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747"/>
  </bookViews>
  <sheets>
    <sheet name="Pending Order" sheetId="1" r:id="rId1"/>
    <sheet name="Closed Order" sheetId="2" r:id="rId2"/>
    <sheet name="Master Value" sheetId="5" r:id="rId3"/>
  </sheets>
  <externalReferences>
    <externalReference r:id="rId4"/>
  </externalReferences>
  <definedNames>
    <definedName name="_xlnm._FilterDatabase" localSheetId="0" hidden="1">'Pending Order'!$A$2:$AG$210</definedName>
    <definedName name="_xlnm._FilterDatabase" localSheetId="1" hidden="1">'Closed Order'!$A$2:$AZ$7591</definedName>
    <definedName name="Ma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  <author>pooja</author>
    <author>Pooja</author>
  </authors>
  <commentList>
    <comment ref="L33" authorId="0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Ready material List - 3192+3192+3183+3183</t>
        </r>
      </text>
    </comment>
    <comment ref="L34" authorId="0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Ready material List - 3192+3192+3183+3183</t>
        </r>
      </text>
    </comment>
    <comment ref="L35" authorId="0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Ready material List - 3192+3192+3183+3183</t>
        </r>
      </text>
    </comment>
    <comment ref="L36" authorId="0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Ready material List - 3192+3192+3183+3183</t>
        </r>
      </text>
    </comment>
    <comment ref="L37" authorId="0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Ready material List - 3192+3192+3183+3183</t>
        </r>
      </text>
    </comment>
    <comment ref="L38" authorId="0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Ready Material list - 4114+4082+4118</t>
        </r>
      </text>
    </comment>
    <comment ref="L39" authorId="0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Ready Material list - 4114+4082+4118</t>
        </r>
      </text>
    </comment>
    <comment ref="L40" authorId="0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Ready Material list - 4114+4082+4118</t>
        </r>
      </text>
    </comment>
    <comment ref="L41" authorId="0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Ready Material List- 5530+5530</t>
        </r>
      </text>
    </comment>
    <comment ref="L42" authorId="0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Ready Material List- 5515</t>
        </r>
      </text>
    </comment>
    <comment ref="L43" authorId="0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Ready Material List- 5515</t>
        </r>
      </text>
    </comment>
    <comment ref="L45" authorId="1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Ready material list</t>
        </r>
      </text>
    </comment>
    <comment ref="L46" authorId="1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ready material list</t>
        </r>
      </text>
    </comment>
    <comment ref="L47" authorId="0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Ready Material List - 2929+2955+2955+1451+1451</t>
        </r>
      </text>
    </comment>
    <comment ref="L48" authorId="0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Ready Material List - 2929+2955+2955+1451+1451</t>
        </r>
      </text>
    </comment>
    <comment ref="L49" authorId="0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Ready Material List - 2929+2955+2955+1451+1451</t>
        </r>
      </text>
    </comment>
    <comment ref="L50" authorId="0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Ready Material List - 2929+2955+2955+1451+1451</t>
        </r>
      </text>
    </comment>
    <comment ref="L51" authorId="0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Mentioned in Ready  List - 3680+3674+1829+1829
</t>
        </r>
      </text>
    </comment>
    <comment ref="L52" authorId="0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Mentioned in Ready  List - 3680+3674+1829+1829
</t>
        </r>
      </text>
    </comment>
    <comment ref="L53" authorId="0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Mentioned in Ready  List - 3680+3674+1829+1829
</t>
        </r>
      </text>
    </comment>
    <comment ref="L54" authorId="0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Mentioned in Ready List - 5823+2897+2897</t>
        </r>
      </text>
    </comment>
    <comment ref="L55" authorId="0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Mentioned in Ready List - 5823+2897+2897</t>
        </r>
      </text>
    </comment>
    <comment ref="L56" authorId="0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Mentioned in Ready List - 12793+12793</t>
        </r>
      </text>
    </comment>
    <comment ref="L57" authorId="0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Mentioned in Ready List - 12793+12793</t>
        </r>
      </text>
    </comment>
    <comment ref="L59" authorId="1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Ready material list 27110kg</t>
        </r>
      </text>
    </comment>
    <comment ref="L60" authorId="1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Ready material list 27110kg</t>
        </r>
      </text>
    </comment>
    <comment ref="L61" authorId="1">
      <text>
        <r>
          <rPr>
            <b/>
            <sz val="9"/>
            <rFont val="Tahoma"/>
            <charset val="134"/>
          </rPr>
          <t>pooja:
WIP List</t>
        </r>
      </text>
    </comment>
    <comment ref="L62" authorId="1">
      <text>
        <r>
          <rPr>
            <b/>
            <sz val="9"/>
            <rFont val="Tahoma"/>
            <charset val="134"/>
          </rPr>
          <t>pooja:
WIP List</t>
        </r>
      </text>
    </comment>
    <comment ref="L63" authorId="1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They are waiting for feedback from production planning department</t>
        </r>
      </text>
    </comment>
    <comment ref="L64" authorId="1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They are waiting for feedback from production planning department</t>
        </r>
      </text>
    </comment>
    <comment ref="S82" authorId="1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Invoice Amount 1335</t>
        </r>
      </text>
    </comment>
    <comment ref="L83" authorId="1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Recd. Size 215 thk</t>
        </r>
      </text>
    </comment>
    <comment ref="S117" authorId="1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Take price from the SC as per keyur g</t>
        </r>
      </text>
    </comment>
    <comment ref="L448" authorId="1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Mentioned in Ready material list</t>
        </r>
      </text>
    </comment>
    <comment ref="L449" authorId="1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Ready material list</t>
        </r>
      </text>
    </comment>
    <comment ref="L450" authorId="1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Ready material list</t>
        </r>
      </text>
    </comment>
    <comment ref="L451" authorId="1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Ready material List</t>
        </r>
      </text>
    </comment>
    <comment ref="M671" authorId="1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Short Length recd. 2850mm</t>
        </r>
      </text>
    </comment>
    <comment ref="H694" authorId="1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H-13</t>
        </r>
      </text>
    </comment>
    <comment ref="L873" authorId="1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100mm thickness instead of 105mm
</t>
        </r>
      </text>
    </comment>
    <comment ref="L874" authorId="1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100mm thickness instead of 105mm
</t>
        </r>
      </text>
    </comment>
    <comment ref="L875" authorId="1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100mm thickness instead of 105mm
</t>
        </r>
      </text>
    </comment>
    <comment ref="L876" authorId="1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100mm thickness instead of 105mm
</t>
        </r>
      </text>
    </comment>
    <comment ref="L877" authorId="1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100mm thickness instead of 105mm
</t>
        </r>
      </text>
    </comment>
    <comment ref="L878" authorId="1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100mm thickness instead of 105mm
</t>
        </r>
      </text>
    </comment>
    <comment ref="L879" authorId="1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100mm thickness instead of 105mm
</t>
        </r>
      </text>
    </comment>
    <comment ref="L880" authorId="1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100mm thickness instead of 105mm
</t>
        </r>
      </text>
    </comment>
    <comment ref="L881" authorId="1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100mm thickness instead of 105mm
</t>
        </r>
      </text>
    </comment>
    <comment ref="L882" authorId="1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100mm thickness instead of 105mm
</t>
        </r>
      </text>
    </comment>
    <comment ref="K980" authorId="1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Received width is 605</t>
        </r>
      </text>
    </comment>
    <comment ref="K1097" authorId="1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recd 410 instead of 405mm
</t>
        </r>
      </text>
    </comment>
    <comment ref="K1140" authorId="1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Order for 610mm and recd 560mm
</t>
        </r>
      </text>
    </comment>
    <comment ref="K1148" authorId="1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Recd 510mm instead of 560mm</t>
        </r>
      </text>
    </comment>
    <comment ref="L1171" authorId="1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114*2200*3600 instead of 110mm.. Confirmed by VJ</t>
        </r>
      </text>
    </comment>
    <comment ref="K1577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Close by dongbei
</t>
        </r>
      </text>
    </comment>
    <comment ref="K1578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Close by Dongbei</t>
        </r>
      </text>
    </comment>
    <comment ref="L1592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65mm actual thk</t>
        </r>
      </text>
    </comment>
    <comment ref="L1593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70mm thk</t>
        </r>
      </text>
    </comment>
    <comment ref="L1594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73mm thk</t>
        </r>
      </text>
    </comment>
    <comment ref="K1911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Received 610mm instead of 605mm </t>
        </r>
      </text>
    </comment>
    <comment ref="K2460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order for 2200mm</t>
        </r>
      </text>
    </comment>
    <comment ref="L2461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205mm instead of 210mm</t>
        </r>
      </text>
    </comment>
    <comment ref="L2485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UT fail and confirm to cancel, changed with other thickness from other contract to meet loading at the time</t>
        </r>
      </text>
    </comment>
    <comment ref="K2494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710mm instead of 810</t>
        </r>
      </text>
    </comment>
    <comment ref="L2523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Not Ordered but coming</t>
        </r>
      </text>
    </comment>
    <comment ref="L2531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Actual thk 488.6</t>
        </r>
      </text>
    </comment>
    <comment ref="K2555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205mm instead of 610mm</t>
        </r>
      </text>
    </comment>
    <comment ref="K2556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255mm instead of 610mm</t>
        </r>
      </text>
    </comment>
    <comment ref="K2557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305mm instead of 610mm</t>
        </r>
      </text>
    </comment>
    <comment ref="K2575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Not ordered for this size
</t>
        </r>
      </text>
    </comment>
    <comment ref="L2700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tomorrow loading</t>
        </r>
      </text>
    </comment>
    <comment ref="L2701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Loading tomorrow</t>
        </r>
      </text>
    </comment>
    <comment ref="K2721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710mmm instead of 2200
</t>
        </r>
      </text>
    </comment>
    <comment ref="L2721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coming 120mm instead of 125mm
</t>
        </r>
      </text>
    </comment>
    <comment ref="K2722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710mm instead of 2200
</t>
        </r>
      </text>
    </comment>
    <comment ref="L2722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Coming 133mm instead of 130mm</t>
        </r>
      </text>
    </comment>
    <comment ref="L2724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No stock when confirm SC and later change into forged 125*710, 133*710mm Into TWCI-20230258</t>
        </r>
      </text>
    </comment>
    <comment ref="L2757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Loading tomorrow</t>
        </r>
      </text>
    </comment>
    <comment ref="K2758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Notin SC but comming</t>
        </r>
      </text>
    </comment>
    <comment ref="K2763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coming 605mm instead of 610</t>
        </r>
      </text>
    </comment>
    <comment ref="K2776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455mm instead of 460</t>
        </r>
      </text>
    </comment>
    <comment ref="K2779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Not in SC but comming</t>
        </r>
      </text>
    </comment>
    <comment ref="K2783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455mm instead of 460
</t>
        </r>
      </text>
    </comment>
    <comment ref="K2785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Not in SC but coming</t>
        </r>
      </text>
    </comment>
    <comment ref="K2787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605mm instead of 610</t>
        </r>
      </text>
    </comment>
    <comment ref="K2808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505mm instead of 510</t>
        </r>
      </text>
    </comment>
    <comment ref="K2809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605mm instead of 610</t>
        </r>
      </text>
    </comment>
    <comment ref="S2835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</t>
        </r>
        <r>
          <rPr>
            <sz val="11"/>
            <rFont val="Tahoma"/>
            <charset val="134"/>
          </rPr>
          <t>not in the SC</t>
        </r>
      </text>
    </comment>
    <comment ref="L3022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Loading tomorrow</t>
        </r>
      </text>
    </comment>
    <comment ref="L3043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Coming 100mm instead of 112mm</t>
        </r>
      </text>
    </comment>
    <comment ref="K3208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Not in the PO908</t>
        </r>
      </text>
    </comment>
    <comment ref="L3238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recd. 100mm thk &amp; 110mm thk
</t>
        </r>
      </text>
    </comment>
    <comment ref="L3239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recd. 100mm thk &amp; 110mm thk
</t>
        </r>
      </text>
    </comment>
    <comment ref="L3240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recd. 100mm thk &amp; 110mm thk
</t>
        </r>
      </text>
    </comment>
    <comment ref="L3314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Actual ready thk 366mm</t>
        </r>
      </text>
    </comment>
    <comment ref="K3380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not ordered
</t>
        </r>
      </text>
    </comment>
    <comment ref="K3402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305mm recd instead of 310
</t>
        </r>
      </text>
    </comment>
    <comment ref="K3449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Not Ordered</t>
        </r>
      </text>
    </comment>
    <comment ref="K3450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Not Ordered</t>
        </r>
      </text>
    </comment>
    <comment ref="K3451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Not Ordered</t>
        </r>
      </text>
    </comment>
    <comment ref="K3452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Not Ordered</t>
        </r>
      </text>
    </comment>
    <comment ref="L3685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actual size is 194mm(undersized) so discount of euro50 accepted</t>
        </r>
      </text>
    </comment>
    <comment ref="L3766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under size 390mm recd</t>
        </r>
      </text>
    </comment>
    <comment ref="K4358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604mm width received</t>
        </r>
      </text>
    </comment>
    <comment ref="S4712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actual price with formula should be 1090 but price in Invoice 1070</t>
        </r>
      </text>
    </comment>
    <comment ref="S5059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Actual price should be 1465 but in the Invoice price is 1445</t>
        </r>
      </text>
    </comment>
    <comment ref="P5131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as per the status sent by Keyur this size is cancel
</t>
        </r>
      </text>
    </comment>
    <comment ref="P5133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as per the status sent by Keyur this size is cancel
</t>
        </r>
      </text>
    </comment>
    <comment ref="S5236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Actual price should be 1115 but in the Invoice 1095</t>
        </r>
      </text>
    </comment>
    <comment ref="S5505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Actual Price 1090 but in the invocie 1070
</t>
        </r>
      </text>
    </comment>
    <comment ref="S6700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Invoice Price-1030
</t>
        </r>
      </text>
    </comment>
    <comment ref="Q7488" authorId="2">
      <text>
        <r>
          <rPr>
            <b/>
            <sz val="9"/>
            <rFont val="Tahoma"/>
            <charset val="134"/>
          </rPr>
          <t>Pooja:</t>
        </r>
        <r>
          <rPr>
            <sz val="9"/>
            <rFont val="Tahoma"/>
            <charset val="134"/>
          </rPr>
          <t xml:space="preserve">
Extra qty. without PO to complete the container
</t>
        </r>
      </text>
    </comment>
  </commentList>
</comments>
</file>

<file path=xl/sharedStrings.xml><?xml version="1.0" encoding="utf-8"?>
<sst xmlns="http://schemas.openxmlformats.org/spreadsheetml/2006/main" count="118576" uniqueCount="1857">
  <si>
    <t>Date : 01-10-2026</t>
  </si>
  <si>
    <t>Close</t>
  </si>
  <si>
    <t>ORDER NO.</t>
  </si>
  <si>
    <t>ORDER DATE</t>
  </si>
  <si>
    <t>REFRENCE</t>
  </si>
  <si>
    <t>SUPPLIER</t>
  </si>
  <si>
    <t>ORIGIN</t>
  </si>
  <si>
    <t>ITEM NO.</t>
  </si>
  <si>
    <t>GRADE</t>
  </si>
  <si>
    <t>Grade for Documentation</t>
  </si>
  <si>
    <t>SECTION</t>
  </si>
  <si>
    <t>DIA/W</t>
  </si>
  <si>
    <t>T</t>
  </si>
  <si>
    <t>LENGTH</t>
  </si>
  <si>
    <t>TREATMENT</t>
  </si>
  <si>
    <t>surface condition</t>
  </si>
  <si>
    <t>OR. QTY.</t>
  </si>
  <si>
    <t>RECD. QTY.</t>
  </si>
  <si>
    <t>BAL QTY.</t>
  </si>
  <si>
    <t>PRICE</t>
  </si>
  <si>
    <t>CURRENCY</t>
  </si>
  <si>
    <t>O/C NO</t>
  </si>
  <si>
    <t>DATE OF O-C-</t>
  </si>
  <si>
    <t>TERMS</t>
  </si>
  <si>
    <t>CONTRACT DELIVERY DATE</t>
  </si>
  <si>
    <t>DELIVERY</t>
  </si>
  <si>
    <t>PAYMENT</t>
  </si>
  <si>
    <t>DESTINATION</t>
  </si>
  <si>
    <t>Inv. No</t>
  </si>
  <si>
    <t>Inv. Date</t>
  </si>
  <si>
    <t>LOT No.</t>
  </si>
  <si>
    <t>CUSTOMER</t>
  </si>
  <si>
    <t>S .P.</t>
  </si>
  <si>
    <t>REMARKS</t>
  </si>
  <si>
    <t>y</t>
  </si>
  <si>
    <t>Pai G</t>
  </si>
  <si>
    <t>HKG Trading Co.Ltd</t>
  </si>
  <si>
    <t>Sanyo</t>
  </si>
  <si>
    <t>QC-11</t>
  </si>
  <si>
    <t>Round</t>
  </si>
  <si>
    <t>Annealed</t>
  </si>
  <si>
    <t>BRIGHT ROLLED</t>
  </si>
  <si>
    <t>USD</t>
  </si>
  <si>
    <t>S0618669</t>
  </si>
  <si>
    <t>FOB</t>
  </si>
  <si>
    <t>DP at sight</t>
  </si>
  <si>
    <t>N.S.</t>
  </si>
  <si>
    <t>B0618669-6040</t>
  </si>
  <si>
    <t>SE</t>
  </si>
  <si>
    <t>Plate</t>
  </si>
  <si>
    <t>Bright Forged</t>
  </si>
  <si>
    <t>26UC1117001-01</t>
  </si>
  <si>
    <t>Keyur</t>
  </si>
  <si>
    <t>Konsond LLC</t>
  </si>
  <si>
    <t>China</t>
  </si>
  <si>
    <t>SKD 11</t>
  </si>
  <si>
    <t>T150Cr48Mo10V4</t>
  </si>
  <si>
    <t>KSD 1126</t>
  </si>
  <si>
    <t>CFR</t>
  </si>
  <si>
    <t>Mumbai</t>
  </si>
  <si>
    <t>35-KSD1326B</t>
  </si>
  <si>
    <t>1%commission+50$ton</t>
  </si>
  <si>
    <t>18-KSD1126</t>
  </si>
  <si>
    <t>Ashley</t>
  </si>
  <si>
    <t>Jixiang Special Steel Co. Limited</t>
  </si>
  <si>
    <t>40CrMnNiMo8-6-4</t>
  </si>
  <si>
    <t>QT</t>
  </si>
  <si>
    <t>BLACK ROLLED</t>
  </si>
  <si>
    <t>JX260140506</t>
  </si>
  <si>
    <t>CIF</t>
  </si>
  <si>
    <t>10%Deposit &amp; 90% TT against BL</t>
  </si>
  <si>
    <t>Asianet Metal</t>
  </si>
  <si>
    <t>Dongbei</t>
  </si>
  <si>
    <t>260512J17DRR-D1</t>
  </si>
  <si>
    <t>BM</t>
  </si>
  <si>
    <t>HD2607002A18</t>
  </si>
  <si>
    <t>Convert FOB to CIF</t>
  </si>
  <si>
    <t>26UC1117004-01</t>
  </si>
  <si>
    <t>LC at sight</t>
  </si>
  <si>
    <t>Global</t>
  </si>
  <si>
    <t>CP2830 SP2950 Contract Price2880</t>
  </si>
  <si>
    <t>CP2780 SP2950 Contract Price2880</t>
  </si>
  <si>
    <t>FLAT</t>
  </si>
  <si>
    <t>260614J15DRF-D2</t>
  </si>
  <si>
    <t>Bright Rolled</t>
  </si>
  <si>
    <t>260615J16DRR-D3</t>
  </si>
  <si>
    <t>Jiangsu Zhuhong Forging Co.Ltd</t>
  </si>
  <si>
    <t>K-310</t>
  </si>
  <si>
    <t>102Cr6</t>
  </si>
  <si>
    <t>ZHE26179-SD</t>
  </si>
  <si>
    <t xml:space="preserve">Short closed due to defect in rest of the material. </t>
  </si>
  <si>
    <t>Dhaval</t>
  </si>
  <si>
    <t>Sij Acroni</t>
  </si>
  <si>
    <t>Acroni</t>
  </si>
  <si>
    <t>Euro</t>
  </si>
  <si>
    <t>Bank assignment 90days after invoice</t>
  </si>
  <si>
    <t>Aichi</t>
  </si>
  <si>
    <t>SX 105V</t>
  </si>
  <si>
    <t>Black Forged</t>
  </si>
  <si>
    <t>Yen</t>
  </si>
  <si>
    <t>26UC111A002-01</t>
  </si>
  <si>
    <t>KSD1326</t>
  </si>
  <si>
    <t>28-KSD1326A</t>
  </si>
  <si>
    <t>Break bulk vessel</t>
  </si>
  <si>
    <t>Teno Metal Co. Limited</t>
  </si>
  <si>
    <t>JCPL122627</t>
  </si>
  <si>
    <t>718 HH</t>
  </si>
  <si>
    <t>JCPL112627</t>
  </si>
  <si>
    <t>VR-400</t>
  </si>
  <si>
    <t>Grace</t>
  </si>
  <si>
    <t>Dalian Foresight(DF) International Trade Co.Ltd.</t>
  </si>
  <si>
    <t>1.2083 ESR</t>
  </si>
  <si>
    <t>DFHK-2026A-030</t>
  </si>
  <si>
    <t>10%adv bal.60days DA</t>
  </si>
  <si>
    <t>X38CrMo16</t>
  </si>
  <si>
    <t>JCPL132627</t>
  </si>
  <si>
    <t>TM-260702</t>
  </si>
  <si>
    <t>1.2316 HH</t>
  </si>
  <si>
    <t>JCPL142627</t>
  </si>
  <si>
    <t>Guangdong Baotong Mold Materials Co Ltd.</t>
  </si>
  <si>
    <t>7CrSiMnMoV</t>
  </si>
  <si>
    <t>JCPL162627</t>
  </si>
  <si>
    <t>BWCI-20260708</t>
  </si>
  <si>
    <t>JCPL172627</t>
  </si>
  <si>
    <t>short closed by Keyur</t>
  </si>
  <si>
    <t>New Production</t>
  </si>
  <si>
    <t>From Stock</t>
  </si>
  <si>
    <t>260719J15DRF-D4</t>
  </si>
  <si>
    <t>260718J19DRR-D5</t>
  </si>
  <si>
    <t>SE/BM</t>
  </si>
  <si>
    <t>S.No.</t>
  </si>
  <si>
    <t>condition</t>
  </si>
  <si>
    <t>Currency</t>
  </si>
  <si>
    <t>OC.NO.</t>
  </si>
  <si>
    <t>INV NO.</t>
  </si>
  <si>
    <t>INV DATE</t>
  </si>
  <si>
    <t>LOT NO.</t>
  </si>
  <si>
    <t>NLMK INDIA</t>
  </si>
  <si>
    <t>NLMK VERONA</t>
  </si>
  <si>
    <t>Verona</t>
  </si>
  <si>
    <t>PLATE</t>
  </si>
  <si>
    <t>Black Rolled</t>
  </si>
  <si>
    <t>DA 90 Days</t>
  </si>
  <si>
    <t>13-03-20</t>
  </si>
  <si>
    <t>closed by SJ</t>
  </si>
  <si>
    <t>ICD</t>
  </si>
  <si>
    <t>Chennai</t>
  </si>
  <si>
    <t>Omkara</t>
  </si>
  <si>
    <t>Kanematsu Trading Corporation</t>
  </si>
  <si>
    <t>Bright forged</t>
  </si>
  <si>
    <t>S0494319</t>
  </si>
  <si>
    <t>LC 180 Days from B/L Date</t>
  </si>
  <si>
    <t>B0494319-1132</t>
  </si>
  <si>
    <t>B0494319-1155</t>
  </si>
  <si>
    <t>S0496380</t>
  </si>
  <si>
    <t>Y</t>
  </si>
  <si>
    <t>bright forged</t>
  </si>
  <si>
    <t>S0497646</t>
  </si>
  <si>
    <t>B0497646-1111</t>
  </si>
  <si>
    <t>Multiple</t>
  </si>
  <si>
    <t>25/8/2022</t>
  </si>
  <si>
    <t>Rs.155 per kg</t>
  </si>
  <si>
    <t>28/7/2022</t>
  </si>
  <si>
    <t>22/2/2023</t>
  </si>
  <si>
    <t>Rs.158 per kg</t>
  </si>
  <si>
    <t>1SE+1Multiple</t>
  </si>
  <si>
    <t>1/2SE+1/2Multiple</t>
  </si>
  <si>
    <t>1/2 cut from the length</t>
  </si>
  <si>
    <t>Black forged</t>
  </si>
  <si>
    <t>VR-300</t>
  </si>
  <si>
    <t>SE BBY</t>
  </si>
  <si>
    <t>Mundra</t>
  </si>
  <si>
    <t>24-02-23</t>
  </si>
  <si>
    <t>24/2/2023</t>
  </si>
  <si>
    <t>Zafer</t>
  </si>
  <si>
    <t xml:space="preserve">Breitenfeld </t>
  </si>
  <si>
    <t>FCA,EXW</t>
  </si>
  <si>
    <t>90 days from the B/L</t>
  </si>
  <si>
    <t>S140236</t>
  </si>
  <si>
    <t>Machined Surface 4 sides</t>
  </si>
  <si>
    <t>S140237</t>
  </si>
  <si>
    <t>ASO India</t>
  </si>
  <si>
    <t>ASO Forge S.r.l.</t>
  </si>
  <si>
    <t>ASO</t>
  </si>
  <si>
    <t xml:space="preserve"> </t>
  </si>
  <si>
    <t>CPT,Genoa</t>
  </si>
  <si>
    <t>DA 70 Days from B/L Date</t>
  </si>
  <si>
    <t>Dongguan City Baogao Imp. And Exp.Co.Ltd.</t>
  </si>
  <si>
    <t>Cancel</t>
  </si>
  <si>
    <t>Black rolled</t>
  </si>
  <si>
    <t>SJMI212122</t>
  </si>
  <si>
    <t>DP at Sight</t>
  </si>
  <si>
    <t>TWCI-20210903</t>
  </si>
  <si>
    <t>1% Commission</t>
  </si>
  <si>
    <t>1SE+1BM</t>
  </si>
  <si>
    <t>SJMI222122</t>
  </si>
  <si>
    <t>TWCI-20210904</t>
  </si>
  <si>
    <t>QDH</t>
  </si>
  <si>
    <t>S0513566</t>
  </si>
  <si>
    <t>LC 180 Days from BL Date</t>
  </si>
  <si>
    <t>Bright rolled</t>
  </si>
  <si>
    <t>SJMI232122</t>
  </si>
  <si>
    <t>TWCI-20210913B</t>
  </si>
  <si>
    <t>TWCI-20210913A</t>
  </si>
  <si>
    <t>2SE+1BM</t>
  </si>
  <si>
    <t>Anhuai Co.Ltd.</t>
  </si>
  <si>
    <t>SJMI312021</t>
  </si>
  <si>
    <t>TT</t>
  </si>
  <si>
    <t>JX210140913</t>
  </si>
  <si>
    <t>no commission</t>
  </si>
  <si>
    <t>SJMI 242122</t>
  </si>
  <si>
    <t>SJMI 252122</t>
  </si>
  <si>
    <t>TWCI-20210919</t>
  </si>
  <si>
    <t>SJMI 251221B</t>
  </si>
  <si>
    <t>Pinxin Huangshi</t>
  </si>
  <si>
    <t>SJMI 262122</t>
  </si>
  <si>
    <t>HSPX20210963</t>
  </si>
  <si>
    <t>Grinded forged</t>
  </si>
  <si>
    <t>SJMI 282122</t>
  </si>
  <si>
    <t>1.2344 ESR</t>
  </si>
  <si>
    <t>Huangshi Winning Steel Co. Ltd</t>
  </si>
  <si>
    <t>SJMI 272122</t>
  </si>
  <si>
    <t>W2168-68</t>
  </si>
  <si>
    <t>Elite Extrusion</t>
  </si>
  <si>
    <t xml:space="preserve">SP 3100 </t>
  </si>
  <si>
    <t>SP 3100</t>
  </si>
  <si>
    <t>SP 3380</t>
  </si>
  <si>
    <t>SJMI 312021</t>
  </si>
  <si>
    <t>TWCI-20211007</t>
  </si>
  <si>
    <t>USD100 ton+1% Commission</t>
  </si>
  <si>
    <t>SJMI 292122</t>
  </si>
  <si>
    <t>TWCI-20211001</t>
  </si>
  <si>
    <t>Two Side Cut</t>
  </si>
  <si>
    <t>SJMI 302122</t>
  </si>
  <si>
    <t>TWCI-20211002</t>
  </si>
  <si>
    <t>All side cut</t>
  </si>
  <si>
    <t>AICHI</t>
  </si>
  <si>
    <t>S0515704</t>
  </si>
  <si>
    <t>B0515704-1163</t>
  </si>
  <si>
    <t>SJMI 322122</t>
  </si>
  <si>
    <t>TWCI-20211016</t>
  </si>
  <si>
    <t>USD100 ton+1% commission</t>
  </si>
  <si>
    <t>SJMI 332021</t>
  </si>
  <si>
    <t>SJMI 372122</t>
  </si>
  <si>
    <t>TWCI-20211014</t>
  </si>
  <si>
    <t>1% commission</t>
  </si>
  <si>
    <t>CP 1375</t>
  </si>
  <si>
    <t>QHZ</t>
  </si>
  <si>
    <t>S0517506</t>
  </si>
  <si>
    <t>S0517514</t>
  </si>
  <si>
    <t>LC 90 Days from BL Date</t>
  </si>
  <si>
    <t>B0517514-2052</t>
  </si>
  <si>
    <t>Global Aluminium</t>
  </si>
  <si>
    <t>Contract Price $3705, CP 3630$,  SP 3805$</t>
  </si>
  <si>
    <t>Contract Price $3870, CP 3795$, SP 3970$</t>
  </si>
  <si>
    <t>B0517514-2031</t>
  </si>
  <si>
    <t>Contract Price $3540, CP 3465$, SP 3640$</t>
  </si>
  <si>
    <t>SJMI 392122</t>
  </si>
  <si>
    <t>1% commission +USD50</t>
  </si>
  <si>
    <t>D211146DRFJ4-D1</t>
  </si>
  <si>
    <t>HDD2112001A271A</t>
  </si>
  <si>
    <t>USD15 PMT MDACommission</t>
  </si>
  <si>
    <t>CP 2925+200</t>
  </si>
  <si>
    <t>HDD2203001A2712</t>
  </si>
  <si>
    <t>CP 3025+200</t>
  </si>
  <si>
    <t>S0518428</t>
  </si>
  <si>
    <t>B0518428-2061</t>
  </si>
  <si>
    <t>S0518986</t>
  </si>
  <si>
    <t>SJMI 412122</t>
  </si>
  <si>
    <t>TWCI-20211124</t>
  </si>
  <si>
    <t>CP 1330+1%</t>
  </si>
  <si>
    <t>CLOSE by SJ</t>
  </si>
  <si>
    <t>TWCI-20220114</t>
  </si>
  <si>
    <t>CP 1310+1%</t>
  </si>
  <si>
    <t>4000-5800</t>
  </si>
  <si>
    <t>SJMI 422122</t>
  </si>
  <si>
    <t>SJMI 432122</t>
  </si>
  <si>
    <t>TWCI-20211217</t>
  </si>
  <si>
    <t>CP 2775+1%</t>
  </si>
  <si>
    <t>NAK 80</t>
  </si>
  <si>
    <t>SJMI 452122</t>
  </si>
  <si>
    <t>TWCI-20211204</t>
  </si>
  <si>
    <t>CP 1635+1%</t>
  </si>
  <si>
    <t>4 side Cut</t>
  </si>
  <si>
    <t>SJMI 462122</t>
  </si>
  <si>
    <t>28-07-2022</t>
  </si>
  <si>
    <t>SJMI 472122</t>
  </si>
  <si>
    <t>CP 1665+1%</t>
  </si>
  <si>
    <t>2 side cut</t>
  </si>
  <si>
    <t>CP 1775+1%</t>
  </si>
  <si>
    <t>TWCI-20211209</t>
  </si>
  <si>
    <t>Jimi Steel Co.,Ltd.</t>
  </si>
  <si>
    <t>3500-4500</t>
  </si>
  <si>
    <t>SJMI 482122</t>
  </si>
  <si>
    <t>JX210141215</t>
  </si>
  <si>
    <t>included commission</t>
  </si>
  <si>
    <t>JX210141215-A</t>
  </si>
  <si>
    <t>SJMI 492122</t>
  </si>
  <si>
    <t>CP 1650+1%</t>
  </si>
  <si>
    <t>CP 1630+1%</t>
  </si>
  <si>
    <t>Gloria</t>
  </si>
  <si>
    <t>Gloria Material Technology Corp.</t>
  </si>
  <si>
    <t>10%Advance Balance DP</t>
  </si>
  <si>
    <t>MAA208-2022-02</t>
  </si>
  <si>
    <t>CP 3050+200</t>
  </si>
  <si>
    <t>MAA208-2022-01</t>
  </si>
  <si>
    <t>CP 2950+200</t>
  </si>
  <si>
    <t>CP 2550+200</t>
  </si>
  <si>
    <t>D211253DRFJ5-D2</t>
  </si>
  <si>
    <t>$5000adv. Balance DP</t>
  </si>
  <si>
    <t>HFS2203001A2712</t>
  </si>
  <si>
    <t>SJMI 502122</t>
  </si>
  <si>
    <t>SJMI 512122</t>
  </si>
  <si>
    <t>TWCI-20211218</t>
  </si>
  <si>
    <t>211254DRFJ5-D3</t>
  </si>
  <si>
    <t>HDD2203003A2712</t>
  </si>
  <si>
    <t>CP 2900+200</t>
  </si>
  <si>
    <t xml:space="preserve">USD 15 </t>
  </si>
  <si>
    <t>HDD2205009A2713</t>
  </si>
  <si>
    <t>ExWorks</t>
  </si>
  <si>
    <t>DA 90 Days fom BL date</t>
  </si>
  <si>
    <t>HSPX20210963-2</t>
  </si>
  <si>
    <t>Jiangsu Zhuhong Forging Co Ltd</t>
  </si>
  <si>
    <t>SJMI 522122</t>
  </si>
  <si>
    <t>ZHE21272-BSC</t>
  </si>
  <si>
    <t>14-06-2022</t>
  </si>
  <si>
    <t>CP 1735+1%</t>
  </si>
  <si>
    <t>ZHE21272-BSC-2</t>
  </si>
  <si>
    <t>24-06-2022</t>
  </si>
  <si>
    <t>CANCEL BY SJ</t>
  </si>
  <si>
    <t>3000-5000</t>
  </si>
  <si>
    <t>S0522984</t>
  </si>
  <si>
    <t>B0522984-2030</t>
  </si>
  <si>
    <t>1500-3000</t>
  </si>
  <si>
    <t>SJMI 552122</t>
  </si>
  <si>
    <t>TWCI-20220117</t>
  </si>
  <si>
    <t>CP 3325</t>
  </si>
  <si>
    <t>220105J1DFR-D1</t>
  </si>
  <si>
    <t>$10000 adv. Balance DP at sight</t>
  </si>
  <si>
    <t>DD2205008A271</t>
  </si>
  <si>
    <t>CP2650+200</t>
  </si>
  <si>
    <t>DD2203009A271</t>
  </si>
  <si>
    <t>DD2204001A271</t>
  </si>
  <si>
    <t>DD2203005A271</t>
  </si>
  <si>
    <t>SJMI 562122</t>
  </si>
  <si>
    <t>USD100+1%</t>
  </si>
  <si>
    <t>CP 2410+1%+100</t>
  </si>
  <si>
    <t>close by SJ</t>
  </si>
  <si>
    <t>TWCI-20220125-3</t>
  </si>
  <si>
    <t>29-07-2022</t>
  </si>
  <si>
    <t>TWCI-20220125-2</t>
  </si>
  <si>
    <t>TWCI-20220125</t>
  </si>
  <si>
    <t>CP 2380+1%+100</t>
  </si>
  <si>
    <t>CP 2430+1%+100</t>
  </si>
  <si>
    <t>CP 2460+1%+100</t>
  </si>
  <si>
    <t>CP 2700+1%+100</t>
  </si>
  <si>
    <t>TWCI-20220726</t>
  </si>
  <si>
    <t>CP 2675+1%+100</t>
  </si>
  <si>
    <t>CP 2600+1%+100</t>
  </si>
  <si>
    <t>SJMI 532122</t>
  </si>
  <si>
    <t>commission1%</t>
  </si>
  <si>
    <t>2000-2300</t>
  </si>
  <si>
    <t>SJMI 572122</t>
  </si>
  <si>
    <t>TWCI-20220202-1</t>
  </si>
  <si>
    <t>USD15</t>
  </si>
  <si>
    <t>CP1600+15</t>
  </si>
  <si>
    <t>TWCI-20220411-3</t>
  </si>
  <si>
    <t>TWCI-20220218-2</t>
  </si>
  <si>
    <t>S0525416</t>
  </si>
  <si>
    <t>ICD,Hydrabad</t>
  </si>
  <si>
    <t>B0525416-2066</t>
  </si>
  <si>
    <t>26-07-2022</t>
  </si>
  <si>
    <t>CP3590,SP3770,Contract Price3670</t>
  </si>
  <si>
    <t>S0525507</t>
  </si>
  <si>
    <t>Mar-22</t>
  </si>
  <si>
    <t>B0525507-2032</t>
  </si>
  <si>
    <t xml:space="preserve">Contract Price 3820, SP 3880+100commission </t>
  </si>
  <si>
    <t>4500-5500</t>
  </si>
  <si>
    <t>SJMI 592122</t>
  </si>
  <si>
    <t>TWCI-20220219-3</t>
  </si>
  <si>
    <t>USD10pmt</t>
  </si>
  <si>
    <t>TWCI-20220320</t>
  </si>
  <si>
    <t>SE+BM(1+1)</t>
  </si>
  <si>
    <t>CP 1210+10</t>
  </si>
  <si>
    <t>TWCI-20220219-1</t>
  </si>
  <si>
    <t>TWCI-20220219-2</t>
  </si>
  <si>
    <t>SE+BM(3+1)</t>
  </si>
  <si>
    <t>SE+BM(2+1)</t>
  </si>
  <si>
    <t>SE+BM(4+1)</t>
  </si>
  <si>
    <t>3500-5500</t>
  </si>
  <si>
    <t>SE+BM</t>
  </si>
  <si>
    <t>CP 1350+10</t>
  </si>
  <si>
    <t>SJMI 602122</t>
  </si>
  <si>
    <t>TWCI-202201218-1</t>
  </si>
  <si>
    <t>CP 1230+10</t>
  </si>
  <si>
    <t>S0526829</t>
  </si>
  <si>
    <t>SJMI 642122</t>
  </si>
  <si>
    <t>10% advance &amp; 90% DP against BL</t>
  </si>
  <si>
    <t>JX220140310B</t>
  </si>
  <si>
    <t>1% minus(-) 7.5USD</t>
  </si>
  <si>
    <t>CP 1220+1%</t>
  </si>
  <si>
    <t>JX220140308&amp;JX220140309A&amp;JX220140310</t>
  </si>
  <si>
    <t>JX220140308A</t>
  </si>
  <si>
    <t>SJMI 612122</t>
  </si>
  <si>
    <t>TWCI-20220319</t>
  </si>
  <si>
    <t>SJMI 632122</t>
  </si>
  <si>
    <t>CPT,Geno</t>
  </si>
  <si>
    <t>DA 90 days from bl date</t>
  </si>
  <si>
    <t>20-06-2022</t>
  </si>
  <si>
    <t>3000-5500</t>
  </si>
  <si>
    <t>SJMI 652122</t>
  </si>
  <si>
    <t>JX220140309</t>
  </si>
  <si>
    <t>JX220140309A&amp;JX220140310</t>
  </si>
  <si>
    <t>4side cut</t>
  </si>
  <si>
    <t>2side cut</t>
  </si>
  <si>
    <t>SJMI 682122</t>
  </si>
  <si>
    <t>SJMI 662122</t>
  </si>
  <si>
    <t>23-03-22</t>
  </si>
  <si>
    <t>Stallin</t>
  </si>
  <si>
    <t>Swedish ME Steel Pvt. Ltd.</t>
  </si>
  <si>
    <t>Toolox</t>
  </si>
  <si>
    <t>INR</t>
  </si>
  <si>
    <t>SIMPL/PI/220323</t>
  </si>
  <si>
    <t>23-03-2022</t>
  </si>
  <si>
    <t>25%adv.balance LC at sight</t>
  </si>
  <si>
    <t>SPL/IN/2204550</t>
  </si>
  <si>
    <t>S50C</t>
  </si>
  <si>
    <t>SJMI 12223</t>
  </si>
  <si>
    <t>TWCI-20220411-2</t>
  </si>
  <si>
    <t>4000-5000</t>
  </si>
  <si>
    <t>TWCI-20220411-1</t>
  </si>
  <si>
    <t>3000-4000</t>
  </si>
  <si>
    <t>Alessandro</t>
  </si>
  <si>
    <t>Moulds Machining Service S.R.L.</t>
  </si>
  <si>
    <t>MMS</t>
  </si>
  <si>
    <t>O0002834</t>
  </si>
  <si>
    <t>Advance</t>
  </si>
  <si>
    <t>Genoa</t>
  </si>
  <si>
    <t>2022V00735</t>
  </si>
  <si>
    <t>460</t>
  </si>
  <si>
    <t>200</t>
  </si>
  <si>
    <t>1390</t>
  </si>
  <si>
    <t>2022V00736</t>
  </si>
  <si>
    <t>500</t>
  </si>
  <si>
    <t>320</t>
  </si>
  <si>
    <t>510</t>
  </si>
  <si>
    <t>470</t>
  </si>
  <si>
    <t>205</t>
  </si>
  <si>
    <t>1270</t>
  </si>
  <si>
    <t>525</t>
  </si>
  <si>
    <t>160</t>
  </si>
  <si>
    <t>1080</t>
  </si>
  <si>
    <t>310</t>
  </si>
  <si>
    <t>230</t>
  </si>
  <si>
    <t>1395</t>
  </si>
  <si>
    <t>440</t>
  </si>
  <si>
    <t>1275</t>
  </si>
  <si>
    <t>540</t>
  </si>
  <si>
    <t>220</t>
  </si>
  <si>
    <t>560</t>
  </si>
  <si>
    <t>260</t>
  </si>
  <si>
    <t>920</t>
  </si>
  <si>
    <t>760</t>
  </si>
  <si>
    <t>105</t>
  </si>
  <si>
    <t>915</t>
  </si>
  <si>
    <t>625</t>
  </si>
  <si>
    <t>1520</t>
  </si>
  <si>
    <t>1405</t>
  </si>
  <si>
    <t>705</t>
  </si>
  <si>
    <t>155</t>
  </si>
  <si>
    <t>1615</t>
  </si>
  <si>
    <t>SJMI 32223</t>
  </si>
  <si>
    <t>CP 1320+1%</t>
  </si>
  <si>
    <t>4 side cut</t>
  </si>
  <si>
    <t>TWCI-20220622</t>
  </si>
  <si>
    <t>23-06-2022</t>
  </si>
  <si>
    <t>TWCI-20220424-1</t>
  </si>
  <si>
    <t>TWCI-20220424-2</t>
  </si>
  <si>
    <t>TWCI-20220427-2</t>
  </si>
  <si>
    <t>SJMI 42223</t>
  </si>
  <si>
    <t>TWCI-20220427-1</t>
  </si>
  <si>
    <t>SE (VJ)</t>
  </si>
  <si>
    <t xml:space="preserve">Asianet Metal </t>
  </si>
  <si>
    <t>220420F1DFR-D2</t>
  </si>
  <si>
    <t xml:space="preserve">$10000 Advance Balance DP </t>
  </si>
  <si>
    <t>FS2208003A271</t>
  </si>
  <si>
    <t>Invoice $2940</t>
  </si>
  <si>
    <t>FS2206002A271</t>
  </si>
  <si>
    <t>16-06-2022</t>
  </si>
  <si>
    <t>FS2206003A271</t>
  </si>
  <si>
    <t>HFS2210005A2712-1</t>
  </si>
  <si>
    <t>21-10-2022</t>
  </si>
  <si>
    <t>HFS2211002A2713</t>
  </si>
  <si>
    <t>14-11-2022</t>
  </si>
  <si>
    <t>Invoice $3240</t>
  </si>
  <si>
    <t>SJMI 62223</t>
  </si>
  <si>
    <t>TWCI-20220429</t>
  </si>
  <si>
    <t>CP 3700</t>
  </si>
  <si>
    <t>O0002877</t>
  </si>
  <si>
    <t>Advance before shipment,to be done in the month of May</t>
  </si>
  <si>
    <t>2022V01021</t>
  </si>
  <si>
    <t>31-05-2022</t>
  </si>
  <si>
    <t>2022V01661</t>
  </si>
  <si>
    <t>16-09-2022</t>
  </si>
  <si>
    <t>505</t>
  </si>
  <si>
    <t>1500</t>
  </si>
  <si>
    <t>240</t>
  </si>
  <si>
    <t>1055</t>
  </si>
  <si>
    <t>445</t>
  </si>
  <si>
    <t>210</t>
  </si>
  <si>
    <t>180</t>
  </si>
  <si>
    <t>290</t>
  </si>
  <si>
    <t>1460</t>
  </si>
  <si>
    <t>490</t>
  </si>
  <si>
    <t>735</t>
  </si>
  <si>
    <t>307</t>
  </si>
  <si>
    <t>2665</t>
  </si>
  <si>
    <t>330</t>
  </si>
  <si>
    <t>2265</t>
  </si>
  <si>
    <t>640</t>
  </si>
  <si>
    <t>480</t>
  </si>
  <si>
    <t>680</t>
  </si>
  <si>
    <t>430</t>
  </si>
  <si>
    <t>355</t>
  </si>
  <si>
    <t>970</t>
  </si>
  <si>
    <t>730</t>
  </si>
  <si>
    <t>350</t>
  </si>
  <si>
    <t>360</t>
  </si>
  <si>
    <t>940</t>
  </si>
  <si>
    <t>1010</t>
  </si>
  <si>
    <t>170</t>
  </si>
  <si>
    <t>1315</t>
  </si>
  <si>
    <t>1435</t>
  </si>
  <si>
    <t>255</t>
  </si>
  <si>
    <t>795</t>
  </si>
  <si>
    <t>42CrMo4</t>
  </si>
  <si>
    <t>CPT</t>
  </si>
  <si>
    <t>Antwerp</t>
  </si>
  <si>
    <t xml:space="preserve">Blacksmith </t>
  </si>
  <si>
    <t>Contract Price 1660euro</t>
  </si>
  <si>
    <t>28-04-22</t>
  </si>
  <si>
    <t>Sanjay Bhandari</t>
  </si>
  <si>
    <t>Duferco SA</t>
  </si>
  <si>
    <t>Xingcheng</t>
  </si>
  <si>
    <t>NM450</t>
  </si>
  <si>
    <t>17-05-22</t>
  </si>
  <si>
    <t>10%Advance Balance TT/LC before shipment</t>
  </si>
  <si>
    <t>close by Sushant</t>
  </si>
  <si>
    <t>NM400</t>
  </si>
  <si>
    <t>NM500</t>
  </si>
  <si>
    <t>Sij Acroni d.o.o</t>
  </si>
  <si>
    <t>CAD</t>
  </si>
  <si>
    <t>30-06-2022</t>
  </si>
  <si>
    <t>SJMI 102223</t>
  </si>
  <si>
    <t>220527F2DBR-D3</t>
  </si>
  <si>
    <t>SE/BM 1+1</t>
  </si>
  <si>
    <t>CP4250</t>
  </si>
  <si>
    <t>SE/BM 2+1</t>
  </si>
  <si>
    <t>CP3980</t>
  </si>
  <si>
    <t>SJMI 142223</t>
  </si>
  <si>
    <t>1%commission</t>
  </si>
  <si>
    <t>Cancel ( Closed by SJ/Keyur)</t>
  </si>
  <si>
    <t>TWCI-20220935-4</t>
  </si>
  <si>
    <t>24-11-2022</t>
  </si>
  <si>
    <t>Short close</t>
  </si>
  <si>
    <t>SJMI 192223</t>
  </si>
  <si>
    <t>TWCI-20220524</t>
  </si>
  <si>
    <t>SE(VJ)</t>
  </si>
  <si>
    <t>220535F4DFR-D4</t>
  </si>
  <si>
    <t>HFS2210005A2712-3</t>
  </si>
  <si>
    <t>21/10/2022</t>
  </si>
  <si>
    <t>short close</t>
  </si>
  <si>
    <t>DD2210006A271/DD2212006A031</t>
  </si>
  <si>
    <t>22/12/2022</t>
  </si>
  <si>
    <t>SJMI 212223</t>
  </si>
  <si>
    <t>TWCI-20220930</t>
  </si>
  <si>
    <t>14-10-2022</t>
  </si>
  <si>
    <t>SJMI 202223</t>
  </si>
  <si>
    <t>TWCI-20220615</t>
  </si>
  <si>
    <t>SJMI 232223</t>
  </si>
  <si>
    <t>TWCI-20220814</t>
  </si>
  <si>
    <t>27-08-2022</t>
  </si>
  <si>
    <t>SJMI 252223</t>
  </si>
  <si>
    <t>Top side machined</t>
  </si>
  <si>
    <t>SJMI 272223</t>
  </si>
  <si>
    <t>26-06-2022</t>
  </si>
  <si>
    <t>TWCI-20220702</t>
  </si>
  <si>
    <t>24-06-22</t>
  </si>
  <si>
    <t>SJMI 282223</t>
  </si>
  <si>
    <t>TWCI-20220822-3</t>
  </si>
  <si>
    <t>30-09-2022</t>
  </si>
  <si>
    <t>14-07-22</t>
  </si>
  <si>
    <t>SJMI 302223</t>
  </si>
  <si>
    <t>18-07-2022</t>
  </si>
  <si>
    <t>20-07-22</t>
  </si>
  <si>
    <t>SJMI 312223</t>
  </si>
  <si>
    <t>20-07-2022</t>
  </si>
  <si>
    <t>TWCI-20220722</t>
  </si>
  <si>
    <t>29-7-2022</t>
  </si>
  <si>
    <t>25-07-22</t>
  </si>
  <si>
    <t>SJMI 362223</t>
  </si>
  <si>
    <t>25-07-2022</t>
  </si>
  <si>
    <t>26-07-22</t>
  </si>
  <si>
    <t>220749F1DFR-D5</t>
  </si>
  <si>
    <t>BM1000</t>
  </si>
  <si>
    <t>CP2900</t>
  </si>
  <si>
    <t>CP2875</t>
  </si>
  <si>
    <t>CP2775</t>
  </si>
  <si>
    <t>Gokul1000</t>
  </si>
  <si>
    <t>3130USD</t>
  </si>
  <si>
    <t>CP2675</t>
  </si>
  <si>
    <t>1000+1000 BM+Gokul</t>
  </si>
  <si>
    <t>Gokul 3030USD</t>
  </si>
  <si>
    <t>BM/SE/Gokul 1000 each</t>
  </si>
  <si>
    <t>BM1000+4000Gokul</t>
  </si>
  <si>
    <t>Gokul 2850USD</t>
  </si>
  <si>
    <t>CP2525</t>
  </si>
  <si>
    <t>BM1000+4000SE+3000Gokul</t>
  </si>
  <si>
    <t>DD2210003A271-1</t>
  </si>
  <si>
    <t>18/10/2022</t>
  </si>
  <si>
    <t>BM1000+3000Gokul</t>
  </si>
  <si>
    <t>Global4000+BM1000</t>
  </si>
  <si>
    <t>3025USD</t>
  </si>
  <si>
    <t>DD2210003A271-2</t>
  </si>
  <si>
    <t>BM1000+SE1000</t>
  </si>
  <si>
    <t>Gokul2000</t>
  </si>
  <si>
    <t>BM+SE 3000 each</t>
  </si>
  <si>
    <t>BM+SE 1500 each</t>
  </si>
  <si>
    <t>BM+SE</t>
  </si>
  <si>
    <t>3020USD</t>
  </si>
  <si>
    <t>3125USD</t>
  </si>
  <si>
    <t>Gokul</t>
  </si>
  <si>
    <t>Gokul 3000USD</t>
  </si>
  <si>
    <t>3225USD</t>
  </si>
  <si>
    <t>3300USD</t>
  </si>
  <si>
    <t>27-07-22</t>
  </si>
  <si>
    <t>SJMI 342223</t>
  </si>
  <si>
    <t>TWCI-20220808</t>
  </si>
  <si>
    <t>28-07-22</t>
  </si>
  <si>
    <t>SJMI 432223</t>
  </si>
  <si>
    <t>W2250-50</t>
  </si>
  <si>
    <t>Closed by Keyur G</t>
  </si>
  <si>
    <t>SJMI 442223</t>
  </si>
  <si>
    <t>SJMI 452223</t>
  </si>
  <si>
    <t>TWCI-20220822-1A</t>
  </si>
  <si>
    <t>19-08-2022</t>
  </si>
  <si>
    <t>220851F09DFR-D7</t>
  </si>
  <si>
    <t>$ 10000 Advance Balance DP</t>
  </si>
  <si>
    <t>CP2985</t>
  </si>
  <si>
    <t>Gokul/BM</t>
  </si>
  <si>
    <t>2301017A0313/DD2302007A031</t>
  </si>
  <si>
    <t>Invoice Price 2840</t>
  </si>
  <si>
    <t>CP2855</t>
  </si>
  <si>
    <t>CP2755</t>
  </si>
  <si>
    <t>Gokul/SE</t>
  </si>
  <si>
    <t>SJMI 322223</t>
  </si>
  <si>
    <t>TWCI-20220823</t>
  </si>
  <si>
    <t>26-08-2022</t>
  </si>
  <si>
    <t>Interplast</t>
  </si>
  <si>
    <t>Contract Price 1.35USD</t>
  </si>
  <si>
    <t>Contract Price 1.45USD</t>
  </si>
  <si>
    <t>S45C</t>
  </si>
  <si>
    <t>Contract Price 1.30USD</t>
  </si>
  <si>
    <t>SJMI 462223</t>
  </si>
  <si>
    <t>TWCI-20220822-2</t>
  </si>
  <si>
    <t>29-08-2022</t>
  </si>
  <si>
    <t>CP1060+1%</t>
  </si>
  <si>
    <t>CP1100+1%</t>
  </si>
  <si>
    <t>220850J15DFR-D6</t>
  </si>
  <si>
    <t>DD2212007A031</t>
  </si>
  <si>
    <t>HDD2301001A0313</t>
  </si>
  <si>
    <t>DD2210005A271</t>
  </si>
  <si>
    <t>24/10/2022</t>
  </si>
  <si>
    <t>220852J15DFR-D8</t>
  </si>
  <si>
    <t>SJMI 482223</t>
  </si>
  <si>
    <t>W2256-56</t>
  </si>
  <si>
    <t>24-09-22</t>
  </si>
  <si>
    <t>13-08-22</t>
  </si>
  <si>
    <t>SJMI 502223</t>
  </si>
  <si>
    <t>31-08-22</t>
  </si>
  <si>
    <t>TWCI-20220838</t>
  </si>
  <si>
    <t>16-11-2022</t>
  </si>
  <si>
    <t>250kg RR Balaji+750SE</t>
  </si>
  <si>
    <t>500BM+500SE</t>
  </si>
  <si>
    <t>CP2785</t>
  </si>
  <si>
    <t>500kg RR Balaji+1000BM+500SE</t>
  </si>
  <si>
    <t>2000kg RR Balaji+500BM</t>
  </si>
  <si>
    <t>1000BM+500SE</t>
  </si>
  <si>
    <t>200kg RR Balaji+1000BM+300SE</t>
  </si>
  <si>
    <t>1000kg RR Balaji+2000BM</t>
  </si>
  <si>
    <t>500kg RR Balaji+1000BM</t>
  </si>
  <si>
    <t>1500BM+500SE</t>
  </si>
  <si>
    <t>CP2690</t>
  </si>
  <si>
    <t>17-08-22</t>
  </si>
  <si>
    <t>SJMI512223</t>
  </si>
  <si>
    <t>24-08-22</t>
  </si>
  <si>
    <t>TWCI-20220944</t>
  </si>
  <si>
    <t>24-10-2022</t>
  </si>
  <si>
    <t>18-08-22</t>
  </si>
  <si>
    <t>SJMI522223</t>
  </si>
  <si>
    <t>20-08-22</t>
  </si>
  <si>
    <t>TWCI-20220935-3</t>
  </si>
  <si>
    <t>26-10-2022</t>
  </si>
  <si>
    <t>TWCI-20220836</t>
  </si>
  <si>
    <t>SJMI 532223</t>
  </si>
  <si>
    <t>CP2650+1%</t>
  </si>
  <si>
    <t>22-08-22</t>
  </si>
  <si>
    <t>SJMI 552223</t>
  </si>
  <si>
    <t>23-08-22</t>
  </si>
  <si>
    <t>TWCI-20220831</t>
  </si>
  <si>
    <t>17-09-2022</t>
  </si>
  <si>
    <t>BM/Fermech</t>
  </si>
  <si>
    <t>High Seas Sale</t>
  </si>
  <si>
    <t>1050 fermech</t>
  </si>
  <si>
    <t>1051 fermech</t>
  </si>
  <si>
    <t>1052 fermech</t>
  </si>
  <si>
    <t>1053 fermech</t>
  </si>
  <si>
    <t>22-09-22</t>
  </si>
  <si>
    <t>Kanematsu Trading corporation</t>
  </si>
  <si>
    <t>S0541637</t>
  </si>
  <si>
    <t>28-09-22</t>
  </si>
  <si>
    <t>LC 180 days from B/L date</t>
  </si>
  <si>
    <t>B0541637-3025</t>
  </si>
  <si>
    <t>28-03-2023</t>
  </si>
  <si>
    <t>Contract price 3875,CP3800 (zero Commission)</t>
  </si>
  <si>
    <t>Contract price 4120,SP4220,CP4040 (USD100 commission)</t>
  </si>
  <si>
    <t>B0541637-3010</t>
  </si>
  <si>
    <t>Contract price 3850,SP3950,CP3730(USD100 commission)</t>
  </si>
  <si>
    <t>30-08-22</t>
  </si>
  <si>
    <t>SJMI602223</t>
  </si>
  <si>
    <t>TWCI-20220904-2</t>
  </si>
  <si>
    <t>TWCI-20220904-1</t>
  </si>
  <si>
    <t>220857F10DBR-D9</t>
  </si>
  <si>
    <t>HFS2304009A0313</t>
  </si>
  <si>
    <t>Invoice Price 3585</t>
  </si>
  <si>
    <t>HFS2303003A0314</t>
  </si>
  <si>
    <t>220858J15DFF-D10</t>
  </si>
  <si>
    <t>Closed by SJ</t>
  </si>
  <si>
    <t>SJMI612223</t>
  </si>
  <si>
    <t>TWCI-20220911-2</t>
  </si>
  <si>
    <t>27-09-22</t>
  </si>
  <si>
    <t>TWCI-20220911-1</t>
  </si>
  <si>
    <t>closed by Sushant</t>
  </si>
  <si>
    <t>15-09-22</t>
  </si>
  <si>
    <t>SJMI662223</t>
  </si>
  <si>
    <t>17-09-22</t>
  </si>
  <si>
    <t>20-09-22</t>
  </si>
  <si>
    <t>S0541651</t>
  </si>
  <si>
    <t>26-09-22</t>
  </si>
  <si>
    <t>B0541651-3028</t>
  </si>
  <si>
    <t>19-04-23</t>
  </si>
  <si>
    <t>Mushashi</t>
  </si>
  <si>
    <t>Rajshree</t>
  </si>
  <si>
    <t>B0541651-3058</t>
  </si>
  <si>
    <t>25-07-23</t>
  </si>
  <si>
    <t>SJMI702223</t>
  </si>
  <si>
    <t>TWCI-20220935-1</t>
  </si>
  <si>
    <t>30-09-22</t>
  </si>
  <si>
    <t>TWCI-20220935-2</t>
  </si>
  <si>
    <t>25-10-2022</t>
  </si>
  <si>
    <t>1pcSE+1pcBM</t>
  </si>
  <si>
    <t>21-09-22</t>
  </si>
  <si>
    <t>220964J18DRF-D10</t>
  </si>
  <si>
    <t>HDD2301004A0312</t>
  </si>
  <si>
    <t>HDD2301006A0312</t>
  </si>
  <si>
    <t>Invoice Price 2635</t>
  </si>
  <si>
    <t>SJMI732223</t>
  </si>
  <si>
    <t>24-09-2022</t>
  </si>
  <si>
    <t>W2272B</t>
  </si>
  <si>
    <t>W2272A</t>
  </si>
  <si>
    <t>SJMI742223</t>
  </si>
  <si>
    <t>27-09-2022</t>
  </si>
  <si>
    <t>15-11-22</t>
  </si>
  <si>
    <t>SJMI962223</t>
  </si>
  <si>
    <t>16-11-22</t>
  </si>
  <si>
    <t>W22112B</t>
  </si>
  <si>
    <t>17/1/2023</t>
  </si>
  <si>
    <t>USD20/ton</t>
  </si>
  <si>
    <t>W22112A</t>
  </si>
  <si>
    <t>SJMI1002223</t>
  </si>
  <si>
    <t>TWCI-20221114-1</t>
  </si>
  <si>
    <t>including commission</t>
  </si>
  <si>
    <t>TWCI-20230257-2</t>
  </si>
  <si>
    <t>22-03-2023</t>
  </si>
  <si>
    <t>TWCI-20221114-2</t>
  </si>
  <si>
    <t>24-12-2022</t>
  </si>
  <si>
    <t>TWCI-20230105</t>
  </si>
  <si>
    <t>16-02-2023</t>
  </si>
  <si>
    <t>1740</t>
  </si>
  <si>
    <t>O0004616</t>
  </si>
  <si>
    <t>10-11-2022</t>
  </si>
  <si>
    <t>DP/CAD</t>
  </si>
  <si>
    <t>2023V00280</t>
  </si>
  <si>
    <t>1580</t>
  </si>
  <si>
    <t>370</t>
  </si>
  <si>
    <t>2480</t>
  </si>
  <si>
    <t>380</t>
  </si>
  <si>
    <t>530</t>
  </si>
  <si>
    <t>655</t>
  </si>
  <si>
    <t>390</t>
  </si>
  <si>
    <t>1620</t>
  </si>
  <si>
    <t>455</t>
  </si>
  <si>
    <t>395</t>
  </si>
  <si>
    <t>2435</t>
  </si>
  <si>
    <t>410</t>
  </si>
  <si>
    <t>660</t>
  </si>
  <si>
    <t>415</t>
  </si>
  <si>
    <t>2270</t>
  </si>
  <si>
    <t>2023V00281</t>
  </si>
  <si>
    <t>420</t>
  </si>
  <si>
    <t>1965</t>
  </si>
  <si>
    <t>580</t>
  </si>
  <si>
    <t>930</t>
  </si>
  <si>
    <t>450</t>
  </si>
  <si>
    <t>1900</t>
  </si>
  <si>
    <t>1920</t>
  </si>
  <si>
    <t>568</t>
  </si>
  <si>
    <t>435</t>
  </si>
  <si>
    <t>630</t>
  </si>
  <si>
    <t>1875</t>
  </si>
  <si>
    <t>1065</t>
  </si>
  <si>
    <t>545</t>
  </si>
  <si>
    <t>465</t>
  </si>
  <si>
    <t>2023V00282</t>
  </si>
  <si>
    <t>1560</t>
  </si>
  <si>
    <t>475</t>
  </si>
  <si>
    <t>2490</t>
  </si>
  <si>
    <t>2285</t>
  </si>
  <si>
    <t>2215</t>
  </si>
  <si>
    <t>495</t>
  </si>
  <si>
    <t>1040</t>
  </si>
  <si>
    <t>635</t>
  </si>
  <si>
    <t>1860</t>
  </si>
  <si>
    <t>345</t>
  </si>
  <si>
    <t>40</t>
  </si>
  <si>
    <t>2260</t>
  </si>
  <si>
    <t>O0004609</t>
  </si>
  <si>
    <t>2022V02548</t>
  </si>
  <si>
    <t>29-12-2022</t>
  </si>
  <si>
    <t>1700</t>
  </si>
  <si>
    <t>1890</t>
  </si>
  <si>
    <t>50</t>
  </si>
  <si>
    <t>2360</t>
  </si>
  <si>
    <t>1975</t>
  </si>
  <si>
    <t>2635</t>
  </si>
  <si>
    <t>1670</t>
  </si>
  <si>
    <t>60</t>
  </si>
  <si>
    <t>1910</t>
  </si>
  <si>
    <t>80</t>
  </si>
  <si>
    <t>2170</t>
  </si>
  <si>
    <t>90</t>
  </si>
  <si>
    <t>1765</t>
  </si>
  <si>
    <t>1245</t>
  </si>
  <si>
    <t>494</t>
  </si>
  <si>
    <t>2022V02549</t>
  </si>
  <si>
    <t>725</t>
  </si>
  <si>
    <t>93</t>
  </si>
  <si>
    <t>1415</t>
  </si>
  <si>
    <t>95</t>
  </si>
  <si>
    <t>2575</t>
  </si>
  <si>
    <t>585</t>
  </si>
  <si>
    <t>100</t>
  </si>
  <si>
    <t>637</t>
  </si>
  <si>
    <t>1680</t>
  </si>
  <si>
    <t>2310</t>
  </si>
  <si>
    <t>975</t>
  </si>
  <si>
    <t>325</t>
  </si>
  <si>
    <t>110</t>
  </si>
  <si>
    <t>2675</t>
  </si>
  <si>
    <t>1730</t>
  </si>
  <si>
    <t>2790</t>
  </si>
  <si>
    <t>2022V02550</t>
  </si>
  <si>
    <t>610</t>
  </si>
  <si>
    <t>2140</t>
  </si>
  <si>
    <t>704</t>
  </si>
  <si>
    <t>1170</t>
  </si>
  <si>
    <t>790</t>
  </si>
  <si>
    <t>820</t>
  </si>
  <si>
    <t>120</t>
  </si>
  <si>
    <t>125</t>
  </si>
  <si>
    <t>1120</t>
  </si>
  <si>
    <t>130</t>
  </si>
  <si>
    <t>750</t>
  </si>
  <si>
    <t>137</t>
  </si>
  <si>
    <t>955</t>
  </si>
  <si>
    <t>150</t>
  </si>
  <si>
    <t>1220</t>
  </si>
  <si>
    <t>165</t>
  </si>
  <si>
    <t>780</t>
  </si>
  <si>
    <t>175</t>
  </si>
  <si>
    <t>1925</t>
  </si>
  <si>
    <t>550</t>
  </si>
  <si>
    <t>1570</t>
  </si>
  <si>
    <t>1970</t>
  </si>
  <si>
    <t>3230</t>
  </si>
  <si>
    <t>190</t>
  </si>
  <si>
    <t>1650</t>
  </si>
  <si>
    <t>650</t>
  </si>
  <si>
    <t>400</t>
  </si>
  <si>
    <t>1660</t>
  </si>
  <si>
    <t>434</t>
  </si>
  <si>
    <t>2640</t>
  </si>
  <si>
    <t>215</t>
  </si>
  <si>
    <t>1230</t>
  </si>
  <si>
    <t>1260</t>
  </si>
  <si>
    <t>225</t>
  </si>
  <si>
    <t>2250</t>
  </si>
  <si>
    <t>1595</t>
  </si>
  <si>
    <t>235</t>
  </si>
  <si>
    <t>2720</t>
  </si>
  <si>
    <t>238</t>
  </si>
  <si>
    <t>1243</t>
  </si>
  <si>
    <t>520</t>
  </si>
  <si>
    <t>1850</t>
  </si>
  <si>
    <t>620</t>
  </si>
  <si>
    <t>2450</t>
  </si>
  <si>
    <t>405</t>
  </si>
  <si>
    <t>265</t>
  </si>
  <si>
    <t>2440</t>
  </si>
  <si>
    <t>870</t>
  </si>
  <si>
    <t>305</t>
  </si>
  <si>
    <t>1710</t>
  </si>
  <si>
    <t>544</t>
  </si>
  <si>
    <t>1685</t>
  </si>
  <si>
    <t>333</t>
  </si>
  <si>
    <t>855</t>
  </si>
  <si>
    <t>340</t>
  </si>
  <si>
    <t>775</t>
  </si>
  <si>
    <t>2280</t>
  </si>
  <si>
    <t>17-11-22</t>
  </si>
  <si>
    <t>S0546243</t>
  </si>
  <si>
    <t>18-11-2022</t>
  </si>
  <si>
    <t>B0546243-3002</t>
  </si>
  <si>
    <t>14-02-2023</t>
  </si>
  <si>
    <t>30-11-22</t>
  </si>
  <si>
    <t>SJMI1052223</t>
  </si>
  <si>
    <t>TWCI-20221203</t>
  </si>
  <si>
    <t>16-12-2022</t>
  </si>
  <si>
    <t>SJMI1042223</t>
  </si>
  <si>
    <t>TWCI-20221127</t>
  </si>
  <si>
    <t>28/2/2023</t>
  </si>
  <si>
    <t>221280F12DBR-D11</t>
  </si>
  <si>
    <t>22-12-22</t>
  </si>
  <si>
    <t>HFS2304007A0312</t>
  </si>
  <si>
    <t>600SE+600BM</t>
  </si>
  <si>
    <t>Invoice Price 3160</t>
  </si>
  <si>
    <t>HFS2303028A0313</t>
  </si>
  <si>
    <t>23-03-23</t>
  </si>
  <si>
    <t>5000SE+1000BM</t>
  </si>
  <si>
    <t>Invoice raised on 3185$</t>
  </si>
  <si>
    <t>1500SE+900BM</t>
  </si>
  <si>
    <t>1000SE+1000BM</t>
  </si>
  <si>
    <t>HFS2304006A0312</t>
  </si>
  <si>
    <t>221282F134DFR-D13</t>
  </si>
  <si>
    <t>16-12-22</t>
  </si>
  <si>
    <t>Invoice Price 2490</t>
  </si>
  <si>
    <t>Invoice Price 2340</t>
  </si>
  <si>
    <t>Invoice Price 2285</t>
  </si>
  <si>
    <t>Close by SJ</t>
  </si>
  <si>
    <t>221281F13DFR-D12</t>
  </si>
  <si>
    <t>Invoice Price 2785</t>
  </si>
  <si>
    <t>Invoice raised on 2585$</t>
  </si>
  <si>
    <t>Invoice Price 2485</t>
  </si>
  <si>
    <t>Invoice raised on 2485$</t>
  </si>
  <si>
    <t>CANCEL</t>
  </si>
  <si>
    <t>SJMI 11062223</t>
  </si>
  <si>
    <t>15-12-22</t>
  </si>
  <si>
    <t>TWCI-20221211-2</t>
  </si>
  <si>
    <t>13-02-2023</t>
  </si>
  <si>
    <t>TWCI-20221211-1</t>
  </si>
  <si>
    <t>13-01-2023</t>
  </si>
  <si>
    <t>28-12-22</t>
  </si>
  <si>
    <t>SJMI 1102223</t>
  </si>
  <si>
    <t>29-12-22</t>
  </si>
  <si>
    <t>13/2/2023</t>
  </si>
  <si>
    <t>TWCI-20230110-2</t>
  </si>
  <si>
    <t>16/3/2023</t>
  </si>
  <si>
    <t>TWCI-20230110-1</t>
  </si>
  <si>
    <t>SJMI 1132223</t>
  </si>
  <si>
    <t>16/2/2023</t>
  </si>
  <si>
    <t>16/1/23</t>
  </si>
  <si>
    <t>SJMI 1142223</t>
  </si>
  <si>
    <t>SJMI 1162223</t>
  </si>
  <si>
    <t>TWCI-20230257-1</t>
  </si>
  <si>
    <t>22/3/2023</t>
  </si>
  <si>
    <t>close by Keyur/SJ</t>
  </si>
  <si>
    <t>1.2738HH</t>
  </si>
  <si>
    <t>TWCI-20230305</t>
  </si>
  <si>
    <t>30-03-23</t>
  </si>
  <si>
    <t>1SE+2BM</t>
  </si>
  <si>
    <t>DA 90 Days from BL date</t>
  </si>
  <si>
    <t>KSD723</t>
  </si>
  <si>
    <t>26/2/2023</t>
  </si>
  <si>
    <t>S0551939</t>
  </si>
  <si>
    <t>13-02-23</t>
  </si>
  <si>
    <t>LC 90 Days</t>
  </si>
  <si>
    <t>B0551939-3057</t>
  </si>
  <si>
    <t>Contract Price3900 , CP 3840, SP 4000</t>
  </si>
  <si>
    <t>LC 120 days after BL date</t>
  </si>
  <si>
    <t>ICD Jattipur</t>
  </si>
  <si>
    <t>100% Advance</t>
  </si>
  <si>
    <t>16/2/23</t>
  </si>
  <si>
    <t>SJMI1192223</t>
  </si>
  <si>
    <t>17-02-23</t>
  </si>
  <si>
    <t>TWCI-20230236</t>
  </si>
  <si>
    <t>24/2/23</t>
  </si>
  <si>
    <t>SJMI1202223</t>
  </si>
  <si>
    <t>18-02-23</t>
  </si>
  <si>
    <t>TWCI-20230237</t>
  </si>
  <si>
    <t>17/2/23</t>
  </si>
  <si>
    <t>SJMI1212223</t>
  </si>
  <si>
    <t>W2364B</t>
  </si>
  <si>
    <t>06.04.23</t>
  </si>
  <si>
    <t>W2364C</t>
  </si>
  <si>
    <t>SJMI1172223</t>
  </si>
  <si>
    <t>W2318-18</t>
  </si>
  <si>
    <t>20/2/2023</t>
  </si>
  <si>
    <t>Grinded Forged</t>
  </si>
  <si>
    <t>SJMI1182223</t>
  </si>
  <si>
    <t>W2328A</t>
  </si>
  <si>
    <t>27.03.23</t>
  </si>
  <si>
    <t>W2364A</t>
  </si>
  <si>
    <t>SJMI1222223</t>
  </si>
  <si>
    <t>21-02-23</t>
  </si>
  <si>
    <t>TWCI-20230240</t>
  </si>
  <si>
    <t>15/3/2023</t>
  </si>
  <si>
    <t>TWCI-20230327</t>
  </si>
  <si>
    <t>20/2/23</t>
  </si>
  <si>
    <t>SJMI1242223</t>
  </si>
  <si>
    <t>TWCI-20230241</t>
  </si>
  <si>
    <t>SJMI1252223</t>
  </si>
  <si>
    <t>22-02-23</t>
  </si>
  <si>
    <t>22/2/23</t>
  </si>
  <si>
    <t>SJMI1292223</t>
  </si>
  <si>
    <t>25-02-23</t>
  </si>
  <si>
    <t>TWCI-20230253</t>
  </si>
  <si>
    <t>24/3/2023</t>
  </si>
  <si>
    <t>23/2/23</t>
  </si>
  <si>
    <t>SJMI1322223</t>
  </si>
  <si>
    <t>TWCI-20230258</t>
  </si>
  <si>
    <t>29-03-23</t>
  </si>
  <si>
    <t>TWCI-20230328</t>
  </si>
  <si>
    <t>TWCI-20230247-2</t>
  </si>
  <si>
    <t>SJMI1332223</t>
  </si>
  <si>
    <t>TWCI-20230247</t>
  </si>
  <si>
    <t>SJMI1342223</t>
  </si>
  <si>
    <t>TWCI-20230325</t>
  </si>
  <si>
    <t>TWCI-20230252</t>
  </si>
  <si>
    <t>SJMI1282223</t>
  </si>
  <si>
    <t>SJMI1352223</t>
  </si>
  <si>
    <t>SJMI1362223</t>
  </si>
  <si>
    <t>25/2/23</t>
  </si>
  <si>
    <t>KSD823</t>
  </si>
  <si>
    <t>KSD 823</t>
  </si>
  <si>
    <t>26-02-23</t>
  </si>
  <si>
    <t>28/2/23</t>
  </si>
  <si>
    <t>SJMI1382223</t>
  </si>
  <si>
    <t>15/3/23</t>
  </si>
  <si>
    <t>SJMI1422223</t>
  </si>
  <si>
    <t xml:space="preserve"> 8/3/23</t>
  </si>
  <si>
    <t>13/3/2023</t>
  </si>
  <si>
    <t>SJMI1452223</t>
  </si>
  <si>
    <t>16/3/23</t>
  </si>
  <si>
    <t>SJMI1442223</t>
  </si>
  <si>
    <t>16-3-23</t>
  </si>
  <si>
    <t>TWCI-20230326-2</t>
  </si>
  <si>
    <t>17-04-23</t>
  </si>
  <si>
    <t>TWCI-20230326-1</t>
  </si>
  <si>
    <t>31-03-23</t>
  </si>
  <si>
    <t>13-03-2023</t>
  </si>
  <si>
    <t>SJMI1432223</t>
  </si>
  <si>
    <t>16-03-23</t>
  </si>
  <si>
    <t>Close by Keyur/SJ</t>
  </si>
  <si>
    <t>SJMI1482223</t>
  </si>
  <si>
    <t>SJMI1492223</t>
  </si>
  <si>
    <t>18-03-23</t>
  </si>
  <si>
    <t>closed by Keyur/SJ</t>
  </si>
  <si>
    <t>230310F07DBR-D1</t>
  </si>
  <si>
    <t>23/3/23</t>
  </si>
  <si>
    <t>DFHK-2023A-004</t>
  </si>
  <si>
    <t>22-03-23</t>
  </si>
  <si>
    <t>15000$Advance balance LC at sight before shipment</t>
  </si>
  <si>
    <t>2309DFA006-A</t>
  </si>
  <si>
    <t>18.09.23</t>
  </si>
  <si>
    <t>1000BM+4000Gokul</t>
  </si>
  <si>
    <t>2309DFA006-B</t>
  </si>
  <si>
    <t>30-10-23</t>
  </si>
  <si>
    <t>1000BM+1000Gokul</t>
  </si>
  <si>
    <t>1000BM+1500Gokul</t>
  </si>
  <si>
    <t>3000BM+1500Gokul</t>
  </si>
  <si>
    <t>1500BM+1500Gokul</t>
  </si>
  <si>
    <t>3000BM+3000Gokul</t>
  </si>
  <si>
    <t>25/3/23</t>
  </si>
  <si>
    <t>SJMI1462223</t>
  </si>
  <si>
    <t>27-3-2023</t>
  </si>
  <si>
    <t>SJMI12324</t>
  </si>
  <si>
    <t>TWCI-20230404-1</t>
  </si>
  <si>
    <t>TWCI-20230404-2</t>
  </si>
  <si>
    <t>17-4-23</t>
  </si>
  <si>
    <t>DFHK-2023A-009</t>
  </si>
  <si>
    <t>10000$ adv balance LC</t>
  </si>
  <si>
    <t>2310DFA013</t>
  </si>
  <si>
    <t>19-10-23</t>
  </si>
  <si>
    <t>DF-2023A-037</t>
  </si>
  <si>
    <t>2304DFA010</t>
  </si>
  <si>
    <t>14-04-23</t>
  </si>
  <si>
    <t>SE500+BM</t>
  </si>
  <si>
    <t>SE1000+BM</t>
  </si>
  <si>
    <t>25-04-23</t>
  </si>
  <si>
    <t>SJMI32324</t>
  </si>
  <si>
    <t>26-04-23</t>
  </si>
  <si>
    <t>TWCI-20230424</t>
  </si>
  <si>
    <t>28-04-23</t>
  </si>
  <si>
    <t>Teamwise Metal Co.Limited</t>
  </si>
  <si>
    <t>P20</t>
  </si>
  <si>
    <t>SJMI42324</t>
  </si>
  <si>
    <t>TWCI-20230526-2</t>
  </si>
  <si>
    <t>21-07-23</t>
  </si>
  <si>
    <t>SE2+BM1</t>
  </si>
  <si>
    <t>TWCI-20230425-1</t>
  </si>
  <si>
    <t>27-07-23</t>
  </si>
  <si>
    <t>SE5+BM1</t>
  </si>
  <si>
    <t>TWCI-20230425-6</t>
  </si>
  <si>
    <t>TWCI-20230425-3</t>
  </si>
  <si>
    <t>30-07-23</t>
  </si>
  <si>
    <t>SE4+BM1</t>
  </si>
  <si>
    <t>TWCI-20230425-4</t>
  </si>
  <si>
    <t>31-07-23</t>
  </si>
  <si>
    <t>TWCI-20230425-2</t>
  </si>
  <si>
    <t>TWCI-20230425-5</t>
  </si>
  <si>
    <t>SE10+BM2</t>
  </si>
  <si>
    <t>TWCI-20230526-3</t>
  </si>
  <si>
    <t>26-07-23</t>
  </si>
  <si>
    <t>SE3+BM1</t>
  </si>
  <si>
    <t>closed by SJ/Keyur</t>
  </si>
  <si>
    <t>SE1+BM1</t>
  </si>
  <si>
    <t>TWCI-20231010</t>
  </si>
  <si>
    <t>TWCI-20231102</t>
  </si>
  <si>
    <t>TWCI-20230912</t>
  </si>
  <si>
    <t>21-10-23</t>
  </si>
  <si>
    <t>TWCI-20230911-1</t>
  </si>
  <si>
    <t>16-10-23</t>
  </si>
  <si>
    <t>TWCI-20230526-5</t>
  </si>
  <si>
    <t>28-09-23</t>
  </si>
  <si>
    <t>S0557689</t>
  </si>
  <si>
    <t>B0557689-3054</t>
  </si>
  <si>
    <t>B0557689-3079</t>
  </si>
  <si>
    <t>29-10-23</t>
  </si>
  <si>
    <t>SJMI62324</t>
  </si>
  <si>
    <t>TWCI-20230504-1</t>
  </si>
  <si>
    <t>TWCI-20230526-4</t>
  </si>
  <si>
    <t>17-08-23</t>
  </si>
  <si>
    <t>TWCI-20230504-2</t>
  </si>
  <si>
    <t>SJMI52324</t>
  </si>
  <si>
    <t>ZHE23103-BSC</t>
  </si>
  <si>
    <t>26-06-23</t>
  </si>
  <si>
    <t>Blacksmith</t>
  </si>
  <si>
    <t>2290SP</t>
  </si>
  <si>
    <t>SJMI72324</t>
  </si>
  <si>
    <t>16-05-23</t>
  </si>
  <si>
    <t>ZHE23131-BSC</t>
  </si>
  <si>
    <t>20-11-2023</t>
  </si>
  <si>
    <t>18-05-23</t>
  </si>
  <si>
    <t>S0559077</t>
  </si>
  <si>
    <t>19-05-23</t>
  </si>
  <si>
    <t>Suzuki</t>
  </si>
  <si>
    <t>QCM 8</t>
  </si>
  <si>
    <t>BLACK FORGED</t>
  </si>
  <si>
    <t>Closed by DJ</t>
  </si>
  <si>
    <t>ICD,Garhi</t>
  </si>
  <si>
    <t>22-05-23</t>
  </si>
  <si>
    <t>SJMI92324</t>
  </si>
  <si>
    <t>28-05-23</t>
  </si>
  <si>
    <t>26-05-23</t>
  </si>
  <si>
    <t>SJMI102324</t>
  </si>
  <si>
    <t>29-05-23</t>
  </si>
  <si>
    <t>TWCI-20230526-1</t>
  </si>
  <si>
    <t>500SE+1000BM</t>
  </si>
  <si>
    <t>500SE+2000BM</t>
  </si>
  <si>
    <t>500SE+4000BM</t>
  </si>
  <si>
    <t>Cr12MoV</t>
  </si>
  <si>
    <t>KSD1423</t>
  </si>
  <si>
    <t>KSD1423C</t>
  </si>
  <si>
    <t>27-08-23</t>
  </si>
  <si>
    <t>KSD1423B</t>
  </si>
  <si>
    <t>17-06-23</t>
  </si>
  <si>
    <t>30%advance balance DA</t>
  </si>
  <si>
    <t>chennai</t>
  </si>
  <si>
    <t>Goel Steel</t>
  </si>
  <si>
    <t>173/kg</t>
  </si>
  <si>
    <t>2646kg@Rs158+</t>
  </si>
  <si>
    <t>2832kg@Rs158+</t>
  </si>
  <si>
    <t>Cancel by Pai G</t>
  </si>
  <si>
    <t>S0560456</t>
  </si>
  <si>
    <t>16-06-23</t>
  </si>
  <si>
    <t>SJMI122324</t>
  </si>
  <si>
    <t>W2378-78</t>
  </si>
  <si>
    <t>SP 3125</t>
  </si>
  <si>
    <t>SP 3250</t>
  </si>
  <si>
    <t>Henry</t>
  </si>
  <si>
    <t>Shandong Liaocheng</t>
  </si>
  <si>
    <t>25%adv balance agaisnt copy of BL</t>
  </si>
  <si>
    <t>YZ2023061501</t>
  </si>
  <si>
    <t>15-06-23</t>
  </si>
  <si>
    <t>14.06.2024</t>
  </si>
  <si>
    <t>3434kg@Rs158+</t>
  </si>
  <si>
    <t>4108kg@Rs158+</t>
  </si>
  <si>
    <t>4577kg@Rs158+</t>
  </si>
  <si>
    <t>5735kg@Rs158+</t>
  </si>
  <si>
    <t>SP190 Rs per kg</t>
  </si>
  <si>
    <t>KSD1523</t>
  </si>
  <si>
    <t>KSD 1523</t>
  </si>
  <si>
    <t>24-10-23</t>
  </si>
  <si>
    <t>UT Failed - cancel</t>
  </si>
  <si>
    <t>SJMI112324</t>
  </si>
  <si>
    <t>18-07-23</t>
  </si>
  <si>
    <t>ZHE23166-BSC</t>
  </si>
  <si>
    <t>31-10-23</t>
  </si>
  <si>
    <t>S0563647</t>
  </si>
  <si>
    <t>B0563647-3112</t>
  </si>
  <si>
    <t>Contract Price3930 , CP 3800, SP 4030</t>
  </si>
  <si>
    <t>B0563647-3100</t>
  </si>
  <si>
    <t>S0571016</t>
  </si>
  <si>
    <t>Contract Price4025 , CP3925 , SP 4075</t>
  </si>
  <si>
    <t>28-07-23</t>
  </si>
  <si>
    <t>SJMI152324</t>
  </si>
  <si>
    <t>TWCI-20230801</t>
  </si>
  <si>
    <t>24-11-23</t>
  </si>
  <si>
    <t>TWCI-20231004</t>
  </si>
  <si>
    <t>TWCI-20231027</t>
  </si>
  <si>
    <t>SJMI142324</t>
  </si>
  <si>
    <t>TWCI-20230803-1</t>
  </si>
  <si>
    <t>23-12-23</t>
  </si>
  <si>
    <t>TWCI-20230804-1</t>
  </si>
  <si>
    <t>28-12-2023</t>
  </si>
  <si>
    <t>TWCI-20231020-2</t>
  </si>
  <si>
    <t>TWCI-20230804-3</t>
  </si>
  <si>
    <t>TWCI-20230837-2</t>
  </si>
  <si>
    <t>TWCI-20231020-4</t>
  </si>
  <si>
    <t>20-12-23</t>
  </si>
  <si>
    <t>TWCI-20240110-2</t>
  </si>
  <si>
    <t>TWCI-20231020-5</t>
  </si>
  <si>
    <t>TWCI-20231020-1</t>
  </si>
  <si>
    <t>SJMI162324</t>
  </si>
  <si>
    <t>TWCI-20230803-2</t>
  </si>
  <si>
    <t>TWCI-20240110-3</t>
  </si>
  <si>
    <t>TWCI-20231020-3</t>
  </si>
  <si>
    <t>500SE+500BM</t>
  </si>
  <si>
    <t>TWCI-20240117-5</t>
  </si>
  <si>
    <t>TWCI-20240110-4</t>
  </si>
  <si>
    <t>TWCI-20240117-1</t>
  </si>
  <si>
    <t>TWCI-20230837-1</t>
  </si>
  <si>
    <t>1000SE+3000BM</t>
  </si>
  <si>
    <t>TWCI-20230837-3</t>
  </si>
  <si>
    <t>1000SE+4000BM</t>
  </si>
  <si>
    <t>500SE+3000BM</t>
  </si>
  <si>
    <t>TWCI-20230838-2</t>
  </si>
  <si>
    <t>1000SE+4500BM</t>
  </si>
  <si>
    <t>500SE+4500BM</t>
  </si>
  <si>
    <t>2500SE+2500BM</t>
  </si>
  <si>
    <t>TWCI-20230804-2</t>
  </si>
  <si>
    <t>TWCI-20240117-4</t>
  </si>
  <si>
    <t>SJMI172324</t>
  </si>
  <si>
    <t>TWCI-20230802-2</t>
  </si>
  <si>
    <t>24-10-2023</t>
  </si>
  <si>
    <t>TWCI-20230802-1</t>
  </si>
  <si>
    <t>KSD1723</t>
  </si>
  <si>
    <t>KSD324</t>
  </si>
  <si>
    <t>KSD1823</t>
  </si>
  <si>
    <t>18-12-23</t>
  </si>
  <si>
    <t>Gnee Steel Co Limited</t>
  </si>
  <si>
    <t>BBHFY1852</t>
  </si>
  <si>
    <t>GNEENCX20230824W</t>
  </si>
  <si>
    <t>20-09-23</t>
  </si>
  <si>
    <t>SJMI202324</t>
  </si>
  <si>
    <t>W2386-86</t>
  </si>
  <si>
    <t>19-09-23</t>
  </si>
  <si>
    <t>SP3125</t>
  </si>
  <si>
    <t>SP3250</t>
  </si>
  <si>
    <t>14-08-23</t>
  </si>
  <si>
    <t>KSD1923</t>
  </si>
  <si>
    <t>SJMI252324</t>
  </si>
  <si>
    <t>TWCI-20230804-5</t>
  </si>
  <si>
    <t>Close from this and add in PO No. 995</t>
  </si>
  <si>
    <t>TWCI-20240110-1</t>
  </si>
  <si>
    <t>TWCI-20230838-1</t>
  </si>
  <si>
    <t>SJMI262324</t>
  </si>
  <si>
    <t>1000SE+2000BM</t>
  </si>
  <si>
    <t>Close from this and add in PO No.995</t>
  </si>
  <si>
    <t>1000SE+2500BM</t>
  </si>
  <si>
    <t>Close from this and add in PO no. 995</t>
  </si>
  <si>
    <t>500SE+2500BM</t>
  </si>
  <si>
    <t>SJMI272324</t>
  </si>
  <si>
    <t>Close from this and add in PO No. 992</t>
  </si>
  <si>
    <t>TWCI-20240117-2</t>
  </si>
  <si>
    <t>TWCI-20240117-3</t>
  </si>
  <si>
    <t>SJMI282324</t>
  </si>
  <si>
    <t>13-09-23</t>
  </si>
  <si>
    <t>16-09-23</t>
  </si>
  <si>
    <t>SJMI292324</t>
  </si>
  <si>
    <t>18-09-23</t>
  </si>
  <si>
    <t>90 days Bill load date</t>
  </si>
  <si>
    <t>23-09-23</t>
  </si>
  <si>
    <t>30SJMI2324</t>
  </si>
  <si>
    <t>26-09-23</t>
  </si>
  <si>
    <t>SJMI322324</t>
  </si>
  <si>
    <t>18-10-23</t>
  </si>
  <si>
    <t>SJMI332324</t>
  </si>
  <si>
    <t>D3+Mo</t>
  </si>
  <si>
    <t>Adjusted with PO No. 925- Short Close balane qty.</t>
  </si>
  <si>
    <t>231025F16DRR-D12</t>
  </si>
  <si>
    <t>60  days DA from BL</t>
  </si>
  <si>
    <t>HDD2403002A1112/HFS2403001A1113</t>
  </si>
  <si>
    <t>Goel Steel 500kg</t>
  </si>
  <si>
    <t>HFS2407024A7212</t>
  </si>
  <si>
    <t>USD 15 Pai G's Commission</t>
  </si>
  <si>
    <t>231026J10DFR-D13</t>
  </si>
  <si>
    <t>60 days DA from BL</t>
  </si>
  <si>
    <t>HDD2312012A0313</t>
  </si>
  <si>
    <t>Gokul 2tons</t>
  </si>
  <si>
    <t>Gokul 3tons</t>
  </si>
  <si>
    <t>Gokul 1ton</t>
  </si>
  <si>
    <t>Gokul 1500kg</t>
  </si>
  <si>
    <t>231027J11DRF-D14</t>
  </si>
  <si>
    <t>231028F17DRF-D15</t>
  </si>
  <si>
    <t>KSD2323</t>
  </si>
  <si>
    <t>TT at sight</t>
  </si>
  <si>
    <t>26-10-23</t>
  </si>
  <si>
    <t>KSD2423</t>
  </si>
  <si>
    <t>KSD2523</t>
  </si>
  <si>
    <t>KSD2623</t>
  </si>
  <si>
    <t>KSD2623C</t>
  </si>
  <si>
    <t>close</t>
  </si>
  <si>
    <t>KSD2623B</t>
  </si>
  <si>
    <t>SJMI352324</t>
  </si>
  <si>
    <t>YCCI-20240510-2</t>
  </si>
  <si>
    <t>YCCI-20240305-2</t>
  </si>
  <si>
    <t>YCCI-20240301-6</t>
  </si>
  <si>
    <t>YCCI20240301-3</t>
  </si>
  <si>
    <t>YCCI-20240302-3</t>
  </si>
  <si>
    <t>YCCI-20240506-2</t>
  </si>
  <si>
    <t>YCCI-20240301-5</t>
  </si>
  <si>
    <t>YCCI-20240301-1</t>
  </si>
  <si>
    <t>YCCI-20240302-5</t>
  </si>
  <si>
    <t>YCCI-20240506-1</t>
  </si>
  <si>
    <t>YCCI-20240510-3</t>
  </si>
  <si>
    <t>168+168+311(2x(40x205)+ 40x405)</t>
  </si>
  <si>
    <t>closed by Dinsha</t>
  </si>
  <si>
    <t>YCCI-20240301-2</t>
  </si>
  <si>
    <t>closed</t>
  </si>
  <si>
    <t>YCCI-20240301-4</t>
  </si>
  <si>
    <t>TWCI-20240712</t>
  </si>
  <si>
    <t>TWCI-20240713</t>
  </si>
  <si>
    <t>YCCI-20240510-1</t>
  </si>
  <si>
    <t>close by keyur G</t>
  </si>
  <si>
    <t>KSD2723</t>
  </si>
  <si>
    <t>KSD2723A</t>
  </si>
  <si>
    <t>KSD2723B</t>
  </si>
  <si>
    <t>SJMI422324</t>
  </si>
  <si>
    <t>SJMI312324</t>
  </si>
  <si>
    <t>YCCI-20240302-4</t>
  </si>
  <si>
    <t>SJMI362324</t>
  </si>
  <si>
    <t>27-10-23</t>
  </si>
  <si>
    <t>SJMI372324</t>
  </si>
  <si>
    <t>SJMI382324</t>
  </si>
  <si>
    <t>SJMI412324</t>
  </si>
  <si>
    <t>SJMI402324</t>
  </si>
  <si>
    <t>SJMI392324</t>
  </si>
  <si>
    <t>SJMI432324</t>
  </si>
  <si>
    <t>TWCI-20231116</t>
  </si>
  <si>
    <t>C-50</t>
  </si>
  <si>
    <t>SJMI442324</t>
  </si>
  <si>
    <t>TWCI-20231120</t>
  </si>
  <si>
    <t>22-11-23</t>
  </si>
  <si>
    <t>SJMI462324</t>
  </si>
  <si>
    <t>SJMI472324</t>
  </si>
  <si>
    <t>YCCI-20240302-1</t>
  </si>
  <si>
    <t>YCCI-20240302-2</t>
  </si>
  <si>
    <t>SJMI482324</t>
  </si>
  <si>
    <t>TWCI-20231121-1</t>
  </si>
  <si>
    <t>18-01-24</t>
  </si>
  <si>
    <t>TWCI-20231121-2</t>
  </si>
  <si>
    <t>S0574467</t>
  </si>
  <si>
    <t>B074467-4022</t>
  </si>
  <si>
    <t>S0574499</t>
  </si>
  <si>
    <t>B0574499-4060</t>
  </si>
  <si>
    <t>KSD3123</t>
  </si>
  <si>
    <t>VR16</t>
  </si>
  <si>
    <t>SJMI552324</t>
  </si>
  <si>
    <t>TWCI-20240109</t>
  </si>
  <si>
    <t>VR16HH</t>
  </si>
  <si>
    <t>SJMI532324</t>
  </si>
  <si>
    <t>Cancel by Keyur / SJ</t>
  </si>
  <si>
    <t>SJMI592324</t>
  </si>
  <si>
    <t>945</t>
  </si>
  <si>
    <t>2610</t>
  </si>
  <si>
    <t>O0008803</t>
  </si>
  <si>
    <t>2024V00497</t>
  </si>
  <si>
    <t>1880</t>
  </si>
  <si>
    <t>1050</t>
  </si>
  <si>
    <t>830</t>
  </si>
  <si>
    <t>1450</t>
  </si>
  <si>
    <t>2024V00488</t>
  </si>
  <si>
    <t>1.2738 H</t>
  </si>
  <si>
    <t>O0008848</t>
  </si>
  <si>
    <t>1020</t>
  </si>
  <si>
    <t>1290</t>
  </si>
  <si>
    <t>700</t>
  </si>
  <si>
    <t>60 days after Invoice</t>
  </si>
  <si>
    <t>SJMI602324</t>
  </si>
  <si>
    <t>S0579052</t>
  </si>
  <si>
    <t>B0579052-4076</t>
  </si>
  <si>
    <t>240210F03DRR-D1</t>
  </si>
  <si>
    <t>60 Days DA from  BL Date</t>
  </si>
  <si>
    <t>HFS2410005A7312</t>
  </si>
  <si>
    <t>240210J12DRF-D2</t>
  </si>
  <si>
    <t>HDD2408003A1112</t>
  </si>
  <si>
    <t>S0579953</t>
  </si>
  <si>
    <t>SJMI662324</t>
  </si>
  <si>
    <t>SJMI682324</t>
  </si>
  <si>
    <t>SJMI692324</t>
  </si>
  <si>
    <t>SJMI702324</t>
  </si>
  <si>
    <t>Closed</t>
  </si>
  <si>
    <t xml:space="preserve">Closed </t>
  </si>
  <si>
    <t>balance material was adjusted in PO No. 930 &amp; 938</t>
  </si>
  <si>
    <t>KSD1224</t>
  </si>
  <si>
    <t>SJMI12425</t>
  </si>
  <si>
    <t>ICD, Panipat</t>
  </si>
  <si>
    <t>YCCI-20240505</t>
  </si>
  <si>
    <t>S0581965</t>
  </si>
  <si>
    <t>B0581965-4095</t>
  </si>
  <si>
    <t>DF-2024A-093</t>
  </si>
  <si>
    <t>2404DFA097</t>
  </si>
  <si>
    <t>SJMI22425</t>
  </si>
  <si>
    <t>YCCI-20240501-2</t>
  </si>
  <si>
    <t>YCCI-20240504</t>
  </si>
  <si>
    <t>YCCI-20240305-1</t>
  </si>
  <si>
    <t>SJMI32425</t>
  </si>
  <si>
    <t>YCCI-20240412</t>
  </si>
  <si>
    <t>S0582942</t>
  </si>
  <si>
    <t>B0582942-4105</t>
  </si>
  <si>
    <t>DFHK-2024A-021</t>
  </si>
  <si>
    <t>75 Days credit after BL date</t>
  </si>
  <si>
    <t>2407DFA010</t>
  </si>
  <si>
    <t>2410DF018</t>
  </si>
  <si>
    <t>SJMI72425</t>
  </si>
  <si>
    <t>close by Keyur G</t>
  </si>
  <si>
    <t>YCCI-20240601-1</t>
  </si>
  <si>
    <t>DFHK-2024A-022</t>
  </si>
  <si>
    <t>DFHK-2024A-026</t>
  </si>
  <si>
    <t>2408DFA014</t>
  </si>
  <si>
    <t>Yuken</t>
  </si>
  <si>
    <t>2409DFA008</t>
  </si>
  <si>
    <t>DFHK-2024A-025</t>
  </si>
  <si>
    <t>7-10 days after BL copy, before Telex BL</t>
  </si>
  <si>
    <t>2507DFHK001</t>
  </si>
  <si>
    <t>via Dubai</t>
  </si>
  <si>
    <t>DFHK-2024A-024</t>
  </si>
  <si>
    <t>SJMI82425</t>
  </si>
  <si>
    <t>SJMI92425</t>
  </si>
  <si>
    <t>SJMI42425</t>
  </si>
  <si>
    <t>SJMI102425</t>
  </si>
  <si>
    <t>DFHK-2024A-027</t>
  </si>
  <si>
    <t>2505DFHK005</t>
  </si>
  <si>
    <t>Via Dubai</t>
  </si>
  <si>
    <t>S0584550</t>
  </si>
  <si>
    <t>SJMI112425</t>
  </si>
  <si>
    <t>YCCI-20240512</t>
  </si>
  <si>
    <t>KSD4324</t>
  </si>
  <si>
    <t>KSD4324/KSD4424/KSD4824</t>
  </si>
  <si>
    <t>KSD4424</t>
  </si>
  <si>
    <t>S0587773</t>
  </si>
  <si>
    <t>B0587773-5070</t>
  </si>
  <si>
    <t>B0587773-5049</t>
  </si>
  <si>
    <t>B0587773-5104</t>
  </si>
  <si>
    <t>240726F06DRR-D2</t>
  </si>
  <si>
    <t>FS2505005A731</t>
  </si>
  <si>
    <t>19-19-2024</t>
  </si>
  <si>
    <t>SJMI152425</t>
  </si>
  <si>
    <t>SJMI172425</t>
  </si>
  <si>
    <t>SJMI182425</t>
  </si>
  <si>
    <t>DFHK-2024A-042</t>
  </si>
  <si>
    <t>Close by Sandeep Sir</t>
  </si>
  <si>
    <t>DA 90 days from BL Date</t>
  </si>
  <si>
    <t>825FT00125</t>
  </si>
  <si>
    <t>825FT00124</t>
  </si>
  <si>
    <t>SJMI242425</t>
  </si>
  <si>
    <t>Include in PO No. 1035</t>
  </si>
  <si>
    <t>Manoj</t>
  </si>
  <si>
    <t>Hubei Xingtong Technology Co.Ltd</t>
  </si>
  <si>
    <t>XT202456</t>
  </si>
  <si>
    <t>10% advance TT,bal.TT against BL copy</t>
  </si>
  <si>
    <t>KSD4824</t>
  </si>
  <si>
    <t>SJMI232425</t>
  </si>
  <si>
    <t>ZHE24227-SD-2</t>
  </si>
  <si>
    <t>commission1% + US$ 40 Ton</t>
  </si>
  <si>
    <t>ZHE24227-SD-1</t>
  </si>
  <si>
    <t>Amarjas Enterprises</t>
  </si>
  <si>
    <t>DFHK-2024A-045</t>
  </si>
  <si>
    <t>SE,WZP</t>
  </si>
  <si>
    <t>Fushun</t>
  </si>
  <si>
    <t>DFHK-2024A-046</t>
  </si>
  <si>
    <t>Wuxi Fuhong Special Steel Co Ltd</t>
  </si>
  <si>
    <t>SJMI192425</t>
  </si>
  <si>
    <t>JB, SNP</t>
  </si>
  <si>
    <t>Commission is 1% + US$ 25/ton.</t>
  </si>
  <si>
    <t>SJMI202425</t>
  </si>
  <si>
    <t>TWCI-20240815</t>
  </si>
  <si>
    <t>Bank assignment 90 days after Invoice</t>
  </si>
  <si>
    <t>Jiangxi Jinli Steel Co Ltd</t>
  </si>
  <si>
    <t>SJMI272425</t>
  </si>
  <si>
    <t>TM-132324-1</t>
  </si>
  <si>
    <t>closed by keyur g from this order and make new PO No.1052 with additional qty.</t>
  </si>
  <si>
    <t>Monika</t>
  </si>
  <si>
    <t>Blacksmith Global</t>
  </si>
  <si>
    <t>NLMK</t>
  </si>
  <si>
    <t>ZLV-1/2024</t>
  </si>
  <si>
    <t>Advace</t>
  </si>
  <si>
    <t>FV-4/2024</t>
  </si>
  <si>
    <t>Sevenstar</t>
  </si>
  <si>
    <t>S0592482</t>
  </si>
  <si>
    <t>Metal Ravne</t>
  </si>
  <si>
    <t>Ravne</t>
  </si>
  <si>
    <t>GSOR-CH/2425/014374</t>
  </si>
  <si>
    <t>90days from the date of BL</t>
  </si>
  <si>
    <t>GPSIC2526/01208</t>
  </si>
  <si>
    <t>GPSIC2526/00201</t>
  </si>
  <si>
    <t>Invoice @ INR 281.95</t>
  </si>
  <si>
    <t xml:space="preserve"> Black Forged</t>
  </si>
  <si>
    <t>Invoice @INR 291.85</t>
  </si>
  <si>
    <t>S0595921</t>
  </si>
  <si>
    <t>B0595921-5009</t>
  </si>
  <si>
    <t>Contract Price$3110,SP $3190,CP$3010</t>
  </si>
  <si>
    <t>B0595921-5094</t>
  </si>
  <si>
    <t>B0595921-5025</t>
  </si>
  <si>
    <t>SJMI372425</t>
  </si>
  <si>
    <t>10000$Adv balance 80%DP at sight</t>
  </si>
  <si>
    <t>TWCI-20250110-1</t>
  </si>
  <si>
    <t>1%commission+USD50 ton</t>
  </si>
  <si>
    <t>TWCI-20250110-2</t>
  </si>
  <si>
    <t>KSD125</t>
  </si>
  <si>
    <t>10%adv balance DP</t>
  </si>
  <si>
    <t>37-KSD125</t>
  </si>
  <si>
    <t>1%commission+100$ /ton</t>
  </si>
  <si>
    <t>KSD325</t>
  </si>
  <si>
    <t>USD10000 adv bal.DP at sight</t>
  </si>
  <si>
    <t>7-KSD25</t>
  </si>
  <si>
    <t>S0604198</t>
  </si>
  <si>
    <t>SX ACE</t>
  </si>
  <si>
    <t>S0605159</t>
  </si>
  <si>
    <t>Jagdish G</t>
  </si>
  <si>
    <t>Goyal Steel India</t>
  </si>
  <si>
    <t>GSI/25-26/0531</t>
  </si>
  <si>
    <t>GSI/25-26/0532</t>
  </si>
  <si>
    <t>3SE+2BM</t>
  </si>
  <si>
    <t>Teno Metal Co.Limited</t>
  </si>
  <si>
    <t>SJMI382425</t>
  </si>
  <si>
    <t>TM-172425B</t>
  </si>
  <si>
    <t>commission1% + US$ 50 Ton</t>
  </si>
  <si>
    <t>PO No. 1037 balance qty.</t>
  </si>
  <si>
    <t>TM-172425A</t>
  </si>
  <si>
    <t>Bank assignement 90 days after invoice</t>
  </si>
  <si>
    <t>S0606485</t>
  </si>
  <si>
    <t>KSD 825</t>
  </si>
  <si>
    <t>25-KSD825</t>
  </si>
  <si>
    <t>KSD 1225A</t>
  </si>
  <si>
    <t>23-KSD1225A</t>
  </si>
  <si>
    <t>1%commission+50/ton</t>
  </si>
  <si>
    <t>KSD 1225B</t>
  </si>
  <si>
    <t>24-KSD1225B</t>
  </si>
  <si>
    <t>1%commission+ USD50/ton</t>
  </si>
  <si>
    <t>KSD 1525</t>
  </si>
  <si>
    <t>30-KSD2025A</t>
  </si>
  <si>
    <t>1%commission + $50/ton</t>
  </si>
  <si>
    <t>Guangdong Baotong Mold Materials Co. Ltd.</t>
  </si>
  <si>
    <t>SJMI22526</t>
  </si>
  <si>
    <t>BWCI-20250506-3</t>
  </si>
  <si>
    <t>1%commission+50USD</t>
  </si>
  <si>
    <t>BWCI-20250506-2</t>
  </si>
  <si>
    <t>BWCI-20250506-1</t>
  </si>
  <si>
    <t>sE</t>
  </si>
  <si>
    <t>Jai Ganesh Steel Co.</t>
  </si>
  <si>
    <t>242/25-26</t>
  </si>
  <si>
    <t>Not HSS, Only Domestic Purchase</t>
  </si>
  <si>
    <t>255/25-26</t>
  </si>
  <si>
    <t>SJMI52526</t>
  </si>
  <si>
    <t>TM-332425</t>
  </si>
  <si>
    <t>KSD 2425</t>
  </si>
  <si>
    <t>TT , 7-10 days Telex Release</t>
  </si>
  <si>
    <t>TM-452425</t>
  </si>
  <si>
    <t>KSD 2025</t>
  </si>
  <si>
    <t>418/25-26</t>
  </si>
  <si>
    <t>1/2 SE+ 1/2BM</t>
  </si>
  <si>
    <t>514/25-26</t>
  </si>
  <si>
    <t>419/25-26</t>
  </si>
  <si>
    <t>433/25-26</t>
  </si>
  <si>
    <t>496/25-26</t>
  </si>
  <si>
    <t>S0613940</t>
  </si>
  <si>
    <t>KSD 2525</t>
  </si>
  <si>
    <t>TT , Telex Release</t>
  </si>
  <si>
    <t>38-KSD2525B</t>
  </si>
  <si>
    <t>TT ,7-10days after Telex Release</t>
  </si>
  <si>
    <t>40-KSD2525C</t>
  </si>
  <si>
    <t>34-KSD2525A</t>
  </si>
  <si>
    <t xml:space="preserve">1% Commission </t>
  </si>
  <si>
    <t>purohit</t>
  </si>
  <si>
    <t>Purohit Steel India Limited</t>
  </si>
  <si>
    <t>90 days from the date of BL</t>
  </si>
  <si>
    <t>Jattipur, ICD</t>
  </si>
  <si>
    <t>KSD 2625</t>
  </si>
  <si>
    <t>33-KSD2625</t>
  </si>
  <si>
    <t>1% Commission +50USD/ton</t>
  </si>
  <si>
    <t>KSD 2725</t>
  </si>
  <si>
    <t>39-KSD2725</t>
  </si>
  <si>
    <t>Direct</t>
  </si>
  <si>
    <t>KSD3525/36325A</t>
  </si>
  <si>
    <t>KSD 3625</t>
  </si>
  <si>
    <t>KSD3525/3625B</t>
  </si>
  <si>
    <t>short close by SJ</t>
  </si>
  <si>
    <t>KSD 3325</t>
  </si>
  <si>
    <t>KSD 3925</t>
  </si>
  <si>
    <t>100% DP at sight</t>
  </si>
  <si>
    <t>TM-632425</t>
  </si>
  <si>
    <t>TM-662425</t>
  </si>
  <si>
    <t>TT against BL copy within 10 days</t>
  </si>
  <si>
    <t>100%Advance</t>
  </si>
  <si>
    <t>FV-1/2025</t>
  </si>
  <si>
    <t>SE (BSG)</t>
  </si>
  <si>
    <t>KSD 3525</t>
  </si>
  <si>
    <t>49-KSD3825</t>
  </si>
  <si>
    <t>KSD 3825</t>
  </si>
  <si>
    <t>Bright ROLLED</t>
  </si>
  <si>
    <t>KSD4325</t>
  </si>
  <si>
    <t>47-KSD4325</t>
  </si>
  <si>
    <t>S0602080</t>
  </si>
  <si>
    <t>B0602080-5139</t>
  </si>
  <si>
    <t>S0617597</t>
  </si>
  <si>
    <t>kushal</t>
  </si>
  <si>
    <t>10%Adv 90%CAD</t>
  </si>
  <si>
    <t>KMSI/252/25-26</t>
  </si>
  <si>
    <t>High Seas Sales</t>
  </si>
  <si>
    <t>KMSI/886/25-26</t>
  </si>
  <si>
    <t>KMSI/426/25-26</t>
  </si>
  <si>
    <t xml:space="preserve">short close </t>
  </si>
  <si>
    <t>KMSI/1108/25-26</t>
  </si>
  <si>
    <t>KMSI/419/25-26</t>
  </si>
  <si>
    <t>KMSI/410/25-26</t>
  </si>
  <si>
    <t>KMSI/887/25-26</t>
  </si>
  <si>
    <t>short close by kushal</t>
  </si>
  <si>
    <t>Modi Hitech</t>
  </si>
  <si>
    <t>KMSI/HS010/25-26</t>
  </si>
  <si>
    <t>JB</t>
  </si>
  <si>
    <t>WP</t>
  </si>
  <si>
    <t>KMSI/424/25-26</t>
  </si>
  <si>
    <t>KMSIPL-006</t>
  </si>
  <si>
    <t>BM/JB</t>
  </si>
  <si>
    <t>KSD4425</t>
  </si>
  <si>
    <t>1-KSD4426</t>
  </si>
  <si>
    <t>S0598011</t>
  </si>
  <si>
    <t>B0598011-5053</t>
  </si>
  <si>
    <t>B0598011-5100</t>
  </si>
  <si>
    <t>B0598011-5032</t>
  </si>
  <si>
    <t>B0598011-5028</t>
  </si>
  <si>
    <t>B0598011-6012</t>
  </si>
  <si>
    <t>S0598904</t>
  </si>
  <si>
    <t>S0607211</t>
  </si>
  <si>
    <t>1.2738 HH</t>
  </si>
  <si>
    <t>O0014601</t>
  </si>
  <si>
    <t>Bank Transfer at Sight</t>
  </si>
  <si>
    <t>2025V02574</t>
  </si>
  <si>
    <t>2025V02359</t>
  </si>
  <si>
    <t>810</t>
  </si>
  <si>
    <t>1410</t>
  </si>
  <si>
    <t>2025V02300</t>
  </si>
  <si>
    <t>Fermech</t>
  </si>
  <si>
    <t>980</t>
  </si>
  <si>
    <t>Omkara/Fermech</t>
  </si>
  <si>
    <t>2025V02374</t>
  </si>
  <si>
    <t>65</t>
  </si>
  <si>
    <t>515</t>
  </si>
  <si>
    <t>845</t>
  </si>
  <si>
    <t>1780</t>
  </si>
  <si>
    <t>1210</t>
  </si>
  <si>
    <t>1200</t>
  </si>
  <si>
    <t>690</t>
  </si>
  <si>
    <t>300</t>
  </si>
  <si>
    <t>720</t>
  </si>
  <si>
    <t>555</t>
  </si>
  <si>
    <t>1545</t>
  </si>
  <si>
    <t>S0618452</t>
  </si>
  <si>
    <t>Suzuki Gujarat</t>
  </si>
  <si>
    <t>Suzuki Automotive</t>
  </si>
  <si>
    <t>S0616665</t>
  </si>
  <si>
    <t>ICD Hyderabad</t>
  </si>
  <si>
    <t>B0616665-6011</t>
  </si>
  <si>
    <t>Contract Price$3025, SP $3075, CP$2885</t>
  </si>
  <si>
    <t>JCPL72526</t>
  </si>
  <si>
    <t>BWCI-20260102</t>
  </si>
  <si>
    <t>JCPL112526</t>
  </si>
  <si>
    <t>TM-82526-1</t>
  </si>
  <si>
    <t>TM-82526-2</t>
  </si>
  <si>
    <t>KSD 5125</t>
  </si>
  <si>
    <t>TT against BL</t>
  </si>
  <si>
    <t>6-KSD5125</t>
  </si>
  <si>
    <t>Short Close by Keyur</t>
  </si>
  <si>
    <t>JCPL122526</t>
  </si>
  <si>
    <t>BWCI-20260110</t>
  </si>
  <si>
    <t>KSD 226</t>
  </si>
  <si>
    <t>16-KSD226</t>
  </si>
  <si>
    <t>JCPL212526</t>
  </si>
  <si>
    <t>TM-260302</t>
  </si>
  <si>
    <t>JCPL42627</t>
  </si>
  <si>
    <t>BWCI-20260409A</t>
  </si>
  <si>
    <t>BWCI-20260409B</t>
  </si>
  <si>
    <t>S0607928</t>
  </si>
  <si>
    <t>B0617928-6065</t>
  </si>
  <si>
    <t>250817J16DRR-D1</t>
  </si>
  <si>
    <t>100% against the BL</t>
  </si>
  <si>
    <t>HD2604012A152</t>
  </si>
  <si>
    <t>USD5 commission</t>
  </si>
  <si>
    <t>C&amp;F</t>
  </si>
  <si>
    <t>HD2606004A182</t>
  </si>
  <si>
    <t>HD2604011A152</t>
  </si>
  <si>
    <t>S0620409</t>
  </si>
  <si>
    <t>B0620409-6020</t>
  </si>
  <si>
    <t>B0620409-6085</t>
  </si>
  <si>
    <t>B0620409-6032</t>
  </si>
  <si>
    <t>B0620409-6051</t>
  </si>
  <si>
    <t>251218J18DRR-D3</t>
  </si>
  <si>
    <t>251218J17DRR-D2</t>
  </si>
  <si>
    <t>JCPL52627</t>
  </si>
  <si>
    <t>TM-260412-1</t>
  </si>
  <si>
    <t>TM-260412-2</t>
  </si>
  <si>
    <t>TM-260502-3</t>
  </si>
  <si>
    <t>TM-260412-4</t>
  </si>
  <si>
    <t>C45U</t>
  </si>
  <si>
    <t>TM-260412-3</t>
  </si>
  <si>
    <t>JCPL62627</t>
  </si>
  <si>
    <t>Convert CIF to FOB -O/F $2875</t>
  </si>
  <si>
    <t>JCPL82627</t>
  </si>
  <si>
    <t>BWCI-20260603</t>
  </si>
  <si>
    <t>Closed and entered in PO No.1134</t>
  </si>
  <si>
    <t>X153CrMoV12</t>
  </si>
  <si>
    <t>KSD 1226</t>
  </si>
  <si>
    <t>23-KSD1226</t>
  </si>
  <si>
    <t>JCPL72627</t>
  </si>
  <si>
    <t>TM-260502-2</t>
  </si>
  <si>
    <t>TM-260502-1</t>
  </si>
  <si>
    <t>CONDITION</t>
  </si>
  <si>
    <t>MAKE</t>
  </si>
  <si>
    <t>ACRONI</t>
  </si>
  <si>
    <t>AMNS</t>
  </si>
  <si>
    <t>BRIGHT FORGED</t>
  </si>
  <si>
    <t>ARCELOR</t>
  </si>
  <si>
    <t>GRINDED FORGED</t>
  </si>
  <si>
    <t xml:space="preserve">BALCO </t>
  </si>
  <si>
    <t>BANSAL</t>
  </si>
  <si>
    <t>BAOSHAN</t>
  </si>
  <si>
    <t>BEIMAN</t>
  </si>
  <si>
    <t>BGH</t>
  </si>
  <si>
    <t>BOHLER</t>
  </si>
  <si>
    <t>BREITENFELD</t>
  </si>
  <si>
    <t>CHINA</t>
  </si>
  <si>
    <t>DEW</t>
  </si>
  <si>
    <t>DONGBEI</t>
  </si>
  <si>
    <t>DSS</t>
  </si>
  <si>
    <t>ERA</t>
  </si>
  <si>
    <t>ET</t>
  </si>
  <si>
    <t>ETTAR</t>
  </si>
  <si>
    <t>FARO</t>
  </si>
  <si>
    <t>GERMANY</t>
  </si>
  <si>
    <t>GLORIA</t>
  </si>
  <si>
    <t>HITACHI</t>
  </si>
  <si>
    <t>690QL</t>
  </si>
  <si>
    <t>HR</t>
  </si>
  <si>
    <t>HT</t>
  </si>
  <si>
    <t>AISI-303</t>
  </si>
  <si>
    <t>IMP</t>
  </si>
  <si>
    <t>AISI-304</t>
  </si>
  <si>
    <t>JFE</t>
  </si>
  <si>
    <t>AISI-316</t>
  </si>
  <si>
    <t>JINDAL</t>
  </si>
  <si>
    <t>AISI-410</t>
  </si>
  <si>
    <t>JSPL</t>
  </si>
  <si>
    <t>AISI-416</t>
  </si>
  <si>
    <t>KALYANI</t>
  </si>
  <si>
    <t>AISI-420</t>
  </si>
  <si>
    <t>KANOI</t>
  </si>
  <si>
    <t>AISI-O1</t>
  </si>
  <si>
    <t>KAPOOR</t>
  </si>
  <si>
    <t>AR-400</t>
  </si>
  <si>
    <t>KEWI</t>
  </si>
  <si>
    <t>AR-450</t>
  </si>
  <si>
    <t>KISCO</t>
  </si>
  <si>
    <t>AR-500</t>
  </si>
  <si>
    <t>KMR</t>
  </si>
  <si>
    <t>BLADES</t>
  </si>
  <si>
    <t>LAXON</t>
  </si>
  <si>
    <t>C-45</t>
  </si>
  <si>
    <t>LOCAL</t>
  </si>
  <si>
    <t>LSR</t>
  </si>
  <si>
    <t>E-410</t>
  </si>
  <si>
    <t>MANDREL</t>
  </si>
  <si>
    <t>EN-19</t>
  </si>
  <si>
    <t>MANGALAM</t>
  </si>
  <si>
    <t>EN-1A</t>
  </si>
  <si>
    <t>EN-1B</t>
  </si>
  <si>
    <t>MUKUND</t>
  </si>
  <si>
    <t>EN-24</t>
  </si>
  <si>
    <t>MUSCO</t>
  </si>
  <si>
    <t>EN-353</t>
  </si>
  <si>
    <t>NIPPON</t>
  </si>
  <si>
    <t>EN-36</t>
  </si>
  <si>
    <t>EN-36B</t>
  </si>
  <si>
    <t>PARWATI</t>
  </si>
  <si>
    <t>EN-36C</t>
  </si>
  <si>
    <t>PILLSEN</t>
  </si>
  <si>
    <t>EN-41B</t>
  </si>
  <si>
    <t>POLDI</t>
  </si>
  <si>
    <t>EN-8</t>
  </si>
  <si>
    <t>POSCO</t>
  </si>
  <si>
    <t>EN-9</t>
  </si>
  <si>
    <t>POWMEX</t>
  </si>
  <si>
    <t>GUN METAL</t>
  </si>
  <si>
    <t>RAVNE</t>
  </si>
  <si>
    <t>INSERTS</t>
  </si>
  <si>
    <t>REMI</t>
  </si>
  <si>
    <t>SAIL</t>
  </si>
  <si>
    <t>MACHINE</t>
  </si>
  <si>
    <t>SANYO</t>
  </si>
  <si>
    <t>MS</t>
  </si>
  <si>
    <t>SCRAP</t>
  </si>
  <si>
    <t>NAK-80</t>
  </si>
  <si>
    <t>SDF</t>
  </si>
  <si>
    <t>SEAH</t>
  </si>
  <si>
    <t>SHARU</t>
  </si>
  <si>
    <t>QDN</t>
  </si>
  <si>
    <t>SHORT PC</t>
  </si>
  <si>
    <t>SKW</t>
  </si>
  <si>
    <t>S-700MC</t>
  </si>
  <si>
    <t>SSAB</t>
  </si>
  <si>
    <t>SAE 52100</t>
  </si>
  <si>
    <t>SUNFLAG</t>
  </si>
  <si>
    <t>SAE-8620</t>
  </si>
  <si>
    <t>TG</t>
  </si>
  <si>
    <t>TOOLMAN</t>
  </si>
  <si>
    <t>SR-4</t>
  </si>
  <si>
    <t>UNIWAY</t>
  </si>
  <si>
    <t>UTTAM</t>
  </si>
  <si>
    <t>VALIN</t>
  </si>
  <si>
    <t>VERONA</t>
  </si>
  <si>
    <t>VILLARES</t>
  </si>
  <si>
    <t>VISL</t>
  </si>
  <si>
    <t>Cr12Mov</t>
  </si>
  <si>
    <t>VSP</t>
  </si>
  <si>
    <t>XINGCHENG</t>
  </si>
  <si>
    <t>ZUHONG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</si>
</sst>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00"/>
    <numFmt numFmtId="181" formatCode="[$-14009]dd/mm/yyyy;@"/>
    <numFmt numFmtId="182" formatCode="dd/mm/yy"/>
    <numFmt numFmtId="183" formatCode="[$-14009]dd/mm/yy;@"/>
    <numFmt numFmtId="184" formatCode="mmm/yy"/>
    <numFmt numFmtId="185" formatCode="dd/mm/yyyy"/>
    <numFmt numFmtId="186" formatCode="0_ "/>
    <numFmt numFmtId="187" formatCode="0.000"/>
    <numFmt numFmtId="188" formatCode="0.0"/>
    <numFmt numFmtId="189" formatCode="mm/dd/yy"/>
    <numFmt numFmtId="190" formatCode="dd/mmm/yy"/>
    <numFmt numFmtId="191" formatCode="[$-24009]m/d/yy;@"/>
    <numFmt numFmtId="192" formatCode="mm/dd/yyyy"/>
    <numFmt numFmtId="193" formatCode="###0"/>
    <numFmt numFmtId="194" formatCode="_(* #,##0_);_(* \(#,##0\);_(* &quot;-&quot;??_);_(@_)"/>
  </numFmts>
  <fonts count="6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b/>
      <sz val="11"/>
      <color rgb="FF000000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000000"/>
      <name val="Arial"/>
      <charset val="134"/>
    </font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"/>
      <name val="Arial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name val="Arial"/>
      <charset val="134"/>
    </font>
    <font>
      <sz val="10"/>
      <color indexed="8"/>
      <name val="Arial"/>
      <charset val="134"/>
    </font>
    <font>
      <b/>
      <sz val="12"/>
      <color theme="1"/>
      <name val="Calibri"/>
      <charset val="134"/>
      <scheme val="minor"/>
    </font>
    <font>
      <sz val="11"/>
      <color rgb="FF222222"/>
      <name val="Calibri"/>
      <charset val="134"/>
    </font>
    <font>
      <sz val="11"/>
      <color rgb="FFFF0000"/>
      <name val="Calibri"/>
      <charset val="134"/>
      <scheme val="minor"/>
    </font>
    <font>
      <sz val="11"/>
      <color rgb="FFFF0000"/>
      <name val="Arial"/>
      <charset val="134"/>
    </font>
    <font>
      <sz val="12"/>
      <name val="Times New Roman"/>
      <charset val="134"/>
    </font>
    <font>
      <sz val="11"/>
      <color theme="1"/>
      <name val="微软雅黑"/>
      <charset val="134"/>
    </font>
    <font>
      <sz val="12"/>
      <name val="Calibri"/>
      <charset val="134"/>
    </font>
    <font>
      <sz val="12"/>
      <name val="Calibri"/>
      <charset val="134"/>
      <scheme val="minor"/>
    </font>
    <font>
      <sz val="9"/>
      <color theme="1"/>
      <name val="Arial"/>
      <charset val="134"/>
    </font>
    <font>
      <sz val="9"/>
      <name val="Arial"/>
      <charset val="134"/>
    </font>
    <font>
      <u/>
      <sz val="11"/>
      <color theme="10"/>
      <name val="Calibri"/>
      <charset val="134"/>
      <scheme val="minor"/>
    </font>
    <font>
      <sz val="12"/>
      <color rgb="FFFF000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0"/>
      <color rgb="FFFF0000"/>
      <name val="Arial"/>
      <charset val="134"/>
    </font>
    <font>
      <sz val="12"/>
      <name val="Arial"/>
      <charset val="134"/>
    </font>
    <font>
      <b/>
      <sz val="11"/>
      <color rgb="FFFF0000"/>
      <name val="Calibri"/>
      <charset val="134"/>
      <scheme val="minor"/>
    </font>
    <font>
      <sz val="12"/>
      <color rgb="FF000000"/>
      <name val="Arial"/>
      <charset val="134"/>
    </font>
    <font>
      <b/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.5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宋体"/>
      <charset val="134"/>
    </font>
    <font>
      <sz val="9"/>
      <name val="Tahoma"/>
      <charset val="134"/>
    </font>
    <font>
      <b/>
      <sz val="9"/>
      <name val="Tahoma"/>
      <charset val="134"/>
    </font>
    <font>
      <sz val="11"/>
      <name val="Tahoma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4553A"/>
        <bgColor rgb="FFF4553A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4" fillId="9" borderId="22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1" fillId="0" borderId="24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10" borderId="25" applyNumberFormat="0" applyAlignment="0" applyProtection="0">
      <alignment vertical="center"/>
    </xf>
    <xf numFmtId="0" fontId="53" fillId="11" borderId="26" applyNumberFormat="0" applyAlignment="0" applyProtection="0">
      <alignment vertical="center"/>
    </xf>
    <xf numFmtId="0" fontId="54" fillId="11" borderId="25" applyNumberFormat="0" applyAlignment="0" applyProtection="0">
      <alignment vertical="center"/>
    </xf>
    <xf numFmtId="0" fontId="55" fillId="12" borderId="27" applyNumberFormat="0" applyAlignment="0" applyProtection="0">
      <alignment vertical="center"/>
    </xf>
    <xf numFmtId="0" fontId="56" fillId="0" borderId="28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2" fillId="38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3" fillId="0" borderId="0">
      <alignment vertical="center"/>
    </xf>
  </cellStyleXfs>
  <cellXfs count="49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80" fontId="2" fillId="3" borderId="2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" fillId="4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5" fillId="0" borderId="0" xfId="49"/>
    <xf numFmtId="0" fontId="6" fillId="5" borderId="1" xfId="49" applyFont="1" applyFill="1" applyBorder="1" applyAlignment="1">
      <alignment horizontal="left" vertical="top"/>
    </xf>
    <xf numFmtId="0" fontId="6" fillId="5" borderId="1" xfId="50" applyFont="1" applyFill="1" applyBorder="1" applyAlignment="1">
      <alignment horizontal="left" vertical="top"/>
    </xf>
    <xf numFmtId="0" fontId="0" fillId="5" borderId="1" xfId="0" applyFill="1" applyBorder="1"/>
    <xf numFmtId="0" fontId="0" fillId="0" borderId="1" xfId="0" applyBorder="1"/>
    <xf numFmtId="0" fontId="0" fillId="5" borderId="1" xfId="0" applyFill="1" applyBorder="1" applyAlignment="1">
      <alignment horizontal="center"/>
    </xf>
    <xf numFmtId="0" fontId="7" fillId="0" borderId="0" xfId="0" applyFont="1"/>
    <xf numFmtId="0" fontId="7" fillId="5" borderId="0" xfId="0" applyFont="1" applyFill="1"/>
    <xf numFmtId="0" fontId="0" fillId="5" borderId="4" xfId="0" applyFill="1" applyBorder="1"/>
    <xf numFmtId="0" fontId="0" fillId="5" borderId="1" xfId="0" applyFill="1" applyBorder="1" applyAlignment="1">
      <alignment vertical="center"/>
    </xf>
    <xf numFmtId="0" fontId="0" fillId="0" borderId="1" xfId="0" applyFill="1" applyBorder="1"/>
    <xf numFmtId="0" fontId="0" fillId="5" borderId="0" xfId="0" applyFill="1"/>
    <xf numFmtId="0" fontId="0" fillId="5" borderId="1" xfId="0" applyFont="1" applyFill="1" applyBorder="1"/>
    <xf numFmtId="0" fontId="0" fillId="0" borderId="0" xfId="0" applyAlignment="1">
      <alignment horizontal="left"/>
    </xf>
    <xf numFmtId="0" fontId="8" fillId="0" borderId="5" xfId="49" applyFont="1" applyBorder="1"/>
    <xf numFmtId="0" fontId="9" fillId="0" borderId="5" xfId="49" applyFont="1" applyBorder="1"/>
    <xf numFmtId="181" fontId="9" fillId="0" borderId="5" xfId="49" applyNumberFormat="1" applyFont="1" applyBorder="1"/>
    <xf numFmtId="0" fontId="9" fillId="6" borderId="5" xfId="49" applyFont="1" applyFill="1" applyBorder="1"/>
    <xf numFmtId="0" fontId="9" fillId="0" borderId="5" xfId="49" applyFont="1" applyBorder="1" applyAlignment="1">
      <alignment horizontal="left"/>
    </xf>
    <xf numFmtId="0" fontId="9" fillId="7" borderId="5" xfId="49" applyFont="1" applyFill="1" applyBorder="1"/>
    <xf numFmtId="181" fontId="9" fillId="0" borderId="5" xfId="49" applyNumberFormat="1" applyFont="1" applyBorder="1" applyAlignment="1">
      <alignment horizontal="left"/>
    </xf>
    <xf numFmtId="0" fontId="6" fillId="5" borderId="6" xfId="49" applyFont="1" applyFill="1" applyBorder="1" applyAlignment="1">
      <alignment horizontal="center" vertical="top"/>
    </xf>
    <xf numFmtId="182" fontId="6" fillId="5" borderId="1" xfId="49" applyNumberFormat="1" applyFont="1" applyFill="1" applyBorder="1" applyAlignment="1">
      <alignment horizontal="center" vertical="top"/>
    </xf>
    <xf numFmtId="0" fontId="6" fillId="5" borderId="5" xfId="49" applyFont="1" applyFill="1" applyBorder="1" applyAlignment="1">
      <alignment horizontal="left" vertical="top"/>
    </xf>
    <xf numFmtId="0" fontId="6" fillId="5" borderId="1" xfId="49" applyFont="1" applyFill="1" applyBorder="1" applyAlignment="1">
      <alignment horizontal="center" vertical="top"/>
    </xf>
    <xf numFmtId="0" fontId="6" fillId="5" borderId="5" xfId="49" applyFont="1" applyFill="1" applyBorder="1" applyAlignment="1">
      <alignment horizontal="center" vertical="center"/>
    </xf>
    <xf numFmtId="183" fontId="6" fillId="5" borderId="1" xfId="49" applyNumberFormat="1" applyFont="1" applyFill="1" applyBorder="1" applyAlignment="1">
      <alignment horizontal="left" vertical="top"/>
    </xf>
    <xf numFmtId="184" fontId="6" fillId="5" borderId="1" xfId="49" applyNumberFormat="1" applyFont="1" applyFill="1" applyBorder="1" applyAlignment="1">
      <alignment horizontal="left" vertical="top"/>
    </xf>
    <xf numFmtId="182" fontId="6" fillId="5" borderId="1" xfId="49" applyNumberFormat="1" applyFont="1" applyFill="1" applyBorder="1" applyAlignment="1">
      <alignment horizontal="left" vertical="top"/>
    </xf>
    <xf numFmtId="0" fontId="6" fillId="5" borderId="1" xfId="49" applyFont="1" applyFill="1" applyBorder="1" applyAlignment="1">
      <alignment horizontal="right" vertical="top"/>
    </xf>
    <xf numFmtId="0" fontId="6" fillId="5" borderId="7" xfId="49" applyFont="1" applyFill="1" applyBorder="1" applyAlignment="1">
      <alignment horizontal="left" vertical="top"/>
    </xf>
    <xf numFmtId="0" fontId="6" fillId="5" borderId="0" xfId="49" applyFont="1" applyFill="1" applyAlignment="1">
      <alignment horizontal="left" vertical="top"/>
    </xf>
    <xf numFmtId="0" fontId="6" fillId="5" borderId="1" xfId="50" applyFont="1" applyFill="1" applyBorder="1" applyAlignment="1">
      <alignment horizontal="center" vertical="top"/>
    </xf>
    <xf numFmtId="182" fontId="6" fillId="5" borderId="1" xfId="50" applyNumberFormat="1" applyFont="1" applyFill="1" applyBorder="1" applyAlignment="1">
      <alignment horizontal="left" vertical="top"/>
    </xf>
    <xf numFmtId="0" fontId="6" fillId="5" borderId="1" xfId="50" applyFont="1" applyFill="1" applyBorder="1" applyAlignment="1">
      <alignment horizontal="right" vertical="top"/>
    </xf>
    <xf numFmtId="181" fontId="6" fillId="5" borderId="1" xfId="50" applyNumberFormat="1" applyFont="1" applyFill="1" applyBorder="1" applyAlignment="1">
      <alignment horizontal="left" vertical="top"/>
    </xf>
    <xf numFmtId="184" fontId="6" fillId="5" borderId="1" xfId="50" applyNumberFormat="1" applyFont="1" applyFill="1" applyBorder="1" applyAlignment="1">
      <alignment horizontal="left" vertical="top"/>
    </xf>
    <xf numFmtId="185" fontId="6" fillId="5" borderId="1" xfId="50" applyNumberFormat="1" applyFont="1" applyFill="1" applyBorder="1" applyAlignment="1">
      <alignment horizontal="center" vertical="top"/>
    </xf>
    <xf numFmtId="0" fontId="7" fillId="5" borderId="1" xfId="50" applyFont="1" applyFill="1" applyBorder="1" applyAlignment="1">
      <alignment horizontal="left" vertical="center"/>
    </xf>
    <xf numFmtId="0" fontId="7" fillId="5" borderId="1" xfId="50" applyFont="1" applyFill="1" applyBorder="1" applyAlignment="1">
      <alignment horizontal="right" vertical="center"/>
    </xf>
    <xf numFmtId="186" fontId="7" fillId="5" borderId="1" xfId="50" applyNumberFormat="1" applyFont="1" applyFill="1" applyBorder="1" applyAlignment="1">
      <alignment horizontal="left" vertical="center"/>
    </xf>
    <xf numFmtId="186" fontId="10" fillId="5" borderId="1" xfId="50" applyNumberFormat="1" applyFont="1" applyFill="1" applyBorder="1" applyAlignment="1">
      <alignment horizontal="left" vertical="center"/>
    </xf>
    <xf numFmtId="187" fontId="6" fillId="5" borderId="1" xfId="50" applyNumberFormat="1" applyFont="1" applyFill="1" applyBorder="1" applyAlignment="1">
      <alignment horizontal="center" vertical="top"/>
    </xf>
    <xf numFmtId="182" fontId="6" fillId="5" borderId="1" xfId="50" applyNumberFormat="1" applyFont="1" applyFill="1" applyBorder="1" applyAlignment="1">
      <alignment horizontal="center" vertical="center"/>
    </xf>
    <xf numFmtId="0" fontId="6" fillId="5" borderId="1" xfId="50" applyFont="1" applyFill="1" applyBorder="1" applyAlignment="1">
      <alignment horizontal="center" vertical="center"/>
    </xf>
    <xf numFmtId="183" fontId="6" fillId="5" borderId="1" xfId="50" applyNumberFormat="1" applyFont="1" applyFill="1" applyBorder="1" applyAlignment="1">
      <alignment horizontal="center" vertical="top"/>
    </xf>
    <xf numFmtId="185" fontId="6" fillId="5" borderId="1" xfId="50" applyNumberFormat="1" applyFont="1" applyFill="1" applyBorder="1" applyAlignment="1">
      <alignment horizontal="left" vertical="top"/>
    </xf>
    <xf numFmtId="185" fontId="6" fillId="5" borderId="1" xfId="49" applyNumberFormat="1" applyFont="1" applyFill="1" applyBorder="1" applyAlignment="1">
      <alignment horizontal="left" vertical="top"/>
    </xf>
    <xf numFmtId="188" fontId="6" fillId="5" borderId="1" xfId="50" applyNumberFormat="1" applyFont="1" applyFill="1" applyBorder="1" applyAlignment="1">
      <alignment horizontal="center" vertical="center"/>
    </xf>
    <xf numFmtId="1" fontId="6" fillId="5" borderId="1" xfId="50" applyNumberFormat="1" applyFont="1" applyFill="1" applyBorder="1" applyAlignment="1">
      <alignment horizontal="left" vertical="top"/>
    </xf>
    <xf numFmtId="182" fontId="0" fillId="5" borderId="1" xfId="0" applyNumberFormat="1" applyFill="1" applyBorder="1"/>
    <xf numFmtId="0" fontId="0" fillId="5" borderId="1" xfId="0" applyFill="1" applyBorder="1" applyAlignment="1">
      <alignment horizontal="right"/>
    </xf>
    <xf numFmtId="182" fontId="0" fillId="5" borderId="1" xfId="0" applyNumberFormat="1" applyFill="1" applyBorder="1" applyAlignment="1">
      <alignment horizontal="left"/>
    </xf>
    <xf numFmtId="185" fontId="0" fillId="5" borderId="1" xfId="0" applyNumberFormat="1" applyFill="1" applyBorder="1"/>
    <xf numFmtId="184" fontId="0" fillId="5" borderId="1" xfId="0" applyNumberFormat="1" applyFill="1" applyBorder="1"/>
    <xf numFmtId="0" fontId="8" fillId="5" borderId="1" xfId="0" applyFont="1" applyFill="1" applyBorder="1" applyAlignment="1">
      <alignment horizontal="right" vertical="center" wrapText="1"/>
    </xf>
    <xf numFmtId="0" fontId="11" fillId="5" borderId="1" xfId="0" applyFont="1" applyFill="1" applyBorder="1" applyAlignment="1">
      <alignment horizontal="right"/>
    </xf>
    <xf numFmtId="0" fontId="11" fillId="5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right" vertical="center"/>
    </xf>
    <xf numFmtId="0" fontId="11" fillId="5" borderId="1" xfId="58" applyFont="1" applyFill="1" applyBorder="1" applyAlignment="1">
      <alignment horizontal="right" vertical="center"/>
    </xf>
    <xf numFmtId="0" fontId="0" fillId="0" borderId="1" xfId="0" applyBorder="1" applyAlignment="1">
      <alignment horizontal="center"/>
    </xf>
    <xf numFmtId="182" fontId="0" fillId="0" borderId="1" xfId="0" applyNumberFormat="1" applyBorder="1"/>
    <xf numFmtId="0" fontId="0" fillId="0" borderId="1" xfId="0" applyBorder="1" applyAlignment="1">
      <alignment horizontal="right"/>
    </xf>
    <xf numFmtId="0" fontId="11" fillId="0" borderId="1" xfId="58" applyFont="1" applyBorder="1" applyAlignment="1">
      <alignment horizontal="right" vertical="center"/>
    </xf>
    <xf numFmtId="0" fontId="11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right" vertical="center"/>
    </xf>
    <xf numFmtId="182" fontId="0" fillId="0" borderId="1" xfId="0" applyNumberFormat="1" applyBorder="1" applyAlignment="1">
      <alignment horizontal="left"/>
    </xf>
    <xf numFmtId="0" fontId="11" fillId="5" borderId="1" xfId="57" applyFont="1" applyFill="1" applyBorder="1" applyAlignment="1">
      <alignment horizontal="center" vertical="center"/>
    </xf>
    <xf numFmtId="0" fontId="11" fillId="0" borderId="1" xfId="57" applyFont="1" applyBorder="1" applyAlignment="1">
      <alignment horizontal="center" vertical="center"/>
    </xf>
    <xf numFmtId="1" fontId="11" fillId="5" borderId="1" xfId="0" applyNumberFormat="1" applyFont="1" applyFill="1" applyBorder="1" applyAlignment="1">
      <alignment horizontal="center"/>
    </xf>
    <xf numFmtId="1" fontId="11" fillId="5" borderId="1" xfId="0" applyNumberFormat="1" applyFont="1" applyFill="1" applyBorder="1" applyAlignment="1">
      <alignment horizontal="right"/>
    </xf>
    <xf numFmtId="0" fontId="6" fillId="0" borderId="1" xfId="50" applyFont="1" applyBorder="1" applyAlignment="1">
      <alignment horizontal="right" vertical="top"/>
    </xf>
    <xf numFmtId="185" fontId="11" fillId="5" borderId="1" xfId="0" applyNumberFormat="1" applyFont="1" applyFill="1" applyBorder="1" applyAlignment="1">
      <alignment horizontal="right"/>
    </xf>
    <xf numFmtId="0" fontId="11" fillId="5" borderId="1" xfId="0" applyFont="1" applyFill="1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5" borderId="1" xfId="5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1" fontId="0" fillId="5" borderId="9" xfId="0" applyNumberFormat="1" applyFill="1" applyBorder="1" applyAlignment="1">
      <alignment horizontal="center"/>
    </xf>
    <xf numFmtId="1" fontId="0" fillId="5" borderId="1" xfId="0" applyNumberFormat="1" applyFill="1" applyBorder="1"/>
    <xf numFmtId="0" fontId="10" fillId="5" borderId="1" xfId="0" applyFont="1" applyFill="1" applyBorder="1" applyAlignment="1">
      <alignment horizontal="center" vertical="center"/>
    </xf>
    <xf numFmtId="186" fontId="10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1" fontId="0" fillId="5" borderId="8" xfId="0" applyNumberFormat="1" applyFill="1" applyBorder="1" applyAlignment="1">
      <alignment horizontal="right"/>
    </xf>
    <xf numFmtId="182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5" borderId="10" xfId="0" applyFill="1" applyBorder="1"/>
    <xf numFmtId="0" fontId="0" fillId="5" borderId="6" xfId="0" applyFill="1" applyBorder="1"/>
    <xf numFmtId="0" fontId="6" fillId="5" borderId="1" xfId="0" applyFont="1" applyFill="1" applyBorder="1" applyAlignment="1">
      <alignment horizontal="center" vertical="top"/>
    </xf>
    <xf numFmtId="0" fontId="10" fillId="5" borderId="1" xfId="0" applyFont="1" applyFill="1" applyBorder="1" applyAlignment="1">
      <alignment vertical="center"/>
    </xf>
    <xf numFmtId="1" fontId="2" fillId="5" borderId="1" xfId="0" applyNumberFormat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/>
    </xf>
    <xf numFmtId="10" fontId="0" fillId="5" borderId="1" xfId="0" applyNumberFormat="1" applyFill="1" applyBorder="1"/>
    <xf numFmtId="183" fontId="0" fillId="5" borderId="1" xfId="0" applyNumberFormat="1" applyFill="1" applyBorder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/>
    <xf numFmtId="184" fontId="0" fillId="0" borderId="1" xfId="0" applyNumberFormat="1" applyBorder="1"/>
    <xf numFmtId="0" fontId="13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1" fontId="2" fillId="5" borderId="8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top"/>
    </xf>
    <xf numFmtId="0" fontId="15" fillId="5" borderId="1" xfId="0" applyFont="1" applyFill="1" applyBorder="1" applyAlignment="1">
      <alignment vertical="top"/>
    </xf>
    <xf numFmtId="0" fontId="0" fillId="5" borderId="1" xfId="0" applyFill="1" applyBorder="1" applyAlignment="1">
      <alignment vertical="top"/>
    </xf>
    <xf numFmtId="180" fontId="0" fillId="5" borderId="1" xfId="0" applyNumberFormat="1" applyFill="1" applyBorder="1" applyAlignment="1">
      <alignment horizontal="center"/>
    </xf>
    <xf numFmtId="0" fontId="13" fillId="5" borderId="8" xfId="0" applyFont="1" applyFill="1" applyBorder="1" applyAlignment="1">
      <alignment horizontal="center" vertical="center"/>
    </xf>
    <xf numFmtId="0" fontId="0" fillId="5" borderId="12" xfId="0" applyFill="1" applyBorder="1"/>
    <xf numFmtId="1" fontId="0" fillId="5" borderId="9" xfId="0" applyNumberFormat="1" applyFill="1" applyBorder="1" applyAlignment="1">
      <alignment horizontal="right"/>
    </xf>
    <xf numFmtId="1" fontId="0" fillId="5" borderId="12" xfId="0" applyNumberFormat="1" applyFill="1" applyBorder="1" applyAlignment="1">
      <alignment horizontal="right"/>
    </xf>
    <xf numFmtId="0" fontId="0" fillId="5" borderId="11" xfId="0" applyFill="1" applyBorder="1" applyAlignment="1">
      <alignment horizontal="center"/>
    </xf>
    <xf numFmtId="0" fontId="12" fillId="5" borderId="11" xfId="0" applyFont="1" applyFill="1" applyBorder="1" applyAlignment="1">
      <alignment horizontal="center"/>
    </xf>
    <xf numFmtId="0" fontId="8" fillId="5" borderId="1" xfId="0" applyFont="1" applyFill="1" applyBorder="1"/>
    <xf numFmtId="0" fontId="12" fillId="5" borderId="1" xfId="0" applyFont="1" applyFill="1" applyBorder="1" applyAlignment="1">
      <alignment horizontal="center"/>
    </xf>
    <xf numFmtId="0" fontId="10" fillId="5" borderId="13" xfId="0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right" vertical="center"/>
    </xf>
    <xf numFmtId="182" fontId="0" fillId="0" borderId="1" xfId="0" applyNumberForma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0" fillId="0" borderId="1" xfId="0" applyBorder="1" applyAlignment="1">
      <alignment horizontal="left"/>
    </xf>
    <xf numFmtId="183" fontId="0" fillId="0" borderId="1" xfId="0" applyNumberFormat="1" applyBorder="1"/>
    <xf numFmtId="0" fontId="16" fillId="0" borderId="1" xfId="0" applyFont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180" fontId="0" fillId="5" borderId="4" xfId="0" applyNumberFormat="1" applyFill="1" applyBorder="1" applyAlignment="1">
      <alignment horizontal="center"/>
    </xf>
    <xf numFmtId="0" fontId="0" fillId="5" borderId="11" xfId="0" applyFill="1" applyBorder="1"/>
    <xf numFmtId="0" fontId="0" fillId="5" borderId="6" xfId="0" applyFill="1" applyBorder="1" applyAlignment="1">
      <alignment horizontal="center"/>
    </xf>
    <xf numFmtId="184" fontId="0" fillId="5" borderId="1" xfId="0" applyNumberFormat="1" applyFill="1" applyBorder="1" applyAlignment="1">
      <alignment horizontal="right"/>
    </xf>
    <xf numFmtId="1" fontId="0" fillId="5" borderId="8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186" fontId="10" fillId="5" borderId="6" xfId="0" applyNumberFormat="1" applyFont="1" applyFill="1" applyBorder="1" applyAlignment="1">
      <alignment horizontal="center" vertical="center"/>
    </xf>
    <xf numFmtId="2" fontId="0" fillId="5" borderId="14" xfId="0" applyNumberFormat="1" applyFill="1" applyBorder="1"/>
    <xf numFmtId="2" fontId="0" fillId="0" borderId="14" xfId="0" applyNumberFormat="1" applyBorder="1"/>
    <xf numFmtId="0" fontId="0" fillId="5" borderId="8" xfId="0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8" xfId="0" applyBorder="1" applyAlignment="1">
      <alignment horizontal="right"/>
    </xf>
    <xf numFmtId="0" fontId="17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1" fontId="0" fillId="5" borderId="4" xfId="0" applyNumberFormat="1" applyFill="1" applyBorder="1" applyAlignment="1">
      <alignment horizontal="center"/>
    </xf>
    <xf numFmtId="0" fontId="19" fillId="5" borderId="8" xfId="0" applyFont="1" applyFill="1" applyBorder="1" applyAlignment="1">
      <alignment horizontal="center"/>
    </xf>
    <xf numFmtId="0" fontId="19" fillId="5" borderId="1" xfId="0" applyFon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1" fontId="0" fillId="5" borderId="11" xfId="0" applyNumberFormat="1" applyFill="1" applyBorder="1" applyAlignment="1">
      <alignment horizontal="center"/>
    </xf>
    <xf numFmtId="0" fontId="19" fillId="5" borderId="1" xfId="0" applyFont="1" applyFill="1" applyBorder="1" applyAlignment="1">
      <alignment horizontal="center"/>
    </xf>
    <xf numFmtId="0" fontId="19" fillId="5" borderId="11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19" fillId="5" borderId="15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49" fontId="20" fillId="5" borderId="1" xfId="51" applyNumberFormat="1" applyFont="1" applyFill="1" applyBorder="1" applyAlignment="1">
      <alignment horizontal="center"/>
    </xf>
    <xf numFmtId="0" fontId="20" fillId="5" borderId="1" xfId="51" applyFont="1" applyFill="1" applyBorder="1" applyAlignment="1">
      <alignment horizontal="center" vertical="center"/>
    </xf>
    <xf numFmtId="49" fontId="20" fillId="5" borderId="1" xfId="51" applyNumberFormat="1" applyFont="1" applyFill="1" applyBorder="1" applyAlignment="1">
      <alignment horizontal="center" vertical="center"/>
    </xf>
    <xf numFmtId="49" fontId="20" fillId="0" borderId="1" xfId="51" applyNumberFormat="1" applyFont="1" applyBorder="1" applyAlignment="1">
      <alignment horizontal="center"/>
    </xf>
    <xf numFmtId="49" fontId="20" fillId="0" borderId="1" xfId="51" applyNumberFormat="1" applyFont="1" applyBorder="1" applyAlignment="1">
      <alignment horizontal="center" vertical="center"/>
    </xf>
    <xf numFmtId="0" fontId="0" fillId="0" borderId="4" xfId="0" applyBorder="1"/>
    <xf numFmtId="0" fontId="0" fillId="5" borderId="16" xfId="0" applyFill="1" applyBorder="1" applyAlignment="1">
      <alignment horizontal="center"/>
    </xf>
    <xf numFmtId="0" fontId="0" fillId="5" borderId="8" xfId="0" applyFont="1" applyFill="1" applyBorder="1" applyAlignment="1">
      <alignment horizontal="center" vertical="center"/>
    </xf>
    <xf numFmtId="49" fontId="20" fillId="0" borderId="13" xfId="51" applyNumberFormat="1" applyFont="1" applyBorder="1" applyAlignment="1">
      <alignment horizontal="center"/>
    </xf>
    <xf numFmtId="49" fontId="20" fillId="5" borderId="13" xfId="51" applyNumberFormat="1" applyFont="1" applyFill="1" applyBorder="1" applyAlignment="1">
      <alignment horizontal="center"/>
    </xf>
    <xf numFmtId="0" fontId="19" fillId="5" borderId="13" xfId="0" applyFont="1" applyFill="1" applyBorder="1" applyAlignment="1">
      <alignment horizontal="center"/>
    </xf>
    <xf numFmtId="1" fontId="0" fillId="5" borderId="4" xfId="0" applyNumberFormat="1" applyFill="1" applyBorder="1" applyAlignment="1">
      <alignment horizontal="center" vertical="center"/>
    </xf>
    <xf numFmtId="0" fontId="0" fillId="5" borderId="1" xfId="51" applyFill="1" applyBorder="1" applyAlignment="1">
      <alignment horizontal="center"/>
    </xf>
    <xf numFmtId="0" fontId="0" fillId="5" borderId="1" xfId="51" applyFill="1" applyBorder="1" applyAlignment="1">
      <alignment horizontal="center" vertical="center"/>
    </xf>
    <xf numFmtId="182" fontId="0" fillId="5" borderId="1" xfId="0" applyNumberForma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0" fontId="0" fillId="5" borderId="13" xfId="0" applyFill="1" applyBorder="1"/>
    <xf numFmtId="183" fontId="0" fillId="5" borderId="1" xfId="0" applyNumberForma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/>
    </xf>
    <xf numFmtId="49" fontId="0" fillId="5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83" fontId="0" fillId="0" borderId="1" xfId="0" applyNumberFormat="1" applyBorder="1" applyAlignment="1">
      <alignment horizontal="center"/>
    </xf>
    <xf numFmtId="0" fontId="0" fillId="5" borderId="1" xfId="50" applyFill="1" applyBorder="1" applyAlignment="1">
      <alignment horizontal="center" vertical="center"/>
    </xf>
    <xf numFmtId="0" fontId="0" fillId="5" borderId="13" xfId="0" applyFill="1" applyBorder="1" applyAlignment="1">
      <alignment horizontal="right"/>
    </xf>
    <xf numFmtId="1" fontId="2" fillId="5" borderId="1" xfId="0" applyNumberFormat="1" applyFont="1" applyFill="1" applyBorder="1" applyAlignment="1">
      <alignment vertical="center"/>
    </xf>
    <xf numFmtId="0" fontId="0" fillId="5" borderId="1" xfId="50" applyFill="1" applyBorder="1"/>
    <xf numFmtId="0" fontId="0" fillId="5" borderId="8" xfId="50" applyFill="1" applyBorder="1" applyAlignment="1">
      <alignment horizontal="center" vertical="center"/>
    </xf>
    <xf numFmtId="0" fontId="0" fillId="5" borderId="8" xfId="0" applyFill="1" applyBorder="1"/>
    <xf numFmtId="0" fontId="0" fillId="5" borderId="8" xfId="0" applyFill="1" applyBorder="1" applyAlignment="1">
      <alignment horizontal="left"/>
    </xf>
    <xf numFmtId="183" fontId="0" fillId="5" borderId="8" xfId="0" applyNumberFormat="1" applyFill="1" applyBorder="1" applyAlignment="1">
      <alignment horizontal="center"/>
    </xf>
    <xf numFmtId="184" fontId="0" fillId="5" borderId="8" xfId="0" applyNumberFormat="1" applyFill="1" applyBorder="1"/>
    <xf numFmtId="0" fontId="0" fillId="0" borderId="8" xfId="0" applyBorder="1" applyAlignment="1">
      <alignment horizontal="center"/>
    </xf>
    <xf numFmtId="0" fontId="0" fillId="0" borderId="8" xfId="50" applyBorder="1" applyAlignment="1">
      <alignment horizontal="center" vertical="center"/>
    </xf>
    <xf numFmtId="1" fontId="0" fillId="0" borderId="8" xfId="0" applyNumberFormat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left"/>
    </xf>
    <xf numFmtId="183" fontId="0" fillId="0" borderId="8" xfId="0" applyNumberFormat="1" applyBorder="1" applyAlignment="1">
      <alignment horizontal="center"/>
    </xf>
    <xf numFmtId="184" fontId="0" fillId="0" borderId="8" xfId="0" applyNumberFormat="1" applyBorder="1"/>
    <xf numFmtId="185" fontId="0" fillId="0" borderId="1" xfId="0" applyNumberFormat="1" applyBorder="1"/>
    <xf numFmtId="182" fontId="0" fillId="5" borderId="8" xfId="0" applyNumberFormat="1" applyFill="1" applyBorder="1"/>
    <xf numFmtId="189" fontId="0" fillId="5" borderId="1" xfId="0" applyNumberFormat="1" applyFill="1" applyBorder="1" applyAlignment="1">
      <alignment horizontal="left"/>
    </xf>
    <xf numFmtId="182" fontId="0" fillId="0" borderId="1" xfId="0" applyNumberFormat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22" fillId="5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right" vertical="top"/>
    </xf>
    <xf numFmtId="185" fontId="0" fillId="5" borderId="1" xfId="0" applyNumberFormat="1" applyFill="1" applyBorder="1" applyAlignment="1">
      <alignment horizontal="left"/>
    </xf>
    <xf numFmtId="0" fontId="6" fillId="0" borderId="1" xfId="0" applyFont="1" applyBorder="1" applyAlignment="1">
      <alignment horizontal="right" vertical="top"/>
    </xf>
    <xf numFmtId="190" fontId="0" fillId="5" borderId="1" xfId="0" applyNumberFormat="1" applyFill="1" applyBorder="1" applyAlignment="1">
      <alignment horizontal="center"/>
    </xf>
    <xf numFmtId="190" fontId="0" fillId="5" borderId="1" xfId="0" applyNumberFormat="1" applyFill="1" applyBorder="1" applyAlignment="1">
      <alignment horizontal="center" vertical="center"/>
    </xf>
    <xf numFmtId="189" fontId="0" fillId="5" borderId="1" xfId="0" applyNumberFormat="1" applyFill="1" applyBorder="1"/>
    <xf numFmtId="189" fontId="0" fillId="5" borderId="1" xfId="0" applyNumberFormat="1" applyFill="1" applyBorder="1" applyAlignment="1">
      <alignment horizontal="center" vertical="center"/>
    </xf>
    <xf numFmtId="189" fontId="0" fillId="5" borderId="1" xfId="0" applyNumberFormat="1" applyFill="1" applyBorder="1" applyAlignment="1">
      <alignment horizontal="right"/>
    </xf>
    <xf numFmtId="189" fontId="0" fillId="0" borderId="1" xfId="0" applyNumberFormat="1" applyBorder="1" applyAlignment="1">
      <alignment horizontal="center" vertical="center"/>
    </xf>
    <xf numFmtId="189" fontId="0" fillId="0" borderId="1" xfId="0" applyNumberFormat="1" applyBorder="1" applyAlignment="1">
      <alignment horizontal="center"/>
    </xf>
    <xf numFmtId="189" fontId="0" fillId="0" borderId="1" xfId="0" applyNumberFormat="1" applyBorder="1" applyAlignment="1">
      <alignment horizontal="left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89" fontId="0" fillId="0" borderId="1" xfId="0" applyNumberFormat="1" applyBorder="1"/>
    <xf numFmtId="183" fontId="0" fillId="5" borderId="1" xfId="0" applyNumberFormat="1" applyFill="1" applyBorder="1" applyAlignment="1">
      <alignment horizontal="center" vertical="center"/>
    </xf>
    <xf numFmtId="188" fontId="0" fillId="5" borderId="1" xfId="0" applyNumberFormat="1" applyFill="1" applyBorder="1"/>
    <xf numFmtId="0" fontId="0" fillId="5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center" wrapText="1"/>
    </xf>
    <xf numFmtId="0" fontId="0" fillId="5" borderId="8" xfId="0" applyFill="1" applyBorder="1" applyAlignment="1">
      <alignment vertical="center"/>
    </xf>
    <xf numFmtId="1" fontId="0" fillId="5" borderId="9" xfId="0" applyNumberFormat="1" applyFill="1" applyBorder="1" applyAlignment="1">
      <alignment horizontal="center" vertical="center"/>
    </xf>
    <xf numFmtId="0" fontId="0" fillId="5" borderId="13" xfId="51" applyFill="1" applyBorder="1" applyAlignment="1">
      <alignment horizontal="center"/>
    </xf>
    <xf numFmtId="1" fontId="0" fillId="5" borderId="8" xfId="0" applyNumberFormat="1" applyFill="1" applyBorder="1" applyAlignment="1">
      <alignment horizontal="center" vertical="center"/>
    </xf>
    <xf numFmtId="49" fontId="0" fillId="5" borderId="8" xfId="0" applyNumberFormat="1" applyFill="1" applyBorder="1" applyAlignment="1">
      <alignment horizontal="center"/>
    </xf>
    <xf numFmtId="191" fontId="0" fillId="5" borderId="1" xfId="0" applyNumberFormat="1" applyFill="1" applyBorder="1" applyAlignment="1">
      <alignment horizontal="center" vertical="center"/>
    </xf>
    <xf numFmtId="191" fontId="0" fillId="0" borderId="1" xfId="0" applyNumberFormat="1" applyBorder="1" applyAlignment="1">
      <alignment horizontal="center" vertical="center"/>
    </xf>
    <xf numFmtId="189" fontId="0" fillId="2" borderId="1" xfId="0" applyNumberFormat="1" applyFill="1" applyBorder="1" applyAlignment="1">
      <alignment horizontal="left"/>
    </xf>
    <xf numFmtId="0" fontId="23" fillId="5" borderId="1" xfId="0" applyFont="1" applyFill="1" applyBorder="1" applyAlignment="1">
      <alignment horizontal="center"/>
    </xf>
    <xf numFmtId="0" fontId="0" fillId="5" borderId="4" xfId="0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top" wrapText="1"/>
    </xf>
    <xf numFmtId="0" fontId="19" fillId="5" borderId="1" xfId="0" applyFont="1" applyFill="1" applyBorder="1" applyAlignment="1">
      <alignment horizontal="center" vertical="top" wrapText="1"/>
    </xf>
    <xf numFmtId="0" fontId="7" fillId="5" borderId="10" xfId="0" applyFont="1" applyFill="1" applyBorder="1" applyAlignment="1">
      <alignment horizontal="center" vertical="top" wrapText="1"/>
    </xf>
    <xf numFmtId="0" fontId="19" fillId="5" borderId="4" xfId="0" applyFont="1" applyFill="1" applyBorder="1" applyAlignment="1">
      <alignment horizontal="center" vertical="center"/>
    </xf>
    <xf numFmtId="0" fontId="0" fillId="5" borderId="4" xfId="0" applyFill="1" applyBorder="1" applyAlignment="1">
      <alignment vertical="center"/>
    </xf>
    <xf numFmtId="0" fontId="0" fillId="5" borderId="4" xfId="0" applyFill="1" applyBorder="1" applyAlignment="1">
      <alignment horizontal="right"/>
    </xf>
    <xf numFmtId="0" fontId="19" fillId="5" borderId="13" xfId="0" applyFont="1" applyFill="1" applyBorder="1" applyAlignment="1">
      <alignment horizontal="center" vertical="top" wrapText="1"/>
    </xf>
    <xf numFmtId="0" fontId="24" fillId="5" borderId="13" xfId="0" applyFont="1" applyFill="1" applyBorder="1" applyAlignment="1">
      <alignment horizontal="center" vertical="top" wrapText="1"/>
    </xf>
    <xf numFmtId="0" fontId="24" fillId="5" borderId="1" xfId="0" applyFont="1" applyFill="1" applyBorder="1" applyAlignment="1">
      <alignment horizontal="center" vertical="center"/>
    </xf>
    <xf numFmtId="189" fontId="0" fillId="5" borderId="1" xfId="0" applyNumberFormat="1" applyFill="1" applyBorder="1" applyAlignment="1">
      <alignment horizontal="center"/>
    </xf>
    <xf numFmtId="0" fontId="7" fillId="5" borderId="1" xfId="0" applyFont="1" applyFill="1" applyBorder="1"/>
    <xf numFmtId="0" fontId="10" fillId="5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23" fillId="5" borderId="13" xfId="0" applyFont="1" applyFill="1" applyBorder="1" applyAlignment="1">
      <alignment horizontal="center"/>
    </xf>
    <xf numFmtId="0" fontId="23" fillId="5" borderId="1" xfId="0" applyFont="1" applyFill="1" applyBorder="1" applyAlignment="1">
      <alignment horizontal="center" vertical="center"/>
    </xf>
    <xf numFmtId="0" fontId="25" fillId="5" borderId="17" xfId="0" applyFont="1" applyFill="1" applyBorder="1" applyAlignment="1">
      <alignment horizontal="center" vertical="center"/>
    </xf>
    <xf numFmtId="0" fontId="25" fillId="5" borderId="4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/>
    </xf>
    <xf numFmtId="0" fontId="23" fillId="5" borderId="4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top" wrapText="1"/>
    </xf>
    <xf numFmtId="1" fontId="25" fillId="5" borderId="1" xfId="0" applyNumberFormat="1" applyFont="1" applyFill="1" applyBorder="1" applyAlignment="1">
      <alignment horizontal="center" vertical="center"/>
    </xf>
    <xf numFmtId="182" fontId="0" fillId="5" borderId="1" xfId="0" applyNumberFormat="1" applyFill="1" applyBorder="1" applyAlignment="1" applyProtection="1">
      <alignment horizontal="center" vertical="center"/>
      <protection locked="0"/>
    </xf>
    <xf numFmtId="0" fontId="0" fillId="5" borderId="1" xfId="52" applyFill="1" applyBorder="1" applyAlignment="1">
      <alignment horizontal="center"/>
    </xf>
    <xf numFmtId="0" fontId="27" fillId="5" borderId="1" xfId="0" applyFont="1" applyFill="1" applyBorder="1" applyAlignment="1">
      <alignment horizontal="center" vertical="center"/>
    </xf>
    <xf numFmtId="0" fontId="23" fillId="5" borderId="1" xfId="0" applyFont="1" applyFill="1" applyBorder="1"/>
    <xf numFmtId="0" fontId="28" fillId="5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 vertical="center"/>
    </xf>
    <xf numFmtId="182" fontId="23" fillId="5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0" fillId="5" borderId="8" xfId="0" applyFill="1" applyBorder="1" applyAlignment="1">
      <alignment horizontal="center" vertical="top"/>
    </xf>
    <xf numFmtId="1" fontId="0" fillId="5" borderId="16" xfId="0" applyNumberForma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5" fillId="5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26" fillId="5" borderId="9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6" fillId="5" borderId="8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30" fillId="5" borderId="1" xfId="0" applyFont="1" applyFill="1" applyBorder="1"/>
    <xf numFmtId="0" fontId="31" fillId="5" borderId="1" xfId="6" applyFill="1" applyBorder="1"/>
    <xf numFmtId="0" fontId="7" fillId="5" borderId="1" xfId="6" applyFont="1" applyFill="1" applyBorder="1"/>
    <xf numFmtId="0" fontId="0" fillId="5" borderId="1" xfId="0" applyFont="1" applyFill="1" applyBorder="1" applyAlignment="1">
      <alignment horizontal="center"/>
    </xf>
    <xf numFmtId="0" fontId="0" fillId="5" borderId="8" xfId="0" applyFont="1" applyFill="1" applyBorder="1" applyAlignment="1">
      <alignment horizontal="center"/>
    </xf>
    <xf numFmtId="0" fontId="23" fillId="5" borderId="8" xfId="0" applyFont="1" applyFill="1" applyBorder="1" applyAlignment="1">
      <alignment horizontal="center"/>
    </xf>
    <xf numFmtId="182" fontId="0" fillId="2" borderId="1" xfId="0" applyNumberFormat="1" applyFill="1" applyBorder="1" applyAlignment="1">
      <alignment horizontal="center" vertical="center"/>
    </xf>
    <xf numFmtId="180" fontId="0" fillId="0" borderId="1" xfId="0" applyNumberFormat="1" applyBorder="1" applyAlignment="1">
      <alignment horizontal="center"/>
    </xf>
    <xf numFmtId="0" fontId="10" fillId="5" borderId="1" xfId="0" applyFont="1" applyFill="1" applyBorder="1" applyAlignment="1">
      <alignment horizontal="center" vertical="top" wrapText="1"/>
    </xf>
    <xf numFmtId="0" fontId="0" fillId="5" borderId="16" xfId="0" applyFill="1" applyBorder="1" applyAlignment="1">
      <alignment horizontal="center" vertical="center"/>
    </xf>
    <xf numFmtId="0" fontId="26" fillId="5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top" wrapText="1"/>
    </xf>
    <xf numFmtId="0" fontId="10" fillId="5" borderId="4" xfId="0" applyFont="1" applyFill="1" applyBorder="1" applyAlignment="1">
      <alignment horizontal="center" vertical="center"/>
    </xf>
    <xf numFmtId="0" fontId="26" fillId="5" borderId="18" xfId="0" applyFont="1" applyFill="1" applyBorder="1" applyAlignment="1">
      <alignment horizontal="center" vertical="center"/>
    </xf>
    <xf numFmtId="0" fontId="26" fillId="5" borderId="11" xfId="0" applyFont="1" applyFill="1" applyBorder="1" applyAlignment="1">
      <alignment vertical="center"/>
    </xf>
    <xf numFmtId="0" fontId="26" fillId="5" borderId="6" xfId="0" applyFont="1" applyFill="1" applyBorder="1" applyAlignment="1">
      <alignment horizontal="center" vertical="center"/>
    </xf>
    <xf numFmtId="0" fontId="26" fillId="5" borderId="15" xfId="0" applyFont="1" applyFill="1" applyBorder="1" applyAlignment="1">
      <alignment horizontal="center" vertical="center"/>
    </xf>
    <xf numFmtId="0" fontId="26" fillId="5" borderId="18" xfId="0" applyFont="1" applyFill="1" applyBorder="1" applyAlignment="1">
      <alignment vertical="center"/>
    </xf>
    <xf numFmtId="0" fontId="7" fillId="5" borderId="8" xfId="0" applyFont="1" applyFill="1" applyBorder="1"/>
    <xf numFmtId="180" fontId="0" fillId="5" borderId="1" xfId="0" applyNumberFormat="1" applyFill="1" applyBorder="1"/>
    <xf numFmtId="180" fontId="0" fillId="5" borderId="4" xfId="0" applyNumberFormat="1" applyFill="1" applyBorder="1"/>
    <xf numFmtId="0" fontId="10" fillId="0" borderId="1" xfId="0" applyFont="1" applyBorder="1" applyAlignment="1">
      <alignment horizontal="center" vertical="top" wrapText="1"/>
    </xf>
    <xf numFmtId="0" fontId="7" fillId="5" borderId="0" xfId="0" applyFont="1" applyFill="1" applyAlignment="1">
      <alignment horizontal="center"/>
    </xf>
    <xf numFmtId="0" fontId="32" fillId="5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top" wrapText="1"/>
    </xf>
    <xf numFmtId="0" fontId="35" fillId="5" borderId="1" xfId="0" applyFont="1" applyFill="1" applyBorder="1" applyAlignment="1">
      <alignment horizontal="center" vertical="center" wrapText="1"/>
    </xf>
    <xf numFmtId="1" fontId="23" fillId="5" borderId="1" xfId="0" applyNumberFormat="1" applyFont="1" applyFill="1" applyBorder="1" applyAlignment="1">
      <alignment horizontal="center"/>
    </xf>
    <xf numFmtId="192" fontId="0" fillId="5" borderId="1" xfId="0" applyNumberFormat="1" applyFill="1" applyBorder="1" applyAlignment="1">
      <alignment horizontal="center" vertical="center"/>
    </xf>
    <xf numFmtId="192" fontId="0" fillId="5" borderId="1" xfId="0" applyNumberFormat="1" applyFill="1" applyBorder="1" applyAlignment="1">
      <alignment horizontal="center"/>
    </xf>
    <xf numFmtId="0" fontId="36" fillId="5" borderId="1" xfId="0" applyFont="1" applyFill="1" applyBorder="1" applyAlignment="1">
      <alignment horizontal="center"/>
    </xf>
    <xf numFmtId="182" fontId="0" fillId="5" borderId="4" xfId="0" applyNumberForma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" fontId="15" fillId="5" borderId="1" xfId="0" applyNumberFormat="1" applyFont="1" applyFill="1" applyBorder="1" applyAlignment="1">
      <alignment horizontal="center" vertical="center"/>
    </xf>
    <xf numFmtId="0" fontId="36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top"/>
    </xf>
    <xf numFmtId="180" fontId="0" fillId="0" borderId="4" xfId="0" applyNumberFormat="1" applyBorder="1" applyAlignment="1">
      <alignment horizontal="center"/>
    </xf>
    <xf numFmtId="0" fontId="7" fillId="5" borderId="1" xfId="0" applyFont="1" applyFill="1" applyBorder="1" applyAlignment="1">
      <alignment horizontal="center" vertical="top"/>
    </xf>
    <xf numFmtId="0" fontId="0" fillId="5" borderId="10" xfId="0" applyFill="1" applyBorder="1" applyAlignment="1">
      <alignment horizontal="center" vertical="center"/>
    </xf>
    <xf numFmtId="180" fontId="0" fillId="5" borderId="10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5" borderId="8" xfId="0" applyFont="1" applyFill="1" applyBorder="1" applyAlignment="1">
      <alignment horizontal="center"/>
    </xf>
    <xf numFmtId="0" fontId="11" fillId="5" borderId="13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0" fillId="5" borderId="4" xfId="0" applyFill="1" applyBorder="1" applyAlignment="1">
      <alignment horizontal="left"/>
    </xf>
    <xf numFmtId="183" fontId="0" fillId="5" borderId="4" xfId="0" applyNumberForma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" xfId="0" applyFill="1" applyBorder="1" applyAlignment="1">
      <alignment horizontal="left" vertical="center"/>
    </xf>
    <xf numFmtId="184" fontId="0" fillId="5" borderId="1" xfId="0" applyNumberFormat="1" applyFill="1" applyBorder="1" applyAlignment="1">
      <alignment vertical="center"/>
    </xf>
    <xf numFmtId="0" fontId="0" fillId="5" borderId="1" xfId="0" applyFill="1" applyBorder="1" applyAlignment="1">
      <alignment horizontal="right" vertical="center"/>
    </xf>
    <xf numFmtId="0" fontId="0" fillId="0" borderId="1" xfId="0" applyFill="1" applyBorder="1" applyAlignment="1">
      <alignment horizontal="center"/>
    </xf>
    <xf numFmtId="182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/>
    </xf>
    <xf numFmtId="183" fontId="0" fillId="0" borderId="1" xfId="0" applyNumberFormat="1" applyFill="1" applyBorder="1" applyAlignment="1">
      <alignment horizontal="center"/>
    </xf>
    <xf numFmtId="184" fontId="0" fillId="0" borderId="1" xfId="0" applyNumberFormat="1" applyFill="1" applyBorder="1"/>
    <xf numFmtId="0" fontId="0" fillId="0" borderId="1" xfId="0" applyFill="1" applyBorder="1" applyAlignment="1">
      <alignment horizontal="right"/>
    </xf>
    <xf numFmtId="0" fontId="0" fillId="5" borderId="11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top" wrapText="1"/>
    </xf>
    <xf numFmtId="0" fontId="0" fillId="5" borderId="6" xfId="0" applyFill="1" applyBorder="1" applyAlignment="1">
      <alignment horizontal="center" vertical="top" wrapText="1"/>
    </xf>
    <xf numFmtId="188" fontId="0" fillId="5" borderId="1" xfId="0" applyNumberFormat="1" applyFill="1" applyBorder="1" applyAlignment="1">
      <alignment horizontal="center"/>
    </xf>
    <xf numFmtId="0" fontId="37" fillId="5" borderId="1" xfId="0" applyFont="1" applyFill="1" applyBorder="1"/>
    <xf numFmtId="0" fontId="15" fillId="5" borderId="8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38" fillId="5" borderId="1" xfId="0" applyFont="1" applyFill="1" applyBorder="1" applyAlignment="1">
      <alignment horizontal="right"/>
    </xf>
    <xf numFmtId="185" fontId="38" fillId="5" borderId="1" xfId="0" applyNumberFormat="1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8" xfId="0" applyFont="1" applyFill="1" applyBorder="1" applyAlignment="1">
      <alignment horizontal="center" vertical="center"/>
    </xf>
    <xf numFmtId="185" fontId="0" fillId="0" borderId="1" xfId="0" applyNumberFormat="1" applyFill="1" applyBorder="1" applyAlignment="1">
      <alignment horizontal="left"/>
    </xf>
    <xf numFmtId="0" fontId="7" fillId="0" borderId="1" xfId="0" applyFon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1" fontId="7" fillId="5" borderId="1" xfId="0" applyNumberFormat="1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" xfId="53" applyFill="1" applyBorder="1" applyAlignment="1">
      <alignment horizontal="center"/>
    </xf>
    <xf numFmtId="1" fontId="0" fillId="5" borderId="1" xfId="53" applyNumberFormat="1" applyFill="1" applyBorder="1" applyAlignment="1">
      <alignment horizontal="center"/>
    </xf>
    <xf numFmtId="0" fontId="0" fillId="5" borderId="5" xfId="0" applyFont="1" applyFill="1" applyBorder="1" applyAlignment="1">
      <alignment horizontal="center"/>
    </xf>
    <xf numFmtId="0" fontId="39" fillId="5" borderId="5" xfId="0" applyFont="1" applyFill="1" applyBorder="1" applyAlignment="1">
      <alignment horizontal="center"/>
    </xf>
    <xf numFmtId="0" fontId="40" fillId="5" borderId="5" xfId="0" applyFont="1" applyFill="1" applyBorder="1" applyAlignment="1">
      <alignment horizontal="center"/>
    </xf>
    <xf numFmtId="1" fontId="39" fillId="5" borderId="5" xfId="0" applyNumberFormat="1" applyFont="1" applyFill="1" applyBorder="1" applyAlignment="1">
      <alignment horizontal="center"/>
    </xf>
    <xf numFmtId="0" fontId="0" fillId="5" borderId="20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180" fontId="0" fillId="5" borderId="13" xfId="0" applyNumberFormat="1" applyFill="1" applyBorder="1" applyAlignment="1">
      <alignment horizontal="center"/>
    </xf>
    <xf numFmtId="0" fontId="0" fillId="0" borderId="1" xfId="53" applyBorder="1" applyAlignment="1">
      <alignment horizontal="center"/>
    </xf>
    <xf numFmtId="1" fontId="0" fillId="0" borderId="1" xfId="53" applyNumberFormat="1" applyBorder="1" applyAlignment="1">
      <alignment horizontal="center"/>
    </xf>
    <xf numFmtId="0" fontId="0" fillId="0" borderId="8" xfId="0" applyFont="1" applyBorder="1" applyAlignment="1">
      <alignment horizontal="center" vertical="center"/>
    </xf>
    <xf numFmtId="0" fontId="0" fillId="5" borderId="4" xfId="53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7" fillId="0" borderId="21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41" fillId="0" borderId="1" xfId="53" applyFont="1" applyFill="1" applyBorder="1" applyAlignment="1">
      <alignment horizontal="center"/>
    </xf>
    <xf numFmtId="0" fontId="41" fillId="0" borderId="13" xfId="53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185" fontId="0" fillId="5" borderId="1" xfId="0" applyNumberFormat="1" applyFill="1" applyBorder="1" applyAlignment="1">
      <alignment horizontal="center"/>
    </xf>
    <xf numFmtId="185" fontId="0" fillId="5" borderId="1" xfId="0" applyNumberFormat="1" applyFill="1" applyBorder="1" applyAlignment="1">
      <alignment horizontal="right"/>
    </xf>
    <xf numFmtId="0" fontId="0" fillId="5" borderId="1" xfId="54" applyFill="1" applyBorder="1" applyAlignment="1">
      <alignment horizontal="center"/>
    </xf>
    <xf numFmtId="1" fontId="0" fillId="5" borderId="1" xfId="54" applyNumberForma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2" fillId="0" borderId="1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0" fillId="5" borderId="1" xfId="55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wrapText="1"/>
    </xf>
    <xf numFmtId="0" fontId="12" fillId="5" borderId="13" xfId="0" applyFont="1" applyFill="1" applyBorder="1" applyAlignment="1">
      <alignment horizontal="center" wrapText="1"/>
    </xf>
    <xf numFmtId="0" fontId="12" fillId="5" borderId="10" xfId="0" applyFont="1" applyFill="1" applyBorder="1" applyAlignment="1">
      <alignment horizontal="center" wrapText="1"/>
    </xf>
    <xf numFmtId="0" fontId="0" fillId="5" borderId="4" xfId="55" applyFill="1" applyBorder="1" applyAlignment="1">
      <alignment horizontal="center"/>
    </xf>
    <xf numFmtId="1" fontId="0" fillId="5" borderId="1" xfId="0" applyNumberFormat="1" applyFill="1" applyBorder="1" applyAlignment="1"/>
    <xf numFmtId="1" fontId="0" fillId="0" borderId="1" xfId="0" applyNumberFormat="1" applyFill="1" applyBorder="1" applyAlignment="1">
      <alignment horizontal="center"/>
    </xf>
    <xf numFmtId="1" fontId="0" fillId="0" borderId="1" xfId="0" applyNumberFormat="1" applyFill="1" applyBorder="1" applyAlignment="1"/>
    <xf numFmtId="182" fontId="0" fillId="5" borderId="1" xfId="0" applyNumberFormat="1" applyFont="1" applyFill="1" applyBorder="1" applyAlignment="1">
      <alignment horizontal="center" vertical="center"/>
    </xf>
    <xf numFmtId="1" fontId="0" fillId="5" borderId="1" xfId="0" applyNumberFormat="1" applyFont="1" applyFill="1" applyBorder="1" applyAlignment="1">
      <alignment horizontal="center"/>
    </xf>
    <xf numFmtId="1" fontId="0" fillId="5" borderId="1" xfId="0" applyNumberFormat="1" applyFont="1" applyFill="1" applyBorder="1" applyAlignment="1"/>
    <xf numFmtId="0" fontId="0" fillId="5" borderId="1" xfId="0" applyFont="1" applyFill="1" applyBorder="1" applyAlignment="1">
      <alignment horizontal="left"/>
    </xf>
    <xf numFmtId="183" fontId="0" fillId="5" borderId="1" xfId="0" applyNumberFormat="1" applyFont="1" applyFill="1" applyBorder="1" applyAlignment="1">
      <alignment horizontal="center"/>
    </xf>
    <xf numFmtId="184" fontId="0" fillId="5" borderId="1" xfId="0" applyNumberFormat="1" applyFont="1" applyFill="1" applyBorder="1"/>
    <xf numFmtId="0" fontId="0" fillId="5" borderId="1" xfId="0" applyFont="1" applyFill="1" applyBorder="1" applyAlignment="1">
      <alignment horizontal="right"/>
    </xf>
    <xf numFmtId="180" fontId="0" fillId="0" borderId="1" xfId="0" applyNumberForma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0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vertical="top"/>
    </xf>
    <xf numFmtId="0" fontId="0" fillId="0" borderId="1" xfId="0" applyFont="1" applyBorder="1" applyAlignment="1">
      <alignment horizontal="center" vertical="center"/>
    </xf>
    <xf numFmtId="193" fontId="0" fillId="5" borderId="1" xfId="0" applyNumberFormat="1" applyFill="1" applyBorder="1" applyAlignment="1">
      <alignment horizontal="center" vertical="center"/>
    </xf>
    <xf numFmtId="194" fontId="0" fillId="5" borderId="1" xfId="1" applyNumberFormat="1" applyFont="1" applyFill="1" applyBorder="1" applyAlignment="1">
      <alignment horizontal="center" vertical="center"/>
    </xf>
    <xf numFmtId="49" fontId="28" fillId="5" borderId="1" xfId="0" applyNumberFormat="1" applyFont="1" applyFill="1" applyBorder="1" applyAlignment="1">
      <alignment horizontal="center" vertical="center"/>
    </xf>
    <xf numFmtId="193" fontId="28" fillId="5" borderId="1" xfId="0" applyNumberFormat="1" applyFont="1" applyFill="1" applyBorder="1" applyAlignment="1">
      <alignment horizontal="center" vertical="center"/>
    </xf>
    <xf numFmtId="49" fontId="0" fillId="5" borderId="6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0" fillId="0" borderId="6" xfId="0" applyNumberFormat="1" applyFill="1" applyBorder="1" applyAlignment="1">
      <alignment horizontal="center" vertical="center"/>
    </xf>
    <xf numFmtId="193" fontId="0" fillId="0" borderId="1" xfId="0" applyNumberFormat="1" applyFill="1" applyBorder="1" applyAlignment="1">
      <alignment horizontal="center" vertical="center"/>
    </xf>
    <xf numFmtId="194" fontId="0" fillId="0" borderId="1" xfId="1" applyNumberFormat="1" applyFont="1" applyFill="1" applyBorder="1" applyAlignment="1">
      <alignment horizontal="center" vertical="center"/>
    </xf>
    <xf numFmtId="49" fontId="0" fillId="5" borderId="15" xfId="0" applyNumberFormat="1" applyFill="1" applyBorder="1" applyAlignment="1">
      <alignment horizontal="center" vertical="center"/>
    </xf>
    <xf numFmtId="49" fontId="0" fillId="5" borderId="11" xfId="0" applyNumberFormat="1" applyFill="1" applyBorder="1" applyAlignment="1">
      <alignment horizontal="center" vertical="center"/>
    </xf>
    <xf numFmtId="49" fontId="0" fillId="5" borderId="4" xfId="0" applyNumberFormat="1" applyFill="1" applyBorder="1" applyAlignment="1">
      <alignment horizontal="center" vertical="center"/>
    </xf>
    <xf numFmtId="193" fontId="0" fillId="5" borderId="8" xfId="0" applyNumberFormat="1" applyFill="1" applyBorder="1" applyAlignment="1">
      <alignment horizontal="center"/>
    </xf>
    <xf numFmtId="193" fontId="0" fillId="5" borderId="1" xfId="0" applyNumberFormat="1" applyFill="1" applyBorder="1" applyAlignment="1">
      <alignment horizontal="center"/>
    </xf>
    <xf numFmtId="0" fontId="8" fillId="5" borderId="13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 wrapText="1"/>
    </xf>
    <xf numFmtId="0" fontId="8" fillId="5" borderId="10" xfId="0" applyFont="1" applyFill="1" applyBorder="1" applyAlignment="1">
      <alignment horizontal="center" wrapText="1"/>
    </xf>
    <xf numFmtId="0" fontId="8" fillId="5" borderId="4" xfId="0" applyFont="1" applyFill="1" applyBorder="1" applyAlignment="1">
      <alignment horizontal="center" wrapText="1"/>
    </xf>
    <xf numFmtId="0" fontId="8" fillId="5" borderId="8" xfId="0" applyFont="1" applyFill="1" applyBorder="1" applyAlignment="1">
      <alignment horizontal="center" wrapText="1"/>
    </xf>
    <xf numFmtId="0" fontId="0" fillId="5" borderId="8" xfId="56" applyFill="1" applyBorder="1" applyAlignment="1">
      <alignment horizontal="center"/>
    </xf>
    <xf numFmtId="0" fontId="0" fillId="5" borderId="1" xfId="56" applyFill="1" applyBorder="1" applyAlignment="1">
      <alignment horizontal="center"/>
    </xf>
    <xf numFmtId="0" fontId="0" fillId="0" borderId="1" xfId="55" applyBorder="1" applyAlignment="1">
      <alignment horizontal="center"/>
    </xf>
    <xf numFmtId="0" fontId="0" fillId="0" borderId="1" xfId="56" applyBorder="1" applyAlignment="1">
      <alignment horizontal="center"/>
    </xf>
    <xf numFmtId="0" fontId="0" fillId="5" borderId="15" xfId="56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42" fillId="5" borderId="1" xfId="0" applyFont="1" applyFill="1" applyBorder="1" applyAlignment="1">
      <alignment horizontal="center"/>
    </xf>
    <xf numFmtId="0" fontId="43" fillId="5" borderId="1" xfId="0" applyFont="1" applyFill="1" applyBorder="1" applyAlignment="1">
      <alignment horizontal="center"/>
    </xf>
    <xf numFmtId="0" fontId="0" fillId="5" borderId="8" xfId="0" applyFont="1" applyFill="1" applyBorder="1" applyAlignment="1">
      <alignment horizontal="center" vertical="top"/>
    </xf>
    <xf numFmtId="0" fontId="0" fillId="5" borderId="1" xfId="0" applyFont="1" applyFill="1" applyBorder="1" applyAlignment="1">
      <alignment horizontal="center" vertical="top"/>
    </xf>
    <xf numFmtId="0" fontId="0" fillId="5" borderId="4" xfId="0" applyFont="1" applyFill="1" applyBorder="1" applyAlignment="1">
      <alignment horizontal="center" vertical="top"/>
    </xf>
    <xf numFmtId="0" fontId="0" fillId="5" borderId="11" xfId="0" applyFont="1" applyFill="1" applyBorder="1" applyAlignment="1">
      <alignment horizontal="center"/>
    </xf>
    <xf numFmtId="0" fontId="0" fillId="5" borderId="6" xfId="0" applyFont="1" applyFill="1" applyBorder="1" applyAlignment="1">
      <alignment horizontal="center"/>
    </xf>
    <xf numFmtId="0" fontId="28" fillId="5" borderId="8" xfId="0" applyFont="1" applyFill="1" applyBorder="1" applyAlignment="1">
      <alignment horizontal="center" vertical="center"/>
    </xf>
    <xf numFmtId="10" fontId="0" fillId="0" borderId="0" xfId="0" applyNumberFormat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0" fillId="5" borderId="16" xfId="0" applyFill="1" applyBorder="1"/>
    <xf numFmtId="0" fontId="6" fillId="0" borderId="0" xfId="50" applyFont="1" applyAlignment="1">
      <alignment horizontal="left" vertical="top"/>
    </xf>
    <xf numFmtId="0" fontId="0" fillId="0" borderId="0" xfId="0" applyFill="1"/>
    <xf numFmtId="0" fontId="0" fillId="0" borderId="0" xfId="0" applyAlignment="1">
      <alignment horizontal="center"/>
    </xf>
    <xf numFmtId="18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83" fontId="0" fillId="0" borderId="0" xfId="0" applyNumberFormat="1" applyAlignment="1">
      <alignment horizontal="center"/>
    </xf>
    <xf numFmtId="184" fontId="0" fillId="0" borderId="0" xfId="0" applyNumberFormat="1"/>
    <xf numFmtId="190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3" fillId="0" borderId="1" xfId="50" applyFont="1" applyBorder="1" applyAlignment="1">
      <alignment horizontal="center"/>
    </xf>
    <xf numFmtId="0" fontId="3" fillId="0" borderId="1" xfId="50" applyFont="1" applyBorder="1" applyAlignment="1">
      <alignment horizontal="center" vertical="top"/>
    </xf>
    <xf numFmtId="190" fontId="3" fillId="0" borderId="1" xfId="50" applyNumberFormat="1" applyFont="1" applyBorder="1" applyAlignment="1">
      <alignment horizontal="center" vertical="center"/>
    </xf>
    <xf numFmtId="0" fontId="3" fillId="0" borderId="1" xfId="50" applyFont="1" applyBorder="1" applyAlignment="1">
      <alignment horizontal="left" vertical="top"/>
    </xf>
    <xf numFmtId="0" fontId="4" fillId="0" borderId="1" xfId="50" applyFont="1" applyBorder="1" applyAlignment="1">
      <alignment horizontal="center" vertical="center"/>
    </xf>
    <xf numFmtId="183" fontId="3" fillId="0" borderId="1" xfId="50" applyNumberFormat="1" applyFont="1" applyBorder="1" applyAlignment="1">
      <alignment horizontal="center" vertical="top"/>
    </xf>
    <xf numFmtId="184" fontId="3" fillId="0" borderId="1" xfId="50" applyNumberFormat="1" applyFont="1" applyBorder="1" applyAlignment="1">
      <alignment horizontal="left" vertical="top"/>
    </xf>
    <xf numFmtId="0" fontId="3" fillId="0" borderId="1" xfId="50" applyFont="1" applyBorder="1" applyAlignment="1">
      <alignment horizontal="right" vertical="top"/>
    </xf>
    <xf numFmtId="0" fontId="6" fillId="0" borderId="0" xfId="50" applyFont="1" applyFill="1" applyAlignment="1">
      <alignment horizontal="left" vertical="top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right"/>
    </xf>
    <xf numFmtId="0" fontId="28" fillId="5" borderId="16" xfId="0" applyFont="1" applyFill="1" applyBorder="1" applyAlignment="1">
      <alignment horizontal="center" vertical="center"/>
    </xf>
    <xf numFmtId="0" fontId="0" fillId="5" borderId="15" xfId="0" applyFill="1" applyBorder="1" applyAlignment="1">
      <alignment horizontal="center"/>
    </xf>
    <xf numFmtId="0" fontId="0" fillId="0" borderId="1" xfId="0" applyFont="1" applyBorder="1"/>
    <xf numFmtId="0" fontId="0" fillId="0" borderId="9" xfId="0" applyFont="1" applyBorder="1" applyAlignment="1">
      <alignment horizontal="center" vertical="center"/>
    </xf>
    <xf numFmtId="0" fontId="0" fillId="0" borderId="13" xfId="0" applyFont="1" applyFill="1" applyBorder="1" applyAlignment="1">
      <alignment horizontal="right"/>
    </xf>
    <xf numFmtId="1" fontId="0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 wrapText="1"/>
    </xf>
    <xf numFmtId="1" fontId="0" fillId="5" borderId="1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top"/>
    </xf>
    <xf numFmtId="180" fontId="0" fillId="0" borderId="13" xfId="0" applyNumberFormat="1" applyBorder="1" applyAlignment="1">
      <alignment horizontal="center"/>
    </xf>
    <xf numFmtId="0" fontId="0" fillId="0" borderId="13" xfId="0" applyBorder="1"/>
    <xf numFmtId="184" fontId="0" fillId="5" borderId="1" xfId="0" applyNumberFormat="1" applyFill="1" applyBorder="1" applyAlignment="1" quotePrefix="1">
      <alignment horizontal="right"/>
    </xf>
    <xf numFmtId="184" fontId="0" fillId="5" borderId="1" xfId="0" applyNumberFormat="1" applyFill="1" applyBorder="1" quotePrefix="1"/>
    <xf numFmtId="182" fontId="0" fillId="5" borderId="1" xfId="0" applyNumberFormat="1" applyFill="1" applyBorder="1" quotePrefix="1"/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3" xfId="51"/>
    <cellStyle name="Normal 4" xfId="52"/>
    <cellStyle name="Normal 5" xfId="53"/>
    <cellStyle name="Normal 6" xfId="54"/>
    <cellStyle name="Normal 7" xfId="55"/>
    <cellStyle name="Normal 8" xfId="56"/>
    <cellStyle name="常规 2" xfId="57"/>
    <cellStyle name="常规 2 7 2 2 2 2 2" xfId="58"/>
  </cellStyles>
  <dxfs count="6">
    <dxf>
      <font>
        <name val="Arial"/>
        <scheme val="none"/>
        <sz val="10"/>
      </font>
      <fill>
        <patternFill patternType="solid">
          <fgColor theme="4" tint="0.799981688894314"/>
          <bgColor theme="4" tint="0.799981688894314"/>
        </patternFill>
      </fill>
      <alignment horizontal="center"/>
      <border>
        <left/>
        <right/>
        <top style="thin">
          <color theme="0"/>
        </top>
        <bottom style="thin">
          <color theme="0"/>
        </bottom>
      </border>
    </dxf>
    <dxf>
      <alignment horizontal="right"/>
    </dxf>
    <dxf>
      <font>
        <b val="1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Master -style" pivot="0" count="3" xr9:uid="{628633FF-735C-4CF5-8562-83F334C47A2E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 of Import Pending New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ster Value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2" name="Table_13" displayName="Table_13" ref="A1:C80">
  <tableColumns count="3">
    <tableColumn id="1" name="GRADE" dataDxfId="0"/>
    <tableColumn id="2" name="CONDITION" dataDxfId="1"/>
    <tableColumn id="3" name="MAKE" dataDxfId="2"/>
  </tableColumns>
  <tableStyleInfo name="Master 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2832kg@Rs158+" TargetMode="External"/><Relationship Id="rId7" Type="http://schemas.openxmlformats.org/officeDocument/2006/relationships/hyperlink" Target="mailto:2646kg@Rs158+" TargetMode="External"/><Relationship Id="rId6" Type="http://schemas.openxmlformats.org/officeDocument/2006/relationships/hyperlink" Target="mailto:5735kg@Rs158+" TargetMode="External"/><Relationship Id="rId5" Type="http://schemas.openxmlformats.org/officeDocument/2006/relationships/hyperlink" Target="mailto:4577kg@Rs158+" TargetMode="External"/><Relationship Id="rId4" Type="http://schemas.openxmlformats.org/officeDocument/2006/relationships/hyperlink" Target="mailto:4108kg@Rs158+" TargetMode="External"/><Relationship Id="rId3" Type="http://schemas.openxmlformats.org/officeDocument/2006/relationships/hyperlink" Target="mailto:3434kg@Rs158+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Z215"/>
  <sheetViews>
    <sheetView tabSelected="1" zoomScale="80" zoomScaleNormal="80" zoomScaleSheetLayoutView="80" workbookViewId="0">
      <pane ySplit="2" topLeftCell="A3" activePane="bottomLeft" state="frozen"/>
      <selection/>
      <selection pane="bottomLeft" activeCell="A3" sqref="A3"/>
    </sheetView>
  </sheetViews>
  <sheetFormatPr defaultColWidth="9" defaultRowHeight="14.4"/>
  <cols>
    <col min="1" max="1" width="17.0833333333333" style="457" customWidth="1"/>
    <col min="2" max="2" width="22.7777777777778" style="1" customWidth="1"/>
    <col min="3" max="3" width="9.85185185185185" style="458" customWidth="1"/>
    <col min="4" max="4" width="11.4259259259259" customWidth="1"/>
    <col min="5" max="5" width="24.5740740740741" customWidth="1"/>
    <col min="6" max="6" width="11" customWidth="1"/>
    <col min="7" max="7" width="5.57407407407407" customWidth="1"/>
    <col min="8" max="9" width="12.5740740740741" style="1" customWidth="1"/>
    <col min="10" max="10" width="7.85185185185185" customWidth="1"/>
    <col min="11" max="11" width="8.85185185185185" style="1" customWidth="1"/>
    <col min="12" max="12" width="7.57407407407407" style="459" customWidth="1"/>
    <col min="13" max="13" width="8.57407407407407" style="1" customWidth="1"/>
    <col min="14" max="14" width="11" style="1" customWidth="1"/>
    <col min="15" max="15" width="16.1388888888889" style="1" customWidth="1"/>
    <col min="16" max="16" width="11.287037037037" style="1" customWidth="1"/>
    <col min="17" max="17" width="9.28703703703704" style="1" customWidth="1"/>
    <col min="18" max="18" width="11" style="1" customWidth="1"/>
    <col min="19" max="19" width="8.42592592592593" style="1" customWidth="1"/>
    <col min="20" max="20" width="10.4259259259259" style="1" customWidth="1"/>
    <col min="21" max="21" width="17.8518518518519" style="27" customWidth="1"/>
    <col min="22" max="22" width="14.1388888888889" style="460" customWidth="1"/>
    <col min="23" max="23" width="6" customWidth="1"/>
    <col min="24" max="24" width="7.57407407407407" customWidth="1"/>
    <col min="25" max="25" width="8.28703703703704" style="461" customWidth="1"/>
    <col min="26" max="26" width="15.1388888888889" customWidth="1"/>
    <col min="27" max="27" width="16.5740740740741" customWidth="1"/>
    <col min="28" max="28" width="16.287037037037" customWidth="1"/>
    <col min="29" max="29" width="12.1388888888889" style="27" customWidth="1"/>
    <col min="30" max="30" width="7.85185185185185" style="4" customWidth="1"/>
    <col min="31" max="31" width="11.1388888888889" customWidth="1"/>
    <col min="32" max="32" width="24.4259259259259" customWidth="1"/>
    <col min="33" max="33" width="11.287037037037" customWidth="1"/>
    <col min="34" max="2002" width="9.13888888888889" style="456"/>
  </cols>
  <sheetData>
    <row r="1" spans="1:1024 1025:2002">
      <c r="B1" s="1" t="s">
        <v>0</v>
      </c>
      <c r="C1" s="462"/>
      <c r="P1" s="463">
        <f>SUBTOTAL(9,P3:P8458)</f>
        <v>877534.34</v>
      </c>
      <c r="Q1" s="463">
        <f>SUBTOTAL(9,Q3:Q8458)</f>
        <v>573493</v>
      </c>
      <c r="R1" s="463">
        <f>SUBTOTAL(9,R3:R8458)</f>
        <v>304041.34</v>
      </c>
    </row>
    <row r="2" s="455" customFormat="1" spans="1:1024 1025:2002">
      <c r="A2" s="464" t="s">
        <v>1</v>
      </c>
      <c r="B2" s="465" t="s">
        <v>2</v>
      </c>
      <c r="C2" s="466" t="s">
        <v>3</v>
      </c>
      <c r="D2" s="467" t="s">
        <v>4</v>
      </c>
      <c r="E2" s="467" t="s">
        <v>5</v>
      </c>
      <c r="F2" s="467" t="s">
        <v>6</v>
      </c>
      <c r="G2" s="467" t="s">
        <v>7</v>
      </c>
      <c r="H2" s="465" t="s">
        <v>8</v>
      </c>
      <c r="I2" s="467" t="s">
        <v>9</v>
      </c>
      <c r="J2" s="467" t="s">
        <v>10</v>
      </c>
      <c r="K2" s="465" t="s">
        <v>11</v>
      </c>
      <c r="L2" s="468" t="s">
        <v>12</v>
      </c>
      <c r="M2" s="465" t="s">
        <v>13</v>
      </c>
      <c r="N2" s="465" t="s">
        <v>14</v>
      </c>
      <c r="O2" s="467" t="s">
        <v>15</v>
      </c>
      <c r="P2" s="465" t="s">
        <v>16</v>
      </c>
      <c r="Q2" s="465" t="s">
        <v>17</v>
      </c>
      <c r="R2" s="465" t="s">
        <v>18</v>
      </c>
      <c r="S2" s="465" t="s">
        <v>19</v>
      </c>
      <c r="T2" s="465" t="s">
        <v>20</v>
      </c>
      <c r="U2" s="467" t="s">
        <v>21</v>
      </c>
      <c r="V2" s="469" t="s">
        <v>22</v>
      </c>
      <c r="W2" s="467" t="s">
        <v>23</v>
      </c>
      <c r="X2" s="467" t="s">
        <v>24</v>
      </c>
      <c r="Y2" s="470" t="s">
        <v>25</v>
      </c>
      <c r="Z2" s="467" t="s">
        <v>26</v>
      </c>
      <c r="AA2" s="467" t="s">
        <v>27</v>
      </c>
      <c r="AB2" s="467" t="s">
        <v>28</v>
      </c>
      <c r="AC2" s="467" t="s">
        <v>29</v>
      </c>
      <c r="AD2" s="471" t="s">
        <v>30</v>
      </c>
      <c r="AE2" s="467" t="s">
        <v>31</v>
      </c>
      <c r="AF2" s="467" t="s">
        <v>32</v>
      </c>
      <c r="AG2" s="467" t="s">
        <v>33</v>
      </c>
      <c r="AH2" s="472"/>
      <c r="AI2" s="472"/>
      <c r="AJ2" s="472"/>
      <c r="AK2" s="472"/>
      <c r="AL2" s="472"/>
      <c r="AM2" s="472"/>
      <c r="AN2" s="472"/>
      <c r="AO2" s="472"/>
      <c r="AP2" s="472"/>
      <c r="AQ2" s="472"/>
      <c r="AR2" s="472"/>
      <c r="AS2" s="472"/>
      <c r="AT2" s="472"/>
      <c r="AU2" s="472"/>
      <c r="AV2" s="472"/>
      <c r="AW2" s="472"/>
      <c r="AX2" s="472"/>
      <c r="AY2" s="472"/>
      <c r="AZ2" s="472"/>
      <c r="BA2" s="472"/>
      <c r="BB2" s="472"/>
      <c r="BC2" s="472"/>
      <c r="BD2" s="472"/>
      <c r="BE2" s="472"/>
      <c r="BF2" s="472"/>
      <c r="BG2" s="472"/>
      <c r="BH2" s="472"/>
      <c r="BI2" s="472"/>
      <c r="BJ2" s="472"/>
      <c r="BK2" s="472"/>
      <c r="BL2" s="472"/>
      <c r="BM2" s="472"/>
      <c r="BN2" s="472"/>
      <c r="BO2" s="472"/>
      <c r="BP2" s="472"/>
      <c r="BQ2" s="472"/>
      <c r="BR2" s="472"/>
      <c r="BS2" s="472"/>
      <c r="BT2" s="472"/>
      <c r="BU2" s="472"/>
      <c r="BV2" s="472"/>
      <c r="BW2" s="472"/>
      <c r="BX2" s="472"/>
      <c r="BY2" s="472"/>
      <c r="BZ2" s="472"/>
      <c r="CA2" s="472"/>
      <c r="CB2" s="472"/>
      <c r="CC2" s="472"/>
      <c r="CD2" s="472"/>
      <c r="CE2" s="472"/>
      <c r="CF2" s="472"/>
      <c r="CG2" s="472"/>
      <c r="CH2" s="472"/>
      <c r="CI2" s="472"/>
      <c r="CJ2" s="472"/>
      <c r="CK2" s="472"/>
      <c r="CL2" s="472"/>
      <c r="CM2" s="472"/>
      <c r="CN2" s="472"/>
      <c r="CO2" s="472"/>
      <c r="CP2" s="472"/>
      <c r="CQ2" s="472"/>
      <c r="CR2" s="472"/>
      <c r="CS2" s="472"/>
      <c r="CT2" s="472"/>
      <c r="CU2" s="472"/>
      <c r="CV2" s="472"/>
      <c r="CW2" s="472"/>
      <c r="CX2" s="472"/>
      <c r="CY2" s="472"/>
      <c r="CZ2" s="472"/>
      <c r="DA2" s="472"/>
      <c r="DB2" s="472"/>
      <c r="DC2" s="472"/>
      <c r="DD2" s="472"/>
      <c r="DE2" s="472"/>
      <c r="DF2" s="472"/>
      <c r="DG2" s="472"/>
      <c r="DH2" s="472"/>
      <c r="DI2" s="472"/>
      <c r="DJ2" s="472"/>
      <c r="DK2" s="472"/>
      <c r="DL2" s="472"/>
      <c r="DM2" s="472"/>
      <c r="DN2" s="472"/>
      <c r="DO2" s="472"/>
      <c r="DP2" s="472"/>
      <c r="DQ2" s="472"/>
      <c r="DR2" s="472"/>
      <c r="DS2" s="472"/>
      <c r="DT2" s="472"/>
      <c r="DU2" s="472"/>
      <c r="DV2" s="472"/>
      <c r="DW2" s="472"/>
      <c r="DX2" s="472"/>
      <c r="DY2" s="472"/>
      <c r="DZ2" s="472"/>
      <c r="EA2" s="472"/>
      <c r="EB2" s="472"/>
      <c r="EC2" s="472"/>
      <c r="ED2" s="472"/>
      <c r="EE2" s="472"/>
      <c r="EF2" s="472"/>
      <c r="EG2" s="472"/>
      <c r="EH2" s="472"/>
      <c r="EI2" s="472"/>
      <c r="EJ2" s="472"/>
      <c r="EK2" s="472"/>
      <c r="EL2" s="472"/>
      <c r="EM2" s="472"/>
      <c r="EN2" s="472"/>
      <c r="EO2" s="472"/>
      <c r="EP2" s="472"/>
      <c r="EQ2" s="472"/>
      <c r="ER2" s="472"/>
      <c r="ES2" s="472"/>
      <c r="ET2" s="472"/>
      <c r="EU2" s="472"/>
      <c r="EV2" s="472"/>
      <c r="EW2" s="472"/>
      <c r="EX2" s="472"/>
      <c r="EY2" s="472"/>
      <c r="EZ2" s="472"/>
      <c r="FA2" s="472"/>
      <c r="FB2" s="472"/>
      <c r="FC2" s="472"/>
      <c r="FD2" s="472"/>
      <c r="FE2" s="472"/>
      <c r="FF2" s="472"/>
      <c r="FG2" s="472"/>
      <c r="FH2" s="472"/>
      <c r="FI2" s="472"/>
      <c r="FJ2" s="472"/>
      <c r="FK2" s="472"/>
      <c r="FL2" s="472"/>
      <c r="FM2" s="472"/>
      <c r="FN2" s="472"/>
      <c r="FO2" s="472"/>
      <c r="FP2" s="472"/>
      <c r="FQ2" s="472"/>
      <c r="FR2" s="472"/>
      <c r="FS2" s="472"/>
      <c r="FT2" s="472"/>
      <c r="FU2" s="472"/>
      <c r="FV2" s="472"/>
      <c r="FW2" s="472"/>
      <c r="FX2" s="472"/>
      <c r="FY2" s="472"/>
      <c r="FZ2" s="472"/>
      <c r="GA2" s="472"/>
      <c r="GB2" s="472"/>
      <c r="GC2" s="472"/>
      <c r="GD2" s="472"/>
      <c r="GE2" s="472"/>
      <c r="GF2" s="472"/>
      <c r="GG2" s="472"/>
      <c r="GH2" s="472"/>
      <c r="GI2" s="472"/>
      <c r="GJ2" s="472"/>
      <c r="GK2" s="472"/>
      <c r="GL2" s="472"/>
      <c r="GM2" s="472"/>
      <c r="GN2" s="472"/>
      <c r="GO2" s="472"/>
      <c r="GP2" s="472"/>
      <c r="GQ2" s="472"/>
      <c r="GR2" s="472"/>
      <c r="GS2" s="472"/>
      <c r="GT2" s="472"/>
      <c r="GU2" s="472"/>
      <c r="GV2" s="472"/>
      <c r="GW2" s="472"/>
      <c r="GX2" s="472"/>
      <c r="GY2" s="472"/>
      <c r="GZ2" s="472"/>
      <c r="HA2" s="472"/>
      <c r="HB2" s="472"/>
      <c r="HC2" s="472"/>
      <c r="HD2" s="472"/>
      <c r="HE2" s="472"/>
      <c r="HF2" s="472"/>
      <c r="HG2" s="472"/>
      <c r="HH2" s="472"/>
      <c r="HI2" s="472"/>
      <c r="HJ2" s="472"/>
      <c r="HK2" s="472"/>
      <c r="HL2" s="472"/>
      <c r="HM2" s="472"/>
      <c r="HN2" s="472"/>
      <c r="HO2" s="472"/>
      <c r="HP2" s="472"/>
      <c r="HQ2" s="472"/>
      <c r="HR2" s="472"/>
      <c r="HS2" s="472"/>
      <c r="HT2" s="472"/>
      <c r="HU2" s="472"/>
      <c r="HV2" s="472"/>
      <c r="HW2" s="472"/>
      <c r="HX2" s="472"/>
      <c r="HY2" s="472"/>
      <c r="HZ2" s="472"/>
      <c r="IA2" s="472"/>
      <c r="IB2" s="472"/>
      <c r="IC2" s="472"/>
      <c r="ID2" s="472"/>
      <c r="IE2" s="472"/>
      <c r="IF2" s="472"/>
      <c r="IG2" s="472"/>
      <c r="IH2" s="472"/>
      <c r="II2" s="472"/>
      <c r="IJ2" s="472"/>
      <c r="IK2" s="472"/>
      <c r="IL2" s="472"/>
      <c r="IM2" s="472"/>
      <c r="IN2" s="472"/>
      <c r="IO2" s="472"/>
      <c r="IP2" s="472"/>
      <c r="IQ2" s="472"/>
      <c r="IR2" s="472"/>
      <c r="IS2" s="472"/>
      <c r="IT2" s="472"/>
      <c r="IU2" s="472"/>
      <c r="IV2" s="472"/>
      <c r="IW2" s="472"/>
      <c r="IX2" s="472"/>
      <c r="IY2" s="472"/>
      <c r="IZ2" s="472"/>
      <c r="JA2" s="472"/>
      <c r="JB2" s="472"/>
      <c r="JC2" s="472"/>
      <c r="JD2" s="472"/>
      <c r="JE2" s="472"/>
      <c r="JF2" s="472"/>
      <c r="JG2" s="472"/>
      <c r="JH2" s="472"/>
      <c r="JI2" s="472"/>
      <c r="JJ2" s="472"/>
      <c r="JK2" s="472"/>
      <c r="JL2" s="472"/>
      <c r="JM2" s="472"/>
      <c r="JN2" s="472"/>
      <c r="JO2" s="472"/>
      <c r="JP2" s="472"/>
      <c r="JQ2" s="472"/>
      <c r="JR2" s="472"/>
      <c r="JS2" s="472"/>
      <c r="JT2" s="472"/>
      <c r="JU2" s="472"/>
      <c r="JV2" s="472"/>
      <c r="JW2" s="472"/>
      <c r="JX2" s="472"/>
      <c r="JY2" s="472"/>
      <c r="JZ2" s="472"/>
      <c r="KA2" s="472"/>
      <c r="KB2" s="472"/>
      <c r="KC2" s="472"/>
      <c r="KD2" s="472"/>
      <c r="KE2" s="472"/>
      <c r="KF2" s="472"/>
      <c r="KG2" s="472"/>
      <c r="KH2" s="472"/>
      <c r="KI2" s="472"/>
      <c r="KJ2" s="472"/>
      <c r="KK2" s="472"/>
      <c r="KL2" s="472"/>
      <c r="KM2" s="472"/>
      <c r="KN2" s="472"/>
      <c r="KO2" s="472"/>
      <c r="KP2" s="472"/>
      <c r="KQ2" s="472"/>
      <c r="KR2" s="472"/>
      <c r="KS2" s="472"/>
      <c r="KT2" s="472"/>
      <c r="KU2" s="472"/>
      <c r="KV2" s="472"/>
      <c r="KW2" s="472"/>
      <c r="KX2" s="472"/>
      <c r="KY2" s="472"/>
      <c r="KZ2" s="472"/>
      <c r="LA2" s="472"/>
      <c r="LB2" s="472"/>
      <c r="LC2" s="472"/>
      <c r="LD2" s="472"/>
      <c r="LE2" s="472"/>
      <c r="LF2" s="472"/>
      <c r="LG2" s="472"/>
      <c r="LH2" s="472"/>
      <c r="LI2" s="472"/>
      <c r="LJ2" s="472"/>
      <c r="LK2" s="472"/>
      <c r="LL2" s="472"/>
      <c r="LM2" s="472"/>
      <c r="LN2" s="472"/>
      <c r="LO2" s="472"/>
      <c r="LP2" s="472"/>
      <c r="LQ2" s="472"/>
      <c r="LR2" s="472"/>
      <c r="LS2" s="472"/>
      <c r="LT2" s="472"/>
      <c r="LU2" s="472"/>
      <c r="LV2" s="472"/>
      <c r="LW2" s="472"/>
      <c r="LX2" s="472"/>
      <c r="LY2" s="472"/>
      <c r="LZ2" s="472"/>
      <c r="MA2" s="472"/>
      <c r="MB2" s="472"/>
      <c r="MC2" s="472"/>
      <c r="MD2" s="472"/>
      <c r="ME2" s="472"/>
      <c r="MF2" s="472"/>
      <c r="MG2" s="472"/>
      <c r="MH2" s="472"/>
      <c r="MI2" s="472"/>
      <c r="MJ2" s="472"/>
      <c r="MK2" s="472"/>
      <c r="ML2" s="472"/>
      <c r="MM2" s="472"/>
      <c r="MN2" s="472"/>
      <c r="MO2" s="472"/>
      <c r="MP2" s="472"/>
      <c r="MQ2" s="472"/>
      <c r="MR2" s="472"/>
      <c r="MS2" s="472"/>
      <c r="MT2" s="472"/>
      <c r="MU2" s="472"/>
      <c r="MV2" s="472"/>
      <c r="MW2" s="472"/>
      <c r="MX2" s="472"/>
      <c r="MY2" s="472"/>
      <c r="MZ2" s="472"/>
      <c r="NA2" s="472"/>
      <c r="NB2" s="472"/>
      <c r="NC2" s="472"/>
      <c r="ND2" s="472"/>
      <c r="NE2" s="472"/>
      <c r="NF2" s="472"/>
      <c r="NG2" s="472"/>
      <c r="NH2" s="472"/>
      <c r="NI2" s="472"/>
      <c r="NJ2" s="472"/>
      <c r="NK2" s="472"/>
      <c r="NL2" s="472"/>
      <c r="NM2" s="472"/>
      <c r="NN2" s="472"/>
      <c r="NO2" s="472"/>
      <c r="NP2" s="472"/>
      <c r="NQ2" s="472"/>
      <c r="NR2" s="472"/>
      <c r="NS2" s="472"/>
      <c r="NT2" s="472"/>
      <c r="NU2" s="472"/>
      <c r="NV2" s="472"/>
      <c r="NW2" s="472"/>
      <c r="NX2" s="472"/>
      <c r="NY2" s="472"/>
      <c r="NZ2" s="472"/>
      <c r="OA2" s="472"/>
      <c r="OB2" s="472"/>
      <c r="OC2" s="472"/>
      <c r="OD2" s="472"/>
      <c r="OE2" s="472"/>
      <c r="OF2" s="472"/>
      <c r="OG2" s="472"/>
      <c r="OH2" s="472"/>
      <c r="OI2" s="472"/>
      <c r="OJ2" s="472"/>
      <c r="OK2" s="472"/>
      <c r="OL2" s="472"/>
      <c r="OM2" s="472"/>
      <c r="ON2" s="472"/>
      <c r="OO2" s="472"/>
      <c r="OP2" s="472"/>
      <c r="OQ2" s="472"/>
      <c r="OR2" s="472"/>
      <c r="OS2" s="472"/>
      <c r="OT2" s="472"/>
      <c r="OU2" s="472"/>
      <c r="OV2" s="472"/>
      <c r="OW2" s="472"/>
      <c r="OX2" s="472"/>
      <c r="OY2" s="472"/>
      <c r="OZ2" s="472"/>
      <c r="PA2" s="472"/>
      <c r="PB2" s="472"/>
      <c r="PC2" s="472"/>
      <c r="PD2" s="472"/>
      <c r="PE2" s="472"/>
      <c r="PF2" s="472"/>
      <c r="PG2" s="472"/>
      <c r="PH2" s="472"/>
      <c r="PI2" s="472"/>
      <c r="PJ2" s="472"/>
      <c r="PK2" s="472"/>
      <c r="PL2" s="472"/>
      <c r="PM2" s="472"/>
      <c r="PN2" s="472"/>
      <c r="PO2" s="472"/>
      <c r="PP2" s="472"/>
      <c r="PQ2" s="472"/>
      <c r="PR2" s="472"/>
      <c r="PS2" s="472"/>
      <c r="PT2" s="472"/>
      <c r="PU2" s="472"/>
      <c r="PV2" s="472"/>
      <c r="PW2" s="472"/>
      <c r="PX2" s="472"/>
      <c r="PY2" s="472"/>
      <c r="PZ2" s="472"/>
      <c r="QA2" s="472"/>
      <c r="QB2" s="472"/>
      <c r="QC2" s="472"/>
      <c r="QD2" s="472"/>
      <c r="QE2" s="472"/>
      <c r="QF2" s="472"/>
      <c r="QG2" s="472"/>
      <c r="QH2" s="472"/>
      <c r="QI2" s="472"/>
      <c r="QJ2" s="472"/>
      <c r="QK2" s="472"/>
      <c r="QL2" s="472"/>
      <c r="QM2" s="472"/>
      <c r="QN2" s="472"/>
      <c r="QO2" s="472"/>
      <c r="QP2" s="472"/>
      <c r="QQ2" s="472"/>
      <c r="QR2" s="472"/>
      <c r="QS2" s="472"/>
      <c r="QT2" s="472"/>
      <c r="QU2" s="472"/>
      <c r="QV2" s="472"/>
      <c r="QW2" s="472"/>
      <c r="QX2" s="472"/>
      <c r="QY2" s="472"/>
      <c r="QZ2" s="472"/>
      <c r="RA2" s="472"/>
      <c r="RB2" s="472"/>
      <c r="RC2" s="472"/>
      <c r="RD2" s="472"/>
      <c r="RE2" s="472"/>
      <c r="RF2" s="472"/>
      <c r="RG2" s="472"/>
      <c r="RH2" s="472"/>
      <c r="RI2" s="472"/>
      <c r="RJ2" s="472"/>
      <c r="RK2" s="472"/>
      <c r="RL2" s="472"/>
      <c r="RM2" s="472"/>
      <c r="RN2" s="472"/>
      <c r="RO2" s="472"/>
      <c r="RP2" s="472"/>
      <c r="RQ2" s="472"/>
      <c r="RR2" s="472"/>
      <c r="RS2" s="472"/>
      <c r="RT2" s="472"/>
      <c r="RU2" s="472"/>
      <c r="RV2" s="472"/>
      <c r="RW2" s="472"/>
      <c r="RX2" s="472"/>
      <c r="RY2" s="472"/>
      <c r="RZ2" s="472"/>
      <c r="SA2" s="472"/>
      <c r="SB2" s="472"/>
      <c r="SC2" s="472"/>
      <c r="SD2" s="472"/>
      <c r="SE2" s="472"/>
      <c r="SF2" s="472"/>
      <c r="SG2" s="472"/>
      <c r="SH2" s="472"/>
      <c r="SI2" s="472"/>
      <c r="SJ2" s="472"/>
      <c r="SK2" s="472"/>
      <c r="SL2" s="472"/>
      <c r="SM2" s="472"/>
      <c r="SN2" s="472"/>
      <c r="SO2" s="472"/>
      <c r="SP2" s="472"/>
      <c r="SQ2" s="472"/>
      <c r="SR2" s="472"/>
      <c r="SS2" s="472"/>
      <c r="ST2" s="472"/>
      <c r="SU2" s="472"/>
      <c r="SV2" s="472"/>
      <c r="SW2" s="472"/>
      <c r="SX2" s="472"/>
      <c r="SY2" s="472"/>
      <c r="SZ2" s="472"/>
      <c r="TA2" s="472"/>
      <c r="TB2" s="472"/>
      <c r="TC2" s="472"/>
      <c r="TD2" s="472"/>
      <c r="TE2" s="472"/>
      <c r="TF2" s="472"/>
      <c r="TG2" s="472"/>
      <c r="TH2" s="472"/>
      <c r="TI2" s="472"/>
      <c r="TJ2" s="472"/>
      <c r="TK2" s="472"/>
      <c r="TL2" s="472"/>
      <c r="TM2" s="472"/>
      <c r="TN2" s="472"/>
      <c r="TO2" s="472"/>
      <c r="TP2" s="472"/>
      <c r="TQ2" s="472"/>
      <c r="TR2" s="472"/>
      <c r="TS2" s="472"/>
      <c r="TT2" s="472"/>
      <c r="TU2" s="472"/>
      <c r="TV2" s="472"/>
      <c r="TW2" s="472"/>
      <c r="TX2" s="472"/>
      <c r="TY2" s="472"/>
      <c r="TZ2" s="472"/>
      <c r="UA2" s="472"/>
      <c r="UB2" s="472"/>
      <c r="UC2" s="472"/>
      <c r="UD2" s="472"/>
      <c r="UE2" s="472"/>
      <c r="UF2" s="472"/>
      <c r="UG2" s="472"/>
      <c r="UH2" s="472"/>
      <c r="UI2" s="472"/>
      <c r="UJ2" s="472"/>
      <c r="UK2" s="472"/>
      <c r="UL2" s="472"/>
      <c r="UM2" s="472"/>
      <c r="UN2" s="472"/>
      <c r="UO2" s="472"/>
      <c r="UP2" s="472"/>
      <c r="UQ2" s="472"/>
      <c r="UR2" s="472"/>
      <c r="US2" s="472"/>
      <c r="UT2" s="472"/>
      <c r="UU2" s="472"/>
      <c r="UV2" s="472"/>
      <c r="UW2" s="472"/>
      <c r="UX2" s="472"/>
      <c r="UY2" s="472"/>
      <c r="UZ2" s="472"/>
      <c r="VA2" s="472"/>
      <c r="VB2" s="472"/>
      <c r="VC2" s="472"/>
      <c r="VD2" s="472"/>
      <c r="VE2" s="472"/>
      <c r="VF2" s="472"/>
      <c r="VG2" s="472"/>
      <c r="VH2" s="472"/>
      <c r="VI2" s="472"/>
      <c r="VJ2" s="472"/>
      <c r="VK2" s="472"/>
      <c r="VL2" s="472"/>
      <c r="VM2" s="472"/>
      <c r="VN2" s="472"/>
      <c r="VO2" s="472"/>
      <c r="VP2" s="472"/>
      <c r="VQ2" s="472"/>
      <c r="VR2" s="472"/>
      <c r="VS2" s="472"/>
      <c r="VT2" s="472"/>
      <c r="VU2" s="472"/>
      <c r="VV2" s="472"/>
      <c r="VW2" s="472"/>
      <c r="VX2" s="472"/>
      <c r="VY2" s="472"/>
      <c r="VZ2" s="472"/>
      <c r="WA2" s="472"/>
      <c r="WB2" s="472"/>
      <c r="WC2" s="472"/>
      <c r="WD2" s="472"/>
      <c r="WE2" s="472"/>
      <c r="WF2" s="472"/>
      <c r="WG2" s="472"/>
      <c r="WH2" s="472"/>
      <c r="WI2" s="472"/>
      <c r="WJ2" s="472"/>
      <c r="WK2" s="472"/>
      <c r="WL2" s="472"/>
      <c r="WM2" s="472"/>
      <c r="WN2" s="472"/>
      <c r="WO2" s="472"/>
      <c r="WP2" s="472"/>
      <c r="WQ2" s="472"/>
      <c r="WR2" s="472"/>
      <c r="WS2" s="472"/>
      <c r="WT2" s="472"/>
      <c r="WU2" s="472"/>
      <c r="WV2" s="472"/>
      <c r="WW2" s="472"/>
      <c r="WX2" s="472"/>
      <c r="WY2" s="472"/>
      <c r="WZ2" s="472"/>
      <c r="XA2" s="472"/>
      <c r="XB2" s="472"/>
      <c r="XC2" s="472"/>
      <c r="XD2" s="472"/>
      <c r="XE2" s="472"/>
      <c r="XF2" s="472"/>
      <c r="XG2" s="472"/>
      <c r="XH2" s="472"/>
      <c r="XI2" s="472"/>
      <c r="XJ2" s="472"/>
      <c r="XK2" s="472"/>
      <c r="XL2" s="472"/>
      <c r="XM2" s="472"/>
      <c r="XN2" s="472"/>
      <c r="XO2" s="472"/>
      <c r="XP2" s="472"/>
      <c r="XQ2" s="472"/>
      <c r="XR2" s="472"/>
      <c r="XS2" s="472"/>
      <c r="XT2" s="472"/>
      <c r="XU2" s="472"/>
      <c r="XV2" s="472"/>
      <c r="XW2" s="472"/>
      <c r="XX2" s="472"/>
      <c r="XY2" s="472"/>
      <c r="XZ2" s="472"/>
      <c r="YA2" s="472"/>
      <c r="YB2" s="472"/>
      <c r="YC2" s="472"/>
      <c r="YD2" s="472"/>
      <c r="YE2" s="472"/>
      <c r="YF2" s="472"/>
      <c r="YG2" s="472"/>
      <c r="YH2" s="472"/>
      <c r="YI2" s="472"/>
      <c r="YJ2" s="472"/>
      <c r="YK2" s="472"/>
      <c r="YL2" s="472"/>
      <c r="YM2" s="472"/>
      <c r="YN2" s="472"/>
      <c r="YO2" s="472"/>
      <c r="YP2" s="472"/>
      <c r="YQ2" s="472"/>
      <c r="YR2" s="472"/>
      <c r="YS2" s="472"/>
      <c r="YT2" s="472"/>
      <c r="YU2" s="472"/>
      <c r="YV2" s="472"/>
      <c r="YW2" s="472"/>
      <c r="YX2" s="472"/>
      <c r="YY2" s="472"/>
      <c r="YZ2" s="472"/>
      <c r="ZA2" s="472"/>
      <c r="ZB2" s="472"/>
      <c r="ZC2" s="472"/>
      <c r="ZD2" s="472"/>
      <c r="ZE2" s="472"/>
      <c r="ZF2" s="472"/>
      <c r="ZG2" s="472"/>
      <c r="ZH2" s="472"/>
      <c r="ZI2" s="472"/>
      <c r="ZJ2" s="472"/>
      <c r="ZK2" s="472"/>
      <c r="ZL2" s="472"/>
      <c r="ZM2" s="472"/>
      <c r="ZN2" s="472"/>
      <c r="ZO2" s="472"/>
      <c r="ZP2" s="472"/>
      <c r="ZQ2" s="472"/>
      <c r="ZR2" s="472"/>
      <c r="ZS2" s="472"/>
      <c r="ZT2" s="472"/>
      <c r="ZU2" s="472"/>
      <c r="ZV2" s="472"/>
      <c r="ZW2" s="472"/>
      <c r="ZX2" s="472"/>
      <c r="ZY2" s="472"/>
      <c r="ZZ2" s="472"/>
      <c r="AAA2" s="472"/>
      <c r="AAB2" s="472"/>
      <c r="AAC2" s="472"/>
      <c r="AAD2" s="472"/>
      <c r="AAE2" s="472"/>
      <c r="AAF2" s="472"/>
      <c r="AAG2" s="472"/>
      <c r="AAH2" s="472"/>
      <c r="AAI2" s="472"/>
      <c r="AAJ2" s="472"/>
      <c r="AAK2" s="472"/>
      <c r="AAL2" s="472"/>
      <c r="AAM2" s="472"/>
      <c r="AAN2" s="472"/>
      <c r="AAO2" s="472"/>
      <c r="AAP2" s="472"/>
      <c r="AAQ2" s="472"/>
      <c r="AAR2" s="472"/>
      <c r="AAS2" s="472"/>
      <c r="AAT2" s="472"/>
      <c r="AAU2" s="472"/>
      <c r="AAV2" s="472"/>
      <c r="AAW2" s="472"/>
      <c r="AAX2" s="472"/>
      <c r="AAY2" s="472"/>
      <c r="AAZ2" s="472"/>
      <c r="ABA2" s="472"/>
      <c r="ABB2" s="472"/>
      <c r="ABC2" s="472"/>
      <c r="ABD2" s="472"/>
      <c r="ABE2" s="472"/>
      <c r="ABF2" s="472"/>
      <c r="ABG2" s="472"/>
      <c r="ABH2" s="472"/>
      <c r="ABI2" s="472"/>
      <c r="ABJ2" s="472"/>
      <c r="ABK2" s="472"/>
      <c r="ABL2" s="472"/>
      <c r="ABM2" s="472"/>
      <c r="ABN2" s="472"/>
      <c r="ABO2" s="472"/>
      <c r="ABP2" s="472"/>
      <c r="ABQ2" s="472"/>
      <c r="ABR2" s="472"/>
      <c r="ABS2" s="472"/>
      <c r="ABT2" s="472"/>
      <c r="ABU2" s="472"/>
      <c r="ABV2" s="472"/>
      <c r="ABW2" s="472"/>
      <c r="ABX2" s="472"/>
      <c r="ABY2" s="472"/>
      <c r="ABZ2" s="472"/>
      <c r="ACA2" s="472"/>
      <c r="ACB2" s="472"/>
      <c r="ACC2" s="472"/>
      <c r="ACD2" s="472"/>
      <c r="ACE2" s="472"/>
      <c r="ACF2" s="472"/>
      <c r="ACG2" s="472"/>
      <c r="ACH2" s="472"/>
      <c r="ACI2" s="472"/>
      <c r="ACJ2" s="472"/>
      <c r="ACK2" s="472"/>
      <c r="ACL2" s="472"/>
      <c r="ACM2" s="472"/>
      <c r="ACN2" s="472"/>
      <c r="ACO2" s="472"/>
      <c r="ACP2" s="472"/>
      <c r="ACQ2" s="472"/>
      <c r="ACR2" s="472"/>
      <c r="ACS2" s="472"/>
      <c r="ACT2" s="472"/>
      <c r="ACU2" s="472"/>
      <c r="ACV2" s="472"/>
      <c r="ACW2" s="472"/>
      <c r="ACX2" s="472"/>
      <c r="ACY2" s="472"/>
      <c r="ACZ2" s="472"/>
      <c r="ADA2" s="472"/>
      <c r="ADB2" s="472"/>
      <c r="ADC2" s="472"/>
      <c r="ADD2" s="472"/>
      <c r="ADE2" s="472"/>
      <c r="ADF2" s="472"/>
      <c r="ADG2" s="472"/>
      <c r="ADH2" s="472"/>
      <c r="ADI2" s="472"/>
      <c r="ADJ2" s="472"/>
      <c r="ADK2" s="472"/>
      <c r="ADL2" s="472"/>
      <c r="ADM2" s="472"/>
      <c r="ADN2" s="472"/>
      <c r="ADO2" s="472"/>
      <c r="ADP2" s="472"/>
      <c r="ADQ2" s="472"/>
      <c r="ADR2" s="472"/>
      <c r="ADS2" s="472"/>
      <c r="ADT2" s="472"/>
      <c r="ADU2" s="472"/>
      <c r="ADV2" s="472"/>
      <c r="ADW2" s="472"/>
      <c r="ADX2" s="472"/>
      <c r="ADY2" s="472"/>
      <c r="ADZ2" s="472"/>
      <c r="AEA2" s="472"/>
      <c r="AEB2" s="472"/>
      <c r="AEC2" s="472"/>
      <c r="AED2" s="472"/>
      <c r="AEE2" s="472"/>
      <c r="AEF2" s="472"/>
      <c r="AEG2" s="472"/>
      <c r="AEH2" s="472"/>
      <c r="AEI2" s="472"/>
      <c r="AEJ2" s="472"/>
      <c r="AEK2" s="472"/>
      <c r="AEL2" s="472"/>
      <c r="AEM2" s="472"/>
      <c r="AEN2" s="472"/>
      <c r="AEO2" s="472"/>
      <c r="AEP2" s="472"/>
      <c r="AEQ2" s="472"/>
      <c r="AER2" s="472"/>
      <c r="AES2" s="472"/>
      <c r="AET2" s="472"/>
      <c r="AEU2" s="472"/>
      <c r="AEV2" s="472"/>
      <c r="AEW2" s="472"/>
      <c r="AEX2" s="472"/>
      <c r="AEY2" s="472"/>
      <c r="AEZ2" s="472"/>
      <c r="AFA2" s="472"/>
      <c r="AFB2" s="472"/>
      <c r="AFC2" s="472"/>
      <c r="AFD2" s="472"/>
      <c r="AFE2" s="472"/>
      <c r="AFF2" s="472"/>
      <c r="AFG2" s="472"/>
      <c r="AFH2" s="472"/>
      <c r="AFI2" s="472"/>
      <c r="AFJ2" s="472"/>
      <c r="AFK2" s="472"/>
      <c r="AFL2" s="472"/>
      <c r="AFM2" s="472"/>
      <c r="AFN2" s="472"/>
      <c r="AFO2" s="472"/>
      <c r="AFP2" s="472"/>
      <c r="AFQ2" s="472"/>
      <c r="AFR2" s="472"/>
      <c r="AFS2" s="472"/>
      <c r="AFT2" s="472"/>
      <c r="AFU2" s="472"/>
      <c r="AFV2" s="472"/>
      <c r="AFW2" s="472"/>
      <c r="AFX2" s="472"/>
      <c r="AFY2" s="472"/>
      <c r="AFZ2" s="472"/>
      <c r="AGA2" s="472"/>
      <c r="AGB2" s="472"/>
      <c r="AGC2" s="472"/>
      <c r="AGD2" s="472"/>
      <c r="AGE2" s="472"/>
      <c r="AGF2" s="472"/>
      <c r="AGG2" s="472"/>
      <c r="AGH2" s="472"/>
      <c r="AGI2" s="472"/>
      <c r="AGJ2" s="472"/>
      <c r="AGK2" s="472"/>
      <c r="AGL2" s="472"/>
      <c r="AGM2" s="472"/>
      <c r="AGN2" s="472"/>
      <c r="AGO2" s="472"/>
      <c r="AGP2" s="472"/>
      <c r="AGQ2" s="472"/>
      <c r="AGR2" s="472"/>
      <c r="AGS2" s="472"/>
      <c r="AGT2" s="472"/>
      <c r="AGU2" s="472"/>
      <c r="AGV2" s="472"/>
      <c r="AGW2" s="472"/>
      <c r="AGX2" s="472"/>
      <c r="AGY2" s="472"/>
      <c r="AGZ2" s="472"/>
      <c r="AHA2" s="472"/>
      <c r="AHB2" s="472"/>
      <c r="AHC2" s="472"/>
      <c r="AHD2" s="472"/>
      <c r="AHE2" s="472"/>
      <c r="AHF2" s="472"/>
      <c r="AHG2" s="472"/>
      <c r="AHH2" s="472"/>
      <c r="AHI2" s="472"/>
      <c r="AHJ2" s="472"/>
      <c r="AHK2" s="472"/>
      <c r="AHL2" s="472"/>
      <c r="AHM2" s="472"/>
      <c r="AHN2" s="472"/>
      <c r="AHO2" s="472"/>
      <c r="AHP2" s="472"/>
      <c r="AHQ2" s="472"/>
      <c r="AHR2" s="472"/>
      <c r="AHS2" s="472"/>
      <c r="AHT2" s="472"/>
      <c r="AHU2" s="472"/>
      <c r="AHV2" s="472"/>
      <c r="AHW2" s="472"/>
      <c r="AHX2" s="472"/>
      <c r="AHY2" s="472"/>
      <c r="AHZ2" s="472"/>
      <c r="AIA2" s="472"/>
      <c r="AIB2" s="472"/>
      <c r="AIC2" s="472"/>
      <c r="AID2" s="472"/>
      <c r="AIE2" s="472"/>
      <c r="AIF2" s="472"/>
      <c r="AIG2" s="472"/>
      <c r="AIH2" s="472"/>
      <c r="AII2" s="472"/>
      <c r="AIJ2" s="472"/>
      <c r="AIK2" s="472"/>
      <c r="AIL2" s="472"/>
      <c r="AIM2" s="472"/>
      <c r="AIN2" s="472"/>
      <c r="AIO2" s="472"/>
      <c r="AIP2" s="472"/>
      <c r="AIQ2" s="472"/>
      <c r="AIR2" s="472"/>
      <c r="AIS2" s="472"/>
      <c r="AIT2" s="472"/>
      <c r="AIU2" s="472"/>
      <c r="AIV2" s="472"/>
      <c r="AIW2" s="472"/>
      <c r="AIX2" s="472"/>
      <c r="AIY2" s="472"/>
      <c r="AIZ2" s="472"/>
      <c r="AJA2" s="472"/>
      <c r="AJB2" s="472"/>
      <c r="AJC2" s="472"/>
      <c r="AJD2" s="472"/>
      <c r="AJE2" s="472"/>
      <c r="AJF2" s="472"/>
      <c r="AJG2" s="472"/>
      <c r="AJH2" s="472"/>
      <c r="AJI2" s="472"/>
      <c r="AJJ2" s="472"/>
      <c r="AJK2" s="472"/>
      <c r="AJL2" s="472"/>
      <c r="AJM2" s="472"/>
      <c r="AJN2" s="472"/>
      <c r="AJO2" s="472"/>
      <c r="AJP2" s="472"/>
      <c r="AJQ2" s="472"/>
      <c r="AJR2" s="472"/>
      <c r="AJS2" s="472"/>
      <c r="AJT2" s="472"/>
      <c r="AJU2" s="472"/>
      <c r="AJV2" s="472"/>
      <c r="AJW2" s="472"/>
      <c r="AJX2" s="472"/>
      <c r="AJY2" s="472"/>
      <c r="AJZ2" s="472"/>
      <c r="AKA2" s="472"/>
      <c r="AKB2" s="472"/>
      <c r="AKC2" s="472"/>
      <c r="AKD2" s="472"/>
      <c r="AKE2" s="472"/>
      <c r="AKF2" s="472"/>
      <c r="AKG2" s="472"/>
      <c r="AKH2" s="472"/>
      <c r="AKI2" s="472"/>
      <c r="AKJ2" s="472"/>
      <c r="AKK2" s="472"/>
      <c r="AKL2" s="472"/>
      <c r="AKM2" s="472"/>
      <c r="AKN2" s="472"/>
      <c r="AKO2" s="472"/>
      <c r="AKP2" s="472"/>
      <c r="AKQ2" s="472"/>
      <c r="AKR2" s="472"/>
      <c r="AKS2" s="472"/>
      <c r="AKT2" s="472"/>
      <c r="AKU2" s="472"/>
      <c r="AKV2" s="472"/>
      <c r="AKW2" s="472"/>
      <c r="AKX2" s="472"/>
      <c r="AKY2" s="472"/>
      <c r="AKZ2" s="472"/>
      <c r="ALA2" s="472"/>
      <c r="ALB2" s="472"/>
      <c r="ALC2" s="472"/>
      <c r="ALD2" s="472"/>
      <c r="ALE2" s="472"/>
      <c r="ALF2" s="472"/>
      <c r="ALG2" s="472"/>
      <c r="ALH2" s="472"/>
      <c r="ALI2" s="472"/>
      <c r="ALJ2" s="472"/>
      <c r="ALK2" s="472"/>
      <c r="ALL2" s="472"/>
      <c r="ALM2" s="472"/>
      <c r="ALN2" s="472"/>
      <c r="ALO2" s="472"/>
      <c r="ALP2" s="472"/>
      <c r="ALQ2" s="472"/>
      <c r="ALR2" s="472"/>
      <c r="ALS2" s="472"/>
      <c r="ALT2" s="472"/>
      <c r="ALU2" s="472"/>
      <c r="ALV2" s="472"/>
      <c r="ALW2" s="472"/>
      <c r="ALX2" s="472"/>
      <c r="ALY2" s="472"/>
      <c r="ALZ2" s="472"/>
      <c r="AMA2" s="472"/>
      <c r="AMB2" s="472"/>
      <c r="AMC2" s="472"/>
      <c r="AMD2" s="472"/>
      <c r="AME2" s="472"/>
      <c r="AMF2" s="472"/>
      <c r="AMG2" s="472"/>
      <c r="AMH2" s="472"/>
      <c r="AMI2" s="472"/>
      <c r="AMJ2" s="472"/>
      <c r="AMK2" s="472"/>
      <c r="AML2" s="472"/>
      <c r="AMM2" s="472"/>
      <c r="AMN2" s="472"/>
      <c r="AMO2" s="472"/>
      <c r="AMP2" s="472"/>
      <c r="AMQ2" s="472"/>
      <c r="AMR2" s="472"/>
      <c r="AMS2" s="472"/>
      <c r="AMT2" s="472"/>
      <c r="AMU2" s="472"/>
      <c r="AMV2" s="472"/>
      <c r="AMW2" s="472"/>
      <c r="AMX2" s="472"/>
      <c r="AMY2" s="472"/>
      <c r="AMZ2" s="472"/>
      <c r="ANA2" s="472"/>
      <c r="ANB2" s="472"/>
      <c r="ANC2" s="472"/>
      <c r="AND2" s="472"/>
      <c r="ANE2" s="472"/>
      <c r="ANF2" s="472"/>
      <c r="ANG2" s="472"/>
      <c r="ANH2" s="472"/>
      <c r="ANI2" s="472"/>
      <c r="ANJ2" s="472"/>
      <c r="ANK2" s="472"/>
      <c r="ANL2" s="472"/>
      <c r="ANM2" s="472"/>
      <c r="ANN2" s="472"/>
      <c r="ANO2" s="472"/>
      <c r="ANP2" s="472"/>
      <c r="ANQ2" s="472"/>
      <c r="ANR2" s="472"/>
      <c r="ANS2" s="472"/>
      <c r="ANT2" s="472"/>
      <c r="ANU2" s="472"/>
      <c r="ANV2" s="472"/>
      <c r="ANW2" s="472"/>
      <c r="ANX2" s="472"/>
      <c r="ANY2" s="472"/>
      <c r="ANZ2" s="472"/>
      <c r="AOA2" s="472"/>
      <c r="AOB2" s="472"/>
      <c r="AOC2" s="472"/>
      <c r="AOD2" s="472"/>
      <c r="AOE2" s="472"/>
      <c r="AOF2" s="472"/>
      <c r="AOG2" s="472"/>
      <c r="AOH2" s="472"/>
      <c r="AOI2" s="472"/>
      <c r="AOJ2" s="472"/>
      <c r="AOK2" s="472"/>
      <c r="AOL2" s="472"/>
      <c r="AOM2" s="472"/>
      <c r="AON2" s="472"/>
      <c r="AOO2" s="472"/>
      <c r="AOP2" s="472"/>
      <c r="AOQ2" s="472"/>
      <c r="AOR2" s="472"/>
      <c r="AOS2" s="472"/>
      <c r="AOT2" s="472"/>
      <c r="AOU2" s="472"/>
      <c r="AOV2" s="472"/>
      <c r="AOW2" s="472"/>
      <c r="AOX2" s="472"/>
      <c r="AOY2" s="472"/>
      <c r="AOZ2" s="472"/>
      <c r="APA2" s="472"/>
      <c r="APB2" s="472"/>
      <c r="APC2" s="472"/>
      <c r="APD2" s="472"/>
      <c r="APE2" s="472"/>
      <c r="APF2" s="472"/>
      <c r="APG2" s="472"/>
      <c r="APH2" s="472"/>
      <c r="API2" s="472"/>
      <c r="APJ2" s="472"/>
      <c r="APK2" s="472"/>
      <c r="APL2" s="472"/>
      <c r="APM2" s="472"/>
      <c r="APN2" s="472"/>
      <c r="APO2" s="472"/>
      <c r="APP2" s="472"/>
      <c r="APQ2" s="472"/>
      <c r="APR2" s="472"/>
      <c r="APS2" s="472"/>
      <c r="APT2" s="472"/>
      <c r="APU2" s="472"/>
      <c r="APV2" s="472"/>
      <c r="APW2" s="472"/>
      <c r="APX2" s="472"/>
      <c r="APY2" s="472"/>
      <c r="APZ2" s="472"/>
      <c r="AQA2" s="472"/>
      <c r="AQB2" s="472"/>
      <c r="AQC2" s="472"/>
      <c r="AQD2" s="472"/>
      <c r="AQE2" s="472"/>
      <c r="AQF2" s="472"/>
      <c r="AQG2" s="472"/>
      <c r="AQH2" s="472"/>
      <c r="AQI2" s="472"/>
      <c r="AQJ2" s="472"/>
      <c r="AQK2" s="472"/>
      <c r="AQL2" s="472"/>
      <c r="AQM2" s="472"/>
      <c r="AQN2" s="472"/>
      <c r="AQO2" s="472"/>
      <c r="AQP2" s="472"/>
      <c r="AQQ2" s="472"/>
      <c r="AQR2" s="472"/>
      <c r="AQS2" s="472"/>
      <c r="AQT2" s="472"/>
      <c r="AQU2" s="472"/>
      <c r="AQV2" s="472"/>
      <c r="AQW2" s="472"/>
      <c r="AQX2" s="472"/>
      <c r="AQY2" s="472"/>
      <c r="AQZ2" s="472"/>
      <c r="ARA2" s="472"/>
      <c r="ARB2" s="472"/>
      <c r="ARC2" s="472"/>
      <c r="ARD2" s="472"/>
      <c r="ARE2" s="472"/>
      <c r="ARF2" s="472"/>
      <c r="ARG2" s="472"/>
      <c r="ARH2" s="472"/>
      <c r="ARI2" s="472"/>
      <c r="ARJ2" s="472"/>
      <c r="ARK2" s="472"/>
      <c r="ARL2" s="472"/>
      <c r="ARM2" s="472"/>
      <c r="ARN2" s="472"/>
      <c r="ARO2" s="472"/>
      <c r="ARP2" s="472"/>
      <c r="ARQ2" s="472"/>
      <c r="ARR2" s="472"/>
      <c r="ARS2" s="472"/>
      <c r="ART2" s="472"/>
      <c r="ARU2" s="472"/>
      <c r="ARV2" s="472"/>
      <c r="ARW2" s="472"/>
      <c r="ARX2" s="472"/>
      <c r="ARY2" s="472"/>
      <c r="ARZ2" s="472"/>
      <c r="ASA2" s="472"/>
      <c r="ASB2" s="472"/>
      <c r="ASC2" s="472"/>
      <c r="ASD2" s="472"/>
      <c r="ASE2" s="472"/>
      <c r="ASF2" s="472"/>
      <c r="ASG2" s="472"/>
      <c r="ASH2" s="472"/>
      <c r="ASI2" s="472"/>
      <c r="ASJ2" s="472"/>
      <c r="ASK2" s="472"/>
      <c r="ASL2" s="472"/>
      <c r="ASM2" s="472"/>
      <c r="ASN2" s="472"/>
      <c r="ASO2" s="472"/>
      <c r="ASP2" s="472"/>
      <c r="ASQ2" s="472"/>
      <c r="ASR2" s="472"/>
      <c r="ASS2" s="472"/>
      <c r="AST2" s="472"/>
      <c r="ASU2" s="472"/>
      <c r="ASV2" s="472"/>
      <c r="ASW2" s="472"/>
      <c r="ASX2" s="472"/>
      <c r="ASY2" s="472"/>
      <c r="ASZ2" s="472"/>
      <c r="ATA2" s="472"/>
      <c r="ATB2" s="472"/>
      <c r="ATC2" s="472"/>
      <c r="ATD2" s="472"/>
      <c r="ATE2" s="472"/>
      <c r="ATF2" s="472"/>
      <c r="ATG2" s="472"/>
      <c r="ATH2" s="472"/>
      <c r="ATI2" s="472"/>
      <c r="ATJ2" s="472"/>
      <c r="ATK2" s="472"/>
      <c r="ATL2" s="472"/>
      <c r="ATM2" s="472"/>
      <c r="ATN2" s="472"/>
      <c r="ATO2" s="472"/>
      <c r="ATP2" s="472"/>
      <c r="ATQ2" s="472"/>
      <c r="ATR2" s="472"/>
      <c r="ATS2" s="472"/>
      <c r="ATT2" s="472"/>
      <c r="ATU2" s="472"/>
      <c r="ATV2" s="472"/>
      <c r="ATW2" s="472"/>
      <c r="ATX2" s="472"/>
      <c r="ATY2" s="472"/>
      <c r="ATZ2" s="472"/>
      <c r="AUA2" s="472"/>
      <c r="AUB2" s="472"/>
      <c r="AUC2" s="472"/>
      <c r="AUD2" s="472"/>
      <c r="AUE2" s="472"/>
      <c r="AUF2" s="472"/>
      <c r="AUG2" s="472"/>
      <c r="AUH2" s="472"/>
      <c r="AUI2" s="472"/>
      <c r="AUJ2" s="472"/>
      <c r="AUK2" s="472"/>
      <c r="AUL2" s="472"/>
      <c r="AUM2" s="472"/>
      <c r="AUN2" s="472"/>
      <c r="AUO2" s="472"/>
      <c r="AUP2" s="472"/>
      <c r="AUQ2" s="472"/>
      <c r="AUR2" s="472"/>
      <c r="AUS2" s="472"/>
      <c r="AUT2" s="472"/>
      <c r="AUU2" s="472"/>
      <c r="AUV2" s="472"/>
      <c r="AUW2" s="472"/>
      <c r="AUX2" s="472"/>
      <c r="AUY2" s="472"/>
      <c r="AUZ2" s="472"/>
      <c r="AVA2" s="472"/>
      <c r="AVB2" s="472"/>
      <c r="AVC2" s="472"/>
      <c r="AVD2" s="472"/>
      <c r="AVE2" s="472"/>
      <c r="AVF2" s="472"/>
      <c r="AVG2" s="472"/>
      <c r="AVH2" s="472"/>
      <c r="AVI2" s="472"/>
      <c r="AVJ2" s="472"/>
      <c r="AVK2" s="472"/>
      <c r="AVL2" s="472"/>
      <c r="AVM2" s="472"/>
      <c r="AVN2" s="472"/>
      <c r="AVO2" s="472"/>
      <c r="AVP2" s="472"/>
      <c r="AVQ2" s="472"/>
      <c r="AVR2" s="472"/>
      <c r="AVS2" s="472"/>
      <c r="AVT2" s="472"/>
      <c r="AVU2" s="472"/>
      <c r="AVV2" s="472"/>
      <c r="AVW2" s="472"/>
      <c r="AVX2" s="472"/>
      <c r="AVY2" s="472"/>
      <c r="AVZ2" s="472"/>
      <c r="AWA2" s="472"/>
      <c r="AWB2" s="472"/>
      <c r="AWC2" s="472"/>
      <c r="AWD2" s="472"/>
      <c r="AWE2" s="472"/>
      <c r="AWF2" s="472"/>
      <c r="AWG2" s="472"/>
      <c r="AWH2" s="472"/>
      <c r="AWI2" s="472"/>
      <c r="AWJ2" s="472"/>
      <c r="AWK2" s="472"/>
      <c r="AWL2" s="472"/>
      <c r="AWM2" s="472"/>
      <c r="AWN2" s="472"/>
      <c r="AWO2" s="472"/>
      <c r="AWP2" s="472"/>
      <c r="AWQ2" s="472"/>
      <c r="AWR2" s="472"/>
      <c r="AWS2" s="472"/>
      <c r="AWT2" s="472"/>
      <c r="AWU2" s="472"/>
      <c r="AWV2" s="472"/>
      <c r="AWW2" s="472"/>
      <c r="AWX2" s="472"/>
      <c r="AWY2" s="472"/>
      <c r="AWZ2" s="472"/>
      <c r="AXA2" s="472"/>
      <c r="AXB2" s="472"/>
      <c r="AXC2" s="472"/>
      <c r="AXD2" s="472"/>
      <c r="AXE2" s="472"/>
      <c r="AXF2" s="472"/>
      <c r="AXG2" s="472"/>
      <c r="AXH2" s="472"/>
      <c r="AXI2" s="472"/>
      <c r="AXJ2" s="472"/>
      <c r="AXK2" s="472"/>
      <c r="AXL2" s="472"/>
      <c r="AXM2" s="472"/>
      <c r="AXN2" s="472"/>
      <c r="AXO2" s="472"/>
      <c r="AXP2" s="472"/>
      <c r="AXQ2" s="472"/>
      <c r="AXR2" s="472"/>
      <c r="AXS2" s="472"/>
      <c r="AXT2" s="472"/>
      <c r="AXU2" s="472"/>
      <c r="AXV2" s="472"/>
      <c r="AXW2" s="472"/>
      <c r="AXX2" s="472"/>
      <c r="AXY2" s="472"/>
      <c r="AXZ2" s="472"/>
      <c r="AYA2" s="472"/>
      <c r="AYB2" s="472"/>
      <c r="AYC2" s="472"/>
      <c r="AYD2" s="472"/>
      <c r="AYE2" s="472"/>
      <c r="AYF2" s="472"/>
      <c r="AYG2" s="472"/>
      <c r="AYH2" s="472"/>
      <c r="AYI2" s="472"/>
      <c r="AYJ2" s="472"/>
      <c r="AYK2" s="472"/>
      <c r="AYL2" s="472"/>
      <c r="AYM2" s="472"/>
      <c r="AYN2" s="472"/>
      <c r="AYO2" s="472"/>
      <c r="AYP2" s="472"/>
      <c r="AYQ2" s="472"/>
      <c r="AYR2" s="472"/>
      <c r="AYS2" s="472"/>
      <c r="AYT2" s="472"/>
      <c r="AYU2" s="472"/>
      <c r="AYV2" s="472"/>
      <c r="AYW2" s="472"/>
      <c r="AYX2" s="472"/>
      <c r="AYY2" s="472"/>
      <c r="AYZ2" s="472"/>
      <c r="AZA2" s="472"/>
      <c r="AZB2" s="472"/>
      <c r="AZC2" s="472"/>
      <c r="AZD2" s="472"/>
      <c r="AZE2" s="472"/>
      <c r="AZF2" s="472"/>
      <c r="AZG2" s="472"/>
      <c r="AZH2" s="472"/>
      <c r="AZI2" s="472"/>
      <c r="AZJ2" s="472"/>
      <c r="AZK2" s="472"/>
      <c r="AZL2" s="472"/>
      <c r="AZM2" s="472"/>
      <c r="AZN2" s="472"/>
      <c r="AZO2" s="472"/>
      <c r="AZP2" s="472"/>
      <c r="AZQ2" s="472"/>
      <c r="AZR2" s="472"/>
      <c r="AZS2" s="472"/>
      <c r="AZT2" s="472"/>
      <c r="AZU2" s="472"/>
      <c r="AZV2" s="472"/>
      <c r="AZW2" s="472"/>
      <c r="AZX2" s="472"/>
      <c r="AZY2" s="472"/>
      <c r="AZZ2" s="472"/>
      <c r="BAA2" s="472"/>
      <c r="BAB2" s="472"/>
      <c r="BAC2" s="472"/>
      <c r="BAD2" s="472"/>
      <c r="BAE2" s="472"/>
      <c r="BAF2" s="472"/>
      <c r="BAG2" s="472"/>
      <c r="BAH2" s="472"/>
      <c r="BAI2" s="472"/>
      <c r="BAJ2" s="472"/>
      <c r="BAK2" s="472"/>
      <c r="BAL2" s="472"/>
      <c r="BAM2" s="472"/>
      <c r="BAN2" s="472"/>
      <c r="BAO2" s="472"/>
      <c r="BAP2" s="472"/>
      <c r="BAQ2" s="472"/>
      <c r="BAR2" s="472"/>
      <c r="BAS2" s="472"/>
      <c r="BAT2" s="472"/>
      <c r="BAU2" s="472"/>
      <c r="BAV2" s="472"/>
      <c r="BAW2" s="472"/>
      <c r="BAX2" s="472"/>
      <c r="BAY2" s="472"/>
      <c r="BAZ2" s="472"/>
      <c r="BBA2" s="472"/>
      <c r="BBB2" s="472"/>
      <c r="BBC2" s="472"/>
      <c r="BBD2" s="472"/>
      <c r="BBE2" s="472"/>
      <c r="BBF2" s="472"/>
      <c r="BBG2" s="472"/>
      <c r="BBH2" s="472"/>
      <c r="BBI2" s="472"/>
      <c r="BBJ2" s="472"/>
      <c r="BBK2" s="472"/>
      <c r="BBL2" s="472"/>
      <c r="BBM2" s="472"/>
      <c r="BBN2" s="472"/>
      <c r="BBO2" s="472"/>
      <c r="BBP2" s="472"/>
      <c r="BBQ2" s="472"/>
      <c r="BBR2" s="472"/>
      <c r="BBS2" s="472"/>
      <c r="BBT2" s="472"/>
      <c r="BBU2" s="472"/>
      <c r="BBV2" s="472"/>
      <c r="BBW2" s="472"/>
      <c r="BBX2" s="472"/>
      <c r="BBY2" s="472"/>
      <c r="BBZ2" s="472"/>
      <c r="BCA2" s="472"/>
      <c r="BCB2" s="472"/>
      <c r="BCC2" s="472"/>
      <c r="BCD2" s="472"/>
      <c r="BCE2" s="472"/>
      <c r="BCF2" s="472"/>
      <c r="BCG2" s="472"/>
      <c r="BCH2" s="472"/>
      <c r="BCI2" s="472"/>
      <c r="BCJ2" s="472"/>
      <c r="BCK2" s="472"/>
      <c r="BCL2" s="472"/>
      <c r="BCM2" s="472"/>
      <c r="BCN2" s="472"/>
      <c r="BCO2" s="472"/>
      <c r="BCP2" s="472"/>
      <c r="BCQ2" s="472"/>
      <c r="BCR2" s="472"/>
      <c r="BCS2" s="472"/>
      <c r="BCT2" s="472"/>
      <c r="BCU2" s="472"/>
      <c r="BCV2" s="472"/>
      <c r="BCW2" s="472"/>
      <c r="BCX2" s="472"/>
      <c r="BCY2" s="472"/>
      <c r="BCZ2" s="472"/>
      <c r="BDA2" s="472"/>
      <c r="BDB2" s="472"/>
      <c r="BDC2" s="472"/>
      <c r="BDD2" s="472"/>
      <c r="BDE2" s="472"/>
      <c r="BDF2" s="472"/>
      <c r="BDG2" s="472"/>
      <c r="BDH2" s="472"/>
      <c r="BDI2" s="472"/>
      <c r="BDJ2" s="472"/>
      <c r="BDK2" s="472"/>
      <c r="BDL2" s="472"/>
      <c r="BDM2" s="472"/>
      <c r="BDN2" s="472"/>
      <c r="BDO2" s="472"/>
      <c r="BDP2" s="472"/>
      <c r="BDQ2" s="472"/>
      <c r="BDR2" s="472"/>
      <c r="BDS2" s="472"/>
      <c r="BDT2" s="472"/>
      <c r="BDU2" s="472"/>
      <c r="BDV2" s="472"/>
      <c r="BDW2" s="472"/>
      <c r="BDX2" s="472"/>
      <c r="BDY2" s="472"/>
      <c r="BDZ2" s="472"/>
      <c r="BEA2" s="472"/>
      <c r="BEB2" s="472"/>
      <c r="BEC2" s="472"/>
      <c r="BED2" s="472"/>
      <c r="BEE2" s="472"/>
      <c r="BEF2" s="472"/>
      <c r="BEG2" s="472"/>
      <c r="BEH2" s="472"/>
      <c r="BEI2" s="472"/>
      <c r="BEJ2" s="472"/>
      <c r="BEK2" s="472"/>
      <c r="BEL2" s="472"/>
      <c r="BEM2" s="472"/>
      <c r="BEN2" s="472"/>
      <c r="BEO2" s="472"/>
      <c r="BEP2" s="472"/>
      <c r="BEQ2" s="472"/>
      <c r="BER2" s="472"/>
      <c r="BES2" s="472"/>
      <c r="BET2" s="472"/>
      <c r="BEU2" s="472"/>
      <c r="BEV2" s="472"/>
      <c r="BEW2" s="472"/>
      <c r="BEX2" s="472"/>
      <c r="BEY2" s="472"/>
      <c r="BEZ2" s="472"/>
      <c r="BFA2" s="472"/>
      <c r="BFB2" s="472"/>
      <c r="BFC2" s="472"/>
      <c r="BFD2" s="472"/>
      <c r="BFE2" s="472"/>
      <c r="BFF2" s="472"/>
      <c r="BFG2" s="472"/>
      <c r="BFH2" s="472"/>
      <c r="BFI2" s="472"/>
      <c r="BFJ2" s="472"/>
      <c r="BFK2" s="472"/>
      <c r="BFL2" s="472"/>
      <c r="BFM2" s="472"/>
      <c r="BFN2" s="472"/>
      <c r="BFO2" s="472"/>
      <c r="BFP2" s="472"/>
      <c r="BFQ2" s="472"/>
      <c r="BFR2" s="472"/>
      <c r="BFS2" s="472"/>
      <c r="BFT2" s="472"/>
      <c r="BFU2" s="472"/>
      <c r="BFV2" s="472"/>
      <c r="BFW2" s="472"/>
      <c r="BFX2" s="472"/>
      <c r="BFY2" s="472"/>
      <c r="BFZ2" s="472"/>
      <c r="BGA2" s="472"/>
      <c r="BGB2" s="472"/>
      <c r="BGC2" s="472"/>
      <c r="BGD2" s="472"/>
      <c r="BGE2" s="472"/>
      <c r="BGF2" s="472"/>
      <c r="BGG2" s="472"/>
      <c r="BGH2" s="472"/>
      <c r="BGI2" s="472"/>
      <c r="BGJ2" s="472"/>
      <c r="BGK2" s="472"/>
      <c r="BGL2" s="472"/>
      <c r="BGM2" s="472"/>
      <c r="BGN2" s="472"/>
      <c r="BGO2" s="472"/>
      <c r="BGP2" s="472"/>
      <c r="BGQ2" s="472"/>
      <c r="BGR2" s="472"/>
      <c r="BGS2" s="472"/>
      <c r="BGT2" s="472"/>
      <c r="BGU2" s="472"/>
      <c r="BGV2" s="472"/>
      <c r="BGW2" s="472"/>
      <c r="BGX2" s="472"/>
      <c r="BGY2" s="472"/>
      <c r="BGZ2" s="472"/>
      <c r="BHA2" s="472"/>
      <c r="BHB2" s="472"/>
      <c r="BHC2" s="472"/>
      <c r="BHD2" s="472"/>
      <c r="BHE2" s="472"/>
      <c r="BHF2" s="472"/>
      <c r="BHG2" s="472"/>
      <c r="BHH2" s="472"/>
      <c r="BHI2" s="472"/>
      <c r="BHJ2" s="472"/>
      <c r="BHK2" s="472"/>
      <c r="BHL2" s="472"/>
      <c r="BHM2" s="472"/>
      <c r="BHN2" s="472"/>
      <c r="BHO2" s="472"/>
      <c r="BHP2" s="472"/>
      <c r="BHQ2" s="472"/>
      <c r="BHR2" s="472"/>
      <c r="BHS2" s="472"/>
      <c r="BHT2" s="472"/>
      <c r="BHU2" s="472"/>
      <c r="BHV2" s="472"/>
      <c r="BHW2" s="472"/>
      <c r="BHX2" s="472"/>
      <c r="BHY2" s="472"/>
      <c r="BHZ2" s="472"/>
      <c r="BIA2" s="472"/>
      <c r="BIB2" s="472"/>
      <c r="BIC2" s="472"/>
      <c r="BID2" s="472"/>
      <c r="BIE2" s="472"/>
      <c r="BIF2" s="472"/>
      <c r="BIG2" s="472"/>
      <c r="BIH2" s="472"/>
      <c r="BII2" s="472"/>
      <c r="BIJ2" s="472"/>
      <c r="BIK2" s="472"/>
      <c r="BIL2" s="472"/>
      <c r="BIM2" s="472"/>
      <c r="BIN2" s="472"/>
      <c r="BIO2" s="472"/>
      <c r="BIP2" s="472"/>
      <c r="BIQ2" s="472"/>
      <c r="BIR2" s="472"/>
      <c r="BIS2" s="472"/>
      <c r="BIT2" s="472"/>
      <c r="BIU2" s="472"/>
      <c r="BIV2" s="472"/>
      <c r="BIW2" s="472"/>
      <c r="BIX2" s="472"/>
      <c r="BIY2" s="472"/>
      <c r="BIZ2" s="472"/>
      <c r="BJA2" s="472"/>
      <c r="BJB2" s="472"/>
      <c r="BJC2" s="472"/>
      <c r="BJD2" s="472"/>
      <c r="BJE2" s="472"/>
      <c r="BJF2" s="472"/>
      <c r="BJG2" s="472"/>
      <c r="BJH2" s="472"/>
      <c r="BJI2" s="472"/>
      <c r="BJJ2" s="472"/>
      <c r="BJK2" s="472"/>
      <c r="BJL2" s="472"/>
      <c r="BJM2" s="472"/>
      <c r="BJN2" s="472"/>
      <c r="BJO2" s="472"/>
      <c r="BJP2" s="472"/>
      <c r="BJQ2" s="472"/>
      <c r="BJR2" s="472"/>
      <c r="BJS2" s="472"/>
      <c r="BJT2" s="472"/>
      <c r="BJU2" s="472"/>
      <c r="BJV2" s="472"/>
      <c r="BJW2" s="472"/>
      <c r="BJX2" s="472"/>
      <c r="BJY2" s="472"/>
      <c r="BJZ2" s="472"/>
      <c r="BKA2" s="472"/>
      <c r="BKB2" s="472"/>
      <c r="BKC2" s="472"/>
      <c r="BKD2" s="472"/>
      <c r="BKE2" s="472"/>
      <c r="BKF2" s="472"/>
      <c r="BKG2" s="472"/>
      <c r="BKH2" s="472"/>
      <c r="BKI2" s="472"/>
      <c r="BKJ2" s="472"/>
      <c r="BKK2" s="472"/>
      <c r="BKL2" s="472"/>
      <c r="BKM2" s="472"/>
      <c r="BKN2" s="472"/>
      <c r="BKO2" s="472"/>
      <c r="BKP2" s="472"/>
      <c r="BKQ2" s="472"/>
      <c r="BKR2" s="472"/>
      <c r="BKS2" s="472"/>
      <c r="BKT2" s="472"/>
      <c r="BKU2" s="472"/>
      <c r="BKV2" s="472"/>
      <c r="BKW2" s="472"/>
      <c r="BKX2" s="472"/>
      <c r="BKY2" s="472"/>
      <c r="BKZ2" s="472"/>
      <c r="BLA2" s="472"/>
      <c r="BLB2" s="472"/>
      <c r="BLC2" s="472"/>
      <c r="BLD2" s="472"/>
      <c r="BLE2" s="472"/>
      <c r="BLF2" s="472"/>
      <c r="BLG2" s="472"/>
      <c r="BLH2" s="472"/>
      <c r="BLI2" s="472"/>
      <c r="BLJ2" s="472"/>
      <c r="BLK2" s="472"/>
      <c r="BLL2" s="472"/>
      <c r="BLM2" s="472"/>
      <c r="BLN2" s="472"/>
      <c r="BLO2" s="472"/>
      <c r="BLP2" s="472"/>
      <c r="BLQ2" s="472"/>
      <c r="BLR2" s="472"/>
      <c r="BLS2" s="472"/>
      <c r="BLT2" s="472"/>
      <c r="BLU2" s="472"/>
      <c r="BLV2" s="472"/>
      <c r="BLW2" s="472"/>
      <c r="BLX2" s="472"/>
      <c r="BLY2" s="472"/>
      <c r="BLZ2" s="472"/>
      <c r="BMA2" s="472"/>
      <c r="BMB2" s="472"/>
      <c r="BMC2" s="472"/>
      <c r="BMD2" s="472"/>
      <c r="BME2" s="472"/>
      <c r="BMF2" s="472"/>
      <c r="BMG2" s="472"/>
      <c r="BMH2" s="472"/>
      <c r="BMI2" s="472"/>
      <c r="BMJ2" s="472"/>
      <c r="BMK2" s="472"/>
      <c r="BML2" s="472"/>
      <c r="BMM2" s="472"/>
      <c r="BMN2" s="472"/>
      <c r="BMO2" s="472"/>
      <c r="BMP2" s="472"/>
      <c r="BMQ2" s="472"/>
      <c r="BMR2" s="472"/>
      <c r="BMS2" s="472"/>
      <c r="BMT2" s="472"/>
      <c r="BMU2" s="472"/>
      <c r="BMV2" s="472"/>
      <c r="BMW2" s="472"/>
      <c r="BMX2" s="472"/>
      <c r="BMY2" s="472"/>
      <c r="BMZ2" s="472"/>
      <c r="BNA2" s="472"/>
      <c r="BNB2" s="472"/>
      <c r="BNC2" s="472"/>
      <c r="BND2" s="472"/>
      <c r="BNE2" s="472"/>
      <c r="BNF2" s="472"/>
      <c r="BNG2" s="472"/>
      <c r="BNH2" s="472"/>
      <c r="BNI2" s="472"/>
      <c r="BNJ2" s="472"/>
      <c r="BNK2" s="472"/>
      <c r="BNL2" s="472"/>
      <c r="BNM2" s="472"/>
      <c r="BNN2" s="472"/>
      <c r="BNO2" s="472"/>
      <c r="BNP2" s="472"/>
      <c r="BNQ2" s="472"/>
      <c r="BNR2" s="472"/>
      <c r="BNS2" s="472"/>
      <c r="BNT2" s="472"/>
      <c r="BNU2" s="472"/>
      <c r="BNV2" s="472"/>
      <c r="BNW2" s="472"/>
      <c r="BNX2" s="472"/>
      <c r="BNY2" s="472"/>
      <c r="BNZ2" s="472"/>
      <c r="BOA2" s="472"/>
      <c r="BOB2" s="472"/>
      <c r="BOC2" s="472"/>
      <c r="BOD2" s="472"/>
      <c r="BOE2" s="472"/>
      <c r="BOF2" s="472"/>
      <c r="BOG2" s="472"/>
      <c r="BOH2" s="472"/>
      <c r="BOI2" s="472"/>
      <c r="BOJ2" s="472"/>
      <c r="BOK2" s="472"/>
      <c r="BOL2" s="472"/>
      <c r="BOM2" s="472"/>
      <c r="BON2" s="472"/>
      <c r="BOO2" s="472"/>
      <c r="BOP2" s="472"/>
      <c r="BOQ2" s="472"/>
      <c r="BOR2" s="472"/>
      <c r="BOS2" s="472"/>
      <c r="BOT2" s="472"/>
      <c r="BOU2" s="472"/>
      <c r="BOV2" s="472"/>
      <c r="BOW2" s="472"/>
      <c r="BOX2" s="472"/>
      <c r="BOY2" s="472"/>
      <c r="BOZ2" s="472"/>
      <c r="BPA2" s="472"/>
      <c r="BPB2" s="472"/>
      <c r="BPC2" s="472"/>
      <c r="BPD2" s="472"/>
      <c r="BPE2" s="472"/>
      <c r="BPF2" s="472"/>
      <c r="BPG2" s="472"/>
      <c r="BPH2" s="472"/>
      <c r="BPI2" s="472"/>
      <c r="BPJ2" s="472"/>
      <c r="BPK2" s="472"/>
      <c r="BPL2" s="472"/>
      <c r="BPM2" s="472"/>
      <c r="BPN2" s="472"/>
      <c r="BPO2" s="472"/>
      <c r="BPP2" s="472"/>
      <c r="BPQ2" s="472"/>
      <c r="BPR2" s="472"/>
      <c r="BPS2" s="472"/>
      <c r="BPT2" s="472"/>
      <c r="BPU2" s="472"/>
      <c r="BPV2" s="472"/>
      <c r="BPW2" s="472"/>
      <c r="BPX2" s="472"/>
      <c r="BPY2" s="472"/>
      <c r="BPZ2" s="472"/>
      <c r="BQA2" s="472"/>
      <c r="BQB2" s="472"/>
      <c r="BQC2" s="472"/>
      <c r="BQD2" s="472"/>
      <c r="BQE2" s="472"/>
      <c r="BQF2" s="472"/>
      <c r="BQG2" s="472"/>
      <c r="BQH2" s="472"/>
      <c r="BQI2" s="472"/>
      <c r="BQJ2" s="472"/>
      <c r="BQK2" s="472"/>
      <c r="BQL2" s="472"/>
      <c r="BQM2" s="472"/>
      <c r="BQN2" s="472"/>
      <c r="BQO2" s="472"/>
      <c r="BQP2" s="472"/>
      <c r="BQQ2" s="472"/>
      <c r="BQR2" s="472"/>
      <c r="BQS2" s="472"/>
      <c r="BQT2" s="472"/>
      <c r="BQU2" s="472"/>
      <c r="BQV2" s="472"/>
      <c r="BQW2" s="472"/>
      <c r="BQX2" s="472"/>
      <c r="BQY2" s="472"/>
      <c r="BQZ2" s="472"/>
      <c r="BRA2" s="472"/>
      <c r="BRB2" s="472"/>
      <c r="BRC2" s="472"/>
      <c r="BRD2" s="472"/>
      <c r="BRE2" s="472"/>
      <c r="BRF2" s="472"/>
      <c r="BRG2" s="472"/>
      <c r="BRH2" s="472"/>
      <c r="BRI2" s="472"/>
      <c r="BRJ2" s="472"/>
      <c r="BRK2" s="472"/>
      <c r="BRL2" s="472"/>
      <c r="BRM2" s="472"/>
      <c r="BRN2" s="472"/>
      <c r="BRO2" s="472"/>
      <c r="BRP2" s="472"/>
      <c r="BRQ2" s="472"/>
      <c r="BRR2" s="472"/>
      <c r="BRS2" s="472"/>
      <c r="BRT2" s="472"/>
      <c r="BRU2" s="472"/>
      <c r="BRV2" s="472"/>
      <c r="BRW2" s="472"/>
      <c r="BRX2" s="472"/>
      <c r="BRY2" s="472"/>
      <c r="BRZ2" s="472"/>
      <c r="BSA2" s="472"/>
      <c r="BSB2" s="472"/>
      <c r="BSC2" s="472"/>
      <c r="BSD2" s="472"/>
      <c r="BSE2" s="472"/>
      <c r="BSF2" s="472"/>
      <c r="BSG2" s="472"/>
      <c r="BSH2" s="472"/>
      <c r="BSI2" s="472"/>
      <c r="BSJ2" s="472"/>
      <c r="BSK2" s="472"/>
      <c r="BSL2" s="472"/>
      <c r="BSM2" s="472"/>
      <c r="BSN2" s="472"/>
      <c r="BSO2" s="472"/>
      <c r="BSP2" s="472"/>
      <c r="BSQ2" s="472"/>
      <c r="BSR2" s="472"/>
      <c r="BSS2" s="472"/>
      <c r="BST2" s="472"/>
      <c r="BSU2" s="472"/>
      <c r="BSV2" s="472"/>
      <c r="BSW2" s="472"/>
      <c r="BSX2" s="472"/>
      <c r="BSY2" s="472"/>
      <c r="BSZ2" s="472"/>
      <c r="BTA2" s="472"/>
      <c r="BTB2" s="472"/>
      <c r="BTC2" s="472"/>
      <c r="BTD2" s="472"/>
      <c r="BTE2" s="472"/>
      <c r="BTF2" s="472"/>
      <c r="BTG2" s="472"/>
      <c r="BTH2" s="472"/>
      <c r="BTI2" s="472"/>
      <c r="BTJ2" s="472"/>
      <c r="BTK2" s="472"/>
      <c r="BTL2" s="472"/>
      <c r="BTM2" s="472"/>
      <c r="BTN2" s="472"/>
      <c r="BTO2" s="472"/>
      <c r="BTP2" s="472"/>
      <c r="BTQ2" s="472"/>
      <c r="BTR2" s="472"/>
      <c r="BTS2" s="472"/>
      <c r="BTT2" s="472"/>
      <c r="BTU2" s="472"/>
      <c r="BTV2" s="472"/>
      <c r="BTW2" s="472"/>
      <c r="BTX2" s="472"/>
      <c r="BTY2" s="472"/>
      <c r="BTZ2" s="472"/>
      <c r="BUA2" s="472"/>
      <c r="BUB2" s="472"/>
      <c r="BUC2" s="472"/>
      <c r="BUD2" s="472"/>
      <c r="BUE2" s="472"/>
      <c r="BUF2" s="472"/>
      <c r="BUG2" s="472"/>
      <c r="BUH2" s="472"/>
      <c r="BUI2" s="472"/>
      <c r="BUJ2" s="472"/>
      <c r="BUK2" s="472"/>
      <c r="BUL2" s="472"/>
      <c r="BUM2" s="472"/>
      <c r="BUN2" s="472"/>
      <c r="BUO2" s="472"/>
      <c r="BUP2" s="472"/>
      <c r="BUQ2" s="472"/>
      <c r="BUR2" s="472"/>
      <c r="BUS2" s="472"/>
      <c r="BUT2" s="472"/>
      <c r="BUU2" s="472"/>
      <c r="BUV2" s="472"/>
      <c r="BUW2" s="472"/>
      <c r="BUX2" s="472"/>
      <c r="BUY2" s="472"/>
      <c r="BUZ2" s="472"/>
      <c r="BVA2" s="472"/>
      <c r="BVB2" s="472"/>
      <c r="BVC2" s="472"/>
      <c r="BVD2" s="472"/>
      <c r="BVE2" s="472"/>
      <c r="BVF2" s="472"/>
      <c r="BVG2" s="472"/>
      <c r="BVH2" s="472"/>
      <c r="BVI2" s="472"/>
      <c r="BVJ2" s="472"/>
      <c r="BVK2" s="472"/>
      <c r="BVL2" s="472"/>
      <c r="BVM2" s="472"/>
      <c r="BVN2" s="472"/>
      <c r="BVO2" s="472"/>
      <c r="BVP2" s="472"/>
      <c r="BVQ2" s="472"/>
      <c r="BVR2" s="472"/>
      <c r="BVS2" s="472"/>
      <c r="BVT2" s="472"/>
      <c r="BVU2" s="472"/>
      <c r="BVV2" s="472"/>
      <c r="BVW2" s="472"/>
      <c r="BVX2" s="472"/>
      <c r="BVY2" s="472"/>
      <c r="BVZ2" s="472"/>
      <c r="BWA2" s="472"/>
      <c r="BWB2" s="472"/>
      <c r="BWC2" s="472"/>
      <c r="BWD2" s="472"/>
      <c r="BWE2" s="472"/>
      <c r="BWF2" s="472"/>
      <c r="BWG2" s="472"/>
      <c r="BWH2" s="472"/>
      <c r="BWI2" s="472"/>
      <c r="BWJ2" s="472"/>
      <c r="BWK2" s="472"/>
      <c r="BWL2" s="472"/>
      <c r="BWM2" s="472"/>
      <c r="BWN2" s="472"/>
      <c r="BWO2" s="472"/>
      <c r="BWP2" s="472"/>
      <c r="BWQ2" s="472"/>
      <c r="BWR2" s="472"/>
      <c r="BWS2" s="472"/>
      <c r="BWT2" s="472"/>
      <c r="BWU2" s="472"/>
      <c r="BWV2" s="472"/>
      <c r="BWW2" s="472"/>
      <c r="BWX2" s="472"/>
      <c r="BWY2" s="472"/>
      <c r="BWZ2" s="472"/>
      <c r="BXA2" s="472"/>
      <c r="BXB2" s="472"/>
      <c r="BXC2" s="472"/>
      <c r="BXD2" s="472"/>
      <c r="BXE2" s="472"/>
      <c r="BXF2" s="472"/>
      <c r="BXG2" s="472"/>
      <c r="BXH2" s="472"/>
      <c r="BXI2" s="472"/>
      <c r="BXJ2" s="472"/>
      <c r="BXK2" s="472"/>
      <c r="BXL2" s="472"/>
      <c r="BXM2" s="472"/>
      <c r="BXN2" s="472"/>
      <c r="BXO2" s="472"/>
      <c r="BXP2" s="472"/>
      <c r="BXQ2" s="472"/>
      <c r="BXR2" s="472"/>
      <c r="BXS2" s="472"/>
      <c r="BXT2" s="472"/>
      <c r="BXU2" s="472"/>
      <c r="BXV2" s="472"/>
      <c r="BXW2" s="472"/>
      <c r="BXX2" s="472"/>
      <c r="BXY2" s="472"/>
      <c r="BXZ2" s="472"/>
    </row>
    <row r="3" s="25" customFormat="1" ht="14.25" customHeight="1" spans="1:1024 1025:2002">
      <c r="A3" s="473" t="s">
        <v>34</v>
      </c>
      <c r="B3" s="19">
        <v>1093</v>
      </c>
      <c r="C3" s="183">
        <v>45934</v>
      </c>
      <c r="D3" s="17" t="s">
        <v>35</v>
      </c>
      <c r="E3" s="17" t="s">
        <v>36</v>
      </c>
      <c r="F3" s="17" t="s">
        <v>37</v>
      </c>
      <c r="G3" s="17"/>
      <c r="H3" s="19" t="s">
        <v>38</v>
      </c>
      <c r="I3" s="17" t="s">
        <v>38</v>
      </c>
      <c r="J3" s="17" t="s">
        <v>39</v>
      </c>
      <c r="K3" s="19">
        <v>214</v>
      </c>
      <c r="L3" s="91"/>
      <c r="M3" s="19"/>
      <c r="N3" s="19" t="s">
        <v>40</v>
      </c>
      <c r="O3" s="19" t="s">
        <v>41</v>
      </c>
      <c r="P3" s="19">
        <v>4000</v>
      </c>
      <c r="Q3" s="19">
        <v>2256</v>
      </c>
      <c r="S3" s="19">
        <v>3000</v>
      </c>
      <c r="T3" s="19" t="s">
        <v>42</v>
      </c>
      <c r="U3" s="102" t="s">
        <v>43</v>
      </c>
      <c r="V3" s="186">
        <v>45936</v>
      </c>
      <c r="W3" s="17" t="s">
        <v>44</v>
      </c>
      <c r="X3" s="17"/>
      <c r="Y3" s="68">
        <v>46054</v>
      </c>
      <c r="Z3" s="17" t="s">
        <v>45</v>
      </c>
      <c r="AA3" s="17" t="s">
        <v>46</v>
      </c>
      <c r="AB3" s="17" t="s">
        <v>47</v>
      </c>
      <c r="AC3" s="217">
        <v>46148</v>
      </c>
      <c r="AD3" s="65">
        <v>1775</v>
      </c>
      <c r="AE3" s="17" t="s">
        <v>48</v>
      </c>
      <c r="AF3" s="17"/>
      <c r="AG3" s="17"/>
      <c r="AH3" s="456"/>
      <c r="AI3" s="456"/>
      <c r="AJ3" s="456"/>
      <c r="AK3" s="456"/>
      <c r="AL3" s="456"/>
      <c r="AM3" s="456"/>
      <c r="AN3" s="456"/>
      <c r="AO3" s="456"/>
      <c r="AP3" s="456"/>
      <c r="AQ3" s="456"/>
      <c r="AR3" s="456"/>
      <c r="AS3" s="456"/>
      <c r="AT3" s="456"/>
      <c r="AU3" s="456"/>
      <c r="AV3" s="456"/>
      <c r="AW3" s="456"/>
      <c r="AX3" s="456"/>
      <c r="AY3" s="456"/>
      <c r="AZ3" s="456"/>
      <c r="BA3" s="456"/>
      <c r="BB3" s="456"/>
      <c r="BC3" s="456"/>
      <c r="BD3" s="456"/>
      <c r="BE3" s="456"/>
      <c r="BF3" s="456"/>
      <c r="BG3" s="456"/>
      <c r="BH3" s="456"/>
      <c r="BI3" s="456"/>
      <c r="BJ3" s="456"/>
      <c r="BK3" s="456"/>
      <c r="BL3" s="456"/>
      <c r="BM3" s="456"/>
      <c r="BN3" s="456"/>
      <c r="BO3" s="456"/>
      <c r="BP3" s="456"/>
      <c r="BQ3" s="456"/>
      <c r="BR3" s="456"/>
      <c r="BS3" s="456"/>
      <c r="BT3" s="456"/>
      <c r="BU3" s="456"/>
      <c r="BV3" s="456"/>
      <c r="BW3" s="456"/>
      <c r="BX3" s="456"/>
      <c r="BY3" s="456"/>
      <c r="BZ3" s="456"/>
      <c r="CA3" s="456"/>
      <c r="CB3" s="456"/>
      <c r="CC3" s="456"/>
      <c r="CD3" s="456"/>
      <c r="CE3" s="456"/>
      <c r="CF3" s="456"/>
      <c r="CG3" s="456"/>
      <c r="CH3" s="456"/>
      <c r="CI3" s="456"/>
      <c r="CJ3" s="456"/>
      <c r="CK3" s="456"/>
      <c r="CL3" s="456"/>
      <c r="CM3" s="456"/>
      <c r="CN3" s="456"/>
      <c r="CO3" s="456"/>
      <c r="CP3" s="456"/>
      <c r="CQ3" s="456"/>
      <c r="CR3" s="456"/>
      <c r="CS3" s="456"/>
      <c r="CT3" s="456"/>
      <c r="CU3" s="456"/>
      <c r="CV3" s="456"/>
      <c r="CW3" s="456"/>
      <c r="CX3" s="456"/>
      <c r="CY3" s="456"/>
      <c r="CZ3" s="456"/>
      <c r="DA3" s="456"/>
      <c r="DB3" s="456"/>
      <c r="DC3" s="456"/>
      <c r="DD3" s="456"/>
      <c r="DE3" s="456"/>
      <c r="DF3" s="456"/>
      <c r="DG3" s="456"/>
      <c r="DH3" s="456"/>
      <c r="DI3" s="456"/>
      <c r="DJ3" s="456"/>
      <c r="DK3" s="456"/>
      <c r="DL3" s="456"/>
      <c r="DM3" s="456"/>
      <c r="DN3" s="456"/>
      <c r="DO3" s="456"/>
      <c r="DP3" s="456"/>
      <c r="DQ3" s="456"/>
      <c r="DR3" s="456"/>
      <c r="DS3" s="456"/>
      <c r="DT3" s="456"/>
      <c r="DU3" s="456"/>
      <c r="DV3" s="456"/>
      <c r="DW3" s="456"/>
      <c r="DX3" s="456"/>
      <c r="DY3" s="456"/>
      <c r="DZ3" s="456"/>
      <c r="EA3" s="456"/>
      <c r="EB3" s="456"/>
      <c r="EC3" s="456"/>
      <c r="ED3" s="456"/>
      <c r="EE3" s="456"/>
      <c r="EF3" s="456"/>
      <c r="EG3" s="456"/>
      <c r="EH3" s="456"/>
      <c r="EI3" s="456"/>
      <c r="EJ3" s="456"/>
      <c r="EK3" s="456"/>
      <c r="EL3" s="456"/>
      <c r="EM3" s="456"/>
      <c r="EN3" s="456"/>
      <c r="EO3" s="456"/>
      <c r="EP3" s="456"/>
      <c r="EQ3" s="456"/>
      <c r="ER3" s="456"/>
      <c r="ES3" s="456"/>
      <c r="ET3" s="456"/>
      <c r="EU3" s="456"/>
      <c r="EV3" s="456"/>
      <c r="EW3" s="456"/>
      <c r="EX3" s="456"/>
      <c r="EY3" s="456"/>
      <c r="EZ3" s="456"/>
      <c r="FA3" s="456"/>
      <c r="FB3" s="456"/>
      <c r="FC3" s="456"/>
      <c r="FD3" s="456"/>
      <c r="FE3" s="456"/>
      <c r="FF3" s="456"/>
      <c r="FG3" s="456"/>
      <c r="FH3" s="456"/>
      <c r="FI3" s="456"/>
      <c r="FJ3" s="456"/>
      <c r="FK3" s="456"/>
      <c r="FL3" s="456"/>
      <c r="FM3" s="456"/>
      <c r="FN3" s="456"/>
      <c r="FO3" s="456"/>
      <c r="FP3" s="456"/>
      <c r="FQ3" s="456"/>
      <c r="FR3" s="456"/>
      <c r="FS3" s="456"/>
      <c r="FT3" s="456"/>
      <c r="FU3" s="456"/>
      <c r="FV3" s="456"/>
      <c r="FW3" s="456"/>
      <c r="FX3" s="456"/>
      <c r="FY3" s="456"/>
      <c r="FZ3" s="456"/>
      <c r="GA3" s="456"/>
      <c r="GB3" s="456"/>
      <c r="GC3" s="456"/>
      <c r="GD3" s="456"/>
      <c r="GE3" s="456"/>
      <c r="GF3" s="456"/>
      <c r="GG3" s="456"/>
      <c r="GH3" s="456"/>
      <c r="GI3" s="456"/>
      <c r="GJ3" s="456"/>
      <c r="GK3" s="456"/>
      <c r="GL3" s="456"/>
      <c r="GM3" s="456"/>
      <c r="GN3" s="456"/>
      <c r="GO3" s="456"/>
      <c r="GP3" s="456"/>
      <c r="GQ3" s="456"/>
      <c r="GR3" s="456"/>
      <c r="GS3" s="456"/>
      <c r="GT3" s="456"/>
      <c r="GU3" s="456"/>
      <c r="GV3" s="456"/>
      <c r="GW3" s="456"/>
      <c r="GX3" s="456"/>
      <c r="GY3" s="456"/>
      <c r="GZ3" s="456"/>
      <c r="HA3" s="456"/>
      <c r="HB3" s="456"/>
      <c r="HC3" s="456"/>
      <c r="HD3" s="456"/>
      <c r="HE3" s="456"/>
      <c r="HF3" s="456"/>
      <c r="HG3" s="456"/>
      <c r="HH3" s="456"/>
      <c r="HI3" s="456"/>
      <c r="HJ3" s="456"/>
      <c r="HK3" s="456"/>
      <c r="HL3" s="456"/>
      <c r="HM3" s="456"/>
      <c r="HN3" s="456"/>
      <c r="HO3" s="456"/>
      <c r="HP3" s="456"/>
      <c r="HQ3" s="456"/>
      <c r="HR3" s="456"/>
      <c r="HS3" s="456"/>
      <c r="HT3" s="456"/>
      <c r="HU3" s="456"/>
      <c r="HV3" s="456"/>
      <c r="HW3" s="456"/>
      <c r="HX3" s="456"/>
      <c r="HY3" s="456"/>
      <c r="HZ3" s="456"/>
      <c r="IA3" s="456"/>
      <c r="IB3" s="456"/>
      <c r="IC3" s="456"/>
      <c r="ID3" s="456"/>
      <c r="IE3" s="456"/>
      <c r="IF3" s="456"/>
      <c r="IG3" s="456"/>
      <c r="IH3" s="456"/>
      <c r="II3" s="456"/>
      <c r="IJ3" s="456"/>
      <c r="IK3" s="456"/>
      <c r="IL3" s="456"/>
      <c r="IM3" s="456"/>
      <c r="IN3" s="456"/>
      <c r="IO3" s="456"/>
      <c r="IP3" s="456"/>
      <c r="IQ3" s="456"/>
      <c r="IR3" s="456"/>
      <c r="IS3" s="456"/>
      <c r="IT3" s="456"/>
      <c r="IU3" s="456"/>
      <c r="IV3" s="456"/>
      <c r="IW3" s="456"/>
      <c r="IX3" s="456"/>
      <c r="IY3" s="456"/>
      <c r="IZ3" s="456"/>
      <c r="JA3" s="456"/>
      <c r="JB3" s="456"/>
      <c r="JC3" s="456"/>
      <c r="JD3" s="456"/>
      <c r="JE3" s="456"/>
      <c r="JF3" s="456"/>
      <c r="JG3" s="456"/>
      <c r="JH3" s="456"/>
      <c r="JI3" s="456"/>
      <c r="JJ3" s="456"/>
      <c r="JK3" s="456"/>
      <c r="JL3" s="456"/>
      <c r="JM3" s="456"/>
      <c r="JN3" s="456"/>
      <c r="JO3" s="456"/>
      <c r="JP3" s="456"/>
      <c r="JQ3" s="456"/>
      <c r="JR3" s="456"/>
      <c r="JS3" s="456"/>
      <c r="JT3" s="456"/>
      <c r="JU3" s="456"/>
      <c r="JV3" s="456"/>
      <c r="JW3" s="456"/>
      <c r="JX3" s="456"/>
      <c r="JY3" s="456"/>
      <c r="JZ3" s="456"/>
      <c r="KA3" s="456"/>
      <c r="KB3" s="456"/>
      <c r="KC3" s="456"/>
      <c r="KD3" s="456"/>
      <c r="KE3" s="456"/>
      <c r="KF3" s="456"/>
      <c r="KG3" s="456"/>
      <c r="KH3" s="456"/>
      <c r="KI3" s="456"/>
      <c r="KJ3" s="456"/>
      <c r="KK3" s="456"/>
      <c r="KL3" s="456"/>
      <c r="KM3" s="456"/>
      <c r="KN3" s="456"/>
      <c r="KO3" s="456"/>
      <c r="KP3" s="456"/>
      <c r="KQ3" s="456"/>
      <c r="KR3" s="456"/>
      <c r="KS3" s="456"/>
      <c r="KT3" s="456"/>
      <c r="KU3" s="456"/>
      <c r="KV3" s="456"/>
      <c r="KW3" s="456"/>
      <c r="KX3" s="456"/>
      <c r="KY3" s="456"/>
      <c r="KZ3" s="456"/>
      <c r="LA3" s="456"/>
      <c r="LB3" s="456"/>
      <c r="LC3" s="456"/>
      <c r="LD3" s="456"/>
      <c r="LE3" s="456"/>
      <c r="LF3" s="456"/>
      <c r="LG3" s="456"/>
      <c r="LH3" s="456"/>
      <c r="LI3" s="456"/>
      <c r="LJ3" s="456"/>
      <c r="LK3" s="456"/>
      <c r="LL3" s="456"/>
      <c r="LM3" s="456"/>
      <c r="LN3" s="456"/>
      <c r="LO3" s="456"/>
      <c r="LP3" s="456"/>
      <c r="LQ3" s="456"/>
      <c r="LR3" s="456"/>
      <c r="LS3" s="456"/>
      <c r="LT3" s="456"/>
      <c r="LU3" s="456"/>
      <c r="LV3" s="456"/>
      <c r="LW3" s="456"/>
      <c r="LX3" s="456"/>
      <c r="LY3" s="456"/>
      <c r="LZ3" s="456"/>
      <c r="MA3" s="456"/>
      <c r="MB3" s="456"/>
      <c r="MC3" s="456"/>
      <c r="MD3" s="456"/>
      <c r="ME3" s="456"/>
      <c r="MF3" s="456"/>
      <c r="MG3" s="456"/>
      <c r="MH3" s="456"/>
      <c r="MI3" s="456"/>
      <c r="MJ3" s="456"/>
      <c r="MK3" s="456"/>
      <c r="ML3" s="456"/>
      <c r="MM3" s="456"/>
      <c r="MN3" s="456"/>
      <c r="MO3" s="456"/>
      <c r="MP3" s="456"/>
      <c r="MQ3" s="456"/>
      <c r="MR3" s="456"/>
      <c r="MS3" s="456"/>
      <c r="MT3" s="456"/>
      <c r="MU3" s="456"/>
      <c r="MV3" s="456"/>
      <c r="MW3" s="456"/>
      <c r="MX3" s="456"/>
      <c r="MY3" s="456"/>
      <c r="MZ3" s="456"/>
      <c r="NA3" s="456"/>
      <c r="NB3" s="456"/>
      <c r="NC3" s="456"/>
      <c r="ND3" s="456"/>
      <c r="NE3" s="456"/>
      <c r="NF3" s="456"/>
      <c r="NG3" s="456"/>
      <c r="NH3" s="456"/>
      <c r="NI3" s="456"/>
      <c r="NJ3" s="456"/>
      <c r="NK3" s="456"/>
      <c r="NL3" s="456"/>
      <c r="NM3" s="456"/>
      <c r="NN3" s="456"/>
      <c r="NO3" s="456"/>
      <c r="NP3" s="456"/>
      <c r="NQ3" s="456"/>
      <c r="NR3" s="456"/>
      <c r="NS3" s="456"/>
      <c r="NT3" s="456"/>
      <c r="NU3" s="456"/>
      <c r="NV3" s="456"/>
      <c r="NW3" s="456"/>
      <c r="NX3" s="456"/>
      <c r="NY3" s="456"/>
      <c r="NZ3" s="456"/>
      <c r="OA3" s="456"/>
      <c r="OB3" s="456"/>
      <c r="OC3" s="456"/>
      <c r="OD3" s="456"/>
      <c r="OE3" s="456"/>
      <c r="OF3" s="456"/>
      <c r="OG3" s="456"/>
      <c r="OH3" s="456"/>
      <c r="OI3" s="456"/>
      <c r="OJ3" s="456"/>
      <c r="OK3" s="456"/>
      <c r="OL3" s="456"/>
      <c r="OM3" s="456"/>
      <c r="ON3" s="456"/>
      <c r="OO3" s="456"/>
      <c r="OP3" s="456"/>
      <c r="OQ3" s="456"/>
      <c r="OR3" s="456"/>
      <c r="OS3" s="456"/>
      <c r="OT3" s="456"/>
      <c r="OU3" s="456"/>
      <c r="OV3" s="456"/>
      <c r="OW3" s="456"/>
      <c r="OX3" s="456"/>
      <c r="OY3" s="456"/>
      <c r="OZ3" s="456"/>
      <c r="PA3" s="456"/>
      <c r="PB3" s="456"/>
      <c r="PC3" s="456"/>
      <c r="PD3" s="456"/>
      <c r="PE3" s="456"/>
      <c r="PF3" s="456"/>
      <c r="PG3" s="456"/>
      <c r="PH3" s="456"/>
      <c r="PI3" s="456"/>
      <c r="PJ3" s="456"/>
      <c r="PK3" s="456"/>
      <c r="PL3" s="456"/>
      <c r="PM3" s="456"/>
      <c r="PN3" s="456"/>
      <c r="PO3" s="456"/>
      <c r="PP3" s="456"/>
      <c r="PQ3" s="456"/>
      <c r="PR3" s="456"/>
      <c r="PS3" s="456"/>
      <c r="PT3" s="456"/>
      <c r="PU3" s="456"/>
      <c r="PV3" s="456"/>
      <c r="PW3" s="456"/>
      <c r="PX3" s="456"/>
      <c r="PY3" s="456"/>
      <c r="PZ3" s="456"/>
      <c r="QA3" s="456"/>
      <c r="QB3" s="456"/>
      <c r="QC3" s="456"/>
      <c r="QD3" s="456"/>
      <c r="QE3" s="456"/>
      <c r="QF3" s="456"/>
      <c r="QG3" s="456"/>
      <c r="QH3" s="456"/>
      <c r="QI3" s="456"/>
      <c r="QJ3" s="456"/>
      <c r="QK3" s="456"/>
      <c r="QL3" s="456"/>
      <c r="QM3" s="456"/>
      <c r="QN3" s="456"/>
      <c r="QO3" s="456"/>
      <c r="QP3" s="456"/>
      <c r="QQ3" s="456"/>
      <c r="QR3" s="456"/>
      <c r="QS3" s="456"/>
      <c r="QT3" s="456"/>
      <c r="QU3" s="456"/>
      <c r="QV3" s="456"/>
      <c r="QW3" s="456"/>
      <c r="QX3" s="456"/>
      <c r="QY3" s="456"/>
      <c r="QZ3" s="456"/>
      <c r="RA3" s="456"/>
      <c r="RB3" s="456"/>
      <c r="RC3" s="456"/>
      <c r="RD3" s="456"/>
      <c r="RE3" s="456"/>
      <c r="RF3" s="456"/>
      <c r="RG3" s="456"/>
      <c r="RH3" s="456"/>
      <c r="RI3" s="456"/>
      <c r="RJ3" s="456"/>
      <c r="RK3" s="456"/>
      <c r="RL3" s="456"/>
      <c r="RM3" s="456"/>
      <c r="RN3" s="456"/>
      <c r="RO3" s="456"/>
      <c r="RP3" s="456"/>
      <c r="RQ3" s="456"/>
      <c r="RR3" s="456"/>
      <c r="RS3" s="456"/>
      <c r="RT3" s="456"/>
      <c r="RU3" s="456"/>
      <c r="RV3" s="456"/>
      <c r="RW3" s="456"/>
      <c r="RX3" s="456"/>
      <c r="RY3" s="456"/>
      <c r="RZ3" s="456"/>
      <c r="SA3" s="456"/>
      <c r="SB3" s="456"/>
      <c r="SC3" s="456"/>
      <c r="SD3" s="456"/>
      <c r="SE3" s="456"/>
      <c r="SF3" s="456"/>
      <c r="SG3" s="456"/>
      <c r="SH3" s="456"/>
      <c r="SI3" s="456"/>
      <c r="SJ3" s="456"/>
      <c r="SK3" s="456"/>
      <c r="SL3" s="456"/>
      <c r="SM3" s="456"/>
      <c r="SN3" s="456"/>
      <c r="SO3" s="456"/>
      <c r="SP3" s="456"/>
      <c r="SQ3" s="456"/>
      <c r="SR3" s="456"/>
      <c r="SS3" s="456"/>
      <c r="ST3" s="456"/>
      <c r="SU3" s="456"/>
      <c r="SV3" s="456"/>
      <c r="SW3" s="456"/>
      <c r="SX3" s="456"/>
      <c r="SY3" s="456"/>
      <c r="SZ3" s="456"/>
      <c r="TA3" s="456"/>
      <c r="TB3" s="456"/>
      <c r="TC3" s="456"/>
      <c r="TD3" s="456"/>
      <c r="TE3" s="456"/>
      <c r="TF3" s="456"/>
      <c r="TG3" s="456"/>
      <c r="TH3" s="456"/>
      <c r="TI3" s="456"/>
      <c r="TJ3" s="456"/>
      <c r="TK3" s="456"/>
      <c r="TL3" s="456"/>
      <c r="TM3" s="456"/>
      <c r="TN3" s="456"/>
      <c r="TO3" s="456"/>
      <c r="TP3" s="456"/>
      <c r="TQ3" s="456"/>
      <c r="TR3" s="456"/>
      <c r="TS3" s="456"/>
      <c r="TT3" s="456"/>
      <c r="TU3" s="456"/>
      <c r="TV3" s="456"/>
      <c r="TW3" s="456"/>
      <c r="TX3" s="456"/>
      <c r="TY3" s="456"/>
      <c r="TZ3" s="456"/>
      <c r="UA3" s="456"/>
      <c r="UB3" s="456"/>
      <c r="UC3" s="456"/>
      <c r="UD3" s="456"/>
      <c r="UE3" s="456"/>
      <c r="UF3" s="456"/>
      <c r="UG3" s="456"/>
      <c r="UH3" s="456"/>
      <c r="UI3" s="456"/>
      <c r="UJ3" s="456"/>
      <c r="UK3" s="456"/>
      <c r="UL3" s="456"/>
      <c r="UM3" s="456"/>
      <c r="UN3" s="456"/>
      <c r="UO3" s="456"/>
      <c r="UP3" s="456"/>
      <c r="UQ3" s="456"/>
      <c r="UR3" s="456"/>
      <c r="US3" s="456"/>
      <c r="UT3" s="456"/>
      <c r="UU3" s="456"/>
      <c r="UV3" s="456"/>
      <c r="UW3" s="456"/>
      <c r="UX3" s="456"/>
      <c r="UY3" s="456"/>
      <c r="UZ3" s="456"/>
      <c r="VA3" s="456"/>
      <c r="VB3" s="456"/>
      <c r="VC3" s="456"/>
      <c r="VD3" s="456"/>
      <c r="VE3" s="456"/>
      <c r="VF3" s="456"/>
      <c r="VG3" s="456"/>
      <c r="VH3" s="456"/>
      <c r="VI3" s="456"/>
      <c r="VJ3" s="456"/>
      <c r="VK3" s="456"/>
      <c r="VL3" s="456"/>
      <c r="VM3" s="456"/>
      <c r="VN3" s="456"/>
      <c r="VO3" s="456"/>
      <c r="VP3" s="456"/>
      <c r="VQ3" s="456"/>
      <c r="VR3" s="456"/>
      <c r="VS3" s="456"/>
      <c r="VT3" s="456"/>
      <c r="VU3" s="456"/>
      <c r="VV3" s="456"/>
      <c r="VW3" s="456"/>
      <c r="VX3" s="456"/>
      <c r="VY3" s="456"/>
      <c r="VZ3" s="456"/>
      <c r="WA3" s="456"/>
      <c r="WB3" s="456"/>
      <c r="WC3" s="456"/>
      <c r="WD3" s="456"/>
      <c r="WE3" s="456"/>
      <c r="WF3" s="456"/>
      <c r="WG3" s="456"/>
      <c r="WH3" s="456"/>
      <c r="WI3" s="456"/>
      <c r="WJ3" s="456"/>
      <c r="WK3" s="456"/>
      <c r="WL3" s="456"/>
      <c r="WM3" s="456"/>
      <c r="WN3" s="456"/>
      <c r="WO3" s="456"/>
      <c r="WP3" s="456"/>
      <c r="WQ3" s="456"/>
      <c r="WR3" s="456"/>
      <c r="WS3" s="456"/>
      <c r="WT3" s="456"/>
      <c r="WU3" s="456"/>
      <c r="WV3" s="456"/>
      <c r="WW3" s="456"/>
      <c r="WX3" s="456"/>
      <c r="WY3" s="456"/>
      <c r="WZ3" s="456"/>
      <c r="XA3" s="456"/>
      <c r="XB3" s="456"/>
      <c r="XC3" s="456"/>
      <c r="XD3" s="456"/>
      <c r="XE3" s="456"/>
      <c r="XF3" s="456"/>
      <c r="XG3" s="456"/>
      <c r="XH3" s="456"/>
      <c r="XI3" s="456"/>
      <c r="XJ3" s="456"/>
      <c r="XK3" s="456"/>
      <c r="XL3" s="456"/>
      <c r="XM3" s="456"/>
      <c r="XN3" s="456"/>
      <c r="XO3" s="456"/>
      <c r="XP3" s="456"/>
      <c r="XQ3" s="456"/>
      <c r="XR3" s="456"/>
      <c r="XS3" s="456"/>
      <c r="XT3" s="456"/>
      <c r="XU3" s="456"/>
      <c r="XV3" s="456"/>
      <c r="XW3" s="456"/>
      <c r="XX3" s="456"/>
      <c r="XY3" s="456"/>
      <c r="XZ3" s="456"/>
      <c r="YA3" s="456"/>
      <c r="YB3" s="456"/>
      <c r="YC3" s="456"/>
      <c r="YD3" s="456"/>
      <c r="YE3" s="456"/>
      <c r="YF3" s="456"/>
      <c r="YG3" s="456"/>
      <c r="YH3" s="456"/>
      <c r="YI3" s="456"/>
      <c r="YJ3" s="456"/>
      <c r="YK3" s="456"/>
      <c r="YL3" s="456"/>
      <c r="YM3" s="456"/>
      <c r="YN3" s="456"/>
      <c r="YO3" s="456"/>
      <c r="YP3" s="456"/>
      <c r="YQ3" s="456"/>
      <c r="YR3" s="456"/>
      <c r="YS3" s="456"/>
      <c r="YT3" s="456"/>
      <c r="YU3" s="456"/>
      <c r="YV3" s="456"/>
      <c r="YW3" s="456"/>
      <c r="YX3" s="456"/>
      <c r="YY3" s="456"/>
      <c r="YZ3" s="456"/>
      <c r="ZA3" s="456"/>
      <c r="ZB3" s="456"/>
      <c r="ZC3" s="456"/>
      <c r="ZD3" s="456"/>
      <c r="ZE3" s="456"/>
      <c r="ZF3" s="456"/>
      <c r="ZG3" s="456"/>
      <c r="ZH3" s="456"/>
      <c r="ZI3" s="456"/>
      <c r="ZJ3" s="456"/>
      <c r="ZK3" s="456"/>
      <c r="ZL3" s="456"/>
      <c r="ZM3" s="456"/>
      <c r="ZN3" s="456"/>
      <c r="ZO3" s="456"/>
      <c r="ZP3" s="456"/>
      <c r="ZQ3" s="456"/>
      <c r="ZR3" s="456"/>
      <c r="ZS3" s="456"/>
      <c r="ZT3" s="456"/>
      <c r="ZU3" s="456"/>
      <c r="ZV3" s="456"/>
      <c r="ZW3" s="456"/>
      <c r="ZX3" s="456"/>
      <c r="ZY3" s="456"/>
      <c r="ZZ3" s="456"/>
      <c r="AAA3" s="456"/>
      <c r="AAB3" s="456"/>
      <c r="AAC3" s="456"/>
      <c r="AAD3" s="456"/>
      <c r="AAE3" s="456"/>
      <c r="AAF3" s="456"/>
      <c r="AAG3" s="456"/>
      <c r="AAH3" s="456"/>
      <c r="AAI3" s="456"/>
      <c r="AAJ3" s="456"/>
      <c r="AAK3" s="456"/>
      <c r="AAL3" s="456"/>
      <c r="AAM3" s="456"/>
      <c r="AAN3" s="456"/>
      <c r="AAO3" s="456"/>
      <c r="AAP3" s="456"/>
      <c r="AAQ3" s="456"/>
      <c r="AAR3" s="456"/>
      <c r="AAS3" s="456"/>
      <c r="AAT3" s="456"/>
      <c r="AAU3" s="456"/>
      <c r="AAV3" s="456"/>
      <c r="AAW3" s="456"/>
      <c r="AAX3" s="456"/>
      <c r="AAY3" s="456"/>
      <c r="AAZ3" s="456"/>
      <c r="ABA3" s="456"/>
      <c r="ABB3" s="456"/>
      <c r="ABC3" s="456"/>
      <c r="ABD3" s="456"/>
      <c r="ABE3" s="456"/>
      <c r="ABF3" s="456"/>
      <c r="ABG3" s="456"/>
      <c r="ABH3" s="456"/>
      <c r="ABI3" s="456"/>
      <c r="ABJ3" s="456"/>
      <c r="ABK3" s="456"/>
      <c r="ABL3" s="456"/>
      <c r="ABM3" s="456"/>
      <c r="ABN3" s="456"/>
      <c r="ABO3" s="456"/>
      <c r="ABP3" s="456"/>
      <c r="ABQ3" s="456"/>
      <c r="ABR3" s="456"/>
      <c r="ABS3" s="456"/>
      <c r="ABT3" s="456"/>
      <c r="ABU3" s="456"/>
      <c r="ABV3" s="456"/>
      <c r="ABW3" s="456"/>
      <c r="ABX3" s="456"/>
      <c r="ABY3" s="456"/>
      <c r="ABZ3" s="456"/>
      <c r="ACA3" s="456"/>
      <c r="ACB3" s="456"/>
      <c r="ACC3" s="456"/>
      <c r="ACD3" s="456"/>
      <c r="ACE3" s="456"/>
      <c r="ACF3" s="456"/>
      <c r="ACG3" s="456"/>
      <c r="ACH3" s="456"/>
      <c r="ACI3" s="456"/>
      <c r="ACJ3" s="456"/>
      <c r="ACK3" s="456"/>
      <c r="ACL3" s="456"/>
      <c r="ACM3" s="456"/>
      <c r="ACN3" s="456"/>
      <c r="ACO3" s="456"/>
      <c r="ACP3" s="456"/>
      <c r="ACQ3" s="456"/>
      <c r="ACR3" s="456"/>
      <c r="ACS3" s="456"/>
      <c r="ACT3" s="456"/>
      <c r="ACU3" s="456"/>
      <c r="ACV3" s="456"/>
      <c r="ACW3" s="456"/>
      <c r="ACX3" s="456"/>
      <c r="ACY3" s="456"/>
      <c r="ACZ3" s="456"/>
      <c r="ADA3" s="456"/>
      <c r="ADB3" s="456"/>
      <c r="ADC3" s="456"/>
      <c r="ADD3" s="456"/>
      <c r="ADE3" s="456"/>
      <c r="ADF3" s="456"/>
      <c r="ADG3" s="456"/>
      <c r="ADH3" s="456"/>
      <c r="ADI3" s="456"/>
      <c r="ADJ3" s="456"/>
      <c r="ADK3" s="456"/>
      <c r="ADL3" s="456"/>
      <c r="ADM3" s="456"/>
      <c r="ADN3" s="456"/>
      <c r="ADO3" s="456"/>
      <c r="ADP3" s="456"/>
      <c r="ADQ3" s="456"/>
      <c r="ADR3" s="456"/>
      <c r="ADS3" s="456"/>
      <c r="ADT3" s="456"/>
      <c r="ADU3" s="456"/>
      <c r="ADV3" s="456"/>
      <c r="ADW3" s="456"/>
      <c r="ADX3" s="456"/>
      <c r="ADY3" s="456"/>
      <c r="ADZ3" s="456"/>
      <c r="AEA3" s="456"/>
      <c r="AEB3" s="456"/>
      <c r="AEC3" s="456"/>
      <c r="AED3" s="456"/>
      <c r="AEE3" s="456"/>
      <c r="AEF3" s="456"/>
      <c r="AEG3" s="456"/>
      <c r="AEH3" s="456"/>
      <c r="AEI3" s="456"/>
      <c r="AEJ3" s="456"/>
      <c r="AEK3" s="456"/>
      <c r="AEL3" s="456"/>
      <c r="AEM3" s="456"/>
      <c r="AEN3" s="456"/>
      <c r="AEO3" s="456"/>
      <c r="AEP3" s="456"/>
      <c r="AEQ3" s="456"/>
      <c r="AER3" s="456"/>
      <c r="AES3" s="456"/>
      <c r="AET3" s="456"/>
      <c r="AEU3" s="456"/>
      <c r="AEV3" s="456"/>
      <c r="AEW3" s="456"/>
      <c r="AEX3" s="456"/>
      <c r="AEY3" s="456"/>
      <c r="AEZ3" s="456"/>
      <c r="AFA3" s="456"/>
      <c r="AFB3" s="456"/>
      <c r="AFC3" s="456"/>
      <c r="AFD3" s="456"/>
      <c r="AFE3" s="456"/>
      <c r="AFF3" s="456"/>
      <c r="AFG3" s="456"/>
      <c r="AFH3" s="456"/>
      <c r="AFI3" s="456"/>
      <c r="AFJ3" s="456"/>
      <c r="AFK3" s="456"/>
      <c r="AFL3" s="456"/>
      <c r="AFM3" s="456"/>
      <c r="AFN3" s="456"/>
      <c r="AFO3" s="456"/>
      <c r="AFP3" s="456"/>
      <c r="AFQ3" s="456"/>
      <c r="AFR3" s="456"/>
      <c r="AFS3" s="456"/>
      <c r="AFT3" s="456"/>
      <c r="AFU3" s="456"/>
      <c r="AFV3" s="456"/>
      <c r="AFW3" s="456"/>
      <c r="AFX3" s="456"/>
      <c r="AFY3" s="456"/>
      <c r="AFZ3" s="456"/>
      <c r="AGA3" s="456"/>
      <c r="AGB3" s="456"/>
      <c r="AGC3" s="456"/>
      <c r="AGD3" s="456"/>
      <c r="AGE3" s="456"/>
      <c r="AGF3" s="456"/>
      <c r="AGG3" s="456"/>
      <c r="AGH3" s="456"/>
      <c r="AGI3" s="456"/>
      <c r="AGJ3" s="456"/>
      <c r="AGK3" s="456"/>
      <c r="AGL3" s="456"/>
      <c r="AGM3" s="456"/>
      <c r="AGN3" s="456"/>
      <c r="AGO3" s="456"/>
      <c r="AGP3" s="456"/>
      <c r="AGQ3" s="456"/>
      <c r="AGR3" s="456"/>
      <c r="AGS3" s="456"/>
      <c r="AGT3" s="456"/>
      <c r="AGU3" s="456"/>
      <c r="AGV3" s="456"/>
      <c r="AGW3" s="456"/>
      <c r="AGX3" s="456"/>
      <c r="AGY3" s="456"/>
      <c r="AGZ3" s="456"/>
      <c r="AHA3" s="456"/>
      <c r="AHB3" s="456"/>
      <c r="AHC3" s="456"/>
      <c r="AHD3" s="456"/>
      <c r="AHE3" s="456"/>
      <c r="AHF3" s="456"/>
      <c r="AHG3" s="456"/>
      <c r="AHH3" s="456"/>
      <c r="AHI3" s="456"/>
      <c r="AHJ3" s="456"/>
      <c r="AHK3" s="456"/>
      <c r="AHL3" s="456"/>
      <c r="AHM3" s="456"/>
      <c r="AHN3" s="456"/>
      <c r="AHO3" s="456"/>
      <c r="AHP3" s="456"/>
      <c r="AHQ3" s="456"/>
      <c r="AHR3" s="456"/>
      <c r="AHS3" s="456"/>
      <c r="AHT3" s="456"/>
      <c r="AHU3" s="456"/>
      <c r="AHV3" s="456"/>
      <c r="AHW3" s="456"/>
      <c r="AHX3" s="456"/>
      <c r="AHY3" s="456"/>
      <c r="AHZ3" s="456"/>
      <c r="AIA3" s="456"/>
      <c r="AIB3" s="456"/>
      <c r="AIC3" s="456"/>
      <c r="AID3" s="456"/>
      <c r="AIE3" s="456"/>
      <c r="AIF3" s="456"/>
      <c r="AIG3" s="456"/>
      <c r="AIH3" s="456"/>
      <c r="AII3" s="456"/>
      <c r="AIJ3" s="456"/>
      <c r="AIK3" s="456"/>
      <c r="AIL3" s="456"/>
      <c r="AIM3" s="456"/>
      <c r="AIN3" s="456"/>
      <c r="AIO3" s="456"/>
      <c r="AIP3" s="456"/>
      <c r="AIQ3" s="456"/>
      <c r="AIR3" s="456"/>
      <c r="AIS3" s="456"/>
      <c r="AIT3" s="456"/>
      <c r="AIU3" s="456"/>
      <c r="AIV3" s="456"/>
      <c r="AIW3" s="456"/>
      <c r="AIX3" s="456"/>
      <c r="AIY3" s="456"/>
      <c r="AIZ3" s="456"/>
      <c r="AJA3" s="456"/>
      <c r="AJB3" s="456"/>
      <c r="AJC3" s="456"/>
      <c r="AJD3" s="456"/>
      <c r="AJE3" s="456"/>
      <c r="AJF3" s="456"/>
      <c r="AJG3" s="456"/>
      <c r="AJH3" s="456"/>
      <c r="AJI3" s="456"/>
      <c r="AJJ3" s="456"/>
      <c r="AJK3" s="456"/>
      <c r="AJL3" s="456"/>
      <c r="AJM3" s="456"/>
      <c r="AJN3" s="456"/>
      <c r="AJO3" s="456"/>
      <c r="AJP3" s="456"/>
      <c r="AJQ3" s="456"/>
      <c r="AJR3" s="456"/>
      <c r="AJS3" s="456"/>
      <c r="AJT3" s="456"/>
      <c r="AJU3" s="456"/>
      <c r="AJV3" s="456"/>
      <c r="AJW3" s="456"/>
      <c r="AJX3" s="456"/>
      <c r="AJY3" s="456"/>
      <c r="AJZ3" s="456"/>
      <c r="AKA3" s="456"/>
      <c r="AKB3" s="456"/>
      <c r="AKC3" s="456"/>
      <c r="AKD3" s="456"/>
      <c r="AKE3" s="456"/>
      <c r="AKF3" s="456"/>
      <c r="AKG3" s="456"/>
      <c r="AKH3" s="456"/>
      <c r="AKI3" s="456"/>
      <c r="AKJ3" s="456"/>
      <c r="AKK3" s="456"/>
      <c r="AKL3" s="456"/>
      <c r="AKM3" s="456"/>
      <c r="AKN3" s="456"/>
      <c r="AKO3" s="456"/>
      <c r="AKP3" s="456"/>
      <c r="AKQ3" s="456"/>
      <c r="AKR3" s="456"/>
      <c r="AKS3" s="456"/>
      <c r="AKT3" s="456"/>
      <c r="AKU3" s="456"/>
      <c r="AKV3" s="456"/>
      <c r="AKW3" s="456"/>
      <c r="AKX3" s="456"/>
      <c r="AKY3" s="456"/>
      <c r="AKZ3" s="456"/>
      <c r="ALA3" s="456"/>
      <c r="ALB3" s="456"/>
      <c r="ALC3" s="456"/>
      <c r="ALD3" s="456"/>
      <c r="ALE3" s="456"/>
      <c r="ALF3" s="456"/>
      <c r="ALG3" s="456"/>
      <c r="ALH3" s="456"/>
      <c r="ALI3" s="456"/>
      <c r="ALJ3" s="456"/>
      <c r="ALK3" s="456"/>
      <c r="ALL3" s="456"/>
      <c r="ALM3" s="456"/>
      <c r="ALN3" s="456"/>
      <c r="ALO3" s="456"/>
      <c r="ALP3" s="456"/>
      <c r="ALQ3" s="456"/>
      <c r="ALR3" s="456"/>
      <c r="ALS3" s="456"/>
      <c r="ALT3" s="456"/>
      <c r="ALU3" s="456"/>
      <c r="ALV3" s="456"/>
      <c r="ALW3" s="456"/>
      <c r="ALX3" s="456"/>
      <c r="ALY3" s="456"/>
      <c r="ALZ3" s="456"/>
      <c r="AMA3" s="456"/>
      <c r="AMB3" s="456"/>
      <c r="AMC3" s="456"/>
      <c r="AMD3" s="456"/>
      <c r="AME3" s="456"/>
      <c r="AMF3" s="456"/>
      <c r="AMG3" s="456"/>
      <c r="AMH3" s="456"/>
      <c r="AMI3" s="456"/>
      <c r="AMJ3" s="456"/>
      <c r="AMK3" s="456"/>
      <c r="AML3" s="456"/>
      <c r="AMM3" s="456"/>
      <c r="AMN3" s="456"/>
      <c r="AMO3" s="456"/>
      <c r="AMP3" s="456"/>
      <c r="AMQ3" s="456"/>
      <c r="AMR3" s="456"/>
      <c r="AMS3" s="456"/>
      <c r="AMT3" s="456"/>
      <c r="AMU3" s="456"/>
      <c r="AMV3" s="456"/>
      <c r="AMW3" s="456"/>
      <c r="AMX3" s="456"/>
      <c r="AMY3" s="456"/>
      <c r="AMZ3" s="456"/>
      <c r="ANA3" s="456"/>
      <c r="ANB3" s="456"/>
      <c r="ANC3" s="456"/>
      <c r="AND3" s="456"/>
      <c r="ANE3" s="456"/>
      <c r="ANF3" s="456"/>
      <c r="ANG3" s="456"/>
      <c r="ANH3" s="456"/>
      <c r="ANI3" s="456"/>
      <c r="ANJ3" s="456"/>
      <c r="ANK3" s="456"/>
      <c r="ANL3" s="456"/>
      <c r="ANM3" s="456"/>
      <c r="ANN3" s="456"/>
      <c r="ANO3" s="456"/>
      <c r="ANP3" s="456"/>
      <c r="ANQ3" s="456"/>
      <c r="ANR3" s="456"/>
      <c r="ANS3" s="456"/>
      <c r="ANT3" s="456"/>
      <c r="ANU3" s="456"/>
      <c r="ANV3" s="456"/>
      <c r="ANW3" s="456"/>
      <c r="ANX3" s="456"/>
      <c r="ANY3" s="456"/>
      <c r="ANZ3" s="456"/>
      <c r="AOA3" s="456"/>
      <c r="AOB3" s="456"/>
      <c r="AOC3" s="456"/>
      <c r="AOD3" s="456"/>
      <c r="AOE3" s="456"/>
      <c r="AOF3" s="456"/>
      <c r="AOG3" s="456"/>
      <c r="AOH3" s="456"/>
      <c r="AOI3" s="456"/>
      <c r="AOJ3" s="456"/>
      <c r="AOK3" s="456"/>
      <c r="AOL3" s="456"/>
      <c r="AOM3" s="456"/>
      <c r="AON3" s="456"/>
      <c r="AOO3" s="456"/>
      <c r="AOP3" s="456"/>
      <c r="AOQ3" s="456"/>
      <c r="AOR3" s="456"/>
      <c r="AOS3" s="456"/>
      <c r="AOT3" s="456"/>
      <c r="AOU3" s="456"/>
      <c r="AOV3" s="456"/>
      <c r="AOW3" s="456"/>
      <c r="AOX3" s="456"/>
      <c r="AOY3" s="456"/>
      <c r="AOZ3" s="456"/>
      <c r="APA3" s="456"/>
      <c r="APB3" s="456"/>
      <c r="APC3" s="456"/>
      <c r="APD3" s="456"/>
      <c r="APE3" s="456"/>
      <c r="APF3" s="456"/>
      <c r="APG3" s="456"/>
      <c r="APH3" s="456"/>
      <c r="API3" s="456"/>
      <c r="APJ3" s="456"/>
      <c r="APK3" s="456"/>
      <c r="APL3" s="456"/>
      <c r="APM3" s="456"/>
      <c r="APN3" s="456"/>
      <c r="APO3" s="456"/>
      <c r="APP3" s="456"/>
      <c r="APQ3" s="456"/>
      <c r="APR3" s="456"/>
      <c r="APS3" s="456"/>
      <c r="APT3" s="456"/>
      <c r="APU3" s="456"/>
      <c r="APV3" s="456"/>
      <c r="APW3" s="456"/>
      <c r="APX3" s="456"/>
      <c r="APY3" s="456"/>
      <c r="APZ3" s="456"/>
      <c r="AQA3" s="456"/>
      <c r="AQB3" s="456"/>
      <c r="AQC3" s="456"/>
      <c r="AQD3" s="456"/>
      <c r="AQE3" s="456"/>
      <c r="AQF3" s="456"/>
      <c r="AQG3" s="456"/>
      <c r="AQH3" s="456"/>
      <c r="AQI3" s="456"/>
      <c r="AQJ3" s="456"/>
      <c r="AQK3" s="456"/>
      <c r="AQL3" s="456"/>
      <c r="AQM3" s="456"/>
      <c r="AQN3" s="456"/>
      <c r="AQO3" s="456"/>
      <c r="AQP3" s="456"/>
      <c r="AQQ3" s="456"/>
      <c r="AQR3" s="456"/>
      <c r="AQS3" s="456"/>
      <c r="AQT3" s="456"/>
      <c r="AQU3" s="456"/>
      <c r="AQV3" s="456"/>
      <c r="AQW3" s="456"/>
      <c r="AQX3" s="456"/>
      <c r="AQY3" s="456"/>
      <c r="AQZ3" s="456"/>
      <c r="ARA3" s="456"/>
      <c r="ARB3" s="456"/>
      <c r="ARC3" s="456"/>
      <c r="ARD3" s="456"/>
      <c r="ARE3" s="456"/>
      <c r="ARF3" s="456"/>
      <c r="ARG3" s="456"/>
      <c r="ARH3" s="456"/>
      <c r="ARI3" s="456"/>
      <c r="ARJ3" s="456"/>
      <c r="ARK3" s="456"/>
      <c r="ARL3" s="456"/>
      <c r="ARM3" s="456"/>
      <c r="ARN3" s="456"/>
      <c r="ARO3" s="456"/>
      <c r="ARP3" s="456"/>
      <c r="ARQ3" s="456"/>
      <c r="ARR3" s="456"/>
      <c r="ARS3" s="456"/>
      <c r="ART3" s="456"/>
      <c r="ARU3" s="456"/>
      <c r="ARV3" s="456"/>
      <c r="ARW3" s="456"/>
      <c r="ARX3" s="456"/>
      <c r="ARY3" s="456"/>
      <c r="ARZ3" s="456"/>
      <c r="ASA3" s="456"/>
      <c r="ASB3" s="456"/>
      <c r="ASC3" s="456"/>
      <c r="ASD3" s="456"/>
      <c r="ASE3" s="456"/>
      <c r="ASF3" s="456"/>
      <c r="ASG3" s="456"/>
      <c r="ASH3" s="456"/>
      <c r="ASI3" s="456"/>
      <c r="ASJ3" s="456"/>
      <c r="ASK3" s="456"/>
      <c r="ASL3" s="456"/>
      <c r="ASM3" s="456"/>
      <c r="ASN3" s="456"/>
      <c r="ASO3" s="456"/>
      <c r="ASP3" s="456"/>
      <c r="ASQ3" s="456"/>
      <c r="ASR3" s="456"/>
      <c r="ASS3" s="456"/>
      <c r="AST3" s="456"/>
      <c r="ASU3" s="456"/>
      <c r="ASV3" s="456"/>
      <c r="ASW3" s="456"/>
      <c r="ASX3" s="456"/>
      <c r="ASY3" s="456"/>
      <c r="ASZ3" s="456"/>
      <c r="ATA3" s="456"/>
      <c r="ATB3" s="456"/>
      <c r="ATC3" s="456"/>
      <c r="ATD3" s="456"/>
      <c r="ATE3" s="456"/>
      <c r="ATF3" s="456"/>
      <c r="ATG3" s="456"/>
      <c r="ATH3" s="456"/>
      <c r="ATI3" s="456"/>
      <c r="ATJ3" s="456"/>
      <c r="ATK3" s="456"/>
      <c r="ATL3" s="456"/>
      <c r="ATM3" s="456"/>
      <c r="ATN3" s="456"/>
      <c r="ATO3" s="456"/>
      <c r="ATP3" s="456"/>
      <c r="ATQ3" s="456"/>
      <c r="ATR3" s="456"/>
      <c r="ATS3" s="456"/>
      <c r="ATT3" s="456"/>
      <c r="ATU3" s="456"/>
      <c r="ATV3" s="456"/>
      <c r="ATW3" s="456"/>
      <c r="ATX3" s="456"/>
      <c r="ATY3" s="456"/>
      <c r="ATZ3" s="456"/>
      <c r="AUA3" s="456"/>
      <c r="AUB3" s="456"/>
      <c r="AUC3" s="456"/>
      <c r="AUD3" s="456"/>
      <c r="AUE3" s="456"/>
      <c r="AUF3" s="456"/>
      <c r="AUG3" s="456"/>
      <c r="AUH3" s="456"/>
      <c r="AUI3" s="456"/>
      <c r="AUJ3" s="456"/>
      <c r="AUK3" s="456"/>
      <c r="AUL3" s="456"/>
      <c r="AUM3" s="456"/>
      <c r="AUN3" s="456"/>
      <c r="AUO3" s="456"/>
      <c r="AUP3" s="456"/>
      <c r="AUQ3" s="456"/>
      <c r="AUR3" s="456"/>
      <c r="AUS3" s="456"/>
      <c r="AUT3" s="456"/>
      <c r="AUU3" s="456"/>
      <c r="AUV3" s="456"/>
      <c r="AUW3" s="456"/>
      <c r="AUX3" s="456"/>
      <c r="AUY3" s="456"/>
      <c r="AUZ3" s="456"/>
      <c r="AVA3" s="456"/>
      <c r="AVB3" s="456"/>
      <c r="AVC3" s="456"/>
      <c r="AVD3" s="456"/>
      <c r="AVE3" s="456"/>
      <c r="AVF3" s="456"/>
      <c r="AVG3" s="456"/>
      <c r="AVH3" s="456"/>
      <c r="AVI3" s="456"/>
      <c r="AVJ3" s="456"/>
      <c r="AVK3" s="456"/>
      <c r="AVL3" s="456"/>
      <c r="AVM3" s="456"/>
      <c r="AVN3" s="456"/>
      <c r="AVO3" s="456"/>
      <c r="AVP3" s="456"/>
      <c r="AVQ3" s="456"/>
      <c r="AVR3" s="456"/>
      <c r="AVS3" s="456"/>
      <c r="AVT3" s="456"/>
      <c r="AVU3" s="456"/>
      <c r="AVV3" s="456"/>
      <c r="AVW3" s="456"/>
      <c r="AVX3" s="456"/>
      <c r="AVY3" s="456"/>
      <c r="AVZ3" s="456"/>
      <c r="AWA3" s="456"/>
      <c r="AWB3" s="456"/>
      <c r="AWC3" s="456"/>
      <c r="AWD3" s="456"/>
      <c r="AWE3" s="456"/>
      <c r="AWF3" s="456"/>
      <c r="AWG3" s="456"/>
      <c r="AWH3" s="456"/>
      <c r="AWI3" s="456"/>
      <c r="AWJ3" s="456"/>
      <c r="AWK3" s="456"/>
      <c r="AWL3" s="456"/>
      <c r="AWM3" s="456"/>
      <c r="AWN3" s="456"/>
      <c r="AWO3" s="456"/>
      <c r="AWP3" s="456"/>
      <c r="AWQ3" s="456"/>
      <c r="AWR3" s="456"/>
      <c r="AWS3" s="456"/>
      <c r="AWT3" s="456"/>
      <c r="AWU3" s="456"/>
      <c r="AWV3" s="456"/>
      <c r="AWW3" s="456"/>
      <c r="AWX3" s="456"/>
      <c r="AWY3" s="456"/>
      <c r="AWZ3" s="456"/>
      <c r="AXA3" s="456"/>
      <c r="AXB3" s="456"/>
      <c r="AXC3" s="456"/>
      <c r="AXD3" s="456"/>
      <c r="AXE3" s="456"/>
      <c r="AXF3" s="456"/>
      <c r="AXG3" s="456"/>
      <c r="AXH3" s="456"/>
      <c r="AXI3" s="456"/>
      <c r="AXJ3" s="456"/>
      <c r="AXK3" s="456"/>
      <c r="AXL3" s="456"/>
      <c r="AXM3" s="456"/>
      <c r="AXN3" s="456"/>
      <c r="AXO3" s="456"/>
      <c r="AXP3" s="456"/>
      <c r="AXQ3" s="456"/>
      <c r="AXR3" s="456"/>
      <c r="AXS3" s="456"/>
      <c r="AXT3" s="456"/>
      <c r="AXU3" s="456"/>
      <c r="AXV3" s="456"/>
      <c r="AXW3" s="456"/>
      <c r="AXX3" s="456"/>
      <c r="AXY3" s="456"/>
      <c r="AXZ3" s="456"/>
      <c r="AYA3" s="456"/>
      <c r="AYB3" s="456"/>
      <c r="AYC3" s="456"/>
      <c r="AYD3" s="456"/>
      <c r="AYE3" s="456"/>
      <c r="AYF3" s="456"/>
      <c r="AYG3" s="456"/>
      <c r="AYH3" s="456"/>
      <c r="AYI3" s="456"/>
      <c r="AYJ3" s="456"/>
      <c r="AYK3" s="456"/>
      <c r="AYL3" s="456"/>
      <c r="AYM3" s="456"/>
      <c r="AYN3" s="456"/>
      <c r="AYO3" s="456"/>
      <c r="AYP3" s="456"/>
      <c r="AYQ3" s="456"/>
      <c r="AYR3" s="456"/>
      <c r="AYS3" s="456"/>
      <c r="AYT3" s="456"/>
      <c r="AYU3" s="456"/>
      <c r="AYV3" s="456"/>
      <c r="AYW3" s="456"/>
      <c r="AYX3" s="456"/>
      <c r="AYY3" s="456"/>
      <c r="AYZ3" s="456"/>
      <c r="AZA3" s="456"/>
      <c r="AZB3" s="456"/>
      <c r="AZC3" s="456"/>
      <c r="AZD3" s="456"/>
      <c r="AZE3" s="456"/>
      <c r="AZF3" s="456"/>
      <c r="AZG3" s="456"/>
      <c r="AZH3" s="456"/>
      <c r="AZI3" s="456"/>
      <c r="AZJ3" s="456"/>
      <c r="AZK3" s="456"/>
      <c r="AZL3" s="456"/>
      <c r="AZM3" s="456"/>
      <c r="AZN3" s="456"/>
      <c r="AZO3" s="456"/>
      <c r="AZP3" s="456"/>
      <c r="AZQ3" s="456"/>
      <c r="AZR3" s="456"/>
      <c r="AZS3" s="456"/>
      <c r="AZT3" s="456"/>
      <c r="AZU3" s="456"/>
      <c r="AZV3" s="456"/>
      <c r="AZW3" s="456"/>
      <c r="AZX3" s="456"/>
      <c r="AZY3" s="456"/>
      <c r="AZZ3" s="456"/>
      <c r="BAA3" s="456"/>
      <c r="BAB3" s="456"/>
      <c r="BAC3" s="456"/>
      <c r="BAD3" s="456"/>
      <c r="BAE3" s="456"/>
      <c r="BAF3" s="456"/>
      <c r="BAG3" s="456"/>
      <c r="BAH3" s="456"/>
      <c r="BAI3" s="456"/>
      <c r="BAJ3" s="456"/>
      <c r="BAK3" s="456"/>
      <c r="BAL3" s="456"/>
      <c r="BAM3" s="456"/>
      <c r="BAN3" s="456"/>
      <c r="BAO3" s="456"/>
      <c r="BAP3" s="456"/>
      <c r="BAQ3" s="456"/>
      <c r="BAR3" s="456"/>
      <c r="BAS3" s="456"/>
      <c r="BAT3" s="456"/>
      <c r="BAU3" s="456"/>
      <c r="BAV3" s="456"/>
      <c r="BAW3" s="456"/>
      <c r="BAX3" s="456"/>
      <c r="BAY3" s="456"/>
      <c r="BAZ3" s="456"/>
      <c r="BBA3" s="456"/>
      <c r="BBB3" s="456"/>
      <c r="BBC3" s="456"/>
      <c r="BBD3" s="456"/>
      <c r="BBE3" s="456"/>
      <c r="BBF3" s="456"/>
      <c r="BBG3" s="456"/>
      <c r="BBH3" s="456"/>
      <c r="BBI3" s="456"/>
      <c r="BBJ3" s="456"/>
      <c r="BBK3" s="456"/>
      <c r="BBL3" s="456"/>
      <c r="BBM3" s="456"/>
      <c r="BBN3" s="456"/>
      <c r="BBO3" s="456"/>
      <c r="BBP3" s="456"/>
      <c r="BBQ3" s="456"/>
      <c r="BBR3" s="456"/>
      <c r="BBS3" s="456"/>
      <c r="BBT3" s="456"/>
      <c r="BBU3" s="456"/>
      <c r="BBV3" s="456"/>
      <c r="BBW3" s="456"/>
      <c r="BBX3" s="456"/>
      <c r="BBY3" s="456"/>
      <c r="BBZ3" s="456"/>
      <c r="BCA3" s="456"/>
      <c r="BCB3" s="456"/>
      <c r="BCC3" s="456"/>
      <c r="BCD3" s="456"/>
      <c r="BCE3" s="456"/>
      <c r="BCF3" s="456"/>
      <c r="BCG3" s="456"/>
      <c r="BCH3" s="456"/>
      <c r="BCI3" s="456"/>
      <c r="BCJ3" s="456"/>
      <c r="BCK3" s="456"/>
      <c r="BCL3" s="456"/>
      <c r="BCM3" s="456"/>
      <c r="BCN3" s="456"/>
      <c r="BCO3" s="456"/>
      <c r="BCP3" s="456"/>
      <c r="BCQ3" s="456"/>
      <c r="BCR3" s="456"/>
      <c r="BCS3" s="456"/>
      <c r="BCT3" s="456"/>
      <c r="BCU3" s="456"/>
      <c r="BCV3" s="456"/>
      <c r="BCW3" s="456"/>
      <c r="BCX3" s="456"/>
      <c r="BCY3" s="456"/>
      <c r="BCZ3" s="456"/>
      <c r="BDA3" s="456"/>
      <c r="BDB3" s="456"/>
      <c r="BDC3" s="456"/>
      <c r="BDD3" s="456"/>
      <c r="BDE3" s="456"/>
      <c r="BDF3" s="456"/>
      <c r="BDG3" s="456"/>
      <c r="BDH3" s="456"/>
      <c r="BDI3" s="456"/>
      <c r="BDJ3" s="456"/>
      <c r="BDK3" s="456"/>
      <c r="BDL3" s="456"/>
      <c r="BDM3" s="456"/>
      <c r="BDN3" s="456"/>
      <c r="BDO3" s="456"/>
      <c r="BDP3" s="456"/>
      <c r="BDQ3" s="456"/>
      <c r="BDR3" s="456"/>
      <c r="BDS3" s="456"/>
      <c r="BDT3" s="456"/>
      <c r="BDU3" s="456"/>
      <c r="BDV3" s="456"/>
      <c r="BDW3" s="456"/>
      <c r="BDX3" s="456"/>
      <c r="BDY3" s="456"/>
      <c r="BDZ3" s="456"/>
      <c r="BEA3" s="456"/>
      <c r="BEB3" s="456"/>
      <c r="BEC3" s="456"/>
      <c r="BED3" s="456"/>
      <c r="BEE3" s="456"/>
      <c r="BEF3" s="456"/>
      <c r="BEG3" s="456"/>
      <c r="BEH3" s="456"/>
      <c r="BEI3" s="456"/>
      <c r="BEJ3" s="456"/>
      <c r="BEK3" s="456"/>
      <c r="BEL3" s="456"/>
      <c r="BEM3" s="456"/>
      <c r="BEN3" s="456"/>
      <c r="BEO3" s="456"/>
      <c r="BEP3" s="456"/>
      <c r="BEQ3" s="456"/>
      <c r="BER3" s="456"/>
      <c r="BES3" s="456"/>
      <c r="BET3" s="456"/>
      <c r="BEU3" s="456"/>
      <c r="BEV3" s="456"/>
      <c r="BEW3" s="456"/>
      <c r="BEX3" s="456"/>
      <c r="BEY3" s="456"/>
      <c r="BEZ3" s="456"/>
      <c r="BFA3" s="456"/>
      <c r="BFB3" s="456"/>
      <c r="BFC3" s="456"/>
      <c r="BFD3" s="456"/>
      <c r="BFE3" s="456"/>
      <c r="BFF3" s="456"/>
      <c r="BFG3" s="456"/>
      <c r="BFH3" s="456"/>
      <c r="BFI3" s="456"/>
      <c r="BFJ3" s="456"/>
      <c r="BFK3" s="456"/>
      <c r="BFL3" s="456"/>
      <c r="BFM3" s="456"/>
      <c r="BFN3" s="456"/>
      <c r="BFO3" s="456"/>
      <c r="BFP3" s="456"/>
      <c r="BFQ3" s="456"/>
      <c r="BFR3" s="456"/>
      <c r="BFS3" s="456"/>
      <c r="BFT3" s="456"/>
      <c r="BFU3" s="456"/>
      <c r="BFV3" s="456"/>
      <c r="BFW3" s="456"/>
      <c r="BFX3" s="456"/>
      <c r="BFY3" s="456"/>
      <c r="BFZ3" s="456"/>
      <c r="BGA3" s="456"/>
      <c r="BGB3" s="456"/>
      <c r="BGC3" s="456"/>
      <c r="BGD3" s="456"/>
      <c r="BGE3" s="456"/>
      <c r="BGF3" s="456"/>
      <c r="BGG3" s="456"/>
      <c r="BGH3" s="456"/>
      <c r="BGI3" s="456"/>
      <c r="BGJ3" s="456"/>
      <c r="BGK3" s="456"/>
      <c r="BGL3" s="456"/>
      <c r="BGM3" s="456"/>
      <c r="BGN3" s="456"/>
      <c r="BGO3" s="456"/>
      <c r="BGP3" s="456"/>
      <c r="BGQ3" s="456"/>
      <c r="BGR3" s="456"/>
      <c r="BGS3" s="456"/>
      <c r="BGT3" s="456"/>
      <c r="BGU3" s="456"/>
      <c r="BGV3" s="456"/>
      <c r="BGW3" s="456"/>
      <c r="BGX3" s="456"/>
      <c r="BGY3" s="456"/>
      <c r="BGZ3" s="456"/>
      <c r="BHA3" s="456"/>
      <c r="BHB3" s="456"/>
      <c r="BHC3" s="456"/>
      <c r="BHD3" s="456"/>
      <c r="BHE3" s="456"/>
      <c r="BHF3" s="456"/>
      <c r="BHG3" s="456"/>
      <c r="BHH3" s="456"/>
      <c r="BHI3" s="456"/>
      <c r="BHJ3" s="456"/>
      <c r="BHK3" s="456"/>
      <c r="BHL3" s="456"/>
      <c r="BHM3" s="456"/>
      <c r="BHN3" s="456"/>
      <c r="BHO3" s="456"/>
      <c r="BHP3" s="456"/>
      <c r="BHQ3" s="456"/>
      <c r="BHR3" s="456"/>
      <c r="BHS3" s="456"/>
      <c r="BHT3" s="456"/>
      <c r="BHU3" s="456"/>
      <c r="BHV3" s="456"/>
      <c r="BHW3" s="456"/>
      <c r="BHX3" s="456"/>
      <c r="BHY3" s="456"/>
      <c r="BHZ3" s="456"/>
      <c r="BIA3" s="456"/>
      <c r="BIB3" s="456"/>
      <c r="BIC3" s="456"/>
      <c r="BID3" s="456"/>
      <c r="BIE3" s="456"/>
      <c r="BIF3" s="456"/>
      <c r="BIG3" s="456"/>
      <c r="BIH3" s="456"/>
      <c r="BII3" s="456"/>
      <c r="BIJ3" s="456"/>
      <c r="BIK3" s="456"/>
      <c r="BIL3" s="456"/>
      <c r="BIM3" s="456"/>
      <c r="BIN3" s="456"/>
      <c r="BIO3" s="456"/>
      <c r="BIP3" s="456"/>
      <c r="BIQ3" s="456"/>
      <c r="BIR3" s="456"/>
      <c r="BIS3" s="456"/>
      <c r="BIT3" s="456"/>
      <c r="BIU3" s="456"/>
      <c r="BIV3" s="456"/>
      <c r="BIW3" s="456"/>
      <c r="BIX3" s="456"/>
      <c r="BIY3" s="456"/>
      <c r="BIZ3" s="456"/>
      <c r="BJA3" s="456"/>
      <c r="BJB3" s="456"/>
      <c r="BJC3" s="456"/>
      <c r="BJD3" s="456"/>
      <c r="BJE3" s="456"/>
      <c r="BJF3" s="456"/>
      <c r="BJG3" s="456"/>
      <c r="BJH3" s="456"/>
      <c r="BJI3" s="456"/>
      <c r="BJJ3" s="456"/>
      <c r="BJK3" s="456"/>
      <c r="BJL3" s="456"/>
      <c r="BJM3" s="456"/>
      <c r="BJN3" s="456"/>
      <c r="BJO3" s="456"/>
      <c r="BJP3" s="456"/>
      <c r="BJQ3" s="456"/>
      <c r="BJR3" s="456"/>
      <c r="BJS3" s="456"/>
      <c r="BJT3" s="456"/>
      <c r="BJU3" s="456"/>
      <c r="BJV3" s="456"/>
      <c r="BJW3" s="456"/>
      <c r="BJX3" s="456"/>
      <c r="BJY3" s="456"/>
      <c r="BJZ3" s="456"/>
      <c r="BKA3" s="456"/>
      <c r="BKB3" s="456"/>
      <c r="BKC3" s="456"/>
      <c r="BKD3" s="456"/>
      <c r="BKE3" s="456"/>
      <c r="BKF3" s="456"/>
      <c r="BKG3" s="456"/>
      <c r="BKH3" s="456"/>
      <c r="BKI3" s="456"/>
      <c r="BKJ3" s="456"/>
      <c r="BKK3" s="456"/>
      <c r="BKL3" s="456"/>
      <c r="BKM3" s="456"/>
      <c r="BKN3" s="456"/>
      <c r="BKO3" s="456"/>
      <c r="BKP3" s="456"/>
      <c r="BKQ3" s="456"/>
      <c r="BKR3" s="456"/>
      <c r="BKS3" s="456"/>
      <c r="BKT3" s="456"/>
      <c r="BKU3" s="456"/>
      <c r="BKV3" s="456"/>
      <c r="BKW3" s="456"/>
      <c r="BKX3" s="456"/>
      <c r="BKY3" s="456"/>
      <c r="BKZ3" s="456"/>
      <c r="BLA3" s="456"/>
      <c r="BLB3" s="456"/>
      <c r="BLC3" s="456"/>
      <c r="BLD3" s="456"/>
      <c r="BLE3" s="456"/>
      <c r="BLF3" s="456"/>
      <c r="BLG3" s="456"/>
      <c r="BLH3" s="456"/>
      <c r="BLI3" s="456"/>
      <c r="BLJ3" s="456"/>
      <c r="BLK3" s="456"/>
      <c r="BLL3" s="456"/>
      <c r="BLM3" s="456"/>
      <c r="BLN3" s="456"/>
      <c r="BLO3" s="456"/>
      <c r="BLP3" s="456"/>
      <c r="BLQ3" s="456"/>
      <c r="BLR3" s="456"/>
      <c r="BLS3" s="456"/>
      <c r="BLT3" s="456"/>
      <c r="BLU3" s="456"/>
      <c r="BLV3" s="456"/>
      <c r="BLW3" s="456"/>
      <c r="BLX3" s="456"/>
      <c r="BLY3" s="456"/>
      <c r="BLZ3" s="456"/>
      <c r="BMA3" s="456"/>
      <c r="BMB3" s="456"/>
      <c r="BMC3" s="456"/>
      <c r="BMD3" s="456"/>
      <c r="BME3" s="456"/>
      <c r="BMF3" s="456"/>
      <c r="BMG3" s="456"/>
      <c r="BMH3" s="456"/>
      <c r="BMI3" s="456"/>
      <c r="BMJ3" s="456"/>
      <c r="BMK3" s="456"/>
      <c r="BML3" s="456"/>
      <c r="BMM3" s="456"/>
      <c r="BMN3" s="456"/>
      <c r="BMO3" s="456"/>
      <c r="BMP3" s="456"/>
      <c r="BMQ3" s="456"/>
      <c r="BMR3" s="456"/>
      <c r="BMS3" s="456"/>
      <c r="BMT3" s="456"/>
      <c r="BMU3" s="456"/>
      <c r="BMV3" s="456"/>
      <c r="BMW3" s="456"/>
      <c r="BMX3" s="456"/>
      <c r="BMY3" s="456"/>
      <c r="BMZ3" s="456"/>
      <c r="BNA3" s="456"/>
      <c r="BNB3" s="456"/>
      <c r="BNC3" s="456"/>
      <c r="BND3" s="456"/>
      <c r="BNE3" s="456"/>
      <c r="BNF3" s="456"/>
      <c r="BNG3" s="456"/>
      <c r="BNH3" s="456"/>
      <c r="BNI3" s="456"/>
      <c r="BNJ3" s="456"/>
      <c r="BNK3" s="456"/>
      <c r="BNL3" s="456"/>
      <c r="BNM3" s="456"/>
      <c r="BNN3" s="456"/>
      <c r="BNO3" s="456"/>
      <c r="BNP3" s="456"/>
      <c r="BNQ3" s="456"/>
      <c r="BNR3" s="456"/>
      <c r="BNS3" s="456"/>
      <c r="BNT3" s="456"/>
      <c r="BNU3" s="456"/>
      <c r="BNV3" s="456"/>
      <c r="BNW3" s="456"/>
      <c r="BNX3" s="456"/>
      <c r="BNY3" s="456"/>
      <c r="BNZ3" s="456"/>
      <c r="BOA3" s="456"/>
      <c r="BOB3" s="456"/>
      <c r="BOC3" s="456"/>
      <c r="BOD3" s="456"/>
      <c r="BOE3" s="456"/>
      <c r="BOF3" s="456"/>
      <c r="BOG3" s="456"/>
      <c r="BOH3" s="456"/>
      <c r="BOI3" s="456"/>
      <c r="BOJ3" s="456"/>
      <c r="BOK3" s="456"/>
      <c r="BOL3" s="456"/>
      <c r="BOM3" s="456"/>
      <c r="BON3" s="456"/>
      <c r="BOO3" s="456"/>
      <c r="BOP3" s="456"/>
      <c r="BOQ3" s="456"/>
      <c r="BOR3" s="456"/>
      <c r="BOS3" s="456"/>
      <c r="BOT3" s="456"/>
      <c r="BOU3" s="456"/>
      <c r="BOV3" s="456"/>
      <c r="BOW3" s="456"/>
      <c r="BOX3" s="456"/>
      <c r="BOY3" s="456"/>
      <c r="BOZ3" s="456"/>
      <c r="BPA3" s="456"/>
      <c r="BPB3" s="456"/>
      <c r="BPC3" s="456"/>
      <c r="BPD3" s="456"/>
      <c r="BPE3" s="456"/>
      <c r="BPF3" s="456"/>
      <c r="BPG3" s="456"/>
      <c r="BPH3" s="456"/>
      <c r="BPI3" s="456"/>
      <c r="BPJ3" s="456"/>
      <c r="BPK3" s="456"/>
      <c r="BPL3" s="456"/>
      <c r="BPM3" s="456"/>
      <c r="BPN3" s="456"/>
      <c r="BPO3" s="456"/>
      <c r="BPP3" s="456"/>
      <c r="BPQ3" s="456"/>
      <c r="BPR3" s="456"/>
      <c r="BPS3" s="456"/>
      <c r="BPT3" s="456"/>
      <c r="BPU3" s="456"/>
      <c r="BPV3" s="456"/>
      <c r="BPW3" s="456"/>
      <c r="BPX3" s="456"/>
      <c r="BPY3" s="456"/>
      <c r="BPZ3" s="456"/>
      <c r="BQA3" s="456"/>
      <c r="BQB3" s="456"/>
      <c r="BQC3" s="456"/>
      <c r="BQD3" s="456"/>
      <c r="BQE3" s="456"/>
      <c r="BQF3" s="456"/>
      <c r="BQG3" s="456"/>
      <c r="BQH3" s="456"/>
      <c r="BQI3" s="456"/>
      <c r="BQJ3" s="456"/>
      <c r="BQK3" s="456"/>
      <c r="BQL3" s="456"/>
      <c r="BQM3" s="456"/>
      <c r="BQN3" s="456"/>
      <c r="BQO3" s="456"/>
      <c r="BQP3" s="456"/>
      <c r="BQQ3" s="456"/>
      <c r="BQR3" s="456"/>
      <c r="BQS3" s="456"/>
      <c r="BQT3" s="456"/>
      <c r="BQU3" s="456"/>
      <c r="BQV3" s="456"/>
      <c r="BQW3" s="456"/>
      <c r="BQX3" s="456"/>
      <c r="BQY3" s="456"/>
      <c r="BQZ3" s="456"/>
      <c r="BRA3" s="456"/>
      <c r="BRB3" s="456"/>
      <c r="BRC3" s="456"/>
      <c r="BRD3" s="456"/>
      <c r="BRE3" s="456"/>
      <c r="BRF3" s="456"/>
      <c r="BRG3" s="456"/>
      <c r="BRH3" s="456"/>
      <c r="BRI3" s="456"/>
      <c r="BRJ3" s="456"/>
      <c r="BRK3" s="456"/>
      <c r="BRL3" s="456"/>
      <c r="BRM3" s="456"/>
      <c r="BRN3" s="456"/>
      <c r="BRO3" s="456"/>
      <c r="BRP3" s="456"/>
      <c r="BRQ3" s="456"/>
      <c r="BRR3" s="456"/>
      <c r="BRS3" s="456"/>
      <c r="BRT3" s="456"/>
      <c r="BRU3" s="456"/>
      <c r="BRV3" s="456"/>
      <c r="BRW3" s="456"/>
      <c r="BRX3" s="456"/>
      <c r="BRY3" s="456"/>
      <c r="BRZ3" s="456"/>
      <c r="BSA3" s="456"/>
      <c r="BSB3" s="456"/>
      <c r="BSC3" s="456"/>
      <c r="BSD3" s="456"/>
      <c r="BSE3" s="456"/>
      <c r="BSF3" s="456"/>
      <c r="BSG3" s="456"/>
      <c r="BSH3" s="456"/>
      <c r="BSI3" s="456"/>
      <c r="BSJ3" s="456"/>
      <c r="BSK3" s="456"/>
      <c r="BSL3" s="456"/>
      <c r="BSM3" s="456"/>
      <c r="BSN3" s="456"/>
      <c r="BSO3" s="456"/>
      <c r="BSP3" s="456"/>
      <c r="BSQ3" s="456"/>
      <c r="BSR3" s="456"/>
      <c r="BSS3" s="456"/>
      <c r="BST3" s="456"/>
      <c r="BSU3" s="456"/>
      <c r="BSV3" s="456"/>
      <c r="BSW3" s="456"/>
      <c r="BSX3" s="456"/>
      <c r="BSY3" s="456"/>
      <c r="BSZ3" s="456"/>
      <c r="BTA3" s="456"/>
      <c r="BTB3" s="456"/>
      <c r="BTC3" s="456"/>
      <c r="BTD3" s="456"/>
      <c r="BTE3" s="456"/>
      <c r="BTF3" s="456"/>
      <c r="BTG3" s="456"/>
      <c r="BTH3" s="456"/>
      <c r="BTI3" s="456"/>
      <c r="BTJ3" s="456"/>
      <c r="BTK3" s="456"/>
      <c r="BTL3" s="456"/>
      <c r="BTM3" s="456"/>
      <c r="BTN3" s="456"/>
      <c r="BTO3" s="456"/>
      <c r="BTP3" s="456"/>
      <c r="BTQ3" s="456"/>
      <c r="BTR3" s="456"/>
      <c r="BTS3" s="456"/>
      <c r="BTT3" s="456"/>
      <c r="BTU3" s="456"/>
      <c r="BTV3" s="456"/>
      <c r="BTW3" s="456"/>
      <c r="BTX3" s="456"/>
      <c r="BTY3" s="456"/>
      <c r="BTZ3" s="456"/>
      <c r="BUA3" s="456"/>
      <c r="BUB3" s="456"/>
      <c r="BUC3" s="456"/>
      <c r="BUD3" s="456"/>
      <c r="BUE3" s="456"/>
      <c r="BUF3" s="456"/>
      <c r="BUG3" s="456"/>
      <c r="BUH3" s="456"/>
      <c r="BUI3" s="456"/>
      <c r="BUJ3" s="456"/>
      <c r="BUK3" s="456"/>
      <c r="BUL3" s="456"/>
      <c r="BUM3" s="456"/>
      <c r="BUN3" s="456"/>
      <c r="BUO3" s="456"/>
      <c r="BUP3" s="456"/>
      <c r="BUQ3" s="456"/>
      <c r="BUR3" s="456"/>
      <c r="BUS3" s="456"/>
      <c r="BUT3" s="456"/>
      <c r="BUU3" s="456"/>
      <c r="BUV3" s="456"/>
      <c r="BUW3" s="456"/>
      <c r="BUX3" s="456"/>
      <c r="BUY3" s="456"/>
      <c r="BUZ3" s="456"/>
      <c r="BVA3" s="456"/>
      <c r="BVB3" s="456"/>
      <c r="BVC3" s="456"/>
      <c r="BVD3" s="456"/>
      <c r="BVE3" s="456"/>
      <c r="BVF3" s="456"/>
      <c r="BVG3" s="456"/>
      <c r="BVH3" s="456"/>
      <c r="BVI3" s="456"/>
      <c r="BVJ3" s="456"/>
      <c r="BVK3" s="456"/>
      <c r="BVL3" s="456"/>
      <c r="BVM3" s="456"/>
      <c r="BVN3" s="456"/>
      <c r="BVO3" s="456"/>
      <c r="BVP3" s="456"/>
      <c r="BVQ3" s="456"/>
      <c r="BVR3" s="456"/>
      <c r="BVS3" s="456"/>
      <c r="BVT3" s="456"/>
      <c r="BVU3" s="456"/>
      <c r="BVV3" s="456"/>
      <c r="BVW3" s="456"/>
      <c r="BVX3" s="456"/>
      <c r="BVY3" s="456"/>
      <c r="BVZ3" s="456"/>
      <c r="BWA3" s="456"/>
      <c r="BWB3" s="456"/>
      <c r="BWC3" s="456"/>
      <c r="BWD3" s="456"/>
      <c r="BWE3" s="456"/>
      <c r="BWF3" s="456"/>
      <c r="BWG3" s="456"/>
      <c r="BWH3" s="456"/>
      <c r="BWI3" s="456"/>
      <c r="BWJ3" s="456"/>
      <c r="BWK3" s="456"/>
      <c r="BWL3" s="456"/>
      <c r="BWM3" s="456"/>
      <c r="BWN3" s="456"/>
      <c r="BWO3" s="456"/>
      <c r="BWP3" s="456"/>
      <c r="BWQ3" s="456"/>
      <c r="BWR3" s="456"/>
      <c r="BWS3" s="456"/>
      <c r="BWT3" s="456"/>
      <c r="BWU3" s="456"/>
      <c r="BWV3" s="456"/>
      <c r="BWW3" s="456"/>
      <c r="BWX3" s="456"/>
      <c r="BWY3" s="456"/>
      <c r="BWZ3" s="456"/>
      <c r="BXA3" s="456"/>
      <c r="BXB3" s="456"/>
      <c r="BXC3" s="456"/>
      <c r="BXD3" s="456"/>
      <c r="BXE3" s="456"/>
      <c r="BXF3" s="456"/>
      <c r="BXG3" s="456"/>
      <c r="BXH3" s="456"/>
      <c r="BXI3" s="456"/>
      <c r="BXJ3" s="456"/>
      <c r="BXK3" s="456"/>
      <c r="BXL3" s="456"/>
      <c r="BXM3" s="456"/>
      <c r="BXN3" s="456"/>
      <c r="BXO3" s="456"/>
      <c r="BXP3" s="456"/>
      <c r="BXQ3" s="456"/>
      <c r="BXR3" s="456"/>
      <c r="BXS3" s="456"/>
      <c r="BXT3" s="456"/>
      <c r="BXU3" s="456"/>
      <c r="BXV3" s="456"/>
      <c r="BXW3" s="456"/>
      <c r="BXX3" s="456"/>
      <c r="BXY3" s="456"/>
      <c r="BXZ3" s="456"/>
    </row>
    <row r="4" s="25" customFormat="1" spans="1:1024 1025:2002">
      <c r="A4" s="473"/>
      <c r="B4" s="19">
        <v>1093</v>
      </c>
      <c r="C4" s="183">
        <v>45934</v>
      </c>
      <c r="D4" s="17" t="s">
        <v>35</v>
      </c>
      <c r="E4" s="17" t="s">
        <v>36</v>
      </c>
      <c r="F4" s="17" t="s">
        <v>37</v>
      </c>
      <c r="G4" s="17"/>
      <c r="H4" s="19" t="s">
        <v>38</v>
      </c>
      <c r="I4" s="17" t="s">
        <v>38</v>
      </c>
      <c r="J4" s="17" t="s">
        <v>39</v>
      </c>
      <c r="K4" s="19">
        <v>214</v>
      </c>
      <c r="L4" s="91"/>
      <c r="M4" s="19"/>
      <c r="N4" s="19" t="s">
        <v>40</v>
      </c>
      <c r="O4" s="19" t="s">
        <v>41</v>
      </c>
      <c r="P4" s="19"/>
      <c r="Q4" s="19">
        <v>1678</v>
      </c>
      <c r="R4" s="19">
        <f>+P3-Q3-Q4</f>
        <v>66</v>
      </c>
      <c r="S4" s="19">
        <v>3000</v>
      </c>
      <c r="T4" s="19" t="s">
        <v>42</v>
      </c>
      <c r="U4" s="102" t="s">
        <v>43</v>
      </c>
      <c r="V4" s="186">
        <v>45936</v>
      </c>
      <c r="W4" s="17" t="s">
        <v>44</v>
      </c>
      <c r="X4" s="17"/>
      <c r="Y4" s="68">
        <v>46054</v>
      </c>
      <c r="Z4" s="17" t="s">
        <v>45</v>
      </c>
      <c r="AA4" s="17" t="s">
        <v>46</v>
      </c>
      <c r="AB4" s="17"/>
      <c r="AC4" s="217"/>
      <c r="AD4" s="65">
        <v>1870</v>
      </c>
      <c r="AE4" s="17" t="s">
        <v>48</v>
      </c>
      <c r="AF4" s="17"/>
      <c r="AG4" s="17"/>
      <c r="AH4" s="456"/>
      <c r="AI4" s="456"/>
      <c r="AJ4" s="456"/>
      <c r="AK4" s="456"/>
      <c r="AL4" s="456"/>
      <c r="AM4" s="456"/>
      <c r="AN4" s="456"/>
      <c r="AO4" s="456"/>
      <c r="AP4" s="456"/>
      <c r="AQ4" s="456"/>
      <c r="AR4" s="456"/>
      <c r="AS4" s="456"/>
      <c r="AT4" s="456"/>
      <c r="AU4" s="456"/>
      <c r="AV4" s="456"/>
      <c r="AW4" s="456"/>
      <c r="AX4" s="456"/>
      <c r="AY4" s="456"/>
      <c r="AZ4" s="456"/>
      <c r="BA4" s="456"/>
      <c r="BB4" s="456"/>
      <c r="BC4" s="456"/>
      <c r="BD4" s="456"/>
      <c r="BE4" s="456"/>
      <c r="BF4" s="456"/>
      <c r="BG4" s="456"/>
      <c r="BH4" s="456"/>
      <c r="BI4" s="456"/>
      <c r="BJ4" s="456"/>
      <c r="BK4" s="456"/>
      <c r="BL4" s="456"/>
      <c r="BM4" s="456"/>
      <c r="BN4" s="456"/>
      <c r="BO4" s="456"/>
      <c r="BP4" s="456"/>
      <c r="BQ4" s="456"/>
      <c r="BR4" s="456"/>
      <c r="BS4" s="456"/>
      <c r="BT4" s="456"/>
      <c r="BU4" s="456"/>
      <c r="BV4" s="456"/>
      <c r="BW4" s="456"/>
      <c r="BX4" s="456"/>
      <c r="BY4" s="456"/>
      <c r="BZ4" s="456"/>
      <c r="CA4" s="456"/>
      <c r="CB4" s="456"/>
      <c r="CC4" s="456"/>
      <c r="CD4" s="456"/>
      <c r="CE4" s="456"/>
      <c r="CF4" s="456"/>
      <c r="CG4" s="456"/>
      <c r="CH4" s="456"/>
      <c r="CI4" s="456"/>
      <c r="CJ4" s="456"/>
      <c r="CK4" s="456"/>
      <c r="CL4" s="456"/>
      <c r="CM4" s="456"/>
      <c r="CN4" s="456"/>
      <c r="CO4" s="456"/>
      <c r="CP4" s="456"/>
      <c r="CQ4" s="456"/>
      <c r="CR4" s="456"/>
      <c r="CS4" s="456"/>
      <c r="CT4" s="456"/>
      <c r="CU4" s="456"/>
      <c r="CV4" s="456"/>
      <c r="CW4" s="456"/>
      <c r="CX4" s="456"/>
      <c r="CY4" s="456"/>
      <c r="CZ4" s="456"/>
      <c r="DA4" s="456"/>
      <c r="DB4" s="456"/>
      <c r="DC4" s="456"/>
      <c r="DD4" s="456"/>
      <c r="DE4" s="456"/>
      <c r="DF4" s="456"/>
      <c r="DG4" s="456"/>
      <c r="DH4" s="456"/>
      <c r="DI4" s="456"/>
      <c r="DJ4" s="456"/>
      <c r="DK4" s="456"/>
      <c r="DL4" s="456"/>
      <c r="DM4" s="456"/>
      <c r="DN4" s="456"/>
      <c r="DO4" s="456"/>
      <c r="DP4" s="456"/>
      <c r="DQ4" s="456"/>
      <c r="DR4" s="456"/>
      <c r="DS4" s="456"/>
      <c r="DT4" s="456"/>
      <c r="DU4" s="456"/>
      <c r="DV4" s="456"/>
      <c r="DW4" s="456"/>
      <c r="DX4" s="456"/>
      <c r="DY4" s="456"/>
      <c r="DZ4" s="456"/>
      <c r="EA4" s="456"/>
      <c r="EB4" s="456"/>
      <c r="EC4" s="456"/>
      <c r="ED4" s="456"/>
      <c r="EE4" s="456"/>
      <c r="EF4" s="456"/>
      <c r="EG4" s="456"/>
      <c r="EH4" s="456"/>
      <c r="EI4" s="456"/>
      <c r="EJ4" s="456"/>
      <c r="EK4" s="456"/>
      <c r="EL4" s="456"/>
      <c r="EM4" s="456"/>
      <c r="EN4" s="456"/>
      <c r="EO4" s="456"/>
      <c r="EP4" s="456"/>
      <c r="EQ4" s="456"/>
      <c r="ER4" s="456"/>
      <c r="ES4" s="456"/>
      <c r="ET4" s="456"/>
      <c r="EU4" s="456"/>
      <c r="EV4" s="456"/>
      <c r="EW4" s="456"/>
      <c r="EX4" s="456"/>
      <c r="EY4" s="456"/>
      <c r="EZ4" s="456"/>
      <c r="FA4" s="456"/>
      <c r="FB4" s="456"/>
      <c r="FC4" s="456"/>
      <c r="FD4" s="456"/>
      <c r="FE4" s="456"/>
      <c r="FF4" s="456"/>
      <c r="FG4" s="456"/>
      <c r="FH4" s="456"/>
      <c r="FI4" s="456"/>
      <c r="FJ4" s="456"/>
      <c r="FK4" s="456"/>
      <c r="FL4" s="456"/>
      <c r="FM4" s="456"/>
      <c r="FN4" s="456"/>
      <c r="FO4" s="456"/>
      <c r="FP4" s="456"/>
      <c r="FQ4" s="456"/>
      <c r="FR4" s="456"/>
      <c r="FS4" s="456"/>
      <c r="FT4" s="456"/>
      <c r="FU4" s="456"/>
      <c r="FV4" s="456"/>
      <c r="FW4" s="456"/>
      <c r="FX4" s="456"/>
      <c r="FY4" s="456"/>
      <c r="FZ4" s="456"/>
      <c r="GA4" s="456"/>
      <c r="GB4" s="456"/>
      <c r="GC4" s="456"/>
      <c r="GD4" s="456"/>
      <c r="GE4" s="456"/>
      <c r="GF4" s="456"/>
      <c r="GG4" s="456"/>
      <c r="GH4" s="456"/>
      <c r="GI4" s="456"/>
      <c r="GJ4" s="456"/>
      <c r="GK4" s="456"/>
      <c r="GL4" s="456"/>
      <c r="GM4" s="456"/>
      <c r="GN4" s="456"/>
      <c r="GO4" s="456"/>
      <c r="GP4" s="456"/>
      <c r="GQ4" s="456"/>
      <c r="GR4" s="456"/>
      <c r="GS4" s="456"/>
      <c r="GT4" s="456"/>
      <c r="GU4" s="456"/>
      <c r="GV4" s="456"/>
      <c r="GW4" s="456"/>
      <c r="GX4" s="456"/>
      <c r="GY4" s="456"/>
      <c r="GZ4" s="456"/>
      <c r="HA4" s="456"/>
      <c r="HB4" s="456"/>
      <c r="HC4" s="456"/>
      <c r="HD4" s="456"/>
      <c r="HE4" s="456"/>
      <c r="HF4" s="456"/>
      <c r="HG4" s="456"/>
      <c r="HH4" s="456"/>
      <c r="HI4" s="456"/>
      <c r="HJ4" s="456"/>
      <c r="HK4" s="456"/>
      <c r="HL4" s="456"/>
      <c r="HM4" s="456"/>
      <c r="HN4" s="456"/>
      <c r="HO4" s="456"/>
      <c r="HP4" s="456"/>
      <c r="HQ4" s="456"/>
      <c r="HR4" s="456"/>
      <c r="HS4" s="456"/>
      <c r="HT4" s="456"/>
      <c r="HU4" s="456"/>
      <c r="HV4" s="456"/>
      <c r="HW4" s="456"/>
      <c r="HX4" s="456"/>
      <c r="HY4" s="456"/>
      <c r="HZ4" s="456"/>
      <c r="IA4" s="456"/>
      <c r="IB4" s="456"/>
      <c r="IC4" s="456"/>
      <c r="ID4" s="456"/>
      <c r="IE4" s="456"/>
      <c r="IF4" s="456"/>
      <c r="IG4" s="456"/>
      <c r="IH4" s="456"/>
      <c r="II4" s="456"/>
      <c r="IJ4" s="456"/>
      <c r="IK4" s="456"/>
      <c r="IL4" s="456"/>
      <c r="IM4" s="456"/>
      <c r="IN4" s="456"/>
      <c r="IO4" s="456"/>
      <c r="IP4" s="456"/>
      <c r="IQ4" s="456"/>
      <c r="IR4" s="456"/>
      <c r="IS4" s="456"/>
      <c r="IT4" s="456"/>
      <c r="IU4" s="456"/>
      <c r="IV4" s="456"/>
      <c r="IW4" s="456"/>
      <c r="IX4" s="456"/>
      <c r="IY4" s="456"/>
      <c r="IZ4" s="456"/>
      <c r="JA4" s="456"/>
      <c r="JB4" s="456"/>
      <c r="JC4" s="456"/>
      <c r="JD4" s="456"/>
      <c r="JE4" s="456"/>
      <c r="JF4" s="456"/>
      <c r="JG4" s="456"/>
      <c r="JH4" s="456"/>
      <c r="JI4" s="456"/>
      <c r="JJ4" s="456"/>
      <c r="JK4" s="456"/>
      <c r="JL4" s="456"/>
      <c r="JM4" s="456"/>
      <c r="JN4" s="456"/>
      <c r="JO4" s="456"/>
      <c r="JP4" s="456"/>
      <c r="JQ4" s="456"/>
      <c r="JR4" s="456"/>
      <c r="JS4" s="456"/>
      <c r="JT4" s="456"/>
      <c r="JU4" s="456"/>
      <c r="JV4" s="456"/>
      <c r="JW4" s="456"/>
      <c r="JX4" s="456"/>
      <c r="JY4" s="456"/>
      <c r="JZ4" s="456"/>
      <c r="KA4" s="456"/>
      <c r="KB4" s="456"/>
      <c r="KC4" s="456"/>
      <c r="KD4" s="456"/>
      <c r="KE4" s="456"/>
      <c r="KF4" s="456"/>
      <c r="KG4" s="456"/>
      <c r="KH4" s="456"/>
      <c r="KI4" s="456"/>
      <c r="KJ4" s="456"/>
      <c r="KK4" s="456"/>
      <c r="KL4" s="456"/>
      <c r="KM4" s="456"/>
      <c r="KN4" s="456"/>
      <c r="KO4" s="456"/>
      <c r="KP4" s="456"/>
      <c r="KQ4" s="456"/>
      <c r="KR4" s="456"/>
      <c r="KS4" s="456"/>
      <c r="KT4" s="456"/>
      <c r="KU4" s="456"/>
      <c r="KV4" s="456"/>
      <c r="KW4" s="456"/>
      <c r="KX4" s="456"/>
      <c r="KY4" s="456"/>
      <c r="KZ4" s="456"/>
      <c r="LA4" s="456"/>
      <c r="LB4" s="456"/>
      <c r="LC4" s="456"/>
      <c r="LD4" s="456"/>
      <c r="LE4" s="456"/>
      <c r="LF4" s="456"/>
      <c r="LG4" s="456"/>
      <c r="LH4" s="456"/>
      <c r="LI4" s="456"/>
      <c r="LJ4" s="456"/>
      <c r="LK4" s="456"/>
      <c r="LL4" s="456"/>
      <c r="LM4" s="456"/>
      <c r="LN4" s="456"/>
      <c r="LO4" s="456"/>
      <c r="LP4" s="456"/>
      <c r="LQ4" s="456"/>
      <c r="LR4" s="456"/>
      <c r="LS4" s="456"/>
      <c r="LT4" s="456"/>
      <c r="LU4" s="456"/>
      <c r="LV4" s="456"/>
      <c r="LW4" s="456"/>
      <c r="LX4" s="456"/>
      <c r="LY4" s="456"/>
      <c r="LZ4" s="456"/>
      <c r="MA4" s="456"/>
      <c r="MB4" s="456"/>
      <c r="MC4" s="456"/>
      <c r="MD4" s="456"/>
      <c r="ME4" s="456"/>
      <c r="MF4" s="456"/>
      <c r="MG4" s="456"/>
      <c r="MH4" s="456"/>
      <c r="MI4" s="456"/>
      <c r="MJ4" s="456"/>
      <c r="MK4" s="456"/>
      <c r="ML4" s="456"/>
      <c r="MM4" s="456"/>
      <c r="MN4" s="456"/>
      <c r="MO4" s="456"/>
      <c r="MP4" s="456"/>
      <c r="MQ4" s="456"/>
      <c r="MR4" s="456"/>
      <c r="MS4" s="456"/>
      <c r="MT4" s="456"/>
      <c r="MU4" s="456"/>
      <c r="MV4" s="456"/>
      <c r="MW4" s="456"/>
      <c r="MX4" s="456"/>
      <c r="MY4" s="456"/>
      <c r="MZ4" s="456"/>
      <c r="NA4" s="456"/>
      <c r="NB4" s="456"/>
      <c r="NC4" s="456"/>
      <c r="ND4" s="456"/>
      <c r="NE4" s="456"/>
      <c r="NF4" s="456"/>
      <c r="NG4" s="456"/>
      <c r="NH4" s="456"/>
      <c r="NI4" s="456"/>
      <c r="NJ4" s="456"/>
      <c r="NK4" s="456"/>
      <c r="NL4" s="456"/>
      <c r="NM4" s="456"/>
      <c r="NN4" s="456"/>
      <c r="NO4" s="456"/>
      <c r="NP4" s="456"/>
      <c r="NQ4" s="456"/>
      <c r="NR4" s="456"/>
      <c r="NS4" s="456"/>
      <c r="NT4" s="456"/>
      <c r="NU4" s="456"/>
      <c r="NV4" s="456"/>
      <c r="NW4" s="456"/>
      <c r="NX4" s="456"/>
      <c r="NY4" s="456"/>
      <c r="NZ4" s="456"/>
      <c r="OA4" s="456"/>
      <c r="OB4" s="456"/>
      <c r="OC4" s="456"/>
      <c r="OD4" s="456"/>
      <c r="OE4" s="456"/>
      <c r="OF4" s="456"/>
      <c r="OG4" s="456"/>
      <c r="OH4" s="456"/>
      <c r="OI4" s="456"/>
      <c r="OJ4" s="456"/>
      <c r="OK4" s="456"/>
      <c r="OL4" s="456"/>
      <c r="OM4" s="456"/>
      <c r="ON4" s="456"/>
      <c r="OO4" s="456"/>
      <c r="OP4" s="456"/>
      <c r="OQ4" s="456"/>
      <c r="OR4" s="456"/>
      <c r="OS4" s="456"/>
      <c r="OT4" s="456"/>
      <c r="OU4" s="456"/>
      <c r="OV4" s="456"/>
      <c r="OW4" s="456"/>
      <c r="OX4" s="456"/>
      <c r="OY4" s="456"/>
      <c r="OZ4" s="456"/>
      <c r="PA4" s="456"/>
      <c r="PB4" s="456"/>
      <c r="PC4" s="456"/>
      <c r="PD4" s="456"/>
      <c r="PE4" s="456"/>
      <c r="PF4" s="456"/>
      <c r="PG4" s="456"/>
      <c r="PH4" s="456"/>
      <c r="PI4" s="456"/>
      <c r="PJ4" s="456"/>
      <c r="PK4" s="456"/>
      <c r="PL4" s="456"/>
      <c r="PM4" s="456"/>
      <c r="PN4" s="456"/>
      <c r="PO4" s="456"/>
      <c r="PP4" s="456"/>
      <c r="PQ4" s="456"/>
      <c r="PR4" s="456"/>
      <c r="PS4" s="456"/>
      <c r="PT4" s="456"/>
      <c r="PU4" s="456"/>
      <c r="PV4" s="456"/>
      <c r="PW4" s="456"/>
      <c r="PX4" s="456"/>
      <c r="PY4" s="456"/>
      <c r="PZ4" s="456"/>
      <c r="QA4" s="456"/>
      <c r="QB4" s="456"/>
      <c r="QC4" s="456"/>
      <c r="QD4" s="456"/>
      <c r="QE4" s="456"/>
      <c r="QF4" s="456"/>
      <c r="QG4" s="456"/>
      <c r="QH4" s="456"/>
      <c r="QI4" s="456"/>
      <c r="QJ4" s="456"/>
      <c r="QK4" s="456"/>
      <c r="QL4" s="456"/>
      <c r="QM4" s="456"/>
      <c r="QN4" s="456"/>
      <c r="QO4" s="456"/>
      <c r="QP4" s="456"/>
      <c r="QQ4" s="456"/>
      <c r="QR4" s="456"/>
      <c r="QS4" s="456"/>
      <c r="QT4" s="456"/>
      <c r="QU4" s="456"/>
      <c r="QV4" s="456"/>
      <c r="QW4" s="456"/>
      <c r="QX4" s="456"/>
      <c r="QY4" s="456"/>
      <c r="QZ4" s="456"/>
      <c r="RA4" s="456"/>
      <c r="RB4" s="456"/>
      <c r="RC4" s="456"/>
      <c r="RD4" s="456"/>
      <c r="RE4" s="456"/>
      <c r="RF4" s="456"/>
      <c r="RG4" s="456"/>
      <c r="RH4" s="456"/>
      <c r="RI4" s="456"/>
      <c r="RJ4" s="456"/>
      <c r="RK4" s="456"/>
      <c r="RL4" s="456"/>
      <c r="RM4" s="456"/>
      <c r="RN4" s="456"/>
      <c r="RO4" s="456"/>
      <c r="RP4" s="456"/>
      <c r="RQ4" s="456"/>
      <c r="RR4" s="456"/>
      <c r="RS4" s="456"/>
      <c r="RT4" s="456"/>
      <c r="RU4" s="456"/>
      <c r="RV4" s="456"/>
      <c r="RW4" s="456"/>
      <c r="RX4" s="456"/>
      <c r="RY4" s="456"/>
      <c r="RZ4" s="456"/>
      <c r="SA4" s="456"/>
      <c r="SB4" s="456"/>
      <c r="SC4" s="456"/>
      <c r="SD4" s="456"/>
      <c r="SE4" s="456"/>
      <c r="SF4" s="456"/>
      <c r="SG4" s="456"/>
      <c r="SH4" s="456"/>
      <c r="SI4" s="456"/>
      <c r="SJ4" s="456"/>
      <c r="SK4" s="456"/>
      <c r="SL4" s="456"/>
      <c r="SM4" s="456"/>
      <c r="SN4" s="456"/>
      <c r="SO4" s="456"/>
      <c r="SP4" s="456"/>
      <c r="SQ4" s="456"/>
      <c r="SR4" s="456"/>
      <c r="SS4" s="456"/>
      <c r="ST4" s="456"/>
      <c r="SU4" s="456"/>
      <c r="SV4" s="456"/>
      <c r="SW4" s="456"/>
      <c r="SX4" s="456"/>
      <c r="SY4" s="456"/>
      <c r="SZ4" s="456"/>
      <c r="TA4" s="456"/>
      <c r="TB4" s="456"/>
      <c r="TC4" s="456"/>
      <c r="TD4" s="456"/>
      <c r="TE4" s="456"/>
      <c r="TF4" s="456"/>
      <c r="TG4" s="456"/>
      <c r="TH4" s="456"/>
      <c r="TI4" s="456"/>
      <c r="TJ4" s="456"/>
      <c r="TK4" s="456"/>
      <c r="TL4" s="456"/>
      <c r="TM4" s="456"/>
      <c r="TN4" s="456"/>
      <c r="TO4" s="456"/>
      <c r="TP4" s="456"/>
      <c r="TQ4" s="456"/>
      <c r="TR4" s="456"/>
      <c r="TS4" s="456"/>
      <c r="TT4" s="456"/>
      <c r="TU4" s="456"/>
      <c r="TV4" s="456"/>
      <c r="TW4" s="456"/>
      <c r="TX4" s="456"/>
      <c r="TY4" s="456"/>
      <c r="TZ4" s="456"/>
      <c r="UA4" s="456"/>
      <c r="UB4" s="456"/>
      <c r="UC4" s="456"/>
      <c r="UD4" s="456"/>
      <c r="UE4" s="456"/>
      <c r="UF4" s="456"/>
      <c r="UG4" s="456"/>
      <c r="UH4" s="456"/>
      <c r="UI4" s="456"/>
      <c r="UJ4" s="456"/>
      <c r="UK4" s="456"/>
      <c r="UL4" s="456"/>
      <c r="UM4" s="456"/>
      <c r="UN4" s="456"/>
      <c r="UO4" s="456"/>
      <c r="UP4" s="456"/>
      <c r="UQ4" s="456"/>
      <c r="UR4" s="456"/>
      <c r="US4" s="456"/>
      <c r="UT4" s="456"/>
      <c r="UU4" s="456"/>
      <c r="UV4" s="456"/>
      <c r="UW4" s="456"/>
      <c r="UX4" s="456"/>
      <c r="UY4" s="456"/>
      <c r="UZ4" s="456"/>
      <c r="VA4" s="456"/>
      <c r="VB4" s="456"/>
      <c r="VC4" s="456"/>
      <c r="VD4" s="456"/>
      <c r="VE4" s="456"/>
      <c r="VF4" s="456"/>
      <c r="VG4" s="456"/>
      <c r="VH4" s="456"/>
      <c r="VI4" s="456"/>
      <c r="VJ4" s="456"/>
      <c r="VK4" s="456"/>
      <c r="VL4" s="456"/>
      <c r="VM4" s="456"/>
      <c r="VN4" s="456"/>
      <c r="VO4" s="456"/>
      <c r="VP4" s="456"/>
      <c r="VQ4" s="456"/>
      <c r="VR4" s="456"/>
      <c r="VS4" s="456"/>
      <c r="VT4" s="456"/>
      <c r="VU4" s="456"/>
      <c r="VV4" s="456"/>
      <c r="VW4" s="456"/>
      <c r="VX4" s="456"/>
      <c r="VY4" s="456"/>
      <c r="VZ4" s="456"/>
      <c r="WA4" s="456"/>
      <c r="WB4" s="456"/>
      <c r="WC4" s="456"/>
      <c r="WD4" s="456"/>
      <c r="WE4" s="456"/>
      <c r="WF4" s="456"/>
      <c r="WG4" s="456"/>
      <c r="WH4" s="456"/>
      <c r="WI4" s="456"/>
      <c r="WJ4" s="456"/>
      <c r="WK4" s="456"/>
      <c r="WL4" s="456"/>
      <c r="WM4" s="456"/>
      <c r="WN4" s="456"/>
      <c r="WO4" s="456"/>
      <c r="WP4" s="456"/>
      <c r="WQ4" s="456"/>
      <c r="WR4" s="456"/>
      <c r="WS4" s="456"/>
      <c r="WT4" s="456"/>
      <c r="WU4" s="456"/>
      <c r="WV4" s="456"/>
      <c r="WW4" s="456"/>
      <c r="WX4" s="456"/>
      <c r="WY4" s="456"/>
      <c r="WZ4" s="456"/>
      <c r="XA4" s="456"/>
      <c r="XB4" s="456"/>
      <c r="XC4" s="456"/>
      <c r="XD4" s="456"/>
      <c r="XE4" s="456"/>
      <c r="XF4" s="456"/>
      <c r="XG4" s="456"/>
      <c r="XH4" s="456"/>
      <c r="XI4" s="456"/>
      <c r="XJ4" s="456"/>
      <c r="XK4" s="456"/>
      <c r="XL4" s="456"/>
      <c r="XM4" s="456"/>
      <c r="XN4" s="456"/>
      <c r="XO4" s="456"/>
      <c r="XP4" s="456"/>
      <c r="XQ4" s="456"/>
      <c r="XR4" s="456"/>
      <c r="XS4" s="456"/>
      <c r="XT4" s="456"/>
      <c r="XU4" s="456"/>
      <c r="XV4" s="456"/>
      <c r="XW4" s="456"/>
      <c r="XX4" s="456"/>
      <c r="XY4" s="456"/>
      <c r="XZ4" s="456"/>
      <c r="YA4" s="456"/>
      <c r="YB4" s="456"/>
      <c r="YC4" s="456"/>
      <c r="YD4" s="456"/>
      <c r="YE4" s="456"/>
      <c r="YF4" s="456"/>
      <c r="YG4" s="456"/>
      <c r="YH4" s="456"/>
      <c r="YI4" s="456"/>
      <c r="YJ4" s="456"/>
      <c r="YK4" s="456"/>
      <c r="YL4" s="456"/>
      <c r="YM4" s="456"/>
      <c r="YN4" s="456"/>
      <c r="YO4" s="456"/>
      <c r="YP4" s="456"/>
      <c r="YQ4" s="456"/>
      <c r="YR4" s="456"/>
      <c r="YS4" s="456"/>
      <c r="YT4" s="456"/>
      <c r="YU4" s="456"/>
      <c r="YV4" s="456"/>
      <c r="YW4" s="456"/>
      <c r="YX4" s="456"/>
      <c r="YY4" s="456"/>
      <c r="YZ4" s="456"/>
      <c r="ZA4" s="456"/>
      <c r="ZB4" s="456"/>
      <c r="ZC4" s="456"/>
      <c r="ZD4" s="456"/>
      <c r="ZE4" s="456"/>
      <c r="ZF4" s="456"/>
      <c r="ZG4" s="456"/>
      <c r="ZH4" s="456"/>
      <c r="ZI4" s="456"/>
      <c r="ZJ4" s="456"/>
      <c r="ZK4" s="456"/>
      <c r="ZL4" s="456"/>
      <c r="ZM4" s="456"/>
      <c r="ZN4" s="456"/>
      <c r="ZO4" s="456"/>
      <c r="ZP4" s="456"/>
      <c r="ZQ4" s="456"/>
      <c r="ZR4" s="456"/>
      <c r="ZS4" s="456"/>
      <c r="ZT4" s="456"/>
      <c r="ZU4" s="456"/>
      <c r="ZV4" s="456"/>
      <c r="ZW4" s="456"/>
      <c r="ZX4" s="456"/>
      <c r="ZY4" s="456"/>
      <c r="ZZ4" s="456"/>
      <c r="AAA4" s="456"/>
      <c r="AAB4" s="456"/>
      <c r="AAC4" s="456"/>
      <c r="AAD4" s="456"/>
      <c r="AAE4" s="456"/>
      <c r="AAF4" s="456"/>
      <c r="AAG4" s="456"/>
      <c r="AAH4" s="456"/>
      <c r="AAI4" s="456"/>
      <c r="AAJ4" s="456"/>
      <c r="AAK4" s="456"/>
      <c r="AAL4" s="456"/>
      <c r="AAM4" s="456"/>
      <c r="AAN4" s="456"/>
      <c r="AAO4" s="456"/>
      <c r="AAP4" s="456"/>
      <c r="AAQ4" s="456"/>
      <c r="AAR4" s="456"/>
      <c r="AAS4" s="456"/>
      <c r="AAT4" s="456"/>
      <c r="AAU4" s="456"/>
      <c r="AAV4" s="456"/>
      <c r="AAW4" s="456"/>
      <c r="AAX4" s="456"/>
      <c r="AAY4" s="456"/>
      <c r="AAZ4" s="456"/>
      <c r="ABA4" s="456"/>
      <c r="ABB4" s="456"/>
      <c r="ABC4" s="456"/>
      <c r="ABD4" s="456"/>
      <c r="ABE4" s="456"/>
      <c r="ABF4" s="456"/>
      <c r="ABG4" s="456"/>
      <c r="ABH4" s="456"/>
      <c r="ABI4" s="456"/>
      <c r="ABJ4" s="456"/>
      <c r="ABK4" s="456"/>
      <c r="ABL4" s="456"/>
      <c r="ABM4" s="456"/>
      <c r="ABN4" s="456"/>
      <c r="ABO4" s="456"/>
      <c r="ABP4" s="456"/>
      <c r="ABQ4" s="456"/>
      <c r="ABR4" s="456"/>
      <c r="ABS4" s="456"/>
      <c r="ABT4" s="456"/>
      <c r="ABU4" s="456"/>
      <c r="ABV4" s="456"/>
      <c r="ABW4" s="456"/>
      <c r="ABX4" s="456"/>
      <c r="ABY4" s="456"/>
      <c r="ABZ4" s="456"/>
      <c r="ACA4" s="456"/>
      <c r="ACB4" s="456"/>
      <c r="ACC4" s="456"/>
      <c r="ACD4" s="456"/>
      <c r="ACE4" s="456"/>
      <c r="ACF4" s="456"/>
      <c r="ACG4" s="456"/>
      <c r="ACH4" s="456"/>
      <c r="ACI4" s="456"/>
      <c r="ACJ4" s="456"/>
      <c r="ACK4" s="456"/>
      <c r="ACL4" s="456"/>
      <c r="ACM4" s="456"/>
      <c r="ACN4" s="456"/>
      <c r="ACO4" s="456"/>
      <c r="ACP4" s="456"/>
      <c r="ACQ4" s="456"/>
      <c r="ACR4" s="456"/>
      <c r="ACS4" s="456"/>
      <c r="ACT4" s="456"/>
      <c r="ACU4" s="456"/>
      <c r="ACV4" s="456"/>
      <c r="ACW4" s="456"/>
      <c r="ACX4" s="456"/>
      <c r="ACY4" s="456"/>
      <c r="ACZ4" s="456"/>
      <c r="ADA4" s="456"/>
      <c r="ADB4" s="456"/>
      <c r="ADC4" s="456"/>
      <c r="ADD4" s="456"/>
      <c r="ADE4" s="456"/>
      <c r="ADF4" s="456"/>
      <c r="ADG4" s="456"/>
      <c r="ADH4" s="456"/>
      <c r="ADI4" s="456"/>
      <c r="ADJ4" s="456"/>
      <c r="ADK4" s="456"/>
      <c r="ADL4" s="456"/>
      <c r="ADM4" s="456"/>
      <c r="ADN4" s="456"/>
      <c r="ADO4" s="456"/>
      <c r="ADP4" s="456"/>
      <c r="ADQ4" s="456"/>
      <c r="ADR4" s="456"/>
      <c r="ADS4" s="456"/>
      <c r="ADT4" s="456"/>
      <c r="ADU4" s="456"/>
      <c r="ADV4" s="456"/>
      <c r="ADW4" s="456"/>
      <c r="ADX4" s="456"/>
      <c r="ADY4" s="456"/>
      <c r="ADZ4" s="456"/>
      <c r="AEA4" s="456"/>
      <c r="AEB4" s="456"/>
      <c r="AEC4" s="456"/>
      <c r="AED4" s="456"/>
      <c r="AEE4" s="456"/>
      <c r="AEF4" s="456"/>
      <c r="AEG4" s="456"/>
      <c r="AEH4" s="456"/>
      <c r="AEI4" s="456"/>
      <c r="AEJ4" s="456"/>
      <c r="AEK4" s="456"/>
      <c r="AEL4" s="456"/>
      <c r="AEM4" s="456"/>
      <c r="AEN4" s="456"/>
      <c r="AEO4" s="456"/>
      <c r="AEP4" s="456"/>
      <c r="AEQ4" s="456"/>
      <c r="AER4" s="456"/>
      <c r="AES4" s="456"/>
      <c r="AET4" s="456"/>
      <c r="AEU4" s="456"/>
      <c r="AEV4" s="456"/>
      <c r="AEW4" s="456"/>
      <c r="AEX4" s="456"/>
      <c r="AEY4" s="456"/>
      <c r="AEZ4" s="456"/>
      <c r="AFA4" s="456"/>
      <c r="AFB4" s="456"/>
      <c r="AFC4" s="456"/>
      <c r="AFD4" s="456"/>
      <c r="AFE4" s="456"/>
      <c r="AFF4" s="456"/>
      <c r="AFG4" s="456"/>
      <c r="AFH4" s="456"/>
      <c r="AFI4" s="456"/>
      <c r="AFJ4" s="456"/>
      <c r="AFK4" s="456"/>
      <c r="AFL4" s="456"/>
      <c r="AFM4" s="456"/>
      <c r="AFN4" s="456"/>
      <c r="AFO4" s="456"/>
      <c r="AFP4" s="456"/>
      <c r="AFQ4" s="456"/>
      <c r="AFR4" s="456"/>
      <c r="AFS4" s="456"/>
      <c r="AFT4" s="456"/>
      <c r="AFU4" s="456"/>
      <c r="AFV4" s="456"/>
      <c r="AFW4" s="456"/>
      <c r="AFX4" s="456"/>
      <c r="AFY4" s="456"/>
      <c r="AFZ4" s="456"/>
      <c r="AGA4" s="456"/>
      <c r="AGB4" s="456"/>
      <c r="AGC4" s="456"/>
      <c r="AGD4" s="456"/>
      <c r="AGE4" s="456"/>
      <c r="AGF4" s="456"/>
      <c r="AGG4" s="456"/>
      <c r="AGH4" s="456"/>
      <c r="AGI4" s="456"/>
      <c r="AGJ4" s="456"/>
      <c r="AGK4" s="456"/>
      <c r="AGL4" s="456"/>
      <c r="AGM4" s="456"/>
      <c r="AGN4" s="456"/>
      <c r="AGO4" s="456"/>
      <c r="AGP4" s="456"/>
      <c r="AGQ4" s="456"/>
      <c r="AGR4" s="456"/>
      <c r="AGS4" s="456"/>
      <c r="AGT4" s="456"/>
      <c r="AGU4" s="456"/>
      <c r="AGV4" s="456"/>
      <c r="AGW4" s="456"/>
      <c r="AGX4" s="456"/>
      <c r="AGY4" s="456"/>
      <c r="AGZ4" s="456"/>
      <c r="AHA4" s="456"/>
      <c r="AHB4" s="456"/>
      <c r="AHC4" s="456"/>
      <c r="AHD4" s="456"/>
      <c r="AHE4" s="456"/>
      <c r="AHF4" s="456"/>
      <c r="AHG4" s="456"/>
      <c r="AHH4" s="456"/>
      <c r="AHI4" s="456"/>
      <c r="AHJ4" s="456"/>
      <c r="AHK4" s="456"/>
      <c r="AHL4" s="456"/>
      <c r="AHM4" s="456"/>
      <c r="AHN4" s="456"/>
      <c r="AHO4" s="456"/>
      <c r="AHP4" s="456"/>
      <c r="AHQ4" s="456"/>
      <c r="AHR4" s="456"/>
      <c r="AHS4" s="456"/>
      <c r="AHT4" s="456"/>
      <c r="AHU4" s="456"/>
      <c r="AHV4" s="456"/>
      <c r="AHW4" s="456"/>
      <c r="AHX4" s="456"/>
      <c r="AHY4" s="456"/>
      <c r="AHZ4" s="456"/>
      <c r="AIA4" s="456"/>
      <c r="AIB4" s="456"/>
      <c r="AIC4" s="456"/>
      <c r="AID4" s="456"/>
      <c r="AIE4" s="456"/>
      <c r="AIF4" s="456"/>
      <c r="AIG4" s="456"/>
      <c r="AIH4" s="456"/>
      <c r="AII4" s="456"/>
      <c r="AIJ4" s="456"/>
      <c r="AIK4" s="456"/>
      <c r="AIL4" s="456"/>
      <c r="AIM4" s="456"/>
      <c r="AIN4" s="456"/>
      <c r="AIO4" s="456"/>
      <c r="AIP4" s="456"/>
      <c r="AIQ4" s="456"/>
      <c r="AIR4" s="456"/>
      <c r="AIS4" s="456"/>
      <c r="AIT4" s="456"/>
      <c r="AIU4" s="456"/>
      <c r="AIV4" s="456"/>
      <c r="AIW4" s="456"/>
      <c r="AIX4" s="456"/>
      <c r="AIY4" s="456"/>
      <c r="AIZ4" s="456"/>
      <c r="AJA4" s="456"/>
      <c r="AJB4" s="456"/>
      <c r="AJC4" s="456"/>
      <c r="AJD4" s="456"/>
      <c r="AJE4" s="456"/>
      <c r="AJF4" s="456"/>
      <c r="AJG4" s="456"/>
      <c r="AJH4" s="456"/>
      <c r="AJI4" s="456"/>
      <c r="AJJ4" s="456"/>
      <c r="AJK4" s="456"/>
      <c r="AJL4" s="456"/>
      <c r="AJM4" s="456"/>
      <c r="AJN4" s="456"/>
      <c r="AJO4" s="456"/>
      <c r="AJP4" s="456"/>
      <c r="AJQ4" s="456"/>
      <c r="AJR4" s="456"/>
      <c r="AJS4" s="456"/>
      <c r="AJT4" s="456"/>
      <c r="AJU4" s="456"/>
      <c r="AJV4" s="456"/>
      <c r="AJW4" s="456"/>
      <c r="AJX4" s="456"/>
      <c r="AJY4" s="456"/>
      <c r="AJZ4" s="456"/>
      <c r="AKA4" s="456"/>
      <c r="AKB4" s="456"/>
      <c r="AKC4" s="456"/>
      <c r="AKD4" s="456"/>
      <c r="AKE4" s="456"/>
      <c r="AKF4" s="456"/>
      <c r="AKG4" s="456"/>
      <c r="AKH4" s="456"/>
      <c r="AKI4" s="456"/>
      <c r="AKJ4" s="456"/>
      <c r="AKK4" s="456"/>
      <c r="AKL4" s="456"/>
      <c r="AKM4" s="456"/>
      <c r="AKN4" s="456"/>
      <c r="AKO4" s="456"/>
      <c r="AKP4" s="456"/>
      <c r="AKQ4" s="456"/>
      <c r="AKR4" s="456"/>
      <c r="AKS4" s="456"/>
      <c r="AKT4" s="456"/>
      <c r="AKU4" s="456"/>
      <c r="AKV4" s="456"/>
      <c r="AKW4" s="456"/>
      <c r="AKX4" s="456"/>
      <c r="AKY4" s="456"/>
      <c r="AKZ4" s="456"/>
      <c r="ALA4" s="456"/>
      <c r="ALB4" s="456"/>
      <c r="ALC4" s="456"/>
      <c r="ALD4" s="456"/>
      <c r="ALE4" s="456"/>
      <c r="ALF4" s="456"/>
      <c r="ALG4" s="456"/>
      <c r="ALH4" s="456"/>
      <c r="ALI4" s="456"/>
      <c r="ALJ4" s="456"/>
      <c r="ALK4" s="456"/>
      <c r="ALL4" s="456"/>
      <c r="ALM4" s="456"/>
      <c r="ALN4" s="456"/>
      <c r="ALO4" s="456"/>
      <c r="ALP4" s="456"/>
      <c r="ALQ4" s="456"/>
      <c r="ALR4" s="456"/>
      <c r="ALS4" s="456"/>
      <c r="ALT4" s="456"/>
      <c r="ALU4" s="456"/>
      <c r="ALV4" s="456"/>
      <c r="ALW4" s="456"/>
      <c r="ALX4" s="456"/>
      <c r="ALY4" s="456"/>
      <c r="ALZ4" s="456"/>
      <c r="AMA4" s="456"/>
      <c r="AMB4" s="456"/>
      <c r="AMC4" s="456"/>
      <c r="AMD4" s="456"/>
      <c r="AME4" s="456"/>
      <c r="AMF4" s="456"/>
      <c r="AMG4" s="456"/>
      <c r="AMH4" s="456"/>
      <c r="AMI4" s="456"/>
      <c r="AMJ4" s="456"/>
      <c r="AMK4" s="456"/>
      <c r="AML4" s="456"/>
      <c r="AMM4" s="456"/>
      <c r="AMN4" s="456"/>
      <c r="AMO4" s="456"/>
      <c r="AMP4" s="456"/>
      <c r="AMQ4" s="456"/>
      <c r="AMR4" s="456"/>
      <c r="AMS4" s="456"/>
      <c r="AMT4" s="456"/>
      <c r="AMU4" s="456"/>
      <c r="AMV4" s="456"/>
      <c r="AMW4" s="456"/>
      <c r="AMX4" s="456"/>
      <c r="AMY4" s="456"/>
      <c r="AMZ4" s="456"/>
      <c r="ANA4" s="456"/>
      <c r="ANB4" s="456"/>
      <c r="ANC4" s="456"/>
      <c r="AND4" s="456"/>
      <c r="ANE4" s="456"/>
      <c r="ANF4" s="456"/>
      <c r="ANG4" s="456"/>
      <c r="ANH4" s="456"/>
      <c r="ANI4" s="456"/>
      <c r="ANJ4" s="456"/>
      <c r="ANK4" s="456"/>
      <c r="ANL4" s="456"/>
      <c r="ANM4" s="456"/>
      <c r="ANN4" s="456"/>
      <c r="ANO4" s="456"/>
      <c r="ANP4" s="456"/>
      <c r="ANQ4" s="456"/>
      <c r="ANR4" s="456"/>
      <c r="ANS4" s="456"/>
      <c r="ANT4" s="456"/>
      <c r="ANU4" s="456"/>
      <c r="ANV4" s="456"/>
      <c r="ANW4" s="456"/>
      <c r="ANX4" s="456"/>
      <c r="ANY4" s="456"/>
      <c r="ANZ4" s="456"/>
      <c r="AOA4" s="456"/>
      <c r="AOB4" s="456"/>
      <c r="AOC4" s="456"/>
      <c r="AOD4" s="456"/>
      <c r="AOE4" s="456"/>
      <c r="AOF4" s="456"/>
      <c r="AOG4" s="456"/>
      <c r="AOH4" s="456"/>
      <c r="AOI4" s="456"/>
      <c r="AOJ4" s="456"/>
      <c r="AOK4" s="456"/>
      <c r="AOL4" s="456"/>
      <c r="AOM4" s="456"/>
      <c r="AON4" s="456"/>
      <c r="AOO4" s="456"/>
      <c r="AOP4" s="456"/>
      <c r="AOQ4" s="456"/>
      <c r="AOR4" s="456"/>
      <c r="AOS4" s="456"/>
      <c r="AOT4" s="456"/>
      <c r="AOU4" s="456"/>
      <c r="AOV4" s="456"/>
      <c r="AOW4" s="456"/>
      <c r="AOX4" s="456"/>
      <c r="AOY4" s="456"/>
      <c r="AOZ4" s="456"/>
      <c r="APA4" s="456"/>
      <c r="APB4" s="456"/>
      <c r="APC4" s="456"/>
      <c r="APD4" s="456"/>
      <c r="APE4" s="456"/>
      <c r="APF4" s="456"/>
      <c r="APG4" s="456"/>
      <c r="APH4" s="456"/>
      <c r="API4" s="456"/>
      <c r="APJ4" s="456"/>
      <c r="APK4" s="456"/>
      <c r="APL4" s="456"/>
      <c r="APM4" s="456"/>
      <c r="APN4" s="456"/>
      <c r="APO4" s="456"/>
      <c r="APP4" s="456"/>
      <c r="APQ4" s="456"/>
      <c r="APR4" s="456"/>
      <c r="APS4" s="456"/>
      <c r="APT4" s="456"/>
      <c r="APU4" s="456"/>
      <c r="APV4" s="456"/>
      <c r="APW4" s="456"/>
      <c r="APX4" s="456"/>
      <c r="APY4" s="456"/>
      <c r="APZ4" s="456"/>
      <c r="AQA4" s="456"/>
      <c r="AQB4" s="456"/>
      <c r="AQC4" s="456"/>
      <c r="AQD4" s="456"/>
      <c r="AQE4" s="456"/>
      <c r="AQF4" s="456"/>
      <c r="AQG4" s="456"/>
      <c r="AQH4" s="456"/>
      <c r="AQI4" s="456"/>
      <c r="AQJ4" s="456"/>
      <c r="AQK4" s="456"/>
      <c r="AQL4" s="456"/>
      <c r="AQM4" s="456"/>
      <c r="AQN4" s="456"/>
      <c r="AQO4" s="456"/>
      <c r="AQP4" s="456"/>
      <c r="AQQ4" s="456"/>
      <c r="AQR4" s="456"/>
      <c r="AQS4" s="456"/>
      <c r="AQT4" s="456"/>
      <c r="AQU4" s="456"/>
      <c r="AQV4" s="456"/>
      <c r="AQW4" s="456"/>
      <c r="AQX4" s="456"/>
      <c r="AQY4" s="456"/>
      <c r="AQZ4" s="456"/>
      <c r="ARA4" s="456"/>
      <c r="ARB4" s="456"/>
      <c r="ARC4" s="456"/>
      <c r="ARD4" s="456"/>
      <c r="ARE4" s="456"/>
      <c r="ARF4" s="456"/>
      <c r="ARG4" s="456"/>
      <c r="ARH4" s="456"/>
      <c r="ARI4" s="456"/>
      <c r="ARJ4" s="456"/>
      <c r="ARK4" s="456"/>
      <c r="ARL4" s="456"/>
      <c r="ARM4" s="456"/>
      <c r="ARN4" s="456"/>
      <c r="ARO4" s="456"/>
      <c r="ARP4" s="456"/>
      <c r="ARQ4" s="456"/>
      <c r="ARR4" s="456"/>
      <c r="ARS4" s="456"/>
      <c r="ART4" s="456"/>
      <c r="ARU4" s="456"/>
      <c r="ARV4" s="456"/>
      <c r="ARW4" s="456"/>
      <c r="ARX4" s="456"/>
      <c r="ARY4" s="456"/>
      <c r="ARZ4" s="456"/>
      <c r="ASA4" s="456"/>
      <c r="ASB4" s="456"/>
      <c r="ASC4" s="456"/>
      <c r="ASD4" s="456"/>
      <c r="ASE4" s="456"/>
      <c r="ASF4" s="456"/>
      <c r="ASG4" s="456"/>
      <c r="ASH4" s="456"/>
      <c r="ASI4" s="456"/>
      <c r="ASJ4" s="456"/>
      <c r="ASK4" s="456"/>
      <c r="ASL4" s="456"/>
      <c r="ASM4" s="456"/>
      <c r="ASN4" s="456"/>
      <c r="ASO4" s="456"/>
      <c r="ASP4" s="456"/>
      <c r="ASQ4" s="456"/>
      <c r="ASR4" s="456"/>
      <c r="ASS4" s="456"/>
      <c r="AST4" s="456"/>
      <c r="ASU4" s="456"/>
      <c r="ASV4" s="456"/>
      <c r="ASW4" s="456"/>
      <c r="ASX4" s="456"/>
      <c r="ASY4" s="456"/>
      <c r="ASZ4" s="456"/>
      <c r="ATA4" s="456"/>
      <c r="ATB4" s="456"/>
      <c r="ATC4" s="456"/>
      <c r="ATD4" s="456"/>
      <c r="ATE4" s="456"/>
      <c r="ATF4" s="456"/>
      <c r="ATG4" s="456"/>
      <c r="ATH4" s="456"/>
      <c r="ATI4" s="456"/>
      <c r="ATJ4" s="456"/>
      <c r="ATK4" s="456"/>
      <c r="ATL4" s="456"/>
      <c r="ATM4" s="456"/>
      <c r="ATN4" s="456"/>
      <c r="ATO4" s="456"/>
      <c r="ATP4" s="456"/>
      <c r="ATQ4" s="456"/>
      <c r="ATR4" s="456"/>
      <c r="ATS4" s="456"/>
      <c r="ATT4" s="456"/>
      <c r="ATU4" s="456"/>
      <c r="ATV4" s="456"/>
      <c r="ATW4" s="456"/>
      <c r="ATX4" s="456"/>
      <c r="ATY4" s="456"/>
      <c r="ATZ4" s="456"/>
      <c r="AUA4" s="456"/>
      <c r="AUB4" s="456"/>
      <c r="AUC4" s="456"/>
      <c r="AUD4" s="456"/>
      <c r="AUE4" s="456"/>
      <c r="AUF4" s="456"/>
      <c r="AUG4" s="456"/>
      <c r="AUH4" s="456"/>
      <c r="AUI4" s="456"/>
      <c r="AUJ4" s="456"/>
      <c r="AUK4" s="456"/>
      <c r="AUL4" s="456"/>
      <c r="AUM4" s="456"/>
      <c r="AUN4" s="456"/>
      <c r="AUO4" s="456"/>
      <c r="AUP4" s="456"/>
      <c r="AUQ4" s="456"/>
      <c r="AUR4" s="456"/>
      <c r="AUS4" s="456"/>
      <c r="AUT4" s="456"/>
      <c r="AUU4" s="456"/>
      <c r="AUV4" s="456"/>
      <c r="AUW4" s="456"/>
      <c r="AUX4" s="456"/>
      <c r="AUY4" s="456"/>
      <c r="AUZ4" s="456"/>
      <c r="AVA4" s="456"/>
      <c r="AVB4" s="456"/>
      <c r="AVC4" s="456"/>
      <c r="AVD4" s="456"/>
      <c r="AVE4" s="456"/>
      <c r="AVF4" s="456"/>
      <c r="AVG4" s="456"/>
      <c r="AVH4" s="456"/>
      <c r="AVI4" s="456"/>
      <c r="AVJ4" s="456"/>
      <c r="AVK4" s="456"/>
      <c r="AVL4" s="456"/>
      <c r="AVM4" s="456"/>
      <c r="AVN4" s="456"/>
      <c r="AVO4" s="456"/>
      <c r="AVP4" s="456"/>
      <c r="AVQ4" s="456"/>
      <c r="AVR4" s="456"/>
      <c r="AVS4" s="456"/>
      <c r="AVT4" s="456"/>
      <c r="AVU4" s="456"/>
      <c r="AVV4" s="456"/>
      <c r="AVW4" s="456"/>
      <c r="AVX4" s="456"/>
      <c r="AVY4" s="456"/>
      <c r="AVZ4" s="456"/>
      <c r="AWA4" s="456"/>
      <c r="AWB4" s="456"/>
      <c r="AWC4" s="456"/>
      <c r="AWD4" s="456"/>
      <c r="AWE4" s="456"/>
      <c r="AWF4" s="456"/>
      <c r="AWG4" s="456"/>
      <c r="AWH4" s="456"/>
      <c r="AWI4" s="456"/>
      <c r="AWJ4" s="456"/>
      <c r="AWK4" s="456"/>
      <c r="AWL4" s="456"/>
      <c r="AWM4" s="456"/>
      <c r="AWN4" s="456"/>
      <c r="AWO4" s="456"/>
      <c r="AWP4" s="456"/>
      <c r="AWQ4" s="456"/>
      <c r="AWR4" s="456"/>
      <c r="AWS4" s="456"/>
      <c r="AWT4" s="456"/>
      <c r="AWU4" s="456"/>
      <c r="AWV4" s="456"/>
      <c r="AWW4" s="456"/>
      <c r="AWX4" s="456"/>
      <c r="AWY4" s="456"/>
      <c r="AWZ4" s="456"/>
      <c r="AXA4" s="456"/>
      <c r="AXB4" s="456"/>
      <c r="AXC4" s="456"/>
      <c r="AXD4" s="456"/>
      <c r="AXE4" s="456"/>
      <c r="AXF4" s="456"/>
      <c r="AXG4" s="456"/>
      <c r="AXH4" s="456"/>
      <c r="AXI4" s="456"/>
      <c r="AXJ4" s="456"/>
      <c r="AXK4" s="456"/>
      <c r="AXL4" s="456"/>
      <c r="AXM4" s="456"/>
      <c r="AXN4" s="456"/>
      <c r="AXO4" s="456"/>
      <c r="AXP4" s="456"/>
      <c r="AXQ4" s="456"/>
      <c r="AXR4" s="456"/>
      <c r="AXS4" s="456"/>
      <c r="AXT4" s="456"/>
      <c r="AXU4" s="456"/>
      <c r="AXV4" s="456"/>
      <c r="AXW4" s="456"/>
      <c r="AXX4" s="456"/>
      <c r="AXY4" s="456"/>
      <c r="AXZ4" s="456"/>
      <c r="AYA4" s="456"/>
      <c r="AYB4" s="456"/>
      <c r="AYC4" s="456"/>
      <c r="AYD4" s="456"/>
      <c r="AYE4" s="456"/>
      <c r="AYF4" s="456"/>
      <c r="AYG4" s="456"/>
      <c r="AYH4" s="456"/>
      <c r="AYI4" s="456"/>
      <c r="AYJ4" s="456"/>
      <c r="AYK4" s="456"/>
      <c r="AYL4" s="456"/>
      <c r="AYM4" s="456"/>
      <c r="AYN4" s="456"/>
      <c r="AYO4" s="456"/>
      <c r="AYP4" s="456"/>
      <c r="AYQ4" s="456"/>
      <c r="AYR4" s="456"/>
      <c r="AYS4" s="456"/>
      <c r="AYT4" s="456"/>
      <c r="AYU4" s="456"/>
      <c r="AYV4" s="456"/>
      <c r="AYW4" s="456"/>
      <c r="AYX4" s="456"/>
      <c r="AYY4" s="456"/>
      <c r="AYZ4" s="456"/>
      <c r="AZA4" s="456"/>
      <c r="AZB4" s="456"/>
      <c r="AZC4" s="456"/>
      <c r="AZD4" s="456"/>
      <c r="AZE4" s="456"/>
      <c r="AZF4" s="456"/>
      <c r="AZG4" s="456"/>
      <c r="AZH4" s="456"/>
      <c r="AZI4" s="456"/>
      <c r="AZJ4" s="456"/>
      <c r="AZK4" s="456"/>
      <c r="AZL4" s="456"/>
      <c r="AZM4" s="456"/>
      <c r="AZN4" s="456"/>
      <c r="AZO4" s="456"/>
      <c r="AZP4" s="456"/>
      <c r="AZQ4" s="456"/>
      <c r="AZR4" s="456"/>
      <c r="AZS4" s="456"/>
      <c r="AZT4" s="456"/>
      <c r="AZU4" s="456"/>
      <c r="AZV4" s="456"/>
      <c r="AZW4" s="456"/>
      <c r="AZX4" s="456"/>
      <c r="AZY4" s="456"/>
      <c r="AZZ4" s="456"/>
      <c r="BAA4" s="456"/>
      <c r="BAB4" s="456"/>
      <c r="BAC4" s="456"/>
      <c r="BAD4" s="456"/>
      <c r="BAE4" s="456"/>
      <c r="BAF4" s="456"/>
      <c r="BAG4" s="456"/>
      <c r="BAH4" s="456"/>
      <c r="BAI4" s="456"/>
      <c r="BAJ4" s="456"/>
      <c r="BAK4" s="456"/>
      <c r="BAL4" s="456"/>
      <c r="BAM4" s="456"/>
      <c r="BAN4" s="456"/>
      <c r="BAO4" s="456"/>
      <c r="BAP4" s="456"/>
      <c r="BAQ4" s="456"/>
      <c r="BAR4" s="456"/>
      <c r="BAS4" s="456"/>
      <c r="BAT4" s="456"/>
      <c r="BAU4" s="456"/>
      <c r="BAV4" s="456"/>
      <c r="BAW4" s="456"/>
      <c r="BAX4" s="456"/>
      <c r="BAY4" s="456"/>
      <c r="BAZ4" s="456"/>
      <c r="BBA4" s="456"/>
      <c r="BBB4" s="456"/>
      <c r="BBC4" s="456"/>
      <c r="BBD4" s="456"/>
      <c r="BBE4" s="456"/>
      <c r="BBF4" s="456"/>
      <c r="BBG4" s="456"/>
      <c r="BBH4" s="456"/>
      <c r="BBI4" s="456"/>
      <c r="BBJ4" s="456"/>
      <c r="BBK4" s="456"/>
      <c r="BBL4" s="456"/>
      <c r="BBM4" s="456"/>
      <c r="BBN4" s="456"/>
      <c r="BBO4" s="456"/>
      <c r="BBP4" s="456"/>
      <c r="BBQ4" s="456"/>
      <c r="BBR4" s="456"/>
      <c r="BBS4" s="456"/>
      <c r="BBT4" s="456"/>
      <c r="BBU4" s="456"/>
      <c r="BBV4" s="456"/>
      <c r="BBW4" s="456"/>
      <c r="BBX4" s="456"/>
      <c r="BBY4" s="456"/>
      <c r="BBZ4" s="456"/>
      <c r="BCA4" s="456"/>
      <c r="BCB4" s="456"/>
      <c r="BCC4" s="456"/>
      <c r="BCD4" s="456"/>
      <c r="BCE4" s="456"/>
      <c r="BCF4" s="456"/>
      <c r="BCG4" s="456"/>
      <c r="BCH4" s="456"/>
      <c r="BCI4" s="456"/>
      <c r="BCJ4" s="456"/>
      <c r="BCK4" s="456"/>
      <c r="BCL4" s="456"/>
      <c r="BCM4" s="456"/>
      <c r="BCN4" s="456"/>
      <c r="BCO4" s="456"/>
      <c r="BCP4" s="456"/>
      <c r="BCQ4" s="456"/>
      <c r="BCR4" s="456"/>
      <c r="BCS4" s="456"/>
      <c r="BCT4" s="456"/>
      <c r="BCU4" s="456"/>
      <c r="BCV4" s="456"/>
      <c r="BCW4" s="456"/>
      <c r="BCX4" s="456"/>
      <c r="BCY4" s="456"/>
      <c r="BCZ4" s="456"/>
      <c r="BDA4" s="456"/>
      <c r="BDB4" s="456"/>
      <c r="BDC4" s="456"/>
      <c r="BDD4" s="456"/>
      <c r="BDE4" s="456"/>
      <c r="BDF4" s="456"/>
      <c r="BDG4" s="456"/>
      <c r="BDH4" s="456"/>
      <c r="BDI4" s="456"/>
      <c r="BDJ4" s="456"/>
      <c r="BDK4" s="456"/>
      <c r="BDL4" s="456"/>
      <c r="BDM4" s="456"/>
      <c r="BDN4" s="456"/>
      <c r="BDO4" s="456"/>
      <c r="BDP4" s="456"/>
      <c r="BDQ4" s="456"/>
      <c r="BDR4" s="456"/>
      <c r="BDS4" s="456"/>
      <c r="BDT4" s="456"/>
      <c r="BDU4" s="456"/>
      <c r="BDV4" s="456"/>
      <c r="BDW4" s="456"/>
      <c r="BDX4" s="456"/>
      <c r="BDY4" s="456"/>
      <c r="BDZ4" s="456"/>
      <c r="BEA4" s="456"/>
      <c r="BEB4" s="456"/>
      <c r="BEC4" s="456"/>
      <c r="BED4" s="456"/>
      <c r="BEE4" s="456"/>
      <c r="BEF4" s="456"/>
      <c r="BEG4" s="456"/>
      <c r="BEH4" s="456"/>
      <c r="BEI4" s="456"/>
      <c r="BEJ4" s="456"/>
      <c r="BEK4" s="456"/>
      <c r="BEL4" s="456"/>
      <c r="BEM4" s="456"/>
      <c r="BEN4" s="456"/>
      <c r="BEO4" s="456"/>
      <c r="BEP4" s="456"/>
      <c r="BEQ4" s="456"/>
      <c r="BER4" s="456"/>
      <c r="BES4" s="456"/>
      <c r="BET4" s="456"/>
      <c r="BEU4" s="456"/>
      <c r="BEV4" s="456"/>
      <c r="BEW4" s="456"/>
      <c r="BEX4" s="456"/>
      <c r="BEY4" s="456"/>
      <c r="BEZ4" s="456"/>
      <c r="BFA4" s="456"/>
      <c r="BFB4" s="456"/>
      <c r="BFC4" s="456"/>
      <c r="BFD4" s="456"/>
      <c r="BFE4" s="456"/>
      <c r="BFF4" s="456"/>
      <c r="BFG4" s="456"/>
      <c r="BFH4" s="456"/>
      <c r="BFI4" s="456"/>
      <c r="BFJ4" s="456"/>
      <c r="BFK4" s="456"/>
      <c r="BFL4" s="456"/>
      <c r="BFM4" s="456"/>
      <c r="BFN4" s="456"/>
      <c r="BFO4" s="456"/>
      <c r="BFP4" s="456"/>
      <c r="BFQ4" s="456"/>
      <c r="BFR4" s="456"/>
      <c r="BFS4" s="456"/>
      <c r="BFT4" s="456"/>
      <c r="BFU4" s="456"/>
      <c r="BFV4" s="456"/>
      <c r="BFW4" s="456"/>
      <c r="BFX4" s="456"/>
      <c r="BFY4" s="456"/>
      <c r="BFZ4" s="456"/>
      <c r="BGA4" s="456"/>
      <c r="BGB4" s="456"/>
      <c r="BGC4" s="456"/>
      <c r="BGD4" s="456"/>
      <c r="BGE4" s="456"/>
      <c r="BGF4" s="456"/>
      <c r="BGG4" s="456"/>
      <c r="BGH4" s="456"/>
      <c r="BGI4" s="456"/>
      <c r="BGJ4" s="456"/>
      <c r="BGK4" s="456"/>
      <c r="BGL4" s="456"/>
      <c r="BGM4" s="456"/>
      <c r="BGN4" s="456"/>
      <c r="BGO4" s="456"/>
      <c r="BGP4" s="456"/>
      <c r="BGQ4" s="456"/>
      <c r="BGR4" s="456"/>
      <c r="BGS4" s="456"/>
      <c r="BGT4" s="456"/>
      <c r="BGU4" s="456"/>
      <c r="BGV4" s="456"/>
      <c r="BGW4" s="456"/>
      <c r="BGX4" s="456"/>
      <c r="BGY4" s="456"/>
      <c r="BGZ4" s="456"/>
      <c r="BHA4" s="456"/>
      <c r="BHB4" s="456"/>
      <c r="BHC4" s="456"/>
      <c r="BHD4" s="456"/>
      <c r="BHE4" s="456"/>
      <c r="BHF4" s="456"/>
      <c r="BHG4" s="456"/>
      <c r="BHH4" s="456"/>
      <c r="BHI4" s="456"/>
      <c r="BHJ4" s="456"/>
      <c r="BHK4" s="456"/>
      <c r="BHL4" s="456"/>
      <c r="BHM4" s="456"/>
      <c r="BHN4" s="456"/>
      <c r="BHO4" s="456"/>
      <c r="BHP4" s="456"/>
      <c r="BHQ4" s="456"/>
      <c r="BHR4" s="456"/>
      <c r="BHS4" s="456"/>
      <c r="BHT4" s="456"/>
      <c r="BHU4" s="456"/>
      <c r="BHV4" s="456"/>
      <c r="BHW4" s="456"/>
      <c r="BHX4" s="456"/>
      <c r="BHY4" s="456"/>
      <c r="BHZ4" s="456"/>
      <c r="BIA4" s="456"/>
      <c r="BIB4" s="456"/>
      <c r="BIC4" s="456"/>
      <c r="BID4" s="456"/>
      <c r="BIE4" s="456"/>
      <c r="BIF4" s="456"/>
      <c r="BIG4" s="456"/>
      <c r="BIH4" s="456"/>
      <c r="BII4" s="456"/>
      <c r="BIJ4" s="456"/>
      <c r="BIK4" s="456"/>
      <c r="BIL4" s="456"/>
      <c r="BIM4" s="456"/>
      <c r="BIN4" s="456"/>
      <c r="BIO4" s="456"/>
      <c r="BIP4" s="456"/>
      <c r="BIQ4" s="456"/>
      <c r="BIR4" s="456"/>
      <c r="BIS4" s="456"/>
      <c r="BIT4" s="456"/>
      <c r="BIU4" s="456"/>
      <c r="BIV4" s="456"/>
      <c r="BIW4" s="456"/>
      <c r="BIX4" s="456"/>
      <c r="BIY4" s="456"/>
      <c r="BIZ4" s="456"/>
      <c r="BJA4" s="456"/>
      <c r="BJB4" s="456"/>
      <c r="BJC4" s="456"/>
      <c r="BJD4" s="456"/>
      <c r="BJE4" s="456"/>
      <c r="BJF4" s="456"/>
      <c r="BJG4" s="456"/>
      <c r="BJH4" s="456"/>
      <c r="BJI4" s="456"/>
      <c r="BJJ4" s="456"/>
      <c r="BJK4" s="456"/>
      <c r="BJL4" s="456"/>
      <c r="BJM4" s="456"/>
      <c r="BJN4" s="456"/>
      <c r="BJO4" s="456"/>
      <c r="BJP4" s="456"/>
      <c r="BJQ4" s="456"/>
      <c r="BJR4" s="456"/>
      <c r="BJS4" s="456"/>
      <c r="BJT4" s="456"/>
      <c r="BJU4" s="456"/>
      <c r="BJV4" s="456"/>
      <c r="BJW4" s="456"/>
      <c r="BJX4" s="456"/>
      <c r="BJY4" s="456"/>
      <c r="BJZ4" s="456"/>
      <c r="BKA4" s="456"/>
      <c r="BKB4" s="456"/>
      <c r="BKC4" s="456"/>
      <c r="BKD4" s="456"/>
      <c r="BKE4" s="456"/>
      <c r="BKF4" s="456"/>
      <c r="BKG4" s="456"/>
      <c r="BKH4" s="456"/>
      <c r="BKI4" s="456"/>
      <c r="BKJ4" s="456"/>
      <c r="BKK4" s="456"/>
      <c r="BKL4" s="456"/>
      <c r="BKM4" s="456"/>
      <c r="BKN4" s="456"/>
      <c r="BKO4" s="456"/>
      <c r="BKP4" s="456"/>
      <c r="BKQ4" s="456"/>
      <c r="BKR4" s="456"/>
      <c r="BKS4" s="456"/>
      <c r="BKT4" s="456"/>
      <c r="BKU4" s="456"/>
      <c r="BKV4" s="456"/>
      <c r="BKW4" s="456"/>
      <c r="BKX4" s="456"/>
      <c r="BKY4" s="456"/>
      <c r="BKZ4" s="456"/>
      <c r="BLA4" s="456"/>
      <c r="BLB4" s="456"/>
      <c r="BLC4" s="456"/>
      <c r="BLD4" s="456"/>
      <c r="BLE4" s="456"/>
      <c r="BLF4" s="456"/>
      <c r="BLG4" s="456"/>
      <c r="BLH4" s="456"/>
      <c r="BLI4" s="456"/>
      <c r="BLJ4" s="456"/>
      <c r="BLK4" s="456"/>
      <c r="BLL4" s="456"/>
      <c r="BLM4" s="456"/>
      <c r="BLN4" s="456"/>
      <c r="BLO4" s="456"/>
      <c r="BLP4" s="456"/>
      <c r="BLQ4" s="456"/>
      <c r="BLR4" s="456"/>
      <c r="BLS4" s="456"/>
      <c r="BLT4" s="456"/>
      <c r="BLU4" s="456"/>
      <c r="BLV4" s="456"/>
      <c r="BLW4" s="456"/>
      <c r="BLX4" s="456"/>
      <c r="BLY4" s="456"/>
      <c r="BLZ4" s="456"/>
      <c r="BMA4" s="456"/>
      <c r="BMB4" s="456"/>
      <c r="BMC4" s="456"/>
      <c r="BMD4" s="456"/>
      <c r="BME4" s="456"/>
      <c r="BMF4" s="456"/>
      <c r="BMG4" s="456"/>
      <c r="BMH4" s="456"/>
      <c r="BMI4" s="456"/>
      <c r="BMJ4" s="456"/>
      <c r="BMK4" s="456"/>
      <c r="BML4" s="456"/>
      <c r="BMM4" s="456"/>
      <c r="BMN4" s="456"/>
      <c r="BMO4" s="456"/>
      <c r="BMP4" s="456"/>
      <c r="BMQ4" s="456"/>
      <c r="BMR4" s="456"/>
      <c r="BMS4" s="456"/>
      <c r="BMT4" s="456"/>
      <c r="BMU4" s="456"/>
      <c r="BMV4" s="456"/>
      <c r="BMW4" s="456"/>
      <c r="BMX4" s="456"/>
      <c r="BMY4" s="456"/>
      <c r="BMZ4" s="456"/>
      <c r="BNA4" s="456"/>
      <c r="BNB4" s="456"/>
      <c r="BNC4" s="456"/>
      <c r="BND4" s="456"/>
      <c r="BNE4" s="456"/>
      <c r="BNF4" s="456"/>
      <c r="BNG4" s="456"/>
      <c r="BNH4" s="456"/>
      <c r="BNI4" s="456"/>
      <c r="BNJ4" s="456"/>
      <c r="BNK4" s="456"/>
      <c r="BNL4" s="456"/>
      <c r="BNM4" s="456"/>
      <c r="BNN4" s="456"/>
      <c r="BNO4" s="456"/>
      <c r="BNP4" s="456"/>
      <c r="BNQ4" s="456"/>
      <c r="BNR4" s="456"/>
      <c r="BNS4" s="456"/>
      <c r="BNT4" s="456"/>
      <c r="BNU4" s="456"/>
      <c r="BNV4" s="456"/>
      <c r="BNW4" s="456"/>
      <c r="BNX4" s="456"/>
      <c r="BNY4" s="456"/>
      <c r="BNZ4" s="456"/>
      <c r="BOA4" s="456"/>
      <c r="BOB4" s="456"/>
      <c r="BOC4" s="456"/>
      <c r="BOD4" s="456"/>
      <c r="BOE4" s="456"/>
      <c r="BOF4" s="456"/>
      <c r="BOG4" s="456"/>
      <c r="BOH4" s="456"/>
      <c r="BOI4" s="456"/>
      <c r="BOJ4" s="456"/>
      <c r="BOK4" s="456"/>
      <c r="BOL4" s="456"/>
      <c r="BOM4" s="456"/>
      <c r="BON4" s="456"/>
      <c r="BOO4" s="456"/>
      <c r="BOP4" s="456"/>
      <c r="BOQ4" s="456"/>
      <c r="BOR4" s="456"/>
      <c r="BOS4" s="456"/>
      <c r="BOT4" s="456"/>
      <c r="BOU4" s="456"/>
      <c r="BOV4" s="456"/>
      <c r="BOW4" s="456"/>
      <c r="BOX4" s="456"/>
      <c r="BOY4" s="456"/>
      <c r="BOZ4" s="456"/>
      <c r="BPA4" s="456"/>
      <c r="BPB4" s="456"/>
      <c r="BPC4" s="456"/>
      <c r="BPD4" s="456"/>
      <c r="BPE4" s="456"/>
      <c r="BPF4" s="456"/>
      <c r="BPG4" s="456"/>
      <c r="BPH4" s="456"/>
      <c r="BPI4" s="456"/>
      <c r="BPJ4" s="456"/>
      <c r="BPK4" s="456"/>
      <c r="BPL4" s="456"/>
      <c r="BPM4" s="456"/>
      <c r="BPN4" s="456"/>
      <c r="BPO4" s="456"/>
      <c r="BPP4" s="456"/>
      <c r="BPQ4" s="456"/>
      <c r="BPR4" s="456"/>
      <c r="BPS4" s="456"/>
      <c r="BPT4" s="456"/>
      <c r="BPU4" s="456"/>
      <c r="BPV4" s="456"/>
      <c r="BPW4" s="456"/>
      <c r="BPX4" s="456"/>
      <c r="BPY4" s="456"/>
      <c r="BPZ4" s="456"/>
      <c r="BQA4" s="456"/>
      <c r="BQB4" s="456"/>
      <c r="BQC4" s="456"/>
      <c r="BQD4" s="456"/>
      <c r="BQE4" s="456"/>
      <c r="BQF4" s="456"/>
      <c r="BQG4" s="456"/>
      <c r="BQH4" s="456"/>
      <c r="BQI4" s="456"/>
      <c r="BQJ4" s="456"/>
      <c r="BQK4" s="456"/>
      <c r="BQL4" s="456"/>
      <c r="BQM4" s="456"/>
      <c r="BQN4" s="456"/>
      <c r="BQO4" s="456"/>
      <c r="BQP4" s="456"/>
      <c r="BQQ4" s="456"/>
      <c r="BQR4" s="456"/>
      <c r="BQS4" s="456"/>
      <c r="BQT4" s="456"/>
      <c r="BQU4" s="456"/>
      <c r="BQV4" s="456"/>
      <c r="BQW4" s="456"/>
      <c r="BQX4" s="456"/>
      <c r="BQY4" s="456"/>
      <c r="BQZ4" s="456"/>
      <c r="BRA4" s="456"/>
      <c r="BRB4" s="456"/>
      <c r="BRC4" s="456"/>
      <c r="BRD4" s="456"/>
      <c r="BRE4" s="456"/>
      <c r="BRF4" s="456"/>
      <c r="BRG4" s="456"/>
      <c r="BRH4" s="456"/>
      <c r="BRI4" s="456"/>
      <c r="BRJ4" s="456"/>
      <c r="BRK4" s="456"/>
      <c r="BRL4" s="456"/>
      <c r="BRM4" s="456"/>
      <c r="BRN4" s="456"/>
      <c r="BRO4" s="456"/>
      <c r="BRP4" s="456"/>
      <c r="BRQ4" s="456"/>
      <c r="BRR4" s="456"/>
      <c r="BRS4" s="456"/>
      <c r="BRT4" s="456"/>
      <c r="BRU4" s="456"/>
      <c r="BRV4" s="456"/>
      <c r="BRW4" s="456"/>
      <c r="BRX4" s="456"/>
      <c r="BRY4" s="456"/>
      <c r="BRZ4" s="456"/>
      <c r="BSA4" s="456"/>
      <c r="BSB4" s="456"/>
      <c r="BSC4" s="456"/>
      <c r="BSD4" s="456"/>
      <c r="BSE4" s="456"/>
      <c r="BSF4" s="456"/>
      <c r="BSG4" s="456"/>
      <c r="BSH4" s="456"/>
      <c r="BSI4" s="456"/>
      <c r="BSJ4" s="456"/>
      <c r="BSK4" s="456"/>
      <c r="BSL4" s="456"/>
      <c r="BSM4" s="456"/>
      <c r="BSN4" s="456"/>
      <c r="BSO4" s="456"/>
      <c r="BSP4" s="456"/>
      <c r="BSQ4" s="456"/>
      <c r="BSR4" s="456"/>
      <c r="BSS4" s="456"/>
      <c r="BST4" s="456"/>
      <c r="BSU4" s="456"/>
      <c r="BSV4" s="456"/>
      <c r="BSW4" s="456"/>
      <c r="BSX4" s="456"/>
      <c r="BSY4" s="456"/>
      <c r="BSZ4" s="456"/>
      <c r="BTA4" s="456"/>
      <c r="BTB4" s="456"/>
      <c r="BTC4" s="456"/>
      <c r="BTD4" s="456"/>
      <c r="BTE4" s="456"/>
      <c r="BTF4" s="456"/>
      <c r="BTG4" s="456"/>
      <c r="BTH4" s="456"/>
      <c r="BTI4" s="456"/>
      <c r="BTJ4" s="456"/>
      <c r="BTK4" s="456"/>
      <c r="BTL4" s="456"/>
      <c r="BTM4" s="456"/>
      <c r="BTN4" s="456"/>
      <c r="BTO4" s="456"/>
      <c r="BTP4" s="456"/>
      <c r="BTQ4" s="456"/>
      <c r="BTR4" s="456"/>
      <c r="BTS4" s="456"/>
      <c r="BTT4" s="456"/>
      <c r="BTU4" s="456"/>
      <c r="BTV4" s="456"/>
      <c r="BTW4" s="456"/>
      <c r="BTX4" s="456"/>
      <c r="BTY4" s="456"/>
      <c r="BTZ4" s="456"/>
      <c r="BUA4" s="456"/>
      <c r="BUB4" s="456"/>
      <c r="BUC4" s="456"/>
      <c r="BUD4" s="456"/>
      <c r="BUE4" s="456"/>
      <c r="BUF4" s="456"/>
      <c r="BUG4" s="456"/>
      <c r="BUH4" s="456"/>
      <c r="BUI4" s="456"/>
      <c r="BUJ4" s="456"/>
      <c r="BUK4" s="456"/>
      <c r="BUL4" s="456"/>
      <c r="BUM4" s="456"/>
      <c r="BUN4" s="456"/>
      <c r="BUO4" s="456"/>
      <c r="BUP4" s="456"/>
      <c r="BUQ4" s="456"/>
      <c r="BUR4" s="456"/>
      <c r="BUS4" s="456"/>
      <c r="BUT4" s="456"/>
      <c r="BUU4" s="456"/>
      <c r="BUV4" s="456"/>
      <c r="BUW4" s="456"/>
      <c r="BUX4" s="456"/>
      <c r="BUY4" s="456"/>
      <c r="BUZ4" s="456"/>
      <c r="BVA4" s="456"/>
      <c r="BVB4" s="456"/>
      <c r="BVC4" s="456"/>
      <c r="BVD4" s="456"/>
      <c r="BVE4" s="456"/>
      <c r="BVF4" s="456"/>
      <c r="BVG4" s="456"/>
      <c r="BVH4" s="456"/>
      <c r="BVI4" s="456"/>
      <c r="BVJ4" s="456"/>
      <c r="BVK4" s="456"/>
      <c r="BVL4" s="456"/>
      <c r="BVM4" s="456"/>
      <c r="BVN4" s="456"/>
      <c r="BVO4" s="456"/>
      <c r="BVP4" s="456"/>
      <c r="BVQ4" s="456"/>
      <c r="BVR4" s="456"/>
      <c r="BVS4" s="456"/>
      <c r="BVT4" s="456"/>
      <c r="BVU4" s="456"/>
      <c r="BVV4" s="456"/>
      <c r="BVW4" s="456"/>
      <c r="BVX4" s="456"/>
      <c r="BVY4" s="456"/>
      <c r="BVZ4" s="456"/>
      <c r="BWA4" s="456"/>
      <c r="BWB4" s="456"/>
      <c r="BWC4" s="456"/>
      <c r="BWD4" s="456"/>
      <c r="BWE4" s="456"/>
      <c r="BWF4" s="456"/>
      <c r="BWG4" s="456"/>
      <c r="BWH4" s="456"/>
      <c r="BWI4" s="456"/>
      <c r="BWJ4" s="456"/>
      <c r="BWK4" s="456"/>
      <c r="BWL4" s="456"/>
      <c r="BWM4" s="456"/>
      <c r="BWN4" s="456"/>
      <c r="BWO4" s="456"/>
      <c r="BWP4" s="456"/>
      <c r="BWQ4" s="456"/>
      <c r="BWR4" s="456"/>
      <c r="BWS4" s="456"/>
      <c r="BWT4" s="456"/>
      <c r="BWU4" s="456"/>
      <c r="BWV4" s="456"/>
      <c r="BWW4" s="456"/>
      <c r="BWX4" s="456"/>
      <c r="BWY4" s="456"/>
      <c r="BWZ4" s="456"/>
      <c r="BXA4" s="456"/>
      <c r="BXB4" s="456"/>
      <c r="BXC4" s="456"/>
      <c r="BXD4" s="456"/>
      <c r="BXE4" s="456"/>
      <c r="BXF4" s="456"/>
      <c r="BXG4" s="456"/>
      <c r="BXH4" s="456"/>
      <c r="BXI4" s="456"/>
      <c r="BXJ4" s="456"/>
      <c r="BXK4" s="456"/>
      <c r="BXL4" s="456"/>
      <c r="BXM4" s="456"/>
      <c r="BXN4" s="456"/>
      <c r="BXO4" s="456"/>
      <c r="BXP4" s="456"/>
      <c r="BXQ4" s="456"/>
      <c r="BXR4" s="456"/>
      <c r="BXS4" s="456"/>
      <c r="BXT4" s="456"/>
      <c r="BXU4" s="456"/>
      <c r="BXV4" s="456"/>
      <c r="BXW4" s="456"/>
      <c r="BXX4" s="456"/>
      <c r="BXY4" s="456"/>
      <c r="BXZ4" s="456"/>
    </row>
    <row r="5" s="25" customFormat="1" spans="1:1024 1025:2002">
      <c r="A5" s="473" t="s">
        <v>34</v>
      </c>
      <c r="B5" s="19">
        <v>1093</v>
      </c>
      <c r="C5" s="183">
        <v>45934</v>
      </c>
      <c r="D5" s="17" t="s">
        <v>35</v>
      </c>
      <c r="E5" s="17" t="s">
        <v>36</v>
      </c>
      <c r="F5" s="17" t="s">
        <v>37</v>
      </c>
      <c r="G5" s="17"/>
      <c r="H5" s="19" t="s">
        <v>38</v>
      </c>
      <c r="I5" s="17" t="s">
        <v>38</v>
      </c>
      <c r="J5" s="17" t="s">
        <v>39</v>
      </c>
      <c r="K5" s="19">
        <v>284</v>
      </c>
      <c r="L5" s="91"/>
      <c r="M5" s="19"/>
      <c r="N5" s="19" t="s">
        <v>40</v>
      </c>
      <c r="O5" s="19" t="s">
        <v>41</v>
      </c>
      <c r="P5" s="19">
        <v>4000</v>
      </c>
      <c r="Q5" s="19">
        <v>1798</v>
      </c>
      <c r="S5" s="19">
        <v>2975</v>
      </c>
      <c r="T5" s="19" t="s">
        <v>42</v>
      </c>
      <c r="U5" s="102" t="s">
        <v>43</v>
      </c>
      <c r="V5" s="186">
        <v>45936</v>
      </c>
      <c r="W5" s="17" t="s">
        <v>44</v>
      </c>
      <c r="X5" s="17"/>
      <c r="Y5" s="68">
        <v>46054</v>
      </c>
      <c r="Z5" s="17" t="s">
        <v>45</v>
      </c>
      <c r="AA5" s="17" t="s">
        <v>46</v>
      </c>
      <c r="AB5" s="17" t="s">
        <v>47</v>
      </c>
      <c r="AC5" s="217">
        <v>46148</v>
      </c>
      <c r="AD5" s="65">
        <v>1775</v>
      </c>
      <c r="AE5" s="17" t="s">
        <v>48</v>
      </c>
      <c r="AF5" s="17"/>
      <c r="AG5" s="17"/>
      <c r="AH5" s="456"/>
      <c r="AI5" s="456"/>
      <c r="AJ5" s="456"/>
      <c r="AK5" s="456"/>
      <c r="AL5" s="456"/>
      <c r="AM5" s="456"/>
      <c r="AN5" s="456"/>
      <c r="AO5" s="456"/>
      <c r="AP5" s="456"/>
      <c r="AQ5" s="456"/>
      <c r="AR5" s="456"/>
      <c r="AS5" s="456"/>
      <c r="AT5" s="456"/>
      <c r="AU5" s="456"/>
      <c r="AV5" s="456"/>
      <c r="AW5" s="456"/>
      <c r="AX5" s="456"/>
      <c r="AY5" s="456"/>
      <c r="AZ5" s="456"/>
      <c r="BA5" s="456"/>
      <c r="BB5" s="456"/>
      <c r="BC5" s="456"/>
      <c r="BD5" s="456"/>
      <c r="BE5" s="456"/>
      <c r="BF5" s="456"/>
      <c r="BG5" s="456"/>
      <c r="BH5" s="456"/>
      <c r="BI5" s="456"/>
      <c r="BJ5" s="456"/>
      <c r="BK5" s="456"/>
      <c r="BL5" s="456"/>
      <c r="BM5" s="456"/>
      <c r="BN5" s="456"/>
      <c r="BO5" s="456"/>
      <c r="BP5" s="456"/>
      <c r="BQ5" s="456"/>
      <c r="BR5" s="456"/>
      <c r="BS5" s="456"/>
      <c r="BT5" s="456"/>
      <c r="BU5" s="456"/>
      <c r="BV5" s="456"/>
      <c r="BW5" s="456"/>
      <c r="BX5" s="456"/>
      <c r="BY5" s="456"/>
      <c r="BZ5" s="456"/>
      <c r="CA5" s="456"/>
      <c r="CB5" s="456"/>
      <c r="CC5" s="456"/>
      <c r="CD5" s="456"/>
      <c r="CE5" s="456"/>
      <c r="CF5" s="456"/>
      <c r="CG5" s="456"/>
      <c r="CH5" s="456"/>
      <c r="CI5" s="456"/>
      <c r="CJ5" s="456"/>
      <c r="CK5" s="456"/>
      <c r="CL5" s="456"/>
      <c r="CM5" s="456"/>
      <c r="CN5" s="456"/>
      <c r="CO5" s="456"/>
      <c r="CP5" s="456"/>
      <c r="CQ5" s="456"/>
      <c r="CR5" s="456"/>
      <c r="CS5" s="456"/>
      <c r="CT5" s="456"/>
      <c r="CU5" s="456"/>
      <c r="CV5" s="456"/>
      <c r="CW5" s="456"/>
      <c r="CX5" s="456"/>
      <c r="CY5" s="456"/>
      <c r="CZ5" s="456"/>
      <c r="DA5" s="456"/>
      <c r="DB5" s="456"/>
      <c r="DC5" s="456"/>
      <c r="DD5" s="456"/>
      <c r="DE5" s="456"/>
      <c r="DF5" s="456"/>
      <c r="DG5" s="456"/>
      <c r="DH5" s="456"/>
      <c r="DI5" s="456"/>
      <c r="DJ5" s="456"/>
      <c r="DK5" s="456"/>
      <c r="DL5" s="456"/>
      <c r="DM5" s="456"/>
      <c r="DN5" s="456"/>
      <c r="DO5" s="456"/>
      <c r="DP5" s="456"/>
      <c r="DQ5" s="456"/>
      <c r="DR5" s="456"/>
      <c r="DS5" s="456"/>
      <c r="DT5" s="456"/>
      <c r="DU5" s="456"/>
      <c r="DV5" s="456"/>
      <c r="DW5" s="456"/>
      <c r="DX5" s="456"/>
      <c r="DY5" s="456"/>
      <c r="DZ5" s="456"/>
      <c r="EA5" s="456"/>
      <c r="EB5" s="456"/>
      <c r="EC5" s="456"/>
      <c r="ED5" s="456"/>
      <c r="EE5" s="456"/>
      <c r="EF5" s="456"/>
      <c r="EG5" s="456"/>
      <c r="EH5" s="456"/>
      <c r="EI5" s="456"/>
      <c r="EJ5" s="456"/>
      <c r="EK5" s="456"/>
      <c r="EL5" s="456"/>
      <c r="EM5" s="456"/>
      <c r="EN5" s="456"/>
      <c r="EO5" s="456"/>
      <c r="EP5" s="456"/>
      <c r="EQ5" s="456"/>
      <c r="ER5" s="456"/>
      <c r="ES5" s="456"/>
      <c r="ET5" s="456"/>
      <c r="EU5" s="456"/>
      <c r="EV5" s="456"/>
      <c r="EW5" s="456"/>
      <c r="EX5" s="456"/>
      <c r="EY5" s="456"/>
      <c r="EZ5" s="456"/>
      <c r="FA5" s="456"/>
      <c r="FB5" s="456"/>
      <c r="FC5" s="456"/>
      <c r="FD5" s="456"/>
      <c r="FE5" s="456"/>
      <c r="FF5" s="456"/>
      <c r="FG5" s="456"/>
      <c r="FH5" s="456"/>
      <c r="FI5" s="456"/>
      <c r="FJ5" s="456"/>
      <c r="FK5" s="456"/>
      <c r="FL5" s="456"/>
      <c r="FM5" s="456"/>
      <c r="FN5" s="456"/>
      <c r="FO5" s="456"/>
      <c r="FP5" s="456"/>
      <c r="FQ5" s="456"/>
      <c r="FR5" s="456"/>
      <c r="FS5" s="456"/>
      <c r="FT5" s="456"/>
      <c r="FU5" s="456"/>
      <c r="FV5" s="456"/>
      <c r="FW5" s="456"/>
      <c r="FX5" s="456"/>
      <c r="FY5" s="456"/>
      <c r="FZ5" s="456"/>
      <c r="GA5" s="456"/>
      <c r="GB5" s="456"/>
      <c r="GC5" s="456"/>
      <c r="GD5" s="456"/>
      <c r="GE5" s="456"/>
      <c r="GF5" s="456"/>
      <c r="GG5" s="456"/>
      <c r="GH5" s="456"/>
      <c r="GI5" s="456"/>
      <c r="GJ5" s="456"/>
      <c r="GK5" s="456"/>
      <c r="GL5" s="456"/>
      <c r="GM5" s="456"/>
      <c r="GN5" s="456"/>
      <c r="GO5" s="456"/>
      <c r="GP5" s="456"/>
      <c r="GQ5" s="456"/>
      <c r="GR5" s="456"/>
      <c r="GS5" s="456"/>
      <c r="GT5" s="456"/>
      <c r="GU5" s="456"/>
      <c r="GV5" s="456"/>
      <c r="GW5" s="456"/>
      <c r="GX5" s="456"/>
      <c r="GY5" s="456"/>
      <c r="GZ5" s="456"/>
      <c r="HA5" s="456"/>
      <c r="HB5" s="456"/>
      <c r="HC5" s="456"/>
      <c r="HD5" s="456"/>
      <c r="HE5" s="456"/>
      <c r="HF5" s="456"/>
      <c r="HG5" s="456"/>
      <c r="HH5" s="456"/>
      <c r="HI5" s="456"/>
      <c r="HJ5" s="456"/>
      <c r="HK5" s="456"/>
      <c r="HL5" s="456"/>
      <c r="HM5" s="456"/>
      <c r="HN5" s="456"/>
      <c r="HO5" s="456"/>
      <c r="HP5" s="456"/>
      <c r="HQ5" s="456"/>
      <c r="HR5" s="456"/>
      <c r="HS5" s="456"/>
      <c r="HT5" s="456"/>
      <c r="HU5" s="456"/>
      <c r="HV5" s="456"/>
      <c r="HW5" s="456"/>
      <c r="HX5" s="456"/>
      <c r="HY5" s="456"/>
      <c r="HZ5" s="456"/>
      <c r="IA5" s="456"/>
      <c r="IB5" s="456"/>
      <c r="IC5" s="456"/>
      <c r="ID5" s="456"/>
      <c r="IE5" s="456"/>
      <c r="IF5" s="456"/>
      <c r="IG5" s="456"/>
      <c r="IH5" s="456"/>
      <c r="II5" s="456"/>
      <c r="IJ5" s="456"/>
      <c r="IK5" s="456"/>
      <c r="IL5" s="456"/>
      <c r="IM5" s="456"/>
      <c r="IN5" s="456"/>
      <c r="IO5" s="456"/>
      <c r="IP5" s="456"/>
      <c r="IQ5" s="456"/>
      <c r="IR5" s="456"/>
      <c r="IS5" s="456"/>
      <c r="IT5" s="456"/>
      <c r="IU5" s="456"/>
      <c r="IV5" s="456"/>
      <c r="IW5" s="456"/>
      <c r="IX5" s="456"/>
      <c r="IY5" s="456"/>
      <c r="IZ5" s="456"/>
      <c r="JA5" s="456"/>
      <c r="JB5" s="456"/>
      <c r="JC5" s="456"/>
      <c r="JD5" s="456"/>
      <c r="JE5" s="456"/>
      <c r="JF5" s="456"/>
      <c r="JG5" s="456"/>
      <c r="JH5" s="456"/>
      <c r="JI5" s="456"/>
      <c r="JJ5" s="456"/>
      <c r="JK5" s="456"/>
      <c r="JL5" s="456"/>
      <c r="JM5" s="456"/>
      <c r="JN5" s="456"/>
      <c r="JO5" s="456"/>
      <c r="JP5" s="456"/>
      <c r="JQ5" s="456"/>
      <c r="JR5" s="456"/>
      <c r="JS5" s="456"/>
      <c r="JT5" s="456"/>
      <c r="JU5" s="456"/>
      <c r="JV5" s="456"/>
      <c r="JW5" s="456"/>
      <c r="JX5" s="456"/>
      <c r="JY5" s="456"/>
      <c r="JZ5" s="456"/>
      <c r="KA5" s="456"/>
      <c r="KB5" s="456"/>
      <c r="KC5" s="456"/>
      <c r="KD5" s="456"/>
      <c r="KE5" s="456"/>
      <c r="KF5" s="456"/>
      <c r="KG5" s="456"/>
      <c r="KH5" s="456"/>
      <c r="KI5" s="456"/>
      <c r="KJ5" s="456"/>
      <c r="KK5" s="456"/>
      <c r="KL5" s="456"/>
      <c r="KM5" s="456"/>
      <c r="KN5" s="456"/>
      <c r="KO5" s="456"/>
      <c r="KP5" s="456"/>
      <c r="KQ5" s="456"/>
      <c r="KR5" s="456"/>
      <c r="KS5" s="456"/>
      <c r="KT5" s="456"/>
      <c r="KU5" s="456"/>
      <c r="KV5" s="456"/>
      <c r="KW5" s="456"/>
      <c r="KX5" s="456"/>
      <c r="KY5" s="456"/>
      <c r="KZ5" s="456"/>
      <c r="LA5" s="456"/>
      <c r="LB5" s="456"/>
      <c r="LC5" s="456"/>
      <c r="LD5" s="456"/>
      <c r="LE5" s="456"/>
      <c r="LF5" s="456"/>
      <c r="LG5" s="456"/>
      <c r="LH5" s="456"/>
      <c r="LI5" s="456"/>
      <c r="LJ5" s="456"/>
      <c r="LK5" s="456"/>
      <c r="LL5" s="456"/>
      <c r="LM5" s="456"/>
      <c r="LN5" s="456"/>
      <c r="LO5" s="456"/>
      <c r="LP5" s="456"/>
      <c r="LQ5" s="456"/>
      <c r="LR5" s="456"/>
      <c r="LS5" s="456"/>
      <c r="LT5" s="456"/>
      <c r="LU5" s="456"/>
      <c r="LV5" s="456"/>
      <c r="LW5" s="456"/>
      <c r="LX5" s="456"/>
      <c r="LY5" s="456"/>
      <c r="LZ5" s="456"/>
      <c r="MA5" s="456"/>
      <c r="MB5" s="456"/>
      <c r="MC5" s="456"/>
      <c r="MD5" s="456"/>
      <c r="ME5" s="456"/>
      <c r="MF5" s="456"/>
      <c r="MG5" s="456"/>
      <c r="MH5" s="456"/>
      <c r="MI5" s="456"/>
      <c r="MJ5" s="456"/>
      <c r="MK5" s="456"/>
      <c r="ML5" s="456"/>
      <c r="MM5" s="456"/>
      <c r="MN5" s="456"/>
      <c r="MO5" s="456"/>
      <c r="MP5" s="456"/>
      <c r="MQ5" s="456"/>
      <c r="MR5" s="456"/>
      <c r="MS5" s="456"/>
      <c r="MT5" s="456"/>
      <c r="MU5" s="456"/>
      <c r="MV5" s="456"/>
      <c r="MW5" s="456"/>
      <c r="MX5" s="456"/>
      <c r="MY5" s="456"/>
      <c r="MZ5" s="456"/>
      <c r="NA5" s="456"/>
      <c r="NB5" s="456"/>
      <c r="NC5" s="456"/>
      <c r="ND5" s="456"/>
      <c r="NE5" s="456"/>
      <c r="NF5" s="456"/>
      <c r="NG5" s="456"/>
      <c r="NH5" s="456"/>
      <c r="NI5" s="456"/>
      <c r="NJ5" s="456"/>
      <c r="NK5" s="456"/>
      <c r="NL5" s="456"/>
      <c r="NM5" s="456"/>
      <c r="NN5" s="456"/>
      <c r="NO5" s="456"/>
      <c r="NP5" s="456"/>
      <c r="NQ5" s="456"/>
      <c r="NR5" s="456"/>
      <c r="NS5" s="456"/>
      <c r="NT5" s="456"/>
      <c r="NU5" s="456"/>
      <c r="NV5" s="456"/>
      <c r="NW5" s="456"/>
      <c r="NX5" s="456"/>
      <c r="NY5" s="456"/>
      <c r="NZ5" s="456"/>
      <c r="OA5" s="456"/>
      <c r="OB5" s="456"/>
      <c r="OC5" s="456"/>
      <c r="OD5" s="456"/>
      <c r="OE5" s="456"/>
      <c r="OF5" s="456"/>
      <c r="OG5" s="456"/>
      <c r="OH5" s="456"/>
      <c r="OI5" s="456"/>
      <c r="OJ5" s="456"/>
      <c r="OK5" s="456"/>
      <c r="OL5" s="456"/>
      <c r="OM5" s="456"/>
      <c r="ON5" s="456"/>
      <c r="OO5" s="456"/>
      <c r="OP5" s="456"/>
      <c r="OQ5" s="456"/>
      <c r="OR5" s="456"/>
      <c r="OS5" s="456"/>
      <c r="OT5" s="456"/>
      <c r="OU5" s="456"/>
      <c r="OV5" s="456"/>
      <c r="OW5" s="456"/>
      <c r="OX5" s="456"/>
      <c r="OY5" s="456"/>
      <c r="OZ5" s="456"/>
      <c r="PA5" s="456"/>
      <c r="PB5" s="456"/>
      <c r="PC5" s="456"/>
      <c r="PD5" s="456"/>
      <c r="PE5" s="456"/>
      <c r="PF5" s="456"/>
      <c r="PG5" s="456"/>
      <c r="PH5" s="456"/>
      <c r="PI5" s="456"/>
      <c r="PJ5" s="456"/>
      <c r="PK5" s="456"/>
      <c r="PL5" s="456"/>
      <c r="PM5" s="456"/>
      <c r="PN5" s="456"/>
      <c r="PO5" s="456"/>
      <c r="PP5" s="456"/>
      <c r="PQ5" s="456"/>
      <c r="PR5" s="456"/>
      <c r="PS5" s="456"/>
      <c r="PT5" s="456"/>
      <c r="PU5" s="456"/>
      <c r="PV5" s="456"/>
      <c r="PW5" s="456"/>
      <c r="PX5" s="456"/>
      <c r="PY5" s="456"/>
      <c r="PZ5" s="456"/>
      <c r="QA5" s="456"/>
      <c r="QB5" s="456"/>
      <c r="QC5" s="456"/>
      <c r="QD5" s="456"/>
      <c r="QE5" s="456"/>
      <c r="QF5" s="456"/>
      <c r="QG5" s="456"/>
      <c r="QH5" s="456"/>
      <c r="QI5" s="456"/>
      <c r="QJ5" s="456"/>
      <c r="QK5" s="456"/>
      <c r="QL5" s="456"/>
      <c r="QM5" s="456"/>
      <c r="QN5" s="456"/>
      <c r="QO5" s="456"/>
      <c r="QP5" s="456"/>
      <c r="QQ5" s="456"/>
      <c r="QR5" s="456"/>
      <c r="QS5" s="456"/>
      <c r="QT5" s="456"/>
      <c r="QU5" s="456"/>
      <c r="QV5" s="456"/>
      <c r="QW5" s="456"/>
      <c r="QX5" s="456"/>
      <c r="QY5" s="456"/>
      <c r="QZ5" s="456"/>
      <c r="RA5" s="456"/>
      <c r="RB5" s="456"/>
      <c r="RC5" s="456"/>
      <c r="RD5" s="456"/>
      <c r="RE5" s="456"/>
      <c r="RF5" s="456"/>
      <c r="RG5" s="456"/>
      <c r="RH5" s="456"/>
      <c r="RI5" s="456"/>
      <c r="RJ5" s="456"/>
      <c r="RK5" s="456"/>
      <c r="RL5" s="456"/>
      <c r="RM5" s="456"/>
      <c r="RN5" s="456"/>
      <c r="RO5" s="456"/>
      <c r="RP5" s="456"/>
      <c r="RQ5" s="456"/>
      <c r="RR5" s="456"/>
      <c r="RS5" s="456"/>
      <c r="RT5" s="456"/>
      <c r="RU5" s="456"/>
      <c r="RV5" s="456"/>
      <c r="RW5" s="456"/>
      <c r="RX5" s="456"/>
      <c r="RY5" s="456"/>
      <c r="RZ5" s="456"/>
      <c r="SA5" s="456"/>
      <c r="SB5" s="456"/>
      <c r="SC5" s="456"/>
      <c r="SD5" s="456"/>
      <c r="SE5" s="456"/>
      <c r="SF5" s="456"/>
      <c r="SG5" s="456"/>
      <c r="SH5" s="456"/>
      <c r="SI5" s="456"/>
      <c r="SJ5" s="456"/>
      <c r="SK5" s="456"/>
      <c r="SL5" s="456"/>
      <c r="SM5" s="456"/>
      <c r="SN5" s="456"/>
      <c r="SO5" s="456"/>
      <c r="SP5" s="456"/>
      <c r="SQ5" s="456"/>
      <c r="SR5" s="456"/>
      <c r="SS5" s="456"/>
      <c r="ST5" s="456"/>
      <c r="SU5" s="456"/>
      <c r="SV5" s="456"/>
      <c r="SW5" s="456"/>
      <c r="SX5" s="456"/>
      <c r="SY5" s="456"/>
      <c r="SZ5" s="456"/>
      <c r="TA5" s="456"/>
      <c r="TB5" s="456"/>
      <c r="TC5" s="456"/>
      <c r="TD5" s="456"/>
      <c r="TE5" s="456"/>
      <c r="TF5" s="456"/>
      <c r="TG5" s="456"/>
      <c r="TH5" s="456"/>
      <c r="TI5" s="456"/>
      <c r="TJ5" s="456"/>
      <c r="TK5" s="456"/>
      <c r="TL5" s="456"/>
      <c r="TM5" s="456"/>
      <c r="TN5" s="456"/>
      <c r="TO5" s="456"/>
      <c r="TP5" s="456"/>
      <c r="TQ5" s="456"/>
      <c r="TR5" s="456"/>
      <c r="TS5" s="456"/>
      <c r="TT5" s="456"/>
      <c r="TU5" s="456"/>
      <c r="TV5" s="456"/>
      <c r="TW5" s="456"/>
      <c r="TX5" s="456"/>
      <c r="TY5" s="456"/>
      <c r="TZ5" s="456"/>
      <c r="UA5" s="456"/>
      <c r="UB5" s="456"/>
      <c r="UC5" s="456"/>
      <c r="UD5" s="456"/>
      <c r="UE5" s="456"/>
      <c r="UF5" s="456"/>
      <c r="UG5" s="456"/>
      <c r="UH5" s="456"/>
      <c r="UI5" s="456"/>
      <c r="UJ5" s="456"/>
      <c r="UK5" s="456"/>
      <c r="UL5" s="456"/>
      <c r="UM5" s="456"/>
      <c r="UN5" s="456"/>
      <c r="UO5" s="456"/>
      <c r="UP5" s="456"/>
      <c r="UQ5" s="456"/>
      <c r="UR5" s="456"/>
      <c r="US5" s="456"/>
      <c r="UT5" s="456"/>
      <c r="UU5" s="456"/>
      <c r="UV5" s="456"/>
      <c r="UW5" s="456"/>
      <c r="UX5" s="456"/>
      <c r="UY5" s="456"/>
      <c r="UZ5" s="456"/>
      <c r="VA5" s="456"/>
      <c r="VB5" s="456"/>
      <c r="VC5" s="456"/>
      <c r="VD5" s="456"/>
      <c r="VE5" s="456"/>
      <c r="VF5" s="456"/>
      <c r="VG5" s="456"/>
      <c r="VH5" s="456"/>
      <c r="VI5" s="456"/>
      <c r="VJ5" s="456"/>
      <c r="VK5" s="456"/>
      <c r="VL5" s="456"/>
      <c r="VM5" s="456"/>
      <c r="VN5" s="456"/>
      <c r="VO5" s="456"/>
      <c r="VP5" s="456"/>
      <c r="VQ5" s="456"/>
      <c r="VR5" s="456"/>
      <c r="VS5" s="456"/>
      <c r="VT5" s="456"/>
      <c r="VU5" s="456"/>
      <c r="VV5" s="456"/>
      <c r="VW5" s="456"/>
      <c r="VX5" s="456"/>
      <c r="VY5" s="456"/>
      <c r="VZ5" s="456"/>
      <c r="WA5" s="456"/>
      <c r="WB5" s="456"/>
      <c r="WC5" s="456"/>
      <c r="WD5" s="456"/>
      <c r="WE5" s="456"/>
      <c r="WF5" s="456"/>
      <c r="WG5" s="456"/>
      <c r="WH5" s="456"/>
      <c r="WI5" s="456"/>
      <c r="WJ5" s="456"/>
      <c r="WK5" s="456"/>
      <c r="WL5" s="456"/>
      <c r="WM5" s="456"/>
      <c r="WN5" s="456"/>
      <c r="WO5" s="456"/>
      <c r="WP5" s="456"/>
      <c r="WQ5" s="456"/>
      <c r="WR5" s="456"/>
      <c r="WS5" s="456"/>
      <c r="WT5" s="456"/>
      <c r="WU5" s="456"/>
      <c r="WV5" s="456"/>
      <c r="WW5" s="456"/>
      <c r="WX5" s="456"/>
      <c r="WY5" s="456"/>
      <c r="WZ5" s="456"/>
      <c r="XA5" s="456"/>
      <c r="XB5" s="456"/>
      <c r="XC5" s="456"/>
      <c r="XD5" s="456"/>
      <c r="XE5" s="456"/>
      <c r="XF5" s="456"/>
      <c r="XG5" s="456"/>
      <c r="XH5" s="456"/>
      <c r="XI5" s="456"/>
      <c r="XJ5" s="456"/>
      <c r="XK5" s="456"/>
      <c r="XL5" s="456"/>
      <c r="XM5" s="456"/>
      <c r="XN5" s="456"/>
      <c r="XO5" s="456"/>
      <c r="XP5" s="456"/>
      <c r="XQ5" s="456"/>
      <c r="XR5" s="456"/>
      <c r="XS5" s="456"/>
      <c r="XT5" s="456"/>
      <c r="XU5" s="456"/>
      <c r="XV5" s="456"/>
      <c r="XW5" s="456"/>
      <c r="XX5" s="456"/>
      <c r="XY5" s="456"/>
      <c r="XZ5" s="456"/>
      <c r="YA5" s="456"/>
      <c r="YB5" s="456"/>
      <c r="YC5" s="456"/>
      <c r="YD5" s="456"/>
      <c r="YE5" s="456"/>
      <c r="YF5" s="456"/>
      <c r="YG5" s="456"/>
      <c r="YH5" s="456"/>
      <c r="YI5" s="456"/>
      <c r="YJ5" s="456"/>
      <c r="YK5" s="456"/>
      <c r="YL5" s="456"/>
      <c r="YM5" s="456"/>
      <c r="YN5" s="456"/>
      <c r="YO5" s="456"/>
      <c r="YP5" s="456"/>
      <c r="YQ5" s="456"/>
      <c r="YR5" s="456"/>
      <c r="YS5" s="456"/>
      <c r="YT5" s="456"/>
      <c r="YU5" s="456"/>
      <c r="YV5" s="456"/>
      <c r="YW5" s="456"/>
      <c r="YX5" s="456"/>
      <c r="YY5" s="456"/>
      <c r="YZ5" s="456"/>
      <c r="ZA5" s="456"/>
      <c r="ZB5" s="456"/>
      <c r="ZC5" s="456"/>
      <c r="ZD5" s="456"/>
      <c r="ZE5" s="456"/>
      <c r="ZF5" s="456"/>
      <c r="ZG5" s="456"/>
      <c r="ZH5" s="456"/>
      <c r="ZI5" s="456"/>
      <c r="ZJ5" s="456"/>
      <c r="ZK5" s="456"/>
      <c r="ZL5" s="456"/>
      <c r="ZM5" s="456"/>
      <c r="ZN5" s="456"/>
      <c r="ZO5" s="456"/>
      <c r="ZP5" s="456"/>
      <c r="ZQ5" s="456"/>
      <c r="ZR5" s="456"/>
      <c r="ZS5" s="456"/>
      <c r="ZT5" s="456"/>
      <c r="ZU5" s="456"/>
      <c r="ZV5" s="456"/>
      <c r="ZW5" s="456"/>
      <c r="ZX5" s="456"/>
      <c r="ZY5" s="456"/>
      <c r="ZZ5" s="456"/>
      <c r="AAA5" s="456"/>
      <c r="AAB5" s="456"/>
      <c r="AAC5" s="456"/>
      <c r="AAD5" s="456"/>
      <c r="AAE5" s="456"/>
      <c r="AAF5" s="456"/>
      <c r="AAG5" s="456"/>
      <c r="AAH5" s="456"/>
      <c r="AAI5" s="456"/>
      <c r="AAJ5" s="456"/>
      <c r="AAK5" s="456"/>
      <c r="AAL5" s="456"/>
      <c r="AAM5" s="456"/>
      <c r="AAN5" s="456"/>
      <c r="AAO5" s="456"/>
      <c r="AAP5" s="456"/>
      <c r="AAQ5" s="456"/>
      <c r="AAR5" s="456"/>
      <c r="AAS5" s="456"/>
      <c r="AAT5" s="456"/>
      <c r="AAU5" s="456"/>
      <c r="AAV5" s="456"/>
      <c r="AAW5" s="456"/>
      <c r="AAX5" s="456"/>
      <c r="AAY5" s="456"/>
      <c r="AAZ5" s="456"/>
      <c r="ABA5" s="456"/>
      <c r="ABB5" s="456"/>
      <c r="ABC5" s="456"/>
      <c r="ABD5" s="456"/>
      <c r="ABE5" s="456"/>
      <c r="ABF5" s="456"/>
      <c r="ABG5" s="456"/>
      <c r="ABH5" s="456"/>
      <c r="ABI5" s="456"/>
      <c r="ABJ5" s="456"/>
      <c r="ABK5" s="456"/>
      <c r="ABL5" s="456"/>
      <c r="ABM5" s="456"/>
      <c r="ABN5" s="456"/>
      <c r="ABO5" s="456"/>
      <c r="ABP5" s="456"/>
      <c r="ABQ5" s="456"/>
      <c r="ABR5" s="456"/>
      <c r="ABS5" s="456"/>
      <c r="ABT5" s="456"/>
      <c r="ABU5" s="456"/>
      <c r="ABV5" s="456"/>
      <c r="ABW5" s="456"/>
      <c r="ABX5" s="456"/>
      <c r="ABY5" s="456"/>
      <c r="ABZ5" s="456"/>
      <c r="ACA5" s="456"/>
      <c r="ACB5" s="456"/>
      <c r="ACC5" s="456"/>
      <c r="ACD5" s="456"/>
      <c r="ACE5" s="456"/>
      <c r="ACF5" s="456"/>
      <c r="ACG5" s="456"/>
      <c r="ACH5" s="456"/>
      <c r="ACI5" s="456"/>
      <c r="ACJ5" s="456"/>
      <c r="ACK5" s="456"/>
      <c r="ACL5" s="456"/>
      <c r="ACM5" s="456"/>
      <c r="ACN5" s="456"/>
      <c r="ACO5" s="456"/>
      <c r="ACP5" s="456"/>
      <c r="ACQ5" s="456"/>
      <c r="ACR5" s="456"/>
      <c r="ACS5" s="456"/>
      <c r="ACT5" s="456"/>
      <c r="ACU5" s="456"/>
      <c r="ACV5" s="456"/>
      <c r="ACW5" s="456"/>
      <c r="ACX5" s="456"/>
      <c r="ACY5" s="456"/>
      <c r="ACZ5" s="456"/>
      <c r="ADA5" s="456"/>
      <c r="ADB5" s="456"/>
      <c r="ADC5" s="456"/>
      <c r="ADD5" s="456"/>
      <c r="ADE5" s="456"/>
      <c r="ADF5" s="456"/>
      <c r="ADG5" s="456"/>
      <c r="ADH5" s="456"/>
      <c r="ADI5" s="456"/>
      <c r="ADJ5" s="456"/>
      <c r="ADK5" s="456"/>
      <c r="ADL5" s="456"/>
      <c r="ADM5" s="456"/>
      <c r="ADN5" s="456"/>
      <c r="ADO5" s="456"/>
      <c r="ADP5" s="456"/>
      <c r="ADQ5" s="456"/>
      <c r="ADR5" s="456"/>
      <c r="ADS5" s="456"/>
      <c r="ADT5" s="456"/>
      <c r="ADU5" s="456"/>
      <c r="ADV5" s="456"/>
      <c r="ADW5" s="456"/>
      <c r="ADX5" s="456"/>
      <c r="ADY5" s="456"/>
      <c r="ADZ5" s="456"/>
      <c r="AEA5" s="456"/>
      <c r="AEB5" s="456"/>
      <c r="AEC5" s="456"/>
      <c r="AED5" s="456"/>
      <c r="AEE5" s="456"/>
      <c r="AEF5" s="456"/>
      <c r="AEG5" s="456"/>
      <c r="AEH5" s="456"/>
      <c r="AEI5" s="456"/>
      <c r="AEJ5" s="456"/>
      <c r="AEK5" s="456"/>
      <c r="AEL5" s="456"/>
      <c r="AEM5" s="456"/>
      <c r="AEN5" s="456"/>
      <c r="AEO5" s="456"/>
      <c r="AEP5" s="456"/>
      <c r="AEQ5" s="456"/>
      <c r="AER5" s="456"/>
      <c r="AES5" s="456"/>
      <c r="AET5" s="456"/>
      <c r="AEU5" s="456"/>
      <c r="AEV5" s="456"/>
      <c r="AEW5" s="456"/>
      <c r="AEX5" s="456"/>
      <c r="AEY5" s="456"/>
      <c r="AEZ5" s="456"/>
      <c r="AFA5" s="456"/>
      <c r="AFB5" s="456"/>
      <c r="AFC5" s="456"/>
      <c r="AFD5" s="456"/>
      <c r="AFE5" s="456"/>
      <c r="AFF5" s="456"/>
      <c r="AFG5" s="456"/>
      <c r="AFH5" s="456"/>
      <c r="AFI5" s="456"/>
      <c r="AFJ5" s="456"/>
      <c r="AFK5" s="456"/>
      <c r="AFL5" s="456"/>
      <c r="AFM5" s="456"/>
      <c r="AFN5" s="456"/>
      <c r="AFO5" s="456"/>
      <c r="AFP5" s="456"/>
      <c r="AFQ5" s="456"/>
      <c r="AFR5" s="456"/>
      <c r="AFS5" s="456"/>
      <c r="AFT5" s="456"/>
      <c r="AFU5" s="456"/>
      <c r="AFV5" s="456"/>
      <c r="AFW5" s="456"/>
      <c r="AFX5" s="456"/>
      <c r="AFY5" s="456"/>
      <c r="AFZ5" s="456"/>
      <c r="AGA5" s="456"/>
      <c r="AGB5" s="456"/>
      <c r="AGC5" s="456"/>
      <c r="AGD5" s="456"/>
      <c r="AGE5" s="456"/>
      <c r="AGF5" s="456"/>
      <c r="AGG5" s="456"/>
      <c r="AGH5" s="456"/>
      <c r="AGI5" s="456"/>
      <c r="AGJ5" s="456"/>
      <c r="AGK5" s="456"/>
      <c r="AGL5" s="456"/>
      <c r="AGM5" s="456"/>
      <c r="AGN5" s="456"/>
      <c r="AGO5" s="456"/>
      <c r="AGP5" s="456"/>
      <c r="AGQ5" s="456"/>
      <c r="AGR5" s="456"/>
      <c r="AGS5" s="456"/>
      <c r="AGT5" s="456"/>
      <c r="AGU5" s="456"/>
      <c r="AGV5" s="456"/>
      <c r="AGW5" s="456"/>
      <c r="AGX5" s="456"/>
      <c r="AGY5" s="456"/>
      <c r="AGZ5" s="456"/>
      <c r="AHA5" s="456"/>
      <c r="AHB5" s="456"/>
      <c r="AHC5" s="456"/>
      <c r="AHD5" s="456"/>
      <c r="AHE5" s="456"/>
      <c r="AHF5" s="456"/>
      <c r="AHG5" s="456"/>
      <c r="AHH5" s="456"/>
      <c r="AHI5" s="456"/>
      <c r="AHJ5" s="456"/>
      <c r="AHK5" s="456"/>
      <c r="AHL5" s="456"/>
      <c r="AHM5" s="456"/>
      <c r="AHN5" s="456"/>
      <c r="AHO5" s="456"/>
      <c r="AHP5" s="456"/>
      <c r="AHQ5" s="456"/>
      <c r="AHR5" s="456"/>
      <c r="AHS5" s="456"/>
      <c r="AHT5" s="456"/>
      <c r="AHU5" s="456"/>
      <c r="AHV5" s="456"/>
      <c r="AHW5" s="456"/>
      <c r="AHX5" s="456"/>
      <c r="AHY5" s="456"/>
      <c r="AHZ5" s="456"/>
      <c r="AIA5" s="456"/>
      <c r="AIB5" s="456"/>
      <c r="AIC5" s="456"/>
      <c r="AID5" s="456"/>
      <c r="AIE5" s="456"/>
      <c r="AIF5" s="456"/>
      <c r="AIG5" s="456"/>
      <c r="AIH5" s="456"/>
      <c r="AII5" s="456"/>
      <c r="AIJ5" s="456"/>
      <c r="AIK5" s="456"/>
      <c r="AIL5" s="456"/>
      <c r="AIM5" s="456"/>
      <c r="AIN5" s="456"/>
      <c r="AIO5" s="456"/>
      <c r="AIP5" s="456"/>
      <c r="AIQ5" s="456"/>
      <c r="AIR5" s="456"/>
      <c r="AIS5" s="456"/>
      <c r="AIT5" s="456"/>
      <c r="AIU5" s="456"/>
      <c r="AIV5" s="456"/>
      <c r="AIW5" s="456"/>
      <c r="AIX5" s="456"/>
      <c r="AIY5" s="456"/>
      <c r="AIZ5" s="456"/>
      <c r="AJA5" s="456"/>
      <c r="AJB5" s="456"/>
      <c r="AJC5" s="456"/>
      <c r="AJD5" s="456"/>
      <c r="AJE5" s="456"/>
      <c r="AJF5" s="456"/>
      <c r="AJG5" s="456"/>
      <c r="AJH5" s="456"/>
      <c r="AJI5" s="456"/>
      <c r="AJJ5" s="456"/>
      <c r="AJK5" s="456"/>
      <c r="AJL5" s="456"/>
      <c r="AJM5" s="456"/>
      <c r="AJN5" s="456"/>
      <c r="AJO5" s="456"/>
      <c r="AJP5" s="456"/>
      <c r="AJQ5" s="456"/>
      <c r="AJR5" s="456"/>
      <c r="AJS5" s="456"/>
      <c r="AJT5" s="456"/>
      <c r="AJU5" s="456"/>
      <c r="AJV5" s="456"/>
      <c r="AJW5" s="456"/>
      <c r="AJX5" s="456"/>
      <c r="AJY5" s="456"/>
      <c r="AJZ5" s="456"/>
      <c r="AKA5" s="456"/>
      <c r="AKB5" s="456"/>
      <c r="AKC5" s="456"/>
      <c r="AKD5" s="456"/>
      <c r="AKE5" s="456"/>
      <c r="AKF5" s="456"/>
      <c r="AKG5" s="456"/>
      <c r="AKH5" s="456"/>
      <c r="AKI5" s="456"/>
      <c r="AKJ5" s="456"/>
      <c r="AKK5" s="456"/>
      <c r="AKL5" s="456"/>
      <c r="AKM5" s="456"/>
      <c r="AKN5" s="456"/>
      <c r="AKO5" s="456"/>
      <c r="AKP5" s="456"/>
      <c r="AKQ5" s="456"/>
      <c r="AKR5" s="456"/>
      <c r="AKS5" s="456"/>
      <c r="AKT5" s="456"/>
      <c r="AKU5" s="456"/>
      <c r="AKV5" s="456"/>
      <c r="AKW5" s="456"/>
      <c r="AKX5" s="456"/>
      <c r="AKY5" s="456"/>
      <c r="AKZ5" s="456"/>
      <c r="ALA5" s="456"/>
      <c r="ALB5" s="456"/>
      <c r="ALC5" s="456"/>
      <c r="ALD5" s="456"/>
      <c r="ALE5" s="456"/>
      <c r="ALF5" s="456"/>
      <c r="ALG5" s="456"/>
      <c r="ALH5" s="456"/>
      <c r="ALI5" s="456"/>
      <c r="ALJ5" s="456"/>
      <c r="ALK5" s="456"/>
      <c r="ALL5" s="456"/>
      <c r="ALM5" s="456"/>
      <c r="ALN5" s="456"/>
      <c r="ALO5" s="456"/>
      <c r="ALP5" s="456"/>
      <c r="ALQ5" s="456"/>
      <c r="ALR5" s="456"/>
      <c r="ALS5" s="456"/>
      <c r="ALT5" s="456"/>
      <c r="ALU5" s="456"/>
      <c r="ALV5" s="456"/>
      <c r="ALW5" s="456"/>
      <c r="ALX5" s="456"/>
      <c r="ALY5" s="456"/>
      <c r="ALZ5" s="456"/>
      <c r="AMA5" s="456"/>
      <c r="AMB5" s="456"/>
      <c r="AMC5" s="456"/>
      <c r="AMD5" s="456"/>
      <c r="AME5" s="456"/>
      <c r="AMF5" s="456"/>
      <c r="AMG5" s="456"/>
      <c r="AMH5" s="456"/>
      <c r="AMI5" s="456"/>
      <c r="AMJ5" s="456"/>
      <c r="AMK5" s="456"/>
      <c r="AML5" s="456"/>
      <c r="AMM5" s="456"/>
      <c r="AMN5" s="456"/>
      <c r="AMO5" s="456"/>
      <c r="AMP5" s="456"/>
      <c r="AMQ5" s="456"/>
      <c r="AMR5" s="456"/>
      <c r="AMS5" s="456"/>
      <c r="AMT5" s="456"/>
      <c r="AMU5" s="456"/>
      <c r="AMV5" s="456"/>
      <c r="AMW5" s="456"/>
      <c r="AMX5" s="456"/>
      <c r="AMY5" s="456"/>
      <c r="AMZ5" s="456"/>
      <c r="ANA5" s="456"/>
      <c r="ANB5" s="456"/>
      <c r="ANC5" s="456"/>
      <c r="AND5" s="456"/>
      <c r="ANE5" s="456"/>
      <c r="ANF5" s="456"/>
      <c r="ANG5" s="456"/>
      <c r="ANH5" s="456"/>
      <c r="ANI5" s="456"/>
      <c r="ANJ5" s="456"/>
      <c r="ANK5" s="456"/>
      <c r="ANL5" s="456"/>
      <c r="ANM5" s="456"/>
      <c r="ANN5" s="456"/>
      <c r="ANO5" s="456"/>
      <c r="ANP5" s="456"/>
      <c r="ANQ5" s="456"/>
      <c r="ANR5" s="456"/>
      <c r="ANS5" s="456"/>
      <c r="ANT5" s="456"/>
      <c r="ANU5" s="456"/>
      <c r="ANV5" s="456"/>
      <c r="ANW5" s="456"/>
      <c r="ANX5" s="456"/>
      <c r="ANY5" s="456"/>
      <c r="ANZ5" s="456"/>
      <c r="AOA5" s="456"/>
      <c r="AOB5" s="456"/>
      <c r="AOC5" s="456"/>
      <c r="AOD5" s="456"/>
      <c r="AOE5" s="456"/>
      <c r="AOF5" s="456"/>
      <c r="AOG5" s="456"/>
      <c r="AOH5" s="456"/>
      <c r="AOI5" s="456"/>
      <c r="AOJ5" s="456"/>
      <c r="AOK5" s="456"/>
      <c r="AOL5" s="456"/>
      <c r="AOM5" s="456"/>
      <c r="AON5" s="456"/>
      <c r="AOO5" s="456"/>
      <c r="AOP5" s="456"/>
      <c r="AOQ5" s="456"/>
      <c r="AOR5" s="456"/>
      <c r="AOS5" s="456"/>
      <c r="AOT5" s="456"/>
      <c r="AOU5" s="456"/>
      <c r="AOV5" s="456"/>
      <c r="AOW5" s="456"/>
      <c r="AOX5" s="456"/>
      <c r="AOY5" s="456"/>
      <c r="AOZ5" s="456"/>
      <c r="APA5" s="456"/>
      <c r="APB5" s="456"/>
      <c r="APC5" s="456"/>
      <c r="APD5" s="456"/>
      <c r="APE5" s="456"/>
      <c r="APF5" s="456"/>
      <c r="APG5" s="456"/>
      <c r="APH5" s="456"/>
      <c r="API5" s="456"/>
      <c r="APJ5" s="456"/>
      <c r="APK5" s="456"/>
      <c r="APL5" s="456"/>
      <c r="APM5" s="456"/>
      <c r="APN5" s="456"/>
      <c r="APO5" s="456"/>
      <c r="APP5" s="456"/>
      <c r="APQ5" s="456"/>
      <c r="APR5" s="456"/>
      <c r="APS5" s="456"/>
      <c r="APT5" s="456"/>
      <c r="APU5" s="456"/>
      <c r="APV5" s="456"/>
      <c r="APW5" s="456"/>
      <c r="APX5" s="456"/>
      <c r="APY5" s="456"/>
      <c r="APZ5" s="456"/>
      <c r="AQA5" s="456"/>
      <c r="AQB5" s="456"/>
      <c r="AQC5" s="456"/>
      <c r="AQD5" s="456"/>
      <c r="AQE5" s="456"/>
      <c r="AQF5" s="456"/>
      <c r="AQG5" s="456"/>
      <c r="AQH5" s="456"/>
      <c r="AQI5" s="456"/>
      <c r="AQJ5" s="456"/>
      <c r="AQK5" s="456"/>
      <c r="AQL5" s="456"/>
      <c r="AQM5" s="456"/>
      <c r="AQN5" s="456"/>
      <c r="AQO5" s="456"/>
      <c r="AQP5" s="456"/>
      <c r="AQQ5" s="456"/>
      <c r="AQR5" s="456"/>
      <c r="AQS5" s="456"/>
      <c r="AQT5" s="456"/>
      <c r="AQU5" s="456"/>
      <c r="AQV5" s="456"/>
      <c r="AQW5" s="456"/>
      <c r="AQX5" s="456"/>
      <c r="AQY5" s="456"/>
      <c r="AQZ5" s="456"/>
      <c r="ARA5" s="456"/>
      <c r="ARB5" s="456"/>
      <c r="ARC5" s="456"/>
      <c r="ARD5" s="456"/>
      <c r="ARE5" s="456"/>
      <c r="ARF5" s="456"/>
      <c r="ARG5" s="456"/>
      <c r="ARH5" s="456"/>
      <c r="ARI5" s="456"/>
      <c r="ARJ5" s="456"/>
      <c r="ARK5" s="456"/>
      <c r="ARL5" s="456"/>
      <c r="ARM5" s="456"/>
      <c r="ARN5" s="456"/>
      <c r="ARO5" s="456"/>
      <c r="ARP5" s="456"/>
      <c r="ARQ5" s="456"/>
      <c r="ARR5" s="456"/>
      <c r="ARS5" s="456"/>
      <c r="ART5" s="456"/>
      <c r="ARU5" s="456"/>
      <c r="ARV5" s="456"/>
      <c r="ARW5" s="456"/>
      <c r="ARX5" s="456"/>
      <c r="ARY5" s="456"/>
      <c r="ARZ5" s="456"/>
      <c r="ASA5" s="456"/>
      <c r="ASB5" s="456"/>
      <c r="ASC5" s="456"/>
      <c r="ASD5" s="456"/>
      <c r="ASE5" s="456"/>
      <c r="ASF5" s="456"/>
      <c r="ASG5" s="456"/>
      <c r="ASH5" s="456"/>
      <c r="ASI5" s="456"/>
      <c r="ASJ5" s="456"/>
      <c r="ASK5" s="456"/>
      <c r="ASL5" s="456"/>
      <c r="ASM5" s="456"/>
      <c r="ASN5" s="456"/>
      <c r="ASO5" s="456"/>
      <c r="ASP5" s="456"/>
      <c r="ASQ5" s="456"/>
      <c r="ASR5" s="456"/>
      <c r="ASS5" s="456"/>
      <c r="AST5" s="456"/>
      <c r="ASU5" s="456"/>
      <c r="ASV5" s="456"/>
      <c r="ASW5" s="456"/>
      <c r="ASX5" s="456"/>
      <c r="ASY5" s="456"/>
      <c r="ASZ5" s="456"/>
      <c r="ATA5" s="456"/>
      <c r="ATB5" s="456"/>
      <c r="ATC5" s="456"/>
      <c r="ATD5" s="456"/>
      <c r="ATE5" s="456"/>
      <c r="ATF5" s="456"/>
      <c r="ATG5" s="456"/>
      <c r="ATH5" s="456"/>
      <c r="ATI5" s="456"/>
      <c r="ATJ5" s="456"/>
      <c r="ATK5" s="456"/>
      <c r="ATL5" s="456"/>
      <c r="ATM5" s="456"/>
      <c r="ATN5" s="456"/>
      <c r="ATO5" s="456"/>
      <c r="ATP5" s="456"/>
      <c r="ATQ5" s="456"/>
      <c r="ATR5" s="456"/>
      <c r="ATS5" s="456"/>
      <c r="ATT5" s="456"/>
      <c r="ATU5" s="456"/>
      <c r="ATV5" s="456"/>
      <c r="ATW5" s="456"/>
      <c r="ATX5" s="456"/>
      <c r="ATY5" s="456"/>
      <c r="ATZ5" s="456"/>
      <c r="AUA5" s="456"/>
      <c r="AUB5" s="456"/>
      <c r="AUC5" s="456"/>
      <c r="AUD5" s="456"/>
      <c r="AUE5" s="456"/>
      <c r="AUF5" s="456"/>
      <c r="AUG5" s="456"/>
      <c r="AUH5" s="456"/>
      <c r="AUI5" s="456"/>
      <c r="AUJ5" s="456"/>
      <c r="AUK5" s="456"/>
      <c r="AUL5" s="456"/>
      <c r="AUM5" s="456"/>
      <c r="AUN5" s="456"/>
      <c r="AUO5" s="456"/>
      <c r="AUP5" s="456"/>
      <c r="AUQ5" s="456"/>
      <c r="AUR5" s="456"/>
      <c r="AUS5" s="456"/>
      <c r="AUT5" s="456"/>
      <c r="AUU5" s="456"/>
      <c r="AUV5" s="456"/>
      <c r="AUW5" s="456"/>
      <c r="AUX5" s="456"/>
      <c r="AUY5" s="456"/>
      <c r="AUZ5" s="456"/>
      <c r="AVA5" s="456"/>
      <c r="AVB5" s="456"/>
      <c r="AVC5" s="456"/>
      <c r="AVD5" s="456"/>
      <c r="AVE5" s="456"/>
      <c r="AVF5" s="456"/>
      <c r="AVG5" s="456"/>
      <c r="AVH5" s="456"/>
      <c r="AVI5" s="456"/>
      <c r="AVJ5" s="456"/>
      <c r="AVK5" s="456"/>
      <c r="AVL5" s="456"/>
      <c r="AVM5" s="456"/>
      <c r="AVN5" s="456"/>
      <c r="AVO5" s="456"/>
      <c r="AVP5" s="456"/>
      <c r="AVQ5" s="456"/>
      <c r="AVR5" s="456"/>
      <c r="AVS5" s="456"/>
      <c r="AVT5" s="456"/>
      <c r="AVU5" s="456"/>
      <c r="AVV5" s="456"/>
      <c r="AVW5" s="456"/>
      <c r="AVX5" s="456"/>
      <c r="AVY5" s="456"/>
      <c r="AVZ5" s="456"/>
      <c r="AWA5" s="456"/>
      <c r="AWB5" s="456"/>
      <c r="AWC5" s="456"/>
      <c r="AWD5" s="456"/>
      <c r="AWE5" s="456"/>
      <c r="AWF5" s="456"/>
      <c r="AWG5" s="456"/>
      <c r="AWH5" s="456"/>
      <c r="AWI5" s="456"/>
      <c r="AWJ5" s="456"/>
      <c r="AWK5" s="456"/>
      <c r="AWL5" s="456"/>
      <c r="AWM5" s="456"/>
      <c r="AWN5" s="456"/>
      <c r="AWO5" s="456"/>
      <c r="AWP5" s="456"/>
      <c r="AWQ5" s="456"/>
      <c r="AWR5" s="456"/>
      <c r="AWS5" s="456"/>
      <c r="AWT5" s="456"/>
      <c r="AWU5" s="456"/>
      <c r="AWV5" s="456"/>
      <c r="AWW5" s="456"/>
      <c r="AWX5" s="456"/>
      <c r="AWY5" s="456"/>
      <c r="AWZ5" s="456"/>
      <c r="AXA5" s="456"/>
      <c r="AXB5" s="456"/>
      <c r="AXC5" s="456"/>
      <c r="AXD5" s="456"/>
      <c r="AXE5" s="456"/>
      <c r="AXF5" s="456"/>
      <c r="AXG5" s="456"/>
      <c r="AXH5" s="456"/>
      <c r="AXI5" s="456"/>
      <c r="AXJ5" s="456"/>
      <c r="AXK5" s="456"/>
      <c r="AXL5" s="456"/>
      <c r="AXM5" s="456"/>
      <c r="AXN5" s="456"/>
      <c r="AXO5" s="456"/>
      <c r="AXP5" s="456"/>
      <c r="AXQ5" s="456"/>
      <c r="AXR5" s="456"/>
      <c r="AXS5" s="456"/>
      <c r="AXT5" s="456"/>
      <c r="AXU5" s="456"/>
      <c r="AXV5" s="456"/>
      <c r="AXW5" s="456"/>
      <c r="AXX5" s="456"/>
      <c r="AXY5" s="456"/>
      <c r="AXZ5" s="456"/>
      <c r="AYA5" s="456"/>
      <c r="AYB5" s="456"/>
      <c r="AYC5" s="456"/>
      <c r="AYD5" s="456"/>
      <c r="AYE5" s="456"/>
      <c r="AYF5" s="456"/>
      <c r="AYG5" s="456"/>
      <c r="AYH5" s="456"/>
      <c r="AYI5" s="456"/>
      <c r="AYJ5" s="456"/>
      <c r="AYK5" s="456"/>
      <c r="AYL5" s="456"/>
      <c r="AYM5" s="456"/>
      <c r="AYN5" s="456"/>
      <c r="AYO5" s="456"/>
      <c r="AYP5" s="456"/>
      <c r="AYQ5" s="456"/>
      <c r="AYR5" s="456"/>
      <c r="AYS5" s="456"/>
      <c r="AYT5" s="456"/>
      <c r="AYU5" s="456"/>
      <c r="AYV5" s="456"/>
      <c r="AYW5" s="456"/>
      <c r="AYX5" s="456"/>
      <c r="AYY5" s="456"/>
      <c r="AYZ5" s="456"/>
      <c r="AZA5" s="456"/>
      <c r="AZB5" s="456"/>
      <c r="AZC5" s="456"/>
      <c r="AZD5" s="456"/>
      <c r="AZE5" s="456"/>
      <c r="AZF5" s="456"/>
      <c r="AZG5" s="456"/>
      <c r="AZH5" s="456"/>
      <c r="AZI5" s="456"/>
      <c r="AZJ5" s="456"/>
      <c r="AZK5" s="456"/>
      <c r="AZL5" s="456"/>
      <c r="AZM5" s="456"/>
      <c r="AZN5" s="456"/>
      <c r="AZO5" s="456"/>
      <c r="AZP5" s="456"/>
      <c r="AZQ5" s="456"/>
      <c r="AZR5" s="456"/>
      <c r="AZS5" s="456"/>
      <c r="AZT5" s="456"/>
      <c r="AZU5" s="456"/>
      <c r="AZV5" s="456"/>
      <c r="AZW5" s="456"/>
      <c r="AZX5" s="456"/>
      <c r="AZY5" s="456"/>
      <c r="AZZ5" s="456"/>
      <c r="BAA5" s="456"/>
      <c r="BAB5" s="456"/>
      <c r="BAC5" s="456"/>
      <c r="BAD5" s="456"/>
      <c r="BAE5" s="456"/>
      <c r="BAF5" s="456"/>
      <c r="BAG5" s="456"/>
      <c r="BAH5" s="456"/>
      <c r="BAI5" s="456"/>
      <c r="BAJ5" s="456"/>
      <c r="BAK5" s="456"/>
      <c r="BAL5" s="456"/>
      <c r="BAM5" s="456"/>
      <c r="BAN5" s="456"/>
      <c r="BAO5" s="456"/>
      <c r="BAP5" s="456"/>
      <c r="BAQ5" s="456"/>
      <c r="BAR5" s="456"/>
      <c r="BAS5" s="456"/>
      <c r="BAT5" s="456"/>
      <c r="BAU5" s="456"/>
      <c r="BAV5" s="456"/>
      <c r="BAW5" s="456"/>
      <c r="BAX5" s="456"/>
      <c r="BAY5" s="456"/>
      <c r="BAZ5" s="456"/>
      <c r="BBA5" s="456"/>
      <c r="BBB5" s="456"/>
      <c r="BBC5" s="456"/>
      <c r="BBD5" s="456"/>
      <c r="BBE5" s="456"/>
      <c r="BBF5" s="456"/>
      <c r="BBG5" s="456"/>
      <c r="BBH5" s="456"/>
      <c r="BBI5" s="456"/>
      <c r="BBJ5" s="456"/>
      <c r="BBK5" s="456"/>
      <c r="BBL5" s="456"/>
      <c r="BBM5" s="456"/>
      <c r="BBN5" s="456"/>
      <c r="BBO5" s="456"/>
      <c r="BBP5" s="456"/>
      <c r="BBQ5" s="456"/>
      <c r="BBR5" s="456"/>
      <c r="BBS5" s="456"/>
      <c r="BBT5" s="456"/>
      <c r="BBU5" s="456"/>
      <c r="BBV5" s="456"/>
      <c r="BBW5" s="456"/>
      <c r="BBX5" s="456"/>
      <c r="BBY5" s="456"/>
      <c r="BBZ5" s="456"/>
      <c r="BCA5" s="456"/>
      <c r="BCB5" s="456"/>
      <c r="BCC5" s="456"/>
      <c r="BCD5" s="456"/>
      <c r="BCE5" s="456"/>
      <c r="BCF5" s="456"/>
      <c r="BCG5" s="456"/>
      <c r="BCH5" s="456"/>
      <c r="BCI5" s="456"/>
      <c r="BCJ5" s="456"/>
      <c r="BCK5" s="456"/>
      <c r="BCL5" s="456"/>
      <c r="BCM5" s="456"/>
      <c r="BCN5" s="456"/>
      <c r="BCO5" s="456"/>
      <c r="BCP5" s="456"/>
      <c r="BCQ5" s="456"/>
      <c r="BCR5" s="456"/>
      <c r="BCS5" s="456"/>
      <c r="BCT5" s="456"/>
      <c r="BCU5" s="456"/>
      <c r="BCV5" s="456"/>
      <c r="BCW5" s="456"/>
      <c r="BCX5" s="456"/>
      <c r="BCY5" s="456"/>
      <c r="BCZ5" s="456"/>
      <c r="BDA5" s="456"/>
      <c r="BDB5" s="456"/>
      <c r="BDC5" s="456"/>
      <c r="BDD5" s="456"/>
      <c r="BDE5" s="456"/>
      <c r="BDF5" s="456"/>
      <c r="BDG5" s="456"/>
      <c r="BDH5" s="456"/>
      <c r="BDI5" s="456"/>
      <c r="BDJ5" s="456"/>
      <c r="BDK5" s="456"/>
      <c r="BDL5" s="456"/>
      <c r="BDM5" s="456"/>
      <c r="BDN5" s="456"/>
      <c r="BDO5" s="456"/>
      <c r="BDP5" s="456"/>
      <c r="BDQ5" s="456"/>
      <c r="BDR5" s="456"/>
      <c r="BDS5" s="456"/>
      <c r="BDT5" s="456"/>
      <c r="BDU5" s="456"/>
      <c r="BDV5" s="456"/>
      <c r="BDW5" s="456"/>
      <c r="BDX5" s="456"/>
      <c r="BDY5" s="456"/>
      <c r="BDZ5" s="456"/>
      <c r="BEA5" s="456"/>
      <c r="BEB5" s="456"/>
      <c r="BEC5" s="456"/>
      <c r="BED5" s="456"/>
      <c r="BEE5" s="456"/>
      <c r="BEF5" s="456"/>
      <c r="BEG5" s="456"/>
      <c r="BEH5" s="456"/>
      <c r="BEI5" s="456"/>
      <c r="BEJ5" s="456"/>
      <c r="BEK5" s="456"/>
      <c r="BEL5" s="456"/>
      <c r="BEM5" s="456"/>
      <c r="BEN5" s="456"/>
      <c r="BEO5" s="456"/>
      <c r="BEP5" s="456"/>
      <c r="BEQ5" s="456"/>
      <c r="BER5" s="456"/>
      <c r="BES5" s="456"/>
      <c r="BET5" s="456"/>
      <c r="BEU5" s="456"/>
      <c r="BEV5" s="456"/>
      <c r="BEW5" s="456"/>
      <c r="BEX5" s="456"/>
      <c r="BEY5" s="456"/>
      <c r="BEZ5" s="456"/>
      <c r="BFA5" s="456"/>
      <c r="BFB5" s="456"/>
      <c r="BFC5" s="456"/>
      <c r="BFD5" s="456"/>
      <c r="BFE5" s="456"/>
      <c r="BFF5" s="456"/>
      <c r="BFG5" s="456"/>
      <c r="BFH5" s="456"/>
      <c r="BFI5" s="456"/>
      <c r="BFJ5" s="456"/>
      <c r="BFK5" s="456"/>
      <c r="BFL5" s="456"/>
      <c r="BFM5" s="456"/>
      <c r="BFN5" s="456"/>
      <c r="BFO5" s="456"/>
      <c r="BFP5" s="456"/>
      <c r="BFQ5" s="456"/>
      <c r="BFR5" s="456"/>
      <c r="BFS5" s="456"/>
      <c r="BFT5" s="456"/>
      <c r="BFU5" s="456"/>
      <c r="BFV5" s="456"/>
      <c r="BFW5" s="456"/>
      <c r="BFX5" s="456"/>
      <c r="BFY5" s="456"/>
      <c r="BFZ5" s="456"/>
      <c r="BGA5" s="456"/>
      <c r="BGB5" s="456"/>
      <c r="BGC5" s="456"/>
      <c r="BGD5" s="456"/>
      <c r="BGE5" s="456"/>
      <c r="BGF5" s="456"/>
      <c r="BGG5" s="456"/>
      <c r="BGH5" s="456"/>
      <c r="BGI5" s="456"/>
      <c r="BGJ5" s="456"/>
      <c r="BGK5" s="456"/>
      <c r="BGL5" s="456"/>
      <c r="BGM5" s="456"/>
      <c r="BGN5" s="456"/>
      <c r="BGO5" s="456"/>
      <c r="BGP5" s="456"/>
      <c r="BGQ5" s="456"/>
      <c r="BGR5" s="456"/>
      <c r="BGS5" s="456"/>
      <c r="BGT5" s="456"/>
      <c r="BGU5" s="456"/>
      <c r="BGV5" s="456"/>
      <c r="BGW5" s="456"/>
      <c r="BGX5" s="456"/>
      <c r="BGY5" s="456"/>
      <c r="BGZ5" s="456"/>
      <c r="BHA5" s="456"/>
      <c r="BHB5" s="456"/>
      <c r="BHC5" s="456"/>
      <c r="BHD5" s="456"/>
      <c r="BHE5" s="456"/>
      <c r="BHF5" s="456"/>
      <c r="BHG5" s="456"/>
      <c r="BHH5" s="456"/>
      <c r="BHI5" s="456"/>
      <c r="BHJ5" s="456"/>
      <c r="BHK5" s="456"/>
      <c r="BHL5" s="456"/>
      <c r="BHM5" s="456"/>
      <c r="BHN5" s="456"/>
      <c r="BHO5" s="456"/>
      <c r="BHP5" s="456"/>
      <c r="BHQ5" s="456"/>
      <c r="BHR5" s="456"/>
      <c r="BHS5" s="456"/>
      <c r="BHT5" s="456"/>
      <c r="BHU5" s="456"/>
      <c r="BHV5" s="456"/>
      <c r="BHW5" s="456"/>
      <c r="BHX5" s="456"/>
      <c r="BHY5" s="456"/>
      <c r="BHZ5" s="456"/>
      <c r="BIA5" s="456"/>
      <c r="BIB5" s="456"/>
      <c r="BIC5" s="456"/>
      <c r="BID5" s="456"/>
      <c r="BIE5" s="456"/>
      <c r="BIF5" s="456"/>
      <c r="BIG5" s="456"/>
      <c r="BIH5" s="456"/>
      <c r="BII5" s="456"/>
      <c r="BIJ5" s="456"/>
      <c r="BIK5" s="456"/>
      <c r="BIL5" s="456"/>
      <c r="BIM5" s="456"/>
      <c r="BIN5" s="456"/>
      <c r="BIO5" s="456"/>
      <c r="BIP5" s="456"/>
      <c r="BIQ5" s="456"/>
      <c r="BIR5" s="456"/>
      <c r="BIS5" s="456"/>
      <c r="BIT5" s="456"/>
      <c r="BIU5" s="456"/>
      <c r="BIV5" s="456"/>
      <c r="BIW5" s="456"/>
      <c r="BIX5" s="456"/>
      <c r="BIY5" s="456"/>
      <c r="BIZ5" s="456"/>
      <c r="BJA5" s="456"/>
      <c r="BJB5" s="456"/>
      <c r="BJC5" s="456"/>
      <c r="BJD5" s="456"/>
      <c r="BJE5" s="456"/>
      <c r="BJF5" s="456"/>
      <c r="BJG5" s="456"/>
      <c r="BJH5" s="456"/>
      <c r="BJI5" s="456"/>
      <c r="BJJ5" s="456"/>
      <c r="BJK5" s="456"/>
      <c r="BJL5" s="456"/>
      <c r="BJM5" s="456"/>
      <c r="BJN5" s="456"/>
      <c r="BJO5" s="456"/>
      <c r="BJP5" s="456"/>
      <c r="BJQ5" s="456"/>
      <c r="BJR5" s="456"/>
      <c r="BJS5" s="456"/>
      <c r="BJT5" s="456"/>
      <c r="BJU5" s="456"/>
      <c r="BJV5" s="456"/>
      <c r="BJW5" s="456"/>
      <c r="BJX5" s="456"/>
      <c r="BJY5" s="456"/>
      <c r="BJZ5" s="456"/>
      <c r="BKA5" s="456"/>
      <c r="BKB5" s="456"/>
      <c r="BKC5" s="456"/>
      <c r="BKD5" s="456"/>
      <c r="BKE5" s="456"/>
      <c r="BKF5" s="456"/>
      <c r="BKG5" s="456"/>
      <c r="BKH5" s="456"/>
      <c r="BKI5" s="456"/>
      <c r="BKJ5" s="456"/>
      <c r="BKK5" s="456"/>
      <c r="BKL5" s="456"/>
      <c r="BKM5" s="456"/>
      <c r="BKN5" s="456"/>
      <c r="BKO5" s="456"/>
      <c r="BKP5" s="456"/>
      <c r="BKQ5" s="456"/>
      <c r="BKR5" s="456"/>
      <c r="BKS5" s="456"/>
      <c r="BKT5" s="456"/>
      <c r="BKU5" s="456"/>
      <c r="BKV5" s="456"/>
      <c r="BKW5" s="456"/>
      <c r="BKX5" s="456"/>
      <c r="BKY5" s="456"/>
      <c r="BKZ5" s="456"/>
      <c r="BLA5" s="456"/>
      <c r="BLB5" s="456"/>
      <c r="BLC5" s="456"/>
      <c r="BLD5" s="456"/>
      <c r="BLE5" s="456"/>
      <c r="BLF5" s="456"/>
      <c r="BLG5" s="456"/>
      <c r="BLH5" s="456"/>
      <c r="BLI5" s="456"/>
      <c r="BLJ5" s="456"/>
      <c r="BLK5" s="456"/>
      <c r="BLL5" s="456"/>
      <c r="BLM5" s="456"/>
      <c r="BLN5" s="456"/>
      <c r="BLO5" s="456"/>
      <c r="BLP5" s="456"/>
      <c r="BLQ5" s="456"/>
      <c r="BLR5" s="456"/>
      <c r="BLS5" s="456"/>
      <c r="BLT5" s="456"/>
      <c r="BLU5" s="456"/>
      <c r="BLV5" s="456"/>
      <c r="BLW5" s="456"/>
      <c r="BLX5" s="456"/>
      <c r="BLY5" s="456"/>
      <c r="BLZ5" s="456"/>
      <c r="BMA5" s="456"/>
      <c r="BMB5" s="456"/>
      <c r="BMC5" s="456"/>
      <c r="BMD5" s="456"/>
      <c r="BME5" s="456"/>
      <c r="BMF5" s="456"/>
      <c r="BMG5" s="456"/>
      <c r="BMH5" s="456"/>
      <c r="BMI5" s="456"/>
      <c r="BMJ5" s="456"/>
      <c r="BMK5" s="456"/>
      <c r="BML5" s="456"/>
      <c r="BMM5" s="456"/>
      <c r="BMN5" s="456"/>
      <c r="BMO5" s="456"/>
      <c r="BMP5" s="456"/>
      <c r="BMQ5" s="456"/>
      <c r="BMR5" s="456"/>
      <c r="BMS5" s="456"/>
      <c r="BMT5" s="456"/>
      <c r="BMU5" s="456"/>
      <c r="BMV5" s="456"/>
      <c r="BMW5" s="456"/>
      <c r="BMX5" s="456"/>
      <c r="BMY5" s="456"/>
      <c r="BMZ5" s="456"/>
      <c r="BNA5" s="456"/>
      <c r="BNB5" s="456"/>
      <c r="BNC5" s="456"/>
      <c r="BND5" s="456"/>
      <c r="BNE5" s="456"/>
      <c r="BNF5" s="456"/>
      <c r="BNG5" s="456"/>
      <c r="BNH5" s="456"/>
      <c r="BNI5" s="456"/>
      <c r="BNJ5" s="456"/>
      <c r="BNK5" s="456"/>
      <c r="BNL5" s="456"/>
      <c r="BNM5" s="456"/>
      <c r="BNN5" s="456"/>
      <c r="BNO5" s="456"/>
      <c r="BNP5" s="456"/>
      <c r="BNQ5" s="456"/>
      <c r="BNR5" s="456"/>
      <c r="BNS5" s="456"/>
      <c r="BNT5" s="456"/>
      <c r="BNU5" s="456"/>
      <c r="BNV5" s="456"/>
      <c r="BNW5" s="456"/>
      <c r="BNX5" s="456"/>
      <c r="BNY5" s="456"/>
      <c r="BNZ5" s="456"/>
      <c r="BOA5" s="456"/>
      <c r="BOB5" s="456"/>
      <c r="BOC5" s="456"/>
      <c r="BOD5" s="456"/>
      <c r="BOE5" s="456"/>
      <c r="BOF5" s="456"/>
      <c r="BOG5" s="456"/>
      <c r="BOH5" s="456"/>
      <c r="BOI5" s="456"/>
      <c r="BOJ5" s="456"/>
      <c r="BOK5" s="456"/>
      <c r="BOL5" s="456"/>
      <c r="BOM5" s="456"/>
      <c r="BON5" s="456"/>
      <c r="BOO5" s="456"/>
      <c r="BOP5" s="456"/>
      <c r="BOQ5" s="456"/>
      <c r="BOR5" s="456"/>
      <c r="BOS5" s="456"/>
      <c r="BOT5" s="456"/>
      <c r="BOU5" s="456"/>
      <c r="BOV5" s="456"/>
      <c r="BOW5" s="456"/>
      <c r="BOX5" s="456"/>
      <c r="BOY5" s="456"/>
      <c r="BOZ5" s="456"/>
      <c r="BPA5" s="456"/>
      <c r="BPB5" s="456"/>
      <c r="BPC5" s="456"/>
      <c r="BPD5" s="456"/>
      <c r="BPE5" s="456"/>
      <c r="BPF5" s="456"/>
      <c r="BPG5" s="456"/>
      <c r="BPH5" s="456"/>
      <c r="BPI5" s="456"/>
      <c r="BPJ5" s="456"/>
      <c r="BPK5" s="456"/>
      <c r="BPL5" s="456"/>
      <c r="BPM5" s="456"/>
      <c r="BPN5" s="456"/>
      <c r="BPO5" s="456"/>
      <c r="BPP5" s="456"/>
      <c r="BPQ5" s="456"/>
      <c r="BPR5" s="456"/>
      <c r="BPS5" s="456"/>
      <c r="BPT5" s="456"/>
      <c r="BPU5" s="456"/>
      <c r="BPV5" s="456"/>
      <c r="BPW5" s="456"/>
      <c r="BPX5" s="456"/>
      <c r="BPY5" s="456"/>
      <c r="BPZ5" s="456"/>
      <c r="BQA5" s="456"/>
      <c r="BQB5" s="456"/>
      <c r="BQC5" s="456"/>
      <c r="BQD5" s="456"/>
      <c r="BQE5" s="456"/>
      <c r="BQF5" s="456"/>
      <c r="BQG5" s="456"/>
      <c r="BQH5" s="456"/>
      <c r="BQI5" s="456"/>
      <c r="BQJ5" s="456"/>
      <c r="BQK5" s="456"/>
      <c r="BQL5" s="456"/>
      <c r="BQM5" s="456"/>
      <c r="BQN5" s="456"/>
      <c r="BQO5" s="456"/>
      <c r="BQP5" s="456"/>
      <c r="BQQ5" s="456"/>
      <c r="BQR5" s="456"/>
      <c r="BQS5" s="456"/>
      <c r="BQT5" s="456"/>
      <c r="BQU5" s="456"/>
      <c r="BQV5" s="456"/>
      <c r="BQW5" s="456"/>
      <c r="BQX5" s="456"/>
      <c r="BQY5" s="456"/>
      <c r="BQZ5" s="456"/>
      <c r="BRA5" s="456"/>
      <c r="BRB5" s="456"/>
      <c r="BRC5" s="456"/>
      <c r="BRD5" s="456"/>
      <c r="BRE5" s="456"/>
      <c r="BRF5" s="456"/>
      <c r="BRG5" s="456"/>
      <c r="BRH5" s="456"/>
      <c r="BRI5" s="456"/>
      <c r="BRJ5" s="456"/>
      <c r="BRK5" s="456"/>
      <c r="BRL5" s="456"/>
      <c r="BRM5" s="456"/>
      <c r="BRN5" s="456"/>
      <c r="BRO5" s="456"/>
      <c r="BRP5" s="456"/>
      <c r="BRQ5" s="456"/>
      <c r="BRR5" s="456"/>
      <c r="BRS5" s="456"/>
      <c r="BRT5" s="456"/>
      <c r="BRU5" s="456"/>
      <c r="BRV5" s="456"/>
      <c r="BRW5" s="456"/>
      <c r="BRX5" s="456"/>
      <c r="BRY5" s="456"/>
      <c r="BRZ5" s="456"/>
      <c r="BSA5" s="456"/>
      <c r="BSB5" s="456"/>
      <c r="BSC5" s="456"/>
      <c r="BSD5" s="456"/>
      <c r="BSE5" s="456"/>
      <c r="BSF5" s="456"/>
      <c r="BSG5" s="456"/>
      <c r="BSH5" s="456"/>
      <c r="BSI5" s="456"/>
      <c r="BSJ5" s="456"/>
      <c r="BSK5" s="456"/>
      <c r="BSL5" s="456"/>
      <c r="BSM5" s="456"/>
      <c r="BSN5" s="456"/>
      <c r="BSO5" s="456"/>
      <c r="BSP5" s="456"/>
      <c r="BSQ5" s="456"/>
      <c r="BSR5" s="456"/>
      <c r="BSS5" s="456"/>
      <c r="BST5" s="456"/>
      <c r="BSU5" s="456"/>
      <c r="BSV5" s="456"/>
      <c r="BSW5" s="456"/>
      <c r="BSX5" s="456"/>
      <c r="BSY5" s="456"/>
      <c r="BSZ5" s="456"/>
      <c r="BTA5" s="456"/>
      <c r="BTB5" s="456"/>
      <c r="BTC5" s="456"/>
      <c r="BTD5" s="456"/>
      <c r="BTE5" s="456"/>
      <c r="BTF5" s="456"/>
      <c r="BTG5" s="456"/>
      <c r="BTH5" s="456"/>
      <c r="BTI5" s="456"/>
      <c r="BTJ5" s="456"/>
      <c r="BTK5" s="456"/>
      <c r="BTL5" s="456"/>
      <c r="BTM5" s="456"/>
      <c r="BTN5" s="456"/>
      <c r="BTO5" s="456"/>
      <c r="BTP5" s="456"/>
      <c r="BTQ5" s="456"/>
      <c r="BTR5" s="456"/>
      <c r="BTS5" s="456"/>
      <c r="BTT5" s="456"/>
      <c r="BTU5" s="456"/>
      <c r="BTV5" s="456"/>
      <c r="BTW5" s="456"/>
      <c r="BTX5" s="456"/>
      <c r="BTY5" s="456"/>
      <c r="BTZ5" s="456"/>
      <c r="BUA5" s="456"/>
      <c r="BUB5" s="456"/>
      <c r="BUC5" s="456"/>
      <c r="BUD5" s="456"/>
      <c r="BUE5" s="456"/>
      <c r="BUF5" s="456"/>
      <c r="BUG5" s="456"/>
      <c r="BUH5" s="456"/>
      <c r="BUI5" s="456"/>
      <c r="BUJ5" s="456"/>
      <c r="BUK5" s="456"/>
      <c r="BUL5" s="456"/>
      <c r="BUM5" s="456"/>
      <c r="BUN5" s="456"/>
      <c r="BUO5" s="456"/>
      <c r="BUP5" s="456"/>
      <c r="BUQ5" s="456"/>
      <c r="BUR5" s="456"/>
      <c r="BUS5" s="456"/>
      <c r="BUT5" s="456"/>
      <c r="BUU5" s="456"/>
      <c r="BUV5" s="456"/>
      <c r="BUW5" s="456"/>
      <c r="BUX5" s="456"/>
      <c r="BUY5" s="456"/>
      <c r="BUZ5" s="456"/>
      <c r="BVA5" s="456"/>
      <c r="BVB5" s="456"/>
      <c r="BVC5" s="456"/>
      <c r="BVD5" s="456"/>
      <c r="BVE5" s="456"/>
      <c r="BVF5" s="456"/>
      <c r="BVG5" s="456"/>
      <c r="BVH5" s="456"/>
      <c r="BVI5" s="456"/>
      <c r="BVJ5" s="456"/>
      <c r="BVK5" s="456"/>
      <c r="BVL5" s="456"/>
      <c r="BVM5" s="456"/>
      <c r="BVN5" s="456"/>
      <c r="BVO5" s="456"/>
      <c r="BVP5" s="456"/>
      <c r="BVQ5" s="456"/>
      <c r="BVR5" s="456"/>
      <c r="BVS5" s="456"/>
      <c r="BVT5" s="456"/>
      <c r="BVU5" s="456"/>
      <c r="BVV5" s="456"/>
      <c r="BVW5" s="456"/>
      <c r="BVX5" s="456"/>
      <c r="BVY5" s="456"/>
      <c r="BVZ5" s="456"/>
      <c r="BWA5" s="456"/>
      <c r="BWB5" s="456"/>
      <c r="BWC5" s="456"/>
      <c r="BWD5" s="456"/>
      <c r="BWE5" s="456"/>
      <c r="BWF5" s="456"/>
      <c r="BWG5" s="456"/>
      <c r="BWH5" s="456"/>
      <c r="BWI5" s="456"/>
      <c r="BWJ5" s="456"/>
      <c r="BWK5" s="456"/>
      <c r="BWL5" s="456"/>
      <c r="BWM5" s="456"/>
      <c r="BWN5" s="456"/>
      <c r="BWO5" s="456"/>
      <c r="BWP5" s="456"/>
      <c r="BWQ5" s="456"/>
      <c r="BWR5" s="456"/>
      <c r="BWS5" s="456"/>
      <c r="BWT5" s="456"/>
      <c r="BWU5" s="456"/>
      <c r="BWV5" s="456"/>
      <c r="BWW5" s="456"/>
      <c r="BWX5" s="456"/>
      <c r="BWY5" s="456"/>
      <c r="BWZ5" s="456"/>
      <c r="BXA5" s="456"/>
      <c r="BXB5" s="456"/>
      <c r="BXC5" s="456"/>
      <c r="BXD5" s="456"/>
      <c r="BXE5" s="456"/>
      <c r="BXF5" s="456"/>
      <c r="BXG5" s="456"/>
      <c r="BXH5" s="456"/>
      <c r="BXI5" s="456"/>
      <c r="BXJ5" s="456"/>
      <c r="BXK5" s="456"/>
      <c r="BXL5" s="456"/>
      <c r="BXM5" s="456"/>
      <c r="BXN5" s="456"/>
      <c r="BXO5" s="456"/>
      <c r="BXP5" s="456"/>
      <c r="BXQ5" s="456"/>
      <c r="BXR5" s="456"/>
      <c r="BXS5" s="456"/>
      <c r="BXT5" s="456"/>
      <c r="BXU5" s="456"/>
      <c r="BXV5" s="456"/>
      <c r="BXW5" s="456"/>
      <c r="BXX5" s="456"/>
      <c r="BXY5" s="456"/>
      <c r="BXZ5" s="456"/>
    </row>
    <row r="6" s="25" customFormat="1" spans="1:1024 1025:2002">
      <c r="A6" s="473"/>
      <c r="B6" s="19">
        <v>1093</v>
      </c>
      <c r="C6" s="183">
        <v>45934</v>
      </c>
      <c r="D6" s="17" t="s">
        <v>35</v>
      </c>
      <c r="E6" s="17" t="s">
        <v>36</v>
      </c>
      <c r="F6" s="17" t="s">
        <v>37</v>
      </c>
      <c r="G6" s="17"/>
      <c r="H6" s="19" t="s">
        <v>38</v>
      </c>
      <c r="I6" s="17" t="s">
        <v>38</v>
      </c>
      <c r="J6" s="17" t="s">
        <v>39</v>
      </c>
      <c r="K6" s="19">
        <v>284</v>
      </c>
      <c r="L6" s="91"/>
      <c r="M6" s="19"/>
      <c r="N6" s="19" t="s">
        <v>40</v>
      </c>
      <c r="O6" s="19" t="s">
        <v>41</v>
      </c>
      <c r="P6" s="19"/>
      <c r="Q6" s="19">
        <v>3314</v>
      </c>
      <c r="R6" s="19">
        <f>+P5-Q5-Q6</f>
        <v>-1112</v>
      </c>
      <c r="S6" s="19">
        <v>2975</v>
      </c>
      <c r="T6" s="19" t="s">
        <v>42</v>
      </c>
      <c r="U6" s="102" t="s">
        <v>43</v>
      </c>
      <c r="V6" s="186">
        <v>45936</v>
      </c>
      <c r="W6" s="17" t="s">
        <v>44</v>
      </c>
      <c r="X6" s="17"/>
      <c r="Y6" s="68">
        <v>46054</v>
      </c>
      <c r="Z6" s="17" t="s">
        <v>45</v>
      </c>
      <c r="AA6" s="17" t="s">
        <v>46</v>
      </c>
      <c r="AB6" s="17"/>
      <c r="AC6" s="217"/>
      <c r="AD6" s="65">
        <v>1870</v>
      </c>
      <c r="AE6" s="17" t="s">
        <v>48</v>
      </c>
      <c r="AF6" s="17"/>
      <c r="AG6" s="17"/>
      <c r="AH6" s="456"/>
      <c r="AI6" s="456"/>
      <c r="AJ6" s="456"/>
      <c r="AK6" s="456"/>
      <c r="AL6" s="456"/>
      <c r="AM6" s="456"/>
      <c r="AN6" s="456"/>
      <c r="AO6" s="456"/>
      <c r="AP6" s="456"/>
      <c r="AQ6" s="456"/>
      <c r="AR6" s="456"/>
      <c r="AS6" s="456"/>
      <c r="AT6" s="456"/>
      <c r="AU6" s="456"/>
      <c r="AV6" s="456"/>
      <c r="AW6" s="456"/>
      <c r="AX6" s="456"/>
      <c r="AY6" s="456"/>
      <c r="AZ6" s="456"/>
      <c r="BA6" s="456"/>
      <c r="BB6" s="456"/>
      <c r="BC6" s="456"/>
      <c r="BD6" s="456"/>
      <c r="BE6" s="456"/>
      <c r="BF6" s="456"/>
      <c r="BG6" s="456"/>
      <c r="BH6" s="456"/>
      <c r="BI6" s="456"/>
      <c r="BJ6" s="456"/>
      <c r="BK6" s="456"/>
      <c r="BL6" s="456"/>
      <c r="BM6" s="456"/>
      <c r="BN6" s="456"/>
      <c r="BO6" s="456"/>
      <c r="BP6" s="456"/>
      <c r="BQ6" s="456"/>
      <c r="BR6" s="456"/>
      <c r="BS6" s="456"/>
      <c r="BT6" s="456"/>
      <c r="BU6" s="456"/>
      <c r="BV6" s="456"/>
      <c r="BW6" s="456"/>
      <c r="BX6" s="456"/>
      <c r="BY6" s="456"/>
      <c r="BZ6" s="456"/>
      <c r="CA6" s="456"/>
      <c r="CB6" s="456"/>
      <c r="CC6" s="456"/>
      <c r="CD6" s="456"/>
      <c r="CE6" s="456"/>
      <c r="CF6" s="456"/>
      <c r="CG6" s="456"/>
      <c r="CH6" s="456"/>
      <c r="CI6" s="456"/>
      <c r="CJ6" s="456"/>
      <c r="CK6" s="456"/>
      <c r="CL6" s="456"/>
      <c r="CM6" s="456"/>
      <c r="CN6" s="456"/>
      <c r="CO6" s="456"/>
      <c r="CP6" s="456"/>
      <c r="CQ6" s="456"/>
      <c r="CR6" s="456"/>
      <c r="CS6" s="456"/>
      <c r="CT6" s="456"/>
      <c r="CU6" s="456"/>
      <c r="CV6" s="456"/>
      <c r="CW6" s="456"/>
      <c r="CX6" s="456"/>
      <c r="CY6" s="456"/>
      <c r="CZ6" s="456"/>
      <c r="DA6" s="456"/>
      <c r="DB6" s="456"/>
      <c r="DC6" s="456"/>
      <c r="DD6" s="456"/>
      <c r="DE6" s="456"/>
      <c r="DF6" s="456"/>
      <c r="DG6" s="456"/>
      <c r="DH6" s="456"/>
      <c r="DI6" s="456"/>
      <c r="DJ6" s="456"/>
      <c r="DK6" s="456"/>
      <c r="DL6" s="456"/>
      <c r="DM6" s="456"/>
      <c r="DN6" s="456"/>
      <c r="DO6" s="456"/>
      <c r="DP6" s="456"/>
      <c r="DQ6" s="456"/>
      <c r="DR6" s="456"/>
      <c r="DS6" s="456"/>
      <c r="DT6" s="456"/>
      <c r="DU6" s="456"/>
      <c r="DV6" s="456"/>
      <c r="DW6" s="456"/>
      <c r="DX6" s="456"/>
      <c r="DY6" s="456"/>
      <c r="DZ6" s="456"/>
      <c r="EA6" s="456"/>
      <c r="EB6" s="456"/>
      <c r="EC6" s="456"/>
      <c r="ED6" s="456"/>
      <c r="EE6" s="456"/>
      <c r="EF6" s="456"/>
      <c r="EG6" s="456"/>
      <c r="EH6" s="456"/>
      <c r="EI6" s="456"/>
      <c r="EJ6" s="456"/>
      <c r="EK6" s="456"/>
      <c r="EL6" s="456"/>
      <c r="EM6" s="456"/>
      <c r="EN6" s="456"/>
      <c r="EO6" s="456"/>
      <c r="EP6" s="456"/>
      <c r="EQ6" s="456"/>
      <c r="ER6" s="456"/>
      <c r="ES6" s="456"/>
      <c r="ET6" s="456"/>
      <c r="EU6" s="456"/>
      <c r="EV6" s="456"/>
      <c r="EW6" s="456"/>
      <c r="EX6" s="456"/>
      <c r="EY6" s="456"/>
      <c r="EZ6" s="456"/>
      <c r="FA6" s="456"/>
      <c r="FB6" s="456"/>
      <c r="FC6" s="456"/>
      <c r="FD6" s="456"/>
      <c r="FE6" s="456"/>
      <c r="FF6" s="456"/>
      <c r="FG6" s="456"/>
      <c r="FH6" s="456"/>
      <c r="FI6" s="456"/>
      <c r="FJ6" s="456"/>
      <c r="FK6" s="456"/>
      <c r="FL6" s="456"/>
      <c r="FM6" s="456"/>
      <c r="FN6" s="456"/>
      <c r="FO6" s="456"/>
      <c r="FP6" s="456"/>
      <c r="FQ6" s="456"/>
      <c r="FR6" s="456"/>
      <c r="FS6" s="456"/>
      <c r="FT6" s="456"/>
      <c r="FU6" s="456"/>
      <c r="FV6" s="456"/>
      <c r="FW6" s="456"/>
      <c r="FX6" s="456"/>
      <c r="FY6" s="456"/>
      <c r="FZ6" s="456"/>
      <c r="GA6" s="456"/>
      <c r="GB6" s="456"/>
      <c r="GC6" s="456"/>
      <c r="GD6" s="456"/>
      <c r="GE6" s="456"/>
      <c r="GF6" s="456"/>
      <c r="GG6" s="456"/>
      <c r="GH6" s="456"/>
      <c r="GI6" s="456"/>
      <c r="GJ6" s="456"/>
      <c r="GK6" s="456"/>
      <c r="GL6" s="456"/>
      <c r="GM6" s="456"/>
      <c r="GN6" s="456"/>
      <c r="GO6" s="456"/>
      <c r="GP6" s="456"/>
      <c r="GQ6" s="456"/>
      <c r="GR6" s="456"/>
      <c r="GS6" s="456"/>
      <c r="GT6" s="456"/>
      <c r="GU6" s="456"/>
      <c r="GV6" s="456"/>
      <c r="GW6" s="456"/>
      <c r="GX6" s="456"/>
      <c r="GY6" s="456"/>
      <c r="GZ6" s="456"/>
      <c r="HA6" s="456"/>
      <c r="HB6" s="456"/>
      <c r="HC6" s="456"/>
      <c r="HD6" s="456"/>
      <c r="HE6" s="456"/>
      <c r="HF6" s="456"/>
      <c r="HG6" s="456"/>
      <c r="HH6" s="456"/>
      <c r="HI6" s="456"/>
      <c r="HJ6" s="456"/>
      <c r="HK6" s="456"/>
      <c r="HL6" s="456"/>
      <c r="HM6" s="456"/>
      <c r="HN6" s="456"/>
      <c r="HO6" s="456"/>
      <c r="HP6" s="456"/>
      <c r="HQ6" s="456"/>
      <c r="HR6" s="456"/>
      <c r="HS6" s="456"/>
      <c r="HT6" s="456"/>
      <c r="HU6" s="456"/>
      <c r="HV6" s="456"/>
      <c r="HW6" s="456"/>
      <c r="HX6" s="456"/>
      <c r="HY6" s="456"/>
      <c r="HZ6" s="456"/>
      <c r="IA6" s="456"/>
      <c r="IB6" s="456"/>
      <c r="IC6" s="456"/>
      <c r="ID6" s="456"/>
      <c r="IE6" s="456"/>
      <c r="IF6" s="456"/>
      <c r="IG6" s="456"/>
      <c r="IH6" s="456"/>
      <c r="II6" s="456"/>
      <c r="IJ6" s="456"/>
      <c r="IK6" s="456"/>
      <c r="IL6" s="456"/>
      <c r="IM6" s="456"/>
      <c r="IN6" s="456"/>
      <c r="IO6" s="456"/>
      <c r="IP6" s="456"/>
      <c r="IQ6" s="456"/>
      <c r="IR6" s="456"/>
      <c r="IS6" s="456"/>
      <c r="IT6" s="456"/>
      <c r="IU6" s="456"/>
      <c r="IV6" s="456"/>
      <c r="IW6" s="456"/>
      <c r="IX6" s="456"/>
      <c r="IY6" s="456"/>
      <c r="IZ6" s="456"/>
      <c r="JA6" s="456"/>
      <c r="JB6" s="456"/>
      <c r="JC6" s="456"/>
      <c r="JD6" s="456"/>
      <c r="JE6" s="456"/>
      <c r="JF6" s="456"/>
      <c r="JG6" s="456"/>
      <c r="JH6" s="456"/>
      <c r="JI6" s="456"/>
      <c r="JJ6" s="456"/>
      <c r="JK6" s="456"/>
      <c r="JL6" s="456"/>
      <c r="JM6" s="456"/>
      <c r="JN6" s="456"/>
      <c r="JO6" s="456"/>
      <c r="JP6" s="456"/>
      <c r="JQ6" s="456"/>
      <c r="JR6" s="456"/>
      <c r="JS6" s="456"/>
      <c r="JT6" s="456"/>
      <c r="JU6" s="456"/>
      <c r="JV6" s="456"/>
      <c r="JW6" s="456"/>
      <c r="JX6" s="456"/>
      <c r="JY6" s="456"/>
      <c r="JZ6" s="456"/>
      <c r="KA6" s="456"/>
      <c r="KB6" s="456"/>
      <c r="KC6" s="456"/>
      <c r="KD6" s="456"/>
      <c r="KE6" s="456"/>
      <c r="KF6" s="456"/>
      <c r="KG6" s="456"/>
      <c r="KH6" s="456"/>
      <c r="KI6" s="456"/>
      <c r="KJ6" s="456"/>
      <c r="KK6" s="456"/>
      <c r="KL6" s="456"/>
      <c r="KM6" s="456"/>
      <c r="KN6" s="456"/>
      <c r="KO6" s="456"/>
      <c r="KP6" s="456"/>
      <c r="KQ6" s="456"/>
      <c r="KR6" s="456"/>
      <c r="KS6" s="456"/>
      <c r="KT6" s="456"/>
      <c r="KU6" s="456"/>
      <c r="KV6" s="456"/>
      <c r="KW6" s="456"/>
      <c r="KX6" s="456"/>
      <c r="KY6" s="456"/>
      <c r="KZ6" s="456"/>
      <c r="LA6" s="456"/>
      <c r="LB6" s="456"/>
      <c r="LC6" s="456"/>
      <c r="LD6" s="456"/>
      <c r="LE6" s="456"/>
      <c r="LF6" s="456"/>
      <c r="LG6" s="456"/>
      <c r="LH6" s="456"/>
      <c r="LI6" s="456"/>
      <c r="LJ6" s="456"/>
      <c r="LK6" s="456"/>
      <c r="LL6" s="456"/>
      <c r="LM6" s="456"/>
      <c r="LN6" s="456"/>
      <c r="LO6" s="456"/>
      <c r="LP6" s="456"/>
      <c r="LQ6" s="456"/>
      <c r="LR6" s="456"/>
      <c r="LS6" s="456"/>
      <c r="LT6" s="456"/>
      <c r="LU6" s="456"/>
      <c r="LV6" s="456"/>
      <c r="LW6" s="456"/>
      <c r="LX6" s="456"/>
      <c r="LY6" s="456"/>
      <c r="LZ6" s="456"/>
      <c r="MA6" s="456"/>
      <c r="MB6" s="456"/>
      <c r="MC6" s="456"/>
      <c r="MD6" s="456"/>
      <c r="ME6" s="456"/>
      <c r="MF6" s="456"/>
      <c r="MG6" s="456"/>
      <c r="MH6" s="456"/>
      <c r="MI6" s="456"/>
      <c r="MJ6" s="456"/>
      <c r="MK6" s="456"/>
      <c r="ML6" s="456"/>
      <c r="MM6" s="456"/>
      <c r="MN6" s="456"/>
      <c r="MO6" s="456"/>
      <c r="MP6" s="456"/>
      <c r="MQ6" s="456"/>
      <c r="MR6" s="456"/>
      <c r="MS6" s="456"/>
      <c r="MT6" s="456"/>
      <c r="MU6" s="456"/>
      <c r="MV6" s="456"/>
      <c r="MW6" s="456"/>
      <c r="MX6" s="456"/>
      <c r="MY6" s="456"/>
      <c r="MZ6" s="456"/>
      <c r="NA6" s="456"/>
      <c r="NB6" s="456"/>
      <c r="NC6" s="456"/>
      <c r="ND6" s="456"/>
      <c r="NE6" s="456"/>
      <c r="NF6" s="456"/>
      <c r="NG6" s="456"/>
      <c r="NH6" s="456"/>
      <c r="NI6" s="456"/>
      <c r="NJ6" s="456"/>
      <c r="NK6" s="456"/>
      <c r="NL6" s="456"/>
      <c r="NM6" s="456"/>
      <c r="NN6" s="456"/>
      <c r="NO6" s="456"/>
      <c r="NP6" s="456"/>
      <c r="NQ6" s="456"/>
      <c r="NR6" s="456"/>
      <c r="NS6" s="456"/>
      <c r="NT6" s="456"/>
      <c r="NU6" s="456"/>
      <c r="NV6" s="456"/>
      <c r="NW6" s="456"/>
      <c r="NX6" s="456"/>
      <c r="NY6" s="456"/>
      <c r="NZ6" s="456"/>
      <c r="OA6" s="456"/>
      <c r="OB6" s="456"/>
      <c r="OC6" s="456"/>
      <c r="OD6" s="456"/>
      <c r="OE6" s="456"/>
      <c r="OF6" s="456"/>
      <c r="OG6" s="456"/>
      <c r="OH6" s="456"/>
      <c r="OI6" s="456"/>
      <c r="OJ6" s="456"/>
      <c r="OK6" s="456"/>
      <c r="OL6" s="456"/>
      <c r="OM6" s="456"/>
      <c r="ON6" s="456"/>
      <c r="OO6" s="456"/>
      <c r="OP6" s="456"/>
      <c r="OQ6" s="456"/>
      <c r="OR6" s="456"/>
      <c r="OS6" s="456"/>
      <c r="OT6" s="456"/>
      <c r="OU6" s="456"/>
      <c r="OV6" s="456"/>
      <c r="OW6" s="456"/>
      <c r="OX6" s="456"/>
      <c r="OY6" s="456"/>
      <c r="OZ6" s="456"/>
      <c r="PA6" s="456"/>
      <c r="PB6" s="456"/>
      <c r="PC6" s="456"/>
      <c r="PD6" s="456"/>
      <c r="PE6" s="456"/>
      <c r="PF6" s="456"/>
      <c r="PG6" s="456"/>
      <c r="PH6" s="456"/>
      <c r="PI6" s="456"/>
      <c r="PJ6" s="456"/>
      <c r="PK6" s="456"/>
      <c r="PL6" s="456"/>
      <c r="PM6" s="456"/>
      <c r="PN6" s="456"/>
      <c r="PO6" s="456"/>
      <c r="PP6" s="456"/>
      <c r="PQ6" s="456"/>
      <c r="PR6" s="456"/>
      <c r="PS6" s="456"/>
      <c r="PT6" s="456"/>
      <c r="PU6" s="456"/>
      <c r="PV6" s="456"/>
      <c r="PW6" s="456"/>
      <c r="PX6" s="456"/>
      <c r="PY6" s="456"/>
      <c r="PZ6" s="456"/>
      <c r="QA6" s="456"/>
      <c r="QB6" s="456"/>
      <c r="QC6" s="456"/>
      <c r="QD6" s="456"/>
      <c r="QE6" s="456"/>
      <c r="QF6" s="456"/>
      <c r="QG6" s="456"/>
      <c r="QH6" s="456"/>
      <c r="QI6" s="456"/>
      <c r="QJ6" s="456"/>
      <c r="QK6" s="456"/>
      <c r="QL6" s="456"/>
      <c r="QM6" s="456"/>
      <c r="QN6" s="456"/>
      <c r="QO6" s="456"/>
      <c r="QP6" s="456"/>
      <c r="QQ6" s="456"/>
      <c r="QR6" s="456"/>
      <c r="QS6" s="456"/>
      <c r="QT6" s="456"/>
      <c r="QU6" s="456"/>
      <c r="QV6" s="456"/>
      <c r="QW6" s="456"/>
      <c r="QX6" s="456"/>
      <c r="QY6" s="456"/>
      <c r="QZ6" s="456"/>
      <c r="RA6" s="456"/>
      <c r="RB6" s="456"/>
      <c r="RC6" s="456"/>
      <c r="RD6" s="456"/>
      <c r="RE6" s="456"/>
      <c r="RF6" s="456"/>
      <c r="RG6" s="456"/>
      <c r="RH6" s="456"/>
      <c r="RI6" s="456"/>
      <c r="RJ6" s="456"/>
      <c r="RK6" s="456"/>
      <c r="RL6" s="456"/>
      <c r="RM6" s="456"/>
      <c r="RN6" s="456"/>
      <c r="RO6" s="456"/>
      <c r="RP6" s="456"/>
      <c r="RQ6" s="456"/>
      <c r="RR6" s="456"/>
      <c r="RS6" s="456"/>
      <c r="RT6" s="456"/>
      <c r="RU6" s="456"/>
      <c r="RV6" s="456"/>
      <c r="RW6" s="456"/>
      <c r="RX6" s="456"/>
      <c r="RY6" s="456"/>
      <c r="RZ6" s="456"/>
      <c r="SA6" s="456"/>
      <c r="SB6" s="456"/>
      <c r="SC6" s="456"/>
      <c r="SD6" s="456"/>
      <c r="SE6" s="456"/>
      <c r="SF6" s="456"/>
      <c r="SG6" s="456"/>
      <c r="SH6" s="456"/>
      <c r="SI6" s="456"/>
      <c r="SJ6" s="456"/>
      <c r="SK6" s="456"/>
      <c r="SL6" s="456"/>
      <c r="SM6" s="456"/>
      <c r="SN6" s="456"/>
      <c r="SO6" s="456"/>
      <c r="SP6" s="456"/>
      <c r="SQ6" s="456"/>
      <c r="SR6" s="456"/>
      <c r="SS6" s="456"/>
      <c r="ST6" s="456"/>
      <c r="SU6" s="456"/>
      <c r="SV6" s="456"/>
      <c r="SW6" s="456"/>
      <c r="SX6" s="456"/>
      <c r="SY6" s="456"/>
      <c r="SZ6" s="456"/>
      <c r="TA6" s="456"/>
      <c r="TB6" s="456"/>
      <c r="TC6" s="456"/>
      <c r="TD6" s="456"/>
      <c r="TE6" s="456"/>
      <c r="TF6" s="456"/>
      <c r="TG6" s="456"/>
      <c r="TH6" s="456"/>
      <c r="TI6" s="456"/>
      <c r="TJ6" s="456"/>
      <c r="TK6" s="456"/>
      <c r="TL6" s="456"/>
      <c r="TM6" s="456"/>
      <c r="TN6" s="456"/>
      <c r="TO6" s="456"/>
      <c r="TP6" s="456"/>
      <c r="TQ6" s="456"/>
      <c r="TR6" s="456"/>
      <c r="TS6" s="456"/>
      <c r="TT6" s="456"/>
      <c r="TU6" s="456"/>
      <c r="TV6" s="456"/>
      <c r="TW6" s="456"/>
      <c r="TX6" s="456"/>
      <c r="TY6" s="456"/>
      <c r="TZ6" s="456"/>
      <c r="UA6" s="456"/>
      <c r="UB6" s="456"/>
      <c r="UC6" s="456"/>
      <c r="UD6" s="456"/>
      <c r="UE6" s="456"/>
      <c r="UF6" s="456"/>
      <c r="UG6" s="456"/>
      <c r="UH6" s="456"/>
      <c r="UI6" s="456"/>
      <c r="UJ6" s="456"/>
      <c r="UK6" s="456"/>
      <c r="UL6" s="456"/>
      <c r="UM6" s="456"/>
      <c r="UN6" s="456"/>
      <c r="UO6" s="456"/>
      <c r="UP6" s="456"/>
      <c r="UQ6" s="456"/>
      <c r="UR6" s="456"/>
      <c r="US6" s="456"/>
      <c r="UT6" s="456"/>
      <c r="UU6" s="456"/>
      <c r="UV6" s="456"/>
      <c r="UW6" s="456"/>
      <c r="UX6" s="456"/>
      <c r="UY6" s="456"/>
      <c r="UZ6" s="456"/>
      <c r="VA6" s="456"/>
      <c r="VB6" s="456"/>
      <c r="VC6" s="456"/>
      <c r="VD6" s="456"/>
      <c r="VE6" s="456"/>
      <c r="VF6" s="456"/>
      <c r="VG6" s="456"/>
      <c r="VH6" s="456"/>
      <c r="VI6" s="456"/>
      <c r="VJ6" s="456"/>
      <c r="VK6" s="456"/>
      <c r="VL6" s="456"/>
      <c r="VM6" s="456"/>
      <c r="VN6" s="456"/>
      <c r="VO6" s="456"/>
      <c r="VP6" s="456"/>
      <c r="VQ6" s="456"/>
      <c r="VR6" s="456"/>
      <c r="VS6" s="456"/>
      <c r="VT6" s="456"/>
      <c r="VU6" s="456"/>
      <c r="VV6" s="456"/>
      <c r="VW6" s="456"/>
      <c r="VX6" s="456"/>
      <c r="VY6" s="456"/>
      <c r="VZ6" s="456"/>
      <c r="WA6" s="456"/>
      <c r="WB6" s="456"/>
      <c r="WC6" s="456"/>
      <c r="WD6" s="456"/>
      <c r="WE6" s="456"/>
      <c r="WF6" s="456"/>
      <c r="WG6" s="456"/>
      <c r="WH6" s="456"/>
      <c r="WI6" s="456"/>
      <c r="WJ6" s="456"/>
      <c r="WK6" s="456"/>
      <c r="WL6" s="456"/>
      <c r="WM6" s="456"/>
      <c r="WN6" s="456"/>
      <c r="WO6" s="456"/>
      <c r="WP6" s="456"/>
      <c r="WQ6" s="456"/>
      <c r="WR6" s="456"/>
      <c r="WS6" s="456"/>
      <c r="WT6" s="456"/>
      <c r="WU6" s="456"/>
      <c r="WV6" s="456"/>
      <c r="WW6" s="456"/>
      <c r="WX6" s="456"/>
      <c r="WY6" s="456"/>
      <c r="WZ6" s="456"/>
      <c r="XA6" s="456"/>
      <c r="XB6" s="456"/>
      <c r="XC6" s="456"/>
      <c r="XD6" s="456"/>
      <c r="XE6" s="456"/>
      <c r="XF6" s="456"/>
      <c r="XG6" s="456"/>
      <c r="XH6" s="456"/>
      <c r="XI6" s="456"/>
      <c r="XJ6" s="456"/>
      <c r="XK6" s="456"/>
      <c r="XL6" s="456"/>
      <c r="XM6" s="456"/>
      <c r="XN6" s="456"/>
      <c r="XO6" s="456"/>
      <c r="XP6" s="456"/>
      <c r="XQ6" s="456"/>
      <c r="XR6" s="456"/>
      <c r="XS6" s="456"/>
      <c r="XT6" s="456"/>
      <c r="XU6" s="456"/>
      <c r="XV6" s="456"/>
      <c r="XW6" s="456"/>
      <c r="XX6" s="456"/>
      <c r="XY6" s="456"/>
      <c r="XZ6" s="456"/>
      <c r="YA6" s="456"/>
      <c r="YB6" s="456"/>
      <c r="YC6" s="456"/>
      <c r="YD6" s="456"/>
      <c r="YE6" s="456"/>
      <c r="YF6" s="456"/>
      <c r="YG6" s="456"/>
      <c r="YH6" s="456"/>
      <c r="YI6" s="456"/>
      <c r="YJ6" s="456"/>
      <c r="YK6" s="456"/>
      <c r="YL6" s="456"/>
      <c r="YM6" s="456"/>
      <c r="YN6" s="456"/>
      <c r="YO6" s="456"/>
      <c r="YP6" s="456"/>
      <c r="YQ6" s="456"/>
      <c r="YR6" s="456"/>
      <c r="YS6" s="456"/>
      <c r="YT6" s="456"/>
      <c r="YU6" s="456"/>
      <c r="YV6" s="456"/>
      <c r="YW6" s="456"/>
      <c r="YX6" s="456"/>
      <c r="YY6" s="456"/>
      <c r="YZ6" s="456"/>
      <c r="ZA6" s="456"/>
      <c r="ZB6" s="456"/>
      <c r="ZC6" s="456"/>
      <c r="ZD6" s="456"/>
      <c r="ZE6" s="456"/>
      <c r="ZF6" s="456"/>
      <c r="ZG6" s="456"/>
      <c r="ZH6" s="456"/>
      <c r="ZI6" s="456"/>
      <c r="ZJ6" s="456"/>
      <c r="ZK6" s="456"/>
      <c r="ZL6" s="456"/>
      <c r="ZM6" s="456"/>
      <c r="ZN6" s="456"/>
      <c r="ZO6" s="456"/>
      <c r="ZP6" s="456"/>
      <c r="ZQ6" s="456"/>
      <c r="ZR6" s="456"/>
      <c r="ZS6" s="456"/>
      <c r="ZT6" s="456"/>
      <c r="ZU6" s="456"/>
      <c r="ZV6" s="456"/>
      <c r="ZW6" s="456"/>
      <c r="ZX6" s="456"/>
      <c r="ZY6" s="456"/>
      <c r="ZZ6" s="456"/>
      <c r="AAA6" s="456"/>
      <c r="AAB6" s="456"/>
      <c r="AAC6" s="456"/>
      <c r="AAD6" s="456"/>
      <c r="AAE6" s="456"/>
      <c r="AAF6" s="456"/>
      <c r="AAG6" s="456"/>
      <c r="AAH6" s="456"/>
      <c r="AAI6" s="456"/>
      <c r="AAJ6" s="456"/>
      <c r="AAK6" s="456"/>
      <c r="AAL6" s="456"/>
      <c r="AAM6" s="456"/>
      <c r="AAN6" s="456"/>
      <c r="AAO6" s="456"/>
      <c r="AAP6" s="456"/>
      <c r="AAQ6" s="456"/>
      <c r="AAR6" s="456"/>
      <c r="AAS6" s="456"/>
      <c r="AAT6" s="456"/>
      <c r="AAU6" s="456"/>
      <c r="AAV6" s="456"/>
      <c r="AAW6" s="456"/>
      <c r="AAX6" s="456"/>
      <c r="AAY6" s="456"/>
      <c r="AAZ6" s="456"/>
      <c r="ABA6" s="456"/>
      <c r="ABB6" s="456"/>
      <c r="ABC6" s="456"/>
      <c r="ABD6" s="456"/>
      <c r="ABE6" s="456"/>
      <c r="ABF6" s="456"/>
      <c r="ABG6" s="456"/>
      <c r="ABH6" s="456"/>
      <c r="ABI6" s="456"/>
      <c r="ABJ6" s="456"/>
      <c r="ABK6" s="456"/>
      <c r="ABL6" s="456"/>
      <c r="ABM6" s="456"/>
      <c r="ABN6" s="456"/>
      <c r="ABO6" s="456"/>
      <c r="ABP6" s="456"/>
      <c r="ABQ6" s="456"/>
      <c r="ABR6" s="456"/>
      <c r="ABS6" s="456"/>
      <c r="ABT6" s="456"/>
      <c r="ABU6" s="456"/>
      <c r="ABV6" s="456"/>
      <c r="ABW6" s="456"/>
      <c r="ABX6" s="456"/>
      <c r="ABY6" s="456"/>
      <c r="ABZ6" s="456"/>
      <c r="ACA6" s="456"/>
      <c r="ACB6" s="456"/>
      <c r="ACC6" s="456"/>
      <c r="ACD6" s="456"/>
      <c r="ACE6" s="456"/>
      <c r="ACF6" s="456"/>
      <c r="ACG6" s="456"/>
      <c r="ACH6" s="456"/>
      <c r="ACI6" s="456"/>
      <c r="ACJ6" s="456"/>
      <c r="ACK6" s="456"/>
      <c r="ACL6" s="456"/>
      <c r="ACM6" s="456"/>
      <c r="ACN6" s="456"/>
      <c r="ACO6" s="456"/>
      <c r="ACP6" s="456"/>
      <c r="ACQ6" s="456"/>
      <c r="ACR6" s="456"/>
      <c r="ACS6" s="456"/>
      <c r="ACT6" s="456"/>
      <c r="ACU6" s="456"/>
      <c r="ACV6" s="456"/>
      <c r="ACW6" s="456"/>
      <c r="ACX6" s="456"/>
      <c r="ACY6" s="456"/>
      <c r="ACZ6" s="456"/>
      <c r="ADA6" s="456"/>
      <c r="ADB6" s="456"/>
      <c r="ADC6" s="456"/>
      <c r="ADD6" s="456"/>
      <c r="ADE6" s="456"/>
      <c r="ADF6" s="456"/>
      <c r="ADG6" s="456"/>
      <c r="ADH6" s="456"/>
      <c r="ADI6" s="456"/>
      <c r="ADJ6" s="456"/>
      <c r="ADK6" s="456"/>
      <c r="ADL6" s="456"/>
      <c r="ADM6" s="456"/>
      <c r="ADN6" s="456"/>
      <c r="ADO6" s="456"/>
      <c r="ADP6" s="456"/>
      <c r="ADQ6" s="456"/>
      <c r="ADR6" s="456"/>
      <c r="ADS6" s="456"/>
      <c r="ADT6" s="456"/>
      <c r="ADU6" s="456"/>
      <c r="ADV6" s="456"/>
      <c r="ADW6" s="456"/>
      <c r="ADX6" s="456"/>
      <c r="ADY6" s="456"/>
      <c r="ADZ6" s="456"/>
      <c r="AEA6" s="456"/>
      <c r="AEB6" s="456"/>
      <c r="AEC6" s="456"/>
      <c r="AED6" s="456"/>
      <c r="AEE6" s="456"/>
      <c r="AEF6" s="456"/>
      <c r="AEG6" s="456"/>
      <c r="AEH6" s="456"/>
      <c r="AEI6" s="456"/>
      <c r="AEJ6" s="456"/>
      <c r="AEK6" s="456"/>
      <c r="AEL6" s="456"/>
      <c r="AEM6" s="456"/>
      <c r="AEN6" s="456"/>
      <c r="AEO6" s="456"/>
      <c r="AEP6" s="456"/>
      <c r="AEQ6" s="456"/>
      <c r="AER6" s="456"/>
      <c r="AES6" s="456"/>
      <c r="AET6" s="456"/>
      <c r="AEU6" s="456"/>
      <c r="AEV6" s="456"/>
      <c r="AEW6" s="456"/>
      <c r="AEX6" s="456"/>
      <c r="AEY6" s="456"/>
      <c r="AEZ6" s="456"/>
      <c r="AFA6" s="456"/>
      <c r="AFB6" s="456"/>
      <c r="AFC6" s="456"/>
      <c r="AFD6" s="456"/>
      <c r="AFE6" s="456"/>
      <c r="AFF6" s="456"/>
      <c r="AFG6" s="456"/>
      <c r="AFH6" s="456"/>
      <c r="AFI6" s="456"/>
      <c r="AFJ6" s="456"/>
      <c r="AFK6" s="456"/>
      <c r="AFL6" s="456"/>
      <c r="AFM6" s="456"/>
      <c r="AFN6" s="456"/>
      <c r="AFO6" s="456"/>
      <c r="AFP6" s="456"/>
      <c r="AFQ6" s="456"/>
      <c r="AFR6" s="456"/>
      <c r="AFS6" s="456"/>
      <c r="AFT6" s="456"/>
      <c r="AFU6" s="456"/>
      <c r="AFV6" s="456"/>
      <c r="AFW6" s="456"/>
      <c r="AFX6" s="456"/>
      <c r="AFY6" s="456"/>
      <c r="AFZ6" s="456"/>
      <c r="AGA6" s="456"/>
      <c r="AGB6" s="456"/>
      <c r="AGC6" s="456"/>
      <c r="AGD6" s="456"/>
      <c r="AGE6" s="456"/>
      <c r="AGF6" s="456"/>
      <c r="AGG6" s="456"/>
      <c r="AGH6" s="456"/>
      <c r="AGI6" s="456"/>
      <c r="AGJ6" s="456"/>
      <c r="AGK6" s="456"/>
      <c r="AGL6" s="456"/>
      <c r="AGM6" s="456"/>
      <c r="AGN6" s="456"/>
      <c r="AGO6" s="456"/>
      <c r="AGP6" s="456"/>
      <c r="AGQ6" s="456"/>
      <c r="AGR6" s="456"/>
      <c r="AGS6" s="456"/>
      <c r="AGT6" s="456"/>
      <c r="AGU6" s="456"/>
      <c r="AGV6" s="456"/>
      <c r="AGW6" s="456"/>
      <c r="AGX6" s="456"/>
      <c r="AGY6" s="456"/>
      <c r="AGZ6" s="456"/>
      <c r="AHA6" s="456"/>
      <c r="AHB6" s="456"/>
      <c r="AHC6" s="456"/>
      <c r="AHD6" s="456"/>
      <c r="AHE6" s="456"/>
      <c r="AHF6" s="456"/>
      <c r="AHG6" s="456"/>
      <c r="AHH6" s="456"/>
      <c r="AHI6" s="456"/>
      <c r="AHJ6" s="456"/>
      <c r="AHK6" s="456"/>
      <c r="AHL6" s="456"/>
      <c r="AHM6" s="456"/>
      <c r="AHN6" s="456"/>
      <c r="AHO6" s="456"/>
      <c r="AHP6" s="456"/>
      <c r="AHQ6" s="456"/>
      <c r="AHR6" s="456"/>
      <c r="AHS6" s="456"/>
      <c r="AHT6" s="456"/>
      <c r="AHU6" s="456"/>
      <c r="AHV6" s="456"/>
      <c r="AHW6" s="456"/>
      <c r="AHX6" s="456"/>
      <c r="AHY6" s="456"/>
      <c r="AHZ6" s="456"/>
      <c r="AIA6" s="456"/>
      <c r="AIB6" s="456"/>
      <c r="AIC6" s="456"/>
      <c r="AID6" s="456"/>
      <c r="AIE6" s="456"/>
      <c r="AIF6" s="456"/>
      <c r="AIG6" s="456"/>
      <c r="AIH6" s="456"/>
      <c r="AII6" s="456"/>
      <c r="AIJ6" s="456"/>
      <c r="AIK6" s="456"/>
      <c r="AIL6" s="456"/>
      <c r="AIM6" s="456"/>
      <c r="AIN6" s="456"/>
      <c r="AIO6" s="456"/>
      <c r="AIP6" s="456"/>
      <c r="AIQ6" s="456"/>
      <c r="AIR6" s="456"/>
      <c r="AIS6" s="456"/>
      <c r="AIT6" s="456"/>
      <c r="AIU6" s="456"/>
      <c r="AIV6" s="456"/>
      <c r="AIW6" s="456"/>
      <c r="AIX6" s="456"/>
      <c r="AIY6" s="456"/>
      <c r="AIZ6" s="456"/>
      <c r="AJA6" s="456"/>
      <c r="AJB6" s="456"/>
      <c r="AJC6" s="456"/>
      <c r="AJD6" s="456"/>
      <c r="AJE6" s="456"/>
      <c r="AJF6" s="456"/>
      <c r="AJG6" s="456"/>
      <c r="AJH6" s="456"/>
      <c r="AJI6" s="456"/>
      <c r="AJJ6" s="456"/>
      <c r="AJK6" s="456"/>
      <c r="AJL6" s="456"/>
      <c r="AJM6" s="456"/>
      <c r="AJN6" s="456"/>
      <c r="AJO6" s="456"/>
      <c r="AJP6" s="456"/>
      <c r="AJQ6" s="456"/>
      <c r="AJR6" s="456"/>
      <c r="AJS6" s="456"/>
      <c r="AJT6" s="456"/>
      <c r="AJU6" s="456"/>
      <c r="AJV6" s="456"/>
      <c r="AJW6" s="456"/>
      <c r="AJX6" s="456"/>
      <c r="AJY6" s="456"/>
      <c r="AJZ6" s="456"/>
      <c r="AKA6" s="456"/>
      <c r="AKB6" s="456"/>
      <c r="AKC6" s="456"/>
      <c r="AKD6" s="456"/>
      <c r="AKE6" s="456"/>
      <c r="AKF6" s="456"/>
      <c r="AKG6" s="456"/>
      <c r="AKH6" s="456"/>
      <c r="AKI6" s="456"/>
      <c r="AKJ6" s="456"/>
      <c r="AKK6" s="456"/>
      <c r="AKL6" s="456"/>
      <c r="AKM6" s="456"/>
      <c r="AKN6" s="456"/>
      <c r="AKO6" s="456"/>
      <c r="AKP6" s="456"/>
      <c r="AKQ6" s="456"/>
      <c r="AKR6" s="456"/>
      <c r="AKS6" s="456"/>
      <c r="AKT6" s="456"/>
      <c r="AKU6" s="456"/>
      <c r="AKV6" s="456"/>
      <c r="AKW6" s="456"/>
      <c r="AKX6" s="456"/>
      <c r="AKY6" s="456"/>
      <c r="AKZ6" s="456"/>
      <c r="ALA6" s="456"/>
      <c r="ALB6" s="456"/>
      <c r="ALC6" s="456"/>
      <c r="ALD6" s="456"/>
      <c r="ALE6" s="456"/>
      <c r="ALF6" s="456"/>
      <c r="ALG6" s="456"/>
      <c r="ALH6" s="456"/>
      <c r="ALI6" s="456"/>
      <c r="ALJ6" s="456"/>
      <c r="ALK6" s="456"/>
      <c r="ALL6" s="456"/>
      <c r="ALM6" s="456"/>
      <c r="ALN6" s="456"/>
      <c r="ALO6" s="456"/>
      <c r="ALP6" s="456"/>
      <c r="ALQ6" s="456"/>
      <c r="ALR6" s="456"/>
      <c r="ALS6" s="456"/>
      <c r="ALT6" s="456"/>
      <c r="ALU6" s="456"/>
      <c r="ALV6" s="456"/>
      <c r="ALW6" s="456"/>
      <c r="ALX6" s="456"/>
      <c r="ALY6" s="456"/>
      <c r="ALZ6" s="456"/>
      <c r="AMA6" s="456"/>
      <c r="AMB6" s="456"/>
      <c r="AMC6" s="456"/>
      <c r="AMD6" s="456"/>
      <c r="AME6" s="456"/>
      <c r="AMF6" s="456"/>
      <c r="AMG6" s="456"/>
      <c r="AMH6" s="456"/>
      <c r="AMI6" s="456"/>
      <c r="AMJ6" s="456"/>
      <c r="AMK6" s="456"/>
      <c r="AML6" s="456"/>
      <c r="AMM6" s="456"/>
      <c r="AMN6" s="456"/>
      <c r="AMO6" s="456"/>
      <c r="AMP6" s="456"/>
      <c r="AMQ6" s="456"/>
      <c r="AMR6" s="456"/>
      <c r="AMS6" s="456"/>
      <c r="AMT6" s="456"/>
      <c r="AMU6" s="456"/>
      <c r="AMV6" s="456"/>
      <c r="AMW6" s="456"/>
      <c r="AMX6" s="456"/>
      <c r="AMY6" s="456"/>
      <c r="AMZ6" s="456"/>
      <c r="ANA6" s="456"/>
      <c r="ANB6" s="456"/>
      <c r="ANC6" s="456"/>
      <c r="AND6" s="456"/>
      <c r="ANE6" s="456"/>
      <c r="ANF6" s="456"/>
      <c r="ANG6" s="456"/>
      <c r="ANH6" s="456"/>
      <c r="ANI6" s="456"/>
      <c r="ANJ6" s="456"/>
      <c r="ANK6" s="456"/>
      <c r="ANL6" s="456"/>
      <c r="ANM6" s="456"/>
      <c r="ANN6" s="456"/>
      <c r="ANO6" s="456"/>
      <c r="ANP6" s="456"/>
      <c r="ANQ6" s="456"/>
      <c r="ANR6" s="456"/>
      <c r="ANS6" s="456"/>
      <c r="ANT6" s="456"/>
      <c r="ANU6" s="456"/>
      <c r="ANV6" s="456"/>
      <c r="ANW6" s="456"/>
      <c r="ANX6" s="456"/>
      <c r="ANY6" s="456"/>
      <c r="ANZ6" s="456"/>
      <c r="AOA6" s="456"/>
      <c r="AOB6" s="456"/>
      <c r="AOC6" s="456"/>
      <c r="AOD6" s="456"/>
      <c r="AOE6" s="456"/>
      <c r="AOF6" s="456"/>
      <c r="AOG6" s="456"/>
      <c r="AOH6" s="456"/>
      <c r="AOI6" s="456"/>
      <c r="AOJ6" s="456"/>
      <c r="AOK6" s="456"/>
      <c r="AOL6" s="456"/>
      <c r="AOM6" s="456"/>
      <c r="AON6" s="456"/>
      <c r="AOO6" s="456"/>
      <c r="AOP6" s="456"/>
      <c r="AOQ6" s="456"/>
      <c r="AOR6" s="456"/>
      <c r="AOS6" s="456"/>
      <c r="AOT6" s="456"/>
      <c r="AOU6" s="456"/>
      <c r="AOV6" s="456"/>
      <c r="AOW6" s="456"/>
      <c r="AOX6" s="456"/>
      <c r="AOY6" s="456"/>
      <c r="AOZ6" s="456"/>
      <c r="APA6" s="456"/>
      <c r="APB6" s="456"/>
      <c r="APC6" s="456"/>
      <c r="APD6" s="456"/>
      <c r="APE6" s="456"/>
      <c r="APF6" s="456"/>
      <c r="APG6" s="456"/>
      <c r="APH6" s="456"/>
      <c r="API6" s="456"/>
      <c r="APJ6" s="456"/>
      <c r="APK6" s="456"/>
      <c r="APL6" s="456"/>
      <c r="APM6" s="456"/>
      <c r="APN6" s="456"/>
      <c r="APO6" s="456"/>
      <c r="APP6" s="456"/>
      <c r="APQ6" s="456"/>
      <c r="APR6" s="456"/>
      <c r="APS6" s="456"/>
      <c r="APT6" s="456"/>
      <c r="APU6" s="456"/>
      <c r="APV6" s="456"/>
      <c r="APW6" s="456"/>
      <c r="APX6" s="456"/>
      <c r="APY6" s="456"/>
      <c r="APZ6" s="456"/>
      <c r="AQA6" s="456"/>
      <c r="AQB6" s="456"/>
      <c r="AQC6" s="456"/>
      <c r="AQD6" s="456"/>
      <c r="AQE6" s="456"/>
      <c r="AQF6" s="456"/>
      <c r="AQG6" s="456"/>
      <c r="AQH6" s="456"/>
      <c r="AQI6" s="456"/>
      <c r="AQJ6" s="456"/>
      <c r="AQK6" s="456"/>
      <c r="AQL6" s="456"/>
      <c r="AQM6" s="456"/>
      <c r="AQN6" s="456"/>
      <c r="AQO6" s="456"/>
      <c r="AQP6" s="456"/>
      <c r="AQQ6" s="456"/>
      <c r="AQR6" s="456"/>
      <c r="AQS6" s="456"/>
      <c r="AQT6" s="456"/>
      <c r="AQU6" s="456"/>
      <c r="AQV6" s="456"/>
      <c r="AQW6" s="456"/>
      <c r="AQX6" s="456"/>
      <c r="AQY6" s="456"/>
      <c r="AQZ6" s="456"/>
      <c r="ARA6" s="456"/>
      <c r="ARB6" s="456"/>
      <c r="ARC6" s="456"/>
      <c r="ARD6" s="456"/>
      <c r="ARE6" s="456"/>
      <c r="ARF6" s="456"/>
      <c r="ARG6" s="456"/>
      <c r="ARH6" s="456"/>
      <c r="ARI6" s="456"/>
      <c r="ARJ6" s="456"/>
      <c r="ARK6" s="456"/>
      <c r="ARL6" s="456"/>
      <c r="ARM6" s="456"/>
      <c r="ARN6" s="456"/>
      <c r="ARO6" s="456"/>
      <c r="ARP6" s="456"/>
      <c r="ARQ6" s="456"/>
      <c r="ARR6" s="456"/>
      <c r="ARS6" s="456"/>
      <c r="ART6" s="456"/>
      <c r="ARU6" s="456"/>
      <c r="ARV6" s="456"/>
      <c r="ARW6" s="456"/>
      <c r="ARX6" s="456"/>
      <c r="ARY6" s="456"/>
      <c r="ARZ6" s="456"/>
      <c r="ASA6" s="456"/>
      <c r="ASB6" s="456"/>
      <c r="ASC6" s="456"/>
      <c r="ASD6" s="456"/>
      <c r="ASE6" s="456"/>
      <c r="ASF6" s="456"/>
      <c r="ASG6" s="456"/>
      <c r="ASH6" s="456"/>
      <c r="ASI6" s="456"/>
      <c r="ASJ6" s="456"/>
      <c r="ASK6" s="456"/>
      <c r="ASL6" s="456"/>
      <c r="ASM6" s="456"/>
      <c r="ASN6" s="456"/>
      <c r="ASO6" s="456"/>
      <c r="ASP6" s="456"/>
      <c r="ASQ6" s="456"/>
      <c r="ASR6" s="456"/>
      <c r="ASS6" s="456"/>
      <c r="AST6" s="456"/>
      <c r="ASU6" s="456"/>
      <c r="ASV6" s="456"/>
      <c r="ASW6" s="456"/>
      <c r="ASX6" s="456"/>
      <c r="ASY6" s="456"/>
      <c r="ASZ6" s="456"/>
      <c r="ATA6" s="456"/>
      <c r="ATB6" s="456"/>
      <c r="ATC6" s="456"/>
      <c r="ATD6" s="456"/>
      <c r="ATE6" s="456"/>
      <c r="ATF6" s="456"/>
      <c r="ATG6" s="456"/>
      <c r="ATH6" s="456"/>
      <c r="ATI6" s="456"/>
      <c r="ATJ6" s="456"/>
      <c r="ATK6" s="456"/>
      <c r="ATL6" s="456"/>
      <c r="ATM6" s="456"/>
      <c r="ATN6" s="456"/>
      <c r="ATO6" s="456"/>
      <c r="ATP6" s="456"/>
      <c r="ATQ6" s="456"/>
      <c r="ATR6" s="456"/>
      <c r="ATS6" s="456"/>
      <c r="ATT6" s="456"/>
      <c r="ATU6" s="456"/>
      <c r="ATV6" s="456"/>
      <c r="ATW6" s="456"/>
      <c r="ATX6" s="456"/>
      <c r="ATY6" s="456"/>
      <c r="ATZ6" s="456"/>
      <c r="AUA6" s="456"/>
      <c r="AUB6" s="456"/>
      <c r="AUC6" s="456"/>
      <c r="AUD6" s="456"/>
      <c r="AUE6" s="456"/>
      <c r="AUF6" s="456"/>
      <c r="AUG6" s="456"/>
      <c r="AUH6" s="456"/>
      <c r="AUI6" s="456"/>
      <c r="AUJ6" s="456"/>
      <c r="AUK6" s="456"/>
      <c r="AUL6" s="456"/>
      <c r="AUM6" s="456"/>
      <c r="AUN6" s="456"/>
      <c r="AUO6" s="456"/>
      <c r="AUP6" s="456"/>
      <c r="AUQ6" s="456"/>
      <c r="AUR6" s="456"/>
      <c r="AUS6" s="456"/>
      <c r="AUT6" s="456"/>
      <c r="AUU6" s="456"/>
      <c r="AUV6" s="456"/>
      <c r="AUW6" s="456"/>
      <c r="AUX6" s="456"/>
      <c r="AUY6" s="456"/>
      <c r="AUZ6" s="456"/>
      <c r="AVA6" s="456"/>
      <c r="AVB6" s="456"/>
      <c r="AVC6" s="456"/>
      <c r="AVD6" s="456"/>
      <c r="AVE6" s="456"/>
      <c r="AVF6" s="456"/>
      <c r="AVG6" s="456"/>
      <c r="AVH6" s="456"/>
      <c r="AVI6" s="456"/>
      <c r="AVJ6" s="456"/>
      <c r="AVK6" s="456"/>
      <c r="AVL6" s="456"/>
      <c r="AVM6" s="456"/>
      <c r="AVN6" s="456"/>
      <c r="AVO6" s="456"/>
      <c r="AVP6" s="456"/>
      <c r="AVQ6" s="456"/>
      <c r="AVR6" s="456"/>
      <c r="AVS6" s="456"/>
      <c r="AVT6" s="456"/>
      <c r="AVU6" s="456"/>
      <c r="AVV6" s="456"/>
      <c r="AVW6" s="456"/>
      <c r="AVX6" s="456"/>
      <c r="AVY6" s="456"/>
      <c r="AVZ6" s="456"/>
      <c r="AWA6" s="456"/>
      <c r="AWB6" s="456"/>
      <c r="AWC6" s="456"/>
      <c r="AWD6" s="456"/>
      <c r="AWE6" s="456"/>
      <c r="AWF6" s="456"/>
      <c r="AWG6" s="456"/>
      <c r="AWH6" s="456"/>
      <c r="AWI6" s="456"/>
      <c r="AWJ6" s="456"/>
      <c r="AWK6" s="456"/>
      <c r="AWL6" s="456"/>
      <c r="AWM6" s="456"/>
      <c r="AWN6" s="456"/>
      <c r="AWO6" s="456"/>
      <c r="AWP6" s="456"/>
      <c r="AWQ6" s="456"/>
      <c r="AWR6" s="456"/>
      <c r="AWS6" s="456"/>
      <c r="AWT6" s="456"/>
      <c r="AWU6" s="456"/>
      <c r="AWV6" s="456"/>
      <c r="AWW6" s="456"/>
      <c r="AWX6" s="456"/>
      <c r="AWY6" s="456"/>
      <c r="AWZ6" s="456"/>
      <c r="AXA6" s="456"/>
      <c r="AXB6" s="456"/>
      <c r="AXC6" s="456"/>
      <c r="AXD6" s="456"/>
      <c r="AXE6" s="456"/>
      <c r="AXF6" s="456"/>
      <c r="AXG6" s="456"/>
      <c r="AXH6" s="456"/>
      <c r="AXI6" s="456"/>
      <c r="AXJ6" s="456"/>
      <c r="AXK6" s="456"/>
      <c r="AXL6" s="456"/>
      <c r="AXM6" s="456"/>
      <c r="AXN6" s="456"/>
      <c r="AXO6" s="456"/>
      <c r="AXP6" s="456"/>
      <c r="AXQ6" s="456"/>
      <c r="AXR6" s="456"/>
      <c r="AXS6" s="456"/>
      <c r="AXT6" s="456"/>
      <c r="AXU6" s="456"/>
      <c r="AXV6" s="456"/>
      <c r="AXW6" s="456"/>
      <c r="AXX6" s="456"/>
      <c r="AXY6" s="456"/>
      <c r="AXZ6" s="456"/>
      <c r="AYA6" s="456"/>
      <c r="AYB6" s="456"/>
      <c r="AYC6" s="456"/>
      <c r="AYD6" s="456"/>
      <c r="AYE6" s="456"/>
      <c r="AYF6" s="456"/>
      <c r="AYG6" s="456"/>
      <c r="AYH6" s="456"/>
      <c r="AYI6" s="456"/>
      <c r="AYJ6" s="456"/>
      <c r="AYK6" s="456"/>
      <c r="AYL6" s="456"/>
      <c r="AYM6" s="456"/>
      <c r="AYN6" s="456"/>
      <c r="AYO6" s="456"/>
      <c r="AYP6" s="456"/>
      <c r="AYQ6" s="456"/>
      <c r="AYR6" s="456"/>
      <c r="AYS6" s="456"/>
      <c r="AYT6" s="456"/>
      <c r="AYU6" s="456"/>
      <c r="AYV6" s="456"/>
      <c r="AYW6" s="456"/>
      <c r="AYX6" s="456"/>
      <c r="AYY6" s="456"/>
      <c r="AYZ6" s="456"/>
      <c r="AZA6" s="456"/>
      <c r="AZB6" s="456"/>
      <c r="AZC6" s="456"/>
      <c r="AZD6" s="456"/>
      <c r="AZE6" s="456"/>
      <c r="AZF6" s="456"/>
      <c r="AZG6" s="456"/>
      <c r="AZH6" s="456"/>
      <c r="AZI6" s="456"/>
      <c r="AZJ6" s="456"/>
      <c r="AZK6" s="456"/>
      <c r="AZL6" s="456"/>
      <c r="AZM6" s="456"/>
      <c r="AZN6" s="456"/>
      <c r="AZO6" s="456"/>
      <c r="AZP6" s="456"/>
      <c r="AZQ6" s="456"/>
      <c r="AZR6" s="456"/>
      <c r="AZS6" s="456"/>
      <c r="AZT6" s="456"/>
      <c r="AZU6" s="456"/>
      <c r="AZV6" s="456"/>
      <c r="AZW6" s="456"/>
      <c r="AZX6" s="456"/>
      <c r="AZY6" s="456"/>
      <c r="AZZ6" s="456"/>
      <c r="BAA6" s="456"/>
      <c r="BAB6" s="456"/>
      <c r="BAC6" s="456"/>
      <c r="BAD6" s="456"/>
      <c r="BAE6" s="456"/>
      <c r="BAF6" s="456"/>
      <c r="BAG6" s="456"/>
      <c r="BAH6" s="456"/>
      <c r="BAI6" s="456"/>
      <c r="BAJ6" s="456"/>
      <c r="BAK6" s="456"/>
      <c r="BAL6" s="456"/>
      <c r="BAM6" s="456"/>
      <c r="BAN6" s="456"/>
      <c r="BAO6" s="456"/>
      <c r="BAP6" s="456"/>
      <c r="BAQ6" s="456"/>
      <c r="BAR6" s="456"/>
      <c r="BAS6" s="456"/>
      <c r="BAT6" s="456"/>
      <c r="BAU6" s="456"/>
      <c r="BAV6" s="456"/>
      <c r="BAW6" s="456"/>
      <c r="BAX6" s="456"/>
      <c r="BAY6" s="456"/>
      <c r="BAZ6" s="456"/>
      <c r="BBA6" s="456"/>
      <c r="BBB6" s="456"/>
      <c r="BBC6" s="456"/>
      <c r="BBD6" s="456"/>
      <c r="BBE6" s="456"/>
      <c r="BBF6" s="456"/>
      <c r="BBG6" s="456"/>
      <c r="BBH6" s="456"/>
      <c r="BBI6" s="456"/>
      <c r="BBJ6" s="456"/>
      <c r="BBK6" s="456"/>
      <c r="BBL6" s="456"/>
      <c r="BBM6" s="456"/>
      <c r="BBN6" s="456"/>
      <c r="BBO6" s="456"/>
      <c r="BBP6" s="456"/>
      <c r="BBQ6" s="456"/>
      <c r="BBR6" s="456"/>
      <c r="BBS6" s="456"/>
      <c r="BBT6" s="456"/>
      <c r="BBU6" s="456"/>
      <c r="BBV6" s="456"/>
      <c r="BBW6" s="456"/>
      <c r="BBX6" s="456"/>
      <c r="BBY6" s="456"/>
      <c r="BBZ6" s="456"/>
      <c r="BCA6" s="456"/>
      <c r="BCB6" s="456"/>
      <c r="BCC6" s="456"/>
      <c r="BCD6" s="456"/>
      <c r="BCE6" s="456"/>
      <c r="BCF6" s="456"/>
      <c r="BCG6" s="456"/>
      <c r="BCH6" s="456"/>
      <c r="BCI6" s="456"/>
      <c r="BCJ6" s="456"/>
      <c r="BCK6" s="456"/>
      <c r="BCL6" s="456"/>
      <c r="BCM6" s="456"/>
      <c r="BCN6" s="456"/>
      <c r="BCO6" s="456"/>
      <c r="BCP6" s="456"/>
      <c r="BCQ6" s="456"/>
      <c r="BCR6" s="456"/>
      <c r="BCS6" s="456"/>
      <c r="BCT6" s="456"/>
      <c r="BCU6" s="456"/>
      <c r="BCV6" s="456"/>
      <c r="BCW6" s="456"/>
      <c r="BCX6" s="456"/>
      <c r="BCY6" s="456"/>
      <c r="BCZ6" s="456"/>
      <c r="BDA6" s="456"/>
      <c r="BDB6" s="456"/>
      <c r="BDC6" s="456"/>
      <c r="BDD6" s="456"/>
      <c r="BDE6" s="456"/>
      <c r="BDF6" s="456"/>
      <c r="BDG6" s="456"/>
      <c r="BDH6" s="456"/>
      <c r="BDI6" s="456"/>
      <c r="BDJ6" s="456"/>
      <c r="BDK6" s="456"/>
      <c r="BDL6" s="456"/>
      <c r="BDM6" s="456"/>
      <c r="BDN6" s="456"/>
      <c r="BDO6" s="456"/>
      <c r="BDP6" s="456"/>
      <c r="BDQ6" s="456"/>
      <c r="BDR6" s="456"/>
      <c r="BDS6" s="456"/>
      <c r="BDT6" s="456"/>
      <c r="BDU6" s="456"/>
      <c r="BDV6" s="456"/>
      <c r="BDW6" s="456"/>
      <c r="BDX6" s="456"/>
      <c r="BDY6" s="456"/>
      <c r="BDZ6" s="456"/>
      <c r="BEA6" s="456"/>
      <c r="BEB6" s="456"/>
      <c r="BEC6" s="456"/>
      <c r="BED6" s="456"/>
      <c r="BEE6" s="456"/>
      <c r="BEF6" s="456"/>
      <c r="BEG6" s="456"/>
      <c r="BEH6" s="456"/>
      <c r="BEI6" s="456"/>
      <c r="BEJ6" s="456"/>
      <c r="BEK6" s="456"/>
      <c r="BEL6" s="456"/>
      <c r="BEM6" s="456"/>
      <c r="BEN6" s="456"/>
      <c r="BEO6" s="456"/>
      <c r="BEP6" s="456"/>
      <c r="BEQ6" s="456"/>
      <c r="BER6" s="456"/>
      <c r="BES6" s="456"/>
      <c r="BET6" s="456"/>
      <c r="BEU6" s="456"/>
      <c r="BEV6" s="456"/>
      <c r="BEW6" s="456"/>
      <c r="BEX6" s="456"/>
      <c r="BEY6" s="456"/>
      <c r="BEZ6" s="456"/>
      <c r="BFA6" s="456"/>
      <c r="BFB6" s="456"/>
      <c r="BFC6" s="456"/>
      <c r="BFD6" s="456"/>
      <c r="BFE6" s="456"/>
      <c r="BFF6" s="456"/>
      <c r="BFG6" s="456"/>
      <c r="BFH6" s="456"/>
      <c r="BFI6" s="456"/>
      <c r="BFJ6" s="456"/>
      <c r="BFK6" s="456"/>
      <c r="BFL6" s="456"/>
      <c r="BFM6" s="456"/>
      <c r="BFN6" s="456"/>
      <c r="BFO6" s="456"/>
      <c r="BFP6" s="456"/>
      <c r="BFQ6" s="456"/>
      <c r="BFR6" s="456"/>
      <c r="BFS6" s="456"/>
      <c r="BFT6" s="456"/>
      <c r="BFU6" s="456"/>
      <c r="BFV6" s="456"/>
      <c r="BFW6" s="456"/>
      <c r="BFX6" s="456"/>
      <c r="BFY6" s="456"/>
      <c r="BFZ6" s="456"/>
      <c r="BGA6" s="456"/>
      <c r="BGB6" s="456"/>
      <c r="BGC6" s="456"/>
      <c r="BGD6" s="456"/>
      <c r="BGE6" s="456"/>
      <c r="BGF6" s="456"/>
      <c r="BGG6" s="456"/>
      <c r="BGH6" s="456"/>
      <c r="BGI6" s="456"/>
      <c r="BGJ6" s="456"/>
      <c r="BGK6" s="456"/>
      <c r="BGL6" s="456"/>
      <c r="BGM6" s="456"/>
      <c r="BGN6" s="456"/>
      <c r="BGO6" s="456"/>
      <c r="BGP6" s="456"/>
      <c r="BGQ6" s="456"/>
      <c r="BGR6" s="456"/>
      <c r="BGS6" s="456"/>
      <c r="BGT6" s="456"/>
      <c r="BGU6" s="456"/>
      <c r="BGV6" s="456"/>
      <c r="BGW6" s="456"/>
      <c r="BGX6" s="456"/>
      <c r="BGY6" s="456"/>
      <c r="BGZ6" s="456"/>
      <c r="BHA6" s="456"/>
      <c r="BHB6" s="456"/>
      <c r="BHC6" s="456"/>
      <c r="BHD6" s="456"/>
      <c r="BHE6" s="456"/>
      <c r="BHF6" s="456"/>
      <c r="BHG6" s="456"/>
      <c r="BHH6" s="456"/>
      <c r="BHI6" s="456"/>
      <c r="BHJ6" s="456"/>
      <c r="BHK6" s="456"/>
      <c r="BHL6" s="456"/>
      <c r="BHM6" s="456"/>
      <c r="BHN6" s="456"/>
      <c r="BHO6" s="456"/>
      <c r="BHP6" s="456"/>
      <c r="BHQ6" s="456"/>
      <c r="BHR6" s="456"/>
      <c r="BHS6" s="456"/>
      <c r="BHT6" s="456"/>
      <c r="BHU6" s="456"/>
      <c r="BHV6" s="456"/>
      <c r="BHW6" s="456"/>
      <c r="BHX6" s="456"/>
      <c r="BHY6" s="456"/>
      <c r="BHZ6" s="456"/>
      <c r="BIA6" s="456"/>
      <c r="BIB6" s="456"/>
      <c r="BIC6" s="456"/>
      <c r="BID6" s="456"/>
      <c r="BIE6" s="456"/>
      <c r="BIF6" s="456"/>
      <c r="BIG6" s="456"/>
      <c r="BIH6" s="456"/>
      <c r="BII6" s="456"/>
      <c r="BIJ6" s="456"/>
      <c r="BIK6" s="456"/>
      <c r="BIL6" s="456"/>
      <c r="BIM6" s="456"/>
      <c r="BIN6" s="456"/>
      <c r="BIO6" s="456"/>
      <c r="BIP6" s="456"/>
      <c r="BIQ6" s="456"/>
      <c r="BIR6" s="456"/>
      <c r="BIS6" s="456"/>
      <c r="BIT6" s="456"/>
      <c r="BIU6" s="456"/>
      <c r="BIV6" s="456"/>
      <c r="BIW6" s="456"/>
      <c r="BIX6" s="456"/>
      <c r="BIY6" s="456"/>
      <c r="BIZ6" s="456"/>
      <c r="BJA6" s="456"/>
      <c r="BJB6" s="456"/>
      <c r="BJC6" s="456"/>
      <c r="BJD6" s="456"/>
      <c r="BJE6" s="456"/>
      <c r="BJF6" s="456"/>
      <c r="BJG6" s="456"/>
      <c r="BJH6" s="456"/>
      <c r="BJI6" s="456"/>
      <c r="BJJ6" s="456"/>
      <c r="BJK6" s="456"/>
      <c r="BJL6" s="456"/>
      <c r="BJM6" s="456"/>
      <c r="BJN6" s="456"/>
      <c r="BJO6" s="456"/>
      <c r="BJP6" s="456"/>
      <c r="BJQ6" s="456"/>
      <c r="BJR6" s="456"/>
      <c r="BJS6" s="456"/>
      <c r="BJT6" s="456"/>
      <c r="BJU6" s="456"/>
      <c r="BJV6" s="456"/>
      <c r="BJW6" s="456"/>
      <c r="BJX6" s="456"/>
      <c r="BJY6" s="456"/>
      <c r="BJZ6" s="456"/>
      <c r="BKA6" s="456"/>
      <c r="BKB6" s="456"/>
      <c r="BKC6" s="456"/>
      <c r="BKD6" s="456"/>
      <c r="BKE6" s="456"/>
      <c r="BKF6" s="456"/>
      <c r="BKG6" s="456"/>
      <c r="BKH6" s="456"/>
      <c r="BKI6" s="456"/>
      <c r="BKJ6" s="456"/>
      <c r="BKK6" s="456"/>
      <c r="BKL6" s="456"/>
      <c r="BKM6" s="456"/>
      <c r="BKN6" s="456"/>
      <c r="BKO6" s="456"/>
      <c r="BKP6" s="456"/>
      <c r="BKQ6" s="456"/>
      <c r="BKR6" s="456"/>
      <c r="BKS6" s="456"/>
      <c r="BKT6" s="456"/>
      <c r="BKU6" s="456"/>
      <c r="BKV6" s="456"/>
      <c r="BKW6" s="456"/>
      <c r="BKX6" s="456"/>
      <c r="BKY6" s="456"/>
      <c r="BKZ6" s="456"/>
      <c r="BLA6" s="456"/>
      <c r="BLB6" s="456"/>
      <c r="BLC6" s="456"/>
      <c r="BLD6" s="456"/>
      <c r="BLE6" s="456"/>
      <c r="BLF6" s="456"/>
      <c r="BLG6" s="456"/>
      <c r="BLH6" s="456"/>
      <c r="BLI6" s="456"/>
      <c r="BLJ6" s="456"/>
      <c r="BLK6" s="456"/>
      <c r="BLL6" s="456"/>
      <c r="BLM6" s="456"/>
      <c r="BLN6" s="456"/>
      <c r="BLO6" s="456"/>
      <c r="BLP6" s="456"/>
      <c r="BLQ6" s="456"/>
      <c r="BLR6" s="456"/>
      <c r="BLS6" s="456"/>
      <c r="BLT6" s="456"/>
      <c r="BLU6" s="456"/>
      <c r="BLV6" s="456"/>
      <c r="BLW6" s="456"/>
      <c r="BLX6" s="456"/>
      <c r="BLY6" s="456"/>
      <c r="BLZ6" s="456"/>
      <c r="BMA6" s="456"/>
      <c r="BMB6" s="456"/>
      <c r="BMC6" s="456"/>
      <c r="BMD6" s="456"/>
      <c r="BME6" s="456"/>
      <c r="BMF6" s="456"/>
      <c r="BMG6" s="456"/>
      <c r="BMH6" s="456"/>
      <c r="BMI6" s="456"/>
      <c r="BMJ6" s="456"/>
      <c r="BMK6" s="456"/>
      <c r="BML6" s="456"/>
      <c r="BMM6" s="456"/>
      <c r="BMN6" s="456"/>
      <c r="BMO6" s="456"/>
      <c r="BMP6" s="456"/>
      <c r="BMQ6" s="456"/>
      <c r="BMR6" s="456"/>
      <c r="BMS6" s="456"/>
      <c r="BMT6" s="456"/>
      <c r="BMU6" s="456"/>
      <c r="BMV6" s="456"/>
      <c r="BMW6" s="456"/>
      <c r="BMX6" s="456"/>
      <c r="BMY6" s="456"/>
      <c r="BMZ6" s="456"/>
      <c r="BNA6" s="456"/>
      <c r="BNB6" s="456"/>
      <c r="BNC6" s="456"/>
      <c r="BND6" s="456"/>
      <c r="BNE6" s="456"/>
      <c r="BNF6" s="456"/>
      <c r="BNG6" s="456"/>
      <c r="BNH6" s="456"/>
      <c r="BNI6" s="456"/>
      <c r="BNJ6" s="456"/>
      <c r="BNK6" s="456"/>
      <c r="BNL6" s="456"/>
      <c r="BNM6" s="456"/>
      <c r="BNN6" s="456"/>
      <c r="BNO6" s="456"/>
      <c r="BNP6" s="456"/>
      <c r="BNQ6" s="456"/>
      <c r="BNR6" s="456"/>
      <c r="BNS6" s="456"/>
      <c r="BNT6" s="456"/>
      <c r="BNU6" s="456"/>
      <c r="BNV6" s="456"/>
      <c r="BNW6" s="456"/>
      <c r="BNX6" s="456"/>
      <c r="BNY6" s="456"/>
      <c r="BNZ6" s="456"/>
      <c r="BOA6" s="456"/>
      <c r="BOB6" s="456"/>
      <c r="BOC6" s="456"/>
      <c r="BOD6" s="456"/>
      <c r="BOE6" s="456"/>
      <c r="BOF6" s="456"/>
      <c r="BOG6" s="456"/>
      <c r="BOH6" s="456"/>
      <c r="BOI6" s="456"/>
      <c r="BOJ6" s="456"/>
      <c r="BOK6" s="456"/>
      <c r="BOL6" s="456"/>
      <c r="BOM6" s="456"/>
      <c r="BON6" s="456"/>
      <c r="BOO6" s="456"/>
      <c r="BOP6" s="456"/>
      <c r="BOQ6" s="456"/>
      <c r="BOR6" s="456"/>
      <c r="BOS6" s="456"/>
      <c r="BOT6" s="456"/>
      <c r="BOU6" s="456"/>
      <c r="BOV6" s="456"/>
      <c r="BOW6" s="456"/>
      <c r="BOX6" s="456"/>
      <c r="BOY6" s="456"/>
      <c r="BOZ6" s="456"/>
      <c r="BPA6" s="456"/>
      <c r="BPB6" s="456"/>
      <c r="BPC6" s="456"/>
      <c r="BPD6" s="456"/>
      <c r="BPE6" s="456"/>
      <c r="BPF6" s="456"/>
      <c r="BPG6" s="456"/>
      <c r="BPH6" s="456"/>
      <c r="BPI6" s="456"/>
      <c r="BPJ6" s="456"/>
      <c r="BPK6" s="456"/>
      <c r="BPL6" s="456"/>
      <c r="BPM6" s="456"/>
      <c r="BPN6" s="456"/>
      <c r="BPO6" s="456"/>
      <c r="BPP6" s="456"/>
      <c r="BPQ6" s="456"/>
      <c r="BPR6" s="456"/>
      <c r="BPS6" s="456"/>
      <c r="BPT6" s="456"/>
      <c r="BPU6" s="456"/>
      <c r="BPV6" s="456"/>
      <c r="BPW6" s="456"/>
      <c r="BPX6" s="456"/>
      <c r="BPY6" s="456"/>
      <c r="BPZ6" s="456"/>
      <c r="BQA6" s="456"/>
      <c r="BQB6" s="456"/>
      <c r="BQC6" s="456"/>
      <c r="BQD6" s="456"/>
      <c r="BQE6" s="456"/>
      <c r="BQF6" s="456"/>
      <c r="BQG6" s="456"/>
      <c r="BQH6" s="456"/>
      <c r="BQI6" s="456"/>
      <c r="BQJ6" s="456"/>
      <c r="BQK6" s="456"/>
      <c r="BQL6" s="456"/>
      <c r="BQM6" s="456"/>
      <c r="BQN6" s="456"/>
      <c r="BQO6" s="456"/>
      <c r="BQP6" s="456"/>
      <c r="BQQ6" s="456"/>
      <c r="BQR6" s="456"/>
      <c r="BQS6" s="456"/>
      <c r="BQT6" s="456"/>
      <c r="BQU6" s="456"/>
      <c r="BQV6" s="456"/>
      <c r="BQW6" s="456"/>
      <c r="BQX6" s="456"/>
      <c r="BQY6" s="456"/>
      <c r="BQZ6" s="456"/>
      <c r="BRA6" s="456"/>
      <c r="BRB6" s="456"/>
      <c r="BRC6" s="456"/>
      <c r="BRD6" s="456"/>
      <c r="BRE6" s="456"/>
      <c r="BRF6" s="456"/>
      <c r="BRG6" s="456"/>
      <c r="BRH6" s="456"/>
      <c r="BRI6" s="456"/>
      <c r="BRJ6" s="456"/>
      <c r="BRK6" s="456"/>
      <c r="BRL6" s="456"/>
      <c r="BRM6" s="456"/>
      <c r="BRN6" s="456"/>
      <c r="BRO6" s="456"/>
      <c r="BRP6" s="456"/>
      <c r="BRQ6" s="456"/>
      <c r="BRR6" s="456"/>
      <c r="BRS6" s="456"/>
      <c r="BRT6" s="456"/>
      <c r="BRU6" s="456"/>
      <c r="BRV6" s="456"/>
      <c r="BRW6" s="456"/>
      <c r="BRX6" s="456"/>
      <c r="BRY6" s="456"/>
      <c r="BRZ6" s="456"/>
      <c r="BSA6" s="456"/>
      <c r="BSB6" s="456"/>
      <c r="BSC6" s="456"/>
      <c r="BSD6" s="456"/>
      <c r="BSE6" s="456"/>
      <c r="BSF6" s="456"/>
      <c r="BSG6" s="456"/>
      <c r="BSH6" s="456"/>
      <c r="BSI6" s="456"/>
      <c r="BSJ6" s="456"/>
      <c r="BSK6" s="456"/>
      <c r="BSL6" s="456"/>
      <c r="BSM6" s="456"/>
      <c r="BSN6" s="456"/>
      <c r="BSO6" s="456"/>
      <c r="BSP6" s="456"/>
      <c r="BSQ6" s="456"/>
      <c r="BSR6" s="456"/>
      <c r="BSS6" s="456"/>
      <c r="BST6" s="456"/>
      <c r="BSU6" s="456"/>
      <c r="BSV6" s="456"/>
      <c r="BSW6" s="456"/>
      <c r="BSX6" s="456"/>
      <c r="BSY6" s="456"/>
      <c r="BSZ6" s="456"/>
      <c r="BTA6" s="456"/>
      <c r="BTB6" s="456"/>
      <c r="BTC6" s="456"/>
      <c r="BTD6" s="456"/>
      <c r="BTE6" s="456"/>
      <c r="BTF6" s="456"/>
      <c r="BTG6" s="456"/>
      <c r="BTH6" s="456"/>
      <c r="BTI6" s="456"/>
      <c r="BTJ6" s="456"/>
      <c r="BTK6" s="456"/>
      <c r="BTL6" s="456"/>
      <c r="BTM6" s="456"/>
      <c r="BTN6" s="456"/>
      <c r="BTO6" s="456"/>
      <c r="BTP6" s="456"/>
      <c r="BTQ6" s="456"/>
      <c r="BTR6" s="456"/>
      <c r="BTS6" s="456"/>
      <c r="BTT6" s="456"/>
      <c r="BTU6" s="456"/>
      <c r="BTV6" s="456"/>
      <c r="BTW6" s="456"/>
      <c r="BTX6" s="456"/>
      <c r="BTY6" s="456"/>
      <c r="BTZ6" s="456"/>
      <c r="BUA6" s="456"/>
      <c r="BUB6" s="456"/>
      <c r="BUC6" s="456"/>
      <c r="BUD6" s="456"/>
      <c r="BUE6" s="456"/>
      <c r="BUF6" s="456"/>
      <c r="BUG6" s="456"/>
      <c r="BUH6" s="456"/>
      <c r="BUI6" s="456"/>
      <c r="BUJ6" s="456"/>
      <c r="BUK6" s="456"/>
      <c r="BUL6" s="456"/>
      <c r="BUM6" s="456"/>
      <c r="BUN6" s="456"/>
      <c r="BUO6" s="456"/>
      <c r="BUP6" s="456"/>
      <c r="BUQ6" s="456"/>
      <c r="BUR6" s="456"/>
      <c r="BUS6" s="456"/>
      <c r="BUT6" s="456"/>
      <c r="BUU6" s="456"/>
      <c r="BUV6" s="456"/>
      <c r="BUW6" s="456"/>
      <c r="BUX6" s="456"/>
      <c r="BUY6" s="456"/>
      <c r="BUZ6" s="456"/>
      <c r="BVA6" s="456"/>
      <c r="BVB6" s="456"/>
      <c r="BVC6" s="456"/>
      <c r="BVD6" s="456"/>
      <c r="BVE6" s="456"/>
      <c r="BVF6" s="456"/>
      <c r="BVG6" s="456"/>
      <c r="BVH6" s="456"/>
      <c r="BVI6" s="456"/>
      <c r="BVJ6" s="456"/>
      <c r="BVK6" s="456"/>
      <c r="BVL6" s="456"/>
      <c r="BVM6" s="456"/>
      <c r="BVN6" s="456"/>
      <c r="BVO6" s="456"/>
      <c r="BVP6" s="456"/>
      <c r="BVQ6" s="456"/>
      <c r="BVR6" s="456"/>
      <c r="BVS6" s="456"/>
      <c r="BVT6" s="456"/>
      <c r="BVU6" s="456"/>
      <c r="BVV6" s="456"/>
      <c r="BVW6" s="456"/>
      <c r="BVX6" s="456"/>
      <c r="BVY6" s="456"/>
      <c r="BVZ6" s="456"/>
      <c r="BWA6" s="456"/>
      <c r="BWB6" s="456"/>
      <c r="BWC6" s="456"/>
      <c r="BWD6" s="456"/>
      <c r="BWE6" s="456"/>
      <c r="BWF6" s="456"/>
      <c r="BWG6" s="456"/>
      <c r="BWH6" s="456"/>
      <c r="BWI6" s="456"/>
      <c r="BWJ6" s="456"/>
      <c r="BWK6" s="456"/>
      <c r="BWL6" s="456"/>
      <c r="BWM6" s="456"/>
      <c r="BWN6" s="456"/>
      <c r="BWO6" s="456"/>
      <c r="BWP6" s="456"/>
      <c r="BWQ6" s="456"/>
      <c r="BWR6" s="456"/>
      <c r="BWS6" s="456"/>
      <c r="BWT6" s="456"/>
      <c r="BWU6" s="456"/>
      <c r="BWV6" s="456"/>
      <c r="BWW6" s="456"/>
      <c r="BWX6" s="456"/>
      <c r="BWY6" s="456"/>
      <c r="BWZ6" s="456"/>
      <c r="BXA6" s="456"/>
      <c r="BXB6" s="456"/>
      <c r="BXC6" s="456"/>
      <c r="BXD6" s="456"/>
      <c r="BXE6" s="456"/>
      <c r="BXF6" s="456"/>
      <c r="BXG6" s="456"/>
      <c r="BXH6" s="456"/>
      <c r="BXI6" s="456"/>
      <c r="BXJ6" s="456"/>
      <c r="BXK6" s="456"/>
      <c r="BXL6" s="456"/>
      <c r="BXM6" s="456"/>
      <c r="BXN6" s="456"/>
      <c r="BXO6" s="456"/>
      <c r="BXP6" s="456"/>
      <c r="BXQ6" s="456"/>
      <c r="BXR6" s="456"/>
      <c r="BXS6" s="456"/>
      <c r="BXT6" s="456"/>
      <c r="BXU6" s="456"/>
      <c r="BXV6" s="456"/>
      <c r="BXW6" s="456"/>
      <c r="BXX6" s="456"/>
      <c r="BXY6" s="456"/>
      <c r="BXZ6" s="456"/>
    </row>
    <row r="7" s="25" customFormat="1" spans="1:1024 1025:2002">
      <c r="A7" s="473"/>
      <c r="B7" s="19">
        <v>1108</v>
      </c>
      <c r="C7" s="183">
        <v>46126</v>
      </c>
      <c r="D7" s="17" t="s">
        <v>35</v>
      </c>
      <c r="E7" s="17" t="s">
        <v>36</v>
      </c>
      <c r="F7" s="17" t="s">
        <v>37</v>
      </c>
      <c r="G7" s="17"/>
      <c r="H7" s="19" t="s">
        <v>38</v>
      </c>
      <c r="I7" s="102" t="s">
        <v>38</v>
      </c>
      <c r="J7" s="17" t="s">
        <v>49</v>
      </c>
      <c r="K7" s="19">
        <v>800</v>
      </c>
      <c r="L7" s="91">
        <v>260</v>
      </c>
      <c r="M7" s="19"/>
      <c r="N7" s="19" t="s">
        <v>40</v>
      </c>
      <c r="O7" s="19" t="s">
        <v>50</v>
      </c>
      <c r="P7" s="19">
        <v>10000</v>
      </c>
      <c r="Q7" s="19">
        <v>6590</v>
      </c>
      <c r="R7" s="19">
        <f t="shared" ref="R7:R42" si="0">+P7-Q7</f>
        <v>3410</v>
      </c>
      <c r="S7" s="19">
        <v>3350</v>
      </c>
      <c r="T7" s="19" t="s">
        <v>42</v>
      </c>
      <c r="U7" s="102" t="s">
        <v>51</v>
      </c>
      <c r="V7" s="186">
        <v>46127</v>
      </c>
      <c r="W7" s="17" t="s">
        <v>44</v>
      </c>
      <c r="X7" s="17"/>
      <c r="Y7" s="68">
        <v>46266</v>
      </c>
      <c r="Z7" s="17" t="s">
        <v>45</v>
      </c>
      <c r="AA7" s="17" t="s">
        <v>46</v>
      </c>
      <c r="AB7" s="17"/>
      <c r="AC7" s="102"/>
      <c r="AD7" s="65">
        <v>1870</v>
      </c>
      <c r="AE7" s="17" t="s">
        <v>48</v>
      </c>
      <c r="AF7" s="17"/>
      <c r="AG7" s="17"/>
      <c r="AH7" s="456"/>
      <c r="AI7" s="456"/>
      <c r="AJ7" s="456"/>
      <c r="AK7" s="456"/>
      <c r="AL7" s="456"/>
      <c r="AM7" s="456"/>
      <c r="AN7" s="456"/>
      <c r="AO7" s="456"/>
      <c r="AP7" s="456"/>
      <c r="AQ7" s="456"/>
      <c r="AR7" s="456"/>
      <c r="AS7" s="456"/>
      <c r="AT7" s="456"/>
      <c r="AU7" s="456"/>
      <c r="AV7" s="456"/>
      <c r="AW7" s="456"/>
      <c r="AX7" s="456"/>
      <c r="AY7" s="456"/>
      <c r="AZ7" s="456"/>
      <c r="BA7" s="456"/>
      <c r="BB7" s="456"/>
      <c r="BC7" s="456"/>
      <c r="BD7" s="456"/>
      <c r="BE7" s="456"/>
      <c r="BF7" s="456"/>
      <c r="BG7" s="456"/>
      <c r="BH7" s="456"/>
      <c r="BI7" s="456"/>
      <c r="BJ7" s="456"/>
      <c r="BK7" s="456"/>
      <c r="BL7" s="456"/>
      <c r="BM7" s="456"/>
      <c r="BN7" s="456"/>
      <c r="BO7" s="456"/>
      <c r="BP7" s="456"/>
      <c r="BQ7" s="456"/>
      <c r="BR7" s="456"/>
      <c r="BS7" s="456"/>
      <c r="BT7" s="456"/>
      <c r="BU7" s="456"/>
      <c r="BV7" s="456"/>
      <c r="BW7" s="456"/>
      <c r="BX7" s="456"/>
      <c r="BY7" s="456"/>
      <c r="BZ7" s="456"/>
      <c r="CA7" s="456"/>
      <c r="CB7" s="456"/>
      <c r="CC7" s="456"/>
      <c r="CD7" s="456"/>
      <c r="CE7" s="456"/>
      <c r="CF7" s="456"/>
      <c r="CG7" s="456"/>
      <c r="CH7" s="456"/>
      <c r="CI7" s="456"/>
      <c r="CJ7" s="456"/>
      <c r="CK7" s="456"/>
      <c r="CL7" s="456"/>
      <c r="CM7" s="456"/>
      <c r="CN7" s="456"/>
      <c r="CO7" s="456"/>
      <c r="CP7" s="456"/>
      <c r="CQ7" s="456"/>
      <c r="CR7" s="456"/>
      <c r="CS7" s="456"/>
      <c r="CT7" s="456"/>
      <c r="CU7" s="456"/>
      <c r="CV7" s="456"/>
      <c r="CW7" s="456"/>
      <c r="CX7" s="456"/>
      <c r="CY7" s="456"/>
      <c r="CZ7" s="456"/>
      <c r="DA7" s="456"/>
      <c r="DB7" s="456"/>
      <c r="DC7" s="456"/>
      <c r="DD7" s="456"/>
      <c r="DE7" s="456"/>
      <c r="DF7" s="456"/>
      <c r="DG7" s="456"/>
      <c r="DH7" s="456"/>
      <c r="DI7" s="456"/>
      <c r="DJ7" s="456"/>
      <c r="DK7" s="456"/>
      <c r="DL7" s="456"/>
      <c r="DM7" s="456"/>
      <c r="DN7" s="456"/>
      <c r="DO7" s="456"/>
      <c r="DP7" s="456"/>
      <c r="DQ7" s="456"/>
      <c r="DR7" s="456"/>
      <c r="DS7" s="456"/>
      <c r="DT7" s="456"/>
      <c r="DU7" s="456"/>
      <c r="DV7" s="456"/>
      <c r="DW7" s="456"/>
      <c r="DX7" s="456"/>
      <c r="DY7" s="456"/>
      <c r="DZ7" s="456"/>
      <c r="EA7" s="456"/>
      <c r="EB7" s="456"/>
      <c r="EC7" s="456"/>
      <c r="ED7" s="456"/>
      <c r="EE7" s="456"/>
      <c r="EF7" s="456"/>
      <c r="EG7" s="456"/>
      <c r="EH7" s="456"/>
      <c r="EI7" s="456"/>
      <c r="EJ7" s="456"/>
      <c r="EK7" s="456"/>
      <c r="EL7" s="456"/>
      <c r="EM7" s="456"/>
      <c r="EN7" s="456"/>
      <c r="EO7" s="456"/>
      <c r="EP7" s="456"/>
      <c r="EQ7" s="456"/>
      <c r="ER7" s="456"/>
      <c r="ES7" s="456"/>
      <c r="ET7" s="456"/>
      <c r="EU7" s="456"/>
      <c r="EV7" s="456"/>
      <c r="EW7" s="456"/>
      <c r="EX7" s="456"/>
      <c r="EY7" s="456"/>
      <c r="EZ7" s="456"/>
      <c r="FA7" s="456"/>
      <c r="FB7" s="456"/>
      <c r="FC7" s="456"/>
      <c r="FD7" s="456"/>
      <c r="FE7" s="456"/>
      <c r="FF7" s="456"/>
      <c r="FG7" s="456"/>
      <c r="FH7" s="456"/>
      <c r="FI7" s="456"/>
      <c r="FJ7" s="456"/>
      <c r="FK7" s="456"/>
      <c r="FL7" s="456"/>
      <c r="FM7" s="456"/>
      <c r="FN7" s="456"/>
      <c r="FO7" s="456"/>
      <c r="FP7" s="456"/>
      <c r="FQ7" s="456"/>
      <c r="FR7" s="456"/>
      <c r="FS7" s="456"/>
      <c r="FT7" s="456"/>
      <c r="FU7" s="456"/>
      <c r="FV7" s="456"/>
      <c r="FW7" s="456"/>
      <c r="FX7" s="456"/>
      <c r="FY7" s="456"/>
      <c r="FZ7" s="456"/>
      <c r="GA7" s="456"/>
      <c r="GB7" s="456"/>
      <c r="GC7" s="456"/>
      <c r="GD7" s="456"/>
      <c r="GE7" s="456"/>
      <c r="GF7" s="456"/>
      <c r="GG7" s="456"/>
      <c r="GH7" s="456"/>
      <c r="GI7" s="456"/>
      <c r="GJ7" s="456"/>
      <c r="GK7" s="456"/>
      <c r="GL7" s="456"/>
      <c r="GM7" s="456"/>
      <c r="GN7" s="456"/>
      <c r="GO7" s="456"/>
      <c r="GP7" s="456"/>
      <c r="GQ7" s="456"/>
      <c r="GR7" s="456"/>
      <c r="GS7" s="456"/>
      <c r="GT7" s="456"/>
      <c r="GU7" s="456"/>
      <c r="GV7" s="456"/>
      <c r="GW7" s="456"/>
      <c r="GX7" s="456"/>
      <c r="GY7" s="456"/>
      <c r="GZ7" s="456"/>
      <c r="HA7" s="456"/>
      <c r="HB7" s="456"/>
      <c r="HC7" s="456"/>
      <c r="HD7" s="456"/>
      <c r="HE7" s="456"/>
      <c r="HF7" s="456"/>
      <c r="HG7" s="456"/>
      <c r="HH7" s="456"/>
      <c r="HI7" s="456"/>
      <c r="HJ7" s="456"/>
      <c r="HK7" s="456"/>
      <c r="HL7" s="456"/>
      <c r="HM7" s="456"/>
      <c r="HN7" s="456"/>
      <c r="HO7" s="456"/>
      <c r="HP7" s="456"/>
      <c r="HQ7" s="456"/>
      <c r="HR7" s="456"/>
      <c r="HS7" s="456"/>
      <c r="HT7" s="456"/>
      <c r="HU7" s="456"/>
      <c r="HV7" s="456"/>
      <c r="HW7" s="456"/>
      <c r="HX7" s="456"/>
      <c r="HY7" s="456"/>
      <c r="HZ7" s="456"/>
      <c r="IA7" s="456"/>
      <c r="IB7" s="456"/>
      <c r="IC7" s="456"/>
      <c r="ID7" s="456"/>
      <c r="IE7" s="456"/>
      <c r="IF7" s="456"/>
      <c r="IG7" s="456"/>
      <c r="IH7" s="456"/>
      <c r="II7" s="456"/>
      <c r="IJ7" s="456"/>
      <c r="IK7" s="456"/>
      <c r="IL7" s="456"/>
      <c r="IM7" s="456"/>
      <c r="IN7" s="456"/>
      <c r="IO7" s="456"/>
      <c r="IP7" s="456"/>
      <c r="IQ7" s="456"/>
      <c r="IR7" s="456"/>
      <c r="IS7" s="456"/>
      <c r="IT7" s="456"/>
      <c r="IU7" s="456"/>
      <c r="IV7" s="456"/>
      <c r="IW7" s="456"/>
      <c r="IX7" s="456"/>
      <c r="IY7" s="456"/>
      <c r="IZ7" s="456"/>
      <c r="JA7" s="456"/>
      <c r="JB7" s="456"/>
      <c r="JC7" s="456"/>
      <c r="JD7" s="456"/>
      <c r="JE7" s="456"/>
      <c r="JF7" s="456"/>
      <c r="JG7" s="456"/>
      <c r="JH7" s="456"/>
      <c r="JI7" s="456"/>
      <c r="JJ7" s="456"/>
      <c r="JK7" s="456"/>
      <c r="JL7" s="456"/>
      <c r="JM7" s="456"/>
      <c r="JN7" s="456"/>
      <c r="JO7" s="456"/>
      <c r="JP7" s="456"/>
      <c r="JQ7" s="456"/>
      <c r="JR7" s="456"/>
      <c r="JS7" s="456"/>
      <c r="JT7" s="456"/>
      <c r="JU7" s="456"/>
      <c r="JV7" s="456"/>
      <c r="JW7" s="456"/>
      <c r="JX7" s="456"/>
      <c r="JY7" s="456"/>
      <c r="JZ7" s="456"/>
      <c r="KA7" s="456"/>
      <c r="KB7" s="456"/>
      <c r="KC7" s="456"/>
      <c r="KD7" s="456"/>
      <c r="KE7" s="456"/>
      <c r="KF7" s="456"/>
      <c r="KG7" s="456"/>
      <c r="KH7" s="456"/>
      <c r="KI7" s="456"/>
      <c r="KJ7" s="456"/>
      <c r="KK7" s="456"/>
      <c r="KL7" s="456"/>
      <c r="KM7" s="456"/>
      <c r="KN7" s="456"/>
      <c r="KO7" s="456"/>
      <c r="KP7" s="456"/>
      <c r="KQ7" s="456"/>
      <c r="KR7" s="456"/>
      <c r="KS7" s="456"/>
      <c r="KT7" s="456"/>
      <c r="KU7" s="456"/>
      <c r="KV7" s="456"/>
      <c r="KW7" s="456"/>
      <c r="KX7" s="456"/>
      <c r="KY7" s="456"/>
      <c r="KZ7" s="456"/>
      <c r="LA7" s="456"/>
      <c r="LB7" s="456"/>
      <c r="LC7" s="456"/>
      <c r="LD7" s="456"/>
      <c r="LE7" s="456"/>
      <c r="LF7" s="456"/>
      <c r="LG7" s="456"/>
      <c r="LH7" s="456"/>
      <c r="LI7" s="456"/>
      <c r="LJ7" s="456"/>
      <c r="LK7" s="456"/>
      <c r="LL7" s="456"/>
      <c r="LM7" s="456"/>
      <c r="LN7" s="456"/>
      <c r="LO7" s="456"/>
      <c r="LP7" s="456"/>
      <c r="LQ7" s="456"/>
      <c r="LR7" s="456"/>
      <c r="LS7" s="456"/>
      <c r="LT7" s="456"/>
      <c r="LU7" s="456"/>
      <c r="LV7" s="456"/>
      <c r="LW7" s="456"/>
      <c r="LX7" s="456"/>
      <c r="LY7" s="456"/>
      <c r="LZ7" s="456"/>
      <c r="MA7" s="456"/>
      <c r="MB7" s="456"/>
      <c r="MC7" s="456"/>
      <c r="MD7" s="456"/>
      <c r="ME7" s="456"/>
      <c r="MF7" s="456"/>
      <c r="MG7" s="456"/>
      <c r="MH7" s="456"/>
      <c r="MI7" s="456"/>
      <c r="MJ7" s="456"/>
      <c r="MK7" s="456"/>
      <c r="ML7" s="456"/>
      <c r="MM7" s="456"/>
      <c r="MN7" s="456"/>
      <c r="MO7" s="456"/>
      <c r="MP7" s="456"/>
      <c r="MQ7" s="456"/>
      <c r="MR7" s="456"/>
      <c r="MS7" s="456"/>
      <c r="MT7" s="456"/>
      <c r="MU7" s="456"/>
      <c r="MV7" s="456"/>
      <c r="MW7" s="456"/>
      <c r="MX7" s="456"/>
      <c r="MY7" s="456"/>
      <c r="MZ7" s="456"/>
      <c r="NA7" s="456"/>
      <c r="NB7" s="456"/>
      <c r="NC7" s="456"/>
      <c r="ND7" s="456"/>
      <c r="NE7" s="456"/>
      <c r="NF7" s="456"/>
      <c r="NG7" s="456"/>
      <c r="NH7" s="456"/>
      <c r="NI7" s="456"/>
      <c r="NJ7" s="456"/>
      <c r="NK7" s="456"/>
      <c r="NL7" s="456"/>
      <c r="NM7" s="456"/>
      <c r="NN7" s="456"/>
      <c r="NO7" s="456"/>
      <c r="NP7" s="456"/>
      <c r="NQ7" s="456"/>
      <c r="NR7" s="456"/>
      <c r="NS7" s="456"/>
      <c r="NT7" s="456"/>
      <c r="NU7" s="456"/>
      <c r="NV7" s="456"/>
      <c r="NW7" s="456"/>
      <c r="NX7" s="456"/>
      <c r="NY7" s="456"/>
      <c r="NZ7" s="456"/>
      <c r="OA7" s="456"/>
      <c r="OB7" s="456"/>
      <c r="OC7" s="456"/>
      <c r="OD7" s="456"/>
      <c r="OE7" s="456"/>
      <c r="OF7" s="456"/>
      <c r="OG7" s="456"/>
      <c r="OH7" s="456"/>
      <c r="OI7" s="456"/>
      <c r="OJ7" s="456"/>
      <c r="OK7" s="456"/>
      <c r="OL7" s="456"/>
      <c r="OM7" s="456"/>
      <c r="ON7" s="456"/>
      <c r="OO7" s="456"/>
      <c r="OP7" s="456"/>
      <c r="OQ7" s="456"/>
      <c r="OR7" s="456"/>
      <c r="OS7" s="456"/>
      <c r="OT7" s="456"/>
      <c r="OU7" s="456"/>
      <c r="OV7" s="456"/>
      <c r="OW7" s="456"/>
      <c r="OX7" s="456"/>
      <c r="OY7" s="456"/>
      <c r="OZ7" s="456"/>
      <c r="PA7" s="456"/>
      <c r="PB7" s="456"/>
      <c r="PC7" s="456"/>
      <c r="PD7" s="456"/>
      <c r="PE7" s="456"/>
      <c r="PF7" s="456"/>
      <c r="PG7" s="456"/>
      <c r="PH7" s="456"/>
      <c r="PI7" s="456"/>
      <c r="PJ7" s="456"/>
      <c r="PK7" s="456"/>
      <c r="PL7" s="456"/>
      <c r="PM7" s="456"/>
      <c r="PN7" s="456"/>
      <c r="PO7" s="456"/>
      <c r="PP7" s="456"/>
      <c r="PQ7" s="456"/>
      <c r="PR7" s="456"/>
      <c r="PS7" s="456"/>
      <c r="PT7" s="456"/>
      <c r="PU7" s="456"/>
      <c r="PV7" s="456"/>
      <c r="PW7" s="456"/>
      <c r="PX7" s="456"/>
      <c r="PY7" s="456"/>
      <c r="PZ7" s="456"/>
      <c r="QA7" s="456"/>
      <c r="QB7" s="456"/>
      <c r="QC7" s="456"/>
      <c r="QD7" s="456"/>
      <c r="QE7" s="456"/>
      <c r="QF7" s="456"/>
      <c r="QG7" s="456"/>
      <c r="QH7" s="456"/>
      <c r="QI7" s="456"/>
      <c r="QJ7" s="456"/>
      <c r="QK7" s="456"/>
      <c r="QL7" s="456"/>
      <c r="QM7" s="456"/>
      <c r="QN7" s="456"/>
      <c r="QO7" s="456"/>
      <c r="QP7" s="456"/>
      <c r="QQ7" s="456"/>
      <c r="QR7" s="456"/>
      <c r="QS7" s="456"/>
      <c r="QT7" s="456"/>
      <c r="QU7" s="456"/>
      <c r="QV7" s="456"/>
      <c r="QW7" s="456"/>
      <c r="QX7" s="456"/>
      <c r="QY7" s="456"/>
      <c r="QZ7" s="456"/>
      <c r="RA7" s="456"/>
      <c r="RB7" s="456"/>
      <c r="RC7" s="456"/>
      <c r="RD7" s="456"/>
      <c r="RE7" s="456"/>
      <c r="RF7" s="456"/>
      <c r="RG7" s="456"/>
      <c r="RH7" s="456"/>
      <c r="RI7" s="456"/>
      <c r="RJ7" s="456"/>
      <c r="RK7" s="456"/>
      <c r="RL7" s="456"/>
      <c r="RM7" s="456"/>
      <c r="RN7" s="456"/>
      <c r="RO7" s="456"/>
      <c r="RP7" s="456"/>
      <c r="RQ7" s="456"/>
      <c r="RR7" s="456"/>
      <c r="RS7" s="456"/>
      <c r="RT7" s="456"/>
      <c r="RU7" s="456"/>
      <c r="RV7" s="456"/>
      <c r="RW7" s="456"/>
      <c r="RX7" s="456"/>
      <c r="RY7" s="456"/>
      <c r="RZ7" s="456"/>
      <c r="SA7" s="456"/>
      <c r="SB7" s="456"/>
      <c r="SC7" s="456"/>
      <c r="SD7" s="456"/>
      <c r="SE7" s="456"/>
      <c r="SF7" s="456"/>
      <c r="SG7" s="456"/>
      <c r="SH7" s="456"/>
      <c r="SI7" s="456"/>
      <c r="SJ7" s="456"/>
      <c r="SK7" s="456"/>
      <c r="SL7" s="456"/>
      <c r="SM7" s="456"/>
      <c r="SN7" s="456"/>
      <c r="SO7" s="456"/>
      <c r="SP7" s="456"/>
      <c r="SQ7" s="456"/>
      <c r="SR7" s="456"/>
      <c r="SS7" s="456"/>
      <c r="ST7" s="456"/>
      <c r="SU7" s="456"/>
      <c r="SV7" s="456"/>
      <c r="SW7" s="456"/>
      <c r="SX7" s="456"/>
      <c r="SY7" s="456"/>
      <c r="SZ7" s="456"/>
      <c r="TA7" s="456"/>
      <c r="TB7" s="456"/>
      <c r="TC7" s="456"/>
      <c r="TD7" s="456"/>
      <c r="TE7" s="456"/>
      <c r="TF7" s="456"/>
      <c r="TG7" s="456"/>
      <c r="TH7" s="456"/>
      <c r="TI7" s="456"/>
      <c r="TJ7" s="456"/>
      <c r="TK7" s="456"/>
      <c r="TL7" s="456"/>
      <c r="TM7" s="456"/>
      <c r="TN7" s="456"/>
      <c r="TO7" s="456"/>
      <c r="TP7" s="456"/>
      <c r="TQ7" s="456"/>
      <c r="TR7" s="456"/>
      <c r="TS7" s="456"/>
      <c r="TT7" s="456"/>
      <c r="TU7" s="456"/>
      <c r="TV7" s="456"/>
      <c r="TW7" s="456"/>
      <c r="TX7" s="456"/>
      <c r="TY7" s="456"/>
      <c r="TZ7" s="456"/>
      <c r="UA7" s="456"/>
      <c r="UB7" s="456"/>
      <c r="UC7" s="456"/>
      <c r="UD7" s="456"/>
      <c r="UE7" s="456"/>
      <c r="UF7" s="456"/>
      <c r="UG7" s="456"/>
      <c r="UH7" s="456"/>
      <c r="UI7" s="456"/>
      <c r="UJ7" s="456"/>
      <c r="UK7" s="456"/>
      <c r="UL7" s="456"/>
      <c r="UM7" s="456"/>
      <c r="UN7" s="456"/>
      <c r="UO7" s="456"/>
      <c r="UP7" s="456"/>
      <c r="UQ7" s="456"/>
      <c r="UR7" s="456"/>
      <c r="US7" s="456"/>
      <c r="UT7" s="456"/>
      <c r="UU7" s="456"/>
      <c r="UV7" s="456"/>
      <c r="UW7" s="456"/>
      <c r="UX7" s="456"/>
      <c r="UY7" s="456"/>
      <c r="UZ7" s="456"/>
      <c r="VA7" s="456"/>
      <c r="VB7" s="456"/>
      <c r="VC7" s="456"/>
      <c r="VD7" s="456"/>
      <c r="VE7" s="456"/>
      <c r="VF7" s="456"/>
      <c r="VG7" s="456"/>
      <c r="VH7" s="456"/>
      <c r="VI7" s="456"/>
      <c r="VJ7" s="456"/>
      <c r="VK7" s="456"/>
      <c r="VL7" s="456"/>
      <c r="VM7" s="456"/>
      <c r="VN7" s="456"/>
      <c r="VO7" s="456"/>
      <c r="VP7" s="456"/>
      <c r="VQ7" s="456"/>
      <c r="VR7" s="456"/>
      <c r="VS7" s="456"/>
      <c r="VT7" s="456"/>
      <c r="VU7" s="456"/>
      <c r="VV7" s="456"/>
      <c r="VW7" s="456"/>
      <c r="VX7" s="456"/>
      <c r="VY7" s="456"/>
      <c r="VZ7" s="456"/>
      <c r="WA7" s="456"/>
      <c r="WB7" s="456"/>
      <c r="WC7" s="456"/>
      <c r="WD7" s="456"/>
      <c r="WE7" s="456"/>
      <c r="WF7" s="456"/>
      <c r="WG7" s="456"/>
      <c r="WH7" s="456"/>
      <c r="WI7" s="456"/>
      <c r="WJ7" s="456"/>
      <c r="WK7" s="456"/>
      <c r="WL7" s="456"/>
      <c r="WM7" s="456"/>
      <c r="WN7" s="456"/>
      <c r="WO7" s="456"/>
      <c r="WP7" s="456"/>
      <c r="WQ7" s="456"/>
      <c r="WR7" s="456"/>
      <c r="WS7" s="456"/>
      <c r="WT7" s="456"/>
      <c r="WU7" s="456"/>
      <c r="WV7" s="456"/>
      <c r="WW7" s="456"/>
      <c r="WX7" s="456"/>
      <c r="WY7" s="456"/>
      <c r="WZ7" s="456"/>
      <c r="XA7" s="456"/>
      <c r="XB7" s="456"/>
      <c r="XC7" s="456"/>
      <c r="XD7" s="456"/>
      <c r="XE7" s="456"/>
      <c r="XF7" s="456"/>
      <c r="XG7" s="456"/>
      <c r="XH7" s="456"/>
      <c r="XI7" s="456"/>
      <c r="XJ7" s="456"/>
      <c r="XK7" s="456"/>
      <c r="XL7" s="456"/>
      <c r="XM7" s="456"/>
      <c r="XN7" s="456"/>
      <c r="XO7" s="456"/>
      <c r="XP7" s="456"/>
      <c r="XQ7" s="456"/>
      <c r="XR7" s="456"/>
      <c r="XS7" s="456"/>
      <c r="XT7" s="456"/>
      <c r="XU7" s="456"/>
      <c r="XV7" s="456"/>
      <c r="XW7" s="456"/>
      <c r="XX7" s="456"/>
      <c r="XY7" s="456"/>
      <c r="XZ7" s="456"/>
      <c r="YA7" s="456"/>
      <c r="YB7" s="456"/>
      <c r="YC7" s="456"/>
      <c r="YD7" s="456"/>
      <c r="YE7" s="456"/>
      <c r="YF7" s="456"/>
      <c r="YG7" s="456"/>
      <c r="YH7" s="456"/>
      <c r="YI7" s="456"/>
      <c r="YJ7" s="456"/>
      <c r="YK7" s="456"/>
      <c r="YL7" s="456"/>
      <c r="YM7" s="456"/>
      <c r="YN7" s="456"/>
      <c r="YO7" s="456"/>
      <c r="YP7" s="456"/>
      <c r="YQ7" s="456"/>
      <c r="YR7" s="456"/>
      <c r="YS7" s="456"/>
      <c r="YT7" s="456"/>
      <c r="YU7" s="456"/>
      <c r="YV7" s="456"/>
      <c r="YW7" s="456"/>
      <c r="YX7" s="456"/>
      <c r="YY7" s="456"/>
      <c r="YZ7" s="456"/>
      <c r="ZA7" s="456"/>
      <c r="ZB7" s="456"/>
      <c r="ZC7" s="456"/>
      <c r="ZD7" s="456"/>
      <c r="ZE7" s="456"/>
      <c r="ZF7" s="456"/>
      <c r="ZG7" s="456"/>
      <c r="ZH7" s="456"/>
      <c r="ZI7" s="456"/>
      <c r="ZJ7" s="456"/>
      <c r="ZK7" s="456"/>
      <c r="ZL7" s="456"/>
      <c r="ZM7" s="456"/>
      <c r="ZN7" s="456"/>
      <c r="ZO7" s="456"/>
      <c r="ZP7" s="456"/>
      <c r="ZQ7" s="456"/>
      <c r="ZR7" s="456"/>
      <c r="ZS7" s="456"/>
      <c r="ZT7" s="456"/>
      <c r="ZU7" s="456"/>
      <c r="ZV7" s="456"/>
      <c r="ZW7" s="456"/>
      <c r="ZX7" s="456"/>
      <c r="ZY7" s="456"/>
      <c r="ZZ7" s="456"/>
      <c r="AAA7" s="456"/>
      <c r="AAB7" s="456"/>
      <c r="AAC7" s="456"/>
      <c r="AAD7" s="456"/>
      <c r="AAE7" s="456"/>
      <c r="AAF7" s="456"/>
      <c r="AAG7" s="456"/>
      <c r="AAH7" s="456"/>
      <c r="AAI7" s="456"/>
      <c r="AAJ7" s="456"/>
      <c r="AAK7" s="456"/>
      <c r="AAL7" s="456"/>
      <c r="AAM7" s="456"/>
      <c r="AAN7" s="456"/>
      <c r="AAO7" s="456"/>
      <c r="AAP7" s="456"/>
      <c r="AAQ7" s="456"/>
      <c r="AAR7" s="456"/>
      <c r="AAS7" s="456"/>
      <c r="AAT7" s="456"/>
      <c r="AAU7" s="456"/>
      <c r="AAV7" s="456"/>
      <c r="AAW7" s="456"/>
      <c r="AAX7" s="456"/>
      <c r="AAY7" s="456"/>
      <c r="AAZ7" s="456"/>
      <c r="ABA7" s="456"/>
      <c r="ABB7" s="456"/>
      <c r="ABC7" s="456"/>
      <c r="ABD7" s="456"/>
      <c r="ABE7" s="456"/>
      <c r="ABF7" s="456"/>
      <c r="ABG7" s="456"/>
      <c r="ABH7" s="456"/>
      <c r="ABI7" s="456"/>
      <c r="ABJ7" s="456"/>
      <c r="ABK7" s="456"/>
      <c r="ABL7" s="456"/>
      <c r="ABM7" s="456"/>
      <c r="ABN7" s="456"/>
      <c r="ABO7" s="456"/>
      <c r="ABP7" s="456"/>
      <c r="ABQ7" s="456"/>
      <c r="ABR7" s="456"/>
      <c r="ABS7" s="456"/>
      <c r="ABT7" s="456"/>
      <c r="ABU7" s="456"/>
      <c r="ABV7" s="456"/>
      <c r="ABW7" s="456"/>
      <c r="ABX7" s="456"/>
      <c r="ABY7" s="456"/>
      <c r="ABZ7" s="456"/>
      <c r="ACA7" s="456"/>
      <c r="ACB7" s="456"/>
      <c r="ACC7" s="456"/>
      <c r="ACD7" s="456"/>
      <c r="ACE7" s="456"/>
      <c r="ACF7" s="456"/>
      <c r="ACG7" s="456"/>
      <c r="ACH7" s="456"/>
      <c r="ACI7" s="456"/>
      <c r="ACJ7" s="456"/>
      <c r="ACK7" s="456"/>
      <c r="ACL7" s="456"/>
      <c r="ACM7" s="456"/>
      <c r="ACN7" s="456"/>
      <c r="ACO7" s="456"/>
      <c r="ACP7" s="456"/>
      <c r="ACQ7" s="456"/>
      <c r="ACR7" s="456"/>
      <c r="ACS7" s="456"/>
      <c r="ACT7" s="456"/>
      <c r="ACU7" s="456"/>
      <c r="ACV7" s="456"/>
      <c r="ACW7" s="456"/>
      <c r="ACX7" s="456"/>
      <c r="ACY7" s="456"/>
      <c r="ACZ7" s="456"/>
      <c r="ADA7" s="456"/>
      <c r="ADB7" s="456"/>
      <c r="ADC7" s="456"/>
      <c r="ADD7" s="456"/>
      <c r="ADE7" s="456"/>
      <c r="ADF7" s="456"/>
      <c r="ADG7" s="456"/>
      <c r="ADH7" s="456"/>
      <c r="ADI7" s="456"/>
      <c r="ADJ7" s="456"/>
      <c r="ADK7" s="456"/>
      <c r="ADL7" s="456"/>
      <c r="ADM7" s="456"/>
      <c r="ADN7" s="456"/>
      <c r="ADO7" s="456"/>
      <c r="ADP7" s="456"/>
      <c r="ADQ7" s="456"/>
      <c r="ADR7" s="456"/>
      <c r="ADS7" s="456"/>
      <c r="ADT7" s="456"/>
      <c r="ADU7" s="456"/>
      <c r="ADV7" s="456"/>
      <c r="ADW7" s="456"/>
      <c r="ADX7" s="456"/>
      <c r="ADY7" s="456"/>
      <c r="ADZ7" s="456"/>
      <c r="AEA7" s="456"/>
      <c r="AEB7" s="456"/>
      <c r="AEC7" s="456"/>
      <c r="AED7" s="456"/>
      <c r="AEE7" s="456"/>
      <c r="AEF7" s="456"/>
      <c r="AEG7" s="456"/>
      <c r="AEH7" s="456"/>
      <c r="AEI7" s="456"/>
      <c r="AEJ7" s="456"/>
      <c r="AEK7" s="456"/>
      <c r="AEL7" s="456"/>
      <c r="AEM7" s="456"/>
      <c r="AEN7" s="456"/>
      <c r="AEO7" s="456"/>
      <c r="AEP7" s="456"/>
      <c r="AEQ7" s="456"/>
      <c r="AER7" s="456"/>
      <c r="AES7" s="456"/>
      <c r="AET7" s="456"/>
      <c r="AEU7" s="456"/>
      <c r="AEV7" s="456"/>
      <c r="AEW7" s="456"/>
      <c r="AEX7" s="456"/>
      <c r="AEY7" s="456"/>
      <c r="AEZ7" s="456"/>
      <c r="AFA7" s="456"/>
      <c r="AFB7" s="456"/>
      <c r="AFC7" s="456"/>
      <c r="AFD7" s="456"/>
      <c r="AFE7" s="456"/>
      <c r="AFF7" s="456"/>
      <c r="AFG7" s="456"/>
      <c r="AFH7" s="456"/>
      <c r="AFI7" s="456"/>
      <c r="AFJ7" s="456"/>
      <c r="AFK7" s="456"/>
      <c r="AFL7" s="456"/>
      <c r="AFM7" s="456"/>
      <c r="AFN7" s="456"/>
      <c r="AFO7" s="456"/>
      <c r="AFP7" s="456"/>
      <c r="AFQ7" s="456"/>
      <c r="AFR7" s="456"/>
      <c r="AFS7" s="456"/>
      <c r="AFT7" s="456"/>
      <c r="AFU7" s="456"/>
      <c r="AFV7" s="456"/>
      <c r="AFW7" s="456"/>
      <c r="AFX7" s="456"/>
      <c r="AFY7" s="456"/>
      <c r="AFZ7" s="456"/>
      <c r="AGA7" s="456"/>
      <c r="AGB7" s="456"/>
      <c r="AGC7" s="456"/>
      <c r="AGD7" s="456"/>
      <c r="AGE7" s="456"/>
      <c r="AGF7" s="456"/>
      <c r="AGG7" s="456"/>
      <c r="AGH7" s="456"/>
      <c r="AGI7" s="456"/>
      <c r="AGJ7" s="456"/>
      <c r="AGK7" s="456"/>
      <c r="AGL7" s="456"/>
      <c r="AGM7" s="456"/>
      <c r="AGN7" s="456"/>
      <c r="AGO7" s="456"/>
      <c r="AGP7" s="456"/>
      <c r="AGQ7" s="456"/>
      <c r="AGR7" s="456"/>
      <c r="AGS7" s="456"/>
      <c r="AGT7" s="456"/>
      <c r="AGU7" s="456"/>
      <c r="AGV7" s="456"/>
      <c r="AGW7" s="456"/>
      <c r="AGX7" s="456"/>
      <c r="AGY7" s="456"/>
      <c r="AGZ7" s="456"/>
      <c r="AHA7" s="456"/>
      <c r="AHB7" s="456"/>
      <c r="AHC7" s="456"/>
      <c r="AHD7" s="456"/>
      <c r="AHE7" s="456"/>
      <c r="AHF7" s="456"/>
      <c r="AHG7" s="456"/>
      <c r="AHH7" s="456"/>
      <c r="AHI7" s="456"/>
      <c r="AHJ7" s="456"/>
      <c r="AHK7" s="456"/>
      <c r="AHL7" s="456"/>
      <c r="AHM7" s="456"/>
      <c r="AHN7" s="456"/>
      <c r="AHO7" s="456"/>
      <c r="AHP7" s="456"/>
      <c r="AHQ7" s="456"/>
      <c r="AHR7" s="456"/>
      <c r="AHS7" s="456"/>
      <c r="AHT7" s="456"/>
      <c r="AHU7" s="456"/>
      <c r="AHV7" s="456"/>
      <c r="AHW7" s="456"/>
      <c r="AHX7" s="456"/>
      <c r="AHY7" s="456"/>
      <c r="AHZ7" s="456"/>
      <c r="AIA7" s="456"/>
      <c r="AIB7" s="456"/>
      <c r="AIC7" s="456"/>
      <c r="AID7" s="456"/>
      <c r="AIE7" s="456"/>
      <c r="AIF7" s="456"/>
      <c r="AIG7" s="456"/>
      <c r="AIH7" s="456"/>
      <c r="AII7" s="456"/>
      <c r="AIJ7" s="456"/>
      <c r="AIK7" s="456"/>
      <c r="AIL7" s="456"/>
      <c r="AIM7" s="456"/>
      <c r="AIN7" s="456"/>
      <c r="AIO7" s="456"/>
      <c r="AIP7" s="456"/>
      <c r="AIQ7" s="456"/>
      <c r="AIR7" s="456"/>
      <c r="AIS7" s="456"/>
      <c r="AIT7" s="456"/>
      <c r="AIU7" s="456"/>
      <c r="AIV7" s="456"/>
      <c r="AIW7" s="456"/>
      <c r="AIX7" s="456"/>
      <c r="AIY7" s="456"/>
      <c r="AIZ7" s="456"/>
      <c r="AJA7" s="456"/>
      <c r="AJB7" s="456"/>
      <c r="AJC7" s="456"/>
      <c r="AJD7" s="456"/>
      <c r="AJE7" s="456"/>
      <c r="AJF7" s="456"/>
      <c r="AJG7" s="456"/>
      <c r="AJH7" s="456"/>
      <c r="AJI7" s="456"/>
      <c r="AJJ7" s="456"/>
      <c r="AJK7" s="456"/>
      <c r="AJL7" s="456"/>
      <c r="AJM7" s="456"/>
      <c r="AJN7" s="456"/>
      <c r="AJO7" s="456"/>
      <c r="AJP7" s="456"/>
      <c r="AJQ7" s="456"/>
      <c r="AJR7" s="456"/>
      <c r="AJS7" s="456"/>
      <c r="AJT7" s="456"/>
      <c r="AJU7" s="456"/>
      <c r="AJV7" s="456"/>
      <c r="AJW7" s="456"/>
      <c r="AJX7" s="456"/>
      <c r="AJY7" s="456"/>
      <c r="AJZ7" s="456"/>
      <c r="AKA7" s="456"/>
      <c r="AKB7" s="456"/>
      <c r="AKC7" s="456"/>
      <c r="AKD7" s="456"/>
      <c r="AKE7" s="456"/>
      <c r="AKF7" s="456"/>
      <c r="AKG7" s="456"/>
      <c r="AKH7" s="456"/>
      <c r="AKI7" s="456"/>
      <c r="AKJ7" s="456"/>
      <c r="AKK7" s="456"/>
      <c r="AKL7" s="456"/>
      <c r="AKM7" s="456"/>
      <c r="AKN7" s="456"/>
      <c r="AKO7" s="456"/>
      <c r="AKP7" s="456"/>
      <c r="AKQ7" s="456"/>
      <c r="AKR7" s="456"/>
      <c r="AKS7" s="456"/>
      <c r="AKT7" s="456"/>
      <c r="AKU7" s="456"/>
      <c r="AKV7" s="456"/>
      <c r="AKW7" s="456"/>
      <c r="AKX7" s="456"/>
      <c r="AKY7" s="456"/>
      <c r="AKZ7" s="456"/>
      <c r="ALA7" s="456"/>
      <c r="ALB7" s="456"/>
      <c r="ALC7" s="456"/>
      <c r="ALD7" s="456"/>
      <c r="ALE7" s="456"/>
      <c r="ALF7" s="456"/>
      <c r="ALG7" s="456"/>
      <c r="ALH7" s="456"/>
      <c r="ALI7" s="456"/>
      <c r="ALJ7" s="456"/>
      <c r="ALK7" s="456"/>
      <c r="ALL7" s="456"/>
      <c r="ALM7" s="456"/>
      <c r="ALN7" s="456"/>
      <c r="ALO7" s="456"/>
      <c r="ALP7" s="456"/>
      <c r="ALQ7" s="456"/>
      <c r="ALR7" s="456"/>
      <c r="ALS7" s="456"/>
      <c r="ALT7" s="456"/>
      <c r="ALU7" s="456"/>
      <c r="ALV7" s="456"/>
      <c r="ALW7" s="456"/>
      <c r="ALX7" s="456"/>
      <c r="ALY7" s="456"/>
      <c r="ALZ7" s="456"/>
      <c r="AMA7" s="456"/>
      <c r="AMB7" s="456"/>
      <c r="AMC7" s="456"/>
      <c r="AMD7" s="456"/>
      <c r="AME7" s="456"/>
      <c r="AMF7" s="456"/>
      <c r="AMG7" s="456"/>
      <c r="AMH7" s="456"/>
      <c r="AMI7" s="456"/>
      <c r="AMJ7" s="456"/>
      <c r="AMK7" s="456"/>
      <c r="AML7" s="456"/>
      <c r="AMM7" s="456"/>
      <c r="AMN7" s="456"/>
      <c r="AMO7" s="456"/>
      <c r="AMP7" s="456"/>
      <c r="AMQ7" s="456"/>
      <c r="AMR7" s="456"/>
      <c r="AMS7" s="456"/>
      <c r="AMT7" s="456"/>
      <c r="AMU7" s="456"/>
      <c r="AMV7" s="456"/>
      <c r="AMW7" s="456"/>
      <c r="AMX7" s="456"/>
      <c r="AMY7" s="456"/>
      <c r="AMZ7" s="456"/>
      <c r="ANA7" s="456"/>
      <c r="ANB7" s="456"/>
      <c r="ANC7" s="456"/>
      <c r="AND7" s="456"/>
      <c r="ANE7" s="456"/>
      <c r="ANF7" s="456"/>
      <c r="ANG7" s="456"/>
      <c r="ANH7" s="456"/>
      <c r="ANI7" s="456"/>
      <c r="ANJ7" s="456"/>
      <c r="ANK7" s="456"/>
      <c r="ANL7" s="456"/>
      <c r="ANM7" s="456"/>
      <c r="ANN7" s="456"/>
      <c r="ANO7" s="456"/>
      <c r="ANP7" s="456"/>
      <c r="ANQ7" s="456"/>
      <c r="ANR7" s="456"/>
      <c r="ANS7" s="456"/>
      <c r="ANT7" s="456"/>
      <c r="ANU7" s="456"/>
      <c r="ANV7" s="456"/>
      <c r="ANW7" s="456"/>
      <c r="ANX7" s="456"/>
      <c r="ANY7" s="456"/>
      <c r="ANZ7" s="456"/>
      <c r="AOA7" s="456"/>
      <c r="AOB7" s="456"/>
      <c r="AOC7" s="456"/>
      <c r="AOD7" s="456"/>
      <c r="AOE7" s="456"/>
      <c r="AOF7" s="456"/>
      <c r="AOG7" s="456"/>
      <c r="AOH7" s="456"/>
      <c r="AOI7" s="456"/>
      <c r="AOJ7" s="456"/>
      <c r="AOK7" s="456"/>
      <c r="AOL7" s="456"/>
      <c r="AOM7" s="456"/>
      <c r="AON7" s="456"/>
      <c r="AOO7" s="456"/>
      <c r="AOP7" s="456"/>
      <c r="AOQ7" s="456"/>
      <c r="AOR7" s="456"/>
      <c r="AOS7" s="456"/>
      <c r="AOT7" s="456"/>
      <c r="AOU7" s="456"/>
      <c r="AOV7" s="456"/>
      <c r="AOW7" s="456"/>
      <c r="AOX7" s="456"/>
      <c r="AOY7" s="456"/>
      <c r="AOZ7" s="456"/>
      <c r="APA7" s="456"/>
      <c r="APB7" s="456"/>
      <c r="APC7" s="456"/>
      <c r="APD7" s="456"/>
      <c r="APE7" s="456"/>
      <c r="APF7" s="456"/>
      <c r="APG7" s="456"/>
      <c r="APH7" s="456"/>
      <c r="API7" s="456"/>
      <c r="APJ7" s="456"/>
      <c r="APK7" s="456"/>
      <c r="APL7" s="456"/>
      <c r="APM7" s="456"/>
      <c r="APN7" s="456"/>
      <c r="APO7" s="456"/>
      <c r="APP7" s="456"/>
      <c r="APQ7" s="456"/>
      <c r="APR7" s="456"/>
      <c r="APS7" s="456"/>
      <c r="APT7" s="456"/>
      <c r="APU7" s="456"/>
      <c r="APV7" s="456"/>
      <c r="APW7" s="456"/>
      <c r="APX7" s="456"/>
      <c r="APY7" s="456"/>
      <c r="APZ7" s="456"/>
      <c r="AQA7" s="456"/>
      <c r="AQB7" s="456"/>
      <c r="AQC7" s="456"/>
      <c r="AQD7" s="456"/>
      <c r="AQE7" s="456"/>
      <c r="AQF7" s="456"/>
      <c r="AQG7" s="456"/>
      <c r="AQH7" s="456"/>
      <c r="AQI7" s="456"/>
      <c r="AQJ7" s="456"/>
      <c r="AQK7" s="456"/>
      <c r="AQL7" s="456"/>
      <c r="AQM7" s="456"/>
      <c r="AQN7" s="456"/>
      <c r="AQO7" s="456"/>
      <c r="AQP7" s="456"/>
      <c r="AQQ7" s="456"/>
      <c r="AQR7" s="456"/>
      <c r="AQS7" s="456"/>
      <c r="AQT7" s="456"/>
      <c r="AQU7" s="456"/>
      <c r="AQV7" s="456"/>
      <c r="AQW7" s="456"/>
      <c r="AQX7" s="456"/>
      <c r="AQY7" s="456"/>
      <c r="AQZ7" s="456"/>
      <c r="ARA7" s="456"/>
      <c r="ARB7" s="456"/>
      <c r="ARC7" s="456"/>
      <c r="ARD7" s="456"/>
      <c r="ARE7" s="456"/>
      <c r="ARF7" s="456"/>
      <c r="ARG7" s="456"/>
      <c r="ARH7" s="456"/>
      <c r="ARI7" s="456"/>
      <c r="ARJ7" s="456"/>
      <c r="ARK7" s="456"/>
      <c r="ARL7" s="456"/>
      <c r="ARM7" s="456"/>
      <c r="ARN7" s="456"/>
      <c r="ARO7" s="456"/>
      <c r="ARP7" s="456"/>
      <c r="ARQ7" s="456"/>
      <c r="ARR7" s="456"/>
      <c r="ARS7" s="456"/>
      <c r="ART7" s="456"/>
      <c r="ARU7" s="456"/>
      <c r="ARV7" s="456"/>
      <c r="ARW7" s="456"/>
      <c r="ARX7" s="456"/>
      <c r="ARY7" s="456"/>
      <c r="ARZ7" s="456"/>
      <c r="ASA7" s="456"/>
      <c r="ASB7" s="456"/>
      <c r="ASC7" s="456"/>
      <c r="ASD7" s="456"/>
      <c r="ASE7" s="456"/>
      <c r="ASF7" s="456"/>
      <c r="ASG7" s="456"/>
      <c r="ASH7" s="456"/>
      <c r="ASI7" s="456"/>
      <c r="ASJ7" s="456"/>
      <c r="ASK7" s="456"/>
      <c r="ASL7" s="456"/>
      <c r="ASM7" s="456"/>
      <c r="ASN7" s="456"/>
      <c r="ASO7" s="456"/>
      <c r="ASP7" s="456"/>
      <c r="ASQ7" s="456"/>
      <c r="ASR7" s="456"/>
      <c r="ASS7" s="456"/>
      <c r="AST7" s="456"/>
      <c r="ASU7" s="456"/>
      <c r="ASV7" s="456"/>
      <c r="ASW7" s="456"/>
      <c r="ASX7" s="456"/>
      <c r="ASY7" s="456"/>
      <c r="ASZ7" s="456"/>
      <c r="ATA7" s="456"/>
      <c r="ATB7" s="456"/>
      <c r="ATC7" s="456"/>
      <c r="ATD7" s="456"/>
      <c r="ATE7" s="456"/>
      <c r="ATF7" s="456"/>
      <c r="ATG7" s="456"/>
      <c r="ATH7" s="456"/>
      <c r="ATI7" s="456"/>
      <c r="ATJ7" s="456"/>
      <c r="ATK7" s="456"/>
      <c r="ATL7" s="456"/>
      <c r="ATM7" s="456"/>
      <c r="ATN7" s="456"/>
      <c r="ATO7" s="456"/>
      <c r="ATP7" s="456"/>
      <c r="ATQ7" s="456"/>
      <c r="ATR7" s="456"/>
      <c r="ATS7" s="456"/>
      <c r="ATT7" s="456"/>
      <c r="ATU7" s="456"/>
      <c r="ATV7" s="456"/>
      <c r="ATW7" s="456"/>
      <c r="ATX7" s="456"/>
      <c r="ATY7" s="456"/>
      <c r="ATZ7" s="456"/>
      <c r="AUA7" s="456"/>
      <c r="AUB7" s="456"/>
      <c r="AUC7" s="456"/>
      <c r="AUD7" s="456"/>
      <c r="AUE7" s="456"/>
      <c r="AUF7" s="456"/>
      <c r="AUG7" s="456"/>
      <c r="AUH7" s="456"/>
      <c r="AUI7" s="456"/>
      <c r="AUJ7" s="456"/>
      <c r="AUK7" s="456"/>
      <c r="AUL7" s="456"/>
      <c r="AUM7" s="456"/>
      <c r="AUN7" s="456"/>
      <c r="AUO7" s="456"/>
      <c r="AUP7" s="456"/>
      <c r="AUQ7" s="456"/>
      <c r="AUR7" s="456"/>
      <c r="AUS7" s="456"/>
      <c r="AUT7" s="456"/>
      <c r="AUU7" s="456"/>
      <c r="AUV7" s="456"/>
      <c r="AUW7" s="456"/>
      <c r="AUX7" s="456"/>
      <c r="AUY7" s="456"/>
      <c r="AUZ7" s="456"/>
      <c r="AVA7" s="456"/>
      <c r="AVB7" s="456"/>
      <c r="AVC7" s="456"/>
      <c r="AVD7" s="456"/>
      <c r="AVE7" s="456"/>
      <c r="AVF7" s="456"/>
      <c r="AVG7" s="456"/>
      <c r="AVH7" s="456"/>
      <c r="AVI7" s="456"/>
      <c r="AVJ7" s="456"/>
      <c r="AVK7" s="456"/>
      <c r="AVL7" s="456"/>
      <c r="AVM7" s="456"/>
      <c r="AVN7" s="456"/>
      <c r="AVO7" s="456"/>
      <c r="AVP7" s="456"/>
      <c r="AVQ7" s="456"/>
      <c r="AVR7" s="456"/>
      <c r="AVS7" s="456"/>
      <c r="AVT7" s="456"/>
      <c r="AVU7" s="456"/>
      <c r="AVV7" s="456"/>
      <c r="AVW7" s="456"/>
      <c r="AVX7" s="456"/>
      <c r="AVY7" s="456"/>
      <c r="AVZ7" s="456"/>
      <c r="AWA7" s="456"/>
      <c r="AWB7" s="456"/>
      <c r="AWC7" s="456"/>
      <c r="AWD7" s="456"/>
      <c r="AWE7" s="456"/>
      <c r="AWF7" s="456"/>
      <c r="AWG7" s="456"/>
      <c r="AWH7" s="456"/>
      <c r="AWI7" s="456"/>
      <c r="AWJ7" s="456"/>
      <c r="AWK7" s="456"/>
      <c r="AWL7" s="456"/>
      <c r="AWM7" s="456"/>
      <c r="AWN7" s="456"/>
      <c r="AWO7" s="456"/>
      <c r="AWP7" s="456"/>
      <c r="AWQ7" s="456"/>
      <c r="AWR7" s="456"/>
      <c r="AWS7" s="456"/>
      <c r="AWT7" s="456"/>
      <c r="AWU7" s="456"/>
      <c r="AWV7" s="456"/>
      <c r="AWW7" s="456"/>
      <c r="AWX7" s="456"/>
      <c r="AWY7" s="456"/>
      <c r="AWZ7" s="456"/>
      <c r="AXA7" s="456"/>
      <c r="AXB7" s="456"/>
      <c r="AXC7" s="456"/>
      <c r="AXD7" s="456"/>
      <c r="AXE7" s="456"/>
      <c r="AXF7" s="456"/>
      <c r="AXG7" s="456"/>
      <c r="AXH7" s="456"/>
      <c r="AXI7" s="456"/>
      <c r="AXJ7" s="456"/>
      <c r="AXK7" s="456"/>
      <c r="AXL7" s="456"/>
      <c r="AXM7" s="456"/>
      <c r="AXN7" s="456"/>
      <c r="AXO7" s="456"/>
      <c r="AXP7" s="456"/>
      <c r="AXQ7" s="456"/>
      <c r="AXR7" s="456"/>
      <c r="AXS7" s="456"/>
      <c r="AXT7" s="456"/>
      <c r="AXU7" s="456"/>
      <c r="AXV7" s="456"/>
      <c r="AXW7" s="456"/>
      <c r="AXX7" s="456"/>
      <c r="AXY7" s="456"/>
      <c r="AXZ7" s="456"/>
      <c r="AYA7" s="456"/>
      <c r="AYB7" s="456"/>
      <c r="AYC7" s="456"/>
      <c r="AYD7" s="456"/>
      <c r="AYE7" s="456"/>
      <c r="AYF7" s="456"/>
      <c r="AYG7" s="456"/>
      <c r="AYH7" s="456"/>
      <c r="AYI7" s="456"/>
      <c r="AYJ7" s="456"/>
      <c r="AYK7" s="456"/>
      <c r="AYL7" s="456"/>
      <c r="AYM7" s="456"/>
      <c r="AYN7" s="456"/>
      <c r="AYO7" s="456"/>
      <c r="AYP7" s="456"/>
      <c r="AYQ7" s="456"/>
      <c r="AYR7" s="456"/>
      <c r="AYS7" s="456"/>
      <c r="AYT7" s="456"/>
      <c r="AYU7" s="456"/>
      <c r="AYV7" s="456"/>
      <c r="AYW7" s="456"/>
      <c r="AYX7" s="456"/>
      <c r="AYY7" s="456"/>
      <c r="AYZ7" s="456"/>
      <c r="AZA7" s="456"/>
      <c r="AZB7" s="456"/>
      <c r="AZC7" s="456"/>
      <c r="AZD7" s="456"/>
      <c r="AZE7" s="456"/>
      <c r="AZF7" s="456"/>
      <c r="AZG7" s="456"/>
      <c r="AZH7" s="456"/>
      <c r="AZI7" s="456"/>
      <c r="AZJ7" s="456"/>
      <c r="AZK7" s="456"/>
      <c r="AZL7" s="456"/>
      <c r="AZM7" s="456"/>
      <c r="AZN7" s="456"/>
      <c r="AZO7" s="456"/>
      <c r="AZP7" s="456"/>
      <c r="AZQ7" s="456"/>
      <c r="AZR7" s="456"/>
      <c r="AZS7" s="456"/>
      <c r="AZT7" s="456"/>
      <c r="AZU7" s="456"/>
      <c r="AZV7" s="456"/>
      <c r="AZW7" s="456"/>
      <c r="AZX7" s="456"/>
      <c r="AZY7" s="456"/>
      <c r="AZZ7" s="456"/>
      <c r="BAA7" s="456"/>
      <c r="BAB7" s="456"/>
      <c r="BAC7" s="456"/>
      <c r="BAD7" s="456"/>
      <c r="BAE7" s="456"/>
      <c r="BAF7" s="456"/>
      <c r="BAG7" s="456"/>
      <c r="BAH7" s="456"/>
      <c r="BAI7" s="456"/>
      <c r="BAJ7" s="456"/>
      <c r="BAK7" s="456"/>
      <c r="BAL7" s="456"/>
      <c r="BAM7" s="456"/>
      <c r="BAN7" s="456"/>
      <c r="BAO7" s="456"/>
      <c r="BAP7" s="456"/>
      <c r="BAQ7" s="456"/>
      <c r="BAR7" s="456"/>
      <c r="BAS7" s="456"/>
      <c r="BAT7" s="456"/>
      <c r="BAU7" s="456"/>
      <c r="BAV7" s="456"/>
      <c r="BAW7" s="456"/>
      <c r="BAX7" s="456"/>
      <c r="BAY7" s="456"/>
      <c r="BAZ7" s="456"/>
      <c r="BBA7" s="456"/>
      <c r="BBB7" s="456"/>
      <c r="BBC7" s="456"/>
      <c r="BBD7" s="456"/>
      <c r="BBE7" s="456"/>
      <c r="BBF7" s="456"/>
      <c r="BBG7" s="456"/>
      <c r="BBH7" s="456"/>
      <c r="BBI7" s="456"/>
      <c r="BBJ7" s="456"/>
      <c r="BBK7" s="456"/>
      <c r="BBL7" s="456"/>
      <c r="BBM7" s="456"/>
      <c r="BBN7" s="456"/>
      <c r="BBO7" s="456"/>
      <c r="BBP7" s="456"/>
      <c r="BBQ7" s="456"/>
      <c r="BBR7" s="456"/>
      <c r="BBS7" s="456"/>
      <c r="BBT7" s="456"/>
      <c r="BBU7" s="456"/>
      <c r="BBV7" s="456"/>
      <c r="BBW7" s="456"/>
      <c r="BBX7" s="456"/>
      <c r="BBY7" s="456"/>
      <c r="BBZ7" s="456"/>
      <c r="BCA7" s="456"/>
      <c r="BCB7" s="456"/>
      <c r="BCC7" s="456"/>
      <c r="BCD7" s="456"/>
      <c r="BCE7" s="456"/>
      <c r="BCF7" s="456"/>
      <c r="BCG7" s="456"/>
      <c r="BCH7" s="456"/>
      <c r="BCI7" s="456"/>
      <c r="BCJ7" s="456"/>
      <c r="BCK7" s="456"/>
      <c r="BCL7" s="456"/>
      <c r="BCM7" s="456"/>
      <c r="BCN7" s="456"/>
      <c r="BCO7" s="456"/>
      <c r="BCP7" s="456"/>
      <c r="BCQ7" s="456"/>
      <c r="BCR7" s="456"/>
      <c r="BCS7" s="456"/>
      <c r="BCT7" s="456"/>
      <c r="BCU7" s="456"/>
      <c r="BCV7" s="456"/>
      <c r="BCW7" s="456"/>
      <c r="BCX7" s="456"/>
      <c r="BCY7" s="456"/>
      <c r="BCZ7" s="456"/>
      <c r="BDA7" s="456"/>
      <c r="BDB7" s="456"/>
      <c r="BDC7" s="456"/>
      <c r="BDD7" s="456"/>
      <c r="BDE7" s="456"/>
      <c r="BDF7" s="456"/>
      <c r="BDG7" s="456"/>
      <c r="BDH7" s="456"/>
      <c r="BDI7" s="456"/>
      <c r="BDJ7" s="456"/>
      <c r="BDK7" s="456"/>
      <c r="BDL7" s="456"/>
      <c r="BDM7" s="456"/>
      <c r="BDN7" s="456"/>
      <c r="BDO7" s="456"/>
      <c r="BDP7" s="456"/>
      <c r="BDQ7" s="456"/>
      <c r="BDR7" s="456"/>
      <c r="BDS7" s="456"/>
      <c r="BDT7" s="456"/>
      <c r="BDU7" s="456"/>
      <c r="BDV7" s="456"/>
      <c r="BDW7" s="456"/>
      <c r="BDX7" s="456"/>
      <c r="BDY7" s="456"/>
      <c r="BDZ7" s="456"/>
      <c r="BEA7" s="456"/>
      <c r="BEB7" s="456"/>
      <c r="BEC7" s="456"/>
      <c r="BED7" s="456"/>
      <c r="BEE7" s="456"/>
      <c r="BEF7" s="456"/>
      <c r="BEG7" s="456"/>
      <c r="BEH7" s="456"/>
      <c r="BEI7" s="456"/>
      <c r="BEJ7" s="456"/>
      <c r="BEK7" s="456"/>
      <c r="BEL7" s="456"/>
      <c r="BEM7" s="456"/>
      <c r="BEN7" s="456"/>
      <c r="BEO7" s="456"/>
      <c r="BEP7" s="456"/>
      <c r="BEQ7" s="456"/>
      <c r="BER7" s="456"/>
      <c r="BES7" s="456"/>
      <c r="BET7" s="456"/>
      <c r="BEU7" s="456"/>
      <c r="BEV7" s="456"/>
      <c r="BEW7" s="456"/>
      <c r="BEX7" s="456"/>
      <c r="BEY7" s="456"/>
      <c r="BEZ7" s="456"/>
      <c r="BFA7" s="456"/>
      <c r="BFB7" s="456"/>
      <c r="BFC7" s="456"/>
      <c r="BFD7" s="456"/>
      <c r="BFE7" s="456"/>
      <c r="BFF7" s="456"/>
      <c r="BFG7" s="456"/>
      <c r="BFH7" s="456"/>
      <c r="BFI7" s="456"/>
      <c r="BFJ7" s="456"/>
      <c r="BFK7" s="456"/>
      <c r="BFL7" s="456"/>
      <c r="BFM7" s="456"/>
      <c r="BFN7" s="456"/>
      <c r="BFO7" s="456"/>
      <c r="BFP7" s="456"/>
      <c r="BFQ7" s="456"/>
      <c r="BFR7" s="456"/>
      <c r="BFS7" s="456"/>
      <c r="BFT7" s="456"/>
      <c r="BFU7" s="456"/>
      <c r="BFV7" s="456"/>
      <c r="BFW7" s="456"/>
      <c r="BFX7" s="456"/>
      <c r="BFY7" s="456"/>
      <c r="BFZ7" s="456"/>
      <c r="BGA7" s="456"/>
      <c r="BGB7" s="456"/>
      <c r="BGC7" s="456"/>
      <c r="BGD7" s="456"/>
      <c r="BGE7" s="456"/>
      <c r="BGF7" s="456"/>
      <c r="BGG7" s="456"/>
      <c r="BGH7" s="456"/>
      <c r="BGI7" s="456"/>
      <c r="BGJ7" s="456"/>
      <c r="BGK7" s="456"/>
      <c r="BGL7" s="456"/>
      <c r="BGM7" s="456"/>
      <c r="BGN7" s="456"/>
      <c r="BGO7" s="456"/>
      <c r="BGP7" s="456"/>
      <c r="BGQ7" s="456"/>
      <c r="BGR7" s="456"/>
      <c r="BGS7" s="456"/>
      <c r="BGT7" s="456"/>
      <c r="BGU7" s="456"/>
      <c r="BGV7" s="456"/>
      <c r="BGW7" s="456"/>
      <c r="BGX7" s="456"/>
      <c r="BGY7" s="456"/>
      <c r="BGZ7" s="456"/>
      <c r="BHA7" s="456"/>
      <c r="BHB7" s="456"/>
      <c r="BHC7" s="456"/>
      <c r="BHD7" s="456"/>
      <c r="BHE7" s="456"/>
      <c r="BHF7" s="456"/>
      <c r="BHG7" s="456"/>
      <c r="BHH7" s="456"/>
      <c r="BHI7" s="456"/>
      <c r="BHJ7" s="456"/>
      <c r="BHK7" s="456"/>
      <c r="BHL7" s="456"/>
      <c r="BHM7" s="456"/>
      <c r="BHN7" s="456"/>
      <c r="BHO7" s="456"/>
      <c r="BHP7" s="456"/>
      <c r="BHQ7" s="456"/>
      <c r="BHR7" s="456"/>
      <c r="BHS7" s="456"/>
      <c r="BHT7" s="456"/>
      <c r="BHU7" s="456"/>
      <c r="BHV7" s="456"/>
      <c r="BHW7" s="456"/>
      <c r="BHX7" s="456"/>
      <c r="BHY7" s="456"/>
      <c r="BHZ7" s="456"/>
      <c r="BIA7" s="456"/>
      <c r="BIB7" s="456"/>
      <c r="BIC7" s="456"/>
      <c r="BID7" s="456"/>
      <c r="BIE7" s="456"/>
      <c r="BIF7" s="456"/>
      <c r="BIG7" s="456"/>
      <c r="BIH7" s="456"/>
      <c r="BII7" s="456"/>
      <c r="BIJ7" s="456"/>
      <c r="BIK7" s="456"/>
      <c r="BIL7" s="456"/>
      <c r="BIM7" s="456"/>
      <c r="BIN7" s="456"/>
      <c r="BIO7" s="456"/>
      <c r="BIP7" s="456"/>
      <c r="BIQ7" s="456"/>
      <c r="BIR7" s="456"/>
      <c r="BIS7" s="456"/>
      <c r="BIT7" s="456"/>
      <c r="BIU7" s="456"/>
      <c r="BIV7" s="456"/>
      <c r="BIW7" s="456"/>
      <c r="BIX7" s="456"/>
      <c r="BIY7" s="456"/>
      <c r="BIZ7" s="456"/>
      <c r="BJA7" s="456"/>
      <c r="BJB7" s="456"/>
      <c r="BJC7" s="456"/>
      <c r="BJD7" s="456"/>
      <c r="BJE7" s="456"/>
      <c r="BJF7" s="456"/>
      <c r="BJG7" s="456"/>
      <c r="BJH7" s="456"/>
      <c r="BJI7" s="456"/>
      <c r="BJJ7" s="456"/>
      <c r="BJK7" s="456"/>
      <c r="BJL7" s="456"/>
      <c r="BJM7" s="456"/>
      <c r="BJN7" s="456"/>
      <c r="BJO7" s="456"/>
      <c r="BJP7" s="456"/>
      <c r="BJQ7" s="456"/>
      <c r="BJR7" s="456"/>
      <c r="BJS7" s="456"/>
      <c r="BJT7" s="456"/>
      <c r="BJU7" s="456"/>
      <c r="BJV7" s="456"/>
      <c r="BJW7" s="456"/>
      <c r="BJX7" s="456"/>
      <c r="BJY7" s="456"/>
      <c r="BJZ7" s="456"/>
      <c r="BKA7" s="456"/>
      <c r="BKB7" s="456"/>
      <c r="BKC7" s="456"/>
      <c r="BKD7" s="456"/>
      <c r="BKE7" s="456"/>
      <c r="BKF7" s="456"/>
      <c r="BKG7" s="456"/>
      <c r="BKH7" s="456"/>
      <c r="BKI7" s="456"/>
      <c r="BKJ7" s="456"/>
      <c r="BKK7" s="456"/>
      <c r="BKL7" s="456"/>
      <c r="BKM7" s="456"/>
      <c r="BKN7" s="456"/>
      <c r="BKO7" s="456"/>
      <c r="BKP7" s="456"/>
      <c r="BKQ7" s="456"/>
      <c r="BKR7" s="456"/>
      <c r="BKS7" s="456"/>
      <c r="BKT7" s="456"/>
      <c r="BKU7" s="456"/>
      <c r="BKV7" s="456"/>
      <c r="BKW7" s="456"/>
      <c r="BKX7" s="456"/>
      <c r="BKY7" s="456"/>
      <c r="BKZ7" s="456"/>
      <c r="BLA7" s="456"/>
      <c r="BLB7" s="456"/>
      <c r="BLC7" s="456"/>
      <c r="BLD7" s="456"/>
      <c r="BLE7" s="456"/>
      <c r="BLF7" s="456"/>
      <c r="BLG7" s="456"/>
      <c r="BLH7" s="456"/>
      <c r="BLI7" s="456"/>
      <c r="BLJ7" s="456"/>
      <c r="BLK7" s="456"/>
      <c r="BLL7" s="456"/>
      <c r="BLM7" s="456"/>
      <c r="BLN7" s="456"/>
      <c r="BLO7" s="456"/>
      <c r="BLP7" s="456"/>
      <c r="BLQ7" s="456"/>
      <c r="BLR7" s="456"/>
      <c r="BLS7" s="456"/>
      <c r="BLT7" s="456"/>
      <c r="BLU7" s="456"/>
      <c r="BLV7" s="456"/>
      <c r="BLW7" s="456"/>
      <c r="BLX7" s="456"/>
      <c r="BLY7" s="456"/>
      <c r="BLZ7" s="456"/>
      <c r="BMA7" s="456"/>
      <c r="BMB7" s="456"/>
      <c r="BMC7" s="456"/>
      <c r="BMD7" s="456"/>
      <c r="BME7" s="456"/>
      <c r="BMF7" s="456"/>
      <c r="BMG7" s="456"/>
      <c r="BMH7" s="456"/>
      <c r="BMI7" s="456"/>
      <c r="BMJ7" s="456"/>
      <c r="BMK7" s="456"/>
      <c r="BML7" s="456"/>
      <c r="BMM7" s="456"/>
      <c r="BMN7" s="456"/>
      <c r="BMO7" s="456"/>
      <c r="BMP7" s="456"/>
      <c r="BMQ7" s="456"/>
      <c r="BMR7" s="456"/>
      <c r="BMS7" s="456"/>
      <c r="BMT7" s="456"/>
      <c r="BMU7" s="456"/>
      <c r="BMV7" s="456"/>
      <c r="BMW7" s="456"/>
      <c r="BMX7" s="456"/>
      <c r="BMY7" s="456"/>
      <c r="BMZ7" s="456"/>
      <c r="BNA7" s="456"/>
      <c r="BNB7" s="456"/>
      <c r="BNC7" s="456"/>
      <c r="BND7" s="456"/>
      <c r="BNE7" s="456"/>
      <c r="BNF7" s="456"/>
      <c r="BNG7" s="456"/>
      <c r="BNH7" s="456"/>
      <c r="BNI7" s="456"/>
      <c r="BNJ7" s="456"/>
      <c r="BNK7" s="456"/>
      <c r="BNL7" s="456"/>
      <c r="BNM7" s="456"/>
      <c r="BNN7" s="456"/>
      <c r="BNO7" s="456"/>
      <c r="BNP7" s="456"/>
      <c r="BNQ7" s="456"/>
      <c r="BNR7" s="456"/>
      <c r="BNS7" s="456"/>
      <c r="BNT7" s="456"/>
      <c r="BNU7" s="456"/>
      <c r="BNV7" s="456"/>
      <c r="BNW7" s="456"/>
      <c r="BNX7" s="456"/>
      <c r="BNY7" s="456"/>
      <c r="BNZ7" s="456"/>
      <c r="BOA7" s="456"/>
      <c r="BOB7" s="456"/>
      <c r="BOC7" s="456"/>
      <c r="BOD7" s="456"/>
      <c r="BOE7" s="456"/>
      <c r="BOF7" s="456"/>
      <c r="BOG7" s="456"/>
      <c r="BOH7" s="456"/>
      <c r="BOI7" s="456"/>
      <c r="BOJ7" s="456"/>
      <c r="BOK7" s="456"/>
      <c r="BOL7" s="456"/>
      <c r="BOM7" s="456"/>
      <c r="BON7" s="456"/>
      <c r="BOO7" s="456"/>
      <c r="BOP7" s="456"/>
      <c r="BOQ7" s="456"/>
      <c r="BOR7" s="456"/>
      <c r="BOS7" s="456"/>
      <c r="BOT7" s="456"/>
      <c r="BOU7" s="456"/>
      <c r="BOV7" s="456"/>
      <c r="BOW7" s="456"/>
      <c r="BOX7" s="456"/>
      <c r="BOY7" s="456"/>
      <c r="BOZ7" s="456"/>
      <c r="BPA7" s="456"/>
      <c r="BPB7" s="456"/>
      <c r="BPC7" s="456"/>
      <c r="BPD7" s="456"/>
      <c r="BPE7" s="456"/>
      <c r="BPF7" s="456"/>
      <c r="BPG7" s="456"/>
      <c r="BPH7" s="456"/>
      <c r="BPI7" s="456"/>
      <c r="BPJ7" s="456"/>
      <c r="BPK7" s="456"/>
      <c r="BPL7" s="456"/>
      <c r="BPM7" s="456"/>
      <c r="BPN7" s="456"/>
      <c r="BPO7" s="456"/>
      <c r="BPP7" s="456"/>
      <c r="BPQ7" s="456"/>
      <c r="BPR7" s="456"/>
      <c r="BPS7" s="456"/>
      <c r="BPT7" s="456"/>
      <c r="BPU7" s="456"/>
      <c r="BPV7" s="456"/>
      <c r="BPW7" s="456"/>
      <c r="BPX7" s="456"/>
      <c r="BPY7" s="456"/>
      <c r="BPZ7" s="456"/>
      <c r="BQA7" s="456"/>
      <c r="BQB7" s="456"/>
      <c r="BQC7" s="456"/>
      <c r="BQD7" s="456"/>
      <c r="BQE7" s="456"/>
      <c r="BQF7" s="456"/>
      <c r="BQG7" s="456"/>
      <c r="BQH7" s="456"/>
      <c r="BQI7" s="456"/>
      <c r="BQJ7" s="456"/>
      <c r="BQK7" s="456"/>
      <c r="BQL7" s="456"/>
      <c r="BQM7" s="456"/>
      <c r="BQN7" s="456"/>
      <c r="BQO7" s="456"/>
      <c r="BQP7" s="456"/>
      <c r="BQQ7" s="456"/>
      <c r="BQR7" s="456"/>
      <c r="BQS7" s="456"/>
      <c r="BQT7" s="456"/>
      <c r="BQU7" s="456"/>
      <c r="BQV7" s="456"/>
      <c r="BQW7" s="456"/>
      <c r="BQX7" s="456"/>
      <c r="BQY7" s="456"/>
      <c r="BQZ7" s="456"/>
      <c r="BRA7" s="456"/>
      <c r="BRB7" s="456"/>
      <c r="BRC7" s="456"/>
      <c r="BRD7" s="456"/>
      <c r="BRE7" s="456"/>
      <c r="BRF7" s="456"/>
      <c r="BRG7" s="456"/>
      <c r="BRH7" s="456"/>
      <c r="BRI7" s="456"/>
      <c r="BRJ7" s="456"/>
      <c r="BRK7" s="456"/>
      <c r="BRL7" s="456"/>
      <c r="BRM7" s="456"/>
      <c r="BRN7" s="456"/>
      <c r="BRO7" s="456"/>
      <c r="BRP7" s="456"/>
      <c r="BRQ7" s="456"/>
      <c r="BRR7" s="456"/>
      <c r="BRS7" s="456"/>
      <c r="BRT7" s="456"/>
      <c r="BRU7" s="456"/>
      <c r="BRV7" s="456"/>
      <c r="BRW7" s="456"/>
      <c r="BRX7" s="456"/>
      <c r="BRY7" s="456"/>
      <c r="BRZ7" s="456"/>
      <c r="BSA7" s="456"/>
      <c r="BSB7" s="456"/>
      <c r="BSC7" s="456"/>
      <c r="BSD7" s="456"/>
      <c r="BSE7" s="456"/>
      <c r="BSF7" s="456"/>
      <c r="BSG7" s="456"/>
      <c r="BSH7" s="456"/>
      <c r="BSI7" s="456"/>
      <c r="BSJ7" s="456"/>
      <c r="BSK7" s="456"/>
      <c r="BSL7" s="456"/>
      <c r="BSM7" s="456"/>
      <c r="BSN7" s="456"/>
      <c r="BSO7" s="456"/>
      <c r="BSP7" s="456"/>
      <c r="BSQ7" s="456"/>
      <c r="BSR7" s="456"/>
      <c r="BSS7" s="456"/>
      <c r="BST7" s="456"/>
      <c r="BSU7" s="456"/>
      <c r="BSV7" s="456"/>
      <c r="BSW7" s="456"/>
      <c r="BSX7" s="456"/>
      <c r="BSY7" s="456"/>
      <c r="BSZ7" s="456"/>
      <c r="BTA7" s="456"/>
      <c r="BTB7" s="456"/>
      <c r="BTC7" s="456"/>
      <c r="BTD7" s="456"/>
      <c r="BTE7" s="456"/>
      <c r="BTF7" s="456"/>
      <c r="BTG7" s="456"/>
      <c r="BTH7" s="456"/>
      <c r="BTI7" s="456"/>
      <c r="BTJ7" s="456"/>
      <c r="BTK7" s="456"/>
      <c r="BTL7" s="456"/>
      <c r="BTM7" s="456"/>
      <c r="BTN7" s="456"/>
      <c r="BTO7" s="456"/>
      <c r="BTP7" s="456"/>
      <c r="BTQ7" s="456"/>
      <c r="BTR7" s="456"/>
      <c r="BTS7" s="456"/>
      <c r="BTT7" s="456"/>
      <c r="BTU7" s="456"/>
      <c r="BTV7" s="456"/>
      <c r="BTW7" s="456"/>
      <c r="BTX7" s="456"/>
      <c r="BTY7" s="456"/>
      <c r="BTZ7" s="456"/>
      <c r="BUA7" s="456"/>
      <c r="BUB7" s="456"/>
      <c r="BUC7" s="456"/>
      <c r="BUD7" s="456"/>
      <c r="BUE7" s="456"/>
      <c r="BUF7" s="456"/>
      <c r="BUG7" s="456"/>
      <c r="BUH7" s="456"/>
      <c r="BUI7" s="456"/>
      <c r="BUJ7" s="456"/>
      <c r="BUK7" s="456"/>
      <c r="BUL7" s="456"/>
      <c r="BUM7" s="456"/>
      <c r="BUN7" s="456"/>
      <c r="BUO7" s="456"/>
      <c r="BUP7" s="456"/>
      <c r="BUQ7" s="456"/>
      <c r="BUR7" s="456"/>
      <c r="BUS7" s="456"/>
      <c r="BUT7" s="456"/>
      <c r="BUU7" s="456"/>
      <c r="BUV7" s="456"/>
      <c r="BUW7" s="456"/>
      <c r="BUX7" s="456"/>
      <c r="BUY7" s="456"/>
      <c r="BUZ7" s="456"/>
      <c r="BVA7" s="456"/>
      <c r="BVB7" s="456"/>
      <c r="BVC7" s="456"/>
      <c r="BVD7" s="456"/>
      <c r="BVE7" s="456"/>
      <c r="BVF7" s="456"/>
      <c r="BVG7" s="456"/>
      <c r="BVH7" s="456"/>
      <c r="BVI7" s="456"/>
      <c r="BVJ7" s="456"/>
      <c r="BVK7" s="456"/>
      <c r="BVL7" s="456"/>
      <c r="BVM7" s="456"/>
      <c r="BVN7" s="456"/>
      <c r="BVO7" s="456"/>
      <c r="BVP7" s="456"/>
      <c r="BVQ7" s="456"/>
      <c r="BVR7" s="456"/>
      <c r="BVS7" s="456"/>
      <c r="BVT7" s="456"/>
      <c r="BVU7" s="456"/>
      <c r="BVV7" s="456"/>
      <c r="BVW7" s="456"/>
      <c r="BVX7" s="456"/>
      <c r="BVY7" s="456"/>
      <c r="BVZ7" s="456"/>
      <c r="BWA7" s="456"/>
      <c r="BWB7" s="456"/>
      <c r="BWC7" s="456"/>
      <c r="BWD7" s="456"/>
      <c r="BWE7" s="456"/>
      <c r="BWF7" s="456"/>
      <c r="BWG7" s="456"/>
      <c r="BWH7" s="456"/>
      <c r="BWI7" s="456"/>
      <c r="BWJ7" s="456"/>
      <c r="BWK7" s="456"/>
      <c r="BWL7" s="456"/>
      <c r="BWM7" s="456"/>
      <c r="BWN7" s="456"/>
      <c r="BWO7" s="456"/>
      <c r="BWP7" s="456"/>
      <c r="BWQ7" s="456"/>
      <c r="BWR7" s="456"/>
      <c r="BWS7" s="456"/>
      <c r="BWT7" s="456"/>
      <c r="BWU7" s="456"/>
      <c r="BWV7" s="456"/>
      <c r="BWW7" s="456"/>
      <c r="BWX7" s="456"/>
      <c r="BWY7" s="456"/>
      <c r="BWZ7" s="456"/>
      <c r="BXA7" s="456"/>
      <c r="BXB7" s="456"/>
      <c r="BXC7" s="456"/>
      <c r="BXD7" s="456"/>
      <c r="BXE7" s="456"/>
      <c r="BXF7" s="456"/>
      <c r="BXG7" s="456"/>
      <c r="BXH7" s="456"/>
      <c r="BXI7" s="456"/>
      <c r="BXJ7" s="456"/>
      <c r="BXK7" s="456"/>
      <c r="BXL7" s="456"/>
      <c r="BXM7" s="456"/>
      <c r="BXN7" s="456"/>
      <c r="BXO7" s="456"/>
      <c r="BXP7" s="456"/>
      <c r="BXQ7" s="456"/>
      <c r="BXR7" s="456"/>
      <c r="BXS7" s="456"/>
      <c r="BXT7" s="456"/>
      <c r="BXU7" s="456"/>
      <c r="BXV7" s="456"/>
      <c r="BXW7" s="456"/>
      <c r="BXX7" s="456"/>
      <c r="BXY7" s="456"/>
      <c r="BXZ7" s="456"/>
    </row>
    <row r="8" s="25" customFormat="1" spans="1:1024 1025:2002">
      <c r="A8" s="473"/>
      <c r="B8" s="19">
        <v>1108</v>
      </c>
      <c r="C8" s="183">
        <v>46126</v>
      </c>
      <c r="D8" s="17" t="s">
        <v>35</v>
      </c>
      <c r="E8" s="17" t="s">
        <v>36</v>
      </c>
      <c r="F8" s="17" t="s">
        <v>37</v>
      </c>
      <c r="G8" s="17"/>
      <c r="H8" s="19" t="s">
        <v>38</v>
      </c>
      <c r="I8" s="102" t="s">
        <v>38</v>
      </c>
      <c r="J8" s="17" t="s">
        <v>49</v>
      </c>
      <c r="K8" s="19">
        <v>800</v>
      </c>
      <c r="L8" s="91">
        <v>310</v>
      </c>
      <c r="M8" s="19"/>
      <c r="N8" s="19" t="s">
        <v>40</v>
      </c>
      <c r="O8" s="19" t="s">
        <v>50</v>
      </c>
      <c r="P8" s="19">
        <v>10000</v>
      </c>
      <c r="Q8" s="19">
        <v>8420</v>
      </c>
      <c r="R8" s="19">
        <f t="shared" si="0"/>
        <v>1580</v>
      </c>
      <c r="S8" s="19">
        <v>3375</v>
      </c>
      <c r="T8" s="19" t="s">
        <v>42</v>
      </c>
      <c r="U8" s="102" t="s">
        <v>51</v>
      </c>
      <c r="V8" s="186">
        <v>46127</v>
      </c>
      <c r="W8" s="17" t="s">
        <v>44</v>
      </c>
      <c r="X8" s="17"/>
      <c r="Y8" s="68">
        <v>46266</v>
      </c>
      <c r="Z8" s="17" t="s">
        <v>45</v>
      </c>
      <c r="AA8" s="17" t="s">
        <v>46</v>
      </c>
      <c r="AB8" s="17"/>
      <c r="AC8" s="102"/>
      <c r="AD8" s="65">
        <v>1870</v>
      </c>
      <c r="AE8" s="17" t="s">
        <v>48</v>
      </c>
      <c r="AF8" s="17"/>
      <c r="AG8" s="17"/>
      <c r="AH8" s="456"/>
      <c r="AI8" s="456"/>
      <c r="AJ8" s="456"/>
      <c r="AK8" s="456"/>
      <c r="AL8" s="456"/>
      <c r="AM8" s="456"/>
      <c r="AN8" s="456"/>
      <c r="AO8" s="456"/>
      <c r="AP8" s="456"/>
      <c r="AQ8" s="456"/>
      <c r="AR8" s="456"/>
      <c r="AS8" s="456"/>
      <c r="AT8" s="456"/>
      <c r="AU8" s="456"/>
      <c r="AV8" s="456"/>
      <c r="AW8" s="456"/>
      <c r="AX8" s="456"/>
      <c r="AY8" s="456"/>
      <c r="AZ8" s="456"/>
      <c r="BA8" s="456"/>
      <c r="BB8" s="456"/>
      <c r="BC8" s="456"/>
      <c r="BD8" s="456"/>
      <c r="BE8" s="456"/>
      <c r="BF8" s="456"/>
      <c r="BG8" s="456"/>
      <c r="BH8" s="456"/>
      <c r="BI8" s="456"/>
      <c r="BJ8" s="456"/>
      <c r="BK8" s="456"/>
      <c r="BL8" s="456"/>
      <c r="BM8" s="456"/>
      <c r="BN8" s="456"/>
      <c r="BO8" s="456"/>
      <c r="BP8" s="456"/>
      <c r="BQ8" s="456"/>
      <c r="BR8" s="456"/>
      <c r="BS8" s="456"/>
      <c r="BT8" s="456"/>
      <c r="BU8" s="456"/>
      <c r="BV8" s="456"/>
      <c r="BW8" s="456"/>
      <c r="BX8" s="456"/>
      <c r="BY8" s="456"/>
      <c r="BZ8" s="456"/>
      <c r="CA8" s="456"/>
      <c r="CB8" s="456"/>
      <c r="CC8" s="456"/>
      <c r="CD8" s="456"/>
      <c r="CE8" s="456"/>
      <c r="CF8" s="456"/>
      <c r="CG8" s="456"/>
      <c r="CH8" s="456"/>
      <c r="CI8" s="456"/>
      <c r="CJ8" s="456"/>
      <c r="CK8" s="456"/>
      <c r="CL8" s="456"/>
      <c r="CM8" s="456"/>
      <c r="CN8" s="456"/>
      <c r="CO8" s="456"/>
      <c r="CP8" s="456"/>
      <c r="CQ8" s="456"/>
      <c r="CR8" s="456"/>
      <c r="CS8" s="456"/>
      <c r="CT8" s="456"/>
      <c r="CU8" s="456"/>
      <c r="CV8" s="456"/>
      <c r="CW8" s="456"/>
      <c r="CX8" s="456"/>
      <c r="CY8" s="456"/>
      <c r="CZ8" s="456"/>
      <c r="DA8" s="456"/>
      <c r="DB8" s="456"/>
      <c r="DC8" s="456"/>
      <c r="DD8" s="456"/>
      <c r="DE8" s="456"/>
      <c r="DF8" s="456"/>
      <c r="DG8" s="456"/>
      <c r="DH8" s="456"/>
      <c r="DI8" s="456"/>
      <c r="DJ8" s="456"/>
      <c r="DK8" s="456"/>
      <c r="DL8" s="456"/>
      <c r="DM8" s="456"/>
      <c r="DN8" s="456"/>
      <c r="DO8" s="456"/>
      <c r="DP8" s="456"/>
      <c r="DQ8" s="456"/>
      <c r="DR8" s="456"/>
      <c r="DS8" s="456"/>
      <c r="DT8" s="456"/>
      <c r="DU8" s="456"/>
      <c r="DV8" s="456"/>
      <c r="DW8" s="456"/>
      <c r="DX8" s="456"/>
      <c r="DY8" s="456"/>
      <c r="DZ8" s="456"/>
      <c r="EA8" s="456"/>
      <c r="EB8" s="456"/>
      <c r="EC8" s="456"/>
      <c r="ED8" s="456"/>
      <c r="EE8" s="456"/>
      <c r="EF8" s="456"/>
      <c r="EG8" s="456"/>
      <c r="EH8" s="456"/>
      <c r="EI8" s="456"/>
      <c r="EJ8" s="456"/>
      <c r="EK8" s="456"/>
      <c r="EL8" s="456"/>
      <c r="EM8" s="456"/>
      <c r="EN8" s="456"/>
      <c r="EO8" s="456"/>
      <c r="EP8" s="456"/>
      <c r="EQ8" s="456"/>
      <c r="ER8" s="456"/>
      <c r="ES8" s="456"/>
      <c r="ET8" s="456"/>
      <c r="EU8" s="456"/>
      <c r="EV8" s="456"/>
      <c r="EW8" s="456"/>
      <c r="EX8" s="456"/>
      <c r="EY8" s="456"/>
      <c r="EZ8" s="456"/>
      <c r="FA8" s="456"/>
      <c r="FB8" s="456"/>
      <c r="FC8" s="456"/>
      <c r="FD8" s="456"/>
      <c r="FE8" s="456"/>
      <c r="FF8" s="456"/>
      <c r="FG8" s="456"/>
      <c r="FH8" s="456"/>
      <c r="FI8" s="456"/>
      <c r="FJ8" s="456"/>
      <c r="FK8" s="456"/>
      <c r="FL8" s="456"/>
      <c r="FM8" s="456"/>
      <c r="FN8" s="456"/>
      <c r="FO8" s="456"/>
      <c r="FP8" s="456"/>
      <c r="FQ8" s="456"/>
      <c r="FR8" s="456"/>
      <c r="FS8" s="456"/>
      <c r="FT8" s="456"/>
      <c r="FU8" s="456"/>
      <c r="FV8" s="456"/>
      <c r="FW8" s="456"/>
      <c r="FX8" s="456"/>
      <c r="FY8" s="456"/>
      <c r="FZ8" s="456"/>
      <c r="GA8" s="456"/>
      <c r="GB8" s="456"/>
      <c r="GC8" s="456"/>
      <c r="GD8" s="456"/>
      <c r="GE8" s="456"/>
      <c r="GF8" s="456"/>
      <c r="GG8" s="456"/>
      <c r="GH8" s="456"/>
      <c r="GI8" s="456"/>
      <c r="GJ8" s="456"/>
      <c r="GK8" s="456"/>
      <c r="GL8" s="456"/>
      <c r="GM8" s="456"/>
      <c r="GN8" s="456"/>
      <c r="GO8" s="456"/>
      <c r="GP8" s="456"/>
      <c r="GQ8" s="456"/>
      <c r="GR8" s="456"/>
      <c r="GS8" s="456"/>
      <c r="GT8" s="456"/>
      <c r="GU8" s="456"/>
      <c r="GV8" s="456"/>
      <c r="GW8" s="456"/>
      <c r="GX8" s="456"/>
      <c r="GY8" s="456"/>
      <c r="GZ8" s="456"/>
      <c r="HA8" s="456"/>
      <c r="HB8" s="456"/>
      <c r="HC8" s="456"/>
      <c r="HD8" s="456"/>
      <c r="HE8" s="456"/>
      <c r="HF8" s="456"/>
      <c r="HG8" s="456"/>
      <c r="HH8" s="456"/>
      <c r="HI8" s="456"/>
      <c r="HJ8" s="456"/>
      <c r="HK8" s="456"/>
      <c r="HL8" s="456"/>
      <c r="HM8" s="456"/>
      <c r="HN8" s="456"/>
      <c r="HO8" s="456"/>
      <c r="HP8" s="456"/>
      <c r="HQ8" s="456"/>
      <c r="HR8" s="456"/>
      <c r="HS8" s="456"/>
      <c r="HT8" s="456"/>
      <c r="HU8" s="456"/>
      <c r="HV8" s="456"/>
      <c r="HW8" s="456"/>
      <c r="HX8" s="456"/>
      <c r="HY8" s="456"/>
      <c r="HZ8" s="456"/>
      <c r="IA8" s="456"/>
      <c r="IB8" s="456"/>
      <c r="IC8" s="456"/>
      <c r="ID8" s="456"/>
      <c r="IE8" s="456"/>
      <c r="IF8" s="456"/>
      <c r="IG8" s="456"/>
      <c r="IH8" s="456"/>
      <c r="II8" s="456"/>
      <c r="IJ8" s="456"/>
      <c r="IK8" s="456"/>
      <c r="IL8" s="456"/>
      <c r="IM8" s="456"/>
      <c r="IN8" s="456"/>
      <c r="IO8" s="456"/>
      <c r="IP8" s="456"/>
      <c r="IQ8" s="456"/>
      <c r="IR8" s="456"/>
      <c r="IS8" s="456"/>
      <c r="IT8" s="456"/>
      <c r="IU8" s="456"/>
      <c r="IV8" s="456"/>
      <c r="IW8" s="456"/>
      <c r="IX8" s="456"/>
      <c r="IY8" s="456"/>
      <c r="IZ8" s="456"/>
      <c r="JA8" s="456"/>
      <c r="JB8" s="456"/>
      <c r="JC8" s="456"/>
      <c r="JD8" s="456"/>
      <c r="JE8" s="456"/>
      <c r="JF8" s="456"/>
      <c r="JG8" s="456"/>
      <c r="JH8" s="456"/>
      <c r="JI8" s="456"/>
      <c r="JJ8" s="456"/>
      <c r="JK8" s="456"/>
      <c r="JL8" s="456"/>
      <c r="JM8" s="456"/>
      <c r="JN8" s="456"/>
      <c r="JO8" s="456"/>
      <c r="JP8" s="456"/>
      <c r="JQ8" s="456"/>
      <c r="JR8" s="456"/>
      <c r="JS8" s="456"/>
      <c r="JT8" s="456"/>
      <c r="JU8" s="456"/>
      <c r="JV8" s="456"/>
      <c r="JW8" s="456"/>
      <c r="JX8" s="456"/>
      <c r="JY8" s="456"/>
      <c r="JZ8" s="456"/>
      <c r="KA8" s="456"/>
      <c r="KB8" s="456"/>
      <c r="KC8" s="456"/>
      <c r="KD8" s="456"/>
      <c r="KE8" s="456"/>
      <c r="KF8" s="456"/>
      <c r="KG8" s="456"/>
      <c r="KH8" s="456"/>
      <c r="KI8" s="456"/>
      <c r="KJ8" s="456"/>
      <c r="KK8" s="456"/>
      <c r="KL8" s="456"/>
      <c r="KM8" s="456"/>
      <c r="KN8" s="456"/>
      <c r="KO8" s="456"/>
      <c r="KP8" s="456"/>
      <c r="KQ8" s="456"/>
      <c r="KR8" s="456"/>
      <c r="KS8" s="456"/>
      <c r="KT8" s="456"/>
      <c r="KU8" s="456"/>
      <c r="KV8" s="456"/>
      <c r="KW8" s="456"/>
      <c r="KX8" s="456"/>
      <c r="KY8" s="456"/>
      <c r="KZ8" s="456"/>
      <c r="LA8" s="456"/>
      <c r="LB8" s="456"/>
      <c r="LC8" s="456"/>
      <c r="LD8" s="456"/>
      <c r="LE8" s="456"/>
      <c r="LF8" s="456"/>
      <c r="LG8" s="456"/>
      <c r="LH8" s="456"/>
      <c r="LI8" s="456"/>
      <c r="LJ8" s="456"/>
      <c r="LK8" s="456"/>
      <c r="LL8" s="456"/>
      <c r="LM8" s="456"/>
      <c r="LN8" s="456"/>
      <c r="LO8" s="456"/>
      <c r="LP8" s="456"/>
      <c r="LQ8" s="456"/>
      <c r="LR8" s="456"/>
      <c r="LS8" s="456"/>
      <c r="LT8" s="456"/>
      <c r="LU8" s="456"/>
      <c r="LV8" s="456"/>
      <c r="LW8" s="456"/>
      <c r="LX8" s="456"/>
      <c r="LY8" s="456"/>
      <c r="LZ8" s="456"/>
      <c r="MA8" s="456"/>
      <c r="MB8" s="456"/>
      <c r="MC8" s="456"/>
      <c r="MD8" s="456"/>
      <c r="ME8" s="456"/>
      <c r="MF8" s="456"/>
      <c r="MG8" s="456"/>
      <c r="MH8" s="456"/>
      <c r="MI8" s="456"/>
      <c r="MJ8" s="456"/>
      <c r="MK8" s="456"/>
      <c r="ML8" s="456"/>
      <c r="MM8" s="456"/>
      <c r="MN8" s="456"/>
      <c r="MO8" s="456"/>
      <c r="MP8" s="456"/>
      <c r="MQ8" s="456"/>
      <c r="MR8" s="456"/>
      <c r="MS8" s="456"/>
      <c r="MT8" s="456"/>
      <c r="MU8" s="456"/>
      <c r="MV8" s="456"/>
      <c r="MW8" s="456"/>
      <c r="MX8" s="456"/>
      <c r="MY8" s="456"/>
      <c r="MZ8" s="456"/>
      <c r="NA8" s="456"/>
      <c r="NB8" s="456"/>
      <c r="NC8" s="456"/>
      <c r="ND8" s="456"/>
      <c r="NE8" s="456"/>
      <c r="NF8" s="456"/>
      <c r="NG8" s="456"/>
      <c r="NH8" s="456"/>
      <c r="NI8" s="456"/>
      <c r="NJ8" s="456"/>
      <c r="NK8" s="456"/>
      <c r="NL8" s="456"/>
      <c r="NM8" s="456"/>
      <c r="NN8" s="456"/>
      <c r="NO8" s="456"/>
      <c r="NP8" s="456"/>
      <c r="NQ8" s="456"/>
      <c r="NR8" s="456"/>
      <c r="NS8" s="456"/>
      <c r="NT8" s="456"/>
      <c r="NU8" s="456"/>
      <c r="NV8" s="456"/>
      <c r="NW8" s="456"/>
      <c r="NX8" s="456"/>
      <c r="NY8" s="456"/>
      <c r="NZ8" s="456"/>
      <c r="OA8" s="456"/>
      <c r="OB8" s="456"/>
      <c r="OC8" s="456"/>
      <c r="OD8" s="456"/>
      <c r="OE8" s="456"/>
      <c r="OF8" s="456"/>
      <c r="OG8" s="456"/>
      <c r="OH8" s="456"/>
      <c r="OI8" s="456"/>
      <c r="OJ8" s="456"/>
      <c r="OK8" s="456"/>
      <c r="OL8" s="456"/>
      <c r="OM8" s="456"/>
      <c r="ON8" s="456"/>
      <c r="OO8" s="456"/>
      <c r="OP8" s="456"/>
      <c r="OQ8" s="456"/>
      <c r="OR8" s="456"/>
      <c r="OS8" s="456"/>
      <c r="OT8" s="456"/>
      <c r="OU8" s="456"/>
      <c r="OV8" s="456"/>
      <c r="OW8" s="456"/>
      <c r="OX8" s="456"/>
      <c r="OY8" s="456"/>
      <c r="OZ8" s="456"/>
      <c r="PA8" s="456"/>
      <c r="PB8" s="456"/>
      <c r="PC8" s="456"/>
      <c r="PD8" s="456"/>
      <c r="PE8" s="456"/>
      <c r="PF8" s="456"/>
      <c r="PG8" s="456"/>
      <c r="PH8" s="456"/>
      <c r="PI8" s="456"/>
      <c r="PJ8" s="456"/>
      <c r="PK8" s="456"/>
      <c r="PL8" s="456"/>
      <c r="PM8" s="456"/>
      <c r="PN8" s="456"/>
      <c r="PO8" s="456"/>
      <c r="PP8" s="456"/>
      <c r="PQ8" s="456"/>
      <c r="PR8" s="456"/>
      <c r="PS8" s="456"/>
      <c r="PT8" s="456"/>
      <c r="PU8" s="456"/>
      <c r="PV8" s="456"/>
      <c r="PW8" s="456"/>
      <c r="PX8" s="456"/>
      <c r="PY8" s="456"/>
      <c r="PZ8" s="456"/>
      <c r="QA8" s="456"/>
      <c r="QB8" s="456"/>
      <c r="QC8" s="456"/>
      <c r="QD8" s="456"/>
      <c r="QE8" s="456"/>
      <c r="QF8" s="456"/>
      <c r="QG8" s="456"/>
      <c r="QH8" s="456"/>
      <c r="QI8" s="456"/>
      <c r="QJ8" s="456"/>
      <c r="QK8" s="456"/>
      <c r="QL8" s="456"/>
      <c r="QM8" s="456"/>
      <c r="QN8" s="456"/>
      <c r="QO8" s="456"/>
      <c r="QP8" s="456"/>
      <c r="QQ8" s="456"/>
      <c r="QR8" s="456"/>
      <c r="QS8" s="456"/>
      <c r="QT8" s="456"/>
      <c r="QU8" s="456"/>
      <c r="QV8" s="456"/>
      <c r="QW8" s="456"/>
      <c r="QX8" s="456"/>
      <c r="QY8" s="456"/>
      <c r="QZ8" s="456"/>
      <c r="RA8" s="456"/>
      <c r="RB8" s="456"/>
      <c r="RC8" s="456"/>
      <c r="RD8" s="456"/>
      <c r="RE8" s="456"/>
      <c r="RF8" s="456"/>
      <c r="RG8" s="456"/>
      <c r="RH8" s="456"/>
      <c r="RI8" s="456"/>
      <c r="RJ8" s="456"/>
      <c r="RK8" s="456"/>
      <c r="RL8" s="456"/>
      <c r="RM8" s="456"/>
      <c r="RN8" s="456"/>
      <c r="RO8" s="456"/>
      <c r="RP8" s="456"/>
      <c r="RQ8" s="456"/>
      <c r="RR8" s="456"/>
      <c r="RS8" s="456"/>
      <c r="RT8" s="456"/>
      <c r="RU8" s="456"/>
      <c r="RV8" s="456"/>
      <c r="RW8" s="456"/>
      <c r="RX8" s="456"/>
      <c r="RY8" s="456"/>
      <c r="RZ8" s="456"/>
      <c r="SA8" s="456"/>
      <c r="SB8" s="456"/>
      <c r="SC8" s="456"/>
      <c r="SD8" s="456"/>
      <c r="SE8" s="456"/>
      <c r="SF8" s="456"/>
      <c r="SG8" s="456"/>
      <c r="SH8" s="456"/>
      <c r="SI8" s="456"/>
      <c r="SJ8" s="456"/>
      <c r="SK8" s="456"/>
      <c r="SL8" s="456"/>
      <c r="SM8" s="456"/>
      <c r="SN8" s="456"/>
      <c r="SO8" s="456"/>
      <c r="SP8" s="456"/>
      <c r="SQ8" s="456"/>
      <c r="SR8" s="456"/>
      <c r="SS8" s="456"/>
      <c r="ST8" s="456"/>
      <c r="SU8" s="456"/>
      <c r="SV8" s="456"/>
      <c r="SW8" s="456"/>
      <c r="SX8" s="456"/>
      <c r="SY8" s="456"/>
      <c r="SZ8" s="456"/>
      <c r="TA8" s="456"/>
      <c r="TB8" s="456"/>
      <c r="TC8" s="456"/>
      <c r="TD8" s="456"/>
      <c r="TE8" s="456"/>
      <c r="TF8" s="456"/>
      <c r="TG8" s="456"/>
      <c r="TH8" s="456"/>
      <c r="TI8" s="456"/>
      <c r="TJ8" s="456"/>
      <c r="TK8" s="456"/>
      <c r="TL8" s="456"/>
      <c r="TM8" s="456"/>
      <c r="TN8" s="456"/>
      <c r="TO8" s="456"/>
      <c r="TP8" s="456"/>
      <c r="TQ8" s="456"/>
      <c r="TR8" s="456"/>
      <c r="TS8" s="456"/>
      <c r="TT8" s="456"/>
      <c r="TU8" s="456"/>
      <c r="TV8" s="456"/>
      <c r="TW8" s="456"/>
      <c r="TX8" s="456"/>
      <c r="TY8" s="456"/>
      <c r="TZ8" s="456"/>
      <c r="UA8" s="456"/>
      <c r="UB8" s="456"/>
      <c r="UC8" s="456"/>
      <c r="UD8" s="456"/>
      <c r="UE8" s="456"/>
      <c r="UF8" s="456"/>
      <c r="UG8" s="456"/>
      <c r="UH8" s="456"/>
      <c r="UI8" s="456"/>
      <c r="UJ8" s="456"/>
      <c r="UK8" s="456"/>
      <c r="UL8" s="456"/>
      <c r="UM8" s="456"/>
      <c r="UN8" s="456"/>
      <c r="UO8" s="456"/>
      <c r="UP8" s="456"/>
      <c r="UQ8" s="456"/>
      <c r="UR8" s="456"/>
      <c r="US8" s="456"/>
      <c r="UT8" s="456"/>
      <c r="UU8" s="456"/>
      <c r="UV8" s="456"/>
      <c r="UW8" s="456"/>
      <c r="UX8" s="456"/>
      <c r="UY8" s="456"/>
      <c r="UZ8" s="456"/>
      <c r="VA8" s="456"/>
      <c r="VB8" s="456"/>
      <c r="VC8" s="456"/>
      <c r="VD8" s="456"/>
      <c r="VE8" s="456"/>
      <c r="VF8" s="456"/>
      <c r="VG8" s="456"/>
      <c r="VH8" s="456"/>
      <c r="VI8" s="456"/>
      <c r="VJ8" s="456"/>
      <c r="VK8" s="456"/>
      <c r="VL8" s="456"/>
      <c r="VM8" s="456"/>
      <c r="VN8" s="456"/>
      <c r="VO8" s="456"/>
      <c r="VP8" s="456"/>
      <c r="VQ8" s="456"/>
      <c r="VR8" s="456"/>
      <c r="VS8" s="456"/>
      <c r="VT8" s="456"/>
      <c r="VU8" s="456"/>
      <c r="VV8" s="456"/>
      <c r="VW8" s="456"/>
      <c r="VX8" s="456"/>
      <c r="VY8" s="456"/>
      <c r="VZ8" s="456"/>
      <c r="WA8" s="456"/>
      <c r="WB8" s="456"/>
      <c r="WC8" s="456"/>
      <c r="WD8" s="456"/>
      <c r="WE8" s="456"/>
      <c r="WF8" s="456"/>
      <c r="WG8" s="456"/>
      <c r="WH8" s="456"/>
      <c r="WI8" s="456"/>
      <c r="WJ8" s="456"/>
      <c r="WK8" s="456"/>
      <c r="WL8" s="456"/>
      <c r="WM8" s="456"/>
      <c r="WN8" s="456"/>
      <c r="WO8" s="456"/>
      <c r="WP8" s="456"/>
      <c r="WQ8" s="456"/>
      <c r="WR8" s="456"/>
      <c r="WS8" s="456"/>
      <c r="WT8" s="456"/>
      <c r="WU8" s="456"/>
      <c r="WV8" s="456"/>
      <c r="WW8" s="456"/>
      <c r="WX8" s="456"/>
      <c r="WY8" s="456"/>
      <c r="WZ8" s="456"/>
      <c r="XA8" s="456"/>
      <c r="XB8" s="456"/>
      <c r="XC8" s="456"/>
      <c r="XD8" s="456"/>
      <c r="XE8" s="456"/>
      <c r="XF8" s="456"/>
      <c r="XG8" s="456"/>
      <c r="XH8" s="456"/>
      <c r="XI8" s="456"/>
      <c r="XJ8" s="456"/>
      <c r="XK8" s="456"/>
      <c r="XL8" s="456"/>
      <c r="XM8" s="456"/>
      <c r="XN8" s="456"/>
      <c r="XO8" s="456"/>
      <c r="XP8" s="456"/>
      <c r="XQ8" s="456"/>
      <c r="XR8" s="456"/>
      <c r="XS8" s="456"/>
      <c r="XT8" s="456"/>
      <c r="XU8" s="456"/>
      <c r="XV8" s="456"/>
      <c r="XW8" s="456"/>
      <c r="XX8" s="456"/>
      <c r="XY8" s="456"/>
      <c r="XZ8" s="456"/>
      <c r="YA8" s="456"/>
      <c r="YB8" s="456"/>
      <c r="YC8" s="456"/>
      <c r="YD8" s="456"/>
      <c r="YE8" s="456"/>
      <c r="YF8" s="456"/>
      <c r="YG8" s="456"/>
      <c r="YH8" s="456"/>
      <c r="YI8" s="456"/>
      <c r="YJ8" s="456"/>
      <c r="YK8" s="456"/>
      <c r="YL8" s="456"/>
      <c r="YM8" s="456"/>
      <c r="YN8" s="456"/>
      <c r="YO8" s="456"/>
      <c r="YP8" s="456"/>
      <c r="YQ8" s="456"/>
      <c r="YR8" s="456"/>
      <c r="YS8" s="456"/>
      <c r="YT8" s="456"/>
      <c r="YU8" s="456"/>
      <c r="YV8" s="456"/>
      <c r="YW8" s="456"/>
      <c r="YX8" s="456"/>
      <c r="YY8" s="456"/>
      <c r="YZ8" s="456"/>
      <c r="ZA8" s="456"/>
      <c r="ZB8" s="456"/>
      <c r="ZC8" s="456"/>
      <c r="ZD8" s="456"/>
      <c r="ZE8" s="456"/>
      <c r="ZF8" s="456"/>
      <c r="ZG8" s="456"/>
      <c r="ZH8" s="456"/>
      <c r="ZI8" s="456"/>
      <c r="ZJ8" s="456"/>
      <c r="ZK8" s="456"/>
      <c r="ZL8" s="456"/>
      <c r="ZM8" s="456"/>
      <c r="ZN8" s="456"/>
      <c r="ZO8" s="456"/>
      <c r="ZP8" s="456"/>
      <c r="ZQ8" s="456"/>
      <c r="ZR8" s="456"/>
      <c r="ZS8" s="456"/>
      <c r="ZT8" s="456"/>
      <c r="ZU8" s="456"/>
      <c r="ZV8" s="456"/>
      <c r="ZW8" s="456"/>
      <c r="ZX8" s="456"/>
      <c r="ZY8" s="456"/>
      <c r="ZZ8" s="456"/>
      <c r="AAA8" s="456"/>
      <c r="AAB8" s="456"/>
      <c r="AAC8" s="456"/>
      <c r="AAD8" s="456"/>
      <c r="AAE8" s="456"/>
      <c r="AAF8" s="456"/>
      <c r="AAG8" s="456"/>
      <c r="AAH8" s="456"/>
      <c r="AAI8" s="456"/>
      <c r="AAJ8" s="456"/>
      <c r="AAK8" s="456"/>
      <c r="AAL8" s="456"/>
      <c r="AAM8" s="456"/>
      <c r="AAN8" s="456"/>
      <c r="AAO8" s="456"/>
      <c r="AAP8" s="456"/>
      <c r="AAQ8" s="456"/>
      <c r="AAR8" s="456"/>
      <c r="AAS8" s="456"/>
      <c r="AAT8" s="456"/>
      <c r="AAU8" s="456"/>
      <c r="AAV8" s="456"/>
      <c r="AAW8" s="456"/>
      <c r="AAX8" s="456"/>
      <c r="AAY8" s="456"/>
      <c r="AAZ8" s="456"/>
      <c r="ABA8" s="456"/>
      <c r="ABB8" s="456"/>
      <c r="ABC8" s="456"/>
      <c r="ABD8" s="456"/>
      <c r="ABE8" s="456"/>
      <c r="ABF8" s="456"/>
      <c r="ABG8" s="456"/>
      <c r="ABH8" s="456"/>
      <c r="ABI8" s="456"/>
      <c r="ABJ8" s="456"/>
      <c r="ABK8" s="456"/>
      <c r="ABL8" s="456"/>
      <c r="ABM8" s="456"/>
      <c r="ABN8" s="456"/>
      <c r="ABO8" s="456"/>
      <c r="ABP8" s="456"/>
      <c r="ABQ8" s="456"/>
      <c r="ABR8" s="456"/>
      <c r="ABS8" s="456"/>
      <c r="ABT8" s="456"/>
      <c r="ABU8" s="456"/>
      <c r="ABV8" s="456"/>
      <c r="ABW8" s="456"/>
      <c r="ABX8" s="456"/>
      <c r="ABY8" s="456"/>
      <c r="ABZ8" s="456"/>
      <c r="ACA8" s="456"/>
      <c r="ACB8" s="456"/>
      <c r="ACC8" s="456"/>
      <c r="ACD8" s="456"/>
      <c r="ACE8" s="456"/>
      <c r="ACF8" s="456"/>
      <c r="ACG8" s="456"/>
      <c r="ACH8" s="456"/>
      <c r="ACI8" s="456"/>
      <c r="ACJ8" s="456"/>
      <c r="ACK8" s="456"/>
      <c r="ACL8" s="456"/>
      <c r="ACM8" s="456"/>
      <c r="ACN8" s="456"/>
      <c r="ACO8" s="456"/>
      <c r="ACP8" s="456"/>
      <c r="ACQ8" s="456"/>
      <c r="ACR8" s="456"/>
      <c r="ACS8" s="456"/>
      <c r="ACT8" s="456"/>
      <c r="ACU8" s="456"/>
      <c r="ACV8" s="456"/>
      <c r="ACW8" s="456"/>
      <c r="ACX8" s="456"/>
      <c r="ACY8" s="456"/>
      <c r="ACZ8" s="456"/>
      <c r="ADA8" s="456"/>
      <c r="ADB8" s="456"/>
      <c r="ADC8" s="456"/>
      <c r="ADD8" s="456"/>
      <c r="ADE8" s="456"/>
      <c r="ADF8" s="456"/>
      <c r="ADG8" s="456"/>
      <c r="ADH8" s="456"/>
      <c r="ADI8" s="456"/>
      <c r="ADJ8" s="456"/>
      <c r="ADK8" s="456"/>
      <c r="ADL8" s="456"/>
      <c r="ADM8" s="456"/>
      <c r="ADN8" s="456"/>
      <c r="ADO8" s="456"/>
      <c r="ADP8" s="456"/>
      <c r="ADQ8" s="456"/>
      <c r="ADR8" s="456"/>
      <c r="ADS8" s="456"/>
      <c r="ADT8" s="456"/>
      <c r="ADU8" s="456"/>
      <c r="ADV8" s="456"/>
      <c r="ADW8" s="456"/>
      <c r="ADX8" s="456"/>
      <c r="ADY8" s="456"/>
      <c r="ADZ8" s="456"/>
      <c r="AEA8" s="456"/>
      <c r="AEB8" s="456"/>
      <c r="AEC8" s="456"/>
      <c r="AED8" s="456"/>
      <c r="AEE8" s="456"/>
      <c r="AEF8" s="456"/>
      <c r="AEG8" s="456"/>
      <c r="AEH8" s="456"/>
      <c r="AEI8" s="456"/>
      <c r="AEJ8" s="456"/>
      <c r="AEK8" s="456"/>
      <c r="AEL8" s="456"/>
      <c r="AEM8" s="456"/>
      <c r="AEN8" s="456"/>
      <c r="AEO8" s="456"/>
      <c r="AEP8" s="456"/>
      <c r="AEQ8" s="456"/>
      <c r="AER8" s="456"/>
      <c r="AES8" s="456"/>
      <c r="AET8" s="456"/>
      <c r="AEU8" s="456"/>
      <c r="AEV8" s="456"/>
      <c r="AEW8" s="456"/>
      <c r="AEX8" s="456"/>
      <c r="AEY8" s="456"/>
      <c r="AEZ8" s="456"/>
      <c r="AFA8" s="456"/>
      <c r="AFB8" s="456"/>
      <c r="AFC8" s="456"/>
      <c r="AFD8" s="456"/>
      <c r="AFE8" s="456"/>
      <c r="AFF8" s="456"/>
      <c r="AFG8" s="456"/>
      <c r="AFH8" s="456"/>
      <c r="AFI8" s="456"/>
      <c r="AFJ8" s="456"/>
      <c r="AFK8" s="456"/>
      <c r="AFL8" s="456"/>
      <c r="AFM8" s="456"/>
      <c r="AFN8" s="456"/>
      <c r="AFO8" s="456"/>
      <c r="AFP8" s="456"/>
      <c r="AFQ8" s="456"/>
      <c r="AFR8" s="456"/>
      <c r="AFS8" s="456"/>
      <c r="AFT8" s="456"/>
      <c r="AFU8" s="456"/>
      <c r="AFV8" s="456"/>
      <c r="AFW8" s="456"/>
      <c r="AFX8" s="456"/>
      <c r="AFY8" s="456"/>
      <c r="AFZ8" s="456"/>
      <c r="AGA8" s="456"/>
      <c r="AGB8" s="456"/>
      <c r="AGC8" s="456"/>
      <c r="AGD8" s="456"/>
      <c r="AGE8" s="456"/>
      <c r="AGF8" s="456"/>
      <c r="AGG8" s="456"/>
      <c r="AGH8" s="456"/>
      <c r="AGI8" s="456"/>
      <c r="AGJ8" s="456"/>
      <c r="AGK8" s="456"/>
      <c r="AGL8" s="456"/>
      <c r="AGM8" s="456"/>
      <c r="AGN8" s="456"/>
      <c r="AGO8" s="456"/>
      <c r="AGP8" s="456"/>
      <c r="AGQ8" s="456"/>
      <c r="AGR8" s="456"/>
      <c r="AGS8" s="456"/>
      <c r="AGT8" s="456"/>
      <c r="AGU8" s="456"/>
      <c r="AGV8" s="456"/>
      <c r="AGW8" s="456"/>
      <c r="AGX8" s="456"/>
      <c r="AGY8" s="456"/>
      <c r="AGZ8" s="456"/>
      <c r="AHA8" s="456"/>
      <c r="AHB8" s="456"/>
      <c r="AHC8" s="456"/>
      <c r="AHD8" s="456"/>
      <c r="AHE8" s="456"/>
      <c r="AHF8" s="456"/>
      <c r="AHG8" s="456"/>
      <c r="AHH8" s="456"/>
      <c r="AHI8" s="456"/>
      <c r="AHJ8" s="456"/>
      <c r="AHK8" s="456"/>
      <c r="AHL8" s="456"/>
      <c r="AHM8" s="456"/>
      <c r="AHN8" s="456"/>
      <c r="AHO8" s="456"/>
      <c r="AHP8" s="456"/>
      <c r="AHQ8" s="456"/>
      <c r="AHR8" s="456"/>
      <c r="AHS8" s="456"/>
      <c r="AHT8" s="456"/>
      <c r="AHU8" s="456"/>
      <c r="AHV8" s="456"/>
      <c r="AHW8" s="456"/>
      <c r="AHX8" s="456"/>
      <c r="AHY8" s="456"/>
      <c r="AHZ8" s="456"/>
      <c r="AIA8" s="456"/>
      <c r="AIB8" s="456"/>
      <c r="AIC8" s="456"/>
      <c r="AID8" s="456"/>
      <c r="AIE8" s="456"/>
      <c r="AIF8" s="456"/>
      <c r="AIG8" s="456"/>
      <c r="AIH8" s="456"/>
      <c r="AII8" s="456"/>
      <c r="AIJ8" s="456"/>
      <c r="AIK8" s="456"/>
      <c r="AIL8" s="456"/>
      <c r="AIM8" s="456"/>
      <c r="AIN8" s="456"/>
      <c r="AIO8" s="456"/>
      <c r="AIP8" s="456"/>
      <c r="AIQ8" s="456"/>
      <c r="AIR8" s="456"/>
      <c r="AIS8" s="456"/>
      <c r="AIT8" s="456"/>
      <c r="AIU8" s="456"/>
      <c r="AIV8" s="456"/>
      <c r="AIW8" s="456"/>
      <c r="AIX8" s="456"/>
      <c r="AIY8" s="456"/>
      <c r="AIZ8" s="456"/>
      <c r="AJA8" s="456"/>
      <c r="AJB8" s="456"/>
      <c r="AJC8" s="456"/>
      <c r="AJD8" s="456"/>
      <c r="AJE8" s="456"/>
      <c r="AJF8" s="456"/>
      <c r="AJG8" s="456"/>
      <c r="AJH8" s="456"/>
      <c r="AJI8" s="456"/>
      <c r="AJJ8" s="456"/>
      <c r="AJK8" s="456"/>
      <c r="AJL8" s="456"/>
      <c r="AJM8" s="456"/>
      <c r="AJN8" s="456"/>
      <c r="AJO8" s="456"/>
      <c r="AJP8" s="456"/>
      <c r="AJQ8" s="456"/>
      <c r="AJR8" s="456"/>
      <c r="AJS8" s="456"/>
      <c r="AJT8" s="456"/>
      <c r="AJU8" s="456"/>
      <c r="AJV8" s="456"/>
      <c r="AJW8" s="456"/>
      <c r="AJX8" s="456"/>
      <c r="AJY8" s="456"/>
      <c r="AJZ8" s="456"/>
      <c r="AKA8" s="456"/>
      <c r="AKB8" s="456"/>
      <c r="AKC8" s="456"/>
      <c r="AKD8" s="456"/>
      <c r="AKE8" s="456"/>
      <c r="AKF8" s="456"/>
      <c r="AKG8" s="456"/>
      <c r="AKH8" s="456"/>
      <c r="AKI8" s="456"/>
      <c r="AKJ8" s="456"/>
      <c r="AKK8" s="456"/>
      <c r="AKL8" s="456"/>
      <c r="AKM8" s="456"/>
      <c r="AKN8" s="456"/>
      <c r="AKO8" s="456"/>
      <c r="AKP8" s="456"/>
      <c r="AKQ8" s="456"/>
      <c r="AKR8" s="456"/>
      <c r="AKS8" s="456"/>
      <c r="AKT8" s="456"/>
      <c r="AKU8" s="456"/>
      <c r="AKV8" s="456"/>
      <c r="AKW8" s="456"/>
      <c r="AKX8" s="456"/>
      <c r="AKY8" s="456"/>
      <c r="AKZ8" s="456"/>
      <c r="ALA8" s="456"/>
      <c r="ALB8" s="456"/>
      <c r="ALC8" s="456"/>
      <c r="ALD8" s="456"/>
      <c r="ALE8" s="456"/>
      <c r="ALF8" s="456"/>
      <c r="ALG8" s="456"/>
      <c r="ALH8" s="456"/>
      <c r="ALI8" s="456"/>
      <c r="ALJ8" s="456"/>
      <c r="ALK8" s="456"/>
      <c r="ALL8" s="456"/>
      <c r="ALM8" s="456"/>
      <c r="ALN8" s="456"/>
      <c r="ALO8" s="456"/>
      <c r="ALP8" s="456"/>
      <c r="ALQ8" s="456"/>
      <c r="ALR8" s="456"/>
      <c r="ALS8" s="456"/>
      <c r="ALT8" s="456"/>
      <c r="ALU8" s="456"/>
      <c r="ALV8" s="456"/>
      <c r="ALW8" s="456"/>
      <c r="ALX8" s="456"/>
      <c r="ALY8" s="456"/>
      <c r="ALZ8" s="456"/>
      <c r="AMA8" s="456"/>
      <c r="AMB8" s="456"/>
      <c r="AMC8" s="456"/>
      <c r="AMD8" s="456"/>
      <c r="AME8" s="456"/>
      <c r="AMF8" s="456"/>
      <c r="AMG8" s="456"/>
      <c r="AMH8" s="456"/>
      <c r="AMI8" s="456"/>
      <c r="AMJ8" s="456"/>
      <c r="AMK8" s="456"/>
      <c r="AML8" s="456"/>
      <c r="AMM8" s="456"/>
      <c r="AMN8" s="456"/>
      <c r="AMO8" s="456"/>
      <c r="AMP8" s="456"/>
      <c r="AMQ8" s="456"/>
      <c r="AMR8" s="456"/>
      <c r="AMS8" s="456"/>
      <c r="AMT8" s="456"/>
      <c r="AMU8" s="456"/>
      <c r="AMV8" s="456"/>
      <c r="AMW8" s="456"/>
      <c r="AMX8" s="456"/>
      <c r="AMY8" s="456"/>
      <c r="AMZ8" s="456"/>
      <c r="ANA8" s="456"/>
      <c r="ANB8" s="456"/>
      <c r="ANC8" s="456"/>
      <c r="AND8" s="456"/>
      <c r="ANE8" s="456"/>
      <c r="ANF8" s="456"/>
      <c r="ANG8" s="456"/>
      <c r="ANH8" s="456"/>
      <c r="ANI8" s="456"/>
      <c r="ANJ8" s="456"/>
      <c r="ANK8" s="456"/>
      <c r="ANL8" s="456"/>
      <c r="ANM8" s="456"/>
      <c r="ANN8" s="456"/>
      <c r="ANO8" s="456"/>
      <c r="ANP8" s="456"/>
      <c r="ANQ8" s="456"/>
      <c r="ANR8" s="456"/>
      <c r="ANS8" s="456"/>
      <c r="ANT8" s="456"/>
      <c r="ANU8" s="456"/>
      <c r="ANV8" s="456"/>
      <c r="ANW8" s="456"/>
      <c r="ANX8" s="456"/>
      <c r="ANY8" s="456"/>
      <c r="ANZ8" s="456"/>
      <c r="AOA8" s="456"/>
      <c r="AOB8" s="456"/>
      <c r="AOC8" s="456"/>
      <c r="AOD8" s="456"/>
      <c r="AOE8" s="456"/>
      <c r="AOF8" s="456"/>
      <c r="AOG8" s="456"/>
      <c r="AOH8" s="456"/>
      <c r="AOI8" s="456"/>
      <c r="AOJ8" s="456"/>
      <c r="AOK8" s="456"/>
      <c r="AOL8" s="456"/>
      <c r="AOM8" s="456"/>
      <c r="AON8" s="456"/>
      <c r="AOO8" s="456"/>
      <c r="AOP8" s="456"/>
      <c r="AOQ8" s="456"/>
      <c r="AOR8" s="456"/>
      <c r="AOS8" s="456"/>
      <c r="AOT8" s="456"/>
      <c r="AOU8" s="456"/>
      <c r="AOV8" s="456"/>
      <c r="AOW8" s="456"/>
      <c r="AOX8" s="456"/>
      <c r="AOY8" s="456"/>
      <c r="AOZ8" s="456"/>
      <c r="APA8" s="456"/>
      <c r="APB8" s="456"/>
      <c r="APC8" s="456"/>
      <c r="APD8" s="456"/>
      <c r="APE8" s="456"/>
      <c r="APF8" s="456"/>
      <c r="APG8" s="456"/>
      <c r="APH8" s="456"/>
      <c r="API8" s="456"/>
      <c r="APJ8" s="456"/>
      <c r="APK8" s="456"/>
      <c r="APL8" s="456"/>
      <c r="APM8" s="456"/>
      <c r="APN8" s="456"/>
      <c r="APO8" s="456"/>
      <c r="APP8" s="456"/>
      <c r="APQ8" s="456"/>
      <c r="APR8" s="456"/>
      <c r="APS8" s="456"/>
      <c r="APT8" s="456"/>
      <c r="APU8" s="456"/>
      <c r="APV8" s="456"/>
      <c r="APW8" s="456"/>
      <c r="APX8" s="456"/>
      <c r="APY8" s="456"/>
      <c r="APZ8" s="456"/>
      <c r="AQA8" s="456"/>
      <c r="AQB8" s="456"/>
      <c r="AQC8" s="456"/>
      <c r="AQD8" s="456"/>
      <c r="AQE8" s="456"/>
      <c r="AQF8" s="456"/>
      <c r="AQG8" s="456"/>
      <c r="AQH8" s="456"/>
      <c r="AQI8" s="456"/>
      <c r="AQJ8" s="456"/>
      <c r="AQK8" s="456"/>
      <c r="AQL8" s="456"/>
      <c r="AQM8" s="456"/>
      <c r="AQN8" s="456"/>
      <c r="AQO8" s="456"/>
      <c r="AQP8" s="456"/>
      <c r="AQQ8" s="456"/>
      <c r="AQR8" s="456"/>
      <c r="AQS8" s="456"/>
      <c r="AQT8" s="456"/>
      <c r="AQU8" s="456"/>
      <c r="AQV8" s="456"/>
      <c r="AQW8" s="456"/>
      <c r="AQX8" s="456"/>
      <c r="AQY8" s="456"/>
      <c r="AQZ8" s="456"/>
      <c r="ARA8" s="456"/>
      <c r="ARB8" s="456"/>
      <c r="ARC8" s="456"/>
      <c r="ARD8" s="456"/>
      <c r="ARE8" s="456"/>
      <c r="ARF8" s="456"/>
      <c r="ARG8" s="456"/>
      <c r="ARH8" s="456"/>
      <c r="ARI8" s="456"/>
      <c r="ARJ8" s="456"/>
      <c r="ARK8" s="456"/>
      <c r="ARL8" s="456"/>
      <c r="ARM8" s="456"/>
      <c r="ARN8" s="456"/>
      <c r="ARO8" s="456"/>
      <c r="ARP8" s="456"/>
      <c r="ARQ8" s="456"/>
      <c r="ARR8" s="456"/>
      <c r="ARS8" s="456"/>
      <c r="ART8" s="456"/>
      <c r="ARU8" s="456"/>
      <c r="ARV8" s="456"/>
      <c r="ARW8" s="456"/>
      <c r="ARX8" s="456"/>
      <c r="ARY8" s="456"/>
      <c r="ARZ8" s="456"/>
      <c r="ASA8" s="456"/>
      <c r="ASB8" s="456"/>
      <c r="ASC8" s="456"/>
      <c r="ASD8" s="456"/>
      <c r="ASE8" s="456"/>
      <c r="ASF8" s="456"/>
      <c r="ASG8" s="456"/>
      <c r="ASH8" s="456"/>
      <c r="ASI8" s="456"/>
      <c r="ASJ8" s="456"/>
      <c r="ASK8" s="456"/>
      <c r="ASL8" s="456"/>
      <c r="ASM8" s="456"/>
      <c r="ASN8" s="456"/>
      <c r="ASO8" s="456"/>
      <c r="ASP8" s="456"/>
      <c r="ASQ8" s="456"/>
      <c r="ASR8" s="456"/>
      <c r="ASS8" s="456"/>
      <c r="AST8" s="456"/>
      <c r="ASU8" s="456"/>
      <c r="ASV8" s="456"/>
      <c r="ASW8" s="456"/>
      <c r="ASX8" s="456"/>
      <c r="ASY8" s="456"/>
      <c r="ASZ8" s="456"/>
      <c r="ATA8" s="456"/>
      <c r="ATB8" s="456"/>
      <c r="ATC8" s="456"/>
      <c r="ATD8" s="456"/>
      <c r="ATE8" s="456"/>
      <c r="ATF8" s="456"/>
      <c r="ATG8" s="456"/>
      <c r="ATH8" s="456"/>
      <c r="ATI8" s="456"/>
      <c r="ATJ8" s="456"/>
      <c r="ATK8" s="456"/>
      <c r="ATL8" s="456"/>
      <c r="ATM8" s="456"/>
      <c r="ATN8" s="456"/>
      <c r="ATO8" s="456"/>
      <c r="ATP8" s="456"/>
      <c r="ATQ8" s="456"/>
      <c r="ATR8" s="456"/>
      <c r="ATS8" s="456"/>
      <c r="ATT8" s="456"/>
      <c r="ATU8" s="456"/>
      <c r="ATV8" s="456"/>
      <c r="ATW8" s="456"/>
      <c r="ATX8" s="456"/>
      <c r="ATY8" s="456"/>
      <c r="ATZ8" s="456"/>
      <c r="AUA8" s="456"/>
      <c r="AUB8" s="456"/>
      <c r="AUC8" s="456"/>
      <c r="AUD8" s="456"/>
      <c r="AUE8" s="456"/>
      <c r="AUF8" s="456"/>
      <c r="AUG8" s="456"/>
      <c r="AUH8" s="456"/>
      <c r="AUI8" s="456"/>
      <c r="AUJ8" s="456"/>
      <c r="AUK8" s="456"/>
      <c r="AUL8" s="456"/>
      <c r="AUM8" s="456"/>
      <c r="AUN8" s="456"/>
      <c r="AUO8" s="456"/>
      <c r="AUP8" s="456"/>
      <c r="AUQ8" s="456"/>
      <c r="AUR8" s="456"/>
      <c r="AUS8" s="456"/>
      <c r="AUT8" s="456"/>
      <c r="AUU8" s="456"/>
      <c r="AUV8" s="456"/>
      <c r="AUW8" s="456"/>
      <c r="AUX8" s="456"/>
      <c r="AUY8" s="456"/>
      <c r="AUZ8" s="456"/>
      <c r="AVA8" s="456"/>
      <c r="AVB8" s="456"/>
      <c r="AVC8" s="456"/>
      <c r="AVD8" s="456"/>
      <c r="AVE8" s="456"/>
      <c r="AVF8" s="456"/>
      <c r="AVG8" s="456"/>
      <c r="AVH8" s="456"/>
      <c r="AVI8" s="456"/>
      <c r="AVJ8" s="456"/>
      <c r="AVK8" s="456"/>
      <c r="AVL8" s="456"/>
      <c r="AVM8" s="456"/>
      <c r="AVN8" s="456"/>
      <c r="AVO8" s="456"/>
      <c r="AVP8" s="456"/>
      <c r="AVQ8" s="456"/>
      <c r="AVR8" s="456"/>
      <c r="AVS8" s="456"/>
      <c r="AVT8" s="456"/>
      <c r="AVU8" s="456"/>
      <c r="AVV8" s="456"/>
      <c r="AVW8" s="456"/>
      <c r="AVX8" s="456"/>
      <c r="AVY8" s="456"/>
      <c r="AVZ8" s="456"/>
      <c r="AWA8" s="456"/>
      <c r="AWB8" s="456"/>
      <c r="AWC8" s="456"/>
      <c r="AWD8" s="456"/>
      <c r="AWE8" s="456"/>
      <c r="AWF8" s="456"/>
      <c r="AWG8" s="456"/>
      <c r="AWH8" s="456"/>
      <c r="AWI8" s="456"/>
      <c r="AWJ8" s="456"/>
      <c r="AWK8" s="456"/>
      <c r="AWL8" s="456"/>
      <c r="AWM8" s="456"/>
      <c r="AWN8" s="456"/>
      <c r="AWO8" s="456"/>
      <c r="AWP8" s="456"/>
      <c r="AWQ8" s="456"/>
      <c r="AWR8" s="456"/>
      <c r="AWS8" s="456"/>
      <c r="AWT8" s="456"/>
      <c r="AWU8" s="456"/>
      <c r="AWV8" s="456"/>
      <c r="AWW8" s="456"/>
      <c r="AWX8" s="456"/>
      <c r="AWY8" s="456"/>
      <c r="AWZ8" s="456"/>
      <c r="AXA8" s="456"/>
      <c r="AXB8" s="456"/>
      <c r="AXC8" s="456"/>
      <c r="AXD8" s="456"/>
      <c r="AXE8" s="456"/>
      <c r="AXF8" s="456"/>
      <c r="AXG8" s="456"/>
      <c r="AXH8" s="456"/>
      <c r="AXI8" s="456"/>
      <c r="AXJ8" s="456"/>
      <c r="AXK8" s="456"/>
      <c r="AXL8" s="456"/>
      <c r="AXM8" s="456"/>
      <c r="AXN8" s="456"/>
      <c r="AXO8" s="456"/>
      <c r="AXP8" s="456"/>
      <c r="AXQ8" s="456"/>
      <c r="AXR8" s="456"/>
      <c r="AXS8" s="456"/>
      <c r="AXT8" s="456"/>
      <c r="AXU8" s="456"/>
      <c r="AXV8" s="456"/>
      <c r="AXW8" s="456"/>
      <c r="AXX8" s="456"/>
      <c r="AXY8" s="456"/>
      <c r="AXZ8" s="456"/>
      <c r="AYA8" s="456"/>
      <c r="AYB8" s="456"/>
      <c r="AYC8" s="456"/>
      <c r="AYD8" s="456"/>
      <c r="AYE8" s="456"/>
      <c r="AYF8" s="456"/>
      <c r="AYG8" s="456"/>
      <c r="AYH8" s="456"/>
      <c r="AYI8" s="456"/>
      <c r="AYJ8" s="456"/>
      <c r="AYK8" s="456"/>
      <c r="AYL8" s="456"/>
      <c r="AYM8" s="456"/>
      <c r="AYN8" s="456"/>
      <c r="AYO8" s="456"/>
      <c r="AYP8" s="456"/>
      <c r="AYQ8" s="456"/>
      <c r="AYR8" s="456"/>
      <c r="AYS8" s="456"/>
      <c r="AYT8" s="456"/>
      <c r="AYU8" s="456"/>
      <c r="AYV8" s="456"/>
      <c r="AYW8" s="456"/>
      <c r="AYX8" s="456"/>
      <c r="AYY8" s="456"/>
      <c r="AYZ8" s="456"/>
      <c r="AZA8" s="456"/>
      <c r="AZB8" s="456"/>
      <c r="AZC8" s="456"/>
      <c r="AZD8" s="456"/>
      <c r="AZE8" s="456"/>
      <c r="AZF8" s="456"/>
      <c r="AZG8" s="456"/>
      <c r="AZH8" s="456"/>
      <c r="AZI8" s="456"/>
      <c r="AZJ8" s="456"/>
      <c r="AZK8" s="456"/>
      <c r="AZL8" s="456"/>
      <c r="AZM8" s="456"/>
      <c r="AZN8" s="456"/>
      <c r="AZO8" s="456"/>
      <c r="AZP8" s="456"/>
      <c r="AZQ8" s="456"/>
      <c r="AZR8" s="456"/>
      <c r="AZS8" s="456"/>
      <c r="AZT8" s="456"/>
      <c r="AZU8" s="456"/>
      <c r="AZV8" s="456"/>
      <c r="AZW8" s="456"/>
      <c r="AZX8" s="456"/>
      <c r="AZY8" s="456"/>
      <c r="AZZ8" s="456"/>
      <c r="BAA8" s="456"/>
      <c r="BAB8" s="456"/>
      <c r="BAC8" s="456"/>
      <c r="BAD8" s="456"/>
      <c r="BAE8" s="456"/>
      <c r="BAF8" s="456"/>
      <c r="BAG8" s="456"/>
      <c r="BAH8" s="456"/>
      <c r="BAI8" s="456"/>
      <c r="BAJ8" s="456"/>
      <c r="BAK8" s="456"/>
      <c r="BAL8" s="456"/>
      <c r="BAM8" s="456"/>
      <c r="BAN8" s="456"/>
      <c r="BAO8" s="456"/>
      <c r="BAP8" s="456"/>
      <c r="BAQ8" s="456"/>
      <c r="BAR8" s="456"/>
      <c r="BAS8" s="456"/>
      <c r="BAT8" s="456"/>
      <c r="BAU8" s="456"/>
      <c r="BAV8" s="456"/>
      <c r="BAW8" s="456"/>
      <c r="BAX8" s="456"/>
      <c r="BAY8" s="456"/>
      <c r="BAZ8" s="456"/>
      <c r="BBA8" s="456"/>
      <c r="BBB8" s="456"/>
      <c r="BBC8" s="456"/>
      <c r="BBD8" s="456"/>
      <c r="BBE8" s="456"/>
      <c r="BBF8" s="456"/>
      <c r="BBG8" s="456"/>
      <c r="BBH8" s="456"/>
      <c r="BBI8" s="456"/>
      <c r="BBJ8" s="456"/>
      <c r="BBK8" s="456"/>
      <c r="BBL8" s="456"/>
      <c r="BBM8" s="456"/>
      <c r="BBN8" s="456"/>
      <c r="BBO8" s="456"/>
      <c r="BBP8" s="456"/>
      <c r="BBQ8" s="456"/>
      <c r="BBR8" s="456"/>
      <c r="BBS8" s="456"/>
      <c r="BBT8" s="456"/>
      <c r="BBU8" s="456"/>
      <c r="BBV8" s="456"/>
      <c r="BBW8" s="456"/>
      <c r="BBX8" s="456"/>
      <c r="BBY8" s="456"/>
      <c r="BBZ8" s="456"/>
      <c r="BCA8" s="456"/>
      <c r="BCB8" s="456"/>
      <c r="BCC8" s="456"/>
      <c r="BCD8" s="456"/>
      <c r="BCE8" s="456"/>
      <c r="BCF8" s="456"/>
      <c r="BCG8" s="456"/>
      <c r="BCH8" s="456"/>
      <c r="BCI8" s="456"/>
      <c r="BCJ8" s="456"/>
      <c r="BCK8" s="456"/>
      <c r="BCL8" s="456"/>
      <c r="BCM8" s="456"/>
      <c r="BCN8" s="456"/>
      <c r="BCO8" s="456"/>
      <c r="BCP8" s="456"/>
      <c r="BCQ8" s="456"/>
      <c r="BCR8" s="456"/>
      <c r="BCS8" s="456"/>
      <c r="BCT8" s="456"/>
      <c r="BCU8" s="456"/>
      <c r="BCV8" s="456"/>
      <c r="BCW8" s="456"/>
      <c r="BCX8" s="456"/>
      <c r="BCY8" s="456"/>
      <c r="BCZ8" s="456"/>
      <c r="BDA8" s="456"/>
      <c r="BDB8" s="456"/>
      <c r="BDC8" s="456"/>
      <c r="BDD8" s="456"/>
      <c r="BDE8" s="456"/>
      <c r="BDF8" s="456"/>
      <c r="BDG8" s="456"/>
      <c r="BDH8" s="456"/>
      <c r="BDI8" s="456"/>
      <c r="BDJ8" s="456"/>
      <c r="BDK8" s="456"/>
      <c r="BDL8" s="456"/>
      <c r="BDM8" s="456"/>
      <c r="BDN8" s="456"/>
      <c r="BDO8" s="456"/>
      <c r="BDP8" s="456"/>
      <c r="BDQ8" s="456"/>
      <c r="BDR8" s="456"/>
      <c r="BDS8" s="456"/>
      <c r="BDT8" s="456"/>
      <c r="BDU8" s="456"/>
      <c r="BDV8" s="456"/>
      <c r="BDW8" s="456"/>
      <c r="BDX8" s="456"/>
      <c r="BDY8" s="456"/>
      <c r="BDZ8" s="456"/>
      <c r="BEA8" s="456"/>
      <c r="BEB8" s="456"/>
      <c r="BEC8" s="456"/>
      <c r="BED8" s="456"/>
      <c r="BEE8" s="456"/>
      <c r="BEF8" s="456"/>
      <c r="BEG8" s="456"/>
      <c r="BEH8" s="456"/>
      <c r="BEI8" s="456"/>
      <c r="BEJ8" s="456"/>
      <c r="BEK8" s="456"/>
      <c r="BEL8" s="456"/>
      <c r="BEM8" s="456"/>
      <c r="BEN8" s="456"/>
      <c r="BEO8" s="456"/>
      <c r="BEP8" s="456"/>
      <c r="BEQ8" s="456"/>
      <c r="BER8" s="456"/>
      <c r="BES8" s="456"/>
      <c r="BET8" s="456"/>
      <c r="BEU8" s="456"/>
      <c r="BEV8" s="456"/>
      <c r="BEW8" s="456"/>
      <c r="BEX8" s="456"/>
      <c r="BEY8" s="456"/>
      <c r="BEZ8" s="456"/>
      <c r="BFA8" s="456"/>
      <c r="BFB8" s="456"/>
      <c r="BFC8" s="456"/>
      <c r="BFD8" s="456"/>
      <c r="BFE8" s="456"/>
      <c r="BFF8" s="456"/>
      <c r="BFG8" s="456"/>
      <c r="BFH8" s="456"/>
      <c r="BFI8" s="456"/>
      <c r="BFJ8" s="456"/>
      <c r="BFK8" s="456"/>
      <c r="BFL8" s="456"/>
      <c r="BFM8" s="456"/>
      <c r="BFN8" s="456"/>
      <c r="BFO8" s="456"/>
      <c r="BFP8" s="456"/>
      <c r="BFQ8" s="456"/>
      <c r="BFR8" s="456"/>
      <c r="BFS8" s="456"/>
      <c r="BFT8" s="456"/>
      <c r="BFU8" s="456"/>
      <c r="BFV8" s="456"/>
      <c r="BFW8" s="456"/>
      <c r="BFX8" s="456"/>
      <c r="BFY8" s="456"/>
      <c r="BFZ8" s="456"/>
      <c r="BGA8" s="456"/>
      <c r="BGB8" s="456"/>
      <c r="BGC8" s="456"/>
      <c r="BGD8" s="456"/>
      <c r="BGE8" s="456"/>
      <c r="BGF8" s="456"/>
      <c r="BGG8" s="456"/>
      <c r="BGH8" s="456"/>
      <c r="BGI8" s="456"/>
      <c r="BGJ8" s="456"/>
      <c r="BGK8" s="456"/>
      <c r="BGL8" s="456"/>
      <c r="BGM8" s="456"/>
      <c r="BGN8" s="456"/>
      <c r="BGO8" s="456"/>
      <c r="BGP8" s="456"/>
      <c r="BGQ8" s="456"/>
      <c r="BGR8" s="456"/>
      <c r="BGS8" s="456"/>
      <c r="BGT8" s="456"/>
      <c r="BGU8" s="456"/>
      <c r="BGV8" s="456"/>
      <c r="BGW8" s="456"/>
      <c r="BGX8" s="456"/>
      <c r="BGY8" s="456"/>
      <c r="BGZ8" s="456"/>
      <c r="BHA8" s="456"/>
      <c r="BHB8" s="456"/>
      <c r="BHC8" s="456"/>
      <c r="BHD8" s="456"/>
      <c r="BHE8" s="456"/>
      <c r="BHF8" s="456"/>
      <c r="BHG8" s="456"/>
      <c r="BHH8" s="456"/>
      <c r="BHI8" s="456"/>
      <c r="BHJ8" s="456"/>
      <c r="BHK8" s="456"/>
      <c r="BHL8" s="456"/>
      <c r="BHM8" s="456"/>
      <c r="BHN8" s="456"/>
      <c r="BHO8" s="456"/>
      <c r="BHP8" s="456"/>
      <c r="BHQ8" s="456"/>
      <c r="BHR8" s="456"/>
      <c r="BHS8" s="456"/>
      <c r="BHT8" s="456"/>
      <c r="BHU8" s="456"/>
      <c r="BHV8" s="456"/>
      <c r="BHW8" s="456"/>
      <c r="BHX8" s="456"/>
      <c r="BHY8" s="456"/>
      <c r="BHZ8" s="456"/>
      <c r="BIA8" s="456"/>
      <c r="BIB8" s="456"/>
      <c r="BIC8" s="456"/>
      <c r="BID8" s="456"/>
      <c r="BIE8" s="456"/>
      <c r="BIF8" s="456"/>
      <c r="BIG8" s="456"/>
      <c r="BIH8" s="456"/>
      <c r="BII8" s="456"/>
      <c r="BIJ8" s="456"/>
      <c r="BIK8" s="456"/>
      <c r="BIL8" s="456"/>
      <c r="BIM8" s="456"/>
      <c r="BIN8" s="456"/>
      <c r="BIO8" s="456"/>
      <c r="BIP8" s="456"/>
      <c r="BIQ8" s="456"/>
      <c r="BIR8" s="456"/>
      <c r="BIS8" s="456"/>
      <c r="BIT8" s="456"/>
      <c r="BIU8" s="456"/>
      <c r="BIV8" s="456"/>
      <c r="BIW8" s="456"/>
      <c r="BIX8" s="456"/>
      <c r="BIY8" s="456"/>
      <c r="BIZ8" s="456"/>
      <c r="BJA8" s="456"/>
      <c r="BJB8" s="456"/>
      <c r="BJC8" s="456"/>
      <c r="BJD8" s="456"/>
      <c r="BJE8" s="456"/>
      <c r="BJF8" s="456"/>
      <c r="BJG8" s="456"/>
      <c r="BJH8" s="456"/>
      <c r="BJI8" s="456"/>
      <c r="BJJ8" s="456"/>
      <c r="BJK8" s="456"/>
      <c r="BJL8" s="456"/>
      <c r="BJM8" s="456"/>
      <c r="BJN8" s="456"/>
      <c r="BJO8" s="456"/>
      <c r="BJP8" s="456"/>
      <c r="BJQ8" s="456"/>
      <c r="BJR8" s="456"/>
      <c r="BJS8" s="456"/>
      <c r="BJT8" s="456"/>
      <c r="BJU8" s="456"/>
      <c r="BJV8" s="456"/>
      <c r="BJW8" s="456"/>
      <c r="BJX8" s="456"/>
      <c r="BJY8" s="456"/>
      <c r="BJZ8" s="456"/>
      <c r="BKA8" s="456"/>
      <c r="BKB8" s="456"/>
      <c r="BKC8" s="456"/>
      <c r="BKD8" s="456"/>
      <c r="BKE8" s="456"/>
      <c r="BKF8" s="456"/>
      <c r="BKG8" s="456"/>
      <c r="BKH8" s="456"/>
      <c r="BKI8" s="456"/>
      <c r="BKJ8" s="456"/>
      <c r="BKK8" s="456"/>
      <c r="BKL8" s="456"/>
      <c r="BKM8" s="456"/>
      <c r="BKN8" s="456"/>
      <c r="BKO8" s="456"/>
      <c r="BKP8" s="456"/>
      <c r="BKQ8" s="456"/>
      <c r="BKR8" s="456"/>
      <c r="BKS8" s="456"/>
      <c r="BKT8" s="456"/>
      <c r="BKU8" s="456"/>
      <c r="BKV8" s="456"/>
      <c r="BKW8" s="456"/>
      <c r="BKX8" s="456"/>
      <c r="BKY8" s="456"/>
      <c r="BKZ8" s="456"/>
      <c r="BLA8" s="456"/>
      <c r="BLB8" s="456"/>
      <c r="BLC8" s="456"/>
      <c r="BLD8" s="456"/>
      <c r="BLE8" s="456"/>
      <c r="BLF8" s="456"/>
      <c r="BLG8" s="456"/>
      <c r="BLH8" s="456"/>
      <c r="BLI8" s="456"/>
      <c r="BLJ8" s="456"/>
      <c r="BLK8" s="456"/>
      <c r="BLL8" s="456"/>
      <c r="BLM8" s="456"/>
      <c r="BLN8" s="456"/>
      <c r="BLO8" s="456"/>
      <c r="BLP8" s="456"/>
      <c r="BLQ8" s="456"/>
      <c r="BLR8" s="456"/>
      <c r="BLS8" s="456"/>
      <c r="BLT8" s="456"/>
      <c r="BLU8" s="456"/>
      <c r="BLV8" s="456"/>
      <c r="BLW8" s="456"/>
      <c r="BLX8" s="456"/>
      <c r="BLY8" s="456"/>
      <c r="BLZ8" s="456"/>
      <c r="BMA8" s="456"/>
      <c r="BMB8" s="456"/>
      <c r="BMC8" s="456"/>
      <c r="BMD8" s="456"/>
      <c r="BME8" s="456"/>
      <c r="BMF8" s="456"/>
      <c r="BMG8" s="456"/>
      <c r="BMH8" s="456"/>
      <c r="BMI8" s="456"/>
      <c r="BMJ8" s="456"/>
      <c r="BMK8" s="456"/>
      <c r="BML8" s="456"/>
      <c r="BMM8" s="456"/>
      <c r="BMN8" s="456"/>
      <c r="BMO8" s="456"/>
      <c r="BMP8" s="456"/>
      <c r="BMQ8" s="456"/>
      <c r="BMR8" s="456"/>
      <c r="BMS8" s="456"/>
      <c r="BMT8" s="456"/>
      <c r="BMU8" s="456"/>
      <c r="BMV8" s="456"/>
      <c r="BMW8" s="456"/>
      <c r="BMX8" s="456"/>
      <c r="BMY8" s="456"/>
      <c r="BMZ8" s="456"/>
      <c r="BNA8" s="456"/>
      <c r="BNB8" s="456"/>
      <c r="BNC8" s="456"/>
      <c r="BND8" s="456"/>
      <c r="BNE8" s="456"/>
      <c r="BNF8" s="456"/>
      <c r="BNG8" s="456"/>
      <c r="BNH8" s="456"/>
      <c r="BNI8" s="456"/>
      <c r="BNJ8" s="456"/>
      <c r="BNK8" s="456"/>
      <c r="BNL8" s="456"/>
      <c r="BNM8" s="456"/>
      <c r="BNN8" s="456"/>
      <c r="BNO8" s="456"/>
      <c r="BNP8" s="456"/>
      <c r="BNQ8" s="456"/>
      <c r="BNR8" s="456"/>
      <c r="BNS8" s="456"/>
      <c r="BNT8" s="456"/>
      <c r="BNU8" s="456"/>
      <c r="BNV8" s="456"/>
      <c r="BNW8" s="456"/>
      <c r="BNX8" s="456"/>
      <c r="BNY8" s="456"/>
      <c r="BNZ8" s="456"/>
      <c r="BOA8" s="456"/>
      <c r="BOB8" s="456"/>
      <c r="BOC8" s="456"/>
      <c r="BOD8" s="456"/>
      <c r="BOE8" s="456"/>
      <c r="BOF8" s="456"/>
      <c r="BOG8" s="456"/>
      <c r="BOH8" s="456"/>
      <c r="BOI8" s="456"/>
      <c r="BOJ8" s="456"/>
      <c r="BOK8" s="456"/>
      <c r="BOL8" s="456"/>
      <c r="BOM8" s="456"/>
      <c r="BON8" s="456"/>
      <c r="BOO8" s="456"/>
      <c r="BOP8" s="456"/>
      <c r="BOQ8" s="456"/>
      <c r="BOR8" s="456"/>
      <c r="BOS8" s="456"/>
      <c r="BOT8" s="456"/>
      <c r="BOU8" s="456"/>
      <c r="BOV8" s="456"/>
      <c r="BOW8" s="456"/>
      <c r="BOX8" s="456"/>
      <c r="BOY8" s="456"/>
      <c r="BOZ8" s="456"/>
      <c r="BPA8" s="456"/>
      <c r="BPB8" s="456"/>
      <c r="BPC8" s="456"/>
      <c r="BPD8" s="456"/>
      <c r="BPE8" s="456"/>
      <c r="BPF8" s="456"/>
      <c r="BPG8" s="456"/>
      <c r="BPH8" s="456"/>
      <c r="BPI8" s="456"/>
      <c r="BPJ8" s="456"/>
      <c r="BPK8" s="456"/>
      <c r="BPL8" s="456"/>
      <c r="BPM8" s="456"/>
      <c r="BPN8" s="456"/>
      <c r="BPO8" s="456"/>
      <c r="BPP8" s="456"/>
      <c r="BPQ8" s="456"/>
      <c r="BPR8" s="456"/>
      <c r="BPS8" s="456"/>
      <c r="BPT8" s="456"/>
      <c r="BPU8" s="456"/>
      <c r="BPV8" s="456"/>
      <c r="BPW8" s="456"/>
      <c r="BPX8" s="456"/>
      <c r="BPY8" s="456"/>
      <c r="BPZ8" s="456"/>
      <c r="BQA8" s="456"/>
      <c r="BQB8" s="456"/>
      <c r="BQC8" s="456"/>
      <c r="BQD8" s="456"/>
      <c r="BQE8" s="456"/>
      <c r="BQF8" s="456"/>
      <c r="BQG8" s="456"/>
      <c r="BQH8" s="456"/>
      <c r="BQI8" s="456"/>
      <c r="BQJ8" s="456"/>
      <c r="BQK8" s="456"/>
      <c r="BQL8" s="456"/>
      <c r="BQM8" s="456"/>
      <c r="BQN8" s="456"/>
      <c r="BQO8" s="456"/>
      <c r="BQP8" s="456"/>
      <c r="BQQ8" s="456"/>
      <c r="BQR8" s="456"/>
      <c r="BQS8" s="456"/>
      <c r="BQT8" s="456"/>
      <c r="BQU8" s="456"/>
      <c r="BQV8" s="456"/>
      <c r="BQW8" s="456"/>
      <c r="BQX8" s="456"/>
      <c r="BQY8" s="456"/>
      <c r="BQZ8" s="456"/>
      <c r="BRA8" s="456"/>
      <c r="BRB8" s="456"/>
      <c r="BRC8" s="456"/>
      <c r="BRD8" s="456"/>
      <c r="BRE8" s="456"/>
      <c r="BRF8" s="456"/>
      <c r="BRG8" s="456"/>
      <c r="BRH8" s="456"/>
      <c r="BRI8" s="456"/>
      <c r="BRJ8" s="456"/>
      <c r="BRK8" s="456"/>
      <c r="BRL8" s="456"/>
      <c r="BRM8" s="456"/>
      <c r="BRN8" s="456"/>
      <c r="BRO8" s="456"/>
      <c r="BRP8" s="456"/>
      <c r="BRQ8" s="456"/>
      <c r="BRR8" s="456"/>
      <c r="BRS8" s="456"/>
      <c r="BRT8" s="456"/>
      <c r="BRU8" s="456"/>
      <c r="BRV8" s="456"/>
      <c r="BRW8" s="456"/>
      <c r="BRX8" s="456"/>
      <c r="BRY8" s="456"/>
      <c r="BRZ8" s="456"/>
      <c r="BSA8" s="456"/>
      <c r="BSB8" s="456"/>
      <c r="BSC8" s="456"/>
      <c r="BSD8" s="456"/>
      <c r="BSE8" s="456"/>
      <c r="BSF8" s="456"/>
      <c r="BSG8" s="456"/>
      <c r="BSH8" s="456"/>
      <c r="BSI8" s="456"/>
      <c r="BSJ8" s="456"/>
      <c r="BSK8" s="456"/>
      <c r="BSL8" s="456"/>
      <c r="BSM8" s="456"/>
      <c r="BSN8" s="456"/>
      <c r="BSO8" s="456"/>
      <c r="BSP8" s="456"/>
      <c r="BSQ8" s="456"/>
      <c r="BSR8" s="456"/>
      <c r="BSS8" s="456"/>
      <c r="BST8" s="456"/>
      <c r="BSU8" s="456"/>
      <c r="BSV8" s="456"/>
      <c r="BSW8" s="456"/>
      <c r="BSX8" s="456"/>
      <c r="BSY8" s="456"/>
      <c r="BSZ8" s="456"/>
      <c r="BTA8" s="456"/>
      <c r="BTB8" s="456"/>
      <c r="BTC8" s="456"/>
      <c r="BTD8" s="456"/>
      <c r="BTE8" s="456"/>
      <c r="BTF8" s="456"/>
      <c r="BTG8" s="456"/>
      <c r="BTH8" s="456"/>
      <c r="BTI8" s="456"/>
      <c r="BTJ8" s="456"/>
      <c r="BTK8" s="456"/>
      <c r="BTL8" s="456"/>
      <c r="BTM8" s="456"/>
      <c r="BTN8" s="456"/>
      <c r="BTO8" s="456"/>
      <c r="BTP8" s="456"/>
      <c r="BTQ8" s="456"/>
      <c r="BTR8" s="456"/>
      <c r="BTS8" s="456"/>
      <c r="BTT8" s="456"/>
      <c r="BTU8" s="456"/>
      <c r="BTV8" s="456"/>
      <c r="BTW8" s="456"/>
      <c r="BTX8" s="456"/>
      <c r="BTY8" s="456"/>
      <c r="BTZ8" s="456"/>
      <c r="BUA8" s="456"/>
      <c r="BUB8" s="456"/>
      <c r="BUC8" s="456"/>
      <c r="BUD8" s="456"/>
      <c r="BUE8" s="456"/>
      <c r="BUF8" s="456"/>
      <c r="BUG8" s="456"/>
      <c r="BUH8" s="456"/>
      <c r="BUI8" s="456"/>
      <c r="BUJ8" s="456"/>
      <c r="BUK8" s="456"/>
      <c r="BUL8" s="456"/>
      <c r="BUM8" s="456"/>
      <c r="BUN8" s="456"/>
      <c r="BUO8" s="456"/>
      <c r="BUP8" s="456"/>
      <c r="BUQ8" s="456"/>
      <c r="BUR8" s="456"/>
      <c r="BUS8" s="456"/>
      <c r="BUT8" s="456"/>
      <c r="BUU8" s="456"/>
      <c r="BUV8" s="456"/>
      <c r="BUW8" s="456"/>
      <c r="BUX8" s="456"/>
      <c r="BUY8" s="456"/>
      <c r="BUZ8" s="456"/>
      <c r="BVA8" s="456"/>
      <c r="BVB8" s="456"/>
      <c r="BVC8" s="456"/>
      <c r="BVD8" s="456"/>
      <c r="BVE8" s="456"/>
      <c r="BVF8" s="456"/>
      <c r="BVG8" s="456"/>
      <c r="BVH8" s="456"/>
      <c r="BVI8" s="456"/>
      <c r="BVJ8" s="456"/>
      <c r="BVK8" s="456"/>
      <c r="BVL8" s="456"/>
      <c r="BVM8" s="456"/>
      <c r="BVN8" s="456"/>
      <c r="BVO8" s="456"/>
      <c r="BVP8" s="456"/>
      <c r="BVQ8" s="456"/>
      <c r="BVR8" s="456"/>
      <c r="BVS8" s="456"/>
      <c r="BVT8" s="456"/>
      <c r="BVU8" s="456"/>
      <c r="BVV8" s="456"/>
      <c r="BVW8" s="456"/>
      <c r="BVX8" s="456"/>
      <c r="BVY8" s="456"/>
      <c r="BVZ8" s="456"/>
      <c r="BWA8" s="456"/>
      <c r="BWB8" s="456"/>
      <c r="BWC8" s="456"/>
      <c r="BWD8" s="456"/>
      <c r="BWE8" s="456"/>
      <c r="BWF8" s="456"/>
      <c r="BWG8" s="456"/>
      <c r="BWH8" s="456"/>
      <c r="BWI8" s="456"/>
      <c r="BWJ8" s="456"/>
      <c r="BWK8" s="456"/>
      <c r="BWL8" s="456"/>
      <c r="BWM8" s="456"/>
      <c r="BWN8" s="456"/>
      <c r="BWO8" s="456"/>
      <c r="BWP8" s="456"/>
      <c r="BWQ8" s="456"/>
      <c r="BWR8" s="456"/>
      <c r="BWS8" s="456"/>
      <c r="BWT8" s="456"/>
      <c r="BWU8" s="456"/>
      <c r="BWV8" s="456"/>
      <c r="BWW8" s="456"/>
      <c r="BWX8" s="456"/>
      <c r="BWY8" s="456"/>
      <c r="BWZ8" s="456"/>
      <c r="BXA8" s="456"/>
      <c r="BXB8" s="456"/>
      <c r="BXC8" s="456"/>
      <c r="BXD8" s="456"/>
      <c r="BXE8" s="456"/>
      <c r="BXF8" s="456"/>
      <c r="BXG8" s="456"/>
      <c r="BXH8" s="456"/>
      <c r="BXI8" s="456"/>
      <c r="BXJ8" s="456"/>
      <c r="BXK8" s="456"/>
      <c r="BXL8" s="456"/>
      <c r="BXM8" s="456"/>
      <c r="BXN8" s="456"/>
      <c r="BXO8" s="456"/>
      <c r="BXP8" s="456"/>
      <c r="BXQ8" s="456"/>
      <c r="BXR8" s="456"/>
      <c r="BXS8" s="456"/>
      <c r="BXT8" s="456"/>
      <c r="BXU8" s="456"/>
      <c r="BXV8" s="456"/>
      <c r="BXW8" s="456"/>
      <c r="BXX8" s="456"/>
      <c r="BXY8" s="456"/>
      <c r="BXZ8" s="456"/>
    </row>
    <row r="9" s="25" customFormat="1" ht="15.6" spans="1:1024 1025:2002">
      <c r="A9" s="473"/>
      <c r="B9" s="19">
        <v>1112</v>
      </c>
      <c r="C9" s="183">
        <v>46134</v>
      </c>
      <c r="D9" s="17" t="s">
        <v>52</v>
      </c>
      <c r="E9" s="17" t="s">
        <v>53</v>
      </c>
      <c r="F9" s="17" t="s">
        <v>54</v>
      </c>
      <c r="G9" s="17"/>
      <c r="H9" s="19" t="s">
        <v>55</v>
      </c>
      <c r="I9" s="102" t="s">
        <v>56</v>
      </c>
      <c r="J9" s="17" t="s">
        <v>49</v>
      </c>
      <c r="K9" s="19">
        <v>710</v>
      </c>
      <c r="L9" s="19">
        <v>101</v>
      </c>
      <c r="M9" s="19">
        <v>5800</v>
      </c>
      <c r="N9" s="19" t="s">
        <v>40</v>
      </c>
      <c r="O9" s="19" t="s">
        <v>50</v>
      </c>
      <c r="P9" s="93">
        <v>2100</v>
      </c>
      <c r="Q9" s="19">
        <v>2158</v>
      </c>
      <c r="R9" s="19">
        <f t="shared" si="0"/>
        <v>-58</v>
      </c>
      <c r="S9" s="311">
        <v>2040</v>
      </c>
      <c r="T9" s="19" t="s">
        <v>42</v>
      </c>
      <c r="U9" s="102" t="s">
        <v>57</v>
      </c>
      <c r="V9" s="186">
        <v>46139</v>
      </c>
      <c r="W9" s="17" t="s">
        <v>58</v>
      </c>
      <c r="X9" s="17"/>
      <c r="Y9" s="68">
        <v>46174</v>
      </c>
      <c r="Z9" s="17" t="s">
        <v>45</v>
      </c>
      <c r="AA9" s="17" t="s">
        <v>59</v>
      </c>
      <c r="AB9" s="17" t="s">
        <v>60</v>
      </c>
      <c r="AC9" s="217">
        <v>46281</v>
      </c>
      <c r="AD9" s="65">
        <v>1862</v>
      </c>
      <c r="AE9" s="17" t="s">
        <v>48</v>
      </c>
      <c r="AF9" s="17" t="s">
        <v>61</v>
      </c>
      <c r="AG9" s="17"/>
      <c r="AH9" s="456"/>
      <c r="AI9" s="456"/>
      <c r="AJ9" s="456"/>
      <c r="AK9" s="456"/>
      <c r="AL9" s="456"/>
      <c r="AM9" s="456"/>
      <c r="AN9" s="456"/>
      <c r="AO9" s="456"/>
      <c r="AP9" s="456"/>
      <c r="AQ9" s="456"/>
      <c r="AR9" s="456"/>
      <c r="AS9" s="456"/>
      <c r="AT9" s="456"/>
      <c r="AU9" s="456"/>
      <c r="AV9" s="456"/>
      <c r="AW9" s="456"/>
      <c r="AX9" s="456"/>
      <c r="AY9" s="456"/>
      <c r="AZ9" s="456"/>
      <c r="BA9" s="456"/>
      <c r="BB9" s="456"/>
      <c r="BC9" s="456"/>
      <c r="BD9" s="456"/>
      <c r="BE9" s="456"/>
      <c r="BF9" s="456"/>
      <c r="BG9" s="456"/>
      <c r="BH9" s="456"/>
      <c r="BI9" s="456"/>
      <c r="BJ9" s="456"/>
      <c r="BK9" s="456"/>
      <c r="BL9" s="456"/>
      <c r="BM9" s="456"/>
      <c r="BN9" s="456"/>
      <c r="BO9" s="456"/>
      <c r="BP9" s="456"/>
      <c r="BQ9" s="456"/>
      <c r="BR9" s="456"/>
      <c r="BS9" s="456"/>
      <c r="BT9" s="456"/>
      <c r="BU9" s="456"/>
      <c r="BV9" s="456"/>
      <c r="BW9" s="456"/>
      <c r="BX9" s="456"/>
      <c r="BY9" s="456"/>
      <c r="BZ9" s="456"/>
      <c r="CA9" s="456"/>
      <c r="CB9" s="456"/>
      <c r="CC9" s="456"/>
      <c r="CD9" s="456"/>
      <c r="CE9" s="456"/>
      <c r="CF9" s="456"/>
      <c r="CG9" s="456"/>
      <c r="CH9" s="456"/>
      <c r="CI9" s="456"/>
      <c r="CJ9" s="456"/>
      <c r="CK9" s="456"/>
      <c r="CL9" s="456"/>
      <c r="CM9" s="456"/>
      <c r="CN9" s="456"/>
      <c r="CO9" s="456"/>
      <c r="CP9" s="456"/>
      <c r="CQ9" s="456"/>
      <c r="CR9" s="456"/>
      <c r="CS9" s="456"/>
      <c r="CT9" s="456"/>
      <c r="CU9" s="456"/>
      <c r="CV9" s="456"/>
      <c r="CW9" s="456"/>
      <c r="CX9" s="456"/>
      <c r="CY9" s="456"/>
      <c r="CZ9" s="456"/>
      <c r="DA9" s="456"/>
      <c r="DB9" s="456"/>
      <c r="DC9" s="456"/>
      <c r="DD9" s="456"/>
      <c r="DE9" s="456"/>
      <c r="DF9" s="456"/>
      <c r="DG9" s="456"/>
      <c r="DH9" s="456"/>
      <c r="DI9" s="456"/>
      <c r="DJ9" s="456"/>
      <c r="DK9" s="456"/>
      <c r="DL9" s="456"/>
      <c r="DM9" s="456"/>
      <c r="DN9" s="456"/>
      <c r="DO9" s="456"/>
      <c r="DP9" s="456"/>
      <c r="DQ9" s="456"/>
      <c r="DR9" s="456"/>
      <c r="DS9" s="456"/>
      <c r="DT9" s="456"/>
      <c r="DU9" s="456"/>
      <c r="DV9" s="456"/>
      <c r="DW9" s="456"/>
      <c r="DX9" s="456"/>
      <c r="DY9" s="456"/>
      <c r="DZ9" s="456"/>
      <c r="EA9" s="456"/>
      <c r="EB9" s="456"/>
      <c r="EC9" s="456"/>
      <c r="ED9" s="456"/>
      <c r="EE9" s="456"/>
      <c r="EF9" s="456"/>
      <c r="EG9" s="456"/>
      <c r="EH9" s="456"/>
      <c r="EI9" s="456"/>
      <c r="EJ9" s="456"/>
      <c r="EK9" s="456"/>
      <c r="EL9" s="456"/>
      <c r="EM9" s="456"/>
      <c r="EN9" s="456"/>
      <c r="EO9" s="456"/>
      <c r="EP9" s="456"/>
      <c r="EQ9" s="456"/>
      <c r="ER9" s="456"/>
      <c r="ES9" s="456"/>
      <c r="ET9" s="456"/>
      <c r="EU9" s="456"/>
      <c r="EV9" s="456"/>
      <c r="EW9" s="456"/>
      <c r="EX9" s="456"/>
      <c r="EY9" s="456"/>
      <c r="EZ9" s="456"/>
      <c r="FA9" s="456"/>
      <c r="FB9" s="456"/>
      <c r="FC9" s="456"/>
      <c r="FD9" s="456"/>
      <c r="FE9" s="456"/>
      <c r="FF9" s="456"/>
      <c r="FG9" s="456"/>
      <c r="FH9" s="456"/>
      <c r="FI9" s="456"/>
      <c r="FJ9" s="456"/>
      <c r="FK9" s="456"/>
      <c r="FL9" s="456"/>
      <c r="FM9" s="456"/>
      <c r="FN9" s="456"/>
      <c r="FO9" s="456"/>
      <c r="FP9" s="456"/>
      <c r="FQ9" s="456"/>
      <c r="FR9" s="456"/>
      <c r="FS9" s="456"/>
      <c r="FT9" s="456"/>
      <c r="FU9" s="456"/>
      <c r="FV9" s="456"/>
      <c r="FW9" s="456"/>
      <c r="FX9" s="456"/>
      <c r="FY9" s="456"/>
      <c r="FZ9" s="456"/>
      <c r="GA9" s="456"/>
      <c r="GB9" s="456"/>
      <c r="GC9" s="456"/>
      <c r="GD9" s="456"/>
      <c r="GE9" s="456"/>
      <c r="GF9" s="456"/>
      <c r="GG9" s="456"/>
      <c r="GH9" s="456"/>
      <c r="GI9" s="456"/>
      <c r="GJ9" s="456"/>
      <c r="GK9" s="456"/>
      <c r="GL9" s="456"/>
      <c r="GM9" s="456"/>
      <c r="GN9" s="456"/>
      <c r="GO9" s="456"/>
      <c r="GP9" s="456"/>
      <c r="GQ9" s="456"/>
      <c r="GR9" s="456"/>
      <c r="GS9" s="456"/>
      <c r="GT9" s="456"/>
      <c r="GU9" s="456"/>
      <c r="GV9" s="456"/>
      <c r="GW9" s="456"/>
      <c r="GX9" s="456"/>
      <c r="GY9" s="456"/>
      <c r="GZ9" s="456"/>
      <c r="HA9" s="456"/>
      <c r="HB9" s="456"/>
      <c r="HC9" s="456"/>
      <c r="HD9" s="456"/>
      <c r="HE9" s="456"/>
      <c r="HF9" s="456"/>
      <c r="HG9" s="456"/>
      <c r="HH9" s="456"/>
      <c r="HI9" s="456"/>
      <c r="HJ9" s="456"/>
      <c r="HK9" s="456"/>
      <c r="HL9" s="456"/>
      <c r="HM9" s="456"/>
      <c r="HN9" s="456"/>
      <c r="HO9" s="456"/>
      <c r="HP9" s="456"/>
      <c r="HQ9" s="456"/>
      <c r="HR9" s="456"/>
      <c r="HS9" s="456"/>
      <c r="HT9" s="456"/>
      <c r="HU9" s="456"/>
      <c r="HV9" s="456"/>
      <c r="HW9" s="456"/>
      <c r="HX9" s="456"/>
      <c r="HY9" s="456"/>
      <c r="HZ9" s="456"/>
      <c r="IA9" s="456"/>
      <c r="IB9" s="456"/>
      <c r="IC9" s="456"/>
      <c r="ID9" s="456"/>
      <c r="IE9" s="456"/>
      <c r="IF9" s="456"/>
      <c r="IG9" s="456"/>
      <c r="IH9" s="456"/>
      <c r="II9" s="456"/>
      <c r="IJ9" s="456"/>
      <c r="IK9" s="456"/>
      <c r="IL9" s="456"/>
      <c r="IM9" s="456"/>
      <c r="IN9" s="456"/>
      <c r="IO9" s="456"/>
      <c r="IP9" s="456"/>
      <c r="IQ9" s="456"/>
      <c r="IR9" s="456"/>
      <c r="IS9" s="456"/>
      <c r="IT9" s="456"/>
      <c r="IU9" s="456"/>
      <c r="IV9" s="456"/>
      <c r="IW9" s="456"/>
      <c r="IX9" s="456"/>
      <c r="IY9" s="456"/>
      <c r="IZ9" s="456"/>
      <c r="JA9" s="456"/>
      <c r="JB9" s="456"/>
      <c r="JC9" s="456"/>
      <c r="JD9" s="456"/>
      <c r="JE9" s="456"/>
      <c r="JF9" s="456"/>
      <c r="JG9" s="456"/>
      <c r="JH9" s="456"/>
      <c r="JI9" s="456"/>
      <c r="JJ9" s="456"/>
      <c r="JK9" s="456"/>
      <c r="JL9" s="456"/>
      <c r="JM9" s="456"/>
      <c r="JN9" s="456"/>
      <c r="JO9" s="456"/>
      <c r="JP9" s="456"/>
      <c r="JQ9" s="456"/>
      <c r="JR9" s="456"/>
      <c r="JS9" s="456"/>
      <c r="JT9" s="456"/>
      <c r="JU9" s="456"/>
      <c r="JV9" s="456"/>
      <c r="JW9" s="456"/>
      <c r="JX9" s="456"/>
      <c r="JY9" s="456"/>
      <c r="JZ9" s="456"/>
      <c r="KA9" s="456"/>
      <c r="KB9" s="456"/>
      <c r="KC9" s="456"/>
      <c r="KD9" s="456"/>
      <c r="KE9" s="456"/>
      <c r="KF9" s="456"/>
      <c r="KG9" s="456"/>
      <c r="KH9" s="456"/>
      <c r="KI9" s="456"/>
      <c r="KJ9" s="456"/>
      <c r="KK9" s="456"/>
      <c r="KL9" s="456"/>
      <c r="KM9" s="456"/>
      <c r="KN9" s="456"/>
      <c r="KO9" s="456"/>
      <c r="KP9" s="456"/>
      <c r="KQ9" s="456"/>
      <c r="KR9" s="456"/>
      <c r="KS9" s="456"/>
      <c r="KT9" s="456"/>
      <c r="KU9" s="456"/>
      <c r="KV9" s="456"/>
      <c r="KW9" s="456"/>
      <c r="KX9" s="456"/>
      <c r="KY9" s="456"/>
      <c r="KZ9" s="456"/>
      <c r="LA9" s="456"/>
      <c r="LB9" s="456"/>
      <c r="LC9" s="456"/>
      <c r="LD9" s="456"/>
      <c r="LE9" s="456"/>
      <c r="LF9" s="456"/>
      <c r="LG9" s="456"/>
      <c r="LH9" s="456"/>
      <c r="LI9" s="456"/>
      <c r="LJ9" s="456"/>
      <c r="LK9" s="456"/>
      <c r="LL9" s="456"/>
      <c r="LM9" s="456"/>
      <c r="LN9" s="456"/>
      <c r="LO9" s="456"/>
      <c r="LP9" s="456"/>
      <c r="LQ9" s="456"/>
      <c r="LR9" s="456"/>
      <c r="LS9" s="456"/>
      <c r="LT9" s="456"/>
      <c r="LU9" s="456"/>
      <c r="LV9" s="456"/>
      <c r="LW9" s="456"/>
      <c r="LX9" s="456"/>
      <c r="LY9" s="456"/>
      <c r="LZ9" s="456"/>
      <c r="MA9" s="456"/>
      <c r="MB9" s="456"/>
      <c r="MC9" s="456"/>
      <c r="MD9" s="456"/>
      <c r="ME9" s="456"/>
      <c r="MF9" s="456"/>
      <c r="MG9" s="456"/>
      <c r="MH9" s="456"/>
      <c r="MI9" s="456"/>
      <c r="MJ9" s="456"/>
      <c r="MK9" s="456"/>
      <c r="ML9" s="456"/>
      <c r="MM9" s="456"/>
      <c r="MN9" s="456"/>
      <c r="MO9" s="456"/>
      <c r="MP9" s="456"/>
      <c r="MQ9" s="456"/>
      <c r="MR9" s="456"/>
      <c r="MS9" s="456"/>
      <c r="MT9" s="456"/>
      <c r="MU9" s="456"/>
      <c r="MV9" s="456"/>
      <c r="MW9" s="456"/>
      <c r="MX9" s="456"/>
      <c r="MY9" s="456"/>
      <c r="MZ9" s="456"/>
      <c r="NA9" s="456"/>
      <c r="NB9" s="456"/>
      <c r="NC9" s="456"/>
      <c r="ND9" s="456"/>
      <c r="NE9" s="456"/>
      <c r="NF9" s="456"/>
      <c r="NG9" s="456"/>
      <c r="NH9" s="456"/>
      <c r="NI9" s="456"/>
      <c r="NJ9" s="456"/>
      <c r="NK9" s="456"/>
      <c r="NL9" s="456"/>
      <c r="NM9" s="456"/>
      <c r="NN9" s="456"/>
      <c r="NO9" s="456"/>
      <c r="NP9" s="456"/>
      <c r="NQ9" s="456"/>
      <c r="NR9" s="456"/>
      <c r="NS9" s="456"/>
      <c r="NT9" s="456"/>
      <c r="NU9" s="456"/>
      <c r="NV9" s="456"/>
      <c r="NW9" s="456"/>
      <c r="NX9" s="456"/>
      <c r="NY9" s="456"/>
      <c r="NZ9" s="456"/>
      <c r="OA9" s="456"/>
      <c r="OB9" s="456"/>
      <c r="OC9" s="456"/>
      <c r="OD9" s="456"/>
      <c r="OE9" s="456"/>
      <c r="OF9" s="456"/>
      <c r="OG9" s="456"/>
      <c r="OH9" s="456"/>
      <c r="OI9" s="456"/>
      <c r="OJ9" s="456"/>
      <c r="OK9" s="456"/>
      <c r="OL9" s="456"/>
      <c r="OM9" s="456"/>
      <c r="ON9" s="456"/>
      <c r="OO9" s="456"/>
      <c r="OP9" s="456"/>
      <c r="OQ9" s="456"/>
      <c r="OR9" s="456"/>
      <c r="OS9" s="456"/>
      <c r="OT9" s="456"/>
      <c r="OU9" s="456"/>
      <c r="OV9" s="456"/>
      <c r="OW9" s="456"/>
      <c r="OX9" s="456"/>
      <c r="OY9" s="456"/>
      <c r="OZ9" s="456"/>
      <c r="PA9" s="456"/>
      <c r="PB9" s="456"/>
      <c r="PC9" s="456"/>
      <c r="PD9" s="456"/>
      <c r="PE9" s="456"/>
      <c r="PF9" s="456"/>
      <c r="PG9" s="456"/>
      <c r="PH9" s="456"/>
      <c r="PI9" s="456"/>
      <c r="PJ9" s="456"/>
      <c r="PK9" s="456"/>
      <c r="PL9" s="456"/>
      <c r="PM9" s="456"/>
      <c r="PN9" s="456"/>
      <c r="PO9" s="456"/>
      <c r="PP9" s="456"/>
      <c r="PQ9" s="456"/>
      <c r="PR9" s="456"/>
      <c r="PS9" s="456"/>
      <c r="PT9" s="456"/>
      <c r="PU9" s="456"/>
      <c r="PV9" s="456"/>
      <c r="PW9" s="456"/>
      <c r="PX9" s="456"/>
      <c r="PY9" s="456"/>
      <c r="PZ9" s="456"/>
      <c r="QA9" s="456"/>
      <c r="QB9" s="456"/>
      <c r="QC9" s="456"/>
      <c r="QD9" s="456"/>
      <c r="QE9" s="456"/>
      <c r="QF9" s="456"/>
      <c r="QG9" s="456"/>
      <c r="QH9" s="456"/>
      <c r="QI9" s="456"/>
      <c r="QJ9" s="456"/>
      <c r="QK9" s="456"/>
      <c r="QL9" s="456"/>
      <c r="QM9" s="456"/>
      <c r="QN9" s="456"/>
      <c r="QO9" s="456"/>
      <c r="QP9" s="456"/>
      <c r="QQ9" s="456"/>
      <c r="QR9" s="456"/>
      <c r="QS9" s="456"/>
      <c r="QT9" s="456"/>
      <c r="QU9" s="456"/>
      <c r="QV9" s="456"/>
      <c r="QW9" s="456"/>
      <c r="QX9" s="456"/>
      <c r="QY9" s="456"/>
      <c r="QZ9" s="456"/>
      <c r="RA9" s="456"/>
      <c r="RB9" s="456"/>
      <c r="RC9" s="456"/>
      <c r="RD9" s="456"/>
      <c r="RE9" s="456"/>
      <c r="RF9" s="456"/>
      <c r="RG9" s="456"/>
      <c r="RH9" s="456"/>
      <c r="RI9" s="456"/>
      <c r="RJ9" s="456"/>
      <c r="RK9" s="456"/>
      <c r="RL9" s="456"/>
      <c r="RM9" s="456"/>
      <c r="RN9" s="456"/>
      <c r="RO9" s="456"/>
      <c r="RP9" s="456"/>
      <c r="RQ9" s="456"/>
      <c r="RR9" s="456"/>
      <c r="RS9" s="456"/>
      <c r="RT9" s="456"/>
      <c r="RU9" s="456"/>
      <c r="RV9" s="456"/>
      <c r="RW9" s="456"/>
      <c r="RX9" s="456"/>
      <c r="RY9" s="456"/>
      <c r="RZ9" s="456"/>
      <c r="SA9" s="456"/>
      <c r="SB9" s="456"/>
      <c r="SC9" s="456"/>
      <c r="SD9" s="456"/>
      <c r="SE9" s="456"/>
      <c r="SF9" s="456"/>
      <c r="SG9" s="456"/>
      <c r="SH9" s="456"/>
      <c r="SI9" s="456"/>
      <c r="SJ9" s="456"/>
      <c r="SK9" s="456"/>
      <c r="SL9" s="456"/>
      <c r="SM9" s="456"/>
      <c r="SN9" s="456"/>
      <c r="SO9" s="456"/>
      <c r="SP9" s="456"/>
      <c r="SQ9" s="456"/>
      <c r="SR9" s="456"/>
      <c r="SS9" s="456"/>
      <c r="ST9" s="456"/>
      <c r="SU9" s="456"/>
      <c r="SV9" s="456"/>
      <c r="SW9" s="456"/>
      <c r="SX9" s="456"/>
      <c r="SY9" s="456"/>
      <c r="SZ9" s="456"/>
      <c r="TA9" s="456"/>
      <c r="TB9" s="456"/>
      <c r="TC9" s="456"/>
      <c r="TD9" s="456"/>
      <c r="TE9" s="456"/>
      <c r="TF9" s="456"/>
      <c r="TG9" s="456"/>
      <c r="TH9" s="456"/>
      <c r="TI9" s="456"/>
      <c r="TJ9" s="456"/>
      <c r="TK9" s="456"/>
      <c r="TL9" s="456"/>
      <c r="TM9" s="456"/>
      <c r="TN9" s="456"/>
      <c r="TO9" s="456"/>
      <c r="TP9" s="456"/>
      <c r="TQ9" s="456"/>
      <c r="TR9" s="456"/>
      <c r="TS9" s="456"/>
      <c r="TT9" s="456"/>
      <c r="TU9" s="456"/>
      <c r="TV9" s="456"/>
      <c r="TW9" s="456"/>
      <c r="TX9" s="456"/>
      <c r="TY9" s="456"/>
      <c r="TZ9" s="456"/>
      <c r="UA9" s="456"/>
      <c r="UB9" s="456"/>
      <c r="UC9" s="456"/>
      <c r="UD9" s="456"/>
      <c r="UE9" s="456"/>
      <c r="UF9" s="456"/>
      <c r="UG9" s="456"/>
      <c r="UH9" s="456"/>
      <c r="UI9" s="456"/>
      <c r="UJ9" s="456"/>
      <c r="UK9" s="456"/>
      <c r="UL9" s="456"/>
      <c r="UM9" s="456"/>
      <c r="UN9" s="456"/>
      <c r="UO9" s="456"/>
      <c r="UP9" s="456"/>
      <c r="UQ9" s="456"/>
      <c r="UR9" s="456"/>
      <c r="US9" s="456"/>
      <c r="UT9" s="456"/>
      <c r="UU9" s="456"/>
      <c r="UV9" s="456"/>
      <c r="UW9" s="456"/>
      <c r="UX9" s="456"/>
      <c r="UY9" s="456"/>
      <c r="UZ9" s="456"/>
      <c r="VA9" s="456"/>
      <c r="VB9" s="456"/>
      <c r="VC9" s="456"/>
      <c r="VD9" s="456"/>
      <c r="VE9" s="456"/>
      <c r="VF9" s="456"/>
      <c r="VG9" s="456"/>
      <c r="VH9" s="456"/>
      <c r="VI9" s="456"/>
      <c r="VJ9" s="456"/>
      <c r="VK9" s="456"/>
      <c r="VL9" s="456"/>
      <c r="VM9" s="456"/>
      <c r="VN9" s="456"/>
      <c r="VO9" s="456"/>
      <c r="VP9" s="456"/>
      <c r="VQ9" s="456"/>
      <c r="VR9" s="456"/>
      <c r="VS9" s="456"/>
      <c r="VT9" s="456"/>
      <c r="VU9" s="456"/>
      <c r="VV9" s="456"/>
      <c r="VW9" s="456"/>
      <c r="VX9" s="456"/>
      <c r="VY9" s="456"/>
      <c r="VZ9" s="456"/>
      <c r="WA9" s="456"/>
      <c r="WB9" s="456"/>
      <c r="WC9" s="456"/>
      <c r="WD9" s="456"/>
      <c r="WE9" s="456"/>
      <c r="WF9" s="456"/>
      <c r="WG9" s="456"/>
      <c r="WH9" s="456"/>
      <c r="WI9" s="456"/>
      <c r="WJ9" s="456"/>
      <c r="WK9" s="456"/>
      <c r="WL9" s="456"/>
      <c r="WM9" s="456"/>
      <c r="WN9" s="456"/>
      <c r="WO9" s="456"/>
      <c r="WP9" s="456"/>
      <c r="WQ9" s="456"/>
      <c r="WR9" s="456"/>
      <c r="WS9" s="456"/>
      <c r="WT9" s="456"/>
      <c r="WU9" s="456"/>
      <c r="WV9" s="456"/>
      <c r="WW9" s="456"/>
      <c r="WX9" s="456"/>
      <c r="WY9" s="456"/>
      <c r="WZ9" s="456"/>
      <c r="XA9" s="456"/>
      <c r="XB9" s="456"/>
      <c r="XC9" s="456"/>
      <c r="XD9" s="456"/>
      <c r="XE9" s="456"/>
      <c r="XF9" s="456"/>
      <c r="XG9" s="456"/>
      <c r="XH9" s="456"/>
      <c r="XI9" s="456"/>
      <c r="XJ9" s="456"/>
      <c r="XK9" s="456"/>
      <c r="XL9" s="456"/>
      <c r="XM9" s="456"/>
      <c r="XN9" s="456"/>
      <c r="XO9" s="456"/>
      <c r="XP9" s="456"/>
      <c r="XQ9" s="456"/>
      <c r="XR9" s="456"/>
      <c r="XS9" s="456"/>
      <c r="XT9" s="456"/>
      <c r="XU9" s="456"/>
      <c r="XV9" s="456"/>
      <c r="XW9" s="456"/>
      <c r="XX9" s="456"/>
      <c r="XY9" s="456"/>
      <c r="XZ9" s="456"/>
      <c r="YA9" s="456"/>
      <c r="YB9" s="456"/>
      <c r="YC9" s="456"/>
      <c r="YD9" s="456"/>
      <c r="YE9" s="456"/>
      <c r="YF9" s="456"/>
      <c r="YG9" s="456"/>
      <c r="YH9" s="456"/>
      <c r="YI9" s="456"/>
      <c r="YJ9" s="456"/>
      <c r="YK9" s="456"/>
      <c r="YL9" s="456"/>
      <c r="YM9" s="456"/>
      <c r="YN9" s="456"/>
      <c r="YO9" s="456"/>
      <c r="YP9" s="456"/>
      <c r="YQ9" s="456"/>
      <c r="YR9" s="456"/>
      <c r="YS9" s="456"/>
      <c r="YT9" s="456"/>
      <c r="YU9" s="456"/>
      <c r="YV9" s="456"/>
      <c r="YW9" s="456"/>
      <c r="YX9" s="456"/>
      <c r="YY9" s="456"/>
      <c r="YZ9" s="456"/>
      <c r="ZA9" s="456"/>
      <c r="ZB9" s="456"/>
      <c r="ZC9" s="456"/>
      <c r="ZD9" s="456"/>
      <c r="ZE9" s="456"/>
      <c r="ZF9" s="456"/>
      <c r="ZG9" s="456"/>
      <c r="ZH9" s="456"/>
      <c r="ZI9" s="456"/>
      <c r="ZJ9" s="456"/>
      <c r="ZK9" s="456"/>
      <c r="ZL9" s="456"/>
      <c r="ZM9" s="456"/>
      <c r="ZN9" s="456"/>
      <c r="ZO9" s="456"/>
      <c r="ZP9" s="456"/>
      <c r="ZQ9" s="456"/>
      <c r="ZR9" s="456"/>
      <c r="ZS9" s="456"/>
      <c r="ZT9" s="456"/>
      <c r="ZU9" s="456"/>
      <c r="ZV9" s="456"/>
      <c r="ZW9" s="456"/>
      <c r="ZX9" s="456"/>
      <c r="ZY9" s="456"/>
      <c r="ZZ9" s="456"/>
      <c r="AAA9" s="456"/>
      <c r="AAB9" s="456"/>
      <c r="AAC9" s="456"/>
      <c r="AAD9" s="456"/>
      <c r="AAE9" s="456"/>
      <c r="AAF9" s="456"/>
      <c r="AAG9" s="456"/>
      <c r="AAH9" s="456"/>
      <c r="AAI9" s="456"/>
      <c r="AAJ9" s="456"/>
      <c r="AAK9" s="456"/>
      <c r="AAL9" s="456"/>
      <c r="AAM9" s="456"/>
      <c r="AAN9" s="456"/>
      <c r="AAO9" s="456"/>
      <c r="AAP9" s="456"/>
      <c r="AAQ9" s="456"/>
      <c r="AAR9" s="456"/>
      <c r="AAS9" s="456"/>
      <c r="AAT9" s="456"/>
      <c r="AAU9" s="456"/>
      <c r="AAV9" s="456"/>
      <c r="AAW9" s="456"/>
      <c r="AAX9" s="456"/>
      <c r="AAY9" s="456"/>
      <c r="AAZ9" s="456"/>
      <c r="ABA9" s="456"/>
      <c r="ABB9" s="456"/>
      <c r="ABC9" s="456"/>
      <c r="ABD9" s="456"/>
      <c r="ABE9" s="456"/>
      <c r="ABF9" s="456"/>
      <c r="ABG9" s="456"/>
      <c r="ABH9" s="456"/>
      <c r="ABI9" s="456"/>
      <c r="ABJ9" s="456"/>
      <c r="ABK9" s="456"/>
      <c r="ABL9" s="456"/>
      <c r="ABM9" s="456"/>
      <c r="ABN9" s="456"/>
      <c r="ABO9" s="456"/>
      <c r="ABP9" s="456"/>
      <c r="ABQ9" s="456"/>
      <c r="ABR9" s="456"/>
      <c r="ABS9" s="456"/>
      <c r="ABT9" s="456"/>
      <c r="ABU9" s="456"/>
      <c r="ABV9" s="456"/>
      <c r="ABW9" s="456"/>
      <c r="ABX9" s="456"/>
      <c r="ABY9" s="456"/>
      <c r="ABZ9" s="456"/>
      <c r="ACA9" s="456"/>
      <c r="ACB9" s="456"/>
      <c r="ACC9" s="456"/>
      <c r="ACD9" s="456"/>
      <c r="ACE9" s="456"/>
      <c r="ACF9" s="456"/>
      <c r="ACG9" s="456"/>
      <c r="ACH9" s="456"/>
      <c r="ACI9" s="456"/>
      <c r="ACJ9" s="456"/>
      <c r="ACK9" s="456"/>
      <c r="ACL9" s="456"/>
      <c r="ACM9" s="456"/>
      <c r="ACN9" s="456"/>
      <c r="ACO9" s="456"/>
      <c r="ACP9" s="456"/>
      <c r="ACQ9" s="456"/>
      <c r="ACR9" s="456"/>
      <c r="ACS9" s="456"/>
      <c r="ACT9" s="456"/>
      <c r="ACU9" s="456"/>
      <c r="ACV9" s="456"/>
      <c r="ACW9" s="456"/>
      <c r="ACX9" s="456"/>
      <c r="ACY9" s="456"/>
      <c r="ACZ9" s="456"/>
      <c r="ADA9" s="456"/>
      <c r="ADB9" s="456"/>
      <c r="ADC9" s="456"/>
      <c r="ADD9" s="456"/>
      <c r="ADE9" s="456"/>
      <c r="ADF9" s="456"/>
      <c r="ADG9" s="456"/>
      <c r="ADH9" s="456"/>
      <c r="ADI9" s="456"/>
      <c r="ADJ9" s="456"/>
      <c r="ADK9" s="456"/>
      <c r="ADL9" s="456"/>
      <c r="ADM9" s="456"/>
      <c r="ADN9" s="456"/>
      <c r="ADO9" s="456"/>
      <c r="ADP9" s="456"/>
      <c r="ADQ9" s="456"/>
      <c r="ADR9" s="456"/>
      <c r="ADS9" s="456"/>
      <c r="ADT9" s="456"/>
      <c r="ADU9" s="456"/>
      <c r="ADV9" s="456"/>
      <c r="ADW9" s="456"/>
      <c r="ADX9" s="456"/>
      <c r="ADY9" s="456"/>
      <c r="ADZ9" s="456"/>
      <c r="AEA9" s="456"/>
      <c r="AEB9" s="456"/>
      <c r="AEC9" s="456"/>
      <c r="AED9" s="456"/>
      <c r="AEE9" s="456"/>
      <c r="AEF9" s="456"/>
      <c r="AEG9" s="456"/>
      <c r="AEH9" s="456"/>
      <c r="AEI9" s="456"/>
      <c r="AEJ9" s="456"/>
      <c r="AEK9" s="456"/>
      <c r="AEL9" s="456"/>
      <c r="AEM9" s="456"/>
      <c r="AEN9" s="456"/>
      <c r="AEO9" s="456"/>
      <c r="AEP9" s="456"/>
      <c r="AEQ9" s="456"/>
      <c r="AER9" s="456"/>
      <c r="AES9" s="456"/>
      <c r="AET9" s="456"/>
      <c r="AEU9" s="456"/>
      <c r="AEV9" s="456"/>
      <c r="AEW9" s="456"/>
      <c r="AEX9" s="456"/>
      <c r="AEY9" s="456"/>
      <c r="AEZ9" s="456"/>
      <c r="AFA9" s="456"/>
      <c r="AFB9" s="456"/>
      <c r="AFC9" s="456"/>
      <c r="AFD9" s="456"/>
      <c r="AFE9" s="456"/>
      <c r="AFF9" s="456"/>
      <c r="AFG9" s="456"/>
      <c r="AFH9" s="456"/>
      <c r="AFI9" s="456"/>
      <c r="AFJ9" s="456"/>
      <c r="AFK9" s="456"/>
      <c r="AFL9" s="456"/>
      <c r="AFM9" s="456"/>
      <c r="AFN9" s="456"/>
      <c r="AFO9" s="456"/>
      <c r="AFP9" s="456"/>
      <c r="AFQ9" s="456"/>
      <c r="AFR9" s="456"/>
      <c r="AFS9" s="456"/>
      <c r="AFT9" s="456"/>
      <c r="AFU9" s="456"/>
      <c r="AFV9" s="456"/>
      <c r="AFW9" s="456"/>
      <c r="AFX9" s="456"/>
      <c r="AFY9" s="456"/>
      <c r="AFZ9" s="456"/>
      <c r="AGA9" s="456"/>
      <c r="AGB9" s="456"/>
      <c r="AGC9" s="456"/>
      <c r="AGD9" s="456"/>
      <c r="AGE9" s="456"/>
      <c r="AGF9" s="456"/>
      <c r="AGG9" s="456"/>
      <c r="AGH9" s="456"/>
      <c r="AGI9" s="456"/>
      <c r="AGJ9" s="456"/>
      <c r="AGK9" s="456"/>
      <c r="AGL9" s="456"/>
      <c r="AGM9" s="456"/>
      <c r="AGN9" s="456"/>
      <c r="AGO9" s="456"/>
      <c r="AGP9" s="456"/>
      <c r="AGQ9" s="456"/>
      <c r="AGR9" s="456"/>
      <c r="AGS9" s="456"/>
      <c r="AGT9" s="456"/>
      <c r="AGU9" s="456"/>
      <c r="AGV9" s="456"/>
      <c r="AGW9" s="456"/>
      <c r="AGX9" s="456"/>
      <c r="AGY9" s="456"/>
      <c r="AGZ9" s="456"/>
      <c r="AHA9" s="456"/>
      <c r="AHB9" s="456"/>
      <c r="AHC9" s="456"/>
      <c r="AHD9" s="456"/>
      <c r="AHE9" s="456"/>
      <c r="AHF9" s="456"/>
      <c r="AHG9" s="456"/>
      <c r="AHH9" s="456"/>
      <c r="AHI9" s="456"/>
      <c r="AHJ9" s="456"/>
      <c r="AHK9" s="456"/>
      <c r="AHL9" s="456"/>
      <c r="AHM9" s="456"/>
      <c r="AHN9" s="456"/>
      <c r="AHO9" s="456"/>
      <c r="AHP9" s="456"/>
      <c r="AHQ9" s="456"/>
      <c r="AHR9" s="456"/>
      <c r="AHS9" s="456"/>
      <c r="AHT9" s="456"/>
      <c r="AHU9" s="456"/>
      <c r="AHV9" s="456"/>
      <c r="AHW9" s="456"/>
      <c r="AHX9" s="456"/>
      <c r="AHY9" s="456"/>
      <c r="AHZ9" s="456"/>
      <c r="AIA9" s="456"/>
      <c r="AIB9" s="456"/>
      <c r="AIC9" s="456"/>
      <c r="AID9" s="456"/>
      <c r="AIE9" s="456"/>
      <c r="AIF9" s="456"/>
      <c r="AIG9" s="456"/>
      <c r="AIH9" s="456"/>
      <c r="AII9" s="456"/>
      <c r="AIJ9" s="456"/>
      <c r="AIK9" s="456"/>
      <c r="AIL9" s="456"/>
      <c r="AIM9" s="456"/>
      <c r="AIN9" s="456"/>
      <c r="AIO9" s="456"/>
      <c r="AIP9" s="456"/>
      <c r="AIQ9" s="456"/>
      <c r="AIR9" s="456"/>
      <c r="AIS9" s="456"/>
      <c r="AIT9" s="456"/>
      <c r="AIU9" s="456"/>
      <c r="AIV9" s="456"/>
      <c r="AIW9" s="456"/>
      <c r="AIX9" s="456"/>
      <c r="AIY9" s="456"/>
      <c r="AIZ9" s="456"/>
      <c r="AJA9" s="456"/>
      <c r="AJB9" s="456"/>
      <c r="AJC9" s="456"/>
      <c r="AJD9" s="456"/>
      <c r="AJE9" s="456"/>
      <c r="AJF9" s="456"/>
      <c r="AJG9" s="456"/>
      <c r="AJH9" s="456"/>
      <c r="AJI9" s="456"/>
      <c r="AJJ9" s="456"/>
      <c r="AJK9" s="456"/>
      <c r="AJL9" s="456"/>
      <c r="AJM9" s="456"/>
      <c r="AJN9" s="456"/>
      <c r="AJO9" s="456"/>
      <c r="AJP9" s="456"/>
      <c r="AJQ9" s="456"/>
      <c r="AJR9" s="456"/>
      <c r="AJS9" s="456"/>
      <c r="AJT9" s="456"/>
      <c r="AJU9" s="456"/>
      <c r="AJV9" s="456"/>
      <c r="AJW9" s="456"/>
      <c r="AJX9" s="456"/>
      <c r="AJY9" s="456"/>
      <c r="AJZ9" s="456"/>
      <c r="AKA9" s="456"/>
      <c r="AKB9" s="456"/>
      <c r="AKC9" s="456"/>
      <c r="AKD9" s="456"/>
      <c r="AKE9" s="456"/>
      <c r="AKF9" s="456"/>
      <c r="AKG9" s="456"/>
      <c r="AKH9" s="456"/>
      <c r="AKI9" s="456"/>
      <c r="AKJ9" s="456"/>
      <c r="AKK9" s="456"/>
      <c r="AKL9" s="456"/>
      <c r="AKM9" s="456"/>
      <c r="AKN9" s="456"/>
      <c r="AKO9" s="456"/>
      <c r="AKP9" s="456"/>
      <c r="AKQ9" s="456"/>
      <c r="AKR9" s="456"/>
      <c r="AKS9" s="456"/>
      <c r="AKT9" s="456"/>
      <c r="AKU9" s="456"/>
      <c r="AKV9" s="456"/>
      <c r="AKW9" s="456"/>
      <c r="AKX9" s="456"/>
      <c r="AKY9" s="456"/>
      <c r="AKZ9" s="456"/>
      <c r="ALA9" s="456"/>
      <c r="ALB9" s="456"/>
      <c r="ALC9" s="456"/>
      <c r="ALD9" s="456"/>
      <c r="ALE9" s="456"/>
      <c r="ALF9" s="456"/>
      <c r="ALG9" s="456"/>
      <c r="ALH9" s="456"/>
      <c r="ALI9" s="456"/>
      <c r="ALJ9" s="456"/>
      <c r="ALK9" s="456"/>
      <c r="ALL9" s="456"/>
      <c r="ALM9" s="456"/>
      <c r="ALN9" s="456"/>
      <c r="ALO9" s="456"/>
      <c r="ALP9" s="456"/>
      <c r="ALQ9" s="456"/>
      <c r="ALR9" s="456"/>
      <c r="ALS9" s="456"/>
      <c r="ALT9" s="456"/>
      <c r="ALU9" s="456"/>
      <c r="ALV9" s="456"/>
      <c r="ALW9" s="456"/>
      <c r="ALX9" s="456"/>
      <c r="ALY9" s="456"/>
      <c r="ALZ9" s="456"/>
      <c r="AMA9" s="456"/>
      <c r="AMB9" s="456"/>
      <c r="AMC9" s="456"/>
      <c r="AMD9" s="456"/>
      <c r="AME9" s="456"/>
      <c r="AMF9" s="456"/>
      <c r="AMG9" s="456"/>
      <c r="AMH9" s="456"/>
      <c r="AMI9" s="456"/>
      <c r="AMJ9" s="456"/>
      <c r="AMK9" s="456"/>
      <c r="AML9" s="456"/>
      <c r="AMM9" s="456"/>
      <c r="AMN9" s="456"/>
      <c r="AMO9" s="456"/>
      <c r="AMP9" s="456"/>
      <c r="AMQ9" s="456"/>
      <c r="AMR9" s="456"/>
      <c r="AMS9" s="456"/>
      <c r="AMT9" s="456"/>
      <c r="AMU9" s="456"/>
      <c r="AMV9" s="456"/>
      <c r="AMW9" s="456"/>
      <c r="AMX9" s="456"/>
      <c r="AMY9" s="456"/>
      <c r="AMZ9" s="456"/>
      <c r="ANA9" s="456"/>
      <c r="ANB9" s="456"/>
      <c r="ANC9" s="456"/>
      <c r="AND9" s="456"/>
      <c r="ANE9" s="456"/>
      <c r="ANF9" s="456"/>
      <c r="ANG9" s="456"/>
      <c r="ANH9" s="456"/>
      <c r="ANI9" s="456"/>
      <c r="ANJ9" s="456"/>
      <c r="ANK9" s="456"/>
      <c r="ANL9" s="456"/>
      <c r="ANM9" s="456"/>
      <c r="ANN9" s="456"/>
      <c r="ANO9" s="456"/>
      <c r="ANP9" s="456"/>
      <c r="ANQ9" s="456"/>
      <c r="ANR9" s="456"/>
      <c r="ANS9" s="456"/>
      <c r="ANT9" s="456"/>
      <c r="ANU9" s="456"/>
      <c r="ANV9" s="456"/>
      <c r="ANW9" s="456"/>
      <c r="ANX9" s="456"/>
      <c r="ANY9" s="456"/>
      <c r="ANZ9" s="456"/>
      <c r="AOA9" s="456"/>
      <c r="AOB9" s="456"/>
      <c r="AOC9" s="456"/>
      <c r="AOD9" s="456"/>
      <c r="AOE9" s="456"/>
      <c r="AOF9" s="456"/>
      <c r="AOG9" s="456"/>
      <c r="AOH9" s="456"/>
      <c r="AOI9" s="456"/>
      <c r="AOJ9" s="456"/>
      <c r="AOK9" s="456"/>
      <c r="AOL9" s="456"/>
      <c r="AOM9" s="456"/>
      <c r="AON9" s="456"/>
      <c r="AOO9" s="456"/>
      <c r="AOP9" s="456"/>
      <c r="AOQ9" s="456"/>
      <c r="AOR9" s="456"/>
      <c r="AOS9" s="456"/>
      <c r="AOT9" s="456"/>
      <c r="AOU9" s="456"/>
      <c r="AOV9" s="456"/>
      <c r="AOW9" s="456"/>
      <c r="AOX9" s="456"/>
      <c r="AOY9" s="456"/>
      <c r="AOZ9" s="456"/>
      <c r="APA9" s="456"/>
      <c r="APB9" s="456"/>
      <c r="APC9" s="456"/>
      <c r="APD9" s="456"/>
      <c r="APE9" s="456"/>
      <c r="APF9" s="456"/>
      <c r="APG9" s="456"/>
      <c r="APH9" s="456"/>
      <c r="API9" s="456"/>
      <c r="APJ9" s="456"/>
      <c r="APK9" s="456"/>
      <c r="APL9" s="456"/>
      <c r="APM9" s="456"/>
      <c r="APN9" s="456"/>
      <c r="APO9" s="456"/>
      <c r="APP9" s="456"/>
      <c r="APQ9" s="456"/>
      <c r="APR9" s="456"/>
      <c r="APS9" s="456"/>
      <c r="APT9" s="456"/>
      <c r="APU9" s="456"/>
      <c r="APV9" s="456"/>
      <c r="APW9" s="456"/>
      <c r="APX9" s="456"/>
      <c r="APY9" s="456"/>
      <c r="APZ9" s="456"/>
      <c r="AQA9" s="456"/>
      <c r="AQB9" s="456"/>
      <c r="AQC9" s="456"/>
      <c r="AQD9" s="456"/>
      <c r="AQE9" s="456"/>
      <c r="AQF9" s="456"/>
      <c r="AQG9" s="456"/>
      <c r="AQH9" s="456"/>
      <c r="AQI9" s="456"/>
      <c r="AQJ9" s="456"/>
      <c r="AQK9" s="456"/>
      <c r="AQL9" s="456"/>
      <c r="AQM9" s="456"/>
      <c r="AQN9" s="456"/>
      <c r="AQO9" s="456"/>
      <c r="AQP9" s="456"/>
      <c r="AQQ9" s="456"/>
      <c r="AQR9" s="456"/>
      <c r="AQS9" s="456"/>
      <c r="AQT9" s="456"/>
      <c r="AQU9" s="456"/>
      <c r="AQV9" s="456"/>
      <c r="AQW9" s="456"/>
      <c r="AQX9" s="456"/>
      <c r="AQY9" s="456"/>
      <c r="AQZ9" s="456"/>
      <c r="ARA9" s="456"/>
      <c r="ARB9" s="456"/>
      <c r="ARC9" s="456"/>
      <c r="ARD9" s="456"/>
      <c r="ARE9" s="456"/>
      <c r="ARF9" s="456"/>
      <c r="ARG9" s="456"/>
      <c r="ARH9" s="456"/>
      <c r="ARI9" s="456"/>
      <c r="ARJ9" s="456"/>
      <c r="ARK9" s="456"/>
      <c r="ARL9" s="456"/>
      <c r="ARM9" s="456"/>
      <c r="ARN9" s="456"/>
      <c r="ARO9" s="456"/>
      <c r="ARP9" s="456"/>
      <c r="ARQ9" s="456"/>
      <c r="ARR9" s="456"/>
      <c r="ARS9" s="456"/>
      <c r="ART9" s="456"/>
      <c r="ARU9" s="456"/>
      <c r="ARV9" s="456"/>
      <c r="ARW9" s="456"/>
      <c r="ARX9" s="456"/>
      <c r="ARY9" s="456"/>
      <c r="ARZ9" s="456"/>
      <c r="ASA9" s="456"/>
      <c r="ASB9" s="456"/>
      <c r="ASC9" s="456"/>
      <c r="ASD9" s="456"/>
      <c r="ASE9" s="456"/>
      <c r="ASF9" s="456"/>
      <c r="ASG9" s="456"/>
      <c r="ASH9" s="456"/>
      <c r="ASI9" s="456"/>
      <c r="ASJ9" s="456"/>
      <c r="ASK9" s="456"/>
      <c r="ASL9" s="456"/>
      <c r="ASM9" s="456"/>
      <c r="ASN9" s="456"/>
      <c r="ASO9" s="456"/>
      <c r="ASP9" s="456"/>
      <c r="ASQ9" s="456"/>
      <c r="ASR9" s="456"/>
      <c r="ASS9" s="456"/>
      <c r="AST9" s="456"/>
      <c r="ASU9" s="456"/>
      <c r="ASV9" s="456"/>
      <c r="ASW9" s="456"/>
      <c r="ASX9" s="456"/>
      <c r="ASY9" s="456"/>
      <c r="ASZ9" s="456"/>
      <c r="ATA9" s="456"/>
      <c r="ATB9" s="456"/>
      <c r="ATC9" s="456"/>
      <c r="ATD9" s="456"/>
      <c r="ATE9" s="456"/>
      <c r="ATF9" s="456"/>
      <c r="ATG9" s="456"/>
      <c r="ATH9" s="456"/>
      <c r="ATI9" s="456"/>
      <c r="ATJ9" s="456"/>
      <c r="ATK9" s="456"/>
      <c r="ATL9" s="456"/>
      <c r="ATM9" s="456"/>
      <c r="ATN9" s="456"/>
      <c r="ATO9" s="456"/>
      <c r="ATP9" s="456"/>
      <c r="ATQ9" s="456"/>
      <c r="ATR9" s="456"/>
      <c r="ATS9" s="456"/>
      <c r="ATT9" s="456"/>
      <c r="ATU9" s="456"/>
      <c r="ATV9" s="456"/>
      <c r="ATW9" s="456"/>
      <c r="ATX9" s="456"/>
      <c r="ATY9" s="456"/>
      <c r="ATZ9" s="456"/>
      <c r="AUA9" s="456"/>
      <c r="AUB9" s="456"/>
      <c r="AUC9" s="456"/>
      <c r="AUD9" s="456"/>
      <c r="AUE9" s="456"/>
      <c r="AUF9" s="456"/>
      <c r="AUG9" s="456"/>
      <c r="AUH9" s="456"/>
      <c r="AUI9" s="456"/>
      <c r="AUJ9" s="456"/>
      <c r="AUK9" s="456"/>
      <c r="AUL9" s="456"/>
      <c r="AUM9" s="456"/>
      <c r="AUN9" s="456"/>
      <c r="AUO9" s="456"/>
      <c r="AUP9" s="456"/>
      <c r="AUQ9" s="456"/>
      <c r="AUR9" s="456"/>
      <c r="AUS9" s="456"/>
      <c r="AUT9" s="456"/>
      <c r="AUU9" s="456"/>
      <c r="AUV9" s="456"/>
      <c r="AUW9" s="456"/>
      <c r="AUX9" s="456"/>
      <c r="AUY9" s="456"/>
      <c r="AUZ9" s="456"/>
      <c r="AVA9" s="456"/>
      <c r="AVB9" s="456"/>
      <c r="AVC9" s="456"/>
      <c r="AVD9" s="456"/>
      <c r="AVE9" s="456"/>
      <c r="AVF9" s="456"/>
      <c r="AVG9" s="456"/>
      <c r="AVH9" s="456"/>
      <c r="AVI9" s="456"/>
      <c r="AVJ9" s="456"/>
      <c r="AVK9" s="456"/>
      <c r="AVL9" s="456"/>
      <c r="AVM9" s="456"/>
      <c r="AVN9" s="456"/>
      <c r="AVO9" s="456"/>
      <c r="AVP9" s="456"/>
      <c r="AVQ9" s="456"/>
      <c r="AVR9" s="456"/>
      <c r="AVS9" s="456"/>
      <c r="AVT9" s="456"/>
      <c r="AVU9" s="456"/>
      <c r="AVV9" s="456"/>
      <c r="AVW9" s="456"/>
      <c r="AVX9" s="456"/>
      <c r="AVY9" s="456"/>
      <c r="AVZ9" s="456"/>
      <c r="AWA9" s="456"/>
      <c r="AWB9" s="456"/>
      <c r="AWC9" s="456"/>
      <c r="AWD9" s="456"/>
      <c r="AWE9" s="456"/>
      <c r="AWF9" s="456"/>
      <c r="AWG9" s="456"/>
      <c r="AWH9" s="456"/>
      <c r="AWI9" s="456"/>
      <c r="AWJ9" s="456"/>
      <c r="AWK9" s="456"/>
      <c r="AWL9" s="456"/>
      <c r="AWM9" s="456"/>
      <c r="AWN9" s="456"/>
      <c r="AWO9" s="456"/>
      <c r="AWP9" s="456"/>
      <c r="AWQ9" s="456"/>
      <c r="AWR9" s="456"/>
      <c r="AWS9" s="456"/>
      <c r="AWT9" s="456"/>
      <c r="AWU9" s="456"/>
      <c r="AWV9" s="456"/>
      <c r="AWW9" s="456"/>
      <c r="AWX9" s="456"/>
      <c r="AWY9" s="456"/>
      <c r="AWZ9" s="456"/>
      <c r="AXA9" s="456"/>
      <c r="AXB9" s="456"/>
      <c r="AXC9" s="456"/>
      <c r="AXD9" s="456"/>
      <c r="AXE9" s="456"/>
      <c r="AXF9" s="456"/>
      <c r="AXG9" s="456"/>
      <c r="AXH9" s="456"/>
      <c r="AXI9" s="456"/>
      <c r="AXJ9" s="456"/>
      <c r="AXK9" s="456"/>
      <c r="AXL9" s="456"/>
      <c r="AXM9" s="456"/>
      <c r="AXN9" s="456"/>
      <c r="AXO9" s="456"/>
      <c r="AXP9" s="456"/>
      <c r="AXQ9" s="456"/>
      <c r="AXR9" s="456"/>
      <c r="AXS9" s="456"/>
      <c r="AXT9" s="456"/>
      <c r="AXU9" s="456"/>
      <c r="AXV9" s="456"/>
      <c r="AXW9" s="456"/>
      <c r="AXX9" s="456"/>
      <c r="AXY9" s="456"/>
      <c r="AXZ9" s="456"/>
      <c r="AYA9" s="456"/>
      <c r="AYB9" s="456"/>
      <c r="AYC9" s="456"/>
      <c r="AYD9" s="456"/>
      <c r="AYE9" s="456"/>
      <c r="AYF9" s="456"/>
      <c r="AYG9" s="456"/>
      <c r="AYH9" s="456"/>
      <c r="AYI9" s="456"/>
      <c r="AYJ9" s="456"/>
      <c r="AYK9" s="456"/>
      <c r="AYL9" s="456"/>
      <c r="AYM9" s="456"/>
      <c r="AYN9" s="456"/>
      <c r="AYO9" s="456"/>
      <c r="AYP9" s="456"/>
      <c r="AYQ9" s="456"/>
      <c r="AYR9" s="456"/>
      <c r="AYS9" s="456"/>
      <c r="AYT9" s="456"/>
      <c r="AYU9" s="456"/>
      <c r="AYV9" s="456"/>
      <c r="AYW9" s="456"/>
      <c r="AYX9" s="456"/>
      <c r="AYY9" s="456"/>
      <c r="AYZ9" s="456"/>
      <c r="AZA9" s="456"/>
      <c r="AZB9" s="456"/>
      <c r="AZC9" s="456"/>
      <c r="AZD9" s="456"/>
      <c r="AZE9" s="456"/>
      <c r="AZF9" s="456"/>
      <c r="AZG9" s="456"/>
      <c r="AZH9" s="456"/>
      <c r="AZI9" s="456"/>
      <c r="AZJ9" s="456"/>
      <c r="AZK9" s="456"/>
      <c r="AZL9" s="456"/>
      <c r="AZM9" s="456"/>
      <c r="AZN9" s="456"/>
      <c r="AZO9" s="456"/>
      <c r="AZP9" s="456"/>
      <c r="AZQ9" s="456"/>
      <c r="AZR9" s="456"/>
      <c r="AZS9" s="456"/>
      <c r="AZT9" s="456"/>
      <c r="AZU9" s="456"/>
      <c r="AZV9" s="456"/>
      <c r="AZW9" s="456"/>
      <c r="AZX9" s="456"/>
      <c r="AZY9" s="456"/>
      <c r="AZZ9" s="456"/>
      <c r="BAA9" s="456"/>
      <c r="BAB9" s="456"/>
      <c r="BAC9" s="456"/>
      <c r="BAD9" s="456"/>
      <c r="BAE9" s="456"/>
      <c r="BAF9" s="456"/>
      <c r="BAG9" s="456"/>
      <c r="BAH9" s="456"/>
      <c r="BAI9" s="456"/>
      <c r="BAJ9" s="456"/>
      <c r="BAK9" s="456"/>
      <c r="BAL9" s="456"/>
      <c r="BAM9" s="456"/>
      <c r="BAN9" s="456"/>
      <c r="BAO9" s="456"/>
      <c r="BAP9" s="456"/>
      <c r="BAQ9" s="456"/>
      <c r="BAR9" s="456"/>
      <c r="BAS9" s="456"/>
      <c r="BAT9" s="456"/>
      <c r="BAU9" s="456"/>
      <c r="BAV9" s="456"/>
      <c r="BAW9" s="456"/>
      <c r="BAX9" s="456"/>
      <c r="BAY9" s="456"/>
      <c r="BAZ9" s="456"/>
      <c r="BBA9" s="456"/>
      <c r="BBB9" s="456"/>
      <c r="BBC9" s="456"/>
      <c r="BBD9" s="456"/>
      <c r="BBE9" s="456"/>
      <c r="BBF9" s="456"/>
      <c r="BBG9" s="456"/>
      <c r="BBH9" s="456"/>
      <c r="BBI9" s="456"/>
      <c r="BBJ9" s="456"/>
      <c r="BBK9" s="456"/>
      <c r="BBL9" s="456"/>
      <c r="BBM9" s="456"/>
      <c r="BBN9" s="456"/>
      <c r="BBO9" s="456"/>
      <c r="BBP9" s="456"/>
      <c r="BBQ9" s="456"/>
      <c r="BBR9" s="456"/>
      <c r="BBS9" s="456"/>
      <c r="BBT9" s="456"/>
      <c r="BBU9" s="456"/>
      <c r="BBV9" s="456"/>
      <c r="BBW9" s="456"/>
      <c r="BBX9" s="456"/>
      <c r="BBY9" s="456"/>
      <c r="BBZ9" s="456"/>
      <c r="BCA9" s="456"/>
      <c r="BCB9" s="456"/>
      <c r="BCC9" s="456"/>
      <c r="BCD9" s="456"/>
      <c r="BCE9" s="456"/>
      <c r="BCF9" s="456"/>
      <c r="BCG9" s="456"/>
      <c r="BCH9" s="456"/>
      <c r="BCI9" s="456"/>
      <c r="BCJ9" s="456"/>
      <c r="BCK9" s="456"/>
      <c r="BCL9" s="456"/>
      <c r="BCM9" s="456"/>
      <c r="BCN9" s="456"/>
      <c r="BCO9" s="456"/>
      <c r="BCP9" s="456"/>
      <c r="BCQ9" s="456"/>
      <c r="BCR9" s="456"/>
      <c r="BCS9" s="456"/>
      <c r="BCT9" s="456"/>
      <c r="BCU9" s="456"/>
      <c r="BCV9" s="456"/>
      <c r="BCW9" s="456"/>
      <c r="BCX9" s="456"/>
      <c r="BCY9" s="456"/>
      <c r="BCZ9" s="456"/>
      <c r="BDA9" s="456"/>
      <c r="BDB9" s="456"/>
      <c r="BDC9" s="456"/>
      <c r="BDD9" s="456"/>
      <c r="BDE9" s="456"/>
      <c r="BDF9" s="456"/>
      <c r="BDG9" s="456"/>
      <c r="BDH9" s="456"/>
      <c r="BDI9" s="456"/>
      <c r="BDJ9" s="456"/>
      <c r="BDK9" s="456"/>
      <c r="BDL9" s="456"/>
      <c r="BDM9" s="456"/>
      <c r="BDN9" s="456"/>
      <c r="BDO9" s="456"/>
      <c r="BDP9" s="456"/>
      <c r="BDQ9" s="456"/>
      <c r="BDR9" s="456"/>
      <c r="BDS9" s="456"/>
      <c r="BDT9" s="456"/>
      <c r="BDU9" s="456"/>
      <c r="BDV9" s="456"/>
      <c r="BDW9" s="456"/>
      <c r="BDX9" s="456"/>
      <c r="BDY9" s="456"/>
      <c r="BDZ9" s="456"/>
      <c r="BEA9" s="456"/>
      <c r="BEB9" s="456"/>
      <c r="BEC9" s="456"/>
      <c r="BED9" s="456"/>
      <c r="BEE9" s="456"/>
      <c r="BEF9" s="456"/>
      <c r="BEG9" s="456"/>
      <c r="BEH9" s="456"/>
      <c r="BEI9" s="456"/>
      <c r="BEJ9" s="456"/>
      <c r="BEK9" s="456"/>
      <c r="BEL9" s="456"/>
      <c r="BEM9" s="456"/>
      <c r="BEN9" s="456"/>
      <c r="BEO9" s="456"/>
      <c r="BEP9" s="456"/>
      <c r="BEQ9" s="456"/>
      <c r="BER9" s="456"/>
      <c r="BES9" s="456"/>
      <c r="BET9" s="456"/>
      <c r="BEU9" s="456"/>
      <c r="BEV9" s="456"/>
      <c r="BEW9" s="456"/>
      <c r="BEX9" s="456"/>
      <c r="BEY9" s="456"/>
      <c r="BEZ9" s="456"/>
      <c r="BFA9" s="456"/>
      <c r="BFB9" s="456"/>
      <c r="BFC9" s="456"/>
      <c r="BFD9" s="456"/>
      <c r="BFE9" s="456"/>
      <c r="BFF9" s="456"/>
      <c r="BFG9" s="456"/>
      <c r="BFH9" s="456"/>
      <c r="BFI9" s="456"/>
      <c r="BFJ9" s="456"/>
      <c r="BFK9" s="456"/>
      <c r="BFL9" s="456"/>
      <c r="BFM9" s="456"/>
      <c r="BFN9" s="456"/>
      <c r="BFO9" s="456"/>
      <c r="BFP9" s="456"/>
      <c r="BFQ9" s="456"/>
      <c r="BFR9" s="456"/>
      <c r="BFS9" s="456"/>
      <c r="BFT9" s="456"/>
      <c r="BFU9" s="456"/>
      <c r="BFV9" s="456"/>
      <c r="BFW9" s="456"/>
      <c r="BFX9" s="456"/>
      <c r="BFY9" s="456"/>
      <c r="BFZ9" s="456"/>
      <c r="BGA9" s="456"/>
      <c r="BGB9" s="456"/>
      <c r="BGC9" s="456"/>
      <c r="BGD9" s="456"/>
      <c r="BGE9" s="456"/>
      <c r="BGF9" s="456"/>
      <c r="BGG9" s="456"/>
      <c r="BGH9" s="456"/>
      <c r="BGI9" s="456"/>
      <c r="BGJ9" s="456"/>
      <c r="BGK9" s="456"/>
      <c r="BGL9" s="456"/>
      <c r="BGM9" s="456"/>
      <c r="BGN9" s="456"/>
      <c r="BGO9" s="456"/>
      <c r="BGP9" s="456"/>
      <c r="BGQ9" s="456"/>
      <c r="BGR9" s="456"/>
      <c r="BGS9" s="456"/>
      <c r="BGT9" s="456"/>
      <c r="BGU9" s="456"/>
      <c r="BGV9" s="456"/>
      <c r="BGW9" s="456"/>
      <c r="BGX9" s="456"/>
      <c r="BGY9" s="456"/>
      <c r="BGZ9" s="456"/>
      <c r="BHA9" s="456"/>
      <c r="BHB9" s="456"/>
      <c r="BHC9" s="456"/>
      <c r="BHD9" s="456"/>
      <c r="BHE9" s="456"/>
      <c r="BHF9" s="456"/>
      <c r="BHG9" s="456"/>
      <c r="BHH9" s="456"/>
      <c r="BHI9" s="456"/>
      <c r="BHJ9" s="456"/>
      <c r="BHK9" s="456"/>
      <c r="BHL9" s="456"/>
      <c r="BHM9" s="456"/>
      <c r="BHN9" s="456"/>
      <c r="BHO9" s="456"/>
      <c r="BHP9" s="456"/>
      <c r="BHQ9" s="456"/>
      <c r="BHR9" s="456"/>
      <c r="BHS9" s="456"/>
      <c r="BHT9" s="456"/>
      <c r="BHU9" s="456"/>
      <c r="BHV9" s="456"/>
      <c r="BHW9" s="456"/>
      <c r="BHX9" s="456"/>
      <c r="BHY9" s="456"/>
      <c r="BHZ9" s="456"/>
      <c r="BIA9" s="456"/>
      <c r="BIB9" s="456"/>
      <c r="BIC9" s="456"/>
      <c r="BID9" s="456"/>
      <c r="BIE9" s="456"/>
      <c r="BIF9" s="456"/>
      <c r="BIG9" s="456"/>
      <c r="BIH9" s="456"/>
      <c r="BII9" s="456"/>
      <c r="BIJ9" s="456"/>
      <c r="BIK9" s="456"/>
      <c r="BIL9" s="456"/>
      <c r="BIM9" s="456"/>
      <c r="BIN9" s="456"/>
      <c r="BIO9" s="456"/>
      <c r="BIP9" s="456"/>
      <c r="BIQ9" s="456"/>
      <c r="BIR9" s="456"/>
      <c r="BIS9" s="456"/>
      <c r="BIT9" s="456"/>
      <c r="BIU9" s="456"/>
      <c r="BIV9" s="456"/>
      <c r="BIW9" s="456"/>
      <c r="BIX9" s="456"/>
      <c r="BIY9" s="456"/>
      <c r="BIZ9" s="456"/>
      <c r="BJA9" s="456"/>
      <c r="BJB9" s="456"/>
      <c r="BJC9" s="456"/>
      <c r="BJD9" s="456"/>
      <c r="BJE9" s="456"/>
      <c r="BJF9" s="456"/>
      <c r="BJG9" s="456"/>
      <c r="BJH9" s="456"/>
      <c r="BJI9" s="456"/>
      <c r="BJJ9" s="456"/>
      <c r="BJK9" s="456"/>
      <c r="BJL9" s="456"/>
      <c r="BJM9" s="456"/>
      <c r="BJN9" s="456"/>
      <c r="BJO9" s="456"/>
      <c r="BJP9" s="456"/>
      <c r="BJQ9" s="456"/>
      <c r="BJR9" s="456"/>
      <c r="BJS9" s="456"/>
      <c r="BJT9" s="456"/>
      <c r="BJU9" s="456"/>
      <c r="BJV9" s="456"/>
      <c r="BJW9" s="456"/>
      <c r="BJX9" s="456"/>
      <c r="BJY9" s="456"/>
      <c r="BJZ9" s="456"/>
      <c r="BKA9" s="456"/>
      <c r="BKB9" s="456"/>
      <c r="BKC9" s="456"/>
      <c r="BKD9" s="456"/>
      <c r="BKE9" s="456"/>
      <c r="BKF9" s="456"/>
      <c r="BKG9" s="456"/>
      <c r="BKH9" s="456"/>
      <c r="BKI9" s="456"/>
      <c r="BKJ9" s="456"/>
      <c r="BKK9" s="456"/>
      <c r="BKL9" s="456"/>
      <c r="BKM9" s="456"/>
      <c r="BKN9" s="456"/>
      <c r="BKO9" s="456"/>
      <c r="BKP9" s="456"/>
      <c r="BKQ9" s="456"/>
      <c r="BKR9" s="456"/>
      <c r="BKS9" s="456"/>
      <c r="BKT9" s="456"/>
      <c r="BKU9" s="456"/>
      <c r="BKV9" s="456"/>
      <c r="BKW9" s="456"/>
      <c r="BKX9" s="456"/>
      <c r="BKY9" s="456"/>
      <c r="BKZ9" s="456"/>
      <c r="BLA9" s="456"/>
      <c r="BLB9" s="456"/>
      <c r="BLC9" s="456"/>
      <c r="BLD9" s="456"/>
      <c r="BLE9" s="456"/>
      <c r="BLF9" s="456"/>
      <c r="BLG9" s="456"/>
      <c r="BLH9" s="456"/>
      <c r="BLI9" s="456"/>
      <c r="BLJ9" s="456"/>
      <c r="BLK9" s="456"/>
      <c r="BLL9" s="456"/>
      <c r="BLM9" s="456"/>
      <c r="BLN9" s="456"/>
      <c r="BLO9" s="456"/>
      <c r="BLP9" s="456"/>
      <c r="BLQ9" s="456"/>
      <c r="BLR9" s="456"/>
      <c r="BLS9" s="456"/>
      <c r="BLT9" s="456"/>
      <c r="BLU9" s="456"/>
      <c r="BLV9" s="456"/>
      <c r="BLW9" s="456"/>
      <c r="BLX9" s="456"/>
      <c r="BLY9" s="456"/>
      <c r="BLZ9" s="456"/>
      <c r="BMA9" s="456"/>
      <c r="BMB9" s="456"/>
      <c r="BMC9" s="456"/>
      <c r="BMD9" s="456"/>
      <c r="BME9" s="456"/>
      <c r="BMF9" s="456"/>
      <c r="BMG9" s="456"/>
      <c r="BMH9" s="456"/>
      <c r="BMI9" s="456"/>
      <c r="BMJ9" s="456"/>
      <c r="BMK9" s="456"/>
      <c r="BML9" s="456"/>
      <c r="BMM9" s="456"/>
      <c r="BMN9" s="456"/>
      <c r="BMO9" s="456"/>
      <c r="BMP9" s="456"/>
      <c r="BMQ9" s="456"/>
      <c r="BMR9" s="456"/>
      <c r="BMS9" s="456"/>
      <c r="BMT9" s="456"/>
      <c r="BMU9" s="456"/>
      <c r="BMV9" s="456"/>
      <c r="BMW9" s="456"/>
      <c r="BMX9" s="456"/>
      <c r="BMY9" s="456"/>
      <c r="BMZ9" s="456"/>
      <c r="BNA9" s="456"/>
      <c r="BNB9" s="456"/>
      <c r="BNC9" s="456"/>
      <c r="BND9" s="456"/>
      <c r="BNE9" s="456"/>
      <c r="BNF9" s="456"/>
      <c r="BNG9" s="456"/>
      <c r="BNH9" s="456"/>
      <c r="BNI9" s="456"/>
      <c r="BNJ9" s="456"/>
      <c r="BNK9" s="456"/>
      <c r="BNL9" s="456"/>
      <c r="BNM9" s="456"/>
      <c r="BNN9" s="456"/>
      <c r="BNO9" s="456"/>
      <c r="BNP9" s="456"/>
      <c r="BNQ9" s="456"/>
      <c r="BNR9" s="456"/>
      <c r="BNS9" s="456"/>
      <c r="BNT9" s="456"/>
      <c r="BNU9" s="456"/>
      <c r="BNV9" s="456"/>
      <c r="BNW9" s="456"/>
      <c r="BNX9" s="456"/>
      <c r="BNY9" s="456"/>
      <c r="BNZ9" s="456"/>
      <c r="BOA9" s="456"/>
      <c r="BOB9" s="456"/>
      <c r="BOC9" s="456"/>
      <c r="BOD9" s="456"/>
      <c r="BOE9" s="456"/>
      <c r="BOF9" s="456"/>
      <c r="BOG9" s="456"/>
      <c r="BOH9" s="456"/>
      <c r="BOI9" s="456"/>
      <c r="BOJ9" s="456"/>
      <c r="BOK9" s="456"/>
      <c r="BOL9" s="456"/>
      <c r="BOM9" s="456"/>
      <c r="BON9" s="456"/>
      <c r="BOO9" s="456"/>
      <c r="BOP9" s="456"/>
      <c r="BOQ9" s="456"/>
      <c r="BOR9" s="456"/>
      <c r="BOS9" s="456"/>
      <c r="BOT9" s="456"/>
      <c r="BOU9" s="456"/>
      <c r="BOV9" s="456"/>
      <c r="BOW9" s="456"/>
      <c r="BOX9" s="456"/>
      <c r="BOY9" s="456"/>
      <c r="BOZ9" s="456"/>
      <c r="BPA9" s="456"/>
      <c r="BPB9" s="456"/>
      <c r="BPC9" s="456"/>
      <c r="BPD9" s="456"/>
      <c r="BPE9" s="456"/>
      <c r="BPF9" s="456"/>
      <c r="BPG9" s="456"/>
      <c r="BPH9" s="456"/>
      <c r="BPI9" s="456"/>
      <c r="BPJ9" s="456"/>
      <c r="BPK9" s="456"/>
      <c r="BPL9" s="456"/>
      <c r="BPM9" s="456"/>
      <c r="BPN9" s="456"/>
      <c r="BPO9" s="456"/>
      <c r="BPP9" s="456"/>
      <c r="BPQ9" s="456"/>
      <c r="BPR9" s="456"/>
      <c r="BPS9" s="456"/>
      <c r="BPT9" s="456"/>
      <c r="BPU9" s="456"/>
      <c r="BPV9" s="456"/>
      <c r="BPW9" s="456"/>
      <c r="BPX9" s="456"/>
      <c r="BPY9" s="456"/>
      <c r="BPZ9" s="456"/>
      <c r="BQA9" s="456"/>
      <c r="BQB9" s="456"/>
      <c r="BQC9" s="456"/>
      <c r="BQD9" s="456"/>
      <c r="BQE9" s="456"/>
      <c r="BQF9" s="456"/>
      <c r="BQG9" s="456"/>
      <c r="BQH9" s="456"/>
      <c r="BQI9" s="456"/>
      <c r="BQJ9" s="456"/>
      <c r="BQK9" s="456"/>
      <c r="BQL9" s="456"/>
      <c r="BQM9" s="456"/>
      <c r="BQN9" s="456"/>
      <c r="BQO9" s="456"/>
      <c r="BQP9" s="456"/>
      <c r="BQQ9" s="456"/>
      <c r="BQR9" s="456"/>
      <c r="BQS9" s="456"/>
      <c r="BQT9" s="456"/>
      <c r="BQU9" s="456"/>
      <c r="BQV9" s="456"/>
      <c r="BQW9" s="456"/>
      <c r="BQX9" s="456"/>
      <c r="BQY9" s="456"/>
      <c r="BQZ9" s="456"/>
      <c r="BRA9" s="456"/>
      <c r="BRB9" s="456"/>
      <c r="BRC9" s="456"/>
      <c r="BRD9" s="456"/>
      <c r="BRE9" s="456"/>
      <c r="BRF9" s="456"/>
      <c r="BRG9" s="456"/>
      <c r="BRH9" s="456"/>
      <c r="BRI9" s="456"/>
      <c r="BRJ9" s="456"/>
      <c r="BRK9" s="456"/>
      <c r="BRL9" s="456"/>
      <c r="BRM9" s="456"/>
      <c r="BRN9" s="456"/>
      <c r="BRO9" s="456"/>
      <c r="BRP9" s="456"/>
      <c r="BRQ9" s="456"/>
      <c r="BRR9" s="456"/>
      <c r="BRS9" s="456"/>
      <c r="BRT9" s="456"/>
      <c r="BRU9" s="456"/>
      <c r="BRV9" s="456"/>
      <c r="BRW9" s="456"/>
      <c r="BRX9" s="456"/>
      <c r="BRY9" s="456"/>
      <c r="BRZ9" s="456"/>
      <c r="BSA9" s="456"/>
      <c r="BSB9" s="456"/>
      <c r="BSC9" s="456"/>
      <c r="BSD9" s="456"/>
      <c r="BSE9" s="456"/>
      <c r="BSF9" s="456"/>
      <c r="BSG9" s="456"/>
      <c r="BSH9" s="456"/>
      <c r="BSI9" s="456"/>
      <c r="BSJ9" s="456"/>
      <c r="BSK9" s="456"/>
      <c r="BSL9" s="456"/>
      <c r="BSM9" s="456"/>
      <c r="BSN9" s="456"/>
      <c r="BSO9" s="456"/>
      <c r="BSP9" s="456"/>
      <c r="BSQ9" s="456"/>
      <c r="BSR9" s="456"/>
      <c r="BSS9" s="456"/>
      <c r="BST9" s="456"/>
      <c r="BSU9" s="456"/>
      <c r="BSV9" s="456"/>
      <c r="BSW9" s="456"/>
      <c r="BSX9" s="456"/>
      <c r="BSY9" s="456"/>
      <c r="BSZ9" s="456"/>
      <c r="BTA9" s="456"/>
      <c r="BTB9" s="456"/>
      <c r="BTC9" s="456"/>
      <c r="BTD9" s="456"/>
      <c r="BTE9" s="456"/>
      <c r="BTF9" s="456"/>
      <c r="BTG9" s="456"/>
      <c r="BTH9" s="456"/>
      <c r="BTI9" s="456"/>
      <c r="BTJ9" s="456"/>
      <c r="BTK9" s="456"/>
      <c r="BTL9" s="456"/>
      <c r="BTM9" s="456"/>
      <c r="BTN9" s="456"/>
      <c r="BTO9" s="456"/>
      <c r="BTP9" s="456"/>
      <c r="BTQ9" s="456"/>
      <c r="BTR9" s="456"/>
      <c r="BTS9" s="456"/>
      <c r="BTT9" s="456"/>
      <c r="BTU9" s="456"/>
      <c r="BTV9" s="456"/>
      <c r="BTW9" s="456"/>
      <c r="BTX9" s="456"/>
      <c r="BTY9" s="456"/>
      <c r="BTZ9" s="456"/>
      <c r="BUA9" s="456"/>
      <c r="BUB9" s="456"/>
      <c r="BUC9" s="456"/>
      <c r="BUD9" s="456"/>
      <c r="BUE9" s="456"/>
      <c r="BUF9" s="456"/>
      <c r="BUG9" s="456"/>
      <c r="BUH9" s="456"/>
      <c r="BUI9" s="456"/>
      <c r="BUJ9" s="456"/>
      <c r="BUK9" s="456"/>
      <c r="BUL9" s="456"/>
      <c r="BUM9" s="456"/>
      <c r="BUN9" s="456"/>
      <c r="BUO9" s="456"/>
      <c r="BUP9" s="456"/>
      <c r="BUQ9" s="456"/>
      <c r="BUR9" s="456"/>
      <c r="BUS9" s="456"/>
      <c r="BUT9" s="456"/>
      <c r="BUU9" s="456"/>
      <c r="BUV9" s="456"/>
      <c r="BUW9" s="456"/>
      <c r="BUX9" s="456"/>
      <c r="BUY9" s="456"/>
      <c r="BUZ9" s="456"/>
      <c r="BVA9" s="456"/>
      <c r="BVB9" s="456"/>
      <c r="BVC9" s="456"/>
      <c r="BVD9" s="456"/>
      <c r="BVE9" s="456"/>
      <c r="BVF9" s="456"/>
      <c r="BVG9" s="456"/>
      <c r="BVH9" s="456"/>
      <c r="BVI9" s="456"/>
      <c r="BVJ9" s="456"/>
      <c r="BVK9" s="456"/>
      <c r="BVL9" s="456"/>
      <c r="BVM9" s="456"/>
      <c r="BVN9" s="456"/>
      <c r="BVO9" s="456"/>
      <c r="BVP9" s="456"/>
      <c r="BVQ9" s="456"/>
      <c r="BVR9" s="456"/>
      <c r="BVS9" s="456"/>
      <c r="BVT9" s="456"/>
      <c r="BVU9" s="456"/>
      <c r="BVV9" s="456"/>
      <c r="BVW9" s="456"/>
      <c r="BVX9" s="456"/>
      <c r="BVY9" s="456"/>
      <c r="BVZ9" s="456"/>
      <c r="BWA9" s="456"/>
      <c r="BWB9" s="456"/>
      <c r="BWC9" s="456"/>
      <c r="BWD9" s="456"/>
      <c r="BWE9" s="456"/>
      <c r="BWF9" s="456"/>
      <c r="BWG9" s="456"/>
      <c r="BWH9" s="456"/>
      <c r="BWI9" s="456"/>
      <c r="BWJ9" s="456"/>
      <c r="BWK9" s="456"/>
      <c r="BWL9" s="456"/>
      <c r="BWM9" s="456"/>
      <c r="BWN9" s="456"/>
      <c r="BWO9" s="456"/>
      <c r="BWP9" s="456"/>
      <c r="BWQ9" s="456"/>
      <c r="BWR9" s="456"/>
      <c r="BWS9" s="456"/>
      <c r="BWT9" s="456"/>
      <c r="BWU9" s="456"/>
      <c r="BWV9" s="456"/>
      <c r="BWW9" s="456"/>
      <c r="BWX9" s="456"/>
      <c r="BWY9" s="456"/>
      <c r="BWZ9" s="456"/>
      <c r="BXA9" s="456"/>
      <c r="BXB9" s="456"/>
      <c r="BXC9" s="456"/>
      <c r="BXD9" s="456"/>
      <c r="BXE9" s="456"/>
      <c r="BXF9" s="456"/>
      <c r="BXG9" s="456"/>
      <c r="BXH9" s="456"/>
      <c r="BXI9" s="456"/>
      <c r="BXJ9" s="456"/>
      <c r="BXK9" s="456"/>
      <c r="BXL9" s="456"/>
      <c r="BXM9" s="456"/>
      <c r="BXN9" s="456"/>
      <c r="BXO9" s="456"/>
      <c r="BXP9" s="456"/>
      <c r="BXQ9" s="456"/>
      <c r="BXR9" s="456"/>
      <c r="BXS9" s="456"/>
      <c r="BXT9" s="456"/>
      <c r="BXU9" s="456"/>
      <c r="BXV9" s="456"/>
      <c r="BXW9" s="456"/>
      <c r="BXX9" s="456"/>
      <c r="BXY9" s="456"/>
      <c r="BXZ9" s="456"/>
    </row>
    <row r="10" s="25" customFormat="1" ht="15.6" spans="1:1024 1025:2002">
      <c r="A10" s="473" t="s">
        <v>34</v>
      </c>
      <c r="B10" s="19">
        <v>1112</v>
      </c>
      <c r="C10" s="183">
        <v>46134</v>
      </c>
      <c r="D10" s="17" t="s">
        <v>52</v>
      </c>
      <c r="E10" s="17" t="s">
        <v>53</v>
      </c>
      <c r="F10" s="17" t="s">
        <v>54</v>
      </c>
      <c r="G10" s="17"/>
      <c r="H10" s="19" t="s">
        <v>55</v>
      </c>
      <c r="I10" s="102" t="s">
        <v>56</v>
      </c>
      <c r="J10" s="17" t="s">
        <v>49</v>
      </c>
      <c r="K10" s="19">
        <v>710</v>
      </c>
      <c r="L10" s="19">
        <v>115</v>
      </c>
      <c r="M10" s="19">
        <v>5800</v>
      </c>
      <c r="N10" s="19" t="s">
        <v>40</v>
      </c>
      <c r="O10" s="19" t="s">
        <v>50</v>
      </c>
      <c r="P10" s="19">
        <v>2450</v>
      </c>
      <c r="Q10" s="19">
        <v>2606</v>
      </c>
      <c r="R10" s="19">
        <f t="shared" si="0"/>
        <v>-156</v>
      </c>
      <c r="S10" s="311">
        <v>2040</v>
      </c>
      <c r="T10" s="19" t="s">
        <v>42</v>
      </c>
      <c r="U10" s="102" t="s">
        <v>57</v>
      </c>
      <c r="V10" s="186">
        <v>46139</v>
      </c>
      <c r="W10" s="17" t="s">
        <v>58</v>
      </c>
      <c r="X10" s="17"/>
      <c r="Y10" s="68">
        <v>46174</v>
      </c>
      <c r="Z10" s="17" t="s">
        <v>45</v>
      </c>
      <c r="AA10" s="17" t="s">
        <v>46</v>
      </c>
      <c r="AB10" s="17" t="s">
        <v>62</v>
      </c>
      <c r="AC10" s="217">
        <v>46202</v>
      </c>
      <c r="AD10" s="65">
        <v>1832</v>
      </c>
      <c r="AE10" s="17" t="s">
        <v>48</v>
      </c>
      <c r="AF10" s="17" t="s">
        <v>61</v>
      </c>
      <c r="AG10" s="17"/>
      <c r="AH10" s="456"/>
      <c r="AI10" s="456"/>
      <c r="AJ10" s="456"/>
      <c r="AK10" s="456"/>
      <c r="AL10" s="456"/>
      <c r="AM10" s="456"/>
      <c r="AN10" s="456"/>
      <c r="AO10" s="456"/>
      <c r="AP10" s="456"/>
      <c r="AQ10" s="456"/>
      <c r="AR10" s="456"/>
      <c r="AS10" s="456"/>
      <c r="AT10" s="456"/>
      <c r="AU10" s="456"/>
      <c r="AV10" s="456"/>
      <c r="AW10" s="456"/>
      <c r="AX10" s="456"/>
      <c r="AY10" s="456"/>
      <c r="AZ10" s="456"/>
      <c r="BA10" s="456"/>
      <c r="BB10" s="456"/>
      <c r="BC10" s="456"/>
      <c r="BD10" s="456"/>
      <c r="BE10" s="456"/>
      <c r="BF10" s="456"/>
      <c r="BG10" s="456"/>
      <c r="BH10" s="456"/>
      <c r="BI10" s="456"/>
      <c r="BJ10" s="456"/>
      <c r="BK10" s="456"/>
      <c r="BL10" s="456"/>
      <c r="BM10" s="456"/>
      <c r="BN10" s="456"/>
      <c r="BO10" s="456"/>
      <c r="BP10" s="456"/>
      <c r="BQ10" s="456"/>
      <c r="BR10" s="456"/>
      <c r="BS10" s="456"/>
      <c r="BT10" s="456"/>
      <c r="BU10" s="456"/>
      <c r="BV10" s="456"/>
      <c r="BW10" s="456"/>
      <c r="BX10" s="456"/>
      <c r="BY10" s="456"/>
      <c r="BZ10" s="456"/>
      <c r="CA10" s="456"/>
      <c r="CB10" s="456"/>
      <c r="CC10" s="456"/>
      <c r="CD10" s="456"/>
      <c r="CE10" s="456"/>
      <c r="CF10" s="456"/>
      <c r="CG10" s="456"/>
      <c r="CH10" s="456"/>
      <c r="CI10" s="456"/>
      <c r="CJ10" s="456"/>
      <c r="CK10" s="456"/>
      <c r="CL10" s="456"/>
      <c r="CM10" s="456"/>
      <c r="CN10" s="456"/>
      <c r="CO10" s="456"/>
      <c r="CP10" s="456"/>
      <c r="CQ10" s="456"/>
      <c r="CR10" s="456"/>
      <c r="CS10" s="456"/>
      <c r="CT10" s="456"/>
      <c r="CU10" s="456"/>
      <c r="CV10" s="456"/>
      <c r="CW10" s="456"/>
      <c r="CX10" s="456"/>
      <c r="CY10" s="456"/>
      <c r="CZ10" s="456"/>
      <c r="DA10" s="456"/>
      <c r="DB10" s="456"/>
      <c r="DC10" s="456"/>
      <c r="DD10" s="456"/>
      <c r="DE10" s="456"/>
      <c r="DF10" s="456"/>
      <c r="DG10" s="456"/>
      <c r="DH10" s="456"/>
      <c r="DI10" s="456"/>
      <c r="DJ10" s="456"/>
      <c r="DK10" s="456"/>
      <c r="DL10" s="456"/>
      <c r="DM10" s="456"/>
      <c r="DN10" s="456"/>
      <c r="DO10" s="456"/>
      <c r="DP10" s="456"/>
      <c r="DQ10" s="456"/>
      <c r="DR10" s="456"/>
      <c r="DS10" s="456"/>
      <c r="DT10" s="456"/>
      <c r="DU10" s="456"/>
      <c r="DV10" s="456"/>
      <c r="DW10" s="456"/>
      <c r="DX10" s="456"/>
      <c r="DY10" s="456"/>
      <c r="DZ10" s="456"/>
      <c r="EA10" s="456"/>
      <c r="EB10" s="456"/>
      <c r="EC10" s="456"/>
      <c r="ED10" s="456"/>
      <c r="EE10" s="456"/>
      <c r="EF10" s="456"/>
      <c r="EG10" s="456"/>
      <c r="EH10" s="456"/>
      <c r="EI10" s="456"/>
      <c r="EJ10" s="456"/>
      <c r="EK10" s="456"/>
      <c r="EL10" s="456"/>
      <c r="EM10" s="456"/>
      <c r="EN10" s="456"/>
      <c r="EO10" s="456"/>
      <c r="EP10" s="456"/>
      <c r="EQ10" s="456"/>
      <c r="ER10" s="456"/>
      <c r="ES10" s="456"/>
      <c r="ET10" s="456"/>
      <c r="EU10" s="456"/>
      <c r="EV10" s="456"/>
      <c r="EW10" s="456"/>
      <c r="EX10" s="456"/>
      <c r="EY10" s="456"/>
      <c r="EZ10" s="456"/>
      <c r="FA10" s="456"/>
      <c r="FB10" s="456"/>
      <c r="FC10" s="456"/>
      <c r="FD10" s="456"/>
      <c r="FE10" s="456"/>
      <c r="FF10" s="456"/>
      <c r="FG10" s="456"/>
      <c r="FH10" s="456"/>
      <c r="FI10" s="456"/>
      <c r="FJ10" s="456"/>
      <c r="FK10" s="456"/>
      <c r="FL10" s="456"/>
      <c r="FM10" s="456"/>
      <c r="FN10" s="456"/>
      <c r="FO10" s="456"/>
      <c r="FP10" s="456"/>
      <c r="FQ10" s="456"/>
      <c r="FR10" s="456"/>
      <c r="FS10" s="456"/>
      <c r="FT10" s="456"/>
      <c r="FU10" s="456"/>
      <c r="FV10" s="456"/>
      <c r="FW10" s="456"/>
      <c r="FX10" s="456"/>
      <c r="FY10" s="456"/>
      <c r="FZ10" s="456"/>
      <c r="GA10" s="456"/>
      <c r="GB10" s="456"/>
      <c r="GC10" s="456"/>
      <c r="GD10" s="456"/>
      <c r="GE10" s="456"/>
      <c r="GF10" s="456"/>
      <c r="GG10" s="456"/>
      <c r="GH10" s="456"/>
      <c r="GI10" s="456"/>
      <c r="GJ10" s="456"/>
      <c r="GK10" s="456"/>
      <c r="GL10" s="456"/>
      <c r="GM10" s="456"/>
      <c r="GN10" s="456"/>
      <c r="GO10" s="456"/>
      <c r="GP10" s="456"/>
      <c r="GQ10" s="456"/>
      <c r="GR10" s="456"/>
      <c r="GS10" s="456"/>
      <c r="GT10" s="456"/>
      <c r="GU10" s="456"/>
      <c r="GV10" s="456"/>
      <c r="GW10" s="456"/>
      <c r="GX10" s="456"/>
      <c r="GY10" s="456"/>
      <c r="GZ10" s="456"/>
      <c r="HA10" s="456"/>
      <c r="HB10" s="456"/>
      <c r="HC10" s="456"/>
      <c r="HD10" s="456"/>
      <c r="HE10" s="456"/>
      <c r="HF10" s="456"/>
      <c r="HG10" s="456"/>
      <c r="HH10" s="456"/>
      <c r="HI10" s="456"/>
      <c r="HJ10" s="456"/>
      <c r="HK10" s="456"/>
      <c r="HL10" s="456"/>
      <c r="HM10" s="456"/>
      <c r="HN10" s="456"/>
      <c r="HO10" s="456"/>
      <c r="HP10" s="456"/>
      <c r="HQ10" s="456"/>
      <c r="HR10" s="456"/>
      <c r="HS10" s="456"/>
      <c r="HT10" s="456"/>
      <c r="HU10" s="456"/>
      <c r="HV10" s="456"/>
      <c r="HW10" s="456"/>
      <c r="HX10" s="456"/>
      <c r="HY10" s="456"/>
      <c r="HZ10" s="456"/>
      <c r="IA10" s="456"/>
      <c r="IB10" s="456"/>
      <c r="IC10" s="456"/>
      <c r="ID10" s="456"/>
      <c r="IE10" s="456"/>
      <c r="IF10" s="456"/>
      <c r="IG10" s="456"/>
      <c r="IH10" s="456"/>
      <c r="II10" s="456"/>
      <c r="IJ10" s="456"/>
      <c r="IK10" s="456"/>
      <c r="IL10" s="456"/>
      <c r="IM10" s="456"/>
      <c r="IN10" s="456"/>
      <c r="IO10" s="456"/>
      <c r="IP10" s="456"/>
      <c r="IQ10" s="456"/>
      <c r="IR10" s="456"/>
      <c r="IS10" s="456"/>
      <c r="IT10" s="456"/>
      <c r="IU10" s="456"/>
      <c r="IV10" s="456"/>
      <c r="IW10" s="456"/>
      <c r="IX10" s="456"/>
      <c r="IY10" s="456"/>
      <c r="IZ10" s="456"/>
      <c r="JA10" s="456"/>
      <c r="JB10" s="456"/>
      <c r="JC10" s="456"/>
      <c r="JD10" s="456"/>
      <c r="JE10" s="456"/>
      <c r="JF10" s="456"/>
      <c r="JG10" s="456"/>
      <c r="JH10" s="456"/>
      <c r="JI10" s="456"/>
      <c r="JJ10" s="456"/>
      <c r="JK10" s="456"/>
      <c r="JL10" s="456"/>
      <c r="JM10" s="456"/>
      <c r="JN10" s="456"/>
      <c r="JO10" s="456"/>
      <c r="JP10" s="456"/>
      <c r="JQ10" s="456"/>
      <c r="JR10" s="456"/>
      <c r="JS10" s="456"/>
      <c r="JT10" s="456"/>
      <c r="JU10" s="456"/>
      <c r="JV10" s="456"/>
      <c r="JW10" s="456"/>
      <c r="JX10" s="456"/>
      <c r="JY10" s="456"/>
      <c r="JZ10" s="456"/>
      <c r="KA10" s="456"/>
      <c r="KB10" s="456"/>
      <c r="KC10" s="456"/>
      <c r="KD10" s="456"/>
      <c r="KE10" s="456"/>
      <c r="KF10" s="456"/>
      <c r="KG10" s="456"/>
      <c r="KH10" s="456"/>
      <c r="KI10" s="456"/>
      <c r="KJ10" s="456"/>
      <c r="KK10" s="456"/>
      <c r="KL10" s="456"/>
      <c r="KM10" s="456"/>
      <c r="KN10" s="456"/>
      <c r="KO10" s="456"/>
      <c r="KP10" s="456"/>
      <c r="KQ10" s="456"/>
      <c r="KR10" s="456"/>
      <c r="KS10" s="456"/>
      <c r="KT10" s="456"/>
      <c r="KU10" s="456"/>
      <c r="KV10" s="456"/>
      <c r="KW10" s="456"/>
      <c r="KX10" s="456"/>
      <c r="KY10" s="456"/>
      <c r="KZ10" s="456"/>
      <c r="LA10" s="456"/>
      <c r="LB10" s="456"/>
      <c r="LC10" s="456"/>
      <c r="LD10" s="456"/>
      <c r="LE10" s="456"/>
      <c r="LF10" s="456"/>
      <c r="LG10" s="456"/>
      <c r="LH10" s="456"/>
      <c r="LI10" s="456"/>
      <c r="LJ10" s="456"/>
      <c r="LK10" s="456"/>
      <c r="LL10" s="456"/>
      <c r="LM10" s="456"/>
      <c r="LN10" s="456"/>
      <c r="LO10" s="456"/>
      <c r="LP10" s="456"/>
      <c r="LQ10" s="456"/>
      <c r="LR10" s="456"/>
      <c r="LS10" s="456"/>
      <c r="LT10" s="456"/>
      <c r="LU10" s="456"/>
      <c r="LV10" s="456"/>
      <c r="LW10" s="456"/>
      <c r="LX10" s="456"/>
      <c r="LY10" s="456"/>
      <c r="LZ10" s="456"/>
      <c r="MA10" s="456"/>
      <c r="MB10" s="456"/>
      <c r="MC10" s="456"/>
      <c r="MD10" s="456"/>
      <c r="ME10" s="456"/>
      <c r="MF10" s="456"/>
      <c r="MG10" s="456"/>
      <c r="MH10" s="456"/>
      <c r="MI10" s="456"/>
      <c r="MJ10" s="456"/>
      <c r="MK10" s="456"/>
      <c r="ML10" s="456"/>
      <c r="MM10" s="456"/>
      <c r="MN10" s="456"/>
      <c r="MO10" s="456"/>
      <c r="MP10" s="456"/>
      <c r="MQ10" s="456"/>
      <c r="MR10" s="456"/>
      <c r="MS10" s="456"/>
      <c r="MT10" s="456"/>
      <c r="MU10" s="456"/>
      <c r="MV10" s="456"/>
      <c r="MW10" s="456"/>
      <c r="MX10" s="456"/>
      <c r="MY10" s="456"/>
      <c r="MZ10" s="456"/>
      <c r="NA10" s="456"/>
      <c r="NB10" s="456"/>
      <c r="NC10" s="456"/>
      <c r="ND10" s="456"/>
      <c r="NE10" s="456"/>
      <c r="NF10" s="456"/>
      <c r="NG10" s="456"/>
      <c r="NH10" s="456"/>
      <c r="NI10" s="456"/>
      <c r="NJ10" s="456"/>
      <c r="NK10" s="456"/>
      <c r="NL10" s="456"/>
      <c r="NM10" s="456"/>
      <c r="NN10" s="456"/>
      <c r="NO10" s="456"/>
      <c r="NP10" s="456"/>
      <c r="NQ10" s="456"/>
      <c r="NR10" s="456"/>
      <c r="NS10" s="456"/>
      <c r="NT10" s="456"/>
      <c r="NU10" s="456"/>
      <c r="NV10" s="456"/>
      <c r="NW10" s="456"/>
      <c r="NX10" s="456"/>
      <c r="NY10" s="456"/>
      <c r="NZ10" s="456"/>
      <c r="OA10" s="456"/>
      <c r="OB10" s="456"/>
      <c r="OC10" s="456"/>
      <c r="OD10" s="456"/>
      <c r="OE10" s="456"/>
      <c r="OF10" s="456"/>
      <c r="OG10" s="456"/>
      <c r="OH10" s="456"/>
      <c r="OI10" s="456"/>
      <c r="OJ10" s="456"/>
      <c r="OK10" s="456"/>
      <c r="OL10" s="456"/>
      <c r="OM10" s="456"/>
      <c r="ON10" s="456"/>
      <c r="OO10" s="456"/>
      <c r="OP10" s="456"/>
      <c r="OQ10" s="456"/>
      <c r="OR10" s="456"/>
      <c r="OS10" s="456"/>
      <c r="OT10" s="456"/>
      <c r="OU10" s="456"/>
      <c r="OV10" s="456"/>
      <c r="OW10" s="456"/>
      <c r="OX10" s="456"/>
      <c r="OY10" s="456"/>
      <c r="OZ10" s="456"/>
      <c r="PA10" s="456"/>
      <c r="PB10" s="456"/>
      <c r="PC10" s="456"/>
      <c r="PD10" s="456"/>
      <c r="PE10" s="456"/>
      <c r="PF10" s="456"/>
      <c r="PG10" s="456"/>
      <c r="PH10" s="456"/>
      <c r="PI10" s="456"/>
      <c r="PJ10" s="456"/>
      <c r="PK10" s="456"/>
      <c r="PL10" s="456"/>
      <c r="PM10" s="456"/>
      <c r="PN10" s="456"/>
      <c r="PO10" s="456"/>
      <c r="PP10" s="456"/>
      <c r="PQ10" s="456"/>
      <c r="PR10" s="456"/>
      <c r="PS10" s="456"/>
      <c r="PT10" s="456"/>
      <c r="PU10" s="456"/>
      <c r="PV10" s="456"/>
      <c r="PW10" s="456"/>
      <c r="PX10" s="456"/>
      <c r="PY10" s="456"/>
      <c r="PZ10" s="456"/>
      <c r="QA10" s="456"/>
      <c r="QB10" s="456"/>
      <c r="QC10" s="456"/>
      <c r="QD10" s="456"/>
      <c r="QE10" s="456"/>
      <c r="QF10" s="456"/>
      <c r="QG10" s="456"/>
      <c r="QH10" s="456"/>
      <c r="QI10" s="456"/>
      <c r="QJ10" s="456"/>
      <c r="QK10" s="456"/>
      <c r="QL10" s="456"/>
      <c r="QM10" s="456"/>
      <c r="QN10" s="456"/>
      <c r="QO10" s="456"/>
      <c r="QP10" s="456"/>
      <c r="QQ10" s="456"/>
      <c r="QR10" s="456"/>
      <c r="QS10" s="456"/>
      <c r="QT10" s="456"/>
      <c r="QU10" s="456"/>
      <c r="QV10" s="456"/>
      <c r="QW10" s="456"/>
      <c r="QX10" s="456"/>
      <c r="QY10" s="456"/>
      <c r="QZ10" s="456"/>
      <c r="RA10" s="456"/>
      <c r="RB10" s="456"/>
      <c r="RC10" s="456"/>
      <c r="RD10" s="456"/>
      <c r="RE10" s="456"/>
      <c r="RF10" s="456"/>
      <c r="RG10" s="456"/>
      <c r="RH10" s="456"/>
      <c r="RI10" s="456"/>
      <c r="RJ10" s="456"/>
      <c r="RK10" s="456"/>
      <c r="RL10" s="456"/>
      <c r="RM10" s="456"/>
      <c r="RN10" s="456"/>
      <c r="RO10" s="456"/>
      <c r="RP10" s="456"/>
      <c r="RQ10" s="456"/>
      <c r="RR10" s="456"/>
      <c r="RS10" s="456"/>
      <c r="RT10" s="456"/>
      <c r="RU10" s="456"/>
      <c r="RV10" s="456"/>
      <c r="RW10" s="456"/>
      <c r="RX10" s="456"/>
      <c r="RY10" s="456"/>
      <c r="RZ10" s="456"/>
      <c r="SA10" s="456"/>
      <c r="SB10" s="456"/>
      <c r="SC10" s="456"/>
      <c r="SD10" s="456"/>
      <c r="SE10" s="456"/>
      <c r="SF10" s="456"/>
      <c r="SG10" s="456"/>
      <c r="SH10" s="456"/>
      <c r="SI10" s="456"/>
      <c r="SJ10" s="456"/>
      <c r="SK10" s="456"/>
      <c r="SL10" s="456"/>
      <c r="SM10" s="456"/>
      <c r="SN10" s="456"/>
      <c r="SO10" s="456"/>
      <c r="SP10" s="456"/>
      <c r="SQ10" s="456"/>
      <c r="SR10" s="456"/>
      <c r="SS10" s="456"/>
      <c r="ST10" s="456"/>
      <c r="SU10" s="456"/>
      <c r="SV10" s="456"/>
      <c r="SW10" s="456"/>
      <c r="SX10" s="456"/>
      <c r="SY10" s="456"/>
      <c r="SZ10" s="456"/>
      <c r="TA10" s="456"/>
      <c r="TB10" s="456"/>
      <c r="TC10" s="456"/>
      <c r="TD10" s="456"/>
      <c r="TE10" s="456"/>
      <c r="TF10" s="456"/>
      <c r="TG10" s="456"/>
      <c r="TH10" s="456"/>
      <c r="TI10" s="456"/>
      <c r="TJ10" s="456"/>
      <c r="TK10" s="456"/>
      <c r="TL10" s="456"/>
      <c r="TM10" s="456"/>
      <c r="TN10" s="456"/>
      <c r="TO10" s="456"/>
      <c r="TP10" s="456"/>
      <c r="TQ10" s="456"/>
      <c r="TR10" s="456"/>
      <c r="TS10" s="456"/>
      <c r="TT10" s="456"/>
      <c r="TU10" s="456"/>
      <c r="TV10" s="456"/>
      <c r="TW10" s="456"/>
      <c r="TX10" s="456"/>
      <c r="TY10" s="456"/>
      <c r="TZ10" s="456"/>
      <c r="UA10" s="456"/>
      <c r="UB10" s="456"/>
      <c r="UC10" s="456"/>
      <c r="UD10" s="456"/>
      <c r="UE10" s="456"/>
      <c r="UF10" s="456"/>
      <c r="UG10" s="456"/>
      <c r="UH10" s="456"/>
      <c r="UI10" s="456"/>
      <c r="UJ10" s="456"/>
      <c r="UK10" s="456"/>
      <c r="UL10" s="456"/>
      <c r="UM10" s="456"/>
      <c r="UN10" s="456"/>
      <c r="UO10" s="456"/>
      <c r="UP10" s="456"/>
      <c r="UQ10" s="456"/>
      <c r="UR10" s="456"/>
      <c r="US10" s="456"/>
      <c r="UT10" s="456"/>
      <c r="UU10" s="456"/>
      <c r="UV10" s="456"/>
      <c r="UW10" s="456"/>
      <c r="UX10" s="456"/>
      <c r="UY10" s="456"/>
      <c r="UZ10" s="456"/>
      <c r="VA10" s="456"/>
      <c r="VB10" s="456"/>
      <c r="VC10" s="456"/>
      <c r="VD10" s="456"/>
      <c r="VE10" s="456"/>
      <c r="VF10" s="456"/>
      <c r="VG10" s="456"/>
      <c r="VH10" s="456"/>
      <c r="VI10" s="456"/>
      <c r="VJ10" s="456"/>
      <c r="VK10" s="456"/>
      <c r="VL10" s="456"/>
      <c r="VM10" s="456"/>
      <c r="VN10" s="456"/>
      <c r="VO10" s="456"/>
      <c r="VP10" s="456"/>
      <c r="VQ10" s="456"/>
      <c r="VR10" s="456"/>
      <c r="VS10" s="456"/>
      <c r="VT10" s="456"/>
      <c r="VU10" s="456"/>
      <c r="VV10" s="456"/>
      <c r="VW10" s="456"/>
      <c r="VX10" s="456"/>
      <c r="VY10" s="456"/>
      <c r="VZ10" s="456"/>
      <c r="WA10" s="456"/>
      <c r="WB10" s="456"/>
      <c r="WC10" s="456"/>
      <c r="WD10" s="456"/>
      <c r="WE10" s="456"/>
      <c r="WF10" s="456"/>
      <c r="WG10" s="456"/>
      <c r="WH10" s="456"/>
      <c r="WI10" s="456"/>
      <c r="WJ10" s="456"/>
      <c r="WK10" s="456"/>
      <c r="WL10" s="456"/>
      <c r="WM10" s="456"/>
      <c r="WN10" s="456"/>
      <c r="WO10" s="456"/>
      <c r="WP10" s="456"/>
      <c r="WQ10" s="456"/>
      <c r="WR10" s="456"/>
      <c r="WS10" s="456"/>
      <c r="WT10" s="456"/>
      <c r="WU10" s="456"/>
      <c r="WV10" s="456"/>
      <c r="WW10" s="456"/>
      <c r="WX10" s="456"/>
      <c r="WY10" s="456"/>
      <c r="WZ10" s="456"/>
      <c r="XA10" s="456"/>
      <c r="XB10" s="456"/>
      <c r="XC10" s="456"/>
      <c r="XD10" s="456"/>
      <c r="XE10" s="456"/>
      <c r="XF10" s="456"/>
      <c r="XG10" s="456"/>
      <c r="XH10" s="456"/>
      <c r="XI10" s="456"/>
      <c r="XJ10" s="456"/>
      <c r="XK10" s="456"/>
      <c r="XL10" s="456"/>
      <c r="XM10" s="456"/>
      <c r="XN10" s="456"/>
      <c r="XO10" s="456"/>
      <c r="XP10" s="456"/>
      <c r="XQ10" s="456"/>
      <c r="XR10" s="456"/>
      <c r="XS10" s="456"/>
      <c r="XT10" s="456"/>
      <c r="XU10" s="456"/>
      <c r="XV10" s="456"/>
      <c r="XW10" s="456"/>
      <c r="XX10" s="456"/>
      <c r="XY10" s="456"/>
      <c r="XZ10" s="456"/>
      <c r="YA10" s="456"/>
      <c r="YB10" s="456"/>
      <c r="YC10" s="456"/>
      <c r="YD10" s="456"/>
      <c r="YE10" s="456"/>
      <c r="YF10" s="456"/>
      <c r="YG10" s="456"/>
      <c r="YH10" s="456"/>
      <c r="YI10" s="456"/>
      <c r="YJ10" s="456"/>
      <c r="YK10" s="456"/>
      <c r="YL10" s="456"/>
      <c r="YM10" s="456"/>
      <c r="YN10" s="456"/>
      <c r="YO10" s="456"/>
      <c r="YP10" s="456"/>
      <c r="YQ10" s="456"/>
      <c r="YR10" s="456"/>
      <c r="YS10" s="456"/>
      <c r="YT10" s="456"/>
      <c r="YU10" s="456"/>
      <c r="YV10" s="456"/>
      <c r="YW10" s="456"/>
      <c r="YX10" s="456"/>
      <c r="YY10" s="456"/>
      <c r="YZ10" s="456"/>
      <c r="ZA10" s="456"/>
      <c r="ZB10" s="456"/>
      <c r="ZC10" s="456"/>
      <c r="ZD10" s="456"/>
      <c r="ZE10" s="456"/>
      <c r="ZF10" s="456"/>
      <c r="ZG10" s="456"/>
      <c r="ZH10" s="456"/>
      <c r="ZI10" s="456"/>
      <c r="ZJ10" s="456"/>
      <c r="ZK10" s="456"/>
      <c r="ZL10" s="456"/>
      <c r="ZM10" s="456"/>
      <c r="ZN10" s="456"/>
      <c r="ZO10" s="456"/>
      <c r="ZP10" s="456"/>
      <c r="ZQ10" s="456"/>
      <c r="ZR10" s="456"/>
      <c r="ZS10" s="456"/>
      <c r="ZT10" s="456"/>
      <c r="ZU10" s="456"/>
      <c r="ZV10" s="456"/>
      <c r="ZW10" s="456"/>
      <c r="ZX10" s="456"/>
      <c r="ZY10" s="456"/>
      <c r="ZZ10" s="456"/>
      <c r="AAA10" s="456"/>
      <c r="AAB10" s="456"/>
      <c r="AAC10" s="456"/>
      <c r="AAD10" s="456"/>
      <c r="AAE10" s="456"/>
      <c r="AAF10" s="456"/>
      <c r="AAG10" s="456"/>
      <c r="AAH10" s="456"/>
      <c r="AAI10" s="456"/>
      <c r="AAJ10" s="456"/>
      <c r="AAK10" s="456"/>
      <c r="AAL10" s="456"/>
      <c r="AAM10" s="456"/>
      <c r="AAN10" s="456"/>
      <c r="AAO10" s="456"/>
      <c r="AAP10" s="456"/>
      <c r="AAQ10" s="456"/>
      <c r="AAR10" s="456"/>
      <c r="AAS10" s="456"/>
      <c r="AAT10" s="456"/>
      <c r="AAU10" s="456"/>
      <c r="AAV10" s="456"/>
      <c r="AAW10" s="456"/>
      <c r="AAX10" s="456"/>
      <c r="AAY10" s="456"/>
      <c r="AAZ10" s="456"/>
      <c r="ABA10" s="456"/>
      <c r="ABB10" s="456"/>
      <c r="ABC10" s="456"/>
      <c r="ABD10" s="456"/>
      <c r="ABE10" s="456"/>
      <c r="ABF10" s="456"/>
      <c r="ABG10" s="456"/>
      <c r="ABH10" s="456"/>
      <c r="ABI10" s="456"/>
      <c r="ABJ10" s="456"/>
      <c r="ABK10" s="456"/>
      <c r="ABL10" s="456"/>
      <c r="ABM10" s="456"/>
      <c r="ABN10" s="456"/>
      <c r="ABO10" s="456"/>
      <c r="ABP10" s="456"/>
      <c r="ABQ10" s="456"/>
      <c r="ABR10" s="456"/>
      <c r="ABS10" s="456"/>
      <c r="ABT10" s="456"/>
      <c r="ABU10" s="456"/>
      <c r="ABV10" s="456"/>
      <c r="ABW10" s="456"/>
      <c r="ABX10" s="456"/>
      <c r="ABY10" s="456"/>
      <c r="ABZ10" s="456"/>
      <c r="ACA10" s="456"/>
      <c r="ACB10" s="456"/>
      <c r="ACC10" s="456"/>
      <c r="ACD10" s="456"/>
      <c r="ACE10" s="456"/>
      <c r="ACF10" s="456"/>
      <c r="ACG10" s="456"/>
      <c r="ACH10" s="456"/>
      <c r="ACI10" s="456"/>
      <c r="ACJ10" s="456"/>
      <c r="ACK10" s="456"/>
      <c r="ACL10" s="456"/>
      <c r="ACM10" s="456"/>
      <c r="ACN10" s="456"/>
      <c r="ACO10" s="456"/>
      <c r="ACP10" s="456"/>
      <c r="ACQ10" s="456"/>
      <c r="ACR10" s="456"/>
      <c r="ACS10" s="456"/>
      <c r="ACT10" s="456"/>
      <c r="ACU10" s="456"/>
      <c r="ACV10" s="456"/>
      <c r="ACW10" s="456"/>
      <c r="ACX10" s="456"/>
      <c r="ACY10" s="456"/>
      <c r="ACZ10" s="456"/>
      <c r="ADA10" s="456"/>
      <c r="ADB10" s="456"/>
      <c r="ADC10" s="456"/>
      <c r="ADD10" s="456"/>
      <c r="ADE10" s="456"/>
      <c r="ADF10" s="456"/>
      <c r="ADG10" s="456"/>
      <c r="ADH10" s="456"/>
      <c r="ADI10" s="456"/>
      <c r="ADJ10" s="456"/>
      <c r="ADK10" s="456"/>
      <c r="ADL10" s="456"/>
      <c r="ADM10" s="456"/>
      <c r="ADN10" s="456"/>
      <c r="ADO10" s="456"/>
      <c r="ADP10" s="456"/>
      <c r="ADQ10" s="456"/>
      <c r="ADR10" s="456"/>
      <c r="ADS10" s="456"/>
      <c r="ADT10" s="456"/>
      <c r="ADU10" s="456"/>
      <c r="ADV10" s="456"/>
      <c r="ADW10" s="456"/>
      <c r="ADX10" s="456"/>
      <c r="ADY10" s="456"/>
      <c r="ADZ10" s="456"/>
      <c r="AEA10" s="456"/>
      <c r="AEB10" s="456"/>
      <c r="AEC10" s="456"/>
      <c r="AED10" s="456"/>
      <c r="AEE10" s="456"/>
      <c r="AEF10" s="456"/>
      <c r="AEG10" s="456"/>
      <c r="AEH10" s="456"/>
      <c r="AEI10" s="456"/>
      <c r="AEJ10" s="456"/>
      <c r="AEK10" s="456"/>
      <c r="AEL10" s="456"/>
      <c r="AEM10" s="456"/>
      <c r="AEN10" s="456"/>
      <c r="AEO10" s="456"/>
      <c r="AEP10" s="456"/>
      <c r="AEQ10" s="456"/>
      <c r="AER10" s="456"/>
      <c r="AES10" s="456"/>
      <c r="AET10" s="456"/>
      <c r="AEU10" s="456"/>
      <c r="AEV10" s="456"/>
      <c r="AEW10" s="456"/>
      <c r="AEX10" s="456"/>
      <c r="AEY10" s="456"/>
      <c r="AEZ10" s="456"/>
      <c r="AFA10" s="456"/>
      <c r="AFB10" s="456"/>
      <c r="AFC10" s="456"/>
      <c r="AFD10" s="456"/>
      <c r="AFE10" s="456"/>
      <c r="AFF10" s="456"/>
      <c r="AFG10" s="456"/>
      <c r="AFH10" s="456"/>
      <c r="AFI10" s="456"/>
      <c r="AFJ10" s="456"/>
      <c r="AFK10" s="456"/>
      <c r="AFL10" s="456"/>
      <c r="AFM10" s="456"/>
      <c r="AFN10" s="456"/>
      <c r="AFO10" s="456"/>
      <c r="AFP10" s="456"/>
      <c r="AFQ10" s="456"/>
      <c r="AFR10" s="456"/>
      <c r="AFS10" s="456"/>
      <c r="AFT10" s="456"/>
      <c r="AFU10" s="456"/>
      <c r="AFV10" s="456"/>
      <c r="AFW10" s="456"/>
      <c r="AFX10" s="456"/>
      <c r="AFY10" s="456"/>
      <c r="AFZ10" s="456"/>
      <c r="AGA10" s="456"/>
      <c r="AGB10" s="456"/>
      <c r="AGC10" s="456"/>
      <c r="AGD10" s="456"/>
      <c r="AGE10" s="456"/>
      <c r="AGF10" s="456"/>
      <c r="AGG10" s="456"/>
      <c r="AGH10" s="456"/>
      <c r="AGI10" s="456"/>
      <c r="AGJ10" s="456"/>
      <c r="AGK10" s="456"/>
      <c r="AGL10" s="456"/>
      <c r="AGM10" s="456"/>
      <c r="AGN10" s="456"/>
      <c r="AGO10" s="456"/>
      <c r="AGP10" s="456"/>
      <c r="AGQ10" s="456"/>
      <c r="AGR10" s="456"/>
      <c r="AGS10" s="456"/>
      <c r="AGT10" s="456"/>
      <c r="AGU10" s="456"/>
      <c r="AGV10" s="456"/>
      <c r="AGW10" s="456"/>
      <c r="AGX10" s="456"/>
      <c r="AGY10" s="456"/>
      <c r="AGZ10" s="456"/>
      <c r="AHA10" s="456"/>
      <c r="AHB10" s="456"/>
      <c r="AHC10" s="456"/>
      <c r="AHD10" s="456"/>
      <c r="AHE10" s="456"/>
      <c r="AHF10" s="456"/>
      <c r="AHG10" s="456"/>
      <c r="AHH10" s="456"/>
      <c r="AHI10" s="456"/>
      <c r="AHJ10" s="456"/>
      <c r="AHK10" s="456"/>
      <c r="AHL10" s="456"/>
      <c r="AHM10" s="456"/>
      <c r="AHN10" s="456"/>
      <c r="AHO10" s="456"/>
      <c r="AHP10" s="456"/>
      <c r="AHQ10" s="456"/>
      <c r="AHR10" s="456"/>
      <c r="AHS10" s="456"/>
      <c r="AHT10" s="456"/>
      <c r="AHU10" s="456"/>
      <c r="AHV10" s="456"/>
      <c r="AHW10" s="456"/>
      <c r="AHX10" s="456"/>
      <c r="AHY10" s="456"/>
      <c r="AHZ10" s="456"/>
      <c r="AIA10" s="456"/>
      <c r="AIB10" s="456"/>
      <c r="AIC10" s="456"/>
      <c r="AID10" s="456"/>
      <c r="AIE10" s="456"/>
      <c r="AIF10" s="456"/>
      <c r="AIG10" s="456"/>
      <c r="AIH10" s="456"/>
      <c r="AII10" s="456"/>
      <c r="AIJ10" s="456"/>
      <c r="AIK10" s="456"/>
      <c r="AIL10" s="456"/>
      <c r="AIM10" s="456"/>
      <c r="AIN10" s="456"/>
      <c r="AIO10" s="456"/>
      <c r="AIP10" s="456"/>
      <c r="AIQ10" s="456"/>
      <c r="AIR10" s="456"/>
      <c r="AIS10" s="456"/>
      <c r="AIT10" s="456"/>
      <c r="AIU10" s="456"/>
      <c r="AIV10" s="456"/>
      <c r="AIW10" s="456"/>
      <c r="AIX10" s="456"/>
      <c r="AIY10" s="456"/>
      <c r="AIZ10" s="456"/>
      <c r="AJA10" s="456"/>
      <c r="AJB10" s="456"/>
      <c r="AJC10" s="456"/>
      <c r="AJD10" s="456"/>
      <c r="AJE10" s="456"/>
      <c r="AJF10" s="456"/>
      <c r="AJG10" s="456"/>
      <c r="AJH10" s="456"/>
      <c r="AJI10" s="456"/>
      <c r="AJJ10" s="456"/>
      <c r="AJK10" s="456"/>
      <c r="AJL10" s="456"/>
      <c r="AJM10" s="456"/>
      <c r="AJN10" s="456"/>
      <c r="AJO10" s="456"/>
      <c r="AJP10" s="456"/>
      <c r="AJQ10" s="456"/>
      <c r="AJR10" s="456"/>
      <c r="AJS10" s="456"/>
      <c r="AJT10" s="456"/>
      <c r="AJU10" s="456"/>
      <c r="AJV10" s="456"/>
      <c r="AJW10" s="456"/>
      <c r="AJX10" s="456"/>
      <c r="AJY10" s="456"/>
      <c r="AJZ10" s="456"/>
      <c r="AKA10" s="456"/>
      <c r="AKB10" s="456"/>
      <c r="AKC10" s="456"/>
      <c r="AKD10" s="456"/>
      <c r="AKE10" s="456"/>
      <c r="AKF10" s="456"/>
      <c r="AKG10" s="456"/>
      <c r="AKH10" s="456"/>
      <c r="AKI10" s="456"/>
      <c r="AKJ10" s="456"/>
      <c r="AKK10" s="456"/>
      <c r="AKL10" s="456"/>
      <c r="AKM10" s="456"/>
      <c r="AKN10" s="456"/>
      <c r="AKO10" s="456"/>
      <c r="AKP10" s="456"/>
      <c r="AKQ10" s="456"/>
      <c r="AKR10" s="456"/>
      <c r="AKS10" s="456"/>
      <c r="AKT10" s="456"/>
      <c r="AKU10" s="456"/>
      <c r="AKV10" s="456"/>
      <c r="AKW10" s="456"/>
      <c r="AKX10" s="456"/>
      <c r="AKY10" s="456"/>
      <c r="AKZ10" s="456"/>
      <c r="ALA10" s="456"/>
      <c r="ALB10" s="456"/>
      <c r="ALC10" s="456"/>
      <c r="ALD10" s="456"/>
      <c r="ALE10" s="456"/>
      <c r="ALF10" s="456"/>
      <c r="ALG10" s="456"/>
      <c r="ALH10" s="456"/>
      <c r="ALI10" s="456"/>
      <c r="ALJ10" s="456"/>
      <c r="ALK10" s="456"/>
      <c r="ALL10" s="456"/>
      <c r="ALM10" s="456"/>
      <c r="ALN10" s="456"/>
      <c r="ALO10" s="456"/>
      <c r="ALP10" s="456"/>
      <c r="ALQ10" s="456"/>
      <c r="ALR10" s="456"/>
      <c r="ALS10" s="456"/>
      <c r="ALT10" s="456"/>
      <c r="ALU10" s="456"/>
      <c r="ALV10" s="456"/>
      <c r="ALW10" s="456"/>
      <c r="ALX10" s="456"/>
      <c r="ALY10" s="456"/>
      <c r="ALZ10" s="456"/>
      <c r="AMA10" s="456"/>
      <c r="AMB10" s="456"/>
      <c r="AMC10" s="456"/>
      <c r="AMD10" s="456"/>
      <c r="AME10" s="456"/>
      <c r="AMF10" s="456"/>
      <c r="AMG10" s="456"/>
      <c r="AMH10" s="456"/>
      <c r="AMI10" s="456"/>
      <c r="AMJ10" s="456"/>
      <c r="AMK10" s="456"/>
      <c r="AML10" s="456"/>
      <c r="AMM10" s="456"/>
      <c r="AMN10" s="456"/>
      <c r="AMO10" s="456"/>
      <c r="AMP10" s="456"/>
      <c r="AMQ10" s="456"/>
      <c r="AMR10" s="456"/>
      <c r="AMS10" s="456"/>
      <c r="AMT10" s="456"/>
      <c r="AMU10" s="456"/>
      <c r="AMV10" s="456"/>
      <c r="AMW10" s="456"/>
      <c r="AMX10" s="456"/>
      <c r="AMY10" s="456"/>
      <c r="AMZ10" s="456"/>
      <c r="ANA10" s="456"/>
      <c r="ANB10" s="456"/>
      <c r="ANC10" s="456"/>
      <c r="AND10" s="456"/>
      <c r="ANE10" s="456"/>
      <c r="ANF10" s="456"/>
      <c r="ANG10" s="456"/>
      <c r="ANH10" s="456"/>
      <c r="ANI10" s="456"/>
      <c r="ANJ10" s="456"/>
      <c r="ANK10" s="456"/>
      <c r="ANL10" s="456"/>
      <c r="ANM10" s="456"/>
      <c r="ANN10" s="456"/>
      <c r="ANO10" s="456"/>
      <c r="ANP10" s="456"/>
      <c r="ANQ10" s="456"/>
      <c r="ANR10" s="456"/>
      <c r="ANS10" s="456"/>
      <c r="ANT10" s="456"/>
      <c r="ANU10" s="456"/>
      <c r="ANV10" s="456"/>
      <c r="ANW10" s="456"/>
      <c r="ANX10" s="456"/>
      <c r="ANY10" s="456"/>
      <c r="ANZ10" s="456"/>
      <c r="AOA10" s="456"/>
      <c r="AOB10" s="456"/>
      <c r="AOC10" s="456"/>
      <c r="AOD10" s="456"/>
      <c r="AOE10" s="456"/>
      <c r="AOF10" s="456"/>
      <c r="AOG10" s="456"/>
      <c r="AOH10" s="456"/>
      <c r="AOI10" s="456"/>
      <c r="AOJ10" s="456"/>
      <c r="AOK10" s="456"/>
      <c r="AOL10" s="456"/>
      <c r="AOM10" s="456"/>
      <c r="AON10" s="456"/>
      <c r="AOO10" s="456"/>
      <c r="AOP10" s="456"/>
      <c r="AOQ10" s="456"/>
      <c r="AOR10" s="456"/>
      <c r="AOS10" s="456"/>
      <c r="AOT10" s="456"/>
      <c r="AOU10" s="456"/>
      <c r="AOV10" s="456"/>
      <c r="AOW10" s="456"/>
      <c r="AOX10" s="456"/>
      <c r="AOY10" s="456"/>
      <c r="AOZ10" s="456"/>
      <c r="APA10" s="456"/>
      <c r="APB10" s="456"/>
      <c r="APC10" s="456"/>
      <c r="APD10" s="456"/>
      <c r="APE10" s="456"/>
      <c r="APF10" s="456"/>
      <c r="APG10" s="456"/>
      <c r="APH10" s="456"/>
      <c r="API10" s="456"/>
      <c r="APJ10" s="456"/>
      <c r="APK10" s="456"/>
      <c r="APL10" s="456"/>
      <c r="APM10" s="456"/>
      <c r="APN10" s="456"/>
      <c r="APO10" s="456"/>
      <c r="APP10" s="456"/>
      <c r="APQ10" s="456"/>
      <c r="APR10" s="456"/>
      <c r="APS10" s="456"/>
      <c r="APT10" s="456"/>
      <c r="APU10" s="456"/>
      <c r="APV10" s="456"/>
      <c r="APW10" s="456"/>
      <c r="APX10" s="456"/>
      <c r="APY10" s="456"/>
      <c r="APZ10" s="456"/>
      <c r="AQA10" s="456"/>
      <c r="AQB10" s="456"/>
      <c r="AQC10" s="456"/>
      <c r="AQD10" s="456"/>
      <c r="AQE10" s="456"/>
      <c r="AQF10" s="456"/>
      <c r="AQG10" s="456"/>
      <c r="AQH10" s="456"/>
      <c r="AQI10" s="456"/>
      <c r="AQJ10" s="456"/>
      <c r="AQK10" s="456"/>
      <c r="AQL10" s="456"/>
      <c r="AQM10" s="456"/>
      <c r="AQN10" s="456"/>
      <c r="AQO10" s="456"/>
      <c r="AQP10" s="456"/>
      <c r="AQQ10" s="456"/>
      <c r="AQR10" s="456"/>
      <c r="AQS10" s="456"/>
      <c r="AQT10" s="456"/>
      <c r="AQU10" s="456"/>
      <c r="AQV10" s="456"/>
      <c r="AQW10" s="456"/>
      <c r="AQX10" s="456"/>
      <c r="AQY10" s="456"/>
      <c r="AQZ10" s="456"/>
      <c r="ARA10" s="456"/>
      <c r="ARB10" s="456"/>
      <c r="ARC10" s="456"/>
      <c r="ARD10" s="456"/>
      <c r="ARE10" s="456"/>
      <c r="ARF10" s="456"/>
      <c r="ARG10" s="456"/>
      <c r="ARH10" s="456"/>
      <c r="ARI10" s="456"/>
      <c r="ARJ10" s="456"/>
      <c r="ARK10" s="456"/>
      <c r="ARL10" s="456"/>
      <c r="ARM10" s="456"/>
      <c r="ARN10" s="456"/>
      <c r="ARO10" s="456"/>
      <c r="ARP10" s="456"/>
      <c r="ARQ10" s="456"/>
      <c r="ARR10" s="456"/>
      <c r="ARS10" s="456"/>
      <c r="ART10" s="456"/>
      <c r="ARU10" s="456"/>
      <c r="ARV10" s="456"/>
      <c r="ARW10" s="456"/>
      <c r="ARX10" s="456"/>
      <c r="ARY10" s="456"/>
      <c r="ARZ10" s="456"/>
      <c r="ASA10" s="456"/>
      <c r="ASB10" s="456"/>
      <c r="ASC10" s="456"/>
      <c r="ASD10" s="456"/>
      <c r="ASE10" s="456"/>
      <c r="ASF10" s="456"/>
      <c r="ASG10" s="456"/>
      <c r="ASH10" s="456"/>
      <c r="ASI10" s="456"/>
      <c r="ASJ10" s="456"/>
      <c r="ASK10" s="456"/>
      <c r="ASL10" s="456"/>
      <c r="ASM10" s="456"/>
      <c r="ASN10" s="456"/>
      <c r="ASO10" s="456"/>
      <c r="ASP10" s="456"/>
      <c r="ASQ10" s="456"/>
      <c r="ASR10" s="456"/>
      <c r="ASS10" s="456"/>
      <c r="AST10" s="456"/>
      <c r="ASU10" s="456"/>
      <c r="ASV10" s="456"/>
      <c r="ASW10" s="456"/>
      <c r="ASX10" s="456"/>
      <c r="ASY10" s="456"/>
      <c r="ASZ10" s="456"/>
      <c r="ATA10" s="456"/>
      <c r="ATB10" s="456"/>
      <c r="ATC10" s="456"/>
      <c r="ATD10" s="456"/>
      <c r="ATE10" s="456"/>
      <c r="ATF10" s="456"/>
      <c r="ATG10" s="456"/>
      <c r="ATH10" s="456"/>
      <c r="ATI10" s="456"/>
      <c r="ATJ10" s="456"/>
      <c r="ATK10" s="456"/>
      <c r="ATL10" s="456"/>
      <c r="ATM10" s="456"/>
      <c r="ATN10" s="456"/>
      <c r="ATO10" s="456"/>
      <c r="ATP10" s="456"/>
      <c r="ATQ10" s="456"/>
      <c r="ATR10" s="456"/>
      <c r="ATS10" s="456"/>
      <c r="ATT10" s="456"/>
      <c r="ATU10" s="456"/>
      <c r="ATV10" s="456"/>
      <c r="ATW10" s="456"/>
      <c r="ATX10" s="456"/>
      <c r="ATY10" s="456"/>
      <c r="ATZ10" s="456"/>
      <c r="AUA10" s="456"/>
      <c r="AUB10" s="456"/>
      <c r="AUC10" s="456"/>
      <c r="AUD10" s="456"/>
      <c r="AUE10" s="456"/>
      <c r="AUF10" s="456"/>
      <c r="AUG10" s="456"/>
      <c r="AUH10" s="456"/>
      <c r="AUI10" s="456"/>
      <c r="AUJ10" s="456"/>
      <c r="AUK10" s="456"/>
      <c r="AUL10" s="456"/>
      <c r="AUM10" s="456"/>
      <c r="AUN10" s="456"/>
      <c r="AUO10" s="456"/>
      <c r="AUP10" s="456"/>
      <c r="AUQ10" s="456"/>
      <c r="AUR10" s="456"/>
      <c r="AUS10" s="456"/>
      <c r="AUT10" s="456"/>
      <c r="AUU10" s="456"/>
      <c r="AUV10" s="456"/>
      <c r="AUW10" s="456"/>
      <c r="AUX10" s="456"/>
      <c r="AUY10" s="456"/>
      <c r="AUZ10" s="456"/>
      <c r="AVA10" s="456"/>
      <c r="AVB10" s="456"/>
      <c r="AVC10" s="456"/>
      <c r="AVD10" s="456"/>
      <c r="AVE10" s="456"/>
      <c r="AVF10" s="456"/>
      <c r="AVG10" s="456"/>
      <c r="AVH10" s="456"/>
      <c r="AVI10" s="456"/>
      <c r="AVJ10" s="456"/>
      <c r="AVK10" s="456"/>
      <c r="AVL10" s="456"/>
      <c r="AVM10" s="456"/>
      <c r="AVN10" s="456"/>
      <c r="AVO10" s="456"/>
      <c r="AVP10" s="456"/>
      <c r="AVQ10" s="456"/>
      <c r="AVR10" s="456"/>
      <c r="AVS10" s="456"/>
      <c r="AVT10" s="456"/>
      <c r="AVU10" s="456"/>
      <c r="AVV10" s="456"/>
      <c r="AVW10" s="456"/>
      <c r="AVX10" s="456"/>
      <c r="AVY10" s="456"/>
      <c r="AVZ10" s="456"/>
      <c r="AWA10" s="456"/>
      <c r="AWB10" s="456"/>
      <c r="AWC10" s="456"/>
      <c r="AWD10" s="456"/>
      <c r="AWE10" s="456"/>
      <c r="AWF10" s="456"/>
      <c r="AWG10" s="456"/>
      <c r="AWH10" s="456"/>
      <c r="AWI10" s="456"/>
      <c r="AWJ10" s="456"/>
      <c r="AWK10" s="456"/>
      <c r="AWL10" s="456"/>
      <c r="AWM10" s="456"/>
      <c r="AWN10" s="456"/>
      <c r="AWO10" s="456"/>
      <c r="AWP10" s="456"/>
      <c r="AWQ10" s="456"/>
      <c r="AWR10" s="456"/>
      <c r="AWS10" s="456"/>
      <c r="AWT10" s="456"/>
      <c r="AWU10" s="456"/>
      <c r="AWV10" s="456"/>
      <c r="AWW10" s="456"/>
      <c r="AWX10" s="456"/>
      <c r="AWY10" s="456"/>
      <c r="AWZ10" s="456"/>
      <c r="AXA10" s="456"/>
      <c r="AXB10" s="456"/>
      <c r="AXC10" s="456"/>
      <c r="AXD10" s="456"/>
      <c r="AXE10" s="456"/>
      <c r="AXF10" s="456"/>
      <c r="AXG10" s="456"/>
      <c r="AXH10" s="456"/>
      <c r="AXI10" s="456"/>
      <c r="AXJ10" s="456"/>
      <c r="AXK10" s="456"/>
      <c r="AXL10" s="456"/>
      <c r="AXM10" s="456"/>
      <c r="AXN10" s="456"/>
      <c r="AXO10" s="456"/>
      <c r="AXP10" s="456"/>
      <c r="AXQ10" s="456"/>
      <c r="AXR10" s="456"/>
      <c r="AXS10" s="456"/>
      <c r="AXT10" s="456"/>
      <c r="AXU10" s="456"/>
      <c r="AXV10" s="456"/>
      <c r="AXW10" s="456"/>
      <c r="AXX10" s="456"/>
      <c r="AXY10" s="456"/>
      <c r="AXZ10" s="456"/>
      <c r="AYA10" s="456"/>
      <c r="AYB10" s="456"/>
      <c r="AYC10" s="456"/>
      <c r="AYD10" s="456"/>
      <c r="AYE10" s="456"/>
      <c r="AYF10" s="456"/>
      <c r="AYG10" s="456"/>
      <c r="AYH10" s="456"/>
      <c r="AYI10" s="456"/>
      <c r="AYJ10" s="456"/>
      <c r="AYK10" s="456"/>
      <c r="AYL10" s="456"/>
      <c r="AYM10" s="456"/>
      <c r="AYN10" s="456"/>
      <c r="AYO10" s="456"/>
      <c r="AYP10" s="456"/>
      <c r="AYQ10" s="456"/>
      <c r="AYR10" s="456"/>
      <c r="AYS10" s="456"/>
      <c r="AYT10" s="456"/>
      <c r="AYU10" s="456"/>
      <c r="AYV10" s="456"/>
      <c r="AYW10" s="456"/>
      <c r="AYX10" s="456"/>
      <c r="AYY10" s="456"/>
      <c r="AYZ10" s="456"/>
      <c r="AZA10" s="456"/>
      <c r="AZB10" s="456"/>
      <c r="AZC10" s="456"/>
      <c r="AZD10" s="456"/>
      <c r="AZE10" s="456"/>
      <c r="AZF10" s="456"/>
      <c r="AZG10" s="456"/>
      <c r="AZH10" s="456"/>
      <c r="AZI10" s="456"/>
      <c r="AZJ10" s="456"/>
      <c r="AZK10" s="456"/>
      <c r="AZL10" s="456"/>
      <c r="AZM10" s="456"/>
      <c r="AZN10" s="456"/>
      <c r="AZO10" s="456"/>
      <c r="AZP10" s="456"/>
      <c r="AZQ10" s="456"/>
      <c r="AZR10" s="456"/>
      <c r="AZS10" s="456"/>
      <c r="AZT10" s="456"/>
      <c r="AZU10" s="456"/>
      <c r="AZV10" s="456"/>
      <c r="AZW10" s="456"/>
      <c r="AZX10" s="456"/>
      <c r="AZY10" s="456"/>
      <c r="AZZ10" s="456"/>
      <c r="BAA10" s="456"/>
      <c r="BAB10" s="456"/>
      <c r="BAC10" s="456"/>
      <c r="BAD10" s="456"/>
      <c r="BAE10" s="456"/>
      <c r="BAF10" s="456"/>
      <c r="BAG10" s="456"/>
      <c r="BAH10" s="456"/>
      <c r="BAI10" s="456"/>
      <c r="BAJ10" s="456"/>
      <c r="BAK10" s="456"/>
      <c r="BAL10" s="456"/>
      <c r="BAM10" s="456"/>
      <c r="BAN10" s="456"/>
      <c r="BAO10" s="456"/>
      <c r="BAP10" s="456"/>
      <c r="BAQ10" s="456"/>
      <c r="BAR10" s="456"/>
      <c r="BAS10" s="456"/>
      <c r="BAT10" s="456"/>
      <c r="BAU10" s="456"/>
      <c r="BAV10" s="456"/>
      <c r="BAW10" s="456"/>
      <c r="BAX10" s="456"/>
      <c r="BAY10" s="456"/>
      <c r="BAZ10" s="456"/>
      <c r="BBA10" s="456"/>
      <c r="BBB10" s="456"/>
      <c r="BBC10" s="456"/>
      <c r="BBD10" s="456"/>
      <c r="BBE10" s="456"/>
      <c r="BBF10" s="456"/>
      <c r="BBG10" s="456"/>
      <c r="BBH10" s="456"/>
      <c r="BBI10" s="456"/>
      <c r="BBJ10" s="456"/>
      <c r="BBK10" s="456"/>
      <c r="BBL10" s="456"/>
      <c r="BBM10" s="456"/>
      <c r="BBN10" s="456"/>
      <c r="BBO10" s="456"/>
      <c r="BBP10" s="456"/>
      <c r="BBQ10" s="456"/>
      <c r="BBR10" s="456"/>
      <c r="BBS10" s="456"/>
      <c r="BBT10" s="456"/>
      <c r="BBU10" s="456"/>
      <c r="BBV10" s="456"/>
      <c r="BBW10" s="456"/>
      <c r="BBX10" s="456"/>
      <c r="BBY10" s="456"/>
      <c r="BBZ10" s="456"/>
      <c r="BCA10" s="456"/>
      <c r="BCB10" s="456"/>
      <c r="BCC10" s="456"/>
      <c r="BCD10" s="456"/>
      <c r="BCE10" s="456"/>
      <c r="BCF10" s="456"/>
      <c r="BCG10" s="456"/>
      <c r="BCH10" s="456"/>
      <c r="BCI10" s="456"/>
      <c r="BCJ10" s="456"/>
      <c r="BCK10" s="456"/>
      <c r="BCL10" s="456"/>
      <c r="BCM10" s="456"/>
      <c r="BCN10" s="456"/>
      <c r="BCO10" s="456"/>
      <c r="BCP10" s="456"/>
      <c r="BCQ10" s="456"/>
      <c r="BCR10" s="456"/>
      <c r="BCS10" s="456"/>
      <c r="BCT10" s="456"/>
      <c r="BCU10" s="456"/>
      <c r="BCV10" s="456"/>
      <c r="BCW10" s="456"/>
      <c r="BCX10" s="456"/>
      <c r="BCY10" s="456"/>
      <c r="BCZ10" s="456"/>
      <c r="BDA10" s="456"/>
      <c r="BDB10" s="456"/>
      <c r="BDC10" s="456"/>
      <c r="BDD10" s="456"/>
      <c r="BDE10" s="456"/>
      <c r="BDF10" s="456"/>
      <c r="BDG10" s="456"/>
      <c r="BDH10" s="456"/>
      <c r="BDI10" s="456"/>
      <c r="BDJ10" s="456"/>
      <c r="BDK10" s="456"/>
      <c r="BDL10" s="456"/>
      <c r="BDM10" s="456"/>
      <c r="BDN10" s="456"/>
      <c r="BDO10" s="456"/>
      <c r="BDP10" s="456"/>
      <c r="BDQ10" s="456"/>
      <c r="BDR10" s="456"/>
      <c r="BDS10" s="456"/>
      <c r="BDT10" s="456"/>
      <c r="BDU10" s="456"/>
      <c r="BDV10" s="456"/>
      <c r="BDW10" s="456"/>
      <c r="BDX10" s="456"/>
      <c r="BDY10" s="456"/>
      <c r="BDZ10" s="456"/>
      <c r="BEA10" s="456"/>
      <c r="BEB10" s="456"/>
      <c r="BEC10" s="456"/>
      <c r="BED10" s="456"/>
      <c r="BEE10" s="456"/>
      <c r="BEF10" s="456"/>
      <c r="BEG10" s="456"/>
      <c r="BEH10" s="456"/>
      <c r="BEI10" s="456"/>
      <c r="BEJ10" s="456"/>
      <c r="BEK10" s="456"/>
      <c r="BEL10" s="456"/>
      <c r="BEM10" s="456"/>
      <c r="BEN10" s="456"/>
      <c r="BEO10" s="456"/>
      <c r="BEP10" s="456"/>
      <c r="BEQ10" s="456"/>
      <c r="BER10" s="456"/>
      <c r="BES10" s="456"/>
      <c r="BET10" s="456"/>
      <c r="BEU10" s="456"/>
      <c r="BEV10" s="456"/>
      <c r="BEW10" s="456"/>
      <c r="BEX10" s="456"/>
      <c r="BEY10" s="456"/>
      <c r="BEZ10" s="456"/>
      <c r="BFA10" s="456"/>
      <c r="BFB10" s="456"/>
      <c r="BFC10" s="456"/>
      <c r="BFD10" s="456"/>
      <c r="BFE10" s="456"/>
      <c r="BFF10" s="456"/>
      <c r="BFG10" s="456"/>
      <c r="BFH10" s="456"/>
      <c r="BFI10" s="456"/>
      <c r="BFJ10" s="456"/>
      <c r="BFK10" s="456"/>
      <c r="BFL10" s="456"/>
      <c r="BFM10" s="456"/>
      <c r="BFN10" s="456"/>
      <c r="BFO10" s="456"/>
      <c r="BFP10" s="456"/>
      <c r="BFQ10" s="456"/>
      <c r="BFR10" s="456"/>
      <c r="BFS10" s="456"/>
      <c r="BFT10" s="456"/>
      <c r="BFU10" s="456"/>
      <c r="BFV10" s="456"/>
      <c r="BFW10" s="456"/>
      <c r="BFX10" s="456"/>
      <c r="BFY10" s="456"/>
      <c r="BFZ10" s="456"/>
      <c r="BGA10" s="456"/>
      <c r="BGB10" s="456"/>
      <c r="BGC10" s="456"/>
      <c r="BGD10" s="456"/>
      <c r="BGE10" s="456"/>
      <c r="BGF10" s="456"/>
      <c r="BGG10" s="456"/>
      <c r="BGH10" s="456"/>
      <c r="BGI10" s="456"/>
      <c r="BGJ10" s="456"/>
      <c r="BGK10" s="456"/>
      <c r="BGL10" s="456"/>
      <c r="BGM10" s="456"/>
      <c r="BGN10" s="456"/>
      <c r="BGO10" s="456"/>
      <c r="BGP10" s="456"/>
      <c r="BGQ10" s="456"/>
      <c r="BGR10" s="456"/>
      <c r="BGS10" s="456"/>
      <c r="BGT10" s="456"/>
      <c r="BGU10" s="456"/>
      <c r="BGV10" s="456"/>
      <c r="BGW10" s="456"/>
      <c r="BGX10" s="456"/>
      <c r="BGY10" s="456"/>
      <c r="BGZ10" s="456"/>
      <c r="BHA10" s="456"/>
      <c r="BHB10" s="456"/>
      <c r="BHC10" s="456"/>
      <c r="BHD10" s="456"/>
      <c r="BHE10" s="456"/>
      <c r="BHF10" s="456"/>
      <c r="BHG10" s="456"/>
      <c r="BHH10" s="456"/>
      <c r="BHI10" s="456"/>
      <c r="BHJ10" s="456"/>
      <c r="BHK10" s="456"/>
      <c r="BHL10" s="456"/>
      <c r="BHM10" s="456"/>
      <c r="BHN10" s="456"/>
      <c r="BHO10" s="456"/>
      <c r="BHP10" s="456"/>
      <c r="BHQ10" s="456"/>
      <c r="BHR10" s="456"/>
      <c r="BHS10" s="456"/>
      <c r="BHT10" s="456"/>
      <c r="BHU10" s="456"/>
      <c r="BHV10" s="456"/>
      <c r="BHW10" s="456"/>
      <c r="BHX10" s="456"/>
      <c r="BHY10" s="456"/>
      <c r="BHZ10" s="456"/>
      <c r="BIA10" s="456"/>
      <c r="BIB10" s="456"/>
      <c r="BIC10" s="456"/>
      <c r="BID10" s="456"/>
      <c r="BIE10" s="456"/>
      <c r="BIF10" s="456"/>
      <c r="BIG10" s="456"/>
      <c r="BIH10" s="456"/>
      <c r="BII10" s="456"/>
      <c r="BIJ10" s="456"/>
      <c r="BIK10" s="456"/>
      <c r="BIL10" s="456"/>
      <c r="BIM10" s="456"/>
      <c r="BIN10" s="456"/>
      <c r="BIO10" s="456"/>
      <c r="BIP10" s="456"/>
      <c r="BIQ10" s="456"/>
      <c r="BIR10" s="456"/>
      <c r="BIS10" s="456"/>
      <c r="BIT10" s="456"/>
      <c r="BIU10" s="456"/>
      <c r="BIV10" s="456"/>
      <c r="BIW10" s="456"/>
      <c r="BIX10" s="456"/>
      <c r="BIY10" s="456"/>
      <c r="BIZ10" s="456"/>
      <c r="BJA10" s="456"/>
      <c r="BJB10" s="456"/>
      <c r="BJC10" s="456"/>
      <c r="BJD10" s="456"/>
      <c r="BJE10" s="456"/>
      <c r="BJF10" s="456"/>
      <c r="BJG10" s="456"/>
      <c r="BJH10" s="456"/>
      <c r="BJI10" s="456"/>
      <c r="BJJ10" s="456"/>
      <c r="BJK10" s="456"/>
      <c r="BJL10" s="456"/>
      <c r="BJM10" s="456"/>
      <c r="BJN10" s="456"/>
      <c r="BJO10" s="456"/>
      <c r="BJP10" s="456"/>
      <c r="BJQ10" s="456"/>
      <c r="BJR10" s="456"/>
      <c r="BJS10" s="456"/>
      <c r="BJT10" s="456"/>
      <c r="BJU10" s="456"/>
      <c r="BJV10" s="456"/>
      <c r="BJW10" s="456"/>
      <c r="BJX10" s="456"/>
      <c r="BJY10" s="456"/>
      <c r="BJZ10" s="456"/>
      <c r="BKA10" s="456"/>
      <c r="BKB10" s="456"/>
      <c r="BKC10" s="456"/>
      <c r="BKD10" s="456"/>
      <c r="BKE10" s="456"/>
      <c r="BKF10" s="456"/>
      <c r="BKG10" s="456"/>
      <c r="BKH10" s="456"/>
      <c r="BKI10" s="456"/>
      <c r="BKJ10" s="456"/>
      <c r="BKK10" s="456"/>
      <c r="BKL10" s="456"/>
      <c r="BKM10" s="456"/>
      <c r="BKN10" s="456"/>
      <c r="BKO10" s="456"/>
      <c r="BKP10" s="456"/>
      <c r="BKQ10" s="456"/>
      <c r="BKR10" s="456"/>
      <c r="BKS10" s="456"/>
      <c r="BKT10" s="456"/>
      <c r="BKU10" s="456"/>
      <c r="BKV10" s="456"/>
      <c r="BKW10" s="456"/>
      <c r="BKX10" s="456"/>
      <c r="BKY10" s="456"/>
      <c r="BKZ10" s="456"/>
      <c r="BLA10" s="456"/>
      <c r="BLB10" s="456"/>
      <c r="BLC10" s="456"/>
      <c r="BLD10" s="456"/>
      <c r="BLE10" s="456"/>
      <c r="BLF10" s="456"/>
      <c r="BLG10" s="456"/>
      <c r="BLH10" s="456"/>
      <c r="BLI10" s="456"/>
      <c r="BLJ10" s="456"/>
      <c r="BLK10" s="456"/>
      <c r="BLL10" s="456"/>
      <c r="BLM10" s="456"/>
      <c r="BLN10" s="456"/>
      <c r="BLO10" s="456"/>
      <c r="BLP10" s="456"/>
      <c r="BLQ10" s="456"/>
      <c r="BLR10" s="456"/>
      <c r="BLS10" s="456"/>
      <c r="BLT10" s="456"/>
      <c r="BLU10" s="456"/>
      <c r="BLV10" s="456"/>
      <c r="BLW10" s="456"/>
      <c r="BLX10" s="456"/>
      <c r="BLY10" s="456"/>
      <c r="BLZ10" s="456"/>
      <c r="BMA10" s="456"/>
      <c r="BMB10" s="456"/>
      <c r="BMC10" s="456"/>
      <c r="BMD10" s="456"/>
      <c r="BME10" s="456"/>
      <c r="BMF10" s="456"/>
      <c r="BMG10" s="456"/>
      <c r="BMH10" s="456"/>
      <c r="BMI10" s="456"/>
      <c r="BMJ10" s="456"/>
      <c r="BMK10" s="456"/>
      <c r="BML10" s="456"/>
      <c r="BMM10" s="456"/>
      <c r="BMN10" s="456"/>
      <c r="BMO10" s="456"/>
      <c r="BMP10" s="456"/>
      <c r="BMQ10" s="456"/>
      <c r="BMR10" s="456"/>
      <c r="BMS10" s="456"/>
      <c r="BMT10" s="456"/>
      <c r="BMU10" s="456"/>
      <c r="BMV10" s="456"/>
      <c r="BMW10" s="456"/>
      <c r="BMX10" s="456"/>
      <c r="BMY10" s="456"/>
      <c r="BMZ10" s="456"/>
      <c r="BNA10" s="456"/>
      <c r="BNB10" s="456"/>
      <c r="BNC10" s="456"/>
      <c r="BND10" s="456"/>
      <c r="BNE10" s="456"/>
      <c r="BNF10" s="456"/>
      <c r="BNG10" s="456"/>
      <c r="BNH10" s="456"/>
      <c r="BNI10" s="456"/>
      <c r="BNJ10" s="456"/>
      <c r="BNK10" s="456"/>
      <c r="BNL10" s="456"/>
      <c r="BNM10" s="456"/>
      <c r="BNN10" s="456"/>
      <c r="BNO10" s="456"/>
      <c r="BNP10" s="456"/>
      <c r="BNQ10" s="456"/>
      <c r="BNR10" s="456"/>
      <c r="BNS10" s="456"/>
      <c r="BNT10" s="456"/>
      <c r="BNU10" s="456"/>
      <c r="BNV10" s="456"/>
      <c r="BNW10" s="456"/>
      <c r="BNX10" s="456"/>
      <c r="BNY10" s="456"/>
      <c r="BNZ10" s="456"/>
      <c r="BOA10" s="456"/>
      <c r="BOB10" s="456"/>
      <c r="BOC10" s="456"/>
      <c r="BOD10" s="456"/>
      <c r="BOE10" s="456"/>
      <c r="BOF10" s="456"/>
      <c r="BOG10" s="456"/>
      <c r="BOH10" s="456"/>
      <c r="BOI10" s="456"/>
      <c r="BOJ10" s="456"/>
      <c r="BOK10" s="456"/>
      <c r="BOL10" s="456"/>
      <c r="BOM10" s="456"/>
      <c r="BON10" s="456"/>
      <c r="BOO10" s="456"/>
      <c r="BOP10" s="456"/>
      <c r="BOQ10" s="456"/>
      <c r="BOR10" s="456"/>
      <c r="BOS10" s="456"/>
      <c r="BOT10" s="456"/>
      <c r="BOU10" s="456"/>
      <c r="BOV10" s="456"/>
      <c r="BOW10" s="456"/>
      <c r="BOX10" s="456"/>
      <c r="BOY10" s="456"/>
      <c r="BOZ10" s="456"/>
      <c r="BPA10" s="456"/>
      <c r="BPB10" s="456"/>
      <c r="BPC10" s="456"/>
      <c r="BPD10" s="456"/>
      <c r="BPE10" s="456"/>
      <c r="BPF10" s="456"/>
      <c r="BPG10" s="456"/>
      <c r="BPH10" s="456"/>
      <c r="BPI10" s="456"/>
      <c r="BPJ10" s="456"/>
      <c r="BPK10" s="456"/>
      <c r="BPL10" s="456"/>
      <c r="BPM10" s="456"/>
      <c r="BPN10" s="456"/>
      <c r="BPO10" s="456"/>
      <c r="BPP10" s="456"/>
      <c r="BPQ10" s="456"/>
      <c r="BPR10" s="456"/>
      <c r="BPS10" s="456"/>
      <c r="BPT10" s="456"/>
      <c r="BPU10" s="456"/>
      <c r="BPV10" s="456"/>
      <c r="BPW10" s="456"/>
      <c r="BPX10" s="456"/>
      <c r="BPY10" s="456"/>
      <c r="BPZ10" s="456"/>
      <c r="BQA10" s="456"/>
      <c r="BQB10" s="456"/>
      <c r="BQC10" s="456"/>
      <c r="BQD10" s="456"/>
      <c r="BQE10" s="456"/>
      <c r="BQF10" s="456"/>
      <c r="BQG10" s="456"/>
      <c r="BQH10" s="456"/>
      <c r="BQI10" s="456"/>
      <c r="BQJ10" s="456"/>
      <c r="BQK10" s="456"/>
      <c r="BQL10" s="456"/>
      <c r="BQM10" s="456"/>
      <c r="BQN10" s="456"/>
      <c r="BQO10" s="456"/>
      <c r="BQP10" s="456"/>
      <c r="BQQ10" s="456"/>
      <c r="BQR10" s="456"/>
      <c r="BQS10" s="456"/>
      <c r="BQT10" s="456"/>
      <c r="BQU10" s="456"/>
      <c r="BQV10" s="456"/>
      <c r="BQW10" s="456"/>
      <c r="BQX10" s="456"/>
      <c r="BQY10" s="456"/>
      <c r="BQZ10" s="456"/>
      <c r="BRA10" s="456"/>
      <c r="BRB10" s="456"/>
      <c r="BRC10" s="456"/>
      <c r="BRD10" s="456"/>
      <c r="BRE10" s="456"/>
      <c r="BRF10" s="456"/>
      <c r="BRG10" s="456"/>
      <c r="BRH10" s="456"/>
      <c r="BRI10" s="456"/>
      <c r="BRJ10" s="456"/>
      <c r="BRK10" s="456"/>
      <c r="BRL10" s="456"/>
      <c r="BRM10" s="456"/>
      <c r="BRN10" s="456"/>
      <c r="BRO10" s="456"/>
      <c r="BRP10" s="456"/>
      <c r="BRQ10" s="456"/>
      <c r="BRR10" s="456"/>
      <c r="BRS10" s="456"/>
      <c r="BRT10" s="456"/>
      <c r="BRU10" s="456"/>
      <c r="BRV10" s="456"/>
      <c r="BRW10" s="456"/>
      <c r="BRX10" s="456"/>
      <c r="BRY10" s="456"/>
      <c r="BRZ10" s="456"/>
      <c r="BSA10" s="456"/>
      <c r="BSB10" s="456"/>
      <c r="BSC10" s="456"/>
      <c r="BSD10" s="456"/>
      <c r="BSE10" s="456"/>
      <c r="BSF10" s="456"/>
      <c r="BSG10" s="456"/>
      <c r="BSH10" s="456"/>
      <c r="BSI10" s="456"/>
      <c r="BSJ10" s="456"/>
      <c r="BSK10" s="456"/>
      <c r="BSL10" s="456"/>
      <c r="BSM10" s="456"/>
      <c r="BSN10" s="456"/>
      <c r="BSO10" s="456"/>
      <c r="BSP10" s="456"/>
      <c r="BSQ10" s="456"/>
      <c r="BSR10" s="456"/>
      <c r="BSS10" s="456"/>
      <c r="BST10" s="456"/>
      <c r="BSU10" s="456"/>
      <c r="BSV10" s="456"/>
      <c r="BSW10" s="456"/>
      <c r="BSX10" s="456"/>
      <c r="BSY10" s="456"/>
      <c r="BSZ10" s="456"/>
      <c r="BTA10" s="456"/>
      <c r="BTB10" s="456"/>
      <c r="BTC10" s="456"/>
      <c r="BTD10" s="456"/>
      <c r="BTE10" s="456"/>
      <c r="BTF10" s="456"/>
      <c r="BTG10" s="456"/>
      <c r="BTH10" s="456"/>
      <c r="BTI10" s="456"/>
      <c r="BTJ10" s="456"/>
      <c r="BTK10" s="456"/>
      <c r="BTL10" s="456"/>
      <c r="BTM10" s="456"/>
      <c r="BTN10" s="456"/>
      <c r="BTO10" s="456"/>
      <c r="BTP10" s="456"/>
      <c r="BTQ10" s="456"/>
      <c r="BTR10" s="456"/>
      <c r="BTS10" s="456"/>
      <c r="BTT10" s="456"/>
      <c r="BTU10" s="456"/>
      <c r="BTV10" s="456"/>
      <c r="BTW10" s="456"/>
      <c r="BTX10" s="456"/>
      <c r="BTY10" s="456"/>
      <c r="BTZ10" s="456"/>
      <c r="BUA10" s="456"/>
      <c r="BUB10" s="456"/>
      <c r="BUC10" s="456"/>
      <c r="BUD10" s="456"/>
      <c r="BUE10" s="456"/>
      <c r="BUF10" s="456"/>
      <c r="BUG10" s="456"/>
      <c r="BUH10" s="456"/>
      <c r="BUI10" s="456"/>
      <c r="BUJ10" s="456"/>
      <c r="BUK10" s="456"/>
      <c r="BUL10" s="456"/>
      <c r="BUM10" s="456"/>
      <c r="BUN10" s="456"/>
      <c r="BUO10" s="456"/>
      <c r="BUP10" s="456"/>
      <c r="BUQ10" s="456"/>
      <c r="BUR10" s="456"/>
      <c r="BUS10" s="456"/>
      <c r="BUT10" s="456"/>
      <c r="BUU10" s="456"/>
      <c r="BUV10" s="456"/>
      <c r="BUW10" s="456"/>
      <c r="BUX10" s="456"/>
      <c r="BUY10" s="456"/>
      <c r="BUZ10" s="456"/>
      <c r="BVA10" s="456"/>
      <c r="BVB10" s="456"/>
      <c r="BVC10" s="456"/>
      <c r="BVD10" s="456"/>
      <c r="BVE10" s="456"/>
      <c r="BVF10" s="456"/>
      <c r="BVG10" s="456"/>
      <c r="BVH10" s="456"/>
      <c r="BVI10" s="456"/>
      <c r="BVJ10" s="456"/>
      <c r="BVK10" s="456"/>
      <c r="BVL10" s="456"/>
      <c r="BVM10" s="456"/>
      <c r="BVN10" s="456"/>
      <c r="BVO10" s="456"/>
      <c r="BVP10" s="456"/>
      <c r="BVQ10" s="456"/>
      <c r="BVR10" s="456"/>
      <c r="BVS10" s="456"/>
      <c r="BVT10" s="456"/>
      <c r="BVU10" s="456"/>
      <c r="BVV10" s="456"/>
      <c r="BVW10" s="456"/>
      <c r="BVX10" s="456"/>
      <c r="BVY10" s="456"/>
      <c r="BVZ10" s="456"/>
      <c r="BWA10" s="456"/>
      <c r="BWB10" s="456"/>
      <c r="BWC10" s="456"/>
      <c r="BWD10" s="456"/>
      <c r="BWE10" s="456"/>
      <c r="BWF10" s="456"/>
      <c r="BWG10" s="456"/>
      <c r="BWH10" s="456"/>
      <c r="BWI10" s="456"/>
      <c r="BWJ10" s="456"/>
      <c r="BWK10" s="456"/>
      <c r="BWL10" s="456"/>
      <c r="BWM10" s="456"/>
      <c r="BWN10" s="456"/>
      <c r="BWO10" s="456"/>
      <c r="BWP10" s="456"/>
      <c r="BWQ10" s="456"/>
      <c r="BWR10" s="456"/>
      <c r="BWS10" s="456"/>
      <c r="BWT10" s="456"/>
      <c r="BWU10" s="456"/>
      <c r="BWV10" s="456"/>
      <c r="BWW10" s="456"/>
      <c r="BWX10" s="456"/>
      <c r="BWY10" s="456"/>
      <c r="BWZ10" s="456"/>
      <c r="BXA10" s="456"/>
      <c r="BXB10" s="456"/>
      <c r="BXC10" s="456"/>
      <c r="BXD10" s="456"/>
      <c r="BXE10" s="456"/>
      <c r="BXF10" s="456"/>
      <c r="BXG10" s="456"/>
      <c r="BXH10" s="456"/>
      <c r="BXI10" s="456"/>
      <c r="BXJ10" s="456"/>
      <c r="BXK10" s="456"/>
      <c r="BXL10" s="456"/>
      <c r="BXM10" s="456"/>
      <c r="BXN10" s="456"/>
      <c r="BXO10" s="456"/>
      <c r="BXP10" s="456"/>
      <c r="BXQ10" s="456"/>
      <c r="BXR10" s="456"/>
      <c r="BXS10" s="456"/>
      <c r="BXT10" s="456"/>
      <c r="BXU10" s="456"/>
      <c r="BXV10" s="456"/>
      <c r="BXW10" s="456"/>
      <c r="BXX10" s="456"/>
      <c r="BXY10" s="456"/>
      <c r="BXZ10" s="456"/>
    </row>
    <row r="11" s="25" customFormat="1" ht="15.6" spans="1:1024 1025:2002">
      <c r="A11" s="473" t="s">
        <v>34</v>
      </c>
      <c r="B11" s="19">
        <v>1112</v>
      </c>
      <c r="C11" s="183">
        <v>46134</v>
      </c>
      <c r="D11" s="17" t="s">
        <v>52</v>
      </c>
      <c r="E11" s="17" t="s">
        <v>53</v>
      </c>
      <c r="F11" s="17" t="s">
        <v>54</v>
      </c>
      <c r="G11" s="17"/>
      <c r="H11" s="19" t="s">
        <v>55</v>
      </c>
      <c r="I11" s="102" t="s">
        <v>56</v>
      </c>
      <c r="J11" s="17" t="s">
        <v>49</v>
      </c>
      <c r="K11" s="19">
        <v>710</v>
      </c>
      <c r="L11" s="19">
        <v>130</v>
      </c>
      <c r="M11" s="19">
        <v>5800</v>
      </c>
      <c r="N11" s="19" t="s">
        <v>40</v>
      </c>
      <c r="O11" s="19" t="s">
        <v>50</v>
      </c>
      <c r="P11" s="19">
        <v>2800</v>
      </c>
      <c r="Q11" s="19">
        <v>2908</v>
      </c>
      <c r="R11" s="19">
        <f t="shared" si="0"/>
        <v>-108</v>
      </c>
      <c r="S11" s="311">
        <v>2040</v>
      </c>
      <c r="T11" s="19" t="s">
        <v>42</v>
      </c>
      <c r="U11" s="102" t="s">
        <v>57</v>
      </c>
      <c r="V11" s="186">
        <v>46139</v>
      </c>
      <c r="W11" s="17" t="s">
        <v>58</v>
      </c>
      <c r="X11" s="17"/>
      <c r="Y11" s="68">
        <v>46174</v>
      </c>
      <c r="Z11" s="17" t="s">
        <v>45</v>
      </c>
      <c r="AA11" s="17" t="s">
        <v>46</v>
      </c>
      <c r="AB11" s="17" t="s">
        <v>62</v>
      </c>
      <c r="AC11" s="217">
        <v>46202</v>
      </c>
      <c r="AD11" s="65">
        <v>1832</v>
      </c>
      <c r="AE11" s="17" t="s">
        <v>48</v>
      </c>
      <c r="AF11" s="17" t="s">
        <v>61</v>
      </c>
      <c r="AG11" s="17"/>
      <c r="AH11" s="456"/>
      <c r="AI11" s="456"/>
      <c r="AJ11" s="456"/>
      <c r="AK11" s="456"/>
      <c r="AL11" s="456"/>
      <c r="AM11" s="456"/>
      <c r="AN11" s="456"/>
      <c r="AO11" s="456"/>
      <c r="AP11" s="456"/>
      <c r="AQ11" s="456"/>
      <c r="AR11" s="456"/>
      <c r="AS11" s="456"/>
      <c r="AT11" s="456"/>
      <c r="AU11" s="456"/>
      <c r="AV11" s="456"/>
      <c r="AW11" s="456"/>
      <c r="AX11" s="456"/>
      <c r="AY11" s="456"/>
      <c r="AZ11" s="456"/>
      <c r="BA11" s="456"/>
      <c r="BB11" s="456"/>
      <c r="BC11" s="456"/>
      <c r="BD11" s="456"/>
      <c r="BE11" s="456"/>
      <c r="BF11" s="456"/>
      <c r="BG11" s="456"/>
      <c r="BH11" s="456"/>
      <c r="BI11" s="456"/>
      <c r="BJ11" s="456"/>
      <c r="BK11" s="456"/>
      <c r="BL11" s="456"/>
      <c r="BM11" s="456"/>
      <c r="BN11" s="456"/>
      <c r="BO11" s="456"/>
      <c r="BP11" s="456"/>
      <c r="BQ11" s="456"/>
      <c r="BR11" s="456"/>
      <c r="BS11" s="456"/>
      <c r="BT11" s="456"/>
      <c r="BU11" s="456"/>
      <c r="BV11" s="456"/>
      <c r="BW11" s="456"/>
      <c r="BX11" s="456"/>
      <c r="BY11" s="456"/>
      <c r="BZ11" s="456"/>
      <c r="CA11" s="456"/>
      <c r="CB11" s="456"/>
      <c r="CC11" s="456"/>
      <c r="CD11" s="456"/>
      <c r="CE11" s="456"/>
      <c r="CF11" s="456"/>
      <c r="CG11" s="456"/>
      <c r="CH11" s="456"/>
      <c r="CI11" s="456"/>
      <c r="CJ11" s="456"/>
      <c r="CK11" s="456"/>
      <c r="CL11" s="456"/>
      <c r="CM11" s="456"/>
      <c r="CN11" s="456"/>
      <c r="CO11" s="456"/>
      <c r="CP11" s="456"/>
      <c r="CQ11" s="456"/>
      <c r="CR11" s="456"/>
      <c r="CS11" s="456"/>
      <c r="CT11" s="456"/>
      <c r="CU11" s="456"/>
      <c r="CV11" s="456"/>
      <c r="CW11" s="456"/>
      <c r="CX11" s="456"/>
      <c r="CY11" s="456"/>
      <c r="CZ11" s="456"/>
      <c r="DA11" s="456"/>
      <c r="DB11" s="456"/>
      <c r="DC11" s="456"/>
      <c r="DD11" s="456"/>
      <c r="DE11" s="456"/>
      <c r="DF11" s="456"/>
      <c r="DG11" s="456"/>
      <c r="DH11" s="456"/>
      <c r="DI11" s="456"/>
      <c r="DJ11" s="456"/>
      <c r="DK11" s="456"/>
      <c r="DL11" s="456"/>
      <c r="DM11" s="456"/>
      <c r="DN11" s="456"/>
      <c r="DO11" s="456"/>
      <c r="DP11" s="456"/>
      <c r="DQ11" s="456"/>
      <c r="DR11" s="456"/>
      <c r="DS11" s="456"/>
      <c r="DT11" s="456"/>
      <c r="DU11" s="456"/>
      <c r="DV11" s="456"/>
      <c r="DW11" s="456"/>
      <c r="DX11" s="456"/>
      <c r="DY11" s="456"/>
      <c r="DZ11" s="456"/>
      <c r="EA11" s="456"/>
      <c r="EB11" s="456"/>
      <c r="EC11" s="456"/>
      <c r="ED11" s="456"/>
      <c r="EE11" s="456"/>
      <c r="EF11" s="456"/>
      <c r="EG11" s="456"/>
      <c r="EH11" s="456"/>
      <c r="EI11" s="456"/>
      <c r="EJ11" s="456"/>
      <c r="EK11" s="456"/>
      <c r="EL11" s="456"/>
      <c r="EM11" s="456"/>
      <c r="EN11" s="456"/>
      <c r="EO11" s="456"/>
      <c r="EP11" s="456"/>
      <c r="EQ11" s="456"/>
      <c r="ER11" s="456"/>
      <c r="ES11" s="456"/>
      <c r="ET11" s="456"/>
      <c r="EU11" s="456"/>
      <c r="EV11" s="456"/>
      <c r="EW11" s="456"/>
      <c r="EX11" s="456"/>
      <c r="EY11" s="456"/>
      <c r="EZ11" s="456"/>
      <c r="FA11" s="456"/>
      <c r="FB11" s="456"/>
      <c r="FC11" s="456"/>
      <c r="FD11" s="456"/>
      <c r="FE11" s="456"/>
      <c r="FF11" s="456"/>
      <c r="FG11" s="456"/>
      <c r="FH11" s="456"/>
      <c r="FI11" s="456"/>
      <c r="FJ11" s="456"/>
      <c r="FK11" s="456"/>
      <c r="FL11" s="456"/>
      <c r="FM11" s="456"/>
      <c r="FN11" s="456"/>
      <c r="FO11" s="456"/>
      <c r="FP11" s="456"/>
      <c r="FQ11" s="456"/>
      <c r="FR11" s="456"/>
      <c r="FS11" s="456"/>
      <c r="FT11" s="456"/>
      <c r="FU11" s="456"/>
      <c r="FV11" s="456"/>
      <c r="FW11" s="456"/>
      <c r="FX11" s="456"/>
      <c r="FY11" s="456"/>
      <c r="FZ11" s="456"/>
      <c r="GA11" s="456"/>
      <c r="GB11" s="456"/>
      <c r="GC11" s="456"/>
      <c r="GD11" s="456"/>
      <c r="GE11" s="456"/>
      <c r="GF11" s="456"/>
      <c r="GG11" s="456"/>
      <c r="GH11" s="456"/>
      <c r="GI11" s="456"/>
      <c r="GJ11" s="456"/>
      <c r="GK11" s="456"/>
      <c r="GL11" s="456"/>
      <c r="GM11" s="456"/>
      <c r="GN11" s="456"/>
      <c r="GO11" s="456"/>
      <c r="GP11" s="456"/>
      <c r="GQ11" s="456"/>
      <c r="GR11" s="456"/>
      <c r="GS11" s="456"/>
      <c r="GT11" s="456"/>
      <c r="GU11" s="456"/>
      <c r="GV11" s="456"/>
      <c r="GW11" s="456"/>
      <c r="GX11" s="456"/>
      <c r="GY11" s="456"/>
      <c r="GZ11" s="456"/>
      <c r="HA11" s="456"/>
      <c r="HB11" s="456"/>
      <c r="HC11" s="456"/>
      <c r="HD11" s="456"/>
      <c r="HE11" s="456"/>
      <c r="HF11" s="456"/>
      <c r="HG11" s="456"/>
      <c r="HH11" s="456"/>
      <c r="HI11" s="456"/>
      <c r="HJ11" s="456"/>
      <c r="HK11" s="456"/>
      <c r="HL11" s="456"/>
      <c r="HM11" s="456"/>
      <c r="HN11" s="456"/>
      <c r="HO11" s="456"/>
      <c r="HP11" s="456"/>
      <c r="HQ11" s="456"/>
      <c r="HR11" s="456"/>
      <c r="HS11" s="456"/>
      <c r="HT11" s="456"/>
      <c r="HU11" s="456"/>
      <c r="HV11" s="456"/>
      <c r="HW11" s="456"/>
      <c r="HX11" s="456"/>
      <c r="HY11" s="456"/>
      <c r="HZ11" s="456"/>
      <c r="IA11" s="456"/>
      <c r="IB11" s="456"/>
      <c r="IC11" s="456"/>
      <c r="ID11" s="456"/>
      <c r="IE11" s="456"/>
      <c r="IF11" s="456"/>
      <c r="IG11" s="456"/>
      <c r="IH11" s="456"/>
      <c r="II11" s="456"/>
      <c r="IJ11" s="456"/>
      <c r="IK11" s="456"/>
      <c r="IL11" s="456"/>
      <c r="IM11" s="456"/>
      <c r="IN11" s="456"/>
      <c r="IO11" s="456"/>
      <c r="IP11" s="456"/>
      <c r="IQ11" s="456"/>
      <c r="IR11" s="456"/>
      <c r="IS11" s="456"/>
      <c r="IT11" s="456"/>
      <c r="IU11" s="456"/>
      <c r="IV11" s="456"/>
      <c r="IW11" s="456"/>
      <c r="IX11" s="456"/>
      <c r="IY11" s="456"/>
      <c r="IZ11" s="456"/>
      <c r="JA11" s="456"/>
      <c r="JB11" s="456"/>
      <c r="JC11" s="456"/>
      <c r="JD11" s="456"/>
      <c r="JE11" s="456"/>
      <c r="JF11" s="456"/>
      <c r="JG11" s="456"/>
      <c r="JH11" s="456"/>
      <c r="JI11" s="456"/>
      <c r="JJ11" s="456"/>
      <c r="JK11" s="456"/>
      <c r="JL11" s="456"/>
      <c r="JM11" s="456"/>
      <c r="JN11" s="456"/>
      <c r="JO11" s="456"/>
      <c r="JP11" s="456"/>
      <c r="JQ11" s="456"/>
      <c r="JR11" s="456"/>
      <c r="JS11" s="456"/>
      <c r="JT11" s="456"/>
      <c r="JU11" s="456"/>
      <c r="JV11" s="456"/>
      <c r="JW11" s="456"/>
      <c r="JX11" s="456"/>
      <c r="JY11" s="456"/>
      <c r="JZ11" s="456"/>
      <c r="KA11" s="456"/>
      <c r="KB11" s="456"/>
      <c r="KC11" s="456"/>
      <c r="KD11" s="456"/>
      <c r="KE11" s="456"/>
      <c r="KF11" s="456"/>
      <c r="KG11" s="456"/>
      <c r="KH11" s="456"/>
      <c r="KI11" s="456"/>
      <c r="KJ11" s="456"/>
      <c r="KK11" s="456"/>
      <c r="KL11" s="456"/>
      <c r="KM11" s="456"/>
      <c r="KN11" s="456"/>
      <c r="KO11" s="456"/>
      <c r="KP11" s="456"/>
      <c r="KQ11" s="456"/>
      <c r="KR11" s="456"/>
      <c r="KS11" s="456"/>
      <c r="KT11" s="456"/>
      <c r="KU11" s="456"/>
      <c r="KV11" s="456"/>
      <c r="KW11" s="456"/>
      <c r="KX11" s="456"/>
      <c r="KY11" s="456"/>
      <c r="KZ11" s="456"/>
      <c r="LA11" s="456"/>
      <c r="LB11" s="456"/>
      <c r="LC11" s="456"/>
      <c r="LD11" s="456"/>
      <c r="LE11" s="456"/>
      <c r="LF11" s="456"/>
      <c r="LG11" s="456"/>
      <c r="LH11" s="456"/>
      <c r="LI11" s="456"/>
      <c r="LJ11" s="456"/>
      <c r="LK11" s="456"/>
      <c r="LL11" s="456"/>
      <c r="LM11" s="456"/>
      <c r="LN11" s="456"/>
      <c r="LO11" s="456"/>
      <c r="LP11" s="456"/>
      <c r="LQ11" s="456"/>
      <c r="LR11" s="456"/>
      <c r="LS11" s="456"/>
      <c r="LT11" s="456"/>
      <c r="LU11" s="456"/>
      <c r="LV11" s="456"/>
      <c r="LW11" s="456"/>
      <c r="LX11" s="456"/>
      <c r="LY11" s="456"/>
      <c r="LZ11" s="456"/>
      <c r="MA11" s="456"/>
      <c r="MB11" s="456"/>
      <c r="MC11" s="456"/>
      <c r="MD11" s="456"/>
      <c r="ME11" s="456"/>
      <c r="MF11" s="456"/>
      <c r="MG11" s="456"/>
      <c r="MH11" s="456"/>
      <c r="MI11" s="456"/>
      <c r="MJ11" s="456"/>
      <c r="MK11" s="456"/>
      <c r="ML11" s="456"/>
      <c r="MM11" s="456"/>
      <c r="MN11" s="456"/>
      <c r="MO11" s="456"/>
      <c r="MP11" s="456"/>
      <c r="MQ11" s="456"/>
      <c r="MR11" s="456"/>
      <c r="MS11" s="456"/>
      <c r="MT11" s="456"/>
      <c r="MU11" s="456"/>
      <c r="MV11" s="456"/>
      <c r="MW11" s="456"/>
      <c r="MX11" s="456"/>
      <c r="MY11" s="456"/>
      <c r="MZ11" s="456"/>
      <c r="NA11" s="456"/>
      <c r="NB11" s="456"/>
      <c r="NC11" s="456"/>
      <c r="ND11" s="456"/>
      <c r="NE11" s="456"/>
      <c r="NF11" s="456"/>
      <c r="NG11" s="456"/>
      <c r="NH11" s="456"/>
      <c r="NI11" s="456"/>
      <c r="NJ11" s="456"/>
      <c r="NK11" s="456"/>
      <c r="NL11" s="456"/>
      <c r="NM11" s="456"/>
      <c r="NN11" s="456"/>
      <c r="NO11" s="456"/>
      <c r="NP11" s="456"/>
      <c r="NQ11" s="456"/>
      <c r="NR11" s="456"/>
      <c r="NS11" s="456"/>
      <c r="NT11" s="456"/>
      <c r="NU11" s="456"/>
      <c r="NV11" s="456"/>
      <c r="NW11" s="456"/>
      <c r="NX11" s="456"/>
      <c r="NY11" s="456"/>
      <c r="NZ11" s="456"/>
      <c r="OA11" s="456"/>
      <c r="OB11" s="456"/>
      <c r="OC11" s="456"/>
      <c r="OD11" s="456"/>
      <c r="OE11" s="456"/>
      <c r="OF11" s="456"/>
      <c r="OG11" s="456"/>
      <c r="OH11" s="456"/>
      <c r="OI11" s="456"/>
      <c r="OJ11" s="456"/>
      <c r="OK11" s="456"/>
      <c r="OL11" s="456"/>
      <c r="OM11" s="456"/>
      <c r="ON11" s="456"/>
      <c r="OO11" s="456"/>
      <c r="OP11" s="456"/>
      <c r="OQ11" s="456"/>
      <c r="OR11" s="456"/>
      <c r="OS11" s="456"/>
      <c r="OT11" s="456"/>
      <c r="OU11" s="456"/>
      <c r="OV11" s="456"/>
      <c r="OW11" s="456"/>
      <c r="OX11" s="456"/>
      <c r="OY11" s="456"/>
      <c r="OZ11" s="456"/>
      <c r="PA11" s="456"/>
      <c r="PB11" s="456"/>
      <c r="PC11" s="456"/>
      <c r="PD11" s="456"/>
      <c r="PE11" s="456"/>
      <c r="PF11" s="456"/>
      <c r="PG11" s="456"/>
      <c r="PH11" s="456"/>
      <c r="PI11" s="456"/>
      <c r="PJ11" s="456"/>
      <c r="PK11" s="456"/>
      <c r="PL11" s="456"/>
      <c r="PM11" s="456"/>
      <c r="PN11" s="456"/>
      <c r="PO11" s="456"/>
      <c r="PP11" s="456"/>
      <c r="PQ11" s="456"/>
      <c r="PR11" s="456"/>
      <c r="PS11" s="456"/>
      <c r="PT11" s="456"/>
      <c r="PU11" s="456"/>
      <c r="PV11" s="456"/>
      <c r="PW11" s="456"/>
      <c r="PX11" s="456"/>
      <c r="PY11" s="456"/>
      <c r="PZ11" s="456"/>
      <c r="QA11" s="456"/>
      <c r="QB11" s="456"/>
      <c r="QC11" s="456"/>
      <c r="QD11" s="456"/>
      <c r="QE11" s="456"/>
      <c r="QF11" s="456"/>
      <c r="QG11" s="456"/>
      <c r="QH11" s="456"/>
      <c r="QI11" s="456"/>
      <c r="QJ11" s="456"/>
      <c r="QK11" s="456"/>
      <c r="QL11" s="456"/>
      <c r="QM11" s="456"/>
      <c r="QN11" s="456"/>
      <c r="QO11" s="456"/>
      <c r="QP11" s="456"/>
      <c r="QQ11" s="456"/>
      <c r="QR11" s="456"/>
      <c r="QS11" s="456"/>
      <c r="QT11" s="456"/>
      <c r="QU11" s="456"/>
      <c r="QV11" s="456"/>
      <c r="QW11" s="456"/>
      <c r="QX11" s="456"/>
      <c r="QY11" s="456"/>
      <c r="QZ11" s="456"/>
      <c r="RA11" s="456"/>
      <c r="RB11" s="456"/>
      <c r="RC11" s="456"/>
      <c r="RD11" s="456"/>
      <c r="RE11" s="456"/>
      <c r="RF11" s="456"/>
      <c r="RG11" s="456"/>
      <c r="RH11" s="456"/>
      <c r="RI11" s="456"/>
      <c r="RJ11" s="456"/>
      <c r="RK11" s="456"/>
      <c r="RL11" s="456"/>
      <c r="RM11" s="456"/>
      <c r="RN11" s="456"/>
      <c r="RO11" s="456"/>
      <c r="RP11" s="456"/>
      <c r="RQ11" s="456"/>
      <c r="RR11" s="456"/>
      <c r="RS11" s="456"/>
      <c r="RT11" s="456"/>
      <c r="RU11" s="456"/>
      <c r="RV11" s="456"/>
      <c r="RW11" s="456"/>
      <c r="RX11" s="456"/>
      <c r="RY11" s="456"/>
      <c r="RZ11" s="456"/>
      <c r="SA11" s="456"/>
      <c r="SB11" s="456"/>
      <c r="SC11" s="456"/>
      <c r="SD11" s="456"/>
      <c r="SE11" s="456"/>
      <c r="SF11" s="456"/>
      <c r="SG11" s="456"/>
      <c r="SH11" s="456"/>
      <c r="SI11" s="456"/>
      <c r="SJ11" s="456"/>
      <c r="SK11" s="456"/>
      <c r="SL11" s="456"/>
      <c r="SM11" s="456"/>
      <c r="SN11" s="456"/>
      <c r="SO11" s="456"/>
      <c r="SP11" s="456"/>
      <c r="SQ11" s="456"/>
      <c r="SR11" s="456"/>
      <c r="SS11" s="456"/>
      <c r="ST11" s="456"/>
      <c r="SU11" s="456"/>
      <c r="SV11" s="456"/>
      <c r="SW11" s="456"/>
      <c r="SX11" s="456"/>
      <c r="SY11" s="456"/>
      <c r="SZ11" s="456"/>
      <c r="TA11" s="456"/>
      <c r="TB11" s="456"/>
      <c r="TC11" s="456"/>
      <c r="TD11" s="456"/>
      <c r="TE11" s="456"/>
      <c r="TF11" s="456"/>
      <c r="TG11" s="456"/>
      <c r="TH11" s="456"/>
      <c r="TI11" s="456"/>
      <c r="TJ11" s="456"/>
      <c r="TK11" s="456"/>
      <c r="TL11" s="456"/>
      <c r="TM11" s="456"/>
      <c r="TN11" s="456"/>
      <c r="TO11" s="456"/>
      <c r="TP11" s="456"/>
      <c r="TQ11" s="456"/>
      <c r="TR11" s="456"/>
      <c r="TS11" s="456"/>
      <c r="TT11" s="456"/>
      <c r="TU11" s="456"/>
      <c r="TV11" s="456"/>
      <c r="TW11" s="456"/>
      <c r="TX11" s="456"/>
      <c r="TY11" s="456"/>
      <c r="TZ11" s="456"/>
      <c r="UA11" s="456"/>
      <c r="UB11" s="456"/>
      <c r="UC11" s="456"/>
      <c r="UD11" s="456"/>
      <c r="UE11" s="456"/>
      <c r="UF11" s="456"/>
      <c r="UG11" s="456"/>
      <c r="UH11" s="456"/>
      <c r="UI11" s="456"/>
      <c r="UJ11" s="456"/>
      <c r="UK11" s="456"/>
      <c r="UL11" s="456"/>
      <c r="UM11" s="456"/>
      <c r="UN11" s="456"/>
      <c r="UO11" s="456"/>
      <c r="UP11" s="456"/>
      <c r="UQ11" s="456"/>
      <c r="UR11" s="456"/>
      <c r="US11" s="456"/>
      <c r="UT11" s="456"/>
      <c r="UU11" s="456"/>
      <c r="UV11" s="456"/>
      <c r="UW11" s="456"/>
      <c r="UX11" s="456"/>
      <c r="UY11" s="456"/>
      <c r="UZ11" s="456"/>
      <c r="VA11" s="456"/>
      <c r="VB11" s="456"/>
      <c r="VC11" s="456"/>
      <c r="VD11" s="456"/>
      <c r="VE11" s="456"/>
      <c r="VF11" s="456"/>
      <c r="VG11" s="456"/>
      <c r="VH11" s="456"/>
      <c r="VI11" s="456"/>
      <c r="VJ11" s="456"/>
      <c r="VK11" s="456"/>
      <c r="VL11" s="456"/>
      <c r="VM11" s="456"/>
      <c r="VN11" s="456"/>
      <c r="VO11" s="456"/>
      <c r="VP11" s="456"/>
      <c r="VQ11" s="456"/>
      <c r="VR11" s="456"/>
      <c r="VS11" s="456"/>
      <c r="VT11" s="456"/>
      <c r="VU11" s="456"/>
      <c r="VV11" s="456"/>
      <c r="VW11" s="456"/>
      <c r="VX11" s="456"/>
      <c r="VY11" s="456"/>
      <c r="VZ11" s="456"/>
      <c r="WA11" s="456"/>
      <c r="WB11" s="456"/>
      <c r="WC11" s="456"/>
      <c r="WD11" s="456"/>
      <c r="WE11" s="456"/>
      <c r="WF11" s="456"/>
      <c r="WG11" s="456"/>
      <c r="WH11" s="456"/>
      <c r="WI11" s="456"/>
      <c r="WJ11" s="456"/>
      <c r="WK11" s="456"/>
      <c r="WL11" s="456"/>
      <c r="WM11" s="456"/>
      <c r="WN11" s="456"/>
      <c r="WO11" s="456"/>
      <c r="WP11" s="456"/>
      <c r="WQ11" s="456"/>
      <c r="WR11" s="456"/>
      <c r="WS11" s="456"/>
      <c r="WT11" s="456"/>
      <c r="WU11" s="456"/>
      <c r="WV11" s="456"/>
      <c r="WW11" s="456"/>
      <c r="WX11" s="456"/>
      <c r="WY11" s="456"/>
      <c r="WZ11" s="456"/>
      <c r="XA11" s="456"/>
      <c r="XB11" s="456"/>
      <c r="XC11" s="456"/>
      <c r="XD11" s="456"/>
      <c r="XE11" s="456"/>
      <c r="XF11" s="456"/>
      <c r="XG11" s="456"/>
      <c r="XH11" s="456"/>
      <c r="XI11" s="456"/>
      <c r="XJ11" s="456"/>
      <c r="XK11" s="456"/>
      <c r="XL11" s="456"/>
      <c r="XM11" s="456"/>
      <c r="XN11" s="456"/>
      <c r="XO11" s="456"/>
      <c r="XP11" s="456"/>
      <c r="XQ11" s="456"/>
      <c r="XR11" s="456"/>
      <c r="XS11" s="456"/>
      <c r="XT11" s="456"/>
      <c r="XU11" s="456"/>
      <c r="XV11" s="456"/>
      <c r="XW11" s="456"/>
      <c r="XX11" s="456"/>
      <c r="XY11" s="456"/>
      <c r="XZ11" s="456"/>
      <c r="YA11" s="456"/>
      <c r="YB11" s="456"/>
      <c r="YC11" s="456"/>
      <c r="YD11" s="456"/>
      <c r="YE11" s="456"/>
      <c r="YF11" s="456"/>
      <c r="YG11" s="456"/>
      <c r="YH11" s="456"/>
      <c r="YI11" s="456"/>
      <c r="YJ11" s="456"/>
      <c r="YK11" s="456"/>
      <c r="YL11" s="456"/>
      <c r="YM11" s="456"/>
      <c r="YN11" s="456"/>
      <c r="YO11" s="456"/>
      <c r="YP11" s="456"/>
      <c r="YQ11" s="456"/>
      <c r="YR11" s="456"/>
      <c r="YS11" s="456"/>
      <c r="YT11" s="456"/>
      <c r="YU11" s="456"/>
      <c r="YV11" s="456"/>
      <c r="YW11" s="456"/>
      <c r="YX11" s="456"/>
      <c r="YY11" s="456"/>
      <c r="YZ11" s="456"/>
      <c r="ZA11" s="456"/>
      <c r="ZB11" s="456"/>
      <c r="ZC11" s="456"/>
      <c r="ZD11" s="456"/>
      <c r="ZE11" s="456"/>
      <c r="ZF11" s="456"/>
      <c r="ZG11" s="456"/>
      <c r="ZH11" s="456"/>
      <c r="ZI11" s="456"/>
      <c r="ZJ11" s="456"/>
      <c r="ZK11" s="456"/>
      <c r="ZL11" s="456"/>
      <c r="ZM11" s="456"/>
      <c r="ZN11" s="456"/>
      <c r="ZO11" s="456"/>
      <c r="ZP11" s="456"/>
      <c r="ZQ11" s="456"/>
      <c r="ZR11" s="456"/>
      <c r="ZS11" s="456"/>
      <c r="ZT11" s="456"/>
      <c r="ZU11" s="456"/>
      <c r="ZV11" s="456"/>
      <c r="ZW11" s="456"/>
      <c r="ZX11" s="456"/>
      <c r="ZY11" s="456"/>
      <c r="ZZ11" s="456"/>
      <c r="AAA11" s="456"/>
      <c r="AAB11" s="456"/>
      <c r="AAC11" s="456"/>
      <c r="AAD11" s="456"/>
      <c r="AAE11" s="456"/>
      <c r="AAF11" s="456"/>
      <c r="AAG11" s="456"/>
      <c r="AAH11" s="456"/>
      <c r="AAI11" s="456"/>
      <c r="AAJ11" s="456"/>
      <c r="AAK11" s="456"/>
      <c r="AAL11" s="456"/>
      <c r="AAM11" s="456"/>
      <c r="AAN11" s="456"/>
      <c r="AAO11" s="456"/>
      <c r="AAP11" s="456"/>
      <c r="AAQ11" s="456"/>
      <c r="AAR11" s="456"/>
      <c r="AAS11" s="456"/>
      <c r="AAT11" s="456"/>
      <c r="AAU11" s="456"/>
      <c r="AAV11" s="456"/>
      <c r="AAW11" s="456"/>
      <c r="AAX11" s="456"/>
      <c r="AAY11" s="456"/>
      <c r="AAZ11" s="456"/>
      <c r="ABA11" s="456"/>
      <c r="ABB11" s="456"/>
      <c r="ABC11" s="456"/>
      <c r="ABD11" s="456"/>
      <c r="ABE11" s="456"/>
      <c r="ABF11" s="456"/>
      <c r="ABG11" s="456"/>
      <c r="ABH11" s="456"/>
      <c r="ABI11" s="456"/>
      <c r="ABJ11" s="456"/>
      <c r="ABK11" s="456"/>
      <c r="ABL11" s="456"/>
      <c r="ABM11" s="456"/>
      <c r="ABN11" s="456"/>
      <c r="ABO11" s="456"/>
      <c r="ABP11" s="456"/>
      <c r="ABQ11" s="456"/>
      <c r="ABR11" s="456"/>
      <c r="ABS11" s="456"/>
      <c r="ABT11" s="456"/>
      <c r="ABU11" s="456"/>
      <c r="ABV11" s="456"/>
      <c r="ABW11" s="456"/>
      <c r="ABX11" s="456"/>
      <c r="ABY11" s="456"/>
      <c r="ABZ11" s="456"/>
      <c r="ACA11" s="456"/>
      <c r="ACB11" s="456"/>
      <c r="ACC11" s="456"/>
      <c r="ACD11" s="456"/>
      <c r="ACE11" s="456"/>
      <c r="ACF11" s="456"/>
      <c r="ACG11" s="456"/>
      <c r="ACH11" s="456"/>
      <c r="ACI11" s="456"/>
      <c r="ACJ11" s="456"/>
      <c r="ACK11" s="456"/>
      <c r="ACL11" s="456"/>
      <c r="ACM11" s="456"/>
      <c r="ACN11" s="456"/>
      <c r="ACO11" s="456"/>
      <c r="ACP11" s="456"/>
      <c r="ACQ11" s="456"/>
      <c r="ACR11" s="456"/>
      <c r="ACS11" s="456"/>
      <c r="ACT11" s="456"/>
      <c r="ACU11" s="456"/>
      <c r="ACV11" s="456"/>
      <c r="ACW11" s="456"/>
      <c r="ACX11" s="456"/>
      <c r="ACY11" s="456"/>
      <c r="ACZ11" s="456"/>
      <c r="ADA11" s="456"/>
      <c r="ADB11" s="456"/>
      <c r="ADC11" s="456"/>
      <c r="ADD11" s="456"/>
      <c r="ADE11" s="456"/>
      <c r="ADF11" s="456"/>
      <c r="ADG11" s="456"/>
      <c r="ADH11" s="456"/>
      <c r="ADI11" s="456"/>
      <c r="ADJ11" s="456"/>
      <c r="ADK11" s="456"/>
      <c r="ADL11" s="456"/>
      <c r="ADM11" s="456"/>
      <c r="ADN11" s="456"/>
      <c r="ADO11" s="456"/>
      <c r="ADP11" s="456"/>
      <c r="ADQ11" s="456"/>
      <c r="ADR11" s="456"/>
      <c r="ADS11" s="456"/>
      <c r="ADT11" s="456"/>
      <c r="ADU11" s="456"/>
      <c r="ADV11" s="456"/>
      <c r="ADW11" s="456"/>
      <c r="ADX11" s="456"/>
      <c r="ADY11" s="456"/>
      <c r="ADZ11" s="456"/>
      <c r="AEA11" s="456"/>
      <c r="AEB11" s="456"/>
      <c r="AEC11" s="456"/>
      <c r="AED11" s="456"/>
      <c r="AEE11" s="456"/>
      <c r="AEF11" s="456"/>
      <c r="AEG11" s="456"/>
      <c r="AEH11" s="456"/>
      <c r="AEI11" s="456"/>
      <c r="AEJ11" s="456"/>
      <c r="AEK11" s="456"/>
      <c r="AEL11" s="456"/>
      <c r="AEM11" s="456"/>
      <c r="AEN11" s="456"/>
      <c r="AEO11" s="456"/>
      <c r="AEP11" s="456"/>
      <c r="AEQ11" s="456"/>
      <c r="AER11" s="456"/>
      <c r="AES11" s="456"/>
      <c r="AET11" s="456"/>
      <c r="AEU11" s="456"/>
      <c r="AEV11" s="456"/>
      <c r="AEW11" s="456"/>
      <c r="AEX11" s="456"/>
      <c r="AEY11" s="456"/>
      <c r="AEZ11" s="456"/>
      <c r="AFA11" s="456"/>
      <c r="AFB11" s="456"/>
      <c r="AFC11" s="456"/>
      <c r="AFD11" s="456"/>
      <c r="AFE11" s="456"/>
      <c r="AFF11" s="456"/>
      <c r="AFG11" s="456"/>
      <c r="AFH11" s="456"/>
      <c r="AFI11" s="456"/>
      <c r="AFJ11" s="456"/>
      <c r="AFK11" s="456"/>
      <c r="AFL11" s="456"/>
      <c r="AFM11" s="456"/>
      <c r="AFN11" s="456"/>
      <c r="AFO11" s="456"/>
      <c r="AFP11" s="456"/>
      <c r="AFQ11" s="456"/>
      <c r="AFR11" s="456"/>
      <c r="AFS11" s="456"/>
      <c r="AFT11" s="456"/>
      <c r="AFU11" s="456"/>
      <c r="AFV11" s="456"/>
      <c r="AFW11" s="456"/>
      <c r="AFX11" s="456"/>
      <c r="AFY11" s="456"/>
      <c r="AFZ11" s="456"/>
      <c r="AGA11" s="456"/>
      <c r="AGB11" s="456"/>
      <c r="AGC11" s="456"/>
      <c r="AGD11" s="456"/>
      <c r="AGE11" s="456"/>
      <c r="AGF11" s="456"/>
      <c r="AGG11" s="456"/>
      <c r="AGH11" s="456"/>
      <c r="AGI11" s="456"/>
      <c r="AGJ11" s="456"/>
      <c r="AGK11" s="456"/>
      <c r="AGL11" s="456"/>
      <c r="AGM11" s="456"/>
      <c r="AGN11" s="456"/>
      <c r="AGO11" s="456"/>
      <c r="AGP11" s="456"/>
      <c r="AGQ11" s="456"/>
      <c r="AGR11" s="456"/>
      <c r="AGS11" s="456"/>
      <c r="AGT11" s="456"/>
      <c r="AGU11" s="456"/>
      <c r="AGV11" s="456"/>
      <c r="AGW11" s="456"/>
      <c r="AGX11" s="456"/>
      <c r="AGY11" s="456"/>
      <c r="AGZ11" s="456"/>
      <c r="AHA11" s="456"/>
      <c r="AHB11" s="456"/>
      <c r="AHC11" s="456"/>
      <c r="AHD11" s="456"/>
      <c r="AHE11" s="456"/>
      <c r="AHF11" s="456"/>
      <c r="AHG11" s="456"/>
      <c r="AHH11" s="456"/>
      <c r="AHI11" s="456"/>
      <c r="AHJ11" s="456"/>
      <c r="AHK11" s="456"/>
      <c r="AHL11" s="456"/>
      <c r="AHM11" s="456"/>
      <c r="AHN11" s="456"/>
      <c r="AHO11" s="456"/>
      <c r="AHP11" s="456"/>
      <c r="AHQ11" s="456"/>
      <c r="AHR11" s="456"/>
      <c r="AHS11" s="456"/>
      <c r="AHT11" s="456"/>
      <c r="AHU11" s="456"/>
      <c r="AHV11" s="456"/>
      <c r="AHW11" s="456"/>
      <c r="AHX11" s="456"/>
      <c r="AHY11" s="456"/>
      <c r="AHZ11" s="456"/>
      <c r="AIA11" s="456"/>
      <c r="AIB11" s="456"/>
      <c r="AIC11" s="456"/>
      <c r="AID11" s="456"/>
      <c r="AIE11" s="456"/>
      <c r="AIF11" s="456"/>
      <c r="AIG11" s="456"/>
      <c r="AIH11" s="456"/>
      <c r="AII11" s="456"/>
      <c r="AIJ11" s="456"/>
      <c r="AIK11" s="456"/>
      <c r="AIL11" s="456"/>
      <c r="AIM11" s="456"/>
      <c r="AIN11" s="456"/>
      <c r="AIO11" s="456"/>
      <c r="AIP11" s="456"/>
      <c r="AIQ11" s="456"/>
      <c r="AIR11" s="456"/>
      <c r="AIS11" s="456"/>
      <c r="AIT11" s="456"/>
      <c r="AIU11" s="456"/>
      <c r="AIV11" s="456"/>
      <c r="AIW11" s="456"/>
      <c r="AIX11" s="456"/>
      <c r="AIY11" s="456"/>
      <c r="AIZ11" s="456"/>
      <c r="AJA11" s="456"/>
      <c r="AJB11" s="456"/>
      <c r="AJC11" s="456"/>
      <c r="AJD11" s="456"/>
      <c r="AJE11" s="456"/>
      <c r="AJF11" s="456"/>
      <c r="AJG11" s="456"/>
      <c r="AJH11" s="456"/>
      <c r="AJI11" s="456"/>
      <c r="AJJ11" s="456"/>
      <c r="AJK11" s="456"/>
      <c r="AJL11" s="456"/>
      <c r="AJM11" s="456"/>
      <c r="AJN11" s="456"/>
      <c r="AJO11" s="456"/>
      <c r="AJP11" s="456"/>
      <c r="AJQ11" s="456"/>
      <c r="AJR11" s="456"/>
      <c r="AJS11" s="456"/>
      <c r="AJT11" s="456"/>
      <c r="AJU11" s="456"/>
      <c r="AJV11" s="456"/>
      <c r="AJW11" s="456"/>
      <c r="AJX11" s="456"/>
      <c r="AJY11" s="456"/>
      <c r="AJZ11" s="456"/>
      <c r="AKA11" s="456"/>
      <c r="AKB11" s="456"/>
      <c r="AKC11" s="456"/>
      <c r="AKD11" s="456"/>
      <c r="AKE11" s="456"/>
      <c r="AKF11" s="456"/>
      <c r="AKG11" s="456"/>
      <c r="AKH11" s="456"/>
      <c r="AKI11" s="456"/>
      <c r="AKJ11" s="456"/>
      <c r="AKK11" s="456"/>
      <c r="AKL11" s="456"/>
      <c r="AKM11" s="456"/>
      <c r="AKN11" s="456"/>
      <c r="AKO11" s="456"/>
      <c r="AKP11" s="456"/>
      <c r="AKQ11" s="456"/>
      <c r="AKR11" s="456"/>
      <c r="AKS11" s="456"/>
      <c r="AKT11" s="456"/>
      <c r="AKU11" s="456"/>
      <c r="AKV11" s="456"/>
      <c r="AKW11" s="456"/>
      <c r="AKX11" s="456"/>
      <c r="AKY11" s="456"/>
      <c r="AKZ11" s="456"/>
      <c r="ALA11" s="456"/>
      <c r="ALB11" s="456"/>
      <c r="ALC11" s="456"/>
      <c r="ALD11" s="456"/>
      <c r="ALE11" s="456"/>
      <c r="ALF11" s="456"/>
      <c r="ALG11" s="456"/>
      <c r="ALH11" s="456"/>
      <c r="ALI11" s="456"/>
      <c r="ALJ11" s="456"/>
      <c r="ALK11" s="456"/>
      <c r="ALL11" s="456"/>
      <c r="ALM11" s="456"/>
      <c r="ALN11" s="456"/>
      <c r="ALO11" s="456"/>
      <c r="ALP11" s="456"/>
      <c r="ALQ11" s="456"/>
      <c r="ALR11" s="456"/>
      <c r="ALS11" s="456"/>
      <c r="ALT11" s="456"/>
      <c r="ALU11" s="456"/>
      <c r="ALV11" s="456"/>
      <c r="ALW11" s="456"/>
      <c r="ALX11" s="456"/>
      <c r="ALY11" s="456"/>
      <c r="ALZ11" s="456"/>
      <c r="AMA11" s="456"/>
      <c r="AMB11" s="456"/>
      <c r="AMC11" s="456"/>
      <c r="AMD11" s="456"/>
      <c r="AME11" s="456"/>
      <c r="AMF11" s="456"/>
      <c r="AMG11" s="456"/>
      <c r="AMH11" s="456"/>
      <c r="AMI11" s="456"/>
      <c r="AMJ11" s="456"/>
      <c r="AMK11" s="456"/>
      <c r="AML11" s="456"/>
      <c r="AMM11" s="456"/>
      <c r="AMN11" s="456"/>
      <c r="AMO11" s="456"/>
      <c r="AMP11" s="456"/>
      <c r="AMQ11" s="456"/>
      <c r="AMR11" s="456"/>
      <c r="AMS11" s="456"/>
      <c r="AMT11" s="456"/>
      <c r="AMU11" s="456"/>
      <c r="AMV11" s="456"/>
      <c r="AMW11" s="456"/>
      <c r="AMX11" s="456"/>
      <c r="AMY11" s="456"/>
      <c r="AMZ11" s="456"/>
      <c r="ANA11" s="456"/>
      <c r="ANB11" s="456"/>
      <c r="ANC11" s="456"/>
      <c r="AND11" s="456"/>
      <c r="ANE11" s="456"/>
      <c r="ANF11" s="456"/>
      <c r="ANG11" s="456"/>
      <c r="ANH11" s="456"/>
      <c r="ANI11" s="456"/>
      <c r="ANJ11" s="456"/>
      <c r="ANK11" s="456"/>
      <c r="ANL11" s="456"/>
      <c r="ANM11" s="456"/>
      <c r="ANN11" s="456"/>
      <c r="ANO11" s="456"/>
      <c r="ANP11" s="456"/>
      <c r="ANQ11" s="456"/>
      <c r="ANR11" s="456"/>
      <c r="ANS11" s="456"/>
      <c r="ANT11" s="456"/>
      <c r="ANU11" s="456"/>
      <c r="ANV11" s="456"/>
      <c r="ANW11" s="456"/>
      <c r="ANX11" s="456"/>
      <c r="ANY11" s="456"/>
      <c r="ANZ11" s="456"/>
      <c r="AOA11" s="456"/>
      <c r="AOB11" s="456"/>
      <c r="AOC11" s="456"/>
      <c r="AOD11" s="456"/>
      <c r="AOE11" s="456"/>
      <c r="AOF11" s="456"/>
      <c r="AOG11" s="456"/>
      <c r="AOH11" s="456"/>
      <c r="AOI11" s="456"/>
      <c r="AOJ11" s="456"/>
      <c r="AOK11" s="456"/>
      <c r="AOL11" s="456"/>
      <c r="AOM11" s="456"/>
      <c r="AON11" s="456"/>
      <c r="AOO11" s="456"/>
      <c r="AOP11" s="456"/>
      <c r="AOQ11" s="456"/>
      <c r="AOR11" s="456"/>
      <c r="AOS11" s="456"/>
      <c r="AOT11" s="456"/>
      <c r="AOU11" s="456"/>
      <c r="AOV11" s="456"/>
      <c r="AOW11" s="456"/>
      <c r="AOX11" s="456"/>
      <c r="AOY11" s="456"/>
      <c r="AOZ11" s="456"/>
      <c r="APA11" s="456"/>
      <c r="APB11" s="456"/>
      <c r="APC11" s="456"/>
      <c r="APD11" s="456"/>
      <c r="APE11" s="456"/>
      <c r="APF11" s="456"/>
      <c r="APG11" s="456"/>
      <c r="APH11" s="456"/>
      <c r="API11" s="456"/>
      <c r="APJ11" s="456"/>
      <c r="APK11" s="456"/>
      <c r="APL11" s="456"/>
      <c r="APM11" s="456"/>
      <c r="APN11" s="456"/>
      <c r="APO11" s="456"/>
      <c r="APP11" s="456"/>
      <c r="APQ11" s="456"/>
      <c r="APR11" s="456"/>
      <c r="APS11" s="456"/>
      <c r="APT11" s="456"/>
      <c r="APU11" s="456"/>
      <c r="APV11" s="456"/>
      <c r="APW11" s="456"/>
      <c r="APX11" s="456"/>
      <c r="APY11" s="456"/>
      <c r="APZ11" s="456"/>
      <c r="AQA11" s="456"/>
      <c r="AQB11" s="456"/>
      <c r="AQC11" s="456"/>
      <c r="AQD11" s="456"/>
      <c r="AQE11" s="456"/>
      <c r="AQF11" s="456"/>
      <c r="AQG11" s="456"/>
      <c r="AQH11" s="456"/>
      <c r="AQI11" s="456"/>
      <c r="AQJ11" s="456"/>
      <c r="AQK11" s="456"/>
      <c r="AQL11" s="456"/>
      <c r="AQM11" s="456"/>
      <c r="AQN11" s="456"/>
      <c r="AQO11" s="456"/>
      <c r="AQP11" s="456"/>
      <c r="AQQ11" s="456"/>
      <c r="AQR11" s="456"/>
      <c r="AQS11" s="456"/>
      <c r="AQT11" s="456"/>
      <c r="AQU11" s="456"/>
      <c r="AQV11" s="456"/>
      <c r="AQW11" s="456"/>
      <c r="AQX11" s="456"/>
      <c r="AQY11" s="456"/>
      <c r="AQZ11" s="456"/>
      <c r="ARA11" s="456"/>
      <c r="ARB11" s="456"/>
      <c r="ARC11" s="456"/>
      <c r="ARD11" s="456"/>
      <c r="ARE11" s="456"/>
      <c r="ARF11" s="456"/>
      <c r="ARG11" s="456"/>
      <c r="ARH11" s="456"/>
      <c r="ARI11" s="456"/>
      <c r="ARJ11" s="456"/>
      <c r="ARK11" s="456"/>
      <c r="ARL11" s="456"/>
      <c r="ARM11" s="456"/>
      <c r="ARN11" s="456"/>
      <c r="ARO11" s="456"/>
      <c r="ARP11" s="456"/>
      <c r="ARQ11" s="456"/>
      <c r="ARR11" s="456"/>
      <c r="ARS11" s="456"/>
      <c r="ART11" s="456"/>
      <c r="ARU11" s="456"/>
      <c r="ARV11" s="456"/>
      <c r="ARW11" s="456"/>
      <c r="ARX11" s="456"/>
      <c r="ARY11" s="456"/>
      <c r="ARZ11" s="456"/>
      <c r="ASA11" s="456"/>
      <c r="ASB11" s="456"/>
      <c r="ASC11" s="456"/>
      <c r="ASD11" s="456"/>
      <c r="ASE11" s="456"/>
      <c r="ASF11" s="456"/>
      <c r="ASG11" s="456"/>
      <c r="ASH11" s="456"/>
      <c r="ASI11" s="456"/>
      <c r="ASJ11" s="456"/>
      <c r="ASK11" s="456"/>
      <c r="ASL11" s="456"/>
      <c r="ASM11" s="456"/>
      <c r="ASN11" s="456"/>
      <c r="ASO11" s="456"/>
      <c r="ASP11" s="456"/>
      <c r="ASQ11" s="456"/>
      <c r="ASR11" s="456"/>
      <c r="ASS11" s="456"/>
      <c r="AST11" s="456"/>
      <c r="ASU11" s="456"/>
      <c r="ASV11" s="456"/>
      <c r="ASW11" s="456"/>
      <c r="ASX11" s="456"/>
      <c r="ASY11" s="456"/>
      <c r="ASZ11" s="456"/>
      <c r="ATA11" s="456"/>
      <c r="ATB11" s="456"/>
      <c r="ATC11" s="456"/>
      <c r="ATD11" s="456"/>
      <c r="ATE11" s="456"/>
      <c r="ATF11" s="456"/>
      <c r="ATG11" s="456"/>
      <c r="ATH11" s="456"/>
      <c r="ATI11" s="456"/>
      <c r="ATJ11" s="456"/>
      <c r="ATK11" s="456"/>
      <c r="ATL11" s="456"/>
      <c r="ATM11" s="456"/>
      <c r="ATN11" s="456"/>
      <c r="ATO11" s="456"/>
      <c r="ATP11" s="456"/>
      <c r="ATQ11" s="456"/>
      <c r="ATR11" s="456"/>
      <c r="ATS11" s="456"/>
      <c r="ATT11" s="456"/>
      <c r="ATU11" s="456"/>
      <c r="ATV11" s="456"/>
      <c r="ATW11" s="456"/>
      <c r="ATX11" s="456"/>
      <c r="ATY11" s="456"/>
      <c r="ATZ11" s="456"/>
      <c r="AUA11" s="456"/>
      <c r="AUB11" s="456"/>
      <c r="AUC11" s="456"/>
      <c r="AUD11" s="456"/>
      <c r="AUE11" s="456"/>
      <c r="AUF11" s="456"/>
      <c r="AUG11" s="456"/>
      <c r="AUH11" s="456"/>
      <c r="AUI11" s="456"/>
      <c r="AUJ11" s="456"/>
      <c r="AUK11" s="456"/>
      <c r="AUL11" s="456"/>
      <c r="AUM11" s="456"/>
      <c r="AUN11" s="456"/>
      <c r="AUO11" s="456"/>
      <c r="AUP11" s="456"/>
      <c r="AUQ11" s="456"/>
      <c r="AUR11" s="456"/>
      <c r="AUS11" s="456"/>
      <c r="AUT11" s="456"/>
      <c r="AUU11" s="456"/>
      <c r="AUV11" s="456"/>
      <c r="AUW11" s="456"/>
      <c r="AUX11" s="456"/>
      <c r="AUY11" s="456"/>
      <c r="AUZ11" s="456"/>
      <c r="AVA11" s="456"/>
      <c r="AVB11" s="456"/>
      <c r="AVC11" s="456"/>
      <c r="AVD11" s="456"/>
      <c r="AVE11" s="456"/>
      <c r="AVF11" s="456"/>
      <c r="AVG11" s="456"/>
      <c r="AVH11" s="456"/>
      <c r="AVI11" s="456"/>
      <c r="AVJ11" s="456"/>
      <c r="AVK11" s="456"/>
      <c r="AVL11" s="456"/>
      <c r="AVM11" s="456"/>
      <c r="AVN11" s="456"/>
      <c r="AVO11" s="456"/>
      <c r="AVP11" s="456"/>
      <c r="AVQ11" s="456"/>
      <c r="AVR11" s="456"/>
      <c r="AVS11" s="456"/>
      <c r="AVT11" s="456"/>
      <c r="AVU11" s="456"/>
      <c r="AVV11" s="456"/>
      <c r="AVW11" s="456"/>
      <c r="AVX11" s="456"/>
      <c r="AVY11" s="456"/>
      <c r="AVZ11" s="456"/>
      <c r="AWA11" s="456"/>
      <c r="AWB11" s="456"/>
      <c r="AWC11" s="456"/>
      <c r="AWD11" s="456"/>
      <c r="AWE11" s="456"/>
      <c r="AWF11" s="456"/>
      <c r="AWG11" s="456"/>
      <c r="AWH11" s="456"/>
      <c r="AWI11" s="456"/>
      <c r="AWJ11" s="456"/>
      <c r="AWK11" s="456"/>
      <c r="AWL11" s="456"/>
      <c r="AWM11" s="456"/>
      <c r="AWN11" s="456"/>
      <c r="AWO11" s="456"/>
      <c r="AWP11" s="456"/>
      <c r="AWQ11" s="456"/>
      <c r="AWR11" s="456"/>
      <c r="AWS11" s="456"/>
      <c r="AWT11" s="456"/>
      <c r="AWU11" s="456"/>
      <c r="AWV11" s="456"/>
      <c r="AWW11" s="456"/>
      <c r="AWX11" s="456"/>
      <c r="AWY11" s="456"/>
      <c r="AWZ11" s="456"/>
      <c r="AXA11" s="456"/>
      <c r="AXB11" s="456"/>
      <c r="AXC11" s="456"/>
      <c r="AXD11" s="456"/>
      <c r="AXE11" s="456"/>
      <c r="AXF11" s="456"/>
      <c r="AXG11" s="456"/>
      <c r="AXH11" s="456"/>
      <c r="AXI11" s="456"/>
      <c r="AXJ11" s="456"/>
      <c r="AXK11" s="456"/>
      <c r="AXL11" s="456"/>
      <c r="AXM11" s="456"/>
      <c r="AXN11" s="456"/>
      <c r="AXO11" s="456"/>
      <c r="AXP11" s="456"/>
      <c r="AXQ11" s="456"/>
      <c r="AXR11" s="456"/>
      <c r="AXS11" s="456"/>
      <c r="AXT11" s="456"/>
      <c r="AXU11" s="456"/>
      <c r="AXV11" s="456"/>
      <c r="AXW11" s="456"/>
      <c r="AXX11" s="456"/>
      <c r="AXY11" s="456"/>
      <c r="AXZ11" s="456"/>
      <c r="AYA11" s="456"/>
      <c r="AYB11" s="456"/>
      <c r="AYC11" s="456"/>
      <c r="AYD11" s="456"/>
      <c r="AYE11" s="456"/>
      <c r="AYF11" s="456"/>
      <c r="AYG11" s="456"/>
      <c r="AYH11" s="456"/>
      <c r="AYI11" s="456"/>
      <c r="AYJ11" s="456"/>
      <c r="AYK11" s="456"/>
      <c r="AYL11" s="456"/>
      <c r="AYM11" s="456"/>
      <c r="AYN11" s="456"/>
      <c r="AYO11" s="456"/>
      <c r="AYP11" s="456"/>
      <c r="AYQ11" s="456"/>
      <c r="AYR11" s="456"/>
      <c r="AYS11" s="456"/>
      <c r="AYT11" s="456"/>
      <c r="AYU11" s="456"/>
      <c r="AYV11" s="456"/>
      <c r="AYW11" s="456"/>
      <c r="AYX11" s="456"/>
      <c r="AYY11" s="456"/>
      <c r="AYZ11" s="456"/>
      <c r="AZA11" s="456"/>
      <c r="AZB11" s="456"/>
      <c r="AZC11" s="456"/>
      <c r="AZD11" s="456"/>
      <c r="AZE11" s="456"/>
      <c r="AZF11" s="456"/>
      <c r="AZG11" s="456"/>
      <c r="AZH11" s="456"/>
      <c r="AZI11" s="456"/>
      <c r="AZJ11" s="456"/>
      <c r="AZK11" s="456"/>
      <c r="AZL11" s="456"/>
      <c r="AZM11" s="456"/>
      <c r="AZN11" s="456"/>
      <c r="AZO11" s="456"/>
      <c r="AZP11" s="456"/>
      <c r="AZQ11" s="456"/>
      <c r="AZR11" s="456"/>
      <c r="AZS11" s="456"/>
      <c r="AZT11" s="456"/>
      <c r="AZU11" s="456"/>
      <c r="AZV11" s="456"/>
      <c r="AZW11" s="456"/>
      <c r="AZX11" s="456"/>
      <c r="AZY11" s="456"/>
      <c r="AZZ11" s="456"/>
      <c r="BAA11" s="456"/>
      <c r="BAB11" s="456"/>
      <c r="BAC11" s="456"/>
      <c r="BAD11" s="456"/>
      <c r="BAE11" s="456"/>
      <c r="BAF11" s="456"/>
      <c r="BAG11" s="456"/>
      <c r="BAH11" s="456"/>
      <c r="BAI11" s="456"/>
      <c r="BAJ11" s="456"/>
      <c r="BAK11" s="456"/>
      <c r="BAL11" s="456"/>
      <c r="BAM11" s="456"/>
      <c r="BAN11" s="456"/>
      <c r="BAO11" s="456"/>
      <c r="BAP11" s="456"/>
      <c r="BAQ11" s="456"/>
      <c r="BAR11" s="456"/>
      <c r="BAS11" s="456"/>
      <c r="BAT11" s="456"/>
      <c r="BAU11" s="456"/>
      <c r="BAV11" s="456"/>
      <c r="BAW11" s="456"/>
      <c r="BAX11" s="456"/>
      <c r="BAY11" s="456"/>
      <c r="BAZ11" s="456"/>
      <c r="BBA11" s="456"/>
      <c r="BBB11" s="456"/>
      <c r="BBC11" s="456"/>
      <c r="BBD11" s="456"/>
      <c r="BBE11" s="456"/>
      <c r="BBF11" s="456"/>
      <c r="BBG11" s="456"/>
      <c r="BBH11" s="456"/>
      <c r="BBI11" s="456"/>
      <c r="BBJ11" s="456"/>
      <c r="BBK11" s="456"/>
      <c r="BBL11" s="456"/>
      <c r="BBM11" s="456"/>
      <c r="BBN11" s="456"/>
      <c r="BBO11" s="456"/>
      <c r="BBP11" s="456"/>
      <c r="BBQ11" s="456"/>
      <c r="BBR11" s="456"/>
      <c r="BBS11" s="456"/>
      <c r="BBT11" s="456"/>
      <c r="BBU11" s="456"/>
      <c r="BBV11" s="456"/>
      <c r="BBW11" s="456"/>
      <c r="BBX11" s="456"/>
      <c r="BBY11" s="456"/>
      <c r="BBZ11" s="456"/>
      <c r="BCA11" s="456"/>
      <c r="BCB11" s="456"/>
      <c r="BCC11" s="456"/>
      <c r="BCD11" s="456"/>
      <c r="BCE11" s="456"/>
      <c r="BCF11" s="456"/>
      <c r="BCG11" s="456"/>
      <c r="BCH11" s="456"/>
      <c r="BCI11" s="456"/>
      <c r="BCJ11" s="456"/>
      <c r="BCK11" s="456"/>
      <c r="BCL11" s="456"/>
      <c r="BCM11" s="456"/>
      <c r="BCN11" s="456"/>
      <c r="BCO11" s="456"/>
      <c r="BCP11" s="456"/>
      <c r="BCQ11" s="456"/>
      <c r="BCR11" s="456"/>
      <c r="BCS11" s="456"/>
      <c r="BCT11" s="456"/>
      <c r="BCU11" s="456"/>
      <c r="BCV11" s="456"/>
      <c r="BCW11" s="456"/>
      <c r="BCX11" s="456"/>
      <c r="BCY11" s="456"/>
      <c r="BCZ11" s="456"/>
      <c r="BDA11" s="456"/>
      <c r="BDB11" s="456"/>
      <c r="BDC11" s="456"/>
      <c r="BDD11" s="456"/>
      <c r="BDE11" s="456"/>
      <c r="BDF11" s="456"/>
      <c r="BDG11" s="456"/>
      <c r="BDH11" s="456"/>
      <c r="BDI11" s="456"/>
      <c r="BDJ11" s="456"/>
      <c r="BDK11" s="456"/>
      <c r="BDL11" s="456"/>
      <c r="BDM11" s="456"/>
      <c r="BDN11" s="456"/>
      <c r="BDO11" s="456"/>
      <c r="BDP11" s="456"/>
      <c r="BDQ11" s="456"/>
      <c r="BDR11" s="456"/>
      <c r="BDS11" s="456"/>
      <c r="BDT11" s="456"/>
      <c r="BDU11" s="456"/>
      <c r="BDV11" s="456"/>
      <c r="BDW11" s="456"/>
      <c r="BDX11" s="456"/>
      <c r="BDY11" s="456"/>
      <c r="BDZ11" s="456"/>
      <c r="BEA11" s="456"/>
      <c r="BEB11" s="456"/>
      <c r="BEC11" s="456"/>
      <c r="BED11" s="456"/>
      <c r="BEE11" s="456"/>
      <c r="BEF11" s="456"/>
      <c r="BEG11" s="456"/>
      <c r="BEH11" s="456"/>
      <c r="BEI11" s="456"/>
      <c r="BEJ11" s="456"/>
      <c r="BEK11" s="456"/>
      <c r="BEL11" s="456"/>
      <c r="BEM11" s="456"/>
      <c r="BEN11" s="456"/>
      <c r="BEO11" s="456"/>
      <c r="BEP11" s="456"/>
      <c r="BEQ11" s="456"/>
      <c r="BER11" s="456"/>
      <c r="BES11" s="456"/>
      <c r="BET11" s="456"/>
      <c r="BEU11" s="456"/>
      <c r="BEV11" s="456"/>
      <c r="BEW11" s="456"/>
      <c r="BEX11" s="456"/>
      <c r="BEY11" s="456"/>
      <c r="BEZ11" s="456"/>
      <c r="BFA11" s="456"/>
      <c r="BFB11" s="456"/>
      <c r="BFC11" s="456"/>
      <c r="BFD11" s="456"/>
      <c r="BFE11" s="456"/>
      <c r="BFF11" s="456"/>
      <c r="BFG11" s="456"/>
      <c r="BFH11" s="456"/>
      <c r="BFI11" s="456"/>
      <c r="BFJ11" s="456"/>
      <c r="BFK11" s="456"/>
      <c r="BFL11" s="456"/>
      <c r="BFM11" s="456"/>
      <c r="BFN11" s="456"/>
      <c r="BFO11" s="456"/>
      <c r="BFP11" s="456"/>
      <c r="BFQ11" s="456"/>
      <c r="BFR11" s="456"/>
      <c r="BFS11" s="456"/>
      <c r="BFT11" s="456"/>
      <c r="BFU11" s="456"/>
      <c r="BFV11" s="456"/>
      <c r="BFW11" s="456"/>
      <c r="BFX11" s="456"/>
      <c r="BFY11" s="456"/>
      <c r="BFZ11" s="456"/>
      <c r="BGA11" s="456"/>
      <c r="BGB11" s="456"/>
      <c r="BGC11" s="456"/>
      <c r="BGD11" s="456"/>
      <c r="BGE11" s="456"/>
      <c r="BGF11" s="456"/>
      <c r="BGG11" s="456"/>
      <c r="BGH11" s="456"/>
      <c r="BGI11" s="456"/>
      <c r="BGJ11" s="456"/>
      <c r="BGK11" s="456"/>
      <c r="BGL11" s="456"/>
      <c r="BGM11" s="456"/>
      <c r="BGN11" s="456"/>
      <c r="BGO11" s="456"/>
      <c r="BGP11" s="456"/>
      <c r="BGQ11" s="456"/>
      <c r="BGR11" s="456"/>
      <c r="BGS11" s="456"/>
      <c r="BGT11" s="456"/>
      <c r="BGU11" s="456"/>
      <c r="BGV11" s="456"/>
      <c r="BGW11" s="456"/>
      <c r="BGX11" s="456"/>
      <c r="BGY11" s="456"/>
      <c r="BGZ11" s="456"/>
      <c r="BHA11" s="456"/>
      <c r="BHB11" s="456"/>
      <c r="BHC11" s="456"/>
      <c r="BHD11" s="456"/>
      <c r="BHE11" s="456"/>
      <c r="BHF11" s="456"/>
      <c r="BHG11" s="456"/>
      <c r="BHH11" s="456"/>
      <c r="BHI11" s="456"/>
      <c r="BHJ11" s="456"/>
      <c r="BHK11" s="456"/>
      <c r="BHL11" s="456"/>
      <c r="BHM11" s="456"/>
      <c r="BHN11" s="456"/>
      <c r="BHO11" s="456"/>
      <c r="BHP11" s="456"/>
      <c r="BHQ11" s="456"/>
      <c r="BHR11" s="456"/>
      <c r="BHS11" s="456"/>
      <c r="BHT11" s="456"/>
      <c r="BHU11" s="456"/>
      <c r="BHV11" s="456"/>
      <c r="BHW11" s="456"/>
      <c r="BHX11" s="456"/>
      <c r="BHY11" s="456"/>
      <c r="BHZ11" s="456"/>
      <c r="BIA11" s="456"/>
      <c r="BIB11" s="456"/>
      <c r="BIC11" s="456"/>
      <c r="BID11" s="456"/>
      <c r="BIE11" s="456"/>
      <c r="BIF11" s="456"/>
      <c r="BIG11" s="456"/>
      <c r="BIH11" s="456"/>
      <c r="BII11" s="456"/>
      <c r="BIJ11" s="456"/>
      <c r="BIK11" s="456"/>
      <c r="BIL11" s="456"/>
      <c r="BIM11" s="456"/>
      <c r="BIN11" s="456"/>
      <c r="BIO11" s="456"/>
      <c r="BIP11" s="456"/>
      <c r="BIQ11" s="456"/>
      <c r="BIR11" s="456"/>
      <c r="BIS11" s="456"/>
      <c r="BIT11" s="456"/>
      <c r="BIU11" s="456"/>
      <c r="BIV11" s="456"/>
      <c r="BIW11" s="456"/>
      <c r="BIX11" s="456"/>
      <c r="BIY11" s="456"/>
      <c r="BIZ11" s="456"/>
      <c r="BJA11" s="456"/>
      <c r="BJB11" s="456"/>
      <c r="BJC11" s="456"/>
      <c r="BJD11" s="456"/>
      <c r="BJE11" s="456"/>
      <c r="BJF11" s="456"/>
      <c r="BJG11" s="456"/>
      <c r="BJH11" s="456"/>
      <c r="BJI11" s="456"/>
      <c r="BJJ11" s="456"/>
      <c r="BJK11" s="456"/>
      <c r="BJL11" s="456"/>
      <c r="BJM11" s="456"/>
      <c r="BJN11" s="456"/>
      <c r="BJO11" s="456"/>
      <c r="BJP11" s="456"/>
      <c r="BJQ11" s="456"/>
      <c r="BJR11" s="456"/>
      <c r="BJS11" s="456"/>
      <c r="BJT11" s="456"/>
      <c r="BJU11" s="456"/>
      <c r="BJV11" s="456"/>
      <c r="BJW11" s="456"/>
      <c r="BJX11" s="456"/>
      <c r="BJY11" s="456"/>
      <c r="BJZ11" s="456"/>
      <c r="BKA11" s="456"/>
      <c r="BKB11" s="456"/>
      <c r="BKC11" s="456"/>
      <c r="BKD11" s="456"/>
      <c r="BKE11" s="456"/>
      <c r="BKF11" s="456"/>
      <c r="BKG11" s="456"/>
      <c r="BKH11" s="456"/>
      <c r="BKI11" s="456"/>
      <c r="BKJ11" s="456"/>
      <c r="BKK11" s="456"/>
      <c r="BKL11" s="456"/>
      <c r="BKM11" s="456"/>
      <c r="BKN11" s="456"/>
      <c r="BKO11" s="456"/>
      <c r="BKP11" s="456"/>
      <c r="BKQ11" s="456"/>
      <c r="BKR11" s="456"/>
      <c r="BKS11" s="456"/>
      <c r="BKT11" s="456"/>
      <c r="BKU11" s="456"/>
      <c r="BKV11" s="456"/>
      <c r="BKW11" s="456"/>
      <c r="BKX11" s="456"/>
      <c r="BKY11" s="456"/>
      <c r="BKZ11" s="456"/>
      <c r="BLA11" s="456"/>
      <c r="BLB11" s="456"/>
      <c r="BLC11" s="456"/>
      <c r="BLD11" s="456"/>
      <c r="BLE11" s="456"/>
      <c r="BLF11" s="456"/>
      <c r="BLG11" s="456"/>
      <c r="BLH11" s="456"/>
      <c r="BLI11" s="456"/>
      <c r="BLJ11" s="456"/>
      <c r="BLK11" s="456"/>
      <c r="BLL11" s="456"/>
      <c r="BLM11" s="456"/>
      <c r="BLN11" s="456"/>
      <c r="BLO11" s="456"/>
      <c r="BLP11" s="456"/>
      <c r="BLQ11" s="456"/>
      <c r="BLR11" s="456"/>
      <c r="BLS11" s="456"/>
      <c r="BLT11" s="456"/>
      <c r="BLU11" s="456"/>
      <c r="BLV11" s="456"/>
      <c r="BLW11" s="456"/>
      <c r="BLX11" s="456"/>
      <c r="BLY11" s="456"/>
      <c r="BLZ11" s="456"/>
      <c r="BMA11" s="456"/>
      <c r="BMB11" s="456"/>
      <c r="BMC11" s="456"/>
      <c r="BMD11" s="456"/>
      <c r="BME11" s="456"/>
      <c r="BMF11" s="456"/>
      <c r="BMG11" s="456"/>
      <c r="BMH11" s="456"/>
      <c r="BMI11" s="456"/>
      <c r="BMJ11" s="456"/>
      <c r="BMK11" s="456"/>
      <c r="BML11" s="456"/>
      <c r="BMM11" s="456"/>
      <c r="BMN11" s="456"/>
      <c r="BMO11" s="456"/>
      <c r="BMP11" s="456"/>
      <c r="BMQ11" s="456"/>
      <c r="BMR11" s="456"/>
      <c r="BMS11" s="456"/>
      <c r="BMT11" s="456"/>
      <c r="BMU11" s="456"/>
      <c r="BMV11" s="456"/>
      <c r="BMW11" s="456"/>
      <c r="BMX11" s="456"/>
      <c r="BMY11" s="456"/>
      <c r="BMZ11" s="456"/>
      <c r="BNA11" s="456"/>
      <c r="BNB11" s="456"/>
      <c r="BNC11" s="456"/>
      <c r="BND11" s="456"/>
      <c r="BNE11" s="456"/>
      <c r="BNF11" s="456"/>
      <c r="BNG11" s="456"/>
      <c r="BNH11" s="456"/>
      <c r="BNI11" s="456"/>
      <c r="BNJ11" s="456"/>
      <c r="BNK11" s="456"/>
      <c r="BNL11" s="456"/>
      <c r="BNM11" s="456"/>
      <c r="BNN11" s="456"/>
      <c r="BNO11" s="456"/>
      <c r="BNP11" s="456"/>
      <c r="BNQ11" s="456"/>
      <c r="BNR11" s="456"/>
      <c r="BNS11" s="456"/>
      <c r="BNT11" s="456"/>
      <c r="BNU11" s="456"/>
      <c r="BNV11" s="456"/>
      <c r="BNW11" s="456"/>
      <c r="BNX11" s="456"/>
      <c r="BNY11" s="456"/>
      <c r="BNZ11" s="456"/>
      <c r="BOA11" s="456"/>
      <c r="BOB11" s="456"/>
      <c r="BOC11" s="456"/>
      <c r="BOD11" s="456"/>
      <c r="BOE11" s="456"/>
      <c r="BOF11" s="456"/>
      <c r="BOG11" s="456"/>
      <c r="BOH11" s="456"/>
      <c r="BOI11" s="456"/>
      <c r="BOJ11" s="456"/>
      <c r="BOK11" s="456"/>
      <c r="BOL11" s="456"/>
      <c r="BOM11" s="456"/>
      <c r="BON11" s="456"/>
      <c r="BOO11" s="456"/>
      <c r="BOP11" s="456"/>
      <c r="BOQ11" s="456"/>
      <c r="BOR11" s="456"/>
      <c r="BOS11" s="456"/>
      <c r="BOT11" s="456"/>
      <c r="BOU11" s="456"/>
      <c r="BOV11" s="456"/>
      <c r="BOW11" s="456"/>
      <c r="BOX11" s="456"/>
      <c r="BOY11" s="456"/>
      <c r="BOZ11" s="456"/>
      <c r="BPA11" s="456"/>
      <c r="BPB11" s="456"/>
      <c r="BPC11" s="456"/>
      <c r="BPD11" s="456"/>
      <c r="BPE11" s="456"/>
      <c r="BPF11" s="456"/>
      <c r="BPG11" s="456"/>
      <c r="BPH11" s="456"/>
      <c r="BPI11" s="456"/>
      <c r="BPJ11" s="456"/>
      <c r="BPK11" s="456"/>
      <c r="BPL11" s="456"/>
      <c r="BPM11" s="456"/>
      <c r="BPN11" s="456"/>
      <c r="BPO11" s="456"/>
      <c r="BPP11" s="456"/>
      <c r="BPQ11" s="456"/>
      <c r="BPR11" s="456"/>
      <c r="BPS11" s="456"/>
      <c r="BPT11" s="456"/>
      <c r="BPU11" s="456"/>
      <c r="BPV11" s="456"/>
      <c r="BPW11" s="456"/>
      <c r="BPX11" s="456"/>
      <c r="BPY11" s="456"/>
      <c r="BPZ11" s="456"/>
      <c r="BQA11" s="456"/>
      <c r="BQB11" s="456"/>
      <c r="BQC11" s="456"/>
      <c r="BQD11" s="456"/>
      <c r="BQE11" s="456"/>
      <c r="BQF11" s="456"/>
      <c r="BQG11" s="456"/>
      <c r="BQH11" s="456"/>
      <c r="BQI11" s="456"/>
      <c r="BQJ11" s="456"/>
      <c r="BQK11" s="456"/>
      <c r="BQL11" s="456"/>
      <c r="BQM11" s="456"/>
      <c r="BQN11" s="456"/>
      <c r="BQO11" s="456"/>
      <c r="BQP11" s="456"/>
      <c r="BQQ11" s="456"/>
      <c r="BQR11" s="456"/>
      <c r="BQS11" s="456"/>
      <c r="BQT11" s="456"/>
      <c r="BQU11" s="456"/>
      <c r="BQV11" s="456"/>
      <c r="BQW11" s="456"/>
      <c r="BQX11" s="456"/>
      <c r="BQY11" s="456"/>
      <c r="BQZ11" s="456"/>
      <c r="BRA11" s="456"/>
      <c r="BRB11" s="456"/>
      <c r="BRC11" s="456"/>
      <c r="BRD11" s="456"/>
      <c r="BRE11" s="456"/>
      <c r="BRF11" s="456"/>
      <c r="BRG11" s="456"/>
      <c r="BRH11" s="456"/>
      <c r="BRI11" s="456"/>
      <c r="BRJ11" s="456"/>
      <c r="BRK11" s="456"/>
      <c r="BRL11" s="456"/>
      <c r="BRM11" s="456"/>
      <c r="BRN11" s="456"/>
      <c r="BRO11" s="456"/>
      <c r="BRP11" s="456"/>
      <c r="BRQ11" s="456"/>
      <c r="BRR11" s="456"/>
      <c r="BRS11" s="456"/>
      <c r="BRT11" s="456"/>
      <c r="BRU11" s="456"/>
      <c r="BRV11" s="456"/>
      <c r="BRW11" s="456"/>
      <c r="BRX11" s="456"/>
      <c r="BRY11" s="456"/>
      <c r="BRZ11" s="456"/>
      <c r="BSA11" s="456"/>
      <c r="BSB11" s="456"/>
      <c r="BSC11" s="456"/>
      <c r="BSD11" s="456"/>
      <c r="BSE11" s="456"/>
      <c r="BSF11" s="456"/>
      <c r="BSG11" s="456"/>
      <c r="BSH11" s="456"/>
      <c r="BSI11" s="456"/>
      <c r="BSJ11" s="456"/>
      <c r="BSK11" s="456"/>
      <c r="BSL11" s="456"/>
      <c r="BSM11" s="456"/>
      <c r="BSN11" s="456"/>
      <c r="BSO11" s="456"/>
      <c r="BSP11" s="456"/>
      <c r="BSQ11" s="456"/>
      <c r="BSR11" s="456"/>
      <c r="BSS11" s="456"/>
      <c r="BST11" s="456"/>
      <c r="BSU11" s="456"/>
      <c r="BSV11" s="456"/>
      <c r="BSW11" s="456"/>
      <c r="BSX11" s="456"/>
      <c r="BSY11" s="456"/>
      <c r="BSZ11" s="456"/>
      <c r="BTA11" s="456"/>
      <c r="BTB11" s="456"/>
      <c r="BTC11" s="456"/>
      <c r="BTD11" s="456"/>
      <c r="BTE11" s="456"/>
      <c r="BTF11" s="456"/>
      <c r="BTG11" s="456"/>
      <c r="BTH11" s="456"/>
      <c r="BTI11" s="456"/>
      <c r="BTJ11" s="456"/>
      <c r="BTK11" s="456"/>
      <c r="BTL11" s="456"/>
      <c r="BTM11" s="456"/>
      <c r="BTN11" s="456"/>
      <c r="BTO11" s="456"/>
      <c r="BTP11" s="456"/>
      <c r="BTQ11" s="456"/>
      <c r="BTR11" s="456"/>
      <c r="BTS11" s="456"/>
      <c r="BTT11" s="456"/>
      <c r="BTU11" s="456"/>
      <c r="BTV11" s="456"/>
      <c r="BTW11" s="456"/>
      <c r="BTX11" s="456"/>
      <c r="BTY11" s="456"/>
      <c r="BTZ11" s="456"/>
      <c r="BUA11" s="456"/>
      <c r="BUB11" s="456"/>
      <c r="BUC11" s="456"/>
      <c r="BUD11" s="456"/>
      <c r="BUE11" s="456"/>
      <c r="BUF11" s="456"/>
      <c r="BUG11" s="456"/>
      <c r="BUH11" s="456"/>
      <c r="BUI11" s="456"/>
      <c r="BUJ11" s="456"/>
      <c r="BUK11" s="456"/>
      <c r="BUL11" s="456"/>
      <c r="BUM11" s="456"/>
      <c r="BUN11" s="456"/>
      <c r="BUO11" s="456"/>
      <c r="BUP11" s="456"/>
      <c r="BUQ11" s="456"/>
      <c r="BUR11" s="456"/>
      <c r="BUS11" s="456"/>
      <c r="BUT11" s="456"/>
      <c r="BUU11" s="456"/>
      <c r="BUV11" s="456"/>
      <c r="BUW11" s="456"/>
      <c r="BUX11" s="456"/>
      <c r="BUY11" s="456"/>
      <c r="BUZ11" s="456"/>
      <c r="BVA11" s="456"/>
      <c r="BVB11" s="456"/>
      <c r="BVC11" s="456"/>
      <c r="BVD11" s="456"/>
      <c r="BVE11" s="456"/>
      <c r="BVF11" s="456"/>
      <c r="BVG11" s="456"/>
      <c r="BVH11" s="456"/>
      <c r="BVI11" s="456"/>
      <c r="BVJ11" s="456"/>
      <c r="BVK11" s="456"/>
      <c r="BVL11" s="456"/>
      <c r="BVM11" s="456"/>
      <c r="BVN11" s="456"/>
      <c r="BVO11" s="456"/>
      <c r="BVP11" s="456"/>
      <c r="BVQ11" s="456"/>
      <c r="BVR11" s="456"/>
      <c r="BVS11" s="456"/>
      <c r="BVT11" s="456"/>
      <c r="BVU11" s="456"/>
      <c r="BVV11" s="456"/>
      <c r="BVW11" s="456"/>
      <c r="BVX11" s="456"/>
      <c r="BVY11" s="456"/>
      <c r="BVZ11" s="456"/>
      <c r="BWA11" s="456"/>
      <c r="BWB11" s="456"/>
      <c r="BWC11" s="456"/>
      <c r="BWD11" s="456"/>
      <c r="BWE11" s="456"/>
      <c r="BWF11" s="456"/>
      <c r="BWG11" s="456"/>
      <c r="BWH11" s="456"/>
      <c r="BWI11" s="456"/>
      <c r="BWJ11" s="456"/>
      <c r="BWK11" s="456"/>
      <c r="BWL11" s="456"/>
      <c r="BWM11" s="456"/>
      <c r="BWN11" s="456"/>
      <c r="BWO11" s="456"/>
      <c r="BWP11" s="456"/>
      <c r="BWQ11" s="456"/>
      <c r="BWR11" s="456"/>
      <c r="BWS11" s="456"/>
      <c r="BWT11" s="456"/>
      <c r="BWU11" s="456"/>
      <c r="BWV11" s="456"/>
      <c r="BWW11" s="456"/>
      <c r="BWX11" s="456"/>
      <c r="BWY11" s="456"/>
      <c r="BWZ11" s="456"/>
      <c r="BXA11" s="456"/>
      <c r="BXB11" s="456"/>
      <c r="BXC11" s="456"/>
      <c r="BXD11" s="456"/>
      <c r="BXE11" s="456"/>
      <c r="BXF11" s="456"/>
      <c r="BXG11" s="456"/>
      <c r="BXH11" s="456"/>
      <c r="BXI11" s="456"/>
      <c r="BXJ11" s="456"/>
      <c r="BXK11" s="456"/>
      <c r="BXL11" s="456"/>
      <c r="BXM11" s="456"/>
      <c r="BXN11" s="456"/>
      <c r="BXO11" s="456"/>
      <c r="BXP11" s="456"/>
      <c r="BXQ11" s="456"/>
      <c r="BXR11" s="456"/>
      <c r="BXS11" s="456"/>
      <c r="BXT11" s="456"/>
      <c r="BXU11" s="456"/>
      <c r="BXV11" s="456"/>
      <c r="BXW11" s="456"/>
      <c r="BXX11" s="456"/>
      <c r="BXY11" s="456"/>
      <c r="BXZ11" s="456"/>
    </row>
    <row r="12" s="25" customFormat="1" ht="15.6" spans="1:1024 1025:2002">
      <c r="A12" s="473" t="s">
        <v>34</v>
      </c>
      <c r="B12" s="19">
        <v>1112</v>
      </c>
      <c r="C12" s="183">
        <v>46134</v>
      </c>
      <c r="D12" s="17" t="s">
        <v>52</v>
      </c>
      <c r="E12" s="17" t="s">
        <v>53</v>
      </c>
      <c r="F12" s="17" t="s">
        <v>54</v>
      </c>
      <c r="G12" s="17"/>
      <c r="H12" s="19" t="s">
        <v>55</v>
      </c>
      <c r="I12" s="102" t="s">
        <v>56</v>
      </c>
      <c r="J12" s="17" t="s">
        <v>49</v>
      </c>
      <c r="K12" s="19">
        <v>710</v>
      </c>
      <c r="L12" s="19">
        <v>150</v>
      </c>
      <c r="M12" s="19">
        <v>5800</v>
      </c>
      <c r="N12" s="19" t="s">
        <v>40</v>
      </c>
      <c r="O12" s="19" t="s">
        <v>50</v>
      </c>
      <c r="P12" s="19">
        <v>3150</v>
      </c>
      <c r="Q12" s="19">
        <v>3362</v>
      </c>
      <c r="R12" s="19">
        <f t="shared" si="0"/>
        <v>-212</v>
      </c>
      <c r="S12" s="311">
        <v>2040</v>
      </c>
      <c r="T12" s="19" t="s">
        <v>42</v>
      </c>
      <c r="U12" s="102" t="s">
        <v>57</v>
      </c>
      <c r="V12" s="186">
        <v>46139</v>
      </c>
      <c r="W12" s="17" t="s">
        <v>58</v>
      </c>
      <c r="X12" s="17"/>
      <c r="Y12" s="68">
        <v>46174</v>
      </c>
      <c r="Z12" s="17" t="s">
        <v>45</v>
      </c>
      <c r="AA12" s="17" t="s">
        <v>46</v>
      </c>
      <c r="AB12" s="17" t="s">
        <v>62</v>
      </c>
      <c r="AC12" s="217">
        <v>46202</v>
      </c>
      <c r="AD12" s="65">
        <v>1832</v>
      </c>
      <c r="AE12" s="17" t="s">
        <v>48</v>
      </c>
      <c r="AF12" s="17" t="s">
        <v>61</v>
      </c>
      <c r="AG12" s="17"/>
      <c r="AH12" s="456"/>
      <c r="AI12" s="456"/>
      <c r="AJ12" s="456"/>
      <c r="AK12" s="456"/>
      <c r="AL12" s="456"/>
      <c r="AM12" s="456"/>
      <c r="AN12" s="456"/>
      <c r="AO12" s="456"/>
      <c r="AP12" s="456"/>
      <c r="AQ12" s="456"/>
      <c r="AR12" s="456"/>
      <c r="AS12" s="456"/>
      <c r="AT12" s="456"/>
      <c r="AU12" s="456"/>
      <c r="AV12" s="456"/>
      <c r="AW12" s="456"/>
      <c r="AX12" s="456"/>
      <c r="AY12" s="456"/>
      <c r="AZ12" s="456"/>
      <c r="BA12" s="456"/>
      <c r="BB12" s="456"/>
      <c r="BC12" s="456"/>
      <c r="BD12" s="456"/>
      <c r="BE12" s="456"/>
      <c r="BF12" s="456"/>
      <c r="BG12" s="456"/>
      <c r="BH12" s="456"/>
      <c r="BI12" s="456"/>
      <c r="BJ12" s="456"/>
      <c r="BK12" s="456"/>
      <c r="BL12" s="456"/>
      <c r="BM12" s="456"/>
      <c r="BN12" s="456"/>
      <c r="BO12" s="456"/>
      <c r="BP12" s="456"/>
      <c r="BQ12" s="456"/>
      <c r="BR12" s="456"/>
      <c r="BS12" s="456"/>
      <c r="BT12" s="456"/>
      <c r="BU12" s="456"/>
      <c r="BV12" s="456"/>
      <c r="BW12" s="456"/>
      <c r="BX12" s="456"/>
      <c r="BY12" s="456"/>
      <c r="BZ12" s="456"/>
      <c r="CA12" s="456"/>
      <c r="CB12" s="456"/>
      <c r="CC12" s="456"/>
      <c r="CD12" s="456"/>
      <c r="CE12" s="456"/>
      <c r="CF12" s="456"/>
      <c r="CG12" s="456"/>
      <c r="CH12" s="456"/>
      <c r="CI12" s="456"/>
      <c r="CJ12" s="456"/>
      <c r="CK12" s="456"/>
      <c r="CL12" s="456"/>
      <c r="CM12" s="456"/>
      <c r="CN12" s="456"/>
      <c r="CO12" s="456"/>
      <c r="CP12" s="456"/>
      <c r="CQ12" s="456"/>
      <c r="CR12" s="456"/>
      <c r="CS12" s="456"/>
      <c r="CT12" s="456"/>
      <c r="CU12" s="456"/>
      <c r="CV12" s="456"/>
      <c r="CW12" s="456"/>
      <c r="CX12" s="456"/>
      <c r="CY12" s="456"/>
      <c r="CZ12" s="456"/>
      <c r="DA12" s="456"/>
      <c r="DB12" s="456"/>
      <c r="DC12" s="456"/>
      <c r="DD12" s="456"/>
      <c r="DE12" s="456"/>
      <c r="DF12" s="456"/>
      <c r="DG12" s="456"/>
      <c r="DH12" s="456"/>
      <c r="DI12" s="456"/>
      <c r="DJ12" s="456"/>
      <c r="DK12" s="456"/>
      <c r="DL12" s="456"/>
      <c r="DM12" s="456"/>
      <c r="DN12" s="456"/>
      <c r="DO12" s="456"/>
      <c r="DP12" s="456"/>
      <c r="DQ12" s="456"/>
      <c r="DR12" s="456"/>
      <c r="DS12" s="456"/>
      <c r="DT12" s="456"/>
      <c r="DU12" s="456"/>
      <c r="DV12" s="456"/>
      <c r="DW12" s="456"/>
      <c r="DX12" s="456"/>
      <c r="DY12" s="456"/>
      <c r="DZ12" s="456"/>
      <c r="EA12" s="456"/>
      <c r="EB12" s="456"/>
      <c r="EC12" s="456"/>
      <c r="ED12" s="456"/>
      <c r="EE12" s="456"/>
      <c r="EF12" s="456"/>
      <c r="EG12" s="456"/>
      <c r="EH12" s="456"/>
      <c r="EI12" s="456"/>
      <c r="EJ12" s="456"/>
      <c r="EK12" s="456"/>
      <c r="EL12" s="456"/>
      <c r="EM12" s="456"/>
      <c r="EN12" s="456"/>
      <c r="EO12" s="456"/>
      <c r="EP12" s="456"/>
      <c r="EQ12" s="456"/>
      <c r="ER12" s="456"/>
      <c r="ES12" s="456"/>
      <c r="ET12" s="456"/>
      <c r="EU12" s="456"/>
      <c r="EV12" s="456"/>
      <c r="EW12" s="456"/>
      <c r="EX12" s="456"/>
      <c r="EY12" s="456"/>
      <c r="EZ12" s="456"/>
      <c r="FA12" s="456"/>
      <c r="FB12" s="456"/>
      <c r="FC12" s="456"/>
      <c r="FD12" s="456"/>
      <c r="FE12" s="456"/>
      <c r="FF12" s="456"/>
      <c r="FG12" s="456"/>
      <c r="FH12" s="456"/>
      <c r="FI12" s="456"/>
      <c r="FJ12" s="456"/>
      <c r="FK12" s="456"/>
      <c r="FL12" s="456"/>
      <c r="FM12" s="456"/>
      <c r="FN12" s="456"/>
      <c r="FO12" s="456"/>
      <c r="FP12" s="456"/>
      <c r="FQ12" s="456"/>
      <c r="FR12" s="456"/>
      <c r="FS12" s="456"/>
      <c r="FT12" s="456"/>
      <c r="FU12" s="456"/>
      <c r="FV12" s="456"/>
      <c r="FW12" s="456"/>
      <c r="FX12" s="456"/>
      <c r="FY12" s="456"/>
      <c r="FZ12" s="456"/>
      <c r="GA12" s="456"/>
      <c r="GB12" s="456"/>
      <c r="GC12" s="456"/>
      <c r="GD12" s="456"/>
      <c r="GE12" s="456"/>
      <c r="GF12" s="456"/>
      <c r="GG12" s="456"/>
      <c r="GH12" s="456"/>
      <c r="GI12" s="456"/>
      <c r="GJ12" s="456"/>
      <c r="GK12" s="456"/>
      <c r="GL12" s="456"/>
      <c r="GM12" s="456"/>
      <c r="GN12" s="456"/>
      <c r="GO12" s="456"/>
      <c r="GP12" s="456"/>
      <c r="GQ12" s="456"/>
      <c r="GR12" s="456"/>
      <c r="GS12" s="456"/>
      <c r="GT12" s="456"/>
      <c r="GU12" s="456"/>
      <c r="GV12" s="456"/>
      <c r="GW12" s="456"/>
      <c r="GX12" s="456"/>
      <c r="GY12" s="456"/>
      <c r="GZ12" s="456"/>
      <c r="HA12" s="456"/>
      <c r="HB12" s="456"/>
      <c r="HC12" s="456"/>
      <c r="HD12" s="456"/>
      <c r="HE12" s="456"/>
      <c r="HF12" s="456"/>
      <c r="HG12" s="456"/>
      <c r="HH12" s="456"/>
      <c r="HI12" s="456"/>
      <c r="HJ12" s="456"/>
      <c r="HK12" s="456"/>
      <c r="HL12" s="456"/>
      <c r="HM12" s="456"/>
      <c r="HN12" s="456"/>
      <c r="HO12" s="456"/>
      <c r="HP12" s="456"/>
      <c r="HQ12" s="456"/>
      <c r="HR12" s="456"/>
      <c r="HS12" s="456"/>
      <c r="HT12" s="456"/>
      <c r="HU12" s="456"/>
      <c r="HV12" s="456"/>
      <c r="HW12" s="456"/>
      <c r="HX12" s="456"/>
      <c r="HY12" s="456"/>
      <c r="HZ12" s="456"/>
      <c r="IA12" s="456"/>
      <c r="IB12" s="456"/>
      <c r="IC12" s="456"/>
      <c r="ID12" s="456"/>
      <c r="IE12" s="456"/>
      <c r="IF12" s="456"/>
      <c r="IG12" s="456"/>
      <c r="IH12" s="456"/>
      <c r="II12" s="456"/>
      <c r="IJ12" s="456"/>
      <c r="IK12" s="456"/>
      <c r="IL12" s="456"/>
      <c r="IM12" s="456"/>
      <c r="IN12" s="456"/>
      <c r="IO12" s="456"/>
      <c r="IP12" s="456"/>
      <c r="IQ12" s="456"/>
      <c r="IR12" s="456"/>
      <c r="IS12" s="456"/>
      <c r="IT12" s="456"/>
      <c r="IU12" s="456"/>
      <c r="IV12" s="456"/>
      <c r="IW12" s="456"/>
      <c r="IX12" s="456"/>
      <c r="IY12" s="456"/>
      <c r="IZ12" s="456"/>
      <c r="JA12" s="456"/>
      <c r="JB12" s="456"/>
      <c r="JC12" s="456"/>
      <c r="JD12" s="456"/>
      <c r="JE12" s="456"/>
      <c r="JF12" s="456"/>
      <c r="JG12" s="456"/>
      <c r="JH12" s="456"/>
      <c r="JI12" s="456"/>
      <c r="JJ12" s="456"/>
      <c r="JK12" s="456"/>
      <c r="JL12" s="456"/>
      <c r="JM12" s="456"/>
      <c r="JN12" s="456"/>
      <c r="JO12" s="456"/>
      <c r="JP12" s="456"/>
      <c r="JQ12" s="456"/>
      <c r="JR12" s="456"/>
      <c r="JS12" s="456"/>
      <c r="JT12" s="456"/>
      <c r="JU12" s="456"/>
      <c r="JV12" s="456"/>
      <c r="JW12" s="456"/>
      <c r="JX12" s="456"/>
      <c r="JY12" s="456"/>
      <c r="JZ12" s="456"/>
      <c r="KA12" s="456"/>
      <c r="KB12" s="456"/>
      <c r="KC12" s="456"/>
      <c r="KD12" s="456"/>
      <c r="KE12" s="456"/>
      <c r="KF12" s="456"/>
      <c r="KG12" s="456"/>
      <c r="KH12" s="456"/>
      <c r="KI12" s="456"/>
      <c r="KJ12" s="456"/>
      <c r="KK12" s="456"/>
      <c r="KL12" s="456"/>
      <c r="KM12" s="456"/>
      <c r="KN12" s="456"/>
      <c r="KO12" s="456"/>
      <c r="KP12" s="456"/>
      <c r="KQ12" s="456"/>
      <c r="KR12" s="456"/>
      <c r="KS12" s="456"/>
      <c r="KT12" s="456"/>
      <c r="KU12" s="456"/>
      <c r="KV12" s="456"/>
      <c r="KW12" s="456"/>
      <c r="KX12" s="456"/>
      <c r="KY12" s="456"/>
      <c r="KZ12" s="456"/>
      <c r="LA12" s="456"/>
      <c r="LB12" s="456"/>
      <c r="LC12" s="456"/>
      <c r="LD12" s="456"/>
      <c r="LE12" s="456"/>
      <c r="LF12" s="456"/>
      <c r="LG12" s="456"/>
      <c r="LH12" s="456"/>
      <c r="LI12" s="456"/>
      <c r="LJ12" s="456"/>
      <c r="LK12" s="456"/>
      <c r="LL12" s="456"/>
      <c r="LM12" s="456"/>
      <c r="LN12" s="456"/>
      <c r="LO12" s="456"/>
      <c r="LP12" s="456"/>
      <c r="LQ12" s="456"/>
      <c r="LR12" s="456"/>
      <c r="LS12" s="456"/>
      <c r="LT12" s="456"/>
      <c r="LU12" s="456"/>
      <c r="LV12" s="456"/>
      <c r="LW12" s="456"/>
      <c r="LX12" s="456"/>
      <c r="LY12" s="456"/>
      <c r="LZ12" s="456"/>
      <c r="MA12" s="456"/>
      <c r="MB12" s="456"/>
      <c r="MC12" s="456"/>
      <c r="MD12" s="456"/>
      <c r="ME12" s="456"/>
      <c r="MF12" s="456"/>
      <c r="MG12" s="456"/>
      <c r="MH12" s="456"/>
      <c r="MI12" s="456"/>
      <c r="MJ12" s="456"/>
      <c r="MK12" s="456"/>
      <c r="ML12" s="456"/>
      <c r="MM12" s="456"/>
      <c r="MN12" s="456"/>
      <c r="MO12" s="456"/>
      <c r="MP12" s="456"/>
      <c r="MQ12" s="456"/>
      <c r="MR12" s="456"/>
      <c r="MS12" s="456"/>
      <c r="MT12" s="456"/>
      <c r="MU12" s="456"/>
      <c r="MV12" s="456"/>
      <c r="MW12" s="456"/>
      <c r="MX12" s="456"/>
      <c r="MY12" s="456"/>
      <c r="MZ12" s="456"/>
      <c r="NA12" s="456"/>
      <c r="NB12" s="456"/>
      <c r="NC12" s="456"/>
      <c r="ND12" s="456"/>
      <c r="NE12" s="456"/>
      <c r="NF12" s="456"/>
      <c r="NG12" s="456"/>
      <c r="NH12" s="456"/>
      <c r="NI12" s="456"/>
      <c r="NJ12" s="456"/>
      <c r="NK12" s="456"/>
      <c r="NL12" s="456"/>
      <c r="NM12" s="456"/>
      <c r="NN12" s="456"/>
      <c r="NO12" s="456"/>
      <c r="NP12" s="456"/>
      <c r="NQ12" s="456"/>
      <c r="NR12" s="456"/>
      <c r="NS12" s="456"/>
      <c r="NT12" s="456"/>
      <c r="NU12" s="456"/>
      <c r="NV12" s="456"/>
      <c r="NW12" s="456"/>
      <c r="NX12" s="456"/>
      <c r="NY12" s="456"/>
      <c r="NZ12" s="456"/>
      <c r="OA12" s="456"/>
      <c r="OB12" s="456"/>
      <c r="OC12" s="456"/>
      <c r="OD12" s="456"/>
      <c r="OE12" s="456"/>
      <c r="OF12" s="456"/>
      <c r="OG12" s="456"/>
      <c r="OH12" s="456"/>
      <c r="OI12" s="456"/>
      <c r="OJ12" s="456"/>
      <c r="OK12" s="456"/>
      <c r="OL12" s="456"/>
      <c r="OM12" s="456"/>
      <c r="ON12" s="456"/>
      <c r="OO12" s="456"/>
      <c r="OP12" s="456"/>
      <c r="OQ12" s="456"/>
      <c r="OR12" s="456"/>
      <c r="OS12" s="456"/>
      <c r="OT12" s="456"/>
      <c r="OU12" s="456"/>
      <c r="OV12" s="456"/>
      <c r="OW12" s="456"/>
      <c r="OX12" s="456"/>
      <c r="OY12" s="456"/>
      <c r="OZ12" s="456"/>
      <c r="PA12" s="456"/>
      <c r="PB12" s="456"/>
      <c r="PC12" s="456"/>
      <c r="PD12" s="456"/>
      <c r="PE12" s="456"/>
      <c r="PF12" s="456"/>
      <c r="PG12" s="456"/>
      <c r="PH12" s="456"/>
      <c r="PI12" s="456"/>
      <c r="PJ12" s="456"/>
      <c r="PK12" s="456"/>
      <c r="PL12" s="456"/>
      <c r="PM12" s="456"/>
      <c r="PN12" s="456"/>
      <c r="PO12" s="456"/>
      <c r="PP12" s="456"/>
      <c r="PQ12" s="456"/>
      <c r="PR12" s="456"/>
      <c r="PS12" s="456"/>
      <c r="PT12" s="456"/>
      <c r="PU12" s="456"/>
      <c r="PV12" s="456"/>
      <c r="PW12" s="456"/>
      <c r="PX12" s="456"/>
      <c r="PY12" s="456"/>
      <c r="PZ12" s="456"/>
      <c r="QA12" s="456"/>
      <c r="QB12" s="456"/>
      <c r="QC12" s="456"/>
      <c r="QD12" s="456"/>
      <c r="QE12" s="456"/>
      <c r="QF12" s="456"/>
      <c r="QG12" s="456"/>
      <c r="QH12" s="456"/>
      <c r="QI12" s="456"/>
      <c r="QJ12" s="456"/>
      <c r="QK12" s="456"/>
      <c r="QL12" s="456"/>
      <c r="QM12" s="456"/>
      <c r="QN12" s="456"/>
      <c r="QO12" s="456"/>
      <c r="QP12" s="456"/>
      <c r="QQ12" s="456"/>
      <c r="QR12" s="456"/>
      <c r="QS12" s="456"/>
      <c r="QT12" s="456"/>
      <c r="QU12" s="456"/>
      <c r="QV12" s="456"/>
      <c r="QW12" s="456"/>
      <c r="QX12" s="456"/>
      <c r="QY12" s="456"/>
      <c r="QZ12" s="456"/>
      <c r="RA12" s="456"/>
      <c r="RB12" s="456"/>
      <c r="RC12" s="456"/>
      <c r="RD12" s="456"/>
      <c r="RE12" s="456"/>
      <c r="RF12" s="456"/>
      <c r="RG12" s="456"/>
      <c r="RH12" s="456"/>
      <c r="RI12" s="456"/>
      <c r="RJ12" s="456"/>
      <c r="RK12" s="456"/>
      <c r="RL12" s="456"/>
      <c r="RM12" s="456"/>
      <c r="RN12" s="456"/>
      <c r="RO12" s="456"/>
      <c r="RP12" s="456"/>
      <c r="RQ12" s="456"/>
      <c r="RR12" s="456"/>
      <c r="RS12" s="456"/>
      <c r="RT12" s="456"/>
      <c r="RU12" s="456"/>
      <c r="RV12" s="456"/>
      <c r="RW12" s="456"/>
      <c r="RX12" s="456"/>
      <c r="RY12" s="456"/>
      <c r="RZ12" s="456"/>
      <c r="SA12" s="456"/>
      <c r="SB12" s="456"/>
      <c r="SC12" s="456"/>
      <c r="SD12" s="456"/>
      <c r="SE12" s="456"/>
      <c r="SF12" s="456"/>
      <c r="SG12" s="456"/>
      <c r="SH12" s="456"/>
      <c r="SI12" s="456"/>
      <c r="SJ12" s="456"/>
      <c r="SK12" s="456"/>
      <c r="SL12" s="456"/>
      <c r="SM12" s="456"/>
      <c r="SN12" s="456"/>
      <c r="SO12" s="456"/>
      <c r="SP12" s="456"/>
      <c r="SQ12" s="456"/>
      <c r="SR12" s="456"/>
      <c r="SS12" s="456"/>
      <c r="ST12" s="456"/>
      <c r="SU12" s="456"/>
      <c r="SV12" s="456"/>
      <c r="SW12" s="456"/>
      <c r="SX12" s="456"/>
      <c r="SY12" s="456"/>
      <c r="SZ12" s="456"/>
      <c r="TA12" s="456"/>
      <c r="TB12" s="456"/>
      <c r="TC12" s="456"/>
      <c r="TD12" s="456"/>
      <c r="TE12" s="456"/>
      <c r="TF12" s="456"/>
      <c r="TG12" s="456"/>
      <c r="TH12" s="456"/>
      <c r="TI12" s="456"/>
      <c r="TJ12" s="456"/>
      <c r="TK12" s="456"/>
      <c r="TL12" s="456"/>
      <c r="TM12" s="456"/>
      <c r="TN12" s="456"/>
      <c r="TO12" s="456"/>
      <c r="TP12" s="456"/>
      <c r="TQ12" s="456"/>
      <c r="TR12" s="456"/>
      <c r="TS12" s="456"/>
      <c r="TT12" s="456"/>
      <c r="TU12" s="456"/>
      <c r="TV12" s="456"/>
      <c r="TW12" s="456"/>
      <c r="TX12" s="456"/>
      <c r="TY12" s="456"/>
      <c r="TZ12" s="456"/>
      <c r="UA12" s="456"/>
      <c r="UB12" s="456"/>
      <c r="UC12" s="456"/>
      <c r="UD12" s="456"/>
      <c r="UE12" s="456"/>
      <c r="UF12" s="456"/>
      <c r="UG12" s="456"/>
      <c r="UH12" s="456"/>
      <c r="UI12" s="456"/>
      <c r="UJ12" s="456"/>
      <c r="UK12" s="456"/>
      <c r="UL12" s="456"/>
      <c r="UM12" s="456"/>
      <c r="UN12" s="456"/>
      <c r="UO12" s="456"/>
      <c r="UP12" s="456"/>
      <c r="UQ12" s="456"/>
      <c r="UR12" s="456"/>
      <c r="US12" s="456"/>
      <c r="UT12" s="456"/>
      <c r="UU12" s="456"/>
      <c r="UV12" s="456"/>
      <c r="UW12" s="456"/>
      <c r="UX12" s="456"/>
      <c r="UY12" s="456"/>
      <c r="UZ12" s="456"/>
      <c r="VA12" s="456"/>
      <c r="VB12" s="456"/>
      <c r="VC12" s="456"/>
      <c r="VD12" s="456"/>
      <c r="VE12" s="456"/>
      <c r="VF12" s="456"/>
      <c r="VG12" s="456"/>
      <c r="VH12" s="456"/>
      <c r="VI12" s="456"/>
      <c r="VJ12" s="456"/>
      <c r="VK12" s="456"/>
      <c r="VL12" s="456"/>
      <c r="VM12" s="456"/>
      <c r="VN12" s="456"/>
      <c r="VO12" s="456"/>
      <c r="VP12" s="456"/>
      <c r="VQ12" s="456"/>
      <c r="VR12" s="456"/>
      <c r="VS12" s="456"/>
      <c r="VT12" s="456"/>
      <c r="VU12" s="456"/>
      <c r="VV12" s="456"/>
      <c r="VW12" s="456"/>
      <c r="VX12" s="456"/>
      <c r="VY12" s="456"/>
      <c r="VZ12" s="456"/>
      <c r="WA12" s="456"/>
      <c r="WB12" s="456"/>
      <c r="WC12" s="456"/>
      <c r="WD12" s="456"/>
      <c r="WE12" s="456"/>
      <c r="WF12" s="456"/>
      <c r="WG12" s="456"/>
      <c r="WH12" s="456"/>
      <c r="WI12" s="456"/>
      <c r="WJ12" s="456"/>
      <c r="WK12" s="456"/>
      <c r="WL12" s="456"/>
      <c r="WM12" s="456"/>
      <c r="WN12" s="456"/>
      <c r="WO12" s="456"/>
      <c r="WP12" s="456"/>
      <c r="WQ12" s="456"/>
      <c r="WR12" s="456"/>
      <c r="WS12" s="456"/>
      <c r="WT12" s="456"/>
      <c r="WU12" s="456"/>
      <c r="WV12" s="456"/>
      <c r="WW12" s="456"/>
      <c r="WX12" s="456"/>
      <c r="WY12" s="456"/>
      <c r="WZ12" s="456"/>
      <c r="XA12" s="456"/>
      <c r="XB12" s="456"/>
      <c r="XC12" s="456"/>
      <c r="XD12" s="456"/>
      <c r="XE12" s="456"/>
      <c r="XF12" s="456"/>
      <c r="XG12" s="456"/>
      <c r="XH12" s="456"/>
      <c r="XI12" s="456"/>
      <c r="XJ12" s="456"/>
      <c r="XK12" s="456"/>
      <c r="XL12" s="456"/>
      <c r="XM12" s="456"/>
      <c r="XN12" s="456"/>
      <c r="XO12" s="456"/>
      <c r="XP12" s="456"/>
      <c r="XQ12" s="456"/>
      <c r="XR12" s="456"/>
      <c r="XS12" s="456"/>
      <c r="XT12" s="456"/>
      <c r="XU12" s="456"/>
      <c r="XV12" s="456"/>
      <c r="XW12" s="456"/>
      <c r="XX12" s="456"/>
      <c r="XY12" s="456"/>
      <c r="XZ12" s="456"/>
      <c r="YA12" s="456"/>
      <c r="YB12" s="456"/>
      <c r="YC12" s="456"/>
      <c r="YD12" s="456"/>
      <c r="YE12" s="456"/>
      <c r="YF12" s="456"/>
      <c r="YG12" s="456"/>
      <c r="YH12" s="456"/>
      <c r="YI12" s="456"/>
      <c r="YJ12" s="456"/>
      <c r="YK12" s="456"/>
      <c r="YL12" s="456"/>
      <c r="YM12" s="456"/>
      <c r="YN12" s="456"/>
      <c r="YO12" s="456"/>
      <c r="YP12" s="456"/>
      <c r="YQ12" s="456"/>
      <c r="YR12" s="456"/>
      <c r="YS12" s="456"/>
      <c r="YT12" s="456"/>
      <c r="YU12" s="456"/>
      <c r="YV12" s="456"/>
      <c r="YW12" s="456"/>
      <c r="YX12" s="456"/>
      <c r="YY12" s="456"/>
      <c r="YZ12" s="456"/>
      <c r="ZA12" s="456"/>
      <c r="ZB12" s="456"/>
      <c r="ZC12" s="456"/>
      <c r="ZD12" s="456"/>
      <c r="ZE12" s="456"/>
      <c r="ZF12" s="456"/>
      <c r="ZG12" s="456"/>
      <c r="ZH12" s="456"/>
      <c r="ZI12" s="456"/>
      <c r="ZJ12" s="456"/>
      <c r="ZK12" s="456"/>
      <c r="ZL12" s="456"/>
      <c r="ZM12" s="456"/>
      <c r="ZN12" s="456"/>
      <c r="ZO12" s="456"/>
      <c r="ZP12" s="456"/>
      <c r="ZQ12" s="456"/>
      <c r="ZR12" s="456"/>
      <c r="ZS12" s="456"/>
      <c r="ZT12" s="456"/>
      <c r="ZU12" s="456"/>
      <c r="ZV12" s="456"/>
      <c r="ZW12" s="456"/>
      <c r="ZX12" s="456"/>
      <c r="ZY12" s="456"/>
      <c r="ZZ12" s="456"/>
      <c r="AAA12" s="456"/>
      <c r="AAB12" s="456"/>
      <c r="AAC12" s="456"/>
      <c r="AAD12" s="456"/>
      <c r="AAE12" s="456"/>
      <c r="AAF12" s="456"/>
      <c r="AAG12" s="456"/>
      <c r="AAH12" s="456"/>
      <c r="AAI12" s="456"/>
      <c r="AAJ12" s="456"/>
      <c r="AAK12" s="456"/>
      <c r="AAL12" s="456"/>
      <c r="AAM12" s="456"/>
      <c r="AAN12" s="456"/>
      <c r="AAO12" s="456"/>
      <c r="AAP12" s="456"/>
      <c r="AAQ12" s="456"/>
      <c r="AAR12" s="456"/>
      <c r="AAS12" s="456"/>
      <c r="AAT12" s="456"/>
      <c r="AAU12" s="456"/>
      <c r="AAV12" s="456"/>
      <c r="AAW12" s="456"/>
      <c r="AAX12" s="456"/>
      <c r="AAY12" s="456"/>
      <c r="AAZ12" s="456"/>
      <c r="ABA12" s="456"/>
      <c r="ABB12" s="456"/>
      <c r="ABC12" s="456"/>
      <c r="ABD12" s="456"/>
      <c r="ABE12" s="456"/>
      <c r="ABF12" s="456"/>
      <c r="ABG12" s="456"/>
      <c r="ABH12" s="456"/>
      <c r="ABI12" s="456"/>
      <c r="ABJ12" s="456"/>
      <c r="ABK12" s="456"/>
      <c r="ABL12" s="456"/>
      <c r="ABM12" s="456"/>
      <c r="ABN12" s="456"/>
      <c r="ABO12" s="456"/>
      <c r="ABP12" s="456"/>
      <c r="ABQ12" s="456"/>
      <c r="ABR12" s="456"/>
      <c r="ABS12" s="456"/>
      <c r="ABT12" s="456"/>
      <c r="ABU12" s="456"/>
      <c r="ABV12" s="456"/>
      <c r="ABW12" s="456"/>
      <c r="ABX12" s="456"/>
      <c r="ABY12" s="456"/>
      <c r="ABZ12" s="456"/>
      <c r="ACA12" s="456"/>
      <c r="ACB12" s="456"/>
      <c r="ACC12" s="456"/>
      <c r="ACD12" s="456"/>
      <c r="ACE12" s="456"/>
      <c r="ACF12" s="456"/>
      <c r="ACG12" s="456"/>
      <c r="ACH12" s="456"/>
      <c r="ACI12" s="456"/>
      <c r="ACJ12" s="456"/>
      <c r="ACK12" s="456"/>
      <c r="ACL12" s="456"/>
      <c r="ACM12" s="456"/>
      <c r="ACN12" s="456"/>
      <c r="ACO12" s="456"/>
      <c r="ACP12" s="456"/>
      <c r="ACQ12" s="456"/>
      <c r="ACR12" s="456"/>
      <c r="ACS12" s="456"/>
      <c r="ACT12" s="456"/>
      <c r="ACU12" s="456"/>
      <c r="ACV12" s="456"/>
      <c r="ACW12" s="456"/>
      <c r="ACX12" s="456"/>
      <c r="ACY12" s="456"/>
      <c r="ACZ12" s="456"/>
      <c r="ADA12" s="456"/>
      <c r="ADB12" s="456"/>
      <c r="ADC12" s="456"/>
      <c r="ADD12" s="456"/>
      <c r="ADE12" s="456"/>
      <c r="ADF12" s="456"/>
      <c r="ADG12" s="456"/>
      <c r="ADH12" s="456"/>
      <c r="ADI12" s="456"/>
      <c r="ADJ12" s="456"/>
      <c r="ADK12" s="456"/>
      <c r="ADL12" s="456"/>
      <c r="ADM12" s="456"/>
      <c r="ADN12" s="456"/>
      <c r="ADO12" s="456"/>
      <c r="ADP12" s="456"/>
      <c r="ADQ12" s="456"/>
      <c r="ADR12" s="456"/>
      <c r="ADS12" s="456"/>
      <c r="ADT12" s="456"/>
      <c r="ADU12" s="456"/>
      <c r="ADV12" s="456"/>
      <c r="ADW12" s="456"/>
      <c r="ADX12" s="456"/>
      <c r="ADY12" s="456"/>
      <c r="ADZ12" s="456"/>
      <c r="AEA12" s="456"/>
      <c r="AEB12" s="456"/>
      <c r="AEC12" s="456"/>
      <c r="AED12" s="456"/>
      <c r="AEE12" s="456"/>
      <c r="AEF12" s="456"/>
      <c r="AEG12" s="456"/>
      <c r="AEH12" s="456"/>
      <c r="AEI12" s="456"/>
      <c r="AEJ12" s="456"/>
      <c r="AEK12" s="456"/>
      <c r="AEL12" s="456"/>
      <c r="AEM12" s="456"/>
      <c r="AEN12" s="456"/>
      <c r="AEO12" s="456"/>
      <c r="AEP12" s="456"/>
      <c r="AEQ12" s="456"/>
      <c r="AER12" s="456"/>
      <c r="AES12" s="456"/>
      <c r="AET12" s="456"/>
      <c r="AEU12" s="456"/>
      <c r="AEV12" s="456"/>
      <c r="AEW12" s="456"/>
      <c r="AEX12" s="456"/>
      <c r="AEY12" s="456"/>
      <c r="AEZ12" s="456"/>
      <c r="AFA12" s="456"/>
      <c r="AFB12" s="456"/>
      <c r="AFC12" s="456"/>
      <c r="AFD12" s="456"/>
      <c r="AFE12" s="456"/>
      <c r="AFF12" s="456"/>
      <c r="AFG12" s="456"/>
      <c r="AFH12" s="456"/>
      <c r="AFI12" s="456"/>
      <c r="AFJ12" s="456"/>
      <c r="AFK12" s="456"/>
      <c r="AFL12" s="456"/>
      <c r="AFM12" s="456"/>
      <c r="AFN12" s="456"/>
      <c r="AFO12" s="456"/>
      <c r="AFP12" s="456"/>
      <c r="AFQ12" s="456"/>
      <c r="AFR12" s="456"/>
      <c r="AFS12" s="456"/>
      <c r="AFT12" s="456"/>
      <c r="AFU12" s="456"/>
      <c r="AFV12" s="456"/>
      <c r="AFW12" s="456"/>
      <c r="AFX12" s="456"/>
      <c r="AFY12" s="456"/>
      <c r="AFZ12" s="456"/>
      <c r="AGA12" s="456"/>
      <c r="AGB12" s="456"/>
      <c r="AGC12" s="456"/>
      <c r="AGD12" s="456"/>
      <c r="AGE12" s="456"/>
      <c r="AGF12" s="456"/>
      <c r="AGG12" s="456"/>
      <c r="AGH12" s="456"/>
      <c r="AGI12" s="456"/>
      <c r="AGJ12" s="456"/>
      <c r="AGK12" s="456"/>
      <c r="AGL12" s="456"/>
      <c r="AGM12" s="456"/>
      <c r="AGN12" s="456"/>
      <c r="AGO12" s="456"/>
      <c r="AGP12" s="456"/>
      <c r="AGQ12" s="456"/>
      <c r="AGR12" s="456"/>
      <c r="AGS12" s="456"/>
      <c r="AGT12" s="456"/>
      <c r="AGU12" s="456"/>
      <c r="AGV12" s="456"/>
      <c r="AGW12" s="456"/>
      <c r="AGX12" s="456"/>
      <c r="AGY12" s="456"/>
      <c r="AGZ12" s="456"/>
      <c r="AHA12" s="456"/>
      <c r="AHB12" s="456"/>
      <c r="AHC12" s="456"/>
      <c r="AHD12" s="456"/>
      <c r="AHE12" s="456"/>
      <c r="AHF12" s="456"/>
      <c r="AHG12" s="456"/>
      <c r="AHH12" s="456"/>
      <c r="AHI12" s="456"/>
      <c r="AHJ12" s="456"/>
      <c r="AHK12" s="456"/>
      <c r="AHL12" s="456"/>
      <c r="AHM12" s="456"/>
      <c r="AHN12" s="456"/>
      <c r="AHO12" s="456"/>
      <c r="AHP12" s="456"/>
      <c r="AHQ12" s="456"/>
      <c r="AHR12" s="456"/>
      <c r="AHS12" s="456"/>
      <c r="AHT12" s="456"/>
      <c r="AHU12" s="456"/>
      <c r="AHV12" s="456"/>
      <c r="AHW12" s="456"/>
      <c r="AHX12" s="456"/>
      <c r="AHY12" s="456"/>
      <c r="AHZ12" s="456"/>
      <c r="AIA12" s="456"/>
      <c r="AIB12" s="456"/>
      <c r="AIC12" s="456"/>
      <c r="AID12" s="456"/>
      <c r="AIE12" s="456"/>
      <c r="AIF12" s="456"/>
      <c r="AIG12" s="456"/>
      <c r="AIH12" s="456"/>
      <c r="AII12" s="456"/>
      <c r="AIJ12" s="456"/>
      <c r="AIK12" s="456"/>
      <c r="AIL12" s="456"/>
      <c r="AIM12" s="456"/>
      <c r="AIN12" s="456"/>
      <c r="AIO12" s="456"/>
      <c r="AIP12" s="456"/>
      <c r="AIQ12" s="456"/>
      <c r="AIR12" s="456"/>
      <c r="AIS12" s="456"/>
      <c r="AIT12" s="456"/>
      <c r="AIU12" s="456"/>
      <c r="AIV12" s="456"/>
      <c r="AIW12" s="456"/>
      <c r="AIX12" s="456"/>
      <c r="AIY12" s="456"/>
      <c r="AIZ12" s="456"/>
      <c r="AJA12" s="456"/>
      <c r="AJB12" s="456"/>
      <c r="AJC12" s="456"/>
      <c r="AJD12" s="456"/>
      <c r="AJE12" s="456"/>
      <c r="AJF12" s="456"/>
      <c r="AJG12" s="456"/>
      <c r="AJH12" s="456"/>
      <c r="AJI12" s="456"/>
      <c r="AJJ12" s="456"/>
      <c r="AJK12" s="456"/>
      <c r="AJL12" s="456"/>
      <c r="AJM12" s="456"/>
      <c r="AJN12" s="456"/>
      <c r="AJO12" s="456"/>
      <c r="AJP12" s="456"/>
      <c r="AJQ12" s="456"/>
      <c r="AJR12" s="456"/>
      <c r="AJS12" s="456"/>
      <c r="AJT12" s="456"/>
      <c r="AJU12" s="456"/>
      <c r="AJV12" s="456"/>
      <c r="AJW12" s="456"/>
      <c r="AJX12" s="456"/>
      <c r="AJY12" s="456"/>
      <c r="AJZ12" s="456"/>
      <c r="AKA12" s="456"/>
      <c r="AKB12" s="456"/>
      <c r="AKC12" s="456"/>
      <c r="AKD12" s="456"/>
      <c r="AKE12" s="456"/>
      <c r="AKF12" s="456"/>
      <c r="AKG12" s="456"/>
      <c r="AKH12" s="456"/>
      <c r="AKI12" s="456"/>
      <c r="AKJ12" s="456"/>
      <c r="AKK12" s="456"/>
      <c r="AKL12" s="456"/>
      <c r="AKM12" s="456"/>
      <c r="AKN12" s="456"/>
      <c r="AKO12" s="456"/>
      <c r="AKP12" s="456"/>
      <c r="AKQ12" s="456"/>
      <c r="AKR12" s="456"/>
      <c r="AKS12" s="456"/>
      <c r="AKT12" s="456"/>
      <c r="AKU12" s="456"/>
      <c r="AKV12" s="456"/>
      <c r="AKW12" s="456"/>
      <c r="AKX12" s="456"/>
      <c r="AKY12" s="456"/>
      <c r="AKZ12" s="456"/>
      <c r="ALA12" s="456"/>
      <c r="ALB12" s="456"/>
      <c r="ALC12" s="456"/>
      <c r="ALD12" s="456"/>
      <c r="ALE12" s="456"/>
      <c r="ALF12" s="456"/>
      <c r="ALG12" s="456"/>
      <c r="ALH12" s="456"/>
      <c r="ALI12" s="456"/>
      <c r="ALJ12" s="456"/>
      <c r="ALK12" s="456"/>
      <c r="ALL12" s="456"/>
      <c r="ALM12" s="456"/>
      <c r="ALN12" s="456"/>
      <c r="ALO12" s="456"/>
      <c r="ALP12" s="456"/>
      <c r="ALQ12" s="456"/>
      <c r="ALR12" s="456"/>
      <c r="ALS12" s="456"/>
      <c r="ALT12" s="456"/>
      <c r="ALU12" s="456"/>
      <c r="ALV12" s="456"/>
      <c r="ALW12" s="456"/>
      <c r="ALX12" s="456"/>
      <c r="ALY12" s="456"/>
      <c r="ALZ12" s="456"/>
      <c r="AMA12" s="456"/>
      <c r="AMB12" s="456"/>
      <c r="AMC12" s="456"/>
      <c r="AMD12" s="456"/>
      <c r="AME12" s="456"/>
      <c r="AMF12" s="456"/>
      <c r="AMG12" s="456"/>
      <c r="AMH12" s="456"/>
      <c r="AMI12" s="456"/>
      <c r="AMJ12" s="456"/>
      <c r="AMK12" s="456"/>
      <c r="AML12" s="456"/>
      <c r="AMM12" s="456"/>
      <c r="AMN12" s="456"/>
      <c r="AMO12" s="456"/>
      <c r="AMP12" s="456"/>
      <c r="AMQ12" s="456"/>
      <c r="AMR12" s="456"/>
      <c r="AMS12" s="456"/>
      <c r="AMT12" s="456"/>
      <c r="AMU12" s="456"/>
      <c r="AMV12" s="456"/>
      <c r="AMW12" s="456"/>
      <c r="AMX12" s="456"/>
      <c r="AMY12" s="456"/>
      <c r="AMZ12" s="456"/>
      <c r="ANA12" s="456"/>
      <c r="ANB12" s="456"/>
      <c r="ANC12" s="456"/>
      <c r="AND12" s="456"/>
      <c r="ANE12" s="456"/>
      <c r="ANF12" s="456"/>
      <c r="ANG12" s="456"/>
      <c r="ANH12" s="456"/>
      <c r="ANI12" s="456"/>
      <c r="ANJ12" s="456"/>
      <c r="ANK12" s="456"/>
      <c r="ANL12" s="456"/>
      <c r="ANM12" s="456"/>
      <c r="ANN12" s="456"/>
      <c r="ANO12" s="456"/>
      <c r="ANP12" s="456"/>
      <c r="ANQ12" s="456"/>
      <c r="ANR12" s="456"/>
      <c r="ANS12" s="456"/>
      <c r="ANT12" s="456"/>
      <c r="ANU12" s="456"/>
      <c r="ANV12" s="456"/>
      <c r="ANW12" s="456"/>
      <c r="ANX12" s="456"/>
      <c r="ANY12" s="456"/>
      <c r="ANZ12" s="456"/>
      <c r="AOA12" s="456"/>
      <c r="AOB12" s="456"/>
      <c r="AOC12" s="456"/>
      <c r="AOD12" s="456"/>
      <c r="AOE12" s="456"/>
      <c r="AOF12" s="456"/>
      <c r="AOG12" s="456"/>
      <c r="AOH12" s="456"/>
      <c r="AOI12" s="456"/>
      <c r="AOJ12" s="456"/>
      <c r="AOK12" s="456"/>
      <c r="AOL12" s="456"/>
      <c r="AOM12" s="456"/>
      <c r="AON12" s="456"/>
      <c r="AOO12" s="456"/>
      <c r="AOP12" s="456"/>
      <c r="AOQ12" s="456"/>
      <c r="AOR12" s="456"/>
      <c r="AOS12" s="456"/>
      <c r="AOT12" s="456"/>
      <c r="AOU12" s="456"/>
      <c r="AOV12" s="456"/>
      <c r="AOW12" s="456"/>
      <c r="AOX12" s="456"/>
      <c r="AOY12" s="456"/>
      <c r="AOZ12" s="456"/>
      <c r="APA12" s="456"/>
      <c r="APB12" s="456"/>
      <c r="APC12" s="456"/>
      <c r="APD12" s="456"/>
      <c r="APE12" s="456"/>
      <c r="APF12" s="456"/>
      <c r="APG12" s="456"/>
      <c r="APH12" s="456"/>
      <c r="API12" s="456"/>
      <c r="APJ12" s="456"/>
      <c r="APK12" s="456"/>
      <c r="APL12" s="456"/>
      <c r="APM12" s="456"/>
      <c r="APN12" s="456"/>
      <c r="APO12" s="456"/>
      <c r="APP12" s="456"/>
      <c r="APQ12" s="456"/>
      <c r="APR12" s="456"/>
      <c r="APS12" s="456"/>
      <c r="APT12" s="456"/>
      <c r="APU12" s="456"/>
      <c r="APV12" s="456"/>
      <c r="APW12" s="456"/>
      <c r="APX12" s="456"/>
      <c r="APY12" s="456"/>
      <c r="APZ12" s="456"/>
      <c r="AQA12" s="456"/>
      <c r="AQB12" s="456"/>
      <c r="AQC12" s="456"/>
      <c r="AQD12" s="456"/>
      <c r="AQE12" s="456"/>
      <c r="AQF12" s="456"/>
      <c r="AQG12" s="456"/>
      <c r="AQH12" s="456"/>
      <c r="AQI12" s="456"/>
      <c r="AQJ12" s="456"/>
      <c r="AQK12" s="456"/>
      <c r="AQL12" s="456"/>
      <c r="AQM12" s="456"/>
      <c r="AQN12" s="456"/>
      <c r="AQO12" s="456"/>
      <c r="AQP12" s="456"/>
      <c r="AQQ12" s="456"/>
      <c r="AQR12" s="456"/>
      <c r="AQS12" s="456"/>
      <c r="AQT12" s="456"/>
      <c r="AQU12" s="456"/>
      <c r="AQV12" s="456"/>
      <c r="AQW12" s="456"/>
      <c r="AQX12" s="456"/>
      <c r="AQY12" s="456"/>
      <c r="AQZ12" s="456"/>
      <c r="ARA12" s="456"/>
      <c r="ARB12" s="456"/>
      <c r="ARC12" s="456"/>
      <c r="ARD12" s="456"/>
      <c r="ARE12" s="456"/>
      <c r="ARF12" s="456"/>
      <c r="ARG12" s="456"/>
      <c r="ARH12" s="456"/>
      <c r="ARI12" s="456"/>
      <c r="ARJ12" s="456"/>
      <c r="ARK12" s="456"/>
      <c r="ARL12" s="456"/>
      <c r="ARM12" s="456"/>
      <c r="ARN12" s="456"/>
      <c r="ARO12" s="456"/>
      <c r="ARP12" s="456"/>
      <c r="ARQ12" s="456"/>
      <c r="ARR12" s="456"/>
      <c r="ARS12" s="456"/>
      <c r="ART12" s="456"/>
      <c r="ARU12" s="456"/>
      <c r="ARV12" s="456"/>
      <c r="ARW12" s="456"/>
      <c r="ARX12" s="456"/>
      <c r="ARY12" s="456"/>
      <c r="ARZ12" s="456"/>
      <c r="ASA12" s="456"/>
      <c r="ASB12" s="456"/>
      <c r="ASC12" s="456"/>
      <c r="ASD12" s="456"/>
      <c r="ASE12" s="456"/>
      <c r="ASF12" s="456"/>
      <c r="ASG12" s="456"/>
      <c r="ASH12" s="456"/>
      <c r="ASI12" s="456"/>
      <c r="ASJ12" s="456"/>
      <c r="ASK12" s="456"/>
      <c r="ASL12" s="456"/>
      <c r="ASM12" s="456"/>
      <c r="ASN12" s="456"/>
      <c r="ASO12" s="456"/>
      <c r="ASP12" s="456"/>
      <c r="ASQ12" s="456"/>
      <c r="ASR12" s="456"/>
      <c r="ASS12" s="456"/>
      <c r="AST12" s="456"/>
      <c r="ASU12" s="456"/>
      <c r="ASV12" s="456"/>
      <c r="ASW12" s="456"/>
      <c r="ASX12" s="456"/>
      <c r="ASY12" s="456"/>
      <c r="ASZ12" s="456"/>
      <c r="ATA12" s="456"/>
      <c r="ATB12" s="456"/>
      <c r="ATC12" s="456"/>
      <c r="ATD12" s="456"/>
      <c r="ATE12" s="456"/>
      <c r="ATF12" s="456"/>
      <c r="ATG12" s="456"/>
      <c r="ATH12" s="456"/>
      <c r="ATI12" s="456"/>
      <c r="ATJ12" s="456"/>
      <c r="ATK12" s="456"/>
      <c r="ATL12" s="456"/>
      <c r="ATM12" s="456"/>
      <c r="ATN12" s="456"/>
      <c r="ATO12" s="456"/>
      <c r="ATP12" s="456"/>
      <c r="ATQ12" s="456"/>
      <c r="ATR12" s="456"/>
      <c r="ATS12" s="456"/>
      <c r="ATT12" s="456"/>
      <c r="ATU12" s="456"/>
      <c r="ATV12" s="456"/>
      <c r="ATW12" s="456"/>
      <c r="ATX12" s="456"/>
      <c r="ATY12" s="456"/>
      <c r="ATZ12" s="456"/>
      <c r="AUA12" s="456"/>
      <c r="AUB12" s="456"/>
      <c r="AUC12" s="456"/>
      <c r="AUD12" s="456"/>
      <c r="AUE12" s="456"/>
      <c r="AUF12" s="456"/>
      <c r="AUG12" s="456"/>
      <c r="AUH12" s="456"/>
      <c r="AUI12" s="456"/>
      <c r="AUJ12" s="456"/>
      <c r="AUK12" s="456"/>
      <c r="AUL12" s="456"/>
      <c r="AUM12" s="456"/>
      <c r="AUN12" s="456"/>
      <c r="AUO12" s="456"/>
      <c r="AUP12" s="456"/>
      <c r="AUQ12" s="456"/>
      <c r="AUR12" s="456"/>
      <c r="AUS12" s="456"/>
      <c r="AUT12" s="456"/>
      <c r="AUU12" s="456"/>
      <c r="AUV12" s="456"/>
      <c r="AUW12" s="456"/>
      <c r="AUX12" s="456"/>
      <c r="AUY12" s="456"/>
      <c r="AUZ12" s="456"/>
      <c r="AVA12" s="456"/>
      <c r="AVB12" s="456"/>
      <c r="AVC12" s="456"/>
      <c r="AVD12" s="456"/>
      <c r="AVE12" s="456"/>
      <c r="AVF12" s="456"/>
      <c r="AVG12" s="456"/>
      <c r="AVH12" s="456"/>
      <c r="AVI12" s="456"/>
      <c r="AVJ12" s="456"/>
      <c r="AVK12" s="456"/>
      <c r="AVL12" s="456"/>
      <c r="AVM12" s="456"/>
      <c r="AVN12" s="456"/>
      <c r="AVO12" s="456"/>
      <c r="AVP12" s="456"/>
      <c r="AVQ12" s="456"/>
      <c r="AVR12" s="456"/>
      <c r="AVS12" s="456"/>
      <c r="AVT12" s="456"/>
      <c r="AVU12" s="456"/>
      <c r="AVV12" s="456"/>
      <c r="AVW12" s="456"/>
      <c r="AVX12" s="456"/>
      <c r="AVY12" s="456"/>
      <c r="AVZ12" s="456"/>
      <c r="AWA12" s="456"/>
      <c r="AWB12" s="456"/>
      <c r="AWC12" s="456"/>
      <c r="AWD12" s="456"/>
      <c r="AWE12" s="456"/>
      <c r="AWF12" s="456"/>
      <c r="AWG12" s="456"/>
      <c r="AWH12" s="456"/>
      <c r="AWI12" s="456"/>
      <c r="AWJ12" s="456"/>
      <c r="AWK12" s="456"/>
      <c r="AWL12" s="456"/>
      <c r="AWM12" s="456"/>
      <c r="AWN12" s="456"/>
      <c r="AWO12" s="456"/>
      <c r="AWP12" s="456"/>
      <c r="AWQ12" s="456"/>
      <c r="AWR12" s="456"/>
      <c r="AWS12" s="456"/>
      <c r="AWT12" s="456"/>
      <c r="AWU12" s="456"/>
      <c r="AWV12" s="456"/>
      <c r="AWW12" s="456"/>
      <c r="AWX12" s="456"/>
      <c r="AWY12" s="456"/>
      <c r="AWZ12" s="456"/>
      <c r="AXA12" s="456"/>
      <c r="AXB12" s="456"/>
      <c r="AXC12" s="456"/>
      <c r="AXD12" s="456"/>
      <c r="AXE12" s="456"/>
      <c r="AXF12" s="456"/>
      <c r="AXG12" s="456"/>
      <c r="AXH12" s="456"/>
      <c r="AXI12" s="456"/>
      <c r="AXJ12" s="456"/>
      <c r="AXK12" s="456"/>
      <c r="AXL12" s="456"/>
      <c r="AXM12" s="456"/>
      <c r="AXN12" s="456"/>
      <c r="AXO12" s="456"/>
      <c r="AXP12" s="456"/>
      <c r="AXQ12" s="456"/>
      <c r="AXR12" s="456"/>
      <c r="AXS12" s="456"/>
      <c r="AXT12" s="456"/>
      <c r="AXU12" s="456"/>
      <c r="AXV12" s="456"/>
      <c r="AXW12" s="456"/>
      <c r="AXX12" s="456"/>
      <c r="AXY12" s="456"/>
      <c r="AXZ12" s="456"/>
      <c r="AYA12" s="456"/>
      <c r="AYB12" s="456"/>
      <c r="AYC12" s="456"/>
      <c r="AYD12" s="456"/>
      <c r="AYE12" s="456"/>
      <c r="AYF12" s="456"/>
      <c r="AYG12" s="456"/>
      <c r="AYH12" s="456"/>
      <c r="AYI12" s="456"/>
      <c r="AYJ12" s="456"/>
      <c r="AYK12" s="456"/>
      <c r="AYL12" s="456"/>
      <c r="AYM12" s="456"/>
      <c r="AYN12" s="456"/>
      <c r="AYO12" s="456"/>
      <c r="AYP12" s="456"/>
      <c r="AYQ12" s="456"/>
      <c r="AYR12" s="456"/>
      <c r="AYS12" s="456"/>
      <c r="AYT12" s="456"/>
      <c r="AYU12" s="456"/>
      <c r="AYV12" s="456"/>
      <c r="AYW12" s="456"/>
      <c r="AYX12" s="456"/>
      <c r="AYY12" s="456"/>
      <c r="AYZ12" s="456"/>
      <c r="AZA12" s="456"/>
      <c r="AZB12" s="456"/>
      <c r="AZC12" s="456"/>
      <c r="AZD12" s="456"/>
      <c r="AZE12" s="456"/>
      <c r="AZF12" s="456"/>
      <c r="AZG12" s="456"/>
      <c r="AZH12" s="456"/>
      <c r="AZI12" s="456"/>
      <c r="AZJ12" s="456"/>
      <c r="AZK12" s="456"/>
      <c r="AZL12" s="456"/>
      <c r="AZM12" s="456"/>
      <c r="AZN12" s="456"/>
      <c r="AZO12" s="456"/>
      <c r="AZP12" s="456"/>
      <c r="AZQ12" s="456"/>
      <c r="AZR12" s="456"/>
      <c r="AZS12" s="456"/>
      <c r="AZT12" s="456"/>
      <c r="AZU12" s="456"/>
      <c r="AZV12" s="456"/>
      <c r="AZW12" s="456"/>
      <c r="AZX12" s="456"/>
      <c r="AZY12" s="456"/>
      <c r="AZZ12" s="456"/>
      <c r="BAA12" s="456"/>
      <c r="BAB12" s="456"/>
      <c r="BAC12" s="456"/>
      <c r="BAD12" s="456"/>
      <c r="BAE12" s="456"/>
      <c r="BAF12" s="456"/>
      <c r="BAG12" s="456"/>
      <c r="BAH12" s="456"/>
      <c r="BAI12" s="456"/>
      <c r="BAJ12" s="456"/>
      <c r="BAK12" s="456"/>
      <c r="BAL12" s="456"/>
      <c r="BAM12" s="456"/>
      <c r="BAN12" s="456"/>
      <c r="BAO12" s="456"/>
      <c r="BAP12" s="456"/>
      <c r="BAQ12" s="456"/>
      <c r="BAR12" s="456"/>
      <c r="BAS12" s="456"/>
      <c r="BAT12" s="456"/>
      <c r="BAU12" s="456"/>
      <c r="BAV12" s="456"/>
      <c r="BAW12" s="456"/>
      <c r="BAX12" s="456"/>
      <c r="BAY12" s="456"/>
      <c r="BAZ12" s="456"/>
      <c r="BBA12" s="456"/>
      <c r="BBB12" s="456"/>
      <c r="BBC12" s="456"/>
      <c r="BBD12" s="456"/>
      <c r="BBE12" s="456"/>
      <c r="BBF12" s="456"/>
      <c r="BBG12" s="456"/>
      <c r="BBH12" s="456"/>
      <c r="BBI12" s="456"/>
      <c r="BBJ12" s="456"/>
      <c r="BBK12" s="456"/>
      <c r="BBL12" s="456"/>
      <c r="BBM12" s="456"/>
      <c r="BBN12" s="456"/>
      <c r="BBO12" s="456"/>
      <c r="BBP12" s="456"/>
      <c r="BBQ12" s="456"/>
      <c r="BBR12" s="456"/>
      <c r="BBS12" s="456"/>
      <c r="BBT12" s="456"/>
      <c r="BBU12" s="456"/>
      <c r="BBV12" s="456"/>
      <c r="BBW12" s="456"/>
      <c r="BBX12" s="456"/>
      <c r="BBY12" s="456"/>
      <c r="BBZ12" s="456"/>
      <c r="BCA12" s="456"/>
      <c r="BCB12" s="456"/>
      <c r="BCC12" s="456"/>
      <c r="BCD12" s="456"/>
      <c r="BCE12" s="456"/>
      <c r="BCF12" s="456"/>
      <c r="BCG12" s="456"/>
      <c r="BCH12" s="456"/>
      <c r="BCI12" s="456"/>
      <c r="BCJ12" s="456"/>
      <c r="BCK12" s="456"/>
      <c r="BCL12" s="456"/>
      <c r="BCM12" s="456"/>
      <c r="BCN12" s="456"/>
      <c r="BCO12" s="456"/>
      <c r="BCP12" s="456"/>
      <c r="BCQ12" s="456"/>
      <c r="BCR12" s="456"/>
      <c r="BCS12" s="456"/>
      <c r="BCT12" s="456"/>
      <c r="BCU12" s="456"/>
      <c r="BCV12" s="456"/>
      <c r="BCW12" s="456"/>
      <c r="BCX12" s="456"/>
      <c r="BCY12" s="456"/>
      <c r="BCZ12" s="456"/>
      <c r="BDA12" s="456"/>
      <c r="BDB12" s="456"/>
      <c r="BDC12" s="456"/>
      <c r="BDD12" s="456"/>
      <c r="BDE12" s="456"/>
      <c r="BDF12" s="456"/>
      <c r="BDG12" s="456"/>
      <c r="BDH12" s="456"/>
      <c r="BDI12" s="456"/>
      <c r="BDJ12" s="456"/>
      <c r="BDK12" s="456"/>
      <c r="BDL12" s="456"/>
      <c r="BDM12" s="456"/>
      <c r="BDN12" s="456"/>
      <c r="BDO12" s="456"/>
      <c r="BDP12" s="456"/>
      <c r="BDQ12" s="456"/>
      <c r="BDR12" s="456"/>
      <c r="BDS12" s="456"/>
      <c r="BDT12" s="456"/>
      <c r="BDU12" s="456"/>
      <c r="BDV12" s="456"/>
      <c r="BDW12" s="456"/>
      <c r="BDX12" s="456"/>
      <c r="BDY12" s="456"/>
      <c r="BDZ12" s="456"/>
      <c r="BEA12" s="456"/>
      <c r="BEB12" s="456"/>
      <c r="BEC12" s="456"/>
      <c r="BED12" s="456"/>
      <c r="BEE12" s="456"/>
      <c r="BEF12" s="456"/>
      <c r="BEG12" s="456"/>
      <c r="BEH12" s="456"/>
      <c r="BEI12" s="456"/>
      <c r="BEJ12" s="456"/>
      <c r="BEK12" s="456"/>
      <c r="BEL12" s="456"/>
      <c r="BEM12" s="456"/>
      <c r="BEN12" s="456"/>
      <c r="BEO12" s="456"/>
      <c r="BEP12" s="456"/>
      <c r="BEQ12" s="456"/>
      <c r="BER12" s="456"/>
      <c r="BES12" s="456"/>
      <c r="BET12" s="456"/>
      <c r="BEU12" s="456"/>
      <c r="BEV12" s="456"/>
      <c r="BEW12" s="456"/>
      <c r="BEX12" s="456"/>
      <c r="BEY12" s="456"/>
      <c r="BEZ12" s="456"/>
      <c r="BFA12" s="456"/>
      <c r="BFB12" s="456"/>
      <c r="BFC12" s="456"/>
      <c r="BFD12" s="456"/>
      <c r="BFE12" s="456"/>
      <c r="BFF12" s="456"/>
      <c r="BFG12" s="456"/>
      <c r="BFH12" s="456"/>
      <c r="BFI12" s="456"/>
      <c r="BFJ12" s="456"/>
      <c r="BFK12" s="456"/>
      <c r="BFL12" s="456"/>
      <c r="BFM12" s="456"/>
      <c r="BFN12" s="456"/>
      <c r="BFO12" s="456"/>
      <c r="BFP12" s="456"/>
      <c r="BFQ12" s="456"/>
      <c r="BFR12" s="456"/>
      <c r="BFS12" s="456"/>
      <c r="BFT12" s="456"/>
      <c r="BFU12" s="456"/>
      <c r="BFV12" s="456"/>
      <c r="BFW12" s="456"/>
      <c r="BFX12" s="456"/>
      <c r="BFY12" s="456"/>
      <c r="BFZ12" s="456"/>
      <c r="BGA12" s="456"/>
      <c r="BGB12" s="456"/>
      <c r="BGC12" s="456"/>
      <c r="BGD12" s="456"/>
      <c r="BGE12" s="456"/>
      <c r="BGF12" s="456"/>
      <c r="BGG12" s="456"/>
      <c r="BGH12" s="456"/>
      <c r="BGI12" s="456"/>
      <c r="BGJ12" s="456"/>
      <c r="BGK12" s="456"/>
      <c r="BGL12" s="456"/>
      <c r="BGM12" s="456"/>
      <c r="BGN12" s="456"/>
      <c r="BGO12" s="456"/>
      <c r="BGP12" s="456"/>
      <c r="BGQ12" s="456"/>
      <c r="BGR12" s="456"/>
      <c r="BGS12" s="456"/>
      <c r="BGT12" s="456"/>
      <c r="BGU12" s="456"/>
      <c r="BGV12" s="456"/>
      <c r="BGW12" s="456"/>
      <c r="BGX12" s="456"/>
      <c r="BGY12" s="456"/>
      <c r="BGZ12" s="456"/>
      <c r="BHA12" s="456"/>
      <c r="BHB12" s="456"/>
      <c r="BHC12" s="456"/>
      <c r="BHD12" s="456"/>
      <c r="BHE12" s="456"/>
      <c r="BHF12" s="456"/>
      <c r="BHG12" s="456"/>
      <c r="BHH12" s="456"/>
      <c r="BHI12" s="456"/>
      <c r="BHJ12" s="456"/>
      <c r="BHK12" s="456"/>
      <c r="BHL12" s="456"/>
      <c r="BHM12" s="456"/>
      <c r="BHN12" s="456"/>
      <c r="BHO12" s="456"/>
      <c r="BHP12" s="456"/>
      <c r="BHQ12" s="456"/>
      <c r="BHR12" s="456"/>
      <c r="BHS12" s="456"/>
      <c r="BHT12" s="456"/>
      <c r="BHU12" s="456"/>
      <c r="BHV12" s="456"/>
      <c r="BHW12" s="456"/>
      <c r="BHX12" s="456"/>
      <c r="BHY12" s="456"/>
      <c r="BHZ12" s="456"/>
      <c r="BIA12" s="456"/>
      <c r="BIB12" s="456"/>
      <c r="BIC12" s="456"/>
      <c r="BID12" s="456"/>
      <c r="BIE12" s="456"/>
      <c r="BIF12" s="456"/>
      <c r="BIG12" s="456"/>
      <c r="BIH12" s="456"/>
      <c r="BII12" s="456"/>
      <c r="BIJ12" s="456"/>
      <c r="BIK12" s="456"/>
      <c r="BIL12" s="456"/>
      <c r="BIM12" s="456"/>
      <c r="BIN12" s="456"/>
      <c r="BIO12" s="456"/>
      <c r="BIP12" s="456"/>
      <c r="BIQ12" s="456"/>
      <c r="BIR12" s="456"/>
      <c r="BIS12" s="456"/>
      <c r="BIT12" s="456"/>
      <c r="BIU12" s="456"/>
      <c r="BIV12" s="456"/>
      <c r="BIW12" s="456"/>
      <c r="BIX12" s="456"/>
      <c r="BIY12" s="456"/>
      <c r="BIZ12" s="456"/>
      <c r="BJA12" s="456"/>
      <c r="BJB12" s="456"/>
      <c r="BJC12" s="456"/>
      <c r="BJD12" s="456"/>
      <c r="BJE12" s="456"/>
      <c r="BJF12" s="456"/>
      <c r="BJG12" s="456"/>
      <c r="BJH12" s="456"/>
      <c r="BJI12" s="456"/>
      <c r="BJJ12" s="456"/>
      <c r="BJK12" s="456"/>
      <c r="BJL12" s="456"/>
      <c r="BJM12" s="456"/>
      <c r="BJN12" s="456"/>
      <c r="BJO12" s="456"/>
      <c r="BJP12" s="456"/>
      <c r="BJQ12" s="456"/>
      <c r="BJR12" s="456"/>
      <c r="BJS12" s="456"/>
      <c r="BJT12" s="456"/>
      <c r="BJU12" s="456"/>
      <c r="BJV12" s="456"/>
      <c r="BJW12" s="456"/>
      <c r="BJX12" s="456"/>
      <c r="BJY12" s="456"/>
      <c r="BJZ12" s="456"/>
      <c r="BKA12" s="456"/>
      <c r="BKB12" s="456"/>
      <c r="BKC12" s="456"/>
      <c r="BKD12" s="456"/>
      <c r="BKE12" s="456"/>
      <c r="BKF12" s="456"/>
      <c r="BKG12" s="456"/>
      <c r="BKH12" s="456"/>
      <c r="BKI12" s="456"/>
      <c r="BKJ12" s="456"/>
      <c r="BKK12" s="456"/>
      <c r="BKL12" s="456"/>
      <c r="BKM12" s="456"/>
      <c r="BKN12" s="456"/>
      <c r="BKO12" s="456"/>
      <c r="BKP12" s="456"/>
      <c r="BKQ12" s="456"/>
      <c r="BKR12" s="456"/>
      <c r="BKS12" s="456"/>
      <c r="BKT12" s="456"/>
      <c r="BKU12" s="456"/>
      <c r="BKV12" s="456"/>
      <c r="BKW12" s="456"/>
      <c r="BKX12" s="456"/>
      <c r="BKY12" s="456"/>
      <c r="BKZ12" s="456"/>
      <c r="BLA12" s="456"/>
      <c r="BLB12" s="456"/>
      <c r="BLC12" s="456"/>
      <c r="BLD12" s="456"/>
      <c r="BLE12" s="456"/>
      <c r="BLF12" s="456"/>
      <c r="BLG12" s="456"/>
      <c r="BLH12" s="456"/>
      <c r="BLI12" s="456"/>
      <c r="BLJ12" s="456"/>
      <c r="BLK12" s="456"/>
      <c r="BLL12" s="456"/>
      <c r="BLM12" s="456"/>
      <c r="BLN12" s="456"/>
      <c r="BLO12" s="456"/>
      <c r="BLP12" s="456"/>
      <c r="BLQ12" s="456"/>
      <c r="BLR12" s="456"/>
      <c r="BLS12" s="456"/>
      <c r="BLT12" s="456"/>
      <c r="BLU12" s="456"/>
      <c r="BLV12" s="456"/>
      <c r="BLW12" s="456"/>
      <c r="BLX12" s="456"/>
      <c r="BLY12" s="456"/>
      <c r="BLZ12" s="456"/>
      <c r="BMA12" s="456"/>
      <c r="BMB12" s="456"/>
      <c r="BMC12" s="456"/>
      <c r="BMD12" s="456"/>
      <c r="BME12" s="456"/>
      <c r="BMF12" s="456"/>
      <c r="BMG12" s="456"/>
      <c r="BMH12" s="456"/>
      <c r="BMI12" s="456"/>
      <c r="BMJ12" s="456"/>
      <c r="BMK12" s="456"/>
      <c r="BML12" s="456"/>
      <c r="BMM12" s="456"/>
      <c r="BMN12" s="456"/>
      <c r="BMO12" s="456"/>
      <c r="BMP12" s="456"/>
      <c r="BMQ12" s="456"/>
      <c r="BMR12" s="456"/>
      <c r="BMS12" s="456"/>
      <c r="BMT12" s="456"/>
      <c r="BMU12" s="456"/>
      <c r="BMV12" s="456"/>
      <c r="BMW12" s="456"/>
      <c r="BMX12" s="456"/>
      <c r="BMY12" s="456"/>
      <c r="BMZ12" s="456"/>
      <c r="BNA12" s="456"/>
      <c r="BNB12" s="456"/>
      <c r="BNC12" s="456"/>
      <c r="BND12" s="456"/>
      <c r="BNE12" s="456"/>
      <c r="BNF12" s="456"/>
      <c r="BNG12" s="456"/>
      <c r="BNH12" s="456"/>
      <c r="BNI12" s="456"/>
      <c r="BNJ12" s="456"/>
      <c r="BNK12" s="456"/>
      <c r="BNL12" s="456"/>
      <c r="BNM12" s="456"/>
      <c r="BNN12" s="456"/>
      <c r="BNO12" s="456"/>
      <c r="BNP12" s="456"/>
      <c r="BNQ12" s="456"/>
      <c r="BNR12" s="456"/>
      <c r="BNS12" s="456"/>
      <c r="BNT12" s="456"/>
      <c r="BNU12" s="456"/>
      <c r="BNV12" s="456"/>
      <c r="BNW12" s="456"/>
      <c r="BNX12" s="456"/>
      <c r="BNY12" s="456"/>
      <c r="BNZ12" s="456"/>
      <c r="BOA12" s="456"/>
      <c r="BOB12" s="456"/>
      <c r="BOC12" s="456"/>
      <c r="BOD12" s="456"/>
      <c r="BOE12" s="456"/>
      <c r="BOF12" s="456"/>
      <c r="BOG12" s="456"/>
      <c r="BOH12" s="456"/>
      <c r="BOI12" s="456"/>
      <c r="BOJ12" s="456"/>
      <c r="BOK12" s="456"/>
      <c r="BOL12" s="456"/>
      <c r="BOM12" s="456"/>
      <c r="BON12" s="456"/>
      <c r="BOO12" s="456"/>
      <c r="BOP12" s="456"/>
      <c r="BOQ12" s="456"/>
      <c r="BOR12" s="456"/>
      <c r="BOS12" s="456"/>
      <c r="BOT12" s="456"/>
      <c r="BOU12" s="456"/>
      <c r="BOV12" s="456"/>
      <c r="BOW12" s="456"/>
      <c r="BOX12" s="456"/>
      <c r="BOY12" s="456"/>
      <c r="BOZ12" s="456"/>
      <c r="BPA12" s="456"/>
      <c r="BPB12" s="456"/>
      <c r="BPC12" s="456"/>
      <c r="BPD12" s="456"/>
      <c r="BPE12" s="456"/>
      <c r="BPF12" s="456"/>
      <c r="BPG12" s="456"/>
      <c r="BPH12" s="456"/>
      <c r="BPI12" s="456"/>
      <c r="BPJ12" s="456"/>
      <c r="BPK12" s="456"/>
      <c r="BPL12" s="456"/>
      <c r="BPM12" s="456"/>
      <c r="BPN12" s="456"/>
      <c r="BPO12" s="456"/>
      <c r="BPP12" s="456"/>
      <c r="BPQ12" s="456"/>
      <c r="BPR12" s="456"/>
      <c r="BPS12" s="456"/>
      <c r="BPT12" s="456"/>
      <c r="BPU12" s="456"/>
      <c r="BPV12" s="456"/>
      <c r="BPW12" s="456"/>
      <c r="BPX12" s="456"/>
      <c r="BPY12" s="456"/>
      <c r="BPZ12" s="456"/>
      <c r="BQA12" s="456"/>
      <c r="BQB12" s="456"/>
      <c r="BQC12" s="456"/>
      <c r="BQD12" s="456"/>
      <c r="BQE12" s="456"/>
      <c r="BQF12" s="456"/>
      <c r="BQG12" s="456"/>
      <c r="BQH12" s="456"/>
      <c r="BQI12" s="456"/>
      <c r="BQJ12" s="456"/>
      <c r="BQK12" s="456"/>
      <c r="BQL12" s="456"/>
      <c r="BQM12" s="456"/>
      <c r="BQN12" s="456"/>
      <c r="BQO12" s="456"/>
      <c r="BQP12" s="456"/>
      <c r="BQQ12" s="456"/>
      <c r="BQR12" s="456"/>
      <c r="BQS12" s="456"/>
      <c r="BQT12" s="456"/>
      <c r="BQU12" s="456"/>
      <c r="BQV12" s="456"/>
      <c r="BQW12" s="456"/>
      <c r="BQX12" s="456"/>
      <c r="BQY12" s="456"/>
      <c r="BQZ12" s="456"/>
      <c r="BRA12" s="456"/>
      <c r="BRB12" s="456"/>
      <c r="BRC12" s="456"/>
      <c r="BRD12" s="456"/>
      <c r="BRE12" s="456"/>
      <c r="BRF12" s="456"/>
      <c r="BRG12" s="456"/>
      <c r="BRH12" s="456"/>
      <c r="BRI12" s="456"/>
      <c r="BRJ12" s="456"/>
      <c r="BRK12" s="456"/>
      <c r="BRL12" s="456"/>
      <c r="BRM12" s="456"/>
      <c r="BRN12" s="456"/>
      <c r="BRO12" s="456"/>
      <c r="BRP12" s="456"/>
      <c r="BRQ12" s="456"/>
      <c r="BRR12" s="456"/>
      <c r="BRS12" s="456"/>
      <c r="BRT12" s="456"/>
      <c r="BRU12" s="456"/>
      <c r="BRV12" s="456"/>
      <c r="BRW12" s="456"/>
      <c r="BRX12" s="456"/>
      <c r="BRY12" s="456"/>
      <c r="BRZ12" s="456"/>
      <c r="BSA12" s="456"/>
      <c r="BSB12" s="456"/>
      <c r="BSC12" s="456"/>
      <c r="BSD12" s="456"/>
      <c r="BSE12" s="456"/>
      <c r="BSF12" s="456"/>
      <c r="BSG12" s="456"/>
      <c r="BSH12" s="456"/>
      <c r="BSI12" s="456"/>
      <c r="BSJ12" s="456"/>
      <c r="BSK12" s="456"/>
      <c r="BSL12" s="456"/>
      <c r="BSM12" s="456"/>
      <c r="BSN12" s="456"/>
      <c r="BSO12" s="456"/>
      <c r="BSP12" s="456"/>
      <c r="BSQ12" s="456"/>
      <c r="BSR12" s="456"/>
      <c r="BSS12" s="456"/>
      <c r="BST12" s="456"/>
      <c r="BSU12" s="456"/>
      <c r="BSV12" s="456"/>
      <c r="BSW12" s="456"/>
      <c r="BSX12" s="456"/>
      <c r="BSY12" s="456"/>
      <c r="BSZ12" s="456"/>
      <c r="BTA12" s="456"/>
      <c r="BTB12" s="456"/>
      <c r="BTC12" s="456"/>
      <c r="BTD12" s="456"/>
      <c r="BTE12" s="456"/>
      <c r="BTF12" s="456"/>
      <c r="BTG12" s="456"/>
      <c r="BTH12" s="456"/>
      <c r="BTI12" s="456"/>
      <c r="BTJ12" s="456"/>
      <c r="BTK12" s="456"/>
      <c r="BTL12" s="456"/>
      <c r="BTM12" s="456"/>
      <c r="BTN12" s="456"/>
      <c r="BTO12" s="456"/>
      <c r="BTP12" s="456"/>
      <c r="BTQ12" s="456"/>
      <c r="BTR12" s="456"/>
      <c r="BTS12" s="456"/>
      <c r="BTT12" s="456"/>
      <c r="BTU12" s="456"/>
      <c r="BTV12" s="456"/>
      <c r="BTW12" s="456"/>
      <c r="BTX12" s="456"/>
      <c r="BTY12" s="456"/>
      <c r="BTZ12" s="456"/>
      <c r="BUA12" s="456"/>
      <c r="BUB12" s="456"/>
      <c r="BUC12" s="456"/>
      <c r="BUD12" s="456"/>
      <c r="BUE12" s="456"/>
      <c r="BUF12" s="456"/>
      <c r="BUG12" s="456"/>
      <c r="BUH12" s="456"/>
      <c r="BUI12" s="456"/>
      <c r="BUJ12" s="456"/>
      <c r="BUK12" s="456"/>
      <c r="BUL12" s="456"/>
      <c r="BUM12" s="456"/>
      <c r="BUN12" s="456"/>
      <c r="BUO12" s="456"/>
      <c r="BUP12" s="456"/>
      <c r="BUQ12" s="456"/>
      <c r="BUR12" s="456"/>
      <c r="BUS12" s="456"/>
      <c r="BUT12" s="456"/>
      <c r="BUU12" s="456"/>
      <c r="BUV12" s="456"/>
      <c r="BUW12" s="456"/>
      <c r="BUX12" s="456"/>
      <c r="BUY12" s="456"/>
      <c r="BUZ12" s="456"/>
      <c r="BVA12" s="456"/>
      <c r="BVB12" s="456"/>
      <c r="BVC12" s="456"/>
      <c r="BVD12" s="456"/>
      <c r="BVE12" s="456"/>
      <c r="BVF12" s="456"/>
      <c r="BVG12" s="456"/>
      <c r="BVH12" s="456"/>
      <c r="BVI12" s="456"/>
      <c r="BVJ12" s="456"/>
      <c r="BVK12" s="456"/>
      <c r="BVL12" s="456"/>
      <c r="BVM12" s="456"/>
      <c r="BVN12" s="456"/>
      <c r="BVO12" s="456"/>
      <c r="BVP12" s="456"/>
      <c r="BVQ12" s="456"/>
      <c r="BVR12" s="456"/>
      <c r="BVS12" s="456"/>
      <c r="BVT12" s="456"/>
      <c r="BVU12" s="456"/>
      <c r="BVV12" s="456"/>
      <c r="BVW12" s="456"/>
      <c r="BVX12" s="456"/>
      <c r="BVY12" s="456"/>
      <c r="BVZ12" s="456"/>
      <c r="BWA12" s="456"/>
      <c r="BWB12" s="456"/>
      <c r="BWC12" s="456"/>
      <c r="BWD12" s="456"/>
      <c r="BWE12" s="456"/>
      <c r="BWF12" s="456"/>
      <c r="BWG12" s="456"/>
      <c r="BWH12" s="456"/>
      <c r="BWI12" s="456"/>
      <c r="BWJ12" s="456"/>
      <c r="BWK12" s="456"/>
      <c r="BWL12" s="456"/>
      <c r="BWM12" s="456"/>
      <c r="BWN12" s="456"/>
      <c r="BWO12" s="456"/>
      <c r="BWP12" s="456"/>
      <c r="BWQ12" s="456"/>
      <c r="BWR12" s="456"/>
      <c r="BWS12" s="456"/>
      <c r="BWT12" s="456"/>
      <c r="BWU12" s="456"/>
      <c r="BWV12" s="456"/>
      <c r="BWW12" s="456"/>
      <c r="BWX12" s="456"/>
      <c r="BWY12" s="456"/>
      <c r="BWZ12" s="456"/>
      <c r="BXA12" s="456"/>
      <c r="BXB12" s="456"/>
      <c r="BXC12" s="456"/>
      <c r="BXD12" s="456"/>
      <c r="BXE12" s="456"/>
      <c r="BXF12" s="456"/>
      <c r="BXG12" s="456"/>
      <c r="BXH12" s="456"/>
      <c r="BXI12" s="456"/>
      <c r="BXJ12" s="456"/>
      <c r="BXK12" s="456"/>
      <c r="BXL12" s="456"/>
      <c r="BXM12" s="456"/>
      <c r="BXN12" s="456"/>
      <c r="BXO12" s="456"/>
      <c r="BXP12" s="456"/>
      <c r="BXQ12" s="456"/>
      <c r="BXR12" s="456"/>
      <c r="BXS12" s="456"/>
      <c r="BXT12" s="456"/>
      <c r="BXU12" s="456"/>
      <c r="BXV12" s="456"/>
      <c r="BXW12" s="456"/>
      <c r="BXX12" s="456"/>
      <c r="BXY12" s="456"/>
      <c r="BXZ12" s="456"/>
    </row>
    <row r="13" s="25" customFormat="1" ht="15.6" spans="1:1024 1025:2002">
      <c r="A13" s="473" t="s">
        <v>34</v>
      </c>
      <c r="B13" s="19">
        <v>1112</v>
      </c>
      <c r="C13" s="183">
        <v>46134</v>
      </c>
      <c r="D13" s="17" t="s">
        <v>52</v>
      </c>
      <c r="E13" s="17" t="s">
        <v>53</v>
      </c>
      <c r="F13" s="17" t="s">
        <v>54</v>
      </c>
      <c r="G13" s="17"/>
      <c r="H13" s="19" t="s">
        <v>55</v>
      </c>
      <c r="I13" s="102" t="s">
        <v>56</v>
      </c>
      <c r="J13" s="17" t="s">
        <v>49</v>
      </c>
      <c r="K13" s="19">
        <v>710</v>
      </c>
      <c r="L13" s="19">
        <v>160</v>
      </c>
      <c r="M13" s="19">
        <v>5800</v>
      </c>
      <c r="N13" s="19" t="s">
        <v>40</v>
      </c>
      <c r="O13" s="19" t="s">
        <v>50</v>
      </c>
      <c r="P13" s="19">
        <v>3150</v>
      </c>
      <c r="Q13" s="19">
        <v>3560</v>
      </c>
      <c r="R13" s="19">
        <f t="shared" si="0"/>
        <v>-410</v>
      </c>
      <c r="S13" s="311">
        <v>2040</v>
      </c>
      <c r="T13" s="19" t="s">
        <v>42</v>
      </c>
      <c r="U13" s="102" t="s">
        <v>57</v>
      </c>
      <c r="V13" s="186">
        <v>46139</v>
      </c>
      <c r="W13" s="17" t="s">
        <v>58</v>
      </c>
      <c r="X13" s="17"/>
      <c r="Y13" s="68">
        <v>46174</v>
      </c>
      <c r="Z13" s="17" t="s">
        <v>45</v>
      </c>
      <c r="AA13" s="17" t="s">
        <v>46</v>
      </c>
      <c r="AB13" s="17" t="s">
        <v>62</v>
      </c>
      <c r="AC13" s="217">
        <v>46202</v>
      </c>
      <c r="AD13" s="65">
        <v>1832</v>
      </c>
      <c r="AE13" s="17" t="s">
        <v>48</v>
      </c>
      <c r="AF13" s="17" t="s">
        <v>61</v>
      </c>
      <c r="AG13" s="17"/>
      <c r="AH13" s="456"/>
      <c r="AI13" s="456"/>
      <c r="AJ13" s="456"/>
      <c r="AK13" s="456"/>
      <c r="AL13" s="456"/>
      <c r="AM13" s="456"/>
      <c r="AN13" s="456"/>
      <c r="AO13" s="456"/>
      <c r="AP13" s="456"/>
      <c r="AQ13" s="456"/>
      <c r="AR13" s="456"/>
      <c r="AS13" s="456"/>
      <c r="AT13" s="456"/>
      <c r="AU13" s="456"/>
      <c r="AV13" s="456"/>
      <c r="AW13" s="456"/>
      <c r="AX13" s="456"/>
      <c r="AY13" s="456"/>
      <c r="AZ13" s="456"/>
      <c r="BA13" s="456"/>
      <c r="BB13" s="456"/>
      <c r="BC13" s="456"/>
      <c r="BD13" s="456"/>
      <c r="BE13" s="456"/>
      <c r="BF13" s="456"/>
      <c r="BG13" s="456"/>
      <c r="BH13" s="456"/>
      <c r="BI13" s="456"/>
      <c r="BJ13" s="456"/>
      <c r="BK13" s="456"/>
      <c r="BL13" s="456"/>
      <c r="BM13" s="456"/>
      <c r="BN13" s="456"/>
      <c r="BO13" s="456"/>
      <c r="BP13" s="456"/>
      <c r="BQ13" s="456"/>
      <c r="BR13" s="456"/>
      <c r="BS13" s="456"/>
      <c r="BT13" s="456"/>
      <c r="BU13" s="456"/>
      <c r="BV13" s="456"/>
      <c r="BW13" s="456"/>
      <c r="BX13" s="456"/>
      <c r="BY13" s="456"/>
      <c r="BZ13" s="456"/>
      <c r="CA13" s="456"/>
      <c r="CB13" s="456"/>
      <c r="CC13" s="456"/>
      <c r="CD13" s="456"/>
      <c r="CE13" s="456"/>
      <c r="CF13" s="456"/>
      <c r="CG13" s="456"/>
      <c r="CH13" s="456"/>
      <c r="CI13" s="456"/>
      <c r="CJ13" s="456"/>
      <c r="CK13" s="456"/>
      <c r="CL13" s="456"/>
      <c r="CM13" s="456"/>
      <c r="CN13" s="456"/>
      <c r="CO13" s="456"/>
      <c r="CP13" s="456"/>
      <c r="CQ13" s="456"/>
      <c r="CR13" s="456"/>
      <c r="CS13" s="456"/>
      <c r="CT13" s="456"/>
      <c r="CU13" s="456"/>
      <c r="CV13" s="456"/>
      <c r="CW13" s="456"/>
      <c r="CX13" s="456"/>
      <c r="CY13" s="456"/>
      <c r="CZ13" s="456"/>
      <c r="DA13" s="456"/>
      <c r="DB13" s="456"/>
      <c r="DC13" s="456"/>
      <c r="DD13" s="456"/>
      <c r="DE13" s="456"/>
      <c r="DF13" s="456"/>
      <c r="DG13" s="456"/>
      <c r="DH13" s="456"/>
      <c r="DI13" s="456"/>
      <c r="DJ13" s="456"/>
      <c r="DK13" s="456"/>
      <c r="DL13" s="456"/>
      <c r="DM13" s="456"/>
      <c r="DN13" s="456"/>
      <c r="DO13" s="456"/>
      <c r="DP13" s="456"/>
      <c r="DQ13" s="456"/>
      <c r="DR13" s="456"/>
      <c r="DS13" s="456"/>
      <c r="DT13" s="456"/>
      <c r="DU13" s="456"/>
      <c r="DV13" s="456"/>
      <c r="DW13" s="456"/>
      <c r="DX13" s="456"/>
      <c r="DY13" s="456"/>
      <c r="DZ13" s="456"/>
      <c r="EA13" s="456"/>
      <c r="EB13" s="456"/>
      <c r="EC13" s="456"/>
      <c r="ED13" s="456"/>
      <c r="EE13" s="456"/>
      <c r="EF13" s="456"/>
      <c r="EG13" s="456"/>
      <c r="EH13" s="456"/>
      <c r="EI13" s="456"/>
      <c r="EJ13" s="456"/>
      <c r="EK13" s="456"/>
      <c r="EL13" s="456"/>
      <c r="EM13" s="456"/>
      <c r="EN13" s="456"/>
      <c r="EO13" s="456"/>
      <c r="EP13" s="456"/>
      <c r="EQ13" s="456"/>
      <c r="ER13" s="456"/>
      <c r="ES13" s="456"/>
      <c r="ET13" s="456"/>
      <c r="EU13" s="456"/>
      <c r="EV13" s="456"/>
      <c r="EW13" s="456"/>
      <c r="EX13" s="456"/>
      <c r="EY13" s="456"/>
      <c r="EZ13" s="456"/>
      <c r="FA13" s="456"/>
      <c r="FB13" s="456"/>
      <c r="FC13" s="456"/>
      <c r="FD13" s="456"/>
      <c r="FE13" s="456"/>
      <c r="FF13" s="456"/>
      <c r="FG13" s="456"/>
      <c r="FH13" s="456"/>
      <c r="FI13" s="456"/>
      <c r="FJ13" s="456"/>
      <c r="FK13" s="456"/>
      <c r="FL13" s="456"/>
      <c r="FM13" s="456"/>
      <c r="FN13" s="456"/>
      <c r="FO13" s="456"/>
      <c r="FP13" s="456"/>
      <c r="FQ13" s="456"/>
      <c r="FR13" s="456"/>
      <c r="FS13" s="456"/>
      <c r="FT13" s="456"/>
      <c r="FU13" s="456"/>
      <c r="FV13" s="456"/>
      <c r="FW13" s="456"/>
      <c r="FX13" s="456"/>
      <c r="FY13" s="456"/>
      <c r="FZ13" s="456"/>
      <c r="GA13" s="456"/>
      <c r="GB13" s="456"/>
      <c r="GC13" s="456"/>
      <c r="GD13" s="456"/>
      <c r="GE13" s="456"/>
      <c r="GF13" s="456"/>
      <c r="GG13" s="456"/>
      <c r="GH13" s="456"/>
      <c r="GI13" s="456"/>
      <c r="GJ13" s="456"/>
      <c r="GK13" s="456"/>
      <c r="GL13" s="456"/>
      <c r="GM13" s="456"/>
      <c r="GN13" s="456"/>
      <c r="GO13" s="456"/>
      <c r="GP13" s="456"/>
      <c r="GQ13" s="456"/>
      <c r="GR13" s="456"/>
      <c r="GS13" s="456"/>
      <c r="GT13" s="456"/>
      <c r="GU13" s="456"/>
      <c r="GV13" s="456"/>
      <c r="GW13" s="456"/>
      <c r="GX13" s="456"/>
      <c r="GY13" s="456"/>
      <c r="GZ13" s="456"/>
      <c r="HA13" s="456"/>
      <c r="HB13" s="456"/>
      <c r="HC13" s="456"/>
      <c r="HD13" s="456"/>
      <c r="HE13" s="456"/>
      <c r="HF13" s="456"/>
      <c r="HG13" s="456"/>
      <c r="HH13" s="456"/>
      <c r="HI13" s="456"/>
      <c r="HJ13" s="456"/>
      <c r="HK13" s="456"/>
      <c r="HL13" s="456"/>
      <c r="HM13" s="456"/>
      <c r="HN13" s="456"/>
      <c r="HO13" s="456"/>
      <c r="HP13" s="456"/>
      <c r="HQ13" s="456"/>
      <c r="HR13" s="456"/>
      <c r="HS13" s="456"/>
      <c r="HT13" s="456"/>
      <c r="HU13" s="456"/>
      <c r="HV13" s="456"/>
      <c r="HW13" s="456"/>
      <c r="HX13" s="456"/>
      <c r="HY13" s="456"/>
      <c r="HZ13" s="456"/>
      <c r="IA13" s="456"/>
      <c r="IB13" s="456"/>
      <c r="IC13" s="456"/>
      <c r="ID13" s="456"/>
      <c r="IE13" s="456"/>
      <c r="IF13" s="456"/>
      <c r="IG13" s="456"/>
      <c r="IH13" s="456"/>
      <c r="II13" s="456"/>
      <c r="IJ13" s="456"/>
      <c r="IK13" s="456"/>
      <c r="IL13" s="456"/>
      <c r="IM13" s="456"/>
      <c r="IN13" s="456"/>
      <c r="IO13" s="456"/>
      <c r="IP13" s="456"/>
      <c r="IQ13" s="456"/>
      <c r="IR13" s="456"/>
      <c r="IS13" s="456"/>
      <c r="IT13" s="456"/>
      <c r="IU13" s="456"/>
      <c r="IV13" s="456"/>
      <c r="IW13" s="456"/>
      <c r="IX13" s="456"/>
      <c r="IY13" s="456"/>
      <c r="IZ13" s="456"/>
      <c r="JA13" s="456"/>
      <c r="JB13" s="456"/>
      <c r="JC13" s="456"/>
      <c r="JD13" s="456"/>
      <c r="JE13" s="456"/>
      <c r="JF13" s="456"/>
      <c r="JG13" s="456"/>
      <c r="JH13" s="456"/>
      <c r="JI13" s="456"/>
      <c r="JJ13" s="456"/>
      <c r="JK13" s="456"/>
      <c r="JL13" s="456"/>
      <c r="JM13" s="456"/>
      <c r="JN13" s="456"/>
      <c r="JO13" s="456"/>
      <c r="JP13" s="456"/>
      <c r="JQ13" s="456"/>
      <c r="JR13" s="456"/>
      <c r="JS13" s="456"/>
      <c r="JT13" s="456"/>
      <c r="JU13" s="456"/>
      <c r="JV13" s="456"/>
      <c r="JW13" s="456"/>
      <c r="JX13" s="456"/>
      <c r="JY13" s="456"/>
      <c r="JZ13" s="456"/>
      <c r="KA13" s="456"/>
      <c r="KB13" s="456"/>
      <c r="KC13" s="456"/>
      <c r="KD13" s="456"/>
      <c r="KE13" s="456"/>
      <c r="KF13" s="456"/>
      <c r="KG13" s="456"/>
      <c r="KH13" s="456"/>
      <c r="KI13" s="456"/>
      <c r="KJ13" s="456"/>
      <c r="KK13" s="456"/>
      <c r="KL13" s="456"/>
      <c r="KM13" s="456"/>
      <c r="KN13" s="456"/>
      <c r="KO13" s="456"/>
      <c r="KP13" s="456"/>
      <c r="KQ13" s="456"/>
      <c r="KR13" s="456"/>
      <c r="KS13" s="456"/>
      <c r="KT13" s="456"/>
      <c r="KU13" s="456"/>
      <c r="KV13" s="456"/>
      <c r="KW13" s="456"/>
      <c r="KX13" s="456"/>
      <c r="KY13" s="456"/>
      <c r="KZ13" s="456"/>
      <c r="LA13" s="456"/>
      <c r="LB13" s="456"/>
      <c r="LC13" s="456"/>
      <c r="LD13" s="456"/>
      <c r="LE13" s="456"/>
      <c r="LF13" s="456"/>
      <c r="LG13" s="456"/>
      <c r="LH13" s="456"/>
      <c r="LI13" s="456"/>
      <c r="LJ13" s="456"/>
      <c r="LK13" s="456"/>
      <c r="LL13" s="456"/>
      <c r="LM13" s="456"/>
      <c r="LN13" s="456"/>
      <c r="LO13" s="456"/>
      <c r="LP13" s="456"/>
      <c r="LQ13" s="456"/>
      <c r="LR13" s="456"/>
      <c r="LS13" s="456"/>
      <c r="LT13" s="456"/>
      <c r="LU13" s="456"/>
      <c r="LV13" s="456"/>
      <c r="LW13" s="456"/>
      <c r="LX13" s="456"/>
      <c r="LY13" s="456"/>
      <c r="LZ13" s="456"/>
      <c r="MA13" s="456"/>
      <c r="MB13" s="456"/>
      <c r="MC13" s="456"/>
      <c r="MD13" s="456"/>
      <c r="ME13" s="456"/>
      <c r="MF13" s="456"/>
      <c r="MG13" s="456"/>
      <c r="MH13" s="456"/>
      <c r="MI13" s="456"/>
      <c r="MJ13" s="456"/>
      <c r="MK13" s="456"/>
      <c r="ML13" s="456"/>
      <c r="MM13" s="456"/>
      <c r="MN13" s="456"/>
      <c r="MO13" s="456"/>
      <c r="MP13" s="456"/>
      <c r="MQ13" s="456"/>
      <c r="MR13" s="456"/>
      <c r="MS13" s="456"/>
      <c r="MT13" s="456"/>
      <c r="MU13" s="456"/>
      <c r="MV13" s="456"/>
      <c r="MW13" s="456"/>
      <c r="MX13" s="456"/>
      <c r="MY13" s="456"/>
      <c r="MZ13" s="456"/>
      <c r="NA13" s="456"/>
      <c r="NB13" s="456"/>
      <c r="NC13" s="456"/>
      <c r="ND13" s="456"/>
      <c r="NE13" s="456"/>
      <c r="NF13" s="456"/>
      <c r="NG13" s="456"/>
      <c r="NH13" s="456"/>
      <c r="NI13" s="456"/>
      <c r="NJ13" s="456"/>
      <c r="NK13" s="456"/>
      <c r="NL13" s="456"/>
      <c r="NM13" s="456"/>
      <c r="NN13" s="456"/>
      <c r="NO13" s="456"/>
      <c r="NP13" s="456"/>
      <c r="NQ13" s="456"/>
      <c r="NR13" s="456"/>
      <c r="NS13" s="456"/>
      <c r="NT13" s="456"/>
      <c r="NU13" s="456"/>
      <c r="NV13" s="456"/>
      <c r="NW13" s="456"/>
      <c r="NX13" s="456"/>
      <c r="NY13" s="456"/>
      <c r="NZ13" s="456"/>
      <c r="OA13" s="456"/>
      <c r="OB13" s="456"/>
      <c r="OC13" s="456"/>
      <c r="OD13" s="456"/>
      <c r="OE13" s="456"/>
      <c r="OF13" s="456"/>
      <c r="OG13" s="456"/>
      <c r="OH13" s="456"/>
      <c r="OI13" s="456"/>
      <c r="OJ13" s="456"/>
      <c r="OK13" s="456"/>
      <c r="OL13" s="456"/>
      <c r="OM13" s="456"/>
      <c r="ON13" s="456"/>
      <c r="OO13" s="456"/>
      <c r="OP13" s="456"/>
      <c r="OQ13" s="456"/>
      <c r="OR13" s="456"/>
      <c r="OS13" s="456"/>
      <c r="OT13" s="456"/>
      <c r="OU13" s="456"/>
      <c r="OV13" s="456"/>
      <c r="OW13" s="456"/>
      <c r="OX13" s="456"/>
      <c r="OY13" s="456"/>
      <c r="OZ13" s="456"/>
      <c r="PA13" s="456"/>
      <c r="PB13" s="456"/>
      <c r="PC13" s="456"/>
      <c r="PD13" s="456"/>
      <c r="PE13" s="456"/>
      <c r="PF13" s="456"/>
      <c r="PG13" s="456"/>
      <c r="PH13" s="456"/>
      <c r="PI13" s="456"/>
      <c r="PJ13" s="456"/>
      <c r="PK13" s="456"/>
      <c r="PL13" s="456"/>
      <c r="PM13" s="456"/>
      <c r="PN13" s="456"/>
      <c r="PO13" s="456"/>
      <c r="PP13" s="456"/>
      <c r="PQ13" s="456"/>
      <c r="PR13" s="456"/>
      <c r="PS13" s="456"/>
      <c r="PT13" s="456"/>
      <c r="PU13" s="456"/>
      <c r="PV13" s="456"/>
      <c r="PW13" s="456"/>
      <c r="PX13" s="456"/>
      <c r="PY13" s="456"/>
      <c r="PZ13" s="456"/>
      <c r="QA13" s="456"/>
      <c r="QB13" s="456"/>
      <c r="QC13" s="456"/>
      <c r="QD13" s="456"/>
      <c r="QE13" s="456"/>
      <c r="QF13" s="456"/>
      <c r="QG13" s="456"/>
      <c r="QH13" s="456"/>
      <c r="QI13" s="456"/>
      <c r="QJ13" s="456"/>
      <c r="QK13" s="456"/>
      <c r="QL13" s="456"/>
      <c r="QM13" s="456"/>
      <c r="QN13" s="456"/>
      <c r="QO13" s="456"/>
      <c r="QP13" s="456"/>
      <c r="QQ13" s="456"/>
      <c r="QR13" s="456"/>
      <c r="QS13" s="456"/>
      <c r="QT13" s="456"/>
      <c r="QU13" s="456"/>
      <c r="QV13" s="456"/>
      <c r="QW13" s="456"/>
      <c r="QX13" s="456"/>
      <c r="QY13" s="456"/>
      <c r="QZ13" s="456"/>
      <c r="RA13" s="456"/>
      <c r="RB13" s="456"/>
      <c r="RC13" s="456"/>
      <c r="RD13" s="456"/>
      <c r="RE13" s="456"/>
      <c r="RF13" s="456"/>
      <c r="RG13" s="456"/>
      <c r="RH13" s="456"/>
      <c r="RI13" s="456"/>
      <c r="RJ13" s="456"/>
      <c r="RK13" s="456"/>
      <c r="RL13" s="456"/>
      <c r="RM13" s="456"/>
      <c r="RN13" s="456"/>
      <c r="RO13" s="456"/>
      <c r="RP13" s="456"/>
      <c r="RQ13" s="456"/>
      <c r="RR13" s="456"/>
      <c r="RS13" s="456"/>
      <c r="RT13" s="456"/>
      <c r="RU13" s="456"/>
      <c r="RV13" s="456"/>
      <c r="RW13" s="456"/>
      <c r="RX13" s="456"/>
      <c r="RY13" s="456"/>
      <c r="RZ13" s="456"/>
      <c r="SA13" s="456"/>
      <c r="SB13" s="456"/>
      <c r="SC13" s="456"/>
      <c r="SD13" s="456"/>
      <c r="SE13" s="456"/>
      <c r="SF13" s="456"/>
      <c r="SG13" s="456"/>
      <c r="SH13" s="456"/>
      <c r="SI13" s="456"/>
      <c r="SJ13" s="456"/>
      <c r="SK13" s="456"/>
      <c r="SL13" s="456"/>
      <c r="SM13" s="456"/>
      <c r="SN13" s="456"/>
      <c r="SO13" s="456"/>
      <c r="SP13" s="456"/>
      <c r="SQ13" s="456"/>
      <c r="SR13" s="456"/>
      <c r="SS13" s="456"/>
      <c r="ST13" s="456"/>
      <c r="SU13" s="456"/>
      <c r="SV13" s="456"/>
      <c r="SW13" s="456"/>
      <c r="SX13" s="456"/>
      <c r="SY13" s="456"/>
      <c r="SZ13" s="456"/>
      <c r="TA13" s="456"/>
      <c r="TB13" s="456"/>
      <c r="TC13" s="456"/>
      <c r="TD13" s="456"/>
      <c r="TE13" s="456"/>
      <c r="TF13" s="456"/>
      <c r="TG13" s="456"/>
      <c r="TH13" s="456"/>
      <c r="TI13" s="456"/>
      <c r="TJ13" s="456"/>
      <c r="TK13" s="456"/>
      <c r="TL13" s="456"/>
      <c r="TM13" s="456"/>
      <c r="TN13" s="456"/>
      <c r="TO13" s="456"/>
      <c r="TP13" s="456"/>
      <c r="TQ13" s="456"/>
      <c r="TR13" s="456"/>
      <c r="TS13" s="456"/>
      <c r="TT13" s="456"/>
      <c r="TU13" s="456"/>
      <c r="TV13" s="456"/>
      <c r="TW13" s="456"/>
      <c r="TX13" s="456"/>
      <c r="TY13" s="456"/>
      <c r="TZ13" s="456"/>
      <c r="UA13" s="456"/>
      <c r="UB13" s="456"/>
      <c r="UC13" s="456"/>
      <c r="UD13" s="456"/>
      <c r="UE13" s="456"/>
      <c r="UF13" s="456"/>
      <c r="UG13" s="456"/>
      <c r="UH13" s="456"/>
      <c r="UI13" s="456"/>
      <c r="UJ13" s="456"/>
      <c r="UK13" s="456"/>
      <c r="UL13" s="456"/>
      <c r="UM13" s="456"/>
      <c r="UN13" s="456"/>
      <c r="UO13" s="456"/>
      <c r="UP13" s="456"/>
      <c r="UQ13" s="456"/>
      <c r="UR13" s="456"/>
      <c r="US13" s="456"/>
      <c r="UT13" s="456"/>
      <c r="UU13" s="456"/>
      <c r="UV13" s="456"/>
      <c r="UW13" s="456"/>
      <c r="UX13" s="456"/>
      <c r="UY13" s="456"/>
      <c r="UZ13" s="456"/>
      <c r="VA13" s="456"/>
      <c r="VB13" s="456"/>
      <c r="VC13" s="456"/>
      <c r="VD13" s="456"/>
      <c r="VE13" s="456"/>
      <c r="VF13" s="456"/>
      <c r="VG13" s="456"/>
      <c r="VH13" s="456"/>
      <c r="VI13" s="456"/>
      <c r="VJ13" s="456"/>
      <c r="VK13" s="456"/>
      <c r="VL13" s="456"/>
      <c r="VM13" s="456"/>
      <c r="VN13" s="456"/>
      <c r="VO13" s="456"/>
      <c r="VP13" s="456"/>
      <c r="VQ13" s="456"/>
      <c r="VR13" s="456"/>
      <c r="VS13" s="456"/>
      <c r="VT13" s="456"/>
      <c r="VU13" s="456"/>
      <c r="VV13" s="456"/>
      <c r="VW13" s="456"/>
      <c r="VX13" s="456"/>
      <c r="VY13" s="456"/>
      <c r="VZ13" s="456"/>
      <c r="WA13" s="456"/>
      <c r="WB13" s="456"/>
      <c r="WC13" s="456"/>
      <c r="WD13" s="456"/>
      <c r="WE13" s="456"/>
      <c r="WF13" s="456"/>
      <c r="WG13" s="456"/>
      <c r="WH13" s="456"/>
      <c r="WI13" s="456"/>
      <c r="WJ13" s="456"/>
      <c r="WK13" s="456"/>
      <c r="WL13" s="456"/>
      <c r="WM13" s="456"/>
      <c r="WN13" s="456"/>
      <c r="WO13" s="456"/>
      <c r="WP13" s="456"/>
      <c r="WQ13" s="456"/>
      <c r="WR13" s="456"/>
      <c r="WS13" s="456"/>
      <c r="WT13" s="456"/>
      <c r="WU13" s="456"/>
      <c r="WV13" s="456"/>
      <c r="WW13" s="456"/>
      <c r="WX13" s="456"/>
      <c r="WY13" s="456"/>
      <c r="WZ13" s="456"/>
      <c r="XA13" s="456"/>
      <c r="XB13" s="456"/>
      <c r="XC13" s="456"/>
      <c r="XD13" s="456"/>
      <c r="XE13" s="456"/>
      <c r="XF13" s="456"/>
      <c r="XG13" s="456"/>
      <c r="XH13" s="456"/>
      <c r="XI13" s="456"/>
      <c r="XJ13" s="456"/>
      <c r="XK13" s="456"/>
      <c r="XL13" s="456"/>
      <c r="XM13" s="456"/>
      <c r="XN13" s="456"/>
      <c r="XO13" s="456"/>
      <c r="XP13" s="456"/>
      <c r="XQ13" s="456"/>
      <c r="XR13" s="456"/>
      <c r="XS13" s="456"/>
      <c r="XT13" s="456"/>
      <c r="XU13" s="456"/>
      <c r="XV13" s="456"/>
      <c r="XW13" s="456"/>
      <c r="XX13" s="456"/>
      <c r="XY13" s="456"/>
      <c r="XZ13" s="456"/>
      <c r="YA13" s="456"/>
      <c r="YB13" s="456"/>
      <c r="YC13" s="456"/>
      <c r="YD13" s="456"/>
      <c r="YE13" s="456"/>
      <c r="YF13" s="456"/>
      <c r="YG13" s="456"/>
      <c r="YH13" s="456"/>
      <c r="YI13" s="456"/>
      <c r="YJ13" s="456"/>
      <c r="YK13" s="456"/>
      <c r="YL13" s="456"/>
      <c r="YM13" s="456"/>
      <c r="YN13" s="456"/>
      <c r="YO13" s="456"/>
      <c r="YP13" s="456"/>
      <c r="YQ13" s="456"/>
      <c r="YR13" s="456"/>
      <c r="YS13" s="456"/>
      <c r="YT13" s="456"/>
      <c r="YU13" s="456"/>
      <c r="YV13" s="456"/>
      <c r="YW13" s="456"/>
      <c r="YX13" s="456"/>
      <c r="YY13" s="456"/>
      <c r="YZ13" s="456"/>
      <c r="ZA13" s="456"/>
      <c r="ZB13" s="456"/>
      <c r="ZC13" s="456"/>
      <c r="ZD13" s="456"/>
      <c r="ZE13" s="456"/>
      <c r="ZF13" s="456"/>
      <c r="ZG13" s="456"/>
      <c r="ZH13" s="456"/>
      <c r="ZI13" s="456"/>
      <c r="ZJ13" s="456"/>
      <c r="ZK13" s="456"/>
      <c r="ZL13" s="456"/>
      <c r="ZM13" s="456"/>
      <c r="ZN13" s="456"/>
      <c r="ZO13" s="456"/>
      <c r="ZP13" s="456"/>
      <c r="ZQ13" s="456"/>
      <c r="ZR13" s="456"/>
      <c r="ZS13" s="456"/>
      <c r="ZT13" s="456"/>
      <c r="ZU13" s="456"/>
      <c r="ZV13" s="456"/>
      <c r="ZW13" s="456"/>
      <c r="ZX13" s="456"/>
      <c r="ZY13" s="456"/>
      <c r="ZZ13" s="456"/>
      <c r="AAA13" s="456"/>
      <c r="AAB13" s="456"/>
      <c r="AAC13" s="456"/>
      <c r="AAD13" s="456"/>
      <c r="AAE13" s="456"/>
      <c r="AAF13" s="456"/>
      <c r="AAG13" s="456"/>
      <c r="AAH13" s="456"/>
      <c r="AAI13" s="456"/>
      <c r="AAJ13" s="456"/>
      <c r="AAK13" s="456"/>
      <c r="AAL13" s="456"/>
      <c r="AAM13" s="456"/>
      <c r="AAN13" s="456"/>
      <c r="AAO13" s="456"/>
      <c r="AAP13" s="456"/>
      <c r="AAQ13" s="456"/>
      <c r="AAR13" s="456"/>
      <c r="AAS13" s="456"/>
      <c r="AAT13" s="456"/>
      <c r="AAU13" s="456"/>
      <c r="AAV13" s="456"/>
      <c r="AAW13" s="456"/>
      <c r="AAX13" s="456"/>
      <c r="AAY13" s="456"/>
      <c r="AAZ13" s="456"/>
      <c r="ABA13" s="456"/>
      <c r="ABB13" s="456"/>
      <c r="ABC13" s="456"/>
      <c r="ABD13" s="456"/>
      <c r="ABE13" s="456"/>
      <c r="ABF13" s="456"/>
      <c r="ABG13" s="456"/>
      <c r="ABH13" s="456"/>
      <c r="ABI13" s="456"/>
      <c r="ABJ13" s="456"/>
      <c r="ABK13" s="456"/>
      <c r="ABL13" s="456"/>
      <c r="ABM13" s="456"/>
      <c r="ABN13" s="456"/>
      <c r="ABO13" s="456"/>
      <c r="ABP13" s="456"/>
      <c r="ABQ13" s="456"/>
      <c r="ABR13" s="456"/>
      <c r="ABS13" s="456"/>
      <c r="ABT13" s="456"/>
      <c r="ABU13" s="456"/>
      <c r="ABV13" s="456"/>
      <c r="ABW13" s="456"/>
      <c r="ABX13" s="456"/>
      <c r="ABY13" s="456"/>
      <c r="ABZ13" s="456"/>
      <c r="ACA13" s="456"/>
      <c r="ACB13" s="456"/>
      <c r="ACC13" s="456"/>
      <c r="ACD13" s="456"/>
      <c r="ACE13" s="456"/>
      <c r="ACF13" s="456"/>
      <c r="ACG13" s="456"/>
      <c r="ACH13" s="456"/>
      <c r="ACI13" s="456"/>
      <c r="ACJ13" s="456"/>
      <c r="ACK13" s="456"/>
      <c r="ACL13" s="456"/>
      <c r="ACM13" s="456"/>
      <c r="ACN13" s="456"/>
      <c r="ACO13" s="456"/>
      <c r="ACP13" s="456"/>
      <c r="ACQ13" s="456"/>
      <c r="ACR13" s="456"/>
      <c r="ACS13" s="456"/>
      <c r="ACT13" s="456"/>
      <c r="ACU13" s="456"/>
      <c r="ACV13" s="456"/>
      <c r="ACW13" s="456"/>
      <c r="ACX13" s="456"/>
      <c r="ACY13" s="456"/>
      <c r="ACZ13" s="456"/>
      <c r="ADA13" s="456"/>
      <c r="ADB13" s="456"/>
      <c r="ADC13" s="456"/>
      <c r="ADD13" s="456"/>
      <c r="ADE13" s="456"/>
      <c r="ADF13" s="456"/>
      <c r="ADG13" s="456"/>
      <c r="ADH13" s="456"/>
      <c r="ADI13" s="456"/>
      <c r="ADJ13" s="456"/>
      <c r="ADK13" s="456"/>
      <c r="ADL13" s="456"/>
      <c r="ADM13" s="456"/>
      <c r="ADN13" s="456"/>
      <c r="ADO13" s="456"/>
      <c r="ADP13" s="456"/>
      <c r="ADQ13" s="456"/>
      <c r="ADR13" s="456"/>
      <c r="ADS13" s="456"/>
      <c r="ADT13" s="456"/>
      <c r="ADU13" s="456"/>
      <c r="ADV13" s="456"/>
      <c r="ADW13" s="456"/>
      <c r="ADX13" s="456"/>
      <c r="ADY13" s="456"/>
      <c r="ADZ13" s="456"/>
      <c r="AEA13" s="456"/>
      <c r="AEB13" s="456"/>
      <c r="AEC13" s="456"/>
      <c r="AED13" s="456"/>
      <c r="AEE13" s="456"/>
      <c r="AEF13" s="456"/>
      <c r="AEG13" s="456"/>
      <c r="AEH13" s="456"/>
      <c r="AEI13" s="456"/>
      <c r="AEJ13" s="456"/>
      <c r="AEK13" s="456"/>
      <c r="AEL13" s="456"/>
      <c r="AEM13" s="456"/>
      <c r="AEN13" s="456"/>
      <c r="AEO13" s="456"/>
      <c r="AEP13" s="456"/>
      <c r="AEQ13" s="456"/>
      <c r="AER13" s="456"/>
      <c r="AES13" s="456"/>
      <c r="AET13" s="456"/>
      <c r="AEU13" s="456"/>
      <c r="AEV13" s="456"/>
      <c r="AEW13" s="456"/>
      <c r="AEX13" s="456"/>
      <c r="AEY13" s="456"/>
      <c r="AEZ13" s="456"/>
      <c r="AFA13" s="456"/>
      <c r="AFB13" s="456"/>
      <c r="AFC13" s="456"/>
      <c r="AFD13" s="456"/>
      <c r="AFE13" s="456"/>
      <c r="AFF13" s="456"/>
      <c r="AFG13" s="456"/>
      <c r="AFH13" s="456"/>
      <c r="AFI13" s="456"/>
      <c r="AFJ13" s="456"/>
      <c r="AFK13" s="456"/>
      <c r="AFL13" s="456"/>
      <c r="AFM13" s="456"/>
      <c r="AFN13" s="456"/>
      <c r="AFO13" s="456"/>
      <c r="AFP13" s="456"/>
      <c r="AFQ13" s="456"/>
      <c r="AFR13" s="456"/>
      <c r="AFS13" s="456"/>
      <c r="AFT13" s="456"/>
      <c r="AFU13" s="456"/>
      <c r="AFV13" s="456"/>
      <c r="AFW13" s="456"/>
      <c r="AFX13" s="456"/>
      <c r="AFY13" s="456"/>
      <c r="AFZ13" s="456"/>
      <c r="AGA13" s="456"/>
      <c r="AGB13" s="456"/>
      <c r="AGC13" s="456"/>
      <c r="AGD13" s="456"/>
      <c r="AGE13" s="456"/>
      <c r="AGF13" s="456"/>
      <c r="AGG13" s="456"/>
      <c r="AGH13" s="456"/>
      <c r="AGI13" s="456"/>
      <c r="AGJ13" s="456"/>
      <c r="AGK13" s="456"/>
      <c r="AGL13" s="456"/>
      <c r="AGM13" s="456"/>
      <c r="AGN13" s="456"/>
      <c r="AGO13" s="456"/>
      <c r="AGP13" s="456"/>
      <c r="AGQ13" s="456"/>
      <c r="AGR13" s="456"/>
      <c r="AGS13" s="456"/>
      <c r="AGT13" s="456"/>
      <c r="AGU13" s="456"/>
      <c r="AGV13" s="456"/>
      <c r="AGW13" s="456"/>
      <c r="AGX13" s="456"/>
      <c r="AGY13" s="456"/>
      <c r="AGZ13" s="456"/>
      <c r="AHA13" s="456"/>
      <c r="AHB13" s="456"/>
      <c r="AHC13" s="456"/>
      <c r="AHD13" s="456"/>
      <c r="AHE13" s="456"/>
      <c r="AHF13" s="456"/>
      <c r="AHG13" s="456"/>
      <c r="AHH13" s="456"/>
      <c r="AHI13" s="456"/>
      <c r="AHJ13" s="456"/>
      <c r="AHK13" s="456"/>
      <c r="AHL13" s="456"/>
      <c r="AHM13" s="456"/>
      <c r="AHN13" s="456"/>
      <c r="AHO13" s="456"/>
      <c r="AHP13" s="456"/>
      <c r="AHQ13" s="456"/>
      <c r="AHR13" s="456"/>
      <c r="AHS13" s="456"/>
      <c r="AHT13" s="456"/>
      <c r="AHU13" s="456"/>
      <c r="AHV13" s="456"/>
      <c r="AHW13" s="456"/>
      <c r="AHX13" s="456"/>
      <c r="AHY13" s="456"/>
      <c r="AHZ13" s="456"/>
      <c r="AIA13" s="456"/>
      <c r="AIB13" s="456"/>
      <c r="AIC13" s="456"/>
      <c r="AID13" s="456"/>
      <c r="AIE13" s="456"/>
      <c r="AIF13" s="456"/>
      <c r="AIG13" s="456"/>
      <c r="AIH13" s="456"/>
      <c r="AII13" s="456"/>
      <c r="AIJ13" s="456"/>
      <c r="AIK13" s="456"/>
      <c r="AIL13" s="456"/>
      <c r="AIM13" s="456"/>
      <c r="AIN13" s="456"/>
      <c r="AIO13" s="456"/>
      <c r="AIP13" s="456"/>
      <c r="AIQ13" s="456"/>
      <c r="AIR13" s="456"/>
      <c r="AIS13" s="456"/>
      <c r="AIT13" s="456"/>
      <c r="AIU13" s="456"/>
      <c r="AIV13" s="456"/>
      <c r="AIW13" s="456"/>
      <c r="AIX13" s="456"/>
      <c r="AIY13" s="456"/>
      <c r="AIZ13" s="456"/>
      <c r="AJA13" s="456"/>
      <c r="AJB13" s="456"/>
      <c r="AJC13" s="456"/>
      <c r="AJD13" s="456"/>
      <c r="AJE13" s="456"/>
      <c r="AJF13" s="456"/>
      <c r="AJG13" s="456"/>
      <c r="AJH13" s="456"/>
      <c r="AJI13" s="456"/>
      <c r="AJJ13" s="456"/>
      <c r="AJK13" s="456"/>
      <c r="AJL13" s="456"/>
      <c r="AJM13" s="456"/>
      <c r="AJN13" s="456"/>
      <c r="AJO13" s="456"/>
      <c r="AJP13" s="456"/>
      <c r="AJQ13" s="456"/>
      <c r="AJR13" s="456"/>
      <c r="AJS13" s="456"/>
      <c r="AJT13" s="456"/>
      <c r="AJU13" s="456"/>
      <c r="AJV13" s="456"/>
      <c r="AJW13" s="456"/>
      <c r="AJX13" s="456"/>
      <c r="AJY13" s="456"/>
      <c r="AJZ13" s="456"/>
      <c r="AKA13" s="456"/>
      <c r="AKB13" s="456"/>
      <c r="AKC13" s="456"/>
      <c r="AKD13" s="456"/>
      <c r="AKE13" s="456"/>
      <c r="AKF13" s="456"/>
      <c r="AKG13" s="456"/>
      <c r="AKH13" s="456"/>
      <c r="AKI13" s="456"/>
      <c r="AKJ13" s="456"/>
      <c r="AKK13" s="456"/>
      <c r="AKL13" s="456"/>
      <c r="AKM13" s="456"/>
      <c r="AKN13" s="456"/>
      <c r="AKO13" s="456"/>
      <c r="AKP13" s="456"/>
      <c r="AKQ13" s="456"/>
      <c r="AKR13" s="456"/>
      <c r="AKS13" s="456"/>
      <c r="AKT13" s="456"/>
      <c r="AKU13" s="456"/>
      <c r="AKV13" s="456"/>
      <c r="AKW13" s="456"/>
      <c r="AKX13" s="456"/>
      <c r="AKY13" s="456"/>
      <c r="AKZ13" s="456"/>
      <c r="ALA13" s="456"/>
      <c r="ALB13" s="456"/>
      <c r="ALC13" s="456"/>
      <c r="ALD13" s="456"/>
      <c r="ALE13" s="456"/>
      <c r="ALF13" s="456"/>
      <c r="ALG13" s="456"/>
      <c r="ALH13" s="456"/>
      <c r="ALI13" s="456"/>
      <c r="ALJ13" s="456"/>
      <c r="ALK13" s="456"/>
      <c r="ALL13" s="456"/>
      <c r="ALM13" s="456"/>
      <c r="ALN13" s="456"/>
      <c r="ALO13" s="456"/>
      <c r="ALP13" s="456"/>
      <c r="ALQ13" s="456"/>
      <c r="ALR13" s="456"/>
      <c r="ALS13" s="456"/>
      <c r="ALT13" s="456"/>
      <c r="ALU13" s="456"/>
      <c r="ALV13" s="456"/>
      <c r="ALW13" s="456"/>
      <c r="ALX13" s="456"/>
      <c r="ALY13" s="456"/>
      <c r="ALZ13" s="456"/>
      <c r="AMA13" s="456"/>
      <c r="AMB13" s="456"/>
      <c r="AMC13" s="456"/>
      <c r="AMD13" s="456"/>
      <c r="AME13" s="456"/>
      <c r="AMF13" s="456"/>
      <c r="AMG13" s="456"/>
      <c r="AMH13" s="456"/>
      <c r="AMI13" s="456"/>
      <c r="AMJ13" s="456"/>
      <c r="AMK13" s="456"/>
      <c r="AML13" s="456"/>
      <c r="AMM13" s="456"/>
      <c r="AMN13" s="456"/>
      <c r="AMO13" s="456"/>
      <c r="AMP13" s="456"/>
      <c r="AMQ13" s="456"/>
      <c r="AMR13" s="456"/>
      <c r="AMS13" s="456"/>
      <c r="AMT13" s="456"/>
      <c r="AMU13" s="456"/>
      <c r="AMV13" s="456"/>
      <c r="AMW13" s="456"/>
      <c r="AMX13" s="456"/>
      <c r="AMY13" s="456"/>
      <c r="AMZ13" s="456"/>
      <c r="ANA13" s="456"/>
      <c r="ANB13" s="456"/>
      <c r="ANC13" s="456"/>
      <c r="AND13" s="456"/>
      <c r="ANE13" s="456"/>
      <c r="ANF13" s="456"/>
      <c r="ANG13" s="456"/>
      <c r="ANH13" s="456"/>
      <c r="ANI13" s="456"/>
      <c r="ANJ13" s="456"/>
      <c r="ANK13" s="456"/>
      <c r="ANL13" s="456"/>
      <c r="ANM13" s="456"/>
      <c r="ANN13" s="456"/>
      <c r="ANO13" s="456"/>
      <c r="ANP13" s="456"/>
      <c r="ANQ13" s="456"/>
      <c r="ANR13" s="456"/>
      <c r="ANS13" s="456"/>
      <c r="ANT13" s="456"/>
      <c r="ANU13" s="456"/>
      <c r="ANV13" s="456"/>
      <c r="ANW13" s="456"/>
      <c r="ANX13" s="456"/>
      <c r="ANY13" s="456"/>
      <c r="ANZ13" s="456"/>
      <c r="AOA13" s="456"/>
      <c r="AOB13" s="456"/>
      <c r="AOC13" s="456"/>
      <c r="AOD13" s="456"/>
      <c r="AOE13" s="456"/>
      <c r="AOF13" s="456"/>
      <c r="AOG13" s="456"/>
      <c r="AOH13" s="456"/>
      <c r="AOI13" s="456"/>
      <c r="AOJ13" s="456"/>
      <c r="AOK13" s="456"/>
      <c r="AOL13" s="456"/>
      <c r="AOM13" s="456"/>
      <c r="AON13" s="456"/>
      <c r="AOO13" s="456"/>
      <c r="AOP13" s="456"/>
      <c r="AOQ13" s="456"/>
      <c r="AOR13" s="456"/>
      <c r="AOS13" s="456"/>
      <c r="AOT13" s="456"/>
      <c r="AOU13" s="456"/>
      <c r="AOV13" s="456"/>
      <c r="AOW13" s="456"/>
      <c r="AOX13" s="456"/>
      <c r="AOY13" s="456"/>
      <c r="AOZ13" s="456"/>
      <c r="APA13" s="456"/>
      <c r="APB13" s="456"/>
      <c r="APC13" s="456"/>
      <c r="APD13" s="456"/>
      <c r="APE13" s="456"/>
      <c r="APF13" s="456"/>
      <c r="APG13" s="456"/>
      <c r="APH13" s="456"/>
      <c r="API13" s="456"/>
      <c r="APJ13" s="456"/>
      <c r="APK13" s="456"/>
      <c r="APL13" s="456"/>
      <c r="APM13" s="456"/>
      <c r="APN13" s="456"/>
      <c r="APO13" s="456"/>
      <c r="APP13" s="456"/>
      <c r="APQ13" s="456"/>
      <c r="APR13" s="456"/>
      <c r="APS13" s="456"/>
      <c r="APT13" s="456"/>
      <c r="APU13" s="456"/>
      <c r="APV13" s="456"/>
      <c r="APW13" s="456"/>
      <c r="APX13" s="456"/>
      <c r="APY13" s="456"/>
      <c r="APZ13" s="456"/>
      <c r="AQA13" s="456"/>
      <c r="AQB13" s="456"/>
      <c r="AQC13" s="456"/>
      <c r="AQD13" s="456"/>
      <c r="AQE13" s="456"/>
      <c r="AQF13" s="456"/>
      <c r="AQG13" s="456"/>
      <c r="AQH13" s="456"/>
      <c r="AQI13" s="456"/>
      <c r="AQJ13" s="456"/>
      <c r="AQK13" s="456"/>
      <c r="AQL13" s="456"/>
      <c r="AQM13" s="456"/>
      <c r="AQN13" s="456"/>
      <c r="AQO13" s="456"/>
      <c r="AQP13" s="456"/>
      <c r="AQQ13" s="456"/>
      <c r="AQR13" s="456"/>
      <c r="AQS13" s="456"/>
      <c r="AQT13" s="456"/>
      <c r="AQU13" s="456"/>
      <c r="AQV13" s="456"/>
      <c r="AQW13" s="456"/>
      <c r="AQX13" s="456"/>
      <c r="AQY13" s="456"/>
      <c r="AQZ13" s="456"/>
      <c r="ARA13" s="456"/>
      <c r="ARB13" s="456"/>
      <c r="ARC13" s="456"/>
      <c r="ARD13" s="456"/>
      <c r="ARE13" s="456"/>
      <c r="ARF13" s="456"/>
      <c r="ARG13" s="456"/>
      <c r="ARH13" s="456"/>
      <c r="ARI13" s="456"/>
      <c r="ARJ13" s="456"/>
      <c r="ARK13" s="456"/>
      <c r="ARL13" s="456"/>
      <c r="ARM13" s="456"/>
      <c r="ARN13" s="456"/>
      <c r="ARO13" s="456"/>
      <c r="ARP13" s="456"/>
      <c r="ARQ13" s="456"/>
      <c r="ARR13" s="456"/>
      <c r="ARS13" s="456"/>
      <c r="ART13" s="456"/>
      <c r="ARU13" s="456"/>
      <c r="ARV13" s="456"/>
      <c r="ARW13" s="456"/>
      <c r="ARX13" s="456"/>
      <c r="ARY13" s="456"/>
      <c r="ARZ13" s="456"/>
      <c r="ASA13" s="456"/>
      <c r="ASB13" s="456"/>
      <c r="ASC13" s="456"/>
      <c r="ASD13" s="456"/>
      <c r="ASE13" s="456"/>
      <c r="ASF13" s="456"/>
      <c r="ASG13" s="456"/>
      <c r="ASH13" s="456"/>
      <c r="ASI13" s="456"/>
      <c r="ASJ13" s="456"/>
      <c r="ASK13" s="456"/>
      <c r="ASL13" s="456"/>
      <c r="ASM13" s="456"/>
      <c r="ASN13" s="456"/>
      <c r="ASO13" s="456"/>
      <c r="ASP13" s="456"/>
      <c r="ASQ13" s="456"/>
      <c r="ASR13" s="456"/>
      <c r="ASS13" s="456"/>
      <c r="AST13" s="456"/>
      <c r="ASU13" s="456"/>
      <c r="ASV13" s="456"/>
      <c r="ASW13" s="456"/>
      <c r="ASX13" s="456"/>
      <c r="ASY13" s="456"/>
      <c r="ASZ13" s="456"/>
      <c r="ATA13" s="456"/>
      <c r="ATB13" s="456"/>
      <c r="ATC13" s="456"/>
      <c r="ATD13" s="456"/>
      <c r="ATE13" s="456"/>
      <c r="ATF13" s="456"/>
      <c r="ATG13" s="456"/>
      <c r="ATH13" s="456"/>
      <c r="ATI13" s="456"/>
      <c r="ATJ13" s="456"/>
      <c r="ATK13" s="456"/>
      <c r="ATL13" s="456"/>
      <c r="ATM13" s="456"/>
      <c r="ATN13" s="456"/>
      <c r="ATO13" s="456"/>
      <c r="ATP13" s="456"/>
      <c r="ATQ13" s="456"/>
      <c r="ATR13" s="456"/>
      <c r="ATS13" s="456"/>
      <c r="ATT13" s="456"/>
      <c r="ATU13" s="456"/>
      <c r="ATV13" s="456"/>
      <c r="ATW13" s="456"/>
      <c r="ATX13" s="456"/>
      <c r="ATY13" s="456"/>
      <c r="ATZ13" s="456"/>
      <c r="AUA13" s="456"/>
      <c r="AUB13" s="456"/>
      <c r="AUC13" s="456"/>
      <c r="AUD13" s="456"/>
      <c r="AUE13" s="456"/>
      <c r="AUF13" s="456"/>
      <c r="AUG13" s="456"/>
      <c r="AUH13" s="456"/>
      <c r="AUI13" s="456"/>
      <c r="AUJ13" s="456"/>
      <c r="AUK13" s="456"/>
      <c r="AUL13" s="456"/>
      <c r="AUM13" s="456"/>
      <c r="AUN13" s="456"/>
      <c r="AUO13" s="456"/>
      <c r="AUP13" s="456"/>
      <c r="AUQ13" s="456"/>
      <c r="AUR13" s="456"/>
      <c r="AUS13" s="456"/>
      <c r="AUT13" s="456"/>
      <c r="AUU13" s="456"/>
      <c r="AUV13" s="456"/>
      <c r="AUW13" s="456"/>
      <c r="AUX13" s="456"/>
      <c r="AUY13" s="456"/>
      <c r="AUZ13" s="456"/>
      <c r="AVA13" s="456"/>
      <c r="AVB13" s="456"/>
      <c r="AVC13" s="456"/>
      <c r="AVD13" s="456"/>
      <c r="AVE13" s="456"/>
      <c r="AVF13" s="456"/>
      <c r="AVG13" s="456"/>
      <c r="AVH13" s="456"/>
      <c r="AVI13" s="456"/>
      <c r="AVJ13" s="456"/>
      <c r="AVK13" s="456"/>
      <c r="AVL13" s="456"/>
      <c r="AVM13" s="456"/>
      <c r="AVN13" s="456"/>
      <c r="AVO13" s="456"/>
      <c r="AVP13" s="456"/>
      <c r="AVQ13" s="456"/>
      <c r="AVR13" s="456"/>
      <c r="AVS13" s="456"/>
      <c r="AVT13" s="456"/>
      <c r="AVU13" s="456"/>
      <c r="AVV13" s="456"/>
      <c r="AVW13" s="456"/>
      <c r="AVX13" s="456"/>
      <c r="AVY13" s="456"/>
      <c r="AVZ13" s="456"/>
      <c r="AWA13" s="456"/>
      <c r="AWB13" s="456"/>
      <c r="AWC13" s="456"/>
      <c r="AWD13" s="456"/>
      <c r="AWE13" s="456"/>
      <c r="AWF13" s="456"/>
      <c r="AWG13" s="456"/>
      <c r="AWH13" s="456"/>
      <c r="AWI13" s="456"/>
      <c r="AWJ13" s="456"/>
      <c r="AWK13" s="456"/>
      <c r="AWL13" s="456"/>
      <c r="AWM13" s="456"/>
      <c r="AWN13" s="456"/>
      <c r="AWO13" s="456"/>
      <c r="AWP13" s="456"/>
      <c r="AWQ13" s="456"/>
      <c r="AWR13" s="456"/>
      <c r="AWS13" s="456"/>
      <c r="AWT13" s="456"/>
      <c r="AWU13" s="456"/>
      <c r="AWV13" s="456"/>
      <c r="AWW13" s="456"/>
      <c r="AWX13" s="456"/>
      <c r="AWY13" s="456"/>
      <c r="AWZ13" s="456"/>
      <c r="AXA13" s="456"/>
      <c r="AXB13" s="456"/>
      <c r="AXC13" s="456"/>
      <c r="AXD13" s="456"/>
      <c r="AXE13" s="456"/>
      <c r="AXF13" s="456"/>
      <c r="AXG13" s="456"/>
      <c r="AXH13" s="456"/>
      <c r="AXI13" s="456"/>
      <c r="AXJ13" s="456"/>
      <c r="AXK13" s="456"/>
      <c r="AXL13" s="456"/>
      <c r="AXM13" s="456"/>
      <c r="AXN13" s="456"/>
      <c r="AXO13" s="456"/>
      <c r="AXP13" s="456"/>
      <c r="AXQ13" s="456"/>
      <c r="AXR13" s="456"/>
      <c r="AXS13" s="456"/>
      <c r="AXT13" s="456"/>
      <c r="AXU13" s="456"/>
      <c r="AXV13" s="456"/>
      <c r="AXW13" s="456"/>
      <c r="AXX13" s="456"/>
      <c r="AXY13" s="456"/>
      <c r="AXZ13" s="456"/>
      <c r="AYA13" s="456"/>
      <c r="AYB13" s="456"/>
      <c r="AYC13" s="456"/>
      <c r="AYD13" s="456"/>
      <c r="AYE13" s="456"/>
      <c r="AYF13" s="456"/>
      <c r="AYG13" s="456"/>
      <c r="AYH13" s="456"/>
      <c r="AYI13" s="456"/>
      <c r="AYJ13" s="456"/>
      <c r="AYK13" s="456"/>
      <c r="AYL13" s="456"/>
      <c r="AYM13" s="456"/>
      <c r="AYN13" s="456"/>
      <c r="AYO13" s="456"/>
      <c r="AYP13" s="456"/>
      <c r="AYQ13" s="456"/>
      <c r="AYR13" s="456"/>
      <c r="AYS13" s="456"/>
      <c r="AYT13" s="456"/>
      <c r="AYU13" s="456"/>
      <c r="AYV13" s="456"/>
      <c r="AYW13" s="456"/>
      <c r="AYX13" s="456"/>
      <c r="AYY13" s="456"/>
      <c r="AYZ13" s="456"/>
      <c r="AZA13" s="456"/>
      <c r="AZB13" s="456"/>
      <c r="AZC13" s="456"/>
      <c r="AZD13" s="456"/>
      <c r="AZE13" s="456"/>
      <c r="AZF13" s="456"/>
      <c r="AZG13" s="456"/>
      <c r="AZH13" s="456"/>
      <c r="AZI13" s="456"/>
      <c r="AZJ13" s="456"/>
      <c r="AZK13" s="456"/>
      <c r="AZL13" s="456"/>
      <c r="AZM13" s="456"/>
      <c r="AZN13" s="456"/>
      <c r="AZO13" s="456"/>
      <c r="AZP13" s="456"/>
      <c r="AZQ13" s="456"/>
      <c r="AZR13" s="456"/>
      <c r="AZS13" s="456"/>
      <c r="AZT13" s="456"/>
      <c r="AZU13" s="456"/>
      <c r="AZV13" s="456"/>
      <c r="AZW13" s="456"/>
      <c r="AZX13" s="456"/>
      <c r="AZY13" s="456"/>
      <c r="AZZ13" s="456"/>
      <c r="BAA13" s="456"/>
      <c r="BAB13" s="456"/>
      <c r="BAC13" s="456"/>
      <c r="BAD13" s="456"/>
      <c r="BAE13" s="456"/>
      <c r="BAF13" s="456"/>
      <c r="BAG13" s="456"/>
      <c r="BAH13" s="456"/>
      <c r="BAI13" s="456"/>
      <c r="BAJ13" s="456"/>
      <c r="BAK13" s="456"/>
      <c r="BAL13" s="456"/>
      <c r="BAM13" s="456"/>
      <c r="BAN13" s="456"/>
      <c r="BAO13" s="456"/>
      <c r="BAP13" s="456"/>
      <c r="BAQ13" s="456"/>
      <c r="BAR13" s="456"/>
      <c r="BAS13" s="456"/>
      <c r="BAT13" s="456"/>
      <c r="BAU13" s="456"/>
      <c r="BAV13" s="456"/>
      <c r="BAW13" s="456"/>
      <c r="BAX13" s="456"/>
      <c r="BAY13" s="456"/>
      <c r="BAZ13" s="456"/>
      <c r="BBA13" s="456"/>
      <c r="BBB13" s="456"/>
      <c r="BBC13" s="456"/>
      <c r="BBD13" s="456"/>
      <c r="BBE13" s="456"/>
      <c r="BBF13" s="456"/>
      <c r="BBG13" s="456"/>
      <c r="BBH13" s="456"/>
      <c r="BBI13" s="456"/>
      <c r="BBJ13" s="456"/>
      <c r="BBK13" s="456"/>
      <c r="BBL13" s="456"/>
      <c r="BBM13" s="456"/>
      <c r="BBN13" s="456"/>
      <c r="BBO13" s="456"/>
      <c r="BBP13" s="456"/>
      <c r="BBQ13" s="456"/>
      <c r="BBR13" s="456"/>
      <c r="BBS13" s="456"/>
      <c r="BBT13" s="456"/>
      <c r="BBU13" s="456"/>
      <c r="BBV13" s="456"/>
      <c r="BBW13" s="456"/>
      <c r="BBX13" s="456"/>
      <c r="BBY13" s="456"/>
      <c r="BBZ13" s="456"/>
      <c r="BCA13" s="456"/>
      <c r="BCB13" s="456"/>
      <c r="BCC13" s="456"/>
      <c r="BCD13" s="456"/>
      <c r="BCE13" s="456"/>
      <c r="BCF13" s="456"/>
      <c r="BCG13" s="456"/>
      <c r="BCH13" s="456"/>
      <c r="BCI13" s="456"/>
      <c r="BCJ13" s="456"/>
      <c r="BCK13" s="456"/>
      <c r="BCL13" s="456"/>
      <c r="BCM13" s="456"/>
      <c r="BCN13" s="456"/>
      <c r="BCO13" s="456"/>
      <c r="BCP13" s="456"/>
      <c r="BCQ13" s="456"/>
      <c r="BCR13" s="456"/>
      <c r="BCS13" s="456"/>
      <c r="BCT13" s="456"/>
      <c r="BCU13" s="456"/>
      <c r="BCV13" s="456"/>
      <c r="BCW13" s="456"/>
      <c r="BCX13" s="456"/>
      <c r="BCY13" s="456"/>
      <c r="BCZ13" s="456"/>
      <c r="BDA13" s="456"/>
      <c r="BDB13" s="456"/>
      <c r="BDC13" s="456"/>
      <c r="BDD13" s="456"/>
      <c r="BDE13" s="456"/>
      <c r="BDF13" s="456"/>
      <c r="BDG13" s="456"/>
      <c r="BDH13" s="456"/>
      <c r="BDI13" s="456"/>
      <c r="BDJ13" s="456"/>
      <c r="BDK13" s="456"/>
      <c r="BDL13" s="456"/>
      <c r="BDM13" s="456"/>
      <c r="BDN13" s="456"/>
      <c r="BDO13" s="456"/>
      <c r="BDP13" s="456"/>
      <c r="BDQ13" s="456"/>
      <c r="BDR13" s="456"/>
      <c r="BDS13" s="456"/>
      <c r="BDT13" s="456"/>
      <c r="BDU13" s="456"/>
      <c r="BDV13" s="456"/>
      <c r="BDW13" s="456"/>
      <c r="BDX13" s="456"/>
      <c r="BDY13" s="456"/>
      <c r="BDZ13" s="456"/>
      <c r="BEA13" s="456"/>
      <c r="BEB13" s="456"/>
      <c r="BEC13" s="456"/>
      <c r="BED13" s="456"/>
      <c r="BEE13" s="456"/>
      <c r="BEF13" s="456"/>
      <c r="BEG13" s="456"/>
      <c r="BEH13" s="456"/>
      <c r="BEI13" s="456"/>
      <c r="BEJ13" s="456"/>
      <c r="BEK13" s="456"/>
      <c r="BEL13" s="456"/>
      <c r="BEM13" s="456"/>
      <c r="BEN13" s="456"/>
      <c r="BEO13" s="456"/>
      <c r="BEP13" s="456"/>
      <c r="BEQ13" s="456"/>
      <c r="BER13" s="456"/>
      <c r="BES13" s="456"/>
      <c r="BET13" s="456"/>
      <c r="BEU13" s="456"/>
      <c r="BEV13" s="456"/>
      <c r="BEW13" s="456"/>
      <c r="BEX13" s="456"/>
      <c r="BEY13" s="456"/>
      <c r="BEZ13" s="456"/>
      <c r="BFA13" s="456"/>
      <c r="BFB13" s="456"/>
      <c r="BFC13" s="456"/>
      <c r="BFD13" s="456"/>
      <c r="BFE13" s="456"/>
      <c r="BFF13" s="456"/>
      <c r="BFG13" s="456"/>
      <c r="BFH13" s="456"/>
      <c r="BFI13" s="456"/>
      <c r="BFJ13" s="456"/>
      <c r="BFK13" s="456"/>
      <c r="BFL13" s="456"/>
      <c r="BFM13" s="456"/>
      <c r="BFN13" s="456"/>
      <c r="BFO13" s="456"/>
      <c r="BFP13" s="456"/>
      <c r="BFQ13" s="456"/>
      <c r="BFR13" s="456"/>
      <c r="BFS13" s="456"/>
      <c r="BFT13" s="456"/>
      <c r="BFU13" s="456"/>
      <c r="BFV13" s="456"/>
      <c r="BFW13" s="456"/>
      <c r="BFX13" s="456"/>
      <c r="BFY13" s="456"/>
      <c r="BFZ13" s="456"/>
      <c r="BGA13" s="456"/>
      <c r="BGB13" s="456"/>
      <c r="BGC13" s="456"/>
      <c r="BGD13" s="456"/>
      <c r="BGE13" s="456"/>
      <c r="BGF13" s="456"/>
      <c r="BGG13" s="456"/>
      <c r="BGH13" s="456"/>
      <c r="BGI13" s="456"/>
      <c r="BGJ13" s="456"/>
      <c r="BGK13" s="456"/>
      <c r="BGL13" s="456"/>
      <c r="BGM13" s="456"/>
      <c r="BGN13" s="456"/>
      <c r="BGO13" s="456"/>
      <c r="BGP13" s="456"/>
      <c r="BGQ13" s="456"/>
      <c r="BGR13" s="456"/>
      <c r="BGS13" s="456"/>
      <c r="BGT13" s="456"/>
      <c r="BGU13" s="456"/>
      <c r="BGV13" s="456"/>
      <c r="BGW13" s="456"/>
      <c r="BGX13" s="456"/>
      <c r="BGY13" s="456"/>
      <c r="BGZ13" s="456"/>
      <c r="BHA13" s="456"/>
      <c r="BHB13" s="456"/>
      <c r="BHC13" s="456"/>
      <c r="BHD13" s="456"/>
      <c r="BHE13" s="456"/>
      <c r="BHF13" s="456"/>
      <c r="BHG13" s="456"/>
      <c r="BHH13" s="456"/>
      <c r="BHI13" s="456"/>
      <c r="BHJ13" s="456"/>
      <c r="BHK13" s="456"/>
      <c r="BHL13" s="456"/>
      <c r="BHM13" s="456"/>
      <c r="BHN13" s="456"/>
      <c r="BHO13" s="456"/>
      <c r="BHP13" s="456"/>
      <c r="BHQ13" s="456"/>
      <c r="BHR13" s="456"/>
      <c r="BHS13" s="456"/>
      <c r="BHT13" s="456"/>
      <c r="BHU13" s="456"/>
      <c r="BHV13" s="456"/>
      <c r="BHW13" s="456"/>
      <c r="BHX13" s="456"/>
      <c r="BHY13" s="456"/>
      <c r="BHZ13" s="456"/>
      <c r="BIA13" s="456"/>
      <c r="BIB13" s="456"/>
      <c r="BIC13" s="456"/>
      <c r="BID13" s="456"/>
      <c r="BIE13" s="456"/>
      <c r="BIF13" s="456"/>
      <c r="BIG13" s="456"/>
      <c r="BIH13" s="456"/>
      <c r="BII13" s="456"/>
      <c r="BIJ13" s="456"/>
      <c r="BIK13" s="456"/>
      <c r="BIL13" s="456"/>
      <c r="BIM13" s="456"/>
      <c r="BIN13" s="456"/>
      <c r="BIO13" s="456"/>
      <c r="BIP13" s="456"/>
      <c r="BIQ13" s="456"/>
      <c r="BIR13" s="456"/>
      <c r="BIS13" s="456"/>
      <c r="BIT13" s="456"/>
      <c r="BIU13" s="456"/>
      <c r="BIV13" s="456"/>
      <c r="BIW13" s="456"/>
      <c r="BIX13" s="456"/>
      <c r="BIY13" s="456"/>
      <c r="BIZ13" s="456"/>
      <c r="BJA13" s="456"/>
      <c r="BJB13" s="456"/>
      <c r="BJC13" s="456"/>
      <c r="BJD13" s="456"/>
      <c r="BJE13" s="456"/>
      <c r="BJF13" s="456"/>
      <c r="BJG13" s="456"/>
      <c r="BJH13" s="456"/>
      <c r="BJI13" s="456"/>
      <c r="BJJ13" s="456"/>
      <c r="BJK13" s="456"/>
      <c r="BJL13" s="456"/>
      <c r="BJM13" s="456"/>
      <c r="BJN13" s="456"/>
      <c r="BJO13" s="456"/>
      <c r="BJP13" s="456"/>
      <c r="BJQ13" s="456"/>
      <c r="BJR13" s="456"/>
      <c r="BJS13" s="456"/>
      <c r="BJT13" s="456"/>
      <c r="BJU13" s="456"/>
      <c r="BJV13" s="456"/>
      <c r="BJW13" s="456"/>
      <c r="BJX13" s="456"/>
      <c r="BJY13" s="456"/>
      <c r="BJZ13" s="456"/>
      <c r="BKA13" s="456"/>
      <c r="BKB13" s="456"/>
      <c r="BKC13" s="456"/>
      <c r="BKD13" s="456"/>
      <c r="BKE13" s="456"/>
      <c r="BKF13" s="456"/>
      <c r="BKG13" s="456"/>
      <c r="BKH13" s="456"/>
      <c r="BKI13" s="456"/>
      <c r="BKJ13" s="456"/>
      <c r="BKK13" s="456"/>
      <c r="BKL13" s="456"/>
      <c r="BKM13" s="456"/>
      <c r="BKN13" s="456"/>
      <c r="BKO13" s="456"/>
      <c r="BKP13" s="456"/>
      <c r="BKQ13" s="456"/>
      <c r="BKR13" s="456"/>
      <c r="BKS13" s="456"/>
      <c r="BKT13" s="456"/>
      <c r="BKU13" s="456"/>
      <c r="BKV13" s="456"/>
      <c r="BKW13" s="456"/>
      <c r="BKX13" s="456"/>
      <c r="BKY13" s="456"/>
      <c r="BKZ13" s="456"/>
      <c r="BLA13" s="456"/>
      <c r="BLB13" s="456"/>
      <c r="BLC13" s="456"/>
      <c r="BLD13" s="456"/>
      <c r="BLE13" s="456"/>
      <c r="BLF13" s="456"/>
      <c r="BLG13" s="456"/>
      <c r="BLH13" s="456"/>
      <c r="BLI13" s="456"/>
      <c r="BLJ13" s="456"/>
      <c r="BLK13" s="456"/>
      <c r="BLL13" s="456"/>
      <c r="BLM13" s="456"/>
      <c r="BLN13" s="456"/>
      <c r="BLO13" s="456"/>
      <c r="BLP13" s="456"/>
      <c r="BLQ13" s="456"/>
      <c r="BLR13" s="456"/>
      <c r="BLS13" s="456"/>
      <c r="BLT13" s="456"/>
      <c r="BLU13" s="456"/>
      <c r="BLV13" s="456"/>
      <c r="BLW13" s="456"/>
      <c r="BLX13" s="456"/>
      <c r="BLY13" s="456"/>
      <c r="BLZ13" s="456"/>
      <c r="BMA13" s="456"/>
      <c r="BMB13" s="456"/>
      <c r="BMC13" s="456"/>
      <c r="BMD13" s="456"/>
      <c r="BME13" s="456"/>
      <c r="BMF13" s="456"/>
      <c r="BMG13" s="456"/>
      <c r="BMH13" s="456"/>
      <c r="BMI13" s="456"/>
      <c r="BMJ13" s="456"/>
      <c r="BMK13" s="456"/>
      <c r="BML13" s="456"/>
      <c r="BMM13" s="456"/>
      <c r="BMN13" s="456"/>
      <c r="BMO13" s="456"/>
      <c r="BMP13" s="456"/>
      <c r="BMQ13" s="456"/>
      <c r="BMR13" s="456"/>
      <c r="BMS13" s="456"/>
      <c r="BMT13" s="456"/>
      <c r="BMU13" s="456"/>
      <c r="BMV13" s="456"/>
      <c r="BMW13" s="456"/>
      <c r="BMX13" s="456"/>
      <c r="BMY13" s="456"/>
      <c r="BMZ13" s="456"/>
      <c r="BNA13" s="456"/>
      <c r="BNB13" s="456"/>
      <c r="BNC13" s="456"/>
      <c r="BND13" s="456"/>
      <c r="BNE13" s="456"/>
      <c r="BNF13" s="456"/>
      <c r="BNG13" s="456"/>
      <c r="BNH13" s="456"/>
      <c r="BNI13" s="456"/>
      <c r="BNJ13" s="456"/>
      <c r="BNK13" s="456"/>
      <c r="BNL13" s="456"/>
      <c r="BNM13" s="456"/>
      <c r="BNN13" s="456"/>
      <c r="BNO13" s="456"/>
      <c r="BNP13" s="456"/>
      <c r="BNQ13" s="456"/>
      <c r="BNR13" s="456"/>
      <c r="BNS13" s="456"/>
      <c r="BNT13" s="456"/>
      <c r="BNU13" s="456"/>
      <c r="BNV13" s="456"/>
      <c r="BNW13" s="456"/>
      <c r="BNX13" s="456"/>
      <c r="BNY13" s="456"/>
      <c r="BNZ13" s="456"/>
      <c r="BOA13" s="456"/>
      <c r="BOB13" s="456"/>
      <c r="BOC13" s="456"/>
      <c r="BOD13" s="456"/>
      <c r="BOE13" s="456"/>
      <c r="BOF13" s="456"/>
      <c r="BOG13" s="456"/>
      <c r="BOH13" s="456"/>
      <c r="BOI13" s="456"/>
      <c r="BOJ13" s="456"/>
      <c r="BOK13" s="456"/>
      <c r="BOL13" s="456"/>
      <c r="BOM13" s="456"/>
      <c r="BON13" s="456"/>
      <c r="BOO13" s="456"/>
      <c r="BOP13" s="456"/>
      <c r="BOQ13" s="456"/>
      <c r="BOR13" s="456"/>
      <c r="BOS13" s="456"/>
      <c r="BOT13" s="456"/>
      <c r="BOU13" s="456"/>
      <c r="BOV13" s="456"/>
      <c r="BOW13" s="456"/>
      <c r="BOX13" s="456"/>
      <c r="BOY13" s="456"/>
      <c r="BOZ13" s="456"/>
      <c r="BPA13" s="456"/>
      <c r="BPB13" s="456"/>
      <c r="BPC13" s="456"/>
      <c r="BPD13" s="456"/>
      <c r="BPE13" s="456"/>
      <c r="BPF13" s="456"/>
      <c r="BPG13" s="456"/>
      <c r="BPH13" s="456"/>
      <c r="BPI13" s="456"/>
      <c r="BPJ13" s="456"/>
      <c r="BPK13" s="456"/>
      <c r="BPL13" s="456"/>
      <c r="BPM13" s="456"/>
      <c r="BPN13" s="456"/>
      <c r="BPO13" s="456"/>
      <c r="BPP13" s="456"/>
      <c r="BPQ13" s="456"/>
      <c r="BPR13" s="456"/>
      <c r="BPS13" s="456"/>
      <c r="BPT13" s="456"/>
      <c r="BPU13" s="456"/>
      <c r="BPV13" s="456"/>
      <c r="BPW13" s="456"/>
      <c r="BPX13" s="456"/>
      <c r="BPY13" s="456"/>
      <c r="BPZ13" s="456"/>
      <c r="BQA13" s="456"/>
      <c r="BQB13" s="456"/>
      <c r="BQC13" s="456"/>
      <c r="BQD13" s="456"/>
      <c r="BQE13" s="456"/>
      <c r="BQF13" s="456"/>
      <c r="BQG13" s="456"/>
      <c r="BQH13" s="456"/>
      <c r="BQI13" s="456"/>
      <c r="BQJ13" s="456"/>
      <c r="BQK13" s="456"/>
      <c r="BQL13" s="456"/>
      <c r="BQM13" s="456"/>
      <c r="BQN13" s="456"/>
      <c r="BQO13" s="456"/>
      <c r="BQP13" s="456"/>
      <c r="BQQ13" s="456"/>
      <c r="BQR13" s="456"/>
      <c r="BQS13" s="456"/>
      <c r="BQT13" s="456"/>
      <c r="BQU13" s="456"/>
      <c r="BQV13" s="456"/>
      <c r="BQW13" s="456"/>
      <c r="BQX13" s="456"/>
      <c r="BQY13" s="456"/>
      <c r="BQZ13" s="456"/>
      <c r="BRA13" s="456"/>
      <c r="BRB13" s="456"/>
      <c r="BRC13" s="456"/>
      <c r="BRD13" s="456"/>
      <c r="BRE13" s="456"/>
      <c r="BRF13" s="456"/>
      <c r="BRG13" s="456"/>
      <c r="BRH13" s="456"/>
      <c r="BRI13" s="456"/>
      <c r="BRJ13" s="456"/>
      <c r="BRK13" s="456"/>
      <c r="BRL13" s="456"/>
      <c r="BRM13" s="456"/>
      <c r="BRN13" s="456"/>
      <c r="BRO13" s="456"/>
      <c r="BRP13" s="456"/>
      <c r="BRQ13" s="456"/>
      <c r="BRR13" s="456"/>
      <c r="BRS13" s="456"/>
      <c r="BRT13" s="456"/>
      <c r="BRU13" s="456"/>
      <c r="BRV13" s="456"/>
      <c r="BRW13" s="456"/>
      <c r="BRX13" s="456"/>
      <c r="BRY13" s="456"/>
      <c r="BRZ13" s="456"/>
      <c r="BSA13" s="456"/>
      <c r="BSB13" s="456"/>
      <c r="BSC13" s="456"/>
      <c r="BSD13" s="456"/>
      <c r="BSE13" s="456"/>
      <c r="BSF13" s="456"/>
      <c r="BSG13" s="456"/>
      <c r="BSH13" s="456"/>
      <c r="BSI13" s="456"/>
      <c r="BSJ13" s="456"/>
      <c r="BSK13" s="456"/>
      <c r="BSL13" s="456"/>
      <c r="BSM13" s="456"/>
      <c r="BSN13" s="456"/>
      <c r="BSO13" s="456"/>
      <c r="BSP13" s="456"/>
      <c r="BSQ13" s="456"/>
      <c r="BSR13" s="456"/>
      <c r="BSS13" s="456"/>
      <c r="BST13" s="456"/>
      <c r="BSU13" s="456"/>
      <c r="BSV13" s="456"/>
      <c r="BSW13" s="456"/>
      <c r="BSX13" s="456"/>
      <c r="BSY13" s="456"/>
      <c r="BSZ13" s="456"/>
      <c r="BTA13" s="456"/>
      <c r="BTB13" s="456"/>
      <c r="BTC13" s="456"/>
      <c r="BTD13" s="456"/>
      <c r="BTE13" s="456"/>
      <c r="BTF13" s="456"/>
      <c r="BTG13" s="456"/>
      <c r="BTH13" s="456"/>
      <c r="BTI13" s="456"/>
      <c r="BTJ13" s="456"/>
      <c r="BTK13" s="456"/>
      <c r="BTL13" s="456"/>
      <c r="BTM13" s="456"/>
      <c r="BTN13" s="456"/>
      <c r="BTO13" s="456"/>
      <c r="BTP13" s="456"/>
      <c r="BTQ13" s="456"/>
      <c r="BTR13" s="456"/>
      <c r="BTS13" s="456"/>
      <c r="BTT13" s="456"/>
      <c r="BTU13" s="456"/>
      <c r="BTV13" s="456"/>
      <c r="BTW13" s="456"/>
      <c r="BTX13" s="456"/>
      <c r="BTY13" s="456"/>
      <c r="BTZ13" s="456"/>
      <c r="BUA13" s="456"/>
      <c r="BUB13" s="456"/>
      <c r="BUC13" s="456"/>
      <c r="BUD13" s="456"/>
      <c r="BUE13" s="456"/>
      <c r="BUF13" s="456"/>
      <c r="BUG13" s="456"/>
      <c r="BUH13" s="456"/>
      <c r="BUI13" s="456"/>
      <c r="BUJ13" s="456"/>
      <c r="BUK13" s="456"/>
      <c r="BUL13" s="456"/>
      <c r="BUM13" s="456"/>
      <c r="BUN13" s="456"/>
      <c r="BUO13" s="456"/>
      <c r="BUP13" s="456"/>
      <c r="BUQ13" s="456"/>
      <c r="BUR13" s="456"/>
      <c r="BUS13" s="456"/>
      <c r="BUT13" s="456"/>
      <c r="BUU13" s="456"/>
      <c r="BUV13" s="456"/>
      <c r="BUW13" s="456"/>
      <c r="BUX13" s="456"/>
      <c r="BUY13" s="456"/>
      <c r="BUZ13" s="456"/>
      <c r="BVA13" s="456"/>
      <c r="BVB13" s="456"/>
      <c r="BVC13" s="456"/>
      <c r="BVD13" s="456"/>
      <c r="BVE13" s="456"/>
      <c r="BVF13" s="456"/>
      <c r="BVG13" s="456"/>
      <c r="BVH13" s="456"/>
      <c r="BVI13" s="456"/>
      <c r="BVJ13" s="456"/>
      <c r="BVK13" s="456"/>
      <c r="BVL13" s="456"/>
      <c r="BVM13" s="456"/>
      <c r="BVN13" s="456"/>
      <c r="BVO13" s="456"/>
      <c r="BVP13" s="456"/>
      <c r="BVQ13" s="456"/>
      <c r="BVR13" s="456"/>
      <c r="BVS13" s="456"/>
      <c r="BVT13" s="456"/>
      <c r="BVU13" s="456"/>
      <c r="BVV13" s="456"/>
      <c r="BVW13" s="456"/>
      <c r="BVX13" s="456"/>
      <c r="BVY13" s="456"/>
      <c r="BVZ13" s="456"/>
      <c r="BWA13" s="456"/>
      <c r="BWB13" s="456"/>
      <c r="BWC13" s="456"/>
      <c r="BWD13" s="456"/>
      <c r="BWE13" s="456"/>
      <c r="BWF13" s="456"/>
      <c r="BWG13" s="456"/>
      <c r="BWH13" s="456"/>
      <c r="BWI13" s="456"/>
      <c r="BWJ13" s="456"/>
      <c r="BWK13" s="456"/>
      <c r="BWL13" s="456"/>
      <c r="BWM13" s="456"/>
      <c r="BWN13" s="456"/>
      <c r="BWO13" s="456"/>
      <c r="BWP13" s="456"/>
      <c r="BWQ13" s="456"/>
      <c r="BWR13" s="456"/>
      <c r="BWS13" s="456"/>
      <c r="BWT13" s="456"/>
      <c r="BWU13" s="456"/>
      <c r="BWV13" s="456"/>
      <c r="BWW13" s="456"/>
      <c r="BWX13" s="456"/>
      <c r="BWY13" s="456"/>
      <c r="BWZ13" s="456"/>
      <c r="BXA13" s="456"/>
      <c r="BXB13" s="456"/>
      <c r="BXC13" s="456"/>
      <c r="BXD13" s="456"/>
      <c r="BXE13" s="456"/>
      <c r="BXF13" s="456"/>
      <c r="BXG13" s="456"/>
      <c r="BXH13" s="456"/>
      <c r="BXI13" s="456"/>
      <c r="BXJ13" s="456"/>
      <c r="BXK13" s="456"/>
      <c r="BXL13" s="456"/>
      <c r="BXM13" s="456"/>
      <c r="BXN13" s="456"/>
      <c r="BXO13" s="456"/>
      <c r="BXP13" s="456"/>
      <c r="BXQ13" s="456"/>
      <c r="BXR13" s="456"/>
      <c r="BXS13" s="456"/>
      <c r="BXT13" s="456"/>
      <c r="BXU13" s="456"/>
      <c r="BXV13" s="456"/>
      <c r="BXW13" s="456"/>
      <c r="BXX13" s="456"/>
      <c r="BXY13" s="456"/>
      <c r="BXZ13" s="456"/>
    </row>
    <row r="14" s="25" customFormat="1" ht="15.6" spans="1:1024 1025:2002">
      <c r="A14" s="473" t="s">
        <v>34</v>
      </c>
      <c r="B14" s="19">
        <v>1112</v>
      </c>
      <c r="C14" s="183">
        <v>46134</v>
      </c>
      <c r="D14" s="17" t="s">
        <v>52</v>
      </c>
      <c r="E14" s="17" t="s">
        <v>53</v>
      </c>
      <c r="F14" s="17" t="s">
        <v>54</v>
      </c>
      <c r="G14" s="17"/>
      <c r="H14" s="19" t="s">
        <v>55</v>
      </c>
      <c r="I14" s="102" t="s">
        <v>56</v>
      </c>
      <c r="J14" s="17" t="s">
        <v>49</v>
      </c>
      <c r="K14" s="19">
        <v>710</v>
      </c>
      <c r="L14" s="19">
        <v>220</v>
      </c>
      <c r="M14" s="19">
        <v>5800</v>
      </c>
      <c r="N14" s="19" t="s">
        <v>40</v>
      </c>
      <c r="O14" s="19" t="s">
        <v>50</v>
      </c>
      <c r="P14" s="19">
        <v>3850</v>
      </c>
      <c r="Q14" s="19">
        <v>4180</v>
      </c>
      <c r="R14" s="19">
        <f t="shared" si="0"/>
        <v>-330</v>
      </c>
      <c r="S14" s="311">
        <v>2040</v>
      </c>
      <c r="T14" s="19" t="s">
        <v>42</v>
      </c>
      <c r="U14" s="102" t="s">
        <v>57</v>
      </c>
      <c r="V14" s="186">
        <v>46139</v>
      </c>
      <c r="W14" s="17" t="s">
        <v>58</v>
      </c>
      <c r="X14" s="17"/>
      <c r="Y14" s="68">
        <v>46174</v>
      </c>
      <c r="Z14" s="17" t="s">
        <v>45</v>
      </c>
      <c r="AA14" s="17" t="s">
        <v>46</v>
      </c>
      <c r="AB14" s="17" t="s">
        <v>62</v>
      </c>
      <c r="AC14" s="217">
        <v>46202</v>
      </c>
      <c r="AD14" s="65">
        <v>1832</v>
      </c>
      <c r="AE14" s="17" t="s">
        <v>48</v>
      </c>
      <c r="AF14" s="17" t="s">
        <v>61</v>
      </c>
      <c r="AG14" s="17"/>
      <c r="AH14" s="456"/>
      <c r="AI14" s="456"/>
      <c r="AJ14" s="456"/>
      <c r="AK14" s="456"/>
      <c r="AL14" s="456"/>
      <c r="AM14" s="456"/>
      <c r="AN14" s="456"/>
      <c r="AO14" s="456"/>
      <c r="AP14" s="456"/>
      <c r="AQ14" s="456"/>
      <c r="AR14" s="456"/>
      <c r="AS14" s="456"/>
      <c r="AT14" s="456"/>
      <c r="AU14" s="456"/>
      <c r="AV14" s="456"/>
      <c r="AW14" s="456"/>
      <c r="AX14" s="456"/>
      <c r="AY14" s="456"/>
      <c r="AZ14" s="456"/>
      <c r="BA14" s="456"/>
      <c r="BB14" s="456"/>
      <c r="BC14" s="456"/>
      <c r="BD14" s="456"/>
      <c r="BE14" s="456"/>
      <c r="BF14" s="456"/>
      <c r="BG14" s="456"/>
      <c r="BH14" s="456"/>
      <c r="BI14" s="456"/>
      <c r="BJ14" s="456"/>
      <c r="BK14" s="456"/>
      <c r="BL14" s="456"/>
      <c r="BM14" s="456"/>
      <c r="BN14" s="456"/>
      <c r="BO14" s="456"/>
      <c r="BP14" s="456"/>
      <c r="BQ14" s="456"/>
      <c r="BR14" s="456"/>
      <c r="BS14" s="456"/>
      <c r="BT14" s="456"/>
      <c r="BU14" s="456"/>
      <c r="BV14" s="456"/>
      <c r="BW14" s="456"/>
      <c r="BX14" s="456"/>
      <c r="BY14" s="456"/>
      <c r="BZ14" s="456"/>
      <c r="CA14" s="456"/>
      <c r="CB14" s="456"/>
      <c r="CC14" s="456"/>
      <c r="CD14" s="456"/>
      <c r="CE14" s="456"/>
      <c r="CF14" s="456"/>
      <c r="CG14" s="456"/>
      <c r="CH14" s="456"/>
      <c r="CI14" s="456"/>
      <c r="CJ14" s="456"/>
      <c r="CK14" s="456"/>
      <c r="CL14" s="456"/>
      <c r="CM14" s="456"/>
      <c r="CN14" s="456"/>
      <c r="CO14" s="456"/>
      <c r="CP14" s="456"/>
      <c r="CQ14" s="456"/>
      <c r="CR14" s="456"/>
      <c r="CS14" s="456"/>
      <c r="CT14" s="456"/>
      <c r="CU14" s="456"/>
      <c r="CV14" s="456"/>
      <c r="CW14" s="456"/>
      <c r="CX14" s="456"/>
      <c r="CY14" s="456"/>
      <c r="CZ14" s="456"/>
      <c r="DA14" s="456"/>
      <c r="DB14" s="456"/>
      <c r="DC14" s="456"/>
      <c r="DD14" s="456"/>
      <c r="DE14" s="456"/>
      <c r="DF14" s="456"/>
      <c r="DG14" s="456"/>
      <c r="DH14" s="456"/>
      <c r="DI14" s="456"/>
      <c r="DJ14" s="456"/>
      <c r="DK14" s="456"/>
      <c r="DL14" s="456"/>
      <c r="DM14" s="456"/>
      <c r="DN14" s="456"/>
      <c r="DO14" s="456"/>
      <c r="DP14" s="456"/>
      <c r="DQ14" s="456"/>
      <c r="DR14" s="456"/>
      <c r="DS14" s="456"/>
      <c r="DT14" s="456"/>
      <c r="DU14" s="456"/>
      <c r="DV14" s="456"/>
      <c r="DW14" s="456"/>
      <c r="DX14" s="456"/>
      <c r="DY14" s="456"/>
      <c r="DZ14" s="456"/>
      <c r="EA14" s="456"/>
      <c r="EB14" s="456"/>
      <c r="EC14" s="456"/>
      <c r="ED14" s="456"/>
      <c r="EE14" s="456"/>
      <c r="EF14" s="456"/>
      <c r="EG14" s="456"/>
      <c r="EH14" s="456"/>
      <c r="EI14" s="456"/>
      <c r="EJ14" s="456"/>
      <c r="EK14" s="456"/>
      <c r="EL14" s="456"/>
      <c r="EM14" s="456"/>
      <c r="EN14" s="456"/>
      <c r="EO14" s="456"/>
      <c r="EP14" s="456"/>
      <c r="EQ14" s="456"/>
      <c r="ER14" s="456"/>
      <c r="ES14" s="456"/>
      <c r="ET14" s="456"/>
      <c r="EU14" s="456"/>
      <c r="EV14" s="456"/>
      <c r="EW14" s="456"/>
      <c r="EX14" s="456"/>
      <c r="EY14" s="456"/>
      <c r="EZ14" s="456"/>
      <c r="FA14" s="456"/>
      <c r="FB14" s="456"/>
      <c r="FC14" s="456"/>
      <c r="FD14" s="456"/>
      <c r="FE14" s="456"/>
      <c r="FF14" s="456"/>
      <c r="FG14" s="456"/>
      <c r="FH14" s="456"/>
      <c r="FI14" s="456"/>
      <c r="FJ14" s="456"/>
      <c r="FK14" s="456"/>
      <c r="FL14" s="456"/>
      <c r="FM14" s="456"/>
      <c r="FN14" s="456"/>
      <c r="FO14" s="456"/>
      <c r="FP14" s="456"/>
      <c r="FQ14" s="456"/>
      <c r="FR14" s="456"/>
      <c r="FS14" s="456"/>
      <c r="FT14" s="456"/>
      <c r="FU14" s="456"/>
      <c r="FV14" s="456"/>
      <c r="FW14" s="456"/>
      <c r="FX14" s="456"/>
      <c r="FY14" s="456"/>
      <c r="FZ14" s="456"/>
      <c r="GA14" s="456"/>
      <c r="GB14" s="456"/>
      <c r="GC14" s="456"/>
      <c r="GD14" s="456"/>
      <c r="GE14" s="456"/>
      <c r="GF14" s="456"/>
      <c r="GG14" s="456"/>
      <c r="GH14" s="456"/>
      <c r="GI14" s="456"/>
      <c r="GJ14" s="456"/>
      <c r="GK14" s="456"/>
      <c r="GL14" s="456"/>
      <c r="GM14" s="456"/>
      <c r="GN14" s="456"/>
      <c r="GO14" s="456"/>
      <c r="GP14" s="456"/>
      <c r="GQ14" s="456"/>
      <c r="GR14" s="456"/>
      <c r="GS14" s="456"/>
      <c r="GT14" s="456"/>
      <c r="GU14" s="456"/>
      <c r="GV14" s="456"/>
      <c r="GW14" s="456"/>
      <c r="GX14" s="456"/>
      <c r="GY14" s="456"/>
      <c r="GZ14" s="456"/>
      <c r="HA14" s="456"/>
      <c r="HB14" s="456"/>
      <c r="HC14" s="456"/>
      <c r="HD14" s="456"/>
      <c r="HE14" s="456"/>
      <c r="HF14" s="456"/>
      <c r="HG14" s="456"/>
      <c r="HH14" s="456"/>
      <c r="HI14" s="456"/>
      <c r="HJ14" s="456"/>
      <c r="HK14" s="456"/>
      <c r="HL14" s="456"/>
      <c r="HM14" s="456"/>
      <c r="HN14" s="456"/>
      <c r="HO14" s="456"/>
      <c r="HP14" s="456"/>
      <c r="HQ14" s="456"/>
      <c r="HR14" s="456"/>
      <c r="HS14" s="456"/>
      <c r="HT14" s="456"/>
      <c r="HU14" s="456"/>
      <c r="HV14" s="456"/>
      <c r="HW14" s="456"/>
      <c r="HX14" s="456"/>
      <c r="HY14" s="456"/>
      <c r="HZ14" s="456"/>
      <c r="IA14" s="456"/>
      <c r="IB14" s="456"/>
      <c r="IC14" s="456"/>
      <c r="ID14" s="456"/>
      <c r="IE14" s="456"/>
      <c r="IF14" s="456"/>
      <c r="IG14" s="456"/>
      <c r="IH14" s="456"/>
      <c r="II14" s="456"/>
      <c r="IJ14" s="456"/>
      <c r="IK14" s="456"/>
      <c r="IL14" s="456"/>
      <c r="IM14" s="456"/>
      <c r="IN14" s="456"/>
      <c r="IO14" s="456"/>
      <c r="IP14" s="456"/>
      <c r="IQ14" s="456"/>
      <c r="IR14" s="456"/>
      <c r="IS14" s="456"/>
      <c r="IT14" s="456"/>
      <c r="IU14" s="456"/>
      <c r="IV14" s="456"/>
      <c r="IW14" s="456"/>
      <c r="IX14" s="456"/>
      <c r="IY14" s="456"/>
      <c r="IZ14" s="456"/>
      <c r="JA14" s="456"/>
      <c r="JB14" s="456"/>
      <c r="JC14" s="456"/>
      <c r="JD14" s="456"/>
      <c r="JE14" s="456"/>
      <c r="JF14" s="456"/>
      <c r="JG14" s="456"/>
      <c r="JH14" s="456"/>
      <c r="JI14" s="456"/>
      <c r="JJ14" s="456"/>
      <c r="JK14" s="456"/>
      <c r="JL14" s="456"/>
      <c r="JM14" s="456"/>
      <c r="JN14" s="456"/>
      <c r="JO14" s="456"/>
      <c r="JP14" s="456"/>
      <c r="JQ14" s="456"/>
      <c r="JR14" s="456"/>
      <c r="JS14" s="456"/>
      <c r="JT14" s="456"/>
      <c r="JU14" s="456"/>
      <c r="JV14" s="456"/>
      <c r="JW14" s="456"/>
      <c r="JX14" s="456"/>
      <c r="JY14" s="456"/>
      <c r="JZ14" s="456"/>
      <c r="KA14" s="456"/>
      <c r="KB14" s="456"/>
      <c r="KC14" s="456"/>
      <c r="KD14" s="456"/>
      <c r="KE14" s="456"/>
      <c r="KF14" s="456"/>
      <c r="KG14" s="456"/>
      <c r="KH14" s="456"/>
      <c r="KI14" s="456"/>
      <c r="KJ14" s="456"/>
      <c r="KK14" s="456"/>
      <c r="KL14" s="456"/>
      <c r="KM14" s="456"/>
      <c r="KN14" s="456"/>
      <c r="KO14" s="456"/>
      <c r="KP14" s="456"/>
      <c r="KQ14" s="456"/>
      <c r="KR14" s="456"/>
      <c r="KS14" s="456"/>
      <c r="KT14" s="456"/>
      <c r="KU14" s="456"/>
      <c r="KV14" s="456"/>
      <c r="KW14" s="456"/>
      <c r="KX14" s="456"/>
      <c r="KY14" s="456"/>
      <c r="KZ14" s="456"/>
      <c r="LA14" s="456"/>
      <c r="LB14" s="456"/>
      <c r="LC14" s="456"/>
      <c r="LD14" s="456"/>
      <c r="LE14" s="456"/>
      <c r="LF14" s="456"/>
      <c r="LG14" s="456"/>
      <c r="LH14" s="456"/>
      <c r="LI14" s="456"/>
      <c r="LJ14" s="456"/>
      <c r="LK14" s="456"/>
      <c r="LL14" s="456"/>
      <c r="LM14" s="456"/>
      <c r="LN14" s="456"/>
      <c r="LO14" s="456"/>
      <c r="LP14" s="456"/>
      <c r="LQ14" s="456"/>
      <c r="LR14" s="456"/>
      <c r="LS14" s="456"/>
      <c r="LT14" s="456"/>
      <c r="LU14" s="456"/>
      <c r="LV14" s="456"/>
      <c r="LW14" s="456"/>
      <c r="LX14" s="456"/>
      <c r="LY14" s="456"/>
      <c r="LZ14" s="456"/>
      <c r="MA14" s="456"/>
      <c r="MB14" s="456"/>
      <c r="MC14" s="456"/>
      <c r="MD14" s="456"/>
      <c r="ME14" s="456"/>
      <c r="MF14" s="456"/>
      <c r="MG14" s="456"/>
      <c r="MH14" s="456"/>
      <c r="MI14" s="456"/>
      <c r="MJ14" s="456"/>
      <c r="MK14" s="456"/>
      <c r="ML14" s="456"/>
      <c r="MM14" s="456"/>
      <c r="MN14" s="456"/>
      <c r="MO14" s="456"/>
      <c r="MP14" s="456"/>
      <c r="MQ14" s="456"/>
      <c r="MR14" s="456"/>
      <c r="MS14" s="456"/>
      <c r="MT14" s="456"/>
      <c r="MU14" s="456"/>
      <c r="MV14" s="456"/>
      <c r="MW14" s="456"/>
      <c r="MX14" s="456"/>
      <c r="MY14" s="456"/>
      <c r="MZ14" s="456"/>
      <c r="NA14" s="456"/>
      <c r="NB14" s="456"/>
      <c r="NC14" s="456"/>
      <c r="ND14" s="456"/>
      <c r="NE14" s="456"/>
      <c r="NF14" s="456"/>
      <c r="NG14" s="456"/>
      <c r="NH14" s="456"/>
      <c r="NI14" s="456"/>
      <c r="NJ14" s="456"/>
      <c r="NK14" s="456"/>
      <c r="NL14" s="456"/>
      <c r="NM14" s="456"/>
      <c r="NN14" s="456"/>
      <c r="NO14" s="456"/>
      <c r="NP14" s="456"/>
      <c r="NQ14" s="456"/>
      <c r="NR14" s="456"/>
      <c r="NS14" s="456"/>
      <c r="NT14" s="456"/>
      <c r="NU14" s="456"/>
      <c r="NV14" s="456"/>
      <c r="NW14" s="456"/>
      <c r="NX14" s="456"/>
      <c r="NY14" s="456"/>
      <c r="NZ14" s="456"/>
      <c r="OA14" s="456"/>
      <c r="OB14" s="456"/>
      <c r="OC14" s="456"/>
      <c r="OD14" s="456"/>
      <c r="OE14" s="456"/>
      <c r="OF14" s="456"/>
      <c r="OG14" s="456"/>
      <c r="OH14" s="456"/>
      <c r="OI14" s="456"/>
      <c r="OJ14" s="456"/>
      <c r="OK14" s="456"/>
      <c r="OL14" s="456"/>
      <c r="OM14" s="456"/>
      <c r="ON14" s="456"/>
      <c r="OO14" s="456"/>
      <c r="OP14" s="456"/>
      <c r="OQ14" s="456"/>
      <c r="OR14" s="456"/>
      <c r="OS14" s="456"/>
      <c r="OT14" s="456"/>
      <c r="OU14" s="456"/>
      <c r="OV14" s="456"/>
      <c r="OW14" s="456"/>
      <c r="OX14" s="456"/>
      <c r="OY14" s="456"/>
      <c r="OZ14" s="456"/>
      <c r="PA14" s="456"/>
      <c r="PB14" s="456"/>
      <c r="PC14" s="456"/>
      <c r="PD14" s="456"/>
      <c r="PE14" s="456"/>
      <c r="PF14" s="456"/>
      <c r="PG14" s="456"/>
      <c r="PH14" s="456"/>
      <c r="PI14" s="456"/>
      <c r="PJ14" s="456"/>
      <c r="PK14" s="456"/>
      <c r="PL14" s="456"/>
      <c r="PM14" s="456"/>
      <c r="PN14" s="456"/>
      <c r="PO14" s="456"/>
      <c r="PP14" s="456"/>
      <c r="PQ14" s="456"/>
      <c r="PR14" s="456"/>
      <c r="PS14" s="456"/>
      <c r="PT14" s="456"/>
      <c r="PU14" s="456"/>
      <c r="PV14" s="456"/>
      <c r="PW14" s="456"/>
      <c r="PX14" s="456"/>
      <c r="PY14" s="456"/>
      <c r="PZ14" s="456"/>
      <c r="QA14" s="456"/>
      <c r="QB14" s="456"/>
      <c r="QC14" s="456"/>
      <c r="QD14" s="456"/>
      <c r="QE14" s="456"/>
      <c r="QF14" s="456"/>
      <c r="QG14" s="456"/>
      <c r="QH14" s="456"/>
      <c r="QI14" s="456"/>
      <c r="QJ14" s="456"/>
      <c r="QK14" s="456"/>
      <c r="QL14" s="456"/>
      <c r="QM14" s="456"/>
      <c r="QN14" s="456"/>
      <c r="QO14" s="456"/>
      <c r="QP14" s="456"/>
      <c r="QQ14" s="456"/>
      <c r="QR14" s="456"/>
      <c r="QS14" s="456"/>
      <c r="QT14" s="456"/>
      <c r="QU14" s="456"/>
      <c r="QV14" s="456"/>
      <c r="QW14" s="456"/>
      <c r="QX14" s="456"/>
      <c r="QY14" s="456"/>
      <c r="QZ14" s="456"/>
      <c r="RA14" s="456"/>
      <c r="RB14" s="456"/>
      <c r="RC14" s="456"/>
      <c r="RD14" s="456"/>
      <c r="RE14" s="456"/>
      <c r="RF14" s="456"/>
      <c r="RG14" s="456"/>
      <c r="RH14" s="456"/>
      <c r="RI14" s="456"/>
      <c r="RJ14" s="456"/>
      <c r="RK14" s="456"/>
      <c r="RL14" s="456"/>
      <c r="RM14" s="456"/>
      <c r="RN14" s="456"/>
      <c r="RO14" s="456"/>
      <c r="RP14" s="456"/>
      <c r="RQ14" s="456"/>
      <c r="RR14" s="456"/>
      <c r="RS14" s="456"/>
      <c r="RT14" s="456"/>
      <c r="RU14" s="456"/>
      <c r="RV14" s="456"/>
      <c r="RW14" s="456"/>
      <c r="RX14" s="456"/>
      <c r="RY14" s="456"/>
      <c r="RZ14" s="456"/>
      <c r="SA14" s="456"/>
      <c r="SB14" s="456"/>
      <c r="SC14" s="456"/>
      <c r="SD14" s="456"/>
      <c r="SE14" s="456"/>
      <c r="SF14" s="456"/>
      <c r="SG14" s="456"/>
      <c r="SH14" s="456"/>
      <c r="SI14" s="456"/>
      <c r="SJ14" s="456"/>
      <c r="SK14" s="456"/>
      <c r="SL14" s="456"/>
      <c r="SM14" s="456"/>
      <c r="SN14" s="456"/>
      <c r="SO14" s="456"/>
      <c r="SP14" s="456"/>
      <c r="SQ14" s="456"/>
      <c r="SR14" s="456"/>
      <c r="SS14" s="456"/>
      <c r="ST14" s="456"/>
      <c r="SU14" s="456"/>
      <c r="SV14" s="456"/>
      <c r="SW14" s="456"/>
      <c r="SX14" s="456"/>
      <c r="SY14" s="456"/>
      <c r="SZ14" s="456"/>
      <c r="TA14" s="456"/>
      <c r="TB14" s="456"/>
      <c r="TC14" s="456"/>
      <c r="TD14" s="456"/>
      <c r="TE14" s="456"/>
      <c r="TF14" s="456"/>
      <c r="TG14" s="456"/>
      <c r="TH14" s="456"/>
      <c r="TI14" s="456"/>
      <c r="TJ14" s="456"/>
      <c r="TK14" s="456"/>
      <c r="TL14" s="456"/>
      <c r="TM14" s="456"/>
      <c r="TN14" s="456"/>
      <c r="TO14" s="456"/>
      <c r="TP14" s="456"/>
      <c r="TQ14" s="456"/>
      <c r="TR14" s="456"/>
      <c r="TS14" s="456"/>
      <c r="TT14" s="456"/>
      <c r="TU14" s="456"/>
      <c r="TV14" s="456"/>
      <c r="TW14" s="456"/>
      <c r="TX14" s="456"/>
      <c r="TY14" s="456"/>
      <c r="TZ14" s="456"/>
      <c r="UA14" s="456"/>
      <c r="UB14" s="456"/>
      <c r="UC14" s="456"/>
      <c r="UD14" s="456"/>
      <c r="UE14" s="456"/>
      <c r="UF14" s="456"/>
      <c r="UG14" s="456"/>
      <c r="UH14" s="456"/>
      <c r="UI14" s="456"/>
      <c r="UJ14" s="456"/>
      <c r="UK14" s="456"/>
      <c r="UL14" s="456"/>
      <c r="UM14" s="456"/>
      <c r="UN14" s="456"/>
      <c r="UO14" s="456"/>
      <c r="UP14" s="456"/>
      <c r="UQ14" s="456"/>
      <c r="UR14" s="456"/>
      <c r="US14" s="456"/>
      <c r="UT14" s="456"/>
      <c r="UU14" s="456"/>
      <c r="UV14" s="456"/>
      <c r="UW14" s="456"/>
      <c r="UX14" s="456"/>
      <c r="UY14" s="456"/>
      <c r="UZ14" s="456"/>
      <c r="VA14" s="456"/>
      <c r="VB14" s="456"/>
      <c r="VC14" s="456"/>
      <c r="VD14" s="456"/>
      <c r="VE14" s="456"/>
      <c r="VF14" s="456"/>
      <c r="VG14" s="456"/>
      <c r="VH14" s="456"/>
      <c r="VI14" s="456"/>
      <c r="VJ14" s="456"/>
      <c r="VK14" s="456"/>
      <c r="VL14" s="456"/>
      <c r="VM14" s="456"/>
      <c r="VN14" s="456"/>
      <c r="VO14" s="456"/>
      <c r="VP14" s="456"/>
      <c r="VQ14" s="456"/>
      <c r="VR14" s="456"/>
      <c r="VS14" s="456"/>
      <c r="VT14" s="456"/>
      <c r="VU14" s="456"/>
      <c r="VV14" s="456"/>
      <c r="VW14" s="456"/>
      <c r="VX14" s="456"/>
      <c r="VY14" s="456"/>
      <c r="VZ14" s="456"/>
      <c r="WA14" s="456"/>
      <c r="WB14" s="456"/>
      <c r="WC14" s="456"/>
      <c r="WD14" s="456"/>
      <c r="WE14" s="456"/>
      <c r="WF14" s="456"/>
      <c r="WG14" s="456"/>
      <c r="WH14" s="456"/>
      <c r="WI14" s="456"/>
      <c r="WJ14" s="456"/>
      <c r="WK14" s="456"/>
      <c r="WL14" s="456"/>
      <c r="WM14" s="456"/>
      <c r="WN14" s="456"/>
      <c r="WO14" s="456"/>
      <c r="WP14" s="456"/>
      <c r="WQ14" s="456"/>
      <c r="WR14" s="456"/>
      <c r="WS14" s="456"/>
      <c r="WT14" s="456"/>
      <c r="WU14" s="456"/>
      <c r="WV14" s="456"/>
      <c r="WW14" s="456"/>
      <c r="WX14" s="456"/>
      <c r="WY14" s="456"/>
      <c r="WZ14" s="456"/>
      <c r="XA14" s="456"/>
      <c r="XB14" s="456"/>
      <c r="XC14" s="456"/>
      <c r="XD14" s="456"/>
      <c r="XE14" s="456"/>
      <c r="XF14" s="456"/>
      <c r="XG14" s="456"/>
      <c r="XH14" s="456"/>
      <c r="XI14" s="456"/>
      <c r="XJ14" s="456"/>
      <c r="XK14" s="456"/>
      <c r="XL14" s="456"/>
      <c r="XM14" s="456"/>
      <c r="XN14" s="456"/>
      <c r="XO14" s="456"/>
      <c r="XP14" s="456"/>
      <c r="XQ14" s="456"/>
      <c r="XR14" s="456"/>
      <c r="XS14" s="456"/>
      <c r="XT14" s="456"/>
      <c r="XU14" s="456"/>
      <c r="XV14" s="456"/>
      <c r="XW14" s="456"/>
      <c r="XX14" s="456"/>
      <c r="XY14" s="456"/>
      <c r="XZ14" s="456"/>
      <c r="YA14" s="456"/>
      <c r="YB14" s="456"/>
      <c r="YC14" s="456"/>
      <c r="YD14" s="456"/>
      <c r="YE14" s="456"/>
      <c r="YF14" s="456"/>
      <c r="YG14" s="456"/>
      <c r="YH14" s="456"/>
      <c r="YI14" s="456"/>
      <c r="YJ14" s="456"/>
      <c r="YK14" s="456"/>
      <c r="YL14" s="456"/>
      <c r="YM14" s="456"/>
      <c r="YN14" s="456"/>
      <c r="YO14" s="456"/>
      <c r="YP14" s="456"/>
      <c r="YQ14" s="456"/>
      <c r="YR14" s="456"/>
      <c r="YS14" s="456"/>
      <c r="YT14" s="456"/>
      <c r="YU14" s="456"/>
      <c r="YV14" s="456"/>
      <c r="YW14" s="456"/>
      <c r="YX14" s="456"/>
      <c r="YY14" s="456"/>
      <c r="YZ14" s="456"/>
      <c r="ZA14" s="456"/>
      <c r="ZB14" s="456"/>
      <c r="ZC14" s="456"/>
      <c r="ZD14" s="456"/>
      <c r="ZE14" s="456"/>
      <c r="ZF14" s="456"/>
      <c r="ZG14" s="456"/>
      <c r="ZH14" s="456"/>
      <c r="ZI14" s="456"/>
      <c r="ZJ14" s="456"/>
      <c r="ZK14" s="456"/>
      <c r="ZL14" s="456"/>
      <c r="ZM14" s="456"/>
      <c r="ZN14" s="456"/>
      <c r="ZO14" s="456"/>
      <c r="ZP14" s="456"/>
      <c r="ZQ14" s="456"/>
      <c r="ZR14" s="456"/>
      <c r="ZS14" s="456"/>
      <c r="ZT14" s="456"/>
      <c r="ZU14" s="456"/>
      <c r="ZV14" s="456"/>
      <c r="ZW14" s="456"/>
      <c r="ZX14" s="456"/>
      <c r="ZY14" s="456"/>
      <c r="ZZ14" s="456"/>
      <c r="AAA14" s="456"/>
      <c r="AAB14" s="456"/>
      <c r="AAC14" s="456"/>
      <c r="AAD14" s="456"/>
      <c r="AAE14" s="456"/>
      <c r="AAF14" s="456"/>
      <c r="AAG14" s="456"/>
      <c r="AAH14" s="456"/>
      <c r="AAI14" s="456"/>
      <c r="AAJ14" s="456"/>
      <c r="AAK14" s="456"/>
      <c r="AAL14" s="456"/>
      <c r="AAM14" s="456"/>
      <c r="AAN14" s="456"/>
      <c r="AAO14" s="456"/>
      <c r="AAP14" s="456"/>
      <c r="AAQ14" s="456"/>
      <c r="AAR14" s="456"/>
      <c r="AAS14" s="456"/>
      <c r="AAT14" s="456"/>
      <c r="AAU14" s="456"/>
      <c r="AAV14" s="456"/>
      <c r="AAW14" s="456"/>
      <c r="AAX14" s="456"/>
      <c r="AAY14" s="456"/>
      <c r="AAZ14" s="456"/>
      <c r="ABA14" s="456"/>
      <c r="ABB14" s="456"/>
      <c r="ABC14" s="456"/>
      <c r="ABD14" s="456"/>
      <c r="ABE14" s="456"/>
      <c r="ABF14" s="456"/>
      <c r="ABG14" s="456"/>
      <c r="ABH14" s="456"/>
      <c r="ABI14" s="456"/>
      <c r="ABJ14" s="456"/>
      <c r="ABK14" s="456"/>
      <c r="ABL14" s="456"/>
      <c r="ABM14" s="456"/>
      <c r="ABN14" s="456"/>
      <c r="ABO14" s="456"/>
      <c r="ABP14" s="456"/>
      <c r="ABQ14" s="456"/>
      <c r="ABR14" s="456"/>
      <c r="ABS14" s="456"/>
      <c r="ABT14" s="456"/>
      <c r="ABU14" s="456"/>
      <c r="ABV14" s="456"/>
      <c r="ABW14" s="456"/>
      <c r="ABX14" s="456"/>
      <c r="ABY14" s="456"/>
      <c r="ABZ14" s="456"/>
      <c r="ACA14" s="456"/>
      <c r="ACB14" s="456"/>
      <c r="ACC14" s="456"/>
      <c r="ACD14" s="456"/>
      <c r="ACE14" s="456"/>
      <c r="ACF14" s="456"/>
      <c r="ACG14" s="456"/>
      <c r="ACH14" s="456"/>
      <c r="ACI14" s="456"/>
      <c r="ACJ14" s="456"/>
      <c r="ACK14" s="456"/>
      <c r="ACL14" s="456"/>
      <c r="ACM14" s="456"/>
      <c r="ACN14" s="456"/>
      <c r="ACO14" s="456"/>
      <c r="ACP14" s="456"/>
      <c r="ACQ14" s="456"/>
      <c r="ACR14" s="456"/>
      <c r="ACS14" s="456"/>
      <c r="ACT14" s="456"/>
      <c r="ACU14" s="456"/>
      <c r="ACV14" s="456"/>
      <c r="ACW14" s="456"/>
      <c r="ACX14" s="456"/>
      <c r="ACY14" s="456"/>
      <c r="ACZ14" s="456"/>
      <c r="ADA14" s="456"/>
      <c r="ADB14" s="456"/>
      <c r="ADC14" s="456"/>
      <c r="ADD14" s="456"/>
      <c r="ADE14" s="456"/>
      <c r="ADF14" s="456"/>
      <c r="ADG14" s="456"/>
      <c r="ADH14" s="456"/>
      <c r="ADI14" s="456"/>
      <c r="ADJ14" s="456"/>
      <c r="ADK14" s="456"/>
      <c r="ADL14" s="456"/>
      <c r="ADM14" s="456"/>
      <c r="ADN14" s="456"/>
      <c r="ADO14" s="456"/>
      <c r="ADP14" s="456"/>
      <c r="ADQ14" s="456"/>
      <c r="ADR14" s="456"/>
      <c r="ADS14" s="456"/>
      <c r="ADT14" s="456"/>
      <c r="ADU14" s="456"/>
      <c r="ADV14" s="456"/>
      <c r="ADW14" s="456"/>
      <c r="ADX14" s="456"/>
      <c r="ADY14" s="456"/>
      <c r="ADZ14" s="456"/>
      <c r="AEA14" s="456"/>
      <c r="AEB14" s="456"/>
      <c r="AEC14" s="456"/>
      <c r="AED14" s="456"/>
      <c r="AEE14" s="456"/>
      <c r="AEF14" s="456"/>
      <c r="AEG14" s="456"/>
      <c r="AEH14" s="456"/>
      <c r="AEI14" s="456"/>
      <c r="AEJ14" s="456"/>
      <c r="AEK14" s="456"/>
      <c r="AEL14" s="456"/>
      <c r="AEM14" s="456"/>
      <c r="AEN14" s="456"/>
      <c r="AEO14" s="456"/>
      <c r="AEP14" s="456"/>
      <c r="AEQ14" s="456"/>
      <c r="AER14" s="456"/>
      <c r="AES14" s="456"/>
      <c r="AET14" s="456"/>
      <c r="AEU14" s="456"/>
      <c r="AEV14" s="456"/>
      <c r="AEW14" s="456"/>
      <c r="AEX14" s="456"/>
      <c r="AEY14" s="456"/>
      <c r="AEZ14" s="456"/>
      <c r="AFA14" s="456"/>
      <c r="AFB14" s="456"/>
      <c r="AFC14" s="456"/>
      <c r="AFD14" s="456"/>
      <c r="AFE14" s="456"/>
      <c r="AFF14" s="456"/>
      <c r="AFG14" s="456"/>
      <c r="AFH14" s="456"/>
      <c r="AFI14" s="456"/>
      <c r="AFJ14" s="456"/>
      <c r="AFK14" s="456"/>
      <c r="AFL14" s="456"/>
      <c r="AFM14" s="456"/>
      <c r="AFN14" s="456"/>
      <c r="AFO14" s="456"/>
      <c r="AFP14" s="456"/>
      <c r="AFQ14" s="456"/>
      <c r="AFR14" s="456"/>
      <c r="AFS14" s="456"/>
      <c r="AFT14" s="456"/>
      <c r="AFU14" s="456"/>
      <c r="AFV14" s="456"/>
      <c r="AFW14" s="456"/>
      <c r="AFX14" s="456"/>
      <c r="AFY14" s="456"/>
      <c r="AFZ14" s="456"/>
      <c r="AGA14" s="456"/>
      <c r="AGB14" s="456"/>
      <c r="AGC14" s="456"/>
      <c r="AGD14" s="456"/>
      <c r="AGE14" s="456"/>
      <c r="AGF14" s="456"/>
      <c r="AGG14" s="456"/>
      <c r="AGH14" s="456"/>
      <c r="AGI14" s="456"/>
      <c r="AGJ14" s="456"/>
      <c r="AGK14" s="456"/>
      <c r="AGL14" s="456"/>
      <c r="AGM14" s="456"/>
      <c r="AGN14" s="456"/>
      <c r="AGO14" s="456"/>
      <c r="AGP14" s="456"/>
      <c r="AGQ14" s="456"/>
      <c r="AGR14" s="456"/>
      <c r="AGS14" s="456"/>
      <c r="AGT14" s="456"/>
      <c r="AGU14" s="456"/>
      <c r="AGV14" s="456"/>
      <c r="AGW14" s="456"/>
      <c r="AGX14" s="456"/>
      <c r="AGY14" s="456"/>
      <c r="AGZ14" s="456"/>
      <c r="AHA14" s="456"/>
      <c r="AHB14" s="456"/>
      <c r="AHC14" s="456"/>
      <c r="AHD14" s="456"/>
      <c r="AHE14" s="456"/>
      <c r="AHF14" s="456"/>
      <c r="AHG14" s="456"/>
      <c r="AHH14" s="456"/>
      <c r="AHI14" s="456"/>
      <c r="AHJ14" s="456"/>
      <c r="AHK14" s="456"/>
      <c r="AHL14" s="456"/>
      <c r="AHM14" s="456"/>
      <c r="AHN14" s="456"/>
      <c r="AHO14" s="456"/>
      <c r="AHP14" s="456"/>
      <c r="AHQ14" s="456"/>
      <c r="AHR14" s="456"/>
      <c r="AHS14" s="456"/>
      <c r="AHT14" s="456"/>
      <c r="AHU14" s="456"/>
      <c r="AHV14" s="456"/>
      <c r="AHW14" s="456"/>
      <c r="AHX14" s="456"/>
      <c r="AHY14" s="456"/>
      <c r="AHZ14" s="456"/>
      <c r="AIA14" s="456"/>
      <c r="AIB14" s="456"/>
      <c r="AIC14" s="456"/>
      <c r="AID14" s="456"/>
      <c r="AIE14" s="456"/>
      <c r="AIF14" s="456"/>
      <c r="AIG14" s="456"/>
      <c r="AIH14" s="456"/>
      <c r="AII14" s="456"/>
      <c r="AIJ14" s="456"/>
      <c r="AIK14" s="456"/>
      <c r="AIL14" s="456"/>
      <c r="AIM14" s="456"/>
      <c r="AIN14" s="456"/>
      <c r="AIO14" s="456"/>
      <c r="AIP14" s="456"/>
      <c r="AIQ14" s="456"/>
      <c r="AIR14" s="456"/>
      <c r="AIS14" s="456"/>
      <c r="AIT14" s="456"/>
      <c r="AIU14" s="456"/>
      <c r="AIV14" s="456"/>
      <c r="AIW14" s="456"/>
      <c r="AIX14" s="456"/>
      <c r="AIY14" s="456"/>
      <c r="AIZ14" s="456"/>
      <c r="AJA14" s="456"/>
      <c r="AJB14" s="456"/>
      <c r="AJC14" s="456"/>
      <c r="AJD14" s="456"/>
      <c r="AJE14" s="456"/>
      <c r="AJF14" s="456"/>
      <c r="AJG14" s="456"/>
      <c r="AJH14" s="456"/>
      <c r="AJI14" s="456"/>
      <c r="AJJ14" s="456"/>
      <c r="AJK14" s="456"/>
      <c r="AJL14" s="456"/>
      <c r="AJM14" s="456"/>
      <c r="AJN14" s="456"/>
      <c r="AJO14" s="456"/>
      <c r="AJP14" s="456"/>
      <c r="AJQ14" s="456"/>
      <c r="AJR14" s="456"/>
      <c r="AJS14" s="456"/>
      <c r="AJT14" s="456"/>
      <c r="AJU14" s="456"/>
      <c r="AJV14" s="456"/>
      <c r="AJW14" s="456"/>
      <c r="AJX14" s="456"/>
      <c r="AJY14" s="456"/>
      <c r="AJZ14" s="456"/>
      <c r="AKA14" s="456"/>
      <c r="AKB14" s="456"/>
      <c r="AKC14" s="456"/>
      <c r="AKD14" s="456"/>
      <c r="AKE14" s="456"/>
      <c r="AKF14" s="456"/>
      <c r="AKG14" s="456"/>
      <c r="AKH14" s="456"/>
      <c r="AKI14" s="456"/>
      <c r="AKJ14" s="456"/>
      <c r="AKK14" s="456"/>
      <c r="AKL14" s="456"/>
      <c r="AKM14" s="456"/>
      <c r="AKN14" s="456"/>
      <c r="AKO14" s="456"/>
      <c r="AKP14" s="456"/>
      <c r="AKQ14" s="456"/>
      <c r="AKR14" s="456"/>
      <c r="AKS14" s="456"/>
      <c r="AKT14" s="456"/>
      <c r="AKU14" s="456"/>
      <c r="AKV14" s="456"/>
      <c r="AKW14" s="456"/>
      <c r="AKX14" s="456"/>
      <c r="AKY14" s="456"/>
      <c r="AKZ14" s="456"/>
      <c r="ALA14" s="456"/>
      <c r="ALB14" s="456"/>
      <c r="ALC14" s="456"/>
      <c r="ALD14" s="456"/>
      <c r="ALE14" s="456"/>
      <c r="ALF14" s="456"/>
      <c r="ALG14" s="456"/>
      <c r="ALH14" s="456"/>
      <c r="ALI14" s="456"/>
      <c r="ALJ14" s="456"/>
      <c r="ALK14" s="456"/>
      <c r="ALL14" s="456"/>
      <c r="ALM14" s="456"/>
      <c r="ALN14" s="456"/>
      <c r="ALO14" s="456"/>
      <c r="ALP14" s="456"/>
      <c r="ALQ14" s="456"/>
      <c r="ALR14" s="456"/>
      <c r="ALS14" s="456"/>
      <c r="ALT14" s="456"/>
      <c r="ALU14" s="456"/>
      <c r="ALV14" s="456"/>
      <c r="ALW14" s="456"/>
      <c r="ALX14" s="456"/>
      <c r="ALY14" s="456"/>
      <c r="ALZ14" s="456"/>
      <c r="AMA14" s="456"/>
      <c r="AMB14" s="456"/>
      <c r="AMC14" s="456"/>
      <c r="AMD14" s="456"/>
      <c r="AME14" s="456"/>
      <c r="AMF14" s="456"/>
      <c r="AMG14" s="456"/>
      <c r="AMH14" s="456"/>
      <c r="AMI14" s="456"/>
      <c r="AMJ14" s="456"/>
      <c r="AMK14" s="456"/>
      <c r="AML14" s="456"/>
      <c r="AMM14" s="456"/>
      <c r="AMN14" s="456"/>
      <c r="AMO14" s="456"/>
      <c r="AMP14" s="456"/>
      <c r="AMQ14" s="456"/>
      <c r="AMR14" s="456"/>
      <c r="AMS14" s="456"/>
      <c r="AMT14" s="456"/>
      <c r="AMU14" s="456"/>
      <c r="AMV14" s="456"/>
      <c r="AMW14" s="456"/>
      <c r="AMX14" s="456"/>
      <c r="AMY14" s="456"/>
      <c r="AMZ14" s="456"/>
      <c r="ANA14" s="456"/>
      <c r="ANB14" s="456"/>
      <c r="ANC14" s="456"/>
      <c r="AND14" s="456"/>
      <c r="ANE14" s="456"/>
      <c r="ANF14" s="456"/>
      <c r="ANG14" s="456"/>
      <c r="ANH14" s="456"/>
      <c r="ANI14" s="456"/>
      <c r="ANJ14" s="456"/>
      <c r="ANK14" s="456"/>
      <c r="ANL14" s="456"/>
      <c r="ANM14" s="456"/>
      <c r="ANN14" s="456"/>
      <c r="ANO14" s="456"/>
      <c r="ANP14" s="456"/>
      <c r="ANQ14" s="456"/>
      <c r="ANR14" s="456"/>
      <c r="ANS14" s="456"/>
      <c r="ANT14" s="456"/>
      <c r="ANU14" s="456"/>
      <c r="ANV14" s="456"/>
      <c r="ANW14" s="456"/>
      <c r="ANX14" s="456"/>
      <c r="ANY14" s="456"/>
      <c r="ANZ14" s="456"/>
      <c r="AOA14" s="456"/>
      <c r="AOB14" s="456"/>
      <c r="AOC14" s="456"/>
      <c r="AOD14" s="456"/>
      <c r="AOE14" s="456"/>
      <c r="AOF14" s="456"/>
      <c r="AOG14" s="456"/>
      <c r="AOH14" s="456"/>
      <c r="AOI14" s="456"/>
      <c r="AOJ14" s="456"/>
      <c r="AOK14" s="456"/>
      <c r="AOL14" s="456"/>
      <c r="AOM14" s="456"/>
      <c r="AON14" s="456"/>
      <c r="AOO14" s="456"/>
      <c r="AOP14" s="456"/>
      <c r="AOQ14" s="456"/>
      <c r="AOR14" s="456"/>
      <c r="AOS14" s="456"/>
      <c r="AOT14" s="456"/>
      <c r="AOU14" s="456"/>
      <c r="AOV14" s="456"/>
      <c r="AOW14" s="456"/>
      <c r="AOX14" s="456"/>
      <c r="AOY14" s="456"/>
      <c r="AOZ14" s="456"/>
      <c r="APA14" s="456"/>
      <c r="APB14" s="456"/>
      <c r="APC14" s="456"/>
      <c r="APD14" s="456"/>
      <c r="APE14" s="456"/>
      <c r="APF14" s="456"/>
      <c r="APG14" s="456"/>
      <c r="APH14" s="456"/>
      <c r="API14" s="456"/>
      <c r="APJ14" s="456"/>
      <c r="APK14" s="456"/>
      <c r="APL14" s="456"/>
      <c r="APM14" s="456"/>
      <c r="APN14" s="456"/>
      <c r="APO14" s="456"/>
      <c r="APP14" s="456"/>
      <c r="APQ14" s="456"/>
      <c r="APR14" s="456"/>
      <c r="APS14" s="456"/>
      <c r="APT14" s="456"/>
      <c r="APU14" s="456"/>
      <c r="APV14" s="456"/>
      <c r="APW14" s="456"/>
      <c r="APX14" s="456"/>
      <c r="APY14" s="456"/>
      <c r="APZ14" s="456"/>
      <c r="AQA14" s="456"/>
      <c r="AQB14" s="456"/>
      <c r="AQC14" s="456"/>
      <c r="AQD14" s="456"/>
      <c r="AQE14" s="456"/>
      <c r="AQF14" s="456"/>
      <c r="AQG14" s="456"/>
      <c r="AQH14" s="456"/>
      <c r="AQI14" s="456"/>
      <c r="AQJ14" s="456"/>
      <c r="AQK14" s="456"/>
      <c r="AQL14" s="456"/>
      <c r="AQM14" s="456"/>
      <c r="AQN14" s="456"/>
      <c r="AQO14" s="456"/>
      <c r="AQP14" s="456"/>
      <c r="AQQ14" s="456"/>
      <c r="AQR14" s="456"/>
      <c r="AQS14" s="456"/>
      <c r="AQT14" s="456"/>
      <c r="AQU14" s="456"/>
      <c r="AQV14" s="456"/>
      <c r="AQW14" s="456"/>
      <c r="AQX14" s="456"/>
      <c r="AQY14" s="456"/>
      <c r="AQZ14" s="456"/>
      <c r="ARA14" s="456"/>
      <c r="ARB14" s="456"/>
      <c r="ARC14" s="456"/>
      <c r="ARD14" s="456"/>
      <c r="ARE14" s="456"/>
      <c r="ARF14" s="456"/>
      <c r="ARG14" s="456"/>
      <c r="ARH14" s="456"/>
      <c r="ARI14" s="456"/>
      <c r="ARJ14" s="456"/>
      <c r="ARK14" s="456"/>
      <c r="ARL14" s="456"/>
      <c r="ARM14" s="456"/>
      <c r="ARN14" s="456"/>
      <c r="ARO14" s="456"/>
      <c r="ARP14" s="456"/>
      <c r="ARQ14" s="456"/>
      <c r="ARR14" s="456"/>
      <c r="ARS14" s="456"/>
      <c r="ART14" s="456"/>
      <c r="ARU14" s="456"/>
      <c r="ARV14" s="456"/>
      <c r="ARW14" s="456"/>
      <c r="ARX14" s="456"/>
      <c r="ARY14" s="456"/>
      <c r="ARZ14" s="456"/>
      <c r="ASA14" s="456"/>
      <c r="ASB14" s="456"/>
      <c r="ASC14" s="456"/>
      <c r="ASD14" s="456"/>
      <c r="ASE14" s="456"/>
      <c r="ASF14" s="456"/>
      <c r="ASG14" s="456"/>
      <c r="ASH14" s="456"/>
      <c r="ASI14" s="456"/>
      <c r="ASJ14" s="456"/>
      <c r="ASK14" s="456"/>
      <c r="ASL14" s="456"/>
      <c r="ASM14" s="456"/>
      <c r="ASN14" s="456"/>
      <c r="ASO14" s="456"/>
      <c r="ASP14" s="456"/>
      <c r="ASQ14" s="456"/>
      <c r="ASR14" s="456"/>
      <c r="ASS14" s="456"/>
      <c r="AST14" s="456"/>
      <c r="ASU14" s="456"/>
      <c r="ASV14" s="456"/>
      <c r="ASW14" s="456"/>
      <c r="ASX14" s="456"/>
      <c r="ASY14" s="456"/>
      <c r="ASZ14" s="456"/>
      <c r="ATA14" s="456"/>
      <c r="ATB14" s="456"/>
      <c r="ATC14" s="456"/>
      <c r="ATD14" s="456"/>
      <c r="ATE14" s="456"/>
      <c r="ATF14" s="456"/>
      <c r="ATG14" s="456"/>
      <c r="ATH14" s="456"/>
      <c r="ATI14" s="456"/>
      <c r="ATJ14" s="456"/>
      <c r="ATK14" s="456"/>
      <c r="ATL14" s="456"/>
      <c r="ATM14" s="456"/>
      <c r="ATN14" s="456"/>
      <c r="ATO14" s="456"/>
      <c r="ATP14" s="456"/>
      <c r="ATQ14" s="456"/>
      <c r="ATR14" s="456"/>
      <c r="ATS14" s="456"/>
      <c r="ATT14" s="456"/>
      <c r="ATU14" s="456"/>
      <c r="ATV14" s="456"/>
      <c r="ATW14" s="456"/>
      <c r="ATX14" s="456"/>
      <c r="ATY14" s="456"/>
      <c r="ATZ14" s="456"/>
      <c r="AUA14" s="456"/>
      <c r="AUB14" s="456"/>
      <c r="AUC14" s="456"/>
      <c r="AUD14" s="456"/>
      <c r="AUE14" s="456"/>
      <c r="AUF14" s="456"/>
      <c r="AUG14" s="456"/>
      <c r="AUH14" s="456"/>
      <c r="AUI14" s="456"/>
      <c r="AUJ14" s="456"/>
      <c r="AUK14" s="456"/>
      <c r="AUL14" s="456"/>
      <c r="AUM14" s="456"/>
      <c r="AUN14" s="456"/>
      <c r="AUO14" s="456"/>
      <c r="AUP14" s="456"/>
      <c r="AUQ14" s="456"/>
      <c r="AUR14" s="456"/>
      <c r="AUS14" s="456"/>
      <c r="AUT14" s="456"/>
      <c r="AUU14" s="456"/>
      <c r="AUV14" s="456"/>
      <c r="AUW14" s="456"/>
      <c r="AUX14" s="456"/>
      <c r="AUY14" s="456"/>
      <c r="AUZ14" s="456"/>
      <c r="AVA14" s="456"/>
      <c r="AVB14" s="456"/>
      <c r="AVC14" s="456"/>
      <c r="AVD14" s="456"/>
      <c r="AVE14" s="456"/>
      <c r="AVF14" s="456"/>
      <c r="AVG14" s="456"/>
      <c r="AVH14" s="456"/>
      <c r="AVI14" s="456"/>
      <c r="AVJ14" s="456"/>
      <c r="AVK14" s="456"/>
      <c r="AVL14" s="456"/>
      <c r="AVM14" s="456"/>
      <c r="AVN14" s="456"/>
      <c r="AVO14" s="456"/>
      <c r="AVP14" s="456"/>
      <c r="AVQ14" s="456"/>
      <c r="AVR14" s="456"/>
      <c r="AVS14" s="456"/>
      <c r="AVT14" s="456"/>
      <c r="AVU14" s="456"/>
      <c r="AVV14" s="456"/>
      <c r="AVW14" s="456"/>
      <c r="AVX14" s="456"/>
      <c r="AVY14" s="456"/>
      <c r="AVZ14" s="456"/>
      <c r="AWA14" s="456"/>
      <c r="AWB14" s="456"/>
      <c r="AWC14" s="456"/>
      <c r="AWD14" s="456"/>
      <c r="AWE14" s="456"/>
      <c r="AWF14" s="456"/>
      <c r="AWG14" s="456"/>
      <c r="AWH14" s="456"/>
      <c r="AWI14" s="456"/>
      <c r="AWJ14" s="456"/>
      <c r="AWK14" s="456"/>
      <c r="AWL14" s="456"/>
      <c r="AWM14" s="456"/>
      <c r="AWN14" s="456"/>
      <c r="AWO14" s="456"/>
      <c r="AWP14" s="456"/>
      <c r="AWQ14" s="456"/>
      <c r="AWR14" s="456"/>
      <c r="AWS14" s="456"/>
      <c r="AWT14" s="456"/>
      <c r="AWU14" s="456"/>
      <c r="AWV14" s="456"/>
      <c r="AWW14" s="456"/>
      <c r="AWX14" s="456"/>
      <c r="AWY14" s="456"/>
      <c r="AWZ14" s="456"/>
      <c r="AXA14" s="456"/>
      <c r="AXB14" s="456"/>
      <c r="AXC14" s="456"/>
      <c r="AXD14" s="456"/>
      <c r="AXE14" s="456"/>
      <c r="AXF14" s="456"/>
      <c r="AXG14" s="456"/>
      <c r="AXH14" s="456"/>
      <c r="AXI14" s="456"/>
      <c r="AXJ14" s="456"/>
      <c r="AXK14" s="456"/>
      <c r="AXL14" s="456"/>
      <c r="AXM14" s="456"/>
      <c r="AXN14" s="456"/>
      <c r="AXO14" s="456"/>
      <c r="AXP14" s="456"/>
      <c r="AXQ14" s="456"/>
      <c r="AXR14" s="456"/>
      <c r="AXS14" s="456"/>
      <c r="AXT14" s="456"/>
      <c r="AXU14" s="456"/>
      <c r="AXV14" s="456"/>
      <c r="AXW14" s="456"/>
      <c r="AXX14" s="456"/>
      <c r="AXY14" s="456"/>
      <c r="AXZ14" s="456"/>
      <c r="AYA14" s="456"/>
      <c r="AYB14" s="456"/>
      <c r="AYC14" s="456"/>
      <c r="AYD14" s="456"/>
      <c r="AYE14" s="456"/>
      <c r="AYF14" s="456"/>
      <c r="AYG14" s="456"/>
      <c r="AYH14" s="456"/>
      <c r="AYI14" s="456"/>
      <c r="AYJ14" s="456"/>
      <c r="AYK14" s="456"/>
      <c r="AYL14" s="456"/>
      <c r="AYM14" s="456"/>
      <c r="AYN14" s="456"/>
      <c r="AYO14" s="456"/>
      <c r="AYP14" s="456"/>
      <c r="AYQ14" s="456"/>
      <c r="AYR14" s="456"/>
      <c r="AYS14" s="456"/>
      <c r="AYT14" s="456"/>
      <c r="AYU14" s="456"/>
      <c r="AYV14" s="456"/>
      <c r="AYW14" s="456"/>
      <c r="AYX14" s="456"/>
      <c r="AYY14" s="456"/>
      <c r="AYZ14" s="456"/>
      <c r="AZA14" s="456"/>
      <c r="AZB14" s="456"/>
      <c r="AZC14" s="456"/>
      <c r="AZD14" s="456"/>
      <c r="AZE14" s="456"/>
      <c r="AZF14" s="456"/>
      <c r="AZG14" s="456"/>
      <c r="AZH14" s="456"/>
      <c r="AZI14" s="456"/>
      <c r="AZJ14" s="456"/>
      <c r="AZK14" s="456"/>
      <c r="AZL14" s="456"/>
      <c r="AZM14" s="456"/>
      <c r="AZN14" s="456"/>
      <c r="AZO14" s="456"/>
      <c r="AZP14" s="456"/>
      <c r="AZQ14" s="456"/>
      <c r="AZR14" s="456"/>
      <c r="AZS14" s="456"/>
      <c r="AZT14" s="456"/>
      <c r="AZU14" s="456"/>
      <c r="AZV14" s="456"/>
      <c r="AZW14" s="456"/>
      <c r="AZX14" s="456"/>
      <c r="AZY14" s="456"/>
      <c r="AZZ14" s="456"/>
      <c r="BAA14" s="456"/>
      <c r="BAB14" s="456"/>
      <c r="BAC14" s="456"/>
      <c r="BAD14" s="456"/>
      <c r="BAE14" s="456"/>
      <c r="BAF14" s="456"/>
      <c r="BAG14" s="456"/>
      <c r="BAH14" s="456"/>
      <c r="BAI14" s="456"/>
      <c r="BAJ14" s="456"/>
      <c r="BAK14" s="456"/>
      <c r="BAL14" s="456"/>
      <c r="BAM14" s="456"/>
      <c r="BAN14" s="456"/>
      <c r="BAO14" s="456"/>
      <c r="BAP14" s="456"/>
      <c r="BAQ14" s="456"/>
      <c r="BAR14" s="456"/>
      <c r="BAS14" s="456"/>
      <c r="BAT14" s="456"/>
      <c r="BAU14" s="456"/>
      <c r="BAV14" s="456"/>
      <c r="BAW14" s="456"/>
      <c r="BAX14" s="456"/>
      <c r="BAY14" s="456"/>
      <c r="BAZ14" s="456"/>
      <c r="BBA14" s="456"/>
      <c r="BBB14" s="456"/>
      <c r="BBC14" s="456"/>
      <c r="BBD14" s="456"/>
      <c r="BBE14" s="456"/>
      <c r="BBF14" s="456"/>
      <c r="BBG14" s="456"/>
      <c r="BBH14" s="456"/>
      <c r="BBI14" s="456"/>
      <c r="BBJ14" s="456"/>
      <c r="BBK14" s="456"/>
      <c r="BBL14" s="456"/>
      <c r="BBM14" s="456"/>
      <c r="BBN14" s="456"/>
      <c r="BBO14" s="456"/>
      <c r="BBP14" s="456"/>
      <c r="BBQ14" s="456"/>
      <c r="BBR14" s="456"/>
      <c r="BBS14" s="456"/>
      <c r="BBT14" s="456"/>
      <c r="BBU14" s="456"/>
      <c r="BBV14" s="456"/>
      <c r="BBW14" s="456"/>
      <c r="BBX14" s="456"/>
      <c r="BBY14" s="456"/>
      <c r="BBZ14" s="456"/>
      <c r="BCA14" s="456"/>
      <c r="BCB14" s="456"/>
      <c r="BCC14" s="456"/>
      <c r="BCD14" s="456"/>
      <c r="BCE14" s="456"/>
      <c r="BCF14" s="456"/>
      <c r="BCG14" s="456"/>
      <c r="BCH14" s="456"/>
      <c r="BCI14" s="456"/>
      <c r="BCJ14" s="456"/>
      <c r="BCK14" s="456"/>
      <c r="BCL14" s="456"/>
      <c r="BCM14" s="456"/>
      <c r="BCN14" s="456"/>
      <c r="BCO14" s="456"/>
      <c r="BCP14" s="456"/>
      <c r="BCQ14" s="456"/>
      <c r="BCR14" s="456"/>
      <c r="BCS14" s="456"/>
      <c r="BCT14" s="456"/>
      <c r="BCU14" s="456"/>
      <c r="BCV14" s="456"/>
      <c r="BCW14" s="456"/>
      <c r="BCX14" s="456"/>
      <c r="BCY14" s="456"/>
      <c r="BCZ14" s="456"/>
      <c r="BDA14" s="456"/>
      <c r="BDB14" s="456"/>
      <c r="BDC14" s="456"/>
      <c r="BDD14" s="456"/>
      <c r="BDE14" s="456"/>
      <c r="BDF14" s="456"/>
      <c r="BDG14" s="456"/>
      <c r="BDH14" s="456"/>
      <c r="BDI14" s="456"/>
      <c r="BDJ14" s="456"/>
      <c r="BDK14" s="456"/>
      <c r="BDL14" s="456"/>
      <c r="BDM14" s="456"/>
      <c r="BDN14" s="456"/>
      <c r="BDO14" s="456"/>
      <c r="BDP14" s="456"/>
      <c r="BDQ14" s="456"/>
      <c r="BDR14" s="456"/>
      <c r="BDS14" s="456"/>
      <c r="BDT14" s="456"/>
      <c r="BDU14" s="456"/>
      <c r="BDV14" s="456"/>
      <c r="BDW14" s="456"/>
      <c r="BDX14" s="456"/>
      <c r="BDY14" s="456"/>
      <c r="BDZ14" s="456"/>
      <c r="BEA14" s="456"/>
      <c r="BEB14" s="456"/>
      <c r="BEC14" s="456"/>
      <c r="BED14" s="456"/>
      <c r="BEE14" s="456"/>
      <c r="BEF14" s="456"/>
      <c r="BEG14" s="456"/>
      <c r="BEH14" s="456"/>
      <c r="BEI14" s="456"/>
      <c r="BEJ14" s="456"/>
      <c r="BEK14" s="456"/>
      <c r="BEL14" s="456"/>
      <c r="BEM14" s="456"/>
      <c r="BEN14" s="456"/>
      <c r="BEO14" s="456"/>
      <c r="BEP14" s="456"/>
      <c r="BEQ14" s="456"/>
      <c r="BER14" s="456"/>
      <c r="BES14" s="456"/>
      <c r="BET14" s="456"/>
      <c r="BEU14" s="456"/>
      <c r="BEV14" s="456"/>
      <c r="BEW14" s="456"/>
      <c r="BEX14" s="456"/>
      <c r="BEY14" s="456"/>
      <c r="BEZ14" s="456"/>
      <c r="BFA14" s="456"/>
      <c r="BFB14" s="456"/>
      <c r="BFC14" s="456"/>
      <c r="BFD14" s="456"/>
      <c r="BFE14" s="456"/>
      <c r="BFF14" s="456"/>
      <c r="BFG14" s="456"/>
      <c r="BFH14" s="456"/>
      <c r="BFI14" s="456"/>
      <c r="BFJ14" s="456"/>
      <c r="BFK14" s="456"/>
      <c r="BFL14" s="456"/>
      <c r="BFM14" s="456"/>
      <c r="BFN14" s="456"/>
      <c r="BFO14" s="456"/>
      <c r="BFP14" s="456"/>
      <c r="BFQ14" s="456"/>
      <c r="BFR14" s="456"/>
      <c r="BFS14" s="456"/>
      <c r="BFT14" s="456"/>
      <c r="BFU14" s="456"/>
      <c r="BFV14" s="456"/>
      <c r="BFW14" s="456"/>
      <c r="BFX14" s="456"/>
      <c r="BFY14" s="456"/>
      <c r="BFZ14" s="456"/>
      <c r="BGA14" s="456"/>
      <c r="BGB14" s="456"/>
      <c r="BGC14" s="456"/>
      <c r="BGD14" s="456"/>
      <c r="BGE14" s="456"/>
      <c r="BGF14" s="456"/>
      <c r="BGG14" s="456"/>
      <c r="BGH14" s="456"/>
      <c r="BGI14" s="456"/>
      <c r="BGJ14" s="456"/>
      <c r="BGK14" s="456"/>
      <c r="BGL14" s="456"/>
      <c r="BGM14" s="456"/>
      <c r="BGN14" s="456"/>
      <c r="BGO14" s="456"/>
      <c r="BGP14" s="456"/>
      <c r="BGQ14" s="456"/>
      <c r="BGR14" s="456"/>
      <c r="BGS14" s="456"/>
      <c r="BGT14" s="456"/>
      <c r="BGU14" s="456"/>
      <c r="BGV14" s="456"/>
      <c r="BGW14" s="456"/>
      <c r="BGX14" s="456"/>
      <c r="BGY14" s="456"/>
      <c r="BGZ14" s="456"/>
      <c r="BHA14" s="456"/>
      <c r="BHB14" s="456"/>
      <c r="BHC14" s="456"/>
      <c r="BHD14" s="456"/>
      <c r="BHE14" s="456"/>
      <c r="BHF14" s="456"/>
      <c r="BHG14" s="456"/>
      <c r="BHH14" s="456"/>
      <c r="BHI14" s="456"/>
      <c r="BHJ14" s="456"/>
      <c r="BHK14" s="456"/>
      <c r="BHL14" s="456"/>
      <c r="BHM14" s="456"/>
      <c r="BHN14" s="456"/>
      <c r="BHO14" s="456"/>
      <c r="BHP14" s="456"/>
      <c r="BHQ14" s="456"/>
      <c r="BHR14" s="456"/>
      <c r="BHS14" s="456"/>
      <c r="BHT14" s="456"/>
      <c r="BHU14" s="456"/>
      <c r="BHV14" s="456"/>
      <c r="BHW14" s="456"/>
      <c r="BHX14" s="456"/>
      <c r="BHY14" s="456"/>
      <c r="BHZ14" s="456"/>
      <c r="BIA14" s="456"/>
      <c r="BIB14" s="456"/>
      <c r="BIC14" s="456"/>
      <c r="BID14" s="456"/>
      <c r="BIE14" s="456"/>
      <c r="BIF14" s="456"/>
      <c r="BIG14" s="456"/>
      <c r="BIH14" s="456"/>
      <c r="BII14" s="456"/>
      <c r="BIJ14" s="456"/>
      <c r="BIK14" s="456"/>
      <c r="BIL14" s="456"/>
      <c r="BIM14" s="456"/>
      <c r="BIN14" s="456"/>
      <c r="BIO14" s="456"/>
      <c r="BIP14" s="456"/>
      <c r="BIQ14" s="456"/>
      <c r="BIR14" s="456"/>
      <c r="BIS14" s="456"/>
      <c r="BIT14" s="456"/>
      <c r="BIU14" s="456"/>
      <c r="BIV14" s="456"/>
      <c r="BIW14" s="456"/>
      <c r="BIX14" s="456"/>
      <c r="BIY14" s="456"/>
      <c r="BIZ14" s="456"/>
      <c r="BJA14" s="456"/>
      <c r="BJB14" s="456"/>
      <c r="BJC14" s="456"/>
      <c r="BJD14" s="456"/>
      <c r="BJE14" s="456"/>
      <c r="BJF14" s="456"/>
      <c r="BJG14" s="456"/>
      <c r="BJH14" s="456"/>
      <c r="BJI14" s="456"/>
      <c r="BJJ14" s="456"/>
      <c r="BJK14" s="456"/>
      <c r="BJL14" s="456"/>
      <c r="BJM14" s="456"/>
      <c r="BJN14" s="456"/>
      <c r="BJO14" s="456"/>
      <c r="BJP14" s="456"/>
      <c r="BJQ14" s="456"/>
      <c r="BJR14" s="456"/>
      <c r="BJS14" s="456"/>
      <c r="BJT14" s="456"/>
      <c r="BJU14" s="456"/>
      <c r="BJV14" s="456"/>
      <c r="BJW14" s="456"/>
      <c r="BJX14" s="456"/>
      <c r="BJY14" s="456"/>
      <c r="BJZ14" s="456"/>
      <c r="BKA14" s="456"/>
      <c r="BKB14" s="456"/>
      <c r="BKC14" s="456"/>
      <c r="BKD14" s="456"/>
      <c r="BKE14" s="456"/>
      <c r="BKF14" s="456"/>
      <c r="BKG14" s="456"/>
      <c r="BKH14" s="456"/>
      <c r="BKI14" s="456"/>
      <c r="BKJ14" s="456"/>
      <c r="BKK14" s="456"/>
      <c r="BKL14" s="456"/>
      <c r="BKM14" s="456"/>
      <c r="BKN14" s="456"/>
      <c r="BKO14" s="456"/>
      <c r="BKP14" s="456"/>
      <c r="BKQ14" s="456"/>
      <c r="BKR14" s="456"/>
      <c r="BKS14" s="456"/>
      <c r="BKT14" s="456"/>
      <c r="BKU14" s="456"/>
      <c r="BKV14" s="456"/>
      <c r="BKW14" s="456"/>
      <c r="BKX14" s="456"/>
      <c r="BKY14" s="456"/>
      <c r="BKZ14" s="456"/>
      <c r="BLA14" s="456"/>
      <c r="BLB14" s="456"/>
      <c r="BLC14" s="456"/>
      <c r="BLD14" s="456"/>
      <c r="BLE14" s="456"/>
      <c r="BLF14" s="456"/>
      <c r="BLG14" s="456"/>
      <c r="BLH14" s="456"/>
      <c r="BLI14" s="456"/>
      <c r="BLJ14" s="456"/>
      <c r="BLK14" s="456"/>
      <c r="BLL14" s="456"/>
      <c r="BLM14" s="456"/>
      <c r="BLN14" s="456"/>
      <c r="BLO14" s="456"/>
      <c r="BLP14" s="456"/>
      <c r="BLQ14" s="456"/>
      <c r="BLR14" s="456"/>
      <c r="BLS14" s="456"/>
      <c r="BLT14" s="456"/>
      <c r="BLU14" s="456"/>
      <c r="BLV14" s="456"/>
      <c r="BLW14" s="456"/>
      <c r="BLX14" s="456"/>
      <c r="BLY14" s="456"/>
      <c r="BLZ14" s="456"/>
      <c r="BMA14" s="456"/>
      <c r="BMB14" s="456"/>
      <c r="BMC14" s="456"/>
      <c r="BMD14" s="456"/>
      <c r="BME14" s="456"/>
      <c r="BMF14" s="456"/>
      <c r="BMG14" s="456"/>
      <c r="BMH14" s="456"/>
      <c r="BMI14" s="456"/>
      <c r="BMJ14" s="456"/>
      <c r="BMK14" s="456"/>
      <c r="BML14" s="456"/>
      <c r="BMM14" s="456"/>
      <c r="BMN14" s="456"/>
      <c r="BMO14" s="456"/>
      <c r="BMP14" s="456"/>
      <c r="BMQ14" s="456"/>
      <c r="BMR14" s="456"/>
      <c r="BMS14" s="456"/>
      <c r="BMT14" s="456"/>
      <c r="BMU14" s="456"/>
      <c r="BMV14" s="456"/>
      <c r="BMW14" s="456"/>
      <c r="BMX14" s="456"/>
      <c r="BMY14" s="456"/>
      <c r="BMZ14" s="456"/>
      <c r="BNA14" s="456"/>
      <c r="BNB14" s="456"/>
      <c r="BNC14" s="456"/>
      <c r="BND14" s="456"/>
      <c r="BNE14" s="456"/>
      <c r="BNF14" s="456"/>
      <c r="BNG14" s="456"/>
      <c r="BNH14" s="456"/>
      <c r="BNI14" s="456"/>
      <c r="BNJ14" s="456"/>
      <c r="BNK14" s="456"/>
      <c r="BNL14" s="456"/>
      <c r="BNM14" s="456"/>
      <c r="BNN14" s="456"/>
      <c r="BNO14" s="456"/>
      <c r="BNP14" s="456"/>
      <c r="BNQ14" s="456"/>
      <c r="BNR14" s="456"/>
      <c r="BNS14" s="456"/>
      <c r="BNT14" s="456"/>
      <c r="BNU14" s="456"/>
      <c r="BNV14" s="456"/>
      <c r="BNW14" s="456"/>
      <c r="BNX14" s="456"/>
      <c r="BNY14" s="456"/>
      <c r="BNZ14" s="456"/>
      <c r="BOA14" s="456"/>
      <c r="BOB14" s="456"/>
      <c r="BOC14" s="456"/>
      <c r="BOD14" s="456"/>
      <c r="BOE14" s="456"/>
      <c r="BOF14" s="456"/>
      <c r="BOG14" s="456"/>
      <c r="BOH14" s="456"/>
      <c r="BOI14" s="456"/>
      <c r="BOJ14" s="456"/>
      <c r="BOK14" s="456"/>
      <c r="BOL14" s="456"/>
      <c r="BOM14" s="456"/>
      <c r="BON14" s="456"/>
      <c r="BOO14" s="456"/>
      <c r="BOP14" s="456"/>
      <c r="BOQ14" s="456"/>
      <c r="BOR14" s="456"/>
      <c r="BOS14" s="456"/>
      <c r="BOT14" s="456"/>
      <c r="BOU14" s="456"/>
      <c r="BOV14" s="456"/>
      <c r="BOW14" s="456"/>
      <c r="BOX14" s="456"/>
      <c r="BOY14" s="456"/>
      <c r="BOZ14" s="456"/>
      <c r="BPA14" s="456"/>
      <c r="BPB14" s="456"/>
      <c r="BPC14" s="456"/>
      <c r="BPD14" s="456"/>
      <c r="BPE14" s="456"/>
      <c r="BPF14" s="456"/>
      <c r="BPG14" s="456"/>
      <c r="BPH14" s="456"/>
      <c r="BPI14" s="456"/>
      <c r="BPJ14" s="456"/>
      <c r="BPK14" s="456"/>
      <c r="BPL14" s="456"/>
      <c r="BPM14" s="456"/>
      <c r="BPN14" s="456"/>
      <c r="BPO14" s="456"/>
      <c r="BPP14" s="456"/>
      <c r="BPQ14" s="456"/>
      <c r="BPR14" s="456"/>
      <c r="BPS14" s="456"/>
      <c r="BPT14" s="456"/>
      <c r="BPU14" s="456"/>
      <c r="BPV14" s="456"/>
      <c r="BPW14" s="456"/>
      <c r="BPX14" s="456"/>
      <c r="BPY14" s="456"/>
      <c r="BPZ14" s="456"/>
      <c r="BQA14" s="456"/>
      <c r="BQB14" s="456"/>
      <c r="BQC14" s="456"/>
      <c r="BQD14" s="456"/>
      <c r="BQE14" s="456"/>
      <c r="BQF14" s="456"/>
      <c r="BQG14" s="456"/>
      <c r="BQH14" s="456"/>
      <c r="BQI14" s="456"/>
      <c r="BQJ14" s="456"/>
      <c r="BQK14" s="456"/>
      <c r="BQL14" s="456"/>
      <c r="BQM14" s="456"/>
      <c r="BQN14" s="456"/>
      <c r="BQO14" s="456"/>
      <c r="BQP14" s="456"/>
      <c r="BQQ14" s="456"/>
      <c r="BQR14" s="456"/>
      <c r="BQS14" s="456"/>
      <c r="BQT14" s="456"/>
      <c r="BQU14" s="456"/>
      <c r="BQV14" s="456"/>
      <c r="BQW14" s="456"/>
      <c r="BQX14" s="456"/>
      <c r="BQY14" s="456"/>
      <c r="BQZ14" s="456"/>
      <c r="BRA14" s="456"/>
      <c r="BRB14" s="456"/>
      <c r="BRC14" s="456"/>
      <c r="BRD14" s="456"/>
      <c r="BRE14" s="456"/>
      <c r="BRF14" s="456"/>
      <c r="BRG14" s="456"/>
      <c r="BRH14" s="456"/>
      <c r="BRI14" s="456"/>
      <c r="BRJ14" s="456"/>
      <c r="BRK14" s="456"/>
      <c r="BRL14" s="456"/>
      <c r="BRM14" s="456"/>
      <c r="BRN14" s="456"/>
      <c r="BRO14" s="456"/>
      <c r="BRP14" s="456"/>
      <c r="BRQ14" s="456"/>
      <c r="BRR14" s="456"/>
      <c r="BRS14" s="456"/>
      <c r="BRT14" s="456"/>
      <c r="BRU14" s="456"/>
      <c r="BRV14" s="456"/>
      <c r="BRW14" s="456"/>
      <c r="BRX14" s="456"/>
      <c r="BRY14" s="456"/>
      <c r="BRZ14" s="456"/>
      <c r="BSA14" s="456"/>
      <c r="BSB14" s="456"/>
      <c r="BSC14" s="456"/>
      <c r="BSD14" s="456"/>
      <c r="BSE14" s="456"/>
      <c r="BSF14" s="456"/>
      <c r="BSG14" s="456"/>
      <c r="BSH14" s="456"/>
      <c r="BSI14" s="456"/>
      <c r="BSJ14" s="456"/>
      <c r="BSK14" s="456"/>
      <c r="BSL14" s="456"/>
      <c r="BSM14" s="456"/>
      <c r="BSN14" s="456"/>
      <c r="BSO14" s="456"/>
      <c r="BSP14" s="456"/>
      <c r="BSQ14" s="456"/>
      <c r="BSR14" s="456"/>
      <c r="BSS14" s="456"/>
      <c r="BST14" s="456"/>
      <c r="BSU14" s="456"/>
      <c r="BSV14" s="456"/>
      <c r="BSW14" s="456"/>
      <c r="BSX14" s="456"/>
      <c r="BSY14" s="456"/>
      <c r="BSZ14" s="456"/>
      <c r="BTA14" s="456"/>
      <c r="BTB14" s="456"/>
      <c r="BTC14" s="456"/>
      <c r="BTD14" s="456"/>
      <c r="BTE14" s="456"/>
      <c r="BTF14" s="456"/>
      <c r="BTG14" s="456"/>
      <c r="BTH14" s="456"/>
      <c r="BTI14" s="456"/>
      <c r="BTJ14" s="456"/>
      <c r="BTK14" s="456"/>
      <c r="BTL14" s="456"/>
      <c r="BTM14" s="456"/>
      <c r="BTN14" s="456"/>
      <c r="BTO14" s="456"/>
      <c r="BTP14" s="456"/>
      <c r="BTQ14" s="456"/>
      <c r="BTR14" s="456"/>
      <c r="BTS14" s="456"/>
      <c r="BTT14" s="456"/>
      <c r="BTU14" s="456"/>
      <c r="BTV14" s="456"/>
      <c r="BTW14" s="456"/>
      <c r="BTX14" s="456"/>
      <c r="BTY14" s="456"/>
      <c r="BTZ14" s="456"/>
      <c r="BUA14" s="456"/>
      <c r="BUB14" s="456"/>
      <c r="BUC14" s="456"/>
      <c r="BUD14" s="456"/>
      <c r="BUE14" s="456"/>
      <c r="BUF14" s="456"/>
      <c r="BUG14" s="456"/>
      <c r="BUH14" s="456"/>
      <c r="BUI14" s="456"/>
      <c r="BUJ14" s="456"/>
      <c r="BUK14" s="456"/>
      <c r="BUL14" s="456"/>
      <c r="BUM14" s="456"/>
      <c r="BUN14" s="456"/>
      <c r="BUO14" s="456"/>
      <c r="BUP14" s="456"/>
      <c r="BUQ14" s="456"/>
      <c r="BUR14" s="456"/>
      <c r="BUS14" s="456"/>
      <c r="BUT14" s="456"/>
      <c r="BUU14" s="456"/>
      <c r="BUV14" s="456"/>
      <c r="BUW14" s="456"/>
      <c r="BUX14" s="456"/>
      <c r="BUY14" s="456"/>
      <c r="BUZ14" s="456"/>
      <c r="BVA14" s="456"/>
      <c r="BVB14" s="456"/>
      <c r="BVC14" s="456"/>
      <c r="BVD14" s="456"/>
      <c r="BVE14" s="456"/>
      <c r="BVF14" s="456"/>
      <c r="BVG14" s="456"/>
      <c r="BVH14" s="456"/>
      <c r="BVI14" s="456"/>
      <c r="BVJ14" s="456"/>
      <c r="BVK14" s="456"/>
      <c r="BVL14" s="456"/>
      <c r="BVM14" s="456"/>
      <c r="BVN14" s="456"/>
      <c r="BVO14" s="456"/>
      <c r="BVP14" s="456"/>
      <c r="BVQ14" s="456"/>
      <c r="BVR14" s="456"/>
      <c r="BVS14" s="456"/>
      <c r="BVT14" s="456"/>
      <c r="BVU14" s="456"/>
      <c r="BVV14" s="456"/>
      <c r="BVW14" s="456"/>
      <c r="BVX14" s="456"/>
      <c r="BVY14" s="456"/>
      <c r="BVZ14" s="456"/>
      <c r="BWA14" s="456"/>
      <c r="BWB14" s="456"/>
      <c r="BWC14" s="456"/>
      <c r="BWD14" s="456"/>
      <c r="BWE14" s="456"/>
      <c r="BWF14" s="456"/>
      <c r="BWG14" s="456"/>
      <c r="BWH14" s="456"/>
      <c r="BWI14" s="456"/>
      <c r="BWJ14" s="456"/>
      <c r="BWK14" s="456"/>
      <c r="BWL14" s="456"/>
      <c r="BWM14" s="456"/>
      <c r="BWN14" s="456"/>
      <c r="BWO14" s="456"/>
      <c r="BWP14" s="456"/>
      <c r="BWQ14" s="456"/>
      <c r="BWR14" s="456"/>
      <c r="BWS14" s="456"/>
      <c r="BWT14" s="456"/>
      <c r="BWU14" s="456"/>
      <c r="BWV14" s="456"/>
      <c r="BWW14" s="456"/>
      <c r="BWX14" s="456"/>
      <c r="BWY14" s="456"/>
      <c r="BWZ14" s="456"/>
      <c r="BXA14" s="456"/>
      <c r="BXB14" s="456"/>
      <c r="BXC14" s="456"/>
      <c r="BXD14" s="456"/>
      <c r="BXE14" s="456"/>
      <c r="BXF14" s="456"/>
      <c r="BXG14" s="456"/>
      <c r="BXH14" s="456"/>
      <c r="BXI14" s="456"/>
      <c r="BXJ14" s="456"/>
      <c r="BXK14" s="456"/>
      <c r="BXL14" s="456"/>
      <c r="BXM14" s="456"/>
      <c r="BXN14" s="456"/>
      <c r="BXO14" s="456"/>
      <c r="BXP14" s="456"/>
      <c r="BXQ14" s="456"/>
      <c r="BXR14" s="456"/>
      <c r="BXS14" s="456"/>
      <c r="BXT14" s="456"/>
      <c r="BXU14" s="456"/>
      <c r="BXV14" s="456"/>
      <c r="BXW14" s="456"/>
      <c r="BXX14" s="456"/>
      <c r="BXY14" s="456"/>
      <c r="BXZ14" s="456"/>
    </row>
    <row r="15" s="25" customFormat="1" ht="15.6" spans="1:1024 1025:2002">
      <c r="A15" s="473" t="s">
        <v>34</v>
      </c>
      <c r="B15" s="19">
        <v>1112</v>
      </c>
      <c r="C15" s="183">
        <v>46134</v>
      </c>
      <c r="D15" s="17" t="s">
        <v>52</v>
      </c>
      <c r="E15" s="17" t="s">
        <v>53</v>
      </c>
      <c r="F15" s="17" t="s">
        <v>54</v>
      </c>
      <c r="G15" s="17"/>
      <c r="H15" s="19" t="s">
        <v>55</v>
      </c>
      <c r="I15" s="102" t="s">
        <v>56</v>
      </c>
      <c r="J15" s="17" t="s">
        <v>49</v>
      </c>
      <c r="K15" s="19">
        <v>710</v>
      </c>
      <c r="L15" s="19">
        <v>240</v>
      </c>
      <c r="M15" s="19">
        <v>5800</v>
      </c>
      <c r="N15" s="19" t="s">
        <v>40</v>
      </c>
      <c r="O15" s="19" t="s">
        <v>50</v>
      </c>
      <c r="P15" s="19">
        <v>4200</v>
      </c>
      <c r="Q15" s="19">
        <v>4662</v>
      </c>
      <c r="R15" s="19">
        <f t="shared" si="0"/>
        <v>-462</v>
      </c>
      <c r="S15" s="311">
        <v>2040</v>
      </c>
      <c r="T15" s="19" t="s">
        <v>42</v>
      </c>
      <c r="U15" s="102" t="s">
        <v>57</v>
      </c>
      <c r="V15" s="186">
        <v>46139</v>
      </c>
      <c r="W15" s="17" t="s">
        <v>58</v>
      </c>
      <c r="X15" s="17"/>
      <c r="Y15" s="68">
        <v>46174</v>
      </c>
      <c r="Z15" s="17" t="s">
        <v>45</v>
      </c>
      <c r="AA15" s="17" t="s">
        <v>46</v>
      </c>
      <c r="AB15" s="17" t="s">
        <v>62</v>
      </c>
      <c r="AC15" s="217">
        <v>46202</v>
      </c>
      <c r="AD15" s="65">
        <v>1832</v>
      </c>
      <c r="AE15" s="17" t="s">
        <v>48</v>
      </c>
      <c r="AF15" s="17" t="s">
        <v>61</v>
      </c>
      <c r="AG15" s="17"/>
      <c r="AH15" s="456"/>
      <c r="AI15" s="456"/>
      <c r="AJ15" s="456"/>
      <c r="AK15" s="456"/>
      <c r="AL15" s="456"/>
      <c r="AM15" s="456"/>
      <c r="AN15" s="456"/>
      <c r="AO15" s="456"/>
      <c r="AP15" s="456"/>
      <c r="AQ15" s="456"/>
      <c r="AR15" s="456"/>
      <c r="AS15" s="456"/>
      <c r="AT15" s="456"/>
      <c r="AU15" s="456"/>
      <c r="AV15" s="456"/>
      <c r="AW15" s="456"/>
      <c r="AX15" s="456"/>
      <c r="AY15" s="456"/>
      <c r="AZ15" s="456"/>
      <c r="BA15" s="456"/>
      <c r="BB15" s="456"/>
      <c r="BC15" s="456"/>
      <c r="BD15" s="456"/>
      <c r="BE15" s="456"/>
      <c r="BF15" s="456"/>
      <c r="BG15" s="456"/>
      <c r="BH15" s="456"/>
      <c r="BI15" s="456"/>
      <c r="BJ15" s="456"/>
      <c r="BK15" s="456"/>
      <c r="BL15" s="456"/>
      <c r="BM15" s="456"/>
      <c r="BN15" s="456"/>
      <c r="BO15" s="456"/>
      <c r="BP15" s="456"/>
      <c r="BQ15" s="456"/>
      <c r="BR15" s="456"/>
      <c r="BS15" s="456"/>
      <c r="BT15" s="456"/>
      <c r="BU15" s="456"/>
      <c r="BV15" s="456"/>
      <c r="BW15" s="456"/>
      <c r="BX15" s="456"/>
      <c r="BY15" s="456"/>
      <c r="BZ15" s="456"/>
      <c r="CA15" s="456"/>
      <c r="CB15" s="456"/>
      <c r="CC15" s="456"/>
      <c r="CD15" s="456"/>
      <c r="CE15" s="456"/>
      <c r="CF15" s="456"/>
      <c r="CG15" s="456"/>
      <c r="CH15" s="456"/>
      <c r="CI15" s="456"/>
      <c r="CJ15" s="456"/>
      <c r="CK15" s="456"/>
      <c r="CL15" s="456"/>
      <c r="CM15" s="456"/>
      <c r="CN15" s="456"/>
      <c r="CO15" s="456"/>
      <c r="CP15" s="456"/>
      <c r="CQ15" s="456"/>
      <c r="CR15" s="456"/>
      <c r="CS15" s="456"/>
      <c r="CT15" s="456"/>
      <c r="CU15" s="456"/>
      <c r="CV15" s="456"/>
      <c r="CW15" s="456"/>
      <c r="CX15" s="456"/>
      <c r="CY15" s="456"/>
      <c r="CZ15" s="456"/>
      <c r="DA15" s="456"/>
      <c r="DB15" s="456"/>
      <c r="DC15" s="456"/>
      <c r="DD15" s="456"/>
      <c r="DE15" s="456"/>
      <c r="DF15" s="456"/>
      <c r="DG15" s="456"/>
      <c r="DH15" s="456"/>
      <c r="DI15" s="456"/>
      <c r="DJ15" s="456"/>
      <c r="DK15" s="456"/>
      <c r="DL15" s="456"/>
      <c r="DM15" s="456"/>
      <c r="DN15" s="456"/>
      <c r="DO15" s="456"/>
      <c r="DP15" s="456"/>
      <c r="DQ15" s="456"/>
      <c r="DR15" s="456"/>
      <c r="DS15" s="456"/>
      <c r="DT15" s="456"/>
      <c r="DU15" s="456"/>
      <c r="DV15" s="456"/>
      <c r="DW15" s="456"/>
      <c r="DX15" s="456"/>
      <c r="DY15" s="456"/>
      <c r="DZ15" s="456"/>
      <c r="EA15" s="456"/>
      <c r="EB15" s="456"/>
      <c r="EC15" s="456"/>
      <c r="ED15" s="456"/>
      <c r="EE15" s="456"/>
      <c r="EF15" s="456"/>
      <c r="EG15" s="456"/>
      <c r="EH15" s="456"/>
      <c r="EI15" s="456"/>
      <c r="EJ15" s="456"/>
      <c r="EK15" s="456"/>
      <c r="EL15" s="456"/>
      <c r="EM15" s="456"/>
      <c r="EN15" s="456"/>
      <c r="EO15" s="456"/>
      <c r="EP15" s="456"/>
      <c r="EQ15" s="456"/>
      <c r="ER15" s="456"/>
      <c r="ES15" s="456"/>
      <c r="ET15" s="456"/>
      <c r="EU15" s="456"/>
      <c r="EV15" s="456"/>
      <c r="EW15" s="456"/>
      <c r="EX15" s="456"/>
      <c r="EY15" s="456"/>
      <c r="EZ15" s="456"/>
      <c r="FA15" s="456"/>
      <c r="FB15" s="456"/>
      <c r="FC15" s="456"/>
      <c r="FD15" s="456"/>
      <c r="FE15" s="456"/>
      <c r="FF15" s="456"/>
      <c r="FG15" s="456"/>
      <c r="FH15" s="456"/>
      <c r="FI15" s="456"/>
      <c r="FJ15" s="456"/>
      <c r="FK15" s="456"/>
      <c r="FL15" s="456"/>
      <c r="FM15" s="456"/>
      <c r="FN15" s="456"/>
      <c r="FO15" s="456"/>
      <c r="FP15" s="456"/>
      <c r="FQ15" s="456"/>
      <c r="FR15" s="456"/>
      <c r="FS15" s="456"/>
      <c r="FT15" s="456"/>
      <c r="FU15" s="456"/>
      <c r="FV15" s="456"/>
      <c r="FW15" s="456"/>
      <c r="FX15" s="456"/>
      <c r="FY15" s="456"/>
      <c r="FZ15" s="456"/>
      <c r="GA15" s="456"/>
      <c r="GB15" s="456"/>
      <c r="GC15" s="456"/>
      <c r="GD15" s="456"/>
      <c r="GE15" s="456"/>
      <c r="GF15" s="456"/>
      <c r="GG15" s="456"/>
      <c r="GH15" s="456"/>
      <c r="GI15" s="456"/>
      <c r="GJ15" s="456"/>
      <c r="GK15" s="456"/>
      <c r="GL15" s="456"/>
      <c r="GM15" s="456"/>
      <c r="GN15" s="456"/>
      <c r="GO15" s="456"/>
      <c r="GP15" s="456"/>
      <c r="GQ15" s="456"/>
      <c r="GR15" s="456"/>
      <c r="GS15" s="456"/>
      <c r="GT15" s="456"/>
      <c r="GU15" s="456"/>
      <c r="GV15" s="456"/>
      <c r="GW15" s="456"/>
      <c r="GX15" s="456"/>
      <c r="GY15" s="456"/>
      <c r="GZ15" s="456"/>
      <c r="HA15" s="456"/>
      <c r="HB15" s="456"/>
      <c r="HC15" s="456"/>
      <c r="HD15" s="456"/>
      <c r="HE15" s="456"/>
      <c r="HF15" s="456"/>
      <c r="HG15" s="456"/>
      <c r="HH15" s="456"/>
      <c r="HI15" s="456"/>
      <c r="HJ15" s="456"/>
      <c r="HK15" s="456"/>
      <c r="HL15" s="456"/>
      <c r="HM15" s="456"/>
      <c r="HN15" s="456"/>
      <c r="HO15" s="456"/>
      <c r="HP15" s="456"/>
      <c r="HQ15" s="456"/>
      <c r="HR15" s="456"/>
      <c r="HS15" s="456"/>
      <c r="HT15" s="456"/>
      <c r="HU15" s="456"/>
      <c r="HV15" s="456"/>
      <c r="HW15" s="456"/>
      <c r="HX15" s="456"/>
      <c r="HY15" s="456"/>
      <c r="HZ15" s="456"/>
      <c r="IA15" s="456"/>
      <c r="IB15" s="456"/>
      <c r="IC15" s="456"/>
      <c r="ID15" s="456"/>
      <c r="IE15" s="456"/>
      <c r="IF15" s="456"/>
      <c r="IG15" s="456"/>
      <c r="IH15" s="456"/>
      <c r="II15" s="456"/>
      <c r="IJ15" s="456"/>
      <c r="IK15" s="456"/>
      <c r="IL15" s="456"/>
      <c r="IM15" s="456"/>
      <c r="IN15" s="456"/>
      <c r="IO15" s="456"/>
      <c r="IP15" s="456"/>
      <c r="IQ15" s="456"/>
      <c r="IR15" s="456"/>
      <c r="IS15" s="456"/>
      <c r="IT15" s="456"/>
      <c r="IU15" s="456"/>
      <c r="IV15" s="456"/>
      <c r="IW15" s="456"/>
      <c r="IX15" s="456"/>
      <c r="IY15" s="456"/>
      <c r="IZ15" s="456"/>
      <c r="JA15" s="456"/>
      <c r="JB15" s="456"/>
      <c r="JC15" s="456"/>
      <c r="JD15" s="456"/>
      <c r="JE15" s="456"/>
      <c r="JF15" s="456"/>
      <c r="JG15" s="456"/>
      <c r="JH15" s="456"/>
      <c r="JI15" s="456"/>
      <c r="JJ15" s="456"/>
      <c r="JK15" s="456"/>
      <c r="JL15" s="456"/>
      <c r="JM15" s="456"/>
      <c r="JN15" s="456"/>
      <c r="JO15" s="456"/>
      <c r="JP15" s="456"/>
      <c r="JQ15" s="456"/>
      <c r="JR15" s="456"/>
      <c r="JS15" s="456"/>
      <c r="JT15" s="456"/>
      <c r="JU15" s="456"/>
      <c r="JV15" s="456"/>
      <c r="JW15" s="456"/>
      <c r="JX15" s="456"/>
      <c r="JY15" s="456"/>
      <c r="JZ15" s="456"/>
      <c r="KA15" s="456"/>
      <c r="KB15" s="456"/>
      <c r="KC15" s="456"/>
      <c r="KD15" s="456"/>
      <c r="KE15" s="456"/>
      <c r="KF15" s="456"/>
      <c r="KG15" s="456"/>
      <c r="KH15" s="456"/>
      <c r="KI15" s="456"/>
      <c r="KJ15" s="456"/>
      <c r="KK15" s="456"/>
      <c r="KL15" s="456"/>
      <c r="KM15" s="456"/>
      <c r="KN15" s="456"/>
      <c r="KO15" s="456"/>
      <c r="KP15" s="456"/>
      <c r="KQ15" s="456"/>
      <c r="KR15" s="456"/>
      <c r="KS15" s="456"/>
      <c r="KT15" s="456"/>
      <c r="KU15" s="456"/>
      <c r="KV15" s="456"/>
      <c r="KW15" s="456"/>
      <c r="KX15" s="456"/>
      <c r="KY15" s="456"/>
      <c r="KZ15" s="456"/>
      <c r="LA15" s="456"/>
      <c r="LB15" s="456"/>
      <c r="LC15" s="456"/>
      <c r="LD15" s="456"/>
      <c r="LE15" s="456"/>
      <c r="LF15" s="456"/>
      <c r="LG15" s="456"/>
      <c r="LH15" s="456"/>
      <c r="LI15" s="456"/>
      <c r="LJ15" s="456"/>
      <c r="LK15" s="456"/>
      <c r="LL15" s="456"/>
      <c r="LM15" s="456"/>
      <c r="LN15" s="456"/>
      <c r="LO15" s="456"/>
      <c r="LP15" s="456"/>
      <c r="LQ15" s="456"/>
      <c r="LR15" s="456"/>
      <c r="LS15" s="456"/>
      <c r="LT15" s="456"/>
      <c r="LU15" s="456"/>
      <c r="LV15" s="456"/>
      <c r="LW15" s="456"/>
      <c r="LX15" s="456"/>
      <c r="LY15" s="456"/>
      <c r="LZ15" s="456"/>
      <c r="MA15" s="456"/>
      <c r="MB15" s="456"/>
      <c r="MC15" s="456"/>
      <c r="MD15" s="456"/>
      <c r="ME15" s="456"/>
      <c r="MF15" s="456"/>
      <c r="MG15" s="456"/>
      <c r="MH15" s="456"/>
      <c r="MI15" s="456"/>
      <c r="MJ15" s="456"/>
      <c r="MK15" s="456"/>
      <c r="ML15" s="456"/>
      <c r="MM15" s="456"/>
      <c r="MN15" s="456"/>
      <c r="MO15" s="456"/>
      <c r="MP15" s="456"/>
      <c r="MQ15" s="456"/>
      <c r="MR15" s="456"/>
      <c r="MS15" s="456"/>
      <c r="MT15" s="456"/>
      <c r="MU15" s="456"/>
      <c r="MV15" s="456"/>
      <c r="MW15" s="456"/>
      <c r="MX15" s="456"/>
      <c r="MY15" s="456"/>
      <c r="MZ15" s="456"/>
      <c r="NA15" s="456"/>
      <c r="NB15" s="456"/>
      <c r="NC15" s="456"/>
      <c r="ND15" s="456"/>
      <c r="NE15" s="456"/>
      <c r="NF15" s="456"/>
      <c r="NG15" s="456"/>
      <c r="NH15" s="456"/>
      <c r="NI15" s="456"/>
      <c r="NJ15" s="456"/>
      <c r="NK15" s="456"/>
      <c r="NL15" s="456"/>
      <c r="NM15" s="456"/>
      <c r="NN15" s="456"/>
      <c r="NO15" s="456"/>
      <c r="NP15" s="456"/>
      <c r="NQ15" s="456"/>
      <c r="NR15" s="456"/>
      <c r="NS15" s="456"/>
      <c r="NT15" s="456"/>
      <c r="NU15" s="456"/>
      <c r="NV15" s="456"/>
      <c r="NW15" s="456"/>
      <c r="NX15" s="456"/>
      <c r="NY15" s="456"/>
      <c r="NZ15" s="456"/>
      <c r="OA15" s="456"/>
      <c r="OB15" s="456"/>
      <c r="OC15" s="456"/>
      <c r="OD15" s="456"/>
      <c r="OE15" s="456"/>
      <c r="OF15" s="456"/>
      <c r="OG15" s="456"/>
      <c r="OH15" s="456"/>
      <c r="OI15" s="456"/>
      <c r="OJ15" s="456"/>
      <c r="OK15" s="456"/>
      <c r="OL15" s="456"/>
      <c r="OM15" s="456"/>
      <c r="ON15" s="456"/>
      <c r="OO15" s="456"/>
      <c r="OP15" s="456"/>
      <c r="OQ15" s="456"/>
      <c r="OR15" s="456"/>
      <c r="OS15" s="456"/>
      <c r="OT15" s="456"/>
      <c r="OU15" s="456"/>
      <c r="OV15" s="456"/>
      <c r="OW15" s="456"/>
      <c r="OX15" s="456"/>
      <c r="OY15" s="456"/>
      <c r="OZ15" s="456"/>
      <c r="PA15" s="456"/>
      <c r="PB15" s="456"/>
      <c r="PC15" s="456"/>
      <c r="PD15" s="456"/>
      <c r="PE15" s="456"/>
      <c r="PF15" s="456"/>
      <c r="PG15" s="456"/>
      <c r="PH15" s="456"/>
      <c r="PI15" s="456"/>
      <c r="PJ15" s="456"/>
      <c r="PK15" s="456"/>
      <c r="PL15" s="456"/>
      <c r="PM15" s="456"/>
      <c r="PN15" s="456"/>
      <c r="PO15" s="456"/>
      <c r="PP15" s="456"/>
      <c r="PQ15" s="456"/>
      <c r="PR15" s="456"/>
      <c r="PS15" s="456"/>
      <c r="PT15" s="456"/>
      <c r="PU15" s="456"/>
      <c r="PV15" s="456"/>
      <c r="PW15" s="456"/>
      <c r="PX15" s="456"/>
      <c r="PY15" s="456"/>
      <c r="PZ15" s="456"/>
      <c r="QA15" s="456"/>
      <c r="QB15" s="456"/>
      <c r="QC15" s="456"/>
      <c r="QD15" s="456"/>
      <c r="QE15" s="456"/>
      <c r="QF15" s="456"/>
      <c r="QG15" s="456"/>
      <c r="QH15" s="456"/>
      <c r="QI15" s="456"/>
      <c r="QJ15" s="456"/>
      <c r="QK15" s="456"/>
      <c r="QL15" s="456"/>
      <c r="QM15" s="456"/>
      <c r="QN15" s="456"/>
      <c r="QO15" s="456"/>
      <c r="QP15" s="456"/>
      <c r="QQ15" s="456"/>
      <c r="QR15" s="456"/>
      <c r="QS15" s="456"/>
      <c r="QT15" s="456"/>
      <c r="QU15" s="456"/>
      <c r="QV15" s="456"/>
      <c r="QW15" s="456"/>
      <c r="QX15" s="456"/>
      <c r="QY15" s="456"/>
      <c r="QZ15" s="456"/>
      <c r="RA15" s="456"/>
      <c r="RB15" s="456"/>
      <c r="RC15" s="456"/>
      <c r="RD15" s="456"/>
      <c r="RE15" s="456"/>
      <c r="RF15" s="456"/>
      <c r="RG15" s="456"/>
      <c r="RH15" s="456"/>
      <c r="RI15" s="456"/>
      <c r="RJ15" s="456"/>
      <c r="RK15" s="456"/>
      <c r="RL15" s="456"/>
      <c r="RM15" s="456"/>
      <c r="RN15" s="456"/>
      <c r="RO15" s="456"/>
      <c r="RP15" s="456"/>
      <c r="RQ15" s="456"/>
      <c r="RR15" s="456"/>
      <c r="RS15" s="456"/>
      <c r="RT15" s="456"/>
      <c r="RU15" s="456"/>
      <c r="RV15" s="456"/>
      <c r="RW15" s="456"/>
      <c r="RX15" s="456"/>
      <c r="RY15" s="456"/>
      <c r="RZ15" s="456"/>
      <c r="SA15" s="456"/>
      <c r="SB15" s="456"/>
      <c r="SC15" s="456"/>
      <c r="SD15" s="456"/>
      <c r="SE15" s="456"/>
      <c r="SF15" s="456"/>
      <c r="SG15" s="456"/>
      <c r="SH15" s="456"/>
      <c r="SI15" s="456"/>
      <c r="SJ15" s="456"/>
      <c r="SK15" s="456"/>
      <c r="SL15" s="456"/>
      <c r="SM15" s="456"/>
      <c r="SN15" s="456"/>
      <c r="SO15" s="456"/>
      <c r="SP15" s="456"/>
      <c r="SQ15" s="456"/>
      <c r="SR15" s="456"/>
      <c r="SS15" s="456"/>
      <c r="ST15" s="456"/>
      <c r="SU15" s="456"/>
      <c r="SV15" s="456"/>
      <c r="SW15" s="456"/>
      <c r="SX15" s="456"/>
      <c r="SY15" s="456"/>
      <c r="SZ15" s="456"/>
      <c r="TA15" s="456"/>
      <c r="TB15" s="456"/>
      <c r="TC15" s="456"/>
      <c r="TD15" s="456"/>
      <c r="TE15" s="456"/>
      <c r="TF15" s="456"/>
      <c r="TG15" s="456"/>
      <c r="TH15" s="456"/>
      <c r="TI15" s="456"/>
      <c r="TJ15" s="456"/>
      <c r="TK15" s="456"/>
      <c r="TL15" s="456"/>
      <c r="TM15" s="456"/>
      <c r="TN15" s="456"/>
      <c r="TO15" s="456"/>
      <c r="TP15" s="456"/>
      <c r="TQ15" s="456"/>
      <c r="TR15" s="456"/>
      <c r="TS15" s="456"/>
      <c r="TT15" s="456"/>
      <c r="TU15" s="456"/>
      <c r="TV15" s="456"/>
      <c r="TW15" s="456"/>
      <c r="TX15" s="456"/>
      <c r="TY15" s="456"/>
      <c r="TZ15" s="456"/>
      <c r="UA15" s="456"/>
      <c r="UB15" s="456"/>
      <c r="UC15" s="456"/>
      <c r="UD15" s="456"/>
      <c r="UE15" s="456"/>
      <c r="UF15" s="456"/>
      <c r="UG15" s="456"/>
      <c r="UH15" s="456"/>
      <c r="UI15" s="456"/>
      <c r="UJ15" s="456"/>
      <c r="UK15" s="456"/>
      <c r="UL15" s="456"/>
      <c r="UM15" s="456"/>
      <c r="UN15" s="456"/>
      <c r="UO15" s="456"/>
      <c r="UP15" s="456"/>
      <c r="UQ15" s="456"/>
      <c r="UR15" s="456"/>
      <c r="US15" s="456"/>
      <c r="UT15" s="456"/>
      <c r="UU15" s="456"/>
      <c r="UV15" s="456"/>
      <c r="UW15" s="456"/>
      <c r="UX15" s="456"/>
      <c r="UY15" s="456"/>
      <c r="UZ15" s="456"/>
      <c r="VA15" s="456"/>
      <c r="VB15" s="456"/>
      <c r="VC15" s="456"/>
      <c r="VD15" s="456"/>
      <c r="VE15" s="456"/>
      <c r="VF15" s="456"/>
      <c r="VG15" s="456"/>
      <c r="VH15" s="456"/>
      <c r="VI15" s="456"/>
      <c r="VJ15" s="456"/>
      <c r="VK15" s="456"/>
      <c r="VL15" s="456"/>
      <c r="VM15" s="456"/>
      <c r="VN15" s="456"/>
      <c r="VO15" s="456"/>
      <c r="VP15" s="456"/>
      <c r="VQ15" s="456"/>
      <c r="VR15" s="456"/>
      <c r="VS15" s="456"/>
      <c r="VT15" s="456"/>
      <c r="VU15" s="456"/>
      <c r="VV15" s="456"/>
      <c r="VW15" s="456"/>
      <c r="VX15" s="456"/>
      <c r="VY15" s="456"/>
      <c r="VZ15" s="456"/>
      <c r="WA15" s="456"/>
      <c r="WB15" s="456"/>
      <c r="WC15" s="456"/>
      <c r="WD15" s="456"/>
      <c r="WE15" s="456"/>
      <c r="WF15" s="456"/>
      <c r="WG15" s="456"/>
      <c r="WH15" s="456"/>
      <c r="WI15" s="456"/>
      <c r="WJ15" s="456"/>
      <c r="WK15" s="456"/>
      <c r="WL15" s="456"/>
      <c r="WM15" s="456"/>
      <c r="WN15" s="456"/>
      <c r="WO15" s="456"/>
      <c r="WP15" s="456"/>
      <c r="WQ15" s="456"/>
      <c r="WR15" s="456"/>
      <c r="WS15" s="456"/>
      <c r="WT15" s="456"/>
      <c r="WU15" s="456"/>
      <c r="WV15" s="456"/>
      <c r="WW15" s="456"/>
      <c r="WX15" s="456"/>
      <c r="WY15" s="456"/>
      <c r="WZ15" s="456"/>
      <c r="XA15" s="456"/>
      <c r="XB15" s="456"/>
      <c r="XC15" s="456"/>
      <c r="XD15" s="456"/>
      <c r="XE15" s="456"/>
      <c r="XF15" s="456"/>
      <c r="XG15" s="456"/>
      <c r="XH15" s="456"/>
      <c r="XI15" s="456"/>
      <c r="XJ15" s="456"/>
      <c r="XK15" s="456"/>
      <c r="XL15" s="456"/>
      <c r="XM15" s="456"/>
      <c r="XN15" s="456"/>
      <c r="XO15" s="456"/>
      <c r="XP15" s="456"/>
      <c r="XQ15" s="456"/>
      <c r="XR15" s="456"/>
      <c r="XS15" s="456"/>
      <c r="XT15" s="456"/>
      <c r="XU15" s="456"/>
      <c r="XV15" s="456"/>
      <c r="XW15" s="456"/>
      <c r="XX15" s="456"/>
      <c r="XY15" s="456"/>
      <c r="XZ15" s="456"/>
      <c r="YA15" s="456"/>
      <c r="YB15" s="456"/>
      <c r="YC15" s="456"/>
      <c r="YD15" s="456"/>
      <c r="YE15" s="456"/>
      <c r="YF15" s="456"/>
      <c r="YG15" s="456"/>
      <c r="YH15" s="456"/>
      <c r="YI15" s="456"/>
      <c r="YJ15" s="456"/>
      <c r="YK15" s="456"/>
      <c r="YL15" s="456"/>
      <c r="YM15" s="456"/>
      <c r="YN15" s="456"/>
      <c r="YO15" s="456"/>
      <c r="YP15" s="456"/>
      <c r="YQ15" s="456"/>
      <c r="YR15" s="456"/>
      <c r="YS15" s="456"/>
      <c r="YT15" s="456"/>
      <c r="YU15" s="456"/>
      <c r="YV15" s="456"/>
      <c r="YW15" s="456"/>
      <c r="YX15" s="456"/>
      <c r="YY15" s="456"/>
      <c r="YZ15" s="456"/>
      <c r="ZA15" s="456"/>
      <c r="ZB15" s="456"/>
      <c r="ZC15" s="456"/>
      <c r="ZD15" s="456"/>
      <c r="ZE15" s="456"/>
      <c r="ZF15" s="456"/>
      <c r="ZG15" s="456"/>
      <c r="ZH15" s="456"/>
      <c r="ZI15" s="456"/>
      <c r="ZJ15" s="456"/>
      <c r="ZK15" s="456"/>
      <c r="ZL15" s="456"/>
      <c r="ZM15" s="456"/>
      <c r="ZN15" s="456"/>
      <c r="ZO15" s="456"/>
      <c r="ZP15" s="456"/>
      <c r="ZQ15" s="456"/>
      <c r="ZR15" s="456"/>
      <c r="ZS15" s="456"/>
      <c r="ZT15" s="456"/>
      <c r="ZU15" s="456"/>
      <c r="ZV15" s="456"/>
      <c r="ZW15" s="456"/>
      <c r="ZX15" s="456"/>
      <c r="ZY15" s="456"/>
      <c r="ZZ15" s="456"/>
      <c r="AAA15" s="456"/>
      <c r="AAB15" s="456"/>
      <c r="AAC15" s="456"/>
      <c r="AAD15" s="456"/>
      <c r="AAE15" s="456"/>
      <c r="AAF15" s="456"/>
      <c r="AAG15" s="456"/>
      <c r="AAH15" s="456"/>
      <c r="AAI15" s="456"/>
      <c r="AAJ15" s="456"/>
      <c r="AAK15" s="456"/>
      <c r="AAL15" s="456"/>
      <c r="AAM15" s="456"/>
      <c r="AAN15" s="456"/>
      <c r="AAO15" s="456"/>
      <c r="AAP15" s="456"/>
      <c r="AAQ15" s="456"/>
      <c r="AAR15" s="456"/>
      <c r="AAS15" s="456"/>
      <c r="AAT15" s="456"/>
      <c r="AAU15" s="456"/>
      <c r="AAV15" s="456"/>
      <c r="AAW15" s="456"/>
      <c r="AAX15" s="456"/>
      <c r="AAY15" s="456"/>
      <c r="AAZ15" s="456"/>
      <c r="ABA15" s="456"/>
      <c r="ABB15" s="456"/>
      <c r="ABC15" s="456"/>
      <c r="ABD15" s="456"/>
      <c r="ABE15" s="456"/>
      <c r="ABF15" s="456"/>
      <c r="ABG15" s="456"/>
      <c r="ABH15" s="456"/>
      <c r="ABI15" s="456"/>
      <c r="ABJ15" s="456"/>
      <c r="ABK15" s="456"/>
      <c r="ABL15" s="456"/>
      <c r="ABM15" s="456"/>
      <c r="ABN15" s="456"/>
      <c r="ABO15" s="456"/>
      <c r="ABP15" s="456"/>
      <c r="ABQ15" s="456"/>
      <c r="ABR15" s="456"/>
      <c r="ABS15" s="456"/>
      <c r="ABT15" s="456"/>
      <c r="ABU15" s="456"/>
      <c r="ABV15" s="456"/>
      <c r="ABW15" s="456"/>
      <c r="ABX15" s="456"/>
      <c r="ABY15" s="456"/>
      <c r="ABZ15" s="456"/>
      <c r="ACA15" s="456"/>
      <c r="ACB15" s="456"/>
      <c r="ACC15" s="456"/>
      <c r="ACD15" s="456"/>
      <c r="ACE15" s="456"/>
      <c r="ACF15" s="456"/>
      <c r="ACG15" s="456"/>
      <c r="ACH15" s="456"/>
      <c r="ACI15" s="456"/>
      <c r="ACJ15" s="456"/>
      <c r="ACK15" s="456"/>
      <c r="ACL15" s="456"/>
      <c r="ACM15" s="456"/>
      <c r="ACN15" s="456"/>
      <c r="ACO15" s="456"/>
      <c r="ACP15" s="456"/>
      <c r="ACQ15" s="456"/>
      <c r="ACR15" s="456"/>
      <c r="ACS15" s="456"/>
      <c r="ACT15" s="456"/>
      <c r="ACU15" s="456"/>
      <c r="ACV15" s="456"/>
      <c r="ACW15" s="456"/>
      <c r="ACX15" s="456"/>
      <c r="ACY15" s="456"/>
      <c r="ACZ15" s="456"/>
      <c r="ADA15" s="456"/>
      <c r="ADB15" s="456"/>
      <c r="ADC15" s="456"/>
      <c r="ADD15" s="456"/>
      <c r="ADE15" s="456"/>
      <c r="ADF15" s="456"/>
      <c r="ADG15" s="456"/>
      <c r="ADH15" s="456"/>
      <c r="ADI15" s="456"/>
      <c r="ADJ15" s="456"/>
      <c r="ADK15" s="456"/>
      <c r="ADL15" s="456"/>
      <c r="ADM15" s="456"/>
      <c r="ADN15" s="456"/>
      <c r="ADO15" s="456"/>
      <c r="ADP15" s="456"/>
      <c r="ADQ15" s="456"/>
      <c r="ADR15" s="456"/>
      <c r="ADS15" s="456"/>
      <c r="ADT15" s="456"/>
      <c r="ADU15" s="456"/>
      <c r="ADV15" s="456"/>
      <c r="ADW15" s="456"/>
      <c r="ADX15" s="456"/>
      <c r="ADY15" s="456"/>
      <c r="ADZ15" s="456"/>
      <c r="AEA15" s="456"/>
      <c r="AEB15" s="456"/>
      <c r="AEC15" s="456"/>
      <c r="AED15" s="456"/>
      <c r="AEE15" s="456"/>
      <c r="AEF15" s="456"/>
      <c r="AEG15" s="456"/>
      <c r="AEH15" s="456"/>
      <c r="AEI15" s="456"/>
      <c r="AEJ15" s="456"/>
      <c r="AEK15" s="456"/>
      <c r="AEL15" s="456"/>
      <c r="AEM15" s="456"/>
      <c r="AEN15" s="456"/>
      <c r="AEO15" s="456"/>
      <c r="AEP15" s="456"/>
      <c r="AEQ15" s="456"/>
      <c r="AER15" s="456"/>
      <c r="AES15" s="456"/>
      <c r="AET15" s="456"/>
      <c r="AEU15" s="456"/>
      <c r="AEV15" s="456"/>
      <c r="AEW15" s="456"/>
      <c r="AEX15" s="456"/>
      <c r="AEY15" s="456"/>
      <c r="AEZ15" s="456"/>
      <c r="AFA15" s="456"/>
      <c r="AFB15" s="456"/>
      <c r="AFC15" s="456"/>
      <c r="AFD15" s="456"/>
      <c r="AFE15" s="456"/>
      <c r="AFF15" s="456"/>
      <c r="AFG15" s="456"/>
      <c r="AFH15" s="456"/>
      <c r="AFI15" s="456"/>
      <c r="AFJ15" s="456"/>
      <c r="AFK15" s="456"/>
      <c r="AFL15" s="456"/>
      <c r="AFM15" s="456"/>
      <c r="AFN15" s="456"/>
      <c r="AFO15" s="456"/>
      <c r="AFP15" s="456"/>
      <c r="AFQ15" s="456"/>
      <c r="AFR15" s="456"/>
      <c r="AFS15" s="456"/>
      <c r="AFT15" s="456"/>
      <c r="AFU15" s="456"/>
      <c r="AFV15" s="456"/>
      <c r="AFW15" s="456"/>
      <c r="AFX15" s="456"/>
      <c r="AFY15" s="456"/>
      <c r="AFZ15" s="456"/>
      <c r="AGA15" s="456"/>
      <c r="AGB15" s="456"/>
      <c r="AGC15" s="456"/>
      <c r="AGD15" s="456"/>
      <c r="AGE15" s="456"/>
      <c r="AGF15" s="456"/>
      <c r="AGG15" s="456"/>
      <c r="AGH15" s="456"/>
      <c r="AGI15" s="456"/>
      <c r="AGJ15" s="456"/>
      <c r="AGK15" s="456"/>
      <c r="AGL15" s="456"/>
      <c r="AGM15" s="456"/>
      <c r="AGN15" s="456"/>
      <c r="AGO15" s="456"/>
      <c r="AGP15" s="456"/>
      <c r="AGQ15" s="456"/>
      <c r="AGR15" s="456"/>
      <c r="AGS15" s="456"/>
      <c r="AGT15" s="456"/>
      <c r="AGU15" s="456"/>
      <c r="AGV15" s="456"/>
      <c r="AGW15" s="456"/>
      <c r="AGX15" s="456"/>
      <c r="AGY15" s="456"/>
      <c r="AGZ15" s="456"/>
      <c r="AHA15" s="456"/>
      <c r="AHB15" s="456"/>
      <c r="AHC15" s="456"/>
      <c r="AHD15" s="456"/>
      <c r="AHE15" s="456"/>
      <c r="AHF15" s="456"/>
      <c r="AHG15" s="456"/>
      <c r="AHH15" s="456"/>
      <c r="AHI15" s="456"/>
      <c r="AHJ15" s="456"/>
      <c r="AHK15" s="456"/>
      <c r="AHL15" s="456"/>
      <c r="AHM15" s="456"/>
      <c r="AHN15" s="456"/>
      <c r="AHO15" s="456"/>
      <c r="AHP15" s="456"/>
      <c r="AHQ15" s="456"/>
      <c r="AHR15" s="456"/>
      <c r="AHS15" s="456"/>
      <c r="AHT15" s="456"/>
      <c r="AHU15" s="456"/>
      <c r="AHV15" s="456"/>
      <c r="AHW15" s="456"/>
      <c r="AHX15" s="456"/>
      <c r="AHY15" s="456"/>
      <c r="AHZ15" s="456"/>
      <c r="AIA15" s="456"/>
      <c r="AIB15" s="456"/>
      <c r="AIC15" s="456"/>
      <c r="AID15" s="456"/>
      <c r="AIE15" s="456"/>
      <c r="AIF15" s="456"/>
      <c r="AIG15" s="456"/>
      <c r="AIH15" s="456"/>
      <c r="AII15" s="456"/>
      <c r="AIJ15" s="456"/>
      <c r="AIK15" s="456"/>
      <c r="AIL15" s="456"/>
      <c r="AIM15" s="456"/>
      <c r="AIN15" s="456"/>
      <c r="AIO15" s="456"/>
      <c r="AIP15" s="456"/>
      <c r="AIQ15" s="456"/>
      <c r="AIR15" s="456"/>
      <c r="AIS15" s="456"/>
      <c r="AIT15" s="456"/>
      <c r="AIU15" s="456"/>
      <c r="AIV15" s="456"/>
      <c r="AIW15" s="456"/>
      <c r="AIX15" s="456"/>
      <c r="AIY15" s="456"/>
      <c r="AIZ15" s="456"/>
      <c r="AJA15" s="456"/>
      <c r="AJB15" s="456"/>
      <c r="AJC15" s="456"/>
      <c r="AJD15" s="456"/>
      <c r="AJE15" s="456"/>
      <c r="AJF15" s="456"/>
      <c r="AJG15" s="456"/>
      <c r="AJH15" s="456"/>
      <c r="AJI15" s="456"/>
      <c r="AJJ15" s="456"/>
      <c r="AJK15" s="456"/>
      <c r="AJL15" s="456"/>
      <c r="AJM15" s="456"/>
      <c r="AJN15" s="456"/>
      <c r="AJO15" s="456"/>
      <c r="AJP15" s="456"/>
      <c r="AJQ15" s="456"/>
      <c r="AJR15" s="456"/>
      <c r="AJS15" s="456"/>
      <c r="AJT15" s="456"/>
      <c r="AJU15" s="456"/>
      <c r="AJV15" s="456"/>
      <c r="AJW15" s="456"/>
      <c r="AJX15" s="456"/>
      <c r="AJY15" s="456"/>
      <c r="AJZ15" s="456"/>
      <c r="AKA15" s="456"/>
      <c r="AKB15" s="456"/>
      <c r="AKC15" s="456"/>
      <c r="AKD15" s="456"/>
      <c r="AKE15" s="456"/>
      <c r="AKF15" s="456"/>
      <c r="AKG15" s="456"/>
      <c r="AKH15" s="456"/>
      <c r="AKI15" s="456"/>
      <c r="AKJ15" s="456"/>
      <c r="AKK15" s="456"/>
      <c r="AKL15" s="456"/>
      <c r="AKM15" s="456"/>
      <c r="AKN15" s="456"/>
      <c r="AKO15" s="456"/>
      <c r="AKP15" s="456"/>
      <c r="AKQ15" s="456"/>
      <c r="AKR15" s="456"/>
      <c r="AKS15" s="456"/>
      <c r="AKT15" s="456"/>
      <c r="AKU15" s="456"/>
      <c r="AKV15" s="456"/>
      <c r="AKW15" s="456"/>
      <c r="AKX15" s="456"/>
      <c r="AKY15" s="456"/>
      <c r="AKZ15" s="456"/>
      <c r="ALA15" s="456"/>
      <c r="ALB15" s="456"/>
      <c r="ALC15" s="456"/>
      <c r="ALD15" s="456"/>
      <c r="ALE15" s="456"/>
      <c r="ALF15" s="456"/>
      <c r="ALG15" s="456"/>
      <c r="ALH15" s="456"/>
      <c r="ALI15" s="456"/>
      <c r="ALJ15" s="456"/>
      <c r="ALK15" s="456"/>
      <c r="ALL15" s="456"/>
      <c r="ALM15" s="456"/>
      <c r="ALN15" s="456"/>
      <c r="ALO15" s="456"/>
      <c r="ALP15" s="456"/>
      <c r="ALQ15" s="456"/>
      <c r="ALR15" s="456"/>
      <c r="ALS15" s="456"/>
      <c r="ALT15" s="456"/>
      <c r="ALU15" s="456"/>
      <c r="ALV15" s="456"/>
      <c r="ALW15" s="456"/>
      <c r="ALX15" s="456"/>
      <c r="ALY15" s="456"/>
      <c r="ALZ15" s="456"/>
      <c r="AMA15" s="456"/>
      <c r="AMB15" s="456"/>
      <c r="AMC15" s="456"/>
      <c r="AMD15" s="456"/>
      <c r="AME15" s="456"/>
      <c r="AMF15" s="456"/>
      <c r="AMG15" s="456"/>
      <c r="AMH15" s="456"/>
      <c r="AMI15" s="456"/>
      <c r="AMJ15" s="456"/>
      <c r="AMK15" s="456"/>
      <c r="AML15" s="456"/>
      <c r="AMM15" s="456"/>
      <c r="AMN15" s="456"/>
      <c r="AMO15" s="456"/>
      <c r="AMP15" s="456"/>
      <c r="AMQ15" s="456"/>
      <c r="AMR15" s="456"/>
      <c r="AMS15" s="456"/>
      <c r="AMT15" s="456"/>
      <c r="AMU15" s="456"/>
      <c r="AMV15" s="456"/>
      <c r="AMW15" s="456"/>
      <c r="AMX15" s="456"/>
      <c r="AMY15" s="456"/>
      <c r="AMZ15" s="456"/>
      <c r="ANA15" s="456"/>
      <c r="ANB15" s="456"/>
      <c r="ANC15" s="456"/>
      <c r="AND15" s="456"/>
      <c r="ANE15" s="456"/>
      <c r="ANF15" s="456"/>
      <c r="ANG15" s="456"/>
      <c r="ANH15" s="456"/>
      <c r="ANI15" s="456"/>
      <c r="ANJ15" s="456"/>
      <c r="ANK15" s="456"/>
      <c r="ANL15" s="456"/>
      <c r="ANM15" s="456"/>
      <c r="ANN15" s="456"/>
      <c r="ANO15" s="456"/>
      <c r="ANP15" s="456"/>
      <c r="ANQ15" s="456"/>
      <c r="ANR15" s="456"/>
      <c r="ANS15" s="456"/>
      <c r="ANT15" s="456"/>
      <c r="ANU15" s="456"/>
      <c r="ANV15" s="456"/>
      <c r="ANW15" s="456"/>
      <c r="ANX15" s="456"/>
      <c r="ANY15" s="456"/>
      <c r="ANZ15" s="456"/>
      <c r="AOA15" s="456"/>
      <c r="AOB15" s="456"/>
      <c r="AOC15" s="456"/>
      <c r="AOD15" s="456"/>
      <c r="AOE15" s="456"/>
      <c r="AOF15" s="456"/>
      <c r="AOG15" s="456"/>
      <c r="AOH15" s="456"/>
      <c r="AOI15" s="456"/>
      <c r="AOJ15" s="456"/>
      <c r="AOK15" s="456"/>
      <c r="AOL15" s="456"/>
      <c r="AOM15" s="456"/>
      <c r="AON15" s="456"/>
      <c r="AOO15" s="456"/>
      <c r="AOP15" s="456"/>
      <c r="AOQ15" s="456"/>
      <c r="AOR15" s="456"/>
      <c r="AOS15" s="456"/>
      <c r="AOT15" s="456"/>
      <c r="AOU15" s="456"/>
      <c r="AOV15" s="456"/>
      <c r="AOW15" s="456"/>
      <c r="AOX15" s="456"/>
      <c r="AOY15" s="456"/>
      <c r="AOZ15" s="456"/>
      <c r="APA15" s="456"/>
      <c r="APB15" s="456"/>
      <c r="APC15" s="456"/>
      <c r="APD15" s="456"/>
      <c r="APE15" s="456"/>
      <c r="APF15" s="456"/>
      <c r="APG15" s="456"/>
      <c r="APH15" s="456"/>
      <c r="API15" s="456"/>
      <c r="APJ15" s="456"/>
      <c r="APK15" s="456"/>
      <c r="APL15" s="456"/>
      <c r="APM15" s="456"/>
      <c r="APN15" s="456"/>
      <c r="APO15" s="456"/>
      <c r="APP15" s="456"/>
      <c r="APQ15" s="456"/>
      <c r="APR15" s="456"/>
      <c r="APS15" s="456"/>
      <c r="APT15" s="456"/>
      <c r="APU15" s="456"/>
      <c r="APV15" s="456"/>
      <c r="APW15" s="456"/>
      <c r="APX15" s="456"/>
      <c r="APY15" s="456"/>
      <c r="APZ15" s="456"/>
      <c r="AQA15" s="456"/>
      <c r="AQB15" s="456"/>
      <c r="AQC15" s="456"/>
      <c r="AQD15" s="456"/>
      <c r="AQE15" s="456"/>
      <c r="AQF15" s="456"/>
      <c r="AQG15" s="456"/>
      <c r="AQH15" s="456"/>
      <c r="AQI15" s="456"/>
      <c r="AQJ15" s="456"/>
      <c r="AQK15" s="456"/>
      <c r="AQL15" s="456"/>
      <c r="AQM15" s="456"/>
      <c r="AQN15" s="456"/>
      <c r="AQO15" s="456"/>
      <c r="AQP15" s="456"/>
      <c r="AQQ15" s="456"/>
      <c r="AQR15" s="456"/>
      <c r="AQS15" s="456"/>
      <c r="AQT15" s="456"/>
      <c r="AQU15" s="456"/>
      <c r="AQV15" s="456"/>
      <c r="AQW15" s="456"/>
      <c r="AQX15" s="456"/>
      <c r="AQY15" s="456"/>
      <c r="AQZ15" s="456"/>
      <c r="ARA15" s="456"/>
      <c r="ARB15" s="456"/>
      <c r="ARC15" s="456"/>
      <c r="ARD15" s="456"/>
      <c r="ARE15" s="456"/>
      <c r="ARF15" s="456"/>
      <c r="ARG15" s="456"/>
      <c r="ARH15" s="456"/>
      <c r="ARI15" s="456"/>
      <c r="ARJ15" s="456"/>
      <c r="ARK15" s="456"/>
      <c r="ARL15" s="456"/>
      <c r="ARM15" s="456"/>
      <c r="ARN15" s="456"/>
      <c r="ARO15" s="456"/>
      <c r="ARP15" s="456"/>
      <c r="ARQ15" s="456"/>
      <c r="ARR15" s="456"/>
      <c r="ARS15" s="456"/>
      <c r="ART15" s="456"/>
      <c r="ARU15" s="456"/>
      <c r="ARV15" s="456"/>
      <c r="ARW15" s="456"/>
      <c r="ARX15" s="456"/>
      <c r="ARY15" s="456"/>
      <c r="ARZ15" s="456"/>
      <c r="ASA15" s="456"/>
      <c r="ASB15" s="456"/>
      <c r="ASC15" s="456"/>
      <c r="ASD15" s="456"/>
      <c r="ASE15" s="456"/>
      <c r="ASF15" s="456"/>
      <c r="ASG15" s="456"/>
      <c r="ASH15" s="456"/>
      <c r="ASI15" s="456"/>
      <c r="ASJ15" s="456"/>
      <c r="ASK15" s="456"/>
      <c r="ASL15" s="456"/>
      <c r="ASM15" s="456"/>
      <c r="ASN15" s="456"/>
      <c r="ASO15" s="456"/>
      <c r="ASP15" s="456"/>
      <c r="ASQ15" s="456"/>
      <c r="ASR15" s="456"/>
      <c r="ASS15" s="456"/>
      <c r="AST15" s="456"/>
      <c r="ASU15" s="456"/>
      <c r="ASV15" s="456"/>
      <c r="ASW15" s="456"/>
      <c r="ASX15" s="456"/>
      <c r="ASY15" s="456"/>
      <c r="ASZ15" s="456"/>
      <c r="ATA15" s="456"/>
      <c r="ATB15" s="456"/>
      <c r="ATC15" s="456"/>
      <c r="ATD15" s="456"/>
      <c r="ATE15" s="456"/>
      <c r="ATF15" s="456"/>
      <c r="ATG15" s="456"/>
      <c r="ATH15" s="456"/>
      <c r="ATI15" s="456"/>
      <c r="ATJ15" s="456"/>
      <c r="ATK15" s="456"/>
      <c r="ATL15" s="456"/>
      <c r="ATM15" s="456"/>
      <c r="ATN15" s="456"/>
      <c r="ATO15" s="456"/>
      <c r="ATP15" s="456"/>
      <c r="ATQ15" s="456"/>
      <c r="ATR15" s="456"/>
      <c r="ATS15" s="456"/>
      <c r="ATT15" s="456"/>
      <c r="ATU15" s="456"/>
      <c r="ATV15" s="456"/>
      <c r="ATW15" s="456"/>
      <c r="ATX15" s="456"/>
      <c r="ATY15" s="456"/>
      <c r="ATZ15" s="456"/>
      <c r="AUA15" s="456"/>
      <c r="AUB15" s="456"/>
      <c r="AUC15" s="456"/>
      <c r="AUD15" s="456"/>
      <c r="AUE15" s="456"/>
      <c r="AUF15" s="456"/>
      <c r="AUG15" s="456"/>
      <c r="AUH15" s="456"/>
      <c r="AUI15" s="456"/>
      <c r="AUJ15" s="456"/>
      <c r="AUK15" s="456"/>
      <c r="AUL15" s="456"/>
      <c r="AUM15" s="456"/>
      <c r="AUN15" s="456"/>
      <c r="AUO15" s="456"/>
      <c r="AUP15" s="456"/>
      <c r="AUQ15" s="456"/>
      <c r="AUR15" s="456"/>
      <c r="AUS15" s="456"/>
      <c r="AUT15" s="456"/>
      <c r="AUU15" s="456"/>
      <c r="AUV15" s="456"/>
      <c r="AUW15" s="456"/>
      <c r="AUX15" s="456"/>
      <c r="AUY15" s="456"/>
      <c r="AUZ15" s="456"/>
      <c r="AVA15" s="456"/>
      <c r="AVB15" s="456"/>
      <c r="AVC15" s="456"/>
      <c r="AVD15" s="456"/>
      <c r="AVE15" s="456"/>
      <c r="AVF15" s="456"/>
      <c r="AVG15" s="456"/>
      <c r="AVH15" s="456"/>
      <c r="AVI15" s="456"/>
      <c r="AVJ15" s="456"/>
      <c r="AVK15" s="456"/>
      <c r="AVL15" s="456"/>
      <c r="AVM15" s="456"/>
      <c r="AVN15" s="456"/>
      <c r="AVO15" s="456"/>
      <c r="AVP15" s="456"/>
      <c r="AVQ15" s="456"/>
      <c r="AVR15" s="456"/>
      <c r="AVS15" s="456"/>
      <c r="AVT15" s="456"/>
      <c r="AVU15" s="456"/>
      <c r="AVV15" s="456"/>
      <c r="AVW15" s="456"/>
      <c r="AVX15" s="456"/>
      <c r="AVY15" s="456"/>
      <c r="AVZ15" s="456"/>
      <c r="AWA15" s="456"/>
      <c r="AWB15" s="456"/>
      <c r="AWC15" s="456"/>
      <c r="AWD15" s="456"/>
      <c r="AWE15" s="456"/>
      <c r="AWF15" s="456"/>
      <c r="AWG15" s="456"/>
      <c r="AWH15" s="456"/>
      <c r="AWI15" s="456"/>
      <c r="AWJ15" s="456"/>
      <c r="AWK15" s="456"/>
      <c r="AWL15" s="456"/>
      <c r="AWM15" s="456"/>
      <c r="AWN15" s="456"/>
      <c r="AWO15" s="456"/>
      <c r="AWP15" s="456"/>
      <c r="AWQ15" s="456"/>
      <c r="AWR15" s="456"/>
      <c r="AWS15" s="456"/>
      <c r="AWT15" s="456"/>
      <c r="AWU15" s="456"/>
      <c r="AWV15" s="456"/>
      <c r="AWW15" s="456"/>
      <c r="AWX15" s="456"/>
      <c r="AWY15" s="456"/>
      <c r="AWZ15" s="456"/>
      <c r="AXA15" s="456"/>
      <c r="AXB15" s="456"/>
      <c r="AXC15" s="456"/>
      <c r="AXD15" s="456"/>
      <c r="AXE15" s="456"/>
      <c r="AXF15" s="456"/>
      <c r="AXG15" s="456"/>
      <c r="AXH15" s="456"/>
      <c r="AXI15" s="456"/>
      <c r="AXJ15" s="456"/>
      <c r="AXK15" s="456"/>
      <c r="AXL15" s="456"/>
      <c r="AXM15" s="456"/>
      <c r="AXN15" s="456"/>
      <c r="AXO15" s="456"/>
      <c r="AXP15" s="456"/>
      <c r="AXQ15" s="456"/>
      <c r="AXR15" s="456"/>
      <c r="AXS15" s="456"/>
      <c r="AXT15" s="456"/>
      <c r="AXU15" s="456"/>
      <c r="AXV15" s="456"/>
      <c r="AXW15" s="456"/>
      <c r="AXX15" s="456"/>
      <c r="AXY15" s="456"/>
      <c r="AXZ15" s="456"/>
      <c r="AYA15" s="456"/>
      <c r="AYB15" s="456"/>
      <c r="AYC15" s="456"/>
      <c r="AYD15" s="456"/>
      <c r="AYE15" s="456"/>
      <c r="AYF15" s="456"/>
      <c r="AYG15" s="456"/>
      <c r="AYH15" s="456"/>
      <c r="AYI15" s="456"/>
      <c r="AYJ15" s="456"/>
      <c r="AYK15" s="456"/>
      <c r="AYL15" s="456"/>
      <c r="AYM15" s="456"/>
      <c r="AYN15" s="456"/>
      <c r="AYO15" s="456"/>
      <c r="AYP15" s="456"/>
      <c r="AYQ15" s="456"/>
      <c r="AYR15" s="456"/>
      <c r="AYS15" s="456"/>
      <c r="AYT15" s="456"/>
      <c r="AYU15" s="456"/>
      <c r="AYV15" s="456"/>
      <c r="AYW15" s="456"/>
      <c r="AYX15" s="456"/>
      <c r="AYY15" s="456"/>
      <c r="AYZ15" s="456"/>
      <c r="AZA15" s="456"/>
      <c r="AZB15" s="456"/>
      <c r="AZC15" s="456"/>
      <c r="AZD15" s="456"/>
      <c r="AZE15" s="456"/>
      <c r="AZF15" s="456"/>
      <c r="AZG15" s="456"/>
      <c r="AZH15" s="456"/>
      <c r="AZI15" s="456"/>
      <c r="AZJ15" s="456"/>
      <c r="AZK15" s="456"/>
      <c r="AZL15" s="456"/>
      <c r="AZM15" s="456"/>
      <c r="AZN15" s="456"/>
      <c r="AZO15" s="456"/>
      <c r="AZP15" s="456"/>
      <c r="AZQ15" s="456"/>
      <c r="AZR15" s="456"/>
      <c r="AZS15" s="456"/>
      <c r="AZT15" s="456"/>
      <c r="AZU15" s="456"/>
      <c r="AZV15" s="456"/>
      <c r="AZW15" s="456"/>
      <c r="AZX15" s="456"/>
      <c r="AZY15" s="456"/>
      <c r="AZZ15" s="456"/>
      <c r="BAA15" s="456"/>
      <c r="BAB15" s="456"/>
      <c r="BAC15" s="456"/>
      <c r="BAD15" s="456"/>
      <c r="BAE15" s="456"/>
      <c r="BAF15" s="456"/>
      <c r="BAG15" s="456"/>
      <c r="BAH15" s="456"/>
      <c r="BAI15" s="456"/>
      <c r="BAJ15" s="456"/>
      <c r="BAK15" s="456"/>
      <c r="BAL15" s="456"/>
      <c r="BAM15" s="456"/>
      <c r="BAN15" s="456"/>
      <c r="BAO15" s="456"/>
      <c r="BAP15" s="456"/>
      <c r="BAQ15" s="456"/>
      <c r="BAR15" s="456"/>
      <c r="BAS15" s="456"/>
      <c r="BAT15" s="456"/>
      <c r="BAU15" s="456"/>
      <c r="BAV15" s="456"/>
      <c r="BAW15" s="456"/>
      <c r="BAX15" s="456"/>
      <c r="BAY15" s="456"/>
      <c r="BAZ15" s="456"/>
      <c r="BBA15" s="456"/>
      <c r="BBB15" s="456"/>
      <c r="BBC15" s="456"/>
      <c r="BBD15" s="456"/>
      <c r="BBE15" s="456"/>
      <c r="BBF15" s="456"/>
      <c r="BBG15" s="456"/>
      <c r="BBH15" s="456"/>
      <c r="BBI15" s="456"/>
      <c r="BBJ15" s="456"/>
      <c r="BBK15" s="456"/>
      <c r="BBL15" s="456"/>
      <c r="BBM15" s="456"/>
      <c r="BBN15" s="456"/>
      <c r="BBO15" s="456"/>
      <c r="BBP15" s="456"/>
      <c r="BBQ15" s="456"/>
      <c r="BBR15" s="456"/>
      <c r="BBS15" s="456"/>
      <c r="BBT15" s="456"/>
      <c r="BBU15" s="456"/>
      <c r="BBV15" s="456"/>
      <c r="BBW15" s="456"/>
      <c r="BBX15" s="456"/>
      <c r="BBY15" s="456"/>
      <c r="BBZ15" s="456"/>
      <c r="BCA15" s="456"/>
      <c r="BCB15" s="456"/>
      <c r="BCC15" s="456"/>
      <c r="BCD15" s="456"/>
      <c r="BCE15" s="456"/>
      <c r="BCF15" s="456"/>
      <c r="BCG15" s="456"/>
      <c r="BCH15" s="456"/>
      <c r="BCI15" s="456"/>
      <c r="BCJ15" s="456"/>
      <c r="BCK15" s="456"/>
      <c r="BCL15" s="456"/>
      <c r="BCM15" s="456"/>
      <c r="BCN15" s="456"/>
      <c r="BCO15" s="456"/>
      <c r="BCP15" s="456"/>
      <c r="BCQ15" s="456"/>
      <c r="BCR15" s="456"/>
      <c r="BCS15" s="456"/>
      <c r="BCT15" s="456"/>
      <c r="BCU15" s="456"/>
      <c r="BCV15" s="456"/>
      <c r="BCW15" s="456"/>
      <c r="BCX15" s="456"/>
      <c r="BCY15" s="456"/>
      <c r="BCZ15" s="456"/>
      <c r="BDA15" s="456"/>
      <c r="BDB15" s="456"/>
      <c r="BDC15" s="456"/>
      <c r="BDD15" s="456"/>
      <c r="BDE15" s="456"/>
      <c r="BDF15" s="456"/>
      <c r="BDG15" s="456"/>
      <c r="BDH15" s="456"/>
      <c r="BDI15" s="456"/>
      <c r="BDJ15" s="456"/>
      <c r="BDK15" s="456"/>
      <c r="BDL15" s="456"/>
      <c r="BDM15" s="456"/>
      <c r="BDN15" s="456"/>
      <c r="BDO15" s="456"/>
      <c r="BDP15" s="456"/>
      <c r="BDQ15" s="456"/>
      <c r="BDR15" s="456"/>
      <c r="BDS15" s="456"/>
      <c r="BDT15" s="456"/>
      <c r="BDU15" s="456"/>
      <c r="BDV15" s="456"/>
      <c r="BDW15" s="456"/>
      <c r="BDX15" s="456"/>
      <c r="BDY15" s="456"/>
      <c r="BDZ15" s="456"/>
      <c r="BEA15" s="456"/>
      <c r="BEB15" s="456"/>
      <c r="BEC15" s="456"/>
      <c r="BED15" s="456"/>
      <c r="BEE15" s="456"/>
      <c r="BEF15" s="456"/>
      <c r="BEG15" s="456"/>
      <c r="BEH15" s="456"/>
      <c r="BEI15" s="456"/>
      <c r="BEJ15" s="456"/>
      <c r="BEK15" s="456"/>
      <c r="BEL15" s="456"/>
      <c r="BEM15" s="456"/>
      <c r="BEN15" s="456"/>
      <c r="BEO15" s="456"/>
      <c r="BEP15" s="456"/>
      <c r="BEQ15" s="456"/>
      <c r="BER15" s="456"/>
      <c r="BES15" s="456"/>
      <c r="BET15" s="456"/>
      <c r="BEU15" s="456"/>
      <c r="BEV15" s="456"/>
      <c r="BEW15" s="456"/>
      <c r="BEX15" s="456"/>
      <c r="BEY15" s="456"/>
      <c r="BEZ15" s="456"/>
      <c r="BFA15" s="456"/>
      <c r="BFB15" s="456"/>
      <c r="BFC15" s="456"/>
      <c r="BFD15" s="456"/>
      <c r="BFE15" s="456"/>
      <c r="BFF15" s="456"/>
      <c r="BFG15" s="456"/>
      <c r="BFH15" s="456"/>
      <c r="BFI15" s="456"/>
      <c r="BFJ15" s="456"/>
      <c r="BFK15" s="456"/>
      <c r="BFL15" s="456"/>
      <c r="BFM15" s="456"/>
      <c r="BFN15" s="456"/>
      <c r="BFO15" s="456"/>
      <c r="BFP15" s="456"/>
      <c r="BFQ15" s="456"/>
      <c r="BFR15" s="456"/>
      <c r="BFS15" s="456"/>
      <c r="BFT15" s="456"/>
      <c r="BFU15" s="456"/>
      <c r="BFV15" s="456"/>
      <c r="BFW15" s="456"/>
      <c r="BFX15" s="456"/>
      <c r="BFY15" s="456"/>
      <c r="BFZ15" s="456"/>
      <c r="BGA15" s="456"/>
      <c r="BGB15" s="456"/>
      <c r="BGC15" s="456"/>
      <c r="BGD15" s="456"/>
      <c r="BGE15" s="456"/>
      <c r="BGF15" s="456"/>
      <c r="BGG15" s="456"/>
      <c r="BGH15" s="456"/>
      <c r="BGI15" s="456"/>
      <c r="BGJ15" s="456"/>
      <c r="BGK15" s="456"/>
      <c r="BGL15" s="456"/>
      <c r="BGM15" s="456"/>
      <c r="BGN15" s="456"/>
      <c r="BGO15" s="456"/>
      <c r="BGP15" s="456"/>
      <c r="BGQ15" s="456"/>
      <c r="BGR15" s="456"/>
      <c r="BGS15" s="456"/>
      <c r="BGT15" s="456"/>
      <c r="BGU15" s="456"/>
      <c r="BGV15" s="456"/>
      <c r="BGW15" s="456"/>
      <c r="BGX15" s="456"/>
      <c r="BGY15" s="456"/>
      <c r="BGZ15" s="456"/>
      <c r="BHA15" s="456"/>
      <c r="BHB15" s="456"/>
      <c r="BHC15" s="456"/>
      <c r="BHD15" s="456"/>
      <c r="BHE15" s="456"/>
      <c r="BHF15" s="456"/>
      <c r="BHG15" s="456"/>
      <c r="BHH15" s="456"/>
      <c r="BHI15" s="456"/>
      <c r="BHJ15" s="456"/>
      <c r="BHK15" s="456"/>
      <c r="BHL15" s="456"/>
      <c r="BHM15" s="456"/>
      <c r="BHN15" s="456"/>
      <c r="BHO15" s="456"/>
      <c r="BHP15" s="456"/>
      <c r="BHQ15" s="456"/>
      <c r="BHR15" s="456"/>
      <c r="BHS15" s="456"/>
      <c r="BHT15" s="456"/>
      <c r="BHU15" s="456"/>
      <c r="BHV15" s="456"/>
      <c r="BHW15" s="456"/>
      <c r="BHX15" s="456"/>
      <c r="BHY15" s="456"/>
      <c r="BHZ15" s="456"/>
      <c r="BIA15" s="456"/>
      <c r="BIB15" s="456"/>
      <c r="BIC15" s="456"/>
      <c r="BID15" s="456"/>
      <c r="BIE15" s="456"/>
      <c r="BIF15" s="456"/>
      <c r="BIG15" s="456"/>
      <c r="BIH15" s="456"/>
      <c r="BII15" s="456"/>
      <c r="BIJ15" s="456"/>
      <c r="BIK15" s="456"/>
      <c r="BIL15" s="456"/>
      <c r="BIM15" s="456"/>
      <c r="BIN15" s="456"/>
      <c r="BIO15" s="456"/>
      <c r="BIP15" s="456"/>
      <c r="BIQ15" s="456"/>
      <c r="BIR15" s="456"/>
      <c r="BIS15" s="456"/>
      <c r="BIT15" s="456"/>
      <c r="BIU15" s="456"/>
      <c r="BIV15" s="456"/>
      <c r="BIW15" s="456"/>
      <c r="BIX15" s="456"/>
      <c r="BIY15" s="456"/>
      <c r="BIZ15" s="456"/>
      <c r="BJA15" s="456"/>
      <c r="BJB15" s="456"/>
      <c r="BJC15" s="456"/>
      <c r="BJD15" s="456"/>
      <c r="BJE15" s="456"/>
      <c r="BJF15" s="456"/>
      <c r="BJG15" s="456"/>
      <c r="BJH15" s="456"/>
      <c r="BJI15" s="456"/>
      <c r="BJJ15" s="456"/>
      <c r="BJK15" s="456"/>
      <c r="BJL15" s="456"/>
      <c r="BJM15" s="456"/>
      <c r="BJN15" s="456"/>
      <c r="BJO15" s="456"/>
      <c r="BJP15" s="456"/>
      <c r="BJQ15" s="456"/>
      <c r="BJR15" s="456"/>
      <c r="BJS15" s="456"/>
      <c r="BJT15" s="456"/>
      <c r="BJU15" s="456"/>
      <c r="BJV15" s="456"/>
      <c r="BJW15" s="456"/>
      <c r="BJX15" s="456"/>
      <c r="BJY15" s="456"/>
      <c r="BJZ15" s="456"/>
      <c r="BKA15" s="456"/>
      <c r="BKB15" s="456"/>
      <c r="BKC15" s="456"/>
      <c r="BKD15" s="456"/>
      <c r="BKE15" s="456"/>
      <c r="BKF15" s="456"/>
      <c r="BKG15" s="456"/>
      <c r="BKH15" s="456"/>
      <c r="BKI15" s="456"/>
      <c r="BKJ15" s="456"/>
      <c r="BKK15" s="456"/>
      <c r="BKL15" s="456"/>
      <c r="BKM15" s="456"/>
      <c r="BKN15" s="456"/>
      <c r="BKO15" s="456"/>
      <c r="BKP15" s="456"/>
      <c r="BKQ15" s="456"/>
      <c r="BKR15" s="456"/>
      <c r="BKS15" s="456"/>
      <c r="BKT15" s="456"/>
      <c r="BKU15" s="456"/>
      <c r="BKV15" s="456"/>
      <c r="BKW15" s="456"/>
      <c r="BKX15" s="456"/>
      <c r="BKY15" s="456"/>
      <c r="BKZ15" s="456"/>
      <c r="BLA15" s="456"/>
      <c r="BLB15" s="456"/>
      <c r="BLC15" s="456"/>
      <c r="BLD15" s="456"/>
      <c r="BLE15" s="456"/>
      <c r="BLF15" s="456"/>
      <c r="BLG15" s="456"/>
      <c r="BLH15" s="456"/>
      <c r="BLI15" s="456"/>
      <c r="BLJ15" s="456"/>
      <c r="BLK15" s="456"/>
      <c r="BLL15" s="456"/>
      <c r="BLM15" s="456"/>
      <c r="BLN15" s="456"/>
      <c r="BLO15" s="456"/>
      <c r="BLP15" s="456"/>
      <c r="BLQ15" s="456"/>
      <c r="BLR15" s="456"/>
      <c r="BLS15" s="456"/>
      <c r="BLT15" s="456"/>
      <c r="BLU15" s="456"/>
      <c r="BLV15" s="456"/>
      <c r="BLW15" s="456"/>
      <c r="BLX15" s="456"/>
      <c r="BLY15" s="456"/>
      <c r="BLZ15" s="456"/>
      <c r="BMA15" s="456"/>
      <c r="BMB15" s="456"/>
      <c r="BMC15" s="456"/>
      <c r="BMD15" s="456"/>
      <c r="BME15" s="456"/>
      <c r="BMF15" s="456"/>
      <c r="BMG15" s="456"/>
      <c r="BMH15" s="456"/>
      <c r="BMI15" s="456"/>
      <c r="BMJ15" s="456"/>
      <c r="BMK15" s="456"/>
      <c r="BML15" s="456"/>
      <c r="BMM15" s="456"/>
      <c r="BMN15" s="456"/>
      <c r="BMO15" s="456"/>
      <c r="BMP15" s="456"/>
      <c r="BMQ15" s="456"/>
      <c r="BMR15" s="456"/>
      <c r="BMS15" s="456"/>
      <c r="BMT15" s="456"/>
      <c r="BMU15" s="456"/>
      <c r="BMV15" s="456"/>
      <c r="BMW15" s="456"/>
      <c r="BMX15" s="456"/>
      <c r="BMY15" s="456"/>
      <c r="BMZ15" s="456"/>
      <c r="BNA15" s="456"/>
      <c r="BNB15" s="456"/>
      <c r="BNC15" s="456"/>
      <c r="BND15" s="456"/>
      <c r="BNE15" s="456"/>
      <c r="BNF15" s="456"/>
      <c r="BNG15" s="456"/>
      <c r="BNH15" s="456"/>
      <c r="BNI15" s="456"/>
      <c r="BNJ15" s="456"/>
      <c r="BNK15" s="456"/>
      <c r="BNL15" s="456"/>
      <c r="BNM15" s="456"/>
      <c r="BNN15" s="456"/>
      <c r="BNO15" s="456"/>
      <c r="BNP15" s="456"/>
      <c r="BNQ15" s="456"/>
      <c r="BNR15" s="456"/>
      <c r="BNS15" s="456"/>
      <c r="BNT15" s="456"/>
      <c r="BNU15" s="456"/>
      <c r="BNV15" s="456"/>
      <c r="BNW15" s="456"/>
      <c r="BNX15" s="456"/>
      <c r="BNY15" s="456"/>
      <c r="BNZ15" s="456"/>
      <c r="BOA15" s="456"/>
      <c r="BOB15" s="456"/>
      <c r="BOC15" s="456"/>
      <c r="BOD15" s="456"/>
      <c r="BOE15" s="456"/>
      <c r="BOF15" s="456"/>
      <c r="BOG15" s="456"/>
      <c r="BOH15" s="456"/>
      <c r="BOI15" s="456"/>
      <c r="BOJ15" s="456"/>
      <c r="BOK15" s="456"/>
      <c r="BOL15" s="456"/>
      <c r="BOM15" s="456"/>
      <c r="BON15" s="456"/>
      <c r="BOO15" s="456"/>
      <c r="BOP15" s="456"/>
      <c r="BOQ15" s="456"/>
      <c r="BOR15" s="456"/>
      <c r="BOS15" s="456"/>
      <c r="BOT15" s="456"/>
      <c r="BOU15" s="456"/>
      <c r="BOV15" s="456"/>
      <c r="BOW15" s="456"/>
      <c r="BOX15" s="456"/>
      <c r="BOY15" s="456"/>
      <c r="BOZ15" s="456"/>
      <c r="BPA15" s="456"/>
      <c r="BPB15" s="456"/>
      <c r="BPC15" s="456"/>
      <c r="BPD15" s="456"/>
      <c r="BPE15" s="456"/>
      <c r="BPF15" s="456"/>
      <c r="BPG15" s="456"/>
      <c r="BPH15" s="456"/>
      <c r="BPI15" s="456"/>
      <c r="BPJ15" s="456"/>
      <c r="BPK15" s="456"/>
      <c r="BPL15" s="456"/>
      <c r="BPM15" s="456"/>
      <c r="BPN15" s="456"/>
      <c r="BPO15" s="456"/>
      <c r="BPP15" s="456"/>
      <c r="BPQ15" s="456"/>
      <c r="BPR15" s="456"/>
      <c r="BPS15" s="456"/>
      <c r="BPT15" s="456"/>
      <c r="BPU15" s="456"/>
      <c r="BPV15" s="456"/>
      <c r="BPW15" s="456"/>
      <c r="BPX15" s="456"/>
      <c r="BPY15" s="456"/>
      <c r="BPZ15" s="456"/>
      <c r="BQA15" s="456"/>
      <c r="BQB15" s="456"/>
      <c r="BQC15" s="456"/>
      <c r="BQD15" s="456"/>
      <c r="BQE15" s="456"/>
      <c r="BQF15" s="456"/>
      <c r="BQG15" s="456"/>
      <c r="BQH15" s="456"/>
      <c r="BQI15" s="456"/>
      <c r="BQJ15" s="456"/>
      <c r="BQK15" s="456"/>
      <c r="BQL15" s="456"/>
      <c r="BQM15" s="456"/>
      <c r="BQN15" s="456"/>
      <c r="BQO15" s="456"/>
      <c r="BQP15" s="456"/>
      <c r="BQQ15" s="456"/>
      <c r="BQR15" s="456"/>
      <c r="BQS15" s="456"/>
      <c r="BQT15" s="456"/>
      <c r="BQU15" s="456"/>
      <c r="BQV15" s="456"/>
      <c r="BQW15" s="456"/>
      <c r="BQX15" s="456"/>
      <c r="BQY15" s="456"/>
      <c r="BQZ15" s="456"/>
      <c r="BRA15" s="456"/>
      <c r="BRB15" s="456"/>
      <c r="BRC15" s="456"/>
      <c r="BRD15" s="456"/>
      <c r="BRE15" s="456"/>
      <c r="BRF15" s="456"/>
      <c r="BRG15" s="456"/>
      <c r="BRH15" s="456"/>
      <c r="BRI15" s="456"/>
      <c r="BRJ15" s="456"/>
      <c r="BRK15" s="456"/>
      <c r="BRL15" s="456"/>
      <c r="BRM15" s="456"/>
      <c r="BRN15" s="456"/>
      <c r="BRO15" s="456"/>
      <c r="BRP15" s="456"/>
      <c r="BRQ15" s="456"/>
      <c r="BRR15" s="456"/>
      <c r="BRS15" s="456"/>
      <c r="BRT15" s="456"/>
      <c r="BRU15" s="456"/>
      <c r="BRV15" s="456"/>
      <c r="BRW15" s="456"/>
      <c r="BRX15" s="456"/>
      <c r="BRY15" s="456"/>
      <c r="BRZ15" s="456"/>
      <c r="BSA15" s="456"/>
      <c r="BSB15" s="456"/>
      <c r="BSC15" s="456"/>
      <c r="BSD15" s="456"/>
      <c r="BSE15" s="456"/>
      <c r="BSF15" s="456"/>
      <c r="BSG15" s="456"/>
      <c r="BSH15" s="456"/>
      <c r="BSI15" s="456"/>
      <c r="BSJ15" s="456"/>
      <c r="BSK15" s="456"/>
      <c r="BSL15" s="456"/>
      <c r="BSM15" s="456"/>
      <c r="BSN15" s="456"/>
      <c r="BSO15" s="456"/>
      <c r="BSP15" s="456"/>
      <c r="BSQ15" s="456"/>
      <c r="BSR15" s="456"/>
      <c r="BSS15" s="456"/>
      <c r="BST15" s="456"/>
      <c r="BSU15" s="456"/>
      <c r="BSV15" s="456"/>
      <c r="BSW15" s="456"/>
      <c r="BSX15" s="456"/>
      <c r="BSY15" s="456"/>
      <c r="BSZ15" s="456"/>
      <c r="BTA15" s="456"/>
      <c r="BTB15" s="456"/>
      <c r="BTC15" s="456"/>
      <c r="BTD15" s="456"/>
      <c r="BTE15" s="456"/>
      <c r="BTF15" s="456"/>
      <c r="BTG15" s="456"/>
      <c r="BTH15" s="456"/>
      <c r="BTI15" s="456"/>
      <c r="BTJ15" s="456"/>
      <c r="BTK15" s="456"/>
      <c r="BTL15" s="456"/>
      <c r="BTM15" s="456"/>
      <c r="BTN15" s="456"/>
      <c r="BTO15" s="456"/>
      <c r="BTP15" s="456"/>
      <c r="BTQ15" s="456"/>
      <c r="BTR15" s="456"/>
      <c r="BTS15" s="456"/>
      <c r="BTT15" s="456"/>
      <c r="BTU15" s="456"/>
      <c r="BTV15" s="456"/>
      <c r="BTW15" s="456"/>
      <c r="BTX15" s="456"/>
      <c r="BTY15" s="456"/>
      <c r="BTZ15" s="456"/>
      <c r="BUA15" s="456"/>
      <c r="BUB15" s="456"/>
      <c r="BUC15" s="456"/>
      <c r="BUD15" s="456"/>
      <c r="BUE15" s="456"/>
      <c r="BUF15" s="456"/>
      <c r="BUG15" s="456"/>
      <c r="BUH15" s="456"/>
      <c r="BUI15" s="456"/>
      <c r="BUJ15" s="456"/>
      <c r="BUK15" s="456"/>
      <c r="BUL15" s="456"/>
      <c r="BUM15" s="456"/>
      <c r="BUN15" s="456"/>
      <c r="BUO15" s="456"/>
      <c r="BUP15" s="456"/>
      <c r="BUQ15" s="456"/>
      <c r="BUR15" s="456"/>
      <c r="BUS15" s="456"/>
      <c r="BUT15" s="456"/>
      <c r="BUU15" s="456"/>
      <c r="BUV15" s="456"/>
      <c r="BUW15" s="456"/>
      <c r="BUX15" s="456"/>
      <c r="BUY15" s="456"/>
      <c r="BUZ15" s="456"/>
      <c r="BVA15" s="456"/>
      <c r="BVB15" s="456"/>
      <c r="BVC15" s="456"/>
      <c r="BVD15" s="456"/>
      <c r="BVE15" s="456"/>
      <c r="BVF15" s="456"/>
      <c r="BVG15" s="456"/>
      <c r="BVH15" s="456"/>
      <c r="BVI15" s="456"/>
      <c r="BVJ15" s="456"/>
      <c r="BVK15" s="456"/>
      <c r="BVL15" s="456"/>
      <c r="BVM15" s="456"/>
      <c r="BVN15" s="456"/>
      <c r="BVO15" s="456"/>
      <c r="BVP15" s="456"/>
      <c r="BVQ15" s="456"/>
      <c r="BVR15" s="456"/>
      <c r="BVS15" s="456"/>
      <c r="BVT15" s="456"/>
      <c r="BVU15" s="456"/>
      <c r="BVV15" s="456"/>
      <c r="BVW15" s="456"/>
      <c r="BVX15" s="456"/>
      <c r="BVY15" s="456"/>
      <c r="BVZ15" s="456"/>
      <c r="BWA15" s="456"/>
      <c r="BWB15" s="456"/>
      <c r="BWC15" s="456"/>
      <c r="BWD15" s="456"/>
      <c r="BWE15" s="456"/>
      <c r="BWF15" s="456"/>
      <c r="BWG15" s="456"/>
      <c r="BWH15" s="456"/>
      <c r="BWI15" s="456"/>
      <c r="BWJ15" s="456"/>
      <c r="BWK15" s="456"/>
      <c r="BWL15" s="456"/>
      <c r="BWM15" s="456"/>
      <c r="BWN15" s="456"/>
      <c r="BWO15" s="456"/>
      <c r="BWP15" s="456"/>
      <c r="BWQ15" s="456"/>
      <c r="BWR15" s="456"/>
      <c r="BWS15" s="456"/>
      <c r="BWT15" s="456"/>
      <c r="BWU15" s="456"/>
      <c r="BWV15" s="456"/>
      <c r="BWW15" s="456"/>
      <c r="BWX15" s="456"/>
      <c r="BWY15" s="456"/>
      <c r="BWZ15" s="456"/>
      <c r="BXA15" s="456"/>
      <c r="BXB15" s="456"/>
      <c r="BXC15" s="456"/>
      <c r="BXD15" s="456"/>
      <c r="BXE15" s="456"/>
      <c r="BXF15" s="456"/>
      <c r="BXG15" s="456"/>
      <c r="BXH15" s="456"/>
      <c r="BXI15" s="456"/>
      <c r="BXJ15" s="456"/>
      <c r="BXK15" s="456"/>
      <c r="BXL15" s="456"/>
      <c r="BXM15" s="456"/>
      <c r="BXN15" s="456"/>
      <c r="BXO15" s="456"/>
      <c r="BXP15" s="456"/>
      <c r="BXQ15" s="456"/>
      <c r="BXR15" s="456"/>
      <c r="BXS15" s="456"/>
      <c r="BXT15" s="456"/>
      <c r="BXU15" s="456"/>
      <c r="BXV15" s="456"/>
      <c r="BXW15" s="456"/>
      <c r="BXX15" s="456"/>
      <c r="BXY15" s="456"/>
      <c r="BXZ15" s="456"/>
    </row>
    <row r="16" s="25" customFormat="1" ht="15.6" spans="1:1024 1025:2002">
      <c r="A16" s="473" t="s">
        <v>34</v>
      </c>
      <c r="B16" s="19">
        <v>1112</v>
      </c>
      <c r="C16" s="183">
        <v>46134</v>
      </c>
      <c r="D16" s="17" t="s">
        <v>52</v>
      </c>
      <c r="E16" s="17" t="s">
        <v>53</v>
      </c>
      <c r="F16" s="17" t="s">
        <v>54</v>
      </c>
      <c r="G16" s="17"/>
      <c r="H16" s="19" t="s">
        <v>55</v>
      </c>
      <c r="I16" s="102" t="s">
        <v>56</v>
      </c>
      <c r="J16" s="17" t="s">
        <v>49</v>
      </c>
      <c r="K16" s="19">
        <v>710</v>
      </c>
      <c r="L16" s="19">
        <v>290</v>
      </c>
      <c r="M16" s="19">
        <v>5800</v>
      </c>
      <c r="N16" s="19" t="s">
        <v>40</v>
      </c>
      <c r="O16" s="19" t="s">
        <v>50</v>
      </c>
      <c r="P16" s="19">
        <v>4550</v>
      </c>
      <c r="Q16" s="19">
        <v>5002</v>
      </c>
      <c r="R16" s="19">
        <f t="shared" si="0"/>
        <v>-452</v>
      </c>
      <c r="S16" s="311">
        <v>2040</v>
      </c>
      <c r="T16" s="19" t="s">
        <v>42</v>
      </c>
      <c r="U16" s="102" t="s">
        <v>57</v>
      </c>
      <c r="V16" s="186">
        <v>46139</v>
      </c>
      <c r="W16" s="17" t="s">
        <v>58</v>
      </c>
      <c r="X16" s="17"/>
      <c r="Y16" s="68">
        <v>46174</v>
      </c>
      <c r="Z16" s="17" t="s">
        <v>45</v>
      </c>
      <c r="AA16" s="17" t="s">
        <v>46</v>
      </c>
      <c r="AB16" s="17" t="s">
        <v>62</v>
      </c>
      <c r="AC16" s="217">
        <v>46202</v>
      </c>
      <c r="AD16" s="65">
        <v>1832</v>
      </c>
      <c r="AE16" s="17" t="s">
        <v>48</v>
      </c>
      <c r="AF16" s="17" t="s">
        <v>61</v>
      </c>
      <c r="AG16" s="17"/>
      <c r="AH16" s="456"/>
      <c r="AI16" s="456"/>
      <c r="AJ16" s="456"/>
      <c r="AK16" s="456"/>
      <c r="AL16" s="456"/>
      <c r="AM16" s="456"/>
      <c r="AN16" s="456"/>
      <c r="AO16" s="456"/>
      <c r="AP16" s="456"/>
      <c r="AQ16" s="456"/>
      <c r="AR16" s="456"/>
      <c r="AS16" s="456"/>
      <c r="AT16" s="456"/>
      <c r="AU16" s="456"/>
      <c r="AV16" s="456"/>
      <c r="AW16" s="456"/>
      <c r="AX16" s="456"/>
      <c r="AY16" s="456"/>
      <c r="AZ16" s="456"/>
      <c r="BA16" s="456"/>
      <c r="BB16" s="456"/>
      <c r="BC16" s="456"/>
      <c r="BD16" s="456"/>
      <c r="BE16" s="456"/>
      <c r="BF16" s="456"/>
      <c r="BG16" s="456"/>
      <c r="BH16" s="456"/>
      <c r="BI16" s="456"/>
      <c r="BJ16" s="456"/>
      <c r="BK16" s="456"/>
      <c r="BL16" s="456"/>
      <c r="BM16" s="456"/>
      <c r="BN16" s="456"/>
      <c r="BO16" s="456"/>
      <c r="BP16" s="456"/>
      <c r="BQ16" s="456"/>
      <c r="BR16" s="456"/>
      <c r="BS16" s="456"/>
      <c r="BT16" s="456"/>
      <c r="BU16" s="456"/>
      <c r="BV16" s="456"/>
      <c r="BW16" s="456"/>
      <c r="BX16" s="456"/>
      <c r="BY16" s="456"/>
      <c r="BZ16" s="456"/>
      <c r="CA16" s="456"/>
      <c r="CB16" s="456"/>
      <c r="CC16" s="456"/>
      <c r="CD16" s="456"/>
      <c r="CE16" s="456"/>
      <c r="CF16" s="456"/>
      <c r="CG16" s="456"/>
      <c r="CH16" s="456"/>
      <c r="CI16" s="456"/>
      <c r="CJ16" s="456"/>
      <c r="CK16" s="456"/>
      <c r="CL16" s="456"/>
      <c r="CM16" s="456"/>
      <c r="CN16" s="456"/>
      <c r="CO16" s="456"/>
      <c r="CP16" s="456"/>
      <c r="CQ16" s="456"/>
      <c r="CR16" s="456"/>
      <c r="CS16" s="456"/>
      <c r="CT16" s="456"/>
      <c r="CU16" s="456"/>
      <c r="CV16" s="456"/>
      <c r="CW16" s="456"/>
      <c r="CX16" s="456"/>
      <c r="CY16" s="456"/>
      <c r="CZ16" s="456"/>
      <c r="DA16" s="456"/>
      <c r="DB16" s="456"/>
      <c r="DC16" s="456"/>
      <c r="DD16" s="456"/>
      <c r="DE16" s="456"/>
      <c r="DF16" s="456"/>
      <c r="DG16" s="456"/>
      <c r="DH16" s="456"/>
      <c r="DI16" s="456"/>
      <c r="DJ16" s="456"/>
      <c r="DK16" s="456"/>
      <c r="DL16" s="456"/>
      <c r="DM16" s="456"/>
      <c r="DN16" s="456"/>
      <c r="DO16" s="456"/>
      <c r="DP16" s="456"/>
      <c r="DQ16" s="456"/>
      <c r="DR16" s="456"/>
      <c r="DS16" s="456"/>
      <c r="DT16" s="456"/>
      <c r="DU16" s="456"/>
      <c r="DV16" s="456"/>
      <c r="DW16" s="456"/>
      <c r="DX16" s="456"/>
      <c r="DY16" s="456"/>
      <c r="DZ16" s="456"/>
      <c r="EA16" s="456"/>
      <c r="EB16" s="456"/>
      <c r="EC16" s="456"/>
      <c r="ED16" s="456"/>
      <c r="EE16" s="456"/>
      <c r="EF16" s="456"/>
      <c r="EG16" s="456"/>
      <c r="EH16" s="456"/>
      <c r="EI16" s="456"/>
      <c r="EJ16" s="456"/>
      <c r="EK16" s="456"/>
      <c r="EL16" s="456"/>
      <c r="EM16" s="456"/>
      <c r="EN16" s="456"/>
      <c r="EO16" s="456"/>
      <c r="EP16" s="456"/>
      <c r="EQ16" s="456"/>
      <c r="ER16" s="456"/>
      <c r="ES16" s="456"/>
      <c r="ET16" s="456"/>
      <c r="EU16" s="456"/>
      <c r="EV16" s="456"/>
      <c r="EW16" s="456"/>
      <c r="EX16" s="456"/>
      <c r="EY16" s="456"/>
      <c r="EZ16" s="456"/>
      <c r="FA16" s="456"/>
      <c r="FB16" s="456"/>
      <c r="FC16" s="456"/>
      <c r="FD16" s="456"/>
      <c r="FE16" s="456"/>
      <c r="FF16" s="456"/>
      <c r="FG16" s="456"/>
      <c r="FH16" s="456"/>
      <c r="FI16" s="456"/>
      <c r="FJ16" s="456"/>
      <c r="FK16" s="456"/>
      <c r="FL16" s="456"/>
      <c r="FM16" s="456"/>
      <c r="FN16" s="456"/>
      <c r="FO16" s="456"/>
      <c r="FP16" s="456"/>
      <c r="FQ16" s="456"/>
      <c r="FR16" s="456"/>
      <c r="FS16" s="456"/>
      <c r="FT16" s="456"/>
      <c r="FU16" s="456"/>
      <c r="FV16" s="456"/>
      <c r="FW16" s="456"/>
      <c r="FX16" s="456"/>
      <c r="FY16" s="456"/>
      <c r="FZ16" s="456"/>
      <c r="GA16" s="456"/>
      <c r="GB16" s="456"/>
      <c r="GC16" s="456"/>
      <c r="GD16" s="456"/>
      <c r="GE16" s="456"/>
      <c r="GF16" s="456"/>
      <c r="GG16" s="456"/>
      <c r="GH16" s="456"/>
      <c r="GI16" s="456"/>
      <c r="GJ16" s="456"/>
      <c r="GK16" s="456"/>
      <c r="GL16" s="456"/>
      <c r="GM16" s="456"/>
      <c r="GN16" s="456"/>
      <c r="GO16" s="456"/>
      <c r="GP16" s="456"/>
      <c r="GQ16" s="456"/>
      <c r="GR16" s="456"/>
      <c r="GS16" s="456"/>
      <c r="GT16" s="456"/>
      <c r="GU16" s="456"/>
      <c r="GV16" s="456"/>
      <c r="GW16" s="456"/>
      <c r="GX16" s="456"/>
      <c r="GY16" s="456"/>
      <c r="GZ16" s="456"/>
      <c r="HA16" s="456"/>
      <c r="HB16" s="456"/>
      <c r="HC16" s="456"/>
      <c r="HD16" s="456"/>
      <c r="HE16" s="456"/>
      <c r="HF16" s="456"/>
      <c r="HG16" s="456"/>
      <c r="HH16" s="456"/>
      <c r="HI16" s="456"/>
      <c r="HJ16" s="456"/>
      <c r="HK16" s="456"/>
      <c r="HL16" s="456"/>
      <c r="HM16" s="456"/>
      <c r="HN16" s="456"/>
      <c r="HO16" s="456"/>
      <c r="HP16" s="456"/>
      <c r="HQ16" s="456"/>
      <c r="HR16" s="456"/>
      <c r="HS16" s="456"/>
      <c r="HT16" s="456"/>
      <c r="HU16" s="456"/>
      <c r="HV16" s="456"/>
      <c r="HW16" s="456"/>
      <c r="HX16" s="456"/>
      <c r="HY16" s="456"/>
      <c r="HZ16" s="456"/>
      <c r="IA16" s="456"/>
      <c r="IB16" s="456"/>
      <c r="IC16" s="456"/>
      <c r="ID16" s="456"/>
      <c r="IE16" s="456"/>
      <c r="IF16" s="456"/>
      <c r="IG16" s="456"/>
      <c r="IH16" s="456"/>
      <c r="II16" s="456"/>
      <c r="IJ16" s="456"/>
      <c r="IK16" s="456"/>
      <c r="IL16" s="456"/>
      <c r="IM16" s="456"/>
      <c r="IN16" s="456"/>
      <c r="IO16" s="456"/>
      <c r="IP16" s="456"/>
      <c r="IQ16" s="456"/>
      <c r="IR16" s="456"/>
      <c r="IS16" s="456"/>
      <c r="IT16" s="456"/>
      <c r="IU16" s="456"/>
      <c r="IV16" s="456"/>
      <c r="IW16" s="456"/>
      <c r="IX16" s="456"/>
      <c r="IY16" s="456"/>
      <c r="IZ16" s="456"/>
      <c r="JA16" s="456"/>
      <c r="JB16" s="456"/>
      <c r="JC16" s="456"/>
      <c r="JD16" s="456"/>
      <c r="JE16" s="456"/>
      <c r="JF16" s="456"/>
      <c r="JG16" s="456"/>
      <c r="JH16" s="456"/>
      <c r="JI16" s="456"/>
      <c r="JJ16" s="456"/>
      <c r="JK16" s="456"/>
      <c r="JL16" s="456"/>
      <c r="JM16" s="456"/>
      <c r="JN16" s="456"/>
      <c r="JO16" s="456"/>
      <c r="JP16" s="456"/>
      <c r="JQ16" s="456"/>
      <c r="JR16" s="456"/>
      <c r="JS16" s="456"/>
      <c r="JT16" s="456"/>
      <c r="JU16" s="456"/>
      <c r="JV16" s="456"/>
      <c r="JW16" s="456"/>
      <c r="JX16" s="456"/>
      <c r="JY16" s="456"/>
      <c r="JZ16" s="456"/>
      <c r="KA16" s="456"/>
      <c r="KB16" s="456"/>
      <c r="KC16" s="456"/>
      <c r="KD16" s="456"/>
      <c r="KE16" s="456"/>
      <c r="KF16" s="456"/>
      <c r="KG16" s="456"/>
      <c r="KH16" s="456"/>
      <c r="KI16" s="456"/>
      <c r="KJ16" s="456"/>
      <c r="KK16" s="456"/>
      <c r="KL16" s="456"/>
      <c r="KM16" s="456"/>
      <c r="KN16" s="456"/>
      <c r="KO16" s="456"/>
      <c r="KP16" s="456"/>
      <c r="KQ16" s="456"/>
      <c r="KR16" s="456"/>
      <c r="KS16" s="456"/>
      <c r="KT16" s="456"/>
      <c r="KU16" s="456"/>
      <c r="KV16" s="456"/>
      <c r="KW16" s="456"/>
      <c r="KX16" s="456"/>
      <c r="KY16" s="456"/>
      <c r="KZ16" s="456"/>
      <c r="LA16" s="456"/>
      <c r="LB16" s="456"/>
      <c r="LC16" s="456"/>
      <c r="LD16" s="456"/>
      <c r="LE16" s="456"/>
      <c r="LF16" s="456"/>
      <c r="LG16" s="456"/>
      <c r="LH16" s="456"/>
      <c r="LI16" s="456"/>
      <c r="LJ16" s="456"/>
      <c r="LK16" s="456"/>
      <c r="LL16" s="456"/>
      <c r="LM16" s="456"/>
      <c r="LN16" s="456"/>
      <c r="LO16" s="456"/>
      <c r="LP16" s="456"/>
      <c r="LQ16" s="456"/>
      <c r="LR16" s="456"/>
      <c r="LS16" s="456"/>
      <c r="LT16" s="456"/>
      <c r="LU16" s="456"/>
      <c r="LV16" s="456"/>
      <c r="LW16" s="456"/>
      <c r="LX16" s="456"/>
      <c r="LY16" s="456"/>
      <c r="LZ16" s="456"/>
      <c r="MA16" s="456"/>
      <c r="MB16" s="456"/>
      <c r="MC16" s="456"/>
      <c r="MD16" s="456"/>
      <c r="ME16" s="456"/>
      <c r="MF16" s="456"/>
      <c r="MG16" s="456"/>
      <c r="MH16" s="456"/>
      <c r="MI16" s="456"/>
      <c r="MJ16" s="456"/>
      <c r="MK16" s="456"/>
      <c r="ML16" s="456"/>
      <c r="MM16" s="456"/>
      <c r="MN16" s="456"/>
      <c r="MO16" s="456"/>
      <c r="MP16" s="456"/>
      <c r="MQ16" s="456"/>
      <c r="MR16" s="456"/>
      <c r="MS16" s="456"/>
      <c r="MT16" s="456"/>
      <c r="MU16" s="456"/>
      <c r="MV16" s="456"/>
      <c r="MW16" s="456"/>
      <c r="MX16" s="456"/>
      <c r="MY16" s="456"/>
      <c r="MZ16" s="456"/>
      <c r="NA16" s="456"/>
      <c r="NB16" s="456"/>
      <c r="NC16" s="456"/>
      <c r="ND16" s="456"/>
      <c r="NE16" s="456"/>
      <c r="NF16" s="456"/>
      <c r="NG16" s="456"/>
      <c r="NH16" s="456"/>
      <c r="NI16" s="456"/>
      <c r="NJ16" s="456"/>
      <c r="NK16" s="456"/>
      <c r="NL16" s="456"/>
      <c r="NM16" s="456"/>
      <c r="NN16" s="456"/>
      <c r="NO16" s="456"/>
      <c r="NP16" s="456"/>
      <c r="NQ16" s="456"/>
      <c r="NR16" s="456"/>
      <c r="NS16" s="456"/>
      <c r="NT16" s="456"/>
      <c r="NU16" s="456"/>
      <c r="NV16" s="456"/>
      <c r="NW16" s="456"/>
      <c r="NX16" s="456"/>
      <c r="NY16" s="456"/>
      <c r="NZ16" s="456"/>
      <c r="OA16" s="456"/>
      <c r="OB16" s="456"/>
      <c r="OC16" s="456"/>
      <c r="OD16" s="456"/>
      <c r="OE16" s="456"/>
      <c r="OF16" s="456"/>
      <c r="OG16" s="456"/>
      <c r="OH16" s="456"/>
      <c r="OI16" s="456"/>
      <c r="OJ16" s="456"/>
      <c r="OK16" s="456"/>
      <c r="OL16" s="456"/>
      <c r="OM16" s="456"/>
      <c r="ON16" s="456"/>
      <c r="OO16" s="456"/>
      <c r="OP16" s="456"/>
      <c r="OQ16" s="456"/>
      <c r="OR16" s="456"/>
      <c r="OS16" s="456"/>
      <c r="OT16" s="456"/>
      <c r="OU16" s="456"/>
      <c r="OV16" s="456"/>
      <c r="OW16" s="456"/>
      <c r="OX16" s="456"/>
      <c r="OY16" s="456"/>
      <c r="OZ16" s="456"/>
      <c r="PA16" s="456"/>
      <c r="PB16" s="456"/>
      <c r="PC16" s="456"/>
      <c r="PD16" s="456"/>
      <c r="PE16" s="456"/>
      <c r="PF16" s="456"/>
      <c r="PG16" s="456"/>
      <c r="PH16" s="456"/>
      <c r="PI16" s="456"/>
      <c r="PJ16" s="456"/>
      <c r="PK16" s="456"/>
      <c r="PL16" s="456"/>
      <c r="PM16" s="456"/>
      <c r="PN16" s="456"/>
      <c r="PO16" s="456"/>
      <c r="PP16" s="456"/>
      <c r="PQ16" s="456"/>
      <c r="PR16" s="456"/>
      <c r="PS16" s="456"/>
      <c r="PT16" s="456"/>
      <c r="PU16" s="456"/>
      <c r="PV16" s="456"/>
      <c r="PW16" s="456"/>
      <c r="PX16" s="456"/>
      <c r="PY16" s="456"/>
      <c r="PZ16" s="456"/>
      <c r="QA16" s="456"/>
      <c r="QB16" s="456"/>
      <c r="QC16" s="456"/>
      <c r="QD16" s="456"/>
      <c r="QE16" s="456"/>
      <c r="QF16" s="456"/>
      <c r="QG16" s="456"/>
      <c r="QH16" s="456"/>
      <c r="QI16" s="456"/>
      <c r="QJ16" s="456"/>
      <c r="QK16" s="456"/>
      <c r="QL16" s="456"/>
      <c r="QM16" s="456"/>
      <c r="QN16" s="456"/>
      <c r="QO16" s="456"/>
      <c r="QP16" s="456"/>
      <c r="QQ16" s="456"/>
      <c r="QR16" s="456"/>
      <c r="QS16" s="456"/>
      <c r="QT16" s="456"/>
      <c r="QU16" s="456"/>
      <c r="QV16" s="456"/>
      <c r="QW16" s="456"/>
      <c r="QX16" s="456"/>
      <c r="QY16" s="456"/>
      <c r="QZ16" s="456"/>
      <c r="RA16" s="456"/>
      <c r="RB16" s="456"/>
      <c r="RC16" s="456"/>
      <c r="RD16" s="456"/>
      <c r="RE16" s="456"/>
      <c r="RF16" s="456"/>
      <c r="RG16" s="456"/>
      <c r="RH16" s="456"/>
      <c r="RI16" s="456"/>
      <c r="RJ16" s="456"/>
      <c r="RK16" s="456"/>
      <c r="RL16" s="456"/>
      <c r="RM16" s="456"/>
      <c r="RN16" s="456"/>
      <c r="RO16" s="456"/>
      <c r="RP16" s="456"/>
      <c r="RQ16" s="456"/>
      <c r="RR16" s="456"/>
      <c r="RS16" s="456"/>
      <c r="RT16" s="456"/>
      <c r="RU16" s="456"/>
      <c r="RV16" s="456"/>
      <c r="RW16" s="456"/>
      <c r="RX16" s="456"/>
      <c r="RY16" s="456"/>
      <c r="RZ16" s="456"/>
      <c r="SA16" s="456"/>
      <c r="SB16" s="456"/>
      <c r="SC16" s="456"/>
      <c r="SD16" s="456"/>
      <c r="SE16" s="456"/>
      <c r="SF16" s="456"/>
      <c r="SG16" s="456"/>
      <c r="SH16" s="456"/>
      <c r="SI16" s="456"/>
      <c r="SJ16" s="456"/>
      <c r="SK16" s="456"/>
      <c r="SL16" s="456"/>
      <c r="SM16" s="456"/>
      <c r="SN16" s="456"/>
      <c r="SO16" s="456"/>
      <c r="SP16" s="456"/>
      <c r="SQ16" s="456"/>
      <c r="SR16" s="456"/>
      <c r="SS16" s="456"/>
      <c r="ST16" s="456"/>
      <c r="SU16" s="456"/>
      <c r="SV16" s="456"/>
      <c r="SW16" s="456"/>
      <c r="SX16" s="456"/>
      <c r="SY16" s="456"/>
      <c r="SZ16" s="456"/>
      <c r="TA16" s="456"/>
      <c r="TB16" s="456"/>
      <c r="TC16" s="456"/>
      <c r="TD16" s="456"/>
      <c r="TE16" s="456"/>
      <c r="TF16" s="456"/>
      <c r="TG16" s="456"/>
      <c r="TH16" s="456"/>
      <c r="TI16" s="456"/>
      <c r="TJ16" s="456"/>
      <c r="TK16" s="456"/>
      <c r="TL16" s="456"/>
      <c r="TM16" s="456"/>
      <c r="TN16" s="456"/>
      <c r="TO16" s="456"/>
      <c r="TP16" s="456"/>
      <c r="TQ16" s="456"/>
      <c r="TR16" s="456"/>
      <c r="TS16" s="456"/>
      <c r="TT16" s="456"/>
      <c r="TU16" s="456"/>
      <c r="TV16" s="456"/>
      <c r="TW16" s="456"/>
      <c r="TX16" s="456"/>
      <c r="TY16" s="456"/>
      <c r="TZ16" s="456"/>
      <c r="UA16" s="456"/>
      <c r="UB16" s="456"/>
      <c r="UC16" s="456"/>
      <c r="UD16" s="456"/>
      <c r="UE16" s="456"/>
      <c r="UF16" s="456"/>
      <c r="UG16" s="456"/>
      <c r="UH16" s="456"/>
      <c r="UI16" s="456"/>
      <c r="UJ16" s="456"/>
      <c r="UK16" s="456"/>
      <c r="UL16" s="456"/>
      <c r="UM16" s="456"/>
      <c r="UN16" s="456"/>
      <c r="UO16" s="456"/>
      <c r="UP16" s="456"/>
      <c r="UQ16" s="456"/>
      <c r="UR16" s="456"/>
      <c r="US16" s="456"/>
      <c r="UT16" s="456"/>
      <c r="UU16" s="456"/>
      <c r="UV16" s="456"/>
      <c r="UW16" s="456"/>
      <c r="UX16" s="456"/>
      <c r="UY16" s="456"/>
      <c r="UZ16" s="456"/>
      <c r="VA16" s="456"/>
      <c r="VB16" s="456"/>
      <c r="VC16" s="456"/>
      <c r="VD16" s="456"/>
      <c r="VE16" s="456"/>
      <c r="VF16" s="456"/>
      <c r="VG16" s="456"/>
      <c r="VH16" s="456"/>
      <c r="VI16" s="456"/>
      <c r="VJ16" s="456"/>
      <c r="VK16" s="456"/>
      <c r="VL16" s="456"/>
      <c r="VM16" s="456"/>
      <c r="VN16" s="456"/>
      <c r="VO16" s="456"/>
      <c r="VP16" s="456"/>
      <c r="VQ16" s="456"/>
      <c r="VR16" s="456"/>
      <c r="VS16" s="456"/>
      <c r="VT16" s="456"/>
      <c r="VU16" s="456"/>
      <c r="VV16" s="456"/>
      <c r="VW16" s="456"/>
      <c r="VX16" s="456"/>
      <c r="VY16" s="456"/>
      <c r="VZ16" s="456"/>
      <c r="WA16" s="456"/>
      <c r="WB16" s="456"/>
      <c r="WC16" s="456"/>
      <c r="WD16" s="456"/>
      <c r="WE16" s="456"/>
      <c r="WF16" s="456"/>
      <c r="WG16" s="456"/>
      <c r="WH16" s="456"/>
      <c r="WI16" s="456"/>
      <c r="WJ16" s="456"/>
      <c r="WK16" s="456"/>
      <c r="WL16" s="456"/>
      <c r="WM16" s="456"/>
      <c r="WN16" s="456"/>
      <c r="WO16" s="456"/>
      <c r="WP16" s="456"/>
      <c r="WQ16" s="456"/>
      <c r="WR16" s="456"/>
      <c r="WS16" s="456"/>
      <c r="WT16" s="456"/>
      <c r="WU16" s="456"/>
      <c r="WV16" s="456"/>
      <c r="WW16" s="456"/>
      <c r="WX16" s="456"/>
      <c r="WY16" s="456"/>
      <c r="WZ16" s="456"/>
      <c r="XA16" s="456"/>
      <c r="XB16" s="456"/>
      <c r="XC16" s="456"/>
      <c r="XD16" s="456"/>
      <c r="XE16" s="456"/>
      <c r="XF16" s="456"/>
      <c r="XG16" s="456"/>
      <c r="XH16" s="456"/>
      <c r="XI16" s="456"/>
      <c r="XJ16" s="456"/>
      <c r="XK16" s="456"/>
      <c r="XL16" s="456"/>
      <c r="XM16" s="456"/>
      <c r="XN16" s="456"/>
      <c r="XO16" s="456"/>
      <c r="XP16" s="456"/>
      <c r="XQ16" s="456"/>
      <c r="XR16" s="456"/>
      <c r="XS16" s="456"/>
      <c r="XT16" s="456"/>
      <c r="XU16" s="456"/>
      <c r="XV16" s="456"/>
      <c r="XW16" s="456"/>
      <c r="XX16" s="456"/>
      <c r="XY16" s="456"/>
      <c r="XZ16" s="456"/>
      <c r="YA16" s="456"/>
      <c r="YB16" s="456"/>
      <c r="YC16" s="456"/>
      <c r="YD16" s="456"/>
      <c r="YE16" s="456"/>
      <c r="YF16" s="456"/>
      <c r="YG16" s="456"/>
      <c r="YH16" s="456"/>
      <c r="YI16" s="456"/>
      <c r="YJ16" s="456"/>
      <c r="YK16" s="456"/>
      <c r="YL16" s="456"/>
      <c r="YM16" s="456"/>
      <c r="YN16" s="456"/>
      <c r="YO16" s="456"/>
      <c r="YP16" s="456"/>
      <c r="YQ16" s="456"/>
      <c r="YR16" s="456"/>
      <c r="YS16" s="456"/>
      <c r="YT16" s="456"/>
      <c r="YU16" s="456"/>
      <c r="YV16" s="456"/>
      <c r="YW16" s="456"/>
      <c r="YX16" s="456"/>
      <c r="YY16" s="456"/>
      <c r="YZ16" s="456"/>
      <c r="ZA16" s="456"/>
      <c r="ZB16" s="456"/>
      <c r="ZC16" s="456"/>
      <c r="ZD16" s="456"/>
      <c r="ZE16" s="456"/>
      <c r="ZF16" s="456"/>
      <c r="ZG16" s="456"/>
      <c r="ZH16" s="456"/>
      <c r="ZI16" s="456"/>
      <c r="ZJ16" s="456"/>
      <c r="ZK16" s="456"/>
      <c r="ZL16" s="456"/>
      <c r="ZM16" s="456"/>
      <c r="ZN16" s="456"/>
      <c r="ZO16" s="456"/>
      <c r="ZP16" s="456"/>
      <c r="ZQ16" s="456"/>
      <c r="ZR16" s="456"/>
      <c r="ZS16" s="456"/>
      <c r="ZT16" s="456"/>
      <c r="ZU16" s="456"/>
      <c r="ZV16" s="456"/>
      <c r="ZW16" s="456"/>
      <c r="ZX16" s="456"/>
      <c r="ZY16" s="456"/>
      <c r="ZZ16" s="456"/>
      <c r="AAA16" s="456"/>
      <c r="AAB16" s="456"/>
      <c r="AAC16" s="456"/>
      <c r="AAD16" s="456"/>
      <c r="AAE16" s="456"/>
      <c r="AAF16" s="456"/>
      <c r="AAG16" s="456"/>
      <c r="AAH16" s="456"/>
      <c r="AAI16" s="456"/>
      <c r="AAJ16" s="456"/>
      <c r="AAK16" s="456"/>
      <c r="AAL16" s="456"/>
      <c r="AAM16" s="456"/>
      <c r="AAN16" s="456"/>
      <c r="AAO16" s="456"/>
      <c r="AAP16" s="456"/>
      <c r="AAQ16" s="456"/>
      <c r="AAR16" s="456"/>
      <c r="AAS16" s="456"/>
      <c r="AAT16" s="456"/>
      <c r="AAU16" s="456"/>
      <c r="AAV16" s="456"/>
      <c r="AAW16" s="456"/>
      <c r="AAX16" s="456"/>
      <c r="AAY16" s="456"/>
      <c r="AAZ16" s="456"/>
      <c r="ABA16" s="456"/>
      <c r="ABB16" s="456"/>
      <c r="ABC16" s="456"/>
      <c r="ABD16" s="456"/>
      <c r="ABE16" s="456"/>
      <c r="ABF16" s="456"/>
      <c r="ABG16" s="456"/>
      <c r="ABH16" s="456"/>
      <c r="ABI16" s="456"/>
      <c r="ABJ16" s="456"/>
      <c r="ABK16" s="456"/>
      <c r="ABL16" s="456"/>
      <c r="ABM16" s="456"/>
      <c r="ABN16" s="456"/>
      <c r="ABO16" s="456"/>
      <c r="ABP16" s="456"/>
      <c r="ABQ16" s="456"/>
      <c r="ABR16" s="456"/>
      <c r="ABS16" s="456"/>
      <c r="ABT16" s="456"/>
      <c r="ABU16" s="456"/>
      <c r="ABV16" s="456"/>
      <c r="ABW16" s="456"/>
      <c r="ABX16" s="456"/>
      <c r="ABY16" s="456"/>
      <c r="ABZ16" s="456"/>
      <c r="ACA16" s="456"/>
      <c r="ACB16" s="456"/>
      <c r="ACC16" s="456"/>
      <c r="ACD16" s="456"/>
      <c r="ACE16" s="456"/>
      <c r="ACF16" s="456"/>
      <c r="ACG16" s="456"/>
      <c r="ACH16" s="456"/>
      <c r="ACI16" s="456"/>
      <c r="ACJ16" s="456"/>
      <c r="ACK16" s="456"/>
      <c r="ACL16" s="456"/>
      <c r="ACM16" s="456"/>
      <c r="ACN16" s="456"/>
      <c r="ACO16" s="456"/>
      <c r="ACP16" s="456"/>
      <c r="ACQ16" s="456"/>
      <c r="ACR16" s="456"/>
      <c r="ACS16" s="456"/>
      <c r="ACT16" s="456"/>
      <c r="ACU16" s="456"/>
      <c r="ACV16" s="456"/>
      <c r="ACW16" s="456"/>
      <c r="ACX16" s="456"/>
      <c r="ACY16" s="456"/>
      <c r="ACZ16" s="456"/>
      <c r="ADA16" s="456"/>
      <c r="ADB16" s="456"/>
      <c r="ADC16" s="456"/>
      <c r="ADD16" s="456"/>
      <c r="ADE16" s="456"/>
      <c r="ADF16" s="456"/>
      <c r="ADG16" s="456"/>
      <c r="ADH16" s="456"/>
      <c r="ADI16" s="456"/>
      <c r="ADJ16" s="456"/>
      <c r="ADK16" s="456"/>
      <c r="ADL16" s="456"/>
      <c r="ADM16" s="456"/>
      <c r="ADN16" s="456"/>
      <c r="ADO16" s="456"/>
      <c r="ADP16" s="456"/>
      <c r="ADQ16" s="456"/>
      <c r="ADR16" s="456"/>
      <c r="ADS16" s="456"/>
      <c r="ADT16" s="456"/>
      <c r="ADU16" s="456"/>
      <c r="ADV16" s="456"/>
      <c r="ADW16" s="456"/>
      <c r="ADX16" s="456"/>
      <c r="ADY16" s="456"/>
      <c r="ADZ16" s="456"/>
      <c r="AEA16" s="456"/>
      <c r="AEB16" s="456"/>
      <c r="AEC16" s="456"/>
      <c r="AED16" s="456"/>
      <c r="AEE16" s="456"/>
      <c r="AEF16" s="456"/>
      <c r="AEG16" s="456"/>
      <c r="AEH16" s="456"/>
      <c r="AEI16" s="456"/>
      <c r="AEJ16" s="456"/>
      <c r="AEK16" s="456"/>
      <c r="AEL16" s="456"/>
      <c r="AEM16" s="456"/>
      <c r="AEN16" s="456"/>
      <c r="AEO16" s="456"/>
      <c r="AEP16" s="456"/>
      <c r="AEQ16" s="456"/>
      <c r="AER16" s="456"/>
      <c r="AES16" s="456"/>
      <c r="AET16" s="456"/>
      <c r="AEU16" s="456"/>
      <c r="AEV16" s="456"/>
      <c r="AEW16" s="456"/>
      <c r="AEX16" s="456"/>
      <c r="AEY16" s="456"/>
      <c r="AEZ16" s="456"/>
      <c r="AFA16" s="456"/>
      <c r="AFB16" s="456"/>
      <c r="AFC16" s="456"/>
      <c r="AFD16" s="456"/>
      <c r="AFE16" s="456"/>
      <c r="AFF16" s="456"/>
      <c r="AFG16" s="456"/>
      <c r="AFH16" s="456"/>
      <c r="AFI16" s="456"/>
      <c r="AFJ16" s="456"/>
      <c r="AFK16" s="456"/>
      <c r="AFL16" s="456"/>
      <c r="AFM16" s="456"/>
      <c r="AFN16" s="456"/>
      <c r="AFO16" s="456"/>
      <c r="AFP16" s="456"/>
      <c r="AFQ16" s="456"/>
      <c r="AFR16" s="456"/>
      <c r="AFS16" s="456"/>
      <c r="AFT16" s="456"/>
      <c r="AFU16" s="456"/>
      <c r="AFV16" s="456"/>
      <c r="AFW16" s="456"/>
      <c r="AFX16" s="456"/>
      <c r="AFY16" s="456"/>
      <c r="AFZ16" s="456"/>
      <c r="AGA16" s="456"/>
      <c r="AGB16" s="456"/>
      <c r="AGC16" s="456"/>
      <c r="AGD16" s="456"/>
      <c r="AGE16" s="456"/>
      <c r="AGF16" s="456"/>
      <c r="AGG16" s="456"/>
      <c r="AGH16" s="456"/>
      <c r="AGI16" s="456"/>
      <c r="AGJ16" s="456"/>
      <c r="AGK16" s="456"/>
      <c r="AGL16" s="456"/>
      <c r="AGM16" s="456"/>
      <c r="AGN16" s="456"/>
      <c r="AGO16" s="456"/>
      <c r="AGP16" s="456"/>
      <c r="AGQ16" s="456"/>
      <c r="AGR16" s="456"/>
      <c r="AGS16" s="456"/>
      <c r="AGT16" s="456"/>
      <c r="AGU16" s="456"/>
      <c r="AGV16" s="456"/>
      <c r="AGW16" s="456"/>
      <c r="AGX16" s="456"/>
      <c r="AGY16" s="456"/>
      <c r="AGZ16" s="456"/>
      <c r="AHA16" s="456"/>
      <c r="AHB16" s="456"/>
      <c r="AHC16" s="456"/>
      <c r="AHD16" s="456"/>
      <c r="AHE16" s="456"/>
      <c r="AHF16" s="456"/>
      <c r="AHG16" s="456"/>
      <c r="AHH16" s="456"/>
      <c r="AHI16" s="456"/>
      <c r="AHJ16" s="456"/>
      <c r="AHK16" s="456"/>
      <c r="AHL16" s="456"/>
      <c r="AHM16" s="456"/>
      <c r="AHN16" s="456"/>
      <c r="AHO16" s="456"/>
      <c r="AHP16" s="456"/>
      <c r="AHQ16" s="456"/>
      <c r="AHR16" s="456"/>
      <c r="AHS16" s="456"/>
      <c r="AHT16" s="456"/>
      <c r="AHU16" s="456"/>
      <c r="AHV16" s="456"/>
      <c r="AHW16" s="456"/>
      <c r="AHX16" s="456"/>
      <c r="AHY16" s="456"/>
      <c r="AHZ16" s="456"/>
      <c r="AIA16" s="456"/>
      <c r="AIB16" s="456"/>
      <c r="AIC16" s="456"/>
      <c r="AID16" s="456"/>
      <c r="AIE16" s="456"/>
      <c r="AIF16" s="456"/>
      <c r="AIG16" s="456"/>
      <c r="AIH16" s="456"/>
      <c r="AII16" s="456"/>
      <c r="AIJ16" s="456"/>
      <c r="AIK16" s="456"/>
      <c r="AIL16" s="456"/>
      <c r="AIM16" s="456"/>
      <c r="AIN16" s="456"/>
      <c r="AIO16" s="456"/>
      <c r="AIP16" s="456"/>
      <c r="AIQ16" s="456"/>
      <c r="AIR16" s="456"/>
      <c r="AIS16" s="456"/>
      <c r="AIT16" s="456"/>
      <c r="AIU16" s="456"/>
      <c r="AIV16" s="456"/>
      <c r="AIW16" s="456"/>
      <c r="AIX16" s="456"/>
      <c r="AIY16" s="456"/>
      <c r="AIZ16" s="456"/>
      <c r="AJA16" s="456"/>
      <c r="AJB16" s="456"/>
      <c r="AJC16" s="456"/>
      <c r="AJD16" s="456"/>
      <c r="AJE16" s="456"/>
      <c r="AJF16" s="456"/>
      <c r="AJG16" s="456"/>
      <c r="AJH16" s="456"/>
      <c r="AJI16" s="456"/>
      <c r="AJJ16" s="456"/>
      <c r="AJK16" s="456"/>
      <c r="AJL16" s="456"/>
      <c r="AJM16" s="456"/>
      <c r="AJN16" s="456"/>
      <c r="AJO16" s="456"/>
      <c r="AJP16" s="456"/>
      <c r="AJQ16" s="456"/>
      <c r="AJR16" s="456"/>
      <c r="AJS16" s="456"/>
      <c r="AJT16" s="456"/>
      <c r="AJU16" s="456"/>
      <c r="AJV16" s="456"/>
      <c r="AJW16" s="456"/>
      <c r="AJX16" s="456"/>
      <c r="AJY16" s="456"/>
      <c r="AJZ16" s="456"/>
      <c r="AKA16" s="456"/>
      <c r="AKB16" s="456"/>
      <c r="AKC16" s="456"/>
      <c r="AKD16" s="456"/>
      <c r="AKE16" s="456"/>
      <c r="AKF16" s="456"/>
      <c r="AKG16" s="456"/>
      <c r="AKH16" s="456"/>
      <c r="AKI16" s="456"/>
      <c r="AKJ16" s="456"/>
      <c r="AKK16" s="456"/>
      <c r="AKL16" s="456"/>
      <c r="AKM16" s="456"/>
      <c r="AKN16" s="456"/>
      <c r="AKO16" s="456"/>
      <c r="AKP16" s="456"/>
      <c r="AKQ16" s="456"/>
      <c r="AKR16" s="456"/>
      <c r="AKS16" s="456"/>
      <c r="AKT16" s="456"/>
      <c r="AKU16" s="456"/>
      <c r="AKV16" s="456"/>
      <c r="AKW16" s="456"/>
      <c r="AKX16" s="456"/>
      <c r="AKY16" s="456"/>
      <c r="AKZ16" s="456"/>
      <c r="ALA16" s="456"/>
      <c r="ALB16" s="456"/>
      <c r="ALC16" s="456"/>
      <c r="ALD16" s="456"/>
      <c r="ALE16" s="456"/>
      <c r="ALF16" s="456"/>
      <c r="ALG16" s="456"/>
      <c r="ALH16" s="456"/>
      <c r="ALI16" s="456"/>
      <c r="ALJ16" s="456"/>
      <c r="ALK16" s="456"/>
      <c r="ALL16" s="456"/>
      <c r="ALM16" s="456"/>
      <c r="ALN16" s="456"/>
      <c r="ALO16" s="456"/>
      <c r="ALP16" s="456"/>
      <c r="ALQ16" s="456"/>
      <c r="ALR16" s="456"/>
      <c r="ALS16" s="456"/>
      <c r="ALT16" s="456"/>
      <c r="ALU16" s="456"/>
      <c r="ALV16" s="456"/>
      <c r="ALW16" s="456"/>
      <c r="ALX16" s="456"/>
      <c r="ALY16" s="456"/>
      <c r="ALZ16" s="456"/>
      <c r="AMA16" s="456"/>
      <c r="AMB16" s="456"/>
      <c r="AMC16" s="456"/>
      <c r="AMD16" s="456"/>
      <c r="AME16" s="456"/>
      <c r="AMF16" s="456"/>
      <c r="AMG16" s="456"/>
      <c r="AMH16" s="456"/>
      <c r="AMI16" s="456"/>
      <c r="AMJ16" s="456"/>
      <c r="AMK16" s="456"/>
      <c r="AML16" s="456"/>
      <c r="AMM16" s="456"/>
      <c r="AMN16" s="456"/>
      <c r="AMO16" s="456"/>
      <c r="AMP16" s="456"/>
      <c r="AMQ16" s="456"/>
      <c r="AMR16" s="456"/>
      <c r="AMS16" s="456"/>
      <c r="AMT16" s="456"/>
      <c r="AMU16" s="456"/>
      <c r="AMV16" s="456"/>
      <c r="AMW16" s="456"/>
      <c r="AMX16" s="456"/>
      <c r="AMY16" s="456"/>
      <c r="AMZ16" s="456"/>
      <c r="ANA16" s="456"/>
      <c r="ANB16" s="456"/>
      <c r="ANC16" s="456"/>
      <c r="AND16" s="456"/>
      <c r="ANE16" s="456"/>
      <c r="ANF16" s="456"/>
      <c r="ANG16" s="456"/>
      <c r="ANH16" s="456"/>
      <c r="ANI16" s="456"/>
      <c r="ANJ16" s="456"/>
      <c r="ANK16" s="456"/>
      <c r="ANL16" s="456"/>
      <c r="ANM16" s="456"/>
      <c r="ANN16" s="456"/>
      <c r="ANO16" s="456"/>
      <c r="ANP16" s="456"/>
      <c r="ANQ16" s="456"/>
      <c r="ANR16" s="456"/>
      <c r="ANS16" s="456"/>
      <c r="ANT16" s="456"/>
      <c r="ANU16" s="456"/>
      <c r="ANV16" s="456"/>
      <c r="ANW16" s="456"/>
      <c r="ANX16" s="456"/>
      <c r="ANY16" s="456"/>
      <c r="ANZ16" s="456"/>
      <c r="AOA16" s="456"/>
      <c r="AOB16" s="456"/>
      <c r="AOC16" s="456"/>
      <c r="AOD16" s="456"/>
      <c r="AOE16" s="456"/>
      <c r="AOF16" s="456"/>
      <c r="AOG16" s="456"/>
      <c r="AOH16" s="456"/>
      <c r="AOI16" s="456"/>
      <c r="AOJ16" s="456"/>
      <c r="AOK16" s="456"/>
      <c r="AOL16" s="456"/>
      <c r="AOM16" s="456"/>
      <c r="AON16" s="456"/>
      <c r="AOO16" s="456"/>
      <c r="AOP16" s="456"/>
      <c r="AOQ16" s="456"/>
      <c r="AOR16" s="456"/>
      <c r="AOS16" s="456"/>
      <c r="AOT16" s="456"/>
      <c r="AOU16" s="456"/>
      <c r="AOV16" s="456"/>
      <c r="AOW16" s="456"/>
      <c r="AOX16" s="456"/>
      <c r="AOY16" s="456"/>
      <c r="AOZ16" s="456"/>
      <c r="APA16" s="456"/>
      <c r="APB16" s="456"/>
      <c r="APC16" s="456"/>
      <c r="APD16" s="456"/>
      <c r="APE16" s="456"/>
      <c r="APF16" s="456"/>
      <c r="APG16" s="456"/>
      <c r="APH16" s="456"/>
      <c r="API16" s="456"/>
      <c r="APJ16" s="456"/>
      <c r="APK16" s="456"/>
      <c r="APL16" s="456"/>
      <c r="APM16" s="456"/>
      <c r="APN16" s="456"/>
      <c r="APO16" s="456"/>
      <c r="APP16" s="456"/>
      <c r="APQ16" s="456"/>
      <c r="APR16" s="456"/>
      <c r="APS16" s="456"/>
      <c r="APT16" s="456"/>
      <c r="APU16" s="456"/>
      <c r="APV16" s="456"/>
      <c r="APW16" s="456"/>
      <c r="APX16" s="456"/>
      <c r="APY16" s="456"/>
      <c r="APZ16" s="456"/>
      <c r="AQA16" s="456"/>
      <c r="AQB16" s="456"/>
      <c r="AQC16" s="456"/>
      <c r="AQD16" s="456"/>
      <c r="AQE16" s="456"/>
      <c r="AQF16" s="456"/>
      <c r="AQG16" s="456"/>
      <c r="AQH16" s="456"/>
      <c r="AQI16" s="456"/>
      <c r="AQJ16" s="456"/>
      <c r="AQK16" s="456"/>
      <c r="AQL16" s="456"/>
      <c r="AQM16" s="456"/>
      <c r="AQN16" s="456"/>
      <c r="AQO16" s="456"/>
      <c r="AQP16" s="456"/>
      <c r="AQQ16" s="456"/>
      <c r="AQR16" s="456"/>
      <c r="AQS16" s="456"/>
      <c r="AQT16" s="456"/>
      <c r="AQU16" s="456"/>
      <c r="AQV16" s="456"/>
      <c r="AQW16" s="456"/>
      <c r="AQX16" s="456"/>
      <c r="AQY16" s="456"/>
      <c r="AQZ16" s="456"/>
      <c r="ARA16" s="456"/>
      <c r="ARB16" s="456"/>
      <c r="ARC16" s="456"/>
      <c r="ARD16" s="456"/>
      <c r="ARE16" s="456"/>
      <c r="ARF16" s="456"/>
      <c r="ARG16" s="456"/>
      <c r="ARH16" s="456"/>
      <c r="ARI16" s="456"/>
      <c r="ARJ16" s="456"/>
      <c r="ARK16" s="456"/>
      <c r="ARL16" s="456"/>
      <c r="ARM16" s="456"/>
      <c r="ARN16" s="456"/>
      <c r="ARO16" s="456"/>
      <c r="ARP16" s="456"/>
      <c r="ARQ16" s="456"/>
      <c r="ARR16" s="456"/>
      <c r="ARS16" s="456"/>
      <c r="ART16" s="456"/>
      <c r="ARU16" s="456"/>
      <c r="ARV16" s="456"/>
      <c r="ARW16" s="456"/>
      <c r="ARX16" s="456"/>
      <c r="ARY16" s="456"/>
      <c r="ARZ16" s="456"/>
      <c r="ASA16" s="456"/>
      <c r="ASB16" s="456"/>
      <c r="ASC16" s="456"/>
      <c r="ASD16" s="456"/>
      <c r="ASE16" s="456"/>
      <c r="ASF16" s="456"/>
      <c r="ASG16" s="456"/>
      <c r="ASH16" s="456"/>
      <c r="ASI16" s="456"/>
      <c r="ASJ16" s="456"/>
      <c r="ASK16" s="456"/>
      <c r="ASL16" s="456"/>
      <c r="ASM16" s="456"/>
      <c r="ASN16" s="456"/>
      <c r="ASO16" s="456"/>
      <c r="ASP16" s="456"/>
      <c r="ASQ16" s="456"/>
      <c r="ASR16" s="456"/>
      <c r="ASS16" s="456"/>
      <c r="AST16" s="456"/>
      <c r="ASU16" s="456"/>
      <c r="ASV16" s="456"/>
      <c r="ASW16" s="456"/>
      <c r="ASX16" s="456"/>
      <c r="ASY16" s="456"/>
      <c r="ASZ16" s="456"/>
      <c r="ATA16" s="456"/>
      <c r="ATB16" s="456"/>
      <c r="ATC16" s="456"/>
      <c r="ATD16" s="456"/>
      <c r="ATE16" s="456"/>
      <c r="ATF16" s="456"/>
      <c r="ATG16" s="456"/>
      <c r="ATH16" s="456"/>
      <c r="ATI16" s="456"/>
      <c r="ATJ16" s="456"/>
      <c r="ATK16" s="456"/>
      <c r="ATL16" s="456"/>
      <c r="ATM16" s="456"/>
      <c r="ATN16" s="456"/>
      <c r="ATO16" s="456"/>
      <c r="ATP16" s="456"/>
      <c r="ATQ16" s="456"/>
      <c r="ATR16" s="456"/>
      <c r="ATS16" s="456"/>
      <c r="ATT16" s="456"/>
      <c r="ATU16" s="456"/>
      <c r="ATV16" s="456"/>
      <c r="ATW16" s="456"/>
      <c r="ATX16" s="456"/>
      <c r="ATY16" s="456"/>
      <c r="ATZ16" s="456"/>
      <c r="AUA16" s="456"/>
      <c r="AUB16" s="456"/>
      <c r="AUC16" s="456"/>
      <c r="AUD16" s="456"/>
      <c r="AUE16" s="456"/>
      <c r="AUF16" s="456"/>
      <c r="AUG16" s="456"/>
      <c r="AUH16" s="456"/>
      <c r="AUI16" s="456"/>
      <c r="AUJ16" s="456"/>
      <c r="AUK16" s="456"/>
      <c r="AUL16" s="456"/>
      <c r="AUM16" s="456"/>
      <c r="AUN16" s="456"/>
      <c r="AUO16" s="456"/>
      <c r="AUP16" s="456"/>
      <c r="AUQ16" s="456"/>
      <c r="AUR16" s="456"/>
      <c r="AUS16" s="456"/>
      <c r="AUT16" s="456"/>
      <c r="AUU16" s="456"/>
      <c r="AUV16" s="456"/>
      <c r="AUW16" s="456"/>
      <c r="AUX16" s="456"/>
      <c r="AUY16" s="456"/>
      <c r="AUZ16" s="456"/>
      <c r="AVA16" s="456"/>
      <c r="AVB16" s="456"/>
      <c r="AVC16" s="456"/>
      <c r="AVD16" s="456"/>
      <c r="AVE16" s="456"/>
      <c r="AVF16" s="456"/>
      <c r="AVG16" s="456"/>
      <c r="AVH16" s="456"/>
      <c r="AVI16" s="456"/>
      <c r="AVJ16" s="456"/>
      <c r="AVK16" s="456"/>
      <c r="AVL16" s="456"/>
      <c r="AVM16" s="456"/>
      <c r="AVN16" s="456"/>
      <c r="AVO16" s="456"/>
      <c r="AVP16" s="456"/>
      <c r="AVQ16" s="456"/>
      <c r="AVR16" s="456"/>
      <c r="AVS16" s="456"/>
      <c r="AVT16" s="456"/>
      <c r="AVU16" s="456"/>
      <c r="AVV16" s="456"/>
      <c r="AVW16" s="456"/>
      <c r="AVX16" s="456"/>
      <c r="AVY16" s="456"/>
      <c r="AVZ16" s="456"/>
      <c r="AWA16" s="456"/>
      <c r="AWB16" s="456"/>
      <c r="AWC16" s="456"/>
      <c r="AWD16" s="456"/>
      <c r="AWE16" s="456"/>
      <c r="AWF16" s="456"/>
      <c r="AWG16" s="456"/>
      <c r="AWH16" s="456"/>
      <c r="AWI16" s="456"/>
      <c r="AWJ16" s="456"/>
      <c r="AWK16" s="456"/>
      <c r="AWL16" s="456"/>
      <c r="AWM16" s="456"/>
      <c r="AWN16" s="456"/>
      <c r="AWO16" s="456"/>
      <c r="AWP16" s="456"/>
      <c r="AWQ16" s="456"/>
      <c r="AWR16" s="456"/>
      <c r="AWS16" s="456"/>
      <c r="AWT16" s="456"/>
      <c r="AWU16" s="456"/>
      <c r="AWV16" s="456"/>
      <c r="AWW16" s="456"/>
      <c r="AWX16" s="456"/>
      <c r="AWY16" s="456"/>
      <c r="AWZ16" s="456"/>
      <c r="AXA16" s="456"/>
      <c r="AXB16" s="456"/>
      <c r="AXC16" s="456"/>
      <c r="AXD16" s="456"/>
      <c r="AXE16" s="456"/>
      <c r="AXF16" s="456"/>
      <c r="AXG16" s="456"/>
      <c r="AXH16" s="456"/>
      <c r="AXI16" s="456"/>
      <c r="AXJ16" s="456"/>
      <c r="AXK16" s="456"/>
      <c r="AXL16" s="456"/>
      <c r="AXM16" s="456"/>
      <c r="AXN16" s="456"/>
      <c r="AXO16" s="456"/>
      <c r="AXP16" s="456"/>
      <c r="AXQ16" s="456"/>
      <c r="AXR16" s="456"/>
      <c r="AXS16" s="456"/>
      <c r="AXT16" s="456"/>
      <c r="AXU16" s="456"/>
      <c r="AXV16" s="456"/>
      <c r="AXW16" s="456"/>
      <c r="AXX16" s="456"/>
      <c r="AXY16" s="456"/>
      <c r="AXZ16" s="456"/>
      <c r="AYA16" s="456"/>
      <c r="AYB16" s="456"/>
      <c r="AYC16" s="456"/>
      <c r="AYD16" s="456"/>
      <c r="AYE16" s="456"/>
      <c r="AYF16" s="456"/>
      <c r="AYG16" s="456"/>
      <c r="AYH16" s="456"/>
      <c r="AYI16" s="456"/>
      <c r="AYJ16" s="456"/>
      <c r="AYK16" s="456"/>
      <c r="AYL16" s="456"/>
      <c r="AYM16" s="456"/>
      <c r="AYN16" s="456"/>
      <c r="AYO16" s="456"/>
      <c r="AYP16" s="456"/>
      <c r="AYQ16" s="456"/>
      <c r="AYR16" s="456"/>
      <c r="AYS16" s="456"/>
      <c r="AYT16" s="456"/>
      <c r="AYU16" s="456"/>
      <c r="AYV16" s="456"/>
      <c r="AYW16" s="456"/>
      <c r="AYX16" s="456"/>
      <c r="AYY16" s="456"/>
      <c r="AYZ16" s="456"/>
      <c r="AZA16" s="456"/>
      <c r="AZB16" s="456"/>
      <c r="AZC16" s="456"/>
      <c r="AZD16" s="456"/>
      <c r="AZE16" s="456"/>
      <c r="AZF16" s="456"/>
      <c r="AZG16" s="456"/>
      <c r="AZH16" s="456"/>
      <c r="AZI16" s="456"/>
      <c r="AZJ16" s="456"/>
      <c r="AZK16" s="456"/>
      <c r="AZL16" s="456"/>
      <c r="AZM16" s="456"/>
      <c r="AZN16" s="456"/>
      <c r="AZO16" s="456"/>
      <c r="AZP16" s="456"/>
      <c r="AZQ16" s="456"/>
      <c r="AZR16" s="456"/>
      <c r="AZS16" s="456"/>
      <c r="AZT16" s="456"/>
      <c r="AZU16" s="456"/>
      <c r="AZV16" s="456"/>
      <c r="AZW16" s="456"/>
      <c r="AZX16" s="456"/>
      <c r="AZY16" s="456"/>
      <c r="AZZ16" s="456"/>
      <c r="BAA16" s="456"/>
      <c r="BAB16" s="456"/>
      <c r="BAC16" s="456"/>
      <c r="BAD16" s="456"/>
      <c r="BAE16" s="456"/>
      <c r="BAF16" s="456"/>
      <c r="BAG16" s="456"/>
      <c r="BAH16" s="456"/>
      <c r="BAI16" s="456"/>
      <c r="BAJ16" s="456"/>
      <c r="BAK16" s="456"/>
      <c r="BAL16" s="456"/>
      <c r="BAM16" s="456"/>
      <c r="BAN16" s="456"/>
      <c r="BAO16" s="456"/>
      <c r="BAP16" s="456"/>
      <c r="BAQ16" s="456"/>
      <c r="BAR16" s="456"/>
      <c r="BAS16" s="456"/>
      <c r="BAT16" s="456"/>
      <c r="BAU16" s="456"/>
      <c r="BAV16" s="456"/>
      <c r="BAW16" s="456"/>
      <c r="BAX16" s="456"/>
      <c r="BAY16" s="456"/>
      <c r="BAZ16" s="456"/>
      <c r="BBA16" s="456"/>
      <c r="BBB16" s="456"/>
      <c r="BBC16" s="456"/>
      <c r="BBD16" s="456"/>
      <c r="BBE16" s="456"/>
      <c r="BBF16" s="456"/>
      <c r="BBG16" s="456"/>
      <c r="BBH16" s="456"/>
      <c r="BBI16" s="456"/>
      <c r="BBJ16" s="456"/>
      <c r="BBK16" s="456"/>
      <c r="BBL16" s="456"/>
      <c r="BBM16" s="456"/>
      <c r="BBN16" s="456"/>
      <c r="BBO16" s="456"/>
      <c r="BBP16" s="456"/>
      <c r="BBQ16" s="456"/>
      <c r="BBR16" s="456"/>
      <c r="BBS16" s="456"/>
      <c r="BBT16" s="456"/>
      <c r="BBU16" s="456"/>
      <c r="BBV16" s="456"/>
      <c r="BBW16" s="456"/>
      <c r="BBX16" s="456"/>
      <c r="BBY16" s="456"/>
      <c r="BBZ16" s="456"/>
      <c r="BCA16" s="456"/>
      <c r="BCB16" s="456"/>
      <c r="BCC16" s="456"/>
      <c r="BCD16" s="456"/>
      <c r="BCE16" s="456"/>
      <c r="BCF16" s="456"/>
      <c r="BCG16" s="456"/>
      <c r="BCH16" s="456"/>
      <c r="BCI16" s="456"/>
      <c r="BCJ16" s="456"/>
      <c r="BCK16" s="456"/>
      <c r="BCL16" s="456"/>
      <c r="BCM16" s="456"/>
      <c r="BCN16" s="456"/>
      <c r="BCO16" s="456"/>
      <c r="BCP16" s="456"/>
      <c r="BCQ16" s="456"/>
      <c r="BCR16" s="456"/>
      <c r="BCS16" s="456"/>
      <c r="BCT16" s="456"/>
      <c r="BCU16" s="456"/>
      <c r="BCV16" s="456"/>
      <c r="BCW16" s="456"/>
      <c r="BCX16" s="456"/>
      <c r="BCY16" s="456"/>
      <c r="BCZ16" s="456"/>
      <c r="BDA16" s="456"/>
      <c r="BDB16" s="456"/>
      <c r="BDC16" s="456"/>
      <c r="BDD16" s="456"/>
      <c r="BDE16" s="456"/>
      <c r="BDF16" s="456"/>
      <c r="BDG16" s="456"/>
      <c r="BDH16" s="456"/>
      <c r="BDI16" s="456"/>
      <c r="BDJ16" s="456"/>
      <c r="BDK16" s="456"/>
      <c r="BDL16" s="456"/>
      <c r="BDM16" s="456"/>
      <c r="BDN16" s="456"/>
      <c r="BDO16" s="456"/>
      <c r="BDP16" s="456"/>
      <c r="BDQ16" s="456"/>
      <c r="BDR16" s="456"/>
      <c r="BDS16" s="456"/>
      <c r="BDT16" s="456"/>
      <c r="BDU16" s="456"/>
      <c r="BDV16" s="456"/>
      <c r="BDW16" s="456"/>
      <c r="BDX16" s="456"/>
      <c r="BDY16" s="456"/>
      <c r="BDZ16" s="456"/>
      <c r="BEA16" s="456"/>
      <c r="BEB16" s="456"/>
      <c r="BEC16" s="456"/>
      <c r="BED16" s="456"/>
      <c r="BEE16" s="456"/>
      <c r="BEF16" s="456"/>
      <c r="BEG16" s="456"/>
      <c r="BEH16" s="456"/>
      <c r="BEI16" s="456"/>
      <c r="BEJ16" s="456"/>
      <c r="BEK16" s="456"/>
      <c r="BEL16" s="456"/>
      <c r="BEM16" s="456"/>
      <c r="BEN16" s="456"/>
      <c r="BEO16" s="456"/>
      <c r="BEP16" s="456"/>
      <c r="BEQ16" s="456"/>
      <c r="BER16" s="456"/>
      <c r="BES16" s="456"/>
      <c r="BET16" s="456"/>
      <c r="BEU16" s="456"/>
      <c r="BEV16" s="456"/>
      <c r="BEW16" s="456"/>
      <c r="BEX16" s="456"/>
      <c r="BEY16" s="456"/>
      <c r="BEZ16" s="456"/>
      <c r="BFA16" s="456"/>
      <c r="BFB16" s="456"/>
      <c r="BFC16" s="456"/>
      <c r="BFD16" s="456"/>
      <c r="BFE16" s="456"/>
      <c r="BFF16" s="456"/>
      <c r="BFG16" s="456"/>
      <c r="BFH16" s="456"/>
      <c r="BFI16" s="456"/>
      <c r="BFJ16" s="456"/>
      <c r="BFK16" s="456"/>
      <c r="BFL16" s="456"/>
      <c r="BFM16" s="456"/>
      <c r="BFN16" s="456"/>
      <c r="BFO16" s="456"/>
      <c r="BFP16" s="456"/>
      <c r="BFQ16" s="456"/>
      <c r="BFR16" s="456"/>
      <c r="BFS16" s="456"/>
      <c r="BFT16" s="456"/>
      <c r="BFU16" s="456"/>
      <c r="BFV16" s="456"/>
      <c r="BFW16" s="456"/>
      <c r="BFX16" s="456"/>
      <c r="BFY16" s="456"/>
      <c r="BFZ16" s="456"/>
      <c r="BGA16" s="456"/>
      <c r="BGB16" s="456"/>
      <c r="BGC16" s="456"/>
      <c r="BGD16" s="456"/>
      <c r="BGE16" s="456"/>
      <c r="BGF16" s="456"/>
      <c r="BGG16" s="456"/>
      <c r="BGH16" s="456"/>
      <c r="BGI16" s="456"/>
      <c r="BGJ16" s="456"/>
      <c r="BGK16" s="456"/>
      <c r="BGL16" s="456"/>
      <c r="BGM16" s="456"/>
      <c r="BGN16" s="456"/>
      <c r="BGO16" s="456"/>
      <c r="BGP16" s="456"/>
      <c r="BGQ16" s="456"/>
      <c r="BGR16" s="456"/>
      <c r="BGS16" s="456"/>
      <c r="BGT16" s="456"/>
      <c r="BGU16" s="456"/>
      <c r="BGV16" s="456"/>
      <c r="BGW16" s="456"/>
      <c r="BGX16" s="456"/>
      <c r="BGY16" s="456"/>
      <c r="BGZ16" s="456"/>
      <c r="BHA16" s="456"/>
      <c r="BHB16" s="456"/>
      <c r="BHC16" s="456"/>
      <c r="BHD16" s="456"/>
      <c r="BHE16" s="456"/>
      <c r="BHF16" s="456"/>
      <c r="BHG16" s="456"/>
      <c r="BHH16" s="456"/>
      <c r="BHI16" s="456"/>
      <c r="BHJ16" s="456"/>
      <c r="BHK16" s="456"/>
      <c r="BHL16" s="456"/>
      <c r="BHM16" s="456"/>
      <c r="BHN16" s="456"/>
      <c r="BHO16" s="456"/>
      <c r="BHP16" s="456"/>
      <c r="BHQ16" s="456"/>
      <c r="BHR16" s="456"/>
      <c r="BHS16" s="456"/>
      <c r="BHT16" s="456"/>
      <c r="BHU16" s="456"/>
      <c r="BHV16" s="456"/>
      <c r="BHW16" s="456"/>
      <c r="BHX16" s="456"/>
      <c r="BHY16" s="456"/>
      <c r="BHZ16" s="456"/>
      <c r="BIA16" s="456"/>
      <c r="BIB16" s="456"/>
      <c r="BIC16" s="456"/>
      <c r="BID16" s="456"/>
      <c r="BIE16" s="456"/>
      <c r="BIF16" s="456"/>
      <c r="BIG16" s="456"/>
      <c r="BIH16" s="456"/>
      <c r="BII16" s="456"/>
      <c r="BIJ16" s="456"/>
      <c r="BIK16" s="456"/>
      <c r="BIL16" s="456"/>
      <c r="BIM16" s="456"/>
      <c r="BIN16" s="456"/>
      <c r="BIO16" s="456"/>
      <c r="BIP16" s="456"/>
      <c r="BIQ16" s="456"/>
      <c r="BIR16" s="456"/>
      <c r="BIS16" s="456"/>
      <c r="BIT16" s="456"/>
      <c r="BIU16" s="456"/>
      <c r="BIV16" s="456"/>
      <c r="BIW16" s="456"/>
      <c r="BIX16" s="456"/>
      <c r="BIY16" s="456"/>
      <c r="BIZ16" s="456"/>
      <c r="BJA16" s="456"/>
      <c r="BJB16" s="456"/>
      <c r="BJC16" s="456"/>
      <c r="BJD16" s="456"/>
      <c r="BJE16" s="456"/>
      <c r="BJF16" s="456"/>
      <c r="BJG16" s="456"/>
      <c r="BJH16" s="456"/>
      <c r="BJI16" s="456"/>
      <c r="BJJ16" s="456"/>
      <c r="BJK16" s="456"/>
      <c r="BJL16" s="456"/>
      <c r="BJM16" s="456"/>
      <c r="BJN16" s="456"/>
      <c r="BJO16" s="456"/>
      <c r="BJP16" s="456"/>
      <c r="BJQ16" s="456"/>
      <c r="BJR16" s="456"/>
      <c r="BJS16" s="456"/>
      <c r="BJT16" s="456"/>
      <c r="BJU16" s="456"/>
      <c r="BJV16" s="456"/>
      <c r="BJW16" s="456"/>
      <c r="BJX16" s="456"/>
      <c r="BJY16" s="456"/>
      <c r="BJZ16" s="456"/>
      <c r="BKA16" s="456"/>
      <c r="BKB16" s="456"/>
      <c r="BKC16" s="456"/>
      <c r="BKD16" s="456"/>
      <c r="BKE16" s="456"/>
      <c r="BKF16" s="456"/>
      <c r="BKG16" s="456"/>
      <c r="BKH16" s="456"/>
      <c r="BKI16" s="456"/>
      <c r="BKJ16" s="456"/>
      <c r="BKK16" s="456"/>
      <c r="BKL16" s="456"/>
      <c r="BKM16" s="456"/>
      <c r="BKN16" s="456"/>
      <c r="BKO16" s="456"/>
      <c r="BKP16" s="456"/>
      <c r="BKQ16" s="456"/>
      <c r="BKR16" s="456"/>
      <c r="BKS16" s="456"/>
      <c r="BKT16" s="456"/>
      <c r="BKU16" s="456"/>
      <c r="BKV16" s="456"/>
      <c r="BKW16" s="456"/>
      <c r="BKX16" s="456"/>
      <c r="BKY16" s="456"/>
      <c r="BKZ16" s="456"/>
      <c r="BLA16" s="456"/>
      <c r="BLB16" s="456"/>
      <c r="BLC16" s="456"/>
      <c r="BLD16" s="456"/>
      <c r="BLE16" s="456"/>
      <c r="BLF16" s="456"/>
      <c r="BLG16" s="456"/>
      <c r="BLH16" s="456"/>
      <c r="BLI16" s="456"/>
      <c r="BLJ16" s="456"/>
      <c r="BLK16" s="456"/>
      <c r="BLL16" s="456"/>
      <c r="BLM16" s="456"/>
      <c r="BLN16" s="456"/>
      <c r="BLO16" s="456"/>
      <c r="BLP16" s="456"/>
      <c r="BLQ16" s="456"/>
      <c r="BLR16" s="456"/>
      <c r="BLS16" s="456"/>
      <c r="BLT16" s="456"/>
      <c r="BLU16" s="456"/>
      <c r="BLV16" s="456"/>
      <c r="BLW16" s="456"/>
      <c r="BLX16" s="456"/>
      <c r="BLY16" s="456"/>
      <c r="BLZ16" s="456"/>
      <c r="BMA16" s="456"/>
      <c r="BMB16" s="456"/>
      <c r="BMC16" s="456"/>
      <c r="BMD16" s="456"/>
      <c r="BME16" s="456"/>
      <c r="BMF16" s="456"/>
      <c r="BMG16" s="456"/>
      <c r="BMH16" s="456"/>
      <c r="BMI16" s="456"/>
      <c r="BMJ16" s="456"/>
      <c r="BMK16" s="456"/>
      <c r="BML16" s="456"/>
      <c r="BMM16" s="456"/>
      <c r="BMN16" s="456"/>
      <c r="BMO16" s="456"/>
      <c r="BMP16" s="456"/>
      <c r="BMQ16" s="456"/>
      <c r="BMR16" s="456"/>
      <c r="BMS16" s="456"/>
      <c r="BMT16" s="456"/>
      <c r="BMU16" s="456"/>
      <c r="BMV16" s="456"/>
      <c r="BMW16" s="456"/>
      <c r="BMX16" s="456"/>
      <c r="BMY16" s="456"/>
      <c r="BMZ16" s="456"/>
      <c r="BNA16" s="456"/>
      <c r="BNB16" s="456"/>
      <c r="BNC16" s="456"/>
      <c r="BND16" s="456"/>
      <c r="BNE16" s="456"/>
      <c r="BNF16" s="456"/>
      <c r="BNG16" s="456"/>
      <c r="BNH16" s="456"/>
      <c r="BNI16" s="456"/>
      <c r="BNJ16" s="456"/>
      <c r="BNK16" s="456"/>
      <c r="BNL16" s="456"/>
      <c r="BNM16" s="456"/>
      <c r="BNN16" s="456"/>
      <c r="BNO16" s="456"/>
      <c r="BNP16" s="456"/>
      <c r="BNQ16" s="456"/>
      <c r="BNR16" s="456"/>
      <c r="BNS16" s="456"/>
      <c r="BNT16" s="456"/>
      <c r="BNU16" s="456"/>
      <c r="BNV16" s="456"/>
      <c r="BNW16" s="456"/>
      <c r="BNX16" s="456"/>
      <c r="BNY16" s="456"/>
      <c r="BNZ16" s="456"/>
      <c r="BOA16" s="456"/>
      <c r="BOB16" s="456"/>
      <c r="BOC16" s="456"/>
      <c r="BOD16" s="456"/>
      <c r="BOE16" s="456"/>
      <c r="BOF16" s="456"/>
      <c r="BOG16" s="456"/>
      <c r="BOH16" s="456"/>
      <c r="BOI16" s="456"/>
      <c r="BOJ16" s="456"/>
      <c r="BOK16" s="456"/>
      <c r="BOL16" s="456"/>
      <c r="BOM16" s="456"/>
      <c r="BON16" s="456"/>
      <c r="BOO16" s="456"/>
      <c r="BOP16" s="456"/>
      <c r="BOQ16" s="456"/>
      <c r="BOR16" s="456"/>
      <c r="BOS16" s="456"/>
      <c r="BOT16" s="456"/>
      <c r="BOU16" s="456"/>
      <c r="BOV16" s="456"/>
      <c r="BOW16" s="456"/>
      <c r="BOX16" s="456"/>
      <c r="BOY16" s="456"/>
      <c r="BOZ16" s="456"/>
      <c r="BPA16" s="456"/>
      <c r="BPB16" s="456"/>
      <c r="BPC16" s="456"/>
      <c r="BPD16" s="456"/>
      <c r="BPE16" s="456"/>
      <c r="BPF16" s="456"/>
      <c r="BPG16" s="456"/>
      <c r="BPH16" s="456"/>
      <c r="BPI16" s="456"/>
      <c r="BPJ16" s="456"/>
      <c r="BPK16" s="456"/>
      <c r="BPL16" s="456"/>
      <c r="BPM16" s="456"/>
      <c r="BPN16" s="456"/>
      <c r="BPO16" s="456"/>
      <c r="BPP16" s="456"/>
      <c r="BPQ16" s="456"/>
      <c r="BPR16" s="456"/>
      <c r="BPS16" s="456"/>
      <c r="BPT16" s="456"/>
      <c r="BPU16" s="456"/>
      <c r="BPV16" s="456"/>
      <c r="BPW16" s="456"/>
      <c r="BPX16" s="456"/>
      <c r="BPY16" s="456"/>
      <c r="BPZ16" s="456"/>
      <c r="BQA16" s="456"/>
      <c r="BQB16" s="456"/>
      <c r="BQC16" s="456"/>
      <c r="BQD16" s="456"/>
      <c r="BQE16" s="456"/>
      <c r="BQF16" s="456"/>
      <c r="BQG16" s="456"/>
      <c r="BQH16" s="456"/>
      <c r="BQI16" s="456"/>
      <c r="BQJ16" s="456"/>
      <c r="BQK16" s="456"/>
      <c r="BQL16" s="456"/>
      <c r="BQM16" s="456"/>
      <c r="BQN16" s="456"/>
      <c r="BQO16" s="456"/>
      <c r="BQP16" s="456"/>
      <c r="BQQ16" s="456"/>
      <c r="BQR16" s="456"/>
      <c r="BQS16" s="456"/>
      <c r="BQT16" s="456"/>
      <c r="BQU16" s="456"/>
      <c r="BQV16" s="456"/>
      <c r="BQW16" s="456"/>
      <c r="BQX16" s="456"/>
      <c r="BQY16" s="456"/>
      <c r="BQZ16" s="456"/>
      <c r="BRA16" s="456"/>
      <c r="BRB16" s="456"/>
      <c r="BRC16" s="456"/>
      <c r="BRD16" s="456"/>
      <c r="BRE16" s="456"/>
      <c r="BRF16" s="456"/>
      <c r="BRG16" s="456"/>
      <c r="BRH16" s="456"/>
      <c r="BRI16" s="456"/>
      <c r="BRJ16" s="456"/>
      <c r="BRK16" s="456"/>
      <c r="BRL16" s="456"/>
      <c r="BRM16" s="456"/>
      <c r="BRN16" s="456"/>
      <c r="BRO16" s="456"/>
      <c r="BRP16" s="456"/>
      <c r="BRQ16" s="456"/>
      <c r="BRR16" s="456"/>
      <c r="BRS16" s="456"/>
      <c r="BRT16" s="456"/>
      <c r="BRU16" s="456"/>
      <c r="BRV16" s="456"/>
      <c r="BRW16" s="456"/>
      <c r="BRX16" s="456"/>
      <c r="BRY16" s="456"/>
      <c r="BRZ16" s="456"/>
      <c r="BSA16" s="456"/>
      <c r="BSB16" s="456"/>
      <c r="BSC16" s="456"/>
      <c r="BSD16" s="456"/>
      <c r="BSE16" s="456"/>
      <c r="BSF16" s="456"/>
      <c r="BSG16" s="456"/>
      <c r="BSH16" s="456"/>
      <c r="BSI16" s="456"/>
      <c r="BSJ16" s="456"/>
      <c r="BSK16" s="456"/>
      <c r="BSL16" s="456"/>
      <c r="BSM16" s="456"/>
      <c r="BSN16" s="456"/>
      <c r="BSO16" s="456"/>
      <c r="BSP16" s="456"/>
      <c r="BSQ16" s="456"/>
      <c r="BSR16" s="456"/>
      <c r="BSS16" s="456"/>
      <c r="BST16" s="456"/>
      <c r="BSU16" s="456"/>
      <c r="BSV16" s="456"/>
      <c r="BSW16" s="456"/>
      <c r="BSX16" s="456"/>
      <c r="BSY16" s="456"/>
      <c r="BSZ16" s="456"/>
      <c r="BTA16" s="456"/>
      <c r="BTB16" s="456"/>
      <c r="BTC16" s="456"/>
      <c r="BTD16" s="456"/>
      <c r="BTE16" s="456"/>
      <c r="BTF16" s="456"/>
      <c r="BTG16" s="456"/>
      <c r="BTH16" s="456"/>
      <c r="BTI16" s="456"/>
      <c r="BTJ16" s="456"/>
      <c r="BTK16" s="456"/>
      <c r="BTL16" s="456"/>
      <c r="BTM16" s="456"/>
      <c r="BTN16" s="456"/>
      <c r="BTO16" s="456"/>
      <c r="BTP16" s="456"/>
      <c r="BTQ16" s="456"/>
      <c r="BTR16" s="456"/>
      <c r="BTS16" s="456"/>
      <c r="BTT16" s="456"/>
      <c r="BTU16" s="456"/>
      <c r="BTV16" s="456"/>
      <c r="BTW16" s="456"/>
      <c r="BTX16" s="456"/>
      <c r="BTY16" s="456"/>
      <c r="BTZ16" s="456"/>
      <c r="BUA16" s="456"/>
      <c r="BUB16" s="456"/>
      <c r="BUC16" s="456"/>
      <c r="BUD16" s="456"/>
      <c r="BUE16" s="456"/>
      <c r="BUF16" s="456"/>
      <c r="BUG16" s="456"/>
      <c r="BUH16" s="456"/>
      <c r="BUI16" s="456"/>
      <c r="BUJ16" s="456"/>
      <c r="BUK16" s="456"/>
      <c r="BUL16" s="456"/>
      <c r="BUM16" s="456"/>
      <c r="BUN16" s="456"/>
      <c r="BUO16" s="456"/>
      <c r="BUP16" s="456"/>
      <c r="BUQ16" s="456"/>
      <c r="BUR16" s="456"/>
      <c r="BUS16" s="456"/>
      <c r="BUT16" s="456"/>
      <c r="BUU16" s="456"/>
      <c r="BUV16" s="456"/>
      <c r="BUW16" s="456"/>
      <c r="BUX16" s="456"/>
      <c r="BUY16" s="456"/>
      <c r="BUZ16" s="456"/>
      <c r="BVA16" s="456"/>
      <c r="BVB16" s="456"/>
      <c r="BVC16" s="456"/>
      <c r="BVD16" s="456"/>
      <c r="BVE16" s="456"/>
      <c r="BVF16" s="456"/>
      <c r="BVG16" s="456"/>
      <c r="BVH16" s="456"/>
      <c r="BVI16" s="456"/>
      <c r="BVJ16" s="456"/>
      <c r="BVK16" s="456"/>
      <c r="BVL16" s="456"/>
      <c r="BVM16" s="456"/>
      <c r="BVN16" s="456"/>
      <c r="BVO16" s="456"/>
      <c r="BVP16" s="456"/>
      <c r="BVQ16" s="456"/>
      <c r="BVR16" s="456"/>
      <c r="BVS16" s="456"/>
      <c r="BVT16" s="456"/>
      <c r="BVU16" s="456"/>
      <c r="BVV16" s="456"/>
      <c r="BVW16" s="456"/>
      <c r="BVX16" s="456"/>
      <c r="BVY16" s="456"/>
      <c r="BVZ16" s="456"/>
      <c r="BWA16" s="456"/>
      <c r="BWB16" s="456"/>
      <c r="BWC16" s="456"/>
      <c r="BWD16" s="456"/>
      <c r="BWE16" s="456"/>
      <c r="BWF16" s="456"/>
      <c r="BWG16" s="456"/>
      <c r="BWH16" s="456"/>
      <c r="BWI16" s="456"/>
      <c r="BWJ16" s="456"/>
      <c r="BWK16" s="456"/>
      <c r="BWL16" s="456"/>
      <c r="BWM16" s="456"/>
      <c r="BWN16" s="456"/>
      <c r="BWO16" s="456"/>
      <c r="BWP16" s="456"/>
      <c r="BWQ16" s="456"/>
      <c r="BWR16" s="456"/>
      <c r="BWS16" s="456"/>
      <c r="BWT16" s="456"/>
      <c r="BWU16" s="456"/>
      <c r="BWV16" s="456"/>
      <c r="BWW16" s="456"/>
      <c r="BWX16" s="456"/>
      <c r="BWY16" s="456"/>
      <c r="BWZ16" s="456"/>
      <c r="BXA16" s="456"/>
      <c r="BXB16" s="456"/>
      <c r="BXC16" s="456"/>
      <c r="BXD16" s="456"/>
      <c r="BXE16" s="456"/>
      <c r="BXF16" s="456"/>
      <c r="BXG16" s="456"/>
      <c r="BXH16" s="456"/>
      <c r="BXI16" s="456"/>
      <c r="BXJ16" s="456"/>
      <c r="BXK16" s="456"/>
      <c r="BXL16" s="456"/>
      <c r="BXM16" s="456"/>
      <c r="BXN16" s="456"/>
      <c r="BXO16" s="456"/>
      <c r="BXP16" s="456"/>
      <c r="BXQ16" s="456"/>
      <c r="BXR16" s="456"/>
      <c r="BXS16" s="456"/>
      <c r="BXT16" s="456"/>
      <c r="BXU16" s="456"/>
      <c r="BXV16" s="456"/>
      <c r="BXW16" s="456"/>
      <c r="BXX16" s="456"/>
      <c r="BXY16" s="456"/>
      <c r="BXZ16" s="456"/>
    </row>
    <row r="17" spans="1:1024 1025:2002">
      <c r="A17" s="474"/>
      <c r="B17" s="75">
        <v>1113</v>
      </c>
      <c r="C17" s="213">
        <v>46143</v>
      </c>
      <c r="D17" s="18" t="s">
        <v>63</v>
      </c>
      <c r="E17" s="18" t="s">
        <v>64</v>
      </c>
      <c r="F17" s="18" t="s">
        <v>54</v>
      </c>
      <c r="G17" s="18"/>
      <c r="H17" s="75">
        <v>1.2311</v>
      </c>
      <c r="I17" s="137" t="s">
        <v>65</v>
      </c>
      <c r="J17" s="18" t="s">
        <v>49</v>
      </c>
      <c r="K17" s="75">
        <v>2200</v>
      </c>
      <c r="L17" s="111">
        <v>25</v>
      </c>
      <c r="M17" s="75">
        <v>5000</v>
      </c>
      <c r="N17" s="75" t="s">
        <v>66</v>
      </c>
      <c r="O17" s="75" t="s">
        <v>67</v>
      </c>
      <c r="P17" s="205">
        <v>2158.75</v>
      </c>
      <c r="Q17" s="75"/>
      <c r="R17" s="112">
        <f t="shared" si="0"/>
        <v>2158.75</v>
      </c>
      <c r="S17" s="75">
        <v>790</v>
      </c>
      <c r="T17" s="75" t="s">
        <v>42</v>
      </c>
      <c r="U17" s="137" t="s">
        <v>68</v>
      </c>
      <c r="V17" s="193">
        <v>46147</v>
      </c>
      <c r="W17" s="18" t="s">
        <v>69</v>
      </c>
      <c r="X17" s="18"/>
      <c r="Y17" s="114">
        <v>46174</v>
      </c>
      <c r="Z17" s="18" t="s">
        <v>70</v>
      </c>
      <c r="AA17" s="18" t="s">
        <v>46</v>
      </c>
      <c r="AB17" s="18"/>
      <c r="AC17" s="137"/>
      <c r="AD17" s="77"/>
      <c r="AE17" s="18" t="s">
        <v>48</v>
      </c>
      <c r="AF17" s="18"/>
      <c r="AG17" s="18"/>
    </row>
    <row r="18" spans="1:1024 1025:2002">
      <c r="A18" s="474"/>
      <c r="B18" s="75">
        <v>1113</v>
      </c>
      <c r="C18" s="213">
        <v>46143</v>
      </c>
      <c r="D18" s="18" t="s">
        <v>63</v>
      </c>
      <c r="E18" s="18" t="s">
        <v>64</v>
      </c>
      <c r="F18" s="18" t="s">
        <v>54</v>
      </c>
      <c r="G18" s="18"/>
      <c r="H18" s="75">
        <v>1.2311</v>
      </c>
      <c r="I18" s="137" t="s">
        <v>65</v>
      </c>
      <c r="J18" s="18" t="s">
        <v>49</v>
      </c>
      <c r="K18" s="75">
        <v>2200</v>
      </c>
      <c r="L18" s="111">
        <v>32</v>
      </c>
      <c r="M18" s="75">
        <v>5000</v>
      </c>
      <c r="N18" s="75" t="s">
        <v>66</v>
      </c>
      <c r="O18" s="75" t="s">
        <v>67</v>
      </c>
      <c r="P18" s="112">
        <v>2763.2</v>
      </c>
      <c r="Q18" s="75"/>
      <c r="R18" s="112">
        <f t="shared" si="0"/>
        <v>2763.2</v>
      </c>
      <c r="S18" s="75">
        <v>790</v>
      </c>
      <c r="T18" s="75" t="s">
        <v>42</v>
      </c>
      <c r="U18" s="137" t="s">
        <v>68</v>
      </c>
      <c r="V18" s="193">
        <v>46147</v>
      </c>
      <c r="W18" s="18" t="s">
        <v>69</v>
      </c>
      <c r="X18" s="18"/>
      <c r="Y18" s="114">
        <v>46174</v>
      </c>
      <c r="Z18" s="18" t="s">
        <v>70</v>
      </c>
      <c r="AA18" s="18" t="s">
        <v>46</v>
      </c>
      <c r="AB18" s="18"/>
      <c r="AC18" s="137"/>
      <c r="AD18" s="77"/>
      <c r="AE18" s="18" t="s">
        <v>48</v>
      </c>
      <c r="AF18" s="18"/>
      <c r="AG18" s="18"/>
    </row>
    <row r="19" spans="1:1024 1025:2002">
      <c r="A19" s="474"/>
      <c r="B19" s="75">
        <v>1113</v>
      </c>
      <c r="C19" s="213">
        <v>46143</v>
      </c>
      <c r="D19" s="18" t="s">
        <v>63</v>
      </c>
      <c r="E19" s="18" t="s">
        <v>64</v>
      </c>
      <c r="F19" s="18" t="s">
        <v>54</v>
      </c>
      <c r="G19" s="18"/>
      <c r="H19" s="75">
        <v>1.2311</v>
      </c>
      <c r="I19" s="137" t="s">
        <v>65</v>
      </c>
      <c r="J19" s="18" t="s">
        <v>49</v>
      </c>
      <c r="K19" s="75">
        <v>2200</v>
      </c>
      <c r="L19" s="111">
        <v>36</v>
      </c>
      <c r="M19" s="75">
        <v>5000</v>
      </c>
      <c r="N19" s="75" t="s">
        <v>66</v>
      </c>
      <c r="O19" s="75" t="s">
        <v>67</v>
      </c>
      <c r="P19" s="112">
        <v>3108.6</v>
      </c>
      <c r="Q19" s="75"/>
      <c r="R19" s="112">
        <f t="shared" si="0"/>
        <v>3108.6</v>
      </c>
      <c r="S19" s="75">
        <v>790</v>
      </c>
      <c r="T19" s="75" t="s">
        <v>42</v>
      </c>
      <c r="U19" s="137" t="s">
        <v>68</v>
      </c>
      <c r="V19" s="193">
        <v>46147</v>
      </c>
      <c r="W19" s="18" t="s">
        <v>69</v>
      </c>
      <c r="X19" s="18"/>
      <c r="Y19" s="114">
        <v>46174</v>
      </c>
      <c r="Z19" s="18" t="s">
        <v>70</v>
      </c>
      <c r="AA19" s="18" t="s">
        <v>46</v>
      </c>
      <c r="AB19" s="18"/>
      <c r="AC19" s="137"/>
      <c r="AD19" s="77"/>
      <c r="AE19" s="18" t="s">
        <v>48</v>
      </c>
      <c r="AF19" s="18"/>
      <c r="AG19" s="18"/>
    </row>
    <row r="20" spans="1:1024 1025:2002">
      <c r="A20" s="474"/>
      <c r="B20" s="75">
        <v>1113</v>
      </c>
      <c r="C20" s="213">
        <v>46143</v>
      </c>
      <c r="D20" s="18" t="s">
        <v>63</v>
      </c>
      <c r="E20" s="18" t="s">
        <v>64</v>
      </c>
      <c r="F20" s="18" t="s">
        <v>54</v>
      </c>
      <c r="G20" s="18"/>
      <c r="H20" s="75">
        <v>1.2311</v>
      </c>
      <c r="I20" s="137" t="s">
        <v>65</v>
      </c>
      <c r="J20" s="18" t="s">
        <v>49</v>
      </c>
      <c r="K20" s="75">
        <v>2200</v>
      </c>
      <c r="L20" s="111">
        <v>41</v>
      </c>
      <c r="M20" s="75">
        <v>5000</v>
      </c>
      <c r="N20" s="75" t="s">
        <v>66</v>
      </c>
      <c r="O20" s="75" t="s">
        <v>67</v>
      </c>
      <c r="P20" s="112">
        <v>7080.7</v>
      </c>
      <c r="Q20" s="75"/>
      <c r="R20" s="112">
        <f t="shared" si="0"/>
        <v>7080.7</v>
      </c>
      <c r="S20" s="75">
        <v>790</v>
      </c>
      <c r="T20" s="75" t="s">
        <v>42</v>
      </c>
      <c r="U20" s="137" t="s">
        <v>68</v>
      </c>
      <c r="V20" s="193">
        <v>46147</v>
      </c>
      <c r="W20" s="18" t="s">
        <v>69</v>
      </c>
      <c r="X20" s="18"/>
      <c r="Y20" s="114">
        <v>46174</v>
      </c>
      <c r="Z20" s="18" t="s">
        <v>70</v>
      </c>
      <c r="AA20" s="18" t="s">
        <v>46</v>
      </c>
      <c r="AB20" s="18"/>
      <c r="AC20" s="137"/>
      <c r="AD20" s="77"/>
      <c r="AE20" s="18" t="s">
        <v>48</v>
      </c>
      <c r="AF20" s="18"/>
      <c r="AG20" s="18"/>
    </row>
    <row r="21" spans="1:1024 1025:2002">
      <c r="A21" s="474"/>
      <c r="B21" s="75">
        <v>1113</v>
      </c>
      <c r="C21" s="213">
        <v>46143</v>
      </c>
      <c r="D21" s="18" t="s">
        <v>63</v>
      </c>
      <c r="E21" s="18" t="s">
        <v>64</v>
      </c>
      <c r="F21" s="18" t="s">
        <v>54</v>
      </c>
      <c r="G21" s="18"/>
      <c r="H21" s="75">
        <v>1.2311</v>
      </c>
      <c r="I21" s="137" t="s">
        <v>65</v>
      </c>
      <c r="J21" s="18" t="s">
        <v>49</v>
      </c>
      <c r="K21" s="75">
        <v>2200</v>
      </c>
      <c r="L21" s="111">
        <v>45</v>
      </c>
      <c r="M21" s="75">
        <v>5000</v>
      </c>
      <c r="N21" s="75" t="s">
        <v>66</v>
      </c>
      <c r="O21" s="75" t="s">
        <v>67</v>
      </c>
      <c r="P21" s="112">
        <v>7771.5</v>
      </c>
      <c r="Q21" s="75"/>
      <c r="R21" s="112">
        <f t="shared" si="0"/>
        <v>7771.5</v>
      </c>
      <c r="S21" s="75">
        <v>790</v>
      </c>
      <c r="T21" s="75" t="s">
        <v>42</v>
      </c>
      <c r="U21" s="137" t="s">
        <v>68</v>
      </c>
      <c r="V21" s="193">
        <v>46147</v>
      </c>
      <c r="W21" s="18" t="s">
        <v>69</v>
      </c>
      <c r="X21" s="18"/>
      <c r="Y21" s="114">
        <v>46174</v>
      </c>
      <c r="Z21" s="18" t="s">
        <v>70</v>
      </c>
      <c r="AA21" s="18" t="s">
        <v>46</v>
      </c>
      <c r="AB21" s="18"/>
      <c r="AC21" s="137"/>
      <c r="AD21" s="77"/>
      <c r="AE21" s="18" t="s">
        <v>48</v>
      </c>
      <c r="AF21" s="18"/>
      <c r="AG21" s="18"/>
    </row>
    <row r="22" spans="1:1024 1025:2002">
      <c r="A22" s="474"/>
      <c r="B22" s="75">
        <v>1113</v>
      </c>
      <c r="C22" s="213">
        <v>46143</v>
      </c>
      <c r="D22" s="18" t="s">
        <v>63</v>
      </c>
      <c r="E22" s="18" t="s">
        <v>64</v>
      </c>
      <c r="F22" s="18" t="s">
        <v>54</v>
      </c>
      <c r="G22" s="18"/>
      <c r="H22" s="75">
        <v>1.2311</v>
      </c>
      <c r="I22" s="137" t="s">
        <v>65</v>
      </c>
      <c r="J22" s="18" t="s">
        <v>49</v>
      </c>
      <c r="K22" s="75">
        <v>2200</v>
      </c>
      <c r="L22" s="111">
        <v>51</v>
      </c>
      <c r="M22" s="75">
        <v>5000</v>
      </c>
      <c r="N22" s="75" t="s">
        <v>66</v>
      </c>
      <c r="O22" s="75" t="s">
        <v>67</v>
      </c>
      <c r="P22" s="112">
        <v>13211.55</v>
      </c>
      <c r="Q22" s="75"/>
      <c r="R22" s="112">
        <f t="shared" si="0"/>
        <v>13211.55</v>
      </c>
      <c r="S22" s="75">
        <v>790</v>
      </c>
      <c r="T22" s="75" t="s">
        <v>42</v>
      </c>
      <c r="U22" s="137" t="s">
        <v>68</v>
      </c>
      <c r="V22" s="193">
        <v>46147</v>
      </c>
      <c r="W22" s="18" t="s">
        <v>69</v>
      </c>
      <c r="X22" s="18"/>
      <c r="Y22" s="114">
        <v>46174</v>
      </c>
      <c r="Z22" s="18" t="s">
        <v>70</v>
      </c>
      <c r="AA22" s="18" t="s">
        <v>46</v>
      </c>
      <c r="AB22" s="18"/>
      <c r="AC22" s="137"/>
      <c r="AD22" s="77"/>
      <c r="AE22" s="18" t="s">
        <v>48</v>
      </c>
      <c r="AF22" s="18"/>
      <c r="AG22" s="18"/>
    </row>
    <row r="23" spans="1:1024 1025:2002">
      <c r="A23" s="474"/>
      <c r="B23" s="75">
        <v>1113</v>
      </c>
      <c r="C23" s="213">
        <v>46143</v>
      </c>
      <c r="D23" s="18" t="s">
        <v>63</v>
      </c>
      <c r="E23" s="18" t="s">
        <v>64</v>
      </c>
      <c r="F23" s="18" t="s">
        <v>54</v>
      </c>
      <c r="G23" s="18"/>
      <c r="H23" s="75">
        <v>1.2311</v>
      </c>
      <c r="I23" s="137" t="s">
        <v>65</v>
      </c>
      <c r="J23" s="18" t="s">
        <v>49</v>
      </c>
      <c r="K23" s="75">
        <v>2200</v>
      </c>
      <c r="L23" s="111">
        <v>56</v>
      </c>
      <c r="M23" s="75">
        <v>5000</v>
      </c>
      <c r="N23" s="75" t="s">
        <v>66</v>
      </c>
      <c r="O23" s="75" t="s">
        <v>67</v>
      </c>
      <c r="P23" s="112">
        <v>9671.2</v>
      </c>
      <c r="Q23" s="75"/>
      <c r="R23" s="112">
        <f t="shared" si="0"/>
        <v>9671.2</v>
      </c>
      <c r="S23" s="75">
        <v>790</v>
      </c>
      <c r="T23" s="75" t="s">
        <v>42</v>
      </c>
      <c r="U23" s="137" t="s">
        <v>68</v>
      </c>
      <c r="V23" s="193">
        <v>46147</v>
      </c>
      <c r="W23" s="18" t="s">
        <v>69</v>
      </c>
      <c r="X23" s="18"/>
      <c r="Y23" s="114">
        <v>46174</v>
      </c>
      <c r="Z23" s="18" t="s">
        <v>70</v>
      </c>
      <c r="AA23" s="18" t="s">
        <v>46</v>
      </c>
      <c r="AB23" s="18"/>
      <c r="AC23" s="137"/>
      <c r="AD23" s="77"/>
      <c r="AE23" s="18" t="s">
        <v>48</v>
      </c>
      <c r="AF23" s="18"/>
      <c r="AG23" s="18"/>
    </row>
    <row r="24" spans="1:1024 1025:2002">
      <c r="A24" s="474"/>
      <c r="B24" s="75">
        <v>1113</v>
      </c>
      <c r="C24" s="213">
        <v>46143</v>
      </c>
      <c r="D24" s="18" t="s">
        <v>63</v>
      </c>
      <c r="E24" s="18" t="s">
        <v>64</v>
      </c>
      <c r="F24" s="18" t="s">
        <v>54</v>
      </c>
      <c r="G24" s="18"/>
      <c r="H24" s="75">
        <v>1.2311</v>
      </c>
      <c r="I24" s="137" t="s">
        <v>65</v>
      </c>
      <c r="J24" s="18" t="s">
        <v>49</v>
      </c>
      <c r="K24" s="75">
        <v>2200</v>
      </c>
      <c r="L24" s="111">
        <v>61</v>
      </c>
      <c r="M24" s="75">
        <v>5000</v>
      </c>
      <c r="N24" s="75" t="s">
        <v>66</v>
      </c>
      <c r="O24" s="75" t="s">
        <v>67</v>
      </c>
      <c r="P24" s="112">
        <v>5267.35</v>
      </c>
      <c r="Q24" s="75"/>
      <c r="R24" s="112">
        <f t="shared" si="0"/>
        <v>5267.35</v>
      </c>
      <c r="S24" s="75">
        <v>790</v>
      </c>
      <c r="T24" s="75" t="s">
        <v>42</v>
      </c>
      <c r="U24" s="137" t="s">
        <v>68</v>
      </c>
      <c r="V24" s="193">
        <v>46147</v>
      </c>
      <c r="W24" s="18" t="s">
        <v>69</v>
      </c>
      <c r="X24" s="18"/>
      <c r="Y24" s="114">
        <v>46174</v>
      </c>
      <c r="Z24" s="18" t="s">
        <v>70</v>
      </c>
      <c r="AA24" s="18" t="s">
        <v>46</v>
      </c>
      <c r="AB24" s="18"/>
      <c r="AC24" s="137"/>
      <c r="AD24" s="77"/>
      <c r="AE24" s="18" t="s">
        <v>48</v>
      </c>
      <c r="AF24" s="18"/>
      <c r="AG24" s="18"/>
    </row>
    <row r="25" spans="1:1024 1025:2002">
      <c r="A25" s="474"/>
      <c r="B25" s="75">
        <v>1113</v>
      </c>
      <c r="C25" s="213">
        <v>46143</v>
      </c>
      <c r="D25" s="18" t="s">
        <v>63</v>
      </c>
      <c r="E25" s="18" t="s">
        <v>64</v>
      </c>
      <c r="F25" s="18" t="s">
        <v>54</v>
      </c>
      <c r="G25" s="18"/>
      <c r="H25" s="75">
        <v>1.2311</v>
      </c>
      <c r="I25" s="137" t="s">
        <v>65</v>
      </c>
      <c r="J25" s="18" t="s">
        <v>49</v>
      </c>
      <c r="K25" s="75">
        <v>2200</v>
      </c>
      <c r="L25" s="111">
        <v>65</v>
      </c>
      <c r="M25" s="75">
        <v>5000</v>
      </c>
      <c r="N25" s="75" t="s">
        <v>66</v>
      </c>
      <c r="O25" s="75" t="s">
        <v>67</v>
      </c>
      <c r="P25" s="112">
        <v>5612.75</v>
      </c>
      <c r="Q25" s="75"/>
      <c r="R25" s="112">
        <f t="shared" si="0"/>
        <v>5612.75</v>
      </c>
      <c r="S25" s="75">
        <v>790</v>
      </c>
      <c r="T25" s="75" t="s">
        <v>42</v>
      </c>
      <c r="U25" s="137" t="s">
        <v>68</v>
      </c>
      <c r="V25" s="193">
        <v>46147</v>
      </c>
      <c r="W25" s="18" t="s">
        <v>69</v>
      </c>
      <c r="X25" s="18"/>
      <c r="Y25" s="114">
        <v>46174</v>
      </c>
      <c r="Z25" s="18" t="s">
        <v>70</v>
      </c>
      <c r="AA25" s="18" t="s">
        <v>46</v>
      </c>
      <c r="AB25" s="18"/>
      <c r="AC25" s="137"/>
      <c r="AD25" s="77"/>
      <c r="AE25" s="18" t="s">
        <v>48</v>
      </c>
      <c r="AF25" s="18"/>
      <c r="AG25" s="18"/>
    </row>
    <row r="26" spans="1:1024 1025:2002">
      <c r="A26" s="474"/>
      <c r="B26" s="75">
        <v>1113</v>
      </c>
      <c r="C26" s="213">
        <v>46143</v>
      </c>
      <c r="D26" s="18" t="s">
        <v>63</v>
      </c>
      <c r="E26" s="18" t="s">
        <v>64</v>
      </c>
      <c r="F26" s="18" t="s">
        <v>54</v>
      </c>
      <c r="G26" s="18"/>
      <c r="H26" s="75">
        <v>1.2311</v>
      </c>
      <c r="I26" s="137" t="s">
        <v>65</v>
      </c>
      <c r="J26" s="18" t="s">
        <v>49</v>
      </c>
      <c r="K26" s="75">
        <v>2200</v>
      </c>
      <c r="L26" s="111">
        <v>71</v>
      </c>
      <c r="M26" s="75">
        <v>5000</v>
      </c>
      <c r="N26" s="75" t="s">
        <v>66</v>
      </c>
      <c r="O26" s="75" t="s">
        <v>67</v>
      </c>
      <c r="P26" s="112">
        <v>6130.85</v>
      </c>
      <c r="Q26" s="75"/>
      <c r="R26" s="112">
        <f t="shared" si="0"/>
        <v>6130.85</v>
      </c>
      <c r="S26" s="75">
        <v>790</v>
      </c>
      <c r="T26" s="75" t="s">
        <v>42</v>
      </c>
      <c r="U26" s="137" t="s">
        <v>68</v>
      </c>
      <c r="V26" s="193">
        <v>46147</v>
      </c>
      <c r="W26" s="18" t="s">
        <v>69</v>
      </c>
      <c r="X26" s="18"/>
      <c r="Y26" s="114">
        <v>46174</v>
      </c>
      <c r="Z26" s="18" t="s">
        <v>70</v>
      </c>
      <c r="AA26" s="18" t="s">
        <v>46</v>
      </c>
      <c r="AB26" s="18"/>
      <c r="AC26" s="137"/>
      <c r="AD26" s="77"/>
      <c r="AE26" s="18" t="s">
        <v>48</v>
      </c>
      <c r="AF26" s="18"/>
      <c r="AG26" s="18"/>
    </row>
    <row r="27" spans="1:1024 1025:2002">
      <c r="A27" s="474"/>
      <c r="B27" s="75">
        <v>1113</v>
      </c>
      <c r="C27" s="213">
        <v>46143</v>
      </c>
      <c r="D27" s="18" t="s">
        <v>63</v>
      </c>
      <c r="E27" s="18" t="s">
        <v>64</v>
      </c>
      <c r="F27" s="18" t="s">
        <v>54</v>
      </c>
      <c r="G27" s="18"/>
      <c r="H27" s="75">
        <v>1.2311</v>
      </c>
      <c r="I27" s="137" t="s">
        <v>65</v>
      </c>
      <c r="J27" s="18" t="s">
        <v>49</v>
      </c>
      <c r="K27" s="75">
        <v>2200</v>
      </c>
      <c r="L27" s="111">
        <v>80</v>
      </c>
      <c r="M27" s="75">
        <v>5000</v>
      </c>
      <c r="N27" s="75" t="s">
        <v>66</v>
      </c>
      <c r="O27" s="75" t="s">
        <v>67</v>
      </c>
      <c r="P27" s="112">
        <v>6908</v>
      </c>
      <c r="Q27" s="75"/>
      <c r="R27" s="112">
        <f t="shared" si="0"/>
        <v>6908</v>
      </c>
      <c r="S27" s="75">
        <v>790</v>
      </c>
      <c r="T27" s="75" t="s">
        <v>42</v>
      </c>
      <c r="U27" s="137" t="s">
        <v>68</v>
      </c>
      <c r="V27" s="193">
        <v>46147</v>
      </c>
      <c r="W27" s="18" t="s">
        <v>69</v>
      </c>
      <c r="X27" s="18"/>
      <c r="Y27" s="114">
        <v>46174</v>
      </c>
      <c r="Z27" s="18" t="s">
        <v>70</v>
      </c>
      <c r="AA27" s="18" t="s">
        <v>46</v>
      </c>
      <c r="AB27" s="18"/>
      <c r="AC27" s="137"/>
      <c r="AD27" s="77"/>
      <c r="AE27" s="18" t="s">
        <v>48</v>
      </c>
      <c r="AF27" s="18"/>
      <c r="AG27" s="18"/>
    </row>
    <row r="28" spans="1:1024 1025:2002">
      <c r="A28" s="474"/>
      <c r="B28" s="75">
        <v>1113</v>
      </c>
      <c r="C28" s="213">
        <v>46143</v>
      </c>
      <c r="D28" s="18" t="s">
        <v>63</v>
      </c>
      <c r="E28" s="18" t="s">
        <v>64</v>
      </c>
      <c r="F28" s="18" t="s">
        <v>54</v>
      </c>
      <c r="G28" s="18"/>
      <c r="H28" s="75">
        <v>1.2311</v>
      </c>
      <c r="I28" s="137" t="s">
        <v>65</v>
      </c>
      <c r="J28" s="18" t="s">
        <v>49</v>
      </c>
      <c r="K28" s="75">
        <v>2200</v>
      </c>
      <c r="L28" s="111">
        <v>90</v>
      </c>
      <c r="M28" s="75">
        <v>5000</v>
      </c>
      <c r="N28" s="75" t="s">
        <v>66</v>
      </c>
      <c r="O28" s="75" t="s">
        <v>67</v>
      </c>
      <c r="P28" s="112">
        <v>7771.5</v>
      </c>
      <c r="Q28" s="75"/>
      <c r="R28" s="112">
        <f t="shared" si="0"/>
        <v>7771.5</v>
      </c>
      <c r="S28" s="75">
        <v>790</v>
      </c>
      <c r="T28" s="75" t="s">
        <v>42</v>
      </c>
      <c r="U28" s="137" t="s">
        <v>68</v>
      </c>
      <c r="V28" s="193">
        <v>46147</v>
      </c>
      <c r="W28" s="18" t="s">
        <v>69</v>
      </c>
      <c r="X28" s="18"/>
      <c r="Y28" s="114">
        <v>46174</v>
      </c>
      <c r="Z28" s="18" t="s">
        <v>70</v>
      </c>
      <c r="AA28" s="18" t="s">
        <v>46</v>
      </c>
      <c r="AB28" s="18"/>
      <c r="AC28" s="137"/>
      <c r="AD28" s="77"/>
      <c r="AE28" s="18" t="s">
        <v>48</v>
      </c>
      <c r="AF28" s="18"/>
      <c r="AG28" s="18"/>
    </row>
    <row r="29" spans="1:1024 1025:2002">
      <c r="A29" s="474"/>
      <c r="B29" s="75">
        <v>1113</v>
      </c>
      <c r="C29" s="213">
        <v>46143</v>
      </c>
      <c r="D29" s="18" t="s">
        <v>63</v>
      </c>
      <c r="E29" s="18" t="s">
        <v>64</v>
      </c>
      <c r="F29" s="18" t="s">
        <v>54</v>
      </c>
      <c r="G29" s="18"/>
      <c r="H29" s="75">
        <v>1.2311</v>
      </c>
      <c r="I29" s="137" t="s">
        <v>65</v>
      </c>
      <c r="J29" s="18" t="s">
        <v>49</v>
      </c>
      <c r="K29" s="75">
        <v>2200</v>
      </c>
      <c r="L29" s="111">
        <v>105</v>
      </c>
      <c r="M29" s="75">
        <v>5000</v>
      </c>
      <c r="N29" s="75" t="s">
        <v>66</v>
      </c>
      <c r="O29" s="75" t="s">
        <v>67</v>
      </c>
      <c r="P29" s="112">
        <v>9066.75</v>
      </c>
      <c r="Q29" s="75"/>
      <c r="R29" s="112">
        <f t="shared" si="0"/>
        <v>9066.75</v>
      </c>
      <c r="S29" s="75">
        <v>790</v>
      </c>
      <c r="T29" s="75" t="s">
        <v>42</v>
      </c>
      <c r="U29" s="137" t="s">
        <v>68</v>
      </c>
      <c r="V29" s="193">
        <v>46147</v>
      </c>
      <c r="W29" s="18" t="s">
        <v>69</v>
      </c>
      <c r="X29" s="18"/>
      <c r="Y29" s="114">
        <v>46174</v>
      </c>
      <c r="Z29" s="18" t="s">
        <v>70</v>
      </c>
      <c r="AA29" s="18" t="s">
        <v>46</v>
      </c>
      <c r="AB29" s="18"/>
      <c r="AC29" s="137"/>
      <c r="AD29" s="77"/>
      <c r="AE29" s="18" t="s">
        <v>48</v>
      </c>
      <c r="AF29" s="18"/>
      <c r="AG29" s="18"/>
    </row>
    <row r="30" spans="1:1024 1025:2002">
      <c r="A30" s="474"/>
      <c r="B30" s="75">
        <v>1113</v>
      </c>
      <c r="C30" s="213">
        <v>46143</v>
      </c>
      <c r="D30" s="18" t="s">
        <v>63</v>
      </c>
      <c r="E30" s="18" t="s">
        <v>64</v>
      </c>
      <c r="F30" s="18" t="s">
        <v>54</v>
      </c>
      <c r="G30" s="18"/>
      <c r="H30" s="75">
        <v>1.2311</v>
      </c>
      <c r="I30" s="137" t="s">
        <v>65</v>
      </c>
      <c r="J30" s="18" t="s">
        <v>49</v>
      </c>
      <c r="K30" s="75">
        <v>2200</v>
      </c>
      <c r="L30" s="111">
        <v>110</v>
      </c>
      <c r="M30" s="75">
        <v>5000</v>
      </c>
      <c r="N30" s="75" t="s">
        <v>66</v>
      </c>
      <c r="O30" s="75" t="s">
        <v>67</v>
      </c>
      <c r="P30" s="112">
        <v>9498.5</v>
      </c>
      <c r="Q30" s="75"/>
      <c r="R30" s="112">
        <f t="shared" si="0"/>
        <v>9498.5</v>
      </c>
      <c r="S30" s="75">
        <v>790</v>
      </c>
      <c r="T30" s="75" t="s">
        <v>42</v>
      </c>
      <c r="U30" s="137" t="s">
        <v>68</v>
      </c>
      <c r="V30" s="193">
        <v>46147</v>
      </c>
      <c r="W30" s="18" t="s">
        <v>69</v>
      </c>
      <c r="X30" s="18"/>
      <c r="Y30" s="114">
        <v>46174</v>
      </c>
      <c r="Z30" s="18" t="s">
        <v>70</v>
      </c>
      <c r="AA30" s="18" t="s">
        <v>46</v>
      </c>
      <c r="AB30" s="18"/>
      <c r="AC30" s="137"/>
      <c r="AD30" s="77"/>
      <c r="AE30" s="18" t="s">
        <v>48</v>
      </c>
      <c r="AF30" s="18"/>
      <c r="AG30" s="18"/>
    </row>
    <row r="31" spans="1:1024 1025:2002">
      <c r="A31" s="474"/>
      <c r="B31" s="75">
        <v>1113</v>
      </c>
      <c r="C31" s="213">
        <v>46143</v>
      </c>
      <c r="D31" s="18" t="s">
        <v>63</v>
      </c>
      <c r="E31" s="18" t="s">
        <v>64</v>
      </c>
      <c r="F31" s="18" t="s">
        <v>54</v>
      </c>
      <c r="G31" s="18"/>
      <c r="H31" s="75">
        <v>1.2311</v>
      </c>
      <c r="I31" s="137" t="s">
        <v>65</v>
      </c>
      <c r="J31" s="18" t="s">
        <v>49</v>
      </c>
      <c r="K31" s="329">
        <v>2200</v>
      </c>
      <c r="L31" s="392">
        <v>120</v>
      </c>
      <c r="M31" s="75">
        <v>5000</v>
      </c>
      <c r="N31" s="75" t="s">
        <v>66</v>
      </c>
      <c r="O31" s="75" t="s">
        <v>67</v>
      </c>
      <c r="P31" s="112">
        <v>6217.2</v>
      </c>
      <c r="Q31" s="75"/>
      <c r="R31" s="112">
        <f t="shared" si="0"/>
        <v>6217.2</v>
      </c>
      <c r="S31" s="75">
        <v>790</v>
      </c>
      <c r="T31" s="75" t="s">
        <v>42</v>
      </c>
      <c r="U31" s="137" t="s">
        <v>68</v>
      </c>
      <c r="V31" s="193">
        <v>46147</v>
      </c>
      <c r="W31" s="18" t="s">
        <v>69</v>
      </c>
      <c r="X31" s="18"/>
      <c r="Y31" s="114">
        <v>46174</v>
      </c>
      <c r="Z31" s="18" t="s">
        <v>70</v>
      </c>
      <c r="AA31" s="18" t="s">
        <v>46</v>
      </c>
      <c r="AB31" s="18"/>
      <c r="AC31" s="137"/>
      <c r="AD31" s="77"/>
      <c r="AE31" s="18" t="s">
        <v>48</v>
      </c>
      <c r="AF31" s="18"/>
      <c r="AG31" s="18"/>
    </row>
    <row r="32" s="25" customFormat="1" spans="1:1024 1025:2002">
      <c r="A32" s="473"/>
      <c r="B32" s="19">
        <v>1117</v>
      </c>
      <c r="C32" s="183">
        <v>46174</v>
      </c>
      <c r="D32" s="17" t="s">
        <v>35</v>
      </c>
      <c r="E32" s="17" t="s">
        <v>71</v>
      </c>
      <c r="F32" s="17" t="s">
        <v>72</v>
      </c>
      <c r="G32" s="17"/>
      <c r="H32" s="19">
        <v>1.2379</v>
      </c>
      <c r="I32" s="19">
        <v>1.2379</v>
      </c>
      <c r="J32" s="17" t="s">
        <v>39</v>
      </c>
      <c r="K32" s="19">
        <v>123</v>
      </c>
      <c r="L32" s="91"/>
      <c r="M32" s="19">
        <v>5800</v>
      </c>
      <c r="N32" s="19" t="s">
        <v>40</v>
      </c>
      <c r="O32" s="19" t="s">
        <v>50</v>
      </c>
      <c r="P32" s="19">
        <v>10500</v>
      </c>
      <c r="Q32" s="19">
        <f>1865+1485+1690+1430+1405+1540</f>
        <v>9415</v>
      </c>
      <c r="R32" s="19">
        <f t="shared" si="0"/>
        <v>1085</v>
      </c>
      <c r="S32" s="19">
        <v>2260</v>
      </c>
      <c r="T32" s="19" t="s">
        <v>42</v>
      </c>
      <c r="U32" s="102" t="s">
        <v>73</v>
      </c>
      <c r="V32" s="186">
        <v>46173</v>
      </c>
      <c r="W32" s="17" t="s">
        <v>44</v>
      </c>
      <c r="X32" s="17"/>
      <c r="Y32" s="68">
        <v>46296</v>
      </c>
      <c r="Z32" s="17" t="s">
        <v>45</v>
      </c>
      <c r="AA32" s="17" t="s">
        <v>46</v>
      </c>
      <c r="AB32" s="17"/>
      <c r="AC32" s="102"/>
      <c r="AD32" s="65">
        <v>1855</v>
      </c>
      <c r="AE32" s="17" t="s">
        <v>74</v>
      </c>
      <c r="AF32" s="17"/>
      <c r="AG32" s="17"/>
      <c r="AH32" s="456"/>
      <c r="AI32" s="456"/>
      <c r="AJ32" s="456"/>
      <c r="AK32" s="456"/>
      <c r="AL32" s="456"/>
      <c r="AM32" s="456"/>
      <c r="AN32" s="456"/>
      <c r="AO32" s="456"/>
      <c r="AP32" s="456"/>
      <c r="AQ32" s="456"/>
      <c r="AR32" s="456"/>
      <c r="AS32" s="456"/>
      <c r="AT32" s="456"/>
      <c r="AU32" s="456"/>
      <c r="AV32" s="456"/>
      <c r="AW32" s="456"/>
      <c r="AX32" s="456"/>
      <c r="AY32" s="456"/>
      <c r="AZ32" s="456"/>
      <c r="BA32" s="456"/>
      <c r="BB32" s="456"/>
      <c r="BC32" s="456"/>
      <c r="BD32" s="456"/>
      <c r="BE32" s="456"/>
      <c r="BF32" s="456"/>
      <c r="BG32" s="456"/>
      <c r="BH32" s="456"/>
      <c r="BI32" s="456"/>
      <c r="BJ32" s="456"/>
      <c r="BK32" s="456"/>
      <c r="BL32" s="456"/>
      <c r="BM32" s="456"/>
      <c r="BN32" s="456"/>
      <c r="BO32" s="456"/>
      <c r="BP32" s="456"/>
      <c r="BQ32" s="456"/>
      <c r="BR32" s="456"/>
      <c r="BS32" s="456"/>
      <c r="BT32" s="456"/>
      <c r="BU32" s="456"/>
      <c r="BV32" s="456"/>
      <c r="BW32" s="456"/>
      <c r="BX32" s="456"/>
      <c r="BY32" s="456"/>
      <c r="BZ32" s="456"/>
      <c r="CA32" s="456"/>
      <c r="CB32" s="456"/>
      <c r="CC32" s="456"/>
      <c r="CD32" s="456"/>
      <c r="CE32" s="456"/>
      <c r="CF32" s="456"/>
      <c r="CG32" s="456"/>
      <c r="CH32" s="456"/>
      <c r="CI32" s="456"/>
      <c r="CJ32" s="456"/>
      <c r="CK32" s="456"/>
      <c r="CL32" s="456"/>
      <c r="CM32" s="456"/>
      <c r="CN32" s="456"/>
      <c r="CO32" s="456"/>
      <c r="CP32" s="456"/>
      <c r="CQ32" s="456"/>
      <c r="CR32" s="456"/>
      <c r="CS32" s="456"/>
      <c r="CT32" s="456"/>
      <c r="CU32" s="456"/>
      <c r="CV32" s="456"/>
      <c r="CW32" s="456"/>
      <c r="CX32" s="456"/>
      <c r="CY32" s="456"/>
      <c r="CZ32" s="456"/>
      <c r="DA32" s="456"/>
      <c r="DB32" s="456"/>
      <c r="DC32" s="456"/>
      <c r="DD32" s="456"/>
      <c r="DE32" s="456"/>
      <c r="DF32" s="456"/>
      <c r="DG32" s="456"/>
      <c r="DH32" s="456"/>
      <c r="DI32" s="456"/>
      <c r="DJ32" s="456"/>
      <c r="DK32" s="456"/>
      <c r="DL32" s="456"/>
      <c r="DM32" s="456"/>
      <c r="DN32" s="456"/>
      <c r="DO32" s="456"/>
      <c r="DP32" s="456"/>
      <c r="DQ32" s="456"/>
      <c r="DR32" s="456"/>
      <c r="DS32" s="456"/>
      <c r="DT32" s="456"/>
      <c r="DU32" s="456"/>
      <c r="DV32" s="456"/>
      <c r="DW32" s="456"/>
      <c r="DX32" s="456"/>
      <c r="DY32" s="456"/>
      <c r="DZ32" s="456"/>
      <c r="EA32" s="456"/>
      <c r="EB32" s="456"/>
      <c r="EC32" s="456"/>
      <c r="ED32" s="456"/>
      <c r="EE32" s="456"/>
      <c r="EF32" s="456"/>
      <c r="EG32" s="456"/>
      <c r="EH32" s="456"/>
      <c r="EI32" s="456"/>
      <c r="EJ32" s="456"/>
      <c r="EK32" s="456"/>
      <c r="EL32" s="456"/>
      <c r="EM32" s="456"/>
      <c r="EN32" s="456"/>
      <c r="EO32" s="456"/>
      <c r="EP32" s="456"/>
      <c r="EQ32" s="456"/>
      <c r="ER32" s="456"/>
      <c r="ES32" s="456"/>
      <c r="ET32" s="456"/>
      <c r="EU32" s="456"/>
      <c r="EV32" s="456"/>
      <c r="EW32" s="456"/>
      <c r="EX32" s="456"/>
      <c r="EY32" s="456"/>
      <c r="EZ32" s="456"/>
      <c r="FA32" s="456"/>
      <c r="FB32" s="456"/>
      <c r="FC32" s="456"/>
      <c r="FD32" s="456"/>
      <c r="FE32" s="456"/>
      <c r="FF32" s="456"/>
      <c r="FG32" s="456"/>
      <c r="FH32" s="456"/>
      <c r="FI32" s="456"/>
      <c r="FJ32" s="456"/>
      <c r="FK32" s="456"/>
      <c r="FL32" s="456"/>
      <c r="FM32" s="456"/>
      <c r="FN32" s="456"/>
      <c r="FO32" s="456"/>
      <c r="FP32" s="456"/>
      <c r="FQ32" s="456"/>
      <c r="FR32" s="456"/>
      <c r="FS32" s="456"/>
      <c r="FT32" s="456"/>
      <c r="FU32" s="456"/>
      <c r="FV32" s="456"/>
      <c r="FW32" s="456"/>
      <c r="FX32" s="456"/>
      <c r="FY32" s="456"/>
      <c r="FZ32" s="456"/>
      <c r="GA32" s="456"/>
      <c r="GB32" s="456"/>
      <c r="GC32" s="456"/>
      <c r="GD32" s="456"/>
      <c r="GE32" s="456"/>
      <c r="GF32" s="456"/>
      <c r="GG32" s="456"/>
      <c r="GH32" s="456"/>
      <c r="GI32" s="456"/>
      <c r="GJ32" s="456"/>
      <c r="GK32" s="456"/>
      <c r="GL32" s="456"/>
      <c r="GM32" s="456"/>
      <c r="GN32" s="456"/>
      <c r="GO32" s="456"/>
      <c r="GP32" s="456"/>
      <c r="GQ32" s="456"/>
      <c r="GR32" s="456"/>
      <c r="GS32" s="456"/>
      <c r="GT32" s="456"/>
      <c r="GU32" s="456"/>
      <c r="GV32" s="456"/>
      <c r="GW32" s="456"/>
      <c r="GX32" s="456"/>
      <c r="GY32" s="456"/>
      <c r="GZ32" s="456"/>
      <c r="HA32" s="456"/>
      <c r="HB32" s="456"/>
      <c r="HC32" s="456"/>
      <c r="HD32" s="456"/>
      <c r="HE32" s="456"/>
      <c r="HF32" s="456"/>
      <c r="HG32" s="456"/>
      <c r="HH32" s="456"/>
      <c r="HI32" s="456"/>
      <c r="HJ32" s="456"/>
      <c r="HK32" s="456"/>
      <c r="HL32" s="456"/>
      <c r="HM32" s="456"/>
      <c r="HN32" s="456"/>
      <c r="HO32" s="456"/>
      <c r="HP32" s="456"/>
      <c r="HQ32" s="456"/>
      <c r="HR32" s="456"/>
      <c r="HS32" s="456"/>
      <c r="HT32" s="456"/>
      <c r="HU32" s="456"/>
      <c r="HV32" s="456"/>
      <c r="HW32" s="456"/>
      <c r="HX32" s="456"/>
      <c r="HY32" s="456"/>
      <c r="HZ32" s="456"/>
      <c r="IA32" s="456"/>
      <c r="IB32" s="456"/>
      <c r="IC32" s="456"/>
      <c r="ID32" s="456"/>
      <c r="IE32" s="456"/>
      <c r="IF32" s="456"/>
      <c r="IG32" s="456"/>
      <c r="IH32" s="456"/>
      <c r="II32" s="456"/>
      <c r="IJ32" s="456"/>
      <c r="IK32" s="456"/>
      <c r="IL32" s="456"/>
      <c r="IM32" s="456"/>
      <c r="IN32" s="456"/>
      <c r="IO32" s="456"/>
      <c r="IP32" s="456"/>
      <c r="IQ32" s="456"/>
      <c r="IR32" s="456"/>
      <c r="IS32" s="456"/>
      <c r="IT32" s="456"/>
      <c r="IU32" s="456"/>
      <c r="IV32" s="456"/>
      <c r="IW32" s="456"/>
      <c r="IX32" s="456"/>
      <c r="IY32" s="456"/>
      <c r="IZ32" s="456"/>
      <c r="JA32" s="456"/>
      <c r="JB32" s="456"/>
      <c r="JC32" s="456"/>
      <c r="JD32" s="456"/>
      <c r="JE32" s="456"/>
      <c r="JF32" s="456"/>
      <c r="JG32" s="456"/>
      <c r="JH32" s="456"/>
      <c r="JI32" s="456"/>
      <c r="JJ32" s="456"/>
      <c r="JK32" s="456"/>
      <c r="JL32" s="456"/>
      <c r="JM32" s="456"/>
      <c r="JN32" s="456"/>
      <c r="JO32" s="456"/>
      <c r="JP32" s="456"/>
      <c r="JQ32" s="456"/>
      <c r="JR32" s="456"/>
      <c r="JS32" s="456"/>
      <c r="JT32" s="456"/>
      <c r="JU32" s="456"/>
      <c r="JV32" s="456"/>
      <c r="JW32" s="456"/>
      <c r="JX32" s="456"/>
      <c r="JY32" s="456"/>
      <c r="JZ32" s="456"/>
      <c r="KA32" s="456"/>
      <c r="KB32" s="456"/>
      <c r="KC32" s="456"/>
      <c r="KD32" s="456"/>
      <c r="KE32" s="456"/>
      <c r="KF32" s="456"/>
      <c r="KG32" s="456"/>
      <c r="KH32" s="456"/>
      <c r="KI32" s="456"/>
      <c r="KJ32" s="456"/>
      <c r="KK32" s="456"/>
      <c r="KL32" s="456"/>
      <c r="KM32" s="456"/>
      <c r="KN32" s="456"/>
      <c r="KO32" s="456"/>
      <c r="KP32" s="456"/>
      <c r="KQ32" s="456"/>
      <c r="KR32" s="456"/>
      <c r="KS32" s="456"/>
      <c r="KT32" s="456"/>
      <c r="KU32" s="456"/>
      <c r="KV32" s="456"/>
      <c r="KW32" s="456"/>
      <c r="KX32" s="456"/>
      <c r="KY32" s="456"/>
      <c r="KZ32" s="456"/>
      <c r="LA32" s="456"/>
      <c r="LB32" s="456"/>
      <c r="LC32" s="456"/>
      <c r="LD32" s="456"/>
      <c r="LE32" s="456"/>
      <c r="LF32" s="456"/>
      <c r="LG32" s="456"/>
      <c r="LH32" s="456"/>
      <c r="LI32" s="456"/>
      <c r="LJ32" s="456"/>
      <c r="LK32" s="456"/>
      <c r="LL32" s="456"/>
      <c r="LM32" s="456"/>
      <c r="LN32" s="456"/>
      <c r="LO32" s="456"/>
      <c r="LP32" s="456"/>
      <c r="LQ32" s="456"/>
      <c r="LR32" s="456"/>
      <c r="LS32" s="456"/>
      <c r="LT32" s="456"/>
      <c r="LU32" s="456"/>
      <c r="LV32" s="456"/>
      <c r="LW32" s="456"/>
      <c r="LX32" s="456"/>
      <c r="LY32" s="456"/>
      <c r="LZ32" s="456"/>
      <c r="MA32" s="456"/>
      <c r="MB32" s="456"/>
      <c r="MC32" s="456"/>
      <c r="MD32" s="456"/>
      <c r="ME32" s="456"/>
      <c r="MF32" s="456"/>
      <c r="MG32" s="456"/>
      <c r="MH32" s="456"/>
      <c r="MI32" s="456"/>
      <c r="MJ32" s="456"/>
      <c r="MK32" s="456"/>
      <c r="ML32" s="456"/>
      <c r="MM32" s="456"/>
      <c r="MN32" s="456"/>
      <c r="MO32" s="456"/>
      <c r="MP32" s="456"/>
      <c r="MQ32" s="456"/>
      <c r="MR32" s="456"/>
      <c r="MS32" s="456"/>
      <c r="MT32" s="456"/>
      <c r="MU32" s="456"/>
      <c r="MV32" s="456"/>
      <c r="MW32" s="456"/>
      <c r="MX32" s="456"/>
      <c r="MY32" s="456"/>
      <c r="MZ32" s="456"/>
      <c r="NA32" s="456"/>
      <c r="NB32" s="456"/>
      <c r="NC32" s="456"/>
      <c r="ND32" s="456"/>
      <c r="NE32" s="456"/>
      <c r="NF32" s="456"/>
      <c r="NG32" s="456"/>
      <c r="NH32" s="456"/>
      <c r="NI32" s="456"/>
      <c r="NJ32" s="456"/>
      <c r="NK32" s="456"/>
      <c r="NL32" s="456"/>
      <c r="NM32" s="456"/>
      <c r="NN32" s="456"/>
      <c r="NO32" s="456"/>
      <c r="NP32" s="456"/>
      <c r="NQ32" s="456"/>
      <c r="NR32" s="456"/>
      <c r="NS32" s="456"/>
      <c r="NT32" s="456"/>
      <c r="NU32" s="456"/>
      <c r="NV32" s="456"/>
      <c r="NW32" s="456"/>
      <c r="NX32" s="456"/>
      <c r="NY32" s="456"/>
      <c r="NZ32" s="456"/>
      <c r="OA32" s="456"/>
      <c r="OB32" s="456"/>
      <c r="OC32" s="456"/>
      <c r="OD32" s="456"/>
      <c r="OE32" s="456"/>
      <c r="OF32" s="456"/>
      <c r="OG32" s="456"/>
      <c r="OH32" s="456"/>
      <c r="OI32" s="456"/>
      <c r="OJ32" s="456"/>
      <c r="OK32" s="456"/>
      <c r="OL32" s="456"/>
      <c r="OM32" s="456"/>
      <c r="ON32" s="456"/>
      <c r="OO32" s="456"/>
      <c r="OP32" s="456"/>
      <c r="OQ32" s="456"/>
      <c r="OR32" s="456"/>
      <c r="OS32" s="456"/>
      <c r="OT32" s="456"/>
      <c r="OU32" s="456"/>
      <c r="OV32" s="456"/>
      <c r="OW32" s="456"/>
      <c r="OX32" s="456"/>
      <c r="OY32" s="456"/>
      <c r="OZ32" s="456"/>
      <c r="PA32" s="456"/>
      <c r="PB32" s="456"/>
      <c r="PC32" s="456"/>
      <c r="PD32" s="456"/>
      <c r="PE32" s="456"/>
      <c r="PF32" s="456"/>
      <c r="PG32" s="456"/>
      <c r="PH32" s="456"/>
      <c r="PI32" s="456"/>
      <c r="PJ32" s="456"/>
      <c r="PK32" s="456"/>
      <c r="PL32" s="456"/>
      <c r="PM32" s="456"/>
      <c r="PN32" s="456"/>
      <c r="PO32" s="456"/>
      <c r="PP32" s="456"/>
      <c r="PQ32" s="456"/>
      <c r="PR32" s="456"/>
      <c r="PS32" s="456"/>
      <c r="PT32" s="456"/>
      <c r="PU32" s="456"/>
      <c r="PV32" s="456"/>
      <c r="PW32" s="456"/>
      <c r="PX32" s="456"/>
      <c r="PY32" s="456"/>
      <c r="PZ32" s="456"/>
      <c r="QA32" s="456"/>
      <c r="QB32" s="456"/>
      <c r="QC32" s="456"/>
      <c r="QD32" s="456"/>
      <c r="QE32" s="456"/>
      <c r="QF32" s="456"/>
      <c r="QG32" s="456"/>
      <c r="QH32" s="456"/>
      <c r="QI32" s="456"/>
      <c r="QJ32" s="456"/>
      <c r="QK32" s="456"/>
      <c r="QL32" s="456"/>
      <c r="QM32" s="456"/>
      <c r="QN32" s="456"/>
      <c r="QO32" s="456"/>
      <c r="QP32" s="456"/>
      <c r="QQ32" s="456"/>
      <c r="QR32" s="456"/>
      <c r="QS32" s="456"/>
      <c r="QT32" s="456"/>
      <c r="QU32" s="456"/>
      <c r="QV32" s="456"/>
      <c r="QW32" s="456"/>
      <c r="QX32" s="456"/>
      <c r="QY32" s="456"/>
      <c r="QZ32" s="456"/>
      <c r="RA32" s="456"/>
      <c r="RB32" s="456"/>
      <c r="RC32" s="456"/>
      <c r="RD32" s="456"/>
      <c r="RE32" s="456"/>
      <c r="RF32" s="456"/>
      <c r="RG32" s="456"/>
      <c r="RH32" s="456"/>
      <c r="RI32" s="456"/>
      <c r="RJ32" s="456"/>
      <c r="RK32" s="456"/>
      <c r="RL32" s="456"/>
      <c r="RM32" s="456"/>
      <c r="RN32" s="456"/>
      <c r="RO32" s="456"/>
      <c r="RP32" s="456"/>
      <c r="RQ32" s="456"/>
      <c r="RR32" s="456"/>
      <c r="RS32" s="456"/>
      <c r="RT32" s="456"/>
      <c r="RU32" s="456"/>
      <c r="RV32" s="456"/>
      <c r="RW32" s="456"/>
      <c r="RX32" s="456"/>
      <c r="RY32" s="456"/>
      <c r="RZ32" s="456"/>
      <c r="SA32" s="456"/>
      <c r="SB32" s="456"/>
      <c r="SC32" s="456"/>
      <c r="SD32" s="456"/>
      <c r="SE32" s="456"/>
      <c r="SF32" s="456"/>
      <c r="SG32" s="456"/>
      <c r="SH32" s="456"/>
      <c r="SI32" s="456"/>
      <c r="SJ32" s="456"/>
      <c r="SK32" s="456"/>
      <c r="SL32" s="456"/>
      <c r="SM32" s="456"/>
      <c r="SN32" s="456"/>
      <c r="SO32" s="456"/>
      <c r="SP32" s="456"/>
      <c r="SQ32" s="456"/>
      <c r="SR32" s="456"/>
      <c r="SS32" s="456"/>
      <c r="ST32" s="456"/>
      <c r="SU32" s="456"/>
      <c r="SV32" s="456"/>
      <c r="SW32" s="456"/>
      <c r="SX32" s="456"/>
      <c r="SY32" s="456"/>
      <c r="SZ32" s="456"/>
      <c r="TA32" s="456"/>
      <c r="TB32" s="456"/>
      <c r="TC32" s="456"/>
      <c r="TD32" s="456"/>
      <c r="TE32" s="456"/>
      <c r="TF32" s="456"/>
      <c r="TG32" s="456"/>
      <c r="TH32" s="456"/>
      <c r="TI32" s="456"/>
      <c r="TJ32" s="456"/>
      <c r="TK32" s="456"/>
      <c r="TL32" s="456"/>
      <c r="TM32" s="456"/>
      <c r="TN32" s="456"/>
      <c r="TO32" s="456"/>
      <c r="TP32" s="456"/>
      <c r="TQ32" s="456"/>
      <c r="TR32" s="456"/>
      <c r="TS32" s="456"/>
      <c r="TT32" s="456"/>
      <c r="TU32" s="456"/>
      <c r="TV32" s="456"/>
      <c r="TW32" s="456"/>
      <c r="TX32" s="456"/>
      <c r="TY32" s="456"/>
      <c r="TZ32" s="456"/>
      <c r="UA32" s="456"/>
      <c r="UB32" s="456"/>
      <c r="UC32" s="456"/>
      <c r="UD32" s="456"/>
      <c r="UE32" s="456"/>
      <c r="UF32" s="456"/>
      <c r="UG32" s="456"/>
      <c r="UH32" s="456"/>
      <c r="UI32" s="456"/>
      <c r="UJ32" s="456"/>
      <c r="UK32" s="456"/>
      <c r="UL32" s="456"/>
      <c r="UM32" s="456"/>
      <c r="UN32" s="456"/>
      <c r="UO32" s="456"/>
      <c r="UP32" s="456"/>
      <c r="UQ32" s="456"/>
      <c r="UR32" s="456"/>
      <c r="US32" s="456"/>
      <c r="UT32" s="456"/>
      <c r="UU32" s="456"/>
      <c r="UV32" s="456"/>
      <c r="UW32" s="456"/>
      <c r="UX32" s="456"/>
      <c r="UY32" s="456"/>
      <c r="UZ32" s="456"/>
      <c r="VA32" s="456"/>
      <c r="VB32" s="456"/>
      <c r="VC32" s="456"/>
      <c r="VD32" s="456"/>
      <c r="VE32" s="456"/>
      <c r="VF32" s="456"/>
      <c r="VG32" s="456"/>
      <c r="VH32" s="456"/>
      <c r="VI32" s="456"/>
      <c r="VJ32" s="456"/>
      <c r="VK32" s="456"/>
      <c r="VL32" s="456"/>
      <c r="VM32" s="456"/>
      <c r="VN32" s="456"/>
      <c r="VO32" s="456"/>
      <c r="VP32" s="456"/>
      <c r="VQ32" s="456"/>
      <c r="VR32" s="456"/>
      <c r="VS32" s="456"/>
      <c r="VT32" s="456"/>
      <c r="VU32" s="456"/>
      <c r="VV32" s="456"/>
      <c r="VW32" s="456"/>
      <c r="VX32" s="456"/>
      <c r="VY32" s="456"/>
      <c r="VZ32" s="456"/>
      <c r="WA32" s="456"/>
      <c r="WB32" s="456"/>
      <c r="WC32" s="456"/>
      <c r="WD32" s="456"/>
      <c r="WE32" s="456"/>
      <c r="WF32" s="456"/>
      <c r="WG32" s="456"/>
      <c r="WH32" s="456"/>
      <c r="WI32" s="456"/>
      <c r="WJ32" s="456"/>
      <c r="WK32" s="456"/>
      <c r="WL32" s="456"/>
      <c r="WM32" s="456"/>
      <c r="WN32" s="456"/>
      <c r="WO32" s="456"/>
      <c r="WP32" s="456"/>
      <c r="WQ32" s="456"/>
      <c r="WR32" s="456"/>
      <c r="WS32" s="456"/>
      <c r="WT32" s="456"/>
      <c r="WU32" s="456"/>
      <c r="WV32" s="456"/>
      <c r="WW32" s="456"/>
      <c r="WX32" s="456"/>
      <c r="WY32" s="456"/>
      <c r="WZ32" s="456"/>
      <c r="XA32" s="456"/>
      <c r="XB32" s="456"/>
      <c r="XC32" s="456"/>
      <c r="XD32" s="456"/>
      <c r="XE32" s="456"/>
      <c r="XF32" s="456"/>
      <c r="XG32" s="456"/>
      <c r="XH32" s="456"/>
      <c r="XI32" s="456"/>
      <c r="XJ32" s="456"/>
      <c r="XK32" s="456"/>
      <c r="XL32" s="456"/>
      <c r="XM32" s="456"/>
      <c r="XN32" s="456"/>
      <c r="XO32" s="456"/>
      <c r="XP32" s="456"/>
      <c r="XQ32" s="456"/>
      <c r="XR32" s="456"/>
      <c r="XS32" s="456"/>
      <c r="XT32" s="456"/>
      <c r="XU32" s="456"/>
      <c r="XV32" s="456"/>
      <c r="XW32" s="456"/>
      <c r="XX32" s="456"/>
      <c r="XY32" s="456"/>
      <c r="XZ32" s="456"/>
      <c r="YA32" s="456"/>
      <c r="YB32" s="456"/>
      <c r="YC32" s="456"/>
      <c r="YD32" s="456"/>
      <c r="YE32" s="456"/>
      <c r="YF32" s="456"/>
      <c r="YG32" s="456"/>
      <c r="YH32" s="456"/>
      <c r="YI32" s="456"/>
      <c r="YJ32" s="456"/>
      <c r="YK32" s="456"/>
      <c r="YL32" s="456"/>
      <c r="YM32" s="456"/>
      <c r="YN32" s="456"/>
      <c r="YO32" s="456"/>
      <c r="YP32" s="456"/>
      <c r="YQ32" s="456"/>
      <c r="YR32" s="456"/>
      <c r="YS32" s="456"/>
      <c r="YT32" s="456"/>
      <c r="YU32" s="456"/>
      <c r="YV32" s="456"/>
      <c r="YW32" s="456"/>
      <c r="YX32" s="456"/>
      <c r="YY32" s="456"/>
      <c r="YZ32" s="456"/>
      <c r="ZA32" s="456"/>
      <c r="ZB32" s="456"/>
      <c r="ZC32" s="456"/>
      <c r="ZD32" s="456"/>
      <c r="ZE32" s="456"/>
      <c r="ZF32" s="456"/>
      <c r="ZG32" s="456"/>
      <c r="ZH32" s="456"/>
      <c r="ZI32" s="456"/>
      <c r="ZJ32" s="456"/>
      <c r="ZK32" s="456"/>
      <c r="ZL32" s="456"/>
      <c r="ZM32" s="456"/>
      <c r="ZN32" s="456"/>
      <c r="ZO32" s="456"/>
      <c r="ZP32" s="456"/>
      <c r="ZQ32" s="456"/>
      <c r="ZR32" s="456"/>
      <c r="ZS32" s="456"/>
      <c r="ZT32" s="456"/>
      <c r="ZU32" s="456"/>
      <c r="ZV32" s="456"/>
      <c r="ZW32" s="456"/>
      <c r="ZX32" s="456"/>
      <c r="ZY32" s="456"/>
      <c r="ZZ32" s="456"/>
      <c r="AAA32" s="456"/>
      <c r="AAB32" s="456"/>
      <c r="AAC32" s="456"/>
      <c r="AAD32" s="456"/>
      <c r="AAE32" s="456"/>
      <c r="AAF32" s="456"/>
      <c r="AAG32" s="456"/>
      <c r="AAH32" s="456"/>
      <c r="AAI32" s="456"/>
      <c r="AAJ32" s="456"/>
      <c r="AAK32" s="456"/>
      <c r="AAL32" s="456"/>
      <c r="AAM32" s="456"/>
      <c r="AAN32" s="456"/>
      <c r="AAO32" s="456"/>
      <c r="AAP32" s="456"/>
      <c r="AAQ32" s="456"/>
      <c r="AAR32" s="456"/>
      <c r="AAS32" s="456"/>
      <c r="AAT32" s="456"/>
      <c r="AAU32" s="456"/>
      <c r="AAV32" s="456"/>
      <c r="AAW32" s="456"/>
      <c r="AAX32" s="456"/>
      <c r="AAY32" s="456"/>
      <c r="AAZ32" s="456"/>
      <c r="ABA32" s="456"/>
      <c r="ABB32" s="456"/>
      <c r="ABC32" s="456"/>
      <c r="ABD32" s="456"/>
      <c r="ABE32" s="456"/>
      <c r="ABF32" s="456"/>
      <c r="ABG32" s="456"/>
      <c r="ABH32" s="456"/>
      <c r="ABI32" s="456"/>
      <c r="ABJ32" s="456"/>
      <c r="ABK32" s="456"/>
      <c r="ABL32" s="456"/>
      <c r="ABM32" s="456"/>
      <c r="ABN32" s="456"/>
      <c r="ABO32" s="456"/>
      <c r="ABP32" s="456"/>
      <c r="ABQ32" s="456"/>
      <c r="ABR32" s="456"/>
      <c r="ABS32" s="456"/>
      <c r="ABT32" s="456"/>
      <c r="ABU32" s="456"/>
      <c r="ABV32" s="456"/>
      <c r="ABW32" s="456"/>
      <c r="ABX32" s="456"/>
      <c r="ABY32" s="456"/>
      <c r="ABZ32" s="456"/>
      <c r="ACA32" s="456"/>
      <c r="ACB32" s="456"/>
      <c r="ACC32" s="456"/>
      <c r="ACD32" s="456"/>
      <c r="ACE32" s="456"/>
      <c r="ACF32" s="456"/>
      <c r="ACG32" s="456"/>
      <c r="ACH32" s="456"/>
      <c r="ACI32" s="456"/>
      <c r="ACJ32" s="456"/>
      <c r="ACK32" s="456"/>
      <c r="ACL32" s="456"/>
      <c r="ACM32" s="456"/>
      <c r="ACN32" s="456"/>
      <c r="ACO32" s="456"/>
      <c r="ACP32" s="456"/>
      <c r="ACQ32" s="456"/>
      <c r="ACR32" s="456"/>
      <c r="ACS32" s="456"/>
      <c r="ACT32" s="456"/>
      <c r="ACU32" s="456"/>
      <c r="ACV32" s="456"/>
      <c r="ACW32" s="456"/>
      <c r="ACX32" s="456"/>
      <c r="ACY32" s="456"/>
      <c r="ACZ32" s="456"/>
      <c r="ADA32" s="456"/>
      <c r="ADB32" s="456"/>
      <c r="ADC32" s="456"/>
      <c r="ADD32" s="456"/>
      <c r="ADE32" s="456"/>
      <c r="ADF32" s="456"/>
      <c r="ADG32" s="456"/>
      <c r="ADH32" s="456"/>
      <c r="ADI32" s="456"/>
      <c r="ADJ32" s="456"/>
      <c r="ADK32" s="456"/>
      <c r="ADL32" s="456"/>
      <c r="ADM32" s="456"/>
      <c r="ADN32" s="456"/>
      <c r="ADO32" s="456"/>
      <c r="ADP32" s="456"/>
      <c r="ADQ32" s="456"/>
      <c r="ADR32" s="456"/>
      <c r="ADS32" s="456"/>
      <c r="ADT32" s="456"/>
      <c r="ADU32" s="456"/>
      <c r="ADV32" s="456"/>
      <c r="ADW32" s="456"/>
      <c r="ADX32" s="456"/>
      <c r="ADY32" s="456"/>
      <c r="ADZ32" s="456"/>
      <c r="AEA32" s="456"/>
      <c r="AEB32" s="456"/>
      <c r="AEC32" s="456"/>
      <c r="AED32" s="456"/>
      <c r="AEE32" s="456"/>
      <c r="AEF32" s="456"/>
      <c r="AEG32" s="456"/>
      <c r="AEH32" s="456"/>
      <c r="AEI32" s="456"/>
      <c r="AEJ32" s="456"/>
      <c r="AEK32" s="456"/>
      <c r="AEL32" s="456"/>
      <c r="AEM32" s="456"/>
      <c r="AEN32" s="456"/>
      <c r="AEO32" s="456"/>
      <c r="AEP32" s="456"/>
      <c r="AEQ32" s="456"/>
      <c r="AER32" s="456"/>
      <c r="AES32" s="456"/>
      <c r="AET32" s="456"/>
      <c r="AEU32" s="456"/>
      <c r="AEV32" s="456"/>
      <c r="AEW32" s="456"/>
      <c r="AEX32" s="456"/>
      <c r="AEY32" s="456"/>
      <c r="AEZ32" s="456"/>
      <c r="AFA32" s="456"/>
      <c r="AFB32" s="456"/>
      <c r="AFC32" s="456"/>
      <c r="AFD32" s="456"/>
      <c r="AFE32" s="456"/>
      <c r="AFF32" s="456"/>
      <c r="AFG32" s="456"/>
      <c r="AFH32" s="456"/>
      <c r="AFI32" s="456"/>
      <c r="AFJ32" s="456"/>
      <c r="AFK32" s="456"/>
      <c r="AFL32" s="456"/>
      <c r="AFM32" s="456"/>
      <c r="AFN32" s="456"/>
      <c r="AFO32" s="456"/>
      <c r="AFP32" s="456"/>
      <c r="AFQ32" s="456"/>
      <c r="AFR32" s="456"/>
      <c r="AFS32" s="456"/>
      <c r="AFT32" s="456"/>
      <c r="AFU32" s="456"/>
      <c r="AFV32" s="456"/>
      <c r="AFW32" s="456"/>
      <c r="AFX32" s="456"/>
      <c r="AFY32" s="456"/>
      <c r="AFZ32" s="456"/>
      <c r="AGA32" s="456"/>
      <c r="AGB32" s="456"/>
      <c r="AGC32" s="456"/>
      <c r="AGD32" s="456"/>
      <c r="AGE32" s="456"/>
      <c r="AGF32" s="456"/>
      <c r="AGG32" s="456"/>
      <c r="AGH32" s="456"/>
      <c r="AGI32" s="456"/>
      <c r="AGJ32" s="456"/>
      <c r="AGK32" s="456"/>
      <c r="AGL32" s="456"/>
      <c r="AGM32" s="456"/>
      <c r="AGN32" s="456"/>
      <c r="AGO32" s="456"/>
      <c r="AGP32" s="456"/>
      <c r="AGQ32" s="456"/>
      <c r="AGR32" s="456"/>
      <c r="AGS32" s="456"/>
      <c r="AGT32" s="456"/>
      <c r="AGU32" s="456"/>
      <c r="AGV32" s="456"/>
      <c r="AGW32" s="456"/>
      <c r="AGX32" s="456"/>
      <c r="AGY32" s="456"/>
      <c r="AGZ32" s="456"/>
      <c r="AHA32" s="456"/>
      <c r="AHB32" s="456"/>
      <c r="AHC32" s="456"/>
      <c r="AHD32" s="456"/>
      <c r="AHE32" s="456"/>
      <c r="AHF32" s="456"/>
      <c r="AHG32" s="456"/>
      <c r="AHH32" s="456"/>
      <c r="AHI32" s="456"/>
      <c r="AHJ32" s="456"/>
      <c r="AHK32" s="456"/>
      <c r="AHL32" s="456"/>
      <c r="AHM32" s="456"/>
      <c r="AHN32" s="456"/>
      <c r="AHO32" s="456"/>
      <c r="AHP32" s="456"/>
      <c r="AHQ32" s="456"/>
      <c r="AHR32" s="456"/>
      <c r="AHS32" s="456"/>
      <c r="AHT32" s="456"/>
      <c r="AHU32" s="456"/>
      <c r="AHV32" s="456"/>
      <c r="AHW32" s="456"/>
      <c r="AHX32" s="456"/>
      <c r="AHY32" s="456"/>
      <c r="AHZ32" s="456"/>
      <c r="AIA32" s="456"/>
      <c r="AIB32" s="456"/>
      <c r="AIC32" s="456"/>
      <c r="AID32" s="456"/>
      <c r="AIE32" s="456"/>
      <c r="AIF32" s="456"/>
      <c r="AIG32" s="456"/>
      <c r="AIH32" s="456"/>
      <c r="AII32" s="456"/>
      <c r="AIJ32" s="456"/>
      <c r="AIK32" s="456"/>
      <c r="AIL32" s="456"/>
      <c r="AIM32" s="456"/>
      <c r="AIN32" s="456"/>
      <c r="AIO32" s="456"/>
      <c r="AIP32" s="456"/>
      <c r="AIQ32" s="456"/>
      <c r="AIR32" s="456"/>
      <c r="AIS32" s="456"/>
      <c r="AIT32" s="456"/>
      <c r="AIU32" s="456"/>
      <c r="AIV32" s="456"/>
      <c r="AIW32" s="456"/>
      <c r="AIX32" s="456"/>
      <c r="AIY32" s="456"/>
      <c r="AIZ32" s="456"/>
      <c r="AJA32" s="456"/>
      <c r="AJB32" s="456"/>
      <c r="AJC32" s="456"/>
      <c r="AJD32" s="456"/>
      <c r="AJE32" s="456"/>
      <c r="AJF32" s="456"/>
      <c r="AJG32" s="456"/>
      <c r="AJH32" s="456"/>
      <c r="AJI32" s="456"/>
      <c r="AJJ32" s="456"/>
      <c r="AJK32" s="456"/>
      <c r="AJL32" s="456"/>
      <c r="AJM32" s="456"/>
      <c r="AJN32" s="456"/>
      <c r="AJO32" s="456"/>
      <c r="AJP32" s="456"/>
      <c r="AJQ32" s="456"/>
      <c r="AJR32" s="456"/>
      <c r="AJS32" s="456"/>
      <c r="AJT32" s="456"/>
      <c r="AJU32" s="456"/>
      <c r="AJV32" s="456"/>
      <c r="AJW32" s="456"/>
      <c r="AJX32" s="456"/>
      <c r="AJY32" s="456"/>
      <c r="AJZ32" s="456"/>
      <c r="AKA32" s="456"/>
      <c r="AKB32" s="456"/>
      <c r="AKC32" s="456"/>
      <c r="AKD32" s="456"/>
      <c r="AKE32" s="456"/>
      <c r="AKF32" s="456"/>
      <c r="AKG32" s="456"/>
      <c r="AKH32" s="456"/>
      <c r="AKI32" s="456"/>
      <c r="AKJ32" s="456"/>
      <c r="AKK32" s="456"/>
      <c r="AKL32" s="456"/>
      <c r="AKM32" s="456"/>
      <c r="AKN32" s="456"/>
      <c r="AKO32" s="456"/>
      <c r="AKP32" s="456"/>
      <c r="AKQ32" s="456"/>
      <c r="AKR32" s="456"/>
      <c r="AKS32" s="456"/>
      <c r="AKT32" s="456"/>
      <c r="AKU32" s="456"/>
      <c r="AKV32" s="456"/>
      <c r="AKW32" s="456"/>
      <c r="AKX32" s="456"/>
      <c r="AKY32" s="456"/>
      <c r="AKZ32" s="456"/>
      <c r="ALA32" s="456"/>
      <c r="ALB32" s="456"/>
      <c r="ALC32" s="456"/>
      <c r="ALD32" s="456"/>
      <c r="ALE32" s="456"/>
      <c r="ALF32" s="456"/>
      <c r="ALG32" s="456"/>
      <c r="ALH32" s="456"/>
      <c r="ALI32" s="456"/>
      <c r="ALJ32" s="456"/>
      <c r="ALK32" s="456"/>
      <c r="ALL32" s="456"/>
      <c r="ALM32" s="456"/>
      <c r="ALN32" s="456"/>
      <c r="ALO32" s="456"/>
      <c r="ALP32" s="456"/>
      <c r="ALQ32" s="456"/>
      <c r="ALR32" s="456"/>
      <c r="ALS32" s="456"/>
      <c r="ALT32" s="456"/>
      <c r="ALU32" s="456"/>
      <c r="ALV32" s="456"/>
      <c r="ALW32" s="456"/>
      <c r="ALX32" s="456"/>
      <c r="ALY32" s="456"/>
      <c r="ALZ32" s="456"/>
      <c r="AMA32" s="456"/>
      <c r="AMB32" s="456"/>
      <c r="AMC32" s="456"/>
      <c r="AMD32" s="456"/>
      <c r="AME32" s="456"/>
      <c r="AMF32" s="456"/>
      <c r="AMG32" s="456"/>
      <c r="AMH32" s="456"/>
      <c r="AMI32" s="456"/>
      <c r="AMJ32" s="456"/>
      <c r="AMK32" s="456"/>
      <c r="AML32" s="456"/>
      <c r="AMM32" s="456"/>
      <c r="AMN32" s="456"/>
      <c r="AMO32" s="456"/>
      <c r="AMP32" s="456"/>
      <c r="AMQ32" s="456"/>
      <c r="AMR32" s="456"/>
      <c r="AMS32" s="456"/>
      <c r="AMT32" s="456"/>
      <c r="AMU32" s="456"/>
      <c r="AMV32" s="456"/>
      <c r="AMW32" s="456"/>
      <c r="AMX32" s="456"/>
      <c r="AMY32" s="456"/>
      <c r="AMZ32" s="456"/>
      <c r="ANA32" s="456"/>
      <c r="ANB32" s="456"/>
      <c r="ANC32" s="456"/>
      <c r="AND32" s="456"/>
      <c r="ANE32" s="456"/>
      <c r="ANF32" s="456"/>
      <c r="ANG32" s="456"/>
      <c r="ANH32" s="456"/>
      <c r="ANI32" s="456"/>
      <c r="ANJ32" s="456"/>
      <c r="ANK32" s="456"/>
      <c r="ANL32" s="456"/>
      <c r="ANM32" s="456"/>
      <c r="ANN32" s="456"/>
      <c r="ANO32" s="456"/>
      <c r="ANP32" s="456"/>
      <c r="ANQ32" s="456"/>
      <c r="ANR32" s="456"/>
      <c r="ANS32" s="456"/>
      <c r="ANT32" s="456"/>
      <c r="ANU32" s="456"/>
      <c r="ANV32" s="456"/>
      <c r="ANW32" s="456"/>
      <c r="ANX32" s="456"/>
      <c r="ANY32" s="456"/>
      <c r="ANZ32" s="456"/>
      <c r="AOA32" s="456"/>
      <c r="AOB32" s="456"/>
      <c r="AOC32" s="456"/>
      <c r="AOD32" s="456"/>
      <c r="AOE32" s="456"/>
      <c r="AOF32" s="456"/>
      <c r="AOG32" s="456"/>
      <c r="AOH32" s="456"/>
      <c r="AOI32" s="456"/>
      <c r="AOJ32" s="456"/>
      <c r="AOK32" s="456"/>
      <c r="AOL32" s="456"/>
      <c r="AOM32" s="456"/>
      <c r="AON32" s="456"/>
      <c r="AOO32" s="456"/>
      <c r="AOP32" s="456"/>
      <c r="AOQ32" s="456"/>
      <c r="AOR32" s="456"/>
      <c r="AOS32" s="456"/>
      <c r="AOT32" s="456"/>
      <c r="AOU32" s="456"/>
      <c r="AOV32" s="456"/>
      <c r="AOW32" s="456"/>
      <c r="AOX32" s="456"/>
      <c r="AOY32" s="456"/>
      <c r="AOZ32" s="456"/>
      <c r="APA32" s="456"/>
      <c r="APB32" s="456"/>
      <c r="APC32" s="456"/>
      <c r="APD32" s="456"/>
      <c r="APE32" s="456"/>
      <c r="APF32" s="456"/>
      <c r="APG32" s="456"/>
      <c r="APH32" s="456"/>
      <c r="API32" s="456"/>
      <c r="APJ32" s="456"/>
      <c r="APK32" s="456"/>
      <c r="APL32" s="456"/>
      <c r="APM32" s="456"/>
      <c r="APN32" s="456"/>
      <c r="APO32" s="456"/>
      <c r="APP32" s="456"/>
      <c r="APQ32" s="456"/>
      <c r="APR32" s="456"/>
      <c r="APS32" s="456"/>
      <c r="APT32" s="456"/>
      <c r="APU32" s="456"/>
      <c r="APV32" s="456"/>
      <c r="APW32" s="456"/>
      <c r="APX32" s="456"/>
      <c r="APY32" s="456"/>
      <c r="APZ32" s="456"/>
      <c r="AQA32" s="456"/>
      <c r="AQB32" s="456"/>
      <c r="AQC32" s="456"/>
      <c r="AQD32" s="456"/>
      <c r="AQE32" s="456"/>
      <c r="AQF32" s="456"/>
      <c r="AQG32" s="456"/>
      <c r="AQH32" s="456"/>
      <c r="AQI32" s="456"/>
      <c r="AQJ32" s="456"/>
      <c r="AQK32" s="456"/>
      <c r="AQL32" s="456"/>
      <c r="AQM32" s="456"/>
      <c r="AQN32" s="456"/>
      <c r="AQO32" s="456"/>
      <c r="AQP32" s="456"/>
      <c r="AQQ32" s="456"/>
      <c r="AQR32" s="456"/>
      <c r="AQS32" s="456"/>
      <c r="AQT32" s="456"/>
      <c r="AQU32" s="456"/>
      <c r="AQV32" s="456"/>
      <c r="AQW32" s="456"/>
      <c r="AQX32" s="456"/>
      <c r="AQY32" s="456"/>
      <c r="AQZ32" s="456"/>
      <c r="ARA32" s="456"/>
      <c r="ARB32" s="456"/>
      <c r="ARC32" s="456"/>
      <c r="ARD32" s="456"/>
      <c r="ARE32" s="456"/>
      <c r="ARF32" s="456"/>
      <c r="ARG32" s="456"/>
      <c r="ARH32" s="456"/>
      <c r="ARI32" s="456"/>
      <c r="ARJ32" s="456"/>
      <c r="ARK32" s="456"/>
      <c r="ARL32" s="456"/>
      <c r="ARM32" s="456"/>
      <c r="ARN32" s="456"/>
      <c r="ARO32" s="456"/>
      <c r="ARP32" s="456"/>
      <c r="ARQ32" s="456"/>
      <c r="ARR32" s="456"/>
      <c r="ARS32" s="456"/>
      <c r="ART32" s="456"/>
      <c r="ARU32" s="456"/>
      <c r="ARV32" s="456"/>
      <c r="ARW32" s="456"/>
      <c r="ARX32" s="456"/>
      <c r="ARY32" s="456"/>
      <c r="ARZ32" s="456"/>
      <c r="ASA32" s="456"/>
      <c r="ASB32" s="456"/>
      <c r="ASC32" s="456"/>
      <c r="ASD32" s="456"/>
      <c r="ASE32" s="456"/>
      <c r="ASF32" s="456"/>
      <c r="ASG32" s="456"/>
      <c r="ASH32" s="456"/>
      <c r="ASI32" s="456"/>
      <c r="ASJ32" s="456"/>
      <c r="ASK32" s="456"/>
      <c r="ASL32" s="456"/>
      <c r="ASM32" s="456"/>
      <c r="ASN32" s="456"/>
      <c r="ASO32" s="456"/>
      <c r="ASP32" s="456"/>
      <c r="ASQ32" s="456"/>
      <c r="ASR32" s="456"/>
      <c r="ASS32" s="456"/>
      <c r="AST32" s="456"/>
      <c r="ASU32" s="456"/>
      <c r="ASV32" s="456"/>
      <c r="ASW32" s="456"/>
      <c r="ASX32" s="456"/>
      <c r="ASY32" s="456"/>
      <c r="ASZ32" s="456"/>
      <c r="ATA32" s="456"/>
      <c r="ATB32" s="456"/>
      <c r="ATC32" s="456"/>
      <c r="ATD32" s="456"/>
      <c r="ATE32" s="456"/>
      <c r="ATF32" s="456"/>
      <c r="ATG32" s="456"/>
      <c r="ATH32" s="456"/>
      <c r="ATI32" s="456"/>
      <c r="ATJ32" s="456"/>
      <c r="ATK32" s="456"/>
      <c r="ATL32" s="456"/>
      <c r="ATM32" s="456"/>
      <c r="ATN32" s="456"/>
      <c r="ATO32" s="456"/>
      <c r="ATP32" s="456"/>
      <c r="ATQ32" s="456"/>
      <c r="ATR32" s="456"/>
      <c r="ATS32" s="456"/>
      <c r="ATT32" s="456"/>
      <c r="ATU32" s="456"/>
      <c r="ATV32" s="456"/>
      <c r="ATW32" s="456"/>
      <c r="ATX32" s="456"/>
      <c r="ATY32" s="456"/>
      <c r="ATZ32" s="456"/>
      <c r="AUA32" s="456"/>
      <c r="AUB32" s="456"/>
      <c r="AUC32" s="456"/>
      <c r="AUD32" s="456"/>
      <c r="AUE32" s="456"/>
      <c r="AUF32" s="456"/>
      <c r="AUG32" s="456"/>
      <c r="AUH32" s="456"/>
      <c r="AUI32" s="456"/>
      <c r="AUJ32" s="456"/>
      <c r="AUK32" s="456"/>
      <c r="AUL32" s="456"/>
      <c r="AUM32" s="456"/>
      <c r="AUN32" s="456"/>
      <c r="AUO32" s="456"/>
      <c r="AUP32" s="456"/>
      <c r="AUQ32" s="456"/>
      <c r="AUR32" s="456"/>
      <c r="AUS32" s="456"/>
      <c r="AUT32" s="456"/>
      <c r="AUU32" s="456"/>
      <c r="AUV32" s="456"/>
      <c r="AUW32" s="456"/>
      <c r="AUX32" s="456"/>
      <c r="AUY32" s="456"/>
      <c r="AUZ32" s="456"/>
      <c r="AVA32" s="456"/>
      <c r="AVB32" s="456"/>
      <c r="AVC32" s="456"/>
      <c r="AVD32" s="456"/>
      <c r="AVE32" s="456"/>
      <c r="AVF32" s="456"/>
      <c r="AVG32" s="456"/>
      <c r="AVH32" s="456"/>
      <c r="AVI32" s="456"/>
      <c r="AVJ32" s="456"/>
      <c r="AVK32" s="456"/>
      <c r="AVL32" s="456"/>
      <c r="AVM32" s="456"/>
      <c r="AVN32" s="456"/>
      <c r="AVO32" s="456"/>
      <c r="AVP32" s="456"/>
      <c r="AVQ32" s="456"/>
      <c r="AVR32" s="456"/>
      <c r="AVS32" s="456"/>
      <c r="AVT32" s="456"/>
      <c r="AVU32" s="456"/>
      <c r="AVV32" s="456"/>
      <c r="AVW32" s="456"/>
      <c r="AVX32" s="456"/>
      <c r="AVY32" s="456"/>
      <c r="AVZ32" s="456"/>
      <c r="AWA32" s="456"/>
      <c r="AWB32" s="456"/>
      <c r="AWC32" s="456"/>
      <c r="AWD32" s="456"/>
      <c r="AWE32" s="456"/>
      <c r="AWF32" s="456"/>
      <c r="AWG32" s="456"/>
      <c r="AWH32" s="456"/>
      <c r="AWI32" s="456"/>
      <c r="AWJ32" s="456"/>
      <c r="AWK32" s="456"/>
      <c r="AWL32" s="456"/>
      <c r="AWM32" s="456"/>
      <c r="AWN32" s="456"/>
      <c r="AWO32" s="456"/>
      <c r="AWP32" s="456"/>
      <c r="AWQ32" s="456"/>
      <c r="AWR32" s="456"/>
      <c r="AWS32" s="456"/>
      <c r="AWT32" s="456"/>
      <c r="AWU32" s="456"/>
      <c r="AWV32" s="456"/>
      <c r="AWW32" s="456"/>
      <c r="AWX32" s="456"/>
      <c r="AWY32" s="456"/>
      <c r="AWZ32" s="456"/>
      <c r="AXA32" s="456"/>
      <c r="AXB32" s="456"/>
      <c r="AXC32" s="456"/>
      <c r="AXD32" s="456"/>
      <c r="AXE32" s="456"/>
      <c r="AXF32" s="456"/>
      <c r="AXG32" s="456"/>
      <c r="AXH32" s="456"/>
      <c r="AXI32" s="456"/>
      <c r="AXJ32" s="456"/>
      <c r="AXK32" s="456"/>
      <c r="AXL32" s="456"/>
      <c r="AXM32" s="456"/>
      <c r="AXN32" s="456"/>
      <c r="AXO32" s="456"/>
      <c r="AXP32" s="456"/>
      <c r="AXQ32" s="456"/>
      <c r="AXR32" s="456"/>
      <c r="AXS32" s="456"/>
      <c r="AXT32" s="456"/>
      <c r="AXU32" s="456"/>
      <c r="AXV32" s="456"/>
      <c r="AXW32" s="456"/>
      <c r="AXX32" s="456"/>
      <c r="AXY32" s="456"/>
      <c r="AXZ32" s="456"/>
      <c r="AYA32" s="456"/>
      <c r="AYB32" s="456"/>
      <c r="AYC32" s="456"/>
      <c r="AYD32" s="456"/>
      <c r="AYE32" s="456"/>
      <c r="AYF32" s="456"/>
      <c r="AYG32" s="456"/>
      <c r="AYH32" s="456"/>
      <c r="AYI32" s="456"/>
      <c r="AYJ32" s="456"/>
      <c r="AYK32" s="456"/>
      <c r="AYL32" s="456"/>
      <c r="AYM32" s="456"/>
      <c r="AYN32" s="456"/>
      <c r="AYO32" s="456"/>
      <c r="AYP32" s="456"/>
      <c r="AYQ32" s="456"/>
      <c r="AYR32" s="456"/>
      <c r="AYS32" s="456"/>
      <c r="AYT32" s="456"/>
      <c r="AYU32" s="456"/>
      <c r="AYV32" s="456"/>
      <c r="AYW32" s="456"/>
      <c r="AYX32" s="456"/>
      <c r="AYY32" s="456"/>
      <c r="AYZ32" s="456"/>
      <c r="AZA32" s="456"/>
      <c r="AZB32" s="456"/>
      <c r="AZC32" s="456"/>
      <c r="AZD32" s="456"/>
      <c r="AZE32" s="456"/>
      <c r="AZF32" s="456"/>
      <c r="AZG32" s="456"/>
      <c r="AZH32" s="456"/>
      <c r="AZI32" s="456"/>
      <c r="AZJ32" s="456"/>
      <c r="AZK32" s="456"/>
      <c r="AZL32" s="456"/>
      <c r="AZM32" s="456"/>
      <c r="AZN32" s="456"/>
      <c r="AZO32" s="456"/>
      <c r="AZP32" s="456"/>
      <c r="AZQ32" s="456"/>
      <c r="AZR32" s="456"/>
      <c r="AZS32" s="456"/>
      <c r="AZT32" s="456"/>
      <c r="AZU32" s="456"/>
      <c r="AZV32" s="456"/>
      <c r="AZW32" s="456"/>
      <c r="AZX32" s="456"/>
      <c r="AZY32" s="456"/>
      <c r="AZZ32" s="456"/>
      <c r="BAA32" s="456"/>
      <c r="BAB32" s="456"/>
      <c r="BAC32" s="456"/>
      <c r="BAD32" s="456"/>
      <c r="BAE32" s="456"/>
      <c r="BAF32" s="456"/>
      <c r="BAG32" s="456"/>
      <c r="BAH32" s="456"/>
      <c r="BAI32" s="456"/>
      <c r="BAJ32" s="456"/>
      <c r="BAK32" s="456"/>
      <c r="BAL32" s="456"/>
      <c r="BAM32" s="456"/>
      <c r="BAN32" s="456"/>
      <c r="BAO32" s="456"/>
      <c r="BAP32" s="456"/>
      <c r="BAQ32" s="456"/>
      <c r="BAR32" s="456"/>
      <c r="BAS32" s="456"/>
      <c r="BAT32" s="456"/>
      <c r="BAU32" s="456"/>
      <c r="BAV32" s="456"/>
      <c r="BAW32" s="456"/>
      <c r="BAX32" s="456"/>
      <c r="BAY32" s="456"/>
      <c r="BAZ32" s="456"/>
      <c r="BBA32" s="456"/>
      <c r="BBB32" s="456"/>
      <c r="BBC32" s="456"/>
      <c r="BBD32" s="456"/>
      <c r="BBE32" s="456"/>
      <c r="BBF32" s="456"/>
      <c r="BBG32" s="456"/>
      <c r="BBH32" s="456"/>
      <c r="BBI32" s="456"/>
      <c r="BBJ32" s="456"/>
      <c r="BBK32" s="456"/>
      <c r="BBL32" s="456"/>
      <c r="BBM32" s="456"/>
      <c r="BBN32" s="456"/>
      <c r="BBO32" s="456"/>
      <c r="BBP32" s="456"/>
      <c r="BBQ32" s="456"/>
      <c r="BBR32" s="456"/>
      <c r="BBS32" s="456"/>
      <c r="BBT32" s="456"/>
      <c r="BBU32" s="456"/>
      <c r="BBV32" s="456"/>
      <c r="BBW32" s="456"/>
      <c r="BBX32" s="456"/>
      <c r="BBY32" s="456"/>
      <c r="BBZ32" s="456"/>
      <c r="BCA32" s="456"/>
      <c r="BCB32" s="456"/>
      <c r="BCC32" s="456"/>
      <c r="BCD32" s="456"/>
      <c r="BCE32" s="456"/>
      <c r="BCF32" s="456"/>
      <c r="BCG32" s="456"/>
      <c r="BCH32" s="456"/>
      <c r="BCI32" s="456"/>
      <c r="BCJ32" s="456"/>
      <c r="BCK32" s="456"/>
      <c r="BCL32" s="456"/>
      <c r="BCM32" s="456"/>
      <c r="BCN32" s="456"/>
      <c r="BCO32" s="456"/>
      <c r="BCP32" s="456"/>
      <c r="BCQ32" s="456"/>
      <c r="BCR32" s="456"/>
      <c r="BCS32" s="456"/>
      <c r="BCT32" s="456"/>
      <c r="BCU32" s="456"/>
      <c r="BCV32" s="456"/>
      <c r="BCW32" s="456"/>
      <c r="BCX32" s="456"/>
      <c r="BCY32" s="456"/>
      <c r="BCZ32" s="456"/>
      <c r="BDA32" s="456"/>
      <c r="BDB32" s="456"/>
      <c r="BDC32" s="456"/>
      <c r="BDD32" s="456"/>
      <c r="BDE32" s="456"/>
      <c r="BDF32" s="456"/>
      <c r="BDG32" s="456"/>
      <c r="BDH32" s="456"/>
      <c r="BDI32" s="456"/>
      <c r="BDJ32" s="456"/>
      <c r="BDK32" s="456"/>
      <c r="BDL32" s="456"/>
      <c r="BDM32" s="456"/>
      <c r="BDN32" s="456"/>
      <c r="BDO32" s="456"/>
      <c r="BDP32" s="456"/>
      <c r="BDQ32" s="456"/>
      <c r="BDR32" s="456"/>
      <c r="BDS32" s="456"/>
      <c r="BDT32" s="456"/>
      <c r="BDU32" s="456"/>
      <c r="BDV32" s="456"/>
      <c r="BDW32" s="456"/>
      <c r="BDX32" s="456"/>
      <c r="BDY32" s="456"/>
      <c r="BDZ32" s="456"/>
      <c r="BEA32" s="456"/>
      <c r="BEB32" s="456"/>
      <c r="BEC32" s="456"/>
      <c r="BED32" s="456"/>
      <c r="BEE32" s="456"/>
      <c r="BEF32" s="456"/>
      <c r="BEG32" s="456"/>
      <c r="BEH32" s="456"/>
      <c r="BEI32" s="456"/>
      <c r="BEJ32" s="456"/>
      <c r="BEK32" s="456"/>
      <c r="BEL32" s="456"/>
      <c r="BEM32" s="456"/>
      <c r="BEN32" s="456"/>
      <c r="BEO32" s="456"/>
      <c r="BEP32" s="456"/>
      <c r="BEQ32" s="456"/>
      <c r="BER32" s="456"/>
      <c r="BES32" s="456"/>
      <c r="BET32" s="456"/>
      <c r="BEU32" s="456"/>
      <c r="BEV32" s="456"/>
      <c r="BEW32" s="456"/>
      <c r="BEX32" s="456"/>
      <c r="BEY32" s="456"/>
      <c r="BEZ32" s="456"/>
      <c r="BFA32" s="456"/>
      <c r="BFB32" s="456"/>
      <c r="BFC32" s="456"/>
      <c r="BFD32" s="456"/>
      <c r="BFE32" s="456"/>
      <c r="BFF32" s="456"/>
      <c r="BFG32" s="456"/>
      <c r="BFH32" s="456"/>
      <c r="BFI32" s="456"/>
      <c r="BFJ32" s="456"/>
      <c r="BFK32" s="456"/>
      <c r="BFL32" s="456"/>
      <c r="BFM32" s="456"/>
      <c r="BFN32" s="456"/>
      <c r="BFO32" s="456"/>
      <c r="BFP32" s="456"/>
      <c r="BFQ32" s="456"/>
      <c r="BFR32" s="456"/>
      <c r="BFS32" s="456"/>
      <c r="BFT32" s="456"/>
      <c r="BFU32" s="456"/>
      <c r="BFV32" s="456"/>
      <c r="BFW32" s="456"/>
      <c r="BFX32" s="456"/>
      <c r="BFY32" s="456"/>
      <c r="BFZ32" s="456"/>
      <c r="BGA32" s="456"/>
      <c r="BGB32" s="456"/>
      <c r="BGC32" s="456"/>
      <c r="BGD32" s="456"/>
      <c r="BGE32" s="456"/>
      <c r="BGF32" s="456"/>
      <c r="BGG32" s="456"/>
      <c r="BGH32" s="456"/>
      <c r="BGI32" s="456"/>
      <c r="BGJ32" s="456"/>
      <c r="BGK32" s="456"/>
      <c r="BGL32" s="456"/>
      <c r="BGM32" s="456"/>
      <c r="BGN32" s="456"/>
      <c r="BGO32" s="456"/>
      <c r="BGP32" s="456"/>
      <c r="BGQ32" s="456"/>
      <c r="BGR32" s="456"/>
      <c r="BGS32" s="456"/>
      <c r="BGT32" s="456"/>
      <c r="BGU32" s="456"/>
      <c r="BGV32" s="456"/>
      <c r="BGW32" s="456"/>
      <c r="BGX32" s="456"/>
      <c r="BGY32" s="456"/>
      <c r="BGZ32" s="456"/>
      <c r="BHA32" s="456"/>
      <c r="BHB32" s="456"/>
      <c r="BHC32" s="456"/>
      <c r="BHD32" s="456"/>
      <c r="BHE32" s="456"/>
      <c r="BHF32" s="456"/>
      <c r="BHG32" s="456"/>
      <c r="BHH32" s="456"/>
      <c r="BHI32" s="456"/>
      <c r="BHJ32" s="456"/>
      <c r="BHK32" s="456"/>
      <c r="BHL32" s="456"/>
      <c r="BHM32" s="456"/>
      <c r="BHN32" s="456"/>
      <c r="BHO32" s="456"/>
      <c r="BHP32" s="456"/>
      <c r="BHQ32" s="456"/>
      <c r="BHR32" s="456"/>
      <c r="BHS32" s="456"/>
      <c r="BHT32" s="456"/>
      <c r="BHU32" s="456"/>
      <c r="BHV32" s="456"/>
      <c r="BHW32" s="456"/>
      <c r="BHX32" s="456"/>
      <c r="BHY32" s="456"/>
      <c r="BHZ32" s="456"/>
      <c r="BIA32" s="456"/>
      <c r="BIB32" s="456"/>
      <c r="BIC32" s="456"/>
      <c r="BID32" s="456"/>
      <c r="BIE32" s="456"/>
      <c r="BIF32" s="456"/>
      <c r="BIG32" s="456"/>
      <c r="BIH32" s="456"/>
      <c r="BII32" s="456"/>
      <c r="BIJ32" s="456"/>
      <c r="BIK32" s="456"/>
      <c r="BIL32" s="456"/>
      <c r="BIM32" s="456"/>
      <c r="BIN32" s="456"/>
      <c r="BIO32" s="456"/>
      <c r="BIP32" s="456"/>
      <c r="BIQ32" s="456"/>
      <c r="BIR32" s="456"/>
      <c r="BIS32" s="456"/>
      <c r="BIT32" s="456"/>
      <c r="BIU32" s="456"/>
      <c r="BIV32" s="456"/>
      <c r="BIW32" s="456"/>
      <c r="BIX32" s="456"/>
      <c r="BIY32" s="456"/>
      <c r="BIZ32" s="456"/>
      <c r="BJA32" s="456"/>
      <c r="BJB32" s="456"/>
      <c r="BJC32" s="456"/>
      <c r="BJD32" s="456"/>
      <c r="BJE32" s="456"/>
      <c r="BJF32" s="456"/>
      <c r="BJG32" s="456"/>
      <c r="BJH32" s="456"/>
      <c r="BJI32" s="456"/>
      <c r="BJJ32" s="456"/>
      <c r="BJK32" s="456"/>
      <c r="BJL32" s="456"/>
      <c r="BJM32" s="456"/>
      <c r="BJN32" s="456"/>
      <c r="BJO32" s="456"/>
      <c r="BJP32" s="456"/>
      <c r="BJQ32" s="456"/>
      <c r="BJR32" s="456"/>
      <c r="BJS32" s="456"/>
      <c r="BJT32" s="456"/>
      <c r="BJU32" s="456"/>
      <c r="BJV32" s="456"/>
      <c r="BJW32" s="456"/>
      <c r="BJX32" s="456"/>
      <c r="BJY32" s="456"/>
      <c r="BJZ32" s="456"/>
      <c r="BKA32" s="456"/>
      <c r="BKB32" s="456"/>
      <c r="BKC32" s="456"/>
      <c r="BKD32" s="456"/>
      <c r="BKE32" s="456"/>
      <c r="BKF32" s="456"/>
      <c r="BKG32" s="456"/>
      <c r="BKH32" s="456"/>
      <c r="BKI32" s="456"/>
      <c r="BKJ32" s="456"/>
      <c r="BKK32" s="456"/>
      <c r="BKL32" s="456"/>
      <c r="BKM32" s="456"/>
      <c r="BKN32" s="456"/>
      <c r="BKO32" s="456"/>
      <c r="BKP32" s="456"/>
      <c r="BKQ32" s="456"/>
      <c r="BKR32" s="456"/>
      <c r="BKS32" s="456"/>
      <c r="BKT32" s="456"/>
      <c r="BKU32" s="456"/>
      <c r="BKV32" s="456"/>
      <c r="BKW32" s="456"/>
      <c r="BKX32" s="456"/>
      <c r="BKY32" s="456"/>
      <c r="BKZ32" s="456"/>
      <c r="BLA32" s="456"/>
      <c r="BLB32" s="456"/>
      <c r="BLC32" s="456"/>
      <c r="BLD32" s="456"/>
      <c r="BLE32" s="456"/>
      <c r="BLF32" s="456"/>
      <c r="BLG32" s="456"/>
      <c r="BLH32" s="456"/>
      <c r="BLI32" s="456"/>
      <c r="BLJ32" s="456"/>
      <c r="BLK32" s="456"/>
      <c r="BLL32" s="456"/>
      <c r="BLM32" s="456"/>
      <c r="BLN32" s="456"/>
      <c r="BLO32" s="456"/>
      <c r="BLP32" s="456"/>
      <c r="BLQ32" s="456"/>
      <c r="BLR32" s="456"/>
      <c r="BLS32" s="456"/>
      <c r="BLT32" s="456"/>
      <c r="BLU32" s="456"/>
      <c r="BLV32" s="456"/>
      <c r="BLW32" s="456"/>
      <c r="BLX32" s="456"/>
      <c r="BLY32" s="456"/>
      <c r="BLZ32" s="456"/>
      <c r="BMA32" s="456"/>
      <c r="BMB32" s="456"/>
      <c r="BMC32" s="456"/>
      <c r="BMD32" s="456"/>
      <c r="BME32" s="456"/>
      <c r="BMF32" s="456"/>
      <c r="BMG32" s="456"/>
      <c r="BMH32" s="456"/>
      <c r="BMI32" s="456"/>
      <c r="BMJ32" s="456"/>
      <c r="BMK32" s="456"/>
      <c r="BML32" s="456"/>
      <c r="BMM32" s="456"/>
      <c r="BMN32" s="456"/>
      <c r="BMO32" s="456"/>
      <c r="BMP32" s="456"/>
      <c r="BMQ32" s="456"/>
      <c r="BMR32" s="456"/>
      <c r="BMS32" s="456"/>
      <c r="BMT32" s="456"/>
      <c r="BMU32" s="456"/>
      <c r="BMV32" s="456"/>
      <c r="BMW32" s="456"/>
      <c r="BMX32" s="456"/>
      <c r="BMY32" s="456"/>
      <c r="BMZ32" s="456"/>
      <c r="BNA32" s="456"/>
      <c r="BNB32" s="456"/>
      <c r="BNC32" s="456"/>
      <c r="BND32" s="456"/>
      <c r="BNE32" s="456"/>
      <c r="BNF32" s="456"/>
      <c r="BNG32" s="456"/>
      <c r="BNH32" s="456"/>
      <c r="BNI32" s="456"/>
      <c r="BNJ32" s="456"/>
      <c r="BNK32" s="456"/>
      <c r="BNL32" s="456"/>
      <c r="BNM32" s="456"/>
      <c r="BNN32" s="456"/>
      <c r="BNO32" s="456"/>
      <c r="BNP32" s="456"/>
      <c r="BNQ32" s="456"/>
      <c r="BNR32" s="456"/>
      <c r="BNS32" s="456"/>
      <c r="BNT32" s="456"/>
      <c r="BNU32" s="456"/>
      <c r="BNV32" s="456"/>
      <c r="BNW32" s="456"/>
      <c r="BNX32" s="456"/>
      <c r="BNY32" s="456"/>
      <c r="BNZ32" s="456"/>
      <c r="BOA32" s="456"/>
      <c r="BOB32" s="456"/>
      <c r="BOC32" s="456"/>
      <c r="BOD32" s="456"/>
      <c r="BOE32" s="456"/>
      <c r="BOF32" s="456"/>
      <c r="BOG32" s="456"/>
      <c r="BOH32" s="456"/>
      <c r="BOI32" s="456"/>
      <c r="BOJ32" s="456"/>
      <c r="BOK32" s="456"/>
      <c r="BOL32" s="456"/>
      <c r="BOM32" s="456"/>
      <c r="BON32" s="456"/>
      <c r="BOO32" s="456"/>
      <c r="BOP32" s="456"/>
      <c r="BOQ32" s="456"/>
      <c r="BOR32" s="456"/>
      <c r="BOS32" s="456"/>
      <c r="BOT32" s="456"/>
      <c r="BOU32" s="456"/>
      <c r="BOV32" s="456"/>
      <c r="BOW32" s="456"/>
      <c r="BOX32" s="456"/>
      <c r="BOY32" s="456"/>
      <c r="BOZ32" s="456"/>
      <c r="BPA32" s="456"/>
      <c r="BPB32" s="456"/>
      <c r="BPC32" s="456"/>
      <c r="BPD32" s="456"/>
      <c r="BPE32" s="456"/>
      <c r="BPF32" s="456"/>
      <c r="BPG32" s="456"/>
      <c r="BPH32" s="456"/>
      <c r="BPI32" s="456"/>
      <c r="BPJ32" s="456"/>
      <c r="BPK32" s="456"/>
      <c r="BPL32" s="456"/>
      <c r="BPM32" s="456"/>
      <c r="BPN32" s="456"/>
      <c r="BPO32" s="456"/>
      <c r="BPP32" s="456"/>
      <c r="BPQ32" s="456"/>
      <c r="BPR32" s="456"/>
      <c r="BPS32" s="456"/>
      <c r="BPT32" s="456"/>
      <c r="BPU32" s="456"/>
      <c r="BPV32" s="456"/>
      <c r="BPW32" s="456"/>
      <c r="BPX32" s="456"/>
      <c r="BPY32" s="456"/>
      <c r="BPZ32" s="456"/>
      <c r="BQA32" s="456"/>
      <c r="BQB32" s="456"/>
      <c r="BQC32" s="456"/>
      <c r="BQD32" s="456"/>
      <c r="BQE32" s="456"/>
      <c r="BQF32" s="456"/>
      <c r="BQG32" s="456"/>
      <c r="BQH32" s="456"/>
      <c r="BQI32" s="456"/>
      <c r="BQJ32" s="456"/>
      <c r="BQK32" s="456"/>
      <c r="BQL32" s="456"/>
      <c r="BQM32" s="456"/>
      <c r="BQN32" s="456"/>
      <c r="BQO32" s="456"/>
      <c r="BQP32" s="456"/>
      <c r="BQQ32" s="456"/>
      <c r="BQR32" s="456"/>
      <c r="BQS32" s="456"/>
      <c r="BQT32" s="456"/>
      <c r="BQU32" s="456"/>
      <c r="BQV32" s="456"/>
      <c r="BQW32" s="456"/>
      <c r="BQX32" s="456"/>
      <c r="BQY32" s="456"/>
      <c r="BQZ32" s="456"/>
      <c r="BRA32" s="456"/>
      <c r="BRB32" s="456"/>
      <c r="BRC32" s="456"/>
      <c r="BRD32" s="456"/>
      <c r="BRE32" s="456"/>
      <c r="BRF32" s="456"/>
      <c r="BRG32" s="456"/>
      <c r="BRH32" s="456"/>
      <c r="BRI32" s="456"/>
      <c r="BRJ32" s="456"/>
      <c r="BRK32" s="456"/>
      <c r="BRL32" s="456"/>
      <c r="BRM32" s="456"/>
      <c r="BRN32" s="456"/>
      <c r="BRO32" s="456"/>
      <c r="BRP32" s="456"/>
      <c r="BRQ32" s="456"/>
      <c r="BRR32" s="456"/>
      <c r="BRS32" s="456"/>
      <c r="BRT32" s="456"/>
      <c r="BRU32" s="456"/>
      <c r="BRV32" s="456"/>
      <c r="BRW32" s="456"/>
      <c r="BRX32" s="456"/>
      <c r="BRY32" s="456"/>
      <c r="BRZ32" s="456"/>
      <c r="BSA32" s="456"/>
      <c r="BSB32" s="456"/>
      <c r="BSC32" s="456"/>
      <c r="BSD32" s="456"/>
      <c r="BSE32" s="456"/>
      <c r="BSF32" s="456"/>
      <c r="BSG32" s="456"/>
      <c r="BSH32" s="456"/>
      <c r="BSI32" s="456"/>
      <c r="BSJ32" s="456"/>
      <c r="BSK32" s="456"/>
      <c r="BSL32" s="456"/>
      <c r="BSM32" s="456"/>
      <c r="BSN32" s="456"/>
      <c r="BSO32" s="456"/>
      <c r="BSP32" s="456"/>
      <c r="BSQ32" s="456"/>
      <c r="BSR32" s="456"/>
      <c r="BSS32" s="456"/>
      <c r="BST32" s="456"/>
      <c r="BSU32" s="456"/>
      <c r="BSV32" s="456"/>
      <c r="BSW32" s="456"/>
      <c r="BSX32" s="456"/>
      <c r="BSY32" s="456"/>
      <c r="BSZ32" s="456"/>
      <c r="BTA32" s="456"/>
      <c r="BTB32" s="456"/>
      <c r="BTC32" s="456"/>
      <c r="BTD32" s="456"/>
      <c r="BTE32" s="456"/>
      <c r="BTF32" s="456"/>
      <c r="BTG32" s="456"/>
      <c r="BTH32" s="456"/>
      <c r="BTI32" s="456"/>
      <c r="BTJ32" s="456"/>
      <c r="BTK32" s="456"/>
      <c r="BTL32" s="456"/>
      <c r="BTM32" s="456"/>
      <c r="BTN32" s="456"/>
      <c r="BTO32" s="456"/>
      <c r="BTP32" s="456"/>
      <c r="BTQ32" s="456"/>
      <c r="BTR32" s="456"/>
      <c r="BTS32" s="456"/>
      <c r="BTT32" s="456"/>
      <c r="BTU32" s="456"/>
      <c r="BTV32" s="456"/>
      <c r="BTW32" s="456"/>
      <c r="BTX32" s="456"/>
      <c r="BTY32" s="456"/>
      <c r="BTZ32" s="456"/>
      <c r="BUA32" s="456"/>
      <c r="BUB32" s="456"/>
      <c r="BUC32" s="456"/>
      <c r="BUD32" s="456"/>
      <c r="BUE32" s="456"/>
      <c r="BUF32" s="456"/>
      <c r="BUG32" s="456"/>
      <c r="BUH32" s="456"/>
      <c r="BUI32" s="456"/>
      <c r="BUJ32" s="456"/>
      <c r="BUK32" s="456"/>
      <c r="BUL32" s="456"/>
      <c r="BUM32" s="456"/>
      <c r="BUN32" s="456"/>
      <c r="BUO32" s="456"/>
      <c r="BUP32" s="456"/>
      <c r="BUQ32" s="456"/>
      <c r="BUR32" s="456"/>
      <c r="BUS32" s="456"/>
      <c r="BUT32" s="456"/>
      <c r="BUU32" s="456"/>
      <c r="BUV32" s="456"/>
      <c r="BUW32" s="456"/>
      <c r="BUX32" s="456"/>
      <c r="BUY32" s="456"/>
      <c r="BUZ32" s="456"/>
      <c r="BVA32" s="456"/>
      <c r="BVB32" s="456"/>
      <c r="BVC32" s="456"/>
      <c r="BVD32" s="456"/>
      <c r="BVE32" s="456"/>
      <c r="BVF32" s="456"/>
      <c r="BVG32" s="456"/>
      <c r="BVH32" s="456"/>
      <c r="BVI32" s="456"/>
      <c r="BVJ32" s="456"/>
      <c r="BVK32" s="456"/>
      <c r="BVL32" s="456"/>
      <c r="BVM32" s="456"/>
      <c r="BVN32" s="456"/>
      <c r="BVO32" s="456"/>
      <c r="BVP32" s="456"/>
      <c r="BVQ32" s="456"/>
      <c r="BVR32" s="456"/>
      <c r="BVS32" s="456"/>
      <c r="BVT32" s="456"/>
      <c r="BVU32" s="456"/>
      <c r="BVV32" s="456"/>
      <c r="BVW32" s="456"/>
      <c r="BVX32" s="456"/>
      <c r="BVY32" s="456"/>
      <c r="BVZ32" s="456"/>
      <c r="BWA32" s="456"/>
      <c r="BWB32" s="456"/>
      <c r="BWC32" s="456"/>
      <c r="BWD32" s="456"/>
      <c r="BWE32" s="456"/>
      <c r="BWF32" s="456"/>
      <c r="BWG32" s="456"/>
      <c r="BWH32" s="456"/>
      <c r="BWI32" s="456"/>
      <c r="BWJ32" s="456"/>
      <c r="BWK32" s="456"/>
      <c r="BWL32" s="456"/>
      <c r="BWM32" s="456"/>
      <c r="BWN32" s="456"/>
      <c r="BWO32" s="456"/>
      <c r="BWP32" s="456"/>
      <c r="BWQ32" s="456"/>
      <c r="BWR32" s="456"/>
      <c r="BWS32" s="456"/>
      <c r="BWT32" s="456"/>
      <c r="BWU32" s="456"/>
      <c r="BWV32" s="456"/>
      <c r="BWW32" s="456"/>
      <c r="BWX32" s="456"/>
      <c r="BWY32" s="456"/>
      <c r="BWZ32" s="456"/>
      <c r="BXA32" s="456"/>
      <c r="BXB32" s="456"/>
      <c r="BXC32" s="456"/>
      <c r="BXD32" s="456"/>
      <c r="BXE32" s="456"/>
      <c r="BXF32" s="456"/>
      <c r="BXG32" s="456"/>
      <c r="BXH32" s="456"/>
      <c r="BXI32" s="456"/>
      <c r="BXJ32" s="456"/>
      <c r="BXK32" s="456"/>
      <c r="BXL32" s="456"/>
      <c r="BXM32" s="456"/>
      <c r="BXN32" s="456"/>
      <c r="BXO32" s="456"/>
      <c r="BXP32" s="456"/>
      <c r="BXQ32" s="456"/>
      <c r="BXR32" s="456"/>
      <c r="BXS32" s="456"/>
      <c r="BXT32" s="456"/>
      <c r="BXU32" s="456"/>
      <c r="BXV32" s="456"/>
      <c r="BXW32" s="456"/>
      <c r="BXX32" s="456"/>
      <c r="BXY32" s="456"/>
      <c r="BXZ32" s="456"/>
    </row>
    <row r="33" s="25" customFormat="1" spans="1:1024 1025:2002">
      <c r="A33" s="473"/>
      <c r="B33" s="19">
        <v>1117</v>
      </c>
      <c r="C33" s="183">
        <v>46174</v>
      </c>
      <c r="D33" s="17" t="s">
        <v>35</v>
      </c>
      <c r="E33" s="17" t="s">
        <v>71</v>
      </c>
      <c r="F33" s="17" t="s">
        <v>72</v>
      </c>
      <c r="G33" s="17"/>
      <c r="H33" s="19">
        <v>1.2379</v>
      </c>
      <c r="I33" s="19">
        <v>1.2379</v>
      </c>
      <c r="J33" s="17" t="s">
        <v>39</v>
      </c>
      <c r="K33" s="19">
        <v>125</v>
      </c>
      <c r="L33" s="91"/>
      <c r="M33" s="19">
        <v>5800</v>
      </c>
      <c r="N33" s="19" t="s">
        <v>40</v>
      </c>
      <c r="O33" s="19" t="s">
        <v>50</v>
      </c>
      <c r="P33" s="19">
        <v>1500</v>
      </c>
      <c r="Q33" s="19">
        <v>1050</v>
      </c>
      <c r="R33" s="19">
        <f t="shared" si="0"/>
        <v>450</v>
      </c>
      <c r="S33" s="19">
        <v>2260</v>
      </c>
      <c r="T33" s="19" t="s">
        <v>42</v>
      </c>
      <c r="U33" s="102" t="s">
        <v>73</v>
      </c>
      <c r="V33" s="186">
        <v>46173</v>
      </c>
      <c r="W33" s="17" t="s">
        <v>44</v>
      </c>
      <c r="X33" s="17"/>
      <c r="Y33" s="68">
        <v>46296</v>
      </c>
      <c r="Z33" s="17" t="s">
        <v>45</v>
      </c>
      <c r="AA33" s="17" t="s">
        <v>46</v>
      </c>
      <c r="AB33" s="17"/>
      <c r="AC33" s="102"/>
      <c r="AD33" s="65">
        <v>1855</v>
      </c>
      <c r="AE33" s="17" t="s">
        <v>74</v>
      </c>
      <c r="AF33" s="17"/>
      <c r="AG33" s="17"/>
      <c r="AH33" s="456"/>
      <c r="AI33" s="456"/>
      <c r="AJ33" s="456"/>
      <c r="AK33" s="456"/>
      <c r="AL33" s="456"/>
      <c r="AM33" s="456"/>
      <c r="AN33" s="456"/>
      <c r="AO33" s="456"/>
      <c r="AP33" s="456"/>
      <c r="AQ33" s="456"/>
      <c r="AR33" s="456"/>
      <c r="AS33" s="456"/>
      <c r="AT33" s="456"/>
      <c r="AU33" s="456"/>
      <c r="AV33" s="456"/>
      <c r="AW33" s="456"/>
      <c r="AX33" s="456"/>
      <c r="AY33" s="456"/>
      <c r="AZ33" s="456"/>
      <c r="BA33" s="456"/>
      <c r="BB33" s="456"/>
      <c r="BC33" s="456"/>
      <c r="BD33" s="456"/>
      <c r="BE33" s="456"/>
      <c r="BF33" s="456"/>
      <c r="BG33" s="456"/>
      <c r="BH33" s="456"/>
      <c r="BI33" s="456"/>
      <c r="BJ33" s="456"/>
      <c r="BK33" s="456"/>
      <c r="BL33" s="456"/>
      <c r="BM33" s="456"/>
      <c r="BN33" s="456"/>
      <c r="BO33" s="456"/>
      <c r="BP33" s="456"/>
      <c r="BQ33" s="456"/>
      <c r="BR33" s="456"/>
      <c r="BS33" s="456"/>
      <c r="BT33" s="456"/>
      <c r="BU33" s="456"/>
      <c r="BV33" s="456"/>
      <c r="BW33" s="456"/>
      <c r="BX33" s="456"/>
      <c r="BY33" s="456"/>
      <c r="BZ33" s="456"/>
      <c r="CA33" s="456"/>
      <c r="CB33" s="456"/>
      <c r="CC33" s="456"/>
      <c r="CD33" s="456"/>
      <c r="CE33" s="456"/>
      <c r="CF33" s="456"/>
      <c r="CG33" s="456"/>
      <c r="CH33" s="456"/>
      <c r="CI33" s="456"/>
      <c r="CJ33" s="456"/>
      <c r="CK33" s="456"/>
      <c r="CL33" s="456"/>
      <c r="CM33" s="456"/>
      <c r="CN33" s="456"/>
      <c r="CO33" s="456"/>
      <c r="CP33" s="456"/>
      <c r="CQ33" s="456"/>
      <c r="CR33" s="456"/>
      <c r="CS33" s="456"/>
      <c r="CT33" s="456"/>
      <c r="CU33" s="456"/>
      <c r="CV33" s="456"/>
      <c r="CW33" s="456"/>
      <c r="CX33" s="456"/>
      <c r="CY33" s="456"/>
      <c r="CZ33" s="456"/>
      <c r="DA33" s="456"/>
      <c r="DB33" s="456"/>
      <c r="DC33" s="456"/>
      <c r="DD33" s="456"/>
      <c r="DE33" s="456"/>
      <c r="DF33" s="456"/>
      <c r="DG33" s="456"/>
      <c r="DH33" s="456"/>
      <c r="DI33" s="456"/>
      <c r="DJ33" s="456"/>
      <c r="DK33" s="456"/>
      <c r="DL33" s="456"/>
      <c r="DM33" s="456"/>
      <c r="DN33" s="456"/>
      <c r="DO33" s="456"/>
      <c r="DP33" s="456"/>
      <c r="DQ33" s="456"/>
      <c r="DR33" s="456"/>
      <c r="DS33" s="456"/>
      <c r="DT33" s="456"/>
      <c r="DU33" s="456"/>
      <c r="DV33" s="456"/>
      <c r="DW33" s="456"/>
      <c r="DX33" s="456"/>
      <c r="DY33" s="456"/>
      <c r="DZ33" s="456"/>
      <c r="EA33" s="456"/>
      <c r="EB33" s="456"/>
      <c r="EC33" s="456"/>
      <c r="ED33" s="456"/>
      <c r="EE33" s="456"/>
      <c r="EF33" s="456"/>
      <c r="EG33" s="456"/>
      <c r="EH33" s="456"/>
      <c r="EI33" s="456"/>
      <c r="EJ33" s="456"/>
      <c r="EK33" s="456"/>
      <c r="EL33" s="456"/>
      <c r="EM33" s="456"/>
      <c r="EN33" s="456"/>
      <c r="EO33" s="456"/>
      <c r="EP33" s="456"/>
      <c r="EQ33" s="456"/>
      <c r="ER33" s="456"/>
      <c r="ES33" s="456"/>
      <c r="ET33" s="456"/>
      <c r="EU33" s="456"/>
      <c r="EV33" s="456"/>
      <c r="EW33" s="456"/>
      <c r="EX33" s="456"/>
      <c r="EY33" s="456"/>
      <c r="EZ33" s="456"/>
      <c r="FA33" s="456"/>
      <c r="FB33" s="456"/>
      <c r="FC33" s="456"/>
      <c r="FD33" s="456"/>
      <c r="FE33" s="456"/>
      <c r="FF33" s="456"/>
      <c r="FG33" s="456"/>
      <c r="FH33" s="456"/>
      <c r="FI33" s="456"/>
      <c r="FJ33" s="456"/>
      <c r="FK33" s="456"/>
      <c r="FL33" s="456"/>
      <c r="FM33" s="456"/>
      <c r="FN33" s="456"/>
      <c r="FO33" s="456"/>
      <c r="FP33" s="456"/>
      <c r="FQ33" s="456"/>
      <c r="FR33" s="456"/>
      <c r="FS33" s="456"/>
      <c r="FT33" s="456"/>
      <c r="FU33" s="456"/>
      <c r="FV33" s="456"/>
      <c r="FW33" s="456"/>
      <c r="FX33" s="456"/>
      <c r="FY33" s="456"/>
      <c r="FZ33" s="456"/>
      <c r="GA33" s="456"/>
      <c r="GB33" s="456"/>
      <c r="GC33" s="456"/>
      <c r="GD33" s="456"/>
      <c r="GE33" s="456"/>
      <c r="GF33" s="456"/>
      <c r="GG33" s="456"/>
      <c r="GH33" s="456"/>
      <c r="GI33" s="456"/>
      <c r="GJ33" s="456"/>
      <c r="GK33" s="456"/>
      <c r="GL33" s="456"/>
      <c r="GM33" s="456"/>
      <c r="GN33" s="456"/>
      <c r="GO33" s="456"/>
      <c r="GP33" s="456"/>
      <c r="GQ33" s="456"/>
      <c r="GR33" s="456"/>
      <c r="GS33" s="456"/>
      <c r="GT33" s="456"/>
      <c r="GU33" s="456"/>
      <c r="GV33" s="456"/>
      <c r="GW33" s="456"/>
      <c r="GX33" s="456"/>
      <c r="GY33" s="456"/>
      <c r="GZ33" s="456"/>
      <c r="HA33" s="456"/>
      <c r="HB33" s="456"/>
      <c r="HC33" s="456"/>
      <c r="HD33" s="456"/>
      <c r="HE33" s="456"/>
      <c r="HF33" s="456"/>
      <c r="HG33" s="456"/>
      <c r="HH33" s="456"/>
      <c r="HI33" s="456"/>
      <c r="HJ33" s="456"/>
      <c r="HK33" s="456"/>
      <c r="HL33" s="456"/>
      <c r="HM33" s="456"/>
      <c r="HN33" s="456"/>
      <c r="HO33" s="456"/>
      <c r="HP33" s="456"/>
      <c r="HQ33" s="456"/>
      <c r="HR33" s="456"/>
      <c r="HS33" s="456"/>
      <c r="HT33" s="456"/>
      <c r="HU33" s="456"/>
      <c r="HV33" s="456"/>
      <c r="HW33" s="456"/>
      <c r="HX33" s="456"/>
      <c r="HY33" s="456"/>
      <c r="HZ33" s="456"/>
      <c r="IA33" s="456"/>
      <c r="IB33" s="456"/>
      <c r="IC33" s="456"/>
      <c r="ID33" s="456"/>
      <c r="IE33" s="456"/>
      <c r="IF33" s="456"/>
      <c r="IG33" s="456"/>
      <c r="IH33" s="456"/>
      <c r="II33" s="456"/>
      <c r="IJ33" s="456"/>
      <c r="IK33" s="456"/>
      <c r="IL33" s="456"/>
      <c r="IM33" s="456"/>
      <c r="IN33" s="456"/>
      <c r="IO33" s="456"/>
      <c r="IP33" s="456"/>
      <c r="IQ33" s="456"/>
      <c r="IR33" s="456"/>
      <c r="IS33" s="456"/>
      <c r="IT33" s="456"/>
      <c r="IU33" s="456"/>
      <c r="IV33" s="456"/>
      <c r="IW33" s="456"/>
      <c r="IX33" s="456"/>
      <c r="IY33" s="456"/>
      <c r="IZ33" s="456"/>
      <c r="JA33" s="456"/>
      <c r="JB33" s="456"/>
      <c r="JC33" s="456"/>
      <c r="JD33" s="456"/>
      <c r="JE33" s="456"/>
      <c r="JF33" s="456"/>
      <c r="JG33" s="456"/>
      <c r="JH33" s="456"/>
      <c r="JI33" s="456"/>
      <c r="JJ33" s="456"/>
      <c r="JK33" s="456"/>
      <c r="JL33" s="456"/>
      <c r="JM33" s="456"/>
      <c r="JN33" s="456"/>
      <c r="JO33" s="456"/>
      <c r="JP33" s="456"/>
      <c r="JQ33" s="456"/>
      <c r="JR33" s="456"/>
      <c r="JS33" s="456"/>
      <c r="JT33" s="456"/>
      <c r="JU33" s="456"/>
      <c r="JV33" s="456"/>
      <c r="JW33" s="456"/>
      <c r="JX33" s="456"/>
      <c r="JY33" s="456"/>
      <c r="JZ33" s="456"/>
      <c r="KA33" s="456"/>
      <c r="KB33" s="456"/>
      <c r="KC33" s="456"/>
      <c r="KD33" s="456"/>
      <c r="KE33" s="456"/>
      <c r="KF33" s="456"/>
      <c r="KG33" s="456"/>
      <c r="KH33" s="456"/>
      <c r="KI33" s="456"/>
      <c r="KJ33" s="456"/>
      <c r="KK33" s="456"/>
      <c r="KL33" s="456"/>
      <c r="KM33" s="456"/>
      <c r="KN33" s="456"/>
      <c r="KO33" s="456"/>
      <c r="KP33" s="456"/>
      <c r="KQ33" s="456"/>
      <c r="KR33" s="456"/>
      <c r="KS33" s="456"/>
      <c r="KT33" s="456"/>
      <c r="KU33" s="456"/>
      <c r="KV33" s="456"/>
      <c r="KW33" s="456"/>
      <c r="KX33" s="456"/>
      <c r="KY33" s="456"/>
      <c r="KZ33" s="456"/>
      <c r="LA33" s="456"/>
      <c r="LB33" s="456"/>
      <c r="LC33" s="456"/>
      <c r="LD33" s="456"/>
      <c r="LE33" s="456"/>
      <c r="LF33" s="456"/>
      <c r="LG33" s="456"/>
      <c r="LH33" s="456"/>
      <c r="LI33" s="456"/>
      <c r="LJ33" s="456"/>
      <c r="LK33" s="456"/>
      <c r="LL33" s="456"/>
      <c r="LM33" s="456"/>
      <c r="LN33" s="456"/>
      <c r="LO33" s="456"/>
      <c r="LP33" s="456"/>
      <c r="LQ33" s="456"/>
      <c r="LR33" s="456"/>
      <c r="LS33" s="456"/>
      <c r="LT33" s="456"/>
      <c r="LU33" s="456"/>
      <c r="LV33" s="456"/>
      <c r="LW33" s="456"/>
      <c r="LX33" s="456"/>
      <c r="LY33" s="456"/>
      <c r="LZ33" s="456"/>
      <c r="MA33" s="456"/>
      <c r="MB33" s="456"/>
      <c r="MC33" s="456"/>
      <c r="MD33" s="456"/>
      <c r="ME33" s="456"/>
      <c r="MF33" s="456"/>
      <c r="MG33" s="456"/>
      <c r="MH33" s="456"/>
      <c r="MI33" s="456"/>
      <c r="MJ33" s="456"/>
      <c r="MK33" s="456"/>
      <c r="ML33" s="456"/>
      <c r="MM33" s="456"/>
      <c r="MN33" s="456"/>
      <c r="MO33" s="456"/>
      <c r="MP33" s="456"/>
      <c r="MQ33" s="456"/>
      <c r="MR33" s="456"/>
      <c r="MS33" s="456"/>
      <c r="MT33" s="456"/>
      <c r="MU33" s="456"/>
      <c r="MV33" s="456"/>
      <c r="MW33" s="456"/>
      <c r="MX33" s="456"/>
      <c r="MY33" s="456"/>
      <c r="MZ33" s="456"/>
      <c r="NA33" s="456"/>
      <c r="NB33" s="456"/>
      <c r="NC33" s="456"/>
      <c r="ND33" s="456"/>
      <c r="NE33" s="456"/>
      <c r="NF33" s="456"/>
      <c r="NG33" s="456"/>
      <c r="NH33" s="456"/>
      <c r="NI33" s="456"/>
      <c r="NJ33" s="456"/>
      <c r="NK33" s="456"/>
      <c r="NL33" s="456"/>
      <c r="NM33" s="456"/>
      <c r="NN33" s="456"/>
      <c r="NO33" s="456"/>
      <c r="NP33" s="456"/>
      <c r="NQ33" s="456"/>
      <c r="NR33" s="456"/>
      <c r="NS33" s="456"/>
      <c r="NT33" s="456"/>
      <c r="NU33" s="456"/>
      <c r="NV33" s="456"/>
      <c r="NW33" s="456"/>
      <c r="NX33" s="456"/>
      <c r="NY33" s="456"/>
      <c r="NZ33" s="456"/>
      <c r="OA33" s="456"/>
      <c r="OB33" s="456"/>
      <c r="OC33" s="456"/>
      <c r="OD33" s="456"/>
      <c r="OE33" s="456"/>
      <c r="OF33" s="456"/>
      <c r="OG33" s="456"/>
      <c r="OH33" s="456"/>
      <c r="OI33" s="456"/>
      <c r="OJ33" s="456"/>
      <c r="OK33" s="456"/>
      <c r="OL33" s="456"/>
      <c r="OM33" s="456"/>
      <c r="ON33" s="456"/>
      <c r="OO33" s="456"/>
      <c r="OP33" s="456"/>
      <c r="OQ33" s="456"/>
      <c r="OR33" s="456"/>
      <c r="OS33" s="456"/>
      <c r="OT33" s="456"/>
      <c r="OU33" s="456"/>
      <c r="OV33" s="456"/>
      <c r="OW33" s="456"/>
      <c r="OX33" s="456"/>
      <c r="OY33" s="456"/>
      <c r="OZ33" s="456"/>
      <c r="PA33" s="456"/>
      <c r="PB33" s="456"/>
      <c r="PC33" s="456"/>
      <c r="PD33" s="456"/>
      <c r="PE33" s="456"/>
      <c r="PF33" s="456"/>
      <c r="PG33" s="456"/>
      <c r="PH33" s="456"/>
      <c r="PI33" s="456"/>
      <c r="PJ33" s="456"/>
      <c r="PK33" s="456"/>
      <c r="PL33" s="456"/>
      <c r="PM33" s="456"/>
      <c r="PN33" s="456"/>
      <c r="PO33" s="456"/>
      <c r="PP33" s="456"/>
      <c r="PQ33" s="456"/>
      <c r="PR33" s="456"/>
      <c r="PS33" s="456"/>
      <c r="PT33" s="456"/>
      <c r="PU33" s="456"/>
      <c r="PV33" s="456"/>
      <c r="PW33" s="456"/>
      <c r="PX33" s="456"/>
      <c r="PY33" s="456"/>
      <c r="PZ33" s="456"/>
      <c r="QA33" s="456"/>
      <c r="QB33" s="456"/>
      <c r="QC33" s="456"/>
      <c r="QD33" s="456"/>
      <c r="QE33" s="456"/>
      <c r="QF33" s="456"/>
      <c r="QG33" s="456"/>
      <c r="QH33" s="456"/>
      <c r="QI33" s="456"/>
      <c r="QJ33" s="456"/>
      <c r="QK33" s="456"/>
      <c r="QL33" s="456"/>
      <c r="QM33" s="456"/>
      <c r="QN33" s="456"/>
      <c r="QO33" s="456"/>
      <c r="QP33" s="456"/>
      <c r="QQ33" s="456"/>
      <c r="QR33" s="456"/>
      <c r="QS33" s="456"/>
      <c r="QT33" s="456"/>
      <c r="QU33" s="456"/>
      <c r="QV33" s="456"/>
      <c r="QW33" s="456"/>
      <c r="QX33" s="456"/>
      <c r="QY33" s="456"/>
      <c r="QZ33" s="456"/>
      <c r="RA33" s="456"/>
      <c r="RB33" s="456"/>
      <c r="RC33" s="456"/>
      <c r="RD33" s="456"/>
      <c r="RE33" s="456"/>
      <c r="RF33" s="456"/>
      <c r="RG33" s="456"/>
      <c r="RH33" s="456"/>
      <c r="RI33" s="456"/>
      <c r="RJ33" s="456"/>
      <c r="RK33" s="456"/>
      <c r="RL33" s="456"/>
      <c r="RM33" s="456"/>
      <c r="RN33" s="456"/>
      <c r="RO33" s="456"/>
      <c r="RP33" s="456"/>
      <c r="RQ33" s="456"/>
      <c r="RR33" s="456"/>
      <c r="RS33" s="456"/>
      <c r="RT33" s="456"/>
      <c r="RU33" s="456"/>
      <c r="RV33" s="456"/>
      <c r="RW33" s="456"/>
      <c r="RX33" s="456"/>
      <c r="RY33" s="456"/>
      <c r="RZ33" s="456"/>
      <c r="SA33" s="456"/>
      <c r="SB33" s="456"/>
      <c r="SC33" s="456"/>
      <c r="SD33" s="456"/>
      <c r="SE33" s="456"/>
      <c r="SF33" s="456"/>
      <c r="SG33" s="456"/>
      <c r="SH33" s="456"/>
      <c r="SI33" s="456"/>
      <c r="SJ33" s="456"/>
      <c r="SK33" s="456"/>
      <c r="SL33" s="456"/>
      <c r="SM33" s="456"/>
      <c r="SN33" s="456"/>
      <c r="SO33" s="456"/>
      <c r="SP33" s="456"/>
      <c r="SQ33" s="456"/>
      <c r="SR33" s="456"/>
      <c r="SS33" s="456"/>
      <c r="ST33" s="456"/>
      <c r="SU33" s="456"/>
      <c r="SV33" s="456"/>
      <c r="SW33" s="456"/>
      <c r="SX33" s="456"/>
      <c r="SY33" s="456"/>
      <c r="SZ33" s="456"/>
      <c r="TA33" s="456"/>
      <c r="TB33" s="456"/>
      <c r="TC33" s="456"/>
      <c r="TD33" s="456"/>
      <c r="TE33" s="456"/>
      <c r="TF33" s="456"/>
      <c r="TG33" s="456"/>
      <c r="TH33" s="456"/>
      <c r="TI33" s="456"/>
      <c r="TJ33" s="456"/>
      <c r="TK33" s="456"/>
      <c r="TL33" s="456"/>
      <c r="TM33" s="456"/>
      <c r="TN33" s="456"/>
      <c r="TO33" s="456"/>
      <c r="TP33" s="456"/>
      <c r="TQ33" s="456"/>
      <c r="TR33" s="456"/>
      <c r="TS33" s="456"/>
      <c r="TT33" s="456"/>
      <c r="TU33" s="456"/>
      <c r="TV33" s="456"/>
      <c r="TW33" s="456"/>
      <c r="TX33" s="456"/>
      <c r="TY33" s="456"/>
      <c r="TZ33" s="456"/>
      <c r="UA33" s="456"/>
      <c r="UB33" s="456"/>
      <c r="UC33" s="456"/>
      <c r="UD33" s="456"/>
      <c r="UE33" s="456"/>
      <c r="UF33" s="456"/>
      <c r="UG33" s="456"/>
      <c r="UH33" s="456"/>
      <c r="UI33" s="456"/>
      <c r="UJ33" s="456"/>
      <c r="UK33" s="456"/>
      <c r="UL33" s="456"/>
      <c r="UM33" s="456"/>
      <c r="UN33" s="456"/>
      <c r="UO33" s="456"/>
      <c r="UP33" s="456"/>
      <c r="UQ33" s="456"/>
      <c r="UR33" s="456"/>
      <c r="US33" s="456"/>
      <c r="UT33" s="456"/>
      <c r="UU33" s="456"/>
      <c r="UV33" s="456"/>
      <c r="UW33" s="456"/>
      <c r="UX33" s="456"/>
      <c r="UY33" s="456"/>
      <c r="UZ33" s="456"/>
      <c r="VA33" s="456"/>
      <c r="VB33" s="456"/>
      <c r="VC33" s="456"/>
      <c r="VD33" s="456"/>
      <c r="VE33" s="456"/>
      <c r="VF33" s="456"/>
      <c r="VG33" s="456"/>
      <c r="VH33" s="456"/>
      <c r="VI33" s="456"/>
      <c r="VJ33" s="456"/>
      <c r="VK33" s="456"/>
      <c r="VL33" s="456"/>
      <c r="VM33" s="456"/>
      <c r="VN33" s="456"/>
      <c r="VO33" s="456"/>
      <c r="VP33" s="456"/>
      <c r="VQ33" s="456"/>
      <c r="VR33" s="456"/>
      <c r="VS33" s="456"/>
      <c r="VT33" s="456"/>
      <c r="VU33" s="456"/>
      <c r="VV33" s="456"/>
      <c r="VW33" s="456"/>
      <c r="VX33" s="456"/>
      <c r="VY33" s="456"/>
      <c r="VZ33" s="456"/>
      <c r="WA33" s="456"/>
      <c r="WB33" s="456"/>
      <c r="WC33" s="456"/>
      <c r="WD33" s="456"/>
      <c r="WE33" s="456"/>
      <c r="WF33" s="456"/>
      <c r="WG33" s="456"/>
      <c r="WH33" s="456"/>
      <c r="WI33" s="456"/>
      <c r="WJ33" s="456"/>
      <c r="WK33" s="456"/>
      <c r="WL33" s="456"/>
      <c r="WM33" s="456"/>
      <c r="WN33" s="456"/>
      <c r="WO33" s="456"/>
      <c r="WP33" s="456"/>
      <c r="WQ33" s="456"/>
      <c r="WR33" s="456"/>
      <c r="WS33" s="456"/>
      <c r="WT33" s="456"/>
      <c r="WU33" s="456"/>
      <c r="WV33" s="456"/>
      <c r="WW33" s="456"/>
      <c r="WX33" s="456"/>
      <c r="WY33" s="456"/>
      <c r="WZ33" s="456"/>
      <c r="XA33" s="456"/>
      <c r="XB33" s="456"/>
      <c r="XC33" s="456"/>
      <c r="XD33" s="456"/>
      <c r="XE33" s="456"/>
      <c r="XF33" s="456"/>
      <c r="XG33" s="456"/>
      <c r="XH33" s="456"/>
      <c r="XI33" s="456"/>
      <c r="XJ33" s="456"/>
      <c r="XK33" s="456"/>
      <c r="XL33" s="456"/>
      <c r="XM33" s="456"/>
      <c r="XN33" s="456"/>
      <c r="XO33" s="456"/>
      <c r="XP33" s="456"/>
      <c r="XQ33" s="456"/>
      <c r="XR33" s="456"/>
      <c r="XS33" s="456"/>
      <c r="XT33" s="456"/>
      <c r="XU33" s="456"/>
      <c r="XV33" s="456"/>
      <c r="XW33" s="456"/>
      <c r="XX33" s="456"/>
      <c r="XY33" s="456"/>
      <c r="XZ33" s="456"/>
      <c r="YA33" s="456"/>
      <c r="YB33" s="456"/>
      <c r="YC33" s="456"/>
      <c r="YD33" s="456"/>
      <c r="YE33" s="456"/>
      <c r="YF33" s="456"/>
      <c r="YG33" s="456"/>
      <c r="YH33" s="456"/>
      <c r="YI33" s="456"/>
      <c r="YJ33" s="456"/>
      <c r="YK33" s="456"/>
      <c r="YL33" s="456"/>
      <c r="YM33" s="456"/>
      <c r="YN33" s="456"/>
      <c r="YO33" s="456"/>
      <c r="YP33" s="456"/>
      <c r="YQ33" s="456"/>
      <c r="YR33" s="456"/>
      <c r="YS33" s="456"/>
      <c r="YT33" s="456"/>
      <c r="YU33" s="456"/>
      <c r="YV33" s="456"/>
      <c r="YW33" s="456"/>
      <c r="YX33" s="456"/>
      <c r="YY33" s="456"/>
      <c r="YZ33" s="456"/>
      <c r="ZA33" s="456"/>
      <c r="ZB33" s="456"/>
      <c r="ZC33" s="456"/>
      <c r="ZD33" s="456"/>
      <c r="ZE33" s="456"/>
      <c r="ZF33" s="456"/>
      <c r="ZG33" s="456"/>
      <c r="ZH33" s="456"/>
      <c r="ZI33" s="456"/>
      <c r="ZJ33" s="456"/>
      <c r="ZK33" s="456"/>
      <c r="ZL33" s="456"/>
      <c r="ZM33" s="456"/>
      <c r="ZN33" s="456"/>
      <c r="ZO33" s="456"/>
      <c r="ZP33" s="456"/>
      <c r="ZQ33" s="456"/>
      <c r="ZR33" s="456"/>
      <c r="ZS33" s="456"/>
      <c r="ZT33" s="456"/>
      <c r="ZU33" s="456"/>
      <c r="ZV33" s="456"/>
      <c r="ZW33" s="456"/>
      <c r="ZX33" s="456"/>
      <c r="ZY33" s="456"/>
      <c r="ZZ33" s="456"/>
      <c r="AAA33" s="456"/>
      <c r="AAB33" s="456"/>
      <c r="AAC33" s="456"/>
      <c r="AAD33" s="456"/>
      <c r="AAE33" s="456"/>
      <c r="AAF33" s="456"/>
      <c r="AAG33" s="456"/>
      <c r="AAH33" s="456"/>
      <c r="AAI33" s="456"/>
      <c r="AAJ33" s="456"/>
      <c r="AAK33" s="456"/>
      <c r="AAL33" s="456"/>
      <c r="AAM33" s="456"/>
      <c r="AAN33" s="456"/>
      <c r="AAO33" s="456"/>
      <c r="AAP33" s="456"/>
      <c r="AAQ33" s="456"/>
      <c r="AAR33" s="456"/>
      <c r="AAS33" s="456"/>
      <c r="AAT33" s="456"/>
      <c r="AAU33" s="456"/>
      <c r="AAV33" s="456"/>
      <c r="AAW33" s="456"/>
      <c r="AAX33" s="456"/>
      <c r="AAY33" s="456"/>
      <c r="AAZ33" s="456"/>
      <c r="ABA33" s="456"/>
      <c r="ABB33" s="456"/>
      <c r="ABC33" s="456"/>
      <c r="ABD33" s="456"/>
      <c r="ABE33" s="456"/>
      <c r="ABF33" s="456"/>
      <c r="ABG33" s="456"/>
      <c r="ABH33" s="456"/>
      <c r="ABI33" s="456"/>
      <c r="ABJ33" s="456"/>
      <c r="ABK33" s="456"/>
      <c r="ABL33" s="456"/>
      <c r="ABM33" s="456"/>
      <c r="ABN33" s="456"/>
      <c r="ABO33" s="456"/>
      <c r="ABP33" s="456"/>
      <c r="ABQ33" s="456"/>
      <c r="ABR33" s="456"/>
      <c r="ABS33" s="456"/>
      <c r="ABT33" s="456"/>
      <c r="ABU33" s="456"/>
      <c r="ABV33" s="456"/>
      <c r="ABW33" s="456"/>
      <c r="ABX33" s="456"/>
      <c r="ABY33" s="456"/>
      <c r="ABZ33" s="456"/>
      <c r="ACA33" s="456"/>
      <c r="ACB33" s="456"/>
      <c r="ACC33" s="456"/>
      <c r="ACD33" s="456"/>
      <c r="ACE33" s="456"/>
      <c r="ACF33" s="456"/>
      <c r="ACG33" s="456"/>
      <c r="ACH33" s="456"/>
      <c r="ACI33" s="456"/>
      <c r="ACJ33" s="456"/>
      <c r="ACK33" s="456"/>
      <c r="ACL33" s="456"/>
      <c r="ACM33" s="456"/>
      <c r="ACN33" s="456"/>
      <c r="ACO33" s="456"/>
      <c r="ACP33" s="456"/>
      <c r="ACQ33" s="456"/>
      <c r="ACR33" s="456"/>
      <c r="ACS33" s="456"/>
      <c r="ACT33" s="456"/>
      <c r="ACU33" s="456"/>
      <c r="ACV33" s="456"/>
      <c r="ACW33" s="456"/>
      <c r="ACX33" s="456"/>
      <c r="ACY33" s="456"/>
      <c r="ACZ33" s="456"/>
      <c r="ADA33" s="456"/>
      <c r="ADB33" s="456"/>
      <c r="ADC33" s="456"/>
      <c r="ADD33" s="456"/>
      <c r="ADE33" s="456"/>
      <c r="ADF33" s="456"/>
      <c r="ADG33" s="456"/>
      <c r="ADH33" s="456"/>
      <c r="ADI33" s="456"/>
      <c r="ADJ33" s="456"/>
      <c r="ADK33" s="456"/>
      <c r="ADL33" s="456"/>
      <c r="ADM33" s="456"/>
      <c r="ADN33" s="456"/>
      <c r="ADO33" s="456"/>
      <c r="ADP33" s="456"/>
      <c r="ADQ33" s="456"/>
      <c r="ADR33" s="456"/>
      <c r="ADS33" s="456"/>
      <c r="ADT33" s="456"/>
      <c r="ADU33" s="456"/>
      <c r="ADV33" s="456"/>
      <c r="ADW33" s="456"/>
      <c r="ADX33" s="456"/>
      <c r="ADY33" s="456"/>
      <c r="ADZ33" s="456"/>
      <c r="AEA33" s="456"/>
      <c r="AEB33" s="456"/>
      <c r="AEC33" s="456"/>
      <c r="AED33" s="456"/>
      <c r="AEE33" s="456"/>
      <c r="AEF33" s="456"/>
      <c r="AEG33" s="456"/>
      <c r="AEH33" s="456"/>
      <c r="AEI33" s="456"/>
      <c r="AEJ33" s="456"/>
      <c r="AEK33" s="456"/>
      <c r="AEL33" s="456"/>
      <c r="AEM33" s="456"/>
      <c r="AEN33" s="456"/>
      <c r="AEO33" s="456"/>
      <c r="AEP33" s="456"/>
      <c r="AEQ33" s="456"/>
      <c r="AER33" s="456"/>
      <c r="AES33" s="456"/>
      <c r="AET33" s="456"/>
      <c r="AEU33" s="456"/>
      <c r="AEV33" s="456"/>
      <c r="AEW33" s="456"/>
      <c r="AEX33" s="456"/>
      <c r="AEY33" s="456"/>
      <c r="AEZ33" s="456"/>
      <c r="AFA33" s="456"/>
      <c r="AFB33" s="456"/>
      <c r="AFC33" s="456"/>
      <c r="AFD33" s="456"/>
      <c r="AFE33" s="456"/>
      <c r="AFF33" s="456"/>
      <c r="AFG33" s="456"/>
      <c r="AFH33" s="456"/>
      <c r="AFI33" s="456"/>
      <c r="AFJ33" s="456"/>
      <c r="AFK33" s="456"/>
      <c r="AFL33" s="456"/>
      <c r="AFM33" s="456"/>
      <c r="AFN33" s="456"/>
      <c r="AFO33" s="456"/>
      <c r="AFP33" s="456"/>
      <c r="AFQ33" s="456"/>
      <c r="AFR33" s="456"/>
      <c r="AFS33" s="456"/>
      <c r="AFT33" s="456"/>
      <c r="AFU33" s="456"/>
      <c r="AFV33" s="456"/>
      <c r="AFW33" s="456"/>
      <c r="AFX33" s="456"/>
      <c r="AFY33" s="456"/>
      <c r="AFZ33" s="456"/>
      <c r="AGA33" s="456"/>
      <c r="AGB33" s="456"/>
      <c r="AGC33" s="456"/>
      <c r="AGD33" s="456"/>
      <c r="AGE33" s="456"/>
      <c r="AGF33" s="456"/>
      <c r="AGG33" s="456"/>
      <c r="AGH33" s="456"/>
      <c r="AGI33" s="456"/>
      <c r="AGJ33" s="456"/>
      <c r="AGK33" s="456"/>
      <c r="AGL33" s="456"/>
      <c r="AGM33" s="456"/>
      <c r="AGN33" s="456"/>
      <c r="AGO33" s="456"/>
      <c r="AGP33" s="456"/>
      <c r="AGQ33" s="456"/>
      <c r="AGR33" s="456"/>
      <c r="AGS33" s="456"/>
      <c r="AGT33" s="456"/>
      <c r="AGU33" s="456"/>
      <c r="AGV33" s="456"/>
      <c r="AGW33" s="456"/>
      <c r="AGX33" s="456"/>
      <c r="AGY33" s="456"/>
      <c r="AGZ33" s="456"/>
      <c r="AHA33" s="456"/>
      <c r="AHB33" s="456"/>
      <c r="AHC33" s="456"/>
      <c r="AHD33" s="456"/>
      <c r="AHE33" s="456"/>
      <c r="AHF33" s="456"/>
      <c r="AHG33" s="456"/>
      <c r="AHH33" s="456"/>
      <c r="AHI33" s="456"/>
      <c r="AHJ33" s="456"/>
      <c r="AHK33" s="456"/>
      <c r="AHL33" s="456"/>
      <c r="AHM33" s="456"/>
      <c r="AHN33" s="456"/>
      <c r="AHO33" s="456"/>
      <c r="AHP33" s="456"/>
      <c r="AHQ33" s="456"/>
      <c r="AHR33" s="456"/>
      <c r="AHS33" s="456"/>
      <c r="AHT33" s="456"/>
      <c r="AHU33" s="456"/>
      <c r="AHV33" s="456"/>
      <c r="AHW33" s="456"/>
      <c r="AHX33" s="456"/>
      <c r="AHY33" s="456"/>
      <c r="AHZ33" s="456"/>
      <c r="AIA33" s="456"/>
      <c r="AIB33" s="456"/>
      <c r="AIC33" s="456"/>
      <c r="AID33" s="456"/>
      <c r="AIE33" s="456"/>
      <c r="AIF33" s="456"/>
      <c r="AIG33" s="456"/>
      <c r="AIH33" s="456"/>
      <c r="AII33" s="456"/>
      <c r="AIJ33" s="456"/>
      <c r="AIK33" s="456"/>
      <c r="AIL33" s="456"/>
      <c r="AIM33" s="456"/>
      <c r="AIN33" s="456"/>
      <c r="AIO33" s="456"/>
      <c r="AIP33" s="456"/>
      <c r="AIQ33" s="456"/>
      <c r="AIR33" s="456"/>
      <c r="AIS33" s="456"/>
      <c r="AIT33" s="456"/>
      <c r="AIU33" s="456"/>
      <c r="AIV33" s="456"/>
      <c r="AIW33" s="456"/>
      <c r="AIX33" s="456"/>
      <c r="AIY33" s="456"/>
      <c r="AIZ33" s="456"/>
      <c r="AJA33" s="456"/>
      <c r="AJB33" s="456"/>
      <c r="AJC33" s="456"/>
      <c r="AJD33" s="456"/>
      <c r="AJE33" s="456"/>
      <c r="AJF33" s="456"/>
      <c r="AJG33" s="456"/>
      <c r="AJH33" s="456"/>
      <c r="AJI33" s="456"/>
      <c r="AJJ33" s="456"/>
      <c r="AJK33" s="456"/>
      <c r="AJL33" s="456"/>
      <c r="AJM33" s="456"/>
      <c r="AJN33" s="456"/>
      <c r="AJO33" s="456"/>
      <c r="AJP33" s="456"/>
      <c r="AJQ33" s="456"/>
      <c r="AJR33" s="456"/>
      <c r="AJS33" s="456"/>
      <c r="AJT33" s="456"/>
      <c r="AJU33" s="456"/>
      <c r="AJV33" s="456"/>
      <c r="AJW33" s="456"/>
      <c r="AJX33" s="456"/>
      <c r="AJY33" s="456"/>
      <c r="AJZ33" s="456"/>
      <c r="AKA33" s="456"/>
      <c r="AKB33" s="456"/>
      <c r="AKC33" s="456"/>
      <c r="AKD33" s="456"/>
      <c r="AKE33" s="456"/>
      <c r="AKF33" s="456"/>
      <c r="AKG33" s="456"/>
      <c r="AKH33" s="456"/>
      <c r="AKI33" s="456"/>
      <c r="AKJ33" s="456"/>
      <c r="AKK33" s="456"/>
      <c r="AKL33" s="456"/>
      <c r="AKM33" s="456"/>
      <c r="AKN33" s="456"/>
      <c r="AKO33" s="456"/>
      <c r="AKP33" s="456"/>
      <c r="AKQ33" s="456"/>
      <c r="AKR33" s="456"/>
      <c r="AKS33" s="456"/>
      <c r="AKT33" s="456"/>
      <c r="AKU33" s="456"/>
      <c r="AKV33" s="456"/>
      <c r="AKW33" s="456"/>
      <c r="AKX33" s="456"/>
      <c r="AKY33" s="456"/>
      <c r="AKZ33" s="456"/>
      <c r="ALA33" s="456"/>
      <c r="ALB33" s="456"/>
      <c r="ALC33" s="456"/>
      <c r="ALD33" s="456"/>
      <c r="ALE33" s="456"/>
      <c r="ALF33" s="456"/>
      <c r="ALG33" s="456"/>
      <c r="ALH33" s="456"/>
      <c r="ALI33" s="456"/>
      <c r="ALJ33" s="456"/>
      <c r="ALK33" s="456"/>
      <c r="ALL33" s="456"/>
      <c r="ALM33" s="456"/>
      <c r="ALN33" s="456"/>
      <c r="ALO33" s="456"/>
      <c r="ALP33" s="456"/>
      <c r="ALQ33" s="456"/>
      <c r="ALR33" s="456"/>
      <c r="ALS33" s="456"/>
      <c r="ALT33" s="456"/>
      <c r="ALU33" s="456"/>
      <c r="ALV33" s="456"/>
      <c r="ALW33" s="456"/>
      <c r="ALX33" s="456"/>
      <c r="ALY33" s="456"/>
      <c r="ALZ33" s="456"/>
      <c r="AMA33" s="456"/>
      <c r="AMB33" s="456"/>
      <c r="AMC33" s="456"/>
      <c r="AMD33" s="456"/>
      <c r="AME33" s="456"/>
      <c r="AMF33" s="456"/>
      <c r="AMG33" s="456"/>
      <c r="AMH33" s="456"/>
      <c r="AMI33" s="456"/>
      <c r="AMJ33" s="456"/>
      <c r="AMK33" s="456"/>
      <c r="AML33" s="456"/>
      <c r="AMM33" s="456"/>
      <c r="AMN33" s="456"/>
      <c r="AMO33" s="456"/>
      <c r="AMP33" s="456"/>
      <c r="AMQ33" s="456"/>
      <c r="AMR33" s="456"/>
      <c r="AMS33" s="456"/>
      <c r="AMT33" s="456"/>
      <c r="AMU33" s="456"/>
      <c r="AMV33" s="456"/>
      <c r="AMW33" s="456"/>
      <c r="AMX33" s="456"/>
      <c r="AMY33" s="456"/>
      <c r="AMZ33" s="456"/>
      <c r="ANA33" s="456"/>
      <c r="ANB33" s="456"/>
      <c r="ANC33" s="456"/>
      <c r="AND33" s="456"/>
      <c r="ANE33" s="456"/>
      <c r="ANF33" s="456"/>
      <c r="ANG33" s="456"/>
      <c r="ANH33" s="456"/>
      <c r="ANI33" s="456"/>
      <c r="ANJ33" s="456"/>
      <c r="ANK33" s="456"/>
      <c r="ANL33" s="456"/>
      <c r="ANM33" s="456"/>
      <c r="ANN33" s="456"/>
      <c r="ANO33" s="456"/>
      <c r="ANP33" s="456"/>
      <c r="ANQ33" s="456"/>
      <c r="ANR33" s="456"/>
      <c r="ANS33" s="456"/>
      <c r="ANT33" s="456"/>
      <c r="ANU33" s="456"/>
      <c r="ANV33" s="456"/>
      <c r="ANW33" s="456"/>
      <c r="ANX33" s="456"/>
      <c r="ANY33" s="456"/>
      <c r="ANZ33" s="456"/>
      <c r="AOA33" s="456"/>
      <c r="AOB33" s="456"/>
      <c r="AOC33" s="456"/>
      <c r="AOD33" s="456"/>
      <c r="AOE33" s="456"/>
      <c r="AOF33" s="456"/>
      <c r="AOG33" s="456"/>
      <c r="AOH33" s="456"/>
      <c r="AOI33" s="456"/>
      <c r="AOJ33" s="456"/>
      <c r="AOK33" s="456"/>
      <c r="AOL33" s="456"/>
      <c r="AOM33" s="456"/>
      <c r="AON33" s="456"/>
      <c r="AOO33" s="456"/>
      <c r="AOP33" s="456"/>
      <c r="AOQ33" s="456"/>
      <c r="AOR33" s="456"/>
      <c r="AOS33" s="456"/>
      <c r="AOT33" s="456"/>
      <c r="AOU33" s="456"/>
      <c r="AOV33" s="456"/>
      <c r="AOW33" s="456"/>
      <c r="AOX33" s="456"/>
      <c r="AOY33" s="456"/>
      <c r="AOZ33" s="456"/>
      <c r="APA33" s="456"/>
      <c r="APB33" s="456"/>
      <c r="APC33" s="456"/>
      <c r="APD33" s="456"/>
      <c r="APE33" s="456"/>
      <c r="APF33" s="456"/>
      <c r="APG33" s="456"/>
      <c r="APH33" s="456"/>
      <c r="API33" s="456"/>
      <c r="APJ33" s="456"/>
      <c r="APK33" s="456"/>
      <c r="APL33" s="456"/>
      <c r="APM33" s="456"/>
      <c r="APN33" s="456"/>
      <c r="APO33" s="456"/>
      <c r="APP33" s="456"/>
      <c r="APQ33" s="456"/>
      <c r="APR33" s="456"/>
      <c r="APS33" s="456"/>
      <c r="APT33" s="456"/>
      <c r="APU33" s="456"/>
      <c r="APV33" s="456"/>
      <c r="APW33" s="456"/>
      <c r="APX33" s="456"/>
      <c r="APY33" s="456"/>
      <c r="APZ33" s="456"/>
      <c r="AQA33" s="456"/>
      <c r="AQB33" s="456"/>
      <c r="AQC33" s="456"/>
      <c r="AQD33" s="456"/>
      <c r="AQE33" s="456"/>
      <c r="AQF33" s="456"/>
      <c r="AQG33" s="456"/>
      <c r="AQH33" s="456"/>
      <c r="AQI33" s="456"/>
      <c r="AQJ33" s="456"/>
      <c r="AQK33" s="456"/>
      <c r="AQL33" s="456"/>
      <c r="AQM33" s="456"/>
      <c r="AQN33" s="456"/>
      <c r="AQO33" s="456"/>
      <c r="AQP33" s="456"/>
      <c r="AQQ33" s="456"/>
      <c r="AQR33" s="456"/>
      <c r="AQS33" s="456"/>
      <c r="AQT33" s="456"/>
      <c r="AQU33" s="456"/>
      <c r="AQV33" s="456"/>
      <c r="AQW33" s="456"/>
      <c r="AQX33" s="456"/>
      <c r="AQY33" s="456"/>
      <c r="AQZ33" s="456"/>
      <c r="ARA33" s="456"/>
      <c r="ARB33" s="456"/>
      <c r="ARC33" s="456"/>
      <c r="ARD33" s="456"/>
      <c r="ARE33" s="456"/>
      <c r="ARF33" s="456"/>
      <c r="ARG33" s="456"/>
      <c r="ARH33" s="456"/>
      <c r="ARI33" s="456"/>
      <c r="ARJ33" s="456"/>
      <c r="ARK33" s="456"/>
      <c r="ARL33" s="456"/>
      <c r="ARM33" s="456"/>
      <c r="ARN33" s="456"/>
      <c r="ARO33" s="456"/>
      <c r="ARP33" s="456"/>
      <c r="ARQ33" s="456"/>
      <c r="ARR33" s="456"/>
      <c r="ARS33" s="456"/>
      <c r="ART33" s="456"/>
      <c r="ARU33" s="456"/>
      <c r="ARV33" s="456"/>
      <c r="ARW33" s="456"/>
      <c r="ARX33" s="456"/>
      <c r="ARY33" s="456"/>
      <c r="ARZ33" s="456"/>
      <c r="ASA33" s="456"/>
      <c r="ASB33" s="456"/>
      <c r="ASC33" s="456"/>
      <c r="ASD33" s="456"/>
      <c r="ASE33" s="456"/>
      <c r="ASF33" s="456"/>
      <c r="ASG33" s="456"/>
      <c r="ASH33" s="456"/>
      <c r="ASI33" s="456"/>
      <c r="ASJ33" s="456"/>
      <c r="ASK33" s="456"/>
      <c r="ASL33" s="456"/>
      <c r="ASM33" s="456"/>
      <c r="ASN33" s="456"/>
      <c r="ASO33" s="456"/>
      <c r="ASP33" s="456"/>
      <c r="ASQ33" s="456"/>
      <c r="ASR33" s="456"/>
      <c r="ASS33" s="456"/>
      <c r="AST33" s="456"/>
      <c r="ASU33" s="456"/>
      <c r="ASV33" s="456"/>
      <c r="ASW33" s="456"/>
      <c r="ASX33" s="456"/>
      <c r="ASY33" s="456"/>
      <c r="ASZ33" s="456"/>
      <c r="ATA33" s="456"/>
      <c r="ATB33" s="456"/>
      <c r="ATC33" s="456"/>
      <c r="ATD33" s="456"/>
      <c r="ATE33" s="456"/>
      <c r="ATF33" s="456"/>
      <c r="ATG33" s="456"/>
      <c r="ATH33" s="456"/>
      <c r="ATI33" s="456"/>
      <c r="ATJ33" s="456"/>
      <c r="ATK33" s="456"/>
      <c r="ATL33" s="456"/>
      <c r="ATM33" s="456"/>
      <c r="ATN33" s="456"/>
      <c r="ATO33" s="456"/>
      <c r="ATP33" s="456"/>
      <c r="ATQ33" s="456"/>
      <c r="ATR33" s="456"/>
      <c r="ATS33" s="456"/>
      <c r="ATT33" s="456"/>
      <c r="ATU33" s="456"/>
      <c r="ATV33" s="456"/>
      <c r="ATW33" s="456"/>
      <c r="ATX33" s="456"/>
      <c r="ATY33" s="456"/>
      <c r="ATZ33" s="456"/>
      <c r="AUA33" s="456"/>
      <c r="AUB33" s="456"/>
      <c r="AUC33" s="456"/>
      <c r="AUD33" s="456"/>
      <c r="AUE33" s="456"/>
      <c r="AUF33" s="456"/>
      <c r="AUG33" s="456"/>
      <c r="AUH33" s="456"/>
      <c r="AUI33" s="456"/>
      <c r="AUJ33" s="456"/>
      <c r="AUK33" s="456"/>
      <c r="AUL33" s="456"/>
      <c r="AUM33" s="456"/>
      <c r="AUN33" s="456"/>
      <c r="AUO33" s="456"/>
      <c r="AUP33" s="456"/>
      <c r="AUQ33" s="456"/>
      <c r="AUR33" s="456"/>
      <c r="AUS33" s="456"/>
      <c r="AUT33" s="456"/>
      <c r="AUU33" s="456"/>
      <c r="AUV33" s="456"/>
      <c r="AUW33" s="456"/>
      <c r="AUX33" s="456"/>
      <c r="AUY33" s="456"/>
      <c r="AUZ33" s="456"/>
      <c r="AVA33" s="456"/>
      <c r="AVB33" s="456"/>
      <c r="AVC33" s="456"/>
      <c r="AVD33" s="456"/>
      <c r="AVE33" s="456"/>
      <c r="AVF33" s="456"/>
      <c r="AVG33" s="456"/>
      <c r="AVH33" s="456"/>
      <c r="AVI33" s="456"/>
      <c r="AVJ33" s="456"/>
      <c r="AVK33" s="456"/>
      <c r="AVL33" s="456"/>
      <c r="AVM33" s="456"/>
      <c r="AVN33" s="456"/>
      <c r="AVO33" s="456"/>
      <c r="AVP33" s="456"/>
      <c r="AVQ33" s="456"/>
      <c r="AVR33" s="456"/>
      <c r="AVS33" s="456"/>
      <c r="AVT33" s="456"/>
      <c r="AVU33" s="456"/>
      <c r="AVV33" s="456"/>
      <c r="AVW33" s="456"/>
      <c r="AVX33" s="456"/>
      <c r="AVY33" s="456"/>
      <c r="AVZ33" s="456"/>
      <c r="AWA33" s="456"/>
      <c r="AWB33" s="456"/>
      <c r="AWC33" s="456"/>
      <c r="AWD33" s="456"/>
      <c r="AWE33" s="456"/>
      <c r="AWF33" s="456"/>
      <c r="AWG33" s="456"/>
      <c r="AWH33" s="456"/>
      <c r="AWI33" s="456"/>
      <c r="AWJ33" s="456"/>
      <c r="AWK33" s="456"/>
      <c r="AWL33" s="456"/>
      <c r="AWM33" s="456"/>
      <c r="AWN33" s="456"/>
      <c r="AWO33" s="456"/>
      <c r="AWP33" s="456"/>
      <c r="AWQ33" s="456"/>
      <c r="AWR33" s="456"/>
      <c r="AWS33" s="456"/>
      <c r="AWT33" s="456"/>
      <c r="AWU33" s="456"/>
      <c r="AWV33" s="456"/>
      <c r="AWW33" s="456"/>
      <c r="AWX33" s="456"/>
      <c r="AWY33" s="456"/>
      <c r="AWZ33" s="456"/>
      <c r="AXA33" s="456"/>
      <c r="AXB33" s="456"/>
      <c r="AXC33" s="456"/>
      <c r="AXD33" s="456"/>
      <c r="AXE33" s="456"/>
      <c r="AXF33" s="456"/>
      <c r="AXG33" s="456"/>
      <c r="AXH33" s="456"/>
      <c r="AXI33" s="456"/>
      <c r="AXJ33" s="456"/>
      <c r="AXK33" s="456"/>
      <c r="AXL33" s="456"/>
      <c r="AXM33" s="456"/>
      <c r="AXN33" s="456"/>
      <c r="AXO33" s="456"/>
      <c r="AXP33" s="456"/>
      <c r="AXQ33" s="456"/>
      <c r="AXR33" s="456"/>
      <c r="AXS33" s="456"/>
      <c r="AXT33" s="456"/>
      <c r="AXU33" s="456"/>
      <c r="AXV33" s="456"/>
      <c r="AXW33" s="456"/>
      <c r="AXX33" s="456"/>
      <c r="AXY33" s="456"/>
      <c r="AXZ33" s="456"/>
      <c r="AYA33" s="456"/>
      <c r="AYB33" s="456"/>
      <c r="AYC33" s="456"/>
      <c r="AYD33" s="456"/>
      <c r="AYE33" s="456"/>
      <c r="AYF33" s="456"/>
      <c r="AYG33" s="456"/>
      <c r="AYH33" s="456"/>
      <c r="AYI33" s="456"/>
      <c r="AYJ33" s="456"/>
      <c r="AYK33" s="456"/>
      <c r="AYL33" s="456"/>
      <c r="AYM33" s="456"/>
      <c r="AYN33" s="456"/>
      <c r="AYO33" s="456"/>
      <c r="AYP33" s="456"/>
      <c r="AYQ33" s="456"/>
      <c r="AYR33" s="456"/>
      <c r="AYS33" s="456"/>
      <c r="AYT33" s="456"/>
      <c r="AYU33" s="456"/>
      <c r="AYV33" s="456"/>
      <c r="AYW33" s="456"/>
      <c r="AYX33" s="456"/>
      <c r="AYY33" s="456"/>
      <c r="AYZ33" s="456"/>
      <c r="AZA33" s="456"/>
      <c r="AZB33" s="456"/>
      <c r="AZC33" s="456"/>
      <c r="AZD33" s="456"/>
      <c r="AZE33" s="456"/>
      <c r="AZF33" s="456"/>
      <c r="AZG33" s="456"/>
      <c r="AZH33" s="456"/>
      <c r="AZI33" s="456"/>
      <c r="AZJ33" s="456"/>
      <c r="AZK33" s="456"/>
      <c r="AZL33" s="456"/>
      <c r="AZM33" s="456"/>
      <c r="AZN33" s="456"/>
      <c r="AZO33" s="456"/>
      <c r="AZP33" s="456"/>
      <c r="AZQ33" s="456"/>
      <c r="AZR33" s="456"/>
      <c r="AZS33" s="456"/>
      <c r="AZT33" s="456"/>
      <c r="AZU33" s="456"/>
      <c r="AZV33" s="456"/>
      <c r="AZW33" s="456"/>
      <c r="AZX33" s="456"/>
      <c r="AZY33" s="456"/>
      <c r="AZZ33" s="456"/>
      <c r="BAA33" s="456"/>
      <c r="BAB33" s="456"/>
      <c r="BAC33" s="456"/>
      <c r="BAD33" s="456"/>
      <c r="BAE33" s="456"/>
      <c r="BAF33" s="456"/>
      <c r="BAG33" s="456"/>
      <c r="BAH33" s="456"/>
      <c r="BAI33" s="456"/>
      <c r="BAJ33" s="456"/>
      <c r="BAK33" s="456"/>
      <c r="BAL33" s="456"/>
      <c r="BAM33" s="456"/>
      <c r="BAN33" s="456"/>
      <c r="BAO33" s="456"/>
      <c r="BAP33" s="456"/>
      <c r="BAQ33" s="456"/>
      <c r="BAR33" s="456"/>
      <c r="BAS33" s="456"/>
      <c r="BAT33" s="456"/>
      <c r="BAU33" s="456"/>
      <c r="BAV33" s="456"/>
      <c r="BAW33" s="456"/>
      <c r="BAX33" s="456"/>
      <c r="BAY33" s="456"/>
      <c r="BAZ33" s="456"/>
      <c r="BBA33" s="456"/>
      <c r="BBB33" s="456"/>
      <c r="BBC33" s="456"/>
      <c r="BBD33" s="456"/>
      <c r="BBE33" s="456"/>
      <c r="BBF33" s="456"/>
      <c r="BBG33" s="456"/>
      <c r="BBH33" s="456"/>
      <c r="BBI33" s="456"/>
      <c r="BBJ33" s="456"/>
      <c r="BBK33" s="456"/>
      <c r="BBL33" s="456"/>
      <c r="BBM33" s="456"/>
      <c r="BBN33" s="456"/>
      <c r="BBO33" s="456"/>
      <c r="BBP33" s="456"/>
      <c r="BBQ33" s="456"/>
      <c r="BBR33" s="456"/>
      <c r="BBS33" s="456"/>
      <c r="BBT33" s="456"/>
      <c r="BBU33" s="456"/>
      <c r="BBV33" s="456"/>
      <c r="BBW33" s="456"/>
      <c r="BBX33" s="456"/>
      <c r="BBY33" s="456"/>
      <c r="BBZ33" s="456"/>
      <c r="BCA33" s="456"/>
      <c r="BCB33" s="456"/>
      <c r="BCC33" s="456"/>
      <c r="BCD33" s="456"/>
      <c r="BCE33" s="456"/>
      <c r="BCF33" s="456"/>
      <c r="BCG33" s="456"/>
      <c r="BCH33" s="456"/>
      <c r="BCI33" s="456"/>
      <c r="BCJ33" s="456"/>
      <c r="BCK33" s="456"/>
      <c r="BCL33" s="456"/>
      <c r="BCM33" s="456"/>
      <c r="BCN33" s="456"/>
      <c r="BCO33" s="456"/>
      <c r="BCP33" s="456"/>
      <c r="BCQ33" s="456"/>
      <c r="BCR33" s="456"/>
      <c r="BCS33" s="456"/>
      <c r="BCT33" s="456"/>
      <c r="BCU33" s="456"/>
      <c r="BCV33" s="456"/>
      <c r="BCW33" s="456"/>
      <c r="BCX33" s="456"/>
      <c r="BCY33" s="456"/>
      <c r="BCZ33" s="456"/>
      <c r="BDA33" s="456"/>
      <c r="BDB33" s="456"/>
      <c r="BDC33" s="456"/>
      <c r="BDD33" s="456"/>
      <c r="BDE33" s="456"/>
      <c r="BDF33" s="456"/>
      <c r="BDG33" s="456"/>
      <c r="BDH33" s="456"/>
      <c r="BDI33" s="456"/>
      <c r="BDJ33" s="456"/>
      <c r="BDK33" s="456"/>
      <c r="BDL33" s="456"/>
      <c r="BDM33" s="456"/>
      <c r="BDN33" s="456"/>
      <c r="BDO33" s="456"/>
      <c r="BDP33" s="456"/>
      <c r="BDQ33" s="456"/>
      <c r="BDR33" s="456"/>
      <c r="BDS33" s="456"/>
      <c r="BDT33" s="456"/>
      <c r="BDU33" s="456"/>
      <c r="BDV33" s="456"/>
      <c r="BDW33" s="456"/>
      <c r="BDX33" s="456"/>
      <c r="BDY33" s="456"/>
      <c r="BDZ33" s="456"/>
      <c r="BEA33" s="456"/>
      <c r="BEB33" s="456"/>
      <c r="BEC33" s="456"/>
      <c r="BED33" s="456"/>
      <c r="BEE33" s="456"/>
      <c r="BEF33" s="456"/>
      <c r="BEG33" s="456"/>
      <c r="BEH33" s="456"/>
      <c r="BEI33" s="456"/>
      <c r="BEJ33" s="456"/>
      <c r="BEK33" s="456"/>
      <c r="BEL33" s="456"/>
      <c r="BEM33" s="456"/>
      <c r="BEN33" s="456"/>
      <c r="BEO33" s="456"/>
      <c r="BEP33" s="456"/>
      <c r="BEQ33" s="456"/>
      <c r="BER33" s="456"/>
      <c r="BES33" s="456"/>
      <c r="BET33" s="456"/>
      <c r="BEU33" s="456"/>
      <c r="BEV33" s="456"/>
      <c r="BEW33" s="456"/>
      <c r="BEX33" s="456"/>
      <c r="BEY33" s="456"/>
      <c r="BEZ33" s="456"/>
      <c r="BFA33" s="456"/>
      <c r="BFB33" s="456"/>
      <c r="BFC33" s="456"/>
      <c r="BFD33" s="456"/>
      <c r="BFE33" s="456"/>
      <c r="BFF33" s="456"/>
      <c r="BFG33" s="456"/>
      <c r="BFH33" s="456"/>
      <c r="BFI33" s="456"/>
      <c r="BFJ33" s="456"/>
      <c r="BFK33" s="456"/>
      <c r="BFL33" s="456"/>
      <c r="BFM33" s="456"/>
      <c r="BFN33" s="456"/>
      <c r="BFO33" s="456"/>
      <c r="BFP33" s="456"/>
      <c r="BFQ33" s="456"/>
      <c r="BFR33" s="456"/>
      <c r="BFS33" s="456"/>
      <c r="BFT33" s="456"/>
      <c r="BFU33" s="456"/>
      <c r="BFV33" s="456"/>
      <c r="BFW33" s="456"/>
      <c r="BFX33" s="456"/>
      <c r="BFY33" s="456"/>
      <c r="BFZ33" s="456"/>
      <c r="BGA33" s="456"/>
      <c r="BGB33" s="456"/>
      <c r="BGC33" s="456"/>
      <c r="BGD33" s="456"/>
      <c r="BGE33" s="456"/>
      <c r="BGF33" s="456"/>
      <c r="BGG33" s="456"/>
      <c r="BGH33" s="456"/>
      <c r="BGI33" s="456"/>
      <c r="BGJ33" s="456"/>
      <c r="BGK33" s="456"/>
      <c r="BGL33" s="456"/>
      <c r="BGM33" s="456"/>
      <c r="BGN33" s="456"/>
      <c r="BGO33" s="456"/>
      <c r="BGP33" s="456"/>
      <c r="BGQ33" s="456"/>
      <c r="BGR33" s="456"/>
      <c r="BGS33" s="456"/>
      <c r="BGT33" s="456"/>
      <c r="BGU33" s="456"/>
      <c r="BGV33" s="456"/>
      <c r="BGW33" s="456"/>
      <c r="BGX33" s="456"/>
      <c r="BGY33" s="456"/>
      <c r="BGZ33" s="456"/>
      <c r="BHA33" s="456"/>
      <c r="BHB33" s="456"/>
      <c r="BHC33" s="456"/>
      <c r="BHD33" s="456"/>
      <c r="BHE33" s="456"/>
      <c r="BHF33" s="456"/>
      <c r="BHG33" s="456"/>
      <c r="BHH33" s="456"/>
      <c r="BHI33" s="456"/>
      <c r="BHJ33" s="456"/>
      <c r="BHK33" s="456"/>
      <c r="BHL33" s="456"/>
      <c r="BHM33" s="456"/>
      <c r="BHN33" s="456"/>
      <c r="BHO33" s="456"/>
      <c r="BHP33" s="456"/>
      <c r="BHQ33" s="456"/>
      <c r="BHR33" s="456"/>
      <c r="BHS33" s="456"/>
      <c r="BHT33" s="456"/>
      <c r="BHU33" s="456"/>
      <c r="BHV33" s="456"/>
      <c r="BHW33" s="456"/>
      <c r="BHX33" s="456"/>
      <c r="BHY33" s="456"/>
      <c r="BHZ33" s="456"/>
      <c r="BIA33" s="456"/>
      <c r="BIB33" s="456"/>
      <c r="BIC33" s="456"/>
      <c r="BID33" s="456"/>
      <c r="BIE33" s="456"/>
      <c r="BIF33" s="456"/>
      <c r="BIG33" s="456"/>
      <c r="BIH33" s="456"/>
      <c r="BII33" s="456"/>
      <c r="BIJ33" s="456"/>
      <c r="BIK33" s="456"/>
      <c r="BIL33" s="456"/>
      <c r="BIM33" s="456"/>
      <c r="BIN33" s="456"/>
      <c r="BIO33" s="456"/>
      <c r="BIP33" s="456"/>
      <c r="BIQ33" s="456"/>
      <c r="BIR33" s="456"/>
      <c r="BIS33" s="456"/>
      <c r="BIT33" s="456"/>
      <c r="BIU33" s="456"/>
      <c r="BIV33" s="456"/>
      <c r="BIW33" s="456"/>
      <c r="BIX33" s="456"/>
      <c r="BIY33" s="456"/>
      <c r="BIZ33" s="456"/>
      <c r="BJA33" s="456"/>
      <c r="BJB33" s="456"/>
      <c r="BJC33" s="456"/>
      <c r="BJD33" s="456"/>
      <c r="BJE33" s="456"/>
      <c r="BJF33" s="456"/>
      <c r="BJG33" s="456"/>
      <c r="BJH33" s="456"/>
      <c r="BJI33" s="456"/>
      <c r="BJJ33" s="456"/>
      <c r="BJK33" s="456"/>
      <c r="BJL33" s="456"/>
      <c r="BJM33" s="456"/>
      <c r="BJN33" s="456"/>
      <c r="BJO33" s="456"/>
      <c r="BJP33" s="456"/>
      <c r="BJQ33" s="456"/>
      <c r="BJR33" s="456"/>
      <c r="BJS33" s="456"/>
      <c r="BJT33" s="456"/>
      <c r="BJU33" s="456"/>
      <c r="BJV33" s="456"/>
      <c r="BJW33" s="456"/>
      <c r="BJX33" s="456"/>
      <c r="BJY33" s="456"/>
      <c r="BJZ33" s="456"/>
      <c r="BKA33" s="456"/>
      <c r="BKB33" s="456"/>
      <c r="BKC33" s="456"/>
      <c r="BKD33" s="456"/>
      <c r="BKE33" s="456"/>
      <c r="BKF33" s="456"/>
      <c r="BKG33" s="456"/>
      <c r="BKH33" s="456"/>
      <c r="BKI33" s="456"/>
      <c r="BKJ33" s="456"/>
      <c r="BKK33" s="456"/>
      <c r="BKL33" s="456"/>
      <c r="BKM33" s="456"/>
      <c r="BKN33" s="456"/>
      <c r="BKO33" s="456"/>
      <c r="BKP33" s="456"/>
      <c r="BKQ33" s="456"/>
      <c r="BKR33" s="456"/>
      <c r="BKS33" s="456"/>
      <c r="BKT33" s="456"/>
      <c r="BKU33" s="456"/>
      <c r="BKV33" s="456"/>
      <c r="BKW33" s="456"/>
      <c r="BKX33" s="456"/>
      <c r="BKY33" s="456"/>
      <c r="BKZ33" s="456"/>
      <c r="BLA33" s="456"/>
      <c r="BLB33" s="456"/>
      <c r="BLC33" s="456"/>
      <c r="BLD33" s="456"/>
      <c r="BLE33" s="456"/>
      <c r="BLF33" s="456"/>
      <c r="BLG33" s="456"/>
      <c r="BLH33" s="456"/>
      <c r="BLI33" s="456"/>
      <c r="BLJ33" s="456"/>
      <c r="BLK33" s="456"/>
      <c r="BLL33" s="456"/>
      <c r="BLM33" s="456"/>
      <c r="BLN33" s="456"/>
      <c r="BLO33" s="456"/>
      <c r="BLP33" s="456"/>
      <c r="BLQ33" s="456"/>
      <c r="BLR33" s="456"/>
      <c r="BLS33" s="456"/>
      <c r="BLT33" s="456"/>
      <c r="BLU33" s="456"/>
      <c r="BLV33" s="456"/>
      <c r="BLW33" s="456"/>
      <c r="BLX33" s="456"/>
      <c r="BLY33" s="456"/>
      <c r="BLZ33" s="456"/>
      <c r="BMA33" s="456"/>
      <c r="BMB33" s="456"/>
      <c r="BMC33" s="456"/>
      <c r="BMD33" s="456"/>
      <c r="BME33" s="456"/>
      <c r="BMF33" s="456"/>
      <c r="BMG33" s="456"/>
      <c r="BMH33" s="456"/>
      <c r="BMI33" s="456"/>
      <c r="BMJ33" s="456"/>
      <c r="BMK33" s="456"/>
      <c r="BML33" s="456"/>
      <c r="BMM33" s="456"/>
      <c r="BMN33" s="456"/>
      <c r="BMO33" s="456"/>
      <c r="BMP33" s="456"/>
      <c r="BMQ33" s="456"/>
      <c r="BMR33" s="456"/>
      <c r="BMS33" s="456"/>
      <c r="BMT33" s="456"/>
      <c r="BMU33" s="456"/>
      <c r="BMV33" s="456"/>
      <c r="BMW33" s="456"/>
      <c r="BMX33" s="456"/>
      <c r="BMY33" s="456"/>
      <c r="BMZ33" s="456"/>
      <c r="BNA33" s="456"/>
      <c r="BNB33" s="456"/>
      <c r="BNC33" s="456"/>
      <c r="BND33" s="456"/>
      <c r="BNE33" s="456"/>
      <c r="BNF33" s="456"/>
      <c r="BNG33" s="456"/>
      <c r="BNH33" s="456"/>
      <c r="BNI33" s="456"/>
      <c r="BNJ33" s="456"/>
      <c r="BNK33" s="456"/>
      <c r="BNL33" s="456"/>
      <c r="BNM33" s="456"/>
      <c r="BNN33" s="456"/>
      <c r="BNO33" s="456"/>
      <c r="BNP33" s="456"/>
      <c r="BNQ33" s="456"/>
      <c r="BNR33" s="456"/>
      <c r="BNS33" s="456"/>
      <c r="BNT33" s="456"/>
      <c r="BNU33" s="456"/>
      <c r="BNV33" s="456"/>
      <c r="BNW33" s="456"/>
      <c r="BNX33" s="456"/>
      <c r="BNY33" s="456"/>
      <c r="BNZ33" s="456"/>
      <c r="BOA33" s="456"/>
      <c r="BOB33" s="456"/>
      <c r="BOC33" s="456"/>
      <c r="BOD33" s="456"/>
      <c r="BOE33" s="456"/>
      <c r="BOF33" s="456"/>
      <c r="BOG33" s="456"/>
      <c r="BOH33" s="456"/>
      <c r="BOI33" s="456"/>
      <c r="BOJ33" s="456"/>
      <c r="BOK33" s="456"/>
      <c r="BOL33" s="456"/>
      <c r="BOM33" s="456"/>
      <c r="BON33" s="456"/>
      <c r="BOO33" s="456"/>
      <c r="BOP33" s="456"/>
      <c r="BOQ33" s="456"/>
      <c r="BOR33" s="456"/>
      <c r="BOS33" s="456"/>
      <c r="BOT33" s="456"/>
      <c r="BOU33" s="456"/>
      <c r="BOV33" s="456"/>
      <c r="BOW33" s="456"/>
      <c r="BOX33" s="456"/>
      <c r="BOY33" s="456"/>
      <c r="BOZ33" s="456"/>
      <c r="BPA33" s="456"/>
      <c r="BPB33" s="456"/>
      <c r="BPC33" s="456"/>
      <c r="BPD33" s="456"/>
      <c r="BPE33" s="456"/>
      <c r="BPF33" s="456"/>
      <c r="BPG33" s="456"/>
      <c r="BPH33" s="456"/>
      <c r="BPI33" s="456"/>
      <c r="BPJ33" s="456"/>
      <c r="BPK33" s="456"/>
      <c r="BPL33" s="456"/>
      <c r="BPM33" s="456"/>
      <c r="BPN33" s="456"/>
      <c r="BPO33" s="456"/>
      <c r="BPP33" s="456"/>
      <c r="BPQ33" s="456"/>
      <c r="BPR33" s="456"/>
      <c r="BPS33" s="456"/>
      <c r="BPT33" s="456"/>
      <c r="BPU33" s="456"/>
      <c r="BPV33" s="456"/>
      <c r="BPW33" s="456"/>
      <c r="BPX33" s="456"/>
      <c r="BPY33" s="456"/>
      <c r="BPZ33" s="456"/>
      <c r="BQA33" s="456"/>
      <c r="BQB33" s="456"/>
      <c r="BQC33" s="456"/>
      <c r="BQD33" s="456"/>
      <c r="BQE33" s="456"/>
      <c r="BQF33" s="456"/>
      <c r="BQG33" s="456"/>
      <c r="BQH33" s="456"/>
      <c r="BQI33" s="456"/>
      <c r="BQJ33" s="456"/>
      <c r="BQK33" s="456"/>
      <c r="BQL33" s="456"/>
      <c r="BQM33" s="456"/>
      <c r="BQN33" s="456"/>
      <c r="BQO33" s="456"/>
      <c r="BQP33" s="456"/>
      <c r="BQQ33" s="456"/>
      <c r="BQR33" s="456"/>
      <c r="BQS33" s="456"/>
      <c r="BQT33" s="456"/>
      <c r="BQU33" s="456"/>
      <c r="BQV33" s="456"/>
      <c r="BQW33" s="456"/>
      <c r="BQX33" s="456"/>
      <c r="BQY33" s="456"/>
      <c r="BQZ33" s="456"/>
      <c r="BRA33" s="456"/>
      <c r="BRB33" s="456"/>
      <c r="BRC33" s="456"/>
      <c r="BRD33" s="456"/>
      <c r="BRE33" s="456"/>
      <c r="BRF33" s="456"/>
      <c r="BRG33" s="456"/>
      <c r="BRH33" s="456"/>
      <c r="BRI33" s="456"/>
      <c r="BRJ33" s="456"/>
      <c r="BRK33" s="456"/>
      <c r="BRL33" s="456"/>
      <c r="BRM33" s="456"/>
      <c r="BRN33" s="456"/>
      <c r="BRO33" s="456"/>
      <c r="BRP33" s="456"/>
      <c r="BRQ33" s="456"/>
      <c r="BRR33" s="456"/>
      <c r="BRS33" s="456"/>
      <c r="BRT33" s="456"/>
      <c r="BRU33" s="456"/>
      <c r="BRV33" s="456"/>
      <c r="BRW33" s="456"/>
      <c r="BRX33" s="456"/>
      <c r="BRY33" s="456"/>
      <c r="BRZ33" s="456"/>
      <c r="BSA33" s="456"/>
      <c r="BSB33" s="456"/>
      <c r="BSC33" s="456"/>
      <c r="BSD33" s="456"/>
      <c r="BSE33" s="456"/>
      <c r="BSF33" s="456"/>
      <c r="BSG33" s="456"/>
      <c r="BSH33" s="456"/>
      <c r="BSI33" s="456"/>
      <c r="BSJ33" s="456"/>
      <c r="BSK33" s="456"/>
      <c r="BSL33" s="456"/>
      <c r="BSM33" s="456"/>
      <c r="BSN33" s="456"/>
      <c r="BSO33" s="456"/>
      <c r="BSP33" s="456"/>
      <c r="BSQ33" s="456"/>
      <c r="BSR33" s="456"/>
      <c r="BSS33" s="456"/>
      <c r="BST33" s="456"/>
      <c r="BSU33" s="456"/>
      <c r="BSV33" s="456"/>
      <c r="BSW33" s="456"/>
      <c r="BSX33" s="456"/>
      <c r="BSY33" s="456"/>
      <c r="BSZ33" s="456"/>
      <c r="BTA33" s="456"/>
      <c r="BTB33" s="456"/>
      <c r="BTC33" s="456"/>
      <c r="BTD33" s="456"/>
      <c r="BTE33" s="456"/>
      <c r="BTF33" s="456"/>
      <c r="BTG33" s="456"/>
      <c r="BTH33" s="456"/>
      <c r="BTI33" s="456"/>
      <c r="BTJ33" s="456"/>
      <c r="BTK33" s="456"/>
      <c r="BTL33" s="456"/>
      <c r="BTM33" s="456"/>
      <c r="BTN33" s="456"/>
      <c r="BTO33" s="456"/>
      <c r="BTP33" s="456"/>
      <c r="BTQ33" s="456"/>
      <c r="BTR33" s="456"/>
      <c r="BTS33" s="456"/>
      <c r="BTT33" s="456"/>
      <c r="BTU33" s="456"/>
      <c r="BTV33" s="456"/>
      <c r="BTW33" s="456"/>
      <c r="BTX33" s="456"/>
      <c r="BTY33" s="456"/>
      <c r="BTZ33" s="456"/>
      <c r="BUA33" s="456"/>
      <c r="BUB33" s="456"/>
      <c r="BUC33" s="456"/>
      <c r="BUD33" s="456"/>
      <c r="BUE33" s="456"/>
      <c r="BUF33" s="456"/>
      <c r="BUG33" s="456"/>
      <c r="BUH33" s="456"/>
      <c r="BUI33" s="456"/>
      <c r="BUJ33" s="456"/>
      <c r="BUK33" s="456"/>
      <c r="BUL33" s="456"/>
      <c r="BUM33" s="456"/>
      <c r="BUN33" s="456"/>
      <c r="BUO33" s="456"/>
      <c r="BUP33" s="456"/>
      <c r="BUQ33" s="456"/>
      <c r="BUR33" s="456"/>
      <c r="BUS33" s="456"/>
      <c r="BUT33" s="456"/>
      <c r="BUU33" s="456"/>
      <c r="BUV33" s="456"/>
      <c r="BUW33" s="456"/>
      <c r="BUX33" s="456"/>
      <c r="BUY33" s="456"/>
      <c r="BUZ33" s="456"/>
      <c r="BVA33" s="456"/>
      <c r="BVB33" s="456"/>
      <c r="BVC33" s="456"/>
      <c r="BVD33" s="456"/>
      <c r="BVE33" s="456"/>
      <c r="BVF33" s="456"/>
      <c r="BVG33" s="456"/>
      <c r="BVH33" s="456"/>
      <c r="BVI33" s="456"/>
      <c r="BVJ33" s="456"/>
      <c r="BVK33" s="456"/>
      <c r="BVL33" s="456"/>
      <c r="BVM33" s="456"/>
      <c r="BVN33" s="456"/>
      <c r="BVO33" s="456"/>
      <c r="BVP33" s="456"/>
      <c r="BVQ33" s="456"/>
      <c r="BVR33" s="456"/>
      <c r="BVS33" s="456"/>
      <c r="BVT33" s="456"/>
      <c r="BVU33" s="456"/>
      <c r="BVV33" s="456"/>
      <c r="BVW33" s="456"/>
      <c r="BVX33" s="456"/>
      <c r="BVY33" s="456"/>
      <c r="BVZ33" s="456"/>
      <c r="BWA33" s="456"/>
      <c r="BWB33" s="456"/>
      <c r="BWC33" s="456"/>
      <c r="BWD33" s="456"/>
      <c r="BWE33" s="456"/>
      <c r="BWF33" s="456"/>
      <c r="BWG33" s="456"/>
      <c r="BWH33" s="456"/>
      <c r="BWI33" s="456"/>
      <c r="BWJ33" s="456"/>
      <c r="BWK33" s="456"/>
      <c r="BWL33" s="456"/>
      <c r="BWM33" s="456"/>
      <c r="BWN33" s="456"/>
      <c r="BWO33" s="456"/>
      <c r="BWP33" s="456"/>
      <c r="BWQ33" s="456"/>
      <c r="BWR33" s="456"/>
      <c r="BWS33" s="456"/>
      <c r="BWT33" s="456"/>
      <c r="BWU33" s="456"/>
      <c r="BWV33" s="456"/>
      <c r="BWW33" s="456"/>
      <c r="BWX33" s="456"/>
      <c r="BWY33" s="456"/>
      <c r="BWZ33" s="456"/>
      <c r="BXA33" s="456"/>
      <c r="BXB33" s="456"/>
      <c r="BXC33" s="456"/>
      <c r="BXD33" s="456"/>
      <c r="BXE33" s="456"/>
      <c r="BXF33" s="456"/>
      <c r="BXG33" s="456"/>
      <c r="BXH33" s="456"/>
      <c r="BXI33" s="456"/>
      <c r="BXJ33" s="456"/>
      <c r="BXK33" s="456"/>
      <c r="BXL33" s="456"/>
      <c r="BXM33" s="456"/>
      <c r="BXN33" s="456"/>
      <c r="BXO33" s="456"/>
      <c r="BXP33" s="456"/>
      <c r="BXQ33" s="456"/>
      <c r="BXR33" s="456"/>
      <c r="BXS33" s="456"/>
      <c r="BXT33" s="456"/>
      <c r="BXU33" s="456"/>
      <c r="BXV33" s="456"/>
      <c r="BXW33" s="456"/>
      <c r="BXX33" s="456"/>
      <c r="BXY33" s="456"/>
      <c r="BXZ33" s="456"/>
    </row>
    <row r="34" s="25" customFormat="1" spans="1:1024 1025:2002">
      <c r="A34" s="473"/>
      <c r="B34" s="19">
        <v>1117</v>
      </c>
      <c r="C34" s="183">
        <v>46174</v>
      </c>
      <c r="D34" s="17" t="s">
        <v>35</v>
      </c>
      <c r="E34" s="17" t="s">
        <v>71</v>
      </c>
      <c r="F34" s="17" t="s">
        <v>72</v>
      </c>
      <c r="G34" s="17"/>
      <c r="H34" s="19">
        <v>1.2379</v>
      </c>
      <c r="I34" s="19">
        <v>1.2379</v>
      </c>
      <c r="J34" s="17" t="s">
        <v>39</v>
      </c>
      <c r="K34" s="19">
        <v>132</v>
      </c>
      <c r="L34" s="91"/>
      <c r="M34" s="19">
        <v>5800</v>
      </c>
      <c r="N34" s="19" t="s">
        <v>40</v>
      </c>
      <c r="O34" s="19" t="s">
        <v>50</v>
      </c>
      <c r="P34" s="19">
        <v>1500</v>
      </c>
      <c r="Q34" s="19">
        <v>1315</v>
      </c>
      <c r="R34" s="19">
        <f t="shared" si="0"/>
        <v>185</v>
      </c>
      <c r="S34" s="19">
        <v>2260</v>
      </c>
      <c r="T34" s="19" t="s">
        <v>42</v>
      </c>
      <c r="U34" s="102" t="s">
        <v>73</v>
      </c>
      <c r="V34" s="186">
        <v>46173</v>
      </c>
      <c r="W34" s="17" t="s">
        <v>44</v>
      </c>
      <c r="X34" s="17"/>
      <c r="Y34" s="68">
        <v>46296</v>
      </c>
      <c r="Z34" s="17" t="s">
        <v>45</v>
      </c>
      <c r="AA34" s="17" t="s">
        <v>46</v>
      </c>
      <c r="AB34" s="17"/>
      <c r="AC34" s="102"/>
      <c r="AD34" s="65">
        <v>1855</v>
      </c>
      <c r="AE34" s="17" t="s">
        <v>74</v>
      </c>
      <c r="AF34" s="17"/>
      <c r="AG34" s="17"/>
      <c r="AH34" s="456"/>
      <c r="AI34" s="456"/>
      <c r="AJ34" s="456"/>
      <c r="AK34" s="456"/>
      <c r="AL34" s="456"/>
      <c r="AM34" s="456"/>
      <c r="AN34" s="456"/>
      <c r="AO34" s="456"/>
      <c r="AP34" s="456"/>
      <c r="AQ34" s="456"/>
      <c r="AR34" s="456"/>
      <c r="AS34" s="456"/>
      <c r="AT34" s="456"/>
      <c r="AU34" s="456"/>
      <c r="AV34" s="456"/>
      <c r="AW34" s="456"/>
      <c r="AX34" s="456"/>
      <c r="AY34" s="456"/>
      <c r="AZ34" s="456"/>
      <c r="BA34" s="456"/>
      <c r="BB34" s="456"/>
      <c r="BC34" s="456"/>
      <c r="BD34" s="456"/>
      <c r="BE34" s="456"/>
      <c r="BF34" s="456"/>
      <c r="BG34" s="456"/>
      <c r="BH34" s="456"/>
      <c r="BI34" s="456"/>
      <c r="BJ34" s="456"/>
      <c r="BK34" s="456"/>
      <c r="BL34" s="456"/>
      <c r="BM34" s="456"/>
      <c r="BN34" s="456"/>
      <c r="BO34" s="456"/>
      <c r="BP34" s="456"/>
      <c r="BQ34" s="456"/>
      <c r="BR34" s="456"/>
      <c r="BS34" s="456"/>
      <c r="BT34" s="456"/>
      <c r="BU34" s="456"/>
      <c r="BV34" s="456"/>
      <c r="BW34" s="456"/>
      <c r="BX34" s="456"/>
      <c r="BY34" s="456"/>
      <c r="BZ34" s="456"/>
      <c r="CA34" s="456"/>
      <c r="CB34" s="456"/>
      <c r="CC34" s="456"/>
      <c r="CD34" s="456"/>
      <c r="CE34" s="456"/>
      <c r="CF34" s="456"/>
      <c r="CG34" s="456"/>
      <c r="CH34" s="456"/>
      <c r="CI34" s="456"/>
      <c r="CJ34" s="456"/>
      <c r="CK34" s="456"/>
      <c r="CL34" s="456"/>
      <c r="CM34" s="456"/>
      <c r="CN34" s="456"/>
      <c r="CO34" s="456"/>
      <c r="CP34" s="456"/>
      <c r="CQ34" s="456"/>
      <c r="CR34" s="456"/>
      <c r="CS34" s="456"/>
      <c r="CT34" s="456"/>
      <c r="CU34" s="456"/>
      <c r="CV34" s="456"/>
      <c r="CW34" s="456"/>
      <c r="CX34" s="456"/>
      <c r="CY34" s="456"/>
      <c r="CZ34" s="456"/>
      <c r="DA34" s="456"/>
      <c r="DB34" s="456"/>
      <c r="DC34" s="456"/>
      <c r="DD34" s="456"/>
      <c r="DE34" s="456"/>
      <c r="DF34" s="456"/>
      <c r="DG34" s="456"/>
      <c r="DH34" s="456"/>
      <c r="DI34" s="456"/>
      <c r="DJ34" s="456"/>
      <c r="DK34" s="456"/>
      <c r="DL34" s="456"/>
      <c r="DM34" s="456"/>
      <c r="DN34" s="456"/>
      <c r="DO34" s="456"/>
      <c r="DP34" s="456"/>
      <c r="DQ34" s="456"/>
      <c r="DR34" s="456"/>
      <c r="DS34" s="456"/>
      <c r="DT34" s="456"/>
      <c r="DU34" s="456"/>
      <c r="DV34" s="456"/>
      <c r="DW34" s="456"/>
      <c r="DX34" s="456"/>
      <c r="DY34" s="456"/>
      <c r="DZ34" s="456"/>
      <c r="EA34" s="456"/>
      <c r="EB34" s="456"/>
      <c r="EC34" s="456"/>
      <c r="ED34" s="456"/>
      <c r="EE34" s="456"/>
      <c r="EF34" s="456"/>
      <c r="EG34" s="456"/>
      <c r="EH34" s="456"/>
      <c r="EI34" s="456"/>
      <c r="EJ34" s="456"/>
      <c r="EK34" s="456"/>
      <c r="EL34" s="456"/>
      <c r="EM34" s="456"/>
      <c r="EN34" s="456"/>
      <c r="EO34" s="456"/>
      <c r="EP34" s="456"/>
      <c r="EQ34" s="456"/>
      <c r="ER34" s="456"/>
      <c r="ES34" s="456"/>
      <c r="ET34" s="456"/>
      <c r="EU34" s="456"/>
      <c r="EV34" s="456"/>
      <c r="EW34" s="456"/>
      <c r="EX34" s="456"/>
      <c r="EY34" s="456"/>
      <c r="EZ34" s="456"/>
      <c r="FA34" s="456"/>
      <c r="FB34" s="456"/>
      <c r="FC34" s="456"/>
      <c r="FD34" s="456"/>
      <c r="FE34" s="456"/>
      <c r="FF34" s="456"/>
      <c r="FG34" s="456"/>
      <c r="FH34" s="456"/>
      <c r="FI34" s="456"/>
      <c r="FJ34" s="456"/>
      <c r="FK34" s="456"/>
      <c r="FL34" s="456"/>
      <c r="FM34" s="456"/>
      <c r="FN34" s="456"/>
      <c r="FO34" s="456"/>
      <c r="FP34" s="456"/>
      <c r="FQ34" s="456"/>
      <c r="FR34" s="456"/>
      <c r="FS34" s="456"/>
      <c r="FT34" s="456"/>
      <c r="FU34" s="456"/>
      <c r="FV34" s="456"/>
      <c r="FW34" s="456"/>
      <c r="FX34" s="456"/>
      <c r="FY34" s="456"/>
      <c r="FZ34" s="456"/>
      <c r="GA34" s="456"/>
      <c r="GB34" s="456"/>
      <c r="GC34" s="456"/>
      <c r="GD34" s="456"/>
      <c r="GE34" s="456"/>
      <c r="GF34" s="456"/>
      <c r="GG34" s="456"/>
      <c r="GH34" s="456"/>
      <c r="GI34" s="456"/>
      <c r="GJ34" s="456"/>
      <c r="GK34" s="456"/>
      <c r="GL34" s="456"/>
      <c r="GM34" s="456"/>
      <c r="GN34" s="456"/>
      <c r="GO34" s="456"/>
      <c r="GP34" s="456"/>
      <c r="GQ34" s="456"/>
      <c r="GR34" s="456"/>
      <c r="GS34" s="456"/>
      <c r="GT34" s="456"/>
      <c r="GU34" s="456"/>
      <c r="GV34" s="456"/>
      <c r="GW34" s="456"/>
      <c r="GX34" s="456"/>
      <c r="GY34" s="456"/>
      <c r="GZ34" s="456"/>
      <c r="HA34" s="456"/>
      <c r="HB34" s="456"/>
      <c r="HC34" s="456"/>
      <c r="HD34" s="456"/>
      <c r="HE34" s="456"/>
      <c r="HF34" s="456"/>
      <c r="HG34" s="456"/>
      <c r="HH34" s="456"/>
      <c r="HI34" s="456"/>
      <c r="HJ34" s="456"/>
      <c r="HK34" s="456"/>
      <c r="HL34" s="456"/>
      <c r="HM34" s="456"/>
      <c r="HN34" s="456"/>
      <c r="HO34" s="456"/>
      <c r="HP34" s="456"/>
      <c r="HQ34" s="456"/>
      <c r="HR34" s="456"/>
      <c r="HS34" s="456"/>
      <c r="HT34" s="456"/>
      <c r="HU34" s="456"/>
      <c r="HV34" s="456"/>
      <c r="HW34" s="456"/>
      <c r="HX34" s="456"/>
      <c r="HY34" s="456"/>
      <c r="HZ34" s="456"/>
      <c r="IA34" s="456"/>
      <c r="IB34" s="456"/>
      <c r="IC34" s="456"/>
      <c r="ID34" s="456"/>
      <c r="IE34" s="456"/>
      <c r="IF34" s="456"/>
      <c r="IG34" s="456"/>
      <c r="IH34" s="456"/>
      <c r="II34" s="456"/>
      <c r="IJ34" s="456"/>
      <c r="IK34" s="456"/>
      <c r="IL34" s="456"/>
      <c r="IM34" s="456"/>
      <c r="IN34" s="456"/>
      <c r="IO34" s="456"/>
      <c r="IP34" s="456"/>
      <c r="IQ34" s="456"/>
      <c r="IR34" s="456"/>
      <c r="IS34" s="456"/>
      <c r="IT34" s="456"/>
      <c r="IU34" s="456"/>
      <c r="IV34" s="456"/>
      <c r="IW34" s="456"/>
      <c r="IX34" s="456"/>
      <c r="IY34" s="456"/>
      <c r="IZ34" s="456"/>
      <c r="JA34" s="456"/>
      <c r="JB34" s="456"/>
      <c r="JC34" s="456"/>
      <c r="JD34" s="456"/>
      <c r="JE34" s="456"/>
      <c r="JF34" s="456"/>
      <c r="JG34" s="456"/>
      <c r="JH34" s="456"/>
      <c r="JI34" s="456"/>
      <c r="JJ34" s="456"/>
      <c r="JK34" s="456"/>
      <c r="JL34" s="456"/>
      <c r="JM34" s="456"/>
      <c r="JN34" s="456"/>
      <c r="JO34" s="456"/>
      <c r="JP34" s="456"/>
      <c r="JQ34" s="456"/>
      <c r="JR34" s="456"/>
      <c r="JS34" s="456"/>
      <c r="JT34" s="456"/>
      <c r="JU34" s="456"/>
      <c r="JV34" s="456"/>
      <c r="JW34" s="456"/>
      <c r="JX34" s="456"/>
      <c r="JY34" s="456"/>
      <c r="JZ34" s="456"/>
      <c r="KA34" s="456"/>
      <c r="KB34" s="456"/>
      <c r="KC34" s="456"/>
      <c r="KD34" s="456"/>
      <c r="KE34" s="456"/>
      <c r="KF34" s="456"/>
      <c r="KG34" s="456"/>
      <c r="KH34" s="456"/>
      <c r="KI34" s="456"/>
      <c r="KJ34" s="456"/>
      <c r="KK34" s="456"/>
      <c r="KL34" s="456"/>
      <c r="KM34" s="456"/>
      <c r="KN34" s="456"/>
      <c r="KO34" s="456"/>
      <c r="KP34" s="456"/>
      <c r="KQ34" s="456"/>
      <c r="KR34" s="456"/>
      <c r="KS34" s="456"/>
      <c r="KT34" s="456"/>
      <c r="KU34" s="456"/>
      <c r="KV34" s="456"/>
      <c r="KW34" s="456"/>
      <c r="KX34" s="456"/>
      <c r="KY34" s="456"/>
      <c r="KZ34" s="456"/>
      <c r="LA34" s="456"/>
      <c r="LB34" s="456"/>
      <c r="LC34" s="456"/>
      <c r="LD34" s="456"/>
      <c r="LE34" s="456"/>
      <c r="LF34" s="456"/>
      <c r="LG34" s="456"/>
      <c r="LH34" s="456"/>
      <c r="LI34" s="456"/>
      <c r="LJ34" s="456"/>
      <c r="LK34" s="456"/>
      <c r="LL34" s="456"/>
      <c r="LM34" s="456"/>
      <c r="LN34" s="456"/>
      <c r="LO34" s="456"/>
      <c r="LP34" s="456"/>
      <c r="LQ34" s="456"/>
      <c r="LR34" s="456"/>
      <c r="LS34" s="456"/>
      <c r="LT34" s="456"/>
      <c r="LU34" s="456"/>
      <c r="LV34" s="456"/>
      <c r="LW34" s="456"/>
      <c r="LX34" s="456"/>
      <c r="LY34" s="456"/>
      <c r="LZ34" s="456"/>
      <c r="MA34" s="456"/>
      <c r="MB34" s="456"/>
      <c r="MC34" s="456"/>
      <c r="MD34" s="456"/>
      <c r="ME34" s="456"/>
      <c r="MF34" s="456"/>
      <c r="MG34" s="456"/>
      <c r="MH34" s="456"/>
      <c r="MI34" s="456"/>
      <c r="MJ34" s="456"/>
      <c r="MK34" s="456"/>
      <c r="ML34" s="456"/>
      <c r="MM34" s="456"/>
      <c r="MN34" s="456"/>
      <c r="MO34" s="456"/>
      <c r="MP34" s="456"/>
      <c r="MQ34" s="456"/>
      <c r="MR34" s="456"/>
      <c r="MS34" s="456"/>
      <c r="MT34" s="456"/>
      <c r="MU34" s="456"/>
      <c r="MV34" s="456"/>
      <c r="MW34" s="456"/>
      <c r="MX34" s="456"/>
      <c r="MY34" s="456"/>
      <c r="MZ34" s="456"/>
      <c r="NA34" s="456"/>
      <c r="NB34" s="456"/>
      <c r="NC34" s="456"/>
      <c r="ND34" s="456"/>
      <c r="NE34" s="456"/>
      <c r="NF34" s="456"/>
      <c r="NG34" s="456"/>
      <c r="NH34" s="456"/>
      <c r="NI34" s="456"/>
      <c r="NJ34" s="456"/>
      <c r="NK34" s="456"/>
      <c r="NL34" s="456"/>
      <c r="NM34" s="456"/>
      <c r="NN34" s="456"/>
      <c r="NO34" s="456"/>
      <c r="NP34" s="456"/>
      <c r="NQ34" s="456"/>
      <c r="NR34" s="456"/>
      <c r="NS34" s="456"/>
      <c r="NT34" s="456"/>
      <c r="NU34" s="456"/>
      <c r="NV34" s="456"/>
      <c r="NW34" s="456"/>
      <c r="NX34" s="456"/>
      <c r="NY34" s="456"/>
      <c r="NZ34" s="456"/>
      <c r="OA34" s="456"/>
      <c r="OB34" s="456"/>
      <c r="OC34" s="456"/>
      <c r="OD34" s="456"/>
      <c r="OE34" s="456"/>
      <c r="OF34" s="456"/>
      <c r="OG34" s="456"/>
      <c r="OH34" s="456"/>
      <c r="OI34" s="456"/>
      <c r="OJ34" s="456"/>
      <c r="OK34" s="456"/>
      <c r="OL34" s="456"/>
      <c r="OM34" s="456"/>
      <c r="ON34" s="456"/>
      <c r="OO34" s="456"/>
      <c r="OP34" s="456"/>
      <c r="OQ34" s="456"/>
      <c r="OR34" s="456"/>
      <c r="OS34" s="456"/>
      <c r="OT34" s="456"/>
      <c r="OU34" s="456"/>
      <c r="OV34" s="456"/>
      <c r="OW34" s="456"/>
      <c r="OX34" s="456"/>
      <c r="OY34" s="456"/>
      <c r="OZ34" s="456"/>
      <c r="PA34" s="456"/>
      <c r="PB34" s="456"/>
      <c r="PC34" s="456"/>
      <c r="PD34" s="456"/>
      <c r="PE34" s="456"/>
      <c r="PF34" s="456"/>
      <c r="PG34" s="456"/>
      <c r="PH34" s="456"/>
      <c r="PI34" s="456"/>
      <c r="PJ34" s="456"/>
      <c r="PK34" s="456"/>
      <c r="PL34" s="456"/>
      <c r="PM34" s="456"/>
      <c r="PN34" s="456"/>
      <c r="PO34" s="456"/>
      <c r="PP34" s="456"/>
      <c r="PQ34" s="456"/>
      <c r="PR34" s="456"/>
      <c r="PS34" s="456"/>
      <c r="PT34" s="456"/>
      <c r="PU34" s="456"/>
      <c r="PV34" s="456"/>
      <c r="PW34" s="456"/>
      <c r="PX34" s="456"/>
      <c r="PY34" s="456"/>
      <c r="PZ34" s="456"/>
      <c r="QA34" s="456"/>
      <c r="QB34" s="456"/>
      <c r="QC34" s="456"/>
      <c r="QD34" s="456"/>
      <c r="QE34" s="456"/>
      <c r="QF34" s="456"/>
      <c r="QG34" s="456"/>
      <c r="QH34" s="456"/>
      <c r="QI34" s="456"/>
      <c r="QJ34" s="456"/>
      <c r="QK34" s="456"/>
      <c r="QL34" s="456"/>
      <c r="QM34" s="456"/>
      <c r="QN34" s="456"/>
      <c r="QO34" s="456"/>
      <c r="QP34" s="456"/>
      <c r="QQ34" s="456"/>
      <c r="QR34" s="456"/>
      <c r="QS34" s="456"/>
      <c r="QT34" s="456"/>
      <c r="QU34" s="456"/>
      <c r="QV34" s="456"/>
      <c r="QW34" s="456"/>
      <c r="QX34" s="456"/>
      <c r="QY34" s="456"/>
      <c r="QZ34" s="456"/>
      <c r="RA34" s="456"/>
      <c r="RB34" s="456"/>
      <c r="RC34" s="456"/>
      <c r="RD34" s="456"/>
      <c r="RE34" s="456"/>
      <c r="RF34" s="456"/>
      <c r="RG34" s="456"/>
      <c r="RH34" s="456"/>
      <c r="RI34" s="456"/>
      <c r="RJ34" s="456"/>
      <c r="RK34" s="456"/>
      <c r="RL34" s="456"/>
      <c r="RM34" s="456"/>
      <c r="RN34" s="456"/>
      <c r="RO34" s="456"/>
      <c r="RP34" s="456"/>
      <c r="RQ34" s="456"/>
      <c r="RR34" s="456"/>
      <c r="RS34" s="456"/>
      <c r="RT34" s="456"/>
      <c r="RU34" s="456"/>
      <c r="RV34" s="456"/>
      <c r="RW34" s="456"/>
      <c r="RX34" s="456"/>
      <c r="RY34" s="456"/>
      <c r="RZ34" s="456"/>
      <c r="SA34" s="456"/>
      <c r="SB34" s="456"/>
      <c r="SC34" s="456"/>
      <c r="SD34" s="456"/>
      <c r="SE34" s="456"/>
      <c r="SF34" s="456"/>
      <c r="SG34" s="456"/>
      <c r="SH34" s="456"/>
      <c r="SI34" s="456"/>
      <c r="SJ34" s="456"/>
      <c r="SK34" s="456"/>
      <c r="SL34" s="456"/>
      <c r="SM34" s="456"/>
      <c r="SN34" s="456"/>
      <c r="SO34" s="456"/>
      <c r="SP34" s="456"/>
      <c r="SQ34" s="456"/>
      <c r="SR34" s="456"/>
      <c r="SS34" s="456"/>
      <c r="ST34" s="456"/>
      <c r="SU34" s="456"/>
      <c r="SV34" s="456"/>
      <c r="SW34" s="456"/>
      <c r="SX34" s="456"/>
      <c r="SY34" s="456"/>
      <c r="SZ34" s="456"/>
      <c r="TA34" s="456"/>
      <c r="TB34" s="456"/>
      <c r="TC34" s="456"/>
      <c r="TD34" s="456"/>
      <c r="TE34" s="456"/>
      <c r="TF34" s="456"/>
      <c r="TG34" s="456"/>
      <c r="TH34" s="456"/>
      <c r="TI34" s="456"/>
      <c r="TJ34" s="456"/>
      <c r="TK34" s="456"/>
      <c r="TL34" s="456"/>
      <c r="TM34" s="456"/>
      <c r="TN34" s="456"/>
      <c r="TO34" s="456"/>
      <c r="TP34" s="456"/>
      <c r="TQ34" s="456"/>
      <c r="TR34" s="456"/>
      <c r="TS34" s="456"/>
      <c r="TT34" s="456"/>
      <c r="TU34" s="456"/>
      <c r="TV34" s="456"/>
      <c r="TW34" s="456"/>
      <c r="TX34" s="456"/>
      <c r="TY34" s="456"/>
      <c r="TZ34" s="456"/>
      <c r="UA34" s="456"/>
      <c r="UB34" s="456"/>
      <c r="UC34" s="456"/>
      <c r="UD34" s="456"/>
      <c r="UE34" s="456"/>
      <c r="UF34" s="456"/>
      <c r="UG34" s="456"/>
      <c r="UH34" s="456"/>
      <c r="UI34" s="456"/>
      <c r="UJ34" s="456"/>
      <c r="UK34" s="456"/>
      <c r="UL34" s="456"/>
      <c r="UM34" s="456"/>
      <c r="UN34" s="456"/>
      <c r="UO34" s="456"/>
      <c r="UP34" s="456"/>
      <c r="UQ34" s="456"/>
      <c r="UR34" s="456"/>
      <c r="US34" s="456"/>
      <c r="UT34" s="456"/>
      <c r="UU34" s="456"/>
      <c r="UV34" s="456"/>
      <c r="UW34" s="456"/>
      <c r="UX34" s="456"/>
      <c r="UY34" s="456"/>
      <c r="UZ34" s="456"/>
      <c r="VA34" s="456"/>
      <c r="VB34" s="456"/>
      <c r="VC34" s="456"/>
      <c r="VD34" s="456"/>
      <c r="VE34" s="456"/>
      <c r="VF34" s="456"/>
      <c r="VG34" s="456"/>
      <c r="VH34" s="456"/>
      <c r="VI34" s="456"/>
      <c r="VJ34" s="456"/>
      <c r="VK34" s="456"/>
      <c r="VL34" s="456"/>
      <c r="VM34" s="456"/>
      <c r="VN34" s="456"/>
      <c r="VO34" s="456"/>
      <c r="VP34" s="456"/>
      <c r="VQ34" s="456"/>
      <c r="VR34" s="456"/>
      <c r="VS34" s="456"/>
      <c r="VT34" s="456"/>
      <c r="VU34" s="456"/>
      <c r="VV34" s="456"/>
      <c r="VW34" s="456"/>
      <c r="VX34" s="456"/>
      <c r="VY34" s="456"/>
      <c r="VZ34" s="456"/>
      <c r="WA34" s="456"/>
      <c r="WB34" s="456"/>
      <c r="WC34" s="456"/>
      <c r="WD34" s="456"/>
      <c r="WE34" s="456"/>
      <c r="WF34" s="456"/>
      <c r="WG34" s="456"/>
      <c r="WH34" s="456"/>
      <c r="WI34" s="456"/>
      <c r="WJ34" s="456"/>
      <c r="WK34" s="456"/>
      <c r="WL34" s="456"/>
      <c r="WM34" s="456"/>
      <c r="WN34" s="456"/>
      <c r="WO34" s="456"/>
      <c r="WP34" s="456"/>
      <c r="WQ34" s="456"/>
      <c r="WR34" s="456"/>
      <c r="WS34" s="456"/>
      <c r="WT34" s="456"/>
      <c r="WU34" s="456"/>
      <c r="WV34" s="456"/>
      <c r="WW34" s="456"/>
      <c r="WX34" s="456"/>
      <c r="WY34" s="456"/>
      <c r="WZ34" s="456"/>
      <c r="XA34" s="456"/>
      <c r="XB34" s="456"/>
      <c r="XC34" s="456"/>
      <c r="XD34" s="456"/>
      <c r="XE34" s="456"/>
      <c r="XF34" s="456"/>
      <c r="XG34" s="456"/>
      <c r="XH34" s="456"/>
      <c r="XI34" s="456"/>
      <c r="XJ34" s="456"/>
      <c r="XK34" s="456"/>
      <c r="XL34" s="456"/>
      <c r="XM34" s="456"/>
      <c r="XN34" s="456"/>
      <c r="XO34" s="456"/>
      <c r="XP34" s="456"/>
      <c r="XQ34" s="456"/>
      <c r="XR34" s="456"/>
      <c r="XS34" s="456"/>
      <c r="XT34" s="456"/>
      <c r="XU34" s="456"/>
      <c r="XV34" s="456"/>
      <c r="XW34" s="456"/>
      <c r="XX34" s="456"/>
      <c r="XY34" s="456"/>
      <c r="XZ34" s="456"/>
      <c r="YA34" s="456"/>
      <c r="YB34" s="456"/>
      <c r="YC34" s="456"/>
      <c r="YD34" s="456"/>
      <c r="YE34" s="456"/>
      <c r="YF34" s="456"/>
      <c r="YG34" s="456"/>
      <c r="YH34" s="456"/>
      <c r="YI34" s="456"/>
      <c r="YJ34" s="456"/>
      <c r="YK34" s="456"/>
      <c r="YL34" s="456"/>
      <c r="YM34" s="456"/>
      <c r="YN34" s="456"/>
      <c r="YO34" s="456"/>
      <c r="YP34" s="456"/>
      <c r="YQ34" s="456"/>
      <c r="YR34" s="456"/>
      <c r="YS34" s="456"/>
      <c r="YT34" s="456"/>
      <c r="YU34" s="456"/>
      <c r="YV34" s="456"/>
      <c r="YW34" s="456"/>
      <c r="YX34" s="456"/>
      <c r="YY34" s="456"/>
      <c r="YZ34" s="456"/>
      <c r="ZA34" s="456"/>
      <c r="ZB34" s="456"/>
      <c r="ZC34" s="456"/>
      <c r="ZD34" s="456"/>
      <c r="ZE34" s="456"/>
      <c r="ZF34" s="456"/>
      <c r="ZG34" s="456"/>
      <c r="ZH34" s="456"/>
      <c r="ZI34" s="456"/>
      <c r="ZJ34" s="456"/>
      <c r="ZK34" s="456"/>
      <c r="ZL34" s="456"/>
      <c r="ZM34" s="456"/>
      <c r="ZN34" s="456"/>
      <c r="ZO34" s="456"/>
      <c r="ZP34" s="456"/>
      <c r="ZQ34" s="456"/>
      <c r="ZR34" s="456"/>
      <c r="ZS34" s="456"/>
      <c r="ZT34" s="456"/>
      <c r="ZU34" s="456"/>
      <c r="ZV34" s="456"/>
      <c r="ZW34" s="456"/>
      <c r="ZX34" s="456"/>
      <c r="ZY34" s="456"/>
      <c r="ZZ34" s="456"/>
      <c r="AAA34" s="456"/>
      <c r="AAB34" s="456"/>
      <c r="AAC34" s="456"/>
      <c r="AAD34" s="456"/>
      <c r="AAE34" s="456"/>
      <c r="AAF34" s="456"/>
      <c r="AAG34" s="456"/>
      <c r="AAH34" s="456"/>
      <c r="AAI34" s="456"/>
      <c r="AAJ34" s="456"/>
      <c r="AAK34" s="456"/>
      <c r="AAL34" s="456"/>
      <c r="AAM34" s="456"/>
      <c r="AAN34" s="456"/>
      <c r="AAO34" s="456"/>
      <c r="AAP34" s="456"/>
      <c r="AAQ34" s="456"/>
      <c r="AAR34" s="456"/>
      <c r="AAS34" s="456"/>
      <c r="AAT34" s="456"/>
      <c r="AAU34" s="456"/>
      <c r="AAV34" s="456"/>
      <c r="AAW34" s="456"/>
      <c r="AAX34" s="456"/>
      <c r="AAY34" s="456"/>
      <c r="AAZ34" s="456"/>
      <c r="ABA34" s="456"/>
      <c r="ABB34" s="456"/>
      <c r="ABC34" s="456"/>
      <c r="ABD34" s="456"/>
      <c r="ABE34" s="456"/>
      <c r="ABF34" s="456"/>
      <c r="ABG34" s="456"/>
      <c r="ABH34" s="456"/>
      <c r="ABI34" s="456"/>
      <c r="ABJ34" s="456"/>
      <c r="ABK34" s="456"/>
      <c r="ABL34" s="456"/>
      <c r="ABM34" s="456"/>
      <c r="ABN34" s="456"/>
      <c r="ABO34" s="456"/>
      <c r="ABP34" s="456"/>
      <c r="ABQ34" s="456"/>
      <c r="ABR34" s="456"/>
      <c r="ABS34" s="456"/>
      <c r="ABT34" s="456"/>
      <c r="ABU34" s="456"/>
      <c r="ABV34" s="456"/>
      <c r="ABW34" s="456"/>
      <c r="ABX34" s="456"/>
      <c r="ABY34" s="456"/>
      <c r="ABZ34" s="456"/>
      <c r="ACA34" s="456"/>
      <c r="ACB34" s="456"/>
      <c r="ACC34" s="456"/>
      <c r="ACD34" s="456"/>
      <c r="ACE34" s="456"/>
      <c r="ACF34" s="456"/>
      <c r="ACG34" s="456"/>
      <c r="ACH34" s="456"/>
      <c r="ACI34" s="456"/>
      <c r="ACJ34" s="456"/>
      <c r="ACK34" s="456"/>
      <c r="ACL34" s="456"/>
      <c r="ACM34" s="456"/>
      <c r="ACN34" s="456"/>
      <c r="ACO34" s="456"/>
      <c r="ACP34" s="456"/>
      <c r="ACQ34" s="456"/>
      <c r="ACR34" s="456"/>
      <c r="ACS34" s="456"/>
      <c r="ACT34" s="456"/>
      <c r="ACU34" s="456"/>
      <c r="ACV34" s="456"/>
      <c r="ACW34" s="456"/>
      <c r="ACX34" s="456"/>
      <c r="ACY34" s="456"/>
      <c r="ACZ34" s="456"/>
      <c r="ADA34" s="456"/>
      <c r="ADB34" s="456"/>
      <c r="ADC34" s="456"/>
      <c r="ADD34" s="456"/>
      <c r="ADE34" s="456"/>
      <c r="ADF34" s="456"/>
      <c r="ADG34" s="456"/>
      <c r="ADH34" s="456"/>
      <c r="ADI34" s="456"/>
      <c r="ADJ34" s="456"/>
      <c r="ADK34" s="456"/>
      <c r="ADL34" s="456"/>
      <c r="ADM34" s="456"/>
      <c r="ADN34" s="456"/>
      <c r="ADO34" s="456"/>
      <c r="ADP34" s="456"/>
      <c r="ADQ34" s="456"/>
      <c r="ADR34" s="456"/>
      <c r="ADS34" s="456"/>
      <c r="ADT34" s="456"/>
      <c r="ADU34" s="456"/>
      <c r="ADV34" s="456"/>
      <c r="ADW34" s="456"/>
      <c r="ADX34" s="456"/>
      <c r="ADY34" s="456"/>
      <c r="ADZ34" s="456"/>
      <c r="AEA34" s="456"/>
      <c r="AEB34" s="456"/>
      <c r="AEC34" s="456"/>
      <c r="AED34" s="456"/>
      <c r="AEE34" s="456"/>
      <c r="AEF34" s="456"/>
      <c r="AEG34" s="456"/>
      <c r="AEH34" s="456"/>
      <c r="AEI34" s="456"/>
      <c r="AEJ34" s="456"/>
      <c r="AEK34" s="456"/>
      <c r="AEL34" s="456"/>
      <c r="AEM34" s="456"/>
      <c r="AEN34" s="456"/>
      <c r="AEO34" s="456"/>
      <c r="AEP34" s="456"/>
      <c r="AEQ34" s="456"/>
      <c r="AER34" s="456"/>
      <c r="AES34" s="456"/>
      <c r="AET34" s="456"/>
      <c r="AEU34" s="456"/>
      <c r="AEV34" s="456"/>
      <c r="AEW34" s="456"/>
      <c r="AEX34" s="456"/>
      <c r="AEY34" s="456"/>
      <c r="AEZ34" s="456"/>
      <c r="AFA34" s="456"/>
      <c r="AFB34" s="456"/>
      <c r="AFC34" s="456"/>
      <c r="AFD34" s="456"/>
      <c r="AFE34" s="456"/>
      <c r="AFF34" s="456"/>
      <c r="AFG34" s="456"/>
      <c r="AFH34" s="456"/>
      <c r="AFI34" s="456"/>
      <c r="AFJ34" s="456"/>
      <c r="AFK34" s="456"/>
      <c r="AFL34" s="456"/>
      <c r="AFM34" s="456"/>
      <c r="AFN34" s="456"/>
      <c r="AFO34" s="456"/>
      <c r="AFP34" s="456"/>
      <c r="AFQ34" s="456"/>
      <c r="AFR34" s="456"/>
      <c r="AFS34" s="456"/>
      <c r="AFT34" s="456"/>
      <c r="AFU34" s="456"/>
      <c r="AFV34" s="456"/>
      <c r="AFW34" s="456"/>
      <c r="AFX34" s="456"/>
      <c r="AFY34" s="456"/>
      <c r="AFZ34" s="456"/>
      <c r="AGA34" s="456"/>
      <c r="AGB34" s="456"/>
      <c r="AGC34" s="456"/>
      <c r="AGD34" s="456"/>
      <c r="AGE34" s="456"/>
      <c r="AGF34" s="456"/>
      <c r="AGG34" s="456"/>
      <c r="AGH34" s="456"/>
      <c r="AGI34" s="456"/>
      <c r="AGJ34" s="456"/>
      <c r="AGK34" s="456"/>
      <c r="AGL34" s="456"/>
      <c r="AGM34" s="456"/>
      <c r="AGN34" s="456"/>
      <c r="AGO34" s="456"/>
      <c r="AGP34" s="456"/>
      <c r="AGQ34" s="456"/>
      <c r="AGR34" s="456"/>
      <c r="AGS34" s="456"/>
      <c r="AGT34" s="456"/>
      <c r="AGU34" s="456"/>
      <c r="AGV34" s="456"/>
      <c r="AGW34" s="456"/>
      <c r="AGX34" s="456"/>
      <c r="AGY34" s="456"/>
      <c r="AGZ34" s="456"/>
      <c r="AHA34" s="456"/>
      <c r="AHB34" s="456"/>
      <c r="AHC34" s="456"/>
      <c r="AHD34" s="456"/>
      <c r="AHE34" s="456"/>
      <c r="AHF34" s="456"/>
      <c r="AHG34" s="456"/>
      <c r="AHH34" s="456"/>
      <c r="AHI34" s="456"/>
      <c r="AHJ34" s="456"/>
      <c r="AHK34" s="456"/>
      <c r="AHL34" s="456"/>
      <c r="AHM34" s="456"/>
      <c r="AHN34" s="456"/>
      <c r="AHO34" s="456"/>
      <c r="AHP34" s="456"/>
      <c r="AHQ34" s="456"/>
      <c r="AHR34" s="456"/>
      <c r="AHS34" s="456"/>
      <c r="AHT34" s="456"/>
      <c r="AHU34" s="456"/>
      <c r="AHV34" s="456"/>
      <c r="AHW34" s="456"/>
      <c r="AHX34" s="456"/>
      <c r="AHY34" s="456"/>
      <c r="AHZ34" s="456"/>
      <c r="AIA34" s="456"/>
      <c r="AIB34" s="456"/>
      <c r="AIC34" s="456"/>
      <c r="AID34" s="456"/>
      <c r="AIE34" s="456"/>
      <c r="AIF34" s="456"/>
      <c r="AIG34" s="456"/>
      <c r="AIH34" s="456"/>
      <c r="AII34" s="456"/>
      <c r="AIJ34" s="456"/>
      <c r="AIK34" s="456"/>
      <c r="AIL34" s="456"/>
      <c r="AIM34" s="456"/>
      <c r="AIN34" s="456"/>
      <c r="AIO34" s="456"/>
      <c r="AIP34" s="456"/>
      <c r="AIQ34" s="456"/>
      <c r="AIR34" s="456"/>
      <c r="AIS34" s="456"/>
      <c r="AIT34" s="456"/>
      <c r="AIU34" s="456"/>
      <c r="AIV34" s="456"/>
      <c r="AIW34" s="456"/>
      <c r="AIX34" s="456"/>
      <c r="AIY34" s="456"/>
      <c r="AIZ34" s="456"/>
      <c r="AJA34" s="456"/>
      <c r="AJB34" s="456"/>
      <c r="AJC34" s="456"/>
      <c r="AJD34" s="456"/>
      <c r="AJE34" s="456"/>
      <c r="AJF34" s="456"/>
      <c r="AJG34" s="456"/>
      <c r="AJH34" s="456"/>
      <c r="AJI34" s="456"/>
      <c r="AJJ34" s="456"/>
      <c r="AJK34" s="456"/>
      <c r="AJL34" s="456"/>
      <c r="AJM34" s="456"/>
      <c r="AJN34" s="456"/>
      <c r="AJO34" s="456"/>
      <c r="AJP34" s="456"/>
      <c r="AJQ34" s="456"/>
      <c r="AJR34" s="456"/>
      <c r="AJS34" s="456"/>
      <c r="AJT34" s="456"/>
      <c r="AJU34" s="456"/>
      <c r="AJV34" s="456"/>
      <c r="AJW34" s="456"/>
      <c r="AJX34" s="456"/>
      <c r="AJY34" s="456"/>
      <c r="AJZ34" s="456"/>
      <c r="AKA34" s="456"/>
      <c r="AKB34" s="456"/>
      <c r="AKC34" s="456"/>
      <c r="AKD34" s="456"/>
      <c r="AKE34" s="456"/>
      <c r="AKF34" s="456"/>
      <c r="AKG34" s="456"/>
      <c r="AKH34" s="456"/>
      <c r="AKI34" s="456"/>
      <c r="AKJ34" s="456"/>
      <c r="AKK34" s="456"/>
      <c r="AKL34" s="456"/>
      <c r="AKM34" s="456"/>
      <c r="AKN34" s="456"/>
      <c r="AKO34" s="456"/>
      <c r="AKP34" s="456"/>
      <c r="AKQ34" s="456"/>
      <c r="AKR34" s="456"/>
      <c r="AKS34" s="456"/>
      <c r="AKT34" s="456"/>
      <c r="AKU34" s="456"/>
      <c r="AKV34" s="456"/>
      <c r="AKW34" s="456"/>
      <c r="AKX34" s="456"/>
      <c r="AKY34" s="456"/>
      <c r="AKZ34" s="456"/>
      <c r="ALA34" s="456"/>
      <c r="ALB34" s="456"/>
      <c r="ALC34" s="456"/>
      <c r="ALD34" s="456"/>
      <c r="ALE34" s="456"/>
      <c r="ALF34" s="456"/>
      <c r="ALG34" s="456"/>
      <c r="ALH34" s="456"/>
      <c r="ALI34" s="456"/>
      <c r="ALJ34" s="456"/>
      <c r="ALK34" s="456"/>
      <c r="ALL34" s="456"/>
      <c r="ALM34" s="456"/>
      <c r="ALN34" s="456"/>
      <c r="ALO34" s="456"/>
      <c r="ALP34" s="456"/>
      <c r="ALQ34" s="456"/>
      <c r="ALR34" s="456"/>
      <c r="ALS34" s="456"/>
      <c r="ALT34" s="456"/>
      <c r="ALU34" s="456"/>
      <c r="ALV34" s="456"/>
      <c r="ALW34" s="456"/>
      <c r="ALX34" s="456"/>
      <c r="ALY34" s="456"/>
      <c r="ALZ34" s="456"/>
      <c r="AMA34" s="456"/>
      <c r="AMB34" s="456"/>
      <c r="AMC34" s="456"/>
      <c r="AMD34" s="456"/>
      <c r="AME34" s="456"/>
      <c r="AMF34" s="456"/>
      <c r="AMG34" s="456"/>
      <c r="AMH34" s="456"/>
      <c r="AMI34" s="456"/>
      <c r="AMJ34" s="456"/>
      <c r="AMK34" s="456"/>
      <c r="AML34" s="456"/>
      <c r="AMM34" s="456"/>
      <c r="AMN34" s="456"/>
      <c r="AMO34" s="456"/>
      <c r="AMP34" s="456"/>
      <c r="AMQ34" s="456"/>
      <c r="AMR34" s="456"/>
      <c r="AMS34" s="456"/>
      <c r="AMT34" s="456"/>
      <c r="AMU34" s="456"/>
      <c r="AMV34" s="456"/>
      <c r="AMW34" s="456"/>
      <c r="AMX34" s="456"/>
      <c r="AMY34" s="456"/>
      <c r="AMZ34" s="456"/>
      <c r="ANA34" s="456"/>
      <c r="ANB34" s="456"/>
      <c r="ANC34" s="456"/>
      <c r="AND34" s="456"/>
      <c r="ANE34" s="456"/>
      <c r="ANF34" s="456"/>
      <c r="ANG34" s="456"/>
      <c r="ANH34" s="456"/>
      <c r="ANI34" s="456"/>
      <c r="ANJ34" s="456"/>
      <c r="ANK34" s="456"/>
      <c r="ANL34" s="456"/>
      <c r="ANM34" s="456"/>
      <c r="ANN34" s="456"/>
      <c r="ANO34" s="456"/>
      <c r="ANP34" s="456"/>
      <c r="ANQ34" s="456"/>
      <c r="ANR34" s="456"/>
      <c r="ANS34" s="456"/>
      <c r="ANT34" s="456"/>
      <c r="ANU34" s="456"/>
      <c r="ANV34" s="456"/>
      <c r="ANW34" s="456"/>
      <c r="ANX34" s="456"/>
      <c r="ANY34" s="456"/>
      <c r="ANZ34" s="456"/>
      <c r="AOA34" s="456"/>
      <c r="AOB34" s="456"/>
      <c r="AOC34" s="456"/>
      <c r="AOD34" s="456"/>
      <c r="AOE34" s="456"/>
      <c r="AOF34" s="456"/>
      <c r="AOG34" s="456"/>
      <c r="AOH34" s="456"/>
      <c r="AOI34" s="456"/>
      <c r="AOJ34" s="456"/>
      <c r="AOK34" s="456"/>
      <c r="AOL34" s="456"/>
      <c r="AOM34" s="456"/>
      <c r="AON34" s="456"/>
      <c r="AOO34" s="456"/>
      <c r="AOP34" s="456"/>
      <c r="AOQ34" s="456"/>
      <c r="AOR34" s="456"/>
      <c r="AOS34" s="456"/>
      <c r="AOT34" s="456"/>
      <c r="AOU34" s="456"/>
      <c r="AOV34" s="456"/>
      <c r="AOW34" s="456"/>
      <c r="AOX34" s="456"/>
      <c r="AOY34" s="456"/>
      <c r="AOZ34" s="456"/>
      <c r="APA34" s="456"/>
      <c r="APB34" s="456"/>
      <c r="APC34" s="456"/>
      <c r="APD34" s="456"/>
      <c r="APE34" s="456"/>
      <c r="APF34" s="456"/>
      <c r="APG34" s="456"/>
      <c r="APH34" s="456"/>
      <c r="API34" s="456"/>
      <c r="APJ34" s="456"/>
      <c r="APK34" s="456"/>
      <c r="APL34" s="456"/>
      <c r="APM34" s="456"/>
      <c r="APN34" s="456"/>
      <c r="APO34" s="456"/>
      <c r="APP34" s="456"/>
      <c r="APQ34" s="456"/>
      <c r="APR34" s="456"/>
      <c r="APS34" s="456"/>
      <c r="APT34" s="456"/>
      <c r="APU34" s="456"/>
      <c r="APV34" s="456"/>
      <c r="APW34" s="456"/>
      <c r="APX34" s="456"/>
      <c r="APY34" s="456"/>
      <c r="APZ34" s="456"/>
      <c r="AQA34" s="456"/>
      <c r="AQB34" s="456"/>
      <c r="AQC34" s="456"/>
      <c r="AQD34" s="456"/>
      <c r="AQE34" s="456"/>
      <c r="AQF34" s="456"/>
      <c r="AQG34" s="456"/>
      <c r="AQH34" s="456"/>
      <c r="AQI34" s="456"/>
      <c r="AQJ34" s="456"/>
      <c r="AQK34" s="456"/>
      <c r="AQL34" s="456"/>
      <c r="AQM34" s="456"/>
      <c r="AQN34" s="456"/>
      <c r="AQO34" s="456"/>
      <c r="AQP34" s="456"/>
      <c r="AQQ34" s="456"/>
      <c r="AQR34" s="456"/>
      <c r="AQS34" s="456"/>
      <c r="AQT34" s="456"/>
      <c r="AQU34" s="456"/>
      <c r="AQV34" s="456"/>
      <c r="AQW34" s="456"/>
      <c r="AQX34" s="456"/>
      <c r="AQY34" s="456"/>
      <c r="AQZ34" s="456"/>
      <c r="ARA34" s="456"/>
      <c r="ARB34" s="456"/>
      <c r="ARC34" s="456"/>
      <c r="ARD34" s="456"/>
      <c r="ARE34" s="456"/>
      <c r="ARF34" s="456"/>
      <c r="ARG34" s="456"/>
      <c r="ARH34" s="456"/>
      <c r="ARI34" s="456"/>
      <c r="ARJ34" s="456"/>
      <c r="ARK34" s="456"/>
      <c r="ARL34" s="456"/>
      <c r="ARM34" s="456"/>
      <c r="ARN34" s="456"/>
      <c r="ARO34" s="456"/>
      <c r="ARP34" s="456"/>
      <c r="ARQ34" s="456"/>
      <c r="ARR34" s="456"/>
      <c r="ARS34" s="456"/>
      <c r="ART34" s="456"/>
      <c r="ARU34" s="456"/>
      <c r="ARV34" s="456"/>
      <c r="ARW34" s="456"/>
      <c r="ARX34" s="456"/>
      <c r="ARY34" s="456"/>
      <c r="ARZ34" s="456"/>
      <c r="ASA34" s="456"/>
      <c r="ASB34" s="456"/>
      <c r="ASC34" s="456"/>
      <c r="ASD34" s="456"/>
      <c r="ASE34" s="456"/>
      <c r="ASF34" s="456"/>
      <c r="ASG34" s="456"/>
      <c r="ASH34" s="456"/>
      <c r="ASI34" s="456"/>
      <c r="ASJ34" s="456"/>
      <c r="ASK34" s="456"/>
      <c r="ASL34" s="456"/>
      <c r="ASM34" s="456"/>
      <c r="ASN34" s="456"/>
      <c r="ASO34" s="456"/>
      <c r="ASP34" s="456"/>
      <c r="ASQ34" s="456"/>
      <c r="ASR34" s="456"/>
      <c r="ASS34" s="456"/>
      <c r="AST34" s="456"/>
      <c r="ASU34" s="456"/>
      <c r="ASV34" s="456"/>
      <c r="ASW34" s="456"/>
      <c r="ASX34" s="456"/>
      <c r="ASY34" s="456"/>
      <c r="ASZ34" s="456"/>
      <c r="ATA34" s="456"/>
      <c r="ATB34" s="456"/>
      <c r="ATC34" s="456"/>
      <c r="ATD34" s="456"/>
      <c r="ATE34" s="456"/>
      <c r="ATF34" s="456"/>
      <c r="ATG34" s="456"/>
      <c r="ATH34" s="456"/>
      <c r="ATI34" s="456"/>
      <c r="ATJ34" s="456"/>
      <c r="ATK34" s="456"/>
      <c r="ATL34" s="456"/>
      <c r="ATM34" s="456"/>
      <c r="ATN34" s="456"/>
      <c r="ATO34" s="456"/>
      <c r="ATP34" s="456"/>
      <c r="ATQ34" s="456"/>
      <c r="ATR34" s="456"/>
      <c r="ATS34" s="456"/>
      <c r="ATT34" s="456"/>
      <c r="ATU34" s="456"/>
      <c r="ATV34" s="456"/>
      <c r="ATW34" s="456"/>
      <c r="ATX34" s="456"/>
      <c r="ATY34" s="456"/>
      <c r="ATZ34" s="456"/>
      <c r="AUA34" s="456"/>
      <c r="AUB34" s="456"/>
      <c r="AUC34" s="456"/>
      <c r="AUD34" s="456"/>
      <c r="AUE34" s="456"/>
      <c r="AUF34" s="456"/>
      <c r="AUG34" s="456"/>
      <c r="AUH34" s="456"/>
      <c r="AUI34" s="456"/>
      <c r="AUJ34" s="456"/>
      <c r="AUK34" s="456"/>
      <c r="AUL34" s="456"/>
      <c r="AUM34" s="456"/>
      <c r="AUN34" s="456"/>
      <c r="AUO34" s="456"/>
      <c r="AUP34" s="456"/>
      <c r="AUQ34" s="456"/>
      <c r="AUR34" s="456"/>
      <c r="AUS34" s="456"/>
      <c r="AUT34" s="456"/>
      <c r="AUU34" s="456"/>
      <c r="AUV34" s="456"/>
      <c r="AUW34" s="456"/>
      <c r="AUX34" s="456"/>
      <c r="AUY34" s="456"/>
      <c r="AUZ34" s="456"/>
      <c r="AVA34" s="456"/>
      <c r="AVB34" s="456"/>
      <c r="AVC34" s="456"/>
      <c r="AVD34" s="456"/>
      <c r="AVE34" s="456"/>
      <c r="AVF34" s="456"/>
      <c r="AVG34" s="456"/>
      <c r="AVH34" s="456"/>
      <c r="AVI34" s="456"/>
      <c r="AVJ34" s="456"/>
      <c r="AVK34" s="456"/>
      <c r="AVL34" s="456"/>
      <c r="AVM34" s="456"/>
      <c r="AVN34" s="456"/>
      <c r="AVO34" s="456"/>
      <c r="AVP34" s="456"/>
      <c r="AVQ34" s="456"/>
      <c r="AVR34" s="456"/>
      <c r="AVS34" s="456"/>
      <c r="AVT34" s="456"/>
      <c r="AVU34" s="456"/>
      <c r="AVV34" s="456"/>
      <c r="AVW34" s="456"/>
      <c r="AVX34" s="456"/>
      <c r="AVY34" s="456"/>
      <c r="AVZ34" s="456"/>
      <c r="AWA34" s="456"/>
      <c r="AWB34" s="456"/>
      <c r="AWC34" s="456"/>
      <c r="AWD34" s="456"/>
      <c r="AWE34" s="456"/>
      <c r="AWF34" s="456"/>
      <c r="AWG34" s="456"/>
      <c r="AWH34" s="456"/>
      <c r="AWI34" s="456"/>
      <c r="AWJ34" s="456"/>
      <c r="AWK34" s="456"/>
      <c r="AWL34" s="456"/>
      <c r="AWM34" s="456"/>
      <c r="AWN34" s="456"/>
      <c r="AWO34" s="456"/>
      <c r="AWP34" s="456"/>
      <c r="AWQ34" s="456"/>
      <c r="AWR34" s="456"/>
      <c r="AWS34" s="456"/>
      <c r="AWT34" s="456"/>
      <c r="AWU34" s="456"/>
      <c r="AWV34" s="456"/>
      <c r="AWW34" s="456"/>
      <c r="AWX34" s="456"/>
      <c r="AWY34" s="456"/>
      <c r="AWZ34" s="456"/>
      <c r="AXA34" s="456"/>
      <c r="AXB34" s="456"/>
      <c r="AXC34" s="456"/>
      <c r="AXD34" s="456"/>
      <c r="AXE34" s="456"/>
      <c r="AXF34" s="456"/>
      <c r="AXG34" s="456"/>
      <c r="AXH34" s="456"/>
      <c r="AXI34" s="456"/>
      <c r="AXJ34" s="456"/>
      <c r="AXK34" s="456"/>
      <c r="AXL34" s="456"/>
      <c r="AXM34" s="456"/>
      <c r="AXN34" s="456"/>
      <c r="AXO34" s="456"/>
      <c r="AXP34" s="456"/>
      <c r="AXQ34" s="456"/>
      <c r="AXR34" s="456"/>
      <c r="AXS34" s="456"/>
      <c r="AXT34" s="456"/>
      <c r="AXU34" s="456"/>
      <c r="AXV34" s="456"/>
      <c r="AXW34" s="456"/>
      <c r="AXX34" s="456"/>
      <c r="AXY34" s="456"/>
      <c r="AXZ34" s="456"/>
      <c r="AYA34" s="456"/>
      <c r="AYB34" s="456"/>
      <c r="AYC34" s="456"/>
      <c r="AYD34" s="456"/>
      <c r="AYE34" s="456"/>
      <c r="AYF34" s="456"/>
      <c r="AYG34" s="456"/>
      <c r="AYH34" s="456"/>
      <c r="AYI34" s="456"/>
      <c r="AYJ34" s="456"/>
      <c r="AYK34" s="456"/>
      <c r="AYL34" s="456"/>
      <c r="AYM34" s="456"/>
      <c r="AYN34" s="456"/>
      <c r="AYO34" s="456"/>
      <c r="AYP34" s="456"/>
      <c r="AYQ34" s="456"/>
      <c r="AYR34" s="456"/>
      <c r="AYS34" s="456"/>
      <c r="AYT34" s="456"/>
      <c r="AYU34" s="456"/>
      <c r="AYV34" s="456"/>
      <c r="AYW34" s="456"/>
      <c r="AYX34" s="456"/>
      <c r="AYY34" s="456"/>
      <c r="AYZ34" s="456"/>
      <c r="AZA34" s="456"/>
      <c r="AZB34" s="456"/>
      <c r="AZC34" s="456"/>
      <c r="AZD34" s="456"/>
      <c r="AZE34" s="456"/>
      <c r="AZF34" s="456"/>
      <c r="AZG34" s="456"/>
      <c r="AZH34" s="456"/>
      <c r="AZI34" s="456"/>
      <c r="AZJ34" s="456"/>
      <c r="AZK34" s="456"/>
      <c r="AZL34" s="456"/>
      <c r="AZM34" s="456"/>
      <c r="AZN34" s="456"/>
      <c r="AZO34" s="456"/>
      <c r="AZP34" s="456"/>
      <c r="AZQ34" s="456"/>
      <c r="AZR34" s="456"/>
      <c r="AZS34" s="456"/>
      <c r="AZT34" s="456"/>
      <c r="AZU34" s="456"/>
      <c r="AZV34" s="456"/>
      <c r="AZW34" s="456"/>
      <c r="AZX34" s="456"/>
      <c r="AZY34" s="456"/>
      <c r="AZZ34" s="456"/>
      <c r="BAA34" s="456"/>
      <c r="BAB34" s="456"/>
      <c r="BAC34" s="456"/>
      <c r="BAD34" s="456"/>
      <c r="BAE34" s="456"/>
      <c r="BAF34" s="456"/>
      <c r="BAG34" s="456"/>
      <c r="BAH34" s="456"/>
      <c r="BAI34" s="456"/>
      <c r="BAJ34" s="456"/>
      <c r="BAK34" s="456"/>
      <c r="BAL34" s="456"/>
      <c r="BAM34" s="456"/>
      <c r="BAN34" s="456"/>
      <c r="BAO34" s="456"/>
      <c r="BAP34" s="456"/>
      <c r="BAQ34" s="456"/>
      <c r="BAR34" s="456"/>
      <c r="BAS34" s="456"/>
      <c r="BAT34" s="456"/>
      <c r="BAU34" s="456"/>
      <c r="BAV34" s="456"/>
      <c r="BAW34" s="456"/>
      <c r="BAX34" s="456"/>
      <c r="BAY34" s="456"/>
      <c r="BAZ34" s="456"/>
      <c r="BBA34" s="456"/>
      <c r="BBB34" s="456"/>
      <c r="BBC34" s="456"/>
      <c r="BBD34" s="456"/>
      <c r="BBE34" s="456"/>
      <c r="BBF34" s="456"/>
      <c r="BBG34" s="456"/>
      <c r="BBH34" s="456"/>
      <c r="BBI34" s="456"/>
      <c r="BBJ34" s="456"/>
      <c r="BBK34" s="456"/>
      <c r="BBL34" s="456"/>
      <c r="BBM34" s="456"/>
      <c r="BBN34" s="456"/>
      <c r="BBO34" s="456"/>
      <c r="BBP34" s="456"/>
      <c r="BBQ34" s="456"/>
      <c r="BBR34" s="456"/>
      <c r="BBS34" s="456"/>
      <c r="BBT34" s="456"/>
      <c r="BBU34" s="456"/>
      <c r="BBV34" s="456"/>
      <c r="BBW34" s="456"/>
      <c r="BBX34" s="456"/>
      <c r="BBY34" s="456"/>
      <c r="BBZ34" s="456"/>
      <c r="BCA34" s="456"/>
      <c r="BCB34" s="456"/>
      <c r="BCC34" s="456"/>
      <c r="BCD34" s="456"/>
      <c r="BCE34" s="456"/>
      <c r="BCF34" s="456"/>
      <c r="BCG34" s="456"/>
      <c r="BCH34" s="456"/>
      <c r="BCI34" s="456"/>
      <c r="BCJ34" s="456"/>
      <c r="BCK34" s="456"/>
      <c r="BCL34" s="456"/>
      <c r="BCM34" s="456"/>
      <c r="BCN34" s="456"/>
      <c r="BCO34" s="456"/>
      <c r="BCP34" s="456"/>
      <c r="BCQ34" s="456"/>
      <c r="BCR34" s="456"/>
      <c r="BCS34" s="456"/>
      <c r="BCT34" s="456"/>
      <c r="BCU34" s="456"/>
      <c r="BCV34" s="456"/>
      <c r="BCW34" s="456"/>
      <c r="BCX34" s="456"/>
      <c r="BCY34" s="456"/>
      <c r="BCZ34" s="456"/>
      <c r="BDA34" s="456"/>
      <c r="BDB34" s="456"/>
      <c r="BDC34" s="456"/>
      <c r="BDD34" s="456"/>
      <c r="BDE34" s="456"/>
      <c r="BDF34" s="456"/>
      <c r="BDG34" s="456"/>
      <c r="BDH34" s="456"/>
      <c r="BDI34" s="456"/>
      <c r="BDJ34" s="456"/>
      <c r="BDK34" s="456"/>
      <c r="BDL34" s="456"/>
      <c r="BDM34" s="456"/>
      <c r="BDN34" s="456"/>
      <c r="BDO34" s="456"/>
      <c r="BDP34" s="456"/>
      <c r="BDQ34" s="456"/>
      <c r="BDR34" s="456"/>
      <c r="BDS34" s="456"/>
      <c r="BDT34" s="456"/>
      <c r="BDU34" s="456"/>
      <c r="BDV34" s="456"/>
      <c r="BDW34" s="456"/>
      <c r="BDX34" s="456"/>
      <c r="BDY34" s="456"/>
      <c r="BDZ34" s="456"/>
      <c r="BEA34" s="456"/>
      <c r="BEB34" s="456"/>
      <c r="BEC34" s="456"/>
      <c r="BED34" s="456"/>
      <c r="BEE34" s="456"/>
      <c r="BEF34" s="456"/>
      <c r="BEG34" s="456"/>
      <c r="BEH34" s="456"/>
      <c r="BEI34" s="456"/>
      <c r="BEJ34" s="456"/>
      <c r="BEK34" s="456"/>
      <c r="BEL34" s="456"/>
      <c r="BEM34" s="456"/>
      <c r="BEN34" s="456"/>
      <c r="BEO34" s="456"/>
      <c r="BEP34" s="456"/>
      <c r="BEQ34" s="456"/>
      <c r="BER34" s="456"/>
      <c r="BES34" s="456"/>
      <c r="BET34" s="456"/>
      <c r="BEU34" s="456"/>
      <c r="BEV34" s="456"/>
      <c r="BEW34" s="456"/>
      <c r="BEX34" s="456"/>
      <c r="BEY34" s="456"/>
      <c r="BEZ34" s="456"/>
      <c r="BFA34" s="456"/>
      <c r="BFB34" s="456"/>
      <c r="BFC34" s="456"/>
      <c r="BFD34" s="456"/>
      <c r="BFE34" s="456"/>
      <c r="BFF34" s="456"/>
      <c r="BFG34" s="456"/>
      <c r="BFH34" s="456"/>
      <c r="BFI34" s="456"/>
      <c r="BFJ34" s="456"/>
      <c r="BFK34" s="456"/>
      <c r="BFL34" s="456"/>
      <c r="BFM34" s="456"/>
      <c r="BFN34" s="456"/>
      <c r="BFO34" s="456"/>
      <c r="BFP34" s="456"/>
      <c r="BFQ34" s="456"/>
      <c r="BFR34" s="456"/>
      <c r="BFS34" s="456"/>
      <c r="BFT34" s="456"/>
      <c r="BFU34" s="456"/>
      <c r="BFV34" s="456"/>
      <c r="BFW34" s="456"/>
      <c r="BFX34" s="456"/>
      <c r="BFY34" s="456"/>
      <c r="BFZ34" s="456"/>
      <c r="BGA34" s="456"/>
      <c r="BGB34" s="456"/>
      <c r="BGC34" s="456"/>
      <c r="BGD34" s="456"/>
      <c r="BGE34" s="456"/>
      <c r="BGF34" s="456"/>
      <c r="BGG34" s="456"/>
      <c r="BGH34" s="456"/>
      <c r="BGI34" s="456"/>
      <c r="BGJ34" s="456"/>
      <c r="BGK34" s="456"/>
      <c r="BGL34" s="456"/>
      <c r="BGM34" s="456"/>
      <c r="BGN34" s="456"/>
      <c r="BGO34" s="456"/>
      <c r="BGP34" s="456"/>
      <c r="BGQ34" s="456"/>
      <c r="BGR34" s="456"/>
      <c r="BGS34" s="456"/>
      <c r="BGT34" s="456"/>
      <c r="BGU34" s="456"/>
      <c r="BGV34" s="456"/>
      <c r="BGW34" s="456"/>
      <c r="BGX34" s="456"/>
      <c r="BGY34" s="456"/>
      <c r="BGZ34" s="456"/>
      <c r="BHA34" s="456"/>
      <c r="BHB34" s="456"/>
      <c r="BHC34" s="456"/>
      <c r="BHD34" s="456"/>
      <c r="BHE34" s="456"/>
      <c r="BHF34" s="456"/>
      <c r="BHG34" s="456"/>
      <c r="BHH34" s="456"/>
      <c r="BHI34" s="456"/>
      <c r="BHJ34" s="456"/>
      <c r="BHK34" s="456"/>
      <c r="BHL34" s="456"/>
      <c r="BHM34" s="456"/>
      <c r="BHN34" s="456"/>
      <c r="BHO34" s="456"/>
      <c r="BHP34" s="456"/>
      <c r="BHQ34" s="456"/>
      <c r="BHR34" s="456"/>
      <c r="BHS34" s="456"/>
      <c r="BHT34" s="456"/>
      <c r="BHU34" s="456"/>
      <c r="BHV34" s="456"/>
      <c r="BHW34" s="456"/>
      <c r="BHX34" s="456"/>
      <c r="BHY34" s="456"/>
      <c r="BHZ34" s="456"/>
      <c r="BIA34" s="456"/>
      <c r="BIB34" s="456"/>
      <c r="BIC34" s="456"/>
      <c r="BID34" s="456"/>
      <c r="BIE34" s="456"/>
      <c r="BIF34" s="456"/>
      <c r="BIG34" s="456"/>
      <c r="BIH34" s="456"/>
      <c r="BII34" s="456"/>
      <c r="BIJ34" s="456"/>
      <c r="BIK34" s="456"/>
      <c r="BIL34" s="456"/>
      <c r="BIM34" s="456"/>
      <c r="BIN34" s="456"/>
      <c r="BIO34" s="456"/>
      <c r="BIP34" s="456"/>
      <c r="BIQ34" s="456"/>
      <c r="BIR34" s="456"/>
      <c r="BIS34" s="456"/>
      <c r="BIT34" s="456"/>
      <c r="BIU34" s="456"/>
      <c r="BIV34" s="456"/>
      <c r="BIW34" s="456"/>
      <c r="BIX34" s="456"/>
      <c r="BIY34" s="456"/>
      <c r="BIZ34" s="456"/>
      <c r="BJA34" s="456"/>
      <c r="BJB34" s="456"/>
      <c r="BJC34" s="456"/>
      <c r="BJD34" s="456"/>
      <c r="BJE34" s="456"/>
      <c r="BJF34" s="456"/>
      <c r="BJG34" s="456"/>
      <c r="BJH34" s="456"/>
      <c r="BJI34" s="456"/>
      <c r="BJJ34" s="456"/>
      <c r="BJK34" s="456"/>
      <c r="BJL34" s="456"/>
      <c r="BJM34" s="456"/>
      <c r="BJN34" s="456"/>
      <c r="BJO34" s="456"/>
      <c r="BJP34" s="456"/>
      <c r="BJQ34" s="456"/>
      <c r="BJR34" s="456"/>
      <c r="BJS34" s="456"/>
      <c r="BJT34" s="456"/>
      <c r="BJU34" s="456"/>
      <c r="BJV34" s="456"/>
      <c r="BJW34" s="456"/>
      <c r="BJX34" s="456"/>
      <c r="BJY34" s="456"/>
      <c r="BJZ34" s="456"/>
      <c r="BKA34" s="456"/>
      <c r="BKB34" s="456"/>
      <c r="BKC34" s="456"/>
      <c r="BKD34" s="456"/>
      <c r="BKE34" s="456"/>
      <c r="BKF34" s="456"/>
      <c r="BKG34" s="456"/>
      <c r="BKH34" s="456"/>
      <c r="BKI34" s="456"/>
      <c r="BKJ34" s="456"/>
      <c r="BKK34" s="456"/>
      <c r="BKL34" s="456"/>
      <c r="BKM34" s="456"/>
      <c r="BKN34" s="456"/>
      <c r="BKO34" s="456"/>
      <c r="BKP34" s="456"/>
      <c r="BKQ34" s="456"/>
      <c r="BKR34" s="456"/>
      <c r="BKS34" s="456"/>
      <c r="BKT34" s="456"/>
      <c r="BKU34" s="456"/>
      <c r="BKV34" s="456"/>
      <c r="BKW34" s="456"/>
      <c r="BKX34" s="456"/>
      <c r="BKY34" s="456"/>
      <c r="BKZ34" s="456"/>
      <c r="BLA34" s="456"/>
      <c r="BLB34" s="456"/>
      <c r="BLC34" s="456"/>
      <c r="BLD34" s="456"/>
      <c r="BLE34" s="456"/>
      <c r="BLF34" s="456"/>
      <c r="BLG34" s="456"/>
      <c r="BLH34" s="456"/>
      <c r="BLI34" s="456"/>
      <c r="BLJ34" s="456"/>
      <c r="BLK34" s="456"/>
      <c r="BLL34" s="456"/>
      <c r="BLM34" s="456"/>
      <c r="BLN34" s="456"/>
      <c r="BLO34" s="456"/>
      <c r="BLP34" s="456"/>
      <c r="BLQ34" s="456"/>
      <c r="BLR34" s="456"/>
      <c r="BLS34" s="456"/>
      <c r="BLT34" s="456"/>
      <c r="BLU34" s="456"/>
      <c r="BLV34" s="456"/>
      <c r="BLW34" s="456"/>
      <c r="BLX34" s="456"/>
      <c r="BLY34" s="456"/>
      <c r="BLZ34" s="456"/>
      <c r="BMA34" s="456"/>
      <c r="BMB34" s="456"/>
      <c r="BMC34" s="456"/>
      <c r="BMD34" s="456"/>
      <c r="BME34" s="456"/>
      <c r="BMF34" s="456"/>
      <c r="BMG34" s="456"/>
      <c r="BMH34" s="456"/>
      <c r="BMI34" s="456"/>
      <c r="BMJ34" s="456"/>
      <c r="BMK34" s="456"/>
      <c r="BML34" s="456"/>
      <c r="BMM34" s="456"/>
      <c r="BMN34" s="456"/>
      <c r="BMO34" s="456"/>
      <c r="BMP34" s="456"/>
      <c r="BMQ34" s="456"/>
      <c r="BMR34" s="456"/>
      <c r="BMS34" s="456"/>
      <c r="BMT34" s="456"/>
      <c r="BMU34" s="456"/>
      <c r="BMV34" s="456"/>
      <c r="BMW34" s="456"/>
      <c r="BMX34" s="456"/>
      <c r="BMY34" s="456"/>
      <c r="BMZ34" s="456"/>
      <c r="BNA34" s="456"/>
      <c r="BNB34" s="456"/>
      <c r="BNC34" s="456"/>
      <c r="BND34" s="456"/>
      <c r="BNE34" s="456"/>
      <c r="BNF34" s="456"/>
      <c r="BNG34" s="456"/>
      <c r="BNH34" s="456"/>
      <c r="BNI34" s="456"/>
      <c r="BNJ34" s="456"/>
      <c r="BNK34" s="456"/>
      <c r="BNL34" s="456"/>
      <c r="BNM34" s="456"/>
      <c r="BNN34" s="456"/>
      <c r="BNO34" s="456"/>
      <c r="BNP34" s="456"/>
      <c r="BNQ34" s="456"/>
      <c r="BNR34" s="456"/>
      <c r="BNS34" s="456"/>
      <c r="BNT34" s="456"/>
      <c r="BNU34" s="456"/>
      <c r="BNV34" s="456"/>
      <c r="BNW34" s="456"/>
      <c r="BNX34" s="456"/>
      <c r="BNY34" s="456"/>
      <c r="BNZ34" s="456"/>
      <c r="BOA34" s="456"/>
      <c r="BOB34" s="456"/>
      <c r="BOC34" s="456"/>
      <c r="BOD34" s="456"/>
      <c r="BOE34" s="456"/>
      <c r="BOF34" s="456"/>
      <c r="BOG34" s="456"/>
      <c r="BOH34" s="456"/>
      <c r="BOI34" s="456"/>
      <c r="BOJ34" s="456"/>
      <c r="BOK34" s="456"/>
      <c r="BOL34" s="456"/>
      <c r="BOM34" s="456"/>
      <c r="BON34" s="456"/>
      <c r="BOO34" s="456"/>
      <c r="BOP34" s="456"/>
      <c r="BOQ34" s="456"/>
      <c r="BOR34" s="456"/>
      <c r="BOS34" s="456"/>
      <c r="BOT34" s="456"/>
      <c r="BOU34" s="456"/>
      <c r="BOV34" s="456"/>
      <c r="BOW34" s="456"/>
      <c r="BOX34" s="456"/>
      <c r="BOY34" s="456"/>
      <c r="BOZ34" s="456"/>
      <c r="BPA34" s="456"/>
      <c r="BPB34" s="456"/>
      <c r="BPC34" s="456"/>
      <c r="BPD34" s="456"/>
      <c r="BPE34" s="456"/>
      <c r="BPF34" s="456"/>
      <c r="BPG34" s="456"/>
      <c r="BPH34" s="456"/>
      <c r="BPI34" s="456"/>
      <c r="BPJ34" s="456"/>
      <c r="BPK34" s="456"/>
      <c r="BPL34" s="456"/>
      <c r="BPM34" s="456"/>
      <c r="BPN34" s="456"/>
      <c r="BPO34" s="456"/>
      <c r="BPP34" s="456"/>
      <c r="BPQ34" s="456"/>
      <c r="BPR34" s="456"/>
      <c r="BPS34" s="456"/>
      <c r="BPT34" s="456"/>
      <c r="BPU34" s="456"/>
      <c r="BPV34" s="456"/>
      <c r="BPW34" s="456"/>
      <c r="BPX34" s="456"/>
      <c r="BPY34" s="456"/>
      <c r="BPZ34" s="456"/>
      <c r="BQA34" s="456"/>
      <c r="BQB34" s="456"/>
      <c r="BQC34" s="456"/>
      <c r="BQD34" s="456"/>
      <c r="BQE34" s="456"/>
      <c r="BQF34" s="456"/>
      <c r="BQG34" s="456"/>
      <c r="BQH34" s="456"/>
      <c r="BQI34" s="456"/>
      <c r="BQJ34" s="456"/>
      <c r="BQK34" s="456"/>
      <c r="BQL34" s="456"/>
      <c r="BQM34" s="456"/>
      <c r="BQN34" s="456"/>
      <c r="BQO34" s="456"/>
      <c r="BQP34" s="456"/>
      <c r="BQQ34" s="456"/>
      <c r="BQR34" s="456"/>
      <c r="BQS34" s="456"/>
      <c r="BQT34" s="456"/>
      <c r="BQU34" s="456"/>
      <c r="BQV34" s="456"/>
      <c r="BQW34" s="456"/>
      <c r="BQX34" s="456"/>
      <c r="BQY34" s="456"/>
      <c r="BQZ34" s="456"/>
      <c r="BRA34" s="456"/>
      <c r="BRB34" s="456"/>
      <c r="BRC34" s="456"/>
      <c r="BRD34" s="456"/>
      <c r="BRE34" s="456"/>
      <c r="BRF34" s="456"/>
      <c r="BRG34" s="456"/>
      <c r="BRH34" s="456"/>
      <c r="BRI34" s="456"/>
      <c r="BRJ34" s="456"/>
      <c r="BRK34" s="456"/>
      <c r="BRL34" s="456"/>
      <c r="BRM34" s="456"/>
      <c r="BRN34" s="456"/>
      <c r="BRO34" s="456"/>
      <c r="BRP34" s="456"/>
      <c r="BRQ34" s="456"/>
      <c r="BRR34" s="456"/>
      <c r="BRS34" s="456"/>
      <c r="BRT34" s="456"/>
      <c r="BRU34" s="456"/>
      <c r="BRV34" s="456"/>
      <c r="BRW34" s="456"/>
      <c r="BRX34" s="456"/>
      <c r="BRY34" s="456"/>
      <c r="BRZ34" s="456"/>
      <c r="BSA34" s="456"/>
      <c r="BSB34" s="456"/>
      <c r="BSC34" s="456"/>
      <c r="BSD34" s="456"/>
      <c r="BSE34" s="456"/>
      <c r="BSF34" s="456"/>
      <c r="BSG34" s="456"/>
      <c r="BSH34" s="456"/>
      <c r="BSI34" s="456"/>
      <c r="BSJ34" s="456"/>
      <c r="BSK34" s="456"/>
      <c r="BSL34" s="456"/>
      <c r="BSM34" s="456"/>
      <c r="BSN34" s="456"/>
      <c r="BSO34" s="456"/>
      <c r="BSP34" s="456"/>
      <c r="BSQ34" s="456"/>
      <c r="BSR34" s="456"/>
      <c r="BSS34" s="456"/>
      <c r="BST34" s="456"/>
      <c r="BSU34" s="456"/>
      <c r="BSV34" s="456"/>
      <c r="BSW34" s="456"/>
      <c r="BSX34" s="456"/>
      <c r="BSY34" s="456"/>
      <c r="BSZ34" s="456"/>
      <c r="BTA34" s="456"/>
      <c r="BTB34" s="456"/>
      <c r="BTC34" s="456"/>
      <c r="BTD34" s="456"/>
      <c r="BTE34" s="456"/>
      <c r="BTF34" s="456"/>
      <c r="BTG34" s="456"/>
      <c r="BTH34" s="456"/>
      <c r="BTI34" s="456"/>
      <c r="BTJ34" s="456"/>
      <c r="BTK34" s="456"/>
      <c r="BTL34" s="456"/>
      <c r="BTM34" s="456"/>
      <c r="BTN34" s="456"/>
      <c r="BTO34" s="456"/>
      <c r="BTP34" s="456"/>
      <c r="BTQ34" s="456"/>
      <c r="BTR34" s="456"/>
      <c r="BTS34" s="456"/>
      <c r="BTT34" s="456"/>
      <c r="BTU34" s="456"/>
      <c r="BTV34" s="456"/>
      <c r="BTW34" s="456"/>
      <c r="BTX34" s="456"/>
      <c r="BTY34" s="456"/>
      <c r="BTZ34" s="456"/>
      <c r="BUA34" s="456"/>
      <c r="BUB34" s="456"/>
      <c r="BUC34" s="456"/>
      <c r="BUD34" s="456"/>
      <c r="BUE34" s="456"/>
      <c r="BUF34" s="456"/>
      <c r="BUG34" s="456"/>
      <c r="BUH34" s="456"/>
      <c r="BUI34" s="456"/>
      <c r="BUJ34" s="456"/>
      <c r="BUK34" s="456"/>
      <c r="BUL34" s="456"/>
      <c r="BUM34" s="456"/>
      <c r="BUN34" s="456"/>
      <c r="BUO34" s="456"/>
      <c r="BUP34" s="456"/>
      <c r="BUQ34" s="456"/>
      <c r="BUR34" s="456"/>
      <c r="BUS34" s="456"/>
      <c r="BUT34" s="456"/>
      <c r="BUU34" s="456"/>
      <c r="BUV34" s="456"/>
      <c r="BUW34" s="456"/>
      <c r="BUX34" s="456"/>
      <c r="BUY34" s="456"/>
      <c r="BUZ34" s="456"/>
      <c r="BVA34" s="456"/>
      <c r="BVB34" s="456"/>
      <c r="BVC34" s="456"/>
      <c r="BVD34" s="456"/>
      <c r="BVE34" s="456"/>
      <c r="BVF34" s="456"/>
      <c r="BVG34" s="456"/>
      <c r="BVH34" s="456"/>
      <c r="BVI34" s="456"/>
      <c r="BVJ34" s="456"/>
      <c r="BVK34" s="456"/>
      <c r="BVL34" s="456"/>
      <c r="BVM34" s="456"/>
      <c r="BVN34" s="456"/>
      <c r="BVO34" s="456"/>
      <c r="BVP34" s="456"/>
      <c r="BVQ34" s="456"/>
      <c r="BVR34" s="456"/>
      <c r="BVS34" s="456"/>
      <c r="BVT34" s="456"/>
      <c r="BVU34" s="456"/>
      <c r="BVV34" s="456"/>
      <c r="BVW34" s="456"/>
      <c r="BVX34" s="456"/>
      <c r="BVY34" s="456"/>
      <c r="BVZ34" s="456"/>
      <c r="BWA34" s="456"/>
      <c r="BWB34" s="456"/>
      <c r="BWC34" s="456"/>
      <c r="BWD34" s="456"/>
      <c r="BWE34" s="456"/>
      <c r="BWF34" s="456"/>
      <c r="BWG34" s="456"/>
      <c r="BWH34" s="456"/>
      <c r="BWI34" s="456"/>
      <c r="BWJ34" s="456"/>
      <c r="BWK34" s="456"/>
      <c r="BWL34" s="456"/>
      <c r="BWM34" s="456"/>
      <c r="BWN34" s="456"/>
      <c r="BWO34" s="456"/>
      <c r="BWP34" s="456"/>
      <c r="BWQ34" s="456"/>
      <c r="BWR34" s="456"/>
      <c r="BWS34" s="456"/>
      <c r="BWT34" s="456"/>
      <c r="BWU34" s="456"/>
      <c r="BWV34" s="456"/>
      <c r="BWW34" s="456"/>
      <c r="BWX34" s="456"/>
      <c r="BWY34" s="456"/>
      <c r="BWZ34" s="456"/>
      <c r="BXA34" s="456"/>
      <c r="BXB34" s="456"/>
      <c r="BXC34" s="456"/>
      <c r="BXD34" s="456"/>
      <c r="BXE34" s="456"/>
      <c r="BXF34" s="456"/>
      <c r="BXG34" s="456"/>
      <c r="BXH34" s="456"/>
      <c r="BXI34" s="456"/>
      <c r="BXJ34" s="456"/>
      <c r="BXK34" s="456"/>
      <c r="BXL34" s="456"/>
      <c r="BXM34" s="456"/>
      <c r="BXN34" s="456"/>
      <c r="BXO34" s="456"/>
      <c r="BXP34" s="456"/>
      <c r="BXQ34" s="456"/>
      <c r="BXR34" s="456"/>
      <c r="BXS34" s="456"/>
      <c r="BXT34" s="456"/>
      <c r="BXU34" s="456"/>
      <c r="BXV34" s="456"/>
      <c r="BXW34" s="456"/>
      <c r="BXX34" s="456"/>
      <c r="BXY34" s="456"/>
      <c r="BXZ34" s="456"/>
    </row>
    <row r="35" s="25" customFormat="1" spans="1:1024 1025:2002">
      <c r="A35" s="473"/>
      <c r="B35" s="19">
        <v>1117</v>
      </c>
      <c r="C35" s="183">
        <v>46174</v>
      </c>
      <c r="D35" s="17" t="s">
        <v>35</v>
      </c>
      <c r="E35" s="17" t="s">
        <v>71</v>
      </c>
      <c r="F35" s="17" t="s">
        <v>72</v>
      </c>
      <c r="G35" s="17"/>
      <c r="H35" s="19">
        <v>1.2379</v>
      </c>
      <c r="I35" s="19">
        <v>1.2379</v>
      </c>
      <c r="J35" s="17" t="s">
        <v>39</v>
      </c>
      <c r="K35" s="19">
        <v>142</v>
      </c>
      <c r="L35" s="91"/>
      <c r="M35" s="19">
        <v>5800</v>
      </c>
      <c r="N35" s="19" t="s">
        <v>40</v>
      </c>
      <c r="O35" s="19" t="s">
        <v>50</v>
      </c>
      <c r="P35" s="19">
        <v>1500</v>
      </c>
      <c r="Q35" s="19">
        <v>810</v>
      </c>
      <c r="R35" s="19">
        <f t="shared" si="0"/>
        <v>690</v>
      </c>
      <c r="S35" s="19">
        <v>2260</v>
      </c>
      <c r="T35" s="19" t="s">
        <v>42</v>
      </c>
      <c r="U35" s="102" t="s">
        <v>73</v>
      </c>
      <c r="V35" s="186">
        <v>46173</v>
      </c>
      <c r="W35" s="17" t="s">
        <v>44</v>
      </c>
      <c r="X35" s="17"/>
      <c r="Y35" s="68">
        <v>46296</v>
      </c>
      <c r="Z35" s="17" t="s">
        <v>45</v>
      </c>
      <c r="AA35" s="17" t="s">
        <v>46</v>
      </c>
      <c r="AB35" s="17"/>
      <c r="AC35" s="102"/>
      <c r="AD35" s="65">
        <v>1855</v>
      </c>
      <c r="AE35" s="17" t="s">
        <v>74</v>
      </c>
      <c r="AF35" s="17"/>
      <c r="AG35" s="17"/>
      <c r="AH35" s="456"/>
      <c r="AI35" s="456"/>
      <c r="AJ35" s="456"/>
      <c r="AK35" s="456"/>
      <c r="AL35" s="456"/>
      <c r="AM35" s="456"/>
      <c r="AN35" s="456"/>
      <c r="AO35" s="456"/>
      <c r="AP35" s="456"/>
      <c r="AQ35" s="456"/>
      <c r="AR35" s="456"/>
      <c r="AS35" s="456"/>
      <c r="AT35" s="456"/>
      <c r="AU35" s="456"/>
      <c r="AV35" s="456"/>
      <c r="AW35" s="456"/>
      <c r="AX35" s="456"/>
      <c r="AY35" s="456"/>
      <c r="AZ35" s="456"/>
      <c r="BA35" s="456"/>
      <c r="BB35" s="456"/>
      <c r="BC35" s="456"/>
      <c r="BD35" s="456"/>
      <c r="BE35" s="456"/>
      <c r="BF35" s="456"/>
      <c r="BG35" s="456"/>
      <c r="BH35" s="456"/>
      <c r="BI35" s="456"/>
      <c r="BJ35" s="456"/>
      <c r="BK35" s="456"/>
      <c r="BL35" s="456"/>
      <c r="BM35" s="456"/>
      <c r="BN35" s="456"/>
      <c r="BO35" s="456"/>
      <c r="BP35" s="456"/>
      <c r="BQ35" s="456"/>
      <c r="BR35" s="456"/>
      <c r="BS35" s="456"/>
      <c r="BT35" s="456"/>
      <c r="BU35" s="456"/>
      <c r="BV35" s="456"/>
      <c r="BW35" s="456"/>
      <c r="BX35" s="456"/>
      <c r="BY35" s="456"/>
      <c r="BZ35" s="456"/>
      <c r="CA35" s="456"/>
      <c r="CB35" s="456"/>
      <c r="CC35" s="456"/>
      <c r="CD35" s="456"/>
      <c r="CE35" s="456"/>
      <c r="CF35" s="456"/>
      <c r="CG35" s="456"/>
      <c r="CH35" s="456"/>
      <c r="CI35" s="456"/>
      <c r="CJ35" s="456"/>
      <c r="CK35" s="456"/>
      <c r="CL35" s="456"/>
      <c r="CM35" s="456"/>
      <c r="CN35" s="456"/>
      <c r="CO35" s="456"/>
      <c r="CP35" s="456"/>
      <c r="CQ35" s="456"/>
      <c r="CR35" s="456"/>
      <c r="CS35" s="456"/>
      <c r="CT35" s="456"/>
      <c r="CU35" s="456"/>
      <c r="CV35" s="456"/>
      <c r="CW35" s="456"/>
      <c r="CX35" s="456"/>
      <c r="CY35" s="456"/>
      <c r="CZ35" s="456"/>
      <c r="DA35" s="456"/>
      <c r="DB35" s="456"/>
      <c r="DC35" s="456"/>
      <c r="DD35" s="456"/>
      <c r="DE35" s="456"/>
      <c r="DF35" s="456"/>
      <c r="DG35" s="456"/>
      <c r="DH35" s="456"/>
      <c r="DI35" s="456"/>
      <c r="DJ35" s="456"/>
      <c r="DK35" s="456"/>
      <c r="DL35" s="456"/>
      <c r="DM35" s="456"/>
      <c r="DN35" s="456"/>
      <c r="DO35" s="456"/>
      <c r="DP35" s="456"/>
      <c r="DQ35" s="456"/>
      <c r="DR35" s="456"/>
      <c r="DS35" s="456"/>
      <c r="DT35" s="456"/>
      <c r="DU35" s="456"/>
      <c r="DV35" s="456"/>
      <c r="DW35" s="456"/>
      <c r="DX35" s="456"/>
      <c r="DY35" s="456"/>
      <c r="DZ35" s="456"/>
      <c r="EA35" s="456"/>
      <c r="EB35" s="456"/>
      <c r="EC35" s="456"/>
      <c r="ED35" s="456"/>
      <c r="EE35" s="456"/>
      <c r="EF35" s="456"/>
      <c r="EG35" s="456"/>
      <c r="EH35" s="456"/>
      <c r="EI35" s="456"/>
      <c r="EJ35" s="456"/>
      <c r="EK35" s="456"/>
      <c r="EL35" s="456"/>
      <c r="EM35" s="456"/>
      <c r="EN35" s="456"/>
      <c r="EO35" s="456"/>
      <c r="EP35" s="456"/>
      <c r="EQ35" s="456"/>
      <c r="ER35" s="456"/>
      <c r="ES35" s="456"/>
      <c r="ET35" s="456"/>
      <c r="EU35" s="456"/>
      <c r="EV35" s="456"/>
      <c r="EW35" s="456"/>
      <c r="EX35" s="456"/>
      <c r="EY35" s="456"/>
      <c r="EZ35" s="456"/>
      <c r="FA35" s="456"/>
      <c r="FB35" s="456"/>
      <c r="FC35" s="456"/>
      <c r="FD35" s="456"/>
      <c r="FE35" s="456"/>
      <c r="FF35" s="456"/>
      <c r="FG35" s="456"/>
      <c r="FH35" s="456"/>
      <c r="FI35" s="456"/>
      <c r="FJ35" s="456"/>
      <c r="FK35" s="456"/>
      <c r="FL35" s="456"/>
      <c r="FM35" s="456"/>
      <c r="FN35" s="456"/>
      <c r="FO35" s="456"/>
      <c r="FP35" s="456"/>
      <c r="FQ35" s="456"/>
      <c r="FR35" s="456"/>
      <c r="FS35" s="456"/>
      <c r="FT35" s="456"/>
      <c r="FU35" s="456"/>
      <c r="FV35" s="456"/>
      <c r="FW35" s="456"/>
      <c r="FX35" s="456"/>
      <c r="FY35" s="456"/>
      <c r="FZ35" s="456"/>
      <c r="GA35" s="456"/>
      <c r="GB35" s="456"/>
      <c r="GC35" s="456"/>
      <c r="GD35" s="456"/>
      <c r="GE35" s="456"/>
      <c r="GF35" s="456"/>
      <c r="GG35" s="456"/>
      <c r="GH35" s="456"/>
      <c r="GI35" s="456"/>
      <c r="GJ35" s="456"/>
      <c r="GK35" s="456"/>
      <c r="GL35" s="456"/>
      <c r="GM35" s="456"/>
      <c r="GN35" s="456"/>
      <c r="GO35" s="456"/>
      <c r="GP35" s="456"/>
      <c r="GQ35" s="456"/>
      <c r="GR35" s="456"/>
      <c r="GS35" s="456"/>
      <c r="GT35" s="456"/>
      <c r="GU35" s="456"/>
      <c r="GV35" s="456"/>
      <c r="GW35" s="456"/>
      <c r="GX35" s="456"/>
      <c r="GY35" s="456"/>
      <c r="GZ35" s="456"/>
      <c r="HA35" s="456"/>
      <c r="HB35" s="456"/>
      <c r="HC35" s="456"/>
      <c r="HD35" s="456"/>
      <c r="HE35" s="456"/>
      <c r="HF35" s="456"/>
      <c r="HG35" s="456"/>
      <c r="HH35" s="456"/>
      <c r="HI35" s="456"/>
      <c r="HJ35" s="456"/>
      <c r="HK35" s="456"/>
      <c r="HL35" s="456"/>
      <c r="HM35" s="456"/>
      <c r="HN35" s="456"/>
      <c r="HO35" s="456"/>
      <c r="HP35" s="456"/>
      <c r="HQ35" s="456"/>
      <c r="HR35" s="456"/>
      <c r="HS35" s="456"/>
      <c r="HT35" s="456"/>
      <c r="HU35" s="456"/>
      <c r="HV35" s="456"/>
      <c r="HW35" s="456"/>
      <c r="HX35" s="456"/>
      <c r="HY35" s="456"/>
      <c r="HZ35" s="456"/>
      <c r="IA35" s="456"/>
      <c r="IB35" s="456"/>
      <c r="IC35" s="456"/>
      <c r="ID35" s="456"/>
      <c r="IE35" s="456"/>
      <c r="IF35" s="456"/>
      <c r="IG35" s="456"/>
      <c r="IH35" s="456"/>
      <c r="II35" s="456"/>
      <c r="IJ35" s="456"/>
      <c r="IK35" s="456"/>
      <c r="IL35" s="456"/>
      <c r="IM35" s="456"/>
      <c r="IN35" s="456"/>
      <c r="IO35" s="456"/>
      <c r="IP35" s="456"/>
      <c r="IQ35" s="456"/>
      <c r="IR35" s="456"/>
      <c r="IS35" s="456"/>
      <c r="IT35" s="456"/>
      <c r="IU35" s="456"/>
      <c r="IV35" s="456"/>
      <c r="IW35" s="456"/>
      <c r="IX35" s="456"/>
      <c r="IY35" s="456"/>
      <c r="IZ35" s="456"/>
      <c r="JA35" s="456"/>
      <c r="JB35" s="456"/>
      <c r="JC35" s="456"/>
      <c r="JD35" s="456"/>
      <c r="JE35" s="456"/>
      <c r="JF35" s="456"/>
      <c r="JG35" s="456"/>
      <c r="JH35" s="456"/>
      <c r="JI35" s="456"/>
      <c r="JJ35" s="456"/>
      <c r="JK35" s="456"/>
      <c r="JL35" s="456"/>
      <c r="JM35" s="456"/>
      <c r="JN35" s="456"/>
      <c r="JO35" s="456"/>
      <c r="JP35" s="456"/>
      <c r="JQ35" s="456"/>
      <c r="JR35" s="456"/>
      <c r="JS35" s="456"/>
      <c r="JT35" s="456"/>
      <c r="JU35" s="456"/>
      <c r="JV35" s="456"/>
      <c r="JW35" s="456"/>
      <c r="JX35" s="456"/>
      <c r="JY35" s="456"/>
      <c r="JZ35" s="456"/>
      <c r="KA35" s="456"/>
      <c r="KB35" s="456"/>
      <c r="KC35" s="456"/>
      <c r="KD35" s="456"/>
      <c r="KE35" s="456"/>
      <c r="KF35" s="456"/>
      <c r="KG35" s="456"/>
      <c r="KH35" s="456"/>
      <c r="KI35" s="456"/>
      <c r="KJ35" s="456"/>
      <c r="KK35" s="456"/>
      <c r="KL35" s="456"/>
      <c r="KM35" s="456"/>
      <c r="KN35" s="456"/>
      <c r="KO35" s="456"/>
      <c r="KP35" s="456"/>
      <c r="KQ35" s="456"/>
      <c r="KR35" s="456"/>
      <c r="KS35" s="456"/>
      <c r="KT35" s="456"/>
      <c r="KU35" s="456"/>
      <c r="KV35" s="456"/>
      <c r="KW35" s="456"/>
      <c r="KX35" s="456"/>
      <c r="KY35" s="456"/>
      <c r="KZ35" s="456"/>
      <c r="LA35" s="456"/>
      <c r="LB35" s="456"/>
      <c r="LC35" s="456"/>
      <c r="LD35" s="456"/>
      <c r="LE35" s="456"/>
      <c r="LF35" s="456"/>
      <c r="LG35" s="456"/>
      <c r="LH35" s="456"/>
      <c r="LI35" s="456"/>
      <c r="LJ35" s="456"/>
      <c r="LK35" s="456"/>
      <c r="LL35" s="456"/>
      <c r="LM35" s="456"/>
      <c r="LN35" s="456"/>
      <c r="LO35" s="456"/>
      <c r="LP35" s="456"/>
      <c r="LQ35" s="456"/>
      <c r="LR35" s="456"/>
      <c r="LS35" s="456"/>
      <c r="LT35" s="456"/>
      <c r="LU35" s="456"/>
      <c r="LV35" s="456"/>
      <c r="LW35" s="456"/>
      <c r="LX35" s="456"/>
      <c r="LY35" s="456"/>
      <c r="LZ35" s="456"/>
      <c r="MA35" s="456"/>
      <c r="MB35" s="456"/>
      <c r="MC35" s="456"/>
      <c r="MD35" s="456"/>
      <c r="ME35" s="456"/>
      <c r="MF35" s="456"/>
      <c r="MG35" s="456"/>
      <c r="MH35" s="456"/>
      <c r="MI35" s="456"/>
      <c r="MJ35" s="456"/>
      <c r="MK35" s="456"/>
      <c r="ML35" s="456"/>
      <c r="MM35" s="456"/>
      <c r="MN35" s="456"/>
      <c r="MO35" s="456"/>
      <c r="MP35" s="456"/>
      <c r="MQ35" s="456"/>
      <c r="MR35" s="456"/>
      <c r="MS35" s="456"/>
      <c r="MT35" s="456"/>
      <c r="MU35" s="456"/>
      <c r="MV35" s="456"/>
      <c r="MW35" s="456"/>
      <c r="MX35" s="456"/>
      <c r="MY35" s="456"/>
      <c r="MZ35" s="456"/>
      <c r="NA35" s="456"/>
      <c r="NB35" s="456"/>
      <c r="NC35" s="456"/>
      <c r="ND35" s="456"/>
      <c r="NE35" s="456"/>
      <c r="NF35" s="456"/>
      <c r="NG35" s="456"/>
      <c r="NH35" s="456"/>
      <c r="NI35" s="456"/>
      <c r="NJ35" s="456"/>
      <c r="NK35" s="456"/>
      <c r="NL35" s="456"/>
      <c r="NM35" s="456"/>
      <c r="NN35" s="456"/>
      <c r="NO35" s="456"/>
      <c r="NP35" s="456"/>
      <c r="NQ35" s="456"/>
      <c r="NR35" s="456"/>
      <c r="NS35" s="456"/>
      <c r="NT35" s="456"/>
      <c r="NU35" s="456"/>
      <c r="NV35" s="456"/>
      <c r="NW35" s="456"/>
      <c r="NX35" s="456"/>
      <c r="NY35" s="456"/>
      <c r="NZ35" s="456"/>
      <c r="OA35" s="456"/>
      <c r="OB35" s="456"/>
      <c r="OC35" s="456"/>
      <c r="OD35" s="456"/>
      <c r="OE35" s="456"/>
      <c r="OF35" s="456"/>
      <c r="OG35" s="456"/>
      <c r="OH35" s="456"/>
      <c r="OI35" s="456"/>
      <c r="OJ35" s="456"/>
      <c r="OK35" s="456"/>
      <c r="OL35" s="456"/>
      <c r="OM35" s="456"/>
      <c r="ON35" s="456"/>
      <c r="OO35" s="456"/>
      <c r="OP35" s="456"/>
      <c r="OQ35" s="456"/>
      <c r="OR35" s="456"/>
      <c r="OS35" s="456"/>
      <c r="OT35" s="456"/>
      <c r="OU35" s="456"/>
      <c r="OV35" s="456"/>
      <c r="OW35" s="456"/>
      <c r="OX35" s="456"/>
      <c r="OY35" s="456"/>
      <c r="OZ35" s="456"/>
      <c r="PA35" s="456"/>
      <c r="PB35" s="456"/>
      <c r="PC35" s="456"/>
      <c r="PD35" s="456"/>
      <c r="PE35" s="456"/>
      <c r="PF35" s="456"/>
      <c r="PG35" s="456"/>
      <c r="PH35" s="456"/>
      <c r="PI35" s="456"/>
      <c r="PJ35" s="456"/>
      <c r="PK35" s="456"/>
      <c r="PL35" s="456"/>
      <c r="PM35" s="456"/>
      <c r="PN35" s="456"/>
      <c r="PO35" s="456"/>
      <c r="PP35" s="456"/>
      <c r="PQ35" s="456"/>
      <c r="PR35" s="456"/>
      <c r="PS35" s="456"/>
      <c r="PT35" s="456"/>
      <c r="PU35" s="456"/>
      <c r="PV35" s="456"/>
      <c r="PW35" s="456"/>
      <c r="PX35" s="456"/>
      <c r="PY35" s="456"/>
      <c r="PZ35" s="456"/>
      <c r="QA35" s="456"/>
      <c r="QB35" s="456"/>
      <c r="QC35" s="456"/>
      <c r="QD35" s="456"/>
      <c r="QE35" s="456"/>
      <c r="QF35" s="456"/>
      <c r="QG35" s="456"/>
      <c r="QH35" s="456"/>
      <c r="QI35" s="456"/>
      <c r="QJ35" s="456"/>
      <c r="QK35" s="456"/>
      <c r="QL35" s="456"/>
      <c r="QM35" s="456"/>
      <c r="QN35" s="456"/>
      <c r="QO35" s="456"/>
      <c r="QP35" s="456"/>
      <c r="QQ35" s="456"/>
      <c r="QR35" s="456"/>
      <c r="QS35" s="456"/>
      <c r="QT35" s="456"/>
      <c r="QU35" s="456"/>
      <c r="QV35" s="456"/>
      <c r="QW35" s="456"/>
      <c r="QX35" s="456"/>
      <c r="QY35" s="456"/>
      <c r="QZ35" s="456"/>
      <c r="RA35" s="456"/>
      <c r="RB35" s="456"/>
      <c r="RC35" s="456"/>
      <c r="RD35" s="456"/>
      <c r="RE35" s="456"/>
      <c r="RF35" s="456"/>
      <c r="RG35" s="456"/>
      <c r="RH35" s="456"/>
      <c r="RI35" s="456"/>
      <c r="RJ35" s="456"/>
      <c r="RK35" s="456"/>
      <c r="RL35" s="456"/>
      <c r="RM35" s="456"/>
      <c r="RN35" s="456"/>
      <c r="RO35" s="456"/>
      <c r="RP35" s="456"/>
      <c r="RQ35" s="456"/>
      <c r="RR35" s="456"/>
      <c r="RS35" s="456"/>
      <c r="RT35" s="456"/>
      <c r="RU35" s="456"/>
      <c r="RV35" s="456"/>
      <c r="RW35" s="456"/>
      <c r="RX35" s="456"/>
      <c r="RY35" s="456"/>
      <c r="RZ35" s="456"/>
      <c r="SA35" s="456"/>
      <c r="SB35" s="456"/>
      <c r="SC35" s="456"/>
      <c r="SD35" s="456"/>
      <c r="SE35" s="456"/>
      <c r="SF35" s="456"/>
      <c r="SG35" s="456"/>
      <c r="SH35" s="456"/>
      <c r="SI35" s="456"/>
      <c r="SJ35" s="456"/>
      <c r="SK35" s="456"/>
      <c r="SL35" s="456"/>
      <c r="SM35" s="456"/>
      <c r="SN35" s="456"/>
      <c r="SO35" s="456"/>
      <c r="SP35" s="456"/>
      <c r="SQ35" s="456"/>
      <c r="SR35" s="456"/>
      <c r="SS35" s="456"/>
      <c r="ST35" s="456"/>
      <c r="SU35" s="456"/>
      <c r="SV35" s="456"/>
      <c r="SW35" s="456"/>
      <c r="SX35" s="456"/>
      <c r="SY35" s="456"/>
      <c r="SZ35" s="456"/>
      <c r="TA35" s="456"/>
      <c r="TB35" s="456"/>
      <c r="TC35" s="456"/>
      <c r="TD35" s="456"/>
      <c r="TE35" s="456"/>
      <c r="TF35" s="456"/>
      <c r="TG35" s="456"/>
      <c r="TH35" s="456"/>
      <c r="TI35" s="456"/>
      <c r="TJ35" s="456"/>
      <c r="TK35" s="456"/>
      <c r="TL35" s="456"/>
      <c r="TM35" s="456"/>
      <c r="TN35" s="456"/>
      <c r="TO35" s="456"/>
      <c r="TP35" s="456"/>
      <c r="TQ35" s="456"/>
      <c r="TR35" s="456"/>
      <c r="TS35" s="456"/>
      <c r="TT35" s="456"/>
      <c r="TU35" s="456"/>
      <c r="TV35" s="456"/>
      <c r="TW35" s="456"/>
      <c r="TX35" s="456"/>
      <c r="TY35" s="456"/>
      <c r="TZ35" s="456"/>
      <c r="UA35" s="456"/>
      <c r="UB35" s="456"/>
      <c r="UC35" s="456"/>
      <c r="UD35" s="456"/>
      <c r="UE35" s="456"/>
      <c r="UF35" s="456"/>
      <c r="UG35" s="456"/>
      <c r="UH35" s="456"/>
      <c r="UI35" s="456"/>
      <c r="UJ35" s="456"/>
      <c r="UK35" s="456"/>
      <c r="UL35" s="456"/>
      <c r="UM35" s="456"/>
      <c r="UN35" s="456"/>
      <c r="UO35" s="456"/>
      <c r="UP35" s="456"/>
      <c r="UQ35" s="456"/>
      <c r="UR35" s="456"/>
      <c r="US35" s="456"/>
      <c r="UT35" s="456"/>
      <c r="UU35" s="456"/>
      <c r="UV35" s="456"/>
      <c r="UW35" s="456"/>
      <c r="UX35" s="456"/>
      <c r="UY35" s="456"/>
      <c r="UZ35" s="456"/>
      <c r="VA35" s="456"/>
      <c r="VB35" s="456"/>
      <c r="VC35" s="456"/>
      <c r="VD35" s="456"/>
      <c r="VE35" s="456"/>
      <c r="VF35" s="456"/>
      <c r="VG35" s="456"/>
      <c r="VH35" s="456"/>
      <c r="VI35" s="456"/>
      <c r="VJ35" s="456"/>
      <c r="VK35" s="456"/>
      <c r="VL35" s="456"/>
      <c r="VM35" s="456"/>
      <c r="VN35" s="456"/>
      <c r="VO35" s="456"/>
      <c r="VP35" s="456"/>
      <c r="VQ35" s="456"/>
      <c r="VR35" s="456"/>
      <c r="VS35" s="456"/>
      <c r="VT35" s="456"/>
      <c r="VU35" s="456"/>
      <c r="VV35" s="456"/>
      <c r="VW35" s="456"/>
      <c r="VX35" s="456"/>
      <c r="VY35" s="456"/>
      <c r="VZ35" s="456"/>
      <c r="WA35" s="456"/>
      <c r="WB35" s="456"/>
      <c r="WC35" s="456"/>
      <c r="WD35" s="456"/>
      <c r="WE35" s="456"/>
      <c r="WF35" s="456"/>
      <c r="WG35" s="456"/>
      <c r="WH35" s="456"/>
      <c r="WI35" s="456"/>
      <c r="WJ35" s="456"/>
      <c r="WK35" s="456"/>
      <c r="WL35" s="456"/>
      <c r="WM35" s="456"/>
      <c r="WN35" s="456"/>
      <c r="WO35" s="456"/>
      <c r="WP35" s="456"/>
      <c r="WQ35" s="456"/>
      <c r="WR35" s="456"/>
      <c r="WS35" s="456"/>
      <c r="WT35" s="456"/>
      <c r="WU35" s="456"/>
      <c r="WV35" s="456"/>
      <c r="WW35" s="456"/>
      <c r="WX35" s="456"/>
      <c r="WY35" s="456"/>
      <c r="WZ35" s="456"/>
      <c r="XA35" s="456"/>
      <c r="XB35" s="456"/>
      <c r="XC35" s="456"/>
      <c r="XD35" s="456"/>
      <c r="XE35" s="456"/>
      <c r="XF35" s="456"/>
      <c r="XG35" s="456"/>
      <c r="XH35" s="456"/>
      <c r="XI35" s="456"/>
      <c r="XJ35" s="456"/>
      <c r="XK35" s="456"/>
      <c r="XL35" s="456"/>
      <c r="XM35" s="456"/>
      <c r="XN35" s="456"/>
      <c r="XO35" s="456"/>
      <c r="XP35" s="456"/>
      <c r="XQ35" s="456"/>
      <c r="XR35" s="456"/>
      <c r="XS35" s="456"/>
      <c r="XT35" s="456"/>
      <c r="XU35" s="456"/>
      <c r="XV35" s="456"/>
      <c r="XW35" s="456"/>
      <c r="XX35" s="456"/>
      <c r="XY35" s="456"/>
      <c r="XZ35" s="456"/>
      <c r="YA35" s="456"/>
      <c r="YB35" s="456"/>
      <c r="YC35" s="456"/>
      <c r="YD35" s="456"/>
      <c r="YE35" s="456"/>
      <c r="YF35" s="456"/>
      <c r="YG35" s="456"/>
      <c r="YH35" s="456"/>
      <c r="YI35" s="456"/>
      <c r="YJ35" s="456"/>
      <c r="YK35" s="456"/>
      <c r="YL35" s="456"/>
      <c r="YM35" s="456"/>
      <c r="YN35" s="456"/>
      <c r="YO35" s="456"/>
      <c r="YP35" s="456"/>
      <c r="YQ35" s="456"/>
      <c r="YR35" s="456"/>
      <c r="YS35" s="456"/>
      <c r="YT35" s="456"/>
      <c r="YU35" s="456"/>
      <c r="YV35" s="456"/>
      <c r="YW35" s="456"/>
      <c r="YX35" s="456"/>
      <c r="YY35" s="456"/>
      <c r="YZ35" s="456"/>
      <c r="ZA35" s="456"/>
      <c r="ZB35" s="456"/>
      <c r="ZC35" s="456"/>
      <c r="ZD35" s="456"/>
      <c r="ZE35" s="456"/>
      <c r="ZF35" s="456"/>
      <c r="ZG35" s="456"/>
      <c r="ZH35" s="456"/>
      <c r="ZI35" s="456"/>
      <c r="ZJ35" s="456"/>
      <c r="ZK35" s="456"/>
      <c r="ZL35" s="456"/>
      <c r="ZM35" s="456"/>
      <c r="ZN35" s="456"/>
      <c r="ZO35" s="456"/>
      <c r="ZP35" s="456"/>
      <c r="ZQ35" s="456"/>
      <c r="ZR35" s="456"/>
      <c r="ZS35" s="456"/>
      <c r="ZT35" s="456"/>
      <c r="ZU35" s="456"/>
      <c r="ZV35" s="456"/>
      <c r="ZW35" s="456"/>
      <c r="ZX35" s="456"/>
      <c r="ZY35" s="456"/>
      <c r="ZZ35" s="456"/>
      <c r="AAA35" s="456"/>
      <c r="AAB35" s="456"/>
      <c r="AAC35" s="456"/>
      <c r="AAD35" s="456"/>
      <c r="AAE35" s="456"/>
      <c r="AAF35" s="456"/>
      <c r="AAG35" s="456"/>
      <c r="AAH35" s="456"/>
      <c r="AAI35" s="456"/>
      <c r="AAJ35" s="456"/>
      <c r="AAK35" s="456"/>
      <c r="AAL35" s="456"/>
      <c r="AAM35" s="456"/>
      <c r="AAN35" s="456"/>
      <c r="AAO35" s="456"/>
      <c r="AAP35" s="456"/>
      <c r="AAQ35" s="456"/>
      <c r="AAR35" s="456"/>
      <c r="AAS35" s="456"/>
      <c r="AAT35" s="456"/>
      <c r="AAU35" s="456"/>
      <c r="AAV35" s="456"/>
      <c r="AAW35" s="456"/>
      <c r="AAX35" s="456"/>
      <c r="AAY35" s="456"/>
      <c r="AAZ35" s="456"/>
      <c r="ABA35" s="456"/>
      <c r="ABB35" s="456"/>
      <c r="ABC35" s="456"/>
      <c r="ABD35" s="456"/>
      <c r="ABE35" s="456"/>
      <c r="ABF35" s="456"/>
      <c r="ABG35" s="456"/>
      <c r="ABH35" s="456"/>
      <c r="ABI35" s="456"/>
      <c r="ABJ35" s="456"/>
      <c r="ABK35" s="456"/>
      <c r="ABL35" s="456"/>
      <c r="ABM35" s="456"/>
      <c r="ABN35" s="456"/>
      <c r="ABO35" s="456"/>
      <c r="ABP35" s="456"/>
      <c r="ABQ35" s="456"/>
      <c r="ABR35" s="456"/>
      <c r="ABS35" s="456"/>
      <c r="ABT35" s="456"/>
      <c r="ABU35" s="456"/>
      <c r="ABV35" s="456"/>
      <c r="ABW35" s="456"/>
      <c r="ABX35" s="456"/>
      <c r="ABY35" s="456"/>
      <c r="ABZ35" s="456"/>
      <c r="ACA35" s="456"/>
      <c r="ACB35" s="456"/>
      <c r="ACC35" s="456"/>
      <c r="ACD35" s="456"/>
      <c r="ACE35" s="456"/>
      <c r="ACF35" s="456"/>
      <c r="ACG35" s="456"/>
      <c r="ACH35" s="456"/>
      <c r="ACI35" s="456"/>
      <c r="ACJ35" s="456"/>
      <c r="ACK35" s="456"/>
      <c r="ACL35" s="456"/>
      <c r="ACM35" s="456"/>
      <c r="ACN35" s="456"/>
      <c r="ACO35" s="456"/>
      <c r="ACP35" s="456"/>
      <c r="ACQ35" s="456"/>
      <c r="ACR35" s="456"/>
      <c r="ACS35" s="456"/>
      <c r="ACT35" s="456"/>
      <c r="ACU35" s="456"/>
      <c r="ACV35" s="456"/>
      <c r="ACW35" s="456"/>
      <c r="ACX35" s="456"/>
      <c r="ACY35" s="456"/>
      <c r="ACZ35" s="456"/>
      <c r="ADA35" s="456"/>
      <c r="ADB35" s="456"/>
      <c r="ADC35" s="456"/>
      <c r="ADD35" s="456"/>
      <c r="ADE35" s="456"/>
      <c r="ADF35" s="456"/>
      <c r="ADG35" s="456"/>
      <c r="ADH35" s="456"/>
      <c r="ADI35" s="456"/>
      <c r="ADJ35" s="456"/>
      <c r="ADK35" s="456"/>
      <c r="ADL35" s="456"/>
      <c r="ADM35" s="456"/>
      <c r="ADN35" s="456"/>
      <c r="ADO35" s="456"/>
      <c r="ADP35" s="456"/>
      <c r="ADQ35" s="456"/>
      <c r="ADR35" s="456"/>
      <c r="ADS35" s="456"/>
      <c r="ADT35" s="456"/>
      <c r="ADU35" s="456"/>
      <c r="ADV35" s="456"/>
      <c r="ADW35" s="456"/>
      <c r="ADX35" s="456"/>
      <c r="ADY35" s="456"/>
      <c r="ADZ35" s="456"/>
      <c r="AEA35" s="456"/>
      <c r="AEB35" s="456"/>
      <c r="AEC35" s="456"/>
      <c r="AED35" s="456"/>
      <c r="AEE35" s="456"/>
      <c r="AEF35" s="456"/>
      <c r="AEG35" s="456"/>
      <c r="AEH35" s="456"/>
      <c r="AEI35" s="456"/>
      <c r="AEJ35" s="456"/>
      <c r="AEK35" s="456"/>
      <c r="AEL35" s="456"/>
      <c r="AEM35" s="456"/>
      <c r="AEN35" s="456"/>
      <c r="AEO35" s="456"/>
      <c r="AEP35" s="456"/>
      <c r="AEQ35" s="456"/>
      <c r="AER35" s="456"/>
      <c r="AES35" s="456"/>
      <c r="AET35" s="456"/>
      <c r="AEU35" s="456"/>
      <c r="AEV35" s="456"/>
      <c r="AEW35" s="456"/>
      <c r="AEX35" s="456"/>
      <c r="AEY35" s="456"/>
      <c r="AEZ35" s="456"/>
      <c r="AFA35" s="456"/>
      <c r="AFB35" s="456"/>
      <c r="AFC35" s="456"/>
      <c r="AFD35" s="456"/>
      <c r="AFE35" s="456"/>
      <c r="AFF35" s="456"/>
      <c r="AFG35" s="456"/>
      <c r="AFH35" s="456"/>
      <c r="AFI35" s="456"/>
      <c r="AFJ35" s="456"/>
      <c r="AFK35" s="456"/>
      <c r="AFL35" s="456"/>
      <c r="AFM35" s="456"/>
      <c r="AFN35" s="456"/>
      <c r="AFO35" s="456"/>
      <c r="AFP35" s="456"/>
      <c r="AFQ35" s="456"/>
      <c r="AFR35" s="456"/>
      <c r="AFS35" s="456"/>
      <c r="AFT35" s="456"/>
      <c r="AFU35" s="456"/>
      <c r="AFV35" s="456"/>
      <c r="AFW35" s="456"/>
      <c r="AFX35" s="456"/>
      <c r="AFY35" s="456"/>
      <c r="AFZ35" s="456"/>
      <c r="AGA35" s="456"/>
      <c r="AGB35" s="456"/>
      <c r="AGC35" s="456"/>
      <c r="AGD35" s="456"/>
      <c r="AGE35" s="456"/>
      <c r="AGF35" s="456"/>
      <c r="AGG35" s="456"/>
      <c r="AGH35" s="456"/>
      <c r="AGI35" s="456"/>
      <c r="AGJ35" s="456"/>
      <c r="AGK35" s="456"/>
      <c r="AGL35" s="456"/>
      <c r="AGM35" s="456"/>
      <c r="AGN35" s="456"/>
      <c r="AGO35" s="456"/>
      <c r="AGP35" s="456"/>
      <c r="AGQ35" s="456"/>
      <c r="AGR35" s="456"/>
      <c r="AGS35" s="456"/>
      <c r="AGT35" s="456"/>
      <c r="AGU35" s="456"/>
      <c r="AGV35" s="456"/>
      <c r="AGW35" s="456"/>
      <c r="AGX35" s="456"/>
      <c r="AGY35" s="456"/>
      <c r="AGZ35" s="456"/>
      <c r="AHA35" s="456"/>
      <c r="AHB35" s="456"/>
      <c r="AHC35" s="456"/>
      <c r="AHD35" s="456"/>
      <c r="AHE35" s="456"/>
      <c r="AHF35" s="456"/>
      <c r="AHG35" s="456"/>
      <c r="AHH35" s="456"/>
      <c r="AHI35" s="456"/>
      <c r="AHJ35" s="456"/>
      <c r="AHK35" s="456"/>
      <c r="AHL35" s="456"/>
      <c r="AHM35" s="456"/>
      <c r="AHN35" s="456"/>
      <c r="AHO35" s="456"/>
      <c r="AHP35" s="456"/>
      <c r="AHQ35" s="456"/>
      <c r="AHR35" s="456"/>
      <c r="AHS35" s="456"/>
      <c r="AHT35" s="456"/>
      <c r="AHU35" s="456"/>
      <c r="AHV35" s="456"/>
      <c r="AHW35" s="456"/>
      <c r="AHX35" s="456"/>
      <c r="AHY35" s="456"/>
      <c r="AHZ35" s="456"/>
      <c r="AIA35" s="456"/>
      <c r="AIB35" s="456"/>
      <c r="AIC35" s="456"/>
      <c r="AID35" s="456"/>
      <c r="AIE35" s="456"/>
      <c r="AIF35" s="456"/>
      <c r="AIG35" s="456"/>
      <c r="AIH35" s="456"/>
      <c r="AII35" s="456"/>
      <c r="AIJ35" s="456"/>
      <c r="AIK35" s="456"/>
      <c r="AIL35" s="456"/>
      <c r="AIM35" s="456"/>
      <c r="AIN35" s="456"/>
      <c r="AIO35" s="456"/>
      <c r="AIP35" s="456"/>
      <c r="AIQ35" s="456"/>
      <c r="AIR35" s="456"/>
      <c r="AIS35" s="456"/>
      <c r="AIT35" s="456"/>
      <c r="AIU35" s="456"/>
      <c r="AIV35" s="456"/>
      <c r="AIW35" s="456"/>
      <c r="AIX35" s="456"/>
      <c r="AIY35" s="456"/>
      <c r="AIZ35" s="456"/>
      <c r="AJA35" s="456"/>
      <c r="AJB35" s="456"/>
      <c r="AJC35" s="456"/>
      <c r="AJD35" s="456"/>
      <c r="AJE35" s="456"/>
      <c r="AJF35" s="456"/>
      <c r="AJG35" s="456"/>
      <c r="AJH35" s="456"/>
      <c r="AJI35" s="456"/>
      <c r="AJJ35" s="456"/>
      <c r="AJK35" s="456"/>
      <c r="AJL35" s="456"/>
      <c r="AJM35" s="456"/>
      <c r="AJN35" s="456"/>
      <c r="AJO35" s="456"/>
      <c r="AJP35" s="456"/>
      <c r="AJQ35" s="456"/>
      <c r="AJR35" s="456"/>
      <c r="AJS35" s="456"/>
      <c r="AJT35" s="456"/>
      <c r="AJU35" s="456"/>
      <c r="AJV35" s="456"/>
      <c r="AJW35" s="456"/>
      <c r="AJX35" s="456"/>
      <c r="AJY35" s="456"/>
      <c r="AJZ35" s="456"/>
      <c r="AKA35" s="456"/>
      <c r="AKB35" s="456"/>
      <c r="AKC35" s="456"/>
      <c r="AKD35" s="456"/>
      <c r="AKE35" s="456"/>
      <c r="AKF35" s="456"/>
      <c r="AKG35" s="456"/>
      <c r="AKH35" s="456"/>
      <c r="AKI35" s="456"/>
      <c r="AKJ35" s="456"/>
      <c r="AKK35" s="456"/>
      <c r="AKL35" s="456"/>
      <c r="AKM35" s="456"/>
      <c r="AKN35" s="456"/>
      <c r="AKO35" s="456"/>
      <c r="AKP35" s="456"/>
      <c r="AKQ35" s="456"/>
      <c r="AKR35" s="456"/>
      <c r="AKS35" s="456"/>
      <c r="AKT35" s="456"/>
      <c r="AKU35" s="456"/>
      <c r="AKV35" s="456"/>
      <c r="AKW35" s="456"/>
      <c r="AKX35" s="456"/>
      <c r="AKY35" s="456"/>
      <c r="AKZ35" s="456"/>
      <c r="ALA35" s="456"/>
      <c r="ALB35" s="456"/>
      <c r="ALC35" s="456"/>
      <c r="ALD35" s="456"/>
      <c r="ALE35" s="456"/>
      <c r="ALF35" s="456"/>
      <c r="ALG35" s="456"/>
      <c r="ALH35" s="456"/>
      <c r="ALI35" s="456"/>
      <c r="ALJ35" s="456"/>
      <c r="ALK35" s="456"/>
      <c r="ALL35" s="456"/>
      <c r="ALM35" s="456"/>
      <c r="ALN35" s="456"/>
      <c r="ALO35" s="456"/>
      <c r="ALP35" s="456"/>
      <c r="ALQ35" s="456"/>
      <c r="ALR35" s="456"/>
      <c r="ALS35" s="456"/>
      <c r="ALT35" s="456"/>
      <c r="ALU35" s="456"/>
      <c r="ALV35" s="456"/>
      <c r="ALW35" s="456"/>
      <c r="ALX35" s="456"/>
      <c r="ALY35" s="456"/>
      <c r="ALZ35" s="456"/>
      <c r="AMA35" s="456"/>
      <c r="AMB35" s="456"/>
      <c r="AMC35" s="456"/>
      <c r="AMD35" s="456"/>
      <c r="AME35" s="456"/>
      <c r="AMF35" s="456"/>
      <c r="AMG35" s="456"/>
      <c r="AMH35" s="456"/>
      <c r="AMI35" s="456"/>
      <c r="AMJ35" s="456"/>
      <c r="AMK35" s="456"/>
      <c r="AML35" s="456"/>
      <c r="AMM35" s="456"/>
      <c r="AMN35" s="456"/>
      <c r="AMO35" s="456"/>
      <c r="AMP35" s="456"/>
      <c r="AMQ35" s="456"/>
      <c r="AMR35" s="456"/>
      <c r="AMS35" s="456"/>
      <c r="AMT35" s="456"/>
      <c r="AMU35" s="456"/>
      <c r="AMV35" s="456"/>
      <c r="AMW35" s="456"/>
      <c r="AMX35" s="456"/>
      <c r="AMY35" s="456"/>
      <c r="AMZ35" s="456"/>
      <c r="ANA35" s="456"/>
      <c r="ANB35" s="456"/>
      <c r="ANC35" s="456"/>
      <c r="AND35" s="456"/>
      <c r="ANE35" s="456"/>
      <c r="ANF35" s="456"/>
      <c r="ANG35" s="456"/>
      <c r="ANH35" s="456"/>
      <c r="ANI35" s="456"/>
      <c r="ANJ35" s="456"/>
      <c r="ANK35" s="456"/>
      <c r="ANL35" s="456"/>
      <c r="ANM35" s="456"/>
      <c r="ANN35" s="456"/>
      <c r="ANO35" s="456"/>
      <c r="ANP35" s="456"/>
      <c r="ANQ35" s="456"/>
      <c r="ANR35" s="456"/>
      <c r="ANS35" s="456"/>
      <c r="ANT35" s="456"/>
      <c r="ANU35" s="456"/>
      <c r="ANV35" s="456"/>
      <c r="ANW35" s="456"/>
      <c r="ANX35" s="456"/>
      <c r="ANY35" s="456"/>
      <c r="ANZ35" s="456"/>
      <c r="AOA35" s="456"/>
      <c r="AOB35" s="456"/>
      <c r="AOC35" s="456"/>
      <c r="AOD35" s="456"/>
      <c r="AOE35" s="456"/>
      <c r="AOF35" s="456"/>
      <c r="AOG35" s="456"/>
      <c r="AOH35" s="456"/>
      <c r="AOI35" s="456"/>
      <c r="AOJ35" s="456"/>
      <c r="AOK35" s="456"/>
      <c r="AOL35" s="456"/>
      <c r="AOM35" s="456"/>
      <c r="AON35" s="456"/>
      <c r="AOO35" s="456"/>
      <c r="AOP35" s="456"/>
      <c r="AOQ35" s="456"/>
      <c r="AOR35" s="456"/>
      <c r="AOS35" s="456"/>
      <c r="AOT35" s="456"/>
      <c r="AOU35" s="456"/>
      <c r="AOV35" s="456"/>
      <c r="AOW35" s="456"/>
      <c r="AOX35" s="456"/>
      <c r="AOY35" s="456"/>
      <c r="AOZ35" s="456"/>
      <c r="APA35" s="456"/>
      <c r="APB35" s="456"/>
      <c r="APC35" s="456"/>
      <c r="APD35" s="456"/>
      <c r="APE35" s="456"/>
      <c r="APF35" s="456"/>
      <c r="APG35" s="456"/>
      <c r="APH35" s="456"/>
      <c r="API35" s="456"/>
      <c r="APJ35" s="456"/>
      <c r="APK35" s="456"/>
      <c r="APL35" s="456"/>
      <c r="APM35" s="456"/>
      <c r="APN35" s="456"/>
      <c r="APO35" s="456"/>
      <c r="APP35" s="456"/>
      <c r="APQ35" s="456"/>
      <c r="APR35" s="456"/>
      <c r="APS35" s="456"/>
      <c r="APT35" s="456"/>
      <c r="APU35" s="456"/>
      <c r="APV35" s="456"/>
      <c r="APW35" s="456"/>
      <c r="APX35" s="456"/>
      <c r="APY35" s="456"/>
      <c r="APZ35" s="456"/>
      <c r="AQA35" s="456"/>
      <c r="AQB35" s="456"/>
      <c r="AQC35" s="456"/>
      <c r="AQD35" s="456"/>
      <c r="AQE35" s="456"/>
      <c r="AQF35" s="456"/>
      <c r="AQG35" s="456"/>
      <c r="AQH35" s="456"/>
      <c r="AQI35" s="456"/>
      <c r="AQJ35" s="456"/>
      <c r="AQK35" s="456"/>
      <c r="AQL35" s="456"/>
      <c r="AQM35" s="456"/>
      <c r="AQN35" s="456"/>
      <c r="AQO35" s="456"/>
      <c r="AQP35" s="456"/>
      <c r="AQQ35" s="456"/>
      <c r="AQR35" s="456"/>
      <c r="AQS35" s="456"/>
      <c r="AQT35" s="456"/>
      <c r="AQU35" s="456"/>
      <c r="AQV35" s="456"/>
      <c r="AQW35" s="456"/>
      <c r="AQX35" s="456"/>
      <c r="AQY35" s="456"/>
      <c r="AQZ35" s="456"/>
      <c r="ARA35" s="456"/>
      <c r="ARB35" s="456"/>
      <c r="ARC35" s="456"/>
      <c r="ARD35" s="456"/>
      <c r="ARE35" s="456"/>
      <c r="ARF35" s="456"/>
      <c r="ARG35" s="456"/>
      <c r="ARH35" s="456"/>
      <c r="ARI35" s="456"/>
      <c r="ARJ35" s="456"/>
      <c r="ARK35" s="456"/>
      <c r="ARL35" s="456"/>
      <c r="ARM35" s="456"/>
      <c r="ARN35" s="456"/>
      <c r="ARO35" s="456"/>
      <c r="ARP35" s="456"/>
      <c r="ARQ35" s="456"/>
      <c r="ARR35" s="456"/>
      <c r="ARS35" s="456"/>
      <c r="ART35" s="456"/>
      <c r="ARU35" s="456"/>
      <c r="ARV35" s="456"/>
      <c r="ARW35" s="456"/>
      <c r="ARX35" s="456"/>
      <c r="ARY35" s="456"/>
      <c r="ARZ35" s="456"/>
      <c r="ASA35" s="456"/>
      <c r="ASB35" s="456"/>
      <c r="ASC35" s="456"/>
      <c r="ASD35" s="456"/>
      <c r="ASE35" s="456"/>
      <c r="ASF35" s="456"/>
      <c r="ASG35" s="456"/>
      <c r="ASH35" s="456"/>
      <c r="ASI35" s="456"/>
      <c r="ASJ35" s="456"/>
      <c r="ASK35" s="456"/>
      <c r="ASL35" s="456"/>
      <c r="ASM35" s="456"/>
      <c r="ASN35" s="456"/>
      <c r="ASO35" s="456"/>
      <c r="ASP35" s="456"/>
      <c r="ASQ35" s="456"/>
      <c r="ASR35" s="456"/>
      <c r="ASS35" s="456"/>
      <c r="AST35" s="456"/>
      <c r="ASU35" s="456"/>
      <c r="ASV35" s="456"/>
      <c r="ASW35" s="456"/>
      <c r="ASX35" s="456"/>
      <c r="ASY35" s="456"/>
      <c r="ASZ35" s="456"/>
      <c r="ATA35" s="456"/>
      <c r="ATB35" s="456"/>
      <c r="ATC35" s="456"/>
      <c r="ATD35" s="456"/>
      <c r="ATE35" s="456"/>
      <c r="ATF35" s="456"/>
      <c r="ATG35" s="456"/>
      <c r="ATH35" s="456"/>
      <c r="ATI35" s="456"/>
      <c r="ATJ35" s="456"/>
      <c r="ATK35" s="456"/>
      <c r="ATL35" s="456"/>
      <c r="ATM35" s="456"/>
      <c r="ATN35" s="456"/>
      <c r="ATO35" s="456"/>
      <c r="ATP35" s="456"/>
      <c r="ATQ35" s="456"/>
      <c r="ATR35" s="456"/>
      <c r="ATS35" s="456"/>
      <c r="ATT35" s="456"/>
      <c r="ATU35" s="456"/>
      <c r="ATV35" s="456"/>
      <c r="ATW35" s="456"/>
      <c r="ATX35" s="456"/>
      <c r="ATY35" s="456"/>
      <c r="ATZ35" s="456"/>
      <c r="AUA35" s="456"/>
      <c r="AUB35" s="456"/>
      <c r="AUC35" s="456"/>
      <c r="AUD35" s="456"/>
      <c r="AUE35" s="456"/>
      <c r="AUF35" s="456"/>
      <c r="AUG35" s="456"/>
      <c r="AUH35" s="456"/>
      <c r="AUI35" s="456"/>
      <c r="AUJ35" s="456"/>
      <c r="AUK35" s="456"/>
      <c r="AUL35" s="456"/>
      <c r="AUM35" s="456"/>
      <c r="AUN35" s="456"/>
      <c r="AUO35" s="456"/>
      <c r="AUP35" s="456"/>
      <c r="AUQ35" s="456"/>
      <c r="AUR35" s="456"/>
      <c r="AUS35" s="456"/>
      <c r="AUT35" s="456"/>
      <c r="AUU35" s="456"/>
      <c r="AUV35" s="456"/>
      <c r="AUW35" s="456"/>
      <c r="AUX35" s="456"/>
      <c r="AUY35" s="456"/>
      <c r="AUZ35" s="456"/>
      <c r="AVA35" s="456"/>
      <c r="AVB35" s="456"/>
      <c r="AVC35" s="456"/>
      <c r="AVD35" s="456"/>
      <c r="AVE35" s="456"/>
      <c r="AVF35" s="456"/>
      <c r="AVG35" s="456"/>
      <c r="AVH35" s="456"/>
      <c r="AVI35" s="456"/>
      <c r="AVJ35" s="456"/>
      <c r="AVK35" s="456"/>
      <c r="AVL35" s="456"/>
      <c r="AVM35" s="456"/>
      <c r="AVN35" s="456"/>
      <c r="AVO35" s="456"/>
      <c r="AVP35" s="456"/>
      <c r="AVQ35" s="456"/>
      <c r="AVR35" s="456"/>
      <c r="AVS35" s="456"/>
      <c r="AVT35" s="456"/>
      <c r="AVU35" s="456"/>
      <c r="AVV35" s="456"/>
      <c r="AVW35" s="456"/>
      <c r="AVX35" s="456"/>
      <c r="AVY35" s="456"/>
      <c r="AVZ35" s="456"/>
      <c r="AWA35" s="456"/>
      <c r="AWB35" s="456"/>
      <c r="AWC35" s="456"/>
      <c r="AWD35" s="456"/>
      <c r="AWE35" s="456"/>
      <c r="AWF35" s="456"/>
      <c r="AWG35" s="456"/>
      <c r="AWH35" s="456"/>
      <c r="AWI35" s="456"/>
      <c r="AWJ35" s="456"/>
      <c r="AWK35" s="456"/>
      <c r="AWL35" s="456"/>
      <c r="AWM35" s="456"/>
      <c r="AWN35" s="456"/>
      <c r="AWO35" s="456"/>
      <c r="AWP35" s="456"/>
      <c r="AWQ35" s="456"/>
      <c r="AWR35" s="456"/>
      <c r="AWS35" s="456"/>
      <c r="AWT35" s="456"/>
      <c r="AWU35" s="456"/>
      <c r="AWV35" s="456"/>
      <c r="AWW35" s="456"/>
      <c r="AWX35" s="456"/>
      <c r="AWY35" s="456"/>
      <c r="AWZ35" s="456"/>
      <c r="AXA35" s="456"/>
      <c r="AXB35" s="456"/>
      <c r="AXC35" s="456"/>
      <c r="AXD35" s="456"/>
      <c r="AXE35" s="456"/>
      <c r="AXF35" s="456"/>
      <c r="AXG35" s="456"/>
      <c r="AXH35" s="456"/>
      <c r="AXI35" s="456"/>
      <c r="AXJ35" s="456"/>
      <c r="AXK35" s="456"/>
      <c r="AXL35" s="456"/>
      <c r="AXM35" s="456"/>
      <c r="AXN35" s="456"/>
      <c r="AXO35" s="456"/>
      <c r="AXP35" s="456"/>
      <c r="AXQ35" s="456"/>
      <c r="AXR35" s="456"/>
      <c r="AXS35" s="456"/>
      <c r="AXT35" s="456"/>
      <c r="AXU35" s="456"/>
      <c r="AXV35" s="456"/>
      <c r="AXW35" s="456"/>
      <c r="AXX35" s="456"/>
      <c r="AXY35" s="456"/>
      <c r="AXZ35" s="456"/>
      <c r="AYA35" s="456"/>
      <c r="AYB35" s="456"/>
      <c r="AYC35" s="456"/>
      <c r="AYD35" s="456"/>
      <c r="AYE35" s="456"/>
      <c r="AYF35" s="456"/>
      <c r="AYG35" s="456"/>
      <c r="AYH35" s="456"/>
      <c r="AYI35" s="456"/>
      <c r="AYJ35" s="456"/>
      <c r="AYK35" s="456"/>
      <c r="AYL35" s="456"/>
      <c r="AYM35" s="456"/>
      <c r="AYN35" s="456"/>
      <c r="AYO35" s="456"/>
      <c r="AYP35" s="456"/>
      <c r="AYQ35" s="456"/>
      <c r="AYR35" s="456"/>
      <c r="AYS35" s="456"/>
      <c r="AYT35" s="456"/>
      <c r="AYU35" s="456"/>
      <c r="AYV35" s="456"/>
      <c r="AYW35" s="456"/>
      <c r="AYX35" s="456"/>
      <c r="AYY35" s="456"/>
      <c r="AYZ35" s="456"/>
      <c r="AZA35" s="456"/>
      <c r="AZB35" s="456"/>
      <c r="AZC35" s="456"/>
      <c r="AZD35" s="456"/>
      <c r="AZE35" s="456"/>
      <c r="AZF35" s="456"/>
      <c r="AZG35" s="456"/>
      <c r="AZH35" s="456"/>
      <c r="AZI35" s="456"/>
      <c r="AZJ35" s="456"/>
      <c r="AZK35" s="456"/>
      <c r="AZL35" s="456"/>
      <c r="AZM35" s="456"/>
      <c r="AZN35" s="456"/>
      <c r="AZO35" s="456"/>
      <c r="AZP35" s="456"/>
      <c r="AZQ35" s="456"/>
      <c r="AZR35" s="456"/>
      <c r="AZS35" s="456"/>
      <c r="AZT35" s="456"/>
      <c r="AZU35" s="456"/>
      <c r="AZV35" s="456"/>
      <c r="AZW35" s="456"/>
      <c r="AZX35" s="456"/>
      <c r="AZY35" s="456"/>
      <c r="AZZ35" s="456"/>
      <c r="BAA35" s="456"/>
      <c r="BAB35" s="456"/>
      <c r="BAC35" s="456"/>
      <c r="BAD35" s="456"/>
      <c r="BAE35" s="456"/>
      <c r="BAF35" s="456"/>
      <c r="BAG35" s="456"/>
      <c r="BAH35" s="456"/>
      <c r="BAI35" s="456"/>
      <c r="BAJ35" s="456"/>
      <c r="BAK35" s="456"/>
      <c r="BAL35" s="456"/>
      <c r="BAM35" s="456"/>
      <c r="BAN35" s="456"/>
      <c r="BAO35" s="456"/>
      <c r="BAP35" s="456"/>
      <c r="BAQ35" s="456"/>
      <c r="BAR35" s="456"/>
      <c r="BAS35" s="456"/>
      <c r="BAT35" s="456"/>
      <c r="BAU35" s="456"/>
      <c r="BAV35" s="456"/>
      <c r="BAW35" s="456"/>
      <c r="BAX35" s="456"/>
      <c r="BAY35" s="456"/>
      <c r="BAZ35" s="456"/>
      <c r="BBA35" s="456"/>
      <c r="BBB35" s="456"/>
      <c r="BBC35" s="456"/>
      <c r="BBD35" s="456"/>
      <c r="BBE35" s="456"/>
      <c r="BBF35" s="456"/>
      <c r="BBG35" s="456"/>
      <c r="BBH35" s="456"/>
      <c r="BBI35" s="456"/>
      <c r="BBJ35" s="456"/>
      <c r="BBK35" s="456"/>
      <c r="BBL35" s="456"/>
      <c r="BBM35" s="456"/>
      <c r="BBN35" s="456"/>
      <c r="BBO35" s="456"/>
      <c r="BBP35" s="456"/>
      <c r="BBQ35" s="456"/>
      <c r="BBR35" s="456"/>
      <c r="BBS35" s="456"/>
      <c r="BBT35" s="456"/>
      <c r="BBU35" s="456"/>
      <c r="BBV35" s="456"/>
      <c r="BBW35" s="456"/>
      <c r="BBX35" s="456"/>
      <c r="BBY35" s="456"/>
      <c r="BBZ35" s="456"/>
      <c r="BCA35" s="456"/>
      <c r="BCB35" s="456"/>
      <c r="BCC35" s="456"/>
      <c r="BCD35" s="456"/>
      <c r="BCE35" s="456"/>
      <c r="BCF35" s="456"/>
      <c r="BCG35" s="456"/>
      <c r="BCH35" s="456"/>
      <c r="BCI35" s="456"/>
      <c r="BCJ35" s="456"/>
      <c r="BCK35" s="456"/>
      <c r="BCL35" s="456"/>
      <c r="BCM35" s="456"/>
      <c r="BCN35" s="456"/>
      <c r="BCO35" s="456"/>
      <c r="BCP35" s="456"/>
      <c r="BCQ35" s="456"/>
      <c r="BCR35" s="456"/>
      <c r="BCS35" s="456"/>
      <c r="BCT35" s="456"/>
      <c r="BCU35" s="456"/>
      <c r="BCV35" s="456"/>
      <c r="BCW35" s="456"/>
      <c r="BCX35" s="456"/>
      <c r="BCY35" s="456"/>
      <c r="BCZ35" s="456"/>
      <c r="BDA35" s="456"/>
      <c r="BDB35" s="456"/>
      <c r="BDC35" s="456"/>
      <c r="BDD35" s="456"/>
      <c r="BDE35" s="456"/>
      <c r="BDF35" s="456"/>
      <c r="BDG35" s="456"/>
      <c r="BDH35" s="456"/>
      <c r="BDI35" s="456"/>
      <c r="BDJ35" s="456"/>
      <c r="BDK35" s="456"/>
      <c r="BDL35" s="456"/>
      <c r="BDM35" s="456"/>
      <c r="BDN35" s="456"/>
      <c r="BDO35" s="456"/>
      <c r="BDP35" s="456"/>
      <c r="BDQ35" s="456"/>
      <c r="BDR35" s="456"/>
      <c r="BDS35" s="456"/>
      <c r="BDT35" s="456"/>
      <c r="BDU35" s="456"/>
      <c r="BDV35" s="456"/>
      <c r="BDW35" s="456"/>
      <c r="BDX35" s="456"/>
      <c r="BDY35" s="456"/>
      <c r="BDZ35" s="456"/>
      <c r="BEA35" s="456"/>
      <c r="BEB35" s="456"/>
      <c r="BEC35" s="456"/>
      <c r="BED35" s="456"/>
      <c r="BEE35" s="456"/>
      <c r="BEF35" s="456"/>
      <c r="BEG35" s="456"/>
      <c r="BEH35" s="456"/>
      <c r="BEI35" s="456"/>
      <c r="BEJ35" s="456"/>
      <c r="BEK35" s="456"/>
      <c r="BEL35" s="456"/>
      <c r="BEM35" s="456"/>
      <c r="BEN35" s="456"/>
      <c r="BEO35" s="456"/>
      <c r="BEP35" s="456"/>
      <c r="BEQ35" s="456"/>
      <c r="BER35" s="456"/>
      <c r="BES35" s="456"/>
      <c r="BET35" s="456"/>
      <c r="BEU35" s="456"/>
      <c r="BEV35" s="456"/>
      <c r="BEW35" s="456"/>
      <c r="BEX35" s="456"/>
      <c r="BEY35" s="456"/>
      <c r="BEZ35" s="456"/>
      <c r="BFA35" s="456"/>
      <c r="BFB35" s="456"/>
      <c r="BFC35" s="456"/>
      <c r="BFD35" s="456"/>
      <c r="BFE35" s="456"/>
      <c r="BFF35" s="456"/>
      <c r="BFG35" s="456"/>
      <c r="BFH35" s="456"/>
      <c r="BFI35" s="456"/>
      <c r="BFJ35" s="456"/>
      <c r="BFK35" s="456"/>
      <c r="BFL35" s="456"/>
      <c r="BFM35" s="456"/>
      <c r="BFN35" s="456"/>
      <c r="BFO35" s="456"/>
      <c r="BFP35" s="456"/>
      <c r="BFQ35" s="456"/>
      <c r="BFR35" s="456"/>
      <c r="BFS35" s="456"/>
      <c r="BFT35" s="456"/>
      <c r="BFU35" s="456"/>
      <c r="BFV35" s="456"/>
      <c r="BFW35" s="456"/>
      <c r="BFX35" s="456"/>
      <c r="BFY35" s="456"/>
      <c r="BFZ35" s="456"/>
      <c r="BGA35" s="456"/>
      <c r="BGB35" s="456"/>
      <c r="BGC35" s="456"/>
      <c r="BGD35" s="456"/>
      <c r="BGE35" s="456"/>
      <c r="BGF35" s="456"/>
      <c r="BGG35" s="456"/>
      <c r="BGH35" s="456"/>
      <c r="BGI35" s="456"/>
      <c r="BGJ35" s="456"/>
      <c r="BGK35" s="456"/>
      <c r="BGL35" s="456"/>
      <c r="BGM35" s="456"/>
      <c r="BGN35" s="456"/>
      <c r="BGO35" s="456"/>
      <c r="BGP35" s="456"/>
      <c r="BGQ35" s="456"/>
      <c r="BGR35" s="456"/>
      <c r="BGS35" s="456"/>
      <c r="BGT35" s="456"/>
      <c r="BGU35" s="456"/>
      <c r="BGV35" s="456"/>
      <c r="BGW35" s="456"/>
      <c r="BGX35" s="456"/>
      <c r="BGY35" s="456"/>
      <c r="BGZ35" s="456"/>
      <c r="BHA35" s="456"/>
      <c r="BHB35" s="456"/>
      <c r="BHC35" s="456"/>
      <c r="BHD35" s="456"/>
      <c r="BHE35" s="456"/>
      <c r="BHF35" s="456"/>
      <c r="BHG35" s="456"/>
      <c r="BHH35" s="456"/>
      <c r="BHI35" s="456"/>
      <c r="BHJ35" s="456"/>
      <c r="BHK35" s="456"/>
      <c r="BHL35" s="456"/>
      <c r="BHM35" s="456"/>
      <c r="BHN35" s="456"/>
      <c r="BHO35" s="456"/>
      <c r="BHP35" s="456"/>
      <c r="BHQ35" s="456"/>
      <c r="BHR35" s="456"/>
      <c r="BHS35" s="456"/>
      <c r="BHT35" s="456"/>
      <c r="BHU35" s="456"/>
      <c r="BHV35" s="456"/>
      <c r="BHW35" s="456"/>
      <c r="BHX35" s="456"/>
      <c r="BHY35" s="456"/>
      <c r="BHZ35" s="456"/>
      <c r="BIA35" s="456"/>
      <c r="BIB35" s="456"/>
      <c r="BIC35" s="456"/>
      <c r="BID35" s="456"/>
      <c r="BIE35" s="456"/>
      <c r="BIF35" s="456"/>
      <c r="BIG35" s="456"/>
      <c r="BIH35" s="456"/>
      <c r="BII35" s="456"/>
      <c r="BIJ35" s="456"/>
      <c r="BIK35" s="456"/>
      <c r="BIL35" s="456"/>
      <c r="BIM35" s="456"/>
      <c r="BIN35" s="456"/>
      <c r="BIO35" s="456"/>
      <c r="BIP35" s="456"/>
      <c r="BIQ35" s="456"/>
      <c r="BIR35" s="456"/>
      <c r="BIS35" s="456"/>
      <c r="BIT35" s="456"/>
      <c r="BIU35" s="456"/>
      <c r="BIV35" s="456"/>
      <c r="BIW35" s="456"/>
      <c r="BIX35" s="456"/>
      <c r="BIY35" s="456"/>
      <c r="BIZ35" s="456"/>
      <c r="BJA35" s="456"/>
      <c r="BJB35" s="456"/>
      <c r="BJC35" s="456"/>
      <c r="BJD35" s="456"/>
      <c r="BJE35" s="456"/>
      <c r="BJF35" s="456"/>
      <c r="BJG35" s="456"/>
      <c r="BJH35" s="456"/>
      <c r="BJI35" s="456"/>
      <c r="BJJ35" s="456"/>
      <c r="BJK35" s="456"/>
      <c r="BJL35" s="456"/>
      <c r="BJM35" s="456"/>
      <c r="BJN35" s="456"/>
      <c r="BJO35" s="456"/>
      <c r="BJP35" s="456"/>
      <c r="BJQ35" s="456"/>
      <c r="BJR35" s="456"/>
      <c r="BJS35" s="456"/>
      <c r="BJT35" s="456"/>
      <c r="BJU35" s="456"/>
      <c r="BJV35" s="456"/>
      <c r="BJW35" s="456"/>
      <c r="BJX35" s="456"/>
      <c r="BJY35" s="456"/>
      <c r="BJZ35" s="456"/>
      <c r="BKA35" s="456"/>
      <c r="BKB35" s="456"/>
      <c r="BKC35" s="456"/>
      <c r="BKD35" s="456"/>
      <c r="BKE35" s="456"/>
      <c r="BKF35" s="456"/>
      <c r="BKG35" s="456"/>
      <c r="BKH35" s="456"/>
      <c r="BKI35" s="456"/>
      <c r="BKJ35" s="456"/>
      <c r="BKK35" s="456"/>
      <c r="BKL35" s="456"/>
      <c r="BKM35" s="456"/>
      <c r="BKN35" s="456"/>
      <c r="BKO35" s="456"/>
      <c r="BKP35" s="456"/>
      <c r="BKQ35" s="456"/>
      <c r="BKR35" s="456"/>
      <c r="BKS35" s="456"/>
      <c r="BKT35" s="456"/>
      <c r="BKU35" s="456"/>
      <c r="BKV35" s="456"/>
      <c r="BKW35" s="456"/>
      <c r="BKX35" s="456"/>
      <c r="BKY35" s="456"/>
      <c r="BKZ35" s="456"/>
      <c r="BLA35" s="456"/>
      <c r="BLB35" s="456"/>
      <c r="BLC35" s="456"/>
      <c r="BLD35" s="456"/>
      <c r="BLE35" s="456"/>
      <c r="BLF35" s="456"/>
      <c r="BLG35" s="456"/>
      <c r="BLH35" s="456"/>
      <c r="BLI35" s="456"/>
      <c r="BLJ35" s="456"/>
      <c r="BLK35" s="456"/>
      <c r="BLL35" s="456"/>
      <c r="BLM35" s="456"/>
      <c r="BLN35" s="456"/>
      <c r="BLO35" s="456"/>
      <c r="BLP35" s="456"/>
      <c r="BLQ35" s="456"/>
      <c r="BLR35" s="456"/>
      <c r="BLS35" s="456"/>
      <c r="BLT35" s="456"/>
      <c r="BLU35" s="456"/>
      <c r="BLV35" s="456"/>
      <c r="BLW35" s="456"/>
      <c r="BLX35" s="456"/>
      <c r="BLY35" s="456"/>
      <c r="BLZ35" s="456"/>
      <c r="BMA35" s="456"/>
      <c r="BMB35" s="456"/>
      <c r="BMC35" s="456"/>
      <c r="BMD35" s="456"/>
      <c r="BME35" s="456"/>
      <c r="BMF35" s="456"/>
      <c r="BMG35" s="456"/>
      <c r="BMH35" s="456"/>
      <c r="BMI35" s="456"/>
      <c r="BMJ35" s="456"/>
      <c r="BMK35" s="456"/>
      <c r="BML35" s="456"/>
      <c r="BMM35" s="456"/>
      <c r="BMN35" s="456"/>
      <c r="BMO35" s="456"/>
      <c r="BMP35" s="456"/>
      <c r="BMQ35" s="456"/>
      <c r="BMR35" s="456"/>
      <c r="BMS35" s="456"/>
      <c r="BMT35" s="456"/>
      <c r="BMU35" s="456"/>
      <c r="BMV35" s="456"/>
      <c r="BMW35" s="456"/>
      <c r="BMX35" s="456"/>
      <c r="BMY35" s="456"/>
      <c r="BMZ35" s="456"/>
      <c r="BNA35" s="456"/>
      <c r="BNB35" s="456"/>
      <c r="BNC35" s="456"/>
      <c r="BND35" s="456"/>
      <c r="BNE35" s="456"/>
      <c r="BNF35" s="456"/>
      <c r="BNG35" s="456"/>
      <c r="BNH35" s="456"/>
      <c r="BNI35" s="456"/>
      <c r="BNJ35" s="456"/>
      <c r="BNK35" s="456"/>
      <c r="BNL35" s="456"/>
      <c r="BNM35" s="456"/>
      <c r="BNN35" s="456"/>
      <c r="BNO35" s="456"/>
      <c r="BNP35" s="456"/>
      <c r="BNQ35" s="456"/>
      <c r="BNR35" s="456"/>
      <c r="BNS35" s="456"/>
      <c r="BNT35" s="456"/>
      <c r="BNU35" s="456"/>
      <c r="BNV35" s="456"/>
      <c r="BNW35" s="456"/>
      <c r="BNX35" s="456"/>
      <c r="BNY35" s="456"/>
      <c r="BNZ35" s="456"/>
      <c r="BOA35" s="456"/>
      <c r="BOB35" s="456"/>
      <c r="BOC35" s="456"/>
      <c r="BOD35" s="456"/>
      <c r="BOE35" s="456"/>
      <c r="BOF35" s="456"/>
      <c r="BOG35" s="456"/>
      <c r="BOH35" s="456"/>
      <c r="BOI35" s="456"/>
      <c r="BOJ35" s="456"/>
      <c r="BOK35" s="456"/>
      <c r="BOL35" s="456"/>
      <c r="BOM35" s="456"/>
      <c r="BON35" s="456"/>
      <c r="BOO35" s="456"/>
      <c r="BOP35" s="456"/>
      <c r="BOQ35" s="456"/>
      <c r="BOR35" s="456"/>
      <c r="BOS35" s="456"/>
      <c r="BOT35" s="456"/>
      <c r="BOU35" s="456"/>
      <c r="BOV35" s="456"/>
      <c r="BOW35" s="456"/>
      <c r="BOX35" s="456"/>
      <c r="BOY35" s="456"/>
      <c r="BOZ35" s="456"/>
      <c r="BPA35" s="456"/>
      <c r="BPB35" s="456"/>
      <c r="BPC35" s="456"/>
      <c r="BPD35" s="456"/>
      <c r="BPE35" s="456"/>
      <c r="BPF35" s="456"/>
      <c r="BPG35" s="456"/>
      <c r="BPH35" s="456"/>
      <c r="BPI35" s="456"/>
      <c r="BPJ35" s="456"/>
      <c r="BPK35" s="456"/>
      <c r="BPL35" s="456"/>
      <c r="BPM35" s="456"/>
      <c r="BPN35" s="456"/>
      <c r="BPO35" s="456"/>
      <c r="BPP35" s="456"/>
      <c r="BPQ35" s="456"/>
      <c r="BPR35" s="456"/>
      <c r="BPS35" s="456"/>
      <c r="BPT35" s="456"/>
      <c r="BPU35" s="456"/>
      <c r="BPV35" s="456"/>
      <c r="BPW35" s="456"/>
      <c r="BPX35" s="456"/>
      <c r="BPY35" s="456"/>
      <c r="BPZ35" s="456"/>
      <c r="BQA35" s="456"/>
      <c r="BQB35" s="456"/>
      <c r="BQC35" s="456"/>
      <c r="BQD35" s="456"/>
      <c r="BQE35" s="456"/>
      <c r="BQF35" s="456"/>
      <c r="BQG35" s="456"/>
      <c r="BQH35" s="456"/>
      <c r="BQI35" s="456"/>
      <c r="BQJ35" s="456"/>
      <c r="BQK35" s="456"/>
      <c r="BQL35" s="456"/>
      <c r="BQM35" s="456"/>
      <c r="BQN35" s="456"/>
      <c r="BQO35" s="456"/>
      <c r="BQP35" s="456"/>
      <c r="BQQ35" s="456"/>
      <c r="BQR35" s="456"/>
      <c r="BQS35" s="456"/>
      <c r="BQT35" s="456"/>
      <c r="BQU35" s="456"/>
      <c r="BQV35" s="456"/>
      <c r="BQW35" s="456"/>
      <c r="BQX35" s="456"/>
      <c r="BQY35" s="456"/>
      <c r="BQZ35" s="456"/>
      <c r="BRA35" s="456"/>
      <c r="BRB35" s="456"/>
      <c r="BRC35" s="456"/>
      <c r="BRD35" s="456"/>
      <c r="BRE35" s="456"/>
      <c r="BRF35" s="456"/>
      <c r="BRG35" s="456"/>
      <c r="BRH35" s="456"/>
      <c r="BRI35" s="456"/>
      <c r="BRJ35" s="456"/>
      <c r="BRK35" s="456"/>
      <c r="BRL35" s="456"/>
      <c r="BRM35" s="456"/>
      <c r="BRN35" s="456"/>
      <c r="BRO35" s="456"/>
      <c r="BRP35" s="456"/>
      <c r="BRQ35" s="456"/>
      <c r="BRR35" s="456"/>
      <c r="BRS35" s="456"/>
      <c r="BRT35" s="456"/>
      <c r="BRU35" s="456"/>
      <c r="BRV35" s="456"/>
      <c r="BRW35" s="456"/>
      <c r="BRX35" s="456"/>
      <c r="BRY35" s="456"/>
      <c r="BRZ35" s="456"/>
      <c r="BSA35" s="456"/>
      <c r="BSB35" s="456"/>
      <c r="BSC35" s="456"/>
      <c r="BSD35" s="456"/>
      <c r="BSE35" s="456"/>
      <c r="BSF35" s="456"/>
      <c r="BSG35" s="456"/>
      <c r="BSH35" s="456"/>
      <c r="BSI35" s="456"/>
      <c r="BSJ35" s="456"/>
      <c r="BSK35" s="456"/>
      <c r="BSL35" s="456"/>
      <c r="BSM35" s="456"/>
      <c r="BSN35" s="456"/>
      <c r="BSO35" s="456"/>
      <c r="BSP35" s="456"/>
      <c r="BSQ35" s="456"/>
      <c r="BSR35" s="456"/>
      <c r="BSS35" s="456"/>
      <c r="BST35" s="456"/>
      <c r="BSU35" s="456"/>
      <c r="BSV35" s="456"/>
      <c r="BSW35" s="456"/>
      <c r="BSX35" s="456"/>
      <c r="BSY35" s="456"/>
      <c r="BSZ35" s="456"/>
      <c r="BTA35" s="456"/>
      <c r="BTB35" s="456"/>
      <c r="BTC35" s="456"/>
      <c r="BTD35" s="456"/>
      <c r="BTE35" s="456"/>
      <c r="BTF35" s="456"/>
      <c r="BTG35" s="456"/>
      <c r="BTH35" s="456"/>
      <c r="BTI35" s="456"/>
      <c r="BTJ35" s="456"/>
      <c r="BTK35" s="456"/>
      <c r="BTL35" s="456"/>
      <c r="BTM35" s="456"/>
      <c r="BTN35" s="456"/>
      <c r="BTO35" s="456"/>
      <c r="BTP35" s="456"/>
      <c r="BTQ35" s="456"/>
      <c r="BTR35" s="456"/>
      <c r="BTS35" s="456"/>
      <c r="BTT35" s="456"/>
      <c r="BTU35" s="456"/>
      <c r="BTV35" s="456"/>
      <c r="BTW35" s="456"/>
      <c r="BTX35" s="456"/>
      <c r="BTY35" s="456"/>
      <c r="BTZ35" s="456"/>
      <c r="BUA35" s="456"/>
      <c r="BUB35" s="456"/>
      <c r="BUC35" s="456"/>
      <c r="BUD35" s="456"/>
      <c r="BUE35" s="456"/>
      <c r="BUF35" s="456"/>
      <c r="BUG35" s="456"/>
      <c r="BUH35" s="456"/>
      <c r="BUI35" s="456"/>
      <c r="BUJ35" s="456"/>
      <c r="BUK35" s="456"/>
      <c r="BUL35" s="456"/>
      <c r="BUM35" s="456"/>
      <c r="BUN35" s="456"/>
      <c r="BUO35" s="456"/>
      <c r="BUP35" s="456"/>
      <c r="BUQ35" s="456"/>
      <c r="BUR35" s="456"/>
      <c r="BUS35" s="456"/>
      <c r="BUT35" s="456"/>
      <c r="BUU35" s="456"/>
      <c r="BUV35" s="456"/>
      <c r="BUW35" s="456"/>
      <c r="BUX35" s="456"/>
      <c r="BUY35" s="456"/>
      <c r="BUZ35" s="456"/>
      <c r="BVA35" s="456"/>
      <c r="BVB35" s="456"/>
      <c r="BVC35" s="456"/>
      <c r="BVD35" s="456"/>
      <c r="BVE35" s="456"/>
      <c r="BVF35" s="456"/>
      <c r="BVG35" s="456"/>
      <c r="BVH35" s="456"/>
      <c r="BVI35" s="456"/>
      <c r="BVJ35" s="456"/>
      <c r="BVK35" s="456"/>
      <c r="BVL35" s="456"/>
      <c r="BVM35" s="456"/>
      <c r="BVN35" s="456"/>
      <c r="BVO35" s="456"/>
      <c r="BVP35" s="456"/>
      <c r="BVQ35" s="456"/>
      <c r="BVR35" s="456"/>
      <c r="BVS35" s="456"/>
      <c r="BVT35" s="456"/>
      <c r="BVU35" s="456"/>
      <c r="BVV35" s="456"/>
      <c r="BVW35" s="456"/>
      <c r="BVX35" s="456"/>
      <c r="BVY35" s="456"/>
      <c r="BVZ35" s="456"/>
      <c r="BWA35" s="456"/>
      <c r="BWB35" s="456"/>
      <c r="BWC35" s="456"/>
      <c r="BWD35" s="456"/>
      <c r="BWE35" s="456"/>
      <c r="BWF35" s="456"/>
      <c r="BWG35" s="456"/>
      <c r="BWH35" s="456"/>
      <c r="BWI35" s="456"/>
      <c r="BWJ35" s="456"/>
      <c r="BWK35" s="456"/>
      <c r="BWL35" s="456"/>
      <c r="BWM35" s="456"/>
      <c r="BWN35" s="456"/>
      <c r="BWO35" s="456"/>
      <c r="BWP35" s="456"/>
      <c r="BWQ35" s="456"/>
      <c r="BWR35" s="456"/>
      <c r="BWS35" s="456"/>
      <c r="BWT35" s="456"/>
      <c r="BWU35" s="456"/>
      <c r="BWV35" s="456"/>
      <c r="BWW35" s="456"/>
      <c r="BWX35" s="456"/>
      <c r="BWY35" s="456"/>
      <c r="BWZ35" s="456"/>
      <c r="BXA35" s="456"/>
      <c r="BXB35" s="456"/>
      <c r="BXC35" s="456"/>
      <c r="BXD35" s="456"/>
      <c r="BXE35" s="456"/>
      <c r="BXF35" s="456"/>
      <c r="BXG35" s="456"/>
      <c r="BXH35" s="456"/>
      <c r="BXI35" s="456"/>
      <c r="BXJ35" s="456"/>
      <c r="BXK35" s="456"/>
      <c r="BXL35" s="456"/>
      <c r="BXM35" s="456"/>
      <c r="BXN35" s="456"/>
      <c r="BXO35" s="456"/>
      <c r="BXP35" s="456"/>
      <c r="BXQ35" s="456"/>
      <c r="BXR35" s="456"/>
      <c r="BXS35" s="456"/>
      <c r="BXT35" s="456"/>
      <c r="BXU35" s="456"/>
      <c r="BXV35" s="456"/>
      <c r="BXW35" s="456"/>
      <c r="BXX35" s="456"/>
      <c r="BXY35" s="456"/>
      <c r="BXZ35" s="456"/>
    </row>
    <row r="36" s="25" customFormat="1" spans="1:1024 1025:2002">
      <c r="A36" s="473"/>
      <c r="B36" s="19">
        <v>1117</v>
      </c>
      <c r="C36" s="183">
        <v>46174</v>
      </c>
      <c r="D36" s="17" t="s">
        <v>35</v>
      </c>
      <c r="E36" s="17" t="s">
        <v>71</v>
      </c>
      <c r="F36" s="17" t="s">
        <v>72</v>
      </c>
      <c r="G36" s="17"/>
      <c r="H36" s="19">
        <v>1.2379</v>
      </c>
      <c r="I36" s="19">
        <v>1.2379</v>
      </c>
      <c r="J36" s="17" t="s">
        <v>39</v>
      </c>
      <c r="K36" s="19">
        <v>152</v>
      </c>
      <c r="L36" s="91"/>
      <c r="M36" s="19">
        <v>5800</v>
      </c>
      <c r="N36" s="19" t="s">
        <v>40</v>
      </c>
      <c r="O36" s="19" t="s">
        <v>50</v>
      </c>
      <c r="P36" s="19">
        <v>1500</v>
      </c>
      <c r="Q36" s="19">
        <v>1235</v>
      </c>
      <c r="R36" s="19">
        <f t="shared" si="0"/>
        <v>265</v>
      </c>
      <c r="S36" s="19">
        <v>2260</v>
      </c>
      <c r="T36" s="19" t="s">
        <v>42</v>
      </c>
      <c r="U36" s="102" t="s">
        <v>73</v>
      </c>
      <c r="V36" s="186">
        <v>46173</v>
      </c>
      <c r="W36" s="17" t="s">
        <v>44</v>
      </c>
      <c r="X36" s="17"/>
      <c r="Y36" s="68">
        <v>46296</v>
      </c>
      <c r="Z36" s="17" t="s">
        <v>45</v>
      </c>
      <c r="AA36" s="17" t="s">
        <v>46</v>
      </c>
      <c r="AB36" s="17"/>
      <c r="AC36" s="102"/>
      <c r="AD36" s="65">
        <v>1855</v>
      </c>
      <c r="AE36" s="17" t="s">
        <v>74</v>
      </c>
      <c r="AF36" s="17"/>
      <c r="AG36" s="17"/>
      <c r="AH36" s="456"/>
      <c r="AI36" s="456"/>
      <c r="AJ36" s="456"/>
      <c r="AK36" s="456"/>
      <c r="AL36" s="456"/>
      <c r="AM36" s="456"/>
      <c r="AN36" s="456"/>
      <c r="AO36" s="456"/>
      <c r="AP36" s="456"/>
      <c r="AQ36" s="456"/>
      <c r="AR36" s="456"/>
      <c r="AS36" s="456"/>
      <c r="AT36" s="456"/>
      <c r="AU36" s="456"/>
      <c r="AV36" s="456"/>
      <c r="AW36" s="456"/>
      <c r="AX36" s="456"/>
      <c r="AY36" s="456"/>
      <c r="AZ36" s="456"/>
      <c r="BA36" s="456"/>
      <c r="BB36" s="456"/>
      <c r="BC36" s="456"/>
      <c r="BD36" s="456"/>
      <c r="BE36" s="456"/>
      <c r="BF36" s="456"/>
      <c r="BG36" s="456"/>
      <c r="BH36" s="456"/>
      <c r="BI36" s="456"/>
      <c r="BJ36" s="456"/>
      <c r="BK36" s="456"/>
      <c r="BL36" s="456"/>
      <c r="BM36" s="456"/>
      <c r="BN36" s="456"/>
      <c r="BO36" s="456"/>
      <c r="BP36" s="456"/>
      <c r="BQ36" s="456"/>
      <c r="BR36" s="456"/>
      <c r="BS36" s="456"/>
      <c r="BT36" s="456"/>
      <c r="BU36" s="456"/>
      <c r="BV36" s="456"/>
      <c r="BW36" s="456"/>
      <c r="BX36" s="456"/>
      <c r="BY36" s="456"/>
      <c r="BZ36" s="456"/>
      <c r="CA36" s="456"/>
      <c r="CB36" s="456"/>
      <c r="CC36" s="456"/>
      <c r="CD36" s="456"/>
      <c r="CE36" s="456"/>
      <c r="CF36" s="456"/>
      <c r="CG36" s="456"/>
      <c r="CH36" s="456"/>
      <c r="CI36" s="456"/>
      <c r="CJ36" s="456"/>
      <c r="CK36" s="456"/>
      <c r="CL36" s="456"/>
      <c r="CM36" s="456"/>
      <c r="CN36" s="456"/>
      <c r="CO36" s="456"/>
      <c r="CP36" s="456"/>
      <c r="CQ36" s="456"/>
      <c r="CR36" s="456"/>
      <c r="CS36" s="456"/>
      <c r="CT36" s="456"/>
      <c r="CU36" s="456"/>
      <c r="CV36" s="456"/>
      <c r="CW36" s="456"/>
      <c r="CX36" s="456"/>
      <c r="CY36" s="456"/>
      <c r="CZ36" s="456"/>
      <c r="DA36" s="456"/>
      <c r="DB36" s="456"/>
      <c r="DC36" s="456"/>
      <c r="DD36" s="456"/>
      <c r="DE36" s="456"/>
      <c r="DF36" s="456"/>
      <c r="DG36" s="456"/>
      <c r="DH36" s="456"/>
      <c r="DI36" s="456"/>
      <c r="DJ36" s="456"/>
      <c r="DK36" s="456"/>
      <c r="DL36" s="456"/>
      <c r="DM36" s="456"/>
      <c r="DN36" s="456"/>
      <c r="DO36" s="456"/>
      <c r="DP36" s="456"/>
      <c r="DQ36" s="456"/>
      <c r="DR36" s="456"/>
      <c r="DS36" s="456"/>
      <c r="DT36" s="456"/>
      <c r="DU36" s="456"/>
      <c r="DV36" s="456"/>
      <c r="DW36" s="456"/>
      <c r="DX36" s="456"/>
      <c r="DY36" s="456"/>
      <c r="DZ36" s="456"/>
      <c r="EA36" s="456"/>
      <c r="EB36" s="456"/>
      <c r="EC36" s="456"/>
      <c r="ED36" s="456"/>
      <c r="EE36" s="456"/>
      <c r="EF36" s="456"/>
      <c r="EG36" s="456"/>
      <c r="EH36" s="456"/>
      <c r="EI36" s="456"/>
      <c r="EJ36" s="456"/>
      <c r="EK36" s="456"/>
      <c r="EL36" s="456"/>
      <c r="EM36" s="456"/>
      <c r="EN36" s="456"/>
      <c r="EO36" s="456"/>
      <c r="EP36" s="456"/>
      <c r="EQ36" s="456"/>
      <c r="ER36" s="456"/>
      <c r="ES36" s="456"/>
      <c r="ET36" s="456"/>
      <c r="EU36" s="456"/>
      <c r="EV36" s="456"/>
      <c r="EW36" s="456"/>
      <c r="EX36" s="456"/>
      <c r="EY36" s="456"/>
      <c r="EZ36" s="456"/>
      <c r="FA36" s="456"/>
      <c r="FB36" s="456"/>
      <c r="FC36" s="456"/>
      <c r="FD36" s="456"/>
      <c r="FE36" s="456"/>
      <c r="FF36" s="456"/>
      <c r="FG36" s="456"/>
      <c r="FH36" s="456"/>
      <c r="FI36" s="456"/>
      <c r="FJ36" s="456"/>
      <c r="FK36" s="456"/>
      <c r="FL36" s="456"/>
      <c r="FM36" s="456"/>
      <c r="FN36" s="456"/>
      <c r="FO36" s="456"/>
      <c r="FP36" s="456"/>
      <c r="FQ36" s="456"/>
      <c r="FR36" s="456"/>
      <c r="FS36" s="456"/>
      <c r="FT36" s="456"/>
      <c r="FU36" s="456"/>
      <c r="FV36" s="456"/>
      <c r="FW36" s="456"/>
      <c r="FX36" s="456"/>
      <c r="FY36" s="456"/>
      <c r="FZ36" s="456"/>
      <c r="GA36" s="456"/>
      <c r="GB36" s="456"/>
      <c r="GC36" s="456"/>
      <c r="GD36" s="456"/>
      <c r="GE36" s="456"/>
      <c r="GF36" s="456"/>
      <c r="GG36" s="456"/>
      <c r="GH36" s="456"/>
      <c r="GI36" s="456"/>
      <c r="GJ36" s="456"/>
      <c r="GK36" s="456"/>
      <c r="GL36" s="456"/>
      <c r="GM36" s="456"/>
      <c r="GN36" s="456"/>
      <c r="GO36" s="456"/>
      <c r="GP36" s="456"/>
      <c r="GQ36" s="456"/>
      <c r="GR36" s="456"/>
      <c r="GS36" s="456"/>
      <c r="GT36" s="456"/>
      <c r="GU36" s="456"/>
      <c r="GV36" s="456"/>
      <c r="GW36" s="456"/>
      <c r="GX36" s="456"/>
      <c r="GY36" s="456"/>
      <c r="GZ36" s="456"/>
      <c r="HA36" s="456"/>
      <c r="HB36" s="456"/>
      <c r="HC36" s="456"/>
      <c r="HD36" s="456"/>
      <c r="HE36" s="456"/>
      <c r="HF36" s="456"/>
      <c r="HG36" s="456"/>
      <c r="HH36" s="456"/>
      <c r="HI36" s="456"/>
      <c r="HJ36" s="456"/>
      <c r="HK36" s="456"/>
      <c r="HL36" s="456"/>
      <c r="HM36" s="456"/>
      <c r="HN36" s="456"/>
      <c r="HO36" s="456"/>
      <c r="HP36" s="456"/>
      <c r="HQ36" s="456"/>
      <c r="HR36" s="456"/>
      <c r="HS36" s="456"/>
      <c r="HT36" s="456"/>
      <c r="HU36" s="456"/>
      <c r="HV36" s="456"/>
      <c r="HW36" s="456"/>
      <c r="HX36" s="456"/>
      <c r="HY36" s="456"/>
      <c r="HZ36" s="456"/>
      <c r="IA36" s="456"/>
      <c r="IB36" s="456"/>
      <c r="IC36" s="456"/>
      <c r="ID36" s="456"/>
      <c r="IE36" s="456"/>
      <c r="IF36" s="456"/>
      <c r="IG36" s="456"/>
      <c r="IH36" s="456"/>
      <c r="II36" s="456"/>
      <c r="IJ36" s="456"/>
      <c r="IK36" s="456"/>
      <c r="IL36" s="456"/>
      <c r="IM36" s="456"/>
      <c r="IN36" s="456"/>
      <c r="IO36" s="456"/>
      <c r="IP36" s="456"/>
      <c r="IQ36" s="456"/>
      <c r="IR36" s="456"/>
      <c r="IS36" s="456"/>
      <c r="IT36" s="456"/>
      <c r="IU36" s="456"/>
      <c r="IV36" s="456"/>
      <c r="IW36" s="456"/>
      <c r="IX36" s="456"/>
      <c r="IY36" s="456"/>
      <c r="IZ36" s="456"/>
      <c r="JA36" s="456"/>
      <c r="JB36" s="456"/>
      <c r="JC36" s="456"/>
      <c r="JD36" s="456"/>
      <c r="JE36" s="456"/>
      <c r="JF36" s="456"/>
      <c r="JG36" s="456"/>
      <c r="JH36" s="456"/>
      <c r="JI36" s="456"/>
      <c r="JJ36" s="456"/>
      <c r="JK36" s="456"/>
      <c r="JL36" s="456"/>
      <c r="JM36" s="456"/>
      <c r="JN36" s="456"/>
      <c r="JO36" s="456"/>
      <c r="JP36" s="456"/>
      <c r="JQ36" s="456"/>
      <c r="JR36" s="456"/>
      <c r="JS36" s="456"/>
      <c r="JT36" s="456"/>
      <c r="JU36" s="456"/>
      <c r="JV36" s="456"/>
      <c r="JW36" s="456"/>
      <c r="JX36" s="456"/>
      <c r="JY36" s="456"/>
      <c r="JZ36" s="456"/>
      <c r="KA36" s="456"/>
      <c r="KB36" s="456"/>
      <c r="KC36" s="456"/>
      <c r="KD36" s="456"/>
      <c r="KE36" s="456"/>
      <c r="KF36" s="456"/>
      <c r="KG36" s="456"/>
      <c r="KH36" s="456"/>
      <c r="KI36" s="456"/>
      <c r="KJ36" s="456"/>
      <c r="KK36" s="456"/>
      <c r="KL36" s="456"/>
      <c r="KM36" s="456"/>
      <c r="KN36" s="456"/>
      <c r="KO36" s="456"/>
      <c r="KP36" s="456"/>
      <c r="KQ36" s="456"/>
      <c r="KR36" s="456"/>
      <c r="KS36" s="456"/>
      <c r="KT36" s="456"/>
      <c r="KU36" s="456"/>
      <c r="KV36" s="456"/>
      <c r="KW36" s="456"/>
      <c r="KX36" s="456"/>
      <c r="KY36" s="456"/>
      <c r="KZ36" s="456"/>
      <c r="LA36" s="456"/>
      <c r="LB36" s="456"/>
      <c r="LC36" s="456"/>
      <c r="LD36" s="456"/>
      <c r="LE36" s="456"/>
      <c r="LF36" s="456"/>
      <c r="LG36" s="456"/>
      <c r="LH36" s="456"/>
      <c r="LI36" s="456"/>
      <c r="LJ36" s="456"/>
      <c r="LK36" s="456"/>
      <c r="LL36" s="456"/>
      <c r="LM36" s="456"/>
      <c r="LN36" s="456"/>
      <c r="LO36" s="456"/>
      <c r="LP36" s="456"/>
      <c r="LQ36" s="456"/>
      <c r="LR36" s="456"/>
      <c r="LS36" s="456"/>
      <c r="LT36" s="456"/>
      <c r="LU36" s="456"/>
      <c r="LV36" s="456"/>
      <c r="LW36" s="456"/>
      <c r="LX36" s="456"/>
      <c r="LY36" s="456"/>
      <c r="LZ36" s="456"/>
      <c r="MA36" s="456"/>
      <c r="MB36" s="456"/>
      <c r="MC36" s="456"/>
      <c r="MD36" s="456"/>
      <c r="ME36" s="456"/>
      <c r="MF36" s="456"/>
      <c r="MG36" s="456"/>
      <c r="MH36" s="456"/>
      <c r="MI36" s="456"/>
      <c r="MJ36" s="456"/>
      <c r="MK36" s="456"/>
      <c r="ML36" s="456"/>
      <c r="MM36" s="456"/>
      <c r="MN36" s="456"/>
      <c r="MO36" s="456"/>
      <c r="MP36" s="456"/>
      <c r="MQ36" s="456"/>
      <c r="MR36" s="456"/>
      <c r="MS36" s="456"/>
      <c r="MT36" s="456"/>
      <c r="MU36" s="456"/>
      <c r="MV36" s="456"/>
      <c r="MW36" s="456"/>
      <c r="MX36" s="456"/>
      <c r="MY36" s="456"/>
      <c r="MZ36" s="456"/>
      <c r="NA36" s="456"/>
      <c r="NB36" s="456"/>
      <c r="NC36" s="456"/>
      <c r="ND36" s="456"/>
      <c r="NE36" s="456"/>
      <c r="NF36" s="456"/>
      <c r="NG36" s="456"/>
      <c r="NH36" s="456"/>
      <c r="NI36" s="456"/>
      <c r="NJ36" s="456"/>
      <c r="NK36" s="456"/>
      <c r="NL36" s="456"/>
      <c r="NM36" s="456"/>
      <c r="NN36" s="456"/>
      <c r="NO36" s="456"/>
      <c r="NP36" s="456"/>
      <c r="NQ36" s="456"/>
      <c r="NR36" s="456"/>
      <c r="NS36" s="456"/>
      <c r="NT36" s="456"/>
      <c r="NU36" s="456"/>
      <c r="NV36" s="456"/>
      <c r="NW36" s="456"/>
      <c r="NX36" s="456"/>
      <c r="NY36" s="456"/>
      <c r="NZ36" s="456"/>
      <c r="OA36" s="456"/>
      <c r="OB36" s="456"/>
      <c r="OC36" s="456"/>
      <c r="OD36" s="456"/>
      <c r="OE36" s="456"/>
      <c r="OF36" s="456"/>
      <c r="OG36" s="456"/>
      <c r="OH36" s="456"/>
      <c r="OI36" s="456"/>
      <c r="OJ36" s="456"/>
      <c r="OK36" s="456"/>
      <c r="OL36" s="456"/>
      <c r="OM36" s="456"/>
      <c r="ON36" s="456"/>
      <c r="OO36" s="456"/>
      <c r="OP36" s="456"/>
      <c r="OQ36" s="456"/>
      <c r="OR36" s="456"/>
      <c r="OS36" s="456"/>
      <c r="OT36" s="456"/>
      <c r="OU36" s="456"/>
      <c r="OV36" s="456"/>
      <c r="OW36" s="456"/>
      <c r="OX36" s="456"/>
      <c r="OY36" s="456"/>
      <c r="OZ36" s="456"/>
      <c r="PA36" s="456"/>
      <c r="PB36" s="456"/>
      <c r="PC36" s="456"/>
      <c r="PD36" s="456"/>
      <c r="PE36" s="456"/>
      <c r="PF36" s="456"/>
      <c r="PG36" s="456"/>
      <c r="PH36" s="456"/>
      <c r="PI36" s="456"/>
      <c r="PJ36" s="456"/>
      <c r="PK36" s="456"/>
      <c r="PL36" s="456"/>
      <c r="PM36" s="456"/>
      <c r="PN36" s="456"/>
      <c r="PO36" s="456"/>
      <c r="PP36" s="456"/>
      <c r="PQ36" s="456"/>
      <c r="PR36" s="456"/>
      <c r="PS36" s="456"/>
      <c r="PT36" s="456"/>
      <c r="PU36" s="456"/>
      <c r="PV36" s="456"/>
      <c r="PW36" s="456"/>
      <c r="PX36" s="456"/>
      <c r="PY36" s="456"/>
      <c r="PZ36" s="456"/>
      <c r="QA36" s="456"/>
      <c r="QB36" s="456"/>
      <c r="QC36" s="456"/>
      <c r="QD36" s="456"/>
      <c r="QE36" s="456"/>
      <c r="QF36" s="456"/>
      <c r="QG36" s="456"/>
      <c r="QH36" s="456"/>
      <c r="QI36" s="456"/>
      <c r="QJ36" s="456"/>
      <c r="QK36" s="456"/>
      <c r="QL36" s="456"/>
      <c r="QM36" s="456"/>
      <c r="QN36" s="456"/>
      <c r="QO36" s="456"/>
      <c r="QP36" s="456"/>
      <c r="QQ36" s="456"/>
      <c r="QR36" s="456"/>
      <c r="QS36" s="456"/>
      <c r="QT36" s="456"/>
      <c r="QU36" s="456"/>
      <c r="QV36" s="456"/>
      <c r="QW36" s="456"/>
      <c r="QX36" s="456"/>
      <c r="QY36" s="456"/>
      <c r="QZ36" s="456"/>
      <c r="RA36" s="456"/>
      <c r="RB36" s="456"/>
      <c r="RC36" s="456"/>
      <c r="RD36" s="456"/>
      <c r="RE36" s="456"/>
      <c r="RF36" s="456"/>
      <c r="RG36" s="456"/>
      <c r="RH36" s="456"/>
      <c r="RI36" s="456"/>
      <c r="RJ36" s="456"/>
      <c r="RK36" s="456"/>
      <c r="RL36" s="456"/>
      <c r="RM36" s="456"/>
      <c r="RN36" s="456"/>
      <c r="RO36" s="456"/>
      <c r="RP36" s="456"/>
      <c r="RQ36" s="456"/>
      <c r="RR36" s="456"/>
      <c r="RS36" s="456"/>
      <c r="RT36" s="456"/>
      <c r="RU36" s="456"/>
      <c r="RV36" s="456"/>
      <c r="RW36" s="456"/>
      <c r="RX36" s="456"/>
      <c r="RY36" s="456"/>
      <c r="RZ36" s="456"/>
      <c r="SA36" s="456"/>
      <c r="SB36" s="456"/>
      <c r="SC36" s="456"/>
      <c r="SD36" s="456"/>
      <c r="SE36" s="456"/>
      <c r="SF36" s="456"/>
      <c r="SG36" s="456"/>
      <c r="SH36" s="456"/>
      <c r="SI36" s="456"/>
      <c r="SJ36" s="456"/>
      <c r="SK36" s="456"/>
      <c r="SL36" s="456"/>
      <c r="SM36" s="456"/>
      <c r="SN36" s="456"/>
      <c r="SO36" s="456"/>
      <c r="SP36" s="456"/>
      <c r="SQ36" s="456"/>
      <c r="SR36" s="456"/>
      <c r="SS36" s="456"/>
      <c r="ST36" s="456"/>
      <c r="SU36" s="456"/>
      <c r="SV36" s="456"/>
      <c r="SW36" s="456"/>
      <c r="SX36" s="456"/>
      <c r="SY36" s="456"/>
      <c r="SZ36" s="456"/>
      <c r="TA36" s="456"/>
      <c r="TB36" s="456"/>
      <c r="TC36" s="456"/>
      <c r="TD36" s="456"/>
      <c r="TE36" s="456"/>
      <c r="TF36" s="456"/>
      <c r="TG36" s="456"/>
      <c r="TH36" s="456"/>
      <c r="TI36" s="456"/>
      <c r="TJ36" s="456"/>
      <c r="TK36" s="456"/>
      <c r="TL36" s="456"/>
      <c r="TM36" s="456"/>
      <c r="TN36" s="456"/>
      <c r="TO36" s="456"/>
      <c r="TP36" s="456"/>
      <c r="TQ36" s="456"/>
      <c r="TR36" s="456"/>
      <c r="TS36" s="456"/>
      <c r="TT36" s="456"/>
      <c r="TU36" s="456"/>
      <c r="TV36" s="456"/>
      <c r="TW36" s="456"/>
      <c r="TX36" s="456"/>
      <c r="TY36" s="456"/>
      <c r="TZ36" s="456"/>
      <c r="UA36" s="456"/>
      <c r="UB36" s="456"/>
      <c r="UC36" s="456"/>
      <c r="UD36" s="456"/>
      <c r="UE36" s="456"/>
      <c r="UF36" s="456"/>
      <c r="UG36" s="456"/>
      <c r="UH36" s="456"/>
      <c r="UI36" s="456"/>
      <c r="UJ36" s="456"/>
      <c r="UK36" s="456"/>
      <c r="UL36" s="456"/>
      <c r="UM36" s="456"/>
      <c r="UN36" s="456"/>
      <c r="UO36" s="456"/>
      <c r="UP36" s="456"/>
      <c r="UQ36" s="456"/>
      <c r="UR36" s="456"/>
      <c r="US36" s="456"/>
      <c r="UT36" s="456"/>
      <c r="UU36" s="456"/>
      <c r="UV36" s="456"/>
      <c r="UW36" s="456"/>
      <c r="UX36" s="456"/>
      <c r="UY36" s="456"/>
      <c r="UZ36" s="456"/>
      <c r="VA36" s="456"/>
      <c r="VB36" s="456"/>
      <c r="VC36" s="456"/>
      <c r="VD36" s="456"/>
      <c r="VE36" s="456"/>
      <c r="VF36" s="456"/>
      <c r="VG36" s="456"/>
      <c r="VH36" s="456"/>
      <c r="VI36" s="456"/>
      <c r="VJ36" s="456"/>
      <c r="VK36" s="456"/>
      <c r="VL36" s="456"/>
      <c r="VM36" s="456"/>
      <c r="VN36" s="456"/>
      <c r="VO36" s="456"/>
      <c r="VP36" s="456"/>
      <c r="VQ36" s="456"/>
      <c r="VR36" s="456"/>
      <c r="VS36" s="456"/>
      <c r="VT36" s="456"/>
      <c r="VU36" s="456"/>
      <c r="VV36" s="456"/>
      <c r="VW36" s="456"/>
      <c r="VX36" s="456"/>
      <c r="VY36" s="456"/>
      <c r="VZ36" s="456"/>
      <c r="WA36" s="456"/>
      <c r="WB36" s="456"/>
      <c r="WC36" s="456"/>
      <c r="WD36" s="456"/>
      <c r="WE36" s="456"/>
      <c r="WF36" s="456"/>
      <c r="WG36" s="456"/>
      <c r="WH36" s="456"/>
      <c r="WI36" s="456"/>
      <c r="WJ36" s="456"/>
      <c r="WK36" s="456"/>
      <c r="WL36" s="456"/>
      <c r="WM36" s="456"/>
      <c r="WN36" s="456"/>
      <c r="WO36" s="456"/>
      <c r="WP36" s="456"/>
      <c r="WQ36" s="456"/>
      <c r="WR36" s="456"/>
      <c r="WS36" s="456"/>
      <c r="WT36" s="456"/>
      <c r="WU36" s="456"/>
      <c r="WV36" s="456"/>
      <c r="WW36" s="456"/>
      <c r="WX36" s="456"/>
      <c r="WY36" s="456"/>
      <c r="WZ36" s="456"/>
      <c r="XA36" s="456"/>
      <c r="XB36" s="456"/>
      <c r="XC36" s="456"/>
      <c r="XD36" s="456"/>
      <c r="XE36" s="456"/>
      <c r="XF36" s="456"/>
      <c r="XG36" s="456"/>
      <c r="XH36" s="456"/>
      <c r="XI36" s="456"/>
      <c r="XJ36" s="456"/>
      <c r="XK36" s="456"/>
      <c r="XL36" s="456"/>
      <c r="XM36" s="456"/>
      <c r="XN36" s="456"/>
      <c r="XO36" s="456"/>
      <c r="XP36" s="456"/>
      <c r="XQ36" s="456"/>
      <c r="XR36" s="456"/>
      <c r="XS36" s="456"/>
      <c r="XT36" s="456"/>
      <c r="XU36" s="456"/>
      <c r="XV36" s="456"/>
      <c r="XW36" s="456"/>
      <c r="XX36" s="456"/>
      <c r="XY36" s="456"/>
      <c r="XZ36" s="456"/>
      <c r="YA36" s="456"/>
      <c r="YB36" s="456"/>
      <c r="YC36" s="456"/>
      <c r="YD36" s="456"/>
      <c r="YE36" s="456"/>
      <c r="YF36" s="456"/>
      <c r="YG36" s="456"/>
      <c r="YH36" s="456"/>
      <c r="YI36" s="456"/>
      <c r="YJ36" s="456"/>
      <c r="YK36" s="456"/>
      <c r="YL36" s="456"/>
      <c r="YM36" s="456"/>
      <c r="YN36" s="456"/>
      <c r="YO36" s="456"/>
      <c r="YP36" s="456"/>
      <c r="YQ36" s="456"/>
      <c r="YR36" s="456"/>
      <c r="YS36" s="456"/>
      <c r="YT36" s="456"/>
      <c r="YU36" s="456"/>
      <c r="YV36" s="456"/>
      <c r="YW36" s="456"/>
      <c r="YX36" s="456"/>
      <c r="YY36" s="456"/>
      <c r="YZ36" s="456"/>
      <c r="ZA36" s="456"/>
      <c r="ZB36" s="456"/>
      <c r="ZC36" s="456"/>
      <c r="ZD36" s="456"/>
      <c r="ZE36" s="456"/>
      <c r="ZF36" s="456"/>
      <c r="ZG36" s="456"/>
      <c r="ZH36" s="456"/>
      <c r="ZI36" s="456"/>
      <c r="ZJ36" s="456"/>
      <c r="ZK36" s="456"/>
      <c r="ZL36" s="456"/>
      <c r="ZM36" s="456"/>
      <c r="ZN36" s="456"/>
      <c r="ZO36" s="456"/>
      <c r="ZP36" s="456"/>
      <c r="ZQ36" s="456"/>
      <c r="ZR36" s="456"/>
      <c r="ZS36" s="456"/>
      <c r="ZT36" s="456"/>
      <c r="ZU36" s="456"/>
      <c r="ZV36" s="456"/>
      <c r="ZW36" s="456"/>
      <c r="ZX36" s="456"/>
      <c r="ZY36" s="456"/>
      <c r="ZZ36" s="456"/>
      <c r="AAA36" s="456"/>
      <c r="AAB36" s="456"/>
      <c r="AAC36" s="456"/>
      <c r="AAD36" s="456"/>
      <c r="AAE36" s="456"/>
      <c r="AAF36" s="456"/>
      <c r="AAG36" s="456"/>
      <c r="AAH36" s="456"/>
      <c r="AAI36" s="456"/>
      <c r="AAJ36" s="456"/>
      <c r="AAK36" s="456"/>
      <c r="AAL36" s="456"/>
      <c r="AAM36" s="456"/>
      <c r="AAN36" s="456"/>
      <c r="AAO36" s="456"/>
      <c r="AAP36" s="456"/>
      <c r="AAQ36" s="456"/>
      <c r="AAR36" s="456"/>
      <c r="AAS36" s="456"/>
      <c r="AAT36" s="456"/>
      <c r="AAU36" s="456"/>
      <c r="AAV36" s="456"/>
      <c r="AAW36" s="456"/>
      <c r="AAX36" s="456"/>
      <c r="AAY36" s="456"/>
      <c r="AAZ36" s="456"/>
      <c r="ABA36" s="456"/>
      <c r="ABB36" s="456"/>
      <c r="ABC36" s="456"/>
      <c r="ABD36" s="456"/>
      <c r="ABE36" s="456"/>
      <c r="ABF36" s="456"/>
      <c r="ABG36" s="456"/>
      <c r="ABH36" s="456"/>
      <c r="ABI36" s="456"/>
      <c r="ABJ36" s="456"/>
      <c r="ABK36" s="456"/>
      <c r="ABL36" s="456"/>
      <c r="ABM36" s="456"/>
      <c r="ABN36" s="456"/>
      <c r="ABO36" s="456"/>
      <c r="ABP36" s="456"/>
      <c r="ABQ36" s="456"/>
      <c r="ABR36" s="456"/>
      <c r="ABS36" s="456"/>
      <c r="ABT36" s="456"/>
      <c r="ABU36" s="456"/>
      <c r="ABV36" s="456"/>
      <c r="ABW36" s="456"/>
      <c r="ABX36" s="456"/>
      <c r="ABY36" s="456"/>
      <c r="ABZ36" s="456"/>
      <c r="ACA36" s="456"/>
      <c r="ACB36" s="456"/>
      <c r="ACC36" s="456"/>
      <c r="ACD36" s="456"/>
      <c r="ACE36" s="456"/>
      <c r="ACF36" s="456"/>
      <c r="ACG36" s="456"/>
      <c r="ACH36" s="456"/>
      <c r="ACI36" s="456"/>
      <c r="ACJ36" s="456"/>
      <c r="ACK36" s="456"/>
      <c r="ACL36" s="456"/>
      <c r="ACM36" s="456"/>
      <c r="ACN36" s="456"/>
      <c r="ACO36" s="456"/>
      <c r="ACP36" s="456"/>
      <c r="ACQ36" s="456"/>
      <c r="ACR36" s="456"/>
      <c r="ACS36" s="456"/>
      <c r="ACT36" s="456"/>
      <c r="ACU36" s="456"/>
      <c r="ACV36" s="456"/>
      <c r="ACW36" s="456"/>
      <c r="ACX36" s="456"/>
      <c r="ACY36" s="456"/>
      <c r="ACZ36" s="456"/>
      <c r="ADA36" s="456"/>
      <c r="ADB36" s="456"/>
      <c r="ADC36" s="456"/>
      <c r="ADD36" s="456"/>
      <c r="ADE36" s="456"/>
      <c r="ADF36" s="456"/>
      <c r="ADG36" s="456"/>
      <c r="ADH36" s="456"/>
      <c r="ADI36" s="456"/>
      <c r="ADJ36" s="456"/>
      <c r="ADK36" s="456"/>
      <c r="ADL36" s="456"/>
      <c r="ADM36" s="456"/>
      <c r="ADN36" s="456"/>
      <c r="ADO36" s="456"/>
      <c r="ADP36" s="456"/>
      <c r="ADQ36" s="456"/>
      <c r="ADR36" s="456"/>
      <c r="ADS36" s="456"/>
      <c r="ADT36" s="456"/>
      <c r="ADU36" s="456"/>
      <c r="ADV36" s="456"/>
      <c r="ADW36" s="456"/>
      <c r="ADX36" s="456"/>
      <c r="ADY36" s="456"/>
      <c r="ADZ36" s="456"/>
      <c r="AEA36" s="456"/>
      <c r="AEB36" s="456"/>
      <c r="AEC36" s="456"/>
      <c r="AED36" s="456"/>
      <c r="AEE36" s="456"/>
      <c r="AEF36" s="456"/>
      <c r="AEG36" s="456"/>
      <c r="AEH36" s="456"/>
      <c r="AEI36" s="456"/>
      <c r="AEJ36" s="456"/>
      <c r="AEK36" s="456"/>
      <c r="AEL36" s="456"/>
      <c r="AEM36" s="456"/>
      <c r="AEN36" s="456"/>
      <c r="AEO36" s="456"/>
      <c r="AEP36" s="456"/>
      <c r="AEQ36" s="456"/>
      <c r="AER36" s="456"/>
      <c r="AES36" s="456"/>
      <c r="AET36" s="456"/>
      <c r="AEU36" s="456"/>
      <c r="AEV36" s="456"/>
      <c r="AEW36" s="456"/>
      <c r="AEX36" s="456"/>
      <c r="AEY36" s="456"/>
      <c r="AEZ36" s="456"/>
      <c r="AFA36" s="456"/>
      <c r="AFB36" s="456"/>
      <c r="AFC36" s="456"/>
      <c r="AFD36" s="456"/>
      <c r="AFE36" s="456"/>
      <c r="AFF36" s="456"/>
      <c r="AFG36" s="456"/>
      <c r="AFH36" s="456"/>
      <c r="AFI36" s="456"/>
      <c r="AFJ36" s="456"/>
      <c r="AFK36" s="456"/>
      <c r="AFL36" s="456"/>
      <c r="AFM36" s="456"/>
      <c r="AFN36" s="456"/>
      <c r="AFO36" s="456"/>
      <c r="AFP36" s="456"/>
      <c r="AFQ36" s="456"/>
      <c r="AFR36" s="456"/>
      <c r="AFS36" s="456"/>
      <c r="AFT36" s="456"/>
      <c r="AFU36" s="456"/>
      <c r="AFV36" s="456"/>
      <c r="AFW36" s="456"/>
      <c r="AFX36" s="456"/>
      <c r="AFY36" s="456"/>
      <c r="AFZ36" s="456"/>
      <c r="AGA36" s="456"/>
      <c r="AGB36" s="456"/>
      <c r="AGC36" s="456"/>
      <c r="AGD36" s="456"/>
      <c r="AGE36" s="456"/>
      <c r="AGF36" s="456"/>
      <c r="AGG36" s="456"/>
      <c r="AGH36" s="456"/>
      <c r="AGI36" s="456"/>
      <c r="AGJ36" s="456"/>
      <c r="AGK36" s="456"/>
      <c r="AGL36" s="456"/>
      <c r="AGM36" s="456"/>
      <c r="AGN36" s="456"/>
      <c r="AGO36" s="456"/>
      <c r="AGP36" s="456"/>
      <c r="AGQ36" s="456"/>
      <c r="AGR36" s="456"/>
      <c r="AGS36" s="456"/>
      <c r="AGT36" s="456"/>
      <c r="AGU36" s="456"/>
      <c r="AGV36" s="456"/>
      <c r="AGW36" s="456"/>
      <c r="AGX36" s="456"/>
      <c r="AGY36" s="456"/>
      <c r="AGZ36" s="456"/>
      <c r="AHA36" s="456"/>
      <c r="AHB36" s="456"/>
      <c r="AHC36" s="456"/>
      <c r="AHD36" s="456"/>
      <c r="AHE36" s="456"/>
      <c r="AHF36" s="456"/>
      <c r="AHG36" s="456"/>
      <c r="AHH36" s="456"/>
      <c r="AHI36" s="456"/>
      <c r="AHJ36" s="456"/>
      <c r="AHK36" s="456"/>
      <c r="AHL36" s="456"/>
      <c r="AHM36" s="456"/>
      <c r="AHN36" s="456"/>
      <c r="AHO36" s="456"/>
      <c r="AHP36" s="456"/>
      <c r="AHQ36" s="456"/>
      <c r="AHR36" s="456"/>
      <c r="AHS36" s="456"/>
      <c r="AHT36" s="456"/>
      <c r="AHU36" s="456"/>
      <c r="AHV36" s="456"/>
      <c r="AHW36" s="456"/>
      <c r="AHX36" s="456"/>
      <c r="AHY36" s="456"/>
      <c r="AHZ36" s="456"/>
      <c r="AIA36" s="456"/>
      <c r="AIB36" s="456"/>
      <c r="AIC36" s="456"/>
      <c r="AID36" s="456"/>
      <c r="AIE36" s="456"/>
      <c r="AIF36" s="456"/>
      <c r="AIG36" s="456"/>
      <c r="AIH36" s="456"/>
      <c r="AII36" s="456"/>
      <c r="AIJ36" s="456"/>
      <c r="AIK36" s="456"/>
      <c r="AIL36" s="456"/>
      <c r="AIM36" s="456"/>
      <c r="AIN36" s="456"/>
      <c r="AIO36" s="456"/>
      <c r="AIP36" s="456"/>
      <c r="AIQ36" s="456"/>
      <c r="AIR36" s="456"/>
      <c r="AIS36" s="456"/>
      <c r="AIT36" s="456"/>
      <c r="AIU36" s="456"/>
      <c r="AIV36" s="456"/>
      <c r="AIW36" s="456"/>
      <c r="AIX36" s="456"/>
      <c r="AIY36" s="456"/>
      <c r="AIZ36" s="456"/>
      <c r="AJA36" s="456"/>
      <c r="AJB36" s="456"/>
      <c r="AJC36" s="456"/>
      <c r="AJD36" s="456"/>
      <c r="AJE36" s="456"/>
      <c r="AJF36" s="456"/>
      <c r="AJG36" s="456"/>
      <c r="AJH36" s="456"/>
      <c r="AJI36" s="456"/>
      <c r="AJJ36" s="456"/>
      <c r="AJK36" s="456"/>
      <c r="AJL36" s="456"/>
      <c r="AJM36" s="456"/>
      <c r="AJN36" s="456"/>
      <c r="AJO36" s="456"/>
      <c r="AJP36" s="456"/>
      <c r="AJQ36" s="456"/>
      <c r="AJR36" s="456"/>
      <c r="AJS36" s="456"/>
      <c r="AJT36" s="456"/>
      <c r="AJU36" s="456"/>
      <c r="AJV36" s="456"/>
      <c r="AJW36" s="456"/>
      <c r="AJX36" s="456"/>
      <c r="AJY36" s="456"/>
      <c r="AJZ36" s="456"/>
      <c r="AKA36" s="456"/>
      <c r="AKB36" s="456"/>
      <c r="AKC36" s="456"/>
      <c r="AKD36" s="456"/>
      <c r="AKE36" s="456"/>
      <c r="AKF36" s="456"/>
      <c r="AKG36" s="456"/>
      <c r="AKH36" s="456"/>
      <c r="AKI36" s="456"/>
      <c r="AKJ36" s="456"/>
      <c r="AKK36" s="456"/>
      <c r="AKL36" s="456"/>
      <c r="AKM36" s="456"/>
      <c r="AKN36" s="456"/>
      <c r="AKO36" s="456"/>
      <c r="AKP36" s="456"/>
      <c r="AKQ36" s="456"/>
      <c r="AKR36" s="456"/>
      <c r="AKS36" s="456"/>
      <c r="AKT36" s="456"/>
      <c r="AKU36" s="456"/>
      <c r="AKV36" s="456"/>
      <c r="AKW36" s="456"/>
      <c r="AKX36" s="456"/>
      <c r="AKY36" s="456"/>
      <c r="AKZ36" s="456"/>
      <c r="ALA36" s="456"/>
      <c r="ALB36" s="456"/>
      <c r="ALC36" s="456"/>
      <c r="ALD36" s="456"/>
      <c r="ALE36" s="456"/>
      <c r="ALF36" s="456"/>
      <c r="ALG36" s="456"/>
      <c r="ALH36" s="456"/>
      <c r="ALI36" s="456"/>
      <c r="ALJ36" s="456"/>
      <c r="ALK36" s="456"/>
      <c r="ALL36" s="456"/>
      <c r="ALM36" s="456"/>
      <c r="ALN36" s="456"/>
      <c r="ALO36" s="456"/>
      <c r="ALP36" s="456"/>
      <c r="ALQ36" s="456"/>
      <c r="ALR36" s="456"/>
      <c r="ALS36" s="456"/>
      <c r="ALT36" s="456"/>
      <c r="ALU36" s="456"/>
      <c r="ALV36" s="456"/>
      <c r="ALW36" s="456"/>
      <c r="ALX36" s="456"/>
      <c r="ALY36" s="456"/>
      <c r="ALZ36" s="456"/>
      <c r="AMA36" s="456"/>
      <c r="AMB36" s="456"/>
      <c r="AMC36" s="456"/>
      <c r="AMD36" s="456"/>
      <c r="AME36" s="456"/>
      <c r="AMF36" s="456"/>
      <c r="AMG36" s="456"/>
      <c r="AMH36" s="456"/>
      <c r="AMI36" s="456"/>
      <c r="AMJ36" s="456"/>
      <c r="AMK36" s="456"/>
      <c r="AML36" s="456"/>
      <c r="AMM36" s="456"/>
      <c r="AMN36" s="456"/>
      <c r="AMO36" s="456"/>
      <c r="AMP36" s="456"/>
      <c r="AMQ36" s="456"/>
      <c r="AMR36" s="456"/>
      <c r="AMS36" s="456"/>
      <c r="AMT36" s="456"/>
      <c r="AMU36" s="456"/>
      <c r="AMV36" s="456"/>
      <c r="AMW36" s="456"/>
      <c r="AMX36" s="456"/>
      <c r="AMY36" s="456"/>
      <c r="AMZ36" s="456"/>
      <c r="ANA36" s="456"/>
      <c r="ANB36" s="456"/>
      <c r="ANC36" s="456"/>
      <c r="AND36" s="456"/>
      <c r="ANE36" s="456"/>
      <c r="ANF36" s="456"/>
      <c r="ANG36" s="456"/>
      <c r="ANH36" s="456"/>
      <c r="ANI36" s="456"/>
      <c r="ANJ36" s="456"/>
      <c r="ANK36" s="456"/>
      <c r="ANL36" s="456"/>
      <c r="ANM36" s="456"/>
      <c r="ANN36" s="456"/>
      <c r="ANO36" s="456"/>
      <c r="ANP36" s="456"/>
      <c r="ANQ36" s="456"/>
      <c r="ANR36" s="456"/>
      <c r="ANS36" s="456"/>
      <c r="ANT36" s="456"/>
      <c r="ANU36" s="456"/>
      <c r="ANV36" s="456"/>
      <c r="ANW36" s="456"/>
      <c r="ANX36" s="456"/>
      <c r="ANY36" s="456"/>
      <c r="ANZ36" s="456"/>
      <c r="AOA36" s="456"/>
      <c r="AOB36" s="456"/>
      <c r="AOC36" s="456"/>
      <c r="AOD36" s="456"/>
      <c r="AOE36" s="456"/>
      <c r="AOF36" s="456"/>
      <c r="AOG36" s="456"/>
      <c r="AOH36" s="456"/>
      <c r="AOI36" s="456"/>
      <c r="AOJ36" s="456"/>
      <c r="AOK36" s="456"/>
      <c r="AOL36" s="456"/>
      <c r="AOM36" s="456"/>
      <c r="AON36" s="456"/>
      <c r="AOO36" s="456"/>
      <c r="AOP36" s="456"/>
      <c r="AOQ36" s="456"/>
      <c r="AOR36" s="456"/>
      <c r="AOS36" s="456"/>
      <c r="AOT36" s="456"/>
      <c r="AOU36" s="456"/>
      <c r="AOV36" s="456"/>
      <c r="AOW36" s="456"/>
      <c r="AOX36" s="456"/>
      <c r="AOY36" s="456"/>
      <c r="AOZ36" s="456"/>
      <c r="APA36" s="456"/>
      <c r="APB36" s="456"/>
      <c r="APC36" s="456"/>
      <c r="APD36" s="456"/>
      <c r="APE36" s="456"/>
      <c r="APF36" s="456"/>
      <c r="APG36" s="456"/>
      <c r="APH36" s="456"/>
      <c r="API36" s="456"/>
      <c r="APJ36" s="456"/>
      <c r="APK36" s="456"/>
      <c r="APL36" s="456"/>
      <c r="APM36" s="456"/>
      <c r="APN36" s="456"/>
      <c r="APO36" s="456"/>
      <c r="APP36" s="456"/>
      <c r="APQ36" s="456"/>
      <c r="APR36" s="456"/>
      <c r="APS36" s="456"/>
      <c r="APT36" s="456"/>
      <c r="APU36" s="456"/>
      <c r="APV36" s="456"/>
      <c r="APW36" s="456"/>
      <c r="APX36" s="456"/>
      <c r="APY36" s="456"/>
      <c r="APZ36" s="456"/>
      <c r="AQA36" s="456"/>
      <c r="AQB36" s="456"/>
      <c r="AQC36" s="456"/>
      <c r="AQD36" s="456"/>
      <c r="AQE36" s="456"/>
      <c r="AQF36" s="456"/>
      <c r="AQG36" s="456"/>
      <c r="AQH36" s="456"/>
      <c r="AQI36" s="456"/>
      <c r="AQJ36" s="456"/>
      <c r="AQK36" s="456"/>
      <c r="AQL36" s="456"/>
      <c r="AQM36" s="456"/>
      <c r="AQN36" s="456"/>
      <c r="AQO36" s="456"/>
      <c r="AQP36" s="456"/>
      <c r="AQQ36" s="456"/>
      <c r="AQR36" s="456"/>
      <c r="AQS36" s="456"/>
      <c r="AQT36" s="456"/>
      <c r="AQU36" s="456"/>
      <c r="AQV36" s="456"/>
      <c r="AQW36" s="456"/>
      <c r="AQX36" s="456"/>
      <c r="AQY36" s="456"/>
      <c r="AQZ36" s="456"/>
      <c r="ARA36" s="456"/>
      <c r="ARB36" s="456"/>
      <c r="ARC36" s="456"/>
      <c r="ARD36" s="456"/>
      <c r="ARE36" s="456"/>
      <c r="ARF36" s="456"/>
      <c r="ARG36" s="456"/>
      <c r="ARH36" s="456"/>
      <c r="ARI36" s="456"/>
      <c r="ARJ36" s="456"/>
      <c r="ARK36" s="456"/>
      <c r="ARL36" s="456"/>
      <c r="ARM36" s="456"/>
      <c r="ARN36" s="456"/>
      <c r="ARO36" s="456"/>
      <c r="ARP36" s="456"/>
      <c r="ARQ36" s="456"/>
      <c r="ARR36" s="456"/>
      <c r="ARS36" s="456"/>
      <c r="ART36" s="456"/>
      <c r="ARU36" s="456"/>
      <c r="ARV36" s="456"/>
      <c r="ARW36" s="456"/>
      <c r="ARX36" s="456"/>
      <c r="ARY36" s="456"/>
      <c r="ARZ36" s="456"/>
      <c r="ASA36" s="456"/>
      <c r="ASB36" s="456"/>
      <c r="ASC36" s="456"/>
      <c r="ASD36" s="456"/>
      <c r="ASE36" s="456"/>
      <c r="ASF36" s="456"/>
      <c r="ASG36" s="456"/>
      <c r="ASH36" s="456"/>
      <c r="ASI36" s="456"/>
      <c r="ASJ36" s="456"/>
      <c r="ASK36" s="456"/>
      <c r="ASL36" s="456"/>
      <c r="ASM36" s="456"/>
      <c r="ASN36" s="456"/>
      <c r="ASO36" s="456"/>
      <c r="ASP36" s="456"/>
      <c r="ASQ36" s="456"/>
      <c r="ASR36" s="456"/>
      <c r="ASS36" s="456"/>
      <c r="AST36" s="456"/>
      <c r="ASU36" s="456"/>
      <c r="ASV36" s="456"/>
      <c r="ASW36" s="456"/>
      <c r="ASX36" s="456"/>
      <c r="ASY36" s="456"/>
      <c r="ASZ36" s="456"/>
      <c r="ATA36" s="456"/>
      <c r="ATB36" s="456"/>
      <c r="ATC36" s="456"/>
      <c r="ATD36" s="456"/>
      <c r="ATE36" s="456"/>
      <c r="ATF36" s="456"/>
      <c r="ATG36" s="456"/>
      <c r="ATH36" s="456"/>
      <c r="ATI36" s="456"/>
      <c r="ATJ36" s="456"/>
      <c r="ATK36" s="456"/>
      <c r="ATL36" s="456"/>
      <c r="ATM36" s="456"/>
      <c r="ATN36" s="456"/>
      <c r="ATO36" s="456"/>
      <c r="ATP36" s="456"/>
      <c r="ATQ36" s="456"/>
      <c r="ATR36" s="456"/>
      <c r="ATS36" s="456"/>
      <c r="ATT36" s="456"/>
      <c r="ATU36" s="456"/>
      <c r="ATV36" s="456"/>
      <c r="ATW36" s="456"/>
      <c r="ATX36" s="456"/>
      <c r="ATY36" s="456"/>
      <c r="ATZ36" s="456"/>
      <c r="AUA36" s="456"/>
      <c r="AUB36" s="456"/>
      <c r="AUC36" s="456"/>
      <c r="AUD36" s="456"/>
      <c r="AUE36" s="456"/>
      <c r="AUF36" s="456"/>
      <c r="AUG36" s="456"/>
      <c r="AUH36" s="456"/>
      <c r="AUI36" s="456"/>
      <c r="AUJ36" s="456"/>
      <c r="AUK36" s="456"/>
      <c r="AUL36" s="456"/>
      <c r="AUM36" s="456"/>
      <c r="AUN36" s="456"/>
      <c r="AUO36" s="456"/>
      <c r="AUP36" s="456"/>
      <c r="AUQ36" s="456"/>
      <c r="AUR36" s="456"/>
      <c r="AUS36" s="456"/>
      <c r="AUT36" s="456"/>
      <c r="AUU36" s="456"/>
      <c r="AUV36" s="456"/>
      <c r="AUW36" s="456"/>
      <c r="AUX36" s="456"/>
      <c r="AUY36" s="456"/>
      <c r="AUZ36" s="456"/>
      <c r="AVA36" s="456"/>
      <c r="AVB36" s="456"/>
      <c r="AVC36" s="456"/>
      <c r="AVD36" s="456"/>
      <c r="AVE36" s="456"/>
      <c r="AVF36" s="456"/>
      <c r="AVG36" s="456"/>
      <c r="AVH36" s="456"/>
      <c r="AVI36" s="456"/>
      <c r="AVJ36" s="456"/>
      <c r="AVK36" s="456"/>
      <c r="AVL36" s="456"/>
      <c r="AVM36" s="456"/>
      <c r="AVN36" s="456"/>
      <c r="AVO36" s="456"/>
      <c r="AVP36" s="456"/>
      <c r="AVQ36" s="456"/>
      <c r="AVR36" s="456"/>
      <c r="AVS36" s="456"/>
      <c r="AVT36" s="456"/>
      <c r="AVU36" s="456"/>
      <c r="AVV36" s="456"/>
      <c r="AVW36" s="456"/>
      <c r="AVX36" s="456"/>
      <c r="AVY36" s="456"/>
      <c r="AVZ36" s="456"/>
      <c r="AWA36" s="456"/>
      <c r="AWB36" s="456"/>
      <c r="AWC36" s="456"/>
      <c r="AWD36" s="456"/>
      <c r="AWE36" s="456"/>
      <c r="AWF36" s="456"/>
      <c r="AWG36" s="456"/>
      <c r="AWH36" s="456"/>
      <c r="AWI36" s="456"/>
      <c r="AWJ36" s="456"/>
      <c r="AWK36" s="456"/>
      <c r="AWL36" s="456"/>
      <c r="AWM36" s="456"/>
      <c r="AWN36" s="456"/>
      <c r="AWO36" s="456"/>
      <c r="AWP36" s="456"/>
      <c r="AWQ36" s="456"/>
      <c r="AWR36" s="456"/>
      <c r="AWS36" s="456"/>
      <c r="AWT36" s="456"/>
      <c r="AWU36" s="456"/>
      <c r="AWV36" s="456"/>
      <c r="AWW36" s="456"/>
      <c r="AWX36" s="456"/>
      <c r="AWY36" s="456"/>
      <c r="AWZ36" s="456"/>
      <c r="AXA36" s="456"/>
      <c r="AXB36" s="456"/>
      <c r="AXC36" s="456"/>
      <c r="AXD36" s="456"/>
      <c r="AXE36" s="456"/>
      <c r="AXF36" s="456"/>
      <c r="AXG36" s="456"/>
      <c r="AXH36" s="456"/>
      <c r="AXI36" s="456"/>
      <c r="AXJ36" s="456"/>
      <c r="AXK36" s="456"/>
      <c r="AXL36" s="456"/>
      <c r="AXM36" s="456"/>
      <c r="AXN36" s="456"/>
      <c r="AXO36" s="456"/>
      <c r="AXP36" s="456"/>
      <c r="AXQ36" s="456"/>
      <c r="AXR36" s="456"/>
      <c r="AXS36" s="456"/>
      <c r="AXT36" s="456"/>
      <c r="AXU36" s="456"/>
      <c r="AXV36" s="456"/>
      <c r="AXW36" s="456"/>
      <c r="AXX36" s="456"/>
      <c r="AXY36" s="456"/>
      <c r="AXZ36" s="456"/>
      <c r="AYA36" s="456"/>
      <c r="AYB36" s="456"/>
      <c r="AYC36" s="456"/>
      <c r="AYD36" s="456"/>
      <c r="AYE36" s="456"/>
      <c r="AYF36" s="456"/>
      <c r="AYG36" s="456"/>
      <c r="AYH36" s="456"/>
      <c r="AYI36" s="456"/>
      <c r="AYJ36" s="456"/>
      <c r="AYK36" s="456"/>
      <c r="AYL36" s="456"/>
      <c r="AYM36" s="456"/>
      <c r="AYN36" s="456"/>
      <c r="AYO36" s="456"/>
      <c r="AYP36" s="456"/>
      <c r="AYQ36" s="456"/>
      <c r="AYR36" s="456"/>
      <c r="AYS36" s="456"/>
      <c r="AYT36" s="456"/>
      <c r="AYU36" s="456"/>
      <c r="AYV36" s="456"/>
      <c r="AYW36" s="456"/>
      <c r="AYX36" s="456"/>
      <c r="AYY36" s="456"/>
      <c r="AYZ36" s="456"/>
      <c r="AZA36" s="456"/>
      <c r="AZB36" s="456"/>
      <c r="AZC36" s="456"/>
      <c r="AZD36" s="456"/>
      <c r="AZE36" s="456"/>
      <c r="AZF36" s="456"/>
      <c r="AZG36" s="456"/>
      <c r="AZH36" s="456"/>
      <c r="AZI36" s="456"/>
      <c r="AZJ36" s="456"/>
      <c r="AZK36" s="456"/>
      <c r="AZL36" s="456"/>
      <c r="AZM36" s="456"/>
      <c r="AZN36" s="456"/>
      <c r="AZO36" s="456"/>
      <c r="AZP36" s="456"/>
      <c r="AZQ36" s="456"/>
      <c r="AZR36" s="456"/>
      <c r="AZS36" s="456"/>
      <c r="AZT36" s="456"/>
      <c r="AZU36" s="456"/>
      <c r="AZV36" s="456"/>
      <c r="AZW36" s="456"/>
      <c r="AZX36" s="456"/>
      <c r="AZY36" s="456"/>
      <c r="AZZ36" s="456"/>
      <c r="BAA36" s="456"/>
      <c r="BAB36" s="456"/>
      <c r="BAC36" s="456"/>
      <c r="BAD36" s="456"/>
      <c r="BAE36" s="456"/>
      <c r="BAF36" s="456"/>
      <c r="BAG36" s="456"/>
      <c r="BAH36" s="456"/>
      <c r="BAI36" s="456"/>
      <c r="BAJ36" s="456"/>
      <c r="BAK36" s="456"/>
      <c r="BAL36" s="456"/>
      <c r="BAM36" s="456"/>
      <c r="BAN36" s="456"/>
      <c r="BAO36" s="456"/>
      <c r="BAP36" s="456"/>
      <c r="BAQ36" s="456"/>
      <c r="BAR36" s="456"/>
      <c r="BAS36" s="456"/>
      <c r="BAT36" s="456"/>
      <c r="BAU36" s="456"/>
      <c r="BAV36" s="456"/>
      <c r="BAW36" s="456"/>
      <c r="BAX36" s="456"/>
      <c r="BAY36" s="456"/>
      <c r="BAZ36" s="456"/>
      <c r="BBA36" s="456"/>
      <c r="BBB36" s="456"/>
      <c r="BBC36" s="456"/>
      <c r="BBD36" s="456"/>
      <c r="BBE36" s="456"/>
      <c r="BBF36" s="456"/>
      <c r="BBG36" s="456"/>
      <c r="BBH36" s="456"/>
      <c r="BBI36" s="456"/>
      <c r="BBJ36" s="456"/>
      <c r="BBK36" s="456"/>
      <c r="BBL36" s="456"/>
      <c r="BBM36" s="456"/>
      <c r="BBN36" s="456"/>
      <c r="BBO36" s="456"/>
      <c r="BBP36" s="456"/>
      <c r="BBQ36" s="456"/>
      <c r="BBR36" s="456"/>
      <c r="BBS36" s="456"/>
      <c r="BBT36" s="456"/>
      <c r="BBU36" s="456"/>
      <c r="BBV36" s="456"/>
      <c r="BBW36" s="456"/>
      <c r="BBX36" s="456"/>
      <c r="BBY36" s="456"/>
      <c r="BBZ36" s="456"/>
      <c r="BCA36" s="456"/>
      <c r="BCB36" s="456"/>
      <c r="BCC36" s="456"/>
      <c r="BCD36" s="456"/>
      <c r="BCE36" s="456"/>
      <c r="BCF36" s="456"/>
      <c r="BCG36" s="456"/>
      <c r="BCH36" s="456"/>
      <c r="BCI36" s="456"/>
      <c r="BCJ36" s="456"/>
      <c r="BCK36" s="456"/>
      <c r="BCL36" s="456"/>
      <c r="BCM36" s="456"/>
      <c r="BCN36" s="456"/>
      <c r="BCO36" s="456"/>
      <c r="BCP36" s="456"/>
      <c r="BCQ36" s="456"/>
      <c r="BCR36" s="456"/>
      <c r="BCS36" s="456"/>
      <c r="BCT36" s="456"/>
      <c r="BCU36" s="456"/>
      <c r="BCV36" s="456"/>
      <c r="BCW36" s="456"/>
      <c r="BCX36" s="456"/>
      <c r="BCY36" s="456"/>
      <c r="BCZ36" s="456"/>
      <c r="BDA36" s="456"/>
      <c r="BDB36" s="456"/>
      <c r="BDC36" s="456"/>
      <c r="BDD36" s="456"/>
      <c r="BDE36" s="456"/>
      <c r="BDF36" s="456"/>
      <c r="BDG36" s="456"/>
      <c r="BDH36" s="456"/>
      <c r="BDI36" s="456"/>
      <c r="BDJ36" s="456"/>
      <c r="BDK36" s="456"/>
      <c r="BDL36" s="456"/>
      <c r="BDM36" s="456"/>
      <c r="BDN36" s="456"/>
      <c r="BDO36" s="456"/>
      <c r="BDP36" s="456"/>
      <c r="BDQ36" s="456"/>
      <c r="BDR36" s="456"/>
      <c r="BDS36" s="456"/>
      <c r="BDT36" s="456"/>
      <c r="BDU36" s="456"/>
      <c r="BDV36" s="456"/>
      <c r="BDW36" s="456"/>
      <c r="BDX36" s="456"/>
      <c r="BDY36" s="456"/>
      <c r="BDZ36" s="456"/>
      <c r="BEA36" s="456"/>
      <c r="BEB36" s="456"/>
      <c r="BEC36" s="456"/>
      <c r="BED36" s="456"/>
      <c r="BEE36" s="456"/>
      <c r="BEF36" s="456"/>
      <c r="BEG36" s="456"/>
      <c r="BEH36" s="456"/>
      <c r="BEI36" s="456"/>
      <c r="BEJ36" s="456"/>
      <c r="BEK36" s="456"/>
      <c r="BEL36" s="456"/>
      <c r="BEM36" s="456"/>
      <c r="BEN36" s="456"/>
      <c r="BEO36" s="456"/>
      <c r="BEP36" s="456"/>
      <c r="BEQ36" s="456"/>
      <c r="BER36" s="456"/>
      <c r="BES36" s="456"/>
      <c r="BET36" s="456"/>
      <c r="BEU36" s="456"/>
      <c r="BEV36" s="456"/>
      <c r="BEW36" s="456"/>
      <c r="BEX36" s="456"/>
      <c r="BEY36" s="456"/>
      <c r="BEZ36" s="456"/>
      <c r="BFA36" s="456"/>
      <c r="BFB36" s="456"/>
      <c r="BFC36" s="456"/>
      <c r="BFD36" s="456"/>
      <c r="BFE36" s="456"/>
      <c r="BFF36" s="456"/>
      <c r="BFG36" s="456"/>
      <c r="BFH36" s="456"/>
      <c r="BFI36" s="456"/>
      <c r="BFJ36" s="456"/>
      <c r="BFK36" s="456"/>
      <c r="BFL36" s="456"/>
      <c r="BFM36" s="456"/>
      <c r="BFN36" s="456"/>
      <c r="BFO36" s="456"/>
      <c r="BFP36" s="456"/>
      <c r="BFQ36" s="456"/>
      <c r="BFR36" s="456"/>
      <c r="BFS36" s="456"/>
      <c r="BFT36" s="456"/>
      <c r="BFU36" s="456"/>
      <c r="BFV36" s="456"/>
      <c r="BFW36" s="456"/>
      <c r="BFX36" s="456"/>
      <c r="BFY36" s="456"/>
      <c r="BFZ36" s="456"/>
      <c r="BGA36" s="456"/>
      <c r="BGB36" s="456"/>
      <c r="BGC36" s="456"/>
      <c r="BGD36" s="456"/>
      <c r="BGE36" s="456"/>
      <c r="BGF36" s="456"/>
      <c r="BGG36" s="456"/>
      <c r="BGH36" s="456"/>
      <c r="BGI36" s="456"/>
      <c r="BGJ36" s="456"/>
      <c r="BGK36" s="456"/>
      <c r="BGL36" s="456"/>
      <c r="BGM36" s="456"/>
      <c r="BGN36" s="456"/>
      <c r="BGO36" s="456"/>
      <c r="BGP36" s="456"/>
      <c r="BGQ36" s="456"/>
      <c r="BGR36" s="456"/>
      <c r="BGS36" s="456"/>
      <c r="BGT36" s="456"/>
      <c r="BGU36" s="456"/>
      <c r="BGV36" s="456"/>
      <c r="BGW36" s="456"/>
      <c r="BGX36" s="456"/>
      <c r="BGY36" s="456"/>
      <c r="BGZ36" s="456"/>
      <c r="BHA36" s="456"/>
      <c r="BHB36" s="456"/>
      <c r="BHC36" s="456"/>
      <c r="BHD36" s="456"/>
      <c r="BHE36" s="456"/>
      <c r="BHF36" s="456"/>
      <c r="BHG36" s="456"/>
      <c r="BHH36" s="456"/>
      <c r="BHI36" s="456"/>
      <c r="BHJ36" s="456"/>
      <c r="BHK36" s="456"/>
      <c r="BHL36" s="456"/>
      <c r="BHM36" s="456"/>
      <c r="BHN36" s="456"/>
      <c r="BHO36" s="456"/>
      <c r="BHP36" s="456"/>
      <c r="BHQ36" s="456"/>
      <c r="BHR36" s="456"/>
      <c r="BHS36" s="456"/>
      <c r="BHT36" s="456"/>
      <c r="BHU36" s="456"/>
      <c r="BHV36" s="456"/>
      <c r="BHW36" s="456"/>
      <c r="BHX36" s="456"/>
      <c r="BHY36" s="456"/>
      <c r="BHZ36" s="456"/>
      <c r="BIA36" s="456"/>
      <c r="BIB36" s="456"/>
      <c r="BIC36" s="456"/>
      <c r="BID36" s="456"/>
      <c r="BIE36" s="456"/>
      <c r="BIF36" s="456"/>
      <c r="BIG36" s="456"/>
      <c r="BIH36" s="456"/>
      <c r="BII36" s="456"/>
      <c r="BIJ36" s="456"/>
      <c r="BIK36" s="456"/>
      <c r="BIL36" s="456"/>
      <c r="BIM36" s="456"/>
      <c r="BIN36" s="456"/>
      <c r="BIO36" s="456"/>
      <c r="BIP36" s="456"/>
      <c r="BIQ36" s="456"/>
      <c r="BIR36" s="456"/>
      <c r="BIS36" s="456"/>
      <c r="BIT36" s="456"/>
      <c r="BIU36" s="456"/>
      <c r="BIV36" s="456"/>
      <c r="BIW36" s="456"/>
      <c r="BIX36" s="456"/>
      <c r="BIY36" s="456"/>
      <c r="BIZ36" s="456"/>
      <c r="BJA36" s="456"/>
      <c r="BJB36" s="456"/>
      <c r="BJC36" s="456"/>
      <c r="BJD36" s="456"/>
      <c r="BJE36" s="456"/>
      <c r="BJF36" s="456"/>
      <c r="BJG36" s="456"/>
      <c r="BJH36" s="456"/>
      <c r="BJI36" s="456"/>
      <c r="BJJ36" s="456"/>
      <c r="BJK36" s="456"/>
      <c r="BJL36" s="456"/>
      <c r="BJM36" s="456"/>
      <c r="BJN36" s="456"/>
      <c r="BJO36" s="456"/>
      <c r="BJP36" s="456"/>
      <c r="BJQ36" s="456"/>
      <c r="BJR36" s="456"/>
      <c r="BJS36" s="456"/>
      <c r="BJT36" s="456"/>
      <c r="BJU36" s="456"/>
      <c r="BJV36" s="456"/>
      <c r="BJW36" s="456"/>
      <c r="BJX36" s="456"/>
      <c r="BJY36" s="456"/>
      <c r="BJZ36" s="456"/>
      <c r="BKA36" s="456"/>
      <c r="BKB36" s="456"/>
      <c r="BKC36" s="456"/>
      <c r="BKD36" s="456"/>
      <c r="BKE36" s="456"/>
      <c r="BKF36" s="456"/>
      <c r="BKG36" s="456"/>
      <c r="BKH36" s="456"/>
      <c r="BKI36" s="456"/>
      <c r="BKJ36" s="456"/>
      <c r="BKK36" s="456"/>
      <c r="BKL36" s="456"/>
      <c r="BKM36" s="456"/>
      <c r="BKN36" s="456"/>
      <c r="BKO36" s="456"/>
      <c r="BKP36" s="456"/>
      <c r="BKQ36" s="456"/>
      <c r="BKR36" s="456"/>
      <c r="BKS36" s="456"/>
      <c r="BKT36" s="456"/>
      <c r="BKU36" s="456"/>
      <c r="BKV36" s="456"/>
      <c r="BKW36" s="456"/>
      <c r="BKX36" s="456"/>
      <c r="BKY36" s="456"/>
      <c r="BKZ36" s="456"/>
      <c r="BLA36" s="456"/>
      <c r="BLB36" s="456"/>
      <c r="BLC36" s="456"/>
      <c r="BLD36" s="456"/>
      <c r="BLE36" s="456"/>
      <c r="BLF36" s="456"/>
      <c r="BLG36" s="456"/>
      <c r="BLH36" s="456"/>
      <c r="BLI36" s="456"/>
      <c r="BLJ36" s="456"/>
      <c r="BLK36" s="456"/>
      <c r="BLL36" s="456"/>
      <c r="BLM36" s="456"/>
      <c r="BLN36" s="456"/>
      <c r="BLO36" s="456"/>
      <c r="BLP36" s="456"/>
      <c r="BLQ36" s="456"/>
      <c r="BLR36" s="456"/>
      <c r="BLS36" s="456"/>
      <c r="BLT36" s="456"/>
      <c r="BLU36" s="456"/>
      <c r="BLV36" s="456"/>
      <c r="BLW36" s="456"/>
      <c r="BLX36" s="456"/>
      <c r="BLY36" s="456"/>
      <c r="BLZ36" s="456"/>
      <c r="BMA36" s="456"/>
      <c r="BMB36" s="456"/>
      <c r="BMC36" s="456"/>
      <c r="BMD36" s="456"/>
      <c r="BME36" s="456"/>
      <c r="BMF36" s="456"/>
      <c r="BMG36" s="456"/>
      <c r="BMH36" s="456"/>
      <c r="BMI36" s="456"/>
      <c r="BMJ36" s="456"/>
      <c r="BMK36" s="456"/>
      <c r="BML36" s="456"/>
      <c r="BMM36" s="456"/>
      <c r="BMN36" s="456"/>
      <c r="BMO36" s="456"/>
      <c r="BMP36" s="456"/>
      <c r="BMQ36" s="456"/>
      <c r="BMR36" s="456"/>
      <c r="BMS36" s="456"/>
      <c r="BMT36" s="456"/>
      <c r="BMU36" s="456"/>
      <c r="BMV36" s="456"/>
      <c r="BMW36" s="456"/>
      <c r="BMX36" s="456"/>
      <c r="BMY36" s="456"/>
      <c r="BMZ36" s="456"/>
      <c r="BNA36" s="456"/>
      <c r="BNB36" s="456"/>
      <c r="BNC36" s="456"/>
      <c r="BND36" s="456"/>
      <c r="BNE36" s="456"/>
      <c r="BNF36" s="456"/>
      <c r="BNG36" s="456"/>
      <c r="BNH36" s="456"/>
      <c r="BNI36" s="456"/>
      <c r="BNJ36" s="456"/>
      <c r="BNK36" s="456"/>
      <c r="BNL36" s="456"/>
      <c r="BNM36" s="456"/>
      <c r="BNN36" s="456"/>
      <c r="BNO36" s="456"/>
      <c r="BNP36" s="456"/>
      <c r="BNQ36" s="456"/>
      <c r="BNR36" s="456"/>
      <c r="BNS36" s="456"/>
      <c r="BNT36" s="456"/>
      <c r="BNU36" s="456"/>
      <c r="BNV36" s="456"/>
      <c r="BNW36" s="456"/>
      <c r="BNX36" s="456"/>
      <c r="BNY36" s="456"/>
      <c r="BNZ36" s="456"/>
      <c r="BOA36" s="456"/>
      <c r="BOB36" s="456"/>
      <c r="BOC36" s="456"/>
      <c r="BOD36" s="456"/>
      <c r="BOE36" s="456"/>
      <c r="BOF36" s="456"/>
      <c r="BOG36" s="456"/>
      <c r="BOH36" s="456"/>
      <c r="BOI36" s="456"/>
      <c r="BOJ36" s="456"/>
      <c r="BOK36" s="456"/>
      <c r="BOL36" s="456"/>
      <c r="BOM36" s="456"/>
      <c r="BON36" s="456"/>
      <c r="BOO36" s="456"/>
      <c r="BOP36" s="456"/>
      <c r="BOQ36" s="456"/>
      <c r="BOR36" s="456"/>
      <c r="BOS36" s="456"/>
      <c r="BOT36" s="456"/>
      <c r="BOU36" s="456"/>
      <c r="BOV36" s="456"/>
      <c r="BOW36" s="456"/>
      <c r="BOX36" s="456"/>
      <c r="BOY36" s="456"/>
      <c r="BOZ36" s="456"/>
      <c r="BPA36" s="456"/>
      <c r="BPB36" s="456"/>
      <c r="BPC36" s="456"/>
      <c r="BPD36" s="456"/>
      <c r="BPE36" s="456"/>
      <c r="BPF36" s="456"/>
      <c r="BPG36" s="456"/>
      <c r="BPH36" s="456"/>
      <c r="BPI36" s="456"/>
      <c r="BPJ36" s="456"/>
      <c r="BPK36" s="456"/>
      <c r="BPL36" s="456"/>
      <c r="BPM36" s="456"/>
      <c r="BPN36" s="456"/>
      <c r="BPO36" s="456"/>
      <c r="BPP36" s="456"/>
      <c r="BPQ36" s="456"/>
      <c r="BPR36" s="456"/>
      <c r="BPS36" s="456"/>
      <c r="BPT36" s="456"/>
      <c r="BPU36" s="456"/>
      <c r="BPV36" s="456"/>
      <c r="BPW36" s="456"/>
      <c r="BPX36" s="456"/>
      <c r="BPY36" s="456"/>
      <c r="BPZ36" s="456"/>
      <c r="BQA36" s="456"/>
      <c r="BQB36" s="456"/>
      <c r="BQC36" s="456"/>
      <c r="BQD36" s="456"/>
      <c r="BQE36" s="456"/>
      <c r="BQF36" s="456"/>
      <c r="BQG36" s="456"/>
      <c r="BQH36" s="456"/>
      <c r="BQI36" s="456"/>
      <c r="BQJ36" s="456"/>
      <c r="BQK36" s="456"/>
      <c r="BQL36" s="456"/>
      <c r="BQM36" s="456"/>
      <c r="BQN36" s="456"/>
      <c r="BQO36" s="456"/>
      <c r="BQP36" s="456"/>
      <c r="BQQ36" s="456"/>
      <c r="BQR36" s="456"/>
      <c r="BQS36" s="456"/>
      <c r="BQT36" s="456"/>
      <c r="BQU36" s="456"/>
      <c r="BQV36" s="456"/>
      <c r="BQW36" s="456"/>
      <c r="BQX36" s="456"/>
      <c r="BQY36" s="456"/>
      <c r="BQZ36" s="456"/>
      <c r="BRA36" s="456"/>
      <c r="BRB36" s="456"/>
      <c r="BRC36" s="456"/>
      <c r="BRD36" s="456"/>
      <c r="BRE36" s="456"/>
      <c r="BRF36" s="456"/>
      <c r="BRG36" s="456"/>
      <c r="BRH36" s="456"/>
      <c r="BRI36" s="456"/>
      <c r="BRJ36" s="456"/>
      <c r="BRK36" s="456"/>
      <c r="BRL36" s="456"/>
      <c r="BRM36" s="456"/>
      <c r="BRN36" s="456"/>
      <c r="BRO36" s="456"/>
      <c r="BRP36" s="456"/>
      <c r="BRQ36" s="456"/>
      <c r="BRR36" s="456"/>
      <c r="BRS36" s="456"/>
      <c r="BRT36" s="456"/>
      <c r="BRU36" s="456"/>
      <c r="BRV36" s="456"/>
      <c r="BRW36" s="456"/>
      <c r="BRX36" s="456"/>
      <c r="BRY36" s="456"/>
      <c r="BRZ36" s="456"/>
      <c r="BSA36" s="456"/>
      <c r="BSB36" s="456"/>
      <c r="BSC36" s="456"/>
      <c r="BSD36" s="456"/>
      <c r="BSE36" s="456"/>
      <c r="BSF36" s="456"/>
      <c r="BSG36" s="456"/>
      <c r="BSH36" s="456"/>
      <c r="BSI36" s="456"/>
      <c r="BSJ36" s="456"/>
      <c r="BSK36" s="456"/>
      <c r="BSL36" s="456"/>
      <c r="BSM36" s="456"/>
      <c r="BSN36" s="456"/>
      <c r="BSO36" s="456"/>
      <c r="BSP36" s="456"/>
      <c r="BSQ36" s="456"/>
      <c r="BSR36" s="456"/>
      <c r="BSS36" s="456"/>
      <c r="BST36" s="456"/>
      <c r="BSU36" s="456"/>
      <c r="BSV36" s="456"/>
      <c r="BSW36" s="456"/>
      <c r="BSX36" s="456"/>
      <c r="BSY36" s="456"/>
      <c r="BSZ36" s="456"/>
      <c r="BTA36" s="456"/>
      <c r="BTB36" s="456"/>
      <c r="BTC36" s="456"/>
      <c r="BTD36" s="456"/>
      <c r="BTE36" s="456"/>
      <c r="BTF36" s="456"/>
      <c r="BTG36" s="456"/>
      <c r="BTH36" s="456"/>
      <c r="BTI36" s="456"/>
      <c r="BTJ36" s="456"/>
      <c r="BTK36" s="456"/>
      <c r="BTL36" s="456"/>
      <c r="BTM36" s="456"/>
      <c r="BTN36" s="456"/>
      <c r="BTO36" s="456"/>
      <c r="BTP36" s="456"/>
      <c r="BTQ36" s="456"/>
      <c r="BTR36" s="456"/>
      <c r="BTS36" s="456"/>
      <c r="BTT36" s="456"/>
      <c r="BTU36" s="456"/>
      <c r="BTV36" s="456"/>
      <c r="BTW36" s="456"/>
      <c r="BTX36" s="456"/>
      <c r="BTY36" s="456"/>
      <c r="BTZ36" s="456"/>
      <c r="BUA36" s="456"/>
      <c r="BUB36" s="456"/>
      <c r="BUC36" s="456"/>
      <c r="BUD36" s="456"/>
      <c r="BUE36" s="456"/>
      <c r="BUF36" s="456"/>
      <c r="BUG36" s="456"/>
      <c r="BUH36" s="456"/>
      <c r="BUI36" s="456"/>
      <c r="BUJ36" s="456"/>
      <c r="BUK36" s="456"/>
      <c r="BUL36" s="456"/>
      <c r="BUM36" s="456"/>
      <c r="BUN36" s="456"/>
      <c r="BUO36" s="456"/>
      <c r="BUP36" s="456"/>
      <c r="BUQ36" s="456"/>
      <c r="BUR36" s="456"/>
      <c r="BUS36" s="456"/>
      <c r="BUT36" s="456"/>
      <c r="BUU36" s="456"/>
      <c r="BUV36" s="456"/>
      <c r="BUW36" s="456"/>
      <c r="BUX36" s="456"/>
      <c r="BUY36" s="456"/>
      <c r="BUZ36" s="456"/>
      <c r="BVA36" s="456"/>
      <c r="BVB36" s="456"/>
      <c r="BVC36" s="456"/>
      <c r="BVD36" s="456"/>
      <c r="BVE36" s="456"/>
      <c r="BVF36" s="456"/>
      <c r="BVG36" s="456"/>
      <c r="BVH36" s="456"/>
      <c r="BVI36" s="456"/>
      <c r="BVJ36" s="456"/>
      <c r="BVK36" s="456"/>
      <c r="BVL36" s="456"/>
      <c r="BVM36" s="456"/>
      <c r="BVN36" s="456"/>
      <c r="BVO36" s="456"/>
      <c r="BVP36" s="456"/>
      <c r="BVQ36" s="456"/>
      <c r="BVR36" s="456"/>
      <c r="BVS36" s="456"/>
      <c r="BVT36" s="456"/>
      <c r="BVU36" s="456"/>
      <c r="BVV36" s="456"/>
      <c r="BVW36" s="456"/>
      <c r="BVX36" s="456"/>
      <c r="BVY36" s="456"/>
      <c r="BVZ36" s="456"/>
      <c r="BWA36" s="456"/>
      <c r="BWB36" s="456"/>
      <c r="BWC36" s="456"/>
      <c r="BWD36" s="456"/>
      <c r="BWE36" s="456"/>
      <c r="BWF36" s="456"/>
      <c r="BWG36" s="456"/>
      <c r="BWH36" s="456"/>
      <c r="BWI36" s="456"/>
      <c r="BWJ36" s="456"/>
      <c r="BWK36" s="456"/>
      <c r="BWL36" s="456"/>
      <c r="BWM36" s="456"/>
      <c r="BWN36" s="456"/>
      <c r="BWO36" s="456"/>
      <c r="BWP36" s="456"/>
      <c r="BWQ36" s="456"/>
      <c r="BWR36" s="456"/>
      <c r="BWS36" s="456"/>
      <c r="BWT36" s="456"/>
      <c r="BWU36" s="456"/>
      <c r="BWV36" s="456"/>
      <c r="BWW36" s="456"/>
      <c r="BWX36" s="456"/>
      <c r="BWY36" s="456"/>
      <c r="BWZ36" s="456"/>
      <c r="BXA36" s="456"/>
      <c r="BXB36" s="456"/>
      <c r="BXC36" s="456"/>
      <c r="BXD36" s="456"/>
      <c r="BXE36" s="456"/>
      <c r="BXF36" s="456"/>
      <c r="BXG36" s="456"/>
      <c r="BXH36" s="456"/>
      <c r="BXI36" s="456"/>
      <c r="BXJ36" s="456"/>
      <c r="BXK36" s="456"/>
      <c r="BXL36" s="456"/>
      <c r="BXM36" s="456"/>
      <c r="BXN36" s="456"/>
      <c r="BXO36" s="456"/>
      <c r="BXP36" s="456"/>
      <c r="BXQ36" s="456"/>
      <c r="BXR36" s="456"/>
      <c r="BXS36" s="456"/>
      <c r="BXT36" s="456"/>
      <c r="BXU36" s="456"/>
      <c r="BXV36" s="456"/>
      <c r="BXW36" s="456"/>
      <c r="BXX36" s="456"/>
      <c r="BXY36" s="456"/>
      <c r="BXZ36" s="456"/>
    </row>
    <row r="37" s="25" customFormat="1" spans="1:1024 1025:2002">
      <c r="A37" s="473"/>
      <c r="B37" s="19">
        <v>1117</v>
      </c>
      <c r="C37" s="183">
        <v>46174</v>
      </c>
      <c r="D37" s="17" t="s">
        <v>35</v>
      </c>
      <c r="E37" s="17" t="s">
        <v>71</v>
      </c>
      <c r="F37" s="17" t="s">
        <v>72</v>
      </c>
      <c r="G37" s="17"/>
      <c r="H37" s="19">
        <v>1.2379</v>
      </c>
      <c r="I37" s="19">
        <v>1.2379</v>
      </c>
      <c r="J37" s="17" t="s">
        <v>39</v>
      </c>
      <c r="K37" s="19">
        <v>162</v>
      </c>
      <c r="L37" s="91"/>
      <c r="M37" s="19">
        <v>5800</v>
      </c>
      <c r="N37" s="19" t="s">
        <v>40</v>
      </c>
      <c r="O37" s="19" t="s">
        <v>50</v>
      </c>
      <c r="P37" s="19">
        <v>3000</v>
      </c>
      <c r="Q37" s="19">
        <f>800+795+770+755</f>
        <v>3120</v>
      </c>
      <c r="R37" s="19">
        <f t="shared" si="0"/>
        <v>-120</v>
      </c>
      <c r="S37" s="19">
        <v>2260</v>
      </c>
      <c r="T37" s="19" t="s">
        <v>42</v>
      </c>
      <c r="U37" s="102" t="s">
        <v>73</v>
      </c>
      <c r="V37" s="186">
        <v>46173</v>
      </c>
      <c r="W37" s="17" t="s">
        <v>44</v>
      </c>
      <c r="X37" s="17"/>
      <c r="Y37" s="68">
        <v>46296</v>
      </c>
      <c r="Z37" s="17" t="s">
        <v>45</v>
      </c>
      <c r="AA37" s="17" t="s">
        <v>46</v>
      </c>
      <c r="AB37" s="17"/>
      <c r="AC37" s="102"/>
      <c r="AD37" s="65">
        <v>1855</v>
      </c>
      <c r="AE37" s="17" t="s">
        <v>74</v>
      </c>
      <c r="AF37" s="17"/>
      <c r="AG37" s="17"/>
      <c r="AH37" s="456"/>
      <c r="AI37" s="456"/>
      <c r="AJ37" s="456"/>
      <c r="AK37" s="456"/>
      <c r="AL37" s="456"/>
      <c r="AM37" s="456"/>
      <c r="AN37" s="456"/>
      <c r="AO37" s="456"/>
      <c r="AP37" s="456"/>
      <c r="AQ37" s="456"/>
      <c r="AR37" s="456"/>
      <c r="AS37" s="456"/>
      <c r="AT37" s="456"/>
      <c r="AU37" s="456"/>
      <c r="AV37" s="456"/>
      <c r="AW37" s="456"/>
      <c r="AX37" s="456"/>
      <c r="AY37" s="456"/>
      <c r="AZ37" s="456"/>
      <c r="BA37" s="456"/>
      <c r="BB37" s="456"/>
      <c r="BC37" s="456"/>
      <c r="BD37" s="456"/>
      <c r="BE37" s="456"/>
      <c r="BF37" s="456"/>
      <c r="BG37" s="456"/>
      <c r="BH37" s="456"/>
      <c r="BI37" s="456"/>
      <c r="BJ37" s="456"/>
      <c r="BK37" s="456"/>
      <c r="BL37" s="456"/>
      <c r="BM37" s="456"/>
      <c r="BN37" s="456"/>
      <c r="BO37" s="456"/>
      <c r="BP37" s="456"/>
      <c r="BQ37" s="456"/>
      <c r="BR37" s="456"/>
      <c r="BS37" s="456"/>
      <c r="BT37" s="456"/>
      <c r="BU37" s="456"/>
      <c r="BV37" s="456"/>
      <c r="BW37" s="456"/>
      <c r="BX37" s="456"/>
      <c r="BY37" s="456"/>
      <c r="BZ37" s="456"/>
      <c r="CA37" s="456"/>
      <c r="CB37" s="456"/>
      <c r="CC37" s="456"/>
      <c r="CD37" s="456"/>
      <c r="CE37" s="456"/>
      <c r="CF37" s="456"/>
      <c r="CG37" s="456"/>
      <c r="CH37" s="456"/>
      <c r="CI37" s="456"/>
      <c r="CJ37" s="456"/>
      <c r="CK37" s="456"/>
      <c r="CL37" s="456"/>
      <c r="CM37" s="456"/>
      <c r="CN37" s="456"/>
      <c r="CO37" s="456"/>
      <c r="CP37" s="456"/>
      <c r="CQ37" s="456"/>
      <c r="CR37" s="456"/>
      <c r="CS37" s="456"/>
      <c r="CT37" s="456"/>
      <c r="CU37" s="456"/>
      <c r="CV37" s="456"/>
      <c r="CW37" s="456"/>
      <c r="CX37" s="456"/>
      <c r="CY37" s="456"/>
      <c r="CZ37" s="456"/>
      <c r="DA37" s="456"/>
      <c r="DB37" s="456"/>
      <c r="DC37" s="456"/>
      <c r="DD37" s="456"/>
      <c r="DE37" s="456"/>
      <c r="DF37" s="456"/>
      <c r="DG37" s="456"/>
      <c r="DH37" s="456"/>
      <c r="DI37" s="456"/>
      <c r="DJ37" s="456"/>
      <c r="DK37" s="456"/>
      <c r="DL37" s="456"/>
      <c r="DM37" s="456"/>
      <c r="DN37" s="456"/>
      <c r="DO37" s="456"/>
      <c r="DP37" s="456"/>
      <c r="DQ37" s="456"/>
      <c r="DR37" s="456"/>
      <c r="DS37" s="456"/>
      <c r="DT37" s="456"/>
      <c r="DU37" s="456"/>
      <c r="DV37" s="456"/>
      <c r="DW37" s="456"/>
      <c r="DX37" s="456"/>
      <c r="DY37" s="456"/>
      <c r="DZ37" s="456"/>
      <c r="EA37" s="456"/>
      <c r="EB37" s="456"/>
      <c r="EC37" s="456"/>
      <c r="ED37" s="456"/>
      <c r="EE37" s="456"/>
      <c r="EF37" s="456"/>
      <c r="EG37" s="456"/>
      <c r="EH37" s="456"/>
      <c r="EI37" s="456"/>
      <c r="EJ37" s="456"/>
      <c r="EK37" s="456"/>
      <c r="EL37" s="456"/>
      <c r="EM37" s="456"/>
      <c r="EN37" s="456"/>
      <c r="EO37" s="456"/>
      <c r="EP37" s="456"/>
      <c r="EQ37" s="456"/>
      <c r="ER37" s="456"/>
      <c r="ES37" s="456"/>
      <c r="ET37" s="456"/>
      <c r="EU37" s="456"/>
      <c r="EV37" s="456"/>
      <c r="EW37" s="456"/>
      <c r="EX37" s="456"/>
      <c r="EY37" s="456"/>
      <c r="EZ37" s="456"/>
      <c r="FA37" s="456"/>
      <c r="FB37" s="456"/>
      <c r="FC37" s="456"/>
      <c r="FD37" s="456"/>
      <c r="FE37" s="456"/>
      <c r="FF37" s="456"/>
      <c r="FG37" s="456"/>
      <c r="FH37" s="456"/>
      <c r="FI37" s="456"/>
      <c r="FJ37" s="456"/>
      <c r="FK37" s="456"/>
      <c r="FL37" s="456"/>
      <c r="FM37" s="456"/>
      <c r="FN37" s="456"/>
      <c r="FO37" s="456"/>
      <c r="FP37" s="456"/>
      <c r="FQ37" s="456"/>
      <c r="FR37" s="456"/>
      <c r="FS37" s="456"/>
      <c r="FT37" s="456"/>
      <c r="FU37" s="456"/>
      <c r="FV37" s="456"/>
      <c r="FW37" s="456"/>
      <c r="FX37" s="456"/>
      <c r="FY37" s="456"/>
      <c r="FZ37" s="456"/>
      <c r="GA37" s="456"/>
      <c r="GB37" s="456"/>
      <c r="GC37" s="456"/>
      <c r="GD37" s="456"/>
      <c r="GE37" s="456"/>
      <c r="GF37" s="456"/>
      <c r="GG37" s="456"/>
      <c r="GH37" s="456"/>
      <c r="GI37" s="456"/>
      <c r="GJ37" s="456"/>
      <c r="GK37" s="456"/>
      <c r="GL37" s="456"/>
      <c r="GM37" s="456"/>
      <c r="GN37" s="456"/>
      <c r="GO37" s="456"/>
      <c r="GP37" s="456"/>
      <c r="GQ37" s="456"/>
      <c r="GR37" s="456"/>
      <c r="GS37" s="456"/>
      <c r="GT37" s="456"/>
      <c r="GU37" s="456"/>
      <c r="GV37" s="456"/>
      <c r="GW37" s="456"/>
      <c r="GX37" s="456"/>
      <c r="GY37" s="456"/>
      <c r="GZ37" s="456"/>
      <c r="HA37" s="456"/>
      <c r="HB37" s="456"/>
      <c r="HC37" s="456"/>
      <c r="HD37" s="456"/>
      <c r="HE37" s="456"/>
      <c r="HF37" s="456"/>
      <c r="HG37" s="456"/>
      <c r="HH37" s="456"/>
      <c r="HI37" s="456"/>
      <c r="HJ37" s="456"/>
      <c r="HK37" s="456"/>
      <c r="HL37" s="456"/>
      <c r="HM37" s="456"/>
      <c r="HN37" s="456"/>
      <c r="HO37" s="456"/>
      <c r="HP37" s="456"/>
      <c r="HQ37" s="456"/>
      <c r="HR37" s="456"/>
      <c r="HS37" s="456"/>
      <c r="HT37" s="456"/>
      <c r="HU37" s="456"/>
      <c r="HV37" s="456"/>
      <c r="HW37" s="456"/>
      <c r="HX37" s="456"/>
      <c r="HY37" s="456"/>
      <c r="HZ37" s="456"/>
      <c r="IA37" s="456"/>
      <c r="IB37" s="456"/>
      <c r="IC37" s="456"/>
      <c r="ID37" s="456"/>
      <c r="IE37" s="456"/>
      <c r="IF37" s="456"/>
      <c r="IG37" s="456"/>
      <c r="IH37" s="456"/>
      <c r="II37" s="456"/>
      <c r="IJ37" s="456"/>
      <c r="IK37" s="456"/>
      <c r="IL37" s="456"/>
      <c r="IM37" s="456"/>
      <c r="IN37" s="456"/>
      <c r="IO37" s="456"/>
      <c r="IP37" s="456"/>
      <c r="IQ37" s="456"/>
      <c r="IR37" s="456"/>
      <c r="IS37" s="456"/>
      <c r="IT37" s="456"/>
      <c r="IU37" s="456"/>
      <c r="IV37" s="456"/>
      <c r="IW37" s="456"/>
      <c r="IX37" s="456"/>
      <c r="IY37" s="456"/>
      <c r="IZ37" s="456"/>
      <c r="JA37" s="456"/>
      <c r="JB37" s="456"/>
      <c r="JC37" s="456"/>
      <c r="JD37" s="456"/>
      <c r="JE37" s="456"/>
      <c r="JF37" s="456"/>
      <c r="JG37" s="456"/>
      <c r="JH37" s="456"/>
      <c r="JI37" s="456"/>
      <c r="JJ37" s="456"/>
      <c r="JK37" s="456"/>
      <c r="JL37" s="456"/>
      <c r="JM37" s="456"/>
      <c r="JN37" s="456"/>
      <c r="JO37" s="456"/>
      <c r="JP37" s="456"/>
      <c r="JQ37" s="456"/>
      <c r="JR37" s="456"/>
      <c r="JS37" s="456"/>
      <c r="JT37" s="456"/>
      <c r="JU37" s="456"/>
      <c r="JV37" s="456"/>
      <c r="JW37" s="456"/>
      <c r="JX37" s="456"/>
      <c r="JY37" s="456"/>
      <c r="JZ37" s="456"/>
      <c r="KA37" s="456"/>
      <c r="KB37" s="456"/>
      <c r="KC37" s="456"/>
      <c r="KD37" s="456"/>
      <c r="KE37" s="456"/>
      <c r="KF37" s="456"/>
      <c r="KG37" s="456"/>
      <c r="KH37" s="456"/>
      <c r="KI37" s="456"/>
      <c r="KJ37" s="456"/>
      <c r="KK37" s="456"/>
      <c r="KL37" s="456"/>
      <c r="KM37" s="456"/>
      <c r="KN37" s="456"/>
      <c r="KO37" s="456"/>
      <c r="KP37" s="456"/>
      <c r="KQ37" s="456"/>
      <c r="KR37" s="456"/>
      <c r="KS37" s="456"/>
      <c r="KT37" s="456"/>
      <c r="KU37" s="456"/>
      <c r="KV37" s="456"/>
      <c r="KW37" s="456"/>
      <c r="KX37" s="456"/>
      <c r="KY37" s="456"/>
      <c r="KZ37" s="456"/>
      <c r="LA37" s="456"/>
      <c r="LB37" s="456"/>
      <c r="LC37" s="456"/>
      <c r="LD37" s="456"/>
      <c r="LE37" s="456"/>
      <c r="LF37" s="456"/>
      <c r="LG37" s="456"/>
      <c r="LH37" s="456"/>
      <c r="LI37" s="456"/>
      <c r="LJ37" s="456"/>
      <c r="LK37" s="456"/>
      <c r="LL37" s="456"/>
      <c r="LM37" s="456"/>
      <c r="LN37" s="456"/>
      <c r="LO37" s="456"/>
      <c r="LP37" s="456"/>
      <c r="LQ37" s="456"/>
      <c r="LR37" s="456"/>
      <c r="LS37" s="456"/>
      <c r="LT37" s="456"/>
      <c r="LU37" s="456"/>
      <c r="LV37" s="456"/>
      <c r="LW37" s="456"/>
      <c r="LX37" s="456"/>
      <c r="LY37" s="456"/>
      <c r="LZ37" s="456"/>
      <c r="MA37" s="456"/>
      <c r="MB37" s="456"/>
      <c r="MC37" s="456"/>
      <c r="MD37" s="456"/>
      <c r="ME37" s="456"/>
      <c r="MF37" s="456"/>
      <c r="MG37" s="456"/>
      <c r="MH37" s="456"/>
      <c r="MI37" s="456"/>
      <c r="MJ37" s="456"/>
      <c r="MK37" s="456"/>
      <c r="ML37" s="456"/>
      <c r="MM37" s="456"/>
      <c r="MN37" s="456"/>
      <c r="MO37" s="456"/>
      <c r="MP37" s="456"/>
      <c r="MQ37" s="456"/>
      <c r="MR37" s="456"/>
      <c r="MS37" s="456"/>
      <c r="MT37" s="456"/>
      <c r="MU37" s="456"/>
      <c r="MV37" s="456"/>
      <c r="MW37" s="456"/>
      <c r="MX37" s="456"/>
      <c r="MY37" s="456"/>
      <c r="MZ37" s="456"/>
      <c r="NA37" s="456"/>
      <c r="NB37" s="456"/>
      <c r="NC37" s="456"/>
      <c r="ND37" s="456"/>
      <c r="NE37" s="456"/>
      <c r="NF37" s="456"/>
      <c r="NG37" s="456"/>
      <c r="NH37" s="456"/>
      <c r="NI37" s="456"/>
      <c r="NJ37" s="456"/>
      <c r="NK37" s="456"/>
      <c r="NL37" s="456"/>
      <c r="NM37" s="456"/>
      <c r="NN37" s="456"/>
      <c r="NO37" s="456"/>
      <c r="NP37" s="456"/>
      <c r="NQ37" s="456"/>
      <c r="NR37" s="456"/>
      <c r="NS37" s="456"/>
      <c r="NT37" s="456"/>
      <c r="NU37" s="456"/>
      <c r="NV37" s="456"/>
      <c r="NW37" s="456"/>
      <c r="NX37" s="456"/>
      <c r="NY37" s="456"/>
      <c r="NZ37" s="456"/>
      <c r="OA37" s="456"/>
      <c r="OB37" s="456"/>
      <c r="OC37" s="456"/>
      <c r="OD37" s="456"/>
      <c r="OE37" s="456"/>
      <c r="OF37" s="456"/>
      <c r="OG37" s="456"/>
      <c r="OH37" s="456"/>
      <c r="OI37" s="456"/>
      <c r="OJ37" s="456"/>
      <c r="OK37" s="456"/>
      <c r="OL37" s="456"/>
      <c r="OM37" s="456"/>
      <c r="ON37" s="456"/>
      <c r="OO37" s="456"/>
      <c r="OP37" s="456"/>
      <c r="OQ37" s="456"/>
      <c r="OR37" s="456"/>
      <c r="OS37" s="456"/>
      <c r="OT37" s="456"/>
      <c r="OU37" s="456"/>
      <c r="OV37" s="456"/>
      <c r="OW37" s="456"/>
      <c r="OX37" s="456"/>
      <c r="OY37" s="456"/>
      <c r="OZ37" s="456"/>
      <c r="PA37" s="456"/>
      <c r="PB37" s="456"/>
      <c r="PC37" s="456"/>
      <c r="PD37" s="456"/>
      <c r="PE37" s="456"/>
      <c r="PF37" s="456"/>
      <c r="PG37" s="456"/>
      <c r="PH37" s="456"/>
      <c r="PI37" s="456"/>
      <c r="PJ37" s="456"/>
      <c r="PK37" s="456"/>
      <c r="PL37" s="456"/>
      <c r="PM37" s="456"/>
      <c r="PN37" s="456"/>
      <c r="PO37" s="456"/>
      <c r="PP37" s="456"/>
      <c r="PQ37" s="456"/>
      <c r="PR37" s="456"/>
      <c r="PS37" s="456"/>
      <c r="PT37" s="456"/>
      <c r="PU37" s="456"/>
      <c r="PV37" s="456"/>
      <c r="PW37" s="456"/>
      <c r="PX37" s="456"/>
      <c r="PY37" s="456"/>
      <c r="PZ37" s="456"/>
      <c r="QA37" s="456"/>
      <c r="QB37" s="456"/>
      <c r="QC37" s="456"/>
      <c r="QD37" s="456"/>
      <c r="QE37" s="456"/>
      <c r="QF37" s="456"/>
      <c r="QG37" s="456"/>
      <c r="QH37" s="456"/>
      <c r="QI37" s="456"/>
      <c r="QJ37" s="456"/>
      <c r="QK37" s="456"/>
      <c r="QL37" s="456"/>
      <c r="QM37" s="456"/>
      <c r="QN37" s="456"/>
      <c r="QO37" s="456"/>
      <c r="QP37" s="456"/>
      <c r="QQ37" s="456"/>
      <c r="QR37" s="456"/>
      <c r="QS37" s="456"/>
      <c r="QT37" s="456"/>
      <c r="QU37" s="456"/>
      <c r="QV37" s="456"/>
      <c r="QW37" s="456"/>
      <c r="QX37" s="456"/>
      <c r="QY37" s="456"/>
      <c r="QZ37" s="456"/>
      <c r="RA37" s="456"/>
      <c r="RB37" s="456"/>
      <c r="RC37" s="456"/>
      <c r="RD37" s="456"/>
      <c r="RE37" s="456"/>
      <c r="RF37" s="456"/>
      <c r="RG37" s="456"/>
      <c r="RH37" s="456"/>
      <c r="RI37" s="456"/>
      <c r="RJ37" s="456"/>
      <c r="RK37" s="456"/>
      <c r="RL37" s="456"/>
      <c r="RM37" s="456"/>
      <c r="RN37" s="456"/>
      <c r="RO37" s="456"/>
      <c r="RP37" s="456"/>
      <c r="RQ37" s="456"/>
      <c r="RR37" s="456"/>
      <c r="RS37" s="456"/>
      <c r="RT37" s="456"/>
      <c r="RU37" s="456"/>
      <c r="RV37" s="456"/>
      <c r="RW37" s="456"/>
      <c r="RX37" s="456"/>
      <c r="RY37" s="456"/>
      <c r="RZ37" s="456"/>
      <c r="SA37" s="456"/>
      <c r="SB37" s="456"/>
      <c r="SC37" s="456"/>
      <c r="SD37" s="456"/>
      <c r="SE37" s="456"/>
      <c r="SF37" s="456"/>
      <c r="SG37" s="456"/>
      <c r="SH37" s="456"/>
      <c r="SI37" s="456"/>
      <c r="SJ37" s="456"/>
      <c r="SK37" s="456"/>
      <c r="SL37" s="456"/>
      <c r="SM37" s="456"/>
      <c r="SN37" s="456"/>
      <c r="SO37" s="456"/>
      <c r="SP37" s="456"/>
      <c r="SQ37" s="456"/>
      <c r="SR37" s="456"/>
      <c r="SS37" s="456"/>
      <c r="ST37" s="456"/>
      <c r="SU37" s="456"/>
      <c r="SV37" s="456"/>
      <c r="SW37" s="456"/>
      <c r="SX37" s="456"/>
      <c r="SY37" s="456"/>
      <c r="SZ37" s="456"/>
      <c r="TA37" s="456"/>
      <c r="TB37" s="456"/>
      <c r="TC37" s="456"/>
      <c r="TD37" s="456"/>
      <c r="TE37" s="456"/>
      <c r="TF37" s="456"/>
      <c r="TG37" s="456"/>
      <c r="TH37" s="456"/>
      <c r="TI37" s="456"/>
      <c r="TJ37" s="456"/>
      <c r="TK37" s="456"/>
      <c r="TL37" s="456"/>
      <c r="TM37" s="456"/>
      <c r="TN37" s="456"/>
      <c r="TO37" s="456"/>
      <c r="TP37" s="456"/>
      <c r="TQ37" s="456"/>
      <c r="TR37" s="456"/>
      <c r="TS37" s="456"/>
      <c r="TT37" s="456"/>
      <c r="TU37" s="456"/>
      <c r="TV37" s="456"/>
      <c r="TW37" s="456"/>
      <c r="TX37" s="456"/>
      <c r="TY37" s="456"/>
      <c r="TZ37" s="456"/>
      <c r="UA37" s="456"/>
      <c r="UB37" s="456"/>
      <c r="UC37" s="456"/>
      <c r="UD37" s="456"/>
      <c r="UE37" s="456"/>
      <c r="UF37" s="456"/>
      <c r="UG37" s="456"/>
      <c r="UH37" s="456"/>
      <c r="UI37" s="456"/>
      <c r="UJ37" s="456"/>
      <c r="UK37" s="456"/>
      <c r="UL37" s="456"/>
      <c r="UM37" s="456"/>
      <c r="UN37" s="456"/>
      <c r="UO37" s="456"/>
      <c r="UP37" s="456"/>
      <c r="UQ37" s="456"/>
      <c r="UR37" s="456"/>
      <c r="US37" s="456"/>
      <c r="UT37" s="456"/>
      <c r="UU37" s="456"/>
      <c r="UV37" s="456"/>
      <c r="UW37" s="456"/>
      <c r="UX37" s="456"/>
      <c r="UY37" s="456"/>
      <c r="UZ37" s="456"/>
      <c r="VA37" s="456"/>
      <c r="VB37" s="456"/>
      <c r="VC37" s="456"/>
      <c r="VD37" s="456"/>
      <c r="VE37" s="456"/>
      <c r="VF37" s="456"/>
      <c r="VG37" s="456"/>
      <c r="VH37" s="456"/>
      <c r="VI37" s="456"/>
      <c r="VJ37" s="456"/>
      <c r="VK37" s="456"/>
      <c r="VL37" s="456"/>
      <c r="VM37" s="456"/>
      <c r="VN37" s="456"/>
      <c r="VO37" s="456"/>
      <c r="VP37" s="456"/>
      <c r="VQ37" s="456"/>
      <c r="VR37" s="456"/>
      <c r="VS37" s="456"/>
      <c r="VT37" s="456"/>
      <c r="VU37" s="456"/>
      <c r="VV37" s="456"/>
      <c r="VW37" s="456"/>
      <c r="VX37" s="456"/>
      <c r="VY37" s="456"/>
      <c r="VZ37" s="456"/>
      <c r="WA37" s="456"/>
      <c r="WB37" s="456"/>
      <c r="WC37" s="456"/>
      <c r="WD37" s="456"/>
      <c r="WE37" s="456"/>
      <c r="WF37" s="456"/>
      <c r="WG37" s="456"/>
      <c r="WH37" s="456"/>
      <c r="WI37" s="456"/>
      <c r="WJ37" s="456"/>
      <c r="WK37" s="456"/>
      <c r="WL37" s="456"/>
      <c r="WM37" s="456"/>
      <c r="WN37" s="456"/>
      <c r="WO37" s="456"/>
      <c r="WP37" s="456"/>
      <c r="WQ37" s="456"/>
      <c r="WR37" s="456"/>
      <c r="WS37" s="456"/>
      <c r="WT37" s="456"/>
      <c r="WU37" s="456"/>
      <c r="WV37" s="456"/>
      <c r="WW37" s="456"/>
      <c r="WX37" s="456"/>
      <c r="WY37" s="456"/>
      <c r="WZ37" s="456"/>
      <c r="XA37" s="456"/>
      <c r="XB37" s="456"/>
      <c r="XC37" s="456"/>
      <c r="XD37" s="456"/>
      <c r="XE37" s="456"/>
      <c r="XF37" s="456"/>
      <c r="XG37" s="456"/>
      <c r="XH37" s="456"/>
      <c r="XI37" s="456"/>
      <c r="XJ37" s="456"/>
      <c r="XK37" s="456"/>
      <c r="XL37" s="456"/>
      <c r="XM37" s="456"/>
      <c r="XN37" s="456"/>
      <c r="XO37" s="456"/>
      <c r="XP37" s="456"/>
      <c r="XQ37" s="456"/>
      <c r="XR37" s="456"/>
      <c r="XS37" s="456"/>
      <c r="XT37" s="456"/>
      <c r="XU37" s="456"/>
      <c r="XV37" s="456"/>
      <c r="XW37" s="456"/>
      <c r="XX37" s="456"/>
      <c r="XY37" s="456"/>
      <c r="XZ37" s="456"/>
      <c r="YA37" s="456"/>
      <c r="YB37" s="456"/>
      <c r="YC37" s="456"/>
      <c r="YD37" s="456"/>
      <c r="YE37" s="456"/>
      <c r="YF37" s="456"/>
      <c r="YG37" s="456"/>
      <c r="YH37" s="456"/>
      <c r="YI37" s="456"/>
      <c r="YJ37" s="456"/>
      <c r="YK37" s="456"/>
      <c r="YL37" s="456"/>
      <c r="YM37" s="456"/>
      <c r="YN37" s="456"/>
      <c r="YO37" s="456"/>
      <c r="YP37" s="456"/>
      <c r="YQ37" s="456"/>
      <c r="YR37" s="456"/>
      <c r="YS37" s="456"/>
      <c r="YT37" s="456"/>
      <c r="YU37" s="456"/>
      <c r="YV37" s="456"/>
      <c r="YW37" s="456"/>
      <c r="YX37" s="456"/>
      <c r="YY37" s="456"/>
      <c r="YZ37" s="456"/>
      <c r="ZA37" s="456"/>
      <c r="ZB37" s="456"/>
      <c r="ZC37" s="456"/>
      <c r="ZD37" s="456"/>
      <c r="ZE37" s="456"/>
      <c r="ZF37" s="456"/>
      <c r="ZG37" s="456"/>
      <c r="ZH37" s="456"/>
      <c r="ZI37" s="456"/>
      <c r="ZJ37" s="456"/>
      <c r="ZK37" s="456"/>
      <c r="ZL37" s="456"/>
      <c r="ZM37" s="456"/>
      <c r="ZN37" s="456"/>
      <c r="ZO37" s="456"/>
      <c r="ZP37" s="456"/>
      <c r="ZQ37" s="456"/>
      <c r="ZR37" s="456"/>
      <c r="ZS37" s="456"/>
      <c r="ZT37" s="456"/>
      <c r="ZU37" s="456"/>
      <c r="ZV37" s="456"/>
      <c r="ZW37" s="456"/>
      <c r="ZX37" s="456"/>
      <c r="ZY37" s="456"/>
      <c r="ZZ37" s="456"/>
      <c r="AAA37" s="456"/>
      <c r="AAB37" s="456"/>
      <c r="AAC37" s="456"/>
      <c r="AAD37" s="456"/>
      <c r="AAE37" s="456"/>
      <c r="AAF37" s="456"/>
      <c r="AAG37" s="456"/>
      <c r="AAH37" s="456"/>
      <c r="AAI37" s="456"/>
      <c r="AAJ37" s="456"/>
      <c r="AAK37" s="456"/>
      <c r="AAL37" s="456"/>
      <c r="AAM37" s="456"/>
      <c r="AAN37" s="456"/>
      <c r="AAO37" s="456"/>
      <c r="AAP37" s="456"/>
      <c r="AAQ37" s="456"/>
      <c r="AAR37" s="456"/>
      <c r="AAS37" s="456"/>
      <c r="AAT37" s="456"/>
      <c r="AAU37" s="456"/>
      <c r="AAV37" s="456"/>
      <c r="AAW37" s="456"/>
      <c r="AAX37" s="456"/>
      <c r="AAY37" s="456"/>
      <c r="AAZ37" s="456"/>
      <c r="ABA37" s="456"/>
      <c r="ABB37" s="456"/>
      <c r="ABC37" s="456"/>
      <c r="ABD37" s="456"/>
      <c r="ABE37" s="456"/>
      <c r="ABF37" s="456"/>
      <c r="ABG37" s="456"/>
      <c r="ABH37" s="456"/>
      <c r="ABI37" s="456"/>
      <c r="ABJ37" s="456"/>
      <c r="ABK37" s="456"/>
      <c r="ABL37" s="456"/>
      <c r="ABM37" s="456"/>
      <c r="ABN37" s="456"/>
      <c r="ABO37" s="456"/>
      <c r="ABP37" s="456"/>
      <c r="ABQ37" s="456"/>
      <c r="ABR37" s="456"/>
      <c r="ABS37" s="456"/>
      <c r="ABT37" s="456"/>
      <c r="ABU37" s="456"/>
      <c r="ABV37" s="456"/>
      <c r="ABW37" s="456"/>
      <c r="ABX37" s="456"/>
      <c r="ABY37" s="456"/>
      <c r="ABZ37" s="456"/>
      <c r="ACA37" s="456"/>
      <c r="ACB37" s="456"/>
      <c r="ACC37" s="456"/>
      <c r="ACD37" s="456"/>
      <c r="ACE37" s="456"/>
      <c r="ACF37" s="456"/>
      <c r="ACG37" s="456"/>
      <c r="ACH37" s="456"/>
      <c r="ACI37" s="456"/>
      <c r="ACJ37" s="456"/>
      <c r="ACK37" s="456"/>
      <c r="ACL37" s="456"/>
      <c r="ACM37" s="456"/>
      <c r="ACN37" s="456"/>
      <c r="ACO37" s="456"/>
      <c r="ACP37" s="456"/>
      <c r="ACQ37" s="456"/>
      <c r="ACR37" s="456"/>
      <c r="ACS37" s="456"/>
      <c r="ACT37" s="456"/>
      <c r="ACU37" s="456"/>
      <c r="ACV37" s="456"/>
      <c r="ACW37" s="456"/>
      <c r="ACX37" s="456"/>
      <c r="ACY37" s="456"/>
      <c r="ACZ37" s="456"/>
      <c r="ADA37" s="456"/>
      <c r="ADB37" s="456"/>
      <c r="ADC37" s="456"/>
      <c r="ADD37" s="456"/>
      <c r="ADE37" s="456"/>
      <c r="ADF37" s="456"/>
      <c r="ADG37" s="456"/>
      <c r="ADH37" s="456"/>
      <c r="ADI37" s="456"/>
      <c r="ADJ37" s="456"/>
      <c r="ADK37" s="456"/>
      <c r="ADL37" s="456"/>
      <c r="ADM37" s="456"/>
      <c r="ADN37" s="456"/>
      <c r="ADO37" s="456"/>
      <c r="ADP37" s="456"/>
      <c r="ADQ37" s="456"/>
      <c r="ADR37" s="456"/>
      <c r="ADS37" s="456"/>
      <c r="ADT37" s="456"/>
      <c r="ADU37" s="456"/>
      <c r="ADV37" s="456"/>
      <c r="ADW37" s="456"/>
      <c r="ADX37" s="456"/>
      <c r="ADY37" s="456"/>
      <c r="ADZ37" s="456"/>
      <c r="AEA37" s="456"/>
      <c r="AEB37" s="456"/>
      <c r="AEC37" s="456"/>
      <c r="AED37" s="456"/>
      <c r="AEE37" s="456"/>
      <c r="AEF37" s="456"/>
      <c r="AEG37" s="456"/>
      <c r="AEH37" s="456"/>
      <c r="AEI37" s="456"/>
      <c r="AEJ37" s="456"/>
      <c r="AEK37" s="456"/>
      <c r="AEL37" s="456"/>
      <c r="AEM37" s="456"/>
      <c r="AEN37" s="456"/>
      <c r="AEO37" s="456"/>
      <c r="AEP37" s="456"/>
      <c r="AEQ37" s="456"/>
      <c r="AER37" s="456"/>
      <c r="AES37" s="456"/>
      <c r="AET37" s="456"/>
      <c r="AEU37" s="456"/>
      <c r="AEV37" s="456"/>
      <c r="AEW37" s="456"/>
      <c r="AEX37" s="456"/>
      <c r="AEY37" s="456"/>
      <c r="AEZ37" s="456"/>
      <c r="AFA37" s="456"/>
      <c r="AFB37" s="456"/>
      <c r="AFC37" s="456"/>
      <c r="AFD37" s="456"/>
      <c r="AFE37" s="456"/>
      <c r="AFF37" s="456"/>
      <c r="AFG37" s="456"/>
      <c r="AFH37" s="456"/>
      <c r="AFI37" s="456"/>
      <c r="AFJ37" s="456"/>
      <c r="AFK37" s="456"/>
      <c r="AFL37" s="456"/>
      <c r="AFM37" s="456"/>
      <c r="AFN37" s="456"/>
      <c r="AFO37" s="456"/>
      <c r="AFP37" s="456"/>
      <c r="AFQ37" s="456"/>
      <c r="AFR37" s="456"/>
      <c r="AFS37" s="456"/>
      <c r="AFT37" s="456"/>
      <c r="AFU37" s="456"/>
      <c r="AFV37" s="456"/>
      <c r="AFW37" s="456"/>
      <c r="AFX37" s="456"/>
      <c r="AFY37" s="456"/>
      <c r="AFZ37" s="456"/>
      <c r="AGA37" s="456"/>
      <c r="AGB37" s="456"/>
      <c r="AGC37" s="456"/>
      <c r="AGD37" s="456"/>
      <c r="AGE37" s="456"/>
      <c r="AGF37" s="456"/>
      <c r="AGG37" s="456"/>
      <c r="AGH37" s="456"/>
      <c r="AGI37" s="456"/>
      <c r="AGJ37" s="456"/>
      <c r="AGK37" s="456"/>
      <c r="AGL37" s="456"/>
      <c r="AGM37" s="456"/>
      <c r="AGN37" s="456"/>
      <c r="AGO37" s="456"/>
      <c r="AGP37" s="456"/>
      <c r="AGQ37" s="456"/>
      <c r="AGR37" s="456"/>
      <c r="AGS37" s="456"/>
      <c r="AGT37" s="456"/>
      <c r="AGU37" s="456"/>
      <c r="AGV37" s="456"/>
      <c r="AGW37" s="456"/>
      <c r="AGX37" s="456"/>
      <c r="AGY37" s="456"/>
      <c r="AGZ37" s="456"/>
      <c r="AHA37" s="456"/>
      <c r="AHB37" s="456"/>
      <c r="AHC37" s="456"/>
      <c r="AHD37" s="456"/>
      <c r="AHE37" s="456"/>
      <c r="AHF37" s="456"/>
      <c r="AHG37" s="456"/>
      <c r="AHH37" s="456"/>
      <c r="AHI37" s="456"/>
      <c r="AHJ37" s="456"/>
      <c r="AHK37" s="456"/>
      <c r="AHL37" s="456"/>
      <c r="AHM37" s="456"/>
      <c r="AHN37" s="456"/>
      <c r="AHO37" s="456"/>
      <c r="AHP37" s="456"/>
      <c r="AHQ37" s="456"/>
      <c r="AHR37" s="456"/>
      <c r="AHS37" s="456"/>
      <c r="AHT37" s="456"/>
      <c r="AHU37" s="456"/>
      <c r="AHV37" s="456"/>
      <c r="AHW37" s="456"/>
      <c r="AHX37" s="456"/>
      <c r="AHY37" s="456"/>
      <c r="AHZ37" s="456"/>
      <c r="AIA37" s="456"/>
      <c r="AIB37" s="456"/>
      <c r="AIC37" s="456"/>
      <c r="AID37" s="456"/>
      <c r="AIE37" s="456"/>
      <c r="AIF37" s="456"/>
      <c r="AIG37" s="456"/>
      <c r="AIH37" s="456"/>
      <c r="AII37" s="456"/>
      <c r="AIJ37" s="456"/>
      <c r="AIK37" s="456"/>
      <c r="AIL37" s="456"/>
      <c r="AIM37" s="456"/>
      <c r="AIN37" s="456"/>
      <c r="AIO37" s="456"/>
      <c r="AIP37" s="456"/>
      <c r="AIQ37" s="456"/>
      <c r="AIR37" s="456"/>
      <c r="AIS37" s="456"/>
      <c r="AIT37" s="456"/>
      <c r="AIU37" s="456"/>
      <c r="AIV37" s="456"/>
      <c r="AIW37" s="456"/>
      <c r="AIX37" s="456"/>
      <c r="AIY37" s="456"/>
      <c r="AIZ37" s="456"/>
      <c r="AJA37" s="456"/>
      <c r="AJB37" s="456"/>
      <c r="AJC37" s="456"/>
      <c r="AJD37" s="456"/>
      <c r="AJE37" s="456"/>
      <c r="AJF37" s="456"/>
      <c r="AJG37" s="456"/>
      <c r="AJH37" s="456"/>
      <c r="AJI37" s="456"/>
      <c r="AJJ37" s="456"/>
      <c r="AJK37" s="456"/>
      <c r="AJL37" s="456"/>
      <c r="AJM37" s="456"/>
      <c r="AJN37" s="456"/>
      <c r="AJO37" s="456"/>
      <c r="AJP37" s="456"/>
      <c r="AJQ37" s="456"/>
      <c r="AJR37" s="456"/>
      <c r="AJS37" s="456"/>
      <c r="AJT37" s="456"/>
      <c r="AJU37" s="456"/>
      <c r="AJV37" s="456"/>
      <c r="AJW37" s="456"/>
      <c r="AJX37" s="456"/>
      <c r="AJY37" s="456"/>
      <c r="AJZ37" s="456"/>
      <c r="AKA37" s="456"/>
      <c r="AKB37" s="456"/>
      <c r="AKC37" s="456"/>
      <c r="AKD37" s="456"/>
      <c r="AKE37" s="456"/>
      <c r="AKF37" s="456"/>
      <c r="AKG37" s="456"/>
      <c r="AKH37" s="456"/>
      <c r="AKI37" s="456"/>
      <c r="AKJ37" s="456"/>
      <c r="AKK37" s="456"/>
      <c r="AKL37" s="456"/>
      <c r="AKM37" s="456"/>
      <c r="AKN37" s="456"/>
      <c r="AKO37" s="456"/>
      <c r="AKP37" s="456"/>
      <c r="AKQ37" s="456"/>
      <c r="AKR37" s="456"/>
      <c r="AKS37" s="456"/>
      <c r="AKT37" s="456"/>
      <c r="AKU37" s="456"/>
      <c r="AKV37" s="456"/>
      <c r="AKW37" s="456"/>
      <c r="AKX37" s="456"/>
      <c r="AKY37" s="456"/>
      <c r="AKZ37" s="456"/>
      <c r="ALA37" s="456"/>
      <c r="ALB37" s="456"/>
      <c r="ALC37" s="456"/>
      <c r="ALD37" s="456"/>
      <c r="ALE37" s="456"/>
      <c r="ALF37" s="456"/>
      <c r="ALG37" s="456"/>
      <c r="ALH37" s="456"/>
      <c r="ALI37" s="456"/>
      <c r="ALJ37" s="456"/>
      <c r="ALK37" s="456"/>
      <c r="ALL37" s="456"/>
      <c r="ALM37" s="456"/>
      <c r="ALN37" s="456"/>
      <c r="ALO37" s="456"/>
      <c r="ALP37" s="456"/>
      <c r="ALQ37" s="456"/>
      <c r="ALR37" s="456"/>
      <c r="ALS37" s="456"/>
      <c r="ALT37" s="456"/>
      <c r="ALU37" s="456"/>
      <c r="ALV37" s="456"/>
      <c r="ALW37" s="456"/>
      <c r="ALX37" s="456"/>
      <c r="ALY37" s="456"/>
      <c r="ALZ37" s="456"/>
      <c r="AMA37" s="456"/>
      <c r="AMB37" s="456"/>
      <c r="AMC37" s="456"/>
      <c r="AMD37" s="456"/>
      <c r="AME37" s="456"/>
      <c r="AMF37" s="456"/>
      <c r="AMG37" s="456"/>
      <c r="AMH37" s="456"/>
      <c r="AMI37" s="456"/>
      <c r="AMJ37" s="456"/>
      <c r="AMK37" s="456"/>
      <c r="AML37" s="456"/>
      <c r="AMM37" s="456"/>
      <c r="AMN37" s="456"/>
      <c r="AMO37" s="456"/>
      <c r="AMP37" s="456"/>
      <c r="AMQ37" s="456"/>
      <c r="AMR37" s="456"/>
      <c r="AMS37" s="456"/>
      <c r="AMT37" s="456"/>
      <c r="AMU37" s="456"/>
      <c r="AMV37" s="456"/>
      <c r="AMW37" s="456"/>
      <c r="AMX37" s="456"/>
      <c r="AMY37" s="456"/>
      <c r="AMZ37" s="456"/>
      <c r="ANA37" s="456"/>
      <c r="ANB37" s="456"/>
      <c r="ANC37" s="456"/>
      <c r="AND37" s="456"/>
      <c r="ANE37" s="456"/>
      <c r="ANF37" s="456"/>
      <c r="ANG37" s="456"/>
      <c r="ANH37" s="456"/>
      <c r="ANI37" s="456"/>
      <c r="ANJ37" s="456"/>
      <c r="ANK37" s="456"/>
      <c r="ANL37" s="456"/>
      <c r="ANM37" s="456"/>
      <c r="ANN37" s="456"/>
      <c r="ANO37" s="456"/>
      <c r="ANP37" s="456"/>
      <c r="ANQ37" s="456"/>
      <c r="ANR37" s="456"/>
      <c r="ANS37" s="456"/>
      <c r="ANT37" s="456"/>
      <c r="ANU37" s="456"/>
      <c r="ANV37" s="456"/>
      <c r="ANW37" s="456"/>
      <c r="ANX37" s="456"/>
      <c r="ANY37" s="456"/>
      <c r="ANZ37" s="456"/>
      <c r="AOA37" s="456"/>
      <c r="AOB37" s="456"/>
      <c r="AOC37" s="456"/>
      <c r="AOD37" s="456"/>
      <c r="AOE37" s="456"/>
      <c r="AOF37" s="456"/>
      <c r="AOG37" s="456"/>
      <c r="AOH37" s="456"/>
      <c r="AOI37" s="456"/>
      <c r="AOJ37" s="456"/>
      <c r="AOK37" s="456"/>
      <c r="AOL37" s="456"/>
      <c r="AOM37" s="456"/>
      <c r="AON37" s="456"/>
      <c r="AOO37" s="456"/>
      <c r="AOP37" s="456"/>
      <c r="AOQ37" s="456"/>
      <c r="AOR37" s="456"/>
      <c r="AOS37" s="456"/>
      <c r="AOT37" s="456"/>
      <c r="AOU37" s="456"/>
      <c r="AOV37" s="456"/>
      <c r="AOW37" s="456"/>
      <c r="AOX37" s="456"/>
      <c r="AOY37" s="456"/>
      <c r="AOZ37" s="456"/>
      <c r="APA37" s="456"/>
      <c r="APB37" s="456"/>
      <c r="APC37" s="456"/>
      <c r="APD37" s="456"/>
      <c r="APE37" s="456"/>
      <c r="APF37" s="456"/>
      <c r="APG37" s="456"/>
      <c r="APH37" s="456"/>
      <c r="API37" s="456"/>
      <c r="APJ37" s="456"/>
      <c r="APK37" s="456"/>
      <c r="APL37" s="456"/>
      <c r="APM37" s="456"/>
      <c r="APN37" s="456"/>
      <c r="APO37" s="456"/>
      <c r="APP37" s="456"/>
      <c r="APQ37" s="456"/>
      <c r="APR37" s="456"/>
      <c r="APS37" s="456"/>
      <c r="APT37" s="456"/>
      <c r="APU37" s="456"/>
      <c r="APV37" s="456"/>
      <c r="APW37" s="456"/>
      <c r="APX37" s="456"/>
      <c r="APY37" s="456"/>
      <c r="APZ37" s="456"/>
      <c r="AQA37" s="456"/>
      <c r="AQB37" s="456"/>
      <c r="AQC37" s="456"/>
      <c r="AQD37" s="456"/>
      <c r="AQE37" s="456"/>
      <c r="AQF37" s="456"/>
      <c r="AQG37" s="456"/>
      <c r="AQH37" s="456"/>
      <c r="AQI37" s="456"/>
      <c r="AQJ37" s="456"/>
      <c r="AQK37" s="456"/>
      <c r="AQL37" s="456"/>
      <c r="AQM37" s="456"/>
      <c r="AQN37" s="456"/>
      <c r="AQO37" s="456"/>
      <c r="AQP37" s="456"/>
      <c r="AQQ37" s="456"/>
      <c r="AQR37" s="456"/>
      <c r="AQS37" s="456"/>
      <c r="AQT37" s="456"/>
      <c r="AQU37" s="456"/>
      <c r="AQV37" s="456"/>
      <c r="AQW37" s="456"/>
      <c r="AQX37" s="456"/>
      <c r="AQY37" s="456"/>
      <c r="AQZ37" s="456"/>
      <c r="ARA37" s="456"/>
      <c r="ARB37" s="456"/>
      <c r="ARC37" s="456"/>
      <c r="ARD37" s="456"/>
      <c r="ARE37" s="456"/>
      <c r="ARF37" s="456"/>
      <c r="ARG37" s="456"/>
      <c r="ARH37" s="456"/>
      <c r="ARI37" s="456"/>
      <c r="ARJ37" s="456"/>
      <c r="ARK37" s="456"/>
      <c r="ARL37" s="456"/>
      <c r="ARM37" s="456"/>
      <c r="ARN37" s="456"/>
      <c r="ARO37" s="456"/>
      <c r="ARP37" s="456"/>
      <c r="ARQ37" s="456"/>
      <c r="ARR37" s="456"/>
      <c r="ARS37" s="456"/>
      <c r="ART37" s="456"/>
      <c r="ARU37" s="456"/>
      <c r="ARV37" s="456"/>
      <c r="ARW37" s="456"/>
      <c r="ARX37" s="456"/>
      <c r="ARY37" s="456"/>
      <c r="ARZ37" s="456"/>
      <c r="ASA37" s="456"/>
      <c r="ASB37" s="456"/>
      <c r="ASC37" s="456"/>
      <c r="ASD37" s="456"/>
      <c r="ASE37" s="456"/>
      <c r="ASF37" s="456"/>
      <c r="ASG37" s="456"/>
      <c r="ASH37" s="456"/>
      <c r="ASI37" s="456"/>
      <c r="ASJ37" s="456"/>
      <c r="ASK37" s="456"/>
      <c r="ASL37" s="456"/>
      <c r="ASM37" s="456"/>
      <c r="ASN37" s="456"/>
      <c r="ASO37" s="456"/>
      <c r="ASP37" s="456"/>
      <c r="ASQ37" s="456"/>
      <c r="ASR37" s="456"/>
      <c r="ASS37" s="456"/>
      <c r="AST37" s="456"/>
      <c r="ASU37" s="456"/>
      <c r="ASV37" s="456"/>
      <c r="ASW37" s="456"/>
      <c r="ASX37" s="456"/>
      <c r="ASY37" s="456"/>
      <c r="ASZ37" s="456"/>
      <c r="ATA37" s="456"/>
      <c r="ATB37" s="456"/>
      <c r="ATC37" s="456"/>
      <c r="ATD37" s="456"/>
      <c r="ATE37" s="456"/>
      <c r="ATF37" s="456"/>
      <c r="ATG37" s="456"/>
      <c r="ATH37" s="456"/>
      <c r="ATI37" s="456"/>
      <c r="ATJ37" s="456"/>
      <c r="ATK37" s="456"/>
      <c r="ATL37" s="456"/>
      <c r="ATM37" s="456"/>
      <c r="ATN37" s="456"/>
      <c r="ATO37" s="456"/>
      <c r="ATP37" s="456"/>
      <c r="ATQ37" s="456"/>
      <c r="ATR37" s="456"/>
      <c r="ATS37" s="456"/>
      <c r="ATT37" s="456"/>
      <c r="ATU37" s="456"/>
      <c r="ATV37" s="456"/>
      <c r="ATW37" s="456"/>
      <c r="ATX37" s="456"/>
      <c r="ATY37" s="456"/>
      <c r="ATZ37" s="456"/>
      <c r="AUA37" s="456"/>
      <c r="AUB37" s="456"/>
      <c r="AUC37" s="456"/>
      <c r="AUD37" s="456"/>
      <c r="AUE37" s="456"/>
      <c r="AUF37" s="456"/>
      <c r="AUG37" s="456"/>
      <c r="AUH37" s="456"/>
      <c r="AUI37" s="456"/>
      <c r="AUJ37" s="456"/>
      <c r="AUK37" s="456"/>
      <c r="AUL37" s="456"/>
      <c r="AUM37" s="456"/>
      <c r="AUN37" s="456"/>
      <c r="AUO37" s="456"/>
      <c r="AUP37" s="456"/>
      <c r="AUQ37" s="456"/>
      <c r="AUR37" s="456"/>
      <c r="AUS37" s="456"/>
      <c r="AUT37" s="456"/>
      <c r="AUU37" s="456"/>
      <c r="AUV37" s="456"/>
      <c r="AUW37" s="456"/>
      <c r="AUX37" s="456"/>
      <c r="AUY37" s="456"/>
      <c r="AUZ37" s="456"/>
      <c r="AVA37" s="456"/>
      <c r="AVB37" s="456"/>
      <c r="AVC37" s="456"/>
      <c r="AVD37" s="456"/>
      <c r="AVE37" s="456"/>
      <c r="AVF37" s="456"/>
      <c r="AVG37" s="456"/>
      <c r="AVH37" s="456"/>
      <c r="AVI37" s="456"/>
      <c r="AVJ37" s="456"/>
      <c r="AVK37" s="456"/>
      <c r="AVL37" s="456"/>
      <c r="AVM37" s="456"/>
      <c r="AVN37" s="456"/>
      <c r="AVO37" s="456"/>
      <c r="AVP37" s="456"/>
      <c r="AVQ37" s="456"/>
      <c r="AVR37" s="456"/>
      <c r="AVS37" s="456"/>
      <c r="AVT37" s="456"/>
      <c r="AVU37" s="456"/>
      <c r="AVV37" s="456"/>
      <c r="AVW37" s="456"/>
      <c r="AVX37" s="456"/>
      <c r="AVY37" s="456"/>
      <c r="AVZ37" s="456"/>
      <c r="AWA37" s="456"/>
      <c r="AWB37" s="456"/>
      <c r="AWC37" s="456"/>
      <c r="AWD37" s="456"/>
      <c r="AWE37" s="456"/>
      <c r="AWF37" s="456"/>
      <c r="AWG37" s="456"/>
      <c r="AWH37" s="456"/>
      <c r="AWI37" s="456"/>
      <c r="AWJ37" s="456"/>
      <c r="AWK37" s="456"/>
      <c r="AWL37" s="456"/>
      <c r="AWM37" s="456"/>
      <c r="AWN37" s="456"/>
      <c r="AWO37" s="456"/>
      <c r="AWP37" s="456"/>
      <c r="AWQ37" s="456"/>
      <c r="AWR37" s="456"/>
      <c r="AWS37" s="456"/>
      <c r="AWT37" s="456"/>
      <c r="AWU37" s="456"/>
      <c r="AWV37" s="456"/>
      <c r="AWW37" s="456"/>
      <c r="AWX37" s="456"/>
      <c r="AWY37" s="456"/>
      <c r="AWZ37" s="456"/>
      <c r="AXA37" s="456"/>
      <c r="AXB37" s="456"/>
      <c r="AXC37" s="456"/>
      <c r="AXD37" s="456"/>
      <c r="AXE37" s="456"/>
      <c r="AXF37" s="456"/>
      <c r="AXG37" s="456"/>
      <c r="AXH37" s="456"/>
      <c r="AXI37" s="456"/>
      <c r="AXJ37" s="456"/>
      <c r="AXK37" s="456"/>
      <c r="AXL37" s="456"/>
      <c r="AXM37" s="456"/>
      <c r="AXN37" s="456"/>
      <c r="AXO37" s="456"/>
      <c r="AXP37" s="456"/>
      <c r="AXQ37" s="456"/>
      <c r="AXR37" s="456"/>
      <c r="AXS37" s="456"/>
      <c r="AXT37" s="456"/>
      <c r="AXU37" s="456"/>
      <c r="AXV37" s="456"/>
      <c r="AXW37" s="456"/>
      <c r="AXX37" s="456"/>
      <c r="AXY37" s="456"/>
      <c r="AXZ37" s="456"/>
      <c r="AYA37" s="456"/>
      <c r="AYB37" s="456"/>
      <c r="AYC37" s="456"/>
      <c r="AYD37" s="456"/>
      <c r="AYE37" s="456"/>
      <c r="AYF37" s="456"/>
      <c r="AYG37" s="456"/>
      <c r="AYH37" s="456"/>
      <c r="AYI37" s="456"/>
      <c r="AYJ37" s="456"/>
      <c r="AYK37" s="456"/>
      <c r="AYL37" s="456"/>
      <c r="AYM37" s="456"/>
      <c r="AYN37" s="456"/>
      <c r="AYO37" s="456"/>
      <c r="AYP37" s="456"/>
      <c r="AYQ37" s="456"/>
      <c r="AYR37" s="456"/>
      <c r="AYS37" s="456"/>
      <c r="AYT37" s="456"/>
      <c r="AYU37" s="456"/>
      <c r="AYV37" s="456"/>
      <c r="AYW37" s="456"/>
      <c r="AYX37" s="456"/>
      <c r="AYY37" s="456"/>
      <c r="AYZ37" s="456"/>
      <c r="AZA37" s="456"/>
      <c r="AZB37" s="456"/>
      <c r="AZC37" s="456"/>
      <c r="AZD37" s="456"/>
      <c r="AZE37" s="456"/>
      <c r="AZF37" s="456"/>
      <c r="AZG37" s="456"/>
      <c r="AZH37" s="456"/>
      <c r="AZI37" s="456"/>
      <c r="AZJ37" s="456"/>
      <c r="AZK37" s="456"/>
      <c r="AZL37" s="456"/>
      <c r="AZM37" s="456"/>
      <c r="AZN37" s="456"/>
      <c r="AZO37" s="456"/>
      <c r="AZP37" s="456"/>
      <c r="AZQ37" s="456"/>
      <c r="AZR37" s="456"/>
      <c r="AZS37" s="456"/>
      <c r="AZT37" s="456"/>
      <c r="AZU37" s="456"/>
      <c r="AZV37" s="456"/>
      <c r="AZW37" s="456"/>
      <c r="AZX37" s="456"/>
      <c r="AZY37" s="456"/>
      <c r="AZZ37" s="456"/>
      <c r="BAA37" s="456"/>
      <c r="BAB37" s="456"/>
      <c r="BAC37" s="456"/>
      <c r="BAD37" s="456"/>
      <c r="BAE37" s="456"/>
      <c r="BAF37" s="456"/>
      <c r="BAG37" s="456"/>
      <c r="BAH37" s="456"/>
      <c r="BAI37" s="456"/>
      <c r="BAJ37" s="456"/>
      <c r="BAK37" s="456"/>
      <c r="BAL37" s="456"/>
      <c r="BAM37" s="456"/>
      <c r="BAN37" s="456"/>
      <c r="BAO37" s="456"/>
      <c r="BAP37" s="456"/>
      <c r="BAQ37" s="456"/>
      <c r="BAR37" s="456"/>
      <c r="BAS37" s="456"/>
      <c r="BAT37" s="456"/>
      <c r="BAU37" s="456"/>
      <c r="BAV37" s="456"/>
      <c r="BAW37" s="456"/>
      <c r="BAX37" s="456"/>
      <c r="BAY37" s="456"/>
      <c r="BAZ37" s="456"/>
      <c r="BBA37" s="456"/>
      <c r="BBB37" s="456"/>
      <c r="BBC37" s="456"/>
      <c r="BBD37" s="456"/>
      <c r="BBE37" s="456"/>
      <c r="BBF37" s="456"/>
      <c r="BBG37" s="456"/>
      <c r="BBH37" s="456"/>
      <c r="BBI37" s="456"/>
      <c r="BBJ37" s="456"/>
      <c r="BBK37" s="456"/>
      <c r="BBL37" s="456"/>
      <c r="BBM37" s="456"/>
      <c r="BBN37" s="456"/>
      <c r="BBO37" s="456"/>
      <c r="BBP37" s="456"/>
      <c r="BBQ37" s="456"/>
      <c r="BBR37" s="456"/>
      <c r="BBS37" s="456"/>
      <c r="BBT37" s="456"/>
      <c r="BBU37" s="456"/>
      <c r="BBV37" s="456"/>
      <c r="BBW37" s="456"/>
      <c r="BBX37" s="456"/>
      <c r="BBY37" s="456"/>
      <c r="BBZ37" s="456"/>
      <c r="BCA37" s="456"/>
      <c r="BCB37" s="456"/>
      <c r="BCC37" s="456"/>
      <c r="BCD37" s="456"/>
      <c r="BCE37" s="456"/>
      <c r="BCF37" s="456"/>
      <c r="BCG37" s="456"/>
      <c r="BCH37" s="456"/>
      <c r="BCI37" s="456"/>
      <c r="BCJ37" s="456"/>
      <c r="BCK37" s="456"/>
      <c r="BCL37" s="456"/>
      <c r="BCM37" s="456"/>
      <c r="BCN37" s="456"/>
      <c r="BCO37" s="456"/>
      <c r="BCP37" s="456"/>
      <c r="BCQ37" s="456"/>
      <c r="BCR37" s="456"/>
      <c r="BCS37" s="456"/>
      <c r="BCT37" s="456"/>
      <c r="BCU37" s="456"/>
      <c r="BCV37" s="456"/>
      <c r="BCW37" s="456"/>
      <c r="BCX37" s="456"/>
      <c r="BCY37" s="456"/>
      <c r="BCZ37" s="456"/>
      <c r="BDA37" s="456"/>
      <c r="BDB37" s="456"/>
      <c r="BDC37" s="456"/>
      <c r="BDD37" s="456"/>
      <c r="BDE37" s="456"/>
      <c r="BDF37" s="456"/>
      <c r="BDG37" s="456"/>
      <c r="BDH37" s="456"/>
      <c r="BDI37" s="456"/>
      <c r="BDJ37" s="456"/>
      <c r="BDK37" s="456"/>
      <c r="BDL37" s="456"/>
      <c r="BDM37" s="456"/>
      <c r="BDN37" s="456"/>
      <c r="BDO37" s="456"/>
      <c r="BDP37" s="456"/>
      <c r="BDQ37" s="456"/>
      <c r="BDR37" s="456"/>
      <c r="BDS37" s="456"/>
      <c r="BDT37" s="456"/>
      <c r="BDU37" s="456"/>
      <c r="BDV37" s="456"/>
      <c r="BDW37" s="456"/>
      <c r="BDX37" s="456"/>
      <c r="BDY37" s="456"/>
      <c r="BDZ37" s="456"/>
      <c r="BEA37" s="456"/>
      <c r="BEB37" s="456"/>
      <c r="BEC37" s="456"/>
      <c r="BED37" s="456"/>
      <c r="BEE37" s="456"/>
      <c r="BEF37" s="456"/>
      <c r="BEG37" s="456"/>
      <c r="BEH37" s="456"/>
      <c r="BEI37" s="456"/>
      <c r="BEJ37" s="456"/>
      <c r="BEK37" s="456"/>
      <c r="BEL37" s="456"/>
      <c r="BEM37" s="456"/>
      <c r="BEN37" s="456"/>
      <c r="BEO37" s="456"/>
      <c r="BEP37" s="456"/>
      <c r="BEQ37" s="456"/>
      <c r="BER37" s="456"/>
      <c r="BES37" s="456"/>
      <c r="BET37" s="456"/>
      <c r="BEU37" s="456"/>
      <c r="BEV37" s="456"/>
      <c r="BEW37" s="456"/>
      <c r="BEX37" s="456"/>
      <c r="BEY37" s="456"/>
      <c r="BEZ37" s="456"/>
      <c r="BFA37" s="456"/>
      <c r="BFB37" s="456"/>
      <c r="BFC37" s="456"/>
      <c r="BFD37" s="456"/>
      <c r="BFE37" s="456"/>
      <c r="BFF37" s="456"/>
      <c r="BFG37" s="456"/>
      <c r="BFH37" s="456"/>
      <c r="BFI37" s="456"/>
      <c r="BFJ37" s="456"/>
      <c r="BFK37" s="456"/>
      <c r="BFL37" s="456"/>
      <c r="BFM37" s="456"/>
      <c r="BFN37" s="456"/>
      <c r="BFO37" s="456"/>
      <c r="BFP37" s="456"/>
      <c r="BFQ37" s="456"/>
      <c r="BFR37" s="456"/>
      <c r="BFS37" s="456"/>
      <c r="BFT37" s="456"/>
      <c r="BFU37" s="456"/>
      <c r="BFV37" s="456"/>
      <c r="BFW37" s="456"/>
      <c r="BFX37" s="456"/>
      <c r="BFY37" s="456"/>
      <c r="BFZ37" s="456"/>
      <c r="BGA37" s="456"/>
      <c r="BGB37" s="456"/>
      <c r="BGC37" s="456"/>
      <c r="BGD37" s="456"/>
      <c r="BGE37" s="456"/>
      <c r="BGF37" s="456"/>
      <c r="BGG37" s="456"/>
      <c r="BGH37" s="456"/>
      <c r="BGI37" s="456"/>
      <c r="BGJ37" s="456"/>
      <c r="BGK37" s="456"/>
      <c r="BGL37" s="456"/>
      <c r="BGM37" s="456"/>
      <c r="BGN37" s="456"/>
      <c r="BGO37" s="456"/>
      <c r="BGP37" s="456"/>
      <c r="BGQ37" s="456"/>
      <c r="BGR37" s="456"/>
      <c r="BGS37" s="456"/>
      <c r="BGT37" s="456"/>
      <c r="BGU37" s="456"/>
      <c r="BGV37" s="456"/>
      <c r="BGW37" s="456"/>
      <c r="BGX37" s="456"/>
      <c r="BGY37" s="456"/>
      <c r="BGZ37" s="456"/>
      <c r="BHA37" s="456"/>
      <c r="BHB37" s="456"/>
      <c r="BHC37" s="456"/>
      <c r="BHD37" s="456"/>
      <c r="BHE37" s="456"/>
      <c r="BHF37" s="456"/>
      <c r="BHG37" s="456"/>
      <c r="BHH37" s="456"/>
      <c r="BHI37" s="456"/>
      <c r="BHJ37" s="456"/>
      <c r="BHK37" s="456"/>
      <c r="BHL37" s="456"/>
      <c r="BHM37" s="456"/>
      <c r="BHN37" s="456"/>
      <c r="BHO37" s="456"/>
      <c r="BHP37" s="456"/>
      <c r="BHQ37" s="456"/>
      <c r="BHR37" s="456"/>
      <c r="BHS37" s="456"/>
      <c r="BHT37" s="456"/>
      <c r="BHU37" s="456"/>
      <c r="BHV37" s="456"/>
      <c r="BHW37" s="456"/>
      <c r="BHX37" s="456"/>
      <c r="BHY37" s="456"/>
      <c r="BHZ37" s="456"/>
      <c r="BIA37" s="456"/>
      <c r="BIB37" s="456"/>
      <c r="BIC37" s="456"/>
      <c r="BID37" s="456"/>
      <c r="BIE37" s="456"/>
      <c r="BIF37" s="456"/>
      <c r="BIG37" s="456"/>
      <c r="BIH37" s="456"/>
      <c r="BII37" s="456"/>
      <c r="BIJ37" s="456"/>
      <c r="BIK37" s="456"/>
      <c r="BIL37" s="456"/>
      <c r="BIM37" s="456"/>
      <c r="BIN37" s="456"/>
      <c r="BIO37" s="456"/>
      <c r="BIP37" s="456"/>
      <c r="BIQ37" s="456"/>
      <c r="BIR37" s="456"/>
      <c r="BIS37" s="456"/>
      <c r="BIT37" s="456"/>
      <c r="BIU37" s="456"/>
      <c r="BIV37" s="456"/>
      <c r="BIW37" s="456"/>
      <c r="BIX37" s="456"/>
      <c r="BIY37" s="456"/>
      <c r="BIZ37" s="456"/>
      <c r="BJA37" s="456"/>
      <c r="BJB37" s="456"/>
      <c r="BJC37" s="456"/>
      <c r="BJD37" s="456"/>
      <c r="BJE37" s="456"/>
      <c r="BJF37" s="456"/>
      <c r="BJG37" s="456"/>
      <c r="BJH37" s="456"/>
      <c r="BJI37" s="456"/>
      <c r="BJJ37" s="456"/>
      <c r="BJK37" s="456"/>
      <c r="BJL37" s="456"/>
      <c r="BJM37" s="456"/>
      <c r="BJN37" s="456"/>
      <c r="BJO37" s="456"/>
      <c r="BJP37" s="456"/>
      <c r="BJQ37" s="456"/>
      <c r="BJR37" s="456"/>
      <c r="BJS37" s="456"/>
      <c r="BJT37" s="456"/>
      <c r="BJU37" s="456"/>
      <c r="BJV37" s="456"/>
      <c r="BJW37" s="456"/>
      <c r="BJX37" s="456"/>
      <c r="BJY37" s="456"/>
      <c r="BJZ37" s="456"/>
      <c r="BKA37" s="456"/>
      <c r="BKB37" s="456"/>
      <c r="BKC37" s="456"/>
      <c r="BKD37" s="456"/>
      <c r="BKE37" s="456"/>
      <c r="BKF37" s="456"/>
      <c r="BKG37" s="456"/>
      <c r="BKH37" s="456"/>
      <c r="BKI37" s="456"/>
      <c r="BKJ37" s="456"/>
      <c r="BKK37" s="456"/>
      <c r="BKL37" s="456"/>
      <c r="BKM37" s="456"/>
      <c r="BKN37" s="456"/>
      <c r="BKO37" s="456"/>
      <c r="BKP37" s="456"/>
      <c r="BKQ37" s="456"/>
      <c r="BKR37" s="456"/>
      <c r="BKS37" s="456"/>
      <c r="BKT37" s="456"/>
      <c r="BKU37" s="456"/>
      <c r="BKV37" s="456"/>
      <c r="BKW37" s="456"/>
      <c r="BKX37" s="456"/>
      <c r="BKY37" s="456"/>
      <c r="BKZ37" s="456"/>
      <c r="BLA37" s="456"/>
      <c r="BLB37" s="456"/>
      <c r="BLC37" s="456"/>
      <c r="BLD37" s="456"/>
      <c r="BLE37" s="456"/>
      <c r="BLF37" s="456"/>
      <c r="BLG37" s="456"/>
      <c r="BLH37" s="456"/>
      <c r="BLI37" s="456"/>
      <c r="BLJ37" s="456"/>
      <c r="BLK37" s="456"/>
      <c r="BLL37" s="456"/>
      <c r="BLM37" s="456"/>
      <c r="BLN37" s="456"/>
      <c r="BLO37" s="456"/>
      <c r="BLP37" s="456"/>
      <c r="BLQ37" s="456"/>
      <c r="BLR37" s="456"/>
      <c r="BLS37" s="456"/>
      <c r="BLT37" s="456"/>
      <c r="BLU37" s="456"/>
      <c r="BLV37" s="456"/>
      <c r="BLW37" s="456"/>
      <c r="BLX37" s="456"/>
      <c r="BLY37" s="456"/>
      <c r="BLZ37" s="456"/>
      <c r="BMA37" s="456"/>
      <c r="BMB37" s="456"/>
      <c r="BMC37" s="456"/>
      <c r="BMD37" s="456"/>
      <c r="BME37" s="456"/>
      <c r="BMF37" s="456"/>
      <c r="BMG37" s="456"/>
      <c r="BMH37" s="456"/>
      <c r="BMI37" s="456"/>
      <c r="BMJ37" s="456"/>
      <c r="BMK37" s="456"/>
      <c r="BML37" s="456"/>
      <c r="BMM37" s="456"/>
      <c r="BMN37" s="456"/>
      <c r="BMO37" s="456"/>
      <c r="BMP37" s="456"/>
      <c r="BMQ37" s="456"/>
      <c r="BMR37" s="456"/>
      <c r="BMS37" s="456"/>
      <c r="BMT37" s="456"/>
      <c r="BMU37" s="456"/>
      <c r="BMV37" s="456"/>
      <c r="BMW37" s="456"/>
      <c r="BMX37" s="456"/>
      <c r="BMY37" s="456"/>
      <c r="BMZ37" s="456"/>
      <c r="BNA37" s="456"/>
      <c r="BNB37" s="456"/>
      <c r="BNC37" s="456"/>
      <c r="BND37" s="456"/>
      <c r="BNE37" s="456"/>
      <c r="BNF37" s="456"/>
      <c r="BNG37" s="456"/>
      <c r="BNH37" s="456"/>
      <c r="BNI37" s="456"/>
      <c r="BNJ37" s="456"/>
      <c r="BNK37" s="456"/>
      <c r="BNL37" s="456"/>
      <c r="BNM37" s="456"/>
      <c r="BNN37" s="456"/>
      <c r="BNO37" s="456"/>
      <c r="BNP37" s="456"/>
      <c r="BNQ37" s="456"/>
      <c r="BNR37" s="456"/>
      <c r="BNS37" s="456"/>
      <c r="BNT37" s="456"/>
      <c r="BNU37" s="456"/>
      <c r="BNV37" s="456"/>
      <c r="BNW37" s="456"/>
      <c r="BNX37" s="456"/>
      <c r="BNY37" s="456"/>
      <c r="BNZ37" s="456"/>
      <c r="BOA37" s="456"/>
      <c r="BOB37" s="456"/>
      <c r="BOC37" s="456"/>
      <c r="BOD37" s="456"/>
      <c r="BOE37" s="456"/>
      <c r="BOF37" s="456"/>
      <c r="BOG37" s="456"/>
      <c r="BOH37" s="456"/>
      <c r="BOI37" s="456"/>
      <c r="BOJ37" s="456"/>
      <c r="BOK37" s="456"/>
      <c r="BOL37" s="456"/>
      <c r="BOM37" s="456"/>
      <c r="BON37" s="456"/>
      <c r="BOO37" s="456"/>
      <c r="BOP37" s="456"/>
      <c r="BOQ37" s="456"/>
      <c r="BOR37" s="456"/>
      <c r="BOS37" s="456"/>
      <c r="BOT37" s="456"/>
      <c r="BOU37" s="456"/>
      <c r="BOV37" s="456"/>
      <c r="BOW37" s="456"/>
      <c r="BOX37" s="456"/>
      <c r="BOY37" s="456"/>
      <c r="BOZ37" s="456"/>
      <c r="BPA37" s="456"/>
      <c r="BPB37" s="456"/>
      <c r="BPC37" s="456"/>
      <c r="BPD37" s="456"/>
      <c r="BPE37" s="456"/>
      <c r="BPF37" s="456"/>
      <c r="BPG37" s="456"/>
      <c r="BPH37" s="456"/>
      <c r="BPI37" s="456"/>
      <c r="BPJ37" s="456"/>
      <c r="BPK37" s="456"/>
      <c r="BPL37" s="456"/>
      <c r="BPM37" s="456"/>
      <c r="BPN37" s="456"/>
      <c r="BPO37" s="456"/>
      <c r="BPP37" s="456"/>
      <c r="BPQ37" s="456"/>
      <c r="BPR37" s="456"/>
      <c r="BPS37" s="456"/>
      <c r="BPT37" s="456"/>
      <c r="BPU37" s="456"/>
      <c r="BPV37" s="456"/>
      <c r="BPW37" s="456"/>
      <c r="BPX37" s="456"/>
      <c r="BPY37" s="456"/>
      <c r="BPZ37" s="456"/>
      <c r="BQA37" s="456"/>
      <c r="BQB37" s="456"/>
      <c r="BQC37" s="456"/>
      <c r="BQD37" s="456"/>
      <c r="BQE37" s="456"/>
      <c r="BQF37" s="456"/>
      <c r="BQG37" s="456"/>
      <c r="BQH37" s="456"/>
      <c r="BQI37" s="456"/>
      <c r="BQJ37" s="456"/>
      <c r="BQK37" s="456"/>
      <c r="BQL37" s="456"/>
      <c r="BQM37" s="456"/>
      <c r="BQN37" s="456"/>
      <c r="BQO37" s="456"/>
      <c r="BQP37" s="456"/>
      <c r="BQQ37" s="456"/>
      <c r="BQR37" s="456"/>
      <c r="BQS37" s="456"/>
      <c r="BQT37" s="456"/>
      <c r="BQU37" s="456"/>
      <c r="BQV37" s="456"/>
      <c r="BQW37" s="456"/>
      <c r="BQX37" s="456"/>
      <c r="BQY37" s="456"/>
      <c r="BQZ37" s="456"/>
      <c r="BRA37" s="456"/>
      <c r="BRB37" s="456"/>
      <c r="BRC37" s="456"/>
      <c r="BRD37" s="456"/>
      <c r="BRE37" s="456"/>
      <c r="BRF37" s="456"/>
      <c r="BRG37" s="456"/>
      <c r="BRH37" s="456"/>
      <c r="BRI37" s="456"/>
      <c r="BRJ37" s="456"/>
      <c r="BRK37" s="456"/>
      <c r="BRL37" s="456"/>
      <c r="BRM37" s="456"/>
      <c r="BRN37" s="456"/>
      <c r="BRO37" s="456"/>
      <c r="BRP37" s="456"/>
      <c r="BRQ37" s="456"/>
      <c r="BRR37" s="456"/>
      <c r="BRS37" s="456"/>
      <c r="BRT37" s="456"/>
      <c r="BRU37" s="456"/>
      <c r="BRV37" s="456"/>
      <c r="BRW37" s="456"/>
      <c r="BRX37" s="456"/>
      <c r="BRY37" s="456"/>
      <c r="BRZ37" s="456"/>
      <c r="BSA37" s="456"/>
      <c r="BSB37" s="456"/>
      <c r="BSC37" s="456"/>
      <c r="BSD37" s="456"/>
      <c r="BSE37" s="456"/>
      <c r="BSF37" s="456"/>
      <c r="BSG37" s="456"/>
      <c r="BSH37" s="456"/>
      <c r="BSI37" s="456"/>
      <c r="BSJ37" s="456"/>
      <c r="BSK37" s="456"/>
      <c r="BSL37" s="456"/>
      <c r="BSM37" s="456"/>
      <c r="BSN37" s="456"/>
      <c r="BSO37" s="456"/>
      <c r="BSP37" s="456"/>
      <c r="BSQ37" s="456"/>
      <c r="BSR37" s="456"/>
      <c r="BSS37" s="456"/>
      <c r="BST37" s="456"/>
      <c r="BSU37" s="456"/>
      <c r="BSV37" s="456"/>
      <c r="BSW37" s="456"/>
      <c r="BSX37" s="456"/>
      <c r="BSY37" s="456"/>
      <c r="BSZ37" s="456"/>
      <c r="BTA37" s="456"/>
      <c r="BTB37" s="456"/>
      <c r="BTC37" s="456"/>
      <c r="BTD37" s="456"/>
      <c r="BTE37" s="456"/>
      <c r="BTF37" s="456"/>
      <c r="BTG37" s="456"/>
      <c r="BTH37" s="456"/>
      <c r="BTI37" s="456"/>
      <c r="BTJ37" s="456"/>
      <c r="BTK37" s="456"/>
      <c r="BTL37" s="456"/>
      <c r="BTM37" s="456"/>
      <c r="BTN37" s="456"/>
      <c r="BTO37" s="456"/>
      <c r="BTP37" s="456"/>
      <c r="BTQ37" s="456"/>
      <c r="BTR37" s="456"/>
      <c r="BTS37" s="456"/>
      <c r="BTT37" s="456"/>
      <c r="BTU37" s="456"/>
      <c r="BTV37" s="456"/>
      <c r="BTW37" s="456"/>
      <c r="BTX37" s="456"/>
      <c r="BTY37" s="456"/>
      <c r="BTZ37" s="456"/>
      <c r="BUA37" s="456"/>
      <c r="BUB37" s="456"/>
      <c r="BUC37" s="456"/>
      <c r="BUD37" s="456"/>
      <c r="BUE37" s="456"/>
      <c r="BUF37" s="456"/>
      <c r="BUG37" s="456"/>
      <c r="BUH37" s="456"/>
      <c r="BUI37" s="456"/>
      <c r="BUJ37" s="456"/>
      <c r="BUK37" s="456"/>
      <c r="BUL37" s="456"/>
      <c r="BUM37" s="456"/>
      <c r="BUN37" s="456"/>
      <c r="BUO37" s="456"/>
      <c r="BUP37" s="456"/>
      <c r="BUQ37" s="456"/>
      <c r="BUR37" s="456"/>
      <c r="BUS37" s="456"/>
      <c r="BUT37" s="456"/>
      <c r="BUU37" s="456"/>
      <c r="BUV37" s="456"/>
      <c r="BUW37" s="456"/>
      <c r="BUX37" s="456"/>
      <c r="BUY37" s="456"/>
      <c r="BUZ37" s="456"/>
      <c r="BVA37" s="456"/>
      <c r="BVB37" s="456"/>
      <c r="BVC37" s="456"/>
      <c r="BVD37" s="456"/>
      <c r="BVE37" s="456"/>
      <c r="BVF37" s="456"/>
      <c r="BVG37" s="456"/>
      <c r="BVH37" s="456"/>
      <c r="BVI37" s="456"/>
      <c r="BVJ37" s="456"/>
      <c r="BVK37" s="456"/>
      <c r="BVL37" s="456"/>
      <c r="BVM37" s="456"/>
      <c r="BVN37" s="456"/>
      <c r="BVO37" s="456"/>
      <c r="BVP37" s="456"/>
      <c r="BVQ37" s="456"/>
      <c r="BVR37" s="456"/>
      <c r="BVS37" s="456"/>
      <c r="BVT37" s="456"/>
      <c r="BVU37" s="456"/>
      <c r="BVV37" s="456"/>
      <c r="BVW37" s="456"/>
      <c r="BVX37" s="456"/>
      <c r="BVY37" s="456"/>
      <c r="BVZ37" s="456"/>
      <c r="BWA37" s="456"/>
      <c r="BWB37" s="456"/>
      <c r="BWC37" s="456"/>
      <c r="BWD37" s="456"/>
      <c r="BWE37" s="456"/>
      <c r="BWF37" s="456"/>
      <c r="BWG37" s="456"/>
      <c r="BWH37" s="456"/>
      <c r="BWI37" s="456"/>
      <c r="BWJ37" s="456"/>
      <c r="BWK37" s="456"/>
      <c r="BWL37" s="456"/>
      <c r="BWM37" s="456"/>
      <c r="BWN37" s="456"/>
      <c r="BWO37" s="456"/>
      <c r="BWP37" s="456"/>
      <c r="BWQ37" s="456"/>
      <c r="BWR37" s="456"/>
      <c r="BWS37" s="456"/>
      <c r="BWT37" s="456"/>
      <c r="BWU37" s="456"/>
      <c r="BWV37" s="456"/>
      <c r="BWW37" s="456"/>
      <c r="BWX37" s="456"/>
      <c r="BWY37" s="456"/>
      <c r="BWZ37" s="456"/>
      <c r="BXA37" s="456"/>
      <c r="BXB37" s="456"/>
      <c r="BXC37" s="456"/>
      <c r="BXD37" s="456"/>
      <c r="BXE37" s="456"/>
      <c r="BXF37" s="456"/>
      <c r="BXG37" s="456"/>
      <c r="BXH37" s="456"/>
      <c r="BXI37" s="456"/>
      <c r="BXJ37" s="456"/>
      <c r="BXK37" s="456"/>
      <c r="BXL37" s="456"/>
      <c r="BXM37" s="456"/>
      <c r="BXN37" s="456"/>
      <c r="BXO37" s="456"/>
      <c r="BXP37" s="456"/>
      <c r="BXQ37" s="456"/>
      <c r="BXR37" s="456"/>
      <c r="BXS37" s="456"/>
      <c r="BXT37" s="456"/>
      <c r="BXU37" s="456"/>
      <c r="BXV37" s="456"/>
      <c r="BXW37" s="456"/>
      <c r="BXX37" s="456"/>
      <c r="BXY37" s="456"/>
      <c r="BXZ37" s="456"/>
    </row>
    <row r="38" s="25" customFormat="1" spans="1:1024 1025:2002">
      <c r="A38" s="473" t="s">
        <v>34</v>
      </c>
      <c r="B38" s="19">
        <v>1117</v>
      </c>
      <c r="C38" s="183">
        <v>46174</v>
      </c>
      <c r="D38" s="17" t="s">
        <v>35</v>
      </c>
      <c r="E38" s="17" t="s">
        <v>71</v>
      </c>
      <c r="F38" s="17" t="s">
        <v>72</v>
      </c>
      <c r="G38" s="17"/>
      <c r="H38" s="19">
        <v>1.2379</v>
      </c>
      <c r="I38" s="19">
        <v>1.2379</v>
      </c>
      <c r="J38" s="17" t="s">
        <v>39</v>
      </c>
      <c r="K38" s="19">
        <v>182</v>
      </c>
      <c r="L38" s="91"/>
      <c r="M38" s="19">
        <v>5800</v>
      </c>
      <c r="N38" s="19" t="s">
        <v>40</v>
      </c>
      <c r="O38" s="19" t="s">
        <v>50</v>
      </c>
      <c r="P38" s="19">
        <v>3000</v>
      </c>
      <c r="Q38" s="19">
        <f>695+755+630+880</f>
        <v>2960</v>
      </c>
      <c r="R38" s="19">
        <f t="shared" si="0"/>
        <v>40</v>
      </c>
      <c r="S38" s="19">
        <f>2260+68</f>
        <v>2328</v>
      </c>
      <c r="T38" s="19" t="s">
        <v>42</v>
      </c>
      <c r="U38" s="102" t="s">
        <v>73</v>
      </c>
      <c r="V38" s="186">
        <v>46173</v>
      </c>
      <c r="W38" s="17" t="s">
        <v>69</v>
      </c>
      <c r="X38" s="17"/>
      <c r="Y38" s="68">
        <v>46296</v>
      </c>
      <c r="Z38" s="17" t="s">
        <v>45</v>
      </c>
      <c r="AA38" s="17" t="s">
        <v>46</v>
      </c>
      <c r="AB38" s="17" t="s">
        <v>75</v>
      </c>
      <c r="AC38" s="217">
        <v>46224</v>
      </c>
      <c r="AD38" s="65">
        <v>1837</v>
      </c>
      <c r="AE38" s="17" t="s">
        <v>74</v>
      </c>
      <c r="AF38" s="17" t="s">
        <v>76</v>
      </c>
      <c r="AG38" s="17"/>
      <c r="AH38" s="456"/>
      <c r="AI38" s="456"/>
      <c r="AJ38" s="456"/>
      <c r="AK38" s="456"/>
      <c r="AL38" s="456"/>
      <c r="AM38" s="456"/>
      <c r="AN38" s="456"/>
      <c r="AO38" s="456"/>
      <c r="AP38" s="456"/>
      <c r="AQ38" s="456"/>
      <c r="AR38" s="456"/>
      <c r="AS38" s="456"/>
      <c r="AT38" s="456"/>
      <c r="AU38" s="456"/>
      <c r="AV38" s="456"/>
      <c r="AW38" s="456"/>
      <c r="AX38" s="456"/>
      <c r="AY38" s="456"/>
      <c r="AZ38" s="456"/>
      <c r="BA38" s="456"/>
      <c r="BB38" s="456"/>
      <c r="BC38" s="456"/>
      <c r="BD38" s="456"/>
      <c r="BE38" s="456"/>
      <c r="BF38" s="456"/>
      <c r="BG38" s="456"/>
      <c r="BH38" s="456"/>
      <c r="BI38" s="456"/>
      <c r="BJ38" s="456"/>
      <c r="BK38" s="456"/>
      <c r="BL38" s="456"/>
      <c r="BM38" s="456"/>
      <c r="BN38" s="456"/>
      <c r="BO38" s="456"/>
      <c r="BP38" s="456"/>
      <c r="BQ38" s="456"/>
      <c r="BR38" s="456"/>
      <c r="BS38" s="456"/>
      <c r="BT38" s="456"/>
      <c r="BU38" s="456"/>
      <c r="BV38" s="456"/>
      <c r="BW38" s="456"/>
      <c r="BX38" s="456"/>
      <c r="BY38" s="456"/>
      <c r="BZ38" s="456"/>
      <c r="CA38" s="456"/>
      <c r="CB38" s="456"/>
      <c r="CC38" s="456"/>
      <c r="CD38" s="456"/>
      <c r="CE38" s="456"/>
      <c r="CF38" s="456"/>
      <c r="CG38" s="456"/>
      <c r="CH38" s="456"/>
      <c r="CI38" s="456"/>
      <c r="CJ38" s="456"/>
      <c r="CK38" s="456"/>
      <c r="CL38" s="456"/>
      <c r="CM38" s="456"/>
      <c r="CN38" s="456"/>
      <c r="CO38" s="456"/>
      <c r="CP38" s="456"/>
      <c r="CQ38" s="456"/>
      <c r="CR38" s="456"/>
      <c r="CS38" s="456"/>
      <c r="CT38" s="456"/>
      <c r="CU38" s="456"/>
      <c r="CV38" s="456"/>
      <c r="CW38" s="456"/>
      <c r="CX38" s="456"/>
      <c r="CY38" s="456"/>
      <c r="CZ38" s="456"/>
      <c r="DA38" s="456"/>
      <c r="DB38" s="456"/>
      <c r="DC38" s="456"/>
      <c r="DD38" s="456"/>
      <c r="DE38" s="456"/>
      <c r="DF38" s="456"/>
      <c r="DG38" s="456"/>
      <c r="DH38" s="456"/>
      <c r="DI38" s="456"/>
      <c r="DJ38" s="456"/>
      <c r="DK38" s="456"/>
      <c r="DL38" s="456"/>
      <c r="DM38" s="456"/>
      <c r="DN38" s="456"/>
      <c r="DO38" s="456"/>
      <c r="DP38" s="456"/>
      <c r="DQ38" s="456"/>
      <c r="DR38" s="456"/>
      <c r="DS38" s="456"/>
      <c r="DT38" s="456"/>
      <c r="DU38" s="456"/>
      <c r="DV38" s="456"/>
      <c r="DW38" s="456"/>
      <c r="DX38" s="456"/>
      <c r="DY38" s="456"/>
      <c r="DZ38" s="456"/>
      <c r="EA38" s="456"/>
      <c r="EB38" s="456"/>
      <c r="EC38" s="456"/>
      <c r="ED38" s="456"/>
      <c r="EE38" s="456"/>
      <c r="EF38" s="456"/>
      <c r="EG38" s="456"/>
      <c r="EH38" s="456"/>
      <c r="EI38" s="456"/>
      <c r="EJ38" s="456"/>
      <c r="EK38" s="456"/>
      <c r="EL38" s="456"/>
      <c r="EM38" s="456"/>
      <c r="EN38" s="456"/>
      <c r="EO38" s="456"/>
      <c r="EP38" s="456"/>
      <c r="EQ38" s="456"/>
      <c r="ER38" s="456"/>
      <c r="ES38" s="456"/>
      <c r="ET38" s="456"/>
      <c r="EU38" s="456"/>
      <c r="EV38" s="456"/>
      <c r="EW38" s="456"/>
      <c r="EX38" s="456"/>
      <c r="EY38" s="456"/>
      <c r="EZ38" s="456"/>
      <c r="FA38" s="456"/>
      <c r="FB38" s="456"/>
      <c r="FC38" s="456"/>
      <c r="FD38" s="456"/>
      <c r="FE38" s="456"/>
      <c r="FF38" s="456"/>
      <c r="FG38" s="456"/>
      <c r="FH38" s="456"/>
      <c r="FI38" s="456"/>
      <c r="FJ38" s="456"/>
      <c r="FK38" s="456"/>
      <c r="FL38" s="456"/>
      <c r="FM38" s="456"/>
      <c r="FN38" s="456"/>
      <c r="FO38" s="456"/>
      <c r="FP38" s="456"/>
      <c r="FQ38" s="456"/>
      <c r="FR38" s="456"/>
      <c r="FS38" s="456"/>
      <c r="FT38" s="456"/>
      <c r="FU38" s="456"/>
      <c r="FV38" s="456"/>
      <c r="FW38" s="456"/>
      <c r="FX38" s="456"/>
      <c r="FY38" s="456"/>
      <c r="FZ38" s="456"/>
      <c r="GA38" s="456"/>
      <c r="GB38" s="456"/>
      <c r="GC38" s="456"/>
      <c r="GD38" s="456"/>
      <c r="GE38" s="456"/>
      <c r="GF38" s="456"/>
      <c r="GG38" s="456"/>
      <c r="GH38" s="456"/>
      <c r="GI38" s="456"/>
      <c r="GJ38" s="456"/>
      <c r="GK38" s="456"/>
      <c r="GL38" s="456"/>
      <c r="GM38" s="456"/>
      <c r="GN38" s="456"/>
      <c r="GO38" s="456"/>
      <c r="GP38" s="456"/>
      <c r="GQ38" s="456"/>
      <c r="GR38" s="456"/>
      <c r="GS38" s="456"/>
      <c r="GT38" s="456"/>
      <c r="GU38" s="456"/>
      <c r="GV38" s="456"/>
      <c r="GW38" s="456"/>
      <c r="GX38" s="456"/>
      <c r="GY38" s="456"/>
      <c r="GZ38" s="456"/>
      <c r="HA38" s="456"/>
      <c r="HB38" s="456"/>
      <c r="HC38" s="456"/>
      <c r="HD38" s="456"/>
      <c r="HE38" s="456"/>
      <c r="HF38" s="456"/>
      <c r="HG38" s="456"/>
      <c r="HH38" s="456"/>
      <c r="HI38" s="456"/>
      <c r="HJ38" s="456"/>
      <c r="HK38" s="456"/>
      <c r="HL38" s="456"/>
      <c r="HM38" s="456"/>
      <c r="HN38" s="456"/>
      <c r="HO38" s="456"/>
      <c r="HP38" s="456"/>
      <c r="HQ38" s="456"/>
      <c r="HR38" s="456"/>
      <c r="HS38" s="456"/>
      <c r="HT38" s="456"/>
      <c r="HU38" s="456"/>
      <c r="HV38" s="456"/>
      <c r="HW38" s="456"/>
      <c r="HX38" s="456"/>
      <c r="HY38" s="456"/>
      <c r="HZ38" s="456"/>
      <c r="IA38" s="456"/>
      <c r="IB38" s="456"/>
      <c r="IC38" s="456"/>
      <c r="ID38" s="456"/>
      <c r="IE38" s="456"/>
      <c r="IF38" s="456"/>
      <c r="IG38" s="456"/>
      <c r="IH38" s="456"/>
      <c r="II38" s="456"/>
      <c r="IJ38" s="456"/>
      <c r="IK38" s="456"/>
      <c r="IL38" s="456"/>
      <c r="IM38" s="456"/>
      <c r="IN38" s="456"/>
      <c r="IO38" s="456"/>
      <c r="IP38" s="456"/>
      <c r="IQ38" s="456"/>
      <c r="IR38" s="456"/>
      <c r="IS38" s="456"/>
      <c r="IT38" s="456"/>
      <c r="IU38" s="456"/>
      <c r="IV38" s="456"/>
      <c r="IW38" s="456"/>
      <c r="IX38" s="456"/>
      <c r="IY38" s="456"/>
      <c r="IZ38" s="456"/>
      <c r="JA38" s="456"/>
      <c r="JB38" s="456"/>
      <c r="JC38" s="456"/>
      <c r="JD38" s="456"/>
      <c r="JE38" s="456"/>
      <c r="JF38" s="456"/>
      <c r="JG38" s="456"/>
      <c r="JH38" s="456"/>
      <c r="JI38" s="456"/>
      <c r="JJ38" s="456"/>
      <c r="JK38" s="456"/>
      <c r="JL38" s="456"/>
      <c r="JM38" s="456"/>
      <c r="JN38" s="456"/>
      <c r="JO38" s="456"/>
      <c r="JP38" s="456"/>
      <c r="JQ38" s="456"/>
      <c r="JR38" s="456"/>
      <c r="JS38" s="456"/>
      <c r="JT38" s="456"/>
      <c r="JU38" s="456"/>
      <c r="JV38" s="456"/>
      <c r="JW38" s="456"/>
      <c r="JX38" s="456"/>
      <c r="JY38" s="456"/>
      <c r="JZ38" s="456"/>
      <c r="KA38" s="456"/>
      <c r="KB38" s="456"/>
      <c r="KC38" s="456"/>
      <c r="KD38" s="456"/>
      <c r="KE38" s="456"/>
      <c r="KF38" s="456"/>
      <c r="KG38" s="456"/>
      <c r="KH38" s="456"/>
      <c r="KI38" s="456"/>
      <c r="KJ38" s="456"/>
      <c r="KK38" s="456"/>
      <c r="KL38" s="456"/>
      <c r="KM38" s="456"/>
      <c r="KN38" s="456"/>
      <c r="KO38" s="456"/>
      <c r="KP38" s="456"/>
      <c r="KQ38" s="456"/>
      <c r="KR38" s="456"/>
      <c r="KS38" s="456"/>
      <c r="KT38" s="456"/>
      <c r="KU38" s="456"/>
      <c r="KV38" s="456"/>
      <c r="KW38" s="456"/>
      <c r="KX38" s="456"/>
      <c r="KY38" s="456"/>
      <c r="KZ38" s="456"/>
      <c r="LA38" s="456"/>
      <c r="LB38" s="456"/>
      <c r="LC38" s="456"/>
      <c r="LD38" s="456"/>
      <c r="LE38" s="456"/>
      <c r="LF38" s="456"/>
      <c r="LG38" s="456"/>
      <c r="LH38" s="456"/>
      <c r="LI38" s="456"/>
      <c r="LJ38" s="456"/>
      <c r="LK38" s="456"/>
      <c r="LL38" s="456"/>
      <c r="LM38" s="456"/>
      <c r="LN38" s="456"/>
      <c r="LO38" s="456"/>
      <c r="LP38" s="456"/>
      <c r="LQ38" s="456"/>
      <c r="LR38" s="456"/>
      <c r="LS38" s="456"/>
      <c r="LT38" s="456"/>
      <c r="LU38" s="456"/>
      <c r="LV38" s="456"/>
      <c r="LW38" s="456"/>
      <c r="LX38" s="456"/>
      <c r="LY38" s="456"/>
      <c r="LZ38" s="456"/>
      <c r="MA38" s="456"/>
      <c r="MB38" s="456"/>
      <c r="MC38" s="456"/>
      <c r="MD38" s="456"/>
      <c r="ME38" s="456"/>
      <c r="MF38" s="456"/>
      <c r="MG38" s="456"/>
      <c r="MH38" s="456"/>
      <c r="MI38" s="456"/>
      <c r="MJ38" s="456"/>
      <c r="MK38" s="456"/>
      <c r="ML38" s="456"/>
      <c r="MM38" s="456"/>
      <c r="MN38" s="456"/>
      <c r="MO38" s="456"/>
      <c r="MP38" s="456"/>
      <c r="MQ38" s="456"/>
      <c r="MR38" s="456"/>
      <c r="MS38" s="456"/>
      <c r="MT38" s="456"/>
      <c r="MU38" s="456"/>
      <c r="MV38" s="456"/>
      <c r="MW38" s="456"/>
      <c r="MX38" s="456"/>
      <c r="MY38" s="456"/>
      <c r="MZ38" s="456"/>
      <c r="NA38" s="456"/>
      <c r="NB38" s="456"/>
      <c r="NC38" s="456"/>
      <c r="ND38" s="456"/>
      <c r="NE38" s="456"/>
      <c r="NF38" s="456"/>
      <c r="NG38" s="456"/>
      <c r="NH38" s="456"/>
      <c r="NI38" s="456"/>
      <c r="NJ38" s="456"/>
      <c r="NK38" s="456"/>
      <c r="NL38" s="456"/>
      <c r="NM38" s="456"/>
      <c r="NN38" s="456"/>
      <c r="NO38" s="456"/>
      <c r="NP38" s="456"/>
      <c r="NQ38" s="456"/>
      <c r="NR38" s="456"/>
      <c r="NS38" s="456"/>
      <c r="NT38" s="456"/>
      <c r="NU38" s="456"/>
      <c r="NV38" s="456"/>
      <c r="NW38" s="456"/>
      <c r="NX38" s="456"/>
      <c r="NY38" s="456"/>
      <c r="NZ38" s="456"/>
      <c r="OA38" s="456"/>
      <c r="OB38" s="456"/>
      <c r="OC38" s="456"/>
      <c r="OD38" s="456"/>
      <c r="OE38" s="456"/>
      <c r="OF38" s="456"/>
      <c r="OG38" s="456"/>
      <c r="OH38" s="456"/>
      <c r="OI38" s="456"/>
      <c r="OJ38" s="456"/>
      <c r="OK38" s="456"/>
      <c r="OL38" s="456"/>
      <c r="OM38" s="456"/>
      <c r="ON38" s="456"/>
      <c r="OO38" s="456"/>
      <c r="OP38" s="456"/>
      <c r="OQ38" s="456"/>
      <c r="OR38" s="456"/>
      <c r="OS38" s="456"/>
      <c r="OT38" s="456"/>
      <c r="OU38" s="456"/>
      <c r="OV38" s="456"/>
      <c r="OW38" s="456"/>
      <c r="OX38" s="456"/>
      <c r="OY38" s="456"/>
      <c r="OZ38" s="456"/>
      <c r="PA38" s="456"/>
      <c r="PB38" s="456"/>
      <c r="PC38" s="456"/>
      <c r="PD38" s="456"/>
      <c r="PE38" s="456"/>
      <c r="PF38" s="456"/>
      <c r="PG38" s="456"/>
      <c r="PH38" s="456"/>
      <c r="PI38" s="456"/>
      <c r="PJ38" s="456"/>
      <c r="PK38" s="456"/>
      <c r="PL38" s="456"/>
      <c r="PM38" s="456"/>
      <c r="PN38" s="456"/>
      <c r="PO38" s="456"/>
      <c r="PP38" s="456"/>
      <c r="PQ38" s="456"/>
      <c r="PR38" s="456"/>
      <c r="PS38" s="456"/>
      <c r="PT38" s="456"/>
      <c r="PU38" s="456"/>
      <c r="PV38" s="456"/>
      <c r="PW38" s="456"/>
      <c r="PX38" s="456"/>
      <c r="PY38" s="456"/>
      <c r="PZ38" s="456"/>
      <c r="QA38" s="456"/>
      <c r="QB38" s="456"/>
      <c r="QC38" s="456"/>
      <c r="QD38" s="456"/>
      <c r="QE38" s="456"/>
      <c r="QF38" s="456"/>
      <c r="QG38" s="456"/>
      <c r="QH38" s="456"/>
      <c r="QI38" s="456"/>
      <c r="QJ38" s="456"/>
      <c r="QK38" s="456"/>
      <c r="QL38" s="456"/>
      <c r="QM38" s="456"/>
      <c r="QN38" s="456"/>
      <c r="QO38" s="456"/>
      <c r="QP38" s="456"/>
      <c r="QQ38" s="456"/>
      <c r="QR38" s="456"/>
      <c r="QS38" s="456"/>
      <c r="QT38" s="456"/>
      <c r="QU38" s="456"/>
      <c r="QV38" s="456"/>
      <c r="QW38" s="456"/>
      <c r="QX38" s="456"/>
      <c r="QY38" s="456"/>
      <c r="QZ38" s="456"/>
      <c r="RA38" s="456"/>
      <c r="RB38" s="456"/>
      <c r="RC38" s="456"/>
      <c r="RD38" s="456"/>
      <c r="RE38" s="456"/>
      <c r="RF38" s="456"/>
      <c r="RG38" s="456"/>
      <c r="RH38" s="456"/>
      <c r="RI38" s="456"/>
      <c r="RJ38" s="456"/>
      <c r="RK38" s="456"/>
      <c r="RL38" s="456"/>
      <c r="RM38" s="456"/>
      <c r="RN38" s="456"/>
      <c r="RO38" s="456"/>
      <c r="RP38" s="456"/>
      <c r="RQ38" s="456"/>
      <c r="RR38" s="456"/>
      <c r="RS38" s="456"/>
      <c r="RT38" s="456"/>
      <c r="RU38" s="456"/>
      <c r="RV38" s="456"/>
      <c r="RW38" s="456"/>
      <c r="RX38" s="456"/>
      <c r="RY38" s="456"/>
      <c r="RZ38" s="456"/>
      <c r="SA38" s="456"/>
      <c r="SB38" s="456"/>
      <c r="SC38" s="456"/>
      <c r="SD38" s="456"/>
      <c r="SE38" s="456"/>
      <c r="SF38" s="456"/>
      <c r="SG38" s="456"/>
      <c r="SH38" s="456"/>
      <c r="SI38" s="456"/>
      <c r="SJ38" s="456"/>
      <c r="SK38" s="456"/>
      <c r="SL38" s="456"/>
      <c r="SM38" s="456"/>
      <c r="SN38" s="456"/>
      <c r="SO38" s="456"/>
      <c r="SP38" s="456"/>
      <c r="SQ38" s="456"/>
      <c r="SR38" s="456"/>
      <c r="SS38" s="456"/>
      <c r="ST38" s="456"/>
      <c r="SU38" s="456"/>
      <c r="SV38" s="456"/>
      <c r="SW38" s="456"/>
      <c r="SX38" s="456"/>
      <c r="SY38" s="456"/>
      <c r="SZ38" s="456"/>
      <c r="TA38" s="456"/>
      <c r="TB38" s="456"/>
      <c r="TC38" s="456"/>
      <c r="TD38" s="456"/>
      <c r="TE38" s="456"/>
      <c r="TF38" s="456"/>
      <c r="TG38" s="456"/>
      <c r="TH38" s="456"/>
      <c r="TI38" s="456"/>
      <c r="TJ38" s="456"/>
      <c r="TK38" s="456"/>
      <c r="TL38" s="456"/>
      <c r="TM38" s="456"/>
      <c r="TN38" s="456"/>
      <c r="TO38" s="456"/>
      <c r="TP38" s="456"/>
      <c r="TQ38" s="456"/>
      <c r="TR38" s="456"/>
      <c r="TS38" s="456"/>
      <c r="TT38" s="456"/>
      <c r="TU38" s="456"/>
      <c r="TV38" s="456"/>
      <c r="TW38" s="456"/>
      <c r="TX38" s="456"/>
      <c r="TY38" s="456"/>
      <c r="TZ38" s="456"/>
      <c r="UA38" s="456"/>
      <c r="UB38" s="456"/>
      <c r="UC38" s="456"/>
      <c r="UD38" s="456"/>
      <c r="UE38" s="456"/>
      <c r="UF38" s="456"/>
      <c r="UG38" s="456"/>
      <c r="UH38" s="456"/>
      <c r="UI38" s="456"/>
      <c r="UJ38" s="456"/>
      <c r="UK38" s="456"/>
      <c r="UL38" s="456"/>
      <c r="UM38" s="456"/>
      <c r="UN38" s="456"/>
      <c r="UO38" s="456"/>
      <c r="UP38" s="456"/>
      <c r="UQ38" s="456"/>
      <c r="UR38" s="456"/>
      <c r="US38" s="456"/>
      <c r="UT38" s="456"/>
      <c r="UU38" s="456"/>
      <c r="UV38" s="456"/>
      <c r="UW38" s="456"/>
      <c r="UX38" s="456"/>
      <c r="UY38" s="456"/>
      <c r="UZ38" s="456"/>
      <c r="VA38" s="456"/>
      <c r="VB38" s="456"/>
      <c r="VC38" s="456"/>
      <c r="VD38" s="456"/>
      <c r="VE38" s="456"/>
      <c r="VF38" s="456"/>
      <c r="VG38" s="456"/>
      <c r="VH38" s="456"/>
      <c r="VI38" s="456"/>
      <c r="VJ38" s="456"/>
      <c r="VK38" s="456"/>
      <c r="VL38" s="456"/>
      <c r="VM38" s="456"/>
      <c r="VN38" s="456"/>
      <c r="VO38" s="456"/>
      <c r="VP38" s="456"/>
      <c r="VQ38" s="456"/>
      <c r="VR38" s="456"/>
      <c r="VS38" s="456"/>
      <c r="VT38" s="456"/>
      <c r="VU38" s="456"/>
      <c r="VV38" s="456"/>
      <c r="VW38" s="456"/>
      <c r="VX38" s="456"/>
      <c r="VY38" s="456"/>
      <c r="VZ38" s="456"/>
      <c r="WA38" s="456"/>
      <c r="WB38" s="456"/>
      <c r="WC38" s="456"/>
      <c r="WD38" s="456"/>
      <c r="WE38" s="456"/>
      <c r="WF38" s="456"/>
      <c r="WG38" s="456"/>
      <c r="WH38" s="456"/>
      <c r="WI38" s="456"/>
      <c r="WJ38" s="456"/>
      <c r="WK38" s="456"/>
      <c r="WL38" s="456"/>
      <c r="WM38" s="456"/>
      <c r="WN38" s="456"/>
      <c r="WO38" s="456"/>
      <c r="WP38" s="456"/>
      <c r="WQ38" s="456"/>
      <c r="WR38" s="456"/>
      <c r="WS38" s="456"/>
      <c r="WT38" s="456"/>
      <c r="WU38" s="456"/>
      <c r="WV38" s="456"/>
      <c r="WW38" s="456"/>
      <c r="WX38" s="456"/>
      <c r="WY38" s="456"/>
      <c r="WZ38" s="456"/>
      <c r="XA38" s="456"/>
      <c r="XB38" s="456"/>
      <c r="XC38" s="456"/>
      <c r="XD38" s="456"/>
      <c r="XE38" s="456"/>
      <c r="XF38" s="456"/>
      <c r="XG38" s="456"/>
      <c r="XH38" s="456"/>
      <c r="XI38" s="456"/>
      <c r="XJ38" s="456"/>
      <c r="XK38" s="456"/>
      <c r="XL38" s="456"/>
      <c r="XM38" s="456"/>
      <c r="XN38" s="456"/>
      <c r="XO38" s="456"/>
      <c r="XP38" s="456"/>
      <c r="XQ38" s="456"/>
      <c r="XR38" s="456"/>
      <c r="XS38" s="456"/>
      <c r="XT38" s="456"/>
      <c r="XU38" s="456"/>
      <c r="XV38" s="456"/>
      <c r="XW38" s="456"/>
      <c r="XX38" s="456"/>
      <c r="XY38" s="456"/>
      <c r="XZ38" s="456"/>
      <c r="YA38" s="456"/>
      <c r="YB38" s="456"/>
      <c r="YC38" s="456"/>
      <c r="YD38" s="456"/>
      <c r="YE38" s="456"/>
      <c r="YF38" s="456"/>
      <c r="YG38" s="456"/>
      <c r="YH38" s="456"/>
      <c r="YI38" s="456"/>
      <c r="YJ38" s="456"/>
      <c r="YK38" s="456"/>
      <c r="YL38" s="456"/>
      <c r="YM38" s="456"/>
      <c r="YN38" s="456"/>
      <c r="YO38" s="456"/>
      <c r="YP38" s="456"/>
      <c r="YQ38" s="456"/>
      <c r="YR38" s="456"/>
      <c r="YS38" s="456"/>
      <c r="YT38" s="456"/>
      <c r="YU38" s="456"/>
      <c r="YV38" s="456"/>
      <c r="YW38" s="456"/>
      <c r="YX38" s="456"/>
      <c r="YY38" s="456"/>
      <c r="YZ38" s="456"/>
      <c r="ZA38" s="456"/>
      <c r="ZB38" s="456"/>
      <c r="ZC38" s="456"/>
      <c r="ZD38" s="456"/>
      <c r="ZE38" s="456"/>
      <c r="ZF38" s="456"/>
      <c r="ZG38" s="456"/>
      <c r="ZH38" s="456"/>
      <c r="ZI38" s="456"/>
      <c r="ZJ38" s="456"/>
      <c r="ZK38" s="456"/>
      <c r="ZL38" s="456"/>
      <c r="ZM38" s="456"/>
      <c r="ZN38" s="456"/>
      <c r="ZO38" s="456"/>
      <c r="ZP38" s="456"/>
      <c r="ZQ38" s="456"/>
      <c r="ZR38" s="456"/>
      <c r="ZS38" s="456"/>
      <c r="ZT38" s="456"/>
      <c r="ZU38" s="456"/>
      <c r="ZV38" s="456"/>
      <c r="ZW38" s="456"/>
      <c r="ZX38" s="456"/>
      <c r="ZY38" s="456"/>
      <c r="ZZ38" s="456"/>
      <c r="AAA38" s="456"/>
      <c r="AAB38" s="456"/>
      <c r="AAC38" s="456"/>
      <c r="AAD38" s="456"/>
      <c r="AAE38" s="456"/>
      <c r="AAF38" s="456"/>
      <c r="AAG38" s="456"/>
      <c r="AAH38" s="456"/>
      <c r="AAI38" s="456"/>
      <c r="AAJ38" s="456"/>
      <c r="AAK38" s="456"/>
      <c r="AAL38" s="456"/>
      <c r="AAM38" s="456"/>
      <c r="AAN38" s="456"/>
      <c r="AAO38" s="456"/>
      <c r="AAP38" s="456"/>
      <c r="AAQ38" s="456"/>
      <c r="AAR38" s="456"/>
      <c r="AAS38" s="456"/>
      <c r="AAT38" s="456"/>
      <c r="AAU38" s="456"/>
      <c r="AAV38" s="456"/>
      <c r="AAW38" s="456"/>
      <c r="AAX38" s="456"/>
      <c r="AAY38" s="456"/>
      <c r="AAZ38" s="456"/>
      <c r="ABA38" s="456"/>
      <c r="ABB38" s="456"/>
      <c r="ABC38" s="456"/>
      <c r="ABD38" s="456"/>
      <c r="ABE38" s="456"/>
      <c r="ABF38" s="456"/>
      <c r="ABG38" s="456"/>
      <c r="ABH38" s="456"/>
      <c r="ABI38" s="456"/>
      <c r="ABJ38" s="456"/>
      <c r="ABK38" s="456"/>
      <c r="ABL38" s="456"/>
      <c r="ABM38" s="456"/>
      <c r="ABN38" s="456"/>
      <c r="ABO38" s="456"/>
      <c r="ABP38" s="456"/>
      <c r="ABQ38" s="456"/>
      <c r="ABR38" s="456"/>
      <c r="ABS38" s="456"/>
      <c r="ABT38" s="456"/>
      <c r="ABU38" s="456"/>
      <c r="ABV38" s="456"/>
      <c r="ABW38" s="456"/>
      <c r="ABX38" s="456"/>
      <c r="ABY38" s="456"/>
      <c r="ABZ38" s="456"/>
      <c r="ACA38" s="456"/>
      <c r="ACB38" s="456"/>
      <c r="ACC38" s="456"/>
      <c r="ACD38" s="456"/>
      <c r="ACE38" s="456"/>
      <c r="ACF38" s="456"/>
      <c r="ACG38" s="456"/>
      <c r="ACH38" s="456"/>
      <c r="ACI38" s="456"/>
      <c r="ACJ38" s="456"/>
      <c r="ACK38" s="456"/>
      <c r="ACL38" s="456"/>
      <c r="ACM38" s="456"/>
      <c r="ACN38" s="456"/>
      <c r="ACO38" s="456"/>
      <c r="ACP38" s="456"/>
      <c r="ACQ38" s="456"/>
      <c r="ACR38" s="456"/>
      <c r="ACS38" s="456"/>
      <c r="ACT38" s="456"/>
      <c r="ACU38" s="456"/>
      <c r="ACV38" s="456"/>
      <c r="ACW38" s="456"/>
      <c r="ACX38" s="456"/>
      <c r="ACY38" s="456"/>
      <c r="ACZ38" s="456"/>
      <c r="ADA38" s="456"/>
      <c r="ADB38" s="456"/>
      <c r="ADC38" s="456"/>
      <c r="ADD38" s="456"/>
      <c r="ADE38" s="456"/>
      <c r="ADF38" s="456"/>
      <c r="ADG38" s="456"/>
      <c r="ADH38" s="456"/>
      <c r="ADI38" s="456"/>
      <c r="ADJ38" s="456"/>
      <c r="ADK38" s="456"/>
      <c r="ADL38" s="456"/>
      <c r="ADM38" s="456"/>
      <c r="ADN38" s="456"/>
      <c r="ADO38" s="456"/>
      <c r="ADP38" s="456"/>
      <c r="ADQ38" s="456"/>
      <c r="ADR38" s="456"/>
      <c r="ADS38" s="456"/>
      <c r="ADT38" s="456"/>
      <c r="ADU38" s="456"/>
      <c r="ADV38" s="456"/>
      <c r="ADW38" s="456"/>
      <c r="ADX38" s="456"/>
      <c r="ADY38" s="456"/>
      <c r="ADZ38" s="456"/>
      <c r="AEA38" s="456"/>
      <c r="AEB38" s="456"/>
      <c r="AEC38" s="456"/>
      <c r="AED38" s="456"/>
      <c r="AEE38" s="456"/>
      <c r="AEF38" s="456"/>
      <c r="AEG38" s="456"/>
      <c r="AEH38" s="456"/>
      <c r="AEI38" s="456"/>
      <c r="AEJ38" s="456"/>
      <c r="AEK38" s="456"/>
      <c r="AEL38" s="456"/>
      <c r="AEM38" s="456"/>
      <c r="AEN38" s="456"/>
      <c r="AEO38" s="456"/>
      <c r="AEP38" s="456"/>
      <c r="AEQ38" s="456"/>
      <c r="AER38" s="456"/>
      <c r="AES38" s="456"/>
      <c r="AET38" s="456"/>
      <c r="AEU38" s="456"/>
      <c r="AEV38" s="456"/>
      <c r="AEW38" s="456"/>
      <c r="AEX38" s="456"/>
      <c r="AEY38" s="456"/>
      <c r="AEZ38" s="456"/>
      <c r="AFA38" s="456"/>
      <c r="AFB38" s="456"/>
      <c r="AFC38" s="456"/>
      <c r="AFD38" s="456"/>
      <c r="AFE38" s="456"/>
      <c r="AFF38" s="456"/>
      <c r="AFG38" s="456"/>
      <c r="AFH38" s="456"/>
      <c r="AFI38" s="456"/>
      <c r="AFJ38" s="456"/>
      <c r="AFK38" s="456"/>
      <c r="AFL38" s="456"/>
      <c r="AFM38" s="456"/>
      <c r="AFN38" s="456"/>
      <c r="AFO38" s="456"/>
      <c r="AFP38" s="456"/>
      <c r="AFQ38" s="456"/>
      <c r="AFR38" s="456"/>
      <c r="AFS38" s="456"/>
      <c r="AFT38" s="456"/>
      <c r="AFU38" s="456"/>
      <c r="AFV38" s="456"/>
      <c r="AFW38" s="456"/>
      <c r="AFX38" s="456"/>
      <c r="AFY38" s="456"/>
      <c r="AFZ38" s="456"/>
      <c r="AGA38" s="456"/>
      <c r="AGB38" s="456"/>
      <c r="AGC38" s="456"/>
      <c r="AGD38" s="456"/>
      <c r="AGE38" s="456"/>
      <c r="AGF38" s="456"/>
      <c r="AGG38" s="456"/>
      <c r="AGH38" s="456"/>
      <c r="AGI38" s="456"/>
      <c r="AGJ38" s="456"/>
      <c r="AGK38" s="456"/>
      <c r="AGL38" s="456"/>
      <c r="AGM38" s="456"/>
      <c r="AGN38" s="456"/>
      <c r="AGO38" s="456"/>
      <c r="AGP38" s="456"/>
      <c r="AGQ38" s="456"/>
      <c r="AGR38" s="456"/>
      <c r="AGS38" s="456"/>
      <c r="AGT38" s="456"/>
      <c r="AGU38" s="456"/>
      <c r="AGV38" s="456"/>
      <c r="AGW38" s="456"/>
      <c r="AGX38" s="456"/>
      <c r="AGY38" s="456"/>
      <c r="AGZ38" s="456"/>
      <c r="AHA38" s="456"/>
      <c r="AHB38" s="456"/>
      <c r="AHC38" s="456"/>
      <c r="AHD38" s="456"/>
      <c r="AHE38" s="456"/>
      <c r="AHF38" s="456"/>
      <c r="AHG38" s="456"/>
      <c r="AHH38" s="456"/>
      <c r="AHI38" s="456"/>
      <c r="AHJ38" s="456"/>
      <c r="AHK38" s="456"/>
      <c r="AHL38" s="456"/>
      <c r="AHM38" s="456"/>
      <c r="AHN38" s="456"/>
      <c r="AHO38" s="456"/>
      <c r="AHP38" s="456"/>
      <c r="AHQ38" s="456"/>
      <c r="AHR38" s="456"/>
      <c r="AHS38" s="456"/>
      <c r="AHT38" s="456"/>
      <c r="AHU38" s="456"/>
      <c r="AHV38" s="456"/>
      <c r="AHW38" s="456"/>
      <c r="AHX38" s="456"/>
      <c r="AHY38" s="456"/>
      <c r="AHZ38" s="456"/>
      <c r="AIA38" s="456"/>
      <c r="AIB38" s="456"/>
      <c r="AIC38" s="456"/>
      <c r="AID38" s="456"/>
      <c r="AIE38" s="456"/>
      <c r="AIF38" s="456"/>
      <c r="AIG38" s="456"/>
      <c r="AIH38" s="456"/>
      <c r="AII38" s="456"/>
      <c r="AIJ38" s="456"/>
      <c r="AIK38" s="456"/>
      <c r="AIL38" s="456"/>
      <c r="AIM38" s="456"/>
      <c r="AIN38" s="456"/>
      <c r="AIO38" s="456"/>
      <c r="AIP38" s="456"/>
      <c r="AIQ38" s="456"/>
      <c r="AIR38" s="456"/>
      <c r="AIS38" s="456"/>
      <c r="AIT38" s="456"/>
      <c r="AIU38" s="456"/>
      <c r="AIV38" s="456"/>
      <c r="AIW38" s="456"/>
      <c r="AIX38" s="456"/>
      <c r="AIY38" s="456"/>
      <c r="AIZ38" s="456"/>
      <c r="AJA38" s="456"/>
      <c r="AJB38" s="456"/>
      <c r="AJC38" s="456"/>
      <c r="AJD38" s="456"/>
      <c r="AJE38" s="456"/>
      <c r="AJF38" s="456"/>
      <c r="AJG38" s="456"/>
      <c r="AJH38" s="456"/>
      <c r="AJI38" s="456"/>
      <c r="AJJ38" s="456"/>
      <c r="AJK38" s="456"/>
      <c r="AJL38" s="456"/>
      <c r="AJM38" s="456"/>
      <c r="AJN38" s="456"/>
      <c r="AJO38" s="456"/>
      <c r="AJP38" s="456"/>
      <c r="AJQ38" s="456"/>
      <c r="AJR38" s="456"/>
      <c r="AJS38" s="456"/>
      <c r="AJT38" s="456"/>
      <c r="AJU38" s="456"/>
      <c r="AJV38" s="456"/>
      <c r="AJW38" s="456"/>
      <c r="AJX38" s="456"/>
      <c r="AJY38" s="456"/>
      <c r="AJZ38" s="456"/>
      <c r="AKA38" s="456"/>
      <c r="AKB38" s="456"/>
      <c r="AKC38" s="456"/>
      <c r="AKD38" s="456"/>
      <c r="AKE38" s="456"/>
      <c r="AKF38" s="456"/>
      <c r="AKG38" s="456"/>
      <c r="AKH38" s="456"/>
      <c r="AKI38" s="456"/>
      <c r="AKJ38" s="456"/>
      <c r="AKK38" s="456"/>
      <c r="AKL38" s="456"/>
      <c r="AKM38" s="456"/>
      <c r="AKN38" s="456"/>
      <c r="AKO38" s="456"/>
      <c r="AKP38" s="456"/>
      <c r="AKQ38" s="456"/>
      <c r="AKR38" s="456"/>
      <c r="AKS38" s="456"/>
      <c r="AKT38" s="456"/>
      <c r="AKU38" s="456"/>
      <c r="AKV38" s="456"/>
      <c r="AKW38" s="456"/>
      <c r="AKX38" s="456"/>
      <c r="AKY38" s="456"/>
      <c r="AKZ38" s="456"/>
      <c r="ALA38" s="456"/>
      <c r="ALB38" s="456"/>
      <c r="ALC38" s="456"/>
      <c r="ALD38" s="456"/>
      <c r="ALE38" s="456"/>
      <c r="ALF38" s="456"/>
      <c r="ALG38" s="456"/>
      <c r="ALH38" s="456"/>
      <c r="ALI38" s="456"/>
      <c r="ALJ38" s="456"/>
      <c r="ALK38" s="456"/>
      <c r="ALL38" s="456"/>
      <c r="ALM38" s="456"/>
      <c r="ALN38" s="456"/>
      <c r="ALO38" s="456"/>
      <c r="ALP38" s="456"/>
      <c r="ALQ38" s="456"/>
      <c r="ALR38" s="456"/>
      <c r="ALS38" s="456"/>
      <c r="ALT38" s="456"/>
      <c r="ALU38" s="456"/>
      <c r="ALV38" s="456"/>
      <c r="ALW38" s="456"/>
      <c r="ALX38" s="456"/>
      <c r="ALY38" s="456"/>
      <c r="ALZ38" s="456"/>
      <c r="AMA38" s="456"/>
      <c r="AMB38" s="456"/>
      <c r="AMC38" s="456"/>
      <c r="AMD38" s="456"/>
      <c r="AME38" s="456"/>
      <c r="AMF38" s="456"/>
      <c r="AMG38" s="456"/>
      <c r="AMH38" s="456"/>
      <c r="AMI38" s="456"/>
      <c r="AMJ38" s="456"/>
      <c r="AMK38" s="456"/>
      <c r="AML38" s="456"/>
      <c r="AMM38" s="456"/>
      <c r="AMN38" s="456"/>
      <c r="AMO38" s="456"/>
      <c r="AMP38" s="456"/>
      <c r="AMQ38" s="456"/>
      <c r="AMR38" s="456"/>
      <c r="AMS38" s="456"/>
      <c r="AMT38" s="456"/>
      <c r="AMU38" s="456"/>
      <c r="AMV38" s="456"/>
      <c r="AMW38" s="456"/>
      <c r="AMX38" s="456"/>
      <c r="AMY38" s="456"/>
      <c r="AMZ38" s="456"/>
      <c r="ANA38" s="456"/>
      <c r="ANB38" s="456"/>
      <c r="ANC38" s="456"/>
      <c r="AND38" s="456"/>
      <c r="ANE38" s="456"/>
      <c r="ANF38" s="456"/>
      <c r="ANG38" s="456"/>
      <c r="ANH38" s="456"/>
      <c r="ANI38" s="456"/>
      <c r="ANJ38" s="456"/>
      <c r="ANK38" s="456"/>
      <c r="ANL38" s="456"/>
      <c r="ANM38" s="456"/>
      <c r="ANN38" s="456"/>
      <c r="ANO38" s="456"/>
      <c r="ANP38" s="456"/>
      <c r="ANQ38" s="456"/>
      <c r="ANR38" s="456"/>
      <c r="ANS38" s="456"/>
      <c r="ANT38" s="456"/>
      <c r="ANU38" s="456"/>
      <c r="ANV38" s="456"/>
      <c r="ANW38" s="456"/>
      <c r="ANX38" s="456"/>
      <c r="ANY38" s="456"/>
      <c r="ANZ38" s="456"/>
      <c r="AOA38" s="456"/>
      <c r="AOB38" s="456"/>
      <c r="AOC38" s="456"/>
      <c r="AOD38" s="456"/>
      <c r="AOE38" s="456"/>
      <c r="AOF38" s="456"/>
      <c r="AOG38" s="456"/>
      <c r="AOH38" s="456"/>
      <c r="AOI38" s="456"/>
      <c r="AOJ38" s="456"/>
      <c r="AOK38" s="456"/>
      <c r="AOL38" s="456"/>
      <c r="AOM38" s="456"/>
      <c r="AON38" s="456"/>
      <c r="AOO38" s="456"/>
      <c r="AOP38" s="456"/>
      <c r="AOQ38" s="456"/>
      <c r="AOR38" s="456"/>
      <c r="AOS38" s="456"/>
      <c r="AOT38" s="456"/>
      <c r="AOU38" s="456"/>
      <c r="AOV38" s="456"/>
      <c r="AOW38" s="456"/>
      <c r="AOX38" s="456"/>
      <c r="AOY38" s="456"/>
      <c r="AOZ38" s="456"/>
      <c r="APA38" s="456"/>
      <c r="APB38" s="456"/>
      <c r="APC38" s="456"/>
      <c r="APD38" s="456"/>
      <c r="APE38" s="456"/>
      <c r="APF38" s="456"/>
      <c r="APG38" s="456"/>
      <c r="APH38" s="456"/>
      <c r="API38" s="456"/>
      <c r="APJ38" s="456"/>
      <c r="APK38" s="456"/>
      <c r="APL38" s="456"/>
      <c r="APM38" s="456"/>
      <c r="APN38" s="456"/>
      <c r="APO38" s="456"/>
      <c r="APP38" s="456"/>
      <c r="APQ38" s="456"/>
      <c r="APR38" s="456"/>
      <c r="APS38" s="456"/>
      <c r="APT38" s="456"/>
      <c r="APU38" s="456"/>
      <c r="APV38" s="456"/>
      <c r="APW38" s="456"/>
      <c r="APX38" s="456"/>
      <c r="APY38" s="456"/>
      <c r="APZ38" s="456"/>
      <c r="AQA38" s="456"/>
      <c r="AQB38" s="456"/>
      <c r="AQC38" s="456"/>
      <c r="AQD38" s="456"/>
      <c r="AQE38" s="456"/>
      <c r="AQF38" s="456"/>
      <c r="AQG38" s="456"/>
      <c r="AQH38" s="456"/>
      <c r="AQI38" s="456"/>
      <c r="AQJ38" s="456"/>
      <c r="AQK38" s="456"/>
      <c r="AQL38" s="456"/>
      <c r="AQM38" s="456"/>
      <c r="AQN38" s="456"/>
      <c r="AQO38" s="456"/>
      <c r="AQP38" s="456"/>
      <c r="AQQ38" s="456"/>
      <c r="AQR38" s="456"/>
      <c r="AQS38" s="456"/>
      <c r="AQT38" s="456"/>
      <c r="AQU38" s="456"/>
      <c r="AQV38" s="456"/>
      <c r="AQW38" s="456"/>
      <c r="AQX38" s="456"/>
      <c r="AQY38" s="456"/>
      <c r="AQZ38" s="456"/>
      <c r="ARA38" s="456"/>
      <c r="ARB38" s="456"/>
      <c r="ARC38" s="456"/>
      <c r="ARD38" s="456"/>
      <c r="ARE38" s="456"/>
      <c r="ARF38" s="456"/>
      <c r="ARG38" s="456"/>
      <c r="ARH38" s="456"/>
      <c r="ARI38" s="456"/>
      <c r="ARJ38" s="456"/>
      <c r="ARK38" s="456"/>
      <c r="ARL38" s="456"/>
      <c r="ARM38" s="456"/>
      <c r="ARN38" s="456"/>
      <c r="ARO38" s="456"/>
      <c r="ARP38" s="456"/>
      <c r="ARQ38" s="456"/>
      <c r="ARR38" s="456"/>
      <c r="ARS38" s="456"/>
      <c r="ART38" s="456"/>
      <c r="ARU38" s="456"/>
      <c r="ARV38" s="456"/>
      <c r="ARW38" s="456"/>
      <c r="ARX38" s="456"/>
      <c r="ARY38" s="456"/>
      <c r="ARZ38" s="456"/>
      <c r="ASA38" s="456"/>
      <c r="ASB38" s="456"/>
      <c r="ASC38" s="456"/>
      <c r="ASD38" s="456"/>
      <c r="ASE38" s="456"/>
      <c r="ASF38" s="456"/>
      <c r="ASG38" s="456"/>
      <c r="ASH38" s="456"/>
      <c r="ASI38" s="456"/>
      <c r="ASJ38" s="456"/>
      <c r="ASK38" s="456"/>
      <c r="ASL38" s="456"/>
      <c r="ASM38" s="456"/>
      <c r="ASN38" s="456"/>
      <c r="ASO38" s="456"/>
      <c r="ASP38" s="456"/>
      <c r="ASQ38" s="456"/>
      <c r="ASR38" s="456"/>
      <c r="ASS38" s="456"/>
      <c r="AST38" s="456"/>
      <c r="ASU38" s="456"/>
      <c r="ASV38" s="456"/>
      <c r="ASW38" s="456"/>
      <c r="ASX38" s="456"/>
      <c r="ASY38" s="456"/>
      <c r="ASZ38" s="456"/>
      <c r="ATA38" s="456"/>
      <c r="ATB38" s="456"/>
      <c r="ATC38" s="456"/>
      <c r="ATD38" s="456"/>
      <c r="ATE38" s="456"/>
      <c r="ATF38" s="456"/>
      <c r="ATG38" s="456"/>
      <c r="ATH38" s="456"/>
      <c r="ATI38" s="456"/>
      <c r="ATJ38" s="456"/>
      <c r="ATK38" s="456"/>
      <c r="ATL38" s="456"/>
      <c r="ATM38" s="456"/>
      <c r="ATN38" s="456"/>
      <c r="ATO38" s="456"/>
      <c r="ATP38" s="456"/>
      <c r="ATQ38" s="456"/>
      <c r="ATR38" s="456"/>
      <c r="ATS38" s="456"/>
      <c r="ATT38" s="456"/>
      <c r="ATU38" s="456"/>
      <c r="ATV38" s="456"/>
      <c r="ATW38" s="456"/>
      <c r="ATX38" s="456"/>
      <c r="ATY38" s="456"/>
      <c r="ATZ38" s="456"/>
      <c r="AUA38" s="456"/>
      <c r="AUB38" s="456"/>
      <c r="AUC38" s="456"/>
      <c r="AUD38" s="456"/>
      <c r="AUE38" s="456"/>
      <c r="AUF38" s="456"/>
      <c r="AUG38" s="456"/>
      <c r="AUH38" s="456"/>
      <c r="AUI38" s="456"/>
      <c r="AUJ38" s="456"/>
      <c r="AUK38" s="456"/>
      <c r="AUL38" s="456"/>
      <c r="AUM38" s="456"/>
      <c r="AUN38" s="456"/>
      <c r="AUO38" s="456"/>
      <c r="AUP38" s="456"/>
      <c r="AUQ38" s="456"/>
      <c r="AUR38" s="456"/>
      <c r="AUS38" s="456"/>
      <c r="AUT38" s="456"/>
      <c r="AUU38" s="456"/>
      <c r="AUV38" s="456"/>
      <c r="AUW38" s="456"/>
      <c r="AUX38" s="456"/>
      <c r="AUY38" s="456"/>
      <c r="AUZ38" s="456"/>
      <c r="AVA38" s="456"/>
      <c r="AVB38" s="456"/>
      <c r="AVC38" s="456"/>
      <c r="AVD38" s="456"/>
      <c r="AVE38" s="456"/>
      <c r="AVF38" s="456"/>
      <c r="AVG38" s="456"/>
      <c r="AVH38" s="456"/>
      <c r="AVI38" s="456"/>
      <c r="AVJ38" s="456"/>
      <c r="AVK38" s="456"/>
      <c r="AVL38" s="456"/>
      <c r="AVM38" s="456"/>
      <c r="AVN38" s="456"/>
      <c r="AVO38" s="456"/>
      <c r="AVP38" s="456"/>
      <c r="AVQ38" s="456"/>
      <c r="AVR38" s="456"/>
      <c r="AVS38" s="456"/>
      <c r="AVT38" s="456"/>
      <c r="AVU38" s="456"/>
      <c r="AVV38" s="456"/>
      <c r="AVW38" s="456"/>
      <c r="AVX38" s="456"/>
      <c r="AVY38" s="456"/>
      <c r="AVZ38" s="456"/>
      <c r="AWA38" s="456"/>
      <c r="AWB38" s="456"/>
      <c r="AWC38" s="456"/>
      <c r="AWD38" s="456"/>
      <c r="AWE38" s="456"/>
      <c r="AWF38" s="456"/>
      <c r="AWG38" s="456"/>
      <c r="AWH38" s="456"/>
      <c r="AWI38" s="456"/>
      <c r="AWJ38" s="456"/>
      <c r="AWK38" s="456"/>
      <c r="AWL38" s="456"/>
      <c r="AWM38" s="456"/>
      <c r="AWN38" s="456"/>
      <c r="AWO38" s="456"/>
      <c r="AWP38" s="456"/>
      <c r="AWQ38" s="456"/>
      <c r="AWR38" s="456"/>
      <c r="AWS38" s="456"/>
      <c r="AWT38" s="456"/>
      <c r="AWU38" s="456"/>
      <c r="AWV38" s="456"/>
      <c r="AWW38" s="456"/>
      <c r="AWX38" s="456"/>
      <c r="AWY38" s="456"/>
      <c r="AWZ38" s="456"/>
      <c r="AXA38" s="456"/>
      <c r="AXB38" s="456"/>
      <c r="AXC38" s="456"/>
      <c r="AXD38" s="456"/>
      <c r="AXE38" s="456"/>
      <c r="AXF38" s="456"/>
      <c r="AXG38" s="456"/>
      <c r="AXH38" s="456"/>
      <c r="AXI38" s="456"/>
      <c r="AXJ38" s="456"/>
      <c r="AXK38" s="456"/>
      <c r="AXL38" s="456"/>
      <c r="AXM38" s="456"/>
      <c r="AXN38" s="456"/>
      <c r="AXO38" s="456"/>
      <c r="AXP38" s="456"/>
      <c r="AXQ38" s="456"/>
      <c r="AXR38" s="456"/>
      <c r="AXS38" s="456"/>
      <c r="AXT38" s="456"/>
      <c r="AXU38" s="456"/>
      <c r="AXV38" s="456"/>
      <c r="AXW38" s="456"/>
      <c r="AXX38" s="456"/>
      <c r="AXY38" s="456"/>
      <c r="AXZ38" s="456"/>
      <c r="AYA38" s="456"/>
      <c r="AYB38" s="456"/>
      <c r="AYC38" s="456"/>
      <c r="AYD38" s="456"/>
      <c r="AYE38" s="456"/>
      <c r="AYF38" s="456"/>
      <c r="AYG38" s="456"/>
      <c r="AYH38" s="456"/>
      <c r="AYI38" s="456"/>
      <c r="AYJ38" s="456"/>
      <c r="AYK38" s="456"/>
      <c r="AYL38" s="456"/>
      <c r="AYM38" s="456"/>
      <c r="AYN38" s="456"/>
      <c r="AYO38" s="456"/>
      <c r="AYP38" s="456"/>
      <c r="AYQ38" s="456"/>
      <c r="AYR38" s="456"/>
      <c r="AYS38" s="456"/>
      <c r="AYT38" s="456"/>
      <c r="AYU38" s="456"/>
      <c r="AYV38" s="456"/>
      <c r="AYW38" s="456"/>
      <c r="AYX38" s="456"/>
      <c r="AYY38" s="456"/>
      <c r="AYZ38" s="456"/>
      <c r="AZA38" s="456"/>
      <c r="AZB38" s="456"/>
      <c r="AZC38" s="456"/>
      <c r="AZD38" s="456"/>
      <c r="AZE38" s="456"/>
      <c r="AZF38" s="456"/>
      <c r="AZG38" s="456"/>
      <c r="AZH38" s="456"/>
      <c r="AZI38" s="456"/>
      <c r="AZJ38" s="456"/>
      <c r="AZK38" s="456"/>
      <c r="AZL38" s="456"/>
      <c r="AZM38" s="456"/>
      <c r="AZN38" s="456"/>
      <c r="AZO38" s="456"/>
      <c r="AZP38" s="456"/>
      <c r="AZQ38" s="456"/>
      <c r="AZR38" s="456"/>
      <c r="AZS38" s="456"/>
      <c r="AZT38" s="456"/>
      <c r="AZU38" s="456"/>
      <c r="AZV38" s="456"/>
      <c r="AZW38" s="456"/>
      <c r="AZX38" s="456"/>
      <c r="AZY38" s="456"/>
      <c r="AZZ38" s="456"/>
      <c r="BAA38" s="456"/>
      <c r="BAB38" s="456"/>
      <c r="BAC38" s="456"/>
      <c r="BAD38" s="456"/>
      <c r="BAE38" s="456"/>
      <c r="BAF38" s="456"/>
      <c r="BAG38" s="456"/>
      <c r="BAH38" s="456"/>
      <c r="BAI38" s="456"/>
      <c r="BAJ38" s="456"/>
      <c r="BAK38" s="456"/>
      <c r="BAL38" s="456"/>
      <c r="BAM38" s="456"/>
      <c r="BAN38" s="456"/>
      <c r="BAO38" s="456"/>
      <c r="BAP38" s="456"/>
      <c r="BAQ38" s="456"/>
      <c r="BAR38" s="456"/>
      <c r="BAS38" s="456"/>
      <c r="BAT38" s="456"/>
      <c r="BAU38" s="456"/>
      <c r="BAV38" s="456"/>
      <c r="BAW38" s="456"/>
      <c r="BAX38" s="456"/>
      <c r="BAY38" s="456"/>
      <c r="BAZ38" s="456"/>
      <c r="BBA38" s="456"/>
      <c r="BBB38" s="456"/>
      <c r="BBC38" s="456"/>
      <c r="BBD38" s="456"/>
      <c r="BBE38" s="456"/>
      <c r="BBF38" s="456"/>
      <c r="BBG38" s="456"/>
      <c r="BBH38" s="456"/>
      <c r="BBI38" s="456"/>
      <c r="BBJ38" s="456"/>
      <c r="BBK38" s="456"/>
      <c r="BBL38" s="456"/>
      <c r="BBM38" s="456"/>
      <c r="BBN38" s="456"/>
      <c r="BBO38" s="456"/>
      <c r="BBP38" s="456"/>
      <c r="BBQ38" s="456"/>
      <c r="BBR38" s="456"/>
      <c r="BBS38" s="456"/>
      <c r="BBT38" s="456"/>
      <c r="BBU38" s="456"/>
      <c r="BBV38" s="456"/>
      <c r="BBW38" s="456"/>
      <c r="BBX38" s="456"/>
      <c r="BBY38" s="456"/>
      <c r="BBZ38" s="456"/>
      <c r="BCA38" s="456"/>
      <c r="BCB38" s="456"/>
      <c r="BCC38" s="456"/>
      <c r="BCD38" s="456"/>
      <c r="BCE38" s="456"/>
      <c r="BCF38" s="456"/>
      <c r="BCG38" s="456"/>
      <c r="BCH38" s="456"/>
      <c r="BCI38" s="456"/>
      <c r="BCJ38" s="456"/>
      <c r="BCK38" s="456"/>
      <c r="BCL38" s="456"/>
      <c r="BCM38" s="456"/>
      <c r="BCN38" s="456"/>
      <c r="BCO38" s="456"/>
      <c r="BCP38" s="456"/>
      <c r="BCQ38" s="456"/>
      <c r="BCR38" s="456"/>
      <c r="BCS38" s="456"/>
      <c r="BCT38" s="456"/>
      <c r="BCU38" s="456"/>
      <c r="BCV38" s="456"/>
      <c r="BCW38" s="456"/>
      <c r="BCX38" s="456"/>
      <c r="BCY38" s="456"/>
      <c r="BCZ38" s="456"/>
      <c r="BDA38" s="456"/>
      <c r="BDB38" s="456"/>
      <c r="BDC38" s="456"/>
      <c r="BDD38" s="456"/>
      <c r="BDE38" s="456"/>
      <c r="BDF38" s="456"/>
      <c r="BDG38" s="456"/>
      <c r="BDH38" s="456"/>
      <c r="BDI38" s="456"/>
      <c r="BDJ38" s="456"/>
      <c r="BDK38" s="456"/>
      <c r="BDL38" s="456"/>
      <c r="BDM38" s="456"/>
      <c r="BDN38" s="456"/>
      <c r="BDO38" s="456"/>
      <c r="BDP38" s="456"/>
      <c r="BDQ38" s="456"/>
      <c r="BDR38" s="456"/>
      <c r="BDS38" s="456"/>
      <c r="BDT38" s="456"/>
      <c r="BDU38" s="456"/>
      <c r="BDV38" s="456"/>
      <c r="BDW38" s="456"/>
      <c r="BDX38" s="456"/>
      <c r="BDY38" s="456"/>
      <c r="BDZ38" s="456"/>
      <c r="BEA38" s="456"/>
      <c r="BEB38" s="456"/>
      <c r="BEC38" s="456"/>
      <c r="BED38" s="456"/>
      <c r="BEE38" s="456"/>
      <c r="BEF38" s="456"/>
      <c r="BEG38" s="456"/>
      <c r="BEH38" s="456"/>
      <c r="BEI38" s="456"/>
      <c r="BEJ38" s="456"/>
      <c r="BEK38" s="456"/>
      <c r="BEL38" s="456"/>
      <c r="BEM38" s="456"/>
      <c r="BEN38" s="456"/>
      <c r="BEO38" s="456"/>
      <c r="BEP38" s="456"/>
      <c r="BEQ38" s="456"/>
      <c r="BER38" s="456"/>
      <c r="BES38" s="456"/>
      <c r="BET38" s="456"/>
      <c r="BEU38" s="456"/>
      <c r="BEV38" s="456"/>
      <c r="BEW38" s="456"/>
      <c r="BEX38" s="456"/>
      <c r="BEY38" s="456"/>
      <c r="BEZ38" s="456"/>
      <c r="BFA38" s="456"/>
      <c r="BFB38" s="456"/>
      <c r="BFC38" s="456"/>
      <c r="BFD38" s="456"/>
      <c r="BFE38" s="456"/>
      <c r="BFF38" s="456"/>
      <c r="BFG38" s="456"/>
      <c r="BFH38" s="456"/>
      <c r="BFI38" s="456"/>
      <c r="BFJ38" s="456"/>
      <c r="BFK38" s="456"/>
      <c r="BFL38" s="456"/>
      <c r="BFM38" s="456"/>
      <c r="BFN38" s="456"/>
      <c r="BFO38" s="456"/>
      <c r="BFP38" s="456"/>
      <c r="BFQ38" s="456"/>
      <c r="BFR38" s="456"/>
      <c r="BFS38" s="456"/>
      <c r="BFT38" s="456"/>
      <c r="BFU38" s="456"/>
      <c r="BFV38" s="456"/>
      <c r="BFW38" s="456"/>
      <c r="BFX38" s="456"/>
      <c r="BFY38" s="456"/>
      <c r="BFZ38" s="456"/>
      <c r="BGA38" s="456"/>
      <c r="BGB38" s="456"/>
      <c r="BGC38" s="456"/>
      <c r="BGD38" s="456"/>
      <c r="BGE38" s="456"/>
      <c r="BGF38" s="456"/>
      <c r="BGG38" s="456"/>
      <c r="BGH38" s="456"/>
      <c r="BGI38" s="456"/>
      <c r="BGJ38" s="456"/>
      <c r="BGK38" s="456"/>
      <c r="BGL38" s="456"/>
      <c r="BGM38" s="456"/>
      <c r="BGN38" s="456"/>
      <c r="BGO38" s="456"/>
      <c r="BGP38" s="456"/>
      <c r="BGQ38" s="456"/>
      <c r="BGR38" s="456"/>
      <c r="BGS38" s="456"/>
      <c r="BGT38" s="456"/>
      <c r="BGU38" s="456"/>
      <c r="BGV38" s="456"/>
      <c r="BGW38" s="456"/>
      <c r="BGX38" s="456"/>
      <c r="BGY38" s="456"/>
      <c r="BGZ38" s="456"/>
      <c r="BHA38" s="456"/>
      <c r="BHB38" s="456"/>
      <c r="BHC38" s="456"/>
      <c r="BHD38" s="456"/>
      <c r="BHE38" s="456"/>
      <c r="BHF38" s="456"/>
      <c r="BHG38" s="456"/>
      <c r="BHH38" s="456"/>
      <c r="BHI38" s="456"/>
      <c r="BHJ38" s="456"/>
      <c r="BHK38" s="456"/>
      <c r="BHL38" s="456"/>
      <c r="BHM38" s="456"/>
      <c r="BHN38" s="456"/>
      <c r="BHO38" s="456"/>
      <c r="BHP38" s="456"/>
      <c r="BHQ38" s="456"/>
      <c r="BHR38" s="456"/>
      <c r="BHS38" s="456"/>
      <c r="BHT38" s="456"/>
      <c r="BHU38" s="456"/>
      <c r="BHV38" s="456"/>
      <c r="BHW38" s="456"/>
      <c r="BHX38" s="456"/>
      <c r="BHY38" s="456"/>
      <c r="BHZ38" s="456"/>
      <c r="BIA38" s="456"/>
      <c r="BIB38" s="456"/>
      <c r="BIC38" s="456"/>
      <c r="BID38" s="456"/>
      <c r="BIE38" s="456"/>
      <c r="BIF38" s="456"/>
      <c r="BIG38" s="456"/>
      <c r="BIH38" s="456"/>
      <c r="BII38" s="456"/>
      <c r="BIJ38" s="456"/>
      <c r="BIK38" s="456"/>
      <c r="BIL38" s="456"/>
      <c r="BIM38" s="456"/>
      <c r="BIN38" s="456"/>
      <c r="BIO38" s="456"/>
      <c r="BIP38" s="456"/>
      <c r="BIQ38" s="456"/>
      <c r="BIR38" s="456"/>
      <c r="BIS38" s="456"/>
      <c r="BIT38" s="456"/>
      <c r="BIU38" s="456"/>
      <c r="BIV38" s="456"/>
      <c r="BIW38" s="456"/>
      <c r="BIX38" s="456"/>
      <c r="BIY38" s="456"/>
      <c r="BIZ38" s="456"/>
      <c r="BJA38" s="456"/>
      <c r="BJB38" s="456"/>
      <c r="BJC38" s="456"/>
      <c r="BJD38" s="456"/>
      <c r="BJE38" s="456"/>
      <c r="BJF38" s="456"/>
      <c r="BJG38" s="456"/>
      <c r="BJH38" s="456"/>
      <c r="BJI38" s="456"/>
      <c r="BJJ38" s="456"/>
      <c r="BJK38" s="456"/>
      <c r="BJL38" s="456"/>
      <c r="BJM38" s="456"/>
      <c r="BJN38" s="456"/>
      <c r="BJO38" s="456"/>
      <c r="BJP38" s="456"/>
      <c r="BJQ38" s="456"/>
      <c r="BJR38" s="456"/>
      <c r="BJS38" s="456"/>
      <c r="BJT38" s="456"/>
      <c r="BJU38" s="456"/>
      <c r="BJV38" s="456"/>
      <c r="BJW38" s="456"/>
      <c r="BJX38" s="456"/>
      <c r="BJY38" s="456"/>
      <c r="BJZ38" s="456"/>
      <c r="BKA38" s="456"/>
      <c r="BKB38" s="456"/>
      <c r="BKC38" s="456"/>
      <c r="BKD38" s="456"/>
      <c r="BKE38" s="456"/>
      <c r="BKF38" s="456"/>
      <c r="BKG38" s="456"/>
      <c r="BKH38" s="456"/>
      <c r="BKI38" s="456"/>
      <c r="BKJ38" s="456"/>
      <c r="BKK38" s="456"/>
      <c r="BKL38" s="456"/>
      <c r="BKM38" s="456"/>
      <c r="BKN38" s="456"/>
      <c r="BKO38" s="456"/>
      <c r="BKP38" s="456"/>
      <c r="BKQ38" s="456"/>
      <c r="BKR38" s="456"/>
      <c r="BKS38" s="456"/>
      <c r="BKT38" s="456"/>
      <c r="BKU38" s="456"/>
      <c r="BKV38" s="456"/>
      <c r="BKW38" s="456"/>
      <c r="BKX38" s="456"/>
      <c r="BKY38" s="456"/>
      <c r="BKZ38" s="456"/>
      <c r="BLA38" s="456"/>
      <c r="BLB38" s="456"/>
      <c r="BLC38" s="456"/>
      <c r="BLD38" s="456"/>
      <c r="BLE38" s="456"/>
      <c r="BLF38" s="456"/>
      <c r="BLG38" s="456"/>
      <c r="BLH38" s="456"/>
      <c r="BLI38" s="456"/>
      <c r="BLJ38" s="456"/>
      <c r="BLK38" s="456"/>
      <c r="BLL38" s="456"/>
      <c r="BLM38" s="456"/>
      <c r="BLN38" s="456"/>
      <c r="BLO38" s="456"/>
      <c r="BLP38" s="456"/>
      <c r="BLQ38" s="456"/>
      <c r="BLR38" s="456"/>
      <c r="BLS38" s="456"/>
      <c r="BLT38" s="456"/>
      <c r="BLU38" s="456"/>
      <c r="BLV38" s="456"/>
      <c r="BLW38" s="456"/>
      <c r="BLX38" s="456"/>
      <c r="BLY38" s="456"/>
      <c r="BLZ38" s="456"/>
      <c r="BMA38" s="456"/>
      <c r="BMB38" s="456"/>
      <c r="BMC38" s="456"/>
      <c r="BMD38" s="456"/>
      <c r="BME38" s="456"/>
      <c r="BMF38" s="456"/>
      <c r="BMG38" s="456"/>
      <c r="BMH38" s="456"/>
      <c r="BMI38" s="456"/>
      <c r="BMJ38" s="456"/>
      <c r="BMK38" s="456"/>
      <c r="BML38" s="456"/>
      <c r="BMM38" s="456"/>
      <c r="BMN38" s="456"/>
      <c r="BMO38" s="456"/>
      <c r="BMP38" s="456"/>
      <c r="BMQ38" s="456"/>
      <c r="BMR38" s="456"/>
      <c r="BMS38" s="456"/>
      <c r="BMT38" s="456"/>
      <c r="BMU38" s="456"/>
      <c r="BMV38" s="456"/>
      <c r="BMW38" s="456"/>
      <c r="BMX38" s="456"/>
      <c r="BMY38" s="456"/>
      <c r="BMZ38" s="456"/>
      <c r="BNA38" s="456"/>
      <c r="BNB38" s="456"/>
      <c r="BNC38" s="456"/>
      <c r="BND38" s="456"/>
      <c r="BNE38" s="456"/>
      <c r="BNF38" s="456"/>
      <c r="BNG38" s="456"/>
      <c r="BNH38" s="456"/>
      <c r="BNI38" s="456"/>
      <c r="BNJ38" s="456"/>
      <c r="BNK38" s="456"/>
      <c r="BNL38" s="456"/>
      <c r="BNM38" s="456"/>
      <c r="BNN38" s="456"/>
      <c r="BNO38" s="456"/>
      <c r="BNP38" s="456"/>
      <c r="BNQ38" s="456"/>
      <c r="BNR38" s="456"/>
      <c r="BNS38" s="456"/>
      <c r="BNT38" s="456"/>
      <c r="BNU38" s="456"/>
      <c r="BNV38" s="456"/>
      <c r="BNW38" s="456"/>
      <c r="BNX38" s="456"/>
      <c r="BNY38" s="456"/>
      <c r="BNZ38" s="456"/>
      <c r="BOA38" s="456"/>
      <c r="BOB38" s="456"/>
      <c r="BOC38" s="456"/>
      <c r="BOD38" s="456"/>
      <c r="BOE38" s="456"/>
      <c r="BOF38" s="456"/>
      <c r="BOG38" s="456"/>
      <c r="BOH38" s="456"/>
      <c r="BOI38" s="456"/>
      <c r="BOJ38" s="456"/>
      <c r="BOK38" s="456"/>
      <c r="BOL38" s="456"/>
      <c r="BOM38" s="456"/>
      <c r="BON38" s="456"/>
      <c r="BOO38" s="456"/>
      <c r="BOP38" s="456"/>
      <c r="BOQ38" s="456"/>
      <c r="BOR38" s="456"/>
      <c r="BOS38" s="456"/>
      <c r="BOT38" s="456"/>
      <c r="BOU38" s="456"/>
      <c r="BOV38" s="456"/>
      <c r="BOW38" s="456"/>
      <c r="BOX38" s="456"/>
      <c r="BOY38" s="456"/>
      <c r="BOZ38" s="456"/>
      <c r="BPA38" s="456"/>
      <c r="BPB38" s="456"/>
      <c r="BPC38" s="456"/>
      <c r="BPD38" s="456"/>
      <c r="BPE38" s="456"/>
      <c r="BPF38" s="456"/>
      <c r="BPG38" s="456"/>
      <c r="BPH38" s="456"/>
      <c r="BPI38" s="456"/>
      <c r="BPJ38" s="456"/>
      <c r="BPK38" s="456"/>
      <c r="BPL38" s="456"/>
      <c r="BPM38" s="456"/>
      <c r="BPN38" s="456"/>
      <c r="BPO38" s="456"/>
      <c r="BPP38" s="456"/>
      <c r="BPQ38" s="456"/>
      <c r="BPR38" s="456"/>
      <c r="BPS38" s="456"/>
      <c r="BPT38" s="456"/>
      <c r="BPU38" s="456"/>
      <c r="BPV38" s="456"/>
      <c r="BPW38" s="456"/>
      <c r="BPX38" s="456"/>
      <c r="BPY38" s="456"/>
      <c r="BPZ38" s="456"/>
      <c r="BQA38" s="456"/>
      <c r="BQB38" s="456"/>
      <c r="BQC38" s="456"/>
      <c r="BQD38" s="456"/>
      <c r="BQE38" s="456"/>
      <c r="BQF38" s="456"/>
      <c r="BQG38" s="456"/>
      <c r="BQH38" s="456"/>
      <c r="BQI38" s="456"/>
      <c r="BQJ38" s="456"/>
      <c r="BQK38" s="456"/>
      <c r="BQL38" s="456"/>
      <c r="BQM38" s="456"/>
      <c r="BQN38" s="456"/>
      <c r="BQO38" s="456"/>
      <c r="BQP38" s="456"/>
      <c r="BQQ38" s="456"/>
      <c r="BQR38" s="456"/>
      <c r="BQS38" s="456"/>
      <c r="BQT38" s="456"/>
      <c r="BQU38" s="456"/>
      <c r="BQV38" s="456"/>
      <c r="BQW38" s="456"/>
      <c r="BQX38" s="456"/>
      <c r="BQY38" s="456"/>
      <c r="BQZ38" s="456"/>
      <c r="BRA38" s="456"/>
      <c r="BRB38" s="456"/>
      <c r="BRC38" s="456"/>
      <c r="BRD38" s="456"/>
      <c r="BRE38" s="456"/>
      <c r="BRF38" s="456"/>
      <c r="BRG38" s="456"/>
      <c r="BRH38" s="456"/>
      <c r="BRI38" s="456"/>
      <c r="BRJ38" s="456"/>
      <c r="BRK38" s="456"/>
      <c r="BRL38" s="456"/>
      <c r="BRM38" s="456"/>
      <c r="BRN38" s="456"/>
      <c r="BRO38" s="456"/>
      <c r="BRP38" s="456"/>
      <c r="BRQ38" s="456"/>
      <c r="BRR38" s="456"/>
      <c r="BRS38" s="456"/>
      <c r="BRT38" s="456"/>
      <c r="BRU38" s="456"/>
      <c r="BRV38" s="456"/>
      <c r="BRW38" s="456"/>
      <c r="BRX38" s="456"/>
      <c r="BRY38" s="456"/>
      <c r="BRZ38" s="456"/>
      <c r="BSA38" s="456"/>
      <c r="BSB38" s="456"/>
      <c r="BSC38" s="456"/>
      <c r="BSD38" s="456"/>
      <c r="BSE38" s="456"/>
      <c r="BSF38" s="456"/>
      <c r="BSG38" s="456"/>
      <c r="BSH38" s="456"/>
      <c r="BSI38" s="456"/>
      <c r="BSJ38" s="456"/>
      <c r="BSK38" s="456"/>
      <c r="BSL38" s="456"/>
      <c r="BSM38" s="456"/>
      <c r="BSN38" s="456"/>
      <c r="BSO38" s="456"/>
      <c r="BSP38" s="456"/>
      <c r="BSQ38" s="456"/>
      <c r="BSR38" s="456"/>
      <c r="BSS38" s="456"/>
      <c r="BST38" s="456"/>
      <c r="BSU38" s="456"/>
      <c r="BSV38" s="456"/>
      <c r="BSW38" s="456"/>
      <c r="BSX38" s="456"/>
      <c r="BSY38" s="456"/>
      <c r="BSZ38" s="456"/>
      <c r="BTA38" s="456"/>
      <c r="BTB38" s="456"/>
      <c r="BTC38" s="456"/>
      <c r="BTD38" s="456"/>
      <c r="BTE38" s="456"/>
      <c r="BTF38" s="456"/>
      <c r="BTG38" s="456"/>
      <c r="BTH38" s="456"/>
      <c r="BTI38" s="456"/>
      <c r="BTJ38" s="456"/>
      <c r="BTK38" s="456"/>
      <c r="BTL38" s="456"/>
      <c r="BTM38" s="456"/>
      <c r="BTN38" s="456"/>
      <c r="BTO38" s="456"/>
      <c r="BTP38" s="456"/>
      <c r="BTQ38" s="456"/>
      <c r="BTR38" s="456"/>
      <c r="BTS38" s="456"/>
      <c r="BTT38" s="456"/>
      <c r="BTU38" s="456"/>
      <c r="BTV38" s="456"/>
      <c r="BTW38" s="456"/>
      <c r="BTX38" s="456"/>
      <c r="BTY38" s="456"/>
      <c r="BTZ38" s="456"/>
      <c r="BUA38" s="456"/>
      <c r="BUB38" s="456"/>
      <c r="BUC38" s="456"/>
      <c r="BUD38" s="456"/>
      <c r="BUE38" s="456"/>
      <c r="BUF38" s="456"/>
      <c r="BUG38" s="456"/>
      <c r="BUH38" s="456"/>
      <c r="BUI38" s="456"/>
      <c r="BUJ38" s="456"/>
      <c r="BUK38" s="456"/>
      <c r="BUL38" s="456"/>
      <c r="BUM38" s="456"/>
      <c r="BUN38" s="456"/>
      <c r="BUO38" s="456"/>
      <c r="BUP38" s="456"/>
      <c r="BUQ38" s="456"/>
      <c r="BUR38" s="456"/>
      <c r="BUS38" s="456"/>
      <c r="BUT38" s="456"/>
      <c r="BUU38" s="456"/>
      <c r="BUV38" s="456"/>
      <c r="BUW38" s="456"/>
      <c r="BUX38" s="456"/>
      <c r="BUY38" s="456"/>
      <c r="BUZ38" s="456"/>
      <c r="BVA38" s="456"/>
      <c r="BVB38" s="456"/>
      <c r="BVC38" s="456"/>
      <c r="BVD38" s="456"/>
      <c r="BVE38" s="456"/>
      <c r="BVF38" s="456"/>
      <c r="BVG38" s="456"/>
      <c r="BVH38" s="456"/>
      <c r="BVI38" s="456"/>
      <c r="BVJ38" s="456"/>
      <c r="BVK38" s="456"/>
      <c r="BVL38" s="456"/>
      <c r="BVM38" s="456"/>
      <c r="BVN38" s="456"/>
      <c r="BVO38" s="456"/>
      <c r="BVP38" s="456"/>
      <c r="BVQ38" s="456"/>
      <c r="BVR38" s="456"/>
      <c r="BVS38" s="456"/>
      <c r="BVT38" s="456"/>
      <c r="BVU38" s="456"/>
      <c r="BVV38" s="456"/>
      <c r="BVW38" s="456"/>
      <c r="BVX38" s="456"/>
      <c r="BVY38" s="456"/>
      <c r="BVZ38" s="456"/>
      <c r="BWA38" s="456"/>
      <c r="BWB38" s="456"/>
      <c r="BWC38" s="456"/>
      <c r="BWD38" s="456"/>
      <c r="BWE38" s="456"/>
      <c r="BWF38" s="456"/>
      <c r="BWG38" s="456"/>
      <c r="BWH38" s="456"/>
      <c r="BWI38" s="456"/>
      <c r="BWJ38" s="456"/>
      <c r="BWK38" s="456"/>
      <c r="BWL38" s="456"/>
      <c r="BWM38" s="456"/>
      <c r="BWN38" s="456"/>
      <c r="BWO38" s="456"/>
      <c r="BWP38" s="456"/>
      <c r="BWQ38" s="456"/>
      <c r="BWR38" s="456"/>
      <c r="BWS38" s="456"/>
      <c r="BWT38" s="456"/>
      <c r="BWU38" s="456"/>
      <c r="BWV38" s="456"/>
      <c r="BWW38" s="456"/>
      <c r="BWX38" s="456"/>
      <c r="BWY38" s="456"/>
      <c r="BWZ38" s="456"/>
      <c r="BXA38" s="456"/>
      <c r="BXB38" s="456"/>
      <c r="BXC38" s="456"/>
      <c r="BXD38" s="456"/>
      <c r="BXE38" s="456"/>
      <c r="BXF38" s="456"/>
      <c r="BXG38" s="456"/>
      <c r="BXH38" s="456"/>
      <c r="BXI38" s="456"/>
      <c r="BXJ38" s="456"/>
      <c r="BXK38" s="456"/>
      <c r="BXL38" s="456"/>
      <c r="BXM38" s="456"/>
      <c r="BXN38" s="456"/>
      <c r="BXO38" s="456"/>
      <c r="BXP38" s="456"/>
      <c r="BXQ38" s="456"/>
      <c r="BXR38" s="456"/>
      <c r="BXS38" s="456"/>
      <c r="BXT38" s="456"/>
      <c r="BXU38" s="456"/>
      <c r="BXV38" s="456"/>
      <c r="BXW38" s="456"/>
      <c r="BXX38" s="456"/>
      <c r="BXY38" s="456"/>
      <c r="BXZ38" s="456"/>
    </row>
    <row r="39" s="25" customFormat="1" spans="1:1024 1025:2002">
      <c r="A39" s="473" t="s">
        <v>34</v>
      </c>
      <c r="B39" s="19">
        <v>1117</v>
      </c>
      <c r="C39" s="183">
        <v>46174</v>
      </c>
      <c r="D39" s="17" t="s">
        <v>35</v>
      </c>
      <c r="E39" s="17" t="s">
        <v>71</v>
      </c>
      <c r="F39" s="17" t="s">
        <v>72</v>
      </c>
      <c r="G39" s="17"/>
      <c r="H39" s="19">
        <v>1.2379</v>
      </c>
      <c r="I39" s="19">
        <v>1.2379</v>
      </c>
      <c r="J39" s="17" t="s">
        <v>39</v>
      </c>
      <c r="K39" s="19">
        <v>192</v>
      </c>
      <c r="L39" s="91"/>
      <c r="M39" s="19">
        <v>5800</v>
      </c>
      <c r="N39" s="19" t="s">
        <v>40</v>
      </c>
      <c r="O39" s="19" t="s">
        <v>50</v>
      </c>
      <c r="P39" s="19">
        <v>3000</v>
      </c>
      <c r="Q39" s="19">
        <f>945+930+915</f>
        <v>2790</v>
      </c>
      <c r="R39" s="19">
        <f t="shared" si="0"/>
        <v>210</v>
      </c>
      <c r="S39" s="19">
        <f t="shared" ref="S39:S41" si="1">2260+68</f>
        <v>2328</v>
      </c>
      <c r="T39" s="19" t="s">
        <v>42</v>
      </c>
      <c r="U39" s="102" t="s">
        <v>73</v>
      </c>
      <c r="V39" s="186">
        <v>46173</v>
      </c>
      <c r="W39" s="17" t="s">
        <v>69</v>
      </c>
      <c r="X39" s="17"/>
      <c r="Y39" s="68">
        <v>46296</v>
      </c>
      <c r="Z39" s="17" t="s">
        <v>45</v>
      </c>
      <c r="AA39" s="17" t="s">
        <v>46</v>
      </c>
      <c r="AB39" s="17" t="s">
        <v>75</v>
      </c>
      <c r="AC39" s="217">
        <v>46224</v>
      </c>
      <c r="AD39" s="65">
        <v>1837</v>
      </c>
      <c r="AE39" s="17" t="s">
        <v>74</v>
      </c>
      <c r="AF39" s="17" t="s">
        <v>76</v>
      </c>
      <c r="AG39" s="17"/>
      <c r="AH39" s="456"/>
      <c r="AI39" s="456"/>
      <c r="AJ39" s="456"/>
      <c r="AK39" s="456"/>
      <c r="AL39" s="456"/>
      <c r="AM39" s="456"/>
      <c r="AN39" s="456"/>
      <c r="AO39" s="456"/>
      <c r="AP39" s="456"/>
      <c r="AQ39" s="456"/>
      <c r="AR39" s="456"/>
      <c r="AS39" s="456"/>
      <c r="AT39" s="456"/>
      <c r="AU39" s="456"/>
      <c r="AV39" s="456"/>
      <c r="AW39" s="456"/>
      <c r="AX39" s="456"/>
      <c r="AY39" s="456"/>
      <c r="AZ39" s="456"/>
      <c r="BA39" s="456"/>
      <c r="BB39" s="456"/>
      <c r="BC39" s="456"/>
      <c r="BD39" s="456"/>
      <c r="BE39" s="456"/>
      <c r="BF39" s="456"/>
      <c r="BG39" s="456"/>
      <c r="BH39" s="456"/>
      <c r="BI39" s="456"/>
      <c r="BJ39" s="456"/>
      <c r="BK39" s="456"/>
      <c r="BL39" s="456"/>
      <c r="BM39" s="456"/>
      <c r="BN39" s="456"/>
      <c r="BO39" s="456"/>
      <c r="BP39" s="456"/>
      <c r="BQ39" s="456"/>
      <c r="BR39" s="456"/>
      <c r="BS39" s="456"/>
      <c r="BT39" s="456"/>
      <c r="BU39" s="456"/>
      <c r="BV39" s="456"/>
      <c r="BW39" s="456"/>
      <c r="BX39" s="456"/>
      <c r="BY39" s="456"/>
      <c r="BZ39" s="456"/>
      <c r="CA39" s="456"/>
      <c r="CB39" s="456"/>
      <c r="CC39" s="456"/>
      <c r="CD39" s="456"/>
      <c r="CE39" s="456"/>
      <c r="CF39" s="456"/>
      <c r="CG39" s="456"/>
      <c r="CH39" s="456"/>
      <c r="CI39" s="456"/>
      <c r="CJ39" s="456"/>
      <c r="CK39" s="456"/>
      <c r="CL39" s="456"/>
      <c r="CM39" s="456"/>
      <c r="CN39" s="456"/>
      <c r="CO39" s="456"/>
      <c r="CP39" s="456"/>
      <c r="CQ39" s="456"/>
      <c r="CR39" s="456"/>
      <c r="CS39" s="456"/>
      <c r="CT39" s="456"/>
      <c r="CU39" s="456"/>
      <c r="CV39" s="456"/>
      <c r="CW39" s="456"/>
      <c r="CX39" s="456"/>
      <c r="CY39" s="456"/>
      <c r="CZ39" s="456"/>
      <c r="DA39" s="456"/>
      <c r="DB39" s="456"/>
      <c r="DC39" s="456"/>
      <c r="DD39" s="456"/>
      <c r="DE39" s="456"/>
      <c r="DF39" s="456"/>
      <c r="DG39" s="456"/>
      <c r="DH39" s="456"/>
      <c r="DI39" s="456"/>
      <c r="DJ39" s="456"/>
      <c r="DK39" s="456"/>
      <c r="DL39" s="456"/>
      <c r="DM39" s="456"/>
      <c r="DN39" s="456"/>
      <c r="DO39" s="456"/>
      <c r="DP39" s="456"/>
      <c r="DQ39" s="456"/>
      <c r="DR39" s="456"/>
      <c r="DS39" s="456"/>
      <c r="DT39" s="456"/>
      <c r="DU39" s="456"/>
      <c r="DV39" s="456"/>
      <c r="DW39" s="456"/>
      <c r="DX39" s="456"/>
      <c r="DY39" s="456"/>
      <c r="DZ39" s="456"/>
      <c r="EA39" s="456"/>
      <c r="EB39" s="456"/>
      <c r="EC39" s="456"/>
      <c r="ED39" s="456"/>
      <c r="EE39" s="456"/>
      <c r="EF39" s="456"/>
      <c r="EG39" s="456"/>
      <c r="EH39" s="456"/>
      <c r="EI39" s="456"/>
      <c r="EJ39" s="456"/>
      <c r="EK39" s="456"/>
      <c r="EL39" s="456"/>
      <c r="EM39" s="456"/>
      <c r="EN39" s="456"/>
      <c r="EO39" s="456"/>
      <c r="EP39" s="456"/>
      <c r="EQ39" s="456"/>
      <c r="ER39" s="456"/>
      <c r="ES39" s="456"/>
      <c r="ET39" s="456"/>
      <c r="EU39" s="456"/>
      <c r="EV39" s="456"/>
      <c r="EW39" s="456"/>
      <c r="EX39" s="456"/>
      <c r="EY39" s="456"/>
      <c r="EZ39" s="456"/>
      <c r="FA39" s="456"/>
      <c r="FB39" s="456"/>
      <c r="FC39" s="456"/>
      <c r="FD39" s="456"/>
      <c r="FE39" s="456"/>
      <c r="FF39" s="456"/>
      <c r="FG39" s="456"/>
      <c r="FH39" s="456"/>
      <c r="FI39" s="456"/>
      <c r="FJ39" s="456"/>
      <c r="FK39" s="456"/>
      <c r="FL39" s="456"/>
      <c r="FM39" s="456"/>
      <c r="FN39" s="456"/>
      <c r="FO39" s="456"/>
      <c r="FP39" s="456"/>
      <c r="FQ39" s="456"/>
      <c r="FR39" s="456"/>
      <c r="FS39" s="456"/>
      <c r="FT39" s="456"/>
      <c r="FU39" s="456"/>
      <c r="FV39" s="456"/>
      <c r="FW39" s="456"/>
      <c r="FX39" s="456"/>
      <c r="FY39" s="456"/>
      <c r="FZ39" s="456"/>
      <c r="GA39" s="456"/>
      <c r="GB39" s="456"/>
      <c r="GC39" s="456"/>
      <c r="GD39" s="456"/>
      <c r="GE39" s="456"/>
      <c r="GF39" s="456"/>
      <c r="GG39" s="456"/>
      <c r="GH39" s="456"/>
      <c r="GI39" s="456"/>
      <c r="GJ39" s="456"/>
      <c r="GK39" s="456"/>
      <c r="GL39" s="456"/>
      <c r="GM39" s="456"/>
      <c r="GN39" s="456"/>
      <c r="GO39" s="456"/>
      <c r="GP39" s="456"/>
      <c r="GQ39" s="456"/>
      <c r="GR39" s="456"/>
      <c r="GS39" s="456"/>
      <c r="GT39" s="456"/>
      <c r="GU39" s="456"/>
      <c r="GV39" s="456"/>
      <c r="GW39" s="456"/>
      <c r="GX39" s="456"/>
      <c r="GY39" s="456"/>
      <c r="GZ39" s="456"/>
      <c r="HA39" s="456"/>
      <c r="HB39" s="456"/>
      <c r="HC39" s="456"/>
      <c r="HD39" s="456"/>
      <c r="HE39" s="456"/>
      <c r="HF39" s="456"/>
      <c r="HG39" s="456"/>
      <c r="HH39" s="456"/>
      <c r="HI39" s="456"/>
      <c r="HJ39" s="456"/>
      <c r="HK39" s="456"/>
      <c r="HL39" s="456"/>
      <c r="HM39" s="456"/>
      <c r="HN39" s="456"/>
      <c r="HO39" s="456"/>
      <c r="HP39" s="456"/>
      <c r="HQ39" s="456"/>
      <c r="HR39" s="456"/>
      <c r="HS39" s="456"/>
      <c r="HT39" s="456"/>
      <c r="HU39" s="456"/>
      <c r="HV39" s="456"/>
      <c r="HW39" s="456"/>
      <c r="HX39" s="456"/>
      <c r="HY39" s="456"/>
      <c r="HZ39" s="456"/>
      <c r="IA39" s="456"/>
      <c r="IB39" s="456"/>
      <c r="IC39" s="456"/>
      <c r="ID39" s="456"/>
      <c r="IE39" s="456"/>
      <c r="IF39" s="456"/>
      <c r="IG39" s="456"/>
      <c r="IH39" s="456"/>
      <c r="II39" s="456"/>
      <c r="IJ39" s="456"/>
      <c r="IK39" s="456"/>
      <c r="IL39" s="456"/>
      <c r="IM39" s="456"/>
      <c r="IN39" s="456"/>
      <c r="IO39" s="456"/>
      <c r="IP39" s="456"/>
      <c r="IQ39" s="456"/>
      <c r="IR39" s="456"/>
      <c r="IS39" s="456"/>
      <c r="IT39" s="456"/>
      <c r="IU39" s="456"/>
      <c r="IV39" s="456"/>
      <c r="IW39" s="456"/>
      <c r="IX39" s="456"/>
      <c r="IY39" s="456"/>
      <c r="IZ39" s="456"/>
      <c r="JA39" s="456"/>
      <c r="JB39" s="456"/>
      <c r="JC39" s="456"/>
      <c r="JD39" s="456"/>
      <c r="JE39" s="456"/>
      <c r="JF39" s="456"/>
      <c r="JG39" s="456"/>
      <c r="JH39" s="456"/>
      <c r="JI39" s="456"/>
      <c r="JJ39" s="456"/>
      <c r="JK39" s="456"/>
      <c r="JL39" s="456"/>
      <c r="JM39" s="456"/>
      <c r="JN39" s="456"/>
      <c r="JO39" s="456"/>
      <c r="JP39" s="456"/>
      <c r="JQ39" s="456"/>
      <c r="JR39" s="456"/>
      <c r="JS39" s="456"/>
      <c r="JT39" s="456"/>
      <c r="JU39" s="456"/>
      <c r="JV39" s="456"/>
      <c r="JW39" s="456"/>
      <c r="JX39" s="456"/>
      <c r="JY39" s="456"/>
      <c r="JZ39" s="456"/>
      <c r="KA39" s="456"/>
      <c r="KB39" s="456"/>
      <c r="KC39" s="456"/>
      <c r="KD39" s="456"/>
      <c r="KE39" s="456"/>
      <c r="KF39" s="456"/>
      <c r="KG39" s="456"/>
      <c r="KH39" s="456"/>
      <c r="KI39" s="456"/>
      <c r="KJ39" s="456"/>
      <c r="KK39" s="456"/>
      <c r="KL39" s="456"/>
      <c r="KM39" s="456"/>
      <c r="KN39" s="456"/>
      <c r="KO39" s="456"/>
      <c r="KP39" s="456"/>
      <c r="KQ39" s="456"/>
      <c r="KR39" s="456"/>
      <c r="KS39" s="456"/>
      <c r="KT39" s="456"/>
      <c r="KU39" s="456"/>
      <c r="KV39" s="456"/>
      <c r="KW39" s="456"/>
      <c r="KX39" s="456"/>
      <c r="KY39" s="456"/>
      <c r="KZ39" s="456"/>
      <c r="LA39" s="456"/>
      <c r="LB39" s="456"/>
      <c r="LC39" s="456"/>
      <c r="LD39" s="456"/>
      <c r="LE39" s="456"/>
      <c r="LF39" s="456"/>
      <c r="LG39" s="456"/>
      <c r="LH39" s="456"/>
      <c r="LI39" s="456"/>
      <c r="LJ39" s="456"/>
      <c r="LK39" s="456"/>
      <c r="LL39" s="456"/>
      <c r="LM39" s="456"/>
      <c r="LN39" s="456"/>
      <c r="LO39" s="456"/>
      <c r="LP39" s="456"/>
      <c r="LQ39" s="456"/>
      <c r="LR39" s="456"/>
      <c r="LS39" s="456"/>
      <c r="LT39" s="456"/>
      <c r="LU39" s="456"/>
      <c r="LV39" s="456"/>
      <c r="LW39" s="456"/>
      <c r="LX39" s="456"/>
      <c r="LY39" s="456"/>
      <c r="LZ39" s="456"/>
      <c r="MA39" s="456"/>
      <c r="MB39" s="456"/>
      <c r="MC39" s="456"/>
      <c r="MD39" s="456"/>
      <c r="ME39" s="456"/>
      <c r="MF39" s="456"/>
      <c r="MG39" s="456"/>
      <c r="MH39" s="456"/>
      <c r="MI39" s="456"/>
      <c r="MJ39" s="456"/>
      <c r="MK39" s="456"/>
      <c r="ML39" s="456"/>
      <c r="MM39" s="456"/>
      <c r="MN39" s="456"/>
      <c r="MO39" s="456"/>
      <c r="MP39" s="456"/>
      <c r="MQ39" s="456"/>
      <c r="MR39" s="456"/>
      <c r="MS39" s="456"/>
      <c r="MT39" s="456"/>
      <c r="MU39" s="456"/>
      <c r="MV39" s="456"/>
      <c r="MW39" s="456"/>
      <c r="MX39" s="456"/>
      <c r="MY39" s="456"/>
      <c r="MZ39" s="456"/>
      <c r="NA39" s="456"/>
      <c r="NB39" s="456"/>
      <c r="NC39" s="456"/>
      <c r="ND39" s="456"/>
      <c r="NE39" s="456"/>
      <c r="NF39" s="456"/>
      <c r="NG39" s="456"/>
      <c r="NH39" s="456"/>
      <c r="NI39" s="456"/>
      <c r="NJ39" s="456"/>
      <c r="NK39" s="456"/>
      <c r="NL39" s="456"/>
      <c r="NM39" s="456"/>
      <c r="NN39" s="456"/>
      <c r="NO39" s="456"/>
      <c r="NP39" s="456"/>
      <c r="NQ39" s="456"/>
      <c r="NR39" s="456"/>
      <c r="NS39" s="456"/>
      <c r="NT39" s="456"/>
      <c r="NU39" s="456"/>
      <c r="NV39" s="456"/>
      <c r="NW39" s="456"/>
      <c r="NX39" s="456"/>
      <c r="NY39" s="456"/>
      <c r="NZ39" s="456"/>
      <c r="OA39" s="456"/>
      <c r="OB39" s="456"/>
      <c r="OC39" s="456"/>
      <c r="OD39" s="456"/>
      <c r="OE39" s="456"/>
      <c r="OF39" s="456"/>
      <c r="OG39" s="456"/>
      <c r="OH39" s="456"/>
      <c r="OI39" s="456"/>
      <c r="OJ39" s="456"/>
      <c r="OK39" s="456"/>
      <c r="OL39" s="456"/>
      <c r="OM39" s="456"/>
      <c r="ON39" s="456"/>
      <c r="OO39" s="456"/>
      <c r="OP39" s="456"/>
      <c r="OQ39" s="456"/>
      <c r="OR39" s="456"/>
      <c r="OS39" s="456"/>
      <c r="OT39" s="456"/>
      <c r="OU39" s="456"/>
      <c r="OV39" s="456"/>
      <c r="OW39" s="456"/>
      <c r="OX39" s="456"/>
      <c r="OY39" s="456"/>
      <c r="OZ39" s="456"/>
      <c r="PA39" s="456"/>
      <c r="PB39" s="456"/>
      <c r="PC39" s="456"/>
      <c r="PD39" s="456"/>
      <c r="PE39" s="456"/>
      <c r="PF39" s="456"/>
      <c r="PG39" s="456"/>
      <c r="PH39" s="456"/>
      <c r="PI39" s="456"/>
      <c r="PJ39" s="456"/>
      <c r="PK39" s="456"/>
      <c r="PL39" s="456"/>
      <c r="PM39" s="456"/>
      <c r="PN39" s="456"/>
      <c r="PO39" s="456"/>
      <c r="PP39" s="456"/>
      <c r="PQ39" s="456"/>
      <c r="PR39" s="456"/>
      <c r="PS39" s="456"/>
      <c r="PT39" s="456"/>
      <c r="PU39" s="456"/>
      <c r="PV39" s="456"/>
      <c r="PW39" s="456"/>
      <c r="PX39" s="456"/>
      <c r="PY39" s="456"/>
      <c r="PZ39" s="456"/>
      <c r="QA39" s="456"/>
      <c r="QB39" s="456"/>
      <c r="QC39" s="456"/>
      <c r="QD39" s="456"/>
      <c r="QE39" s="456"/>
      <c r="QF39" s="456"/>
      <c r="QG39" s="456"/>
      <c r="QH39" s="456"/>
      <c r="QI39" s="456"/>
      <c r="QJ39" s="456"/>
      <c r="QK39" s="456"/>
      <c r="QL39" s="456"/>
      <c r="QM39" s="456"/>
      <c r="QN39" s="456"/>
      <c r="QO39" s="456"/>
      <c r="QP39" s="456"/>
      <c r="QQ39" s="456"/>
      <c r="QR39" s="456"/>
      <c r="QS39" s="456"/>
      <c r="QT39" s="456"/>
      <c r="QU39" s="456"/>
      <c r="QV39" s="456"/>
      <c r="QW39" s="456"/>
      <c r="QX39" s="456"/>
      <c r="QY39" s="456"/>
      <c r="QZ39" s="456"/>
      <c r="RA39" s="456"/>
      <c r="RB39" s="456"/>
      <c r="RC39" s="456"/>
      <c r="RD39" s="456"/>
      <c r="RE39" s="456"/>
      <c r="RF39" s="456"/>
      <c r="RG39" s="456"/>
      <c r="RH39" s="456"/>
      <c r="RI39" s="456"/>
      <c r="RJ39" s="456"/>
      <c r="RK39" s="456"/>
      <c r="RL39" s="456"/>
      <c r="RM39" s="456"/>
      <c r="RN39" s="456"/>
      <c r="RO39" s="456"/>
      <c r="RP39" s="456"/>
      <c r="RQ39" s="456"/>
      <c r="RR39" s="456"/>
      <c r="RS39" s="456"/>
      <c r="RT39" s="456"/>
      <c r="RU39" s="456"/>
      <c r="RV39" s="456"/>
      <c r="RW39" s="456"/>
      <c r="RX39" s="456"/>
      <c r="RY39" s="456"/>
      <c r="RZ39" s="456"/>
      <c r="SA39" s="456"/>
      <c r="SB39" s="456"/>
      <c r="SC39" s="456"/>
      <c r="SD39" s="456"/>
      <c r="SE39" s="456"/>
      <c r="SF39" s="456"/>
      <c r="SG39" s="456"/>
      <c r="SH39" s="456"/>
      <c r="SI39" s="456"/>
      <c r="SJ39" s="456"/>
      <c r="SK39" s="456"/>
      <c r="SL39" s="456"/>
      <c r="SM39" s="456"/>
      <c r="SN39" s="456"/>
      <c r="SO39" s="456"/>
      <c r="SP39" s="456"/>
      <c r="SQ39" s="456"/>
      <c r="SR39" s="456"/>
      <c r="SS39" s="456"/>
      <c r="ST39" s="456"/>
      <c r="SU39" s="456"/>
      <c r="SV39" s="456"/>
      <c r="SW39" s="456"/>
      <c r="SX39" s="456"/>
      <c r="SY39" s="456"/>
      <c r="SZ39" s="456"/>
      <c r="TA39" s="456"/>
      <c r="TB39" s="456"/>
      <c r="TC39" s="456"/>
      <c r="TD39" s="456"/>
      <c r="TE39" s="456"/>
      <c r="TF39" s="456"/>
      <c r="TG39" s="456"/>
      <c r="TH39" s="456"/>
      <c r="TI39" s="456"/>
      <c r="TJ39" s="456"/>
      <c r="TK39" s="456"/>
      <c r="TL39" s="456"/>
      <c r="TM39" s="456"/>
      <c r="TN39" s="456"/>
      <c r="TO39" s="456"/>
      <c r="TP39" s="456"/>
      <c r="TQ39" s="456"/>
      <c r="TR39" s="456"/>
      <c r="TS39" s="456"/>
      <c r="TT39" s="456"/>
      <c r="TU39" s="456"/>
      <c r="TV39" s="456"/>
      <c r="TW39" s="456"/>
      <c r="TX39" s="456"/>
      <c r="TY39" s="456"/>
      <c r="TZ39" s="456"/>
      <c r="UA39" s="456"/>
      <c r="UB39" s="456"/>
      <c r="UC39" s="456"/>
      <c r="UD39" s="456"/>
      <c r="UE39" s="456"/>
      <c r="UF39" s="456"/>
      <c r="UG39" s="456"/>
      <c r="UH39" s="456"/>
      <c r="UI39" s="456"/>
      <c r="UJ39" s="456"/>
      <c r="UK39" s="456"/>
      <c r="UL39" s="456"/>
      <c r="UM39" s="456"/>
      <c r="UN39" s="456"/>
      <c r="UO39" s="456"/>
      <c r="UP39" s="456"/>
      <c r="UQ39" s="456"/>
      <c r="UR39" s="456"/>
      <c r="US39" s="456"/>
      <c r="UT39" s="456"/>
      <c r="UU39" s="456"/>
      <c r="UV39" s="456"/>
      <c r="UW39" s="456"/>
      <c r="UX39" s="456"/>
      <c r="UY39" s="456"/>
      <c r="UZ39" s="456"/>
      <c r="VA39" s="456"/>
      <c r="VB39" s="456"/>
      <c r="VC39" s="456"/>
      <c r="VD39" s="456"/>
      <c r="VE39" s="456"/>
      <c r="VF39" s="456"/>
      <c r="VG39" s="456"/>
      <c r="VH39" s="456"/>
      <c r="VI39" s="456"/>
      <c r="VJ39" s="456"/>
      <c r="VK39" s="456"/>
      <c r="VL39" s="456"/>
      <c r="VM39" s="456"/>
      <c r="VN39" s="456"/>
      <c r="VO39" s="456"/>
      <c r="VP39" s="456"/>
      <c r="VQ39" s="456"/>
      <c r="VR39" s="456"/>
      <c r="VS39" s="456"/>
      <c r="VT39" s="456"/>
      <c r="VU39" s="456"/>
      <c r="VV39" s="456"/>
      <c r="VW39" s="456"/>
      <c r="VX39" s="456"/>
      <c r="VY39" s="456"/>
      <c r="VZ39" s="456"/>
      <c r="WA39" s="456"/>
      <c r="WB39" s="456"/>
      <c r="WC39" s="456"/>
      <c r="WD39" s="456"/>
      <c r="WE39" s="456"/>
      <c r="WF39" s="456"/>
      <c r="WG39" s="456"/>
      <c r="WH39" s="456"/>
      <c r="WI39" s="456"/>
      <c r="WJ39" s="456"/>
      <c r="WK39" s="456"/>
      <c r="WL39" s="456"/>
      <c r="WM39" s="456"/>
      <c r="WN39" s="456"/>
      <c r="WO39" s="456"/>
      <c r="WP39" s="456"/>
      <c r="WQ39" s="456"/>
      <c r="WR39" s="456"/>
      <c r="WS39" s="456"/>
      <c r="WT39" s="456"/>
      <c r="WU39" s="456"/>
      <c r="WV39" s="456"/>
      <c r="WW39" s="456"/>
      <c r="WX39" s="456"/>
      <c r="WY39" s="456"/>
      <c r="WZ39" s="456"/>
      <c r="XA39" s="456"/>
      <c r="XB39" s="456"/>
      <c r="XC39" s="456"/>
      <c r="XD39" s="456"/>
      <c r="XE39" s="456"/>
      <c r="XF39" s="456"/>
      <c r="XG39" s="456"/>
      <c r="XH39" s="456"/>
      <c r="XI39" s="456"/>
      <c r="XJ39" s="456"/>
      <c r="XK39" s="456"/>
      <c r="XL39" s="456"/>
      <c r="XM39" s="456"/>
      <c r="XN39" s="456"/>
      <c r="XO39" s="456"/>
      <c r="XP39" s="456"/>
      <c r="XQ39" s="456"/>
      <c r="XR39" s="456"/>
      <c r="XS39" s="456"/>
      <c r="XT39" s="456"/>
      <c r="XU39" s="456"/>
      <c r="XV39" s="456"/>
      <c r="XW39" s="456"/>
      <c r="XX39" s="456"/>
      <c r="XY39" s="456"/>
      <c r="XZ39" s="456"/>
      <c r="YA39" s="456"/>
      <c r="YB39" s="456"/>
      <c r="YC39" s="456"/>
      <c r="YD39" s="456"/>
      <c r="YE39" s="456"/>
      <c r="YF39" s="456"/>
      <c r="YG39" s="456"/>
      <c r="YH39" s="456"/>
      <c r="YI39" s="456"/>
      <c r="YJ39" s="456"/>
      <c r="YK39" s="456"/>
      <c r="YL39" s="456"/>
      <c r="YM39" s="456"/>
      <c r="YN39" s="456"/>
      <c r="YO39" s="456"/>
      <c r="YP39" s="456"/>
      <c r="YQ39" s="456"/>
      <c r="YR39" s="456"/>
      <c r="YS39" s="456"/>
      <c r="YT39" s="456"/>
      <c r="YU39" s="456"/>
      <c r="YV39" s="456"/>
      <c r="YW39" s="456"/>
      <c r="YX39" s="456"/>
      <c r="YY39" s="456"/>
      <c r="YZ39" s="456"/>
      <c r="ZA39" s="456"/>
      <c r="ZB39" s="456"/>
      <c r="ZC39" s="456"/>
      <c r="ZD39" s="456"/>
      <c r="ZE39" s="456"/>
      <c r="ZF39" s="456"/>
      <c r="ZG39" s="456"/>
      <c r="ZH39" s="456"/>
      <c r="ZI39" s="456"/>
      <c r="ZJ39" s="456"/>
      <c r="ZK39" s="456"/>
      <c r="ZL39" s="456"/>
      <c r="ZM39" s="456"/>
      <c r="ZN39" s="456"/>
      <c r="ZO39" s="456"/>
      <c r="ZP39" s="456"/>
      <c r="ZQ39" s="456"/>
      <c r="ZR39" s="456"/>
      <c r="ZS39" s="456"/>
      <c r="ZT39" s="456"/>
      <c r="ZU39" s="456"/>
      <c r="ZV39" s="456"/>
      <c r="ZW39" s="456"/>
      <c r="ZX39" s="456"/>
      <c r="ZY39" s="456"/>
      <c r="ZZ39" s="456"/>
      <c r="AAA39" s="456"/>
      <c r="AAB39" s="456"/>
      <c r="AAC39" s="456"/>
      <c r="AAD39" s="456"/>
      <c r="AAE39" s="456"/>
      <c r="AAF39" s="456"/>
      <c r="AAG39" s="456"/>
      <c r="AAH39" s="456"/>
      <c r="AAI39" s="456"/>
      <c r="AAJ39" s="456"/>
      <c r="AAK39" s="456"/>
      <c r="AAL39" s="456"/>
      <c r="AAM39" s="456"/>
      <c r="AAN39" s="456"/>
      <c r="AAO39" s="456"/>
      <c r="AAP39" s="456"/>
      <c r="AAQ39" s="456"/>
      <c r="AAR39" s="456"/>
      <c r="AAS39" s="456"/>
      <c r="AAT39" s="456"/>
      <c r="AAU39" s="456"/>
      <c r="AAV39" s="456"/>
      <c r="AAW39" s="456"/>
      <c r="AAX39" s="456"/>
      <c r="AAY39" s="456"/>
      <c r="AAZ39" s="456"/>
      <c r="ABA39" s="456"/>
      <c r="ABB39" s="456"/>
      <c r="ABC39" s="456"/>
      <c r="ABD39" s="456"/>
      <c r="ABE39" s="456"/>
      <c r="ABF39" s="456"/>
      <c r="ABG39" s="456"/>
      <c r="ABH39" s="456"/>
      <c r="ABI39" s="456"/>
      <c r="ABJ39" s="456"/>
      <c r="ABK39" s="456"/>
      <c r="ABL39" s="456"/>
      <c r="ABM39" s="456"/>
      <c r="ABN39" s="456"/>
      <c r="ABO39" s="456"/>
      <c r="ABP39" s="456"/>
      <c r="ABQ39" s="456"/>
      <c r="ABR39" s="456"/>
      <c r="ABS39" s="456"/>
      <c r="ABT39" s="456"/>
      <c r="ABU39" s="456"/>
      <c r="ABV39" s="456"/>
      <c r="ABW39" s="456"/>
      <c r="ABX39" s="456"/>
      <c r="ABY39" s="456"/>
      <c r="ABZ39" s="456"/>
      <c r="ACA39" s="456"/>
      <c r="ACB39" s="456"/>
      <c r="ACC39" s="456"/>
      <c r="ACD39" s="456"/>
      <c r="ACE39" s="456"/>
      <c r="ACF39" s="456"/>
      <c r="ACG39" s="456"/>
      <c r="ACH39" s="456"/>
      <c r="ACI39" s="456"/>
      <c r="ACJ39" s="456"/>
      <c r="ACK39" s="456"/>
      <c r="ACL39" s="456"/>
      <c r="ACM39" s="456"/>
      <c r="ACN39" s="456"/>
      <c r="ACO39" s="456"/>
      <c r="ACP39" s="456"/>
      <c r="ACQ39" s="456"/>
      <c r="ACR39" s="456"/>
      <c r="ACS39" s="456"/>
      <c r="ACT39" s="456"/>
      <c r="ACU39" s="456"/>
      <c r="ACV39" s="456"/>
      <c r="ACW39" s="456"/>
      <c r="ACX39" s="456"/>
      <c r="ACY39" s="456"/>
      <c r="ACZ39" s="456"/>
      <c r="ADA39" s="456"/>
      <c r="ADB39" s="456"/>
      <c r="ADC39" s="456"/>
      <c r="ADD39" s="456"/>
      <c r="ADE39" s="456"/>
      <c r="ADF39" s="456"/>
      <c r="ADG39" s="456"/>
      <c r="ADH39" s="456"/>
      <c r="ADI39" s="456"/>
      <c r="ADJ39" s="456"/>
      <c r="ADK39" s="456"/>
      <c r="ADL39" s="456"/>
      <c r="ADM39" s="456"/>
      <c r="ADN39" s="456"/>
      <c r="ADO39" s="456"/>
      <c r="ADP39" s="456"/>
      <c r="ADQ39" s="456"/>
      <c r="ADR39" s="456"/>
      <c r="ADS39" s="456"/>
      <c r="ADT39" s="456"/>
      <c r="ADU39" s="456"/>
      <c r="ADV39" s="456"/>
      <c r="ADW39" s="456"/>
      <c r="ADX39" s="456"/>
      <c r="ADY39" s="456"/>
      <c r="ADZ39" s="456"/>
      <c r="AEA39" s="456"/>
      <c r="AEB39" s="456"/>
      <c r="AEC39" s="456"/>
      <c r="AED39" s="456"/>
      <c r="AEE39" s="456"/>
      <c r="AEF39" s="456"/>
      <c r="AEG39" s="456"/>
      <c r="AEH39" s="456"/>
      <c r="AEI39" s="456"/>
      <c r="AEJ39" s="456"/>
      <c r="AEK39" s="456"/>
      <c r="AEL39" s="456"/>
      <c r="AEM39" s="456"/>
      <c r="AEN39" s="456"/>
      <c r="AEO39" s="456"/>
      <c r="AEP39" s="456"/>
      <c r="AEQ39" s="456"/>
      <c r="AER39" s="456"/>
      <c r="AES39" s="456"/>
      <c r="AET39" s="456"/>
      <c r="AEU39" s="456"/>
      <c r="AEV39" s="456"/>
      <c r="AEW39" s="456"/>
      <c r="AEX39" s="456"/>
      <c r="AEY39" s="456"/>
      <c r="AEZ39" s="456"/>
      <c r="AFA39" s="456"/>
      <c r="AFB39" s="456"/>
      <c r="AFC39" s="456"/>
      <c r="AFD39" s="456"/>
      <c r="AFE39" s="456"/>
      <c r="AFF39" s="456"/>
      <c r="AFG39" s="456"/>
      <c r="AFH39" s="456"/>
      <c r="AFI39" s="456"/>
      <c r="AFJ39" s="456"/>
      <c r="AFK39" s="456"/>
      <c r="AFL39" s="456"/>
      <c r="AFM39" s="456"/>
      <c r="AFN39" s="456"/>
      <c r="AFO39" s="456"/>
      <c r="AFP39" s="456"/>
      <c r="AFQ39" s="456"/>
      <c r="AFR39" s="456"/>
      <c r="AFS39" s="456"/>
      <c r="AFT39" s="456"/>
      <c r="AFU39" s="456"/>
      <c r="AFV39" s="456"/>
      <c r="AFW39" s="456"/>
      <c r="AFX39" s="456"/>
      <c r="AFY39" s="456"/>
      <c r="AFZ39" s="456"/>
      <c r="AGA39" s="456"/>
      <c r="AGB39" s="456"/>
      <c r="AGC39" s="456"/>
      <c r="AGD39" s="456"/>
      <c r="AGE39" s="456"/>
      <c r="AGF39" s="456"/>
      <c r="AGG39" s="456"/>
      <c r="AGH39" s="456"/>
      <c r="AGI39" s="456"/>
      <c r="AGJ39" s="456"/>
      <c r="AGK39" s="456"/>
      <c r="AGL39" s="456"/>
      <c r="AGM39" s="456"/>
      <c r="AGN39" s="456"/>
      <c r="AGO39" s="456"/>
      <c r="AGP39" s="456"/>
      <c r="AGQ39" s="456"/>
      <c r="AGR39" s="456"/>
      <c r="AGS39" s="456"/>
      <c r="AGT39" s="456"/>
      <c r="AGU39" s="456"/>
      <c r="AGV39" s="456"/>
      <c r="AGW39" s="456"/>
      <c r="AGX39" s="456"/>
      <c r="AGY39" s="456"/>
      <c r="AGZ39" s="456"/>
      <c r="AHA39" s="456"/>
      <c r="AHB39" s="456"/>
      <c r="AHC39" s="456"/>
      <c r="AHD39" s="456"/>
      <c r="AHE39" s="456"/>
      <c r="AHF39" s="456"/>
      <c r="AHG39" s="456"/>
      <c r="AHH39" s="456"/>
      <c r="AHI39" s="456"/>
      <c r="AHJ39" s="456"/>
      <c r="AHK39" s="456"/>
      <c r="AHL39" s="456"/>
      <c r="AHM39" s="456"/>
      <c r="AHN39" s="456"/>
      <c r="AHO39" s="456"/>
      <c r="AHP39" s="456"/>
      <c r="AHQ39" s="456"/>
      <c r="AHR39" s="456"/>
      <c r="AHS39" s="456"/>
      <c r="AHT39" s="456"/>
      <c r="AHU39" s="456"/>
      <c r="AHV39" s="456"/>
      <c r="AHW39" s="456"/>
      <c r="AHX39" s="456"/>
      <c r="AHY39" s="456"/>
      <c r="AHZ39" s="456"/>
      <c r="AIA39" s="456"/>
      <c r="AIB39" s="456"/>
      <c r="AIC39" s="456"/>
      <c r="AID39" s="456"/>
      <c r="AIE39" s="456"/>
      <c r="AIF39" s="456"/>
      <c r="AIG39" s="456"/>
      <c r="AIH39" s="456"/>
      <c r="AII39" s="456"/>
      <c r="AIJ39" s="456"/>
      <c r="AIK39" s="456"/>
      <c r="AIL39" s="456"/>
      <c r="AIM39" s="456"/>
      <c r="AIN39" s="456"/>
      <c r="AIO39" s="456"/>
      <c r="AIP39" s="456"/>
      <c r="AIQ39" s="456"/>
      <c r="AIR39" s="456"/>
      <c r="AIS39" s="456"/>
      <c r="AIT39" s="456"/>
      <c r="AIU39" s="456"/>
      <c r="AIV39" s="456"/>
      <c r="AIW39" s="456"/>
      <c r="AIX39" s="456"/>
      <c r="AIY39" s="456"/>
      <c r="AIZ39" s="456"/>
      <c r="AJA39" s="456"/>
      <c r="AJB39" s="456"/>
      <c r="AJC39" s="456"/>
      <c r="AJD39" s="456"/>
      <c r="AJE39" s="456"/>
      <c r="AJF39" s="456"/>
      <c r="AJG39" s="456"/>
      <c r="AJH39" s="456"/>
      <c r="AJI39" s="456"/>
      <c r="AJJ39" s="456"/>
      <c r="AJK39" s="456"/>
      <c r="AJL39" s="456"/>
      <c r="AJM39" s="456"/>
      <c r="AJN39" s="456"/>
      <c r="AJO39" s="456"/>
      <c r="AJP39" s="456"/>
      <c r="AJQ39" s="456"/>
      <c r="AJR39" s="456"/>
      <c r="AJS39" s="456"/>
      <c r="AJT39" s="456"/>
      <c r="AJU39" s="456"/>
      <c r="AJV39" s="456"/>
      <c r="AJW39" s="456"/>
      <c r="AJX39" s="456"/>
      <c r="AJY39" s="456"/>
      <c r="AJZ39" s="456"/>
      <c r="AKA39" s="456"/>
      <c r="AKB39" s="456"/>
      <c r="AKC39" s="456"/>
      <c r="AKD39" s="456"/>
      <c r="AKE39" s="456"/>
      <c r="AKF39" s="456"/>
      <c r="AKG39" s="456"/>
      <c r="AKH39" s="456"/>
      <c r="AKI39" s="456"/>
      <c r="AKJ39" s="456"/>
      <c r="AKK39" s="456"/>
      <c r="AKL39" s="456"/>
      <c r="AKM39" s="456"/>
      <c r="AKN39" s="456"/>
      <c r="AKO39" s="456"/>
      <c r="AKP39" s="456"/>
      <c r="AKQ39" s="456"/>
      <c r="AKR39" s="456"/>
      <c r="AKS39" s="456"/>
      <c r="AKT39" s="456"/>
      <c r="AKU39" s="456"/>
      <c r="AKV39" s="456"/>
      <c r="AKW39" s="456"/>
      <c r="AKX39" s="456"/>
      <c r="AKY39" s="456"/>
      <c r="AKZ39" s="456"/>
      <c r="ALA39" s="456"/>
      <c r="ALB39" s="456"/>
      <c r="ALC39" s="456"/>
      <c r="ALD39" s="456"/>
      <c r="ALE39" s="456"/>
      <c r="ALF39" s="456"/>
      <c r="ALG39" s="456"/>
      <c r="ALH39" s="456"/>
      <c r="ALI39" s="456"/>
      <c r="ALJ39" s="456"/>
      <c r="ALK39" s="456"/>
      <c r="ALL39" s="456"/>
      <c r="ALM39" s="456"/>
      <c r="ALN39" s="456"/>
      <c r="ALO39" s="456"/>
      <c r="ALP39" s="456"/>
      <c r="ALQ39" s="456"/>
      <c r="ALR39" s="456"/>
      <c r="ALS39" s="456"/>
      <c r="ALT39" s="456"/>
      <c r="ALU39" s="456"/>
      <c r="ALV39" s="456"/>
      <c r="ALW39" s="456"/>
      <c r="ALX39" s="456"/>
      <c r="ALY39" s="456"/>
      <c r="ALZ39" s="456"/>
      <c r="AMA39" s="456"/>
      <c r="AMB39" s="456"/>
      <c r="AMC39" s="456"/>
      <c r="AMD39" s="456"/>
      <c r="AME39" s="456"/>
      <c r="AMF39" s="456"/>
      <c r="AMG39" s="456"/>
      <c r="AMH39" s="456"/>
      <c r="AMI39" s="456"/>
      <c r="AMJ39" s="456"/>
      <c r="AMK39" s="456"/>
      <c r="AML39" s="456"/>
      <c r="AMM39" s="456"/>
      <c r="AMN39" s="456"/>
      <c r="AMO39" s="456"/>
      <c r="AMP39" s="456"/>
      <c r="AMQ39" s="456"/>
      <c r="AMR39" s="456"/>
      <c r="AMS39" s="456"/>
      <c r="AMT39" s="456"/>
      <c r="AMU39" s="456"/>
      <c r="AMV39" s="456"/>
      <c r="AMW39" s="456"/>
      <c r="AMX39" s="456"/>
      <c r="AMY39" s="456"/>
      <c r="AMZ39" s="456"/>
      <c r="ANA39" s="456"/>
      <c r="ANB39" s="456"/>
      <c r="ANC39" s="456"/>
      <c r="AND39" s="456"/>
      <c r="ANE39" s="456"/>
      <c r="ANF39" s="456"/>
      <c r="ANG39" s="456"/>
      <c r="ANH39" s="456"/>
      <c r="ANI39" s="456"/>
      <c r="ANJ39" s="456"/>
      <c r="ANK39" s="456"/>
      <c r="ANL39" s="456"/>
      <c r="ANM39" s="456"/>
      <c r="ANN39" s="456"/>
      <c r="ANO39" s="456"/>
      <c r="ANP39" s="456"/>
      <c r="ANQ39" s="456"/>
      <c r="ANR39" s="456"/>
      <c r="ANS39" s="456"/>
      <c r="ANT39" s="456"/>
      <c r="ANU39" s="456"/>
      <c r="ANV39" s="456"/>
      <c r="ANW39" s="456"/>
      <c r="ANX39" s="456"/>
      <c r="ANY39" s="456"/>
      <c r="ANZ39" s="456"/>
      <c r="AOA39" s="456"/>
      <c r="AOB39" s="456"/>
      <c r="AOC39" s="456"/>
      <c r="AOD39" s="456"/>
      <c r="AOE39" s="456"/>
      <c r="AOF39" s="456"/>
      <c r="AOG39" s="456"/>
      <c r="AOH39" s="456"/>
      <c r="AOI39" s="456"/>
      <c r="AOJ39" s="456"/>
      <c r="AOK39" s="456"/>
      <c r="AOL39" s="456"/>
      <c r="AOM39" s="456"/>
      <c r="AON39" s="456"/>
      <c r="AOO39" s="456"/>
      <c r="AOP39" s="456"/>
      <c r="AOQ39" s="456"/>
      <c r="AOR39" s="456"/>
      <c r="AOS39" s="456"/>
      <c r="AOT39" s="456"/>
      <c r="AOU39" s="456"/>
      <c r="AOV39" s="456"/>
      <c r="AOW39" s="456"/>
      <c r="AOX39" s="456"/>
      <c r="AOY39" s="456"/>
      <c r="AOZ39" s="456"/>
      <c r="APA39" s="456"/>
      <c r="APB39" s="456"/>
      <c r="APC39" s="456"/>
      <c r="APD39" s="456"/>
      <c r="APE39" s="456"/>
      <c r="APF39" s="456"/>
      <c r="APG39" s="456"/>
      <c r="APH39" s="456"/>
      <c r="API39" s="456"/>
      <c r="APJ39" s="456"/>
      <c r="APK39" s="456"/>
      <c r="APL39" s="456"/>
      <c r="APM39" s="456"/>
      <c r="APN39" s="456"/>
      <c r="APO39" s="456"/>
      <c r="APP39" s="456"/>
      <c r="APQ39" s="456"/>
      <c r="APR39" s="456"/>
      <c r="APS39" s="456"/>
      <c r="APT39" s="456"/>
      <c r="APU39" s="456"/>
      <c r="APV39" s="456"/>
      <c r="APW39" s="456"/>
      <c r="APX39" s="456"/>
      <c r="APY39" s="456"/>
      <c r="APZ39" s="456"/>
      <c r="AQA39" s="456"/>
      <c r="AQB39" s="456"/>
      <c r="AQC39" s="456"/>
      <c r="AQD39" s="456"/>
      <c r="AQE39" s="456"/>
      <c r="AQF39" s="456"/>
      <c r="AQG39" s="456"/>
      <c r="AQH39" s="456"/>
      <c r="AQI39" s="456"/>
      <c r="AQJ39" s="456"/>
      <c r="AQK39" s="456"/>
      <c r="AQL39" s="456"/>
      <c r="AQM39" s="456"/>
      <c r="AQN39" s="456"/>
      <c r="AQO39" s="456"/>
      <c r="AQP39" s="456"/>
      <c r="AQQ39" s="456"/>
      <c r="AQR39" s="456"/>
      <c r="AQS39" s="456"/>
      <c r="AQT39" s="456"/>
      <c r="AQU39" s="456"/>
      <c r="AQV39" s="456"/>
      <c r="AQW39" s="456"/>
      <c r="AQX39" s="456"/>
      <c r="AQY39" s="456"/>
      <c r="AQZ39" s="456"/>
      <c r="ARA39" s="456"/>
      <c r="ARB39" s="456"/>
      <c r="ARC39" s="456"/>
      <c r="ARD39" s="456"/>
      <c r="ARE39" s="456"/>
      <c r="ARF39" s="456"/>
      <c r="ARG39" s="456"/>
      <c r="ARH39" s="456"/>
      <c r="ARI39" s="456"/>
      <c r="ARJ39" s="456"/>
      <c r="ARK39" s="456"/>
      <c r="ARL39" s="456"/>
      <c r="ARM39" s="456"/>
      <c r="ARN39" s="456"/>
      <c r="ARO39" s="456"/>
      <c r="ARP39" s="456"/>
      <c r="ARQ39" s="456"/>
      <c r="ARR39" s="456"/>
      <c r="ARS39" s="456"/>
      <c r="ART39" s="456"/>
      <c r="ARU39" s="456"/>
      <c r="ARV39" s="456"/>
      <c r="ARW39" s="456"/>
      <c r="ARX39" s="456"/>
      <c r="ARY39" s="456"/>
      <c r="ARZ39" s="456"/>
      <c r="ASA39" s="456"/>
      <c r="ASB39" s="456"/>
      <c r="ASC39" s="456"/>
      <c r="ASD39" s="456"/>
      <c r="ASE39" s="456"/>
      <c r="ASF39" s="456"/>
      <c r="ASG39" s="456"/>
      <c r="ASH39" s="456"/>
      <c r="ASI39" s="456"/>
      <c r="ASJ39" s="456"/>
      <c r="ASK39" s="456"/>
      <c r="ASL39" s="456"/>
      <c r="ASM39" s="456"/>
      <c r="ASN39" s="456"/>
      <c r="ASO39" s="456"/>
      <c r="ASP39" s="456"/>
      <c r="ASQ39" s="456"/>
      <c r="ASR39" s="456"/>
      <c r="ASS39" s="456"/>
      <c r="AST39" s="456"/>
      <c r="ASU39" s="456"/>
      <c r="ASV39" s="456"/>
      <c r="ASW39" s="456"/>
      <c r="ASX39" s="456"/>
      <c r="ASY39" s="456"/>
      <c r="ASZ39" s="456"/>
      <c r="ATA39" s="456"/>
      <c r="ATB39" s="456"/>
      <c r="ATC39" s="456"/>
      <c r="ATD39" s="456"/>
      <c r="ATE39" s="456"/>
      <c r="ATF39" s="456"/>
      <c r="ATG39" s="456"/>
      <c r="ATH39" s="456"/>
      <c r="ATI39" s="456"/>
      <c r="ATJ39" s="456"/>
      <c r="ATK39" s="456"/>
      <c r="ATL39" s="456"/>
      <c r="ATM39" s="456"/>
      <c r="ATN39" s="456"/>
      <c r="ATO39" s="456"/>
      <c r="ATP39" s="456"/>
      <c r="ATQ39" s="456"/>
      <c r="ATR39" s="456"/>
      <c r="ATS39" s="456"/>
      <c r="ATT39" s="456"/>
      <c r="ATU39" s="456"/>
      <c r="ATV39" s="456"/>
      <c r="ATW39" s="456"/>
      <c r="ATX39" s="456"/>
      <c r="ATY39" s="456"/>
      <c r="ATZ39" s="456"/>
      <c r="AUA39" s="456"/>
      <c r="AUB39" s="456"/>
      <c r="AUC39" s="456"/>
      <c r="AUD39" s="456"/>
      <c r="AUE39" s="456"/>
      <c r="AUF39" s="456"/>
      <c r="AUG39" s="456"/>
      <c r="AUH39" s="456"/>
      <c r="AUI39" s="456"/>
      <c r="AUJ39" s="456"/>
      <c r="AUK39" s="456"/>
      <c r="AUL39" s="456"/>
      <c r="AUM39" s="456"/>
      <c r="AUN39" s="456"/>
      <c r="AUO39" s="456"/>
      <c r="AUP39" s="456"/>
      <c r="AUQ39" s="456"/>
      <c r="AUR39" s="456"/>
      <c r="AUS39" s="456"/>
      <c r="AUT39" s="456"/>
      <c r="AUU39" s="456"/>
      <c r="AUV39" s="456"/>
      <c r="AUW39" s="456"/>
      <c r="AUX39" s="456"/>
      <c r="AUY39" s="456"/>
      <c r="AUZ39" s="456"/>
      <c r="AVA39" s="456"/>
      <c r="AVB39" s="456"/>
      <c r="AVC39" s="456"/>
      <c r="AVD39" s="456"/>
      <c r="AVE39" s="456"/>
      <c r="AVF39" s="456"/>
      <c r="AVG39" s="456"/>
      <c r="AVH39" s="456"/>
      <c r="AVI39" s="456"/>
      <c r="AVJ39" s="456"/>
      <c r="AVK39" s="456"/>
      <c r="AVL39" s="456"/>
      <c r="AVM39" s="456"/>
      <c r="AVN39" s="456"/>
      <c r="AVO39" s="456"/>
      <c r="AVP39" s="456"/>
      <c r="AVQ39" s="456"/>
      <c r="AVR39" s="456"/>
      <c r="AVS39" s="456"/>
      <c r="AVT39" s="456"/>
      <c r="AVU39" s="456"/>
      <c r="AVV39" s="456"/>
      <c r="AVW39" s="456"/>
      <c r="AVX39" s="456"/>
      <c r="AVY39" s="456"/>
      <c r="AVZ39" s="456"/>
      <c r="AWA39" s="456"/>
      <c r="AWB39" s="456"/>
      <c r="AWC39" s="456"/>
      <c r="AWD39" s="456"/>
      <c r="AWE39" s="456"/>
      <c r="AWF39" s="456"/>
      <c r="AWG39" s="456"/>
      <c r="AWH39" s="456"/>
      <c r="AWI39" s="456"/>
      <c r="AWJ39" s="456"/>
      <c r="AWK39" s="456"/>
      <c r="AWL39" s="456"/>
      <c r="AWM39" s="456"/>
      <c r="AWN39" s="456"/>
      <c r="AWO39" s="456"/>
      <c r="AWP39" s="456"/>
      <c r="AWQ39" s="456"/>
      <c r="AWR39" s="456"/>
      <c r="AWS39" s="456"/>
      <c r="AWT39" s="456"/>
      <c r="AWU39" s="456"/>
      <c r="AWV39" s="456"/>
      <c r="AWW39" s="456"/>
      <c r="AWX39" s="456"/>
      <c r="AWY39" s="456"/>
      <c r="AWZ39" s="456"/>
      <c r="AXA39" s="456"/>
      <c r="AXB39" s="456"/>
      <c r="AXC39" s="456"/>
      <c r="AXD39" s="456"/>
      <c r="AXE39" s="456"/>
      <c r="AXF39" s="456"/>
      <c r="AXG39" s="456"/>
      <c r="AXH39" s="456"/>
      <c r="AXI39" s="456"/>
      <c r="AXJ39" s="456"/>
      <c r="AXK39" s="456"/>
      <c r="AXL39" s="456"/>
      <c r="AXM39" s="456"/>
      <c r="AXN39" s="456"/>
      <c r="AXO39" s="456"/>
      <c r="AXP39" s="456"/>
      <c r="AXQ39" s="456"/>
      <c r="AXR39" s="456"/>
      <c r="AXS39" s="456"/>
      <c r="AXT39" s="456"/>
      <c r="AXU39" s="456"/>
      <c r="AXV39" s="456"/>
      <c r="AXW39" s="456"/>
      <c r="AXX39" s="456"/>
      <c r="AXY39" s="456"/>
      <c r="AXZ39" s="456"/>
      <c r="AYA39" s="456"/>
      <c r="AYB39" s="456"/>
      <c r="AYC39" s="456"/>
      <c r="AYD39" s="456"/>
      <c r="AYE39" s="456"/>
      <c r="AYF39" s="456"/>
      <c r="AYG39" s="456"/>
      <c r="AYH39" s="456"/>
      <c r="AYI39" s="456"/>
      <c r="AYJ39" s="456"/>
      <c r="AYK39" s="456"/>
      <c r="AYL39" s="456"/>
      <c r="AYM39" s="456"/>
      <c r="AYN39" s="456"/>
      <c r="AYO39" s="456"/>
      <c r="AYP39" s="456"/>
      <c r="AYQ39" s="456"/>
      <c r="AYR39" s="456"/>
      <c r="AYS39" s="456"/>
      <c r="AYT39" s="456"/>
      <c r="AYU39" s="456"/>
      <c r="AYV39" s="456"/>
      <c r="AYW39" s="456"/>
      <c r="AYX39" s="456"/>
      <c r="AYY39" s="456"/>
      <c r="AYZ39" s="456"/>
      <c r="AZA39" s="456"/>
      <c r="AZB39" s="456"/>
      <c r="AZC39" s="456"/>
      <c r="AZD39" s="456"/>
      <c r="AZE39" s="456"/>
      <c r="AZF39" s="456"/>
      <c r="AZG39" s="456"/>
      <c r="AZH39" s="456"/>
      <c r="AZI39" s="456"/>
      <c r="AZJ39" s="456"/>
      <c r="AZK39" s="456"/>
      <c r="AZL39" s="456"/>
      <c r="AZM39" s="456"/>
      <c r="AZN39" s="456"/>
      <c r="AZO39" s="456"/>
      <c r="AZP39" s="456"/>
      <c r="AZQ39" s="456"/>
      <c r="AZR39" s="456"/>
      <c r="AZS39" s="456"/>
      <c r="AZT39" s="456"/>
      <c r="AZU39" s="456"/>
      <c r="AZV39" s="456"/>
      <c r="AZW39" s="456"/>
      <c r="AZX39" s="456"/>
      <c r="AZY39" s="456"/>
      <c r="AZZ39" s="456"/>
      <c r="BAA39" s="456"/>
      <c r="BAB39" s="456"/>
      <c r="BAC39" s="456"/>
      <c r="BAD39" s="456"/>
      <c r="BAE39" s="456"/>
      <c r="BAF39" s="456"/>
      <c r="BAG39" s="456"/>
      <c r="BAH39" s="456"/>
      <c r="BAI39" s="456"/>
      <c r="BAJ39" s="456"/>
      <c r="BAK39" s="456"/>
      <c r="BAL39" s="456"/>
      <c r="BAM39" s="456"/>
      <c r="BAN39" s="456"/>
      <c r="BAO39" s="456"/>
      <c r="BAP39" s="456"/>
      <c r="BAQ39" s="456"/>
      <c r="BAR39" s="456"/>
      <c r="BAS39" s="456"/>
      <c r="BAT39" s="456"/>
      <c r="BAU39" s="456"/>
      <c r="BAV39" s="456"/>
      <c r="BAW39" s="456"/>
      <c r="BAX39" s="456"/>
      <c r="BAY39" s="456"/>
      <c r="BAZ39" s="456"/>
      <c r="BBA39" s="456"/>
      <c r="BBB39" s="456"/>
      <c r="BBC39" s="456"/>
      <c r="BBD39" s="456"/>
      <c r="BBE39" s="456"/>
      <c r="BBF39" s="456"/>
      <c r="BBG39" s="456"/>
      <c r="BBH39" s="456"/>
      <c r="BBI39" s="456"/>
      <c r="BBJ39" s="456"/>
      <c r="BBK39" s="456"/>
      <c r="BBL39" s="456"/>
      <c r="BBM39" s="456"/>
      <c r="BBN39" s="456"/>
      <c r="BBO39" s="456"/>
      <c r="BBP39" s="456"/>
      <c r="BBQ39" s="456"/>
      <c r="BBR39" s="456"/>
      <c r="BBS39" s="456"/>
      <c r="BBT39" s="456"/>
      <c r="BBU39" s="456"/>
      <c r="BBV39" s="456"/>
      <c r="BBW39" s="456"/>
      <c r="BBX39" s="456"/>
      <c r="BBY39" s="456"/>
      <c r="BBZ39" s="456"/>
      <c r="BCA39" s="456"/>
      <c r="BCB39" s="456"/>
      <c r="BCC39" s="456"/>
      <c r="BCD39" s="456"/>
      <c r="BCE39" s="456"/>
      <c r="BCF39" s="456"/>
      <c r="BCG39" s="456"/>
      <c r="BCH39" s="456"/>
      <c r="BCI39" s="456"/>
      <c r="BCJ39" s="456"/>
      <c r="BCK39" s="456"/>
      <c r="BCL39" s="456"/>
      <c r="BCM39" s="456"/>
      <c r="BCN39" s="456"/>
      <c r="BCO39" s="456"/>
      <c r="BCP39" s="456"/>
      <c r="BCQ39" s="456"/>
      <c r="BCR39" s="456"/>
      <c r="BCS39" s="456"/>
      <c r="BCT39" s="456"/>
      <c r="BCU39" s="456"/>
      <c r="BCV39" s="456"/>
      <c r="BCW39" s="456"/>
      <c r="BCX39" s="456"/>
      <c r="BCY39" s="456"/>
      <c r="BCZ39" s="456"/>
      <c r="BDA39" s="456"/>
      <c r="BDB39" s="456"/>
      <c r="BDC39" s="456"/>
      <c r="BDD39" s="456"/>
      <c r="BDE39" s="456"/>
      <c r="BDF39" s="456"/>
      <c r="BDG39" s="456"/>
      <c r="BDH39" s="456"/>
      <c r="BDI39" s="456"/>
      <c r="BDJ39" s="456"/>
      <c r="BDK39" s="456"/>
      <c r="BDL39" s="456"/>
      <c r="BDM39" s="456"/>
      <c r="BDN39" s="456"/>
      <c r="BDO39" s="456"/>
      <c r="BDP39" s="456"/>
      <c r="BDQ39" s="456"/>
      <c r="BDR39" s="456"/>
      <c r="BDS39" s="456"/>
      <c r="BDT39" s="456"/>
      <c r="BDU39" s="456"/>
      <c r="BDV39" s="456"/>
      <c r="BDW39" s="456"/>
      <c r="BDX39" s="456"/>
      <c r="BDY39" s="456"/>
      <c r="BDZ39" s="456"/>
      <c r="BEA39" s="456"/>
      <c r="BEB39" s="456"/>
      <c r="BEC39" s="456"/>
      <c r="BED39" s="456"/>
      <c r="BEE39" s="456"/>
      <c r="BEF39" s="456"/>
      <c r="BEG39" s="456"/>
      <c r="BEH39" s="456"/>
      <c r="BEI39" s="456"/>
      <c r="BEJ39" s="456"/>
      <c r="BEK39" s="456"/>
      <c r="BEL39" s="456"/>
      <c r="BEM39" s="456"/>
      <c r="BEN39" s="456"/>
      <c r="BEO39" s="456"/>
      <c r="BEP39" s="456"/>
      <c r="BEQ39" s="456"/>
      <c r="BER39" s="456"/>
      <c r="BES39" s="456"/>
      <c r="BET39" s="456"/>
      <c r="BEU39" s="456"/>
      <c r="BEV39" s="456"/>
      <c r="BEW39" s="456"/>
      <c r="BEX39" s="456"/>
      <c r="BEY39" s="456"/>
      <c r="BEZ39" s="456"/>
      <c r="BFA39" s="456"/>
      <c r="BFB39" s="456"/>
      <c r="BFC39" s="456"/>
      <c r="BFD39" s="456"/>
      <c r="BFE39" s="456"/>
      <c r="BFF39" s="456"/>
      <c r="BFG39" s="456"/>
      <c r="BFH39" s="456"/>
      <c r="BFI39" s="456"/>
      <c r="BFJ39" s="456"/>
      <c r="BFK39" s="456"/>
      <c r="BFL39" s="456"/>
      <c r="BFM39" s="456"/>
      <c r="BFN39" s="456"/>
      <c r="BFO39" s="456"/>
      <c r="BFP39" s="456"/>
      <c r="BFQ39" s="456"/>
      <c r="BFR39" s="456"/>
      <c r="BFS39" s="456"/>
      <c r="BFT39" s="456"/>
      <c r="BFU39" s="456"/>
      <c r="BFV39" s="456"/>
      <c r="BFW39" s="456"/>
      <c r="BFX39" s="456"/>
      <c r="BFY39" s="456"/>
      <c r="BFZ39" s="456"/>
      <c r="BGA39" s="456"/>
      <c r="BGB39" s="456"/>
      <c r="BGC39" s="456"/>
      <c r="BGD39" s="456"/>
      <c r="BGE39" s="456"/>
      <c r="BGF39" s="456"/>
      <c r="BGG39" s="456"/>
      <c r="BGH39" s="456"/>
      <c r="BGI39" s="456"/>
      <c r="BGJ39" s="456"/>
      <c r="BGK39" s="456"/>
      <c r="BGL39" s="456"/>
      <c r="BGM39" s="456"/>
      <c r="BGN39" s="456"/>
      <c r="BGO39" s="456"/>
      <c r="BGP39" s="456"/>
      <c r="BGQ39" s="456"/>
      <c r="BGR39" s="456"/>
      <c r="BGS39" s="456"/>
      <c r="BGT39" s="456"/>
      <c r="BGU39" s="456"/>
      <c r="BGV39" s="456"/>
      <c r="BGW39" s="456"/>
      <c r="BGX39" s="456"/>
      <c r="BGY39" s="456"/>
      <c r="BGZ39" s="456"/>
      <c r="BHA39" s="456"/>
      <c r="BHB39" s="456"/>
      <c r="BHC39" s="456"/>
      <c r="BHD39" s="456"/>
      <c r="BHE39" s="456"/>
      <c r="BHF39" s="456"/>
      <c r="BHG39" s="456"/>
      <c r="BHH39" s="456"/>
      <c r="BHI39" s="456"/>
      <c r="BHJ39" s="456"/>
      <c r="BHK39" s="456"/>
      <c r="BHL39" s="456"/>
      <c r="BHM39" s="456"/>
      <c r="BHN39" s="456"/>
      <c r="BHO39" s="456"/>
      <c r="BHP39" s="456"/>
      <c r="BHQ39" s="456"/>
      <c r="BHR39" s="456"/>
      <c r="BHS39" s="456"/>
      <c r="BHT39" s="456"/>
      <c r="BHU39" s="456"/>
      <c r="BHV39" s="456"/>
      <c r="BHW39" s="456"/>
      <c r="BHX39" s="456"/>
      <c r="BHY39" s="456"/>
      <c r="BHZ39" s="456"/>
      <c r="BIA39" s="456"/>
      <c r="BIB39" s="456"/>
      <c r="BIC39" s="456"/>
      <c r="BID39" s="456"/>
      <c r="BIE39" s="456"/>
      <c r="BIF39" s="456"/>
      <c r="BIG39" s="456"/>
      <c r="BIH39" s="456"/>
      <c r="BII39" s="456"/>
      <c r="BIJ39" s="456"/>
      <c r="BIK39" s="456"/>
      <c r="BIL39" s="456"/>
      <c r="BIM39" s="456"/>
      <c r="BIN39" s="456"/>
      <c r="BIO39" s="456"/>
      <c r="BIP39" s="456"/>
      <c r="BIQ39" s="456"/>
      <c r="BIR39" s="456"/>
      <c r="BIS39" s="456"/>
      <c r="BIT39" s="456"/>
      <c r="BIU39" s="456"/>
      <c r="BIV39" s="456"/>
      <c r="BIW39" s="456"/>
      <c r="BIX39" s="456"/>
      <c r="BIY39" s="456"/>
      <c r="BIZ39" s="456"/>
      <c r="BJA39" s="456"/>
      <c r="BJB39" s="456"/>
      <c r="BJC39" s="456"/>
      <c r="BJD39" s="456"/>
      <c r="BJE39" s="456"/>
      <c r="BJF39" s="456"/>
      <c r="BJG39" s="456"/>
      <c r="BJH39" s="456"/>
      <c r="BJI39" s="456"/>
      <c r="BJJ39" s="456"/>
      <c r="BJK39" s="456"/>
      <c r="BJL39" s="456"/>
      <c r="BJM39" s="456"/>
      <c r="BJN39" s="456"/>
      <c r="BJO39" s="456"/>
      <c r="BJP39" s="456"/>
      <c r="BJQ39" s="456"/>
      <c r="BJR39" s="456"/>
      <c r="BJS39" s="456"/>
      <c r="BJT39" s="456"/>
      <c r="BJU39" s="456"/>
      <c r="BJV39" s="456"/>
      <c r="BJW39" s="456"/>
      <c r="BJX39" s="456"/>
      <c r="BJY39" s="456"/>
      <c r="BJZ39" s="456"/>
      <c r="BKA39" s="456"/>
      <c r="BKB39" s="456"/>
      <c r="BKC39" s="456"/>
      <c r="BKD39" s="456"/>
      <c r="BKE39" s="456"/>
      <c r="BKF39" s="456"/>
      <c r="BKG39" s="456"/>
      <c r="BKH39" s="456"/>
      <c r="BKI39" s="456"/>
      <c r="BKJ39" s="456"/>
      <c r="BKK39" s="456"/>
      <c r="BKL39" s="456"/>
      <c r="BKM39" s="456"/>
      <c r="BKN39" s="456"/>
      <c r="BKO39" s="456"/>
      <c r="BKP39" s="456"/>
      <c r="BKQ39" s="456"/>
      <c r="BKR39" s="456"/>
      <c r="BKS39" s="456"/>
      <c r="BKT39" s="456"/>
      <c r="BKU39" s="456"/>
      <c r="BKV39" s="456"/>
      <c r="BKW39" s="456"/>
      <c r="BKX39" s="456"/>
      <c r="BKY39" s="456"/>
      <c r="BKZ39" s="456"/>
      <c r="BLA39" s="456"/>
      <c r="BLB39" s="456"/>
      <c r="BLC39" s="456"/>
      <c r="BLD39" s="456"/>
      <c r="BLE39" s="456"/>
      <c r="BLF39" s="456"/>
      <c r="BLG39" s="456"/>
      <c r="BLH39" s="456"/>
      <c r="BLI39" s="456"/>
      <c r="BLJ39" s="456"/>
      <c r="BLK39" s="456"/>
      <c r="BLL39" s="456"/>
      <c r="BLM39" s="456"/>
      <c r="BLN39" s="456"/>
      <c r="BLO39" s="456"/>
      <c r="BLP39" s="456"/>
      <c r="BLQ39" s="456"/>
      <c r="BLR39" s="456"/>
      <c r="BLS39" s="456"/>
      <c r="BLT39" s="456"/>
      <c r="BLU39" s="456"/>
      <c r="BLV39" s="456"/>
      <c r="BLW39" s="456"/>
      <c r="BLX39" s="456"/>
      <c r="BLY39" s="456"/>
      <c r="BLZ39" s="456"/>
      <c r="BMA39" s="456"/>
      <c r="BMB39" s="456"/>
      <c r="BMC39" s="456"/>
      <c r="BMD39" s="456"/>
      <c r="BME39" s="456"/>
      <c r="BMF39" s="456"/>
      <c r="BMG39" s="456"/>
      <c r="BMH39" s="456"/>
      <c r="BMI39" s="456"/>
      <c r="BMJ39" s="456"/>
      <c r="BMK39" s="456"/>
      <c r="BML39" s="456"/>
      <c r="BMM39" s="456"/>
      <c r="BMN39" s="456"/>
      <c r="BMO39" s="456"/>
      <c r="BMP39" s="456"/>
      <c r="BMQ39" s="456"/>
      <c r="BMR39" s="456"/>
      <c r="BMS39" s="456"/>
      <c r="BMT39" s="456"/>
      <c r="BMU39" s="456"/>
      <c r="BMV39" s="456"/>
      <c r="BMW39" s="456"/>
      <c r="BMX39" s="456"/>
      <c r="BMY39" s="456"/>
      <c r="BMZ39" s="456"/>
      <c r="BNA39" s="456"/>
      <c r="BNB39" s="456"/>
      <c r="BNC39" s="456"/>
      <c r="BND39" s="456"/>
      <c r="BNE39" s="456"/>
      <c r="BNF39" s="456"/>
      <c r="BNG39" s="456"/>
      <c r="BNH39" s="456"/>
      <c r="BNI39" s="456"/>
      <c r="BNJ39" s="456"/>
      <c r="BNK39" s="456"/>
      <c r="BNL39" s="456"/>
      <c r="BNM39" s="456"/>
      <c r="BNN39" s="456"/>
      <c r="BNO39" s="456"/>
      <c r="BNP39" s="456"/>
      <c r="BNQ39" s="456"/>
      <c r="BNR39" s="456"/>
      <c r="BNS39" s="456"/>
      <c r="BNT39" s="456"/>
      <c r="BNU39" s="456"/>
      <c r="BNV39" s="456"/>
      <c r="BNW39" s="456"/>
      <c r="BNX39" s="456"/>
      <c r="BNY39" s="456"/>
      <c r="BNZ39" s="456"/>
      <c r="BOA39" s="456"/>
      <c r="BOB39" s="456"/>
      <c r="BOC39" s="456"/>
      <c r="BOD39" s="456"/>
      <c r="BOE39" s="456"/>
      <c r="BOF39" s="456"/>
      <c r="BOG39" s="456"/>
      <c r="BOH39" s="456"/>
      <c r="BOI39" s="456"/>
      <c r="BOJ39" s="456"/>
      <c r="BOK39" s="456"/>
      <c r="BOL39" s="456"/>
      <c r="BOM39" s="456"/>
      <c r="BON39" s="456"/>
      <c r="BOO39" s="456"/>
      <c r="BOP39" s="456"/>
      <c r="BOQ39" s="456"/>
      <c r="BOR39" s="456"/>
      <c r="BOS39" s="456"/>
      <c r="BOT39" s="456"/>
      <c r="BOU39" s="456"/>
      <c r="BOV39" s="456"/>
      <c r="BOW39" s="456"/>
      <c r="BOX39" s="456"/>
      <c r="BOY39" s="456"/>
      <c r="BOZ39" s="456"/>
      <c r="BPA39" s="456"/>
      <c r="BPB39" s="456"/>
      <c r="BPC39" s="456"/>
      <c r="BPD39" s="456"/>
      <c r="BPE39" s="456"/>
      <c r="BPF39" s="456"/>
      <c r="BPG39" s="456"/>
      <c r="BPH39" s="456"/>
      <c r="BPI39" s="456"/>
      <c r="BPJ39" s="456"/>
      <c r="BPK39" s="456"/>
      <c r="BPL39" s="456"/>
      <c r="BPM39" s="456"/>
      <c r="BPN39" s="456"/>
      <c r="BPO39" s="456"/>
      <c r="BPP39" s="456"/>
      <c r="BPQ39" s="456"/>
      <c r="BPR39" s="456"/>
      <c r="BPS39" s="456"/>
      <c r="BPT39" s="456"/>
      <c r="BPU39" s="456"/>
      <c r="BPV39" s="456"/>
      <c r="BPW39" s="456"/>
      <c r="BPX39" s="456"/>
      <c r="BPY39" s="456"/>
      <c r="BPZ39" s="456"/>
      <c r="BQA39" s="456"/>
      <c r="BQB39" s="456"/>
      <c r="BQC39" s="456"/>
      <c r="BQD39" s="456"/>
      <c r="BQE39" s="456"/>
      <c r="BQF39" s="456"/>
      <c r="BQG39" s="456"/>
      <c r="BQH39" s="456"/>
      <c r="BQI39" s="456"/>
      <c r="BQJ39" s="456"/>
      <c r="BQK39" s="456"/>
      <c r="BQL39" s="456"/>
      <c r="BQM39" s="456"/>
      <c r="BQN39" s="456"/>
      <c r="BQO39" s="456"/>
      <c r="BQP39" s="456"/>
      <c r="BQQ39" s="456"/>
      <c r="BQR39" s="456"/>
      <c r="BQS39" s="456"/>
      <c r="BQT39" s="456"/>
      <c r="BQU39" s="456"/>
      <c r="BQV39" s="456"/>
      <c r="BQW39" s="456"/>
      <c r="BQX39" s="456"/>
      <c r="BQY39" s="456"/>
      <c r="BQZ39" s="456"/>
      <c r="BRA39" s="456"/>
      <c r="BRB39" s="456"/>
      <c r="BRC39" s="456"/>
      <c r="BRD39" s="456"/>
      <c r="BRE39" s="456"/>
      <c r="BRF39" s="456"/>
      <c r="BRG39" s="456"/>
      <c r="BRH39" s="456"/>
      <c r="BRI39" s="456"/>
      <c r="BRJ39" s="456"/>
      <c r="BRK39" s="456"/>
      <c r="BRL39" s="456"/>
      <c r="BRM39" s="456"/>
      <c r="BRN39" s="456"/>
      <c r="BRO39" s="456"/>
      <c r="BRP39" s="456"/>
      <c r="BRQ39" s="456"/>
      <c r="BRR39" s="456"/>
      <c r="BRS39" s="456"/>
      <c r="BRT39" s="456"/>
      <c r="BRU39" s="456"/>
      <c r="BRV39" s="456"/>
      <c r="BRW39" s="456"/>
      <c r="BRX39" s="456"/>
      <c r="BRY39" s="456"/>
      <c r="BRZ39" s="456"/>
      <c r="BSA39" s="456"/>
      <c r="BSB39" s="456"/>
      <c r="BSC39" s="456"/>
      <c r="BSD39" s="456"/>
      <c r="BSE39" s="456"/>
      <c r="BSF39" s="456"/>
      <c r="BSG39" s="456"/>
      <c r="BSH39" s="456"/>
      <c r="BSI39" s="456"/>
      <c r="BSJ39" s="456"/>
      <c r="BSK39" s="456"/>
      <c r="BSL39" s="456"/>
      <c r="BSM39" s="456"/>
      <c r="BSN39" s="456"/>
      <c r="BSO39" s="456"/>
      <c r="BSP39" s="456"/>
      <c r="BSQ39" s="456"/>
      <c r="BSR39" s="456"/>
      <c r="BSS39" s="456"/>
      <c r="BST39" s="456"/>
      <c r="BSU39" s="456"/>
      <c r="BSV39" s="456"/>
      <c r="BSW39" s="456"/>
      <c r="BSX39" s="456"/>
      <c r="BSY39" s="456"/>
      <c r="BSZ39" s="456"/>
      <c r="BTA39" s="456"/>
      <c r="BTB39" s="456"/>
      <c r="BTC39" s="456"/>
      <c r="BTD39" s="456"/>
      <c r="BTE39" s="456"/>
      <c r="BTF39" s="456"/>
      <c r="BTG39" s="456"/>
      <c r="BTH39" s="456"/>
      <c r="BTI39" s="456"/>
      <c r="BTJ39" s="456"/>
      <c r="BTK39" s="456"/>
      <c r="BTL39" s="456"/>
      <c r="BTM39" s="456"/>
      <c r="BTN39" s="456"/>
      <c r="BTO39" s="456"/>
      <c r="BTP39" s="456"/>
      <c r="BTQ39" s="456"/>
      <c r="BTR39" s="456"/>
      <c r="BTS39" s="456"/>
      <c r="BTT39" s="456"/>
      <c r="BTU39" s="456"/>
      <c r="BTV39" s="456"/>
      <c r="BTW39" s="456"/>
      <c r="BTX39" s="456"/>
      <c r="BTY39" s="456"/>
      <c r="BTZ39" s="456"/>
      <c r="BUA39" s="456"/>
      <c r="BUB39" s="456"/>
      <c r="BUC39" s="456"/>
      <c r="BUD39" s="456"/>
      <c r="BUE39" s="456"/>
      <c r="BUF39" s="456"/>
      <c r="BUG39" s="456"/>
      <c r="BUH39" s="456"/>
      <c r="BUI39" s="456"/>
      <c r="BUJ39" s="456"/>
      <c r="BUK39" s="456"/>
      <c r="BUL39" s="456"/>
      <c r="BUM39" s="456"/>
      <c r="BUN39" s="456"/>
      <c r="BUO39" s="456"/>
      <c r="BUP39" s="456"/>
      <c r="BUQ39" s="456"/>
      <c r="BUR39" s="456"/>
      <c r="BUS39" s="456"/>
      <c r="BUT39" s="456"/>
      <c r="BUU39" s="456"/>
      <c r="BUV39" s="456"/>
      <c r="BUW39" s="456"/>
      <c r="BUX39" s="456"/>
      <c r="BUY39" s="456"/>
      <c r="BUZ39" s="456"/>
      <c r="BVA39" s="456"/>
      <c r="BVB39" s="456"/>
      <c r="BVC39" s="456"/>
      <c r="BVD39" s="456"/>
      <c r="BVE39" s="456"/>
      <c r="BVF39" s="456"/>
      <c r="BVG39" s="456"/>
      <c r="BVH39" s="456"/>
      <c r="BVI39" s="456"/>
      <c r="BVJ39" s="456"/>
      <c r="BVK39" s="456"/>
      <c r="BVL39" s="456"/>
      <c r="BVM39" s="456"/>
      <c r="BVN39" s="456"/>
      <c r="BVO39" s="456"/>
      <c r="BVP39" s="456"/>
      <c r="BVQ39" s="456"/>
      <c r="BVR39" s="456"/>
      <c r="BVS39" s="456"/>
      <c r="BVT39" s="456"/>
      <c r="BVU39" s="456"/>
      <c r="BVV39" s="456"/>
      <c r="BVW39" s="456"/>
      <c r="BVX39" s="456"/>
      <c r="BVY39" s="456"/>
      <c r="BVZ39" s="456"/>
      <c r="BWA39" s="456"/>
      <c r="BWB39" s="456"/>
      <c r="BWC39" s="456"/>
      <c r="BWD39" s="456"/>
      <c r="BWE39" s="456"/>
      <c r="BWF39" s="456"/>
      <c r="BWG39" s="456"/>
      <c r="BWH39" s="456"/>
      <c r="BWI39" s="456"/>
      <c r="BWJ39" s="456"/>
      <c r="BWK39" s="456"/>
      <c r="BWL39" s="456"/>
      <c r="BWM39" s="456"/>
      <c r="BWN39" s="456"/>
      <c r="BWO39" s="456"/>
      <c r="BWP39" s="456"/>
      <c r="BWQ39" s="456"/>
      <c r="BWR39" s="456"/>
      <c r="BWS39" s="456"/>
      <c r="BWT39" s="456"/>
      <c r="BWU39" s="456"/>
      <c r="BWV39" s="456"/>
      <c r="BWW39" s="456"/>
      <c r="BWX39" s="456"/>
      <c r="BWY39" s="456"/>
      <c r="BWZ39" s="456"/>
      <c r="BXA39" s="456"/>
      <c r="BXB39" s="456"/>
      <c r="BXC39" s="456"/>
      <c r="BXD39" s="456"/>
      <c r="BXE39" s="456"/>
      <c r="BXF39" s="456"/>
      <c r="BXG39" s="456"/>
      <c r="BXH39" s="456"/>
      <c r="BXI39" s="456"/>
      <c r="BXJ39" s="456"/>
      <c r="BXK39" s="456"/>
      <c r="BXL39" s="456"/>
      <c r="BXM39" s="456"/>
      <c r="BXN39" s="456"/>
      <c r="BXO39" s="456"/>
      <c r="BXP39" s="456"/>
      <c r="BXQ39" s="456"/>
      <c r="BXR39" s="456"/>
      <c r="BXS39" s="456"/>
      <c r="BXT39" s="456"/>
      <c r="BXU39" s="456"/>
      <c r="BXV39" s="456"/>
      <c r="BXW39" s="456"/>
      <c r="BXX39" s="456"/>
      <c r="BXY39" s="456"/>
      <c r="BXZ39" s="456"/>
    </row>
    <row r="40" s="25" customFormat="1" spans="1:1024 1025:2002">
      <c r="A40" s="473" t="s">
        <v>34</v>
      </c>
      <c r="B40" s="19">
        <v>1117</v>
      </c>
      <c r="C40" s="183">
        <v>46174</v>
      </c>
      <c r="D40" s="17" t="s">
        <v>35</v>
      </c>
      <c r="E40" s="17" t="s">
        <v>71</v>
      </c>
      <c r="F40" s="17" t="s">
        <v>72</v>
      </c>
      <c r="G40" s="17"/>
      <c r="H40" s="19">
        <v>1.2379</v>
      </c>
      <c r="I40" s="19">
        <v>1.2379</v>
      </c>
      <c r="J40" s="17" t="s">
        <v>39</v>
      </c>
      <c r="K40" s="19">
        <v>202</v>
      </c>
      <c r="L40" s="91"/>
      <c r="M40" s="19">
        <v>5800</v>
      </c>
      <c r="N40" s="19" t="s">
        <v>40</v>
      </c>
      <c r="O40" s="19" t="s">
        <v>50</v>
      </c>
      <c r="P40" s="19">
        <v>3000</v>
      </c>
      <c r="Q40" s="19">
        <f>1085+1045+1080</f>
        <v>3210</v>
      </c>
      <c r="R40" s="19">
        <f t="shared" si="0"/>
        <v>-210</v>
      </c>
      <c r="S40" s="19">
        <f t="shared" si="1"/>
        <v>2328</v>
      </c>
      <c r="T40" s="19" t="s">
        <v>42</v>
      </c>
      <c r="U40" s="102" t="s">
        <v>73</v>
      </c>
      <c r="V40" s="186">
        <v>46173</v>
      </c>
      <c r="W40" s="17" t="s">
        <v>69</v>
      </c>
      <c r="X40" s="17"/>
      <c r="Y40" s="68">
        <v>46296</v>
      </c>
      <c r="Z40" s="17" t="s">
        <v>45</v>
      </c>
      <c r="AA40" s="17" t="s">
        <v>46</v>
      </c>
      <c r="AB40" s="17" t="s">
        <v>75</v>
      </c>
      <c r="AC40" s="217">
        <v>46224</v>
      </c>
      <c r="AD40" s="65">
        <v>1837</v>
      </c>
      <c r="AE40" s="17" t="s">
        <v>74</v>
      </c>
      <c r="AF40" s="17" t="s">
        <v>76</v>
      </c>
      <c r="AG40" s="17"/>
      <c r="AH40" s="456"/>
      <c r="AI40" s="456"/>
      <c r="AJ40" s="456"/>
      <c r="AK40" s="456"/>
      <c r="AL40" s="456"/>
      <c r="AM40" s="456"/>
      <c r="AN40" s="456"/>
      <c r="AO40" s="456"/>
      <c r="AP40" s="456"/>
      <c r="AQ40" s="456"/>
      <c r="AR40" s="456"/>
      <c r="AS40" s="456"/>
      <c r="AT40" s="456"/>
      <c r="AU40" s="456"/>
      <c r="AV40" s="456"/>
      <c r="AW40" s="456"/>
      <c r="AX40" s="456"/>
      <c r="AY40" s="456"/>
      <c r="AZ40" s="456"/>
      <c r="BA40" s="456"/>
      <c r="BB40" s="456"/>
      <c r="BC40" s="456"/>
      <c r="BD40" s="456"/>
      <c r="BE40" s="456"/>
      <c r="BF40" s="456"/>
      <c r="BG40" s="456"/>
      <c r="BH40" s="456"/>
      <c r="BI40" s="456"/>
      <c r="BJ40" s="456"/>
      <c r="BK40" s="456"/>
      <c r="BL40" s="456"/>
      <c r="BM40" s="456"/>
      <c r="BN40" s="456"/>
      <c r="BO40" s="456"/>
      <c r="BP40" s="456"/>
      <c r="BQ40" s="456"/>
      <c r="BR40" s="456"/>
      <c r="BS40" s="456"/>
      <c r="BT40" s="456"/>
      <c r="BU40" s="456"/>
      <c r="BV40" s="456"/>
      <c r="BW40" s="456"/>
      <c r="BX40" s="456"/>
      <c r="BY40" s="456"/>
      <c r="BZ40" s="456"/>
      <c r="CA40" s="456"/>
      <c r="CB40" s="456"/>
      <c r="CC40" s="456"/>
      <c r="CD40" s="456"/>
      <c r="CE40" s="456"/>
      <c r="CF40" s="456"/>
      <c r="CG40" s="456"/>
      <c r="CH40" s="456"/>
      <c r="CI40" s="456"/>
      <c r="CJ40" s="456"/>
      <c r="CK40" s="456"/>
      <c r="CL40" s="456"/>
      <c r="CM40" s="456"/>
      <c r="CN40" s="456"/>
      <c r="CO40" s="456"/>
      <c r="CP40" s="456"/>
      <c r="CQ40" s="456"/>
      <c r="CR40" s="456"/>
      <c r="CS40" s="456"/>
      <c r="CT40" s="456"/>
      <c r="CU40" s="456"/>
      <c r="CV40" s="456"/>
      <c r="CW40" s="456"/>
      <c r="CX40" s="456"/>
      <c r="CY40" s="456"/>
      <c r="CZ40" s="456"/>
      <c r="DA40" s="456"/>
      <c r="DB40" s="456"/>
      <c r="DC40" s="456"/>
      <c r="DD40" s="456"/>
      <c r="DE40" s="456"/>
      <c r="DF40" s="456"/>
      <c r="DG40" s="456"/>
      <c r="DH40" s="456"/>
      <c r="DI40" s="456"/>
      <c r="DJ40" s="456"/>
      <c r="DK40" s="456"/>
      <c r="DL40" s="456"/>
      <c r="DM40" s="456"/>
      <c r="DN40" s="456"/>
      <c r="DO40" s="456"/>
      <c r="DP40" s="456"/>
      <c r="DQ40" s="456"/>
      <c r="DR40" s="456"/>
      <c r="DS40" s="456"/>
      <c r="DT40" s="456"/>
      <c r="DU40" s="456"/>
      <c r="DV40" s="456"/>
      <c r="DW40" s="456"/>
      <c r="DX40" s="456"/>
      <c r="DY40" s="456"/>
      <c r="DZ40" s="456"/>
      <c r="EA40" s="456"/>
      <c r="EB40" s="456"/>
      <c r="EC40" s="456"/>
      <c r="ED40" s="456"/>
      <c r="EE40" s="456"/>
      <c r="EF40" s="456"/>
      <c r="EG40" s="456"/>
      <c r="EH40" s="456"/>
      <c r="EI40" s="456"/>
      <c r="EJ40" s="456"/>
      <c r="EK40" s="456"/>
      <c r="EL40" s="456"/>
      <c r="EM40" s="456"/>
      <c r="EN40" s="456"/>
      <c r="EO40" s="456"/>
      <c r="EP40" s="456"/>
      <c r="EQ40" s="456"/>
      <c r="ER40" s="456"/>
      <c r="ES40" s="456"/>
      <c r="ET40" s="456"/>
      <c r="EU40" s="456"/>
      <c r="EV40" s="456"/>
      <c r="EW40" s="456"/>
      <c r="EX40" s="456"/>
      <c r="EY40" s="456"/>
      <c r="EZ40" s="456"/>
      <c r="FA40" s="456"/>
      <c r="FB40" s="456"/>
      <c r="FC40" s="456"/>
      <c r="FD40" s="456"/>
      <c r="FE40" s="456"/>
      <c r="FF40" s="456"/>
      <c r="FG40" s="456"/>
      <c r="FH40" s="456"/>
      <c r="FI40" s="456"/>
      <c r="FJ40" s="456"/>
      <c r="FK40" s="456"/>
      <c r="FL40" s="456"/>
      <c r="FM40" s="456"/>
      <c r="FN40" s="456"/>
      <c r="FO40" s="456"/>
      <c r="FP40" s="456"/>
      <c r="FQ40" s="456"/>
      <c r="FR40" s="456"/>
      <c r="FS40" s="456"/>
      <c r="FT40" s="456"/>
      <c r="FU40" s="456"/>
      <c r="FV40" s="456"/>
      <c r="FW40" s="456"/>
      <c r="FX40" s="456"/>
      <c r="FY40" s="456"/>
      <c r="FZ40" s="456"/>
      <c r="GA40" s="456"/>
      <c r="GB40" s="456"/>
      <c r="GC40" s="456"/>
      <c r="GD40" s="456"/>
      <c r="GE40" s="456"/>
      <c r="GF40" s="456"/>
      <c r="GG40" s="456"/>
      <c r="GH40" s="456"/>
      <c r="GI40" s="456"/>
      <c r="GJ40" s="456"/>
      <c r="GK40" s="456"/>
      <c r="GL40" s="456"/>
      <c r="GM40" s="456"/>
      <c r="GN40" s="456"/>
      <c r="GO40" s="456"/>
      <c r="GP40" s="456"/>
      <c r="GQ40" s="456"/>
      <c r="GR40" s="456"/>
      <c r="GS40" s="456"/>
      <c r="GT40" s="456"/>
      <c r="GU40" s="456"/>
      <c r="GV40" s="456"/>
      <c r="GW40" s="456"/>
      <c r="GX40" s="456"/>
      <c r="GY40" s="456"/>
      <c r="GZ40" s="456"/>
      <c r="HA40" s="456"/>
      <c r="HB40" s="456"/>
      <c r="HC40" s="456"/>
      <c r="HD40" s="456"/>
      <c r="HE40" s="456"/>
      <c r="HF40" s="456"/>
      <c r="HG40" s="456"/>
      <c r="HH40" s="456"/>
      <c r="HI40" s="456"/>
      <c r="HJ40" s="456"/>
      <c r="HK40" s="456"/>
      <c r="HL40" s="456"/>
      <c r="HM40" s="456"/>
      <c r="HN40" s="456"/>
      <c r="HO40" s="456"/>
      <c r="HP40" s="456"/>
      <c r="HQ40" s="456"/>
      <c r="HR40" s="456"/>
      <c r="HS40" s="456"/>
      <c r="HT40" s="456"/>
      <c r="HU40" s="456"/>
      <c r="HV40" s="456"/>
      <c r="HW40" s="456"/>
      <c r="HX40" s="456"/>
      <c r="HY40" s="456"/>
      <c r="HZ40" s="456"/>
      <c r="IA40" s="456"/>
      <c r="IB40" s="456"/>
      <c r="IC40" s="456"/>
      <c r="ID40" s="456"/>
      <c r="IE40" s="456"/>
      <c r="IF40" s="456"/>
      <c r="IG40" s="456"/>
      <c r="IH40" s="456"/>
      <c r="II40" s="456"/>
      <c r="IJ40" s="456"/>
      <c r="IK40" s="456"/>
      <c r="IL40" s="456"/>
      <c r="IM40" s="456"/>
      <c r="IN40" s="456"/>
      <c r="IO40" s="456"/>
      <c r="IP40" s="456"/>
      <c r="IQ40" s="456"/>
      <c r="IR40" s="456"/>
      <c r="IS40" s="456"/>
      <c r="IT40" s="456"/>
      <c r="IU40" s="456"/>
      <c r="IV40" s="456"/>
      <c r="IW40" s="456"/>
      <c r="IX40" s="456"/>
      <c r="IY40" s="456"/>
      <c r="IZ40" s="456"/>
      <c r="JA40" s="456"/>
      <c r="JB40" s="456"/>
      <c r="JC40" s="456"/>
      <c r="JD40" s="456"/>
      <c r="JE40" s="456"/>
      <c r="JF40" s="456"/>
      <c r="JG40" s="456"/>
      <c r="JH40" s="456"/>
      <c r="JI40" s="456"/>
      <c r="JJ40" s="456"/>
      <c r="JK40" s="456"/>
      <c r="JL40" s="456"/>
      <c r="JM40" s="456"/>
      <c r="JN40" s="456"/>
      <c r="JO40" s="456"/>
      <c r="JP40" s="456"/>
      <c r="JQ40" s="456"/>
      <c r="JR40" s="456"/>
      <c r="JS40" s="456"/>
      <c r="JT40" s="456"/>
      <c r="JU40" s="456"/>
      <c r="JV40" s="456"/>
      <c r="JW40" s="456"/>
      <c r="JX40" s="456"/>
      <c r="JY40" s="456"/>
      <c r="JZ40" s="456"/>
      <c r="KA40" s="456"/>
      <c r="KB40" s="456"/>
      <c r="KC40" s="456"/>
      <c r="KD40" s="456"/>
      <c r="KE40" s="456"/>
      <c r="KF40" s="456"/>
      <c r="KG40" s="456"/>
      <c r="KH40" s="456"/>
      <c r="KI40" s="456"/>
      <c r="KJ40" s="456"/>
      <c r="KK40" s="456"/>
      <c r="KL40" s="456"/>
      <c r="KM40" s="456"/>
      <c r="KN40" s="456"/>
      <c r="KO40" s="456"/>
      <c r="KP40" s="456"/>
      <c r="KQ40" s="456"/>
      <c r="KR40" s="456"/>
      <c r="KS40" s="456"/>
      <c r="KT40" s="456"/>
      <c r="KU40" s="456"/>
      <c r="KV40" s="456"/>
      <c r="KW40" s="456"/>
      <c r="KX40" s="456"/>
      <c r="KY40" s="456"/>
      <c r="KZ40" s="456"/>
      <c r="LA40" s="456"/>
      <c r="LB40" s="456"/>
      <c r="LC40" s="456"/>
      <c r="LD40" s="456"/>
      <c r="LE40" s="456"/>
      <c r="LF40" s="456"/>
      <c r="LG40" s="456"/>
      <c r="LH40" s="456"/>
      <c r="LI40" s="456"/>
      <c r="LJ40" s="456"/>
      <c r="LK40" s="456"/>
      <c r="LL40" s="456"/>
      <c r="LM40" s="456"/>
      <c r="LN40" s="456"/>
      <c r="LO40" s="456"/>
      <c r="LP40" s="456"/>
      <c r="LQ40" s="456"/>
      <c r="LR40" s="456"/>
      <c r="LS40" s="456"/>
      <c r="LT40" s="456"/>
      <c r="LU40" s="456"/>
      <c r="LV40" s="456"/>
      <c r="LW40" s="456"/>
      <c r="LX40" s="456"/>
      <c r="LY40" s="456"/>
      <c r="LZ40" s="456"/>
      <c r="MA40" s="456"/>
      <c r="MB40" s="456"/>
      <c r="MC40" s="456"/>
      <c r="MD40" s="456"/>
      <c r="ME40" s="456"/>
      <c r="MF40" s="456"/>
      <c r="MG40" s="456"/>
      <c r="MH40" s="456"/>
      <c r="MI40" s="456"/>
      <c r="MJ40" s="456"/>
      <c r="MK40" s="456"/>
      <c r="ML40" s="456"/>
      <c r="MM40" s="456"/>
      <c r="MN40" s="456"/>
      <c r="MO40" s="456"/>
      <c r="MP40" s="456"/>
      <c r="MQ40" s="456"/>
      <c r="MR40" s="456"/>
      <c r="MS40" s="456"/>
      <c r="MT40" s="456"/>
      <c r="MU40" s="456"/>
      <c r="MV40" s="456"/>
      <c r="MW40" s="456"/>
      <c r="MX40" s="456"/>
      <c r="MY40" s="456"/>
      <c r="MZ40" s="456"/>
      <c r="NA40" s="456"/>
      <c r="NB40" s="456"/>
      <c r="NC40" s="456"/>
      <c r="ND40" s="456"/>
      <c r="NE40" s="456"/>
      <c r="NF40" s="456"/>
      <c r="NG40" s="456"/>
      <c r="NH40" s="456"/>
      <c r="NI40" s="456"/>
      <c r="NJ40" s="456"/>
      <c r="NK40" s="456"/>
      <c r="NL40" s="456"/>
      <c r="NM40" s="456"/>
      <c r="NN40" s="456"/>
      <c r="NO40" s="456"/>
      <c r="NP40" s="456"/>
      <c r="NQ40" s="456"/>
      <c r="NR40" s="456"/>
      <c r="NS40" s="456"/>
      <c r="NT40" s="456"/>
      <c r="NU40" s="456"/>
      <c r="NV40" s="456"/>
      <c r="NW40" s="456"/>
      <c r="NX40" s="456"/>
      <c r="NY40" s="456"/>
      <c r="NZ40" s="456"/>
      <c r="OA40" s="456"/>
      <c r="OB40" s="456"/>
      <c r="OC40" s="456"/>
      <c r="OD40" s="456"/>
      <c r="OE40" s="456"/>
      <c r="OF40" s="456"/>
      <c r="OG40" s="456"/>
      <c r="OH40" s="456"/>
      <c r="OI40" s="456"/>
      <c r="OJ40" s="456"/>
      <c r="OK40" s="456"/>
      <c r="OL40" s="456"/>
      <c r="OM40" s="456"/>
      <c r="ON40" s="456"/>
      <c r="OO40" s="456"/>
      <c r="OP40" s="456"/>
      <c r="OQ40" s="456"/>
      <c r="OR40" s="456"/>
      <c r="OS40" s="456"/>
      <c r="OT40" s="456"/>
      <c r="OU40" s="456"/>
      <c r="OV40" s="456"/>
      <c r="OW40" s="456"/>
      <c r="OX40" s="456"/>
      <c r="OY40" s="456"/>
      <c r="OZ40" s="456"/>
      <c r="PA40" s="456"/>
      <c r="PB40" s="456"/>
      <c r="PC40" s="456"/>
      <c r="PD40" s="456"/>
      <c r="PE40" s="456"/>
      <c r="PF40" s="456"/>
      <c r="PG40" s="456"/>
      <c r="PH40" s="456"/>
      <c r="PI40" s="456"/>
      <c r="PJ40" s="456"/>
      <c r="PK40" s="456"/>
      <c r="PL40" s="456"/>
      <c r="PM40" s="456"/>
      <c r="PN40" s="456"/>
      <c r="PO40" s="456"/>
      <c r="PP40" s="456"/>
      <c r="PQ40" s="456"/>
      <c r="PR40" s="456"/>
      <c r="PS40" s="456"/>
      <c r="PT40" s="456"/>
      <c r="PU40" s="456"/>
      <c r="PV40" s="456"/>
      <c r="PW40" s="456"/>
      <c r="PX40" s="456"/>
      <c r="PY40" s="456"/>
      <c r="PZ40" s="456"/>
      <c r="QA40" s="456"/>
      <c r="QB40" s="456"/>
      <c r="QC40" s="456"/>
      <c r="QD40" s="456"/>
      <c r="QE40" s="456"/>
      <c r="QF40" s="456"/>
      <c r="QG40" s="456"/>
      <c r="QH40" s="456"/>
      <c r="QI40" s="456"/>
      <c r="QJ40" s="456"/>
      <c r="QK40" s="456"/>
      <c r="QL40" s="456"/>
      <c r="QM40" s="456"/>
      <c r="QN40" s="456"/>
      <c r="QO40" s="456"/>
      <c r="QP40" s="456"/>
      <c r="QQ40" s="456"/>
      <c r="QR40" s="456"/>
      <c r="QS40" s="456"/>
      <c r="QT40" s="456"/>
      <c r="QU40" s="456"/>
      <c r="QV40" s="456"/>
      <c r="QW40" s="456"/>
      <c r="QX40" s="456"/>
      <c r="QY40" s="456"/>
      <c r="QZ40" s="456"/>
      <c r="RA40" s="456"/>
      <c r="RB40" s="456"/>
      <c r="RC40" s="456"/>
      <c r="RD40" s="456"/>
      <c r="RE40" s="456"/>
      <c r="RF40" s="456"/>
      <c r="RG40" s="456"/>
      <c r="RH40" s="456"/>
      <c r="RI40" s="456"/>
      <c r="RJ40" s="456"/>
      <c r="RK40" s="456"/>
      <c r="RL40" s="456"/>
      <c r="RM40" s="456"/>
      <c r="RN40" s="456"/>
      <c r="RO40" s="456"/>
      <c r="RP40" s="456"/>
      <c r="RQ40" s="456"/>
      <c r="RR40" s="456"/>
      <c r="RS40" s="456"/>
      <c r="RT40" s="456"/>
      <c r="RU40" s="456"/>
      <c r="RV40" s="456"/>
      <c r="RW40" s="456"/>
      <c r="RX40" s="456"/>
      <c r="RY40" s="456"/>
      <c r="RZ40" s="456"/>
      <c r="SA40" s="456"/>
      <c r="SB40" s="456"/>
      <c r="SC40" s="456"/>
      <c r="SD40" s="456"/>
      <c r="SE40" s="456"/>
      <c r="SF40" s="456"/>
      <c r="SG40" s="456"/>
      <c r="SH40" s="456"/>
      <c r="SI40" s="456"/>
      <c r="SJ40" s="456"/>
      <c r="SK40" s="456"/>
      <c r="SL40" s="456"/>
      <c r="SM40" s="456"/>
      <c r="SN40" s="456"/>
      <c r="SO40" s="456"/>
      <c r="SP40" s="456"/>
      <c r="SQ40" s="456"/>
      <c r="SR40" s="456"/>
      <c r="SS40" s="456"/>
      <c r="ST40" s="456"/>
      <c r="SU40" s="456"/>
      <c r="SV40" s="456"/>
      <c r="SW40" s="456"/>
      <c r="SX40" s="456"/>
      <c r="SY40" s="456"/>
      <c r="SZ40" s="456"/>
      <c r="TA40" s="456"/>
      <c r="TB40" s="456"/>
      <c r="TC40" s="456"/>
      <c r="TD40" s="456"/>
      <c r="TE40" s="456"/>
      <c r="TF40" s="456"/>
      <c r="TG40" s="456"/>
      <c r="TH40" s="456"/>
      <c r="TI40" s="456"/>
      <c r="TJ40" s="456"/>
      <c r="TK40" s="456"/>
      <c r="TL40" s="456"/>
      <c r="TM40" s="456"/>
      <c r="TN40" s="456"/>
      <c r="TO40" s="456"/>
      <c r="TP40" s="456"/>
      <c r="TQ40" s="456"/>
      <c r="TR40" s="456"/>
      <c r="TS40" s="456"/>
      <c r="TT40" s="456"/>
      <c r="TU40" s="456"/>
      <c r="TV40" s="456"/>
      <c r="TW40" s="456"/>
      <c r="TX40" s="456"/>
      <c r="TY40" s="456"/>
      <c r="TZ40" s="456"/>
      <c r="UA40" s="456"/>
      <c r="UB40" s="456"/>
      <c r="UC40" s="456"/>
      <c r="UD40" s="456"/>
      <c r="UE40" s="456"/>
      <c r="UF40" s="456"/>
      <c r="UG40" s="456"/>
      <c r="UH40" s="456"/>
      <c r="UI40" s="456"/>
      <c r="UJ40" s="456"/>
      <c r="UK40" s="456"/>
      <c r="UL40" s="456"/>
      <c r="UM40" s="456"/>
      <c r="UN40" s="456"/>
      <c r="UO40" s="456"/>
      <c r="UP40" s="456"/>
      <c r="UQ40" s="456"/>
      <c r="UR40" s="456"/>
      <c r="US40" s="456"/>
      <c r="UT40" s="456"/>
      <c r="UU40" s="456"/>
      <c r="UV40" s="456"/>
      <c r="UW40" s="456"/>
      <c r="UX40" s="456"/>
      <c r="UY40" s="456"/>
      <c r="UZ40" s="456"/>
      <c r="VA40" s="456"/>
      <c r="VB40" s="456"/>
      <c r="VC40" s="456"/>
      <c r="VD40" s="456"/>
      <c r="VE40" s="456"/>
      <c r="VF40" s="456"/>
      <c r="VG40" s="456"/>
      <c r="VH40" s="456"/>
      <c r="VI40" s="456"/>
      <c r="VJ40" s="456"/>
      <c r="VK40" s="456"/>
      <c r="VL40" s="456"/>
      <c r="VM40" s="456"/>
      <c r="VN40" s="456"/>
      <c r="VO40" s="456"/>
      <c r="VP40" s="456"/>
      <c r="VQ40" s="456"/>
      <c r="VR40" s="456"/>
      <c r="VS40" s="456"/>
      <c r="VT40" s="456"/>
      <c r="VU40" s="456"/>
      <c r="VV40" s="456"/>
      <c r="VW40" s="456"/>
      <c r="VX40" s="456"/>
      <c r="VY40" s="456"/>
      <c r="VZ40" s="456"/>
      <c r="WA40" s="456"/>
      <c r="WB40" s="456"/>
      <c r="WC40" s="456"/>
      <c r="WD40" s="456"/>
      <c r="WE40" s="456"/>
      <c r="WF40" s="456"/>
      <c r="WG40" s="456"/>
      <c r="WH40" s="456"/>
      <c r="WI40" s="456"/>
      <c r="WJ40" s="456"/>
      <c r="WK40" s="456"/>
      <c r="WL40" s="456"/>
      <c r="WM40" s="456"/>
      <c r="WN40" s="456"/>
      <c r="WO40" s="456"/>
      <c r="WP40" s="456"/>
      <c r="WQ40" s="456"/>
      <c r="WR40" s="456"/>
      <c r="WS40" s="456"/>
      <c r="WT40" s="456"/>
      <c r="WU40" s="456"/>
      <c r="WV40" s="456"/>
      <c r="WW40" s="456"/>
      <c r="WX40" s="456"/>
      <c r="WY40" s="456"/>
      <c r="WZ40" s="456"/>
      <c r="XA40" s="456"/>
      <c r="XB40" s="456"/>
      <c r="XC40" s="456"/>
      <c r="XD40" s="456"/>
      <c r="XE40" s="456"/>
      <c r="XF40" s="456"/>
      <c r="XG40" s="456"/>
      <c r="XH40" s="456"/>
      <c r="XI40" s="456"/>
      <c r="XJ40" s="456"/>
      <c r="XK40" s="456"/>
      <c r="XL40" s="456"/>
      <c r="XM40" s="456"/>
      <c r="XN40" s="456"/>
      <c r="XO40" s="456"/>
      <c r="XP40" s="456"/>
      <c r="XQ40" s="456"/>
      <c r="XR40" s="456"/>
      <c r="XS40" s="456"/>
      <c r="XT40" s="456"/>
      <c r="XU40" s="456"/>
      <c r="XV40" s="456"/>
      <c r="XW40" s="456"/>
      <c r="XX40" s="456"/>
      <c r="XY40" s="456"/>
      <c r="XZ40" s="456"/>
      <c r="YA40" s="456"/>
      <c r="YB40" s="456"/>
      <c r="YC40" s="456"/>
      <c r="YD40" s="456"/>
      <c r="YE40" s="456"/>
      <c r="YF40" s="456"/>
      <c r="YG40" s="456"/>
      <c r="YH40" s="456"/>
      <c r="YI40" s="456"/>
      <c r="YJ40" s="456"/>
      <c r="YK40" s="456"/>
      <c r="YL40" s="456"/>
      <c r="YM40" s="456"/>
      <c r="YN40" s="456"/>
      <c r="YO40" s="456"/>
      <c r="YP40" s="456"/>
      <c r="YQ40" s="456"/>
      <c r="YR40" s="456"/>
      <c r="YS40" s="456"/>
      <c r="YT40" s="456"/>
      <c r="YU40" s="456"/>
      <c r="YV40" s="456"/>
      <c r="YW40" s="456"/>
      <c r="YX40" s="456"/>
      <c r="YY40" s="456"/>
      <c r="YZ40" s="456"/>
      <c r="ZA40" s="456"/>
      <c r="ZB40" s="456"/>
      <c r="ZC40" s="456"/>
      <c r="ZD40" s="456"/>
      <c r="ZE40" s="456"/>
      <c r="ZF40" s="456"/>
      <c r="ZG40" s="456"/>
      <c r="ZH40" s="456"/>
      <c r="ZI40" s="456"/>
      <c r="ZJ40" s="456"/>
      <c r="ZK40" s="456"/>
      <c r="ZL40" s="456"/>
      <c r="ZM40" s="456"/>
      <c r="ZN40" s="456"/>
      <c r="ZO40" s="456"/>
      <c r="ZP40" s="456"/>
      <c r="ZQ40" s="456"/>
      <c r="ZR40" s="456"/>
      <c r="ZS40" s="456"/>
      <c r="ZT40" s="456"/>
      <c r="ZU40" s="456"/>
      <c r="ZV40" s="456"/>
      <c r="ZW40" s="456"/>
      <c r="ZX40" s="456"/>
      <c r="ZY40" s="456"/>
      <c r="ZZ40" s="456"/>
      <c r="AAA40" s="456"/>
      <c r="AAB40" s="456"/>
      <c r="AAC40" s="456"/>
      <c r="AAD40" s="456"/>
      <c r="AAE40" s="456"/>
      <c r="AAF40" s="456"/>
      <c r="AAG40" s="456"/>
      <c r="AAH40" s="456"/>
      <c r="AAI40" s="456"/>
      <c r="AAJ40" s="456"/>
      <c r="AAK40" s="456"/>
      <c r="AAL40" s="456"/>
      <c r="AAM40" s="456"/>
      <c r="AAN40" s="456"/>
      <c r="AAO40" s="456"/>
      <c r="AAP40" s="456"/>
      <c r="AAQ40" s="456"/>
      <c r="AAR40" s="456"/>
      <c r="AAS40" s="456"/>
      <c r="AAT40" s="456"/>
      <c r="AAU40" s="456"/>
      <c r="AAV40" s="456"/>
      <c r="AAW40" s="456"/>
      <c r="AAX40" s="456"/>
      <c r="AAY40" s="456"/>
      <c r="AAZ40" s="456"/>
      <c r="ABA40" s="456"/>
      <c r="ABB40" s="456"/>
      <c r="ABC40" s="456"/>
      <c r="ABD40" s="456"/>
      <c r="ABE40" s="456"/>
      <c r="ABF40" s="456"/>
      <c r="ABG40" s="456"/>
      <c r="ABH40" s="456"/>
      <c r="ABI40" s="456"/>
      <c r="ABJ40" s="456"/>
      <c r="ABK40" s="456"/>
      <c r="ABL40" s="456"/>
      <c r="ABM40" s="456"/>
      <c r="ABN40" s="456"/>
      <c r="ABO40" s="456"/>
      <c r="ABP40" s="456"/>
      <c r="ABQ40" s="456"/>
      <c r="ABR40" s="456"/>
      <c r="ABS40" s="456"/>
      <c r="ABT40" s="456"/>
      <c r="ABU40" s="456"/>
      <c r="ABV40" s="456"/>
      <c r="ABW40" s="456"/>
      <c r="ABX40" s="456"/>
      <c r="ABY40" s="456"/>
      <c r="ABZ40" s="456"/>
      <c r="ACA40" s="456"/>
      <c r="ACB40" s="456"/>
      <c r="ACC40" s="456"/>
      <c r="ACD40" s="456"/>
      <c r="ACE40" s="456"/>
      <c r="ACF40" s="456"/>
      <c r="ACG40" s="456"/>
      <c r="ACH40" s="456"/>
      <c r="ACI40" s="456"/>
      <c r="ACJ40" s="456"/>
      <c r="ACK40" s="456"/>
      <c r="ACL40" s="456"/>
      <c r="ACM40" s="456"/>
      <c r="ACN40" s="456"/>
      <c r="ACO40" s="456"/>
      <c r="ACP40" s="456"/>
      <c r="ACQ40" s="456"/>
      <c r="ACR40" s="456"/>
      <c r="ACS40" s="456"/>
      <c r="ACT40" s="456"/>
      <c r="ACU40" s="456"/>
      <c r="ACV40" s="456"/>
      <c r="ACW40" s="456"/>
      <c r="ACX40" s="456"/>
      <c r="ACY40" s="456"/>
      <c r="ACZ40" s="456"/>
      <c r="ADA40" s="456"/>
      <c r="ADB40" s="456"/>
      <c r="ADC40" s="456"/>
      <c r="ADD40" s="456"/>
      <c r="ADE40" s="456"/>
      <c r="ADF40" s="456"/>
      <c r="ADG40" s="456"/>
      <c r="ADH40" s="456"/>
      <c r="ADI40" s="456"/>
      <c r="ADJ40" s="456"/>
      <c r="ADK40" s="456"/>
      <c r="ADL40" s="456"/>
      <c r="ADM40" s="456"/>
      <c r="ADN40" s="456"/>
      <c r="ADO40" s="456"/>
      <c r="ADP40" s="456"/>
      <c r="ADQ40" s="456"/>
      <c r="ADR40" s="456"/>
      <c r="ADS40" s="456"/>
      <c r="ADT40" s="456"/>
      <c r="ADU40" s="456"/>
      <c r="ADV40" s="456"/>
      <c r="ADW40" s="456"/>
      <c r="ADX40" s="456"/>
      <c r="ADY40" s="456"/>
      <c r="ADZ40" s="456"/>
      <c r="AEA40" s="456"/>
      <c r="AEB40" s="456"/>
      <c r="AEC40" s="456"/>
      <c r="AED40" s="456"/>
      <c r="AEE40" s="456"/>
      <c r="AEF40" s="456"/>
      <c r="AEG40" s="456"/>
      <c r="AEH40" s="456"/>
      <c r="AEI40" s="456"/>
      <c r="AEJ40" s="456"/>
      <c r="AEK40" s="456"/>
      <c r="AEL40" s="456"/>
      <c r="AEM40" s="456"/>
      <c r="AEN40" s="456"/>
      <c r="AEO40" s="456"/>
      <c r="AEP40" s="456"/>
      <c r="AEQ40" s="456"/>
      <c r="AER40" s="456"/>
      <c r="AES40" s="456"/>
      <c r="AET40" s="456"/>
      <c r="AEU40" s="456"/>
      <c r="AEV40" s="456"/>
      <c r="AEW40" s="456"/>
      <c r="AEX40" s="456"/>
      <c r="AEY40" s="456"/>
      <c r="AEZ40" s="456"/>
      <c r="AFA40" s="456"/>
      <c r="AFB40" s="456"/>
      <c r="AFC40" s="456"/>
      <c r="AFD40" s="456"/>
      <c r="AFE40" s="456"/>
      <c r="AFF40" s="456"/>
      <c r="AFG40" s="456"/>
      <c r="AFH40" s="456"/>
      <c r="AFI40" s="456"/>
      <c r="AFJ40" s="456"/>
      <c r="AFK40" s="456"/>
      <c r="AFL40" s="456"/>
      <c r="AFM40" s="456"/>
      <c r="AFN40" s="456"/>
      <c r="AFO40" s="456"/>
      <c r="AFP40" s="456"/>
      <c r="AFQ40" s="456"/>
      <c r="AFR40" s="456"/>
      <c r="AFS40" s="456"/>
      <c r="AFT40" s="456"/>
      <c r="AFU40" s="456"/>
      <c r="AFV40" s="456"/>
      <c r="AFW40" s="456"/>
      <c r="AFX40" s="456"/>
      <c r="AFY40" s="456"/>
      <c r="AFZ40" s="456"/>
      <c r="AGA40" s="456"/>
      <c r="AGB40" s="456"/>
      <c r="AGC40" s="456"/>
      <c r="AGD40" s="456"/>
      <c r="AGE40" s="456"/>
      <c r="AGF40" s="456"/>
      <c r="AGG40" s="456"/>
      <c r="AGH40" s="456"/>
      <c r="AGI40" s="456"/>
      <c r="AGJ40" s="456"/>
      <c r="AGK40" s="456"/>
      <c r="AGL40" s="456"/>
      <c r="AGM40" s="456"/>
      <c r="AGN40" s="456"/>
      <c r="AGO40" s="456"/>
      <c r="AGP40" s="456"/>
      <c r="AGQ40" s="456"/>
      <c r="AGR40" s="456"/>
      <c r="AGS40" s="456"/>
      <c r="AGT40" s="456"/>
      <c r="AGU40" s="456"/>
      <c r="AGV40" s="456"/>
      <c r="AGW40" s="456"/>
      <c r="AGX40" s="456"/>
      <c r="AGY40" s="456"/>
      <c r="AGZ40" s="456"/>
      <c r="AHA40" s="456"/>
      <c r="AHB40" s="456"/>
      <c r="AHC40" s="456"/>
      <c r="AHD40" s="456"/>
      <c r="AHE40" s="456"/>
      <c r="AHF40" s="456"/>
      <c r="AHG40" s="456"/>
      <c r="AHH40" s="456"/>
      <c r="AHI40" s="456"/>
      <c r="AHJ40" s="456"/>
      <c r="AHK40" s="456"/>
      <c r="AHL40" s="456"/>
      <c r="AHM40" s="456"/>
      <c r="AHN40" s="456"/>
      <c r="AHO40" s="456"/>
      <c r="AHP40" s="456"/>
      <c r="AHQ40" s="456"/>
      <c r="AHR40" s="456"/>
      <c r="AHS40" s="456"/>
      <c r="AHT40" s="456"/>
      <c r="AHU40" s="456"/>
      <c r="AHV40" s="456"/>
      <c r="AHW40" s="456"/>
      <c r="AHX40" s="456"/>
      <c r="AHY40" s="456"/>
      <c r="AHZ40" s="456"/>
      <c r="AIA40" s="456"/>
      <c r="AIB40" s="456"/>
      <c r="AIC40" s="456"/>
      <c r="AID40" s="456"/>
      <c r="AIE40" s="456"/>
      <c r="AIF40" s="456"/>
      <c r="AIG40" s="456"/>
      <c r="AIH40" s="456"/>
      <c r="AII40" s="456"/>
      <c r="AIJ40" s="456"/>
      <c r="AIK40" s="456"/>
      <c r="AIL40" s="456"/>
      <c r="AIM40" s="456"/>
      <c r="AIN40" s="456"/>
      <c r="AIO40" s="456"/>
      <c r="AIP40" s="456"/>
      <c r="AIQ40" s="456"/>
      <c r="AIR40" s="456"/>
      <c r="AIS40" s="456"/>
      <c r="AIT40" s="456"/>
      <c r="AIU40" s="456"/>
      <c r="AIV40" s="456"/>
      <c r="AIW40" s="456"/>
      <c r="AIX40" s="456"/>
      <c r="AIY40" s="456"/>
      <c r="AIZ40" s="456"/>
      <c r="AJA40" s="456"/>
      <c r="AJB40" s="456"/>
      <c r="AJC40" s="456"/>
      <c r="AJD40" s="456"/>
      <c r="AJE40" s="456"/>
      <c r="AJF40" s="456"/>
      <c r="AJG40" s="456"/>
      <c r="AJH40" s="456"/>
      <c r="AJI40" s="456"/>
      <c r="AJJ40" s="456"/>
      <c r="AJK40" s="456"/>
      <c r="AJL40" s="456"/>
      <c r="AJM40" s="456"/>
      <c r="AJN40" s="456"/>
      <c r="AJO40" s="456"/>
      <c r="AJP40" s="456"/>
      <c r="AJQ40" s="456"/>
      <c r="AJR40" s="456"/>
      <c r="AJS40" s="456"/>
      <c r="AJT40" s="456"/>
      <c r="AJU40" s="456"/>
      <c r="AJV40" s="456"/>
      <c r="AJW40" s="456"/>
      <c r="AJX40" s="456"/>
      <c r="AJY40" s="456"/>
      <c r="AJZ40" s="456"/>
      <c r="AKA40" s="456"/>
      <c r="AKB40" s="456"/>
      <c r="AKC40" s="456"/>
      <c r="AKD40" s="456"/>
      <c r="AKE40" s="456"/>
      <c r="AKF40" s="456"/>
      <c r="AKG40" s="456"/>
      <c r="AKH40" s="456"/>
      <c r="AKI40" s="456"/>
      <c r="AKJ40" s="456"/>
      <c r="AKK40" s="456"/>
      <c r="AKL40" s="456"/>
      <c r="AKM40" s="456"/>
      <c r="AKN40" s="456"/>
      <c r="AKO40" s="456"/>
      <c r="AKP40" s="456"/>
      <c r="AKQ40" s="456"/>
      <c r="AKR40" s="456"/>
      <c r="AKS40" s="456"/>
      <c r="AKT40" s="456"/>
      <c r="AKU40" s="456"/>
      <c r="AKV40" s="456"/>
      <c r="AKW40" s="456"/>
      <c r="AKX40" s="456"/>
      <c r="AKY40" s="456"/>
      <c r="AKZ40" s="456"/>
      <c r="ALA40" s="456"/>
      <c r="ALB40" s="456"/>
      <c r="ALC40" s="456"/>
      <c r="ALD40" s="456"/>
      <c r="ALE40" s="456"/>
      <c r="ALF40" s="456"/>
      <c r="ALG40" s="456"/>
      <c r="ALH40" s="456"/>
      <c r="ALI40" s="456"/>
      <c r="ALJ40" s="456"/>
      <c r="ALK40" s="456"/>
      <c r="ALL40" s="456"/>
      <c r="ALM40" s="456"/>
      <c r="ALN40" s="456"/>
      <c r="ALO40" s="456"/>
      <c r="ALP40" s="456"/>
      <c r="ALQ40" s="456"/>
      <c r="ALR40" s="456"/>
      <c r="ALS40" s="456"/>
      <c r="ALT40" s="456"/>
      <c r="ALU40" s="456"/>
      <c r="ALV40" s="456"/>
      <c r="ALW40" s="456"/>
      <c r="ALX40" s="456"/>
      <c r="ALY40" s="456"/>
      <c r="ALZ40" s="456"/>
      <c r="AMA40" s="456"/>
      <c r="AMB40" s="456"/>
      <c r="AMC40" s="456"/>
      <c r="AMD40" s="456"/>
      <c r="AME40" s="456"/>
      <c r="AMF40" s="456"/>
      <c r="AMG40" s="456"/>
      <c r="AMH40" s="456"/>
      <c r="AMI40" s="456"/>
      <c r="AMJ40" s="456"/>
      <c r="AMK40" s="456"/>
      <c r="AML40" s="456"/>
      <c r="AMM40" s="456"/>
      <c r="AMN40" s="456"/>
      <c r="AMO40" s="456"/>
      <c r="AMP40" s="456"/>
      <c r="AMQ40" s="456"/>
      <c r="AMR40" s="456"/>
      <c r="AMS40" s="456"/>
      <c r="AMT40" s="456"/>
      <c r="AMU40" s="456"/>
      <c r="AMV40" s="456"/>
      <c r="AMW40" s="456"/>
      <c r="AMX40" s="456"/>
      <c r="AMY40" s="456"/>
      <c r="AMZ40" s="456"/>
      <c r="ANA40" s="456"/>
      <c r="ANB40" s="456"/>
      <c r="ANC40" s="456"/>
      <c r="AND40" s="456"/>
      <c r="ANE40" s="456"/>
      <c r="ANF40" s="456"/>
      <c r="ANG40" s="456"/>
      <c r="ANH40" s="456"/>
      <c r="ANI40" s="456"/>
      <c r="ANJ40" s="456"/>
      <c r="ANK40" s="456"/>
      <c r="ANL40" s="456"/>
      <c r="ANM40" s="456"/>
      <c r="ANN40" s="456"/>
      <c r="ANO40" s="456"/>
      <c r="ANP40" s="456"/>
      <c r="ANQ40" s="456"/>
      <c r="ANR40" s="456"/>
      <c r="ANS40" s="456"/>
      <c r="ANT40" s="456"/>
      <c r="ANU40" s="456"/>
      <c r="ANV40" s="456"/>
      <c r="ANW40" s="456"/>
      <c r="ANX40" s="456"/>
      <c r="ANY40" s="456"/>
      <c r="ANZ40" s="456"/>
      <c r="AOA40" s="456"/>
      <c r="AOB40" s="456"/>
      <c r="AOC40" s="456"/>
      <c r="AOD40" s="456"/>
      <c r="AOE40" s="456"/>
      <c r="AOF40" s="456"/>
      <c r="AOG40" s="456"/>
      <c r="AOH40" s="456"/>
      <c r="AOI40" s="456"/>
      <c r="AOJ40" s="456"/>
      <c r="AOK40" s="456"/>
      <c r="AOL40" s="456"/>
      <c r="AOM40" s="456"/>
      <c r="AON40" s="456"/>
      <c r="AOO40" s="456"/>
      <c r="AOP40" s="456"/>
      <c r="AOQ40" s="456"/>
      <c r="AOR40" s="456"/>
      <c r="AOS40" s="456"/>
      <c r="AOT40" s="456"/>
      <c r="AOU40" s="456"/>
      <c r="AOV40" s="456"/>
      <c r="AOW40" s="456"/>
      <c r="AOX40" s="456"/>
      <c r="AOY40" s="456"/>
      <c r="AOZ40" s="456"/>
      <c r="APA40" s="456"/>
      <c r="APB40" s="456"/>
      <c r="APC40" s="456"/>
      <c r="APD40" s="456"/>
      <c r="APE40" s="456"/>
      <c r="APF40" s="456"/>
      <c r="APG40" s="456"/>
      <c r="APH40" s="456"/>
      <c r="API40" s="456"/>
      <c r="APJ40" s="456"/>
      <c r="APK40" s="456"/>
      <c r="APL40" s="456"/>
      <c r="APM40" s="456"/>
      <c r="APN40" s="456"/>
      <c r="APO40" s="456"/>
      <c r="APP40" s="456"/>
      <c r="APQ40" s="456"/>
      <c r="APR40" s="456"/>
      <c r="APS40" s="456"/>
      <c r="APT40" s="456"/>
      <c r="APU40" s="456"/>
      <c r="APV40" s="456"/>
      <c r="APW40" s="456"/>
      <c r="APX40" s="456"/>
      <c r="APY40" s="456"/>
      <c r="APZ40" s="456"/>
      <c r="AQA40" s="456"/>
      <c r="AQB40" s="456"/>
      <c r="AQC40" s="456"/>
      <c r="AQD40" s="456"/>
      <c r="AQE40" s="456"/>
      <c r="AQF40" s="456"/>
      <c r="AQG40" s="456"/>
      <c r="AQH40" s="456"/>
      <c r="AQI40" s="456"/>
      <c r="AQJ40" s="456"/>
      <c r="AQK40" s="456"/>
      <c r="AQL40" s="456"/>
      <c r="AQM40" s="456"/>
      <c r="AQN40" s="456"/>
      <c r="AQO40" s="456"/>
      <c r="AQP40" s="456"/>
      <c r="AQQ40" s="456"/>
      <c r="AQR40" s="456"/>
      <c r="AQS40" s="456"/>
      <c r="AQT40" s="456"/>
      <c r="AQU40" s="456"/>
      <c r="AQV40" s="456"/>
      <c r="AQW40" s="456"/>
      <c r="AQX40" s="456"/>
      <c r="AQY40" s="456"/>
      <c r="AQZ40" s="456"/>
      <c r="ARA40" s="456"/>
      <c r="ARB40" s="456"/>
      <c r="ARC40" s="456"/>
      <c r="ARD40" s="456"/>
      <c r="ARE40" s="456"/>
      <c r="ARF40" s="456"/>
      <c r="ARG40" s="456"/>
      <c r="ARH40" s="456"/>
      <c r="ARI40" s="456"/>
      <c r="ARJ40" s="456"/>
      <c r="ARK40" s="456"/>
      <c r="ARL40" s="456"/>
      <c r="ARM40" s="456"/>
      <c r="ARN40" s="456"/>
      <c r="ARO40" s="456"/>
      <c r="ARP40" s="456"/>
      <c r="ARQ40" s="456"/>
      <c r="ARR40" s="456"/>
      <c r="ARS40" s="456"/>
      <c r="ART40" s="456"/>
      <c r="ARU40" s="456"/>
      <c r="ARV40" s="456"/>
      <c r="ARW40" s="456"/>
      <c r="ARX40" s="456"/>
      <c r="ARY40" s="456"/>
      <c r="ARZ40" s="456"/>
      <c r="ASA40" s="456"/>
      <c r="ASB40" s="456"/>
      <c r="ASC40" s="456"/>
      <c r="ASD40" s="456"/>
      <c r="ASE40" s="456"/>
      <c r="ASF40" s="456"/>
      <c r="ASG40" s="456"/>
      <c r="ASH40" s="456"/>
      <c r="ASI40" s="456"/>
      <c r="ASJ40" s="456"/>
      <c r="ASK40" s="456"/>
      <c r="ASL40" s="456"/>
      <c r="ASM40" s="456"/>
      <c r="ASN40" s="456"/>
      <c r="ASO40" s="456"/>
      <c r="ASP40" s="456"/>
      <c r="ASQ40" s="456"/>
      <c r="ASR40" s="456"/>
      <c r="ASS40" s="456"/>
      <c r="AST40" s="456"/>
      <c r="ASU40" s="456"/>
      <c r="ASV40" s="456"/>
      <c r="ASW40" s="456"/>
      <c r="ASX40" s="456"/>
      <c r="ASY40" s="456"/>
      <c r="ASZ40" s="456"/>
      <c r="ATA40" s="456"/>
      <c r="ATB40" s="456"/>
      <c r="ATC40" s="456"/>
      <c r="ATD40" s="456"/>
      <c r="ATE40" s="456"/>
      <c r="ATF40" s="456"/>
      <c r="ATG40" s="456"/>
      <c r="ATH40" s="456"/>
      <c r="ATI40" s="456"/>
      <c r="ATJ40" s="456"/>
      <c r="ATK40" s="456"/>
      <c r="ATL40" s="456"/>
      <c r="ATM40" s="456"/>
      <c r="ATN40" s="456"/>
      <c r="ATO40" s="456"/>
      <c r="ATP40" s="456"/>
      <c r="ATQ40" s="456"/>
      <c r="ATR40" s="456"/>
      <c r="ATS40" s="456"/>
      <c r="ATT40" s="456"/>
      <c r="ATU40" s="456"/>
      <c r="ATV40" s="456"/>
      <c r="ATW40" s="456"/>
      <c r="ATX40" s="456"/>
      <c r="ATY40" s="456"/>
      <c r="ATZ40" s="456"/>
      <c r="AUA40" s="456"/>
      <c r="AUB40" s="456"/>
      <c r="AUC40" s="456"/>
      <c r="AUD40" s="456"/>
      <c r="AUE40" s="456"/>
      <c r="AUF40" s="456"/>
      <c r="AUG40" s="456"/>
      <c r="AUH40" s="456"/>
      <c r="AUI40" s="456"/>
      <c r="AUJ40" s="456"/>
      <c r="AUK40" s="456"/>
      <c r="AUL40" s="456"/>
      <c r="AUM40" s="456"/>
      <c r="AUN40" s="456"/>
      <c r="AUO40" s="456"/>
      <c r="AUP40" s="456"/>
      <c r="AUQ40" s="456"/>
      <c r="AUR40" s="456"/>
      <c r="AUS40" s="456"/>
      <c r="AUT40" s="456"/>
      <c r="AUU40" s="456"/>
      <c r="AUV40" s="456"/>
      <c r="AUW40" s="456"/>
      <c r="AUX40" s="456"/>
      <c r="AUY40" s="456"/>
      <c r="AUZ40" s="456"/>
      <c r="AVA40" s="456"/>
      <c r="AVB40" s="456"/>
      <c r="AVC40" s="456"/>
      <c r="AVD40" s="456"/>
      <c r="AVE40" s="456"/>
      <c r="AVF40" s="456"/>
      <c r="AVG40" s="456"/>
      <c r="AVH40" s="456"/>
      <c r="AVI40" s="456"/>
      <c r="AVJ40" s="456"/>
      <c r="AVK40" s="456"/>
      <c r="AVL40" s="456"/>
      <c r="AVM40" s="456"/>
      <c r="AVN40" s="456"/>
      <c r="AVO40" s="456"/>
      <c r="AVP40" s="456"/>
      <c r="AVQ40" s="456"/>
      <c r="AVR40" s="456"/>
      <c r="AVS40" s="456"/>
      <c r="AVT40" s="456"/>
      <c r="AVU40" s="456"/>
      <c r="AVV40" s="456"/>
      <c r="AVW40" s="456"/>
      <c r="AVX40" s="456"/>
      <c r="AVY40" s="456"/>
      <c r="AVZ40" s="456"/>
      <c r="AWA40" s="456"/>
      <c r="AWB40" s="456"/>
      <c r="AWC40" s="456"/>
      <c r="AWD40" s="456"/>
      <c r="AWE40" s="456"/>
      <c r="AWF40" s="456"/>
      <c r="AWG40" s="456"/>
      <c r="AWH40" s="456"/>
      <c r="AWI40" s="456"/>
      <c r="AWJ40" s="456"/>
      <c r="AWK40" s="456"/>
      <c r="AWL40" s="456"/>
      <c r="AWM40" s="456"/>
      <c r="AWN40" s="456"/>
      <c r="AWO40" s="456"/>
      <c r="AWP40" s="456"/>
      <c r="AWQ40" s="456"/>
      <c r="AWR40" s="456"/>
      <c r="AWS40" s="456"/>
      <c r="AWT40" s="456"/>
      <c r="AWU40" s="456"/>
      <c r="AWV40" s="456"/>
      <c r="AWW40" s="456"/>
      <c r="AWX40" s="456"/>
      <c r="AWY40" s="456"/>
      <c r="AWZ40" s="456"/>
      <c r="AXA40" s="456"/>
      <c r="AXB40" s="456"/>
      <c r="AXC40" s="456"/>
      <c r="AXD40" s="456"/>
      <c r="AXE40" s="456"/>
      <c r="AXF40" s="456"/>
      <c r="AXG40" s="456"/>
      <c r="AXH40" s="456"/>
      <c r="AXI40" s="456"/>
      <c r="AXJ40" s="456"/>
      <c r="AXK40" s="456"/>
      <c r="AXL40" s="456"/>
      <c r="AXM40" s="456"/>
      <c r="AXN40" s="456"/>
      <c r="AXO40" s="456"/>
      <c r="AXP40" s="456"/>
      <c r="AXQ40" s="456"/>
      <c r="AXR40" s="456"/>
      <c r="AXS40" s="456"/>
      <c r="AXT40" s="456"/>
      <c r="AXU40" s="456"/>
      <c r="AXV40" s="456"/>
      <c r="AXW40" s="456"/>
      <c r="AXX40" s="456"/>
      <c r="AXY40" s="456"/>
      <c r="AXZ40" s="456"/>
      <c r="AYA40" s="456"/>
      <c r="AYB40" s="456"/>
      <c r="AYC40" s="456"/>
      <c r="AYD40" s="456"/>
      <c r="AYE40" s="456"/>
      <c r="AYF40" s="456"/>
      <c r="AYG40" s="456"/>
      <c r="AYH40" s="456"/>
      <c r="AYI40" s="456"/>
      <c r="AYJ40" s="456"/>
      <c r="AYK40" s="456"/>
      <c r="AYL40" s="456"/>
      <c r="AYM40" s="456"/>
      <c r="AYN40" s="456"/>
      <c r="AYO40" s="456"/>
      <c r="AYP40" s="456"/>
      <c r="AYQ40" s="456"/>
      <c r="AYR40" s="456"/>
      <c r="AYS40" s="456"/>
      <c r="AYT40" s="456"/>
      <c r="AYU40" s="456"/>
      <c r="AYV40" s="456"/>
      <c r="AYW40" s="456"/>
      <c r="AYX40" s="456"/>
      <c r="AYY40" s="456"/>
      <c r="AYZ40" s="456"/>
      <c r="AZA40" s="456"/>
      <c r="AZB40" s="456"/>
      <c r="AZC40" s="456"/>
      <c r="AZD40" s="456"/>
      <c r="AZE40" s="456"/>
      <c r="AZF40" s="456"/>
      <c r="AZG40" s="456"/>
      <c r="AZH40" s="456"/>
      <c r="AZI40" s="456"/>
      <c r="AZJ40" s="456"/>
      <c r="AZK40" s="456"/>
      <c r="AZL40" s="456"/>
      <c r="AZM40" s="456"/>
      <c r="AZN40" s="456"/>
      <c r="AZO40" s="456"/>
      <c r="AZP40" s="456"/>
      <c r="AZQ40" s="456"/>
      <c r="AZR40" s="456"/>
      <c r="AZS40" s="456"/>
      <c r="AZT40" s="456"/>
      <c r="AZU40" s="456"/>
      <c r="AZV40" s="456"/>
      <c r="AZW40" s="456"/>
      <c r="AZX40" s="456"/>
      <c r="AZY40" s="456"/>
      <c r="AZZ40" s="456"/>
      <c r="BAA40" s="456"/>
      <c r="BAB40" s="456"/>
      <c r="BAC40" s="456"/>
      <c r="BAD40" s="456"/>
      <c r="BAE40" s="456"/>
      <c r="BAF40" s="456"/>
      <c r="BAG40" s="456"/>
      <c r="BAH40" s="456"/>
      <c r="BAI40" s="456"/>
      <c r="BAJ40" s="456"/>
      <c r="BAK40" s="456"/>
      <c r="BAL40" s="456"/>
      <c r="BAM40" s="456"/>
      <c r="BAN40" s="456"/>
      <c r="BAO40" s="456"/>
      <c r="BAP40" s="456"/>
      <c r="BAQ40" s="456"/>
      <c r="BAR40" s="456"/>
      <c r="BAS40" s="456"/>
      <c r="BAT40" s="456"/>
      <c r="BAU40" s="456"/>
      <c r="BAV40" s="456"/>
      <c r="BAW40" s="456"/>
      <c r="BAX40" s="456"/>
      <c r="BAY40" s="456"/>
      <c r="BAZ40" s="456"/>
      <c r="BBA40" s="456"/>
      <c r="BBB40" s="456"/>
      <c r="BBC40" s="456"/>
      <c r="BBD40" s="456"/>
      <c r="BBE40" s="456"/>
      <c r="BBF40" s="456"/>
      <c r="BBG40" s="456"/>
      <c r="BBH40" s="456"/>
      <c r="BBI40" s="456"/>
      <c r="BBJ40" s="456"/>
      <c r="BBK40" s="456"/>
      <c r="BBL40" s="456"/>
      <c r="BBM40" s="456"/>
      <c r="BBN40" s="456"/>
      <c r="BBO40" s="456"/>
      <c r="BBP40" s="456"/>
      <c r="BBQ40" s="456"/>
      <c r="BBR40" s="456"/>
      <c r="BBS40" s="456"/>
      <c r="BBT40" s="456"/>
      <c r="BBU40" s="456"/>
      <c r="BBV40" s="456"/>
      <c r="BBW40" s="456"/>
      <c r="BBX40" s="456"/>
      <c r="BBY40" s="456"/>
      <c r="BBZ40" s="456"/>
      <c r="BCA40" s="456"/>
      <c r="BCB40" s="456"/>
      <c r="BCC40" s="456"/>
      <c r="BCD40" s="456"/>
      <c r="BCE40" s="456"/>
      <c r="BCF40" s="456"/>
      <c r="BCG40" s="456"/>
      <c r="BCH40" s="456"/>
      <c r="BCI40" s="456"/>
      <c r="BCJ40" s="456"/>
      <c r="BCK40" s="456"/>
      <c r="BCL40" s="456"/>
      <c r="BCM40" s="456"/>
      <c r="BCN40" s="456"/>
      <c r="BCO40" s="456"/>
      <c r="BCP40" s="456"/>
      <c r="BCQ40" s="456"/>
      <c r="BCR40" s="456"/>
      <c r="BCS40" s="456"/>
      <c r="BCT40" s="456"/>
      <c r="BCU40" s="456"/>
      <c r="BCV40" s="456"/>
      <c r="BCW40" s="456"/>
      <c r="BCX40" s="456"/>
      <c r="BCY40" s="456"/>
      <c r="BCZ40" s="456"/>
      <c r="BDA40" s="456"/>
      <c r="BDB40" s="456"/>
      <c r="BDC40" s="456"/>
      <c r="BDD40" s="456"/>
      <c r="BDE40" s="456"/>
      <c r="BDF40" s="456"/>
      <c r="BDG40" s="456"/>
      <c r="BDH40" s="456"/>
      <c r="BDI40" s="456"/>
      <c r="BDJ40" s="456"/>
      <c r="BDK40" s="456"/>
      <c r="BDL40" s="456"/>
      <c r="BDM40" s="456"/>
      <c r="BDN40" s="456"/>
      <c r="BDO40" s="456"/>
      <c r="BDP40" s="456"/>
      <c r="BDQ40" s="456"/>
      <c r="BDR40" s="456"/>
      <c r="BDS40" s="456"/>
      <c r="BDT40" s="456"/>
      <c r="BDU40" s="456"/>
      <c r="BDV40" s="456"/>
      <c r="BDW40" s="456"/>
      <c r="BDX40" s="456"/>
      <c r="BDY40" s="456"/>
      <c r="BDZ40" s="456"/>
      <c r="BEA40" s="456"/>
      <c r="BEB40" s="456"/>
      <c r="BEC40" s="456"/>
      <c r="BED40" s="456"/>
      <c r="BEE40" s="456"/>
      <c r="BEF40" s="456"/>
      <c r="BEG40" s="456"/>
      <c r="BEH40" s="456"/>
      <c r="BEI40" s="456"/>
      <c r="BEJ40" s="456"/>
      <c r="BEK40" s="456"/>
      <c r="BEL40" s="456"/>
      <c r="BEM40" s="456"/>
      <c r="BEN40" s="456"/>
      <c r="BEO40" s="456"/>
      <c r="BEP40" s="456"/>
      <c r="BEQ40" s="456"/>
      <c r="BER40" s="456"/>
      <c r="BES40" s="456"/>
      <c r="BET40" s="456"/>
      <c r="BEU40" s="456"/>
      <c r="BEV40" s="456"/>
      <c r="BEW40" s="456"/>
      <c r="BEX40" s="456"/>
      <c r="BEY40" s="456"/>
      <c r="BEZ40" s="456"/>
      <c r="BFA40" s="456"/>
      <c r="BFB40" s="456"/>
      <c r="BFC40" s="456"/>
      <c r="BFD40" s="456"/>
      <c r="BFE40" s="456"/>
      <c r="BFF40" s="456"/>
      <c r="BFG40" s="456"/>
      <c r="BFH40" s="456"/>
      <c r="BFI40" s="456"/>
      <c r="BFJ40" s="456"/>
      <c r="BFK40" s="456"/>
      <c r="BFL40" s="456"/>
      <c r="BFM40" s="456"/>
      <c r="BFN40" s="456"/>
      <c r="BFO40" s="456"/>
      <c r="BFP40" s="456"/>
      <c r="BFQ40" s="456"/>
      <c r="BFR40" s="456"/>
      <c r="BFS40" s="456"/>
      <c r="BFT40" s="456"/>
      <c r="BFU40" s="456"/>
      <c r="BFV40" s="456"/>
      <c r="BFW40" s="456"/>
      <c r="BFX40" s="456"/>
      <c r="BFY40" s="456"/>
      <c r="BFZ40" s="456"/>
      <c r="BGA40" s="456"/>
      <c r="BGB40" s="456"/>
      <c r="BGC40" s="456"/>
      <c r="BGD40" s="456"/>
      <c r="BGE40" s="456"/>
      <c r="BGF40" s="456"/>
      <c r="BGG40" s="456"/>
      <c r="BGH40" s="456"/>
      <c r="BGI40" s="456"/>
      <c r="BGJ40" s="456"/>
      <c r="BGK40" s="456"/>
      <c r="BGL40" s="456"/>
      <c r="BGM40" s="456"/>
      <c r="BGN40" s="456"/>
      <c r="BGO40" s="456"/>
      <c r="BGP40" s="456"/>
      <c r="BGQ40" s="456"/>
      <c r="BGR40" s="456"/>
      <c r="BGS40" s="456"/>
      <c r="BGT40" s="456"/>
      <c r="BGU40" s="456"/>
      <c r="BGV40" s="456"/>
      <c r="BGW40" s="456"/>
      <c r="BGX40" s="456"/>
      <c r="BGY40" s="456"/>
      <c r="BGZ40" s="456"/>
      <c r="BHA40" s="456"/>
      <c r="BHB40" s="456"/>
      <c r="BHC40" s="456"/>
      <c r="BHD40" s="456"/>
      <c r="BHE40" s="456"/>
      <c r="BHF40" s="456"/>
      <c r="BHG40" s="456"/>
      <c r="BHH40" s="456"/>
      <c r="BHI40" s="456"/>
      <c r="BHJ40" s="456"/>
      <c r="BHK40" s="456"/>
      <c r="BHL40" s="456"/>
      <c r="BHM40" s="456"/>
      <c r="BHN40" s="456"/>
      <c r="BHO40" s="456"/>
      <c r="BHP40" s="456"/>
      <c r="BHQ40" s="456"/>
      <c r="BHR40" s="456"/>
      <c r="BHS40" s="456"/>
      <c r="BHT40" s="456"/>
      <c r="BHU40" s="456"/>
      <c r="BHV40" s="456"/>
      <c r="BHW40" s="456"/>
      <c r="BHX40" s="456"/>
      <c r="BHY40" s="456"/>
      <c r="BHZ40" s="456"/>
      <c r="BIA40" s="456"/>
      <c r="BIB40" s="456"/>
      <c r="BIC40" s="456"/>
      <c r="BID40" s="456"/>
      <c r="BIE40" s="456"/>
      <c r="BIF40" s="456"/>
      <c r="BIG40" s="456"/>
      <c r="BIH40" s="456"/>
      <c r="BII40" s="456"/>
      <c r="BIJ40" s="456"/>
      <c r="BIK40" s="456"/>
      <c r="BIL40" s="456"/>
      <c r="BIM40" s="456"/>
      <c r="BIN40" s="456"/>
      <c r="BIO40" s="456"/>
      <c r="BIP40" s="456"/>
      <c r="BIQ40" s="456"/>
      <c r="BIR40" s="456"/>
      <c r="BIS40" s="456"/>
      <c r="BIT40" s="456"/>
      <c r="BIU40" s="456"/>
      <c r="BIV40" s="456"/>
      <c r="BIW40" s="456"/>
      <c r="BIX40" s="456"/>
      <c r="BIY40" s="456"/>
      <c r="BIZ40" s="456"/>
      <c r="BJA40" s="456"/>
      <c r="BJB40" s="456"/>
      <c r="BJC40" s="456"/>
      <c r="BJD40" s="456"/>
      <c r="BJE40" s="456"/>
      <c r="BJF40" s="456"/>
      <c r="BJG40" s="456"/>
      <c r="BJH40" s="456"/>
      <c r="BJI40" s="456"/>
      <c r="BJJ40" s="456"/>
      <c r="BJK40" s="456"/>
      <c r="BJL40" s="456"/>
      <c r="BJM40" s="456"/>
      <c r="BJN40" s="456"/>
      <c r="BJO40" s="456"/>
      <c r="BJP40" s="456"/>
      <c r="BJQ40" s="456"/>
      <c r="BJR40" s="456"/>
      <c r="BJS40" s="456"/>
      <c r="BJT40" s="456"/>
      <c r="BJU40" s="456"/>
      <c r="BJV40" s="456"/>
      <c r="BJW40" s="456"/>
      <c r="BJX40" s="456"/>
      <c r="BJY40" s="456"/>
      <c r="BJZ40" s="456"/>
      <c r="BKA40" s="456"/>
      <c r="BKB40" s="456"/>
      <c r="BKC40" s="456"/>
      <c r="BKD40" s="456"/>
      <c r="BKE40" s="456"/>
      <c r="BKF40" s="456"/>
      <c r="BKG40" s="456"/>
      <c r="BKH40" s="456"/>
      <c r="BKI40" s="456"/>
      <c r="BKJ40" s="456"/>
      <c r="BKK40" s="456"/>
      <c r="BKL40" s="456"/>
      <c r="BKM40" s="456"/>
      <c r="BKN40" s="456"/>
      <c r="BKO40" s="456"/>
      <c r="BKP40" s="456"/>
      <c r="BKQ40" s="456"/>
      <c r="BKR40" s="456"/>
      <c r="BKS40" s="456"/>
      <c r="BKT40" s="456"/>
      <c r="BKU40" s="456"/>
      <c r="BKV40" s="456"/>
      <c r="BKW40" s="456"/>
      <c r="BKX40" s="456"/>
      <c r="BKY40" s="456"/>
      <c r="BKZ40" s="456"/>
      <c r="BLA40" s="456"/>
      <c r="BLB40" s="456"/>
      <c r="BLC40" s="456"/>
      <c r="BLD40" s="456"/>
      <c r="BLE40" s="456"/>
      <c r="BLF40" s="456"/>
      <c r="BLG40" s="456"/>
      <c r="BLH40" s="456"/>
      <c r="BLI40" s="456"/>
      <c r="BLJ40" s="456"/>
      <c r="BLK40" s="456"/>
      <c r="BLL40" s="456"/>
      <c r="BLM40" s="456"/>
      <c r="BLN40" s="456"/>
      <c r="BLO40" s="456"/>
      <c r="BLP40" s="456"/>
      <c r="BLQ40" s="456"/>
      <c r="BLR40" s="456"/>
      <c r="BLS40" s="456"/>
      <c r="BLT40" s="456"/>
      <c r="BLU40" s="456"/>
      <c r="BLV40" s="456"/>
      <c r="BLW40" s="456"/>
      <c r="BLX40" s="456"/>
      <c r="BLY40" s="456"/>
      <c r="BLZ40" s="456"/>
      <c r="BMA40" s="456"/>
      <c r="BMB40" s="456"/>
      <c r="BMC40" s="456"/>
      <c r="BMD40" s="456"/>
      <c r="BME40" s="456"/>
      <c r="BMF40" s="456"/>
      <c r="BMG40" s="456"/>
      <c r="BMH40" s="456"/>
      <c r="BMI40" s="456"/>
      <c r="BMJ40" s="456"/>
      <c r="BMK40" s="456"/>
      <c r="BML40" s="456"/>
      <c r="BMM40" s="456"/>
      <c r="BMN40" s="456"/>
      <c r="BMO40" s="456"/>
      <c r="BMP40" s="456"/>
      <c r="BMQ40" s="456"/>
      <c r="BMR40" s="456"/>
      <c r="BMS40" s="456"/>
      <c r="BMT40" s="456"/>
      <c r="BMU40" s="456"/>
      <c r="BMV40" s="456"/>
      <c r="BMW40" s="456"/>
      <c r="BMX40" s="456"/>
      <c r="BMY40" s="456"/>
      <c r="BMZ40" s="456"/>
      <c r="BNA40" s="456"/>
      <c r="BNB40" s="456"/>
      <c r="BNC40" s="456"/>
      <c r="BND40" s="456"/>
      <c r="BNE40" s="456"/>
      <c r="BNF40" s="456"/>
      <c r="BNG40" s="456"/>
      <c r="BNH40" s="456"/>
      <c r="BNI40" s="456"/>
      <c r="BNJ40" s="456"/>
      <c r="BNK40" s="456"/>
      <c r="BNL40" s="456"/>
      <c r="BNM40" s="456"/>
      <c r="BNN40" s="456"/>
      <c r="BNO40" s="456"/>
      <c r="BNP40" s="456"/>
      <c r="BNQ40" s="456"/>
      <c r="BNR40" s="456"/>
      <c r="BNS40" s="456"/>
      <c r="BNT40" s="456"/>
      <c r="BNU40" s="456"/>
      <c r="BNV40" s="456"/>
      <c r="BNW40" s="456"/>
      <c r="BNX40" s="456"/>
      <c r="BNY40" s="456"/>
      <c r="BNZ40" s="456"/>
      <c r="BOA40" s="456"/>
      <c r="BOB40" s="456"/>
      <c r="BOC40" s="456"/>
      <c r="BOD40" s="456"/>
      <c r="BOE40" s="456"/>
      <c r="BOF40" s="456"/>
      <c r="BOG40" s="456"/>
      <c r="BOH40" s="456"/>
      <c r="BOI40" s="456"/>
      <c r="BOJ40" s="456"/>
      <c r="BOK40" s="456"/>
      <c r="BOL40" s="456"/>
      <c r="BOM40" s="456"/>
      <c r="BON40" s="456"/>
      <c r="BOO40" s="456"/>
      <c r="BOP40" s="456"/>
      <c r="BOQ40" s="456"/>
      <c r="BOR40" s="456"/>
      <c r="BOS40" s="456"/>
      <c r="BOT40" s="456"/>
      <c r="BOU40" s="456"/>
      <c r="BOV40" s="456"/>
      <c r="BOW40" s="456"/>
      <c r="BOX40" s="456"/>
      <c r="BOY40" s="456"/>
      <c r="BOZ40" s="456"/>
      <c r="BPA40" s="456"/>
      <c r="BPB40" s="456"/>
      <c r="BPC40" s="456"/>
      <c r="BPD40" s="456"/>
      <c r="BPE40" s="456"/>
      <c r="BPF40" s="456"/>
      <c r="BPG40" s="456"/>
      <c r="BPH40" s="456"/>
      <c r="BPI40" s="456"/>
      <c r="BPJ40" s="456"/>
      <c r="BPK40" s="456"/>
      <c r="BPL40" s="456"/>
      <c r="BPM40" s="456"/>
      <c r="BPN40" s="456"/>
      <c r="BPO40" s="456"/>
      <c r="BPP40" s="456"/>
      <c r="BPQ40" s="456"/>
      <c r="BPR40" s="456"/>
      <c r="BPS40" s="456"/>
      <c r="BPT40" s="456"/>
      <c r="BPU40" s="456"/>
      <c r="BPV40" s="456"/>
      <c r="BPW40" s="456"/>
      <c r="BPX40" s="456"/>
      <c r="BPY40" s="456"/>
      <c r="BPZ40" s="456"/>
      <c r="BQA40" s="456"/>
      <c r="BQB40" s="456"/>
      <c r="BQC40" s="456"/>
      <c r="BQD40" s="456"/>
      <c r="BQE40" s="456"/>
      <c r="BQF40" s="456"/>
      <c r="BQG40" s="456"/>
      <c r="BQH40" s="456"/>
      <c r="BQI40" s="456"/>
      <c r="BQJ40" s="456"/>
      <c r="BQK40" s="456"/>
      <c r="BQL40" s="456"/>
      <c r="BQM40" s="456"/>
      <c r="BQN40" s="456"/>
      <c r="BQO40" s="456"/>
      <c r="BQP40" s="456"/>
      <c r="BQQ40" s="456"/>
      <c r="BQR40" s="456"/>
      <c r="BQS40" s="456"/>
      <c r="BQT40" s="456"/>
      <c r="BQU40" s="456"/>
      <c r="BQV40" s="456"/>
      <c r="BQW40" s="456"/>
      <c r="BQX40" s="456"/>
      <c r="BQY40" s="456"/>
      <c r="BQZ40" s="456"/>
      <c r="BRA40" s="456"/>
      <c r="BRB40" s="456"/>
      <c r="BRC40" s="456"/>
      <c r="BRD40" s="456"/>
      <c r="BRE40" s="456"/>
      <c r="BRF40" s="456"/>
      <c r="BRG40" s="456"/>
      <c r="BRH40" s="456"/>
      <c r="BRI40" s="456"/>
      <c r="BRJ40" s="456"/>
      <c r="BRK40" s="456"/>
      <c r="BRL40" s="456"/>
      <c r="BRM40" s="456"/>
      <c r="BRN40" s="456"/>
      <c r="BRO40" s="456"/>
      <c r="BRP40" s="456"/>
      <c r="BRQ40" s="456"/>
      <c r="BRR40" s="456"/>
      <c r="BRS40" s="456"/>
      <c r="BRT40" s="456"/>
      <c r="BRU40" s="456"/>
      <c r="BRV40" s="456"/>
      <c r="BRW40" s="456"/>
      <c r="BRX40" s="456"/>
      <c r="BRY40" s="456"/>
      <c r="BRZ40" s="456"/>
      <c r="BSA40" s="456"/>
      <c r="BSB40" s="456"/>
      <c r="BSC40" s="456"/>
      <c r="BSD40" s="456"/>
      <c r="BSE40" s="456"/>
      <c r="BSF40" s="456"/>
      <c r="BSG40" s="456"/>
      <c r="BSH40" s="456"/>
      <c r="BSI40" s="456"/>
      <c r="BSJ40" s="456"/>
      <c r="BSK40" s="456"/>
      <c r="BSL40" s="456"/>
      <c r="BSM40" s="456"/>
      <c r="BSN40" s="456"/>
      <c r="BSO40" s="456"/>
      <c r="BSP40" s="456"/>
      <c r="BSQ40" s="456"/>
      <c r="BSR40" s="456"/>
      <c r="BSS40" s="456"/>
      <c r="BST40" s="456"/>
      <c r="BSU40" s="456"/>
      <c r="BSV40" s="456"/>
      <c r="BSW40" s="456"/>
      <c r="BSX40" s="456"/>
      <c r="BSY40" s="456"/>
      <c r="BSZ40" s="456"/>
      <c r="BTA40" s="456"/>
      <c r="BTB40" s="456"/>
      <c r="BTC40" s="456"/>
      <c r="BTD40" s="456"/>
      <c r="BTE40" s="456"/>
      <c r="BTF40" s="456"/>
      <c r="BTG40" s="456"/>
      <c r="BTH40" s="456"/>
      <c r="BTI40" s="456"/>
      <c r="BTJ40" s="456"/>
      <c r="BTK40" s="456"/>
      <c r="BTL40" s="456"/>
      <c r="BTM40" s="456"/>
      <c r="BTN40" s="456"/>
      <c r="BTO40" s="456"/>
      <c r="BTP40" s="456"/>
      <c r="BTQ40" s="456"/>
      <c r="BTR40" s="456"/>
      <c r="BTS40" s="456"/>
      <c r="BTT40" s="456"/>
      <c r="BTU40" s="456"/>
      <c r="BTV40" s="456"/>
      <c r="BTW40" s="456"/>
      <c r="BTX40" s="456"/>
      <c r="BTY40" s="456"/>
      <c r="BTZ40" s="456"/>
      <c r="BUA40" s="456"/>
      <c r="BUB40" s="456"/>
      <c r="BUC40" s="456"/>
      <c r="BUD40" s="456"/>
      <c r="BUE40" s="456"/>
      <c r="BUF40" s="456"/>
      <c r="BUG40" s="456"/>
      <c r="BUH40" s="456"/>
      <c r="BUI40" s="456"/>
      <c r="BUJ40" s="456"/>
      <c r="BUK40" s="456"/>
      <c r="BUL40" s="456"/>
      <c r="BUM40" s="456"/>
      <c r="BUN40" s="456"/>
      <c r="BUO40" s="456"/>
      <c r="BUP40" s="456"/>
      <c r="BUQ40" s="456"/>
      <c r="BUR40" s="456"/>
      <c r="BUS40" s="456"/>
      <c r="BUT40" s="456"/>
      <c r="BUU40" s="456"/>
      <c r="BUV40" s="456"/>
      <c r="BUW40" s="456"/>
      <c r="BUX40" s="456"/>
      <c r="BUY40" s="456"/>
      <c r="BUZ40" s="456"/>
      <c r="BVA40" s="456"/>
      <c r="BVB40" s="456"/>
      <c r="BVC40" s="456"/>
      <c r="BVD40" s="456"/>
      <c r="BVE40" s="456"/>
      <c r="BVF40" s="456"/>
      <c r="BVG40" s="456"/>
      <c r="BVH40" s="456"/>
      <c r="BVI40" s="456"/>
      <c r="BVJ40" s="456"/>
      <c r="BVK40" s="456"/>
      <c r="BVL40" s="456"/>
      <c r="BVM40" s="456"/>
      <c r="BVN40" s="456"/>
      <c r="BVO40" s="456"/>
      <c r="BVP40" s="456"/>
      <c r="BVQ40" s="456"/>
      <c r="BVR40" s="456"/>
      <c r="BVS40" s="456"/>
      <c r="BVT40" s="456"/>
      <c r="BVU40" s="456"/>
      <c r="BVV40" s="456"/>
      <c r="BVW40" s="456"/>
      <c r="BVX40" s="456"/>
      <c r="BVY40" s="456"/>
      <c r="BVZ40" s="456"/>
      <c r="BWA40" s="456"/>
      <c r="BWB40" s="456"/>
      <c r="BWC40" s="456"/>
      <c r="BWD40" s="456"/>
      <c r="BWE40" s="456"/>
      <c r="BWF40" s="456"/>
      <c r="BWG40" s="456"/>
      <c r="BWH40" s="456"/>
      <c r="BWI40" s="456"/>
      <c r="BWJ40" s="456"/>
      <c r="BWK40" s="456"/>
      <c r="BWL40" s="456"/>
      <c r="BWM40" s="456"/>
      <c r="BWN40" s="456"/>
      <c r="BWO40" s="456"/>
      <c r="BWP40" s="456"/>
      <c r="BWQ40" s="456"/>
      <c r="BWR40" s="456"/>
      <c r="BWS40" s="456"/>
      <c r="BWT40" s="456"/>
      <c r="BWU40" s="456"/>
      <c r="BWV40" s="456"/>
      <c r="BWW40" s="456"/>
      <c r="BWX40" s="456"/>
      <c r="BWY40" s="456"/>
      <c r="BWZ40" s="456"/>
      <c r="BXA40" s="456"/>
      <c r="BXB40" s="456"/>
      <c r="BXC40" s="456"/>
      <c r="BXD40" s="456"/>
      <c r="BXE40" s="456"/>
      <c r="BXF40" s="456"/>
      <c r="BXG40" s="456"/>
      <c r="BXH40" s="456"/>
      <c r="BXI40" s="456"/>
      <c r="BXJ40" s="456"/>
      <c r="BXK40" s="456"/>
      <c r="BXL40" s="456"/>
      <c r="BXM40" s="456"/>
      <c r="BXN40" s="456"/>
      <c r="BXO40" s="456"/>
      <c r="BXP40" s="456"/>
      <c r="BXQ40" s="456"/>
      <c r="BXR40" s="456"/>
      <c r="BXS40" s="456"/>
      <c r="BXT40" s="456"/>
      <c r="BXU40" s="456"/>
      <c r="BXV40" s="456"/>
      <c r="BXW40" s="456"/>
      <c r="BXX40" s="456"/>
      <c r="BXY40" s="456"/>
      <c r="BXZ40" s="456"/>
    </row>
    <row r="41" s="25" customFormat="1" spans="1:1024 1025:2002">
      <c r="A41" s="473" t="s">
        <v>34</v>
      </c>
      <c r="B41" s="19">
        <v>1117</v>
      </c>
      <c r="C41" s="183">
        <v>46174</v>
      </c>
      <c r="D41" s="17" t="s">
        <v>35</v>
      </c>
      <c r="E41" s="17" t="s">
        <v>71</v>
      </c>
      <c r="F41" s="17" t="s">
        <v>72</v>
      </c>
      <c r="G41" s="17"/>
      <c r="H41" s="19">
        <v>1.2379</v>
      </c>
      <c r="I41" s="19">
        <v>1.2379</v>
      </c>
      <c r="J41" s="17" t="s">
        <v>39</v>
      </c>
      <c r="K41" s="19">
        <v>212</v>
      </c>
      <c r="L41" s="91"/>
      <c r="M41" s="19">
        <v>5800</v>
      </c>
      <c r="N41" s="19" t="s">
        <v>40</v>
      </c>
      <c r="O41" s="19" t="s">
        <v>50</v>
      </c>
      <c r="P41" s="19">
        <v>3000</v>
      </c>
      <c r="Q41" s="19">
        <f>1530+1500</f>
        <v>3030</v>
      </c>
      <c r="R41" s="19">
        <f t="shared" si="0"/>
        <v>-30</v>
      </c>
      <c r="S41" s="19">
        <f t="shared" si="1"/>
        <v>2328</v>
      </c>
      <c r="T41" s="19" t="s">
        <v>42</v>
      </c>
      <c r="U41" s="102" t="s">
        <v>73</v>
      </c>
      <c r="V41" s="186">
        <v>46173</v>
      </c>
      <c r="W41" s="17" t="s">
        <v>69</v>
      </c>
      <c r="X41" s="17"/>
      <c r="Y41" s="68">
        <v>46296</v>
      </c>
      <c r="Z41" s="17" t="s">
        <v>45</v>
      </c>
      <c r="AA41" s="17" t="s">
        <v>46</v>
      </c>
      <c r="AB41" s="17" t="s">
        <v>75</v>
      </c>
      <c r="AC41" s="217">
        <v>46224</v>
      </c>
      <c r="AD41" s="65">
        <v>1837</v>
      </c>
      <c r="AE41" s="17" t="s">
        <v>74</v>
      </c>
      <c r="AF41" s="17" t="s">
        <v>76</v>
      </c>
      <c r="AG41" s="17"/>
      <c r="AH41" s="456"/>
      <c r="AI41" s="456"/>
      <c r="AJ41" s="456"/>
      <c r="AK41" s="456"/>
      <c r="AL41" s="456"/>
      <c r="AM41" s="456"/>
      <c r="AN41" s="456"/>
      <c r="AO41" s="456"/>
      <c r="AP41" s="456"/>
      <c r="AQ41" s="456"/>
      <c r="AR41" s="456"/>
      <c r="AS41" s="456"/>
      <c r="AT41" s="456"/>
      <c r="AU41" s="456"/>
      <c r="AV41" s="456"/>
      <c r="AW41" s="456"/>
      <c r="AX41" s="456"/>
      <c r="AY41" s="456"/>
      <c r="AZ41" s="456"/>
      <c r="BA41" s="456"/>
      <c r="BB41" s="456"/>
      <c r="BC41" s="456"/>
      <c r="BD41" s="456"/>
      <c r="BE41" s="456"/>
      <c r="BF41" s="456"/>
      <c r="BG41" s="456"/>
      <c r="BH41" s="456"/>
      <c r="BI41" s="456"/>
      <c r="BJ41" s="456"/>
      <c r="BK41" s="456"/>
      <c r="BL41" s="456"/>
      <c r="BM41" s="456"/>
      <c r="BN41" s="456"/>
      <c r="BO41" s="456"/>
      <c r="BP41" s="456"/>
      <c r="BQ41" s="456"/>
      <c r="BR41" s="456"/>
      <c r="BS41" s="456"/>
      <c r="BT41" s="456"/>
      <c r="BU41" s="456"/>
      <c r="BV41" s="456"/>
      <c r="BW41" s="456"/>
      <c r="BX41" s="456"/>
      <c r="BY41" s="456"/>
      <c r="BZ41" s="456"/>
      <c r="CA41" s="456"/>
      <c r="CB41" s="456"/>
      <c r="CC41" s="456"/>
      <c r="CD41" s="456"/>
      <c r="CE41" s="456"/>
      <c r="CF41" s="456"/>
      <c r="CG41" s="456"/>
      <c r="CH41" s="456"/>
      <c r="CI41" s="456"/>
      <c r="CJ41" s="456"/>
      <c r="CK41" s="456"/>
      <c r="CL41" s="456"/>
      <c r="CM41" s="456"/>
      <c r="CN41" s="456"/>
      <c r="CO41" s="456"/>
      <c r="CP41" s="456"/>
      <c r="CQ41" s="456"/>
      <c r="CR41" s="456"/>
      <c r="CS41" s="456"/>
      <c r="CT41" s="456"/>
      <c r="CU41" s="456"/>
      <c r="CV41" s="456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6"/>
      <c r="DS41" s="456"/>
      <c r="DT41" s="456"/>
      <c r="DU41" s="456"/>
      <c r="DV41" s="456"/>
      <c r="DW41" s="456"/>
      <c r="DX41" s="456"/>
      <c r="DY41" s="456"/>
      <c r="DZ41" s="456"/>
      <c r="EA41" s="456"/>
      <c r="EB41" s="456"/>
      <c r="EC41" s="456"/>
      <c r="ED41" s="456"/>
      <c r="EE41" s="456"/>
      <c r="EF41" s="456"/>
      <c r="EG41" s="456"/>
      <c r="EH41" s="456"/>
      <c r="EI41" s="456"/>
      <c r="EJ41" s="456"/>
      <c r="EK41" s="456"/>
      <c r="EL41" s="456"/>
      <c r="EM41" s="456"/>
      <c r="EN41" s="456"/>
      <c r="EO41" s="456"/>
      <c r="EP41" s="456"/>
      <c r="EQ41" s="456"/>
      <c r="ER41" s="456"/>
      <c r="ES41" s="456"/>
      <c r="ET41" s="456"/>
      <c r="EU41" s="456"/>
      <c r="EV41" s="456"/>
      <c r="EW41" s="456"/>
      <c r="EX41" s="456"/>
      <c r="EY41" s="456"/>
      <c r="EZ41" s="456"/>
      <c r="FA41" s="456"/>
      <c r="FB41" s="456"/>
      <c r="FC41" s="456"/>
      <c r="FD41" s="456"/>
      <c r="FE41" s="456"/>
      <c r="FF41" s="456"/>
      <c r="FG41" s="456"/>
      <c r="FH41" s="456"/>
      <c r="FI41" s="456"/>
      <c r="FJ41" s="456"/>
      <c r="FK41" s="456"/>
      <c r="FL41" s="456"/>
      <c r="FM41" s="456"/>
      <c r="FN41" s="456"/>
      <c r="FO41" s="456"/>
      <c r="FP41" s="456"/>
      <c r="FQ41" s="456"/>
      <c r="FR41" s="456"/>
      <c r="FS41" s="456"/>
      <c r="FT41" s="456"/>
      <c r="FU41" s="456"/>
      <c r="FV41" s="456"/>
      <c r="FW41" s="456"/>
      <c r="FX41" s="456"/>
      <c r="FY41" s="456"/>
      <c r="FZ41" s="456"/>
      <c r="GA41" s="456"/>
      <c r="GB41" s="456"/>
      <c r="GC41" s="456"/>
      <c r="GD41" s="456"/>
      <c r="GE41" s="456"/>
      <c r="GF41" s="456"/>
      <c r="GG41" s="456"/>
      <c r="GH41" s="456"/>
      <c r="GI41" s="456"/>
      <c r="GJ41" s="456"/>
      <c r="GK41" s="456"/>
      <c r="GL41" s="456"/>
      <c r="GM41" s="456"/>
      <c r="GN41" s="456"/>
      <c r="GO41" s="456"/>
      <c r="GP41" s="456"/>
      <c r="GQ41" s="456"/>
      <c r="GR41" s="456"/>
      <c r="GS41" s="456"/>
      <c r="GT41" s="456"/>
      <c r="GU41" s="456"/>
      <c r="GV41" s="456"/>
      <c r="GW41" s="456"/>
      <c r="GX41" s="456"/>
      <c r="GY41" s="456"/>
      <c r="GZ41" s="456"/>
      <c r="HA41" s="456"/>
      <c r="HB41" s="456"/>
      <c r="HC41" s="456"/>
      <c r="HD41" s="456"/>
      <c r="HE41" s="456"/>
      <c r="HF41" s="456"/>
      <c r="HG41" s="456"/>
      <c r="HH41" s="456"/>
      <c r="HI41" s="456"/>
      <c r="HJ41" s="456"/>
      <c r="HK41" s="456"/>
      <c r="HL41" s="456"/>
      <c r="HM41" s="456"/>
      <c r="HN41" s="456"/>
      <c r="HO41" s="456"/>
      <c r="HP41" s="456"/>
      <c r="HQ41" s="456"/>
      <c r="HR41" s="456"/>
      <c r="HS41" s="456"/>
      <c r="HT41" s="456"/>
      <c r="HU41" s="456"/>
      <c r="HV41" s="456"/>
      <c r="HW41" s="456"/>
      <c r="HX41" s="456"/>
      <c r="HY41" s="456"/>
      <c r="HZ41" s="456"/>
      <c r="IA41" s="456"/>
      <c r="IB41" s="456"/>
      <c r="IC41" s="456"/>
      <c r="ID41" s="456"/>
      <c r="IE41" s="456"/>
      <c r="IF41" s="456"/>
      <c r="IG41" s="456"/>
      <c r="IH41" s="456"/>
      <c r="II41" s="456"/>
      <c r="IJ41" s="456"/>
      <c r="IK41" s="456"/>
      <c r="IL41" s="456"/>
      <c r="IM41" s="456"/>
      <c r="IN41" s="456"/>
      <c r="IO41" s="456"/>
      <c r="IP41" s="456"/>
      <c r="IQ41" s="456"/>
      <c r="IR41" s="456"/>
      <c r="IS41" s="456"/>
      <c r="IT41" s="456"/>
      <c r="IU41" s="456"/>
      <c r="IV41" s="456"/>
      <c r="IW41" s="456"/>
      <c r="IX41" s="456"/>
      <c r="IY41" s="456"/>
      <c r="IZ41" s="456"/>
      <c r="JA41" s="456"/>
      <c r="JB41" s="456"/>
      <c r="JC41" s="456"/>
      <c r="JD41" s="456"/>
      <c r="JE41" s="456"/>
      <c r="JF41" s="456"/>
      <c r="JG41" s="456"/>
      <c r="JH41" s="456"/>
      <c r="JI41" s="456"/>
      <c r="JJ41" s="456"/>
      <c r="JK41" s="456"/>
      <c r="JL41" s="456"/>
      <c r="JM41" s="456"/>
      <c r="JN41" s="456"/>
      <c r="JO41" s="456"/>
      <c r="JP41" s="456"/>
      <c r="JQ41" s="456"/>
      <c r="JR41" s="456"/>
      <c r="JS41" s="456"/>
      <c r="JT41" s="456"/>
      <c r="JU41" s="456"/>
      <c r="JV41" s="456"/>
      <c r="JW41" s="456"/>
      <c r="JX41" s="456"/>
      <c r="JY41" s="456"/>
      <c r="JZ41" s="456"/>
      <c r="KA41" s="456"/>
      <c r="KB41" s="456"/>
      <c r="KC41" s="456"/>
      <c r="KD41" s="456"/>
      <c r="KE41" s="456"/>
      <c r="KF41" s="456"/>
      <c r="KG41" s="456"/>
      <c r="KH41" s="456"/>
      <c r="KI41" s="456"/>
      <c r="KJ41" s="456"/>
      <c r="KK41" s="456"/>
      <c r="KL41" s="456"/>
      <c r="KM41" s="456"/>
      <c r="KN41" s="456"/>
      <c r="KO41" s="456"/>
      <c r="KP41" s="456"/>
      <c r="KQ41" s="456"/>
      <c r="KR41" s="456"/>
      <c r="KS41" s="456"/>
      <c r="KT41" s="456"/>
      <c r="KU41" s="456"/>
      <c r="KV41" s="456"/>
      <c r="KW41" s="456"/>
      <c r="KX41" s="456"/>
      <c r="KY41" s="456"/>
      <c r="KZ41" s="456"/>
      <c r="LA41" s="456"/>
      <c r="LB41" s="456"/>
      <c r="LC41" s="456"/>
      <c r="LD41" s="456"/>
      <c r="LE41" s="456"/>
      <c r="LF41" s="456"/>
      <c r="LG41" s="456"/>
      <c r="LH41" s="456"/>
      <c r="LI41" s="456"/>
      <c r="LJ41" s="456"/>
      <c r="LK41" s="456"/>
      <c r="LL41" s="456"/>
      <c r="LM41" s="456"/>
      <c r="LN41" s="456"/>
      <c r="LO41" s="456"/>
      <c r="LP41" s="456"/>
      <c r="LQ41" s="456"/>
      <c r="LR41" s="456"/>
      <c r="LS41" s="456"/>
      <c r="LT41" s="456"/>
      <c r="LU41" s="456"/>
      <c r="LV41" s="456"/>
      <c r="LW41" s="456"/>
      <c r="LX41" s="456"/>
      <c r="LY41" s="456"/>
      <c r="LZ41" s="456"/>
      <c r="MA41" s="456"/>
      <c r="MB41" s="456"/>
      <c r="MC41" s="456"/>
      <c r="MD41" s="456"/>
      <c r="ME41" s="456"/>
      <c r="MF41" s="456"/>
      <c r="MG41" s="456"/>
      <c r="MH41" s="456"/>
      <c r="MI41" s="456"/>
      <c r="MJ41" s="456"/>
      <c r="MK41" s="456"/>
      <c r="ML41" s="456"/>
      <c r="MM41" s="456"/>
      <c r="MN41" s="456"/>
      <c r="MO41" s="456"/>
      <c r="MP41" s="456"/>
      <c r="MQ41" s="456"/>
      <c r="MR41" s="456"/>
      <c r="MS41" s="456"/>
      <c r="MT41" s="456"/>
      <c r="MU41" s="456"/>
      <c r="MV41" s="456"/>
      <c r="MW41" s="456"/>
      <c r="MX41" s="456"/>
      <c r="MY41" s="456"/>
      <c r="MZ41" s="456"/>
      <c r="NA41" s="456"/>
      <c r="NB41" s="456"/>
      <c r="NC41" s="456"/>
      <c r="ND41" s="456"/>
      <c r="NE41" s="456"/>
      <c r="NF41" s="456"/>
      <c r="NG41" s="456"/>
      <c r="NH41" s="456"/>
      <c r="NI41" s="456"/>
      <c r="NJ41" s="456"/>
      <c r="NK41" s="456"/>
      <c r="NL41" s="456"/>
      <c r="NM41" s="456"/>
      <c r="NN41" s="456"/>
      <c r="NO41" s="456"/>
      <c r="NP41" s="456"/>
      <c r="NQ41" s="456"/>
      <c r="NR41" s="456"/>
      <c r="NS41" s="456"/>
      <c r="NT41" s="456"/>
      <c r="NU41" s="456"/>
      <c r="NV41" s="456"/>
      <c r="NW41" s="456"/>
      <c r="NX41" s="456"/>
      <c r="NY41" s="456"/>
      <c r="NZ41" s="456"/>
      <c r="OA41" s="456"/>
      <c r="OB41" s="456"/>
      <c r="OC41" s="456"/>
      <c r="OD41" s="456"/>
      <c r="OE41" s="456"/>
      <c r="OF41" s="456"/>
      <c r="OG41" s="456"/>
      <c r="OH41" s="456"/>
      <c r="OI41" s="456"/>
      <c r="OJ41" s="456"/>
      <c r="OK41" s="456"/>
      <c r="OL41" s="456"/>
      <c r="OM41" s="456"/>
      <c r="ON41" s="456"/>
      <c r="OO41" s="456"/>
      <c r="OP41" s="456"/>
      <c r="OQ41" s="456"/>
      <c r="OR41" s="456"/>
      <c r="OS41" s="456"/>
      <c r="OT41" s="456"/>
      <c r="OU41" s="456"/>
      <c r="OV41" s="456"/>
      <c r="OW41" s="456"/>
      <c r="OX41" s="456"/>
      <c r="OY41" s="456"/>
      <c r="OZ41" s="456"/>
      <c r="PA41" s="456"/>
      <c r="PB41" s="456"/>
      <c r="PC41" s="456"/>
      <c r="PD41" s="456"/>
      <c r="PE41" s="456"/>
      <c r="PF41" s="456"/>
      <c r="PG41" s="456"/>
      <c r="PH41" s="456"/>
      <c r="PI41" s="456"/>
      <c r="PJ41" s="456"/>
      <c r="PK41" s="456"/>
      <c r="PL41" s="456"/>
      <c r="PM41" s="456"/>
      <c r="PN41" s="456"/>
      <c r="PO41" s="456"/>
      <c r="PP41" s="456"/>
      <c r="PQ41" s="456"/>
      <c r="PR41" s="456"/>
      <c r="PS41" s="456"/>
      <c r="PT41" s="456"/>
      <c r="PU41" s="456"/>
      <c r="PV41" s="456"/>
      <c r="PW41" s="456"/>
      <c r="PX41" s="456"/>
      <c r="PY41" s="456"/>
      <c r="PZ41" s="456"/>
      <c r="QA41" s="456"/>
      <c r="QB41" s="456"/>
      <c r="QC41" s="456"/>
      <c r="QD41" s="456"/>
      <c r="QE41" s="456"/>
      <c r="QF41" s="456"/>
      <c r="QG41" s="456"/>
      <c r="QH41" s="456"/>
      <c r="QI41" s="456"/>
      <c r="QJ41" s="456"/>
      <c r="QK41" s="456"/>
      <c r="QL41" s="456"/>
      <c r="QM41" s="456"/>
      <c r="QN41" s="456"/>
      <c r="QO41" s="456"/>
      <c r="QP41" s="456"/>
      <c r="QQ41" s="456"/>
      <c r="QR41" s="456"/>
      <c r="QS41" s="456"/>
      <c r="QT41" s="456"/>
      <c r="QU41" s="456"/>
      <c r="QV41" s="456"/>
      <c r="QW41" s="456"/>
      <c r="QX41" s="456"/>
      <c r="QY41" s="456"/>
      <c r="QZ41" s="456"/>
      <c r="RA41" s="456"/>
      <c r="RB41" s="456"/>
      <c r="RC41" s="456"/>
      <c r="RD41" s="456"/>
      <c r="RE41" s="456"/>
      <c r="RF41" s="456"/>
      <c r="RG41" s="456"/>
      <c r="RH41" s="456"/>
      <c r="RI41" s="456"/>
      <c r="RJ41" s="456"/>
      <c r="RK41" s="456"/>
      <c r="RL41" s="456"/>
      <c r="RM41" s="456"/>
      <c r="RN41" s="456"/>
      <c r="RO41" s="456"/>
      <c r="RP41" s="456"/>
      <c r="RQ41" s="456"/>
      <c r="RR41" s="456"/>
      <c r="RS41" s="456"/>
      <c r="RT41" s="456"/>
      <c r="RU41" s="456"/>
      <c r="RV41" s="456"/>
      <c r="RW41" s="456"/>
      <c r="RX41" s="456"/>
      <c r="RY41" s="456"/>
      <c r="RZ41" s="456"/>
      <c r="SA41" s="456"/>
      <c r="SB41" s="456"/>
      <c r="SC41" s="456"/>
      <c r="SD41" s="456"/>
      <c r="SE41" s="456"/>
      <c r="SF41" s="456"/>
      <c r="SG41" s="456"/>
      <c r="SH41" s="456"/>
      <c r="SI41" s="456"/>
      <c r="SJ41" s="456"/>
      <c r="SK41" s="456"/>
      <c r="SL41" s="456"/>
      <c r="SM41" s="456"/>
      <c r="SN41" s="456"/>
      <c r="SO41" s="456"/>
      <c r="SP41" s="456"/>
      <c r="SQ41" s="456"/>
      <c r="SR41" s="456"/>
      <c r="SS41" s="456"/>
      <c r="ST41" s="456"/>
      <c r="SU41" s="456"/>
      <c r="SV41" s="456"/>
      <c r="SW41" s="456"/>
      <c r="SX41" s="456"/>
      <c r="SY41" s="456"/>
      <c r="SZ41" s="456"/>
      <c r="TA41" s="456"/>
      <c r="TB41" s="456"/>
      <c r="TC41" s="456"/>
      <c r="TD41" s="456"/>
      <c r="TE41" s="456"/>
      <c r="TF41" s="456"/>
      <c r="TG41" s="456"/>
      <c r="TH41" s="456"/>
      <c r="TI41" s="456"/>
      <c r="TJ41" s="456"/>
      <c r="TK41" s="456"/>
      <c r="TL41" s="456"/>
      <c r="TM41" s="456"/>
      <c r="TN41" s="456"/>
      <c r="TO41" s="456"/>
      <c r="TP41" s="456"/>
      <c r="TQ41" s="456"/>
      <c r="TR41" s="456"/>
      <c r="TS41" s="456"/>
      <c r="TT41" s="456"/>
      <c r="TU41" s="456"/>
      <c r="TV41" s="456"/>
      <c r="TW41" s="456"/>
      <c r="TX41" s="456"/>
      <c r="TY41" s="456"/>
      <c r="TZ41" s="456"/>
      <c r="UA41" s="456"/>
      <c r="UB41" s="456"/>
      <c r="UC41" s="456"/>
      <c r="UD41" s="456"/>
      <c r="UE41" s="456"/>
      <c r="UF41" s="456"/>
      <c r="UG41" s="456"/>
      <c r="UH41" s="456"/>
      <c r="UI41" s="456"/>
      <c r="UJ41" s="456"/>
      <c r="UK41" s="456"/>
      <c r="UL41" s="456"/>
      <c r="UM41" s="456"/>
      <c r="UN41" s="456"/>
      <c r="UO41" s="456"/>
      <c r="UP41" s="456"/>
      <c r="UQ41" s="456"/>
      <c r="UR41" s="456"/>
      <c r="US41" s="456"/>
      <c r="UT41" s="456"/>
      <c r="UU41" s="456"/>
      <c r="UV41" s="456"/>
      <c r="UW41" s="456"/>
      <c r="UX41" s="456"/>
      <c r="UY41" s="456"/>
      <c r="UZ41" s="456"/>
      <c r="VA41" s="456"/>
      <c r="VB41" s="456"/>
      <c r="VC41" s="456"/>
      <c r="VD41" s="456"/>
      <c r="VE41" s="456"/>
      <c r="VF41" s="456"/>
      <c r="VG41" s="456"/>
      <c r="VH41" s="456"/>
      <c r="VI41" s="456"/>
      <c r="VJ41" s="456"/>
      <c r="VK41" s="456"/>
      <c r="VL41" s="456"/>
      <c r="VM41" s="456"/>
      <c r="VN41" s="456"/>
      <c r="VO41" s="456"/>
      <c r="VP41" s="456"/>
      <c r="VQ41" s="456"/>
      <c r="VR41" s="456"/>
      <c r="VS41" s="456"/>
      <c r="VT41" s="456"/>
      <c r="VU41" s="456"/>
      <c r="VV41" s="456"/>
      <c r="VW41" s="456"/>
      <c r="VX41" s="456"/>
      <c r="VY41" s="456"/>
      <c r="VZ41" s="456"/>
      <c r="WA41" s="456"/>
      <c r="WB41" s="456"/>
      <c r="WC41" s="456"/>
      <c r="WD41" s="456"/>
      <c r="WE41" s="456"/>
      <c r="WF41" s="456"/>
      <c r="WG41" s="456"/>
      <c r="WH41" s="456"/>
      <c r="WI41" s="456"/>
      <c r="WJ41" s="456"/>
      <c r="WK41" s="456"/>
      <c r="WL41" s="456"/>
      <c r="WM41" s="456"/>
      <c r="WN41" s="456"/>
      <c r="WO41" s="456"/>
      <c r="WP41" s="456"/>
      <c r="WQ41" s="456"/>
      <c r="WR41" s="456"/>
      <c r="WS41" s="456"/>
      <c r="WT41" s="456"/>
      <c r="WU41" s="456"/>
      <c r="WV41" s="456"/>
      <c r="WW41" s="456"/>
      <c r="WX41" s="456"/>
      <c r="WY41" s="456"/>
      <c r="WZ41" s="456"/>
      <c r="XA41" s="456"/>
      <c r="XB41" s="456"/>
      <c r="XC41" s="456"/>
      <c r="XD41" s="456"/>
      <c r="XE41" s="456"/>
      <c r="XF41" s="456"/>
      <c r="XG41" s="456"/>
      <c r="XH41" s="456"/>
      <c r="XI41" s="456"/>
      <c r="XJ41" s="456"/>
      <c r="XK41" s="456"/>
      <c r="XL41" s="456"/>
      <c r="XM41" s="456"/>
      <c r="XN41" s="456"/>
      <c r="XO41" s="456"/>
      <c r="XP41" s="456"/>
      <c r="XQ41" s="456"/>
      <c r="XR41" s="456"/>
      <c r="XS41" s="456"/>
      <c r="XT41" s="456"/>
      <c r="XU41" s="456"/>
      <c r="XV41" s="456"/>
      <c r="XW41" s="456"/>
      <c r="XX41" s="456"/>
      <c r="XY41" s="456"/>
      <c r="XZ41" s="456"/>
      <c r="YA41" s="456"/>
      <c r="YB41" s="456"/>
      <c r="YC41" s="456"/>
      <c r="YD41" s="456"/>
      <c r="YE41" s="456"/>
      <c r="YF41" s="456"/>
      <c r="YG41" s="456"/>
      <c r="YH41" s="456"/>
      <c r="YI41" s="456"/>
      <c r="YJ41" s="456"/>
      <c r="YK41" s="456"/>
      <c r="YL41" s="456"/>
      <c r="YM41" s="456"/>
      <c r="YN41" s="456"/>
      <c r="YO41" s="456"/>
      <c r="YP41" s="456"/>
      <c r="YQ41" s="456"/>
      <c r="YR41" s="456"/>
      <c r="YS41" s="456"/>
      <c r="YT41" s="456"/>
      <c r="YU41" s="456"/>
      <c r="YV41" s="456"/>
      <c r="YW41" s="456"/>
      <c r="YX41" s="456"/>
      <c r="YY41" s="456"/>
      <c r="YZ41" s="456"/>
      <c r="ZA41" s="456"/>
      <c r="ZB41" s="456"/>
      <c r="ZC41" s="456"/>
      <c r="ZD41" s="456"/>
      <c r="ZE41" s="456"/>
      <c r="ZF41" s="456"/>
      <c r="ZG41" s="456"/>
      <c r="ZH41" s="456"/>
      <c r="ZI41" s="456"/>
      <c r="ZJ41" s="456"/>
      <c r="ZK41" s="456"/>
      <c r="ZL41" s="456"/>
      <c r="ZM41" s="456"/>
      <c r="ZN41" s="456"/>
      <c r="ZO41" s="456"/>
      <c r="ZP41" s="456"/>
      <c r="ZQ41" s="456"/>
      <c r="ZR41" s="456"/>
      <c r="ZS41" s="456"/>
      <c r="ZT41" s="456"/>
      <c r="ZU41" s="456"/>
      <c r="ZV41" s="456"/>
      <c r="ZW41" s="456"/>
      <c r="ZX41" s="456"/>
      <c r="ZY41" s="456"/>
      <c r="ZZ41" s="456"/>
      <c r="AAA41" s="456"/>
      <c r="AAB41" s="456"/>
      <c r="AAC41" s="456"/>
      <c r="AAD41" s="456"/>
      <c r="AAE41" s="456"/>
      <c r="AAF41" s="456"/>
      <c r="AAG41" s="456"/>
      <c r="AAH41" s="456"/>
      <c r="AAI41" s="456"/>
      <c r="AAJ41" s="456"/>
      <c r="AAK41" s="456"/>
      <c r="AAL41" s="456"/>
      <c r="AAM41" s="456"/>
      <c r="AAN41" s="456"/>
      <c r="AAO41" s="456"/>
      <c r="AAP41" s="456"/>
      <c r="AAQ41" s="456"/>
      <c r="AAR41" s="456"/>
      <c r="AAS41" s="456"/>
      <c r="AAT41" s="456"/>
      <c r="AAU41" s="456"/>
      <c r="AAV41" s="456"/>
      <c r="AAW41" s="456"/>
      <c r="AAX41" s="456"/>
      <c r="AAY41" s="456"/>
      <c r="AAZ41" s="456"/>
      <c r="ABA41" s="456"/>
      <c r="ABB41" s="456"/>
      <c r="ABC41" s="456"/>
      <c r="ABD41" s="456"/>
      <c r="ABE41" s="456"/>
      <c r="ABF41" s="456"/>
      <c r="ABG41" s="456"/>
      <c r="ABH41" s="456"/>
      <c r="ABI41" s="456"/>
      <c r="ABJ41" s="456"/>
      <c r="ABK41" s="456"/>
      <c r="ABL41" s="456"/>
      <c r="ABM41" s="456"/>
      <c r="ABN41" s="456"/>
      <c r="ABO41" s="456"/>
      <c r="ABP41" s="456"/>
      <c r="ABQ41" s="456"/>
      <c r="ABR41" s="456"/>
      <c r="ABS41" s="456"/>
      <c r="ABT41" s="456"/>
      <c r="ABU41" s="456"/>
      <c r="ABV41" s="456"/>
      <c r="ABW41" s="456"/>
      <c r="ABX41" s="456"/>
      <c r="ABY41" s="456"/>
      <c r="ABZ41" s="456"/>
      <c r="ACA41" s="456"/>
      <c r="ACB41" s="456"/>
      <c r="ACC41" s="456"/>
      <c r="ACD41" s="456"/>
      <c r="ACE41" s="456"/>
      <c r="ACF41" s="456"/>
      <c r="ACG41" s="456"/>
      <c r="ACH41" s="456"/>
      <c r="ACI41" s="456"/>
      <c r="ACJ41" s="456"/>
      <c r="ACK41" s="456"/>
      <c r="ACL41" s="456"/>
      <c r="ACM41" s="456"/>
      <c r="ACN41" s="456"/>
      <c r="ACO41" s="456"/>
      <c r="ACP41" s="456"/>
      <c r="ACQ41" s="456"/>
      <c r="ACR41" s="456"/>
      <c r="ACS41" s="456"/>
      <c r="ACT41" s="456"/>
      <c r="ACU41" s="456"/>
      <c r="ACV41" s="456"/>
      <c r="ACW41" s="456"/>
      <c r="ACX41" s="456"/>
      <c r="ACY41" s="456"/>
      <c r="ACZ41" s="456"/>
      <c r="ADA41" s="456"/>
      <c r="ADB41" s="456"/>
      <c r="ADC41" s="456"/>
      <c r="ADD41" s="456"/>
      <c r="ADE41" s="456"/>
      <c r="ADF41" s="456"/>
      <c r="ADG41" s="456"/>
      <c r="ADH41" s="456"/>
      <c r="ADI41" s="456"/>
      <c r="ADJ41" s="456"/>
      <c r="ADK41" s="456"/>
      <c r="ADL41" s="456"/>
      <c r="ADM41" s="456"/>
      <c r="ADN41" s="456"/>
      <c r="ADO41" s="456"/>
      <c r="ADP41" s="456"/>
      <c r="ADQ41" s="456"/>
      <c r="ADR41" s="456"/>
      <c r="ADS41" s="456"/>
      <c r="ADT41" s="456"/>
      <c r="ADU41" s="456"/>
      <c r="ADV41" s="456"/>
      <c r="ADW41" s="456"/>
      <c r="ADX41" s="456"/>
      <c r="ADY41" s="456"/>
      <c r="ADZ41" s="456"/>
      <c r="AEA41" s="456"/>
      <c r="AEB41" s="456"/>
      <c r="AEC41" s="456"/>
      <c r="AED41" s="456"/>
      <c r="AEE41" s="456"/>
      <c r="AEF41" s="456"/>
      <c r="AEG41" s="456"/>
      <c r="AEH41" s="456"/>
      <c r="AEI41" s="456"/>
      <c r="AEJ41" s="456"/>
      <c r="AEK41" s="456"/>
      <c r="AEL41" s="456"/>
      <c r="AEM41" s="456"/>
      <c r="AEN41" s="456"/>
      <c r="AEO41" s="456"/>
      <c r="AEP41" s="456"/>
      <c r="AEQ41" s="456"/>
      <c r="AER41" s="456"/>
      <c r="AES41" s="456"/>
      <c r="AET41" s="456"/>
      <c r="AEU41" s="456"/>
      <c r="AEV41" s="456"/>
      <c r="AEW41" s="456"/>
      <c r="AEX41" s="456"/>
      <c r="AEY41" s="456"/>
      <c r="AEZ41" s="456"/>
      <c r="AFA41" s="456"/>
      <c r="AFB41" s="456"/>
      <c r="AFC41" s="456"/>
      <c r="AFD41" s="456"/>
      <c r="AFE41" s="456"/>
      <c r="AFF41" s="456"/>
      <c r="AFG41" s="456"/>
      <c r="AFH41" s="456"/>
      <c r="AFI41" s="456"/>
      <c r="AFJ41" s="456"/>
      <c r="AFK41" s="456"/>
      <c r="AFL41" s="456"/>
      <c r="AFM41" s="456"/>
      <c r="AFN41" s="456"/>
      <c r="AFO41" s="456"/>
      <c r="AFP41" s="456"/>
      <c r="AFQ41" s="456"/>
      <c r="AFR41" s="456"/>
      <c r="AFS41" s="456"/>
      <c r="AFT41" s="456"/>
      <c r="AFU41" s="456"/>
      <c r="AFV41" s="456"/>
      <c r="AFW41" s="456"/>
      <c r="AFX41" s="456"/>
      <c r="AFY41" s="456"/>
      <c r="AFZ41" s="456"/>
      <c r="AGA41" s="456"/>
      <c r="AGB41" s="456"/>
      <c r="AGC41" s="456"/>
      <c r="AGD41" s="456"/>
      <c r="AGE41" s="456"/>
      <c r="AGF41" s="456"/>
      <c r="AGG41" s="456"/>
      <c r="AGH41" s="456"/>
      <c r="AGI41" s="456"/>
      <c r="AGJ41" s="456"/>
      <c r="AGK41" s="456"/>
      <c r="AGL41" s="456"/>
      <c r="AGM41" s="456"/>
      <c r="AGN41" s="456"/>
      <c r="AGO41" s="456"/>
      <c r="AGP41" s="456"/>
      <c r="AGQ41" s="456"/>
      <c r="AGR41" s="456"/>
      <c r="AGS41" s="456"/>
      <c r="AGT41" s="456"/>
      <c r="AGU41" s="456"/>
      <c r="AGV41" s="456"/>
      <c r="AGW41" s="456"/>
      <c r="AGX41" s="456"/>
      <c r="AGY41" s="456"/>
      <c r="AGZ41" s="456"/>
      <c r="AHA41" s="456"/>
      <c r="AHB41" s="456"/>
      <c r="AHC41" s="456"/>
      <c r="AHD41" s="456"/>
      <c r="AHE41" s="456"/>
      <c r="AHF41" s="456"/>
      <c r="AHG41" s="456"/>
      <c r="AHH41" s="456"/>
      <c r="AHI41" s="456"/>
      <c r="AHJ41" s="456"/>
      <c r="AHK41" s="456"/>
      <c r="AHL41" s="456"/>
      <c r="AHM41" s="456"/>
      <c r="AHN41" s="456"/>
      <c r="AHO41" s="456"/>
      <c r="AHP41" s="456"/>
      <c r="AHQ41" s="456"/>
      <c r="AHR41" s="456"/>
      <c r="AHS41" s="456"/>
      <c r="AHT41" s="456"/>
      <c r="AHU41" s="456"/>
      <c r="AHV41" s="456"/>
      <c r="AHW41" s="456"/>
      <c r="AHX41" s="456"/>
      <c r="AHY41" s="456"/>
      <c r="AHZ41" s="456"/>
      <c r="AIA41" s="456"/>
      <c r="AIB41" s="456"/>
      <c r="AIC41" s="456"/>
      <c r="AID41" s="456"/>
      <c r="AIE41" s="456"/>
      <c r="AIF41" s="456"/>
      <c r="AIG41" s="456"/>
      <c r="AIH41" s="456"/>
      <c r="AII41" s="456"/>
      <c r="AIJ41" s="456"/>
      <c r="AIK41" s="456"/>
      <c r="AIL41" s="456"/>
      <c r="AIM41" s="456"/>
      <c r="AIN41" s="456"/>
      <c r="AIO41" s="456"/>
      <c r="AIP41" s="456"/>
      <c r="AIQ41" s="456"/>
      <c r="AIR41" s="456"/>
      <c r="AIS41" s="456"/>
      <c r="AIT41" s="456"/>
      <c r="AIU41" s="456"/>
      <c r="AIV41" s="456"/>
      <c r="AIW41" s="456"/>
      <c r="AIX41" s="456"/>
      <c r="AIY41" s="456"/>
      <c r="AIZ41" s="456"/>
      <c r="AJA41" s="456"/>
      <c r="AJB41" s="456"/>
      <c r="AJC41" s="456"/>
      <c r="AJD41" s="456"/>
      <c r="AJE41" s="456"/>
      <c r="AJF41" s="456"/>
      <c r="AJG41" s="456"/>
      <c r="AJH41" s="456"/>
      <c r="AJI41" s="456"/>
      <c r="AJJ41" s="456"/>
      <c r="AJK41" s="456"/>
      <c r="AJL41" s="456"/>
      <c r="AJM41" s="456"/>
      <c r="AJN41" s="456"/>
      <c r="AJO41" s="456"/>
      <c r="AJP41" s="456"/>
      <c r="AJQ41" s="456"/>
      <c r="AJR41" s="456"/>
      <c r="AJS41" s="456"/>
      <c r="AJT41" s="456"/>
      <c r="AJU41" s="456"/>
      <c r="AJV41" s="456"/>
      <c r="AJW41" s="456"/>
      <c r="AJX41" s="456"/>
      <c r="AJY41" s="456"/>
      <c r="AJZ41" s="456"/>
      <c r="AKA41" s="456"/>
      <c r="AKB41" s="456"/>
      <c r="AKC41" s="456"/>
      <c r="AKD41" s="456"/>
      <c r="AKE41" s="456"/>
      <c r="AKF41" s="456"/>
      <c r="AKG41" s="456"/>
      <c r="AKH41" s="456"/>
      <c r="AKI41" s="456"/>
      <c r="AKJ41" s="456"/>
      <c r="AKK41" s="456"/>
      <c r="AKL41" s="456"/>
      <c r="AKM41" s="456"/>
      <c r="AKN41" s="456"/>
      <c r="AKO41" s="456"/>
      <c r="AKP41" s="456"/>
      <c r="AKQ41" s="456"/>
      <c r="AKR41" s="456"/>
      <c r="AKS41" s="456"/>
      <c r="AKT41" s="456"/>
      <c r="AKU41" s="456"/>
      <c r="AKV41" s="456"/>
      <c r="AKW41" s="456"/>
      <c r="AKX41" s="456"/>
      <c r="AKY41" s="456"/>
      <c r="AKZ41" s="456"/>
      <c r="ALA41" s="456"/>
      <c r="ALB41" s="456"/>
      <c r="ALC41" s="456"/>
      <c r="ALD41" s="456"/>
      <c r="ALE41" s="456"/>
      <c r="ALF41" s="456"/>
      <c r="ALG41" s="456"/>
      <c r="ALH41" s="456"/>
      <c r="ALI41" s="456"/>
      <c r="ALJ41" s="456"/>
      <c r="ALK41" s="456"/>
      <c r="ALL41" s="456"/>
      <c r="ALM41" s="456"/>
      <c r="ALN41" s="456"/>
      <c r="ALO41" s="456"/>
      <c r="ALP41" s="456"/>
      <c r="ALQ41" s="456"/>
      <c r="ALR41" s="456"/>
      <c r="ALS41" s="456"/>
      <c r="ALT41" s="456"/>
      <c r="ALU41" s="456"/>
      <c r="ALV41" s="456"/>
      <c r="ALW41" s="456"/>
      <c r="ALX41" s="456"/>
      <c r="ALY41" s="456"/>
      <c r="ALZ41" s="456"/>
      <c r="AMA41" s="456"/>
      <c r="AMB41" s="456"/>
      <c r="AMC41" s="456"/>
      <c r="AMD41" s="456"/>
      <c r="AME41" s="456"/>
      <c r="AMF41" s="456"/>
      <c r="AMG41" s="456"/>
      <c r="AMH41" s="456"/>
      <c r="AMI41" s="456"/>
      <c r="AMJ41" s="456"/>
      <c r="AMK41" s="456"/>
      <c r="AML41" s="456"/>
      <c r="AMM41" s="456"/>
      <c r="AMN41" s="456"/>
      <c r="AMO41" s="456"/>
      <c r="AMP41" s="456"/>
      <c r="AMQ41" s="456"/>
      <c r="AMR41" s="456"/>
      <c r="AMS41" s="456"/>
      <c r="AMT41" s="456"/>
      <c r="AMU41" s="456"/>
      <c r="AMV41" s="456"/>
      <c r="AMW41" s="456"/>
      <c r="AMX41" s="456"/>
      <c r="AMY41" s="456"/>
      <c r="AMZ41" s="456"/>
      <c r="ANA41" s="456"/>
      <c r="ANB41" s="456"/>
      <c r="ANC41" s="456"/>
      <c r="AND41" s="456"/>
      <c r="ANE41" s="456"/>
      <c r="ANF41" s="456"/>
      <c r="ANG41" s="456"/>
      <c r="ANH41" s="456"/>
      <c r="ANI41" s="456"/>
      <c r="ANJ41" s="456"/>
      <c r="ANK41" s="456"/>
      <c r="ANL41" s="456"/>
      <c r="ANM41" s="456"/>
      <c r="ANN41" s="456"/>
      <c r="ANO41" s="456"/>
      <c r="ANP41" s="456"/>
      <c r="ANQ41" s="456"/>
      <c r="ANR41" s="456"/>
      <c r="ANS41" s="456"/>
      <c r="ANT41" s="456"/>
      <c r="ANU41" s="456"/>
      <c r="ANV41" s="456"/>
      <c r="ANW41" s="456"/>
      <c r="ANX41" s="456"/>
      <c r="ANY41" s="456"/>
      <c r="ANZ41" s="456"/>
      <c r="AOA41" s="456"/>
      <c r="AOB41" s="456"/>
      <c r="AOC41" s="456"/>
      <c r="AOD41" s="456"/>
      <c r="AOE41" s="456"/>
      <c r="AOF41" s="456"/>
      <c r="AOG41" s="456"/>
      <c r="AOH41" s="456"/>
      <c r="AOI41" s="456"/>
      <c r="AOJ41" s="456"/>
      <c r="AOK41" s="456"/>
      <c r="AOL41" s="456"/>
      <c r="AOM41" s="456"/>
      <c r="AON41" s="456"/>
      <c r="AOO41" s="456"/>
      <c r="AOP41" s="456"/>
      <c r="AOQ41" s="456"/>
      <c r="AOR41" s="456"/>
      <c r="AOS41" s="456"/>
      <c r="AOT41" s="456"/>
      <c r="AOU41" s="456"/>
      <c r="AOV41" s="456"/>
      <c r="AOW41" s="456"/>
      <c r="AOX41" s="456"/>
      <c r="AOY41" s="456"/>
      <c r="AOZ41" s="456"/>
      <c r="APA41" s="456"/>
      <c r="APB41" s="456"/>
      <c r="APC41" s="456"/>
      <c r="APD41" s="456"/>
      <c r="APE41" s="456"/>
      <c r="APF41" s="456"/>
      <c r="APG41" s="456"/>
      <c r="APH41" s="456"/>
      <c r="API41" s="456"/>
      <c r="APJ41" s="456"/>
      <c r="APK41" s="456"/>
      <c r="APL41" s="456"/>
      <c r="APM41" s="456"/>
      <c r="APN41" s="456"/>
      <c r="APO41" s="456"/>
      <c r="APP41" s="456"/>
      <c r="APQ41" s="456"/>
      <c r="APR41" s="456"/>
      <c r="APS41" s="456"/>
      <c r="APT41" s="456"/>
      <c r="APU41" s="456"/>
      <c r="APV41" s="456"/>
      <c r="APW41" s="456"/>
      <c r="APX41" s="456"/>
      <c r="APY41" s="456"/>
      <c r="APZ41" s="456"/>
      <c r="AQA41" s="456"/>
      <c r="AQB41" s="456"/>
      <c r="AQC41" s="456"/>
      <c r="AQD41" s="456"/>
      <c r="AQE41" s="456"/>
      <c r="AQF41" s="456"/>
      <c r="AQG41" s="456"/>
      <c r="AQH41" s="456"/>
      <c r="AQI41" s="456"/>
      <c r="AQJ41" s="456"/>
      <c r="AQK41" s="456"/>
      <c r="AQL41" s="456"/>
      <c r="AQM41" s="456"/>
      <c r="AQN41" s="456"/>
      <c r="AQO41" s="456"/>
      <c r="AQP41" s="456"/>
      <c r="AQQ41" s="456"/>
      <c r="AQR41" s="456"/>
      <c r="AQS41" s="456"/>
      <c r="AQT41" s="456"/>
      <c r="AQU41" s="456"/>
      <c r="AQV41" s="456"/>
      <c r="AQW41" s="456"/>
      <c r="AQX41" s="456"/>
      <c r="AQY41" s="456"/>
      <c r="AQZ41" s="456"/>
      <c r="ARA41" s="456"/>
      <c r="ARB41" s="456"/>
      <c r="ARC41" s="456"/>
      <c r="ARD41" s="456"/>
      <c r="ARE41" s="456"/>
      <c r="ARF41" s="456"/>
      <c r="ARG41" s="456"/>
      <c r="ARH41" s="456"/>
      <c r="ARI41" s="456"/>
      <c r="ARJ41" s="456"/>
      <c r="ARK41" s="456"/>
      <c r="ARL41" s="456"/>
      <c r="ARM41" s="456"/>
      <c r="ARN41" s="456"/>
      <c r="ARO41" s="456"/>
      <c r="ARP41" s="456"/>
      <c r="ARQ41" s="456"/>
      <c r="ARR41" s="456"/>
      <c r="ARS41" s="456"/>
      <c r="ART41" s="456"/>
      <c r="ARU41" s="456"/>
      <c r="ARV41" s="456"/>
      <c r="ARW41" s="456"/>
      <c r="ARX41" s="456"/>
      <c r="ARY41" s="456"/>
      <c r="ARZ41" s="456"/>
      <c r="ASA41" s="456"/>
      <c r="ASB41" s="456"/>
      <c r="ASC41" s="456"/>
      <c r="ASD41" s="456"/>
      <c r="ASE41" s="456"/>
      <c r="ASF41" s="456"/>
      <c r="ASG41" s="456"/>
      <c r="ASH41" s="456"/>
      <c r="ASI41" s="456"/>
      <c r="ASJ41" s="456"/>
      <c r="ASK41" s="456"/>
      <c r="ASL41" s="456"/>
      <c r="ASM41" s="456"/>
      <c r="ASN41" s="456"/>
      <c r="ASO41" s="456"/>
      <c r="ASP41" s="456"/>
      <c r="ASQ41" s="456"/>
      <c r="ASR41" s="456"/>
      <c r="ASS41" s="456"/>
      <c r="AST41" s="456"/>
      <c r="ASU41" s="456"/>
      <c r="ASV41" s="456"/>
      <c r="ASW41" s="456"/>
      <c r="ASX41" s="456"/>
      <c r="ASY41" s="456"/>
      <c r="ASZ41" s="456"/>
      <c r="ATA41" s="456"/>
      <c r="ATB41" s="456"/>
      <c r="ATC41" s="456"/>
      <c r="ATD41" s="456"/>
      <c r="ATE41" s="456"/>
      <c r="ATF41" s="456"/>
      <c r="ATG41" s="456"/>
      <c r="ATH41" s="456"/>
      <c r="ATI41" s="456"/>
      <c r="ATJ41" s="456"/>
      <c r="ATK41" s="456"/>
      <c r="ATL41" s="456"/>
      <c r="ATM41" s="456"/>
      <c r="ATN41" s="456"/>
      <c r="ATO41" s="456"/>
      <c r="ATP41" s="456"/>
      <c r="ATQ41" s="456"/>
      <c r="ATR41" s="456"/>
      <c r="ATS41" s="456"/>
      <c r="ATT41" s="456"/>
      <c r="ATU41" s="456"/>
      <c r="ATV41" s="456"/>
      <c r="ATW41" s="456"/>
      <c r="ATX41" s="456"/>
      <c r="ATY41" s="456"/>
      <c r="ATZ41" s="456"/>
      <c r="AUA41" s="456"/>
      <c r="AUB41" s="456"/>
      <c r="AUC41" s="456"/>
      <c r="AUD41" s="456"/>
      <c r="AUE41" s="456"/>
      <c r="AUF41" s="456"/>
      <c r="AUG41" s="456"/>
      <c r="AUH41" s="456"/>
      <c r="AUI41" s="456"/>
      <c r="AUJ41" s="456"/>
      <c r="AUK41" s="456"/>
      <c r="AUL41" s="456"/>
      <c r="AUM41" s="456"/>
      <c r="AUN41" s="456"/>
      <c r="AUO41" s="456"/>
      <c r="AUP41" s="456"/>
      <c r="AUQ41" s="456"/>
      <c r="AUR41" s="456"/>
      <c r="AUS41" s="456"/>
      <c r="AUT41" s="456"/>
      <c r="AUU41" s="456"/>
      <c r="AUV41" s="456"/>
      <c r="AUW41" s="456"/>
      <c r="AUX41" s="456"/>
      <c r="AUY41" s="456"/>
      <c r="AUZ41" s="456"/>
      <c r="AVA41" s="456"/>
      <c r="AVB41" s="456"/>
      <c r="AVC41" s="456"/>
      <c r="AVD41" s="456"/>
      <c r="AVE41" s="456"/>
      <c r="AVF41" s="456"/>
      <c r="AVG41" s="456"/>
      <c r="AVH41" s="456"/>
      <c r="AVI41" s="456"/>
      <c r="AVJ41" s="456"/>
      <c r="AVK41" s="456"/>
      <c r="AVL41" s="456"/>
      <c r="AVM41" s="456"/>
      <c r="AVN41" s="456"/>
      <c r="AVO41" s="456"/>
      <c r="AVP41" s="456"/>
      <c r="AVQ41" s="456"/>
      <c r="AVR41" s="456"/>
      <c r="AVS41" s="456"/>
      <c r="AVT41" s="456"/>
      <c r="AVU41" s="456"/>
      <c r="AVV41" s="456"/>
      <c r="AVW41" s="456"/>
      <c r="AVX41" s="456"/>
      <c r="AVY41" s="456"/>
      <c r="AVZ41" s="456"/>
      <c r="AWA41" s="456"/>
      <c r="AWB41" s="456"/>
      <c r="AWC41" s="456"/>
      <c r="AWD41" s="456"/>
      <c r="AWE41" s="456"/>
      <c r="AWF41" s="456"/>
      <c r="AWG41" s="456"/>
      <c r="AWH41" s="456"/>
      <c r="AWI41" s="456"/>
      <c r="AWJ41" s="456"/>
      <c r="AWK41" s="456"/>
      <c r="AWL41" s="456"/>
      <c r="AWM41" s="456"/>
      <c r="AWN41" s="456"/>
      <c r="AWO41" s="456"/>
      <c r="AWP41" s="456"/>
      <c r="AWQ41" s="456"/>
      <c r="AWR41" s="456"/>
      <c r="AWS41" s="456"/>
      <c r="AWT41" s="456"/>
      <c r="AWU41" s="456"/>
      <c r="AWV41" s="456"/>
      <c r="AWW41" s="456"/>
      <c r="AWX41" s="456"/>
      <c r="AWY41" s="456"/>
      <c r="AWZ41" s="456"/>
      <c r="AXA41" s="456"/>
      <c r="AXB41" s="456"/>
      <c r="AXC41" s="456"/>
      <c r="AXD41" s="456"/>
      <c r="AXE41" s="456"/>
      <c r="AXF41" s="456"/>
      <c r="AXG41" s="456"/>
      <c r="AXH41" s="456"/>
      <c r="AXI41" s="456"/>
      <c r="AXJ41" s="456"/>
      <c r="AXK41" s="456"/>
      <c r="AXL41" s="456"/>
      <c r="AXM41" s="456"/>
      <c r="AXN41" s="456"/>
      <c r="AXO41" s="456"/>
      <c r="AXP41" s="456"/>
      <c r="AXQ41" s="456"/>
      <c r="AXR41" s="456"/>
      <c r="AXS41" s="456"/>
      <c r="AXT41" s="456"/>
      <c r="AXU41" s="456"/>
      <c r="AXV41" s="456"/>
      <c r="AXW41" s="456"/>
      <c r="AXX41" s="456"/>
      <c r="AXY41" s="456"/>
      <c r="AXZ41" s="456"/>
      <c r="AYA41" s="456"/>
      <c r="AYB41" s="456"/>
      <c r="AYC41" s="456"/>
      <c r="AYD41" s="456"/>
      <c r="AYE41" s="456"/>
      <c r="AYF41" s="456"/>
      <c r="AYG41" s="456"/>
      <c r="AYH41" s="456"/>
      <c r="AYI41" s="456"/>
      <c r="AYJ41" s="456"/>
      <c r="AYK41" s="456"/>
      <c r="AYL41" s="456"/>
      <c r="AYM41" s="456"/>
      <c r="AYN41" s="456"/>
      <c r="AYO41" s="456"/>
      <c r="AYP41" s="456"/>
      <c r="AYQ41" s="456"/>
      <c r="AYR41" s="456"/>
      <c r="AYS41" s="456"/>
      <c r="AYT41" s="456"/>
      <c r="AYU41" s="456"/>
      <c r="AYV41" s="456"/>
      <c r="AYW41" s="456"/>
      <c r="AYX41" s="456"/>
      <c r="AYY41" s="456"/>
      <c r="AYZ41" s="456"/>
      <c r="AZA41" s="456"/>
      <c r="AZB41" s="456"/>
      <c r="AZC41" s="456"/>
      <c r="AZD41" s="456"/>
      <c r="AZE41" s="456"/>
      <c r="AZF41" s="456"/>
      <c r="AZG41" s="456"/>
      <c r="AZH41" s="456"/>
      <c r="AZI41" s="456"/>
      <c r="AZJ41" s="456"/>
      <c r="AZK41" s="456"/>
      <c r="AZL41" s="456"/>
      <c r="AZM41" s="456"/>
      <c r="AZN41" s="456"/>
      <c r="AZO41" s="456"/>
      <c r="AZP41" s="456"/>
      <c r="AZQ41" s="456"/>
      <c r="AZR41" s="456"/>
      <c r="AZS41" s="456"/>
      <c r="AZT41" s="456"/>
      <c r="AZU41" s="456"/>
      <c r="AZV41" s="456"/>
      <c r="AZW41" s="456"/>
      <c r="AZX41" s="456"/>
      <c r="AZY41" s="456"/>
      <c r="AZZ41" s="456"/>
      <c r="BAA41" s="456"/>
      <c r="BAB41" s="456"/>
      <c r="BAC41" s="456"/>
      <c r="BAD41" s="456"/>
      <c r="BAE41" s="456"/>
      <c r="BAF41" s="456"/>
      <c r="BAG41" s="456"/>
      <c r="BAH41" s="456"/>
      <c r="BAI41" s="456"/>
      <c r="BAJ41" s="456"/>
      <c r="BAK41" s="456"/>
      <c r="BAL41" s="456"/>
      <c r="BAM41" s="456"/>
      <c r="BAN41" s="456"/>
      <c r="BAO41" s="456"/>
      <c r="BAP41" s="456"/>
      <c r="BAQ41" s="456"/>
      <c r="BAR41" s="456"/>
      <c r="BAS41" s="456"/>
      <c r="BAT41" s="456"/>
      <c r="BAU41" s="456"/>
      <c r="BAV41" s="456"/>
      <c r="BAW41" s="456"/>
      <c r="BAX41" s="456"/>
      <c r="BAY41" s="456"/>
      <c r="BAZ41" s="456"/>
      <c r="BBA41" s="456"/>
      <c r="BBB41" s="456"/>
      <c r="BBC41" s="456"/>
      <c r="BBD41" s="456"/>
      <c r="BBE41" s="456"/>
      <c r="BBF41" s="456"/>
      <c r="BBG41" s="456"/>
      <c r="BBH41" s="456"/>
      <c r="BBI41" s="456"/>
      <c r="BBJ41" s="456"/>
      <c r="BBK41" s="456"/>
      <c r="BBL41" s="456"/>
      <c r="BBM41" s="456"/>
      <c r="BBN41" s="456"/>
      <c r="BBO41" s="456"/>
      <c r="BBP41" s="456"/>
      <c r="BBQ41" s="456"/>
      <c r="BBR41" s="456"/>
      <c r="BBS41" s="456"/>
      <c r="BBT41" s="456"/>
      <c r="BBU41" s="456"/>
      <c r="BBV41" s="456"/>
      <c r="BBW41" s="456"/>
      <c r="BBX41" s="456"/>
      <c r="BBY41" s="456"/>
      <c r="BBZ41" s="456"/>
      <c r="BCA41" s="456"/>
      <c r="BCB41" s="456"/>
      <c r="BCC41" s="456"/>
      <c r="BCD41" s="456"/>
      <c r="BCE41" s="456"/>
      <c r="BCF41" s="456"/>
      <c r="BCG41" s="456"/>
      <c r="BCH41" s="456"/>
      <c r="BCI41" s="456"/>
      <c r="BCJ41" s="456"/>
      <c r="BCK41" s="456"/>
      <c r="BCL41" s="456"/>
      <c r="BCM41" s="456"/>
      <c r="BCN41" s="456"/>
      <c r="BCO41" s="456"/>
      <c r="BCP41" s="456"/>
      <c r="BCQ41" s="456"/>
      <c r="BCR41" s="456"/>
      <c r="BCS41" s="456"/>
      <c r="BCT41" s="456"/>
      <c r="BCU41" s="456"/>
      <c r="BCV41" s="456"/>
      <c r="BCW41" s="456"/>
      <c r="BCX41" s="456"/>
      <c r="BCY41" s="456"/>
      <c r="BCZ41" s="456"/>
      <c r="BDA41" s="456"/>
      <c r="BDB41" s="456"/>
      <c r="BDC41" s="456"/>
      <c r="BDD41" s="456"/>
      <c r="BDE41" s="456"/>
      <c r="BDF41" s="456"/>
      <c r="BDG41" s="456"/>
      <c r="BDH41" s="456"/>
      <c r="BDI41" s="456"/>
      <c r="BDJ41" s="456"/>
      <c r="BDK41" s="456"/>
      <c r="BDL41" s="456"/>
      <c r="BDM41" s="456"/>
      <c r="BDN41" s="456"/>
      <c r="BDO41" s="456"/>
      <c r="BDP41" s="456"/>
      <c r="BDQ41" s="456"/>
      <c r="BDR41" s="456"/>
      <c r="BDS41" s="456"/>
      <c r="BDT41" s="456"/>
      <c r="BDU41" s="456"/>
      <c r="BDV41" s="456"/>
      <c r="BDW41" s="456"/>
      <c r="BDX41" s="456"/>
      <c r="BDY41" s="456"/>
      <c r="BDZ41" s="456"/>
      <c r="BEA41" s="456"/>
      <c r="BEB41" s="456"/>
      <c r="BEC41" s="456"/>
      <c r="BED41" s="456"/>
      <c r="BEE41" s="456"/>
      <c r="BEF41" s="456"/>
      <c r="BEG41" s="456"/>
      <c r="BEH41" s="456"/>
      <c r="BEI41" s="456"/>
      <c r="BEJ41" s="456"/>
      <c r="BEK41" s="456"/>
      <c r="BEL41" s="456"/>
      <c r="BEM41" s="456"/>
      <c r="BEN41" s="456"/>
      <c r="BEO41" s="456"/>
      <c r="BEP41" s="456"/>
      <c r="BEQ41" s="456"/>
      <c r="BER41" s="456"/>
      <c r="BES41" s="456"/>
      <c r="BET41" s="456"/>
      <c r="BEU41" s="456"/>
      <c r="BEV41" s="456"/>
      <c r="BEW41" s="456"/>
      <c r="BEX41" s="456"/>
      <c r="BEY41" s="456"/>
      <c r="BEZ41" s="456"/>
      <c r="BFA41" s="456"/>
      <c r="BFB41" s="456"/>
      <c r="BFC41" s="456"/>
      <c r="BFD41" s="456"/>
      <c r="BFE41" s="456"/>
      <c r="BFF41" s="456"/>
      <c r="BFG41" s="456"/>
      <c r="BFH41" s="456"/>
      <c r="BFI41" s="456"/>
      <c r="BFJ41" s="456"/>
      <c r="BFK41" s="456"/>
      <c r="BFL41" s="456"/>
      <c r="BFM41" s="456"/>
      <c r="BFN41" s="456"/>
      <c r="BFO41" s="456"/>
      <c r="BFP41" s="456"/>
      <c r="BFQ41" s="456"/>
      <c r="BFR41" s="456"/>
      <c r="BFS41" s="456"/>
      <c r="BFT41" s="456"/>
      <c r="BFU41" s="456"/>
      <c r="BFV41" s="456"/>
      <c r="BFW41" s="456"/>
      <c r="BFX41" s="456"/>
      <c r="BFY41" s="456"/>
      <c r="BFZ41" s="456"/>
      <c r="BGA41" s="456"/>
      <c r="BGB41" s="456"/>
      <c r="BGC41" s="456"/>
      <c r="BGD41" s="456"/>
      <c r="BGE41" s="456"/>
      <c r="BGF41" s="456"/>
      <c r="BGG41" s="456"/>
      <c r="BGH41" s="456"/>
      <c r="BGI41" s="456"/>
      <c r="BGJ41" s="456"/>
      <c r="BGK41" s="456"/>
      <c r="BGL41" s="456"/>
      <c r="BGM41" s="456"/>
      <c r="BGN41" s="456"/>
      <c r="BGO41" s="456"/>
      <c r="BGP41" s="456"/>
      <c r="BGQ41" s="456"/>
      <c r="BGR41" s="456"/>
      <c r="BGS41" s="456"/>
      <c r="BGT41" s="456"/>
      <c r="BGU41" s="456"/>
      <c r="BGV41" s="456"/>
      <c r="BGW41" s="456"/>
      <c r="BGX41" s="456"/>
      <c r="BGY41" s="456"/>
      <c r="BGZ41" s="456"/>
      <c r="BHA41" s="456"/>
      <c r="BHB41" s="456"/>
      <c r="BHC41" s="456"/>
      <c r="BHD41" s="456"/>
      <c r="BHE41" s="456"/>
      <c r="BHF41" s="456"/>
      <c r="BHG41" s="456"/>
      <c r="BHH41" s="456"/>
      <c r="BHI41" s="456"/>
      <c r="BHJ41" s="456"/>
      <c r="BHK41" s="456"/>
      <c r="BHL41" s="456"/>
      <c r="BHM41" s="456"/>
      <c r="BHN41" s="456"/>
      <c r="BHO41" s="456"/>
      <c r="BHP41" s="456"/>
      <c r="BHQ41" s="456"/>
      <c r="BHR41" s="456"/>
      <c r="BHS41" s="456"/>
      <c r="BHT41" s="456"/>
      <c r="BHU41" s="456"/>
      <c r="BHV41" s="456"/>
      <c r="BHW41" s="456"/>
      <c r="BHX41" s="456"/>
      <c r="BHY41" s="456"/>
      <c r="BHZ41" s="456"/>
      <c r="BIA41" s="456"/>
      <c r="BIB41" s="456"/>
      <c r="BIC41" s="456"/>
      <c r="BID41" s="456"/>
      <c r="BIE41" s="456"/>
      <c r="BIF41" s="456"/>
      <c r="BIG41" s="456"/>
      <c r="BIH41" s="456"/>
      <c r="BII41" s="456"/>
      <c r="BIJ41" s="456"/>
      <c r="BIK41" s="456"/>
      <c r="BIL41" s="456"/>
      <c r="BIM41" s="456"/>
      <c r="BIN41" s="456"/>
      <c r="BIO41" s="456"/>
      <c r="BIP41" s="456"/>
      <c r="BIQ41" s="456"/>
      <c r="BIR41" s="456"/>
      <c r="BIS41" s="456"/>
      <c r="BIT41" s="456"/>
      <c r="BIU41" s="456"/>
      <c r="BIV41" s="456"/>
      <c r="BIW41" s="456"/>
      <c r="BIX41" s="456"/>
      <c r="BIY41" s="456"/>
      <c r="BIZ41" s="456"/>
      <c r="BJA41" s="456"/>
      <c r="BJB41" s="456"/>
      <c r="BJC41" s="456"/>
      <c r="BJD41" s="456"/>
      <c r="BJE41" s="456"/>
      <c r="BJF41" s="456"/>
      <c r="BJG41" s="456"/>
      <c r="BJH41" s="456"/>
      <c r="BJI41" s="456"/>
      <c r="BJJ41" s="456"/>
      <c r="BJK41" s="456"/>
      <c r="BJL41" s="456"/>
      <c r="BJM41" s="456"/>
      <c r="BJN41" s="456"/>
      <c r="BJO41" s="456"/>
      <c r="BJP41" s="456"/>
      <c r="BJQ41" s="456"/>
      <c r="BJR41" s="456"/>
      <c r="BJS41" s="456"/>
      <c r="BJT41" s="456"/>
      <c r="BJU41" s="456"/>
      <c r="BJV41" s="456"/>
      <c r="BJW41" s="456"/>
      <c r="BJX41" s="456"/>
      <c r="BJY41" s="456"/>
      <c r="BJZ41" s="456"/>
      <c r="BKA41" s="456"/>
      <c r="BKB41" s="456"/>
      <c r="BKC41" s="456"/>
      <c r="BKD41" s="456"/>
      <c r="BKE41" s="456"/>
      <c r="BKF41" s="456"/>
      <c r="BKG41" s="456"/>
      <c r="BKH41" s="456"/>
      <c r="BKI41" s="456"/>
      <c r="BKJ41" s="456"/>
      <c r="BKK41" s="456"/>
      <c r="BKL41" s="456"/>
      <c r="BKM41" s="456"/>
      <c r="BKN41" s="456"/>
      <c r="BKO41" s="456"/>
      <c r="BKP41" s="456"/>
      <c r="BKQ41" s="456"/>
      <c r="BKR41" s="456"/>
      <c r="BKS41" s="456"/>
      <c r="BKT41" s="456"/>
      <c r="BKU41" s="456"/>
      <c r="BKV41" s="456"/>
      <c r="BKW41" s="456"/>
      <c r="BKX41" s="456"/>
      <c r="BKY41" s="456"/>
      <c r="BKZ41" s="456"/>
      <c r="BLA41" s="456"/>
      <c r="BLB41" s="456"/>
      <c r="BLC41" s="456"/>
      <c r="BLD41" s="456"/>
      <c r="BLE41" s="456"/>
      <c r="BLF41" s="456"/>
      <c r="BLG41" s="456"/>
      <c r="BLH41" s="456"/>
      <c r="BLI41" s="456"/>
      <c r="BLJ41" s="456"/>
      <c r="BLK41" s="456"/>
      <c r="BLL41" s="456"/>
      <c r="BLM41" s="456"/>
      <c r="BLN41" s="456"/>
      <c r="BLO41" s="456"/>
      <c r="BLP41" s="456"/>
      <c r="BLQ41" s="456"/>
      <c r="BLR41" s="456"/>
      <c r="BLS41" s="456"/>
      <c r="BLT41" s="456"/>
      <c r="BLU41" s="456"/>
      <c r="BLV41" s="456"/>
      <c r="BLW41" s="456"/>
      <c r="BLX41" s="456"/>
      <c r="BLY41" s="456"/>
      <c r="BLZ41" s="456"/>
      <c r="BMA41" s="456"/>
      <c r="BMB41" s="456"/>
      <c r="BMC41" s="456"/>
      <c r="BMD41" s="456"/>
      <c r="BME41" s="456"/>
      <c r="BMF41" s="456"/>
      <c r="BMG41" s="456"/>
      <c r="BMH41" s="456"/>
      <c r="BMI41" s="456"/>
      <c r="BMJ41" s="456"/>
      <c r="BMK41" s="456"/>
      <c r="BML41" s="456"/>
      <c r="BMM41" s="456"/>
      <c r="BMN41" s="456"/>
      <c r="BMO41" s="456"/>
      <c r="BMP41" s="456"/>
      <c r="BMQ41" s="456"/>
      <c r="BMR41" s="456"/>
      <c r="BMS41" s="456"/>
      <c r="BMT41" s="456"/>
      <c r="BMU41" s="456"/>
      <c r="BMV41" s="456"/>
      <c r="BMW41" s="456"/>
      <c r="BMX41" s="456"/>
      <c r="BMY41" s="456"/>
      <c r="BMZ41" s="456"/>
      <c r="BNA41" s="456"/>
      <c r="BNB41" s="456"/>
      <c r="BNC41" s="456"/>
      <c r="BND41" s="456"/>
      <c r="BNE41" s="456"/>
      <c r="BNF41" s="456"/>
      <c r="BNG41" s="456"/>
      <c r="BNH41" s="456"/>
      <c r="BNI41" s="456"/>
      <c r="BNJ41" s="456"/>
      <c r="BNK41" s="456"/>
      <c r="BNL41" s="456"/>
      <c r="BNM41" s="456"/>
      <c r="BNN41" s="456"/>
      <c r="BNO41" s="456"/>
      <c r="BNP41" s="456"/>
      <c r="BNQ41" s="456"/>
      <c r="BNR41" s="456"/>
      <c r="BNS41" s="456"/>
      <c r="BNT41" s="456"/>
      <c r="BNU41" s="456"/>
      <c r="BNV41" s="456"/>
      <c r="BNW41" s="456"/>
      <c r="BNX41" s="456"/>
      <c r="BNY41" s="456"/>
      <c r="BNZ41" s="456"/>
      <c r="BOA41" s="456"/>
      <c r="BOB41" s="456"/>
      <c r="BOC41" s="456"/>
      <c r="BOD41" s="456"/>
      <c r="BOE41" s="456"/>
      <c r="BOF41" s="456"/>
      <c r="BOG41" s="456"/>
      <c r="BOH41" s="456"/>
      <c r="BOI41" s="456"/>
      <c r="BOJ41" s="456"/>
      <c r="BOK41" s="456"/>
      <c r="BOL41" s="456"/>
      <c r="BOM41" s="456"/>
      <c r="BON41" s="456"/>
      <c r="BOO41" s="456"/>
      <c r="BOP41" s="456"/>
      <c r="BOQ41" s="456"/>
      <c r="BOR41" s="456"/>
      <c r="BOS41" s="456"/>
      <c r="BOT41" s="456"/>
      <c r="BOU41" s="456"/>
      <c r="BOV41" s="456"/>
      <c r="BOW41" s="456"/>
      <c r="BOX41" s="456"/>
      <c r="BOY41" s="456"/>
      <c r="BOZ41" s="456"/>
      <c r="BPA41" s="456"/>
      <c r="BPB41" s="456"/>
      <c r="BPC41" s="456"/>
      <c r="BPD41" s="456"/>
      <c r="BPE41" s="456"/>
      <c r="BPF41" s="456"/>
      <c r="BPG41" s="456"/>
      <c r="BPH41" s="456"/>
      <c r="BPI41" s="456"/>
      <c r="BPJ41" s="456"/>
      <c r="BPK41" s="456"/>
      <c r="BPL41" s="456"/>
      <c r="BPM41" s="456"/>
      <c r="BPN41" s="456"/>
      <c r="BPO41" s="456"/>
      <c r="BPP41" s="456"/>
      <c r="BPQ41" s="456"/>
      <c r="BPR41" s="456"/>
      <c r="BPS41" s="456"/>
      <c r="BPT41" s="456"/>
      <c r="BPU41" s="456"/>
      <c r="BPV41" s="456"/>
      <c r="BPW41" s="456"/>
      <c r="BPX41" s="456"/>
      <c r="BPY41" s="456"/>
      <c r="BPZ41" s="456"/>
      <c r="BQA41" s="456"/>
      <c r="BQB41" s="456"/>
      <c r="BQC41" s="456"/>
      <c r="BQD41" s="456"/>
      <c r="BQE41" s="456"/>
      <c r="BQF41" s="456"/>
      <c r="BQG41" s="456"/>
      <c r="BQH41" s="456"/>
      <c r="BQI41" s="456"/>
      <c r="BQJ41" s="456"/>
      <c r="BQK41" s="456"/>
      <c r="BQL41" s="456"/>
      <c r="BQM41" s="456"/>
      <c r="BQN41" s="456"/>
      <c r="BQO41" s="456"/>
      <c r="BQP41" s="456"/>
      <c r="BQQ41" s="456"/>
      <c r="BQR41" s="456"/>
      <c r="BQS41" s="456"/>
      <c r="BQT41" s="456"/>
      <c r="BQU41" s="456"/>
      <c r="BQV41" s="456"/>
      <c r="BQW41" s="456"/>
      <c r="BQX41" s="456"/>
      <c r="BQY41" s="456"/>
      <c r="BQZ41" s="456"/>
      <c r="BRA41" s="456"/>
      <c r="BRB41" s="456"/>
      <c r="BRC41" s="456"/>
      <c r="BRD41" s="456"/>
      <c r="BRE41" s="456"/>
      <c r="BRF41" s="456"/>
      <c r="BRG41" s="456"/>
      <c r="BRH41" s="456"/>
      <c r="BRI41" s="456"/>
      <c r="BRJ41" s="456"/>
      <c r="BRK41" s="456"/>
      <c r="BRL41" s="456"/>
      <c r="BRM41" s="456"/>
      <c r="BRN41" s="456"/>
      <c r="BRO41" s="456"/>
      <c r="BRP41" s="456"/>
      <c r="BRQ41" s="456"/>
      <c r="BRR41" s="456"/>
      <c r="BRS41" s="456"/>
      <c r="BRT41" s="456"/>
      <c r="BRU41" s="456"/>
      <c r="BRV41" s="456"/>
      <c r="BRW41" s="456"/>
      <c r="BRX41" s="456"/>
      <c r="BRY41" s="456"/>
      <c r="BRZ41" s="456"/>
      <c r="BSA41" s="456"/>
      <c r="BSB41" s="456"/>
      <c r="BSC41" s="456"/>
      <c r="BSD41" s="456"/>
      <c r="BSE41" s="456"/>
      <c r="BSF41" s="456"/>
      <c r="BSG41" s="456"/>
      <c r="BSH41" s="456"/>
      <c r="BSI41" s="456"/>
      <c r="BSJ41" s="456"/>
      <c r="BSK41" s="456"/>
      <c r="BSL41" s="456"/>
      <c r="BSM41" s="456"/>
      <c r="BSN41" s="456"/>
      <c r="BSO41" s="456"/>
      <c r="BSP41" s="456"/>
      <c r="BSQ41" s="456"/>
      <c r="BSR41" s="456"/>
      <c r="BSS41" s="456"/>
      <c r="BST41" s="456"/>
      <c r="BSU41" s="456"/>
      <c r="BSV41" s="456"/>
      <c r="BSW41" s="456"/>
      <c r="BSX41" s="456"/>
      <c r="BSY41" s="456"/>
      <c r="BSZ41" s="456"/>
      <c r="BTA41" s="456"/>
      <c r="BTB41" s="456"/>
      <c r="BTC41" s="456"/>
      <c r="BTD41" s="456"/>
      <c r="BTE41" s="456"/>
      <c r="BTF41" s="456"/>
      <c r="BTG41" s="456"/>
      <c r="BTH41" s="456"/>
      <c r="BTI41" s="456"/>
      <c r="BTJ41" s="456"/>
      <c r="BTK41" s="456"/>
      <c r="BTL41" s="456"/>
      <c r="BTM41" s="456"/>
      <c r="BTN41" s="456"/>
      <c r="BTO41" s="456"/>
      <c r="BTP41" s="456"/>
      <c r="BTQ41" s="456"/>
      <c r="BTR41" s="456"/>
      <c r="BTS41" s="456"/>
      <c r="BTT41" s="456"/>
      <c r="BTU41" s="456"/>
      <c r="BTV41" s="456"/>
      <c r="BTW41" s="456"/>
      <c r="BTX41" s="456"/>
      <c r="BTY41" s="456"/>
      <c r="BTZ41" s="456"/>
      <c r="BUA41" s="456"/>
      <c r="BUB41" s="456"/>
      <c r="BUC41" s="456"/>
      <c r="BUD41" s="456"/>
      <c r="BUE41" s="456"/>
      <c r="BUF41" s="456"/>
      <c r="BUG41" s="456"/>
      <c r="BUH41" s="456"/>
      <c r="BUI41" s="456"/>
      <c r="BUJ41" s="456"/>
      <c r="BUK41" s="456"/>
      <c r="BUL41" s="456"/>
      <c r="BUM41" s="456"/>
      <c r="BUN41" s="456"/>
      <c r="BUO41" s="456"/>
      <c r="BUP41" s="456"/>
      <c r="BUQ41" s="456"/>
      <c r="BUR41" s="456"/>
      <c r="BUS41" s="456"/>
      <c r="BUT41" s="456"/>
      <c r="BUU41" s="456"/>
      <c r="BUV41" s="456"/>
      <c r="BUW41" s="456"/>
      <c r="BUX41" s="456"/>
      <c r="BUY41" s="456"/>
      <c r="BUZ41" s="456"/>
      <c r="BVA41" s="456"/>
      <c r="BVB41" s="456"/>
      <c r="BVC41" s="456"/>
      <c r="BVD41" s="456"/>
      <c r="BVE41" s="456"/>
      <c r="BVF41" s="456"/>
      <c r="BVG41" s="456"/>
      <c r="BVH41" s="456"/>
      <c r="BVI41" s="456"/>
      <c r="BVJ41" s="456"/>
      <c r="BVK41" s="456"/>
      <c r="BVL41" s="456"/>
      <c r="BVM41" s="456"/>
      <c r="BVN41" s="456"/>
      <c r="BVO41" s="456"/>
      <c r="BVP41" s="456"/>
      <c r="BVQ41" s="456"/>
      <c r="BVR41" s="456"/>
      <c r="BVS41" s="456"/>
      <c r="BVT41" s="456"/>
      <c r="BVU41" s="456"/>
      <c r="BVV41" s="456"/>
      <c r="BVW41" s="456"/>
      <c r="BVX41" s="456"/>
      <c r="BVY41" s="456"/>
      <c r="BVZ41" s="456"/>
      <c r="BWA41" s="456"/>
      <c r="BWB41" s="456"/>
      <c r="BWC41" s="456"/>
      <c r="BWD41" s="456"/>
      <c r="BWE41" s="456"/>
      <c r="BWF41" s="456"/>
      <c r="BWG41" s="456"/>
      <c r="BWH41" s="456"/>
      <c r="BWI41" s="456"/>
      <c r="BWJ41" s="456"/>
      <c r="BWK41" s="456"/>
      <c r="BWL41" s="456"/>
      <c r="BWM41" s="456"/>
      <c r="BWN41" s="456"/>
      <c r="BWO41" s="456"/>
      <c r="BWP41" s="456"/>
      <c r="BWQ41" s="456"/>
      <c r="BWR41" s="456"/>
      <c r="BWS41" s="456"/>
      <c r="BWT41" s="456"/>
      <c r="BWU41" s="456"/>
      <c r="BWV41" s="456"/>
      <c r="BWW41" s="456"/>
      <c r="BWX41" s="456"/>
      <c r="BWY41" s="456"/>
      <c r="BWZ41" s="456"/>
      <c r="BXA41" s="456"/>
      <c r="BXB41" s="456"/>
      <c r="BXC41" s="456"/>
      <c r="BXD41" s="456"/>
      <c r="BXE41" s="456"/>
      <c r="BXF41" s="456"/>
      <c r="BXG41" s="456"/>
      <c r="BXH41" s="456"/>
      <c r="BXI41" s="456"/>
      <c r="BXJ41" s="456"/>
      <c r="BXK41" s="456"/>
      <c r="BXL41" s="456"/>
      <c r="BXM41" s="456"/>
      <c r="BXN41" s="456"/>
      <c r="BXO41" s="456"/>
      <c r="BXP41" s="456"/>
      <c r="BXQ41" s="456"/>
      <c r="BXR41" s="456"/>
      <c r="BXS41" s="456"/>
      <c r="BXT41" s="456"/>
      <c r="BXU41" s="456"/>
      <c r="BXV41" s="456"/>
      <c r="BXW41" s="456"/>
      <c r="BXX41" s="456"/>
      <c r="BXY41" s="456"/>
      <c r="BXZ41" s="456"/>
    </row>
    <row r="42" s="25" customFormat="1" spans="1:1024 1025:2002">
      <c r="A42" s="473"/>
      <c r="B42" s="19">
        <v>1117</v>
      </c>
      <c r="C42" s="183">
        <v>46174</v>
      </c>
      <c r="D42" s="17" t="s">
        <v>35</v>
      </c>
      <c r="E42" s="17" t="s">
        <v>71</v>
      </c>
      <c r="F42" s="17" t="s">
        <v>72</v>
      </c>
      <c r="G42" s="17"/>
      <c r="H42" s="19">
        <v>1.2379</v>
      </c>
      <c r="I42" s="19">
        <v>1.2379</v>
      </c>
      <c r="J42" s="17" t="s">
        <v>39</v>
      </c>
      <c r="K42" s="19">
        <v>262</v>
      </c>
      <c r="L42" s="91"/>
      <c r="M42" s="19">
        <v>5800</v>
      </c>
      <c r="N42" s="19" t="s">
        <v>40</v>
      </c>
      <c r="O42" s="19" t="s">
        <v>50</v>
      </c>
      <c r="P42" s="19">
        <v>3000</v>
      </c>
      <c r="Q42" s="19">
        <f>1625+1445</f>
        <v>3070</v>
      </c>
      <c r="R42" s="19">
        <f t="shared" si="0"/>
        <v>-70</v>
      </c>
      <c r="S42" s="19">
        <v>2260</v>
      </c>
      <c r="T42" s="19" t="s">
        <v>42</v>
      </c>
      <c r="U42" s="102" t="s">
        <v>73</v>
      </c>
      <c r="V42" s="186">
        <v>46173</v>
      </c>
      <c r="W42" s="17" t="s">
        <v>44</v>
      </c>
      <c r="X42" s="17"/>
      <c r="Y42" s="68">
        <v>46296</v>
      </c>
      <c r="Z42" s="17" t="s">
        <v>45</v>
      </c>
      <c r="AA42" s="17" t="s">
        <v>46</v>
      </c>
      <c r="AB42" s="17"/>
      <c r="AC42" s="102"/>
      <c r="AD42" s="65">
        <v>1855</v>
      </c>
      <c r="AE42" s="17" t="s">
        <v>74</v>
      </c>
      <c r="AF42" s="17"/>
      <c r="AG42" s="17"/>
      <c r="AH42" s="456"/>
      <c r="AI42" s="456"/>
      <c r="AJ42" s="456"/>
      <c r="AK42" s="456"/>
      <c r="AL42" s="456"/>
      <c r="AM42" s="456"/>
      <c r="AN42" s="456"/>
      <c r="AO42" s="456"/>
      <c r="AP42" s="456"/>
      <c r="AQ42" s="456"/>
      <c r="AR42" s="456"/>
      <c r="AS42" s="456"/>
      <c r="AT42" s="456"/>
      <c r="AU42" s="456"/>
      <c r="AV42" s="456"/>
      <c r="AW42" s="456"/>
      <c r="AX42" s="456"/>
      <c r="AY42" s="456"/>
      <c r="AZ42" s="456"/>
      <c r="BA42" s="456"/>
      <c r="BB42" s="456"/>
      <c r="BC42" s="456"/>
      <c r="BD42" s="456"/>
      <c r="BE42" s="456"/>
      <c r="BF42" s="456"/>
      <c r="BG42" s="456"/>
      <c r="BH42" s="456"/>
      <c r="BI42" s="456"/>
      <c r="BJ42" s="456"/>
      <c r="BK42" s="456"/>
      <c r="BL42" s="456"/>
      <c r="BM42" s="456"/>
      <c r="BN42" s="456"/>
      <c r="BO42" s="456"/>
      <c r="BP42" s="456"/>
      <c r="BQ42" s="456"/>
      <c r="BR42" s="456"/>
      <c r="BS42" s="456"/>
      <c r="BT42" s="456"/>
      <c r="BU42" s="456"/>
      <c r="BV42" s="456"/>
      <c r="BW42" s="456"/>
      <c r="BX42" s="456"/>
      <c r="BY42" s="456"/>
      <c r="BZ42" s="456"/>
      <c r="CA42" s="456"/>
      <c r="CB42" s="456"/>
      <c r="CC42" s="456"/>
      <c r="CD42" s="456"/>
      <c r="CE42" s="456"/>
      <c r="CF42" s="456"/>
      <c r="CG42" s="456"/>
      <c r="CH42" s="456"/>
      <c r="CI42" s="456"/>
      <c r="CJ42" s="456"/>
      <c r="CK42" s="456"/>
      <c r="CL42" s="456"/>
      <c r="CM42" s="456"/>
      <c r="CN42" s="456"/>
      <c r="CO42" s="456"/>
      <c r="CP42" s="456"/>
      <c r="CQ42" s="456"/>
      <c r="CR42" s="456"/>
      <c r="CS42" s="456"/>
      <c r="CT42" s="456"/>
      <c r="CU42" s="456"/>
      <c r="CV42" s="456"/>
      <c r="CW42" s="456"/>
      <c r="CX42" s="456"/>
      <c r="CY42" s="456"/>
      <c r="CZ42" s="456"/>
      <c r="DA42" s="456"/>
      <c r="DB42" s="456"/>
      <c r="DC42" s="456"/>
      <c r="DD42" s="456"/>
      <c r="DE42" s="456"/>
      <c r="DF42" s="456"/>
      <c r="DG42" s="456"/>
      <c r="DH42" s="456"/>
      <c r="DI42" s="456"/>
      <c r="DJ42" s="456"/>
      <c r="DK42" s="456"/>
      <c r="DL42" s="456"/>
      <c r="DM42" s="456"/>
      <c r="DN42" s="456"/>
      <c r="DO42" s="456"/>
      <c r="DP42" s="456"/>
      <c r="DQ42" s="456"/>
      <c r="DR42" s="456"/>
      <c r="DS42" s="456"/>
      <c r="DT42" s="456"/>
      <c r="DU42" s="456"/>
      <c r="DV42" s="456"/>
      <c r="DW42" s="456"/>
      <c r="DX42" s="456"/>
      <c r="DY42" s="456"/>
      <c r="DZ42" s="456"/>
      <c r="EA42" s="456"/>
      <c r="EB42" s="456"/>
      <c r="EC42" s="456"/>
      <c r="ED42" s="456"/>
      <c r="EE42" s="456"/>
      <c r="EF42" s="456"/>
      <c r="EG42" s="456"/>
      <c r="EH42" s="456"/>
      <c r="EI42" s="456"/>
      <c r="EJ42" s="456"/>
      <c r="EK42" s="456"/>
      <c r="EL42" s="456"/>
      <c r="EM42" s="456"/>
      <c r="EN42" s="456"/>
      <c r="EO42" s="456"/>
      <c r="EP42" s="456"/>
      <c r="EQ42" s="456"/>
      <c r="ER42" s="456"/>
      <c r="ES42" s="456"/>
      <c r="ET42" s="456"/>
      <c r="EU42" s="456"/>
      <c r="EV42" s="456"/>
      <c r="EW42" s="456"/>
      <c r="EX42" s="456"/>
      <c r="EY42" s="456"/>
      <c r="EZ42" s="456"/>
      <c r="FA42" s="456"/>
      <c r="FB42" s="456"/>
      <c r="FC42" s="456"/>
      <c r="FD42" s="456"/>
      <c r="FE42" s="456"/>
      <c r="FF42" s="456"/>
      <c r="FG42" s="456"/>
      <c r="FH42" s="456"/>
      <c r="FI42" s="456"/>
      <c r="FJ42" s="456"/>
      <c r="FK42" s="456"/>
      <c r="FL42" s="456"/>
      <c r="FM42" s="456"/>
      <c r="FN42" s="456"/>
      <c r="FO42" s="456"/>
      <c r="FP42" s="456"/>
      <c r="FQ42" s="456"/>
      <c r="FR42" s="456"/>
      <c r="FS42" s="456"/>
      <c r="FT42" s="456"/>
      <c r="FU42" s="456"/>
      <c r="FV42" s="456"/>
      <c r="FW42" s="456"/>
      <c r="FX42" s="456"/>
      <c r="FY42" s="456"/>
      <c r="FZ42" s="456"/>
      <c r="GA42" s="456"/>
      <c r="GB42" s="456"/>
      <c r="GC42" s="456"/>
      <c r="GD42" s="456"/>
      <c r="GE42" s="456"/>
      <c r="GF42" s="456"/>
      <c r="GG42" s="456"/>
      <c r="GH42" s="456"/>
      <c r="GI42" s="456"/>
      <c r="GJ42" s="456"/>
      <c r="GK42" s="456"/>
      <c r="GL42" s="456"/>
      <c r="GM42" s="456"/>
      <c r="GN42" s="456"/>
      <c r="GO42" s="456"/>
      <c r="GP42" s="456"/>
      <c r="GQ42" s="456"/>
      <c r="GR42" s="456"/>
      <c r="GS42" s="456"/>
      <c r="GT42" s="456"/>
      <c r="GU42" s="456"/>
      <c r="GV42" s="456"/>
      <c r="GW42" s="456"/>
      <c r="GX42" s="456"/>
      <c r="GY42" s="456"/>
      <c r="GZ42" s="456"/>
      <c r="HA42" s="456"/>
      <c r="HB42" s="456"/>
      <c r="HC42" s="456"/>
      <c r="HD42" s="456"/>
      <c r="HE42" s="456"/>
      <c r="HF42" s="456"/>
      <c r="HG42" s="456"/>
      <c r="HH42" s="456"/>
      <c r="HI42" s="456"/>
      <c r="HJ42" s="456"/>
      <c r="HK42" s="456"/>
      <c r="HL42" s="456"/>
      <c r="HM42" s="456"/>
      <c r="HN42" s="456"/>
      <c r="HO42" s="456"/>
      <c r="HP42" s="456"/>
      <c r="HQ42" s="456"/>
      <c r="HR42" s="456"/>
      <c r="HS42" s="456"/>
      <c r="HT42" s="456"/>
      <c r="HU42" s="456"/>
      <c r="HV42" s="456"/>
      <c r="HW42" s="456"/>
      <c r="HX42" s="456"/>
      <c r="HY42" s="456"/>
      <c r="HZ42" s="456"/>
      <c r="IA42" s="456"/>
      <c r="IB42" s="456"/>
      <c r="IC42" s="456"/>
      <c r="ID42" s="456"/>
      <c r="IE42" s="456"/>
      <c r="IF42" s="456"/>
      <c r="IG42" s="456"/>
      <c r="IH42" s="456"/>
      <c r="II42" s="456"/>
      <c r="IJ42" s="456"/>
      <c r="IK42" s="456"/>
      <c r="IL42" s="456"/>
      <c r="IM42" s="456"/>
      <c r="IN42" s="456"/>
      <c r="IO42" s="456"/>
      <c r="IP42" s="456"/>
      <c r="IQ42" s="456"/>
      <c r="IR42" s="456"/>
      <c r="IS42" s="456"/>
      <c r="IT42" s="456"/>
      <c r="IU42" s="456"/>
      <c r="IV42" s="456"/>
      <c r="IW42" s="456"/>
      <c r="IX42" s="456"/>
      <c r="IY42" s="456"/>
      <c r="IZ42" s="456"/>
      <c r="JA42" s="456"/>
      <c r="JB42" s="456"/>
      <c r="JC42" s="456"/>
      <c r="JD42" s="456"/>
      <c r="JE42" s="456"/>
      <c r="JF42" s="456"/>
      <c r="JG42" s="456"/>
      <c r="JH42" s="456"/>
      <c r="JI42" s="456"/>
      <c r="JJ42" s="456"/>
      <c r="JK42" s="456"/>
      <c r="JL42" s="456"/>
      <c r="JM42" s="456"/>
      <c r="JN42" s="456"/>
      <c r="JO42" s="456"/>
      <c r="JP42" s="456"/>
      <c r="JQ42" s="456"/>
      <c r="JR42" s="456"/>
      <c r="JS42" s="456"/>
      <c r="JT42" s="456"/>
      <c r="JU42" s="456"/>
      <c r="JV42" s="456"/>
      <c r="JW42" s="456"/>
      <c r="JX42" s="456"/>
      <c r="JY42" s="456"/>
      <c r="JZ42" s="456"/>
      <c r="KA42" s="456"/>
      <c r="KB42" s="456"/>
      <c r="KC42" s="456"/>
      <c r="KD42" s="456"/>
      <c r="KE42" s="456"/>
      <c r="KF42" s="456"/>
      <c r="KG42" s="456"/>
      <c r="KH42" s="456"/>
      <c r="KI42" s="456"/>
      <c r="KJ42" s="456"/>
      <c r="KK42" s="456"/>
      <c r="KL42" s="456"/>
      <c r="KM42" s="456"/>
      <c r="KN42" s="456"/>
      <c r="KO42" s="456"/>
      <c r="KP42" s="456"/>
      <c r="KQ42" s="456"/>
      <c r="KR42" s="456"/>
      <c r="KS42" s="456"/>
      <c r="KT42" s="456"/>
      <c r="KU42" s="456"/>
      <c r="KV42" s="456"/>
      <c r="KW42" s="456"/>
      <c r="KX42" s="456"/>
      <c r="KY42" s="456"/>
      <c r="KZ42" s="456"/>
      <c r="LA42" s="456"/>
      <c r="LB42" s="456"/>
      <c r="LC42" s="456"/>
      <c r="LD42" s="456"/>
      <c r="LE42" s="456"/>
      <c r="LF42" s="456"/>
      <c r="LG42" s="456"/>
      <c r="LH42" s="456"/>
      <c r="LI42" s="456"/>
      <c r="LJ42" s="456"/>
      <c r="LK42" s="456"/>
      <c r="LL42" s="456"/>
      <c r="LM42" s="456"/>
      <c r="LN42" s="456"/>
      <c r="LO42" s="456"/>
      <c r="LP42" s="456"/>
      <c r="LQ42" s="456"/>
      <c r="LR42" s="456"/>
      <c r="LS42" s="456"/>
      <c r="LT42" s="456"/>
      <c r="LU42" s="456"/>
      <c r="LV42" s="456"/>
      <c r="LW42" s="456"/>
      <c r="LX42" s="456"/>
      <c r="LY42" s="456"/>
      <c r="LZ42" s="456"/>
      <c r="MA42" s="456"/>
      <c r="MB42" s="456"/>
      <c r="MC42" s="456"/>
      <c r="MD42" s="456"/>
      <c r="ME42" s="456"/>
      <c r="MF42" s="456"/>
      <c r="MG42" s="456"/>
      <c r="MH42" s="456"/>
      <c r="MI42" s="456"/>
      <c r="MJ42" s="456"/>
      <c r="MK42" s="456"/>
      <c r="ML42" s="456"/>
      <c r="MM42" s="456"/>
      <c r="MN42" s="456"/>
      <c r="MO42" s="456"/>
      <c r="MP42" s="456"/>
      <c r="MQ42" s="456"/>
      <c r="MR42" s="456"/>
      <c r="MS42" s="456"/>
      <c r="MT42" s="456"/>
      <c r="MU42" s="456"/>
      <c r="MV42" s="456"/>
      <c r="MW42" s="456"/>
      <c r="MX42" s="456"/>
      <c r="MY42" s="456"/>
      <c r="MZ42" s="456"/>
      <c r="NA42" s="456"/>
      <c r="NB42" s="456"/>
      <c r="NC42" s="456"/>
      <c r="ND42" s="456"/>
      <c r="NE42" s="456"/>
      <c r="NF42" s="456"/>
      <c r="NG42" s="456"/>
      <c r="NH42" s="456"/>
      <c r="NI42" s="456"/>
      <c r="NJ42" s="456"/>
      <c r="NK42" s="456"/>
      <c r="NL42" s="456"/>
      <c r="NM42" s="456"/>
      <c r="NN42" s="456"/>
      <c r="NO42" s="456"/>
      <c r="NP42" s="456"/>
      <c r="NQ42" s="456"/>
      <c r="NR42" s="456"/>
      <c r="NS42" s="456"/>
      <c r="NT42" s="456"/>
      <c r="NU42" s="456"/>
      <c r="NV42" s="456"/>
      <c r="NW42" s="456"/>
      <c r="NX42" s="456"/>
      <c r="NY42" s="456"/>
      <c r="NZ42" s="456"/>
      <c r="OA42" s="456"/>
      <c r="OB42" s="456"/>
      <c r="OC42" s="456"/>
      <c r="OD42" s="456"/>
      <c r="OE42" s="456"/>
      <c r="OF42" s="456"/>
      <c r="OG42" s="456"/>
      <c r="OH42" s="456"/>
      <c r="OI42" s="456"/>
      <c r="OJ42" s="456"/>
      <c r="OK42" s="456"/>
      <c r="OL42" s="456"/>
      <c r="OM42" s="456"/>
      <c r="ON42" s="456"/>
      <c r="OO42" s="456"/>
      <c r="OP42" s="456"/>
      <c r="OQ42" s="456"/>
      <c r="OR42" s="456"/>
      <c r="OS42" s="456"/>
      <c r="OT42" s="456"/>
      <c r="OU42" s="456"/>
      <c r="OV42" s="456"/>
      <c r="OW42" s="456"/>
      <c r="OX42" s="456"/>
      <c r="OY42" s="456"/>
      <c r="OZ42" s="456"/>
      <c r="PA42" s="456"/>
      <c r="PB42" s="456"/>
      <c r="PC42" s="456"/>
      <c r="PD42" s="456"/>
      <c r="PE42" s="456"/>
      <c r="PF42" s="456"/>
      <c r="PG42" s="456"/>
      <c r="PH42" s="456"/>
      <c r="PI42" s="456"/>
      <c r="PJ42" s="456"/>
      <c r="PK42" s="456"/>
      <c r="PL42" s="456"/>
      <c r="PM42" s="456"/>
      <c r="PN42" s="456"/>
      <c r="PO42" s="456"/>
      <c r="PP42" s="456"/>
      <c r="PQ42" s="456"/>
      <c r="PR42" s="456"/>
      <c r="PS42" s="456"/>
      <c r="PT42" s="456"/>
      <c r="PU42" s="456"/>
      <c r="PV42" s="456"/>
      <c r="PW42" s="456"/>
      <c r="PX42" s="456"/>
      <c r="PY42" s="456"/>
      <c r="PZ42" s="456"/>
      <c r="QA42" s="456"/>
      <c r="QB42" s="456"/>
      <c r="QC42" s="456"/>
      <c r="QD42" s="456"/>
      <c r="QE42" s="456"/>
      <c r="QF42" s="456"/>
      <c r="QG42" s="456"/>
      <c r="QH42" s="456"/>
      <c r="QI42" s="456"/>
      <c r="QJ42" s="456"/>
      <c r="QK42" s="456"/>
      <c r="QL42" s="456"/>
      <c r="QM42" s="456"/>
      <c r="QN42" s="456"/>
      <c r="QO42" s="456"/>
      <c r="QP42" s="456"/>
      <c r="QQ42" s="456"/>
      <c r="QR42" s="456"/>
      <c r="QS42" s="456"/>
      <c r="QT42" s="456"/>
      <c r="QU42" s="456"/>
      <c r="QV42" s="456"/>
      <c r="QW42" s="456"/>
      <c r="QX42" s="456"/>
      <c r="QY42" s="456"/>
      <c r="QZ42" s="456"/>
      <c r="RA42" s="456"/>
      <c r="RB42" s="456"/>
      <c r="RC42" s="456"/>
      <c r="RD42" s="456"/>
      <c r="RE42" s="456"/>
      <c r="RF42" s="456"/>
      <c r="RG42" s="456"/>
      <c r="RH42" s="456"/>
      <c r="RI42" s="456"/>
      <c r="RJ42" s="456"/>
      <c r="RK42" s="456"/>
      <c r="RL42" s="456"/>
      <c r="RM42" s="456"/>
      <c r="RN42" s="456"/>
      <c r="RO42" s="456"/>
      <c r="RP42" s="456"/>
      <c r="RQ42" s="456"/>
      <c r="RR42" s="456"/>
      <c r="RS42" s="456"/>
      <c r="RT42" s="456"/>
      <c r="RU42" s="456"/>
      <c r="RV42" s="456"/>
      <c r="RW42" s="456"/>
      <c r="RX42" s="456"/>
      <c r="RY42" s="456"/>
      <c r="RZ42" s="456"/>
      <c r="SA42" s="456"/>
      <c r="SB42" s="456"/>
      <c r="SC42" s="456"/>
      <c r="SD42" s="456"/>
      <c r="SE42" s="456"/>
      <c r="SF42" s="456"/>
      <c r="SG42" s="456"/>
      <c r="SH42" s="456"/>
      <c r="SI42" s="456"/>
      <c r="SJ42" s="456"/>
      <c r="SK42" s="456"/>
      <c r="SL42" s="456"/>
      <c r="SM42" s="456"/>
      <c r="SN42" s="456"/>
      <c r="SO42" s="456"/>
      <c r="SP42" s="456"/>
      <c r="SQ42" s="456"/>
      <c r="SR42" s="456"/>
      <c r="SS42" s="456"/>
      <c r="ST42" s="456"/>
      <c r="SU42" s="456"/>
      <c r="SV42" s="456"/>
      <c r="SW42" s="456"/>
      <c r="SX42" s="456"/>
      <c r="SY42" s="456"/>
      <c r="SZ42" s="456"/>
      <c r="TA42" s="456"/>
      <c r="TB42" s="456"/>
      <c r="TC42" s="456"/>
      <c r="TD42" s="456"/>
      <c r="TE42" s="456"/>
      <c r="TF42" s="456"/>
      <c r="TG42" s="456"/>
      <c r="TH42" s="456"/>
      <c r="TI42" s="456"/>
      <c r="TJ42" s="456"/>
      <c r="TK42" s="456"/>
      <c r="TL42" s="456"/>
      <c r="TM42" s="456"/>
      <c r="TN42" s="456"/>
      <c r="TO42" s="456"/>
      <c r="TP42" s="456"/>
      <c r="TQ42" s="456"/>
      <c r="TR42" s="456"/>
      <c r="TS42" s="456"/>
      <c r="TT42" s="456"/>
      <c r="TU42" s="456"/>
      <c r="TV42" s="456"/>
      <c r="TW42" s="456"/>
      <c r="TX42" s="456"/>
      <c r="TY42" s="456"/>
      <c r="TZ42" s="456"/>
      <c r="UA42" s="456"/>
      <c r="UB42" s="456"/>
      <c r="UC42" s="456"/>
      <c r="UD42" s="456"/>
      <c r="UE42" s="456"/>
      <c r="UF42" s="456"/>
      <c r="UG42" s="456"/>
      <c r="UH42" s="456"/>
      <c r="UI42" s="456"/>
      <c r="UJ42" s="456"/>
      <c r="UK42" s="456"/>
      <c r="UL42" s="456"/>
      <c r="UM42" s="456"/>
      <c r="UN42" s="456"/>
      <c r="UO42" s="456"/>
      <c r="UP42" s="456"/>
      <c r="UQ42" s="456"/>
      <c r="UR42" s="456"/>
      <c r="US42" s="456"/>
      <c r="UT42" s="456"/>
      <c r="UU42" s="456"/>
      <c r="UV42" s="456"/>
      <c r="UW42" s="456"/>
      <c r="UX42" s="456"/>
      <c r="UY42" s="456"/>
      <c r="UZ42" s="456"/>
      <c r="VA42" s="456"/>
      <c r="VB42" s="456"/>
      <c r="VC42" s="456"/>
      <c r="VD42" s="456"/>
      <c r="VE42" s="456"/>
      <c r="VF42" s="456"/>
      <c r="VG42" s="456"/>
      <c r="VH42" s="456"/>
      <c r="VI42" s="456"/>
      <c r="VJ42" s="456"/>
      <c r="VK42" s="456"/>
      <c r="VL42" s="456"/>
      <c r="VM42" s="456"/>
      <c r="VN42" s="456"/>
      <c r="VO42" s="456"/>
      <c r="VP42" s="456"/>
      <c r="VQ42" s="456"/>
      <c r="VR42" s="456"/>
      <c r="VS42" s="456"/>
      <c r="VT42" s="456"/>
      <c r="VU42" s="456"/>
      <c r="VV42" s="456"/>
      <c r="VW42" s="456"/>
      <c r="VX42" s="456"/>
      <c r="VY42" s="456"/>
      <c r="VZ42" s="456"/>
      <c r="WA42" s="456"/>
      <c r="WB42" s="456"/>
      <c r="WC42" s="456"/>
      <c r="WD42" s="456"/>
      <c r="WE42" s="456"/>
      <c r="WF42" s="456"/>
      <c r="WG42" s="456"/>
      <c r="WH42" s="456"/>
      <c r="WI42" s="456"/>
      <c r="WJ42" s="456"/>
      <c r="WK42" s="456"/>
      <c r="WL42" s="456"/>
      <c r="WM42" s="456"/>
      <c r="WN42" s="456"/>
      <c r="WO42" s="456"/>
      <c r="WP42" s="456"/>
      <c r="WQ42" s="456"/>
      <c r="WR42" s="456"/>
      <c r="WS42" s="456"/>
      <c r="WT42" s="456"/>
      <c r="WU42" s="456"/>
      <c r="WV42" s="456"/>
      <c r="WW42" s="456"/>
      <c r="WX42" s="456"/>
      <c r="WY42" s="456"/>
      <c r="WZ42" s="456"/>
      <c r="XA42" s="456"/>
      <c r="XB42" s="456"/>
      <c r="XC42" s="456"/>
      <c r="XD42" s="456"/>
      <c r="XE42" s="456"/>
      <c r="XF42" s="456"/>
      <c r="XG42" s="456"/>
      <c r="XH42" s="456"/>
      <c r="XI42" s="456"/>
      <c r="XJ42" s="456"/>
      <c r="XK42" s="456"/>
      <c r="XL42" s="456"/>
      <c r="XM42" s="456"/>
      <c r="XN42" s="456"/>
      <c r="XO42" s="456"/>
      <c r="XP42" s="456"/>
      <c r="XQ42" s="456"/>
      <c r="XR42" s="456"/>
      <c r="XS42" s="456"/>
      <c r="XT42" s="456"/>
      <c r="XU42" s="456"/>
      <c r="XV42" s="456"/>
      <c r="XW42" s="456"/>
      <c r="XX42" s="456"/>
      <c r="XY42" s="456"/>
      <c r="XZ42" s="456"/>
      <c r="YA42" s="456"/>
      <c r="YB42" s="456"/>
      <c r="YC42" s="456"/>
      <c r="YD42" s="456"/>
      <c r="YE42" s="456"/>
      <c r="YF42" s="456"/>
      <c r="YG42" s="456"/>
      <c r="YH42" s="456"/>
      <c r="YI42" s="456"/>
      <c r="YJ42" s="456"/>
      <c r="YK42" s="456"/>
      <c r="YL42" s="456"/>
      <c r="YM42" s="456"/>
      <c r="YN42" s="456"/>
      <c r="YO42" s="456"/>
      <c r="YP42" s="456"/>
      <c r="YQ42" s="456"/>
      <c r="YR42" s="456"/>
      <c r="YS42" s="456"/>
      <c r="YT42" s="456"/>
      <c r="YU42" s="456"/>
      <c r="YV42" s="456"/>
      <c r="YW42" s="456"/>
      <c r="YX42" s="456"/>
      <c r="YY42" s="456"/>
      <c r="YZ42" s="456"/>
      <c r="ZA42" s="456"/>
      <c r="ZB42" s="456"/>
      <c r="ZC42" s="456"/>
      <c r="ZD42" s="456"/>
      <c r="ZE42" s="456"/>
      <c r="ZF42" s="456"/>
      <c r="ZG42" s="456"/>
      <c r="ZH42" s="456"/>
      <c r="ZI42" s="456"/>
      <c r="ZJ42" s="456"/>
      <c r="ZK42" s="456"/>
      <c r="ZL42" s="456"/>
      <c r="ZM42" s="456"/>
      <c r="ZN42" s="456"/>
      <c r="ZO42" s="456"/>
      <c r="ZP42" s="456"/>
      <c r="ZQ42" s="456"/>
      <c r="ZR42" s="456"/>
      <c r="ZS42" s="456"/>
      <c r="ZT42" s="456"/>
      <c r="ZU42" s="456"/>
      <c r="ZV42" s="456"/>
      <c r="ZW42" s="456"/>
      <c r="ZX42" s="456"/>
      <c r="ZY42" s="456"/>
      <c r="ZZ42" s="456"/>
      <c r="AAA42" s="456"/>
      <c r="AAB42" s="456"/>
      <c r="AAC42" s="456"/>
      <c r="AAD42" s="456"/>
      <c r="AAE42" s="456"/>
      <c r="AAF42" s="456"/>
      <c r="AAG42" s="456"/>
      <c r="AAH42" s="456"/>
      <c r="AAI42" s="456"/>
      <c r="AAJ42" s="456"/>
      <c r="AAK42" s="456"/>
      <c r="AAL42" s="456"/>
      <c r="AAM42" s="456"/>
      <c r="AAN42" s="456"/>
      <c r="AAO42" s="456"/>
      <c r="AAP42" s="456"/>
      <c r="AAQ42" s="456"/>
      <c r="AAR42" s="456"/>
      <c r="AAS42" s="456"/>
      <c r="AAT42" s="456"/>
      <c r="AAU42" s="456"/>
      <c r="AAV42" s="456"/>
      <c r="AAW42" s="456"/>
      <c r="AAX42" s="456"/>
      <c r="AAY42" s="456"/>
      <c r="AAZ42" s="456"/>
      <c r="ABA42" s="456"/>
      <c r="ABB42" s="456"/>
      <c r="ABC42" s="456"/>
      <c r="ABD42" s="456"/>
      <c r="ABE42" s="456"/>
      <c r="ABF42" s="456"/>
      <c r="ABG42" s="456"/>
      <c r="ABH42" s="456"/>
      <c r="ABI42" s="456"/>
      <c r="ABJ42" s="456"/>
      <c r="ABK42" s="456"/>
      <c r="ABL42" s="456"/>
      <c r="ABM42" s="456"/>
      <c r="ABN42" s="456"/>
      <c r="ABO42" s="456"/>
      <c r="ABP42" s="456"/>
      <c r="ABQ42" s="456"/>
      <c r="ABR42" s="456"/>
      <c r="ABS42" s="456"/>
      <c r="ABT42" s="456"/>
      <c r="ABU42" s="456"/>
      <c r="ABV42" s="456"/>
      <c r="ABW42" s="456"/>
      <c r="ABX42" s="456"/>
      <c r="ABY42" s="456"/>
      <c r="ABZ42" s="456"/>
      <c r="ACA42" s="456"/>
      <c r="ACB42" s="456"/>
      <c r="ACC42" s="456"/>
      <c r="ACD42" s="456"/>
      <c r="ACE42" s="456"/>
      <c r="ACF42" s="456"/>
      <c r="ACG42" s="456"/>
      <c r="ACH42" s="456"/>
      <c r="ACI42" s="456"/>
      <c r="ACJ42" s="456"/>
      <c r="ACK42" s="456"/>
      <c r="ACL42" s="456"/>
      <c r="ACM42" s="456"/>
      <c r="ACN42" s="456"/>
      <c r="ACO42" s="456"/>
      <c r="ACP42" s="456"/>
      <c r="ACQ42" s="456"/>
      <c r="ACR42" s="456"/>
      <c r="ACS42" s="456"/>
      <c r="ACT42" s="456"/>
      <c r="ACU42" s="456"/>
      <c r="ACV42" s="456"/>
      <c r="ACW42" s="456"/>
      <c r="ACX42" s="456"/>
      <c r="ACY42" s="456"/>
      <c r="ACZ42" s="456"/>
      <c r="ADA42" s="456"/>
      <c r="ADB42" s="456"/>
      <c r="ADC42" s="456"/>
      <c r="ADD42" s="456"/>
      <c r="ADE42" s="456"/>
      <c r="ADF42" s="456"/>
      <c r="ADG42" s="456"/>
      <c r="ADH42" s="456"/>
      <c r="ADI42" s="456"/>
      <c r="ADJ42" s="456"/>
      <c r="ADK42" s="456"/>
      <c r="ADL42" s="456"/>
      <c r="ADM42" s="456"/>
      <c r="ADN42" s="456"/>
      <c r="ADO42" s="456"/>
      <c r="ADP42" s="456"/>
      <c r="ADQ42" s="456"/>
      <c r="ADR42" s="456"/>
      <c r="ADS42" s="456"/>
      <c r="ADT42" s="456"/>
      <c r="ADU42" s="456"/>
      <c r="ADV42" s="456"/>
      <c r="ADW42" s="456"/>
      <c r="ADX42" s="456"/>
      <c r="ADY42" s="456"/>
      <c r="ADZ42" s="456"/>
      <c r="AEA42" s="456"/>
      <c r="AEB42" s="456"/>
      <c r="AEC42" s="456"/>
      <c r="AED42" s="456"/>
      <c r="AEE42" s="456"/>
      <c r="AEF42" s="456"/>
      <c r="AEG42" s="456"/>
      <c r="AEH42" s="456"/>
      <c r="AEI42" s="456"/>
      <c r="AEJ42" s="456"/>
      <c r="AEK42" s="456"/>
      <c r="AEL42" s="456"/>
      <c r="AEM42" s="456"/>
      <c r="AEN42" s="456"/>
      <c r="AEO42" s="456"/>
      <c r="AEP42" s="456"/>
      <c r="AEQ42" s="456"/>
      <c r="AER42" s="456"/>
      <c r="AES42" s="456"/>
      <c r="AET42" s="456"/>
      <c r="AEU42" s="456"/>
      <c r="AEV42" s="456"/>
      <c r="AEW42" s="456"/>
      <c r="AEX42" s="456"/>
      <c r="AEY42" s="456"/>
      <c r="AEZ42" s="456"/>
      <c r="AFA42" s="456"/>
      <c r="AFB42" s="456"/>
      <c r="AFC42" s="456"/>
      <c r="AFD42" s="456"/>
      <c r="AFE42" s="456"/>
      <c r="AFF42" s="456"/>
      <c r="AFG42" s="456"/>
      <c r="AFH42" s="456"/>
      <c r="AFI42" s="456"/>
      <c r="AFJ42" s="456"/>
      <c r="AFK42" s="456"/>
      <c r="AFL42" s="456"/>
      <c r="AFM42" s="456"/>
      <c r="AFN42" s="456"/>
      <c r="AFO42" s="456"/>
      <c r="AFP42" s="456"/>
      <c r="AFQ42" s="456"/>
      <c r="AFR42" s="456"/>
      <c r="AFS42" s="456"/>
      <c r="AFT42" s="456"/>
      <c r="AFU42" s="456"/>
      <c r="AFV42" s="456"/>
      <c r="AFW42" s="456"/>
      <c r="AFX42" s="456"/>
      <c r="AFY42" s="456"/>
      <c r="AFZ42" s="456"/>
      <c r="AGA42" s="456"/>
      <c r="AGB42" s="456"/>
      <c r="AGC42" s="456"/>
      <c r="AGD42" s="456"/>
      <c r="AGE42" s="456"/>
      <c r="AGF42" s="456"/>
      <c r="AGG42" s="456"/>
      <c r="AGH42" s="456"/>
      <c r="AGI42" s="456"/>
      <c r="AGJ42" s="456"/>
      <c r="AGK42" s="456"/>
      <c r="AGL42" s="456"/>
      <c r="AGM42" s="456"/>
      <c r="AGN42" s="456"/>
      <c r="AGO42" s="456"/>
      <c r="AGP42" s="456"/>
      <c r="AGQ42" s="456"/>
      <c r="AGR42" s="456"/>
      <c r="AGS42" s="456"/>
      <c r="AGT42" s="456"/>
      <c r="AGU42" s="456"/>
      <c r="AGV42" s="456"/>
      <c r="AGW42" s="456"/>
      <c r="AGX42" s="456"/>
      <c r="AGY42" s="456"/>
      <c r="AGZ42" s="456"/>
      <c r="AHA42" s="456"/>
      <c r="AHB42" s="456"/>
      <c r="AHC42" s="456"/>
      <c r="AHD42" s="456"/>
      <c r="AHE42" s="456"/>
      <c r="AHF42" s="456"/>
      <c r="AHG42" s="456"/>
      <c r="AHH42" s="456"/>
      <c r="AHI42" s="456"/>
      <c r="AHJ42" s="456"/>
      <c r="AHK42" s="456"/>
      <c r="AHL42" s="456"/>
      <c r="AHM42" s="456"/>
      <c r="AHN42" s="456"/>
      <c r="AHO42" s="456"/>
      <c r="AHP42" s="456"/>
      <c r="AHQ42" s="456"/>
      <c r="AHR42" s="456"/>
      <c r="AHS42" s="456"/>
      <c r="AHT42" s="456"/>
      <c r="AHU42" s="456"/>
      <c r="AHV42" s="456"/>
      <c r="AHW42" s="456"/>
      <c r="AHX42" s="456"/>
      <c r="AHY42" s="456"/>
      <c r="AHZ42" s="456"/>
      <c r="AIA42" s="456"/>
      <c r="AIB42" s="456"/>
      <c r="AIC42" s="456"/>
      <c r="AID42" s="456"/>
      <c r="AIE42" s="456"/>
      <c r="AIF42" s="456"/>
      <c r="AIG42" s="456"/>
      <c r="AIH42" s="456"/>
      <c r="AII42" s="456"/>
      <c r="AIJ42" s="456"/>
      <c r="AIK42" s="456"/>
      <c r="AIL42" s="456"/>
      <c r="AIM42" s="456"/>
      <c r="AIN42" s="456"/>
      <c r="AIO42" s="456"/>
      <c r="AIP42" s="456"/>
      <c r="AIQ42" s="456"/>
      <c r="AIR42" s="456"/>
      <c r="AIS42" s="456"/>
      <c r="AIT42" s="456"/>
      <c r="AIU42" s="456"/>
      <c r="AIV42" s="456"/>
      <c r="AIW42" s="456"/>
      <c r="AIX42" s="456"/>
      <c r="AIY42" s="456"/>
      <c r="AIZ42" s="456"/>
      <c r="AJA42" s="456"/>
      <c r="AJB42" s="456"/>
      <c r="AJC42" s="456"/>
      <c r="AJD42" s="456"/>
      <c r="AJE42" s="456"/>
      <c r="AJF42" s="456"/>
      <c r="AJG42" s="456"/>
      <c r="AJH42" s="456"/>
      <c r="AJI42" s="456"/>
      <c r="AJJ42" s="456"/>
      <c r="AJK42" s="456"/>
      <c r="AJL42" s="456"/>
      <c r="AJM42" s="456"/>
      <c r="AJN42" s="456"/>
      <c r="AJO42" s="456"/>
      <c r="AJP42" s="456"/>
      <c r="AJQ42" s="456"/>
      <c r="AJR42" s="456"/>
      <c r="AJS42" s="456"/>
      <c r="AJT42" s="456"/>
      <c r="AJU42" s="456"/>
      <c r="AJV42" s="456"/>
      <c r="AJW42" s="456"/>
      <c r="AJX42" s="456"/>
      <c r="AJY42" s="456"/>
      <c r="AJZ42" s="456"/>
      <c r="AKA42" s="456"/>
      <c r="AKB42" s="456"/>
      <c r="AKC42" s="456"/>
      <c r="AKD42" s="456"/>
      <c r="AKE42" s="456"/>
      <c r="AKF42" s="456"/>
      <c r="AKG42" s="456"/>
      <c r="AKH42" s="456"/>
      <c r="AKI42" s="456"/>
      <c r="AKJ42" s="456"/>
      <c r="AKK42" s="456"/>
      <c r="AKL42" s="456"/>
      <c r="AKM42" s="456"/>
      <c r="AKN42" s="456"/>
      <c r="AKO42" s="456"/>
      <c r="AKP42" s="456"/>
      <c r="AKQ42" s="456"/>
      <c r="AKR42" s="456"/>
      <c r="AKS42" s="456"/>
      <c r="AKT42" s="456"/>
      <c r="AKU42" s="456"/>
      <c r="AKV42" s="456"/>
      <c r="AKW42" s="456"/>
      <c r="AKX42" s="456"/>
      <c r="AKY42" s="456"/>
      <c r="AKZ42" s="456"/>
      <c r="ALA42" s="456"/>
      <c r="ALB42" s="456"/>
      <c r="ALC42" s="456"/>
      <c r="ALD42" s="456"/>
      <c r="ALE42" s="456"/>
      <c r="ALF42" s="456"/>
      <c r="ALG42" s="456"/>
      <c r="ALH42" s="456"/>
      <c r="ALI42" s="456"/>
      <c r="ALJ42" s="456"/>
      <c r="ALK42" s="456"/>
      <c r="ALL42" s="456"/>
      <c r="ALM42" s="456"/>
      <c r="ALN42" s="456"/>
      <c r="ALO42" s="456"/>
      <c r="ALP42" s="456"/>
      <c r="ALQ42" s="456"/>
      <c r="ALR42" s="456"/>
      <c r="ALS42" s="456"/>
      <c r="ALT42" s="456"/>
      <c r="ALU42" s="456"/>
      <c r="ALV42" s="456"/>
      <c r="ALW42" s="456"/>
      <c r="ALX42" s="456"/>
      <c r="ALY42" s="456"/>
      <c r="ALZ42" s="456"/>
      <c r="AMA42" s="456"/>
      <c r="AMB42" s="456"/>
      <c r="AMC42" s="456"/>
      <c r="AMD42" s="456"/>
      <c r="AME42" s="456"/>
      <c r="AMF42" s="456"/>
      <c r="AMG42" s="456"/>
      <c r="AMH42" s="456"/>
      <c r="AMI42" s="456"/>
      <c r="AMJ42" s="456"/>
      <c r="AMK42" s="456"/>
      <c r="AML42" s="456"/>
      <c r="AMM42" s="456"/>
      <c r="AMN42" s="456"/>
      <c r="AMO42" s="456"/>
      <c r="AMP42" s="456"/>
      <c r="AMQ42" s="456"/>
      <c r="AMR42" s="456"/>
      <c r="AMS42" s="456"/>
      <c r="AMT42" s="456"/>
      <c r="AMU42" s="456"/>
      <c r="AMV42" s="456"/>
      <c r="AMW42" s="456"/>
      <c r="AMX42" s="456"/>
      <c r="AMY42" s="456"/>
      <c r="AMZ42" s="456"/>
      <c r="ANA42" s="456"/>
      <c r="ANB42" s="456"/>
      <c r="ANC42" s="456"/>
      <c r="AND42" s="456"/>
      <c r="ANE42" s="456"/>
      <c r="ANF42" s="456"/>
      <c r="ANG42" s="456"/>
      <c r="ANH42" s="456"/>
      <c r="ANI42" s="456"/>
      <c r="ANJ42" s="456"/>
      <c r="ANK42" s="456"/>
      <c r="ANL42" s="456"/>
      <c r="ANM42" s="456"/>
      <c r="ANN42" s="456"/>
      <c r="ANO42" s="456"/>
      <c r="ANP42" s="456"/>
      <c r="ANQ42" s="456"/>
      <c r="ANR42" s="456"/>
      <c r="ANS42" s="456"/>
      <c r="ANT42" s="456"/>
      <c r="ANU42" s="456"/>
      <c r="ANV42" s="456"/>
      <c r="ANW42" s="456"/>
      <c r="ANX42" s="456"/>
      <c r="ANY42" s="456"/>
      <c r="ANZ42" s="456"/>
      <c r="AOA42" s="456"/>
      <c r="AOB42" s="456"/>
      <c r="AOC42" s="456"/>
      <c r="AOD42" s="456"/>
      <c r="AOE42" s="456"/>
      <c r="AOF42" s="456"/>
      <c r="AOG42" s="456"/>
      <c r="AOH42" s="456"/>
      <c r="AOI42" s="456"/>
      <c r="AOJ42" s="456"/>
      <c r="AOK42" s="456"/>
      <c r="AOL42" s="456"/>
      <c r="AOM42" s="456"/>
      <c r="AON42" s="456"/>
      <c r="AOO42" s="456"/>
      <c r="AOP42" s="456"/>
      <c r="AOQ42" s="456"/>
      <c r="AOR42" s="456"/>
      <c r="AOS42" s="456"/>
      <c r="AOT42" s="456"/>
      <c r="AOU42" s="456"/>
      <c r="AOV42" s="456"/>
      <c r="AOW42" s="456"/>
      <c r="AOX42" s="456"/>
      <c r="AOY42" s="456"/>
      <c r="AOZ42" s="456"/>
      <c r="APA42" s="456"/>
      <c r="APB42" s="456"/>
      <c r="APC42" s="456"/>
      <c r="APD42" s="456"/>
      <c r="APE42" s="456"/>
      <c r="APF42" s="456"/>
      <c r="APG42" s="456"/>
      <c r="APH42" s="456"/>
      <c r="API42" s="456"/>
      <c r="APJ42" s="456"/>
      <c r="APK42" s="456"/>
      <c r="APL42" s="456"/>
      <c r="APM42" s="456"/>
      <c r="APN42" s="456"/>
      <c r="APO42" s="456"/>
      <c r="APP42" s="456"/>
      <c r="APQ42" s="456"/>
      <c r="APR42" s="456"/>
      <c r="APS42" s="456"/>
      <c r="APT42" s="456"/>
      <c r="APU42" s="456"/>
      <c r="APV42" s="456"/>
      <c r="APW42" s="456"/>
      <c r="APX42" s="456"/>
      <c r="APY42" s="456"/>
      <c r="APZ42" s="456"/>
      <c r="AQA42" s="456"/>
      <c r="AQB42" s="456"/>
      <c r="AQC42" s="456"/>
      <c r="AQD42" s="456"/>
      <c r="AQE42" s="456"/>
      <c r="AQF42" s="456"/>
      <c r="AQG42" s="456"/>
      <c r="AQH42" s="456"/>
      <c r="AQI42" s="456"/>
      <c r="AQJ42" s="456"/>
      <c r="AQK42" s="456"/>
      <c r="AQL42" s="456"/>
      <c r="AQM42" s="456"/>
      <c r="AQN42" s="456"/>
      <c r="AQO42" s="456"/>
      <c r="AQP42" s="456"/>
      <c r="AQQ42" s="456"/>
      <c r="AQR42" s="456"/>
      <c r="AQS42" s="456"/>
      <c r="AQT42" s="456"/>
      <c r="AQU42" s="456"/>
      <c r="AQV42" s="456"/>
      <c r="AQW42" s="456"/>
      <c r="AQX42" s="456"/>
      <c r="AQY42" s="456"/>
      <c r="AQZ42" s="456"/>
      <c r="ARA42" s="456"/>
      <c r="ARB42" s="456"/>
      <c r="ARC42" s="456"/>
      <c r="ARD42" s="456"/>
      <c r="ARE42" s="456"/>
      <c r="ARF42" s="456"/>
      <c r="ARG42" s="456"/>
      <c r="ARH42" s="456"/>
      <c r="ARI42" s="456"/>
      <c r="ARJ42" s="456"/>
      <c r="ARK42" s="456"/>
      <c r="ARL42" s="456"/>
      <c r="ARM42" s="456"/>
      <c r="ARN42" s="456"/>
      <c r="ARO42" s="456"/>
      <c r="ARP42" s="456"/>
      <c r="ARQ42" s="456"/>
      <c r="ARR42" s="456"/>
      <c r="ARS42" s="456"/>
      <c r="ART42" s="456"/>
      <c r="ARU42" s="456"/>
      <c r="ARV42" s="456"/>
      <c r="ARW42" s="456"/>
      <c r="ARX42" s="456"/>
      <c r="ARY42" s="456"/>
      <c r="ARZ42" s="456"/>
      <c r="ASA42" s="456"/>
      <c r="ASB42" s="456"/>
      <c r="ASC42" s="456"/>
      <c r="ASD42" s="456"/>
      <c r="ASE42" s="456"/>
      <c r="ASF42" s="456"/>
      <c r="ASG42" s="456"/>
      <c r="ASH42" s="456"/>
      <c r="ASI42" s="456"/>
      <c r="ASJ42" s="456"/>
      <c r="ASK42" s="456"/>
      <c r="ASL42" s="456"/>
      <c r="ASM42" s="456"/>
      <c r="ASN42" s="456"/>
      <c r="ASO42" s="456"/>
      <c r="ASP42" s="456"/>
      <c r="ASQ42" s="456"/>
      <c r="ASR42" s="456"/>
      <c r="ASS42" s="456"/>
      <c r="AST42" s="456"/>
      <c r="ASU42" s="456"/>
      <c r="ASV42" s="456"/>
      <c r="ASW42" s="456"/>
      <c r="ASX42" s="456"/>
      <c r="ASY42" s="456"/>
      <c r="ASZ42" s="456"/>
      <c r="ATA42" s="456"/>
      <c r="ATB42" s="456"/>
      <c r="ATC42" s="456"/>
      <c r="ATD42" s="456"/>
      <c r="ATE42" s="456"/>
      <c r="ATF42" s="456"/>
      <c r="ATG42" s="456"/>
      <c r="ATH42" s="456"/>
      <c r="ATI42" s="456"/>
      <c r="ATJ42" s="456"/>
      <c r="ATK42" s="456"/>
      <c r="ATL42" s="456"/>
      <c r="ATM42" s="456"/>
      <c r="ATN42" s="456"/>
      <c r="ATO42" s="456"/>
      <c r="ATP42" s="456"/>
      <c r="ATQ42" s="456"/>
      <c r="ATR42" s="456"/>
      <c r="ATS42" s="456"/>
      <c r="ATT42" s="456"/>
      <c r="ATU42" s="456"/>
      <c r="ATV42" s="456"/>
      <c r="ATW42" s="456"/>
      <c r="ATX42" s="456"/>
      <c r="ATY42" s="456"/>
      <c r="ATZ42" s="456"/>
      <c r="AUA42" s="456"/>
      <c r="AUB42" s="456"/>
      <c r="AUC42" s="456"/>
      <c r="AUD42" s="456"/>
      <c r="AUE42" s="456"/>
      <c r="AUF42" s="456"/>
      <c r="AUG42" s="456"/>
      <c r="AUH42" s="456"/>
      <c r="AUI42" s="456"/>
      <c r="AUJ42" s="456"/>
      <c r="AUK42" s="456"/>
      <c r="AUL42" s="456"/>
      <c r="AUM42" s="456"/>
      <c r="AUN42" s="456"/>
      <c r="AUO42" s="456"/>
      <c r="AUP42" s="456"/>
      <c r="AUQ42" s="456"/>
      <c r="AUR42" s="456"/>
      <c r="AUS42" s="456"/>
      <c r="AUT42" s="456"/>
      <c r="AUU42" s="456"/>
      <c r="AUV42" s="456"/>
      <c r="AUW42" s="456"/>
      <c r="AUX42" s="456"/>
      <c r="AUY42" s="456"/>
      <c r="AUZ42" s="456"/>
      <c r="AVA42" s="456"/>
      <c r="AVB42" s="456"/>
      <c r="AVC42" s="456"/>
      <c r="AVD42" s="456"/>
      <c r="AVE42" s="456"/>
      <c r="AVF42" s="456"/>
      <c r="AVG42" s="456"/>
      <c r="AVH42" s="456"/>
      <c r="AVI42" s="456"/>
      <c r="AVJ42" s="456"/>
      <c r="AVK42" s="456"/>
      <c r="AVL42" s="456"/>
      <c r="AVM42" s="456"/>
      <c r="AVN42" s="456"/>
      <c r="AVO42" s="456"/>
      <c r="AVP42" s="456"/>
      <c r="AVQ42" s="456"/>
      <c r="AVR42" s="456"/>
      <c r="AVS42" s="456"/>
      <c r="AVT42" s="456"/>
      <c r="AVU42" s="456"/>
      <c r="AVV42" s="456"/>
      <c r="AVW42" s="456"/>
      <c r="AVX42" s="456"/>
      <c r="AVY42" s="456"/>
      <c r="AVZ42" s="456"/>
      <c r="AWA42" s="456"/>
      <c r="AWB42" s="456"/>
      <c r="AWC42" s="456"/>
      <c r="AWD42" s="456"/>
      <c r="AWE42" s="456"/>
      <c r="AWF42" s="456"/>
      <c r="AWG42" s="456"/>
      <c r="AWH42" s="456"/>
      <c r="AWI42" s="456"/>
      <c r="AWJ42" s="456"/>
      <c r="AWK42" s="456"/>
      <c r="AWL42" s="456"/>
      <c r="AWM42" s="456"/>
      <c r="AWN42" s="456"/>
      <c r="AWO42" s="456"/>
      <c r="AWP42" s="456"/>
      <c r="AWQ42" s="456"/>
      <c r="AWR42" s="456"/>
      <c r="AWS42" s="456"/>
      <c r="AWT42" s="456"/>
      <c r="AWU42" s="456"/>
      <c r="AWV42" s="456"/>
      <c r="AWW42" s="456"/>
      <c r="AWX42" s="456"/>
      <c r="AWY42" s="456"/>
      <c r="AWZ42" s="456"/>
      <c r="AXA42" s="456"/>
      <c r="AXB42" s="456"/>
      <c r="AXC42" s="456"/>
      <c r="AXD42" s="456"/>
      <c r="AXE42" s="456"/>
      <c r="AXF42" s="456"/>
      <c r="AXG42" s="456"/>
      <c r="AXH42" s="456"/>
      <c r="AXI42" s="456"/>
      <c r="AXJ42" s="456"/>
      <c r="AXK42" s="456"/>
      <c r="AXL42" s="456"/>
      <c r="AXM42" s="456"/>
      <c r="AXN42" s="456"/>
      <c r="AXO42" s="456"/>
      <c r="AXP42" s="456"/>
      <c r="AXQ42" s="456"/>
      <c r="AXR42" s="456"/>
      <c r="AXS42" s="456"/>
      <c r="AXT42" s="456"/>
      <c r="AXU42" s="456"/>
      <c r="AXV42" s="456"/>
      <c r="AXW42" s="456"/>
      <c r="AXX42" s="456"/>
      <c r="AXY42" s="456"/>
      <c r="AXZ42" s="456"/>
      <c r="AYA42" s="456"/>
      <c r="AYB42" s="456"/>
      <c r="AYC42" s="456"/>
      <c r="AYD42" s="456"/>
      <c r="AYE42" s="456"/>
      <c r="AYF42" s="456"/>
      <c r="AYG42" s="456"/>
      <c r="AYH42" s="456"/>
      <c r="AYI42" s="456"/>
      <c r="AYJ42" s="456"/>
      <c r="AYK42" s="456"/>
      <c r="AYL42" s="456"/>
      <c r="AYM42" s="456"/>
      <c r="AYN42" s="456"/>
      <c r="AYO42" s="456"/>
      <c r="AYP42" s="456"/>
      <c r="AYQ42" s="456"/>
      <c r="AYR42" s="456"/>
      <c r="AYS42" s="456"/>
      <c r="AYT42" s="456"/>
      <c r="AYU42" s="456"/>
      <c r="AYV42" s="456"/>
      <c r="AYW42" s="456"/>
      <c r="AYX42" s="456"/>
      <c r="AYY42" s="456"/>
      <c r="AYZ42" s="456"/>
      <c r="AZA42" s="456"/>
      <c r="AZB42" s="456"/>
      <c r="AZC42" s="456"/>
      <c r="AZD42" s="456"/>
      <c r="AZE42" s="456"/>
      <c r="AZF42" s="456"/>
      <c r="AZG42" s="456"/>
      <c r="AZH42" s="456"/>
      <c r="AZI42" s="456"/>
      <c r="AZJ42" s="456"/>
      <c r="AZK42" s="456"/>
      <c r="AZL42" s="456"/>
      <c r="AZM42" s="456"/>
      <c r="AZN42" s="456"/>
      <c r="AZO42" s="456"/>
      <c r="AZP42" s="456"/>
      <c r="AZQ42" s="456"/>
      <c r="AZR42" s="456"/>
      <c r="AZS42" s="456"/>
      <c r="AZT42" s="456"/>
      <c r="AZU42" s="456"/>
      <c r="AZV42" s="456"/>
      <c r="AZW42" s="456"/>
      <c r="AZX42" s="456"/>
      <c r="AZY42" s="456"/>
      <c r="AZZ42" s="456"/>
      <c r="BAA42" s="456"/>
      <c r="BAB42" s="456"/>
      <c r="BAC42" s="456"/>
      <c r="BAD42" s="456"/>
      <c r="BAE42" s="456"/>
      <c r="BAF42" s="456"/>
      <c r="BAG42" s="456"/>
      <c r="BAH42" s="456"/>
      <c r="BAI42" s="456"/>
      <c r="BAJ42" s="456"/>
      <c r="BAK42" s="456"/>
      <c r="BAL42" s="456"/>
      <c r="BAM42" s="456"/>
      <c r="BAN42" s="456"/>
      <c r="BAO42" s="456"/>
      <c r="BAP42" s="456"/>
      <c r="BAQ42" s="456"/>
      <c r="BAR42" s="456"/>
      <c r="BAS42" s="456"/>
      <c r="BAT42" s="456"/>
      <c r="BAU42" s="456"/>
      <c r="BAV42" s="456"/>
      <c r="BAW42" s="456"/>
      <c r="BAX42" s="456"/>
      <c r="BAY42" s="456"/>
      <c r="BAZ42" s="456"/>
      <c r="BBA42" s="456"/>
      <c r="BBB42" s="456"/>
      <c r="BBC42" s="456"/>
      <c r="BBD42" s="456"/>
      <c r="BBE42" s="456"/>
      <c r="BBF42" s="456"/>
      <c r="BBG42" s="456"/>
      <c r="BBH42" s="456"/>
      <c r="BBI42" s="456"/>
      <c r="BBJ42" s="456"/>
      <c r="BBK42" s="456"/>
      <c r="BBL42" s="456"/>
      <c r="BBM42" s="456"/>
      <c r="BBN42" s="456"/>
      <c r="BBO42" s="456"/>
      <c r="BBP42" s="456"/>
      <c r="BBQ42" s="456"/>
      <c r="BBR42" s="456"/>
      <c r="BBS42" s="456"/>
      <c r="BBT42" s="456"/>
      <c r="BBU42" s="456"/>
      <c r="BBV42" s="456"/>
      <c r="BBW42" s="456"/>
      <c r="BBX42" s="456"/>
      <c r="BBY42" s="456"/>
      <c r="BBZ42" s="456"/>
      <c r="BCA42" s="456"/>
      <c r="BCB42" s="456"/>
      <c r="BCC42" s="456"/>
      <c r="BCD42" s="456"/>
      <c r="BCE42" s="456"/>
      <c r="BCF42" s="456"/>
      <c r="BCG42" s="456"/>
      <c r="BCH42" s="456"/>
      <c r="BCI42" s="456"/>
      <c r="BCJ42" s="456"/>
      <c r="BCK42" s="456"/>
      <c r="BCL42" s="456"/>
      <c r="BCM42" s="456"/>
      <c r="BCN42" s="456"/>
      <c r="BCO42" s="456"/>
      <c r="BCP42" s="456"/>
      <c r="BCQ42" s="456"/>
      <c r="BCR42" s="456"/>
      <c r="BCS42" s="456"/>
      <c r="BCT42" s="456"/>
      <c r="BCU42" s="456"/>
      <c r="BCV42" s="456"/>
      <c r="BCW42" s="456"/>
      <c r="BCX42" s="456"/>
      <c r="BCY42" s="456"/>
      <c r="BCZ42" s="456"/>
      <c r="BDA42" s="456"/>
      <c r="BDB42" s="456"/>
      <c r="BDC42" s="456"/>
      <c r="BDD42" s="456"/>
      <c r="BDE42" s="456"/>
      <c r="BDF42" s="456"/>
      <c r="BDG42" s="456"/>
      <c r="BDH42" s="456"/>
      <c r="BDI42" s="456"/>
      <c r="BDJ42" s="456"/>
      <c r="BDK42" s="456"/>
      <c r="BDL42" s="456"/>
      <c r="BDM42" s="456"/>
      <c r="BDN42" s="456"/>
      <c r="BDO42" s="456"/>
      <c r="BDP42" s="456"/>
      <c r="BDQ42" s="456"/>
      <c r="BDR42" s="456"/>
      <c r="BDS42" s="456"/>
      <c r="BDT42" s="456"/>
      <c r="BDU42" s="456"/>
      <c r="BDV42" s="456"/>
      <c r="BDW42" s="456"/>
      <c r="BDX42" s="456"/>
      <c r="BDY42" s="456"/>
      <c r="BDZ42" s="456"/>
      <c r="BEA42" s="456"/>
      <c r="BEB42" s="456"/>
      <c r="BEC42" s="456"/>
      <c r="BED42" s="456"/>
      <c r="BEE42" s="456"/>
      <c r="BEF42" s="456"/>
      <c r="BEG42" s="456"/>
      <c r="BEH42" s="456"/>
      <c r="BEI42" s="456"/>
      <c r="BEJ42" s="456"/>
      <c r="BEK42" s="456"/>
      <c r="BEL42" s="456"/>
      <c r="BEM42" s="456"/>
      <c r="BEN42" s="456"/>
      <c r="BEO42" s="456"/>
      <c r="BEP42" s="456"/>
      <c r="BEQ42" s="456"/>
      <c r="BER42" s="456"/>
      <c r="BES42" s="456"/>
      <c r="BET42" s="456"/>
      <c r="BEU42" s="456"/>
      <c r="BEV42" s="456"/>
      <c r="BEW42" s="456"/>
      <c r="BEX42" s="456"/>
      <c r="BEY42" s="456"/>
      <c r="BEZ42" s="456"/>
      <c r="BFA42" s="456"/>
      <c r="BFB42" s="456"/>
      <c r="BFC42" s="456"/>
      <c r="BFD42" s="456"/>
      <c r="BFE42" s="456"/>
      <c r="BFF42" s="456"/>
      <c r="BFG42" s="456"/>
      <c r="BFH42" s="456"/>
      <c r="BFI42" s="456"/>
      <c r="BFJ42" s="456"/>
      <c r="BFK42" s="456"/>
      <c r="BFL42" s="456"/>
      <c r="BFM42" s="456"/>
      <c r="BFN42" s="456"/>
      <c r="BFO42" s="456"/>
      <c r="BFP42" s="456"/>
      <c r="BFQ42" s="456"/>
      <c r="BFR42" s="456"/>
      <c r="BFS42" s="456"/>
      <c r="BFT42" s="456"/>
      <c r="BFU42" s="456"/>
      <c r="BFV42" s="456"/>
      <c r="BFW42" s="456"/>
      <c r="BFX42" s="456"/>
      <c r="BFY42" s="456"/>
      <c r="BFZ42" s="456"/>
      <c r="BGA42" s="456"/>
      <c r="BGB42" s="456"/>
      <c r="BGC42" s="456"/>
      <c r="BGD42" s="456"/>
      <c r="BGE42" s="456"/>
      <c r="BGF42" s="456"/>
      <c r="BGG42" s="456"/>
      <c r="BGH42" s="456"/>
      <c r="BGI42" s="456"/>
      <c r="BGJ42" s="456"/>
      <c r="BGK42" s="456"/>
      <c r="BGL42" s="456"/>
      <c r="BGM42" s="456"/>
      <c r="BGN42" s="456"/>
      <c r="BGO42" s="456"/>
      <c r="BGP42" s="456"/>
      <c r="BGQ42" s="456"/>
      <c r="BGR42" s="456"/>
      <c r="BGS42" s="456"/>
      <c r="BGT42" s="456"/>
      <c r="BGU42" s="456"/>
      <c r="BGV42" s="456"/>
      <c r="BGW42" s="456"/>
      <c r="BGX42" s="456"/>
      <c r="BGY42" s="456"/>
      <c r="BGZ42" s="456"/>
      <c r="BHA42" s="456"/>
      <c r="BHB42" s="456"/>
      <c r="BHC42" s="456"/>
      <c r="BHD42" s="456"/>
      <c r="BHE42" s="456"/>
      <c r="BHF42" s="456"/>
      <c r="BHG42" s="456"/>
      <c r="BHH42" s="456"/>
      <c r="BHI42" s="456"/>
      <c r="BHJ42" s="456"/>
      <c r="BHK42" s="456"/>
      <c r="BHL42" s="456"/>
      <c r="BHM42" s="456"/>
      <c r="BHN42" s="456"/>
      <c r="BHO42" s="456"/>
      <c r="BHP42" s="456"/>
      <c r="BHQ42" s="456"/>
      <c r="BHR42" s="456"/>
      <c r="BHS42" s="456"/>
      <c r="BHT42" s="456"/>
      <c r="BHU42" s="456"/>
      <c r="BHV42" s="456"/>
      <c r="BHW42" s="456"/>
      <c r="BHX42" s="456"/>
      <c r="BHY42" s="456"/>
      <c r="BHZ42" s="456"/>
      <c r="BIA42" s="456"/>
      <c r="BIB42" s="456"/>
      <c r="BIC42" s="456"/>
      <c r="BID42" s="456"/>
      <c r="BIE42" s="456"/>
      <c r="BIF42" s="456"/>
      <c r="BIG42" s="456"/>
      <c r="BIH42" s="456"/>
      <c r="BII42" s="456"/>
      <c r="BIJ42" s="456"/>
      <c r="BIK42" s="456"/>
      <c r="BIL42" s="456"/>
      <c r="BIM42" s="456"/>
      <c r="BIN42" s="456"/>
      <c r="BIO42" s="456"/>
      <c r="BIP42" s="456"/>
      <c r="BIQ42" s="456"/>
      <c r="BIR42" s="456"/>
      <c r="BIS42" s="456"/>
      <c r="BIT42" s="456"/>
      <c r="BIU42" s="456"/>
      <c r="BIV42" s="456"/>
      <c r="BIW42" s="456"/>
      <c r="BIX42" s="456"/>
      <c r="BIY42" s="456"/>
      <c r="BIZ42" s="456"/>
      <c r="BJA42" s="456"/>
      <c r="BJB42" s="456"/>
      <c r="BJC42" s="456"/>
      <c r="BJD42" s="456"/>
      <c r="BJE42" s="456"/>
      <c r="BJF42" s="456"/>
      <c r="BJG42" s="456"/>
      <c r="BJH42" s="456"/>
      <c r="BJI42" s="456"/>
      <c r="BJJ42" s="456"/>
      <c r="BJK42" s="456"/>
      <c r="BJL42" s="456"/>
      <c r="BJM42" s="456"/>
      <c r="BJN42" s="456"/>
      <c r="BJO42" s="456"/>
      <c r="BJP42" s="456"/>
      <c r="BJQ42" s="456"/>
      <c r="BJR42" s="456"/>
      <c r="BJS42" s="456"/>
      <c r="BJT42" s="456"/>
      <c r="BJU42" s="456"/>
      <c r="BJV42" s="456"/>
      <c r="BJW42" s="456"/>
      <c r="BJX42" s="456"/>
      <c r="BJY42" s="456"/>
      <c r="BJZ42" s="456"/>
      <c r="BKA42" s="456"/>
      <c r="BKB42" s="456"/>
      <c r="BKC42" s="456"/>
      <c r="BKD42" s="456"/>
      <c r="BKE42" s="456"/>
      <c r="BKF42" s="456"/>
      <c r="BKG42" s="456"/>
      <c r="BKH42" s="456"/>
      <c r="BKI42" s="456"/>
      <c r="BKJ42" s="456"/>
      <c r="BKK42" s="456"/>
      <c r="BKL42" s="456"/>
      <c r="BKM42" s="456"/>
      <c r="BKN42" s="456"/>
      <c r="BKO42" s="456"/>
      <c r="BKP42" s="456"/>
      <c r="BKQ42" s="456"/>
      <c r="BKR42" s="456"/>
      <c r="BKS42" s="456"/>
      <c r="BKT42" s="456"/>
      <c r="BKU42" s="456"/>
      <c r="BKV42" s="456"/>
      <c r="BKW42" s="456"/>
      <c r="BKX42" s="456"/>
      <c r="BKY42" s="456"/>
      <c r="BKZ42" s="456"/>
      <c r="BLA42" s="456"/>
      <c r="BLB42" s="456"/>
      <c r="BLC42" s="456"/>
      <c r="BLD42" s="456"/>
      <c r="BLE42" s="456"/>
      <c r="BLF42" s="456"/>
      <c r="BLG42" s="456"/>
      <c r="BLH42" s="456"/>
      <c r="BLI42" s="456"/>
      <c r="BLJ42" s="456"/>
      <c r="BLK42" s="456"/>
      <c r="BLL42" s="456"/>
      <c r="BLM42" s="456"/>
      <c r="BLN42" s="456"/>
      <c r="BLO42" s="456"/>
      <c r="BLP42" s="456"/>
      <c r="BLQ42" s="456"/>
      <c r="BLR42" s="456"/>
      <c r="BLS42" s="456"/>
      <c r="BLT42" s="456"/>
      <c r="BLU42" s="456"/>
      <c r="BLV42" s="456"/>
      <c r="BLW42" s="456"/>
      <c r="BLX42" s="456"/>
      <c r="BLY42" s="456"/>
      <c r="BLZ42" s="456"/>
      <c r="BMA42" s="456"/>
      <c r="BMB42" s="456"/>
      <c r="BMC42" s="456"/>
      <c r="BMD42" s="456"/>
      <c r="BME42" s="456"/>
      <c r="BMF42" s="456"/>
      <c r="BMG42" s="456"/>
      <c r="BMH42" s="456"/>
      <c r="BMI42" s="456"/>
      <c r="BMJ42" s="456"/>
      <c r="BMK42" s="456"/>
      <c r="BML42" s="456"/>
      <c r="BMM42" s="456"/>
      <c r="BMN42" s="456"/>
      <c r="BMO42" s="456"/>
      <c r="BMP42" s="456"/>
      <c r="BMQ42" s="456"/>
      <c r="BMR42" s="456"/>
      <c r="BMS42" s="456"/>
      <c r="BMT42" s="456"/>
      <c r="BMU42" s="456"/>
      <c r="BMV42" s="456"/>
      <c r="BMW42" s="456"/>
      <c r="BMX42" s="456"/>
      <c r="BMY42" s="456"/>
      <c r="BMZ42" s="456"/>
      <c r="BNA42" s="456"/>
      <c r="BNB42" s="456"/>
      <c r="BNC42" s="456"/>
      <c r="BND42" s="456"/>
      <c r="BNE42" s="456"/>
      <c r="BNF42" s="456"/>
      <c r="BNG42" s="456"/>
      <c r="BNH42" s="456"/>
      <c r="BNI42" s="456"/>
      <c r="BNJ42" s="456"/>
      <c r="BNK42" s="456"/>
      <c r="BNL42" s="456"/>
      <c r="BNM42" s="456"/>
      <c r="BNN42" s="456"/>
      <c r="BNO42" s="456"/>
      <c r="BNP42" s="456"/>
      <c r="BNQ42" s="456"/>
      <c r="BNR42" s="456"/>
      <c r="BNS42" s="456"/>
      <c r="BNT42" s="456"/>
      <c r="BNU42" s="456"/>
      <c r="BNV42" s="456"/>
      <c r="BNW42" s="456"/>
      <c r="BNX42" s="456"/>
      <c r="BNY42" s="456"/>
      <c r="BNZ42" s="456"/>
      <c r="BOA42" s="456"/>
      <c r="BOB42" s="456"/>
      <c r="BOC42" s="456"/>
      <c r="BOD42" s="456"/>
      <c r="BOE42" s="456"/>
      <c r="BOF42" s="456"/>
      <c r="BOG42" s="456"/>
      <c r="BOH42" s="456"/>
      <c r="BOI42" s="456"/>
      <c r="BOJ42" s="456"/>
      <c r="BOK42" s="456"/>
      <c r="BOL42" s="456"/>
      <c r="BOM42" s="456"/>
      <c r="BON42" s="456"/>
      <c r="BOO42" s="456"/>
      <c r="BOP42" s="456"/>
      <c r="BOQ42" s="456"/>
      <c r="BOR42" s="456"/>
      <c r="BOS42" s="456"/>
      <c r="BOT42" s="456"/>
      <c r="BOU42" s="456"/>
      <c r="BOV42" s="456"/>
      <c r="BOW42" s="456"/>
      <c r="BOX42" s="456"/>
      <c r="BOY42" s="456"/>
      <c r="BOZ42" s="456"/>
      <c r="BPA42" s="456"/>
      <c r="BPB42" s="456"/>
      <c r="BPC42" s="456"/>
      <c r="BPD42" s="456"/>
      <c r="BPE42" s="456"/>
      <c r="BPF42" s="456"/>
      <c r="BPG42" s="456"/>
      <c r="BPH42" s="456"/>
      <c r="BPI42" s="456"/>
      <c r="BPJ42" s="456"/>
      <c r="BPK42" s="456"/>
      <c r="BPL42" s="456"/>
      <c r="BPM42" s="456"/>
      <c r="BPN42" s="456"/>
      <c r="BPO42" s="456"/>
      <c r="BPP42" s="456"/>
      <c r="BPQ42" s="456"/>
      <c r="BPR42" s="456"/>
      <c r="BPS42" s="456"/>
      <c r="BPT42" s="456"/>
      <c r="BPU42" s="456"/>
      <c r="BPV42" s="456"/>
      <c r="BPW42" s="456"/>
      <c r="BPX42" s="456"/>
      <c r="BPY42" s="456"/>
      <c r="BPZ42" s="456"/>
      <c r="BQA42" s="456"/>
      <c r="BQB42" s="456"/>
      <c r="BQC42" s="456"/>
      <c r="BQD42" s="456"/>
      <c r="BQE42" s="456"/>
      <c r="BQF42" s="456"/>
      <c r="BQG42" s="456"/>
      <c r="BQH42" s="456"/>
      <c r="BQI42" s="456"/>
      <c r="BQJ42" s="456"/>
      <c r="BQK42" s="456"/>
      <c r="BQL42" s="456"/>
      <c r="BQM42" s="456"/>
      <c r="BQN42" s="456"/>
      <c r="BQO42" s="456"/>
      <c r="BQP42" s="456"/>
      <c r="BQQ42" s="456"/>
      <c r="BQR42" s="456"/>
      <c r="BQS42" s="456"/>
      <c r="BQT42" s="456"/>
      <c r="BQU42" s="456"/>
      <c r="BQV42" s="456"/>
      <c r="BQW42" s="456"/>
      <c r="BQX42" s="456"/>
      <c r="BQY42" s="456"/>
      <c r="BQZ42" s="456"/>
      <c r="BRA42" s="456"/>
      <c r="BRB42" s="456"/>
      <c r="BRC42" s="456"/>
      <c r="BRD42" s="456"/>
      <c r="BRE42" s="456"/>
      <c r="BRF42" s="456"/>
      <c r="BRG42" s="456"/>
      <c r="BRH42" s="456"/>
      <c r="BRI42" s="456"/>
      <c r="BRJ42" s="456"/>
      <c r="BRK42" s="456"/>
      <c r="BRL42" s="456"/>
      <c r="BRM42" s="456"/>
      <c r="BRN42" s="456"/>
      <c r="BRO42" s="456"/>
      <c r="BRP42" s="456"/>
      <c r="BRQ42" s="456"/>
      <c r="BRR42" s="456"/>
      <c r="BRS42" s="456"/>
      <c r="BRT42" s="456"/>
      <c r="BRU42" s="456"/>
      <c r="BRV42" s="456"/>
      <c r="BRW42" s="456"/>
      <c r="BRX42" s="456"/>
      <c r="BRY42" s="456"/>
      <c r="BRZ42" s="456"/>
      <c r="BSA42" s="456"/>
      <c r="BSB42" s="456"/>
      <c r="BSC42" s="456"/>
      <c r="BSD42" s="456"/>
      <c r="BSE42" s="456"/>
      <c r="BSF42" s="456"/>
      <c r="BSG42" s="456"/>
      <c r="BSH42" s="456"/>
      <c r="BSI42" s="456"/>
      <c r="BSJ42" s="456"/>
      <c r="BSK42" s="456"/>
      <c r="BSL42" s="456"/>
      <c r="BSM42" s="456"/>
      <c r="BSN42" s="456"/>
      <c r="BSO42" s="456"/>
      <c r="BSP42" s="456"/>
      <c r="BSQ42" s="456"/>
      <c r="BSR42" s="456"/>
      <c r="BSS42" s="456"/>
      <c r="BST42" s="456"/>
      <c r="BSU42" s="456"/>
      <c r="BSV42" s="456"/>
      <c r="BSW42" s="456"/>
      <c r="BSX42" s="456"/>
      <c r="BSY42" s="456"/>
      <c r="BSZ42" s="456"/>
      <c r="BTA42" s="456"/>
      <c r="BTB42" s="456"/>
      <c r="BTC42" s="456"/>
      <c r="BTD42" s="456"/>
      <c r="BTE42" s="456"/>
      <c r="BTF42" s="456"/>
      <c r="BTG42" s="456"/>
      <c r="BTH42" s="456"/>
      <c r="BTI42" s="456"/>
      <c r="BTJ42" s="456"/>
      <c r="BTK42" s="456"/>
      <c r="BTL42" s="456"/>
      <c r="BTM42" s="456"/>
      <c r="BTN42" s="456"/>
      <c r="BTO42" s="456"/>
      <c r="BTP42" s="456"/>
      <c r="BTQ42" s="456"/>
      <c r="BTR42" s="456"/>
      <c r="BTS42" s="456"/>
      <c r="BTT42" s="456"/>
      <c r="BTU42" s="456"/>
      <c r="BTV42" s="456"/>
      <c r="BTW42" s="456"/>
      <c r="BTX42" s="456"/>
      <c r="BTY42" s="456"/>
      <c r="BTZ42" s="456"/>
      <c r="BUA42" s="456"/>
      <c r="BUB42" s="456"/>
      <c r="BUC42" s="456"/>
      <c r="BUD42" s="456"/>
      <c r="BUE42" s="456"/>
      <c r="BUF42" s="456"/>
      <c r="BUG42" s="456"/>
      <c r="BUH42" s="456"/>
      <c r="BUI42" s="456"/>
      <c r="BUJ42" s="456"/>
      <c r="BUK42" s="456"/>
      <c r="BUL42" s="456"/>
      <c r="BUM42" s="456"/>
      <c r="BUN42" s="456"/>
      <c r="BUO42" s="456"/>
      <c r="BUP42" s="456"/>
      <c r="BUQ42" s="456"/>
      <c r="BUR42" s="456"/>
      <c r="BUS42" s="456"/>
      <c r="BUT42" s="456"/>
      <c r="BUU42" s="456"/>
      <c r="BUV42" s="456"/>
      <c r="BUW42" s="456"/>
      <c r="BUX42" s="456"/>
      <c r="BUY42" s="456"/>
      <c r="BUZ42" s="456"/>
      <c r="BVA42" s="456"/>
      <c r="BVB42" s="456"/>
      <c r="BVC42" s="456"/>
      <c r="BVD42" s="456"/>
      <c r="BVE42" s="456"/>
      <c r="BVF42" s="456"/>
      <c r="BVG42" s="456"/>
      <c r="BVH42" s="456"/>
      <c r="BVI42" s="456"/>
      <c r="BVJ42" s="456"/>
      <c r="BVK42" s="456"/>
      <c r="BVL42" s="456"/>
      <c r="BVM42" s="456"/>
      <c r="BVN42" s="456"/>
      <c r="BVO42" s="456"/>
      <c r="BVP42" s="456"/>
      <c r="BVQ42" s="456"/>
      <c r="BVR42" s="456"/>
      <c r="BVS42" s="456"/>
      <c r="BVT42" s="456"/>
      <c r="BVU42" s="456"/>
      <c r="BVV42" s="456"/>
      <c r="BVW42" s="456"/>
      <c r="BVX42" s="456"/>
      <c r="BVY42" s="456"/>
      <c r="BVZ42" s="456"/>
      <c r="BWA42" s="456"/>
      <c r="BWB42" s="456"/>
      <c r="BWC42" s="456"/>
      <c r="BWD42" s="456"/>
      <c r="BWE42" s="456"/>
      <c r="BWF42" s="456"/>
      <c r="BWG42" s="456"/>
      <c r="BWH42" s="456"/>
      <c r="BWI42" s="456"/>
      <c r="BWJ42" s="456"/>
      <c r="BWK42" s="456"/>
      <c r="BWL42" s="456"/>
      <c r="BWM42" s="456"/>
      <c r="BWN42" s="456"/>
      <c r="BWO42" s="456"/>
      <c r="BWP42" s="456"/>
      <c r="BWQ42" s="456"/>
      <c r="BWR42" s="456"/>
      <c r="BWS42" s="456"/>
      <c r="BWT42" s="456"/>
      <c r="BWU42" s="456"/>
      <c r="BWV42" s="456"/>
      <c r="BWW42" s="456"/>
      <c r="BWX42" s="456"/>
      <c r="BWY42" s="456"/>
      <c r="BWZ42" s="456"/>
      <c r="BXA42" s="456"/>
      <c r="BXB42" s="456"/>
      <c r="BXC42" s="456"/>
      <c r="BXD42" s="456"/>
      <c r="BXE42" s="456"/>
      <c r="BXF42" s="456"/>
      <c r="BXG42" s="456"/>
      <c r="BXH42" s="456"/>
      <c r="BXI42" s="456"/>
      <c r="BXJ42" s="456"/>
      <c r="BXK42" s="456"/>
      <c r="BXL42" s="456"/>
      <c r="BXM42" s="456"/>
      <c r="BXN42" s="456"/>
      <c r="BXO42" s="456"/>
      <c r="BXP42" s="456"/>
      <c r="BXQ42" s="456"/>
      <c r="BXR42" s="456"/>
      <c r="BXS42" s="456"/>
      <c r="BXT42" s="456"/>
      <c r="BXU42" s="456"/>
      <c r="BXV42" s="456"/>
      <c r="BXW42" s="456"/>
      <c r="BXX42" s="456"/>
      <c r="BXY42" s="456"/>
      <c r="BXZ42" s="456"/>
    </row>
    <row r="43" s="25" customFormat="1" spans="1:1024 1025:2002">
      <c r="A43" s="473"/>
      <c r="B43" s="19">
        <v>1117</v>
      </c>
      <c r="C43" s="183">
        <v>46174</v>
      </c>
      <c r="D43" s="17" t="s">
        <v>35</v>
      </c>
      <c r="E43" s="17" t="s">
        <v>71</v>
      </c>
      <c r="F43" s="17" t="s">
        <v>72</v>
      </c>
      <c r="G43" s="17"/>
      <c r="H43" s="19">
        <v>1.2379</v>
      </c>
      <c r="I43" s="19">
        <v>1.2379</v>
      </c>
      <c r="J43" s="17" t="s">
        <v>39</v>
      </c>
      <c r="K43" s="19">
        <v>282</v>
      </c>
      <c r="L43" s="91"/>
      <c r="M43" s="19">
        <v>5800</v>
      </c>
      <c r="N43" s="19" t="s">
        <v>40</v>
      </c>
      <c r="O43" s="19" t="s">
        <v>50</v>
      </c>
      <c r="P43" s="19">
        <v>5000</v>
      </c>
      <c r="Q43" s="19">
        <f>2635+2635</f>
        <v>5270</v>
      </c>
      <c r="R43" s="19">
        <f t="shared" ref="R43:R74" si="2">+P43-Q43</f>
        <v>-270</v>
      </c>
      <c r="S43" s="19">
        <v>2260</v>
      </c>
      <c r="T43" s="19" t="s">
        <v>42</v>
      </c>
      <c r="U43" s="102" t="s">
        <v>73</v>
      </c>
      <c r="V43" s="186">
        <v>46173</v>
      </c>
      <c r="W43" s="17" t="s">
        <v>44</v>
      </c>
      <c r="X43" s="17"/>
      <c r="Y43" s="68">
        <v>46296</v>
      </c>
      <c r="Z43" s="17" t="s">
        <v>45</v>
      </c>
      <c r="AA43" s="17" t="s">
        <v>46</v>
      </c>
      <c r="AB43" s="17"/>
      <c r="AC43" s="102"/>
      <c r="AD43" s="65">
        <v>1855</v>
      </c>
      <c r="AE43" s="17" t="s">
        <v>74</v>
      </c>
      <c r="AF43" s="17"/>
      <c r="AG43" s="17"/>
      <c r="AH43" s="456"/>
      <c r="AI43" s="456"/>
      <c r="AJ43" s="456"/>
      <c r="AK43" s="456"/>
      <c r="AL43" s="456"/>
      <c r="AM43" s="456"/>
      <c r="AN43" s="456"/>
      <c r="AO43" s="456"/>
      <c r="AP43" s="456"/>
      <c r="AQ43" s="456"/>
      <c r="AR43" s="456"/>
      <c r="AS43" s="456"/>
      <c r="AT43" s="456"/>
      <c r="AU43" s="456"/>
      <c r="AV43" s="456"/>
      <c r="AW43" s="456"/>
      <c r="AX43" s="456"/>
      <c r="AY43" s="456"/>
      <c r="AZ43" s="456"/>
      <c r="BA43" s="456"/>
      <c r="BB43" s="456"/>
      <c r="BC43" s="456"/>
      <c r="BD43" s="456"/>
      <c r="BE43" s="456"/>
      <c r="BF43" s="456"/>
      <c r="BG43" s="456"/>
      <c r="BH43" s="456"/>
      <c r="BI43" s="456"/>
      <c r="BJ43" s="456"/>
      <c r="BK43" s="456"/>
      <c r="BL43" s="456"/>
      <c r="BM43" s="456"/>
      <c r="BN43" s="456"/>
      <c r="BO43" s="456"/>
      <c r="BP43" s="456"/>
      <c r="BQ43" s="456"/>
      <c r="BR43" s="456"/>
      <c r="BS43" s="456"/>
      <c r="BT43" s="456"/>
      <c r="BU43" s="456"/>
      <c r="BV43" s="456"/>
      <c r="BW43" s="456"/>
      <c r="BX43" s="456"/>
      <c r="BY43" s="456"/>
      <c r="BZ43" s="456"/>
      <c r="CA43" s="456"/>
      <c r="CB43" s="456"/>
      <c r="CC43" s="456"/>
      <c r="CD43" s="456"/>
      <c r="CE43" s="456"/>
      <c r="CF43" s="456"/>
      <c r="CG43" s="456"/>
      <c r="CH43" s="456"/>
      <c r="CI43" s="456"/>
      <c r="CJ43" s="456"/>
      <c r="CK43" s="456"/>
      <c r="CL43" s="456"/>
      <c r="CM43" s="456"/>
      <c r="CN43" s="456"/>
      <c r="CO43" s="456"/>
      <c r="CP43" s="456"/>
      <c r="CQ43" s="456"/>
      <c r="CR43" s="456"/>
      <c r="CS43" s="456"/>
      <c r="CT43" s="456"/>
      <c r="CU43" s="456"/>
      <c r="CV43" s="456"/>
      <c r="CW43" s="456"/>
      <c r="CX43" s="456"/>
      <c r="CY43" s="456"/>
      <c r="CZ43" s="456"/>
      <c r="DA43" s="456"/>
      <c r="DB43" s="456"/>
      <c r="DC43" s="456"/>
      <c r="DD43" s="456"/>
      <c r="DE43" s="456"/>
      <c r="DF43" s="456"/>
      <c r="DG43" s="456"/>
      <c r="DH43" s="456"/>
      <c r="DI43" s="456"/>
      <c r="DJ43" s="456"/>
      <c r="DK43" s="456"/>
      <c r="DL43" s="456"/>
      <c r="DM43" s="456"/>
      <c r="DN43" s="456"/>
      <c r="DO43" s="456"/>
      <c r="DP43" s="456"/>
      <c r="DQ43" s="456"/>
      <c r="DR43" s="456"/>
      <c r="DS43" s="456"/>
      <c r="DT43" s="456"/>
      <c r="DU43" s="456"/>
      <c r="DV43" s="456"/>
      <c r="DW43" s="456"/>
      <c r="DX43" s="456"/>
      <c r="DY43" s="456"/>
      <c r="DZ43" s="456"/>
      <c r="EA43" s="456"/>
      <c r="EB43" s="456"/>
      <c r="EC43" s="456"/>
      <c r="ED43" s="456"/>
      <c r="EE43" s="456"/>
      <c r="EF43" s="456"/>
      <c r="EG43" s="456"/>
      <c r="EH43" s="456"/>
      <c r="EI43" s="456"/>
      <c r="EJ43" s="456"/>
      <c r="EK43" s="456"/>
      <c r="EL43" s="456"/>
      <c r="EM43" s="456"/>
      <c r="EN43" s="456"/>
      <c r="EO43" s="456"/>
      <c r="EP43" s="456"/>
      <c r="EQ43" s="456"/>
      <c r="ER43" s="456"/>
      <c r="ES43" s="456"/>
      <c r="ET43" s="456"/>
      <c r="EU43" s="456"/>
      <c r="EV43" s="456"/>
      <c r="EW43" s="456"/>
      <c r="EX43" s="456"/>
      <c r="EY43" s="456"/>
      <c r="EZ43" s="456"/>
      <c r="FA43" s="456"/>
      <c r="FB43" s="456"/>
      <c r="FC43" s="456"/>
      <c r="FD43" s="456"/>
      <c r="FE43" s="456"/>
      <c r="FF43" s="456"/>
      <c r="FG43" s="456"/>
      <c r="FH43" s="456"/>
      <c r="FI43" s="456"/>
      <c r="FJ43" s="456"/>
      <c r="FK43" s="456"/>
      <c r="FL43" s="456"/>
      <c r="FM43" s="456"/>
      <c r="FN43" s="456"/>
      <c r="FO43" s="456"/>
      <c r="FP43" s="456"/>
      <c r="FQ43" s="456"/>
      <c r="FR43" s="456"/>
      <c r="FS43" s="456"/>
      <c r="FT43" s="456"/>
      <c r="FU43" s="456"/>
      <c r="FV43" s="456"/>
      <c r="FW43" s="456"/>
      <c r="FX43" s="456"/>
      <c r="FY43" s="456"/>
      <c r="FZ43" s="456"/>
      <c r="GA43" s="456"/>
      <c r="GB43" s="456"/>
      <c r="GC43" s="456"/>
      <c r="GD43" s="456"/>
      <c r="GE43" s="456"/>
      <c r="GF43" s="456"/>
      <c r="GG43" s="456"/>
      <c r="GH43" s="456"/>
      <c r="GI43" s="456"/>
      <c r="GJ43" s="456"/>
      <c r="GK43" s="456"/>
      <c r="GL43" s="456"/>
      <c r="GM43" s="456"/>
      <c r="GN43" s="456"/>
      <c r="GO43" s="456"/>
      <c r="GP43" s="456"/>
      <c r="GQ43" s="456"/>
      <c r="GR43" s="456"/>
      <c r="GS43" s="456"/>
      <c r="GT43" s="456"/>
      <c r="GU43" s="456"/>
      <c r="GV43" s="456"/>
      <c r="GW43" s="456"/>
      <c r="GX43" s="456"/>
      <c r="GY43" s="456"/>
      <c r="GZ43" s="456"/>
      <c r="HA43" s="456"/>
      <c r="HB43" s="456"/>
      <c r="HC43" s="456"/>
      <c r="HD43" s="456"/>
      <c r="HE43" s="456"/>
      <c r="HF43" s="456"/>
      <c r="HG43" s="456"/>
      <c r="HH43" s="456"/>
      <c r="HI43" s="456"/>
      <c r="HJ43" s="456"/>
      <c r="HK43" s="456"/>
      <c r="HL43" s="456"/>
      <c r="HM43" s="456"/>
      <c r="HN43" s="456"/>
      <c r="HO43" s="456"/>
      <c r="HP43" s="456"/>
      <c r="HQ43" s="456"/>
      <c r="HR43" s="456"/>
      <c r="HS43" s="456"/>
      <c r="HT43" s="456"/>
      <c r="HU43" s="456"/>
      <c r="HV43" s="456"/>
      <c r="HW43" s="456"/>
      <c r="HX43" s="456"/>
      <c r="HY43" s="456"/>
      <c r="HZ43" s="456"/>
      <c r="IA43" s="456"/>
      <c r="IB43" s="456"/>
      <c r="IC43" s="456"/>
      <c r="ID43" s="456"/>
      <c r="IE43" s="456"/>
      <c r="IF43" s="456"/>
      <c r="IG43" s="456"/>
      <c r="IH43" s="456"/>
      <c r="II43" s="456"/>
      <c r="IJ43" s="456"/>
      <c r="IK43" s="456"/>
      <c r="IL43" s="456"/>
      <c r="IM43" s="456"/>
      <c r="IN43" s="456"/>
      <c r="IO43" s="456"/>
      <c r="IP43" s="456"/>
      <c r="IQ43" s="456"/>
      <c r="IR43" s="456"/>
      <c r="IS43" s="456"/>
      <c r="IT43" s="456"/>
      <c r="IU43" s="456"/>
      <c r="IV43" s="456"/>
      <c r="IW43" s="456"/>
      <c r="IX43" s="456"/>
      <c r="IY43" s="456"/>
      <c r="IZ43" s="456"/>
      <c r="JA43" s="456"/>
      <c r="JB43" s="456"/>
      <c r="JC43" s="456"/>
      <c r="JD43" s="456"/>
      <c r="JE43" s="456"/>
      <c r="JF43" s="456"/>
      <c r="JG43" s="456"/>
      <c r="JH43" s="456"/>
      <c r="JI43" s="456"/>
      <c r="JJ43" s="456"/>
      <c r="JK43" s="456"/>
      <c r="JL43" s="456"/>
      <c r="JM43" s="456"/>
      <c r="JN43" s="456"/>
      <c r="JO43" s="456"/>
      <c r="JP43" s="456"/>
      <c r="JQ43" s="456"/>
      <c r="JR43" s="456"/>
      <c r="JS43" s="456"/>
      <c r="JT43" s="456"/>
      <c r="JU43" s="456"/>
      <c r="JV43" s="456"/>
      <c r="JW43" s="456"/>
      <c r="JX43" s="456"/>
      <c r="JY43" s="456"/>
      <c r="JZ43" s="456"/>
      <c r="KA43" s="456"/>
      <c r="KB43" s="456"/>
      <c r="KC43" s="456"/>
      <c r="KD43" s="456"/>
      <c r="KE43" s="456"/>
      <c r="KF43" s="456"/>
      <c r="KG43" s="456"/>
      <c r="KH43" s="456"/>
      <c r="KI43" s="456"/>
      <c r="KJ43" s="456"/>
      <c r="KK43" s="456"/>
      <c r="KL43" s="456"/>
      <c r="KM43" s="456"/>
      <c r="KN43" s="456"/>
      <c r="KO43" s="456"/>
      <c r="KP43" s="456"/>
      <c r="KQ43" s="456"/>
      <c r="KR43" s="456"/>
      <c r="KS43" s="456"/>
      <c r="KT43" s="456"/>
      <c r="KU43" s="456"/>
      <c r="KV43" s="456"/>
      <c r="KW43" s="456"/>
      <c r="KX43" s="456"/>
      <c r="KY43" s="456"/>
      <c r="KZ43" s="456"/>
      <c r="LA43" s="456"/>
      <c r="LB43" s="456"/>
      <c r="LC43" s="456"/>
      <c r="LD43" s="456"/>
      <c r="LE43" s="456"/>
      <c r="LF43" s="456"/>
      <c r="LG43" s="456"/>
      <c r="LH43" s="456"/>
      <c r="LI43" s="456"/>
      <c r="LJ43" s="456"/>
      <c r="LK43" s="456"/>
      <c r="LL43" s="456"/>
      <c r="LM43" s="456"/>
      <c r="LN43" s="456"/>
      <c r="LO43" s="456"/>
      <c r="LP43" s="456"/>
      <c r="LQ43" s="456"/>
      <c r="LR43" s="456"/>
      <c r="LS43" s="456"/>
      <c r="LT43" s="456"/>
      <c r="LU43" s="456"/>
      <c r="LV43" s="456"/>
      <c r="LW43" s="456"/>
      <c r="LX43" s="456"/>
      <c r="LY43" s="456"/>
      <c r="LZ43" s="456"/>
      <c r="MA43" s="456"/>
      <c r="MB43" s="456"/>
      <c r="MC43" s="456"/>
      <c r="MD43" s="456"/>
      <c r="ME43" s="456"/>
      <c r="MF43" s="456"/>
      <c r="MG43" s="456"/>
      <c r="MH43" s="456"/>
      <c r="MI43" s="456"/>
      <c r="MJ43" s="456"/>
      <c r="MK43" s="456"/>
      <c r="ML43" s="456"/>
      <c r="MM43" s="456"/>
      <c r="MN43" s="456"/>
      <c r="MO43" s="456"/>
      <c r="MP43" s="456"/>
      <c r="MQ43" s="456"/>
      <c r="MR43" s="456"/>
      <c r="MS43" s="456"/>
      <c r="MT43" s="456"/>
      <c r="MU43" s="456"/>
      <c r="MV43" s="456"/>
      <c r="MW43" s="456"/>
      <c r="MX43" s="456"/>
      <c r="MY43" s="456"/>
      <c r="MZ43" s="456"/>
      <c r="NA43" s="456"/>
      <c r="NB43" s="456"/>
      <c r="NC43" s="456"/>
      <c r="ND43" s="456"/>
      <c r="NE43" s="456"/>
      <c r="NF43" s="456"/>
      <c r="NG43" s="456"/>
      <c r="NH43" s="456"/>
      <c r="NI43" s="456"/>
      <c r="NJ43" s="456"/>
      <c r="NK43" s="456"/>
      <c r="NL43" s="456"/>
      <c r="NM43" s="456"/>
      <c r="NN43" s="456"/>
      <c r="NO43" s="456"/>
      <c r="NP43" s="456"/>
      <c r="NQ43" s="456"/>
      <c r="NR43" s="456"/>
      <c r="NS43" s="456"/>
      <c r="NT43" s="456"/>
      <c r="NU43" s="456"/>
      <c r="NV43" s="456"/>
      <c r="NW43" s="456"/>
      <c r="NX43" s="456"/>
      <c r="NY43" s="456"/>
      <c r="NZ43" s="456"/>
      <c r="OA43" s="456"/>
      <c r="OB43" s="456"/>
      <c r="OC43" s="456"/>
      <c r="OD43" s="456"/>
      <c r="OE43" s="456"/>
      <c r="OF43" s="456"/>
      <c r="OG43" s="456"/>
      <c r="OH43" s="456"/>
      <c r="OI43" s="456"/>
      <c r="OJ43" s="456"/>
      <c r="OK43" s="456"/>
      <c r="OL43" s="456"/>
      <c r="OM43" s="456"/>
      <c r="ON43" s="456"/>
      <c r="OO43" s="456"/>
      <c r="OP43" s="456"/>
      <c r="OQ43" s="456"/>
      <c r="OR43" s="456"/>
      <c r="OS43" s="456"/>
      <c r="OT43" s="456"/>
      <c r="OU43" s="456"/>
      <c r="OV43" s="456"/>
      <c r="OW43" s="456"/>
      <c r="OX43" s="456"/>
      <c r="OY43" s="456"/>
      <c r="OZ43" s="456"/>
      <c r="PA43" s="456"/>
      <c r="PB43" s="456"/>
      <c r="PC43" s="456"/>
      <c r="PD43" s="456"/>
      <c r="PE43" s="456"/>
      <c r="PF43" s="456"/>
      <c r="PG43" s="456"/>
      <c r="PH43" s="456"/>
      <c r="PI43" s="456"/>
      <c r="PJ43" s="456"/>
      <c r="PK43" s="456"/>
      <c r="PL43" s="456"/>
      <c r="PM43" s="456"/>
      <c r="PN43" s="456"/>
      <c r="PO43" s="456"/>
      <c r="PP43" s="456"/>
      <c r="PQ43" s="456"/>
      <c r="PR43" s="456"/>
      <c r="PS43" s="456"/>
      <c r="PT43" s="456"/>
      <c r="PU43" s="456"/>
      <c r="PV43" s="456"/>
      <c r="PW43" s="456"/>
      <c r="PX43" s="456"/>
      <c r="PY43" s="456"/>
      <c r="PZ43" s="456"/>
      <c r="QA43" s="456"/>
      <c r="QB43" s="456"/>
      <c r="QC43" s="456"/>
      <c r="QD43" s="456"/>
      <c r="QE43" s="456"/>
      <c r="QF43" s="456"/>
      <c r="QG43" s="456"/>
      <c r="QH43" s="456"/>
      <c r="QI43" s="456"/>
      <c r="QJ43" s="456"/>
      <c r="QK43" s="456"/>
      <c r="QL43" s="456"/>
      <c r="QM43" s="456"/>
      <c r="QN43" s="456"/>
      <c r="QO43" s="456"/>
      <c r="QP43" s="456"/>
      <c r="QQ43" s="456"/>
      <c r="QR43" s="456"/>
      <c r="QS43" s="456"/>
      <c r="QT43" s="456"/>
      <c r="QU43" s="456"/>
      <c r="QV43" s="456"/>
      <c r="QW43" s="456"/>
      <c r="QX43" s="456"/>
      <c r="QY43" s="456"/>
      <c r="QZ43" s="456"/>
      <c r="RA43" s="456"/>
      <c r="RB43" s="456"/>
      <c r="RC43" s="456"/>
      <c r="RD43" s="456"/>
      <c r="RE43" s="456"/>
      <c r="RF43" s="456"/>
      <c r="RG43" s="456"/>
      <c r="RH43" s="456"/>
      <c r="RI43" s="456"/>
      <c r="RJ43" s="456"/>
      <c r="RK43" s="456"/>
      <c r="RL43" s="456"/>
      <c r="RM43" s="456"/>
      <c r="RN43" s="456"/>
      <c r="RO43" s="456"/>
      <c r="RP43" s="456"/>
      <c r="RQ43" s="456"/>
      <c r="RR43" s="456"/>
      <c r="RS43" s="456"/>
      <c r="RT43" s="456"/>
      <c r="RU43" s="456"/>
      <c r="RV43" s="456"/>
      <c r="RW43" s="456"/>
      <c r="RX43" s="456"/>
      <c r="RY43" s="456"/>
      <c r="RZ43" s="456"/>
      <c r="SA43" s="456"/>
      <c r="SB43" s="456"/>
      <c r="SC43" s="456"/>
      <c r="SD43" s="456"/>
      <c r="SE43" s="456"/>
      <c r="SF43" s="456"/>
      <c r="SG43" s="456"/>
      <c r="SH43" s="456"/>
      <c r="SI43" s="456"/>
      <c r="SJ43" s="456"/>
      <c r="SK43" s="456"/>
      <c r="SL43" s="456"/>
      <c r="SM43" s="456"/>
      <c r="SN43" s="456"/>
      <c r="SO43" s="456"/>
      <c r="SP43" s="456"/>
      <c r="SQ43" s="456"/>
      <c r="SR43" s="456"/>
      <c r="SS43" s="456"/>
      <c r="ST43" s="456"/>
      <c r="SU43" s="456"/>
      <c r="SV43" s="456"/>
      <c r="SW43" s="456"/>
      <c r="SX43" s="456"/>
      <c r="SY43" s="456"/>
      <c r="SZ43" s="456"/>
      <c r="TA43" s="456"/>
      <c r="TB43" s="456"/>
      <c r="TC43" s="456"/>
      <c r="TD43" s="456"/>
      <c r="TE43" s="456"/>
      <c r="TF43" s="456"/>
      <c r="TG43" s="456"/>
      <c r="TH43" s="456"/>
      <c r="TI43" s="456"/>
      <c r="TJ43" s="456"/>
      <c r="TK43" s="456"/>
      <c r="TL43" s="456"/>
      <c r="TM43" s="456"/>
      <c r="TN43" s="456"/>
      <c r="TO43" s="456"/>
      <c r="TP43" s="456"/>
      <c r="TQ43" s="456"/>
      <c r="TR43" s="456"/>
      <c r="TS43" s="456"/>
      <c r="TT43" s="456"/>
      <c r="TU43" s="456"/>
      <c r="TV43" s="456"/>
      <c r="TW43" s="456"/>
      <c r="TX43" s="456"/>
      <c r="TY43" s="456"/>
      <c r="TZ43" s="456"/>
      <c r="UA43" s="456"/>
      <c r="UB43" s="456"/>
      <c r="UC43" s="456"/>
      <c r="UD43" s="456"/>
      <c r="UE43" s="456"/>
      <c r="UF43" s="456"/>
      <c r="UG43" s="456"/>
      <c r="UH43" s="456"/>
      <c r="UI43" s="456"/>
      <c r="UJ43" s="456"/>
      <c r="UK43" s="456"/>
      <c r="UL43" s="456"/>
      <c r="UM43" s="456"/>
      <c r="UN43" s="456"/>
      <c r="UO43" s="456"/>
      <c r="UP43" s="456"/>
      <c r="UQ43" s="456"/>
      <c r="UR43" s="456"/>
      <c r="US43" s="456"/>
      <c r="UT43" s="456"/>
      <c r="UU43" s="456"/>
      <c r="UV43" s="456"/>
      <c r="UW43" s="456"/>
      <c r="UX43" s="456"/>
      <c r="UY43" s="456"/>
      <c r="UZ43" s="456"/>
      <c r="VA43" s="456"/>
      <c r="VB43" s="456"/>
      <c r="VC43" s="456"/>
      <c r="VD43" s="456"/>
      <c r="VE43" s="456"/>
      <c r="VF43" s="456"/>
      <c r="VG43" s="456"/>
      <c r="VH43" s="456"/>
      <c r="VI43" s="456"/>
      <c r="VJ43" s="456"/>
      <c r="VK43" s="456"/>
      <c r="VL43" s="456"/>
      <c r="VM43" s="456"/>
      <c r="VN43" s="456"/>
      <c r="VO43" s="456"/>
      <c r="VP43" s="456"/>
      <c r="VQ43" s="456"/>
      <c r="VR43" s="456"/>
      <c r="VS43" s="456"/>
      <c r="VT43" s="456"/>
      <c r="VU43" s="456"/>
      <c r="VV43" s="456"/>
      <c r="VW43" s="456"/>
      <c r="VX43" s="456"/>
      <c r="VY43" s="456"/>
      <c r="VZ43" s="456"/>
      <c r="WA43" s="456"/>
      <c r="WB43" s="456"/>
      <c r="WC43" s="456"/>
      <c r="WD43" s="456"/>
      <c r="WE43" s="456"/>
      <c r="WF43" s="456"/>
      <c r="WG43" s="456"/>
      <c r="WH43" s="456"/>
      <c r="WI43" s="456"/>
      <c r="WJ43" s="456"/>
      <c r="WK43" s="456"/>
      <c r="WL43" s="456"/>
      <c r="WM43" s="456"/>
      <c r="WN43" s="456"/>
      <c r="WO43" s="456"/>
      <c r="WP43" s="456"/>
      <c r="WQ43" s="456"/>
      <c r="WR43" s="456"/>
      <c r="WS43" s="456"/>
      <c r="WT43" s="456"/>
      <c r="WU43" s="456"/>
      <c r="WV43" s="456"/>
      <c r="WW43" s="456"/>
      <c r="WX43" s="456"/>
      <c r="WY43" s="456"/>
      <c r="WZ43" s="456"/>
      <c r="XA43" s="456"/>
      <c r="XB43" s="456"/>
      <c r="XC43" s="456"/>
      <c r="XD43" s="456"/>
      <c r="XE43" s="456"/>
      <c r="XF43" s="456"/>
      <c r="XG43" s="456"/>
      <c r="XH43" s="456"/>
      <c r="XI43" s="456"/>
      <c r="XJ43" s="456"/>
      <c r="XK43" s="456"/>
      <c r="XL43" s="456"/>
      <c r="XM43" s="456"/>
      <c r="XN43" s="456"/>
      <c r="XO43" s="456"/>
      <c r="XP43" s="456"/>
      <c r="XQ43" s="456"/>
      <c r="XR43" s="456"/>
      <c r="XS43" s="456"/>
      <c r="XT43" s="456"/>
      <c r="XU43" s="456"/>
      <c r="XV43" s="456"/>
      <c r="XW43" s="456"/>
      <c r="XX43" s="456"/>
      <c r="XY43" s="456"/>
      <c r="XZ43" s="456"/>
      <c r="YA43" s="456"/>
      <c r="YB43" s="456"/>
      <c r="YC43" s="456"/>
      <c r="YD43" s="456"/>
      <c r="YE43" s="456"/>
      <c r="YF43" s="456"/>
      <c r="YG43" s="456"/>
      <c r="YH43" s="456"/>
      <c r="YI43" s="456"/>
      <c r="YJ43" s="456"/>
      <c r="YK43" s="456"/>
      <c r="YL43" s="456"/>
      <c r="YM43" s="456"/>
      <c r="YN43" s="456"/>
      <c r="YO43" s="456"/>
      <c r="YP43" s="456"/>
      <c r="YQ43" s="456"/>
      <c r="YR43" s="456"/>
      <c r="YS43" s="456"/>
      <c r="YT43" s="456"/>
      <c r="YU43" s="456"/>
      <c r="YV43" s="456"/>
      <c r="YW43" s="456"/>
      <c r="YX43" s="456"/>
      <c r="YY43" s="456"/>
      <c r="YZ43" s="456"/>
      <c r="ZA43" s="456"/>
      <c r="ZB43" s="456"/>
      <c r="ZC43" s="456"/>
      <c r="ZD43" s="456"/>
      <c r="ZE43" s="456"/>
      <c r="ZF43" s="456"/>
      <c r="ZG43" s="456"/>
      <c r="ZH43" s="456"/>
      <c r="ZI43" s="456"/>
      <c r="ZJ43" s="456"/>
      <c r="ZK43" s="456"/>
      <c r="ZL43" s="456"/>
      <c r="ZM43" s="456"/>
      <c r="ZN43" s="456"/>
      <c r="ZO43" s="456"/>
      <c r="ZP43" s="456"/>
      <c r="ZQ43" s="456"/>
      <c r="ZR43" s="456"/>
      <c r="ZS43" s="456"/>
      <c r="ZT43" s="456"/>
      <c r="ZU43" s="456"/>
      <c r="ZV43" s="456"/>
      <c r="ZW43" s="456"/>
      <c r="ZX43" s="456"/>
      <c r="ZY43" s="456"/>
      <c r="ZZ43" s="456"/>
      <c r="AAA43" s="456"/>
      <c r="AAB43" s="456"/>
      <c r="AAC43" s="456"/>
      <c r="AAD43" s="456"/>
      <c r="AAE43" s="456"/>
      <c r="AAF43" s="456"/>
      <c r="AAG43" s="456"/>
      <c r="AAH43" s="456"/>
      <c r="AAI43" s="456"/>
      <c r="AAJ43" s="456"/>
      <c r="AAK43" s="456"/>
      <c r="AAL43" s="456"/>
      <c r="AAM43" s="456"/>
      <c r="AAN43" s="456"/>
      <c r="AAO43" s="456"/>
      <c r="AAP43" s="456"/>
      <c r="AAQ43" s="456"/>
      <c r="AAR43" s="456"/>
      <c r="AAS43" s="456"/>
      <c r="AAT43" s="456"/>
      <c r="AAU43" s="456"/>
      <c r="AAV43" s="456"/>
      <c r="AAW43" s="456"/>
      <c r="AAX43" s="456"/>
      <c r="AAY43" s="456"/>
      <c r="AAZ43" s="456"/>
      <c r="ABA43" s="456"/>
      <c r="ABB43" s="456"/>
      <c r="ABC43" s="456"/>
      <c r="ABD43" s="456"/>
      <c r="ABE43" s="456"/>
      <c r="ABF43" s="456"/>
      <c r="ABG43" s="456"/>
      <c r="ABH43" s="456"/>
      <c r="ABI43" s="456"/>
      <c r="ABJ43" s="456"/>
      <c r="ABK43" s="456"/>
      <c r="ABL43" s="456"/>
      <c r="ABM43" s="456"/>
      <c r="ABN43" s="456"/>
      <c r="ABO43" s="456"/>
      <c r="ABP43" s="456"/>
      <c r="ABQ43" s="456"/>
      <c r="ABR43" s="456"/>
      <c r="ABS43" s="456"/>
      <c r="ABT43" s="456"/>
      <c r="ABU43" s="456"/>
      <c r="ABV43" s="456"/>
      <c r="ABW43" s="456"/>
      <c r="ABX43" s="456"/>
      <c r="ABY43" s="456"/>
      <c r="ABZ43" s="456"/>
      <c r="ACA43" s="456"/>
      <c r="ACB43" s="456"/>
      <c r="ACC43" s="456"/>
      <c r="ACD43" s="456"/>
      <c r="ACE43" s="456"/>
      <c r="ACF43" s="456"/>
      <c r="ACG43" s="456"/>
      <c r="ACH43" s="456"/>
      <c r="ACI43" s="456"/>
      <c r="ACJ43" s="456"/>
      <c r="ACK43" s="456"/>
      <c r="ACL43" s="456"/>
      <c r="ACM43" s="456"/>
      <c r="ACN43" s="456"/>
      <c r="ACO43" s="456"/>
      <c r="ACP43" s="456"/>
      <c r="ACQ43" s="456"/>
      <c r="ACR43" s="456"/>
      <c r="ACS43" s="456"/>
      <c r="ACT43" s="456"/>
      <c r="ACU43" s="456"/>
      <c r="ACV43" s="456"/>
      <c r="ACW43" s="456"/>
      <c r="ACX43" s="456"/>
      <c r="ACY43" s="456"/>
      <c r="ACZ43" s="456"/>
      <c r="ADA43" s="456"/>
      <c r="ADB43" s="456"/>
      <c r="ADC43" s="456"/>
      <c r="ADD43" s="456"/>
      <c r="ADE43" s="456"/>
      <c r="ADF43" s="456"/>
      <c r="ADG43" s="456"/>
      <c r="ADH43" s="456"/>
      <c r="ADI43" s="456"/>
      <c r="ADJ43" s="456"/>
      <c r="ADK43" s="456"/>
      <c r="ADL43" s="456"/>
      <c r="ADM43" s="456"/>
      <c r="ADN43" s="456"/>
      <c r="ADO43" s="456"/>
      <c r="ADP43" s="456"/>
      <c r="ADQ43" s="456"/>
      <c r="ADR43" s="456"/>
      <c r="ADS43" s="456"/>
      <c r="ADT43" s="456"/>
      <c r="ADU43" s="456"/>
      <c r="ADV43" s="456"/>
      <c r="ADW43" s="456"/>
      <c r="ADX43" s="456"/>
      <c r="ADY43" s="456"/>
      <c r="ADZ43" s="456"/>
      <c r="AEA43" s="456"/>
      <c r="AEB43" s="456"/>
      <c r="AEC43" s="456"/>
      <c r="AED43" s="456"/>
      <c r="AEE43" s="456"/>
      <c r="AEF43" s="456"/>
      <c r="AEG43" s="456"/>
      <c r="AEH43" s="456"/>
      <c r="AEI43" s="456"/>
      <c r="AEJ43" s="456"/>
      <c r="AEK43" s="456"/>
      <c r="AEL43" s="456"/>
      <c r="AEM43" s="456"/>
      <c r="AEN43" s="456"/>
      <c r="AEO43" s="456"/>
      <c r="AEP43" s="456"/>
      <c r="AEQ43" s="456"/>
      <c r="AER43" s="456"/>
      <c r="AES43" s="456"/>
      <c r="AET43" s="456"/>
      <c r="AEU43" s="456"/>
      <c r="AEV43" s="456"/>
      <c r="AEW43" s="456"/>
      <c r="AEX43" s="456"/>
      <c r="AEY43" s="456"/>
      <c r="AEZ43" s="456"/>
      <c r="AFA43" s="456"/>
      <c r="AFB43" s="456"/>
      <c r="AFC43" s="456"/>
      <c r="AFD43" s="456"/>
      <c r="AFE43" s="456"/>
      <c r="AFF43" s="456"/>
      <c r="AFG43" s="456"/>
      <c r="AFH43" s="456"/>
      <c r="AFI43" s="456"/>
      <c r="AFJ43" s="456"/>
      <c r="AFK43" s="456"/>
      <c r="AFL43" s="456"/>
      <c r="AFM43" s="456"/>
      <c r="AFN43" s="456"/>
      <c r="AFO43" s="456"/>
      <c r="AFP43" s="456"/>
      <c r="AFQ43" s="456"/>
      <c r="AFR43" s="456"/>
      <c r="AFS43" s="456"/>
      <c r="AFT43" s="456"/>
      <c r="AFU43" s="456"/>
      <c r="AFV43" s="456"/>
      <c r="AFW43" s="456"/>
      <c r="AFX43" s="456"/>
      <c r="AFY43" s="456"/>
      <c r="AFZ43" s="456"/>
      <c r="AGA43" s="456"/>
      <c r="AGB43" s="456"/>
      <c r="AGC43" s="456"/>
      <c r="AGD43" s="456"/>
      <c r="AGE43" s="456"/>
      <c r="AGF43" s="456"/>
      <c r="AGG43" s="456"/>
      <c r="AGH43" s="456"/>
      <c r="AGI43" s="456"/>
      <c r="AGJ43" s="456"/>
      <c r="AGK43" s="456"/>
      <c r="AGL43" s="456"/>
      <c r="AGM43" s="456"/>
      <c r="AGN43" s="456"/>
      <c r="AGO43" s="456"/>
      <c r="AGP43" s="456"/>
      <c r="AGQ43" s="456"/>
      <c r="AGR43" s="456"/>
      <c r="AGS43" s="456"/>
      <c r="AGT43" s="456"/>
      <c r="AGU43" s="456"/>
      <c r="AGV43" s="456"/>
      <c r="AGW43" s="456"/>
      <c r="AGX43" s="456"/>
      <c r="AGY43" s="456"/>
      <c r="AGZ43" s="456"/>
      <c r="AHA43" s="456"/>
      <c r="AHB43" s="456"/>
      <c r="AHC43" s="456"/>
      <c r="AHD43" s="456"/>
      <c r="AHE43" s="456"/>
      <c r="AHF43" s="456"/>
      <c r="AHG43" s="456"/>
      <c r="AHH43" s="456"/>
      <c r="AHI43" s="456"/>
      <c r="AHJ43" s="456"/>
      <c r="AHK43" s="456"/>
      <c r="AHL43" s="456"/>
      <c r="AHM43" s="456"/>
      <c r="AHN43" s="456"/>
      <c r="AHO43" s="456"/>
      <c r="AHP43" s="456"/>
      <c r="AHQ43" s="456"/>
      <c r="AHR43" s="456"/>
      <c r="AHS43" s="456"/>
      <c r="AHT43" s="456"/>
      <c r="AHU43" s="456"/>
      <c r="AHV43" s="456"/>
      <c r="AHW43" s="456"/>
      <c r="AHX43" s="456"/>
      <c r="AHY43" s="456"/>
      <c r="AHZ43" s="456"/>
      <c r="AIA43" s="456"/>
      <c r="AIB43" s="456"/>
      <c r="AIC43" s="456"/>
      <c r="AID43" s="456"/>
      <c r="AIE43" s="456"/>
      <c r="AIF43" s="456"/>
      <c r="AIG43" s="456"/>
      <c r="AIH43" s="456"/>
      <c r="AII43" s="456"/>
      <c r="AIJ43" s="456"/>
      <c r="AIK43" s="456"/>
      <c r="AIL43" s="456"/>
      <c r="AIM43" s="456"/>
      <c r="AIN43" s="456"/>
      <c r="AIO43" s="456"/>
      <c r="AIP43" s="456"/>
      <c r="AIQ43" s="456"/>
      <c r="AIR43" s="456"/>
      <c r="AIS43" s="456"/>
      <c r="AIT43" s="456"/>
      <c r="AIU43" s="456"/>
      <c r="AIV43" s="456"/>
      <c r="AIW43" s="456"/>
      <c r="AIX43" s="456"/>
      <c r="AIY43" s="456"/>
      <c r="AIZ43" s="456"/>
      <c r="AJA43" s="456"/>
      <c r="AJB43" s="456"/>
      <c r="AJC43" s="456"/>
      <c r="AJD43" s="456"/>
      <c r="AJE43" s="456"/>
      <c r="AJF43" s="456"/>
      <c r="AJG43" s="456"/>
      <c r="AJH43" s="456"/>
      <c r="AJI43" s="456"/>
      <c r="AJJ43" s="456"/>
      <c r="AJK43" s="456"/>
      <c r="AJL43" s="456"/>
      <c r="AJM43" s="456"/>
      <c r="AJN43" s="456"/>
      <c r="AJO43" s="456"/>
      <c r="AJP43" s="456"/>
      <c r="AJQ43" s="456"/>
      <c r="AJR43" s="456"/>
      <c r="AJS43" s="456"/>
      <c r="AJT43" s="456"/>
      <c r="AJU43" s="456"/>
      <c r="AJV43" s="456"/>
      <c r="AJW43" s="456"/>
      <c r="AJX43" s="456"/>
      <c r="AJY43" s="456"/>
      <c r="AJZ43" s="456"/>
      <c r="AKA43" s="456"/>
      <c r="AKB43" s="456"/>
      <c r="AKC43" s="456"/>
      <c r="AKD43" s="456"/>
      <c r="AKE43" s="456"/>
      <c r="AKF43" s="456"/>
      <c r="AKG43" s="456"/>
      <c r="AKH43" s="456"/>
      <c r="AKI43" s="456"/>
      <c r="AKJ43" s="456"/>
      <c r="AKK43" s="456"/>
      <c r="AKL43" s="456"/>
      <c r="AKM43" s="456"/>
      <c r="AKN43" s="456"/>
      <c r="AKO43" s="456"/>
      <c r="AKP43" s="456"/>
      <c r="AKQ43" s="456"/>
      <c r="AKR43" s="456"/>
      <c r="AKS43" s="456"/>
      <c r="AKT43" s="456"/>
      <c r="AKU43" s="456"/>
      <c r="AKV43" s="456"/>
      <c r="AKW43" s="456"/>
      <c r="AKX43" s="456"/>
      <c r="AKY43" s="456"/>
      <c r="AKZ43" s="456"/>
      <c r="ALA43" s="456"/>
      <c r="ALB43" s="456"/>
      <c r="ALC43" s="456"/>
      <c r="ALD43" s="456"/>
      <c r="ALE43" s="456"/>
      <c r="ALF43" s="456"/>
      <c r="ALG43" s="456"/>
      <c r="ALH43" s="456"/>
      <c r="ALI43" s="456"/>
      <c r="ALJ43" s="456"/>
      <c r="ALK43" s="456"/>
      <c r="ALL43" s="456"/>
      <c r="ALM43" s="456"/>
      <c r="ALN43" s="456"/>
      <c r="ALO43" s="456"/>
      <c r="ALP43" s="456"/>
      <c r="ALQ43" s="456"/>
      <c r="ALR43" s="456"/>
      <c r="ALS43" s="456"/>
      <c r="ALT43" s="456"/>
      <c r="ALU43" s="456"/>
      <c r="ALV43" s="456"/>
      <c r="ALW43" s="456"/>
      <c r="ALX43" s="456"/>
      <c r="ALY43" s="456"/>
      <c r="ALZ43" s="456"/>
      <c r="AMA43" s="456"/>
      <c r="AMB43" s="456"/>
      <c r="AMC43" s="456"/>
      <c r="AMD43" s="456"/>
      <c r="AME43" s="456"/>
      <c r="AMF43" s="456"/>
      <c r="AMG43" s="456"/>
      <c r="AMH43" s="456"/>
      <c r="AMI43" s="456"/>
      <c r="AMJ43" s="456"/>
      <c r="AMK43" s="456"/>
      <c r="AML43" s="456"/>
      <c r="AMM43" s="456"/>
      <c r="AMN43" s="456"/>
      <c r="AMO43" s="456"/>
      <c r="AMP43" s="456"/>
      <c r="AMQ43" s="456"/>
      <c r="AMR43" s="456"/>
      <c r="AMS43" s="456"/>
      <c r="AMT43" s="456"/>
      <c r="AMU43" s="456"/>
      <c r="AMV43" s="456"/>
      <c r="AMW43" s="456"/>
      <c r="AMX43" s="456"/>
      <c r="AMY43" s="456"/>
      <c r="AMZ43" s="456"/>
      <c r="ANA43" s="456"/>
      <c r="ANB43" s="456"/>
      <c r="ANC43" s="456"/>
      <c r="AND43" s="456"/>
      <c r="ANE43" s="456"/>
      <c r="ANF43" s="456"/>
      <c r="ANG43" s="456"/>
      <c r="ANH43" s="456"/>
      <c r="ANI43" s="456"/>
      <c r="ANJ43" s="456"/>
      <c r="ANK43" s="456"/>
      <c r="ANL43" s="456"/>
      <c r="ANM43" s="456"/>
      <c r="ANN43" s="456"/>
      <c r="ANO43" s="456"/>
      <c r="ANP43" s="456"/>
      <c r="ANQ43" s="456"/>
      <c r="ANR43" s="456"/>
      <c r="ANS43" s="456"/>
      <c r="ANT43" s="456"/>
      <c r="ANU43" s="456"/>
      <c r="ANV43" s="456"/>
      <c r="ANW43" s="456"/>
      <c r="ANX43" s="456"/>
      <c r="ANY43" s="456"/>
      <c r="ANZ43" s="456"/>
      <c r="AOA43" s="456"/>
      <c r="AOB43" s="456"/>
      <c r="AOC43" s="456"/>
      <c r="AOD43" s="456"/>
      <c r="AOE43" s="456"/>
      <c r="AOF43" s="456"/>
      <c r="AOG43" s="456"/>
      <c r="AOH43" s="456"/>
      <c r="AOI43" s="456"/>
      <c r="AOJ43" s="456"/>
      <c r="AOK43" s="456"/>
      <c r="AOL43" s="456"/>
      <c r="AOM43" s="456"/>
      <c r="AON43" s="456"/>
      <c r="AOO43" s="456"/>
      <c r="AOP43" s="456"/>
      <c r="AOQ43" s="456"/>
      <c r="AOR43" s="456"/>
      <c r="AOS43" s="456"/>
      <c r="AOT43" s="456"/>
      <c r="AOU43" s="456"/>
      <c r="AOV43" s="456"/>
      <c r="AOW43" s="456"/>
      <c r="AOX43" s="456"/>
      <c r="AOY43" s="456"/>
      <c r="AOZ43" s="456"/>
      <c r="APA43" s="456"/>
      <c r="APB43" s="456"/>
      <c r="APC43" s="456"/>
      <c r="APD43" s="456"/>
      <c r="APE43" s="456"/>
      <c r="APF43" s="456"/>
      <c r="APG43" s="456"/>
      <c r="APH43" s="456"/>
      <c r="API43" s="456"/>
      <c r="APJ43" s="456"/>
      <c r="APK43" s="456"/>
      <c r="APL43" s="456"/>
      <c r="APM43" s="456"/>
      <c r="APN43" s="456"/>
      <c r="APO43" s="456"/>
      <c r="APP43" s="456"/>
      <c r="APQ43" s="456"/>
      <c r="APR43" s="456"/>
      <c r="APS43" s="456"/>
      <c r="APT43" s="456"/>
      <c r="APU43" s="456"/>
      <c r="APV43" s="456"/>
      <c r="APW43" s="456"/>
      <c r="APX43" s="456"/>
      <c r="APY43" s="456"/>
      <c r="APZ43" s="456"/>
      <c r="AQA43" s="456"/>
      <c r="AQB43" s="456"/>
      <c r="AQC43" s="456"/>
      <c r="AQD43" s="456"/>
      <c r="AQE43" s="456"/>
      <c r="AQF43" s="456"/>
      <c r="AQG43" s="456"/>
      <c r="AQH43" s="456"/>
      <c r="AQI43" s="456"/>
      <c r="AQJ43" s="456"/>
      <c r="AQK43" s="456"/>
      <c r="AQL43" s="456"/>
      <c r="AQM43" s="456"/>
      <c r="AQN43" s="456"/>
      <c r="AQO43" s="456"/>
      <c r="AQP43" s="456"/>
      <c r="AQQ43" s="456"/>
      <c r="AQR43" s="456"/>
      <c r="AQS43" s="456"/>
      <c r="AQT43" s="456"/>
      <c r="AQU43" s="456"/>
      <c r="AQV43" s="456"/>
      <c r="AQW43" s="456"/>
      <c r="AQX43" s="456"/>
      <c r="AQY43" s="456"/>
      <c r="AQZ43" s="456"/>
      <c r="ARA43" s="456"/>
      <c r="ARB43" s="456"/>
      <c r="ARC43" s="456"/>
      <c r="ARD43" s="456"/>
      <c r="ARE43" s="456"/>
      <c r="ARF43" s="456"/>
      <c r="ARG43" s="456"/>
      <c r="ARH43" s="456"/>
      <c r="ARI43" s="456"/>
      <c r="ARJ43" s="456"/>
      <c r="ARK43" s="456"/>
      <c r="ARL43" s="456"/>
      <c r="ARM43" s="456"/>
      <c r="ARN43" s="456"/>
      <c r="ARO43" s="456"/>
      <c r="ARP43" s="456"/>
      <c r="ARQ43" s="456"/>
      <c r="ARR43" s="456"/>
      <c r="ARS43" s="456"/>
      <c r="ART43" s="456"/>
      <c r="ARU43" s="456"/>
      <c r="ARV43" s="456"/>
      <c r="ARW43" s="456"/>
      <c r="ARX43" s="456"/>
      <c r="ARY43" s="456"/>
      <c r="ARZ43" s="456"/>
      <c r="ASA43" s="456"/>
      <c r="ASB43" s="456"/>
      <c r="ASC43" s="456"/>
      <c r="ASD43" s="456"/>
      <c r="ASE43" s="456"/>
      <c r="ASF43" s="456"/>
      <c r="ASG43" s="456"/>
      <c r="ASH43" s="456"/>
      <c r="ASI43" s="456"/>
      <c r="ASJ43" s="456"/>
      <c r="ASK43" s="456"/>
      <c r="ASL43" s="456"/>
      <c r="ASM43" s="456"/>
      <c r="ASN43" s="456"/>
      <c r="ASO43" s="456"/>
      <c r="ASP43" s="456"/>
      <c r="ASQ43" s="456"/>
      <c r="ASR43" s="456"/>
      <c r="ASS43" s="456"/>
      <c r="AST43" s="456"/>
      <c r="ASU43" s="456"/>
      <c r="ASV43" s="456"/>
      <c r="ASW43" s="456"/>
      <c r="ASX43" s="456"/>
      <c r="ASY43" s="456"/>
      <c r="ASZ43" s="456"/>
      <c r="ATA43" s="456"/>
      <c r="ATB43" s="456"/>
      <c r="ATC43" s="456"/>
      <c r="ATD43" s="456"/>
      <c r="ATE43" s="456"/>
      <c r="ATF43" s="456"/>
      <c r="ATG43" s="456"/>
      <c r="ATH43" s="456"/>
      <c r="ATI43" s="456"/>
      <c r="ATJ43" s="456"/>
      <c r="ATK43" s="456"/>
      <c r="ATL43" s="456"/>
      <c r="ATM43" s="456"/>
      <c r="ATN43" s="456"/>
      <c r="ATO43" s="456"/>
      <c r="ATP43" s="456"/>
      <c r="ATQ43" s="456"/>
      <c r="ATR43" s="456"/>
      <c r="ATS43" s="456"/>
      <c r="ATT43" s="456"/>
      <c r="ATU43" s="456"/>
      <c r="ATV43" s="456"/>
      <c r="ATW43" s="456"/>
      <c r="ATX43" s="456"/>
      <c r="ATY43" s="456"/>
      <c r="ATZ43" s="456"/>
      <c r="AUA43" s="456"/>
      <c r="AUB43" s="456"/>
      <c r="AUC43" s="456"/>
      <c r="AUD43" s="456"/>
      <c r="AUE43" s="456"/>
      <c r="AUF43" s="456"/>
      <c r="AUG43" s="456"/>
      <c r="AUH43" s="456"/>
      <c r="AUI43" s="456"/>
      <c r="AUJ43" s="456"/>
      <c r="AUK43" s="456"/>
      <c r="AUL43" s="456"/>
      <c r="AUM43" s="456"/>
      <c r="AUN43" s="456"/>
      <c r="AUO43" s="456"/>
      <c r="AUP43" s="456"/>
      <c r="AUQ43" s="456"/>
      <c r="AUR43" s="456"/>
      <c r="AUS43" s="456"/>
      <c r="AUT43" s="456"/>
      <c r="AUU43" s="456"/>
      <c r="AUV43" s="456"/>
      <c r="AUW43" s="456"/>
      <c r="AUX43" s="456"/>
      <c r="AUY43" s="456"/>
      <c r="AUZ43" s="456"/>
      <c r="AVA43" s="456"/>
      <c r="AVB43" s="456"/>
      <c r="AVC43" s="456"/>
      <c r="AVD43" s="456"/>
      <c r="AVE43" s="456"/>
      <c r="AVF43" s="456"/>
      <c r="AVG43" s="456"/>
      <c r="AVH43" s="456"/>
      <c r="AVI43" s="456"/>
      <c r="AVJ43" s="456"/>
      <c r="AVK43" s="456"/>
      <c r="AVL43" s="456"/>
      <c r="AVM43" s="456"/>
      <c r="AVN43" s="456"/>
      <c r="AVO43" s="456"/>
      <c r="AVP43" s="456"/>
      <c r="AVQ43" s="456"/>
      <c r="AVR43" s="456"/>
      <c r="AVS43" s="456"/>
      <c r="AVT43" s="456"/>
      <c r="AVU43" s="456"/>
      <c r="AVV43" s="456"/>
      <c r="AVW43" s="456"/>
      <c r="AVX43" s="456"/>
      <c r="AVY43" s="456"/>
      <c r="AVZ43" s="456"/>
      <c r="AWA43" s="456"/>
      <c r="AWB43" s="456"/>
      <c r="AWC43" s="456"/>
      <c r="AWD43" s="456"/>
      <c r="AWE43" s="456"/>
      <c r="AWF43" s="456"/>
      <c r="AWG43" s="456"/>
      <c r="AWH43" s="456"/>
      <c r="AWI43" s="456"/>
      <c r="AWJ43" s="456"/>
      <c r="AWK43" s="456"/>
      <c r="AWL43" s="456"/>
      <c r="AWM43" s="456"/>
      <c r="AWN43" s="456"/>
      <c r="AWO43" s="456"/>
      <c r="AWP43" s="456"/>
      <c r="AWQ43" s="456"/>
      <c r="AWR43" s="456"/>
      <c r="AWS43" s="456"/>
      <c r="AWT43" s="456"/>
      <c r="AWU43" s="456"/>
      <c r="AWV43" s="456"/>
      <c r="AWW43" s="456"/>
      <c r="AWX43" s="456"/>
      <c r="AWY43" s="456"/>
      <c r="AWZ43" s="456"/>
      <c r="AXA43" s="456"/>
      <c r="AXB43" s="456"/>
      <c r="AXC43" s="456"/>
      <c r="AXD43" s="456"/>
      <c r="AXE43" s="456"/>
      <c r="AXF43" s="456"/>
      <c r="AXG43" s="456"/>
      <c r="AXH43" s="456"/>
      <c r="AXI43" s="456"/>
      <c r="AXJ43" s="456"/>
      <c r="AXK43" s="456"/>
      <c r="AXL43" s="456"/>
      <c r="AXM43" s="456"/>
      <c r="AXN43" s="456"/>
      <c r="AXO43" s="456"/>
      <c r="AXP43" s="456"/>
      <c r="AXQ43" s="456"/>
      <c r="AXR43" s="456"/>
      <c r="AXS43" s="456"/>
      <c r="AXT43" s="456"/>
      <c r="AXU43" s="456"/>
      <c r="AXV43" s="456"/>
      <c r="AXW43" s="456"/>
      <c r="AXX43" s="456"/>
      <c r="AXY43" s="456"/>
      <c r="AXZ43" s="456"/>
      <c r="AYA43" s="456"/>
      <c r="AYB43" s="456"/>
      <c r="AYC43" s="456"/>
      <c r="AYD43" s="456"/>
      <c r="AYE43" s="456"/>
      <c r="AYF43" s="456"/>
      <c r="AYG43" s="456"/>
      <c r="AYH43" s="456"/>
      <c r="AYI43" s="456"/>
      <c r="AYJ43" s="456"/>
      <c r="AYK43" s="456"/>
      <c r="AYL43" s="456"/>
      <c r="AYM43" s="456"/>
      <c r="AYN43" s="456"/>
      <c r="AYO43" s="456"/>
      <c r="AYP43" s="456"/>
      <c r="AYQ43" s="456"/>
      <c r="AYR43" s="456"/>
      <c r="AYS43" s="456"/>
      <c r="AYT43" s="456"/>
      <c r="AYU43" s="456"/>
      <c r="AYV43" s="456"/>
      <c r="AYW43" s="456"/>
      <c r="AYX43" s="456"/>
      <c r="AYY43" s="456"/>
      <c r="AYZ43" s="456"/>
      <c r="AZA43" s="456"/>
      <c r="AZB43" s="456"/>
      <c r="AZC43" s="456"/>
      <c r="AZD43" s="456"/>
      <c r="AZE43" s="456"/>
      <c r="AZF43" s="456"/>
      <c r="AZG43" s="456"/>
      <c r="AZH43" s="456"/>
      <c r="AZI43" s="456"/>
      <c r="AZJ43" s="456"/>
      <c r="AZK43" s="456"/>
      <c r="AZL43" s="456"/>
      <c r="AZM43" s="456"/>
      <c r="AZN43" s="456"/>
      <c r="AZO43" s="456"/>
      <c r="AZP43" s="456"/>
      <c r="AZQ43" s="456"/>
      <c r="AZR43" s="456"/>
      <c r="AZS43" s="456"/>
      <c r="AZT43" s="456"/>
      <c r="AZU43" s="456"/>
      <c r="AZV43" s="456"/>
      <c r="AZW43" s="456"/>
      <c r="AZX43" s="456"/>
      <c r="AZY43" s="456"/>
      <c r="AZZ43" s="456"/>
      <c r="BAA43" s="456"/>
      <c r="BAB43" s="456"/>
      <c r="BAC43" s="456"/>
      <c r="BAD43" s="456"/>
      <c r="BAE43" s="456"/>
      <c r="BAF43" s="456"/>
      <c r="BAG43" s="456"/>
      <c r="BAH43" s="456"/>
      <c r="BAI43" s="456"/>
      <c r="BAJ43" s="456"/>
      <c r="BAK43" s="456"/>
      <c r="BAL43" s="456"/>
      <c r="BAM43" s="456"/>
      <c r="BAN43" s="456"/>
      <c r="BAO43" s="456"/>
      <c r="BAP43" s="456"/>
      <c r="BAQ43" s="456"/>
      <c r="BAR43" s="456"/>
      <c r="BAS43" s="456"/>
      <c r="BAT43" s="456"/>
      <c r="BAU43" s="456"/>
      <c r="BAV43" s="456"/>
      <c r="BAW43" s="456"/>
      <c r="BAX43" s="456"/>
      <c r="BAY43" s="456"/>
      <c r="BAZ43" s="456"/>
      <c r="BBA43" s="456"/>
      <c r="BBB43" s="456"/>
      <c r="BBC43" s="456"/>
      <c r="BBD43" s="456"/>
      <c r="BBE43" s="456"/>
      <c r="BBF43" s="456"/>
      <c r="BBG43" s="456"/>
      <c r="BBH43" s="456"/>
      <c r="BBI43" s="456"/>
      <c r="BBJ43" s="456"/>
      <c r="BBK43" s="456"/>
      <c r="BBL43" s="456"/>
      <c r="BBM43" s="456"/>
      <c r="BBN43" s="456"/>
      <c r="BBO43" s="456"/>
      <c r="BBP43" s="456"/>
      <c r="BBQ43" s="456"/>
      <c r="BBR43" s="456"/>
      <c r="BBS43" s="456"/>
      <c r="BBT43" s="456"/>
      <c r="BBU43" s="456"/>
      <c r="BBV43" s="456"/>
      <c r="BBW43" s="456"/>
      <c r="BBX43" s="456"/>
      <c r="BBY43" s="456"/>
      <c r="BBZ43" s="456"/>
      <c r="BCA43" s="456"/>
      <c r="BCB43" s="456"/>
      <c r="BCC43" s="456"/>
      <c r="BCD43" s="456"/>
      <c r="BCE43" s="456"/>
      <c r="BCF43" s="456"/>
      <c r="BCG43" s="456"/>
      <c r="BCH43" s="456"/>
      <c r="BCI43" s="456"/>
      <c r="BCJ43" s="456"/>
      <c r="BCK43" s="456"/>
      <c r="BCL43" s="456"/>
      <c r="BCM43" s="456"/>
      <c r="BCN43" s="456"/>
      <c r="BCO43" s="456"/>
      <c r="BCP43" s="456"/>
      <c r="BCQ43" s="456"/>
      <c r="BCR43" s="456"/>
      <c r="BCS43" s="456"/>
      <c r="BCT43" s="456"/>
      <c r="BCU43" s="456"/>
      <c r="BCV43" s="456"/>
      <c r="BCW43" s="456"/>
      <c r="BCX43" s="456"/>
      <c r="BCY43" s="456"/>
      <c r="BCZ43" s="456"/>
      <c r="BDA43" s="456"/>
      <c r="BDB43" s="456"/>
      <c r="BDC43" s="456"/>
      <c r="BDD43" s="456"/>
      <c r="BDE43" s="456"/>
      <c r="BDF43" s="456"/>
      <c r="BDG43" s="456"/>
      <c r="BDH43" s="456"/>
      <c r="BDI43" s="456"/>
      <c r="BDJ43" s="456"/>
      <c r="BDK43" s="456"/>
      <c r="BDL43" s="456"/>
      <c r="BDM43" s="456"/>
      <c r="BDN43" s="456"/>
      <c r="BDO43" s="456"/>
      <c r="BDP43" s="456"/>
      <c r="BDQ43" s="456"/>
      <c r="BDR43" s="456"/>
      <c r="BDS43" s="456"/>
      <c r="BDT43" s="456"/>
      <c r="BDU43" s="456"/>
      <c r="BDV43" s="456"/>
      <c r="BDW43" s="456"/>
      <c r="BDX43" s="456"/>
      <c r="BDY43" s="456"/>
      <c r="BDZ43" s="456"/>
      <c r="BEA43" s="456"/>
      <c r="BEB43" s="456"/>
      <c r="BEC43" s="456"/>
      <c r="BED43" s="456"/>
      <c r="BEE43" s="456"/>
      <c r="BEF43" s="456"/>
      <c r="BEG43" s="456"/>
      <c r="BEH43" s="456"/>
      <c r="BEI43" s="456"/>
      <c r="BEJ43" s="456"/>
      <c r="BEK43" s="456"/>
      <c r="BEL43" s="456"/>
      <c r="BEM43" s="456"/>
      <c r="BEN43" s="456"/>
      <c r="BEO43" s="456"/>
      <c r="BEP43" s="456"/>
      <c r="BEQ43" s="456"/>
      <c r="BER43" s="456"/>
      <c r="BES43" s="456"/>
      <c r="BET43" s="456"/>
      <c r="BEU43" s="456"/>
      <c r="BEV43" s="456"/>
      <c r="BEW43" s="456"/>
      <c r="BEX43" s="456"/>
      <c r="BEY43" s="456"/>
      <c r="BEZ43" s="456"/>
      <c r="BFA43" s="456"/>
      <c r="BFB43" s="456"/>
      <c r="BFC43" s="456"/>
      <c r="BFD43" s="456"/>
      <c r="BFE43" s="456"/>
      <c r="BFF43" s="456"/>
      <c r="BFG43" s="456"/>
      <c r="BFH43" s="456"/>
      <c r="BFI43" s="456"/>
      <c r="BFJ43" s="456"/>
      <c r="BFK43" s="456"/>
      <c r="BFL43" s="456"/>
      <c r="BFM43" s="456"/>
      <c r="BFN43" s="456"/>
      <c r="BFO43" s="456"/>
      <c r="BFP43" s="456"/>
      <c r="BFQ43" s="456"/>
      <c r="BFR43" s="456"/>
      <c r="BFS43" s="456"/>
      <c r="BFT43" s="456"/>
      <c r="BFU43" s="456"/>
      <c r="BFV43" s="456"/>
      <c r="BFW43" s="456"/>
      <c r="BFX43" s="456"/>
      <c r="BFY43" s="456"/>
      <c r="BFZ43" s="456"/>
      <c r="BGA43" s="456"/>
      <c r="BGB43" s="456"/>
      <c r="BGC43" s="456"/>
      <c r="BGD43" s="456"/>
      <c r="BGE43" s="456"/>
      <c r="BGF43" s="456"/>
      <c r="BGG43" s="456"/>
      <c r="BGH43" s="456"/>
      <c r="BGI43" s="456"/>
      <c r="BGJ43" s="456"/>
      <c r="BGK43" s="456"/>
      <c r="BGL43" s="456"/>
      <c r="BGM43" s="456"/>
      <c r="BGN43" s="456"/>
      <c r="BGO43" s="456"/>
      <c r="BGP43" s="456"/>
      <c r="BGQ43" s="456"/>
      <c r="BGR43" s="456"/>
      <c r="BGS43" s="456"/>
      <c r="BGT43" s="456"/>
      <c r="BGU43" s="456"/>
      <c r="BGV43" s="456"/>
      <c r="BGW43" s="456"/>
      <c r="BGX43" s="456"/>
      <c r="BGY43" s="456"/>
      <c r="BGZ43" s="456"/>
      <c r="BHA43" s="456"/>
      <c r="BHB43" s="456"/>
      <c r="BHC43" s="456"/>
      <c r="BHD43" s="456"/>
      <c r="BHE43" s="456"/>
      <c r="BHF43" s="456"/>
      <c r="BHG43" s="456"/>
      <c r="BHH43" s="456"/>
      <c r="BHI43" s="456"/>
      <c r="BHJ43" s="456"/>
      <c r="BHK43" s="456"/>
      <c r="BHL43" s="456"/>
      <c r="BHM43" s="456"/>
      <c r="BHN43" s="456"/>
      <c r="BHO43" s="456"/>
      <c r="BHP43" s="456"/>
      <c r="BHQ43" s="456"/>
      <c r="BHR43" s="456"/>
      <c r="BHS43" s="456"/>
      <c r="BHT43" s="456"/>
      <c r="BHU43" s="456"/>
      <c r="BHV43" s="456"/>
      <c r="BHW43" s="456"/>
      <c r="BHX43" s="456"/>
      <c r="BHY43" s="456"/>
      <c r="BHZ43" s="456"/>
      <c r="BIA43" s="456"/>
      <c r="BIB43" s="456"/>
      <c r="BIC43" s="456"/>
      <c r="BID43" s="456"/>
      <c r="BIE43" s="456"/>
      <c r="BIF43" s="456"/>
      <c r="BIG43" s="456"/>
      <c r="BIH43" s="456"/>
      <c r="BII43" s="456"/>
      <c r="BIJ43" s="456"/>
      <c r="BIK43" s="456"/>
      <c r="BIL43" s="456"/>
      <c r="BIM43" s="456"/>
      <c r="BIN43" s="456"/>
      <c r="BIO43" s="456"/>
      <c r="BIP43" s="456"/>
      <c r="BIQ43" s="456"/>
      <c r="BIR43" s="456"/>
      <c r="BIS43" s="456"/>
      <c r="BIT43" s="456"/>
      <c r="BIU43" s="456"/>
      <c r="BIV43" s="456"/>
      <c r="BIW43" s="456"/>
      <c r="BIX43" s="456"/>
      <c r="BIY43" s="456"/>
      <c r="BIZ43" s="456"/>
      <c r="BJA43" s="456"/>
      <c r="BJB43" s="456"/>
      <c r="BJC43" s="456"/>
      <c r="BJD43" s="456"/>
      <c r="BJE43" s="456"/>
      <c r="BJF43" s="456"/>
      <c r="BJG43" s="456"/>
      <c r="BJH43" s="456"/>
      <c r="BJI43" s="456"/>
      <c r="BJJ43" s="456"/>
      <c r="BJK43" s="456"/>
      <c r="BJL43" s="456"/>
      <c r="BJM43" s="456"/>
      <c r="BJN43" s="456"/>
      <c r="BJO43" s="456"/>
      <c r="BJP43" s="456"/>
      <c r="BJQ43" s="456"/>
      <c r="BJR43" s="456"/>
      <c r="BJS43" s="456"/>
      <c r="BJT43" s="456"/>
      <c r="BJU43" s="456"/>
      <c r="BJV43" s="456"/>
      <c r="BJW43" s="456"/>
      <c r="BJX43" s="456"/>
      <c r="BJY43" s="456"/>
      <c r="BJZ43" s="456"/>
      <c r="BKA43" s="456"/>
      <c r="BKB43" s="456"/>
      <c r="BKC43" s="456"/>
      <c r="BKD43" s="456"/>
      <c r="BKE43" s="456"/>
      <c r="BKF43" s="456"/>
      <c r="BKG43" s="456"/>
      <c r="BKH43" s="456"/>
      <c r="BKI43" s="456"/>
      <c r="BKJ43" s="456"/>
      <c r="BKK43" s="456"/>
      <c r="BKL43" s="456"/>
      <c r="BKM43" s="456"/>
      <c r="BKN43" s="456"/>
      <c r="BKO43" s="456"/>
      <c r="BKP43" s="456"/>
      <c r="BKQ43" s="456"/>
      <c r="BKR43" s="456"/>
      <c r="BKS43" s="456"/>
      <c r="BKT43" s="456"/>
      <c r="BKU43" s="456"/>
      <c r="BKV43" s="456"/>
      <c r="BKW43" s="456"/>
      <c r="BKX43" s="456"/>
      <c r="BKY43" s="456"/>
      <c r="BKZ43" s="456"/>
      <c r="BLA43" s="456"/>
      <c r="BLB43" s="456"/>
      <c r="BLC43" s="456"/>
      <c r="BLD43" s="456"/>
      <c r="BLE43" s="456"/>
      <c r="BLF43" s="456"/>
      <c r="BLG43" s="456"/>
      <c r="BLH43" s="456"/>
      <c r="BLI43" s="456"/>
      <c r="BLJ43" s="456"/>
      <c r="BLK43" s="456"/>
      <c r="BLL43" s="456"/>
      <c r="BLM43" s="456"/>
      <c r="BLN43" s="456"/>
      <c r="BLO43" s="456"/>
      <c r="BLP43" s="456"/>
      <c r="BLQ43" s="456"/>
      <c r="BLR43" s="456"/>
      <c r="BLS43" s="456"/>
      <c r="BLT43" s="456"/>
      <c r="BLU43" s="456"/>
      <c r="BLV43" s="456"/>
      <c r="BLW43" s="456"/>
      <c r="BLX43" s="456"/>
      <c r="BLY43" s="456"/>
      <c r="BLZ43" s="456"/>
      <c r="BMA43" s="456"/>
      <c r="BMB43" s="456"/>
      <c r="BMC43" s="456"/>
      <c r="BMD43" s="456"/>
      <c r="BME43" s="456"/>
      <c r="BMF43" s="456"/>
      <c r="BMG43" s="456"/>
      <c r="BMH43" s="456"/>
      <c r="BMI43" s="456"/>
      <c r="BMJ43" s="456"/>
      <c r="BMK43" s="456"/>
      <c r="BML43" s="456"/>
      <c r="BMM43" s="456"/>
      <c r="BMN43" s="456"/>
      <c r="BMO43" s="456"/>
      <c r="BMP43" s="456"/>
      <c r="BMQ43" s="456"/>
      <c r="BMR43" s="456"/>
      <c r="BMS43" s="456"/>
      <c r="BMT43" s="456"/>
      <c r="BMU43" s="456"/>
      <c r="BMV43" s="456"/>
      <c r="BMW43" s="456"/>
      <c r="BMX43" s="456"/>
      <c r="BMY43" s="456"/>
      <c r="BMZ43" s="456"/>
      <c r="BNA43" s="456"/>
      <c r="BNB43" s="456"/>
      <c r="BNC43" s="456"/>
      <c r="BND43" s="456"/>
      <c r="BNE43" s="456"/>
      <c r="BNF43" s="456"/>
      <c r="BNG43" s="456"/>
      <c r="BNH43" s="456"/>
      <c r="BNI43" s="456"/>
      <c r="BNJ43" s="456"/>
      <c r="BNK43" s="456"/>
      <c r="BNL43" s="456"/>
      <c r="BNM43" s="456"/>
      <c r="BNN43" s="456"/>
      <c r="BNO43" s="456"/>
      <c r="BNP43" s="456"/>
      <c r="BNQ43" s="456"/>
      <c r="BNR43" s="456"/>
      <c r="BNS43" s="456"/>
      <c r="BNT43" s="456"/>
      <c r="BNU43" s="456"/>
      <c r="BNV43" s="456"/>
      <c r="BNW43" s="456"/>
      <c r="BNX43" s="456"/>
      <c r="BNY43" s="456"/>
      <c r="BNZ43" s="456"/>
      <c r="BOA43" s="456"/>
      <c r="BOB43" s="456"/>
      <c r="BOC43" s="456"/>
      <c r="BOD43" s="456"/>
      <c r="BOE43" s="456"/>
      <c r="BOF43" s="456"/>
      <c r="BOG43" s="456"/>
      <c r="BOH43" s="456"/>
      <c r="BOI43" s="456"/>
      <c r="BOJ43" s="456"/>
      <c r="BOK43" s="456"/>
      <c r="BOL43" s="456"/>
      <c r="BOM43" s="456"/>
      <c r="BON43" s="456"/>
      <c r="BOO43" s="456"/>
      <c r="BOP43" s="456"/>
      <c r="BOQ43" s="456"/>
      <c r="BOR43" s="456"/>
      <c r="BOS43" s="456"/>
      <c r="BOT43" s="456"/>
      <c r="BOU43" s="456"/>
      <c r="BOV43" s="456"/>
      <c r="BOW43" s="456"/>
      <c r="BOX43" s="456"/>
      <c r="BOY43" s="456"/>
      <c r="BOZ43" s="456"/>
      <c r="BPA43" s="456"/>
      <c r="BPB43" s="456"/>
      <c r="BPC43" s="456"/>
      <c r="BPD43" s="456"/>
      <c r="BPE43" s="456"/>
      <c r="BPF43" s="456"/>
      <c r="BPG43" s="456"/>
      <c r="BPH43" s="456"/>
      <c r="BPI43" s="456"/>
      <c r="BPJ43" s="456"/>
      <c r="BPK43" s="456"/>
      <c r="BPL43" s="456"/>
      <c r="BPM43" s="456"/>
      <c r="BPN43" s="456"/>
      <c r="BPO43" s="456"/>
      <c r="BPP43" s="456"/>
      <c r="BPQ43" s="456"/>
      <c r="BPR43" s="456"/>
      <c r="BPS43" s="456"/>
      <c r="BPT43" s="456"/>
      <c r="BPU43" s="456"/>
      <c r="BPV43" s="456"/>
      <c r="BPW43" s="456"/>
      <c r="BPX43" s="456"/>
      <c r="BPY43" s="456"/>
      <c r="BPZ43" s="456"/>
      <c r="BQA43" s="456"/>
      <c r="BQB43" s="456"/>
      <c r="BQC43" s="456"/>
      <c r="BQD43" s="456"/>
      <c r="BQE43" s="456"/>
      <c r="BQF43" s="456"/>
      <c r="BQG43" s="456"/>
      <c r="BQH43" s="456"/>
      <c r="BQI43" s="456"/>
      <c r="BQJ43" s="456"/>
      <c r="BQK43" s="456"/>
      <c r="BQL43" s="456"/>
      <c r="BQM43" s="456"/>
      <c r="BQN43" s="456"/>
      <c r="BQO43" s="456"/>
      <c r="BQP43" s="456"/>
      <c r="BQQ43" s="456"/>
      <c r="BQR43" s="456"/>
      <c r="BQS43" s="456"/>
      <c r="BQT43" s="456"/>
      <c r="BQU43" s="456"/>
      <c r="BQV43" s="456"/>
      <c r="BQW43" s="456"/>
      <c r="BQX43" s="456"/>
      <c r="BQY43" s="456"/>
      <c r="BQZ43" s="456"/>
      <c r="BRA43" s="456"/>
      <c r="BRB43" s="456"/>
      <c r="BRC43" s="456"/>
      <c r="BRD43" s="456"/>
      <c r="BRE43" s="456"/>
      <c r="BRF43" s="456"/>
      <c r="BRG43" s="456"/>
      <c r="BRH43" s="456"/>
      <c r="BRI43" s="456"/>
      <c r="BRJ43" s="456"/>
      <c r="BRK43" s="456"/>
      <c r="BRL43" s="456"/>
      <c r="BRM43" s="456"/>
      <c r="BRN43" s="456"/>
      <c r="BRO43" s="456"/>
      <c r="BRP43" s="456"/>
      <c r="BRQ43" s="456"/>
      <c r="BRR43" s="456"/>
      <c r="BRS43" s="456"/>
      <c r="BRT43" s="456"/>
      <c r="BRU43" s="456"/>
      <c r="BRV43" s="456"/>
      <c r="BRW43" s="456"/>
      <c r="BRX43" s="456"/>
      <c r="BRY43" s="456"/>
      <c r="BRZ43" s="456"/>
      <c r="BSA43" s="456"/>
      <c r="BSB43" s="456"/>
      <c r="BSC43" s="456"/>
      <c r="BSD43" s="456"/>
      <c r="BSE43" s="456"/>
      <c r="BSF43" s="456"/>
      <c r="BSG43" s="456"/>
      <c r="BSH43" s="456"/>
      <c r="BSI43" s="456"/>
      <c r="BSJ43" s="456"/>
      <c r="BSK43" s="456"/>
      <c r="BSL43" s="456"/>
      <c r="BSM43" s="456"/>
      <c r="BSN43" s="456"/>
      <c r="BSO43" s="456"/>
      <c r="BSP43" s="456"/>
      <c r="BSQ43" s="456"/>
      <c r="BSR43" s="456"/>
      <c r="BSS43" s="456"/>
      <c r="BST43" s="456"/>
      <c r="BSU43" s="456"/>
      <c r="BSV43" s="456"/>
      <c r="BSW43" s="456"/>
      <c r="BSX43" s="456"/>
      <c r="BSY43" s="456"/>
      <c r="BSZ43" s="456"/>
      <c r="BTA43" s="456"/>
      <c r="BTB43" s="456"/>
      <c r="BTC43" s="456"/>
      <c r="BTD43" s="456"/>
      <c r="BTE43" s="456"/>
      <c r="BTF43" s="456"/>
      <c r="BTG43" s="456"/>
      <c r="BTH43" s="456"/>
      <c r="BTI43" s="456"/>
      <c r="BTJ43" s="456"/>
      <c r="BTK43" s="456"/>
      <c r="BTL43" s="456"/>
      <c r="BTM43" s="456"/>
      <c r="BTN43" s="456"/>
      <c r="BTO43" s="456"/>
      <c r="BTP43" s="456"/>
      <c r="BTQ43" s="456"/>
      <c r="BTR43" s="456"/>
      <c r="BTS43" s="456"/>
      <c r="BTT43" s="456"/>
      <c r="BTU43" s="456"/>
      <c r="BTV43" s="456"/>
      <c r="BTW43" s="456"/>
      <c r="BTX43" s="456"/>
      <c r="BTY43" s="456"/>
      <c r="BTZ43" s="456"/>
      <c r="BUA43" s="456"/>
      <c r="BUB43" s="456"/>
      <c r="BUC43" s="456"/>
      <c r="BUD43" s="456"/>
      <c r="BUE43" s="456"/>
      <c r="BUF43" s="456"/>
      <c r="BUG43" s="456"/>
      <c r="BUH43" s="456"/>
      <c r="BUI43" s="456"/>
      <c r="BUJ43" s="456"/>
      <c r="BUK43" s="456"/>
      <c r="BUL43" s="456"/>
      <c r="BUM43" s="456"/>
      <c r="BUN43" s="456"/>
      <c r="BUO43" s="456"/>
      <c r="BUP43" s="456"/>
      <c r="BUQ43" s="456"/>
      <c r="BUR43" s="456"/>
      <c r="BUS43" s="456"/>
      <c r="BUT43" s="456"/>
      <c r="BUU43" s="456"/>
      <c r="BUV43" s="456"/>
      <c r="BUW43" s="456"/>
      <c r="BUX43" s="456"/>
      <c r="BUY43" s="456"/>
      <c r="BUZ43" s="456"/>
      <c r="BVA43" s="456"/>
      <c r="BVB43" s="456"/>
      <c r="BVC43" s="456"/>
      <c r="BVD43" s="456"/>
      <c r="BVE43" s="456"/>
      <c r="BVF43" s="456"/>
      <c r="BVG43" s="456"/>
      <c r="BVH43" s="456"/>
      <c r="BVI43" s="456"/>
      <c r="BVJ43" s="456"/>
      <c r="BVK43" s="456"/>
      <c r="BVL43" s="456"/>
      <c r="BVM43" s="456"/>
      <c r="BVN43" s="456"/>
      <c r="BVO43" s="456"/>
      <c r="BVP43" s="456"/>
      <c r="BVQ43" s="456"/>
      <c r="BVR43" s="456"/>
      <c r="BVS43" s="456"/>
      <c r="BVT43" s="456"/>
      <c r="BVU43" s="456"/>
      <c r="BVV43" s="456"/>
      <c r="BVW43" s="456"/>
      <c r="BVX43" s="456"/>
      <c r="BVY43" s="456"/>
      <c r="BVZ43" s="456"/>
      <c r="BWA43" s="456"/>
      <c r="BWB43" s="456"/>
      <c r="BWC43" s="456"/>
      <c r="BWD43" s="456"/>
      <c r="BWE43" s="456"/>
      <c r="BWF43" s="456"/>
      <c r="BWG43" s="456"/>
      <c r="BWH43" s="456"/>
      <c r="BWI43" s="456"/>
      <c r="BWJ43" s="456"/>
      <c r="BWK43" s="456"/>
      <c r="BWL43" s="456"/>
      <c r="BWM43" s="456"/>
      <c r="BWN43" s="456"/>
      <c r="BWO43" s="456"/>
      <c r="BWP43" s="456"/>
      <c r="BWQ43" s="456"/>
      <c r="BWR43" s="456"/>
      <c r="BWS43" s="456"/>
      <c r="BWT43" s="456"/>
      <c r="BWU43" s="456"/>
      <c r="BWV43" s="456"/>
      <c r="BWW43" s="456"/>
      <c r="BWX43" s="456"/>
      <c r="BWY43" s="456"/>
      <c r="BWZ43" s="456"/>
      <c r="BXA43" s="456"/>
      <c r="BXB43" s="456"/>
      <c r="BXC43" s="456"/>
      <c r="BXD43" s="456"/>
      <c r="BXE43" s="456"/>
      <c r="BXF43" s="456"/>
      <c r="BXG43" s="456"/>
      <c r="BXH43" s="456"/>
      <c r="BXI43" s="456"/>
      <c r="BXJ43" s="456"/>
      <c r="BXK43" s="456"/>
      <c r="BXL43" s="456"/>
      <c r="BXM43" s="456"/>
      <c r="BXN43" s="456"/>
      <c r="BXO43" s="456"/>
      <c r="BXP43" s="456"/>
      <c r="BXQ43" s="456"/>
      <c r="BXR43" s="456"/>
      <c r="BXS43" s="456"/>
      <c r="BXT43" s="456"/>
      <c r="BXU43" s="456"/>
      <c r="BXV43" s="456"/>
      <c r="BXW43" s="456"/>
      <c r="BXX43" s="456"/>
      <c r="BXY43" s="456"/>
      <c r="BXZ43" s="456"/>
    </row>
    <row r="44" s="25" customFormat="1" spans="1:1024 1025:2002">
      <c r="A44" s="473"/>
      <c r="B44" s="19">
        <v>1117</v>
      </c>
      <c r="C44" s="183">
        <v>46174</v>
      </c>
      <c r="D44" s="17" t="s">
        <v>35</v>
      </c>
      <c r="E44" s="17" t="s">
        <v>71</v>
      </c>
      <c r="F44" s="17" t="s">
        <v>72</v>
      </c>
      <c r="G44" s="17"/>
      <c r="H44" s="19">
        <v>1.2379</v>
      </c>
      <c r="I44" s="19">
        <v>1.2379</v>
      </c>
      <c r="J44" s="17" t="s">
        <v>39</v>
      </c>
      <c r="K44" s="19">
        <v>305</v>
      </c>
      <c r="L44" s="91"/>
      <c r="M44" s="19">
        <v>5800</v>
      </c>
      <c r="N44" s="19" t="s">
        <v>40</v>
      </c>
      <c r="O44" s="19" t="s">
        <v>50</v>
      </c>
      <c r="P44" s="19">
        <v>5000</v>
      </c>
      <c r="Q44" s="19">
        <f>2635+2630</f>
        <v>5265</v>
      </c>
      <c r="R44" s="19">
        <f t="shared" si="2"/>
        <v>-265</v>
      </c>
      <c r="S44" s="19">
        <v>2260</v>
      </c>
      <c r="T44" s="19" t="s">
        <v>42</v>
      </c>
      <c r="U44" s="102" t="s">
        <v>73</v>
      </c>
      <c r="V44" s="186">
        <v>46173</v>
      </c>
      <c r="W44" s="17" t="s">
        <v>44</v>
      </c>
      <c r="X44" s="17"/>
      <c r="Y44" s="68">
        <v>46296</v>
      </c>
      <c r="Z44" s="17" t="s">
        <v>45</v>
      </c>
      <c r="AA44" s="17" t="s">
        <v>46</v>
      </c>
      <c r="AB44" s="17"/>
      <c r="AC44" s="102"/>
      <c r="AD44" s="65">
        <v>1855</v>
      </c>
      <c r="AE44" s="17" t="s">
        <v>74</v>
      </c>
      <c r="AF44" s="17"/>
      <c r="AG44" s="17"/>
      <c r="AH44" s="456"/>
      <c r="AI44" s="456"/>
      <c r="AJ44" s="456"/>
      <c r="AK44" s="456"/>
      <c r="AL44" s="456"/>
      <c r="AM44" s="456"/>
      <c r="AN44" s="456"/>
      <c r="AO44" s="456"/>
      <c r="AP44" s="456"/>
      <c r="AQ44" s="456"/>
      <c r="AR44" s="456"/>
      <c r="AS44" s="456"/>
      <c r="AT44" s="456"/>
      <c r="AU44" s="456"/>
      <c r="AV44" s="456"/>
      <c r="AW44" s="456"/>
      <c r="AX44" s="456"/>
      <c r="AY44" s="456"/>
      <c r="AZ44" s="456"/>
      <c r="BA44" s="456"/>
      <c r="BB44" s="456"/>
      <c r="BC44" s="456"/>
      <c r="BD44" s="456"/>
      <c r="BE44" s="456"/>
      <c r="BF44" s="456"/>
      <c r="BG44" s="456"/>
      <c r="BH44" s="456"/>
      <c r="BI44" s="456"/>
      <c r="BJ44" s="456"/>
      <c r="BK44" s="456"/>
      <c r="BL44" s="456"/>
      <c r="BM44" s="456"/>
      <c r="BN44" s="456"/>
      <c r="BO44" s="456"/>
      <c r="BP44" s="456"/>
      <c r="BQ44" s="456"/>
      <c r="BR44" s="456"/>
      <c r="BS44" s="456"/>
      <c r="BT44" s="456"/>
      <c r="BU44" s="456"/>
      <c r="BV44" s="456"/>
      <c r="BW44" s="456"/>
      <c r="BX44" s="456"/>
      <c r="BY44" s="456"/>
      <c r="BZ44" s="456"/>
      <c r="CA44" s="456"/>
      <c r="CB44" s="456"/>
      <c r="CC44" s="456"/>
      <c r="CD44" s="456"/>
      <c r="CE44" s="456"/>
      <c r="CF44" s="456"/>
      <c r="CG44" s="456"/>
      <c r="CH44" s="456"/>
      <c r="CI44" s="456"/>
      <c r="CJ44" s="456"/>
      <c r="CK44" s="456"/>
      <c r="CL44" s="456"/>
      <c r="CM44" s="456"/>
      <c r="CN44" s="456"/>
      <c r="CO44" s="456"/>
      <c r="CP44" s="456"/>
      <c r="CQ44" s="456"/>
      <c r="CR44" s="456"/>
      <c r="CS44" s="456"/>
      <c r="CT44" s="456"/>
      <c r="CU44" s="456"/>
      <c r="CV44" s="456"/>
      <c r="CW44" s="456"/>
      <c r="CX44" s="456"/>
      <c r="CY44" s="456"/>
      <c r="CZ44" s="456"/>
      <c r="DA44" s="456"/>
      <c r="DB44" s="456"/>
      <c r="DC44" s="456"/>
      <c r="DD44" s="456"/>
      <c r="DE44" s="456"/>
      <c r="DF44" s="456"/>
      <c r="DG44" s="456"/>
      <c r="DH44" s="456"/>
      <c r="DI44" s="456"/>
      <c r="DJ44" s="456"/>
      <c r="DK44" s="456"/>
      <c r="DL44" s="456"/>
      <c r="DM44" s="456"/>
      <c r="DN44" s="456"/>
      <c r="DO44" s="456"/>
      <c r="DP44" s="456"/>
      <c r="DQ44" s="456"/>
      <c r="DR44" s="456"/>
      <c r="DS44" s="456"/>
      <c r="DT44" s="456"/>
      <c r="DU44" s="456"/>
      <c r="DV44" s="456"/>
      <c r="DW44" s="456"/>
      <c r="DX44" s="456"/>
      <c r="DY44" s="456"/>
      <c r="DZ44" s="456"/>
      <c r="EA44" s="456"/>
      <c r="EB44" s="456"/>
      <c r="EC44" s="456"/>
      <c r="ED44" s="456"/>
      <c r="EE44" s="456"/>
      <c r="EF44" s="456"/>
      <c r="EG44" s="456"/>
      <c r="EH44" s="456"/>
      <c r="EI44" s="456"/>
      <c r="EJ44" s="456"/>
      <c r="EK44" s="456"/>
      <c r="EL44" s="456"/>
      <c r="EM44" s="456"/>
      <c r="EN44" s="456"/>
      <c r="EO44" s="456"/>
      <c r="EP44" s="456"/>
      <c r="EQ44" s="456"/>
      <c r="ER44" s="456"/>
      <c r="ES44" s="456"/>
      <c r="ET44" s="456"/>
      <c r="EU44" s="456"/>
      <c r="EV44" s="456"/>
      <c r="EW44" s="456"/>
      <c r="EX44" s="456"/>
      <c r="EY44" s="456"/>
      <c r="EZ44" s="456"/>
      <c r="FA44" s="456"/>
      <c r="FB44" s="456"/>
      <c r="FC44" s="456"/>
      <c r="FD44" s="456"/>
      <c r="FE44" s="456"/>
      <c r="FF44" s="456"/>
      <c r="FG44" s="456"/>
      <c r="FH44" s="456"/>
      <c r="FI44" s="456"/>
      <c r="FJ44" s="456"/>
      <c r="FK44" s="456"/>
      <c r="FL44" s="456"/>
      <c r="FM44" s="456"/>
      <c r="FN44" s="456"/>
      <c r="FO44" s="456"/>
      <c r="FP44" s="456"/>
      <c r="FQ44" s="456"/>
      <c r="FR44" s="456"/>
      <c r="FS44" s="456"/>
      <c r="FT44" s="456"/>
      <c r="FU44" s="456"/>
      <c r="FV44" s="456"/>
      <c r="FW44" s="456"/>
      <c r="FX44" s="456"/>
      <c r="FY44" s="456"/>
      <c r="FZ44" s="456"/>
      <c r="GA44" s="456"/>
      <c r="GB44" s="456"/>
      <c r="GC44" s="456"/>
      <c r="GD44" s="456"/>
      <c r="GE44" s="456"/>
      <c r="GF44" s="456"/>
      <c r="GG44" s="456"/>
      <c r="GH44" s="456"/>
      <c r="GI44" s="456"/>
      <c r="GJ44" s="456"/>
      <c r="GK44" s="456"/>
      <c r="GL44" s="456"/>
      <c r="GM44" s="456"/>
      <c r="GN44" s="456"/>
      <c r="GO44" s="456"/>
      <c r="GP44" s="456"/>
      <c r="GQ44" s="456"/>
      <c r="GR44" s="456"/>
      <c r="GS44" s="456"/>
      <c r="GT44" s="456"/>
      <c r="GU44" s="456"/>
      <c r="GV44" s="456"/>
      <c r="GW44" s="456"/>
      <c r="GX44" s="456"/>
      <c r="GY44" s="456"/>
      <c r="GZ44" s="456"/>
      <c r="HA44" s="456"/>
      <c r="HB44" s="456"/>
      <c r="HC44" s="456"/>
      <c r="HD44" s="456"/>
      <c r="HE44" s="456"/>
      <c r="HF44" s="456"/>
      <c r="HG44" s="456"/>
      <c r="HH44" s="456"/>
      <c r="HI44" s="456"/>
      <c r="HJ44" s="456"/>
      <c r="HK44" s="456"/>
      <c r="HL44" s="456"/>
      <c r="HM44" s="456"/>
      <c r="HN44" s="456"/>
      <c r="HO44" s="456"/>
      <c r="HP44" s="456"/>
      <c r="HQ44" s="456"/>
      <c r="HR44" s="456"/>
      <c r="HS44" s="456"/>
      <c r="HT44" s="456"/>
      <c r="HU44" s="456"/>
      <c r="HV44" s="456"/>
      <c r="HW44" s="456"/>
      <c r="HX44" s="456"/>
      <c r="HY44" s="456"/>
      <c r="HZ44" s="456"/>
      <c r="IA44" s="456"/>
      <c r="IB44" s="456"/>
      <c r="IC44" s="456"/>
      <c r="ID44" s="456"/>
      <c r="IE44" s="456"/>
      <c r="IF44" s="456"/>
      <c r="IG44" s="456"/>
      <c r="IH44" s="456"/>
      <c r="II44" s="456"/>
      <c r="IJ44" s="456"/>
      <c r="IK44" s="456"/>
      <c r="IL44" s="456"/>
      <c r="IM44" s="456"/>
      <c r="IN44" s="456"/>
      <c r="IO44" s="456"/>
      <c r="IP44" s="456"/>
      <c r="IQ44" s="456"/>
      <c r="IR44" s="456"/>
      <c r="IS44" s="456"/>
      <c r="IT44" s="456"/>
      <c r="IU44" s="456"/>
      <c r="IV44" s="456"/>
      <c r="IW44" s="456"/>
      <c r="IX44" s="456"/>
      <c r="IY44" s="456"/>
      <c r="IZ44" s="456"/>
      <c r="JA44" s="456"/>
      <c r="JB44" s="456"/>
      <c r="JC44" s="456"/>
      <c r="JD44" s="456"/>
      <c r="JE44" s="456"/>
      <c r="JF44" s="456"/>
      <c r="JG44" s="456"/>
      <c r="JH44" s="456"/>
      <c r="JI44" s="456"/>
      <c r="JJ44" s="456"/>
      <c r="JK44" s="456"/>
      <c r="JL44" s="456"/>
      <c r="JM44" s="456"/>
      <c r="JN44" s="456"/>
      <c r="JO44" s="456"/>
      <c r="JP44" s="456"/>
      <c r="JQ44" s="456"/>
      <c r="JR44" s="456"/>
      <c r="JS44" s="456"/>
      <c r="JT44" s="456"/>
      <c r="JU44" s="456"/>
      <c r="JV44" s="456"/>
      <c r="JW44" s="456"/>
      <c r="JX44" s="456"/>
      <c r="JY44" s="456"/>
      <c r="JZ44" s="456"/>
      <c r="KA44" s="456"/>
      <c r="KB44" s="456"/>
      <c r="KC44" s="456"/>
      <c r="KD44" s="456"/>
      <c r="KE44" s="456"/>
      <c r="KF44" s="456"/>
      <c r="KG44" s="456"/>
      <c r="KH44" s="456"/>
      <c r="KI44" s="456"/>
      <c r="KJ44" s="456"/>
      <c r="KK44" s="456"/>
      <c r="KL44" s="456"/>
      <c r="KM44" s="456"/>
      <c r="KN44" s="456"/>
      <c r="KO44" s="456"/>
      <c r="KP44" s="456"/>
      <c r="KQ44" s="456"/>
      <c r="KR44" s="456"/>
      <c r="KS44" s="456"/>
      <c r="KT44" s="456"/>
      <c r="KU44" s="456"/>
      <c r="KV44" s="456"/>
      <c r="KW44" s="456"/>
      <c r="KX44" s="456"/>
      <c r="KY44" s="456"/>
      <c r="KZ44" s="456"/>
      <c r="LA44" s="456"/>
      <c r="LB44" s="456"/>
      <c r="LC44" s="456"/>
      <c r="LD44" s="456"/>
      <c r="LE44" s="456"/>
      <c r="LF44" s="456"/>
      <c r="LG44" s="456"/>
      <c r="LH44" s="456"/>
      <c r="LI44" s="456"/>
      <c r="LJ44" s="456"/>
      <c r="LK44" s="456"/>
      <c r="LL44" s="456"/>
      <c r="LM44" s="456"/>
      <c r="LN44" s="456"/>
      <c r="LO44" s="456"/>
      <c r="LP44" s="456"/>
      <c r="LQ44" s="456"/>
      <c r="LR44" s="456"/>
      <c r="LS44" s="456"/>
      <c r="LT44" s="456"/>
      <c r="LU44" s="456"/>
      <c r="LV44" s="456"/>
      <c r="LW44" s="456"/>
      <c r="LX44" s="456"/>
      <c r="LY44" s="456"/>
      <c r="LZ44" s="456"/>
      <c r="MA44" s="456"/>
      <c r="MB44" s="456"/>
      <c r="MC44" s="456"/>
      <c r="MD44" s="456"/>
      <c r="ME44" s="456"/>
      <c r="MF44" s="456"/>
      <c r="MG44" s="456"/>
      <c r="MH44" s="456"/>
      <c r="MI44" s="456"/>
      <c r="MJ44" s="456"/>
      <c r="MK44" s="456"/>
      <c r="ML44" s="456"/>
      <c r="MM44" s="456"/>
      <c r="MN44" s="456"/>
      <c r="MO44" s="456"/>
      <c r="MP44" s="456"/>
      <c r="MQ44" s="456"/>
      <c r="MR44" s="456"/>
      <c r="MS44" s="456"/>
      <c r="MT44" s="456"/>
      <c r="MU44" s="456"/>
      <c r="MV44" s="456"/>
      <c r="MW44" s="456"/>
      <c r="MX44" s="456"/>
      <c r="MY44" s="456"/>
      <c r="MZ44" s="456"/>
      <c r="NA44" s="456"/>
      <c r="NB44" s="456"/>
      <c r="NC44" s="456"/>
      <c r="ND44" s="456"/>
      <c r="NE44" s="456"/>
      <c r="NF44" s="456"/>
      <c r="NG44" s="456"/>
      <c r="NH44" s="456"/>
      <c r="NI44" s="456"/>
      <c r="NJ44" s="456"/>
      <c r="NK44" s="456"/>
      <c r="NL44" s="456"/>
      <c r="NM44" s="456"/>
      <c r="NN44" s="456"/>
      <c r="NO44" s="456"/>
      <c r="NP44" s="456"/>
      <c r="NQ44" s="456"/>
      <c r="NR44" s="456"/>
      <c r="NS44" s="456"/>
      <c r="NT44" s="456"/>
      <c r="NU44" s="456"/>
      <c r="NV44" s="456"/>
      <c r="NW44" s="456"/>
      <c r="NX44" s="456"/>
      <c r="NY44" s="456"/>
      <c r="NZ44" s="456"/>
      <c r="OA44" s="456"/>
      <c r="OB44" s="456"/>
      <c r="OC44" s="456"/>
      <c r="OD44" s="456"/>
      <c r="OE44" s="456"/>
      <c r="OF44" s="456"/>
      <c r="OG44" s="456"/>
      <c r="OH44" s="456"/>
      <c r="OI44" s="456"/>
      <c r="OJ44" s="456"/>
      <c r="OK44" s="456"/>
      <c r="OL44" s="456"/>
      <c r="OM44" s="456"/>
      <c r="ON44" s="456"/>
      <c r="OO44" s="456"/>
      <c r="OP44" s="456"/>
      <c r="OQ44" s="456"/>
      <c r="OR44" s="456"/>
      <c r="OS44" s="456"/>
      <c r="OT44" s="456"/>
      <c r="OU44" s="456"/>
      <c r="OV44" s="456"/>
      <c r="OW44" s="456"/>
      <c r="OX44" s="456"/>
      <c r="OY44" s="456"/>
      <c r="OZ44" s="456"/>
      <c r="PA44" s="456"/>
      <c r="PB44" s="456"/>
      <c r="PC44" s="456"/>
      <c r="PD44" s="456"/>
      <c r="PE44" s="456"/>
      <c r="PF44" s="456"/>
      <c r="PG44" s="456"/>
      <c r="PH44" s="456"/>
      <c r="PI44" s="456"/>
      <c r="PJ44" s="456"/>
      <c r="PK44" s="456"/>
      <c r="PL44" s="456"/>
      <c r="PM44" s="456"/>
      <c r="PN44" s="456"/>
      <c r="PO44" s="456"/>
      <c r="PP44" s="456"/>
      <c r="PQ44" s="456"/>
      <c r="PR44" s="456"/>
      <c r="PS44" s="456"/>
      <c r="PT44" s="456"/>
      <c r="PU44" s="456"/>
      <c r="PV44" s="456"/>
      <c r="PW44" s="456"/>
      <c r="PX44" s="456"/>
      <c r="PY44" s="456"/>
      <c r="PZ44" s="456"/>
      <c r="QA44" s="456"/>
      <c r="QB44" s="456"/>
      <c r="QC44" s="456"/>
      <c r="QD44" s="456"/>
      <c r="QE44" s="456"/>
      <c r="QF44" s="456"/>
      <c r="QG44" s="456"/>
      <c r="QH44" s="456"/>
      <c r="QI44" s="456"/>
      <c r="QJ44" s="456"/>
      <c r="QK44" s="456"/>
      <c r="QL44" s="456"/>
      <c r="QM44" s="456"/>
      <c r="QN44" s="456"/>
      <c r="QO44" s="456"/>
      <c r="QP44" s="456"/>
      <c r="QQ44" s="456"/>
      <c r="QR44" s="456"/>
      <c r="QS44" s="456"/>
      <c r="QT44" s="456"/>
      <c r="QU44" s="456"/>
      <c r="QV44" s="456"/>
      <c r="QW44" s="456"/>
      <c r="QX44" s="456"/>
      <c r="QY44" s="456"/>
      <c r="QZ44" s="456"/>
      <c r="RA44" s="456"/>
      <c r="RB44" s="456"/>
      <c r="RC44" s="456"/>
      <c r="RD44" s="456"/>
      <c r="RE44" s="456"/>
      <c r="RF44" s="456"/>
      <c r="RG44" s="456"/>
      <c r="RH44" s="456"/>
      <c r="RI44" s="456"/>
      <c r="RJ44" s="456"/>
      <c r="RK44" s="456"/>
      <c r="RL44" s="456"/>
      <c r="RM44" s="456"/>
      <c r="RN44" s="456"/>
      <c r="RO44" s="456"/>
      <c r="RP44" s="456"/>
      <c r="RQ44" s="456"/>
      <c r="RR44" s="456"/>
      <c r="RS44" s="456"/>
      <c r="RT44" s="456"/>
      <c r="RU44" s="456"/>
      <c r="RV44" s="456"/>
      <c r="RW44" s="456"/>
      <c r="RX44" s="456"/>
      <c r="RY44" s="456"/>
      <c r="RZ44" s="456"/>
      <c r="SA44" s="456"/>
      <c r="SB44" s="456"/>
      <c r="SC44" s="456"/>
      <c r="SD44" s="456"/>
      <c r="SE44" s="456"/>
      <c r="SF44" s="456"/>
      <c r="SG44" s="456"/>
      <c r="SH44" s="456"/>
      <c r="SI44" s="456"/>
      <c r="SJ44" s="456"/>
      <c r="SK44" s="456"/>
      <c r="SL44" s="456"/>
      <c r="SM44" s="456"/>
      <c r="SN44" s="456"/>
      <c r="SO44" s="456"/>
      <c r="SP44" s="456"/>
      <c r="SQ44" s="456"/>
      <c r="SR44" s="456"/>
      <c r="SS44" s="456"/>
      <c r="ST44" s="456"/>
      <c r="SU44" s="456"/>
      <c r="SV44" s="456"/>
      <c r="SW44" s="456"/>
      <c r="SX44" s="456"/>
      <c r="SY44" s="456"/>
      <c r="SZ44" s="456"/>
      <c r="TA44" s="456"/>
      <c r="TB44" s="456"/>
      <c r="TC44" s="456"/>
      <c r="TD44" s="456"/>
      <c r="TE44" s="456"/>
      <c r="TF44" s="456"/>
      <c r="TG44" s="456"/>
      <c r="TH44" s="456"/>
      <c r="TI44" s="456"/>
      <c r="TJ44" s="456"/>
      <c r="TK44" s="456"/>
      <c r="TL44" s="456"/>
      <c r="TM44" s="456"/>
      <c r="TN44" s="456"/>
      <c r="TO44" s="456"/>
      <c r="TP44" s="456"/>
      <c r="TQ44" s="456"/>
      <c r="TR44" s="456"/>
      <c r="TS44" s="456"/>
      <c r="TT44" s="456"/>
      <c r="TU44" s="456"/>
      <c r="TV44" s="456"/>
      <c r="TW44" s="456"/>
      <c r="TX44" s="456"/>
      <c r="TY44" s="456"/>
      <c r="TZ44" s="456"/>
      <c r="UA44" s="456"/>
      <c r="UB44" s="456"/>
      <c r="UC44" s="456"/>
      <c r="UD44" s="456"/>
      <c r="UE44" s="456"/>
      <c r="UF44" s="456"/>
      <c r="UG44" s="456"/>
      <c r="UH44" s="456"/>
      <c r="UI44" s="456"/>
      <c r="UJ44" s="456"/>
      <c r="UK44" s="456"/>
      <c r="UL44" s="456"/>
      <c r="UM44" s="456"/>
      <c r="UN44" s="456"/>
      <c r="UO44" s="456"/>
      <c r="UP44" s="456"/>
      <c r="UQ44" s="456"/>
      <c r="UR44" s="456"/>
      <c r="US44" s="456"/>
      <c r="UT44" s="456"/>
      <c r="UU44" s="456"/>
      <c r="UV44" s="456"/>
      <c r="UW44" s="456"/>
      <c r="UX44" s="456"/>
      <c r="UY44" s="456"/>
      <c r="UZ44" s="456"/>
      <c r="VA44" s="456"/>
      <c r="VB44" s="456"/>
      <c r="VC44" s="456"/>
      <c r="VD44" s="456"/>
      <c r="VE44" s="456"/>
      <c r="VF44" s="456"/>
      <c r="VG44" s="456"/>
      <c r="VH44" s="456"/>
      <c r="VI44" s="456"/>
      <c r="VJ44" s="456"/>
      <c r="VK44" s="456"/>
      <c r="VL44" s="456"/>
      <c r="VM44" s="456"/>
      <c r="VN44" s="456"/>
      <c r="VO44" s="456"/>
      <c r="VP44" s="456"/>
      <c r="VQ44" s="456"/>
      <c r="VR44" s="456"/>
      <c r="VS44" s="456"/>
      <c r="VT44" s="456"/>
      <c r="VU44" s="456"/>
      <c r="VV44" s="456"/>
      <c r="VW44" s="456"/>
      <c r="VX44" s="456"/>
      <c r="VY44" s="456"/>
      <c r="VZ44" s="456"/>
      <c r="WA44" s="456"/>
      <c r="WB44" s="456"/>
      <c r="WC44" s="456"/>
      <c r="WD44" s="456"/>
      <c r="WE44" s="456"/>
      <c r="WF44" s="456"/>
      <c r="WG44" s="456"/>
      <c r="WH44" s="456"/>
      <c r="WI44" s="456"/>
      <c r="WJ44" s="456"/>
      <c r="WK44" s="456"/>
      <c r="WL44" s="456"/>
      <c r="WM44" s="456"/>
      <c r="WN44" s="456"/>
      <c r="WO44" s="456"/>
      <c r="WP44" s="456"/>
      <c r="WQ44" s="456"/>
      <c r="WR44" s="456"/>
      <c r="WS44" s="456"/>
      <c r="WT44" s="456"/>
      <c r="WU44" s="456"/>
      <c r="WV44" s="456"/>
      <c r="WW44" s="456"/>
      <c r="WX44" s="456"/>
      <c r="WY44" s="456"/>
      <c r="WZ44" s="456"/>
      <c r="XA44" s="456"/>
      <c r="XB44" s="456"/>
      <c r="XC44" s="456"/>
      <c r="XD44" s="456"/>
      <c r="XE44" s="456"/>
      <c r="XF44" s="456"/>
      <c r="XG44" s="456"/>
      <c r="XH44" s="456"/>
      <c r="XI44" s="456"/>
      <c r="XJ44" s="456"/>
      <c r="XK44" s="456"/>
      <c r="XL44" s="456"/>
      <c r="XM44" s="456"/>
      <c r="XN44" s="456"/>
      <c r="XO44" s="456"/>
      <c r="XP44" s="456"/>
      <c r="XQ44" s="456"/>
      <c r="XR44" s="456"/>
      <c r="XS44" s="456"/>
      <c r="XT44" s="456"/>
      <c r="XU44" s="456"/>
      <c r="XV44" s="456"/>
      <c r="XW44" s="456"/>
      <c r="XX44" s="456"/>
      <c r="XY44" s="456"/>
      <c r="XZ44" s="456"/>
      <c r="YA44" s="456"/>
      <c r="YB44" s="456"/>
      <c r="YC44" s="456"/>
      <c r="YD44" s="456"/>
      <c r="YE44" s="456"/>
      <c r="YF44" s="456"/>
      <c r="YG44" s="456"/>
      <c r="YH44" s="456"/>
      <c r="YI44" s="456"/>
      <c r="YJ44" s="456"/>
      <c r="YK44" s="456"/>
      <c r="YL44" s="456"/>
      <c r="YM44" s="456"/>
      <c r="YN44" s="456"/>
      <c r="YO44" s="456"/>
      <c r="YP44" s="456"/>
      <c r="YQ44" s="456"/>
      <c r="YR44" s="456"/>
      <c r="YS44" s="456"/>
      <c r="YT44" s="456"/>
      <c r="YU44" s="456"/>
      <c r="YV44" s="456"/>
      <c r="YW44" s="456"/>
      <c r="YX44" s="456"/>
      <c r="YY44" s="456"/>
      <c r="YZ44" s="456"/>
      <c r="ZA44" s="456"/>
      <c r="ZB44" s="456"/>
      <c r="ZC44" s="456"/>
      <c r="ZD44" s="456"/>
      <c r="ZE44" s="456"/>
      <c r="ZF44" s="456"/>
      <c r="ZG44" s="456"/>
      <c r="ZH44" s="456"/>
      <c r="ZI44" s="456"/>
      <c r="ZJ44" s="456"/>
      <c r="ZK44" s="456"/>
      <c r="ZL44" s="456"/>
      <c r="ZM44" s="456"/>
      <c r="ZN44" s="456"/>
      <c r="ZO44" s="456"/>
      <c r="ZP44" s="456"/>
      <c r="ZQ44" s="456"/>
      <c r="ZR44" s="456"/>
      <c r="ZS44" s="456"/>
      <c r="ZT44" s="456"/>
      <c r="ZU44" s="456"/>
      <c r="ZV44" s="456"/>
      <c r="ZW44" s="456"/>
      <c r="ZX44" s="456"/>
      <c r="ZY44" s="456"/>
      <c r="ZZ44" s="456"/>
      <c r="AAA44" s="456"/>
      <c r="AAB44" s="456"/>
      <c r="AAC44" s="456"/>
      <c r="AAD44" s="456"/>
      <c r="AAE44" s="456"/>
      <c r="AAF44" s="456"/>
      <c r="AAG44" s="456"/>
      <c r="AAH44" s="456"/>
      <c r="AAI44" s="456"/>
      <c r="AAJ44" s="456"/>
      <c r="AAK44" s="456"/>
      <c r="AAL44" s="456"/>
      <c r="AAM44" s="456"/>
      <c r="AAN44" s="456"/>
      <c r="AAO44" s="456"/>
      <c r="AAP44" s="456"/>
      <c r="AAQ44" s="456"/>
      <c r="AAR44" s="456"/>
      <c r="AAS44" s="456"/>
      <c r="AAT44" s="456"/>
      <c r="AAU44" s="456"/>
      <c r="AAV44" s="456"/>
      <c r="AAW44" s="456"/>
      <c r="AAX44" s="456"/>
      <c r="AAY44" s="456"/>
      <c r="AAZ44" s="456"/>
      <c r="ABA44" s="456"/>
      <c r="ABB44" s="456"/>
      <c r="ABC44" s="456"/>
      <c r="ABD44" s="456"/>
      <c r="ABE44" s="456"/>
      <c r="ABF44" s="456"/>
      <c r="ABG44" s="456"/>
      <c r="ABH44" s="456"/>
      <c r="ABI44" s="456"/>
      <c r="ABJ44" s="456"/>
      <c r="ABK44" s="456"/>
      <c r="ABL44" s="456"/>
      <c r="ABM44" s="456"/>
      <c r="ABN44" s="456"/>
      <c r="ABO44" s="456"/>
      <c r="ABP44" s="456"/>
      <c r="ABQ44" s="456"/>
      <c r="ABR44" s="456"/>
      <c r="ABS44" s="456"/>
      <c r="ABT44" s="456"/>
      <c r="ABU44" s="456"/>
      <c r="ABV44" s="456"/>
      <c r="ABW44" s="456"/>
      <c r="ABX44" s="456"/>
      <c r="ABY44" s="456"/>
      <c r="ABZ44" s="456"/>
      <c r="ACA44" s="456"/>
      <c r="ACB44" s="456"/>
      <c r="ACC44" s="456"/>
      <c r="ACD44" s="456"/>
      <c r="ACE44" s="456"/>
      <c r="ACF44" s="456"/>
      <c r="ACG44" s="456"/>
      <c r="ACH44" s="456"/>
      <c r="ACI44" s="456"/>
      <c r="ACJ44" s="456"/>
      <c r="ACK44" s="456"/>
      <c r="ACL44" s="456"/>
      <c r="ACM44" s="456"/>
      <c r="ACN44" s="456"/>
      <c r="ACO44" s="456"/>
      <c r="ACP44" s="456"/>
      <c r="ACQ44" s="456"/>
      <c r="ACR44" s="456"/>
      <c r="ACS44" s="456"/>
      <c r="ACT44" s="456"/>
      <c r="ACU44" s="456"/>
      <c r="ACV44" s="456"/>
      <c r="ACW44" s="456"/>
      <c r="ACX44" s="456"/>
      <c r="ACY44" s="456"/>
      <c r="ACZ44" s="456"/>
      <c r="ADA44" s="456"/>
      <c r="ADB44" s="456"/>
      <c r="ADC44" s="456"/>
      <c r="ADD44" s="456"/>
      <c r="ADE44" s="456"/>
      <c r="ADF44" s="456"/>
      <c r="ADG44" s="456"/>
      <c r="ADH44" s="456"/>
      <c r="ADI44" s="456"/>
      <c r="ADJ44" s="456"/>
      <c r="ADK44" s="456"/>
      <c r="ADL44" s="456"/>
      <c r="ADM44" s="456"/>
      <c r="ADN44" s="456"/>
      <c r="ADO44" s="456"/>
      <c r="ADP44" s="456"/>
      <c r="ADQ44" s="456"/>
      <c r="ADR44" s="456"/>
      <c r="ADS44" s="456"/>
      <c r="ADT44" s="456"/>
      <c r="ADU44" s="456"/>
      <c r="ADV44" s="456"/>
      <c r="ADW44" s="456"/>
      <c r="ADX44" s="456"/>
      <c r="ADY44" s="456"/>
      <c r="ADZ44" s="456"/>
      <c r="AEA44" s="456"/>
      <c r="AEB44" s="456"/>
      <c r="AEC44" s="456"/>
      <c r="AED44" s="456"/>
      <c r="AEE44" s="456"/>
      <c r="AEF44" s="456"/>
      <c r="AEG44" s="456"/>
      <c r="AEH44" s="456"/>
      <c r="AEI44" s="456"/>
      <c r="AEJ44" s="456"/>
      <c r="AEK44" s="456"/>
      <c r="AEL44" s="456"/>
      <c r="AEM44" s="456"/>
      <c r="AEN44" s="456"/>
      <c r="AEO44" s="456"/>
      <c r="AEP44" s="456"/>
      <c r="AEQ44" s="456"/>
      <c r="AER44" s="456"/>
      <c r="AES44" s="456"/>
      <c r="AET44" s="456"/>
      <c r="AEU44" s="456"/>
      <c r="AEV44" s="456"/>
      <c r="AEW44" s="456"/>
      <c r="AEX44" s="456"/>
      <c r="AEY44" s="456"/>
      <c r="AEZ44" s="456"/>
      <c r="AFA44" s="456"/>
      <c r="AFB44" s="456"/>
      <c r="AFC44" s="456"/>
      <c r="AFD44" s="456"/>
      <c r="AFE44" s="456"/>
      <c r="AFF44" s="456"/>
      <c r="AFG44" s="456"/>
      <c r="AFH44" s="456"/>
      <c r="AFI44" s="456"/>
      <c r="AFJ44" s="456"/>
      <c r="AFK44" s="456"/>
      <c r="AFL44" s="456"/>
      <c r="AFM44" s="456"/>
      <c r="AFN44" s="456"/>
      <c r="AFO44" s="456"/>
      <c r="AFP44" s="456"/>
      <c r="AFQ44" s="456"/>
      <c r="AFR44" s="456"/>
      <c r="AFS44" s="456"/>
      <c r="AFT44" s="456"/>
      <c r="AFU44" s="456"/>
      <c r="AFV44" s="456"/>
      <c r="AFW44" s="456"/>
      <c r="AFX44" s="456"/>
      <c r="AFY44" s="456"/>
      <c r="AFZ44" s="456"/>
      <c r="AGA44" s="456"/>
      <c r="AGB44" s="456"/>
      <c r="AGC44" s="456"/>
      <c r="AGD44" s="456"/>
      <c r="AGE44" s="456"/>
      <c r="AGF44" s="456"/>
      <c r="AGG44" s="456"/>
      <c r="AGH44" s="456"/>
      <c r="AGI44" s="456"/>
      <c r="AGJ44" s="456"/>
      <c r="AGK44" s="456"/>
      <c r="AGL44" s="456"/>
      <c r="AGM44" s="456"/>
      <c r="AGN44" s="456"/>
      <c r="AGO44" s="456"/>
      <c r="AGP44" s="456"/>
      <c r="AGQ44" s="456"/>
      <c r="AGR44" s="456"/>
      <c r="AGS44" s="456"/>
      <c r="AGT44" s="456"/>
      <c r="AGU44" s="456"/>
      <c r="AGV44" s="456"/>
      <c r="AGW44" s="456"/>
      <c r="AGX44" s="456"/>
      <c r="AGY44" s="456"/>
      <c r="AGZ44" s="456"/>
      <c r="AHA44" s="456"/>
      <c r="AHB44" s="456"/>
      <c r="AHC44" s="456"/>
      <c r="AHD44" s="456"/>
      <c r="AHE44" s="456"/>
      <c r="AHF44" s="456"/>
      <c r="AHG44" s="456"/>
      <c r="AHH44" s="456"/>
      <c r="AHI44" s="456"/>
      <c r="AHJ44" s="456"/>
      <c r="AHK44" s="456"/>
      <c r="AHL44" s="456"/>
      <c r="AHM44" s="456"/>
      <c r="AHN44" s="456"/>
      <c r="AHO44" s="456"/>
      <c r="AHP44" s="456"/>
      <c r="AHQ44" s="456"/>
      <c r="AHR44" s="456"/>
      <c r="AHS44" s="456"/>
      <c r="AHT44" s="456"/>
      <c r="AHU44" s="456"/>
      <c r="AHV44" s="456"/>
      <c r="AHW44" s="456"/>
      <c r="AHX44" s="456"/>
      <c r="AHY44" s="456"/>
      <c r="AHZ44" s="456"/>
      <c r="AIA44" s="456"/>
      <c r="AIB44" s="456"/>
      <c r="AIC44" s="456"/>
      <c r="AID44" s="456"/>
      <c r="AIE44" s="456"/>
      <c r="AIF44" s="456"/>
      <c r="AIG44" s="456"/>
      <c r="AIH44" s="456"/>
      <c r="AII44" s="456"/>
      <c r="AIJ44" s="456"/>
      <c r="AIK44" s="456"/>
      <c r="AIL44" s="456"/>
      <c r="AIM44" s="456"/>
      <c r="AIN44" s="456"/>
      <c r="AIO44" s="456"/>
      <c r="AIP44" s="456"/>
      <c r="AIQ44" s="456"/>
      <c r="AIR44" s="456"/>
      <c r="AIS44" s="456"/>
      <c r="AIT44" s="456"/>
      <c r="AIU44" s="456"/>
      <c r="AIV44" s="456"/>
      <c r="AIW44" s="456"/>
      <c r="AIX44" s="456"/>
      <c r="AIY44" s="456"/>
      <c r="AIZ44" s="456"/>
      <c r="AJA44" s="456"/>
      <c r="AJB44" s="456"/>
      <c r="AJC44" s="456"/>
      <c r="AJD44" s="456"/>
      <c r="AJE44" s="456"/>
      <c r="AJF44" s="456"/>
      <c r="AJG44" s="456"/>
      <c r="AJH44" s="456"/>
      <c r="AJI44" s="456"/>
      <c r="AJJ44" s="456"/>
      <c r="AJK44" s="456"/>
      <c r="AJL44" s="456"/>
      <c r="AJM44" s="456"/>
      <c r="AJN44" s="456"/>
      <c r="AJO44" s="456"/>
      <c r="AJP44" s="456"/>
      <c r="AJQ44" s="456"/>
      <c r="AJR44" s="456"/>
      <c r="AJS44" s="456"/>
      <c r="AJT44" s="456"/>
      <c r="AJU44" s="456"/>
      <c r="AJV44" s="456"/>
      <c r="AJW44" s="456"/>
      <c r="AJX44" s="456"/>
      <c r="AJY44" s="456"/>
      <c r="AJZ44" s="456"/>
      <c r="AKA44" s="456"/>
      <c r="AKB44" s="456"/>
      <c r="AKC44" s="456"/>
      <c r="AKD44" s="456"/>
      <c r="AKE44" s="456"/>
      <c r="AKF44" s="456"/>
      <c r="AKG44" s="456"/>
      <c r="AKH44" s="456"/>
      <c r="AKI44" s="456"/>
      <c r="AKJ44" s="456"/>
      <c r="AKK44" s="456"/>
      <c r="AKL44" s="456"/>
      <c r="AKM44" s="456"/>
      <c r="AKN44" s="456"/>
      <c r="AKO44" s="456"/>
      <c r="AKP44" s="456"/>
      <c r="AKQ44" s="456"/>
      <c r="AKR44" s="456"/>
      <c r="AKS44" s="456"/>
      <c r="AKT44" s="456"/>
      <c r="AKU44" s="456"/>
      <c r="AKV44" s="456"/>
      <c r="AKW44" s="456"/>
      <c r="AKX44" s="456"/>
      <c r="AKY44" s="456"/>
      <c r="AKZ44" s="456"/>
      <c r="ALA44" s="456"/>
      <c r="ALB44" s="456"/>
      <c r="ALC44" s="456"/>
      <c r="ALD44" s="456"/>
      <c r="ALE44" s="456"/>
      <c r="ALF44" s="456"/>
      <c r="ALG44" s="456"/>
      <c r="ALH44" s="456"/>
      <c r="ALI44" s="456"/>
      <c r="ALJ44" s="456"/>
      <c r="ALK44" s="456"/>
      <c r="ALL44" s="456"/>
      <c r="ALM44" s="456"/>
      <c r="ALN44" s="456"/>
      <c r="ALO44" s="456"/>
      <c r="ALP44" s="456"/>
      <c r="ALQ44" s="456"/>
      <c r="ALR44" s="456"/>
      <c r="ALS44" s="456"/>
      <c r="ALT44" s="456"/>
      <c r="ALU44" s="456"/>
      <c r="ALV44" s="456"/>
      <c r="ALW44" s="456"/>
      <c r="ALX44" s="456"/>
      <c r="ALY44" s="456"/>
      <c r="ALZ44" s="456"/>
      <c r="AMA44" s="456"/>
      <c r="AMB44" s="456"/>
      <c r="AMC44" s="456"/>
      <c r="AMD44" s="456"/>
      <c r="AME44" s="456"/>
      <c r="AMF44" s="456"/>
      <c r="AMG44" s="456"/>
      <c r="AMH44" s="456"/>
      <c r="AMI44" s="456"/>
      <c r="AMJ44" s="456"/>
      <c r="AMK44" s="456"/>
      <c r="AML44" s="456"/>
      <c r="AMM44" s="456"/>
      <c r="AMN44" s="456"/>
      <c r="AMO44" s="456"/>
      <c r="AMP44" s="456"/>
      <c r="AMQ44" s="456"/>
      <c r="AMR44" s="456"/>
      <c r="AMS44" s="456"/>
      <c r="AMT44" s="456"/>
      <c r="AMU44" s="456"/>
      <c r="AMV44" s="456"/>
      <c r="AMW44" s="456"/>
      <c r="AMX44" s="456"/>
      <c r="AMY44" s="456"/>
      <c r="AMZ44" s="456"/>
      <c r="ANA44" s="456"/>
      <c r="ANB44" s="456"/>
      <c r="ANC44" s="456"/>
      <c r="AND44" s="456"/>
      <c r="ANE44" s="456"/>
      <c r="ANF44" s="456"/>
      <c r="ANG44" s="456"/>
      <c r="ANH44" s="456"/>
      <c r="ANI44" s="456"/>
      <c r="ANJ44" s="456"/>
      <c r="ANK44" s="456"/>
      <c r="ANL44" s="456"/>
      <c r="ANM44" s="456"/>
      <c r="ANN44" s="456"/>
      <c r="ANO44" s="456"/>
      <c r="ANP44" s="456"/>
      <c r="ANQ44" s="456"/>
      <c r="ANR44" s="456"/>
      <c r="ANS44" s="456"/>
      <c r="ANT44" s="456"/>
      <c r="ANU44" s="456"/>
      <c r="ANV44" s="456"/>
      <c r="ANW44" s="456"/>
      <c r="ANX44" s="456"/>
      <c r="ANY44" s="456"/>
      <c r="ANZ44" s="456"/>
      <c r="AOA44" s="456"/>
      <c r="AOB44" s="456"/>
      <c r="AOC44" s="456"/>
      <c r="AOD44" s="456"/>
      <c r="AOE44" s="456"/>
      <c r="AOF44" s="456"/>
      <c r="AOG44" s="456"/>
      <c r="AOH44" s="456"/>
      <c r="AOI44" s="456"/>
      <c r="AOJ44" s="456"/>
      <c r="AOK44" s="456"/>
      <c r="AOL44" s="456"/>
      <c r="AOM44" s="456"/>
      <c r="AON44" s="456"/>
      <c r="AOO44" s="456"/>
      <c r="AOP44" s="456"/>
      <c r="AOQ44" s="456"/>
      <c r="AOR44" s="456"/>
      <c r="AOS44" s="456"/>
      <c r="AOT44" s="456"/>
      <c r="AOU44" s="456"/>
      <c r="AOV44" s="456"/>
      <c r="AOW44" s="456"/>
      <c r="AOX44" s="456"/>
      <c r="AOY44" s="456"/>
      <c r="AOZ44" s="456"/>
      <c r="APA44" s="456"/>
      <c r="APB44" s="456"/>
      <c r="APC44" s="456"/>
      <c r="APD44" s="456"/>
      <c r="APE44" s="456"/>
      <c r="APF44" s="456"/>
      <c r="APG44" s="456"/>
      <c r="APH44" s="456"/>
      <c r="API44" s="456"/>
      <c r="APJ44" s="456"/>
      <c r="APK44" s="456"/>
      <c r="APL44" s="456"/>
      <c r="APM44" s="456"/>
      <c r="APN44" s="456"/>
      <c r="APO44" s="456"/>
      <c r="APP44" s="456"/>
      <c r="APQ44" s="456"/>
      <c r="APR44" s="456"/>
      <c r="APS44" s="456"/>
      <c r="APT44" s="456"/>
      <c r="APU44" s="456"/>
      <c r="APV44" s="456"/>
      <c r="APW44" s="456"/>
      <c r="APX44" s="456"/>
      <c r="APY44" s="456"/>
      <c r="APZ44" s="456"/>
      <c r="AQA44" s="456"/>
      <c r="AQB44" s="456"/>
      <c r="AQC44" s="456"/>
      <c r="AQD44" s="456"/>
      <c r="AQE44" s="456"/>
      <c r="AQF44" s="456"/>
      <c r="AQG44" s="456"/>
      <c r="AQH44" s="456"/>
      <c r="AQI44" s="456"/>
      <c r="AQJ44" s="456"/>
      <c r="AQK44" s="456"/>
      <c r="AQL44" s="456"/>
      <c r="AQM44" s="456"/>
      <c r="AQN44" s="456"/>
      <c r="AQO44" s="456"/>
      <c r="AQP44" s="456"/>
      <c r="AQQ44" s="456"/>
      <c r="AQR44" s="456"/>
      <c r="AQS44" s="456"/>
      <c r="AQT44" s="456"/>
      <c r="AQU44" s="456"/>
      <c r="AQV44" s="456"/>
      <c r="AQW44" s="456"/>
      <c r="AQX44" s="456"/>
      <c r="AQY44" s="456"/>
      <c r="AQZ44" s="456"/>
      <c r="ARA44" s="456"/>
      <c r="ARB44" s="456"/>
      <c r="ARC44" s="456"/>
      <c r="ARD44" s="456"/>
      <c r="ARE44" s="456"/>
      <c r="ARF44" s="456"/>
      <c r="ARG44" s="456"/>
      <c r="ARH44" s="456"/>
      <c r="ARI44" s="456"/>
      <c r="ARJ44" s="456"/>
      <c r="ARK44" s="456"/>
      <c r="ARL44" s="456"/>
      <c r="ARM44" s="456"/>
      <c r="ARN44" s="456"/>
      <c r="ARO44" s="456"/>
      <c r="ARP44" s="456"/>
      <c r="ARQ44" s="456"/>
      <c r="ARR44" s="456"/>
      <c r="ARS44" s="456"/>
      <c r="ART44" s="456"/>
      <c r="ARU44" s="456"/>
      <c r="ARV44" s="456"/>
      <c r="ARW44" s="456"/>
      <c r="ARX44" s="456"/>
      <c r="ARY44" s="456"/>
      <c r="ARZ44" s="456"/>
      <c r="ASA44" s="456"/>
      <c r="ASB44" s="456"/>
      <c r="ASC44" s="456"/>
      <c r="ASD44" s="456"/>
      <c r="ASE44" s="456"/>
      <c r="ASF44" s="456"/>
      <c r="ASG44" s="456"/>
      <c r="ASH44" s="456"/>
      <c r="ASI44" s="456"/>
      <c r="ASJ44" s="456"/>
      <c r="ASK44" s="456"/>
      <c r="ASL44" s="456"/>
      <c r="ASM44" s="456"/>
      <c r="ASN44" s="456"/>
      <c r="ASO44" s="456"/>
      <c r="ASP44" s="456"/>
      <c r="ASQ44" s="456"/>
      <c r="ASR44" s="456"/>
      <c r="ASS44" s="456"/>
      <c r="AST44" s="456"/>
      <c r="ASU44" s="456"/>
      <c r="ASV44" s="456"/>
      <c r="ASW44" s="456"/>
      <c r="ASX44" s="456"/>
      <c r="ASY44" s="456"/>
      <c r="ASZ44" s="456"/>
      <c r="ATA44" s="456"/>
      <c r="ATB44" s="456"/>
      <c r="ATC44" s="456"/>
      <c r="ATD44" s="456"/>
      <c r="ATE44" s="456"/>
      <c r="ATF44" s="456"/>
      <c r="ATG44" s="456"/>
      <c r="ATH44" s="456"/>
      <c r="ATI44" s="456"/>
      <c r="ATJ44" s="456"/>
      <c r="ATK44" s="456"/>
      <c r="ATL44" s="456"/>
      <c r="ATM44" s="456"/>
      <c r="ATN44" s="456"/>
      <c r="ATO44" s="456"/>
      <c r="ATP44" s="456"/>
      <c r="ATQ44" s="456"/>
      <c r="ATR44" s="456"/>
      <c r="ATS44" s="456"/>
      <c r="ATT44" s="456"/>
      <c r="ATU44" s="456"/>
      <c r="ATV44" s="456"/>
      <c r="ATW44" s="456"/>
      <c r="ATX44" s="456"/>
      <c r="ATY44" s="456"/>
      <c r="ATZ44" s="456"/>
      <c r="AUA44" s="456"/>
      <c r="AUB44" s="456"/>
      <c r="AUC44" s="456"/>
      <c r="AUD44" s="456"/>
      <c r="AUE44" s="456"/>
      <c r="AUF44" s="456"/>
      <c r="AUG44" s="456"/>
      <c r="AUH44" s="456"/>
      <c r="AUI44" s="456"/>
      <c r="AUJ44" s="456"/>
      <c r="AUK44" s="456"/>
      <c r="AUL44" s="456"/>
      <c r="AUM44" s="456"/>
      <c r="AUN44" s="456"/>
      <c r="AUO44" s="456"/>
      <c r="AUP44" s="456"/>
      <c r="AUQ44" s="456"/>
      <c r="AUR44" s="456"/>
      <c r="AUS44" s="456"/>
      <c r="AUT44" s="456"/>
      <c r="AUU44" s="456"/>
      <c r="AUV44" s="456"/>
      <c r="AUW44" s="456"/>
      <c r="AUX44" s="456"/>
      <c r="AUY44" s="456"/>
      <c r="AUZ44" s="456"/>
      <c r="AVA44" s="456"/>
      <c r="AVB44" s="456"/>
      <c r="AVC44" s="456"/>
      <c r="AVD44" s="456"/>
      <c r="AVE44" s="456"/>
      <c r="AVF44" s="456"/>
      <c r="AVG44" s="456"/>
      <c r="AVH44" s="456"/>
      <c r="AVI44" s="456"/>
      <c r="AVJ44" s="456"/>
      <c r="AVK44" s="456"/>
      <c r="AVL44" s="456"/>
      <c r="AVM44" s="456"/>
      <c r="AVN44" s="456"/>
      <c r="AVO44" s="456"/>
      <c r="AVP44" s="456"/>
      <c r="AVQ44" s="456"/>
      <c r="AVR44" s="456"/>
      <c r="AVS44" s="456"/>
      <c r="AVT44" s="456"/>
      <c r="AVU44" s="456"/>
      <c r="AVV44" s="456"/>
      <c r="AVW44" s="456"/>
      <c r="AVX44" s="456"/>
      <c r="AVY44" s="456"/>
      <c r="AVZ44" s="456"/>
      <c r="AWA44" s="456"/>
      <c r="AWB44" s="456"/>
      <c r="AWC44" s="456"/>
      <c r="AWD44" s="456"/>
      <c r="AWE44" s="456"/>
      <c r="AWF44" s="456"/>
      <c r="AWG44" s="456"/>
      <c r="AWH44" s="456"/>
      <c r="AWI44" s="456"/>
      <c r="AWJ44" s="456"/>
      <c r="AWK44" s="456"/>
      <c r="AWL44" s="456"/>
      <c r="AWM44" s="456"/>
      <c r="AWN44" s="456"/>
      <c r="AWO44" s="456"/>
      <c r="AWP44" s="456"/>
      <c r="AWQ44" s="456"/>
      <c r="AWR44" s="456"/>
      <c r="AWS44" s="456"/>
      <c r="AWT44" s="456"/>
      <c r="AWU44" s="456"/>
      <c r="AWV44" s="456"/>
      <c r="AWW44" s="456"/>
      <c r="AWX44" s="456"/>
      <c r="AWY44" s="456"/>
      <c r="AWZ44" s="456"/>
      <c r="AXA44" s="456"/>
      <c r="AXB44" s="456"/>
      <c r="AXC44" s="456"/>
      <c r="AXD44" s="456"/>
      <c r="AXE44" s="456"/>
      <c r="AXF44" s="456"/>
      <c r="AXG44" s="456"/>
      <c r="AXH44" s="456"/>
      <c r="AXI44" s="456"/>
      <c r="AXJ44" s="456"/>
      <c r="AXK44" s="456"/>
      <c r="AXL44" s="456"/>
      <c r="AXM44" s="456"/>
      <c r="AXN44" s="456"/>
      <c r="AXO44" s="456"/>
      <c r="AXP44" s="456"/>
      <c r="AXQ44" s="456"/>
      <c r="AXR44" s="456"/>
      <c r="AXS44" s="456"/>
      <c r="AXT44" s="456"/>
      <c r="AXU44" s="456"/>
      <c r="AXV44" s="456"/>
      <c r="AXW44" s="456"/>
      <c r="AXX44" s="456"/>
      <c r="AXY44" s="456"/>
      <c r="AXZ44" s="456"/>
      <c r="AYA44" s="456"/>
      <c r="AYB44" s="456"/>
      <c r="AYC44" s="456"/>
      <c r="AYD44" s="456"/>
      <c r="AYE44" s="456"/>
      <c r="AYF44" s="456"/>
      <c r="AYG44" s="456"/>
      <c r="AYH44" s="456"/>
      <c r="AYI44" s="456"/>
      <c r="AYJ44" s="456"/>
      <c r="AYK44" s="456"/>
      <c r="AYL44" s="456"/>
      <c r="AYM44" s="456"/>
      <c r="AYN44" s="456"/>
      <c r="AYO44" s="456"/>
      <c r="AYP44" s="456"/>
      <c r="AYQ44" s="456"/>
      <c r="AYR44" s="456"/>
      <c r="AYS44" s="456"/>
      <c r="AYT44" s="456"/>
      <c r="AYU44" s="456"/>
      <c r="AYV44" s="456"/>
      <c r="AYW44" s="456"/>
      <c r="AYX44" s="456"/>
      <c r="AYY44" s="456"/>
      <c r="AYZ44" s="456"/>
      <c r="AZA44" s="456"/>
      <c r="AZB44" s="456"/>
      <c r="AZC44" s="456"/>
      <c r="AZD44" s="456"/>
      <c r="AZE44" s="456"/>
      <c r="AZF44" s="456"/>
      <c r="AZG44" s="456"/>
      <c r="AZH44" s="456"/>
      <c r="AZI44" s="456"/>
      <c r="AZJ44" s="456"/>
      <c r="AZK44" s="456"/>
      <c r="AZL44" s="456"/>
      <c r="AZM44" s="456"/>
      <c r="AZN44" s="456"/>
      <c r="AZO44" s="456"/>
      <c r="AZP44" s="456"/>
      <c r="AZQ44" s="456"/>
      <c r="AZR44" s="456"/>
      <c r="AZS44" s="456"/>
      <c r="AZT44" s="456"/>
      <c r="AZU44" s="456"/>
      <c r="AZV44" s="456"/>
      <c r="AZW44" s="456"/>
      <c r="AZX44" s="456"/>
      <c r="AZY44" s="456"/>
      <c r="AZZ44" s="456"/>
      <c r="BAA44" s="456"/>
      <c r="BAB44" s="456"/>
      <c r="BAC44" s="456"/>
      <c r="BAD44" s="456"/>
      <c r="BAE44" s="456"/>
      <c r="BAF44" s="456"/>
      <c r="BAG44" s="456"/>
      <c r="BAH44" s="456"/>
      <c r="BAI44" s="456"/>
      <c r="BAJ44" s="456"/>
      <c r="BAK44" s="456"/>
      <c r="BAL44" s="456"/>
      <c r="BAM44" s="456"/>
      <c r="BAN44" s="456"/>
      <c r="BAO44" s="456"/>
      <c r="BAP44" s="456"/>
      <c r="BAQ44" s="456"/>
      <c r="BAR44" s="456"/>
      <c r="BAS44" s="456"/>
      <c r="BAT44" s="456"/>
      <c r="BAU44" s="456"/>
      <c r="BAV44" s="456"/>
      <c r="BAW44" s="456"/>
      <c r="BAX44" s="456"/>
      <c r="BAY44" s="456"/>
      <c r="BAZ44" s="456"/>
      <c r="BBA44" s="456"/>
      <c r="BBB44" s="456"/>
      <c r="BBC44" s="456"/>
      <c r="BBD44" s="456"/>
      <c r="BBE44" s="456"/>
      <c r="BBF44" s="456"/>
      <c r="BBG44" s="456"/>
      <c r="BBH44" s="456"/>
      <c r="BBI44" s="456"/>
      <c r="BBJ44" s="456"/>
      <c r="BBK44" s="456"/>
      <c r="BBL44" s="456"/>
      <c r="BBM44" s="456"/>
      <c r="BBN44" s="456"/>
      <c r="BBO44" s="456"/>
      <c r="BBP44" s="456"/>
      <c r="BBQ44" s="456"/>
      <c r="BBR44" s="456"/>
      <c r="BBS44" s="456"/>
      <c r="BBT44" s="456"/>
      <c r="BBU44" s="456"/>
      <c r="BBV44" s="456"/>
      <c r="BBW44" s="456"/>
      <c r="BBX44" s="456"/>
      <c r="BBY44" s="456"/>
      <c r="BBZ44" s="456"/>
      <c r="BCA44" s="456"/>
      <c r="BCB44" s="456"/>
      <c r="BCC44" s="456"/>
      <c r="BCD44" s="456"/>
      <c r="BCE44" s="456"/>
      <c r="BCF44" s="456"/>
      <c r="BCG44" s="456"/>
      <c r="BCH44" s="456"/>
      <c r="BCI44" s="456"/>
      <c r="BCJ44" s="456"/>
      <c r="BCK44" s="456"/>
      <c r="BCL44" s="456"/>
      <c r="BCM44" s="456"/>
      <c r="BCN44" s="456"/>
      <c r="BCO44" s="456"/>
      <c r="BCP44" s="456"/>
      <c r="BCQ44" s="456"/>
      <c r="BCR44" s="456"/>
      <c r="BCS44" s="456"/>
      <c r="BCT44" s="456"/>
      <c r="BCU44" s="456"/>
      <c r="BCV44" s="456"/>
      <c r="BCW44" s="456"/>
      <c r="BCX44" s="456"/>
      <c r="BCY44" s="456"/>
      <c r="BCZ44" s="456"/>
      <c r="BDA44" s="456"/>
      <c r="BDB44" s="456"/>
      <c r="BDC44" s="456"/>
      <c r="BDD44" s="456"/>
      <c r="BDE44" s="456"/>
      <c r="BDF44" s="456"/>
      <c r="BDG44" s="456"/>
      <c r="BDH44" s="456"/>
      <c r="BDI44" s="456"/>
      <c r="BDJ44" s="456"/>
      <c r="BDK44" s="456"/>
      <c r="BDL44" s="456"/>
      <c r="BDM44" s="456"/>
      <c r="BDN44" s="456"/>
      <c r="BDO44" s="456"/>
      <c r="BDP44" s="456"/>
      <c r="BDQ44" s="456"/>
      <c r="BDR44" s="456"/>
      <c r="BDS44" s="456"/>
      <c r="BDT44" s="456"/>
      <c r="BDU44" s="456"/>
      <c r="BDV44" s="456"/>
      <c r="BDW44" s="456"/>
      <c r="BDX44" s="456"/>
      <c r="BDY44" s="456"/>
      <c r="BDZ44" s="456"/>
      <c r="BEA44" s="456"/>
      <c r="BEB44" s="456"/>
      <c r="BEC44" s="456"/>
      <c r="BED44" s="456"/>
      <c r="BEE44" s="456"/>
      <c r="BEF44" s="456"/>
      <c r="BEG44" s="456"/>
      <c r="BEH44" s="456"/>
      <c r="BEI44" s="456"/>
      <c r="BEJ44" s="456"/>
      <c r="BEK44" s="456"/>
      <c r="BEL44" s="456"/>
      <c r="BEM44" s="456"/>
      <c r="BEN44" s="456"/>
      <c r="BEO44" s="456"/>
      <c r="BEP44" s="456"/>
      <c r="BEQ44" s="456"/>
      <c r="BER44" s="456"/>
      <c r="BES44" s="456"/>
      <c r="BET44" s="456"/>
      <c r="BEU44" s="456"/>
      <c r="BEV44" s="456"/>
      <c r="BEW44" s="456"/>
      <c r="BEX44" s="456"/>
      <c r="BEY44" s="456"/>
      <c r="BEZ44" s="456"/>
      <c r="BFA44" s="456"/>
      <c r="BFB44" s="456"/>
      <c r="BFC44" s="456"/>
      <c r="BFD44" s="456"/>
      <c r="BFE44" s="456"/>
      <c r="BFF44" s="456"/>
      <c r="BFG44" s="456"/>
      <c r="BFH44" s="456"/>
      <c r="BFI44" s="456"/>
      <c r="BFJ44" s="456"/>
      <c r="BFK44" s="456"/>
      <c r="BFL44" s="456"/>
      <c r="BFM44" s="456"/>
      <c r="BFN44" s="456"/>
      <c r="BFO44" s="456"/>
      <c r="BFP44" s="456"/>
      <c r="BFQ44" s="456"/>
      <c r="BFR44" s="456"/>
      <c r="BFS44" s="456"/>
      <c r="BFT44" s="456"/>
      <c r="BFU44" s="456"/>
      <c r="BFV44" s="456"/>
      <c r="BFW44" s="456"/>
      <c r="BFX44" s="456"/>
      <c r="BFY44" s="456"/>
      <c r="BFZ44" s="456"/>
      <c r="BGA44" s="456"/>
      <c r="BGB44" s="456"/>
      <c r="BGC44" s="456"/>
      <c r="BGD44" s="456"/>
      <c r="BGE44" s="456"/>
      <c r="BGF44" s="456"/>
      <c r="BGG44" s="456"/>
      <c r="BGH44" s="456"/>
      <c r="BGI44" s="456"/>
      <c r="BGJ44" s="456"/>
      <c r="BGK44" s="456"/>
      <c r="BGL44" s="456"/>
      <c r="BGM44" s="456"/>
      <c r="BGN44" s="456"/>
      <c r="BGO44" s="456"/>
      <c r="BGP44" s="456"/>
      <c r="BGQ44" s="456"/>
      <c r="BGR44" s="456"/>
      <c r="BGS44" s="456"/>
      <c r="BGT44" s="456"/>
      <c r="BGU44" s="456"/>
      <c r="BGV44" s="456"/>
      <c r="BGW44" s="456"/>
      <c r="BGX44" s="456"/>
      <c r="BGY44" s="456"/>
      <c r="BGZ44" s="456"/>
      <c r="BHA44" s="456"/>
      <c r="BHB44" s="456"/>
      <c r="BHC44" s="456"/>
      <c r="BHD44" s="456"/>
      <c r="BHE44" s="456"/>
      <c r="BHF44" s="456"/>
      <c r="BHG44" s="456"/>
      <c r="BHH44" s="456"/>
      <c r="BHI44" s="456"/>
      <c r="BHJ44" s="456"/>
      <c r="BHK44" s="456"/>
      <c r="BHL44" s="456"/>
      <c r="BHM44" s="456"/>
      <c r="BHN44" s="456"/>
      <c r="BHO44" s="456"/>
      <c r="BHP44" s="456"/>
      <c r="BHQ44" s="456"/>
      <c r="BHR44" s="456"/>
      <c r="BHS44" s="456"/>
      <c r="BHT44" s="456"/>
      <c r="BHU44" s="456"/>
      <c r="BHV44" s="456"/>
      <c r="BHW44" s="456"/>
      <c r="BHX44" s="456"/>
      <c r="BHY44" s="456"/>
      <c r="BHZ44" s="456"/>
      <c r="BIA44" s="456"/>
      <c r="BIB44" s="456"/>
      <c r="BIC44" s="456"/>
      <c r="BID44" s="456"/>
      <c r="BIE44" s="456"/>
      <c r="BIF44" s="456"/>
      <c r="BIG44" s="456"/>
      <c r="BIH44" s="456"/>
      <c r="BII44" s="456"/>
      <c r="BIJ44" s="456"/>
      <c r="BIK44" s="456"/>
      <c r="BIL44" s="456"/>
      <c r="BIM44" s="456"/>
      <c r="BIN44" s="456"/>
      <c r="BIO44" s="456"/>
      <c r="BIP44" s="456"/>
      <c r="BIQ44" s="456"/>
      <c r="BIR44" s="456"/>
      <c r="BIS44" s="456"/>
      <c r="BIT44" s="456"/>
      <c r="BIU44" s="456"/>
      <c r="BIV44" s="456"/>
      <c r="BIW44" s="456"/>
      <c r="BIX44" s="456"/>
      <c r="BIY44" s="456"/>
      <c r="BIZ44" s="456"/>
      <c r="BJA44" s="456"/>
      <c r="BJB44" s="456"/>
      <c r="BJC44" s="456"/>
      <c r="BJD44" s="456"/>
      <c r="BJE44" s="456"/>
      <c r="BJF44" s="456"/>
      <c r="BJG44" s="456"/>
      <c r="BJH44" s="456"/>
      <c r="BJI44" s="456"/>
      <c r="BJJ44" s="456"/>
      <c r="BJK44" s="456"/>
      <c r="BJL44" s="456"/>
      <c r="BJM44" s="456"/>
      <c r="BJN44" s="456"/>
      <c r="BJO44" s="456"/>
      <c r="BJP44" s="456"/>
      <c r="BJQ44" s="456"/>
      <c r="BJR44" s="456"/>
      <c r="BJS44" s="456"/>
      <c r="BJT44" s="456"/>
      <c r="BJU44" s="456"/>
      <c r="BJV44" s="456"/>
      <c r="BJW44" s="456"/>
      <c r="BJX44" s="456"/>
      <c r="BJY44" s="456"/>
      <c r="BJZ44" s="456"/>
      <c r="BKA44" s="456"/>
      <c r="BKB44" s="456"/>
      <c r="BKC44" s="456"/>
      <c r="BKD44" s="456"/>
      <c r="BKE44" s="456"/>
      <c r="BKF44" s="456"/>
      <c r="BKG44" s="456"/>
      <c r="BKH44" s="456"/>
      <c r="BKI44" s="456"/>
      <c r="BKJ44" s="456"/>
      <c r="BKK44" s="456"/>
      <c r="BKL44" s="456"/>
      <c r="BKM44" s="456"/>
      <c r="BKN44" s="456"/>
      <c r="BKO44" s="456"/>
      <c r="BKP44" s="456"/>
      <c r="BKQ44" s="456"/>
      <c r="BKR44" s="456"/>
      <c r="BKS44" s="456"/>
      <c r="BKT44" s="456"/>
      <c r="BKU44" s="456"/>
      <c r="BKV44" s="456"/>
      <c r="BKW44" s="456"/>
      <c r="BKX44" s="456"/>
      <c r="BKY44" s="456"/>
      <c r="BKZ44" s="456"/>
      <c r="BLA44" s="456"/>
      <c r="BLB44" s="456"/>
      <c r="BLC44" s="456"/>
      <c r="BLD44" s="456"/>
      <c r="BLE44" s="456"/>
      <c r="BLF44" s="456"/>
      <c r="BLG44" s="456"/>
      <c r="BLH44" s="456"/>
      <c r="BLI44" s="456"/>
      <c r="BLJ44" s="456"/>
      <c r="BLK44" s="456"/>
      <c r="BLL44" s="456"/>
      <c r="BLM44" s="456"/>
      <c r="BLN44" s="456"/>
      <c r="BLO44" s="456"/>
      <c r="BLP44" s="456"/>
      <c r="BLQ44" s="456"/>
      <c r="BLR44" s="456"/>
      <c r="BLS44" s="456"/>
      <c r="BLT44" s="456"/>
      <c r="BLU44" s="456"/>
      <c r="BLV44" s="456"/>
      <c r="BLW44" s="456"/>
      <c r="BLX44" s="456"/>
      <c r="BLY44" s="456"/>
      <c r="BLZ44" s="456"/>
      <c r="BMA44" s="456"/>
      <c r="BMB44" s="456"/>
      <c r="BMC44" s="456"/>
      <c r="BMD44" s="456"/>
      <c r="BME44" s="456"/>
      <c r="BMF44" s="456"/>
      <c r="BMG44" s="456"/>
      <c r="BMH44" s="456"/>
      <c r="BMI44" s="456"/>
      <c r="BMJ44" s="456"/>
      <c r="BMK44" s="456"/>
      <c r="BML44" s="456"/>
      <c r="BMM44" s="456"/>
      <c r="BMN44" s="456"/>
      <c r="BMO44" s="456"/>
      <c r="BMP44" s="456"/>
      <c r="BMQ44" s="456"/>
      <c r="BMR44" s="456"/>
      <c r="BMS44" s="456"/>
      <c r="BMT44" s="456"/>
      <c r="BMU44" s="456"/>
      <c r="BMV44" s="456"/>
      <c r="BMW44" s="456"/>
      <c r="BMX44" s="456"/>
      <c r="BMY44" s="456"/>
      <c r="BMZ44" s="456"/>
      <c r="BNA44" s="456"/>
      <c r="BNB44" s="456"/>
      <c r="BNC44" s="456"/>
      <c r="BND44" s="456"/>
      <c r="BNE44" s="456"/>
      <c r="BNF44" s="456"/>
      <c r="BNG44" s="456"/>
      <c r="BNH44" s="456"/>
      <c r="BNI44" s="456"/>
      <c r="BNJ44" s="456"/>
      <c r="BNK44" s="456"/>
      <c r="BNL44" s="456"/>
      <c r="BNM44" s="456"/>
      <c r="BNN44" s="456"/>
      <c r="BNO44" s="456"/>
      <c r="BNP44" s="456"/>
      <c r="BNQ44" s="456"/>
      <c r="BNR44" s="456"/>
      <c r="BNS44" s="456"/>
      <c r="BNT44" s="456"/>
      <c r="BNU44" s="456"/>
      <c r="BNV44" s="456"/>
      <c r="BNW44" s="456"/>
      <c r="BNX44" s="456"/>
      <c r="BNY44" s="456"/>
      <c r="BNZ44" s="456"/>
      <c r="BOA44" s="456"/>
      <c r="BOB44" s="456"/>
      <c r="BOC44" s="456"/>
      <c r="BOD44" s="456"/>
      <c r="BOE44" s="456"/>
      <c r="BOF44" s="456"/>
      <c r="BOG44" s="456"/>
      <c r="BOH44" s="456"/>
      <c r="BOI44" s="456"/>
      <c r="BOJ44" s="456"/>
      <c r="BOK44" s="456"/>
      <c r="BOL44" s="456"/>
      <c r="BOM44" s="456"/>
      <c r="BON44" s="456"/>
      <c r="BOO44" s="456"/>
      <c r="BOP44" s="456"/>
      <c r="BOQ44" s="456"/>
      <c r="BOR44" s="456"/>
      <c r="BOS44" s="456"/>
      <c r="BOT44" s="456"/>
      <c r="BOU44" s="456"/>
      <c r="BOV44" s="456"/>
      <c r="BOW44" s="456"/>
      <c r="BOX44" s="456"/>
      <c r="BOY44" s="456"/>
      <c r="BOZ44" s="456"/>
      <c r="BPA44" s="456"/>
      <c r="BPB44" s="456"/>
      <c r="BPC44" s="456"/>
      <c r="BPD44" s="456"/>
      <c r="BPE44" s="456"/>
      <c r="BPF44" s="456"/>
      <c r="BPG44" s="456"/>
      <c r="BPH44" s="456"/>
      <c r="BPI44" s="456"/>
      <c r="BPJ44" s="456"/>
      <c r="BPK44" s="456"/>
      <c r="BPL44" s="456"/>
      <c r="BPM44" s="456"/>
      <c r="BPN44" s="456"/>
      <c r="BPO44" s="456"/>
      <c r="BPP44" s="456"/>
      <c r="BPQ44" s="456"/>
      <c r="BPR44" s="456"/>
      <c r="BPS44" s="456"/>
      <c r="BPT44" s="456"/>
      <c r="BPU44" s="456"/>
      <c r="BPV44" s="456"/>
      <c r="BPW44" s="456"/>
      <c r="BPX44" s="456"/>
      <c r="BPY44" s="456"/>
      <c r="BPZ44" s="456"/>
      <c r="BQA44" s="456"/>
      <c r="BQB44" s="456"/>
      <c r="BQC44" s="456"/>
      <c r="BQD44" s="456"/>
      <c r="BQE44" s="456"/>
      <c r="BQF44" s="456"/>
      <c r="BQG44" s="456"/>
      <c r="BQH44" s="456"/>
      <c r="BQI44" s="456"/>
      <c r="BQJ44" s="456"/>
      <c r="BQK44" s="456"/>
      <c r="BQL44" s="456"/>
      <c r="BQM44" s="456"/>
      <c r="BQN44" s="456"/>
      <c r="BQO44" s="456"/>
      <c r="BQP44" s="456"/>
      <c r="BQQ44" s="456"/>
      <c r="BQR44" s="456"/>
      <c r="BQS44" s="456"/>
      <c r="BQT44" s="456"/>
      <c r="BQU44" s="456"/>
      <c r="BQV44" s="456"/>
      <c r="BQW44" s="456"/>
      <c r="BQX44" s="456"/>
      <c r="BQY44" s="456"/>
      <c r="BQZ44" s="456"/>
      <c r="BRA44" s="456"/>
      <c r="BRB44" s="456"/>
      <c r="BRC44" s="456"/>
      <c r="BRD44" s="456"/>
      <c r="BRE44" s="456"/>
      <c r="BRF44" s="456"/>
      <c r="BRG44" s="456"/>
      <c r="BRH44" s="456"/>
      <c r="BRI44" s="456"/>
      <c r="BRJ44" s="456"/>
      <c r="BRK44" s="456"/>
      <c r="BRL44" s="456"/>
      <c r="BRM44" s="456"/>
      <c r="BRN44" s="456"/>
      <c r="BRO44" s="456"/>
      <c r="BRP44" s="456"/>
      <c r="BRQ44" s="456"/>
      <c r="BRR44" s="456"/>
      <c r="BRS44" s="456"/>
      <c r="BRT44" s="456"/>
      <c r="BRU44" s="456"/>
      <c r="BRV44" s="456"/>
      <c r="BRW44" s="456"/>
      <c r="BRX44" s="456"/>
      <c r="BRY44" s="456"/>
      <c r="BRZ44" s="456"/>
      <c r="BSA44" s="456"/>
      <c r="BSB44" s="456"/>
      <c r="BSC44" s="456"/>
      <c r="BSD44" s="456"/>
      <c r="BSE44" s="456"/>
      <c r="BSF44" s="456"/>
      <c r="BSG44" s="456"/>
      <c r="BSH44" s="456"/>
      <c r="BSI44" s="456"/>
      <c r="BSJ44" s="456"/>
      <c r="BSK44" s="456"/>
      <c r="BSL44" s="456"/>
      <c r="BSM44" s="456"/>
      <c r="BSN44" s="456"/>
      <c r="BSO44" s="456"/>
      <c r="BSP44" s="456"/>
      <c r="BSQ44" s="456"/>
      <c r="BSR44" s="456"/>
      <c r="BSS44" s="456"/>
      <c r="BST44" s="456"/>
      <c r="BSU44" s="456"/>
      <c r="BSV44" s="456"/>
      <c r="BSW44" s="456"/>
      <c r="BSX44" s="456"/>
      <c r="BSY44" s="456"/>
      <c r="BSZ44" s="456"/>
      <c r="BTA44" s="456"/>
      <c r="BTB44" s="456"/>
      <c r="BTC44" s="456"/>
      <c r="BTD44" s="456"/>
      <c r="BTE44" s="456"/>
      <c r="BTF44" s="456"/>
      <c r="BTG44" s="456"/>
      <c r="BTH44" s="456"/>
      <c r="BTI44" s="456"/>
      <c r="BTJ44" s="456"/>
      <c r="BTK44" s="456"/>
      <c r="BTL44" s="456"/>
      <c r="BTM44" s="456"/>
      <c r="BTN44" s="456"/>
      <c r="BTO44" s="456"/>
      <c r="BTP44" s="456"/>
      <c r="BTQ44" s="456"/>
      <c r="BTR44" s="456"/>
      <c r="BTS44" s="456"/>
      <c r="BTT44" s="456"/>
      <c r="BTU44" s="456"/>
      <c r="BTV44" s="456"/>
      <c r="BTW44" s="456"/>
      <c r="BTX44" s="456"/>
      <c r="BTY44" s="456"/>
      <c r="BTZ44" s="456"/>
      <c r="BUA44" s="456"/>
      <c r="BUB44" s="456"/>
      <c r="BUC44" s="456"/>
      <c r="BUD44" s="456"/>
      <c r="BUE44" s="456"/>
      <c r="BUF44" s="456"/>
      <c r="BUG44" s="456"/>
      <c r="BUH44" s="456"/>
      <c r="BUI44" s="456"/>
      <c r="BUJ44" s="456"/>
      <c r="BUK44" s="456"/>
      <c r="BUL44" s="456"/>
      <c r="BUM44" s="456"/>
      <c r="BUN44" s="456"/>
      <c r="BUO44" s="456"/>
      <c r="BUP44" s="456"/>
      <c r="BUQ44" s="456"/>
      <c r="BUR44" s="456"/>
      <c r="BUS44" s="456"/>
      <c r="BUT44" s="456"/>
      <c r="BUU44" s="456"/>
      <c r="BUV44" s="456"/>
      <c r="BUW44" s="456"/>
      <c r="BUX44" s="456"/>
      <c r="BUY44" s="456"/>
      <c r="BUZ44" s="456"/>
      <c r="BVA44" s="456"/>
      <c r="BVB44" s="456"/>
      <c r="BVC44" s="456"/>
      <c r="BVD44" s="456"/>
      <c r="BVE44" s="456"/>
      <c r="BVF44" s="456"/>
      <c r="BVG44" s="456"/>
      <c r="BVH44" s="456"/>
      <c r="BVI44" s="456"/>
      <c r="BVJ44" s="456"/>
      <c r="BVK44" s="456"/>
      <c r="BVL44" s="456"/>
      <c r="BVM44" s="456"/>
      <c r="BVN44" s="456"/>
      <c r="BVO44" s="456"/>
      <c r="BVP44" s="456"/>
      <c r="BVQ44" s="456"/>
      <c r="BVR44" s="456"/>
      <c r="BVS44" s="456"/>
      <c r="BVT44" s="456"/>
      <c r="BVU44" s="456"/>
      <c r="BVV44" s="456"/>
      <c r="BVW44" s="456"/>
      <c r="BVX44" s="456"/>
      <c r="BVY44" s="456"/>
      <c r="BVZ44" s="456"/>
      <c r="BWA44" s="456"/>
      <c r="BWB44" s="456"/>
      <c r="BWC44" s="456"/>
      <c r="BWD44" s="456"/>
      <c r="BWE44" s="456"/>
      <c r="BWF44" s="456"/>
      <c r="BWG44" s="456"/>
      <c r="BWH44" s="456"/>
      <c r="BWI44" s="456"/>
      <c r="BWJ44" s="456"/>
      <c r="BWK44" s="456"/>
      <c r="BWL44" s="456"/>
      <c r="BWM44" s="456"/>
      <c r="BWN44" s="456"/>
      <c r="BWO44" s="456"/>
      <c r="BWP44" s="456"/>
      <c r="BWQ44" s="456"/>
      <c r="BWR44" s="456"/>
      <c r="BWS44" s="456"/>
      <c r="BWT44" s="456"/>
      <c r="BWU44" s="456"/>
      <c r="BWV44" s="456"/>
      <c r="BWW44" s="456"/>
      <c r="BWX44" s="456"/>
      <c r="BWY44" s="456"/>
      <c r="BWZ44" s="456"/>
      <c r="BXA44" s="456"/>
      <c r="BXB44" s="456"/>
      <c r="BXC44" s="456"/>
      <c r="BXD44" s="456"/>
      <c r="BXE44" s="456"/>
      <c r="BXF44" s="456"/>
      <c r="BXG44" s="456"/>
      <c r="BXH44" s="456"/>
      <c r="BXI44" s="456"/>
      <c r="BXJ44" s="456"/>
      <c r="BXK44" s="456"/>
      <c r="BXL44" s="456"/>
      <c r="BXM44" s="456"/>
      <c r="BXN44" s="456"/>
      <c r="BXO44" s="456"/>
      <c r="BXP44" s="456"/>
      <c r="BXQ44" s="456"/>
      <c r="BXR44" s="456"/>
      <c r="BXS44" s="456"/>
      <c r="BXT44" s="456"/>
      <c r="BXU44" s="456"/>
      <c r="BXV44" s="456"/>
      <c r="BXW44" s="456"/>
      <c r="BXX44" s="456"/>
      <c r="BXY44" s="456"/>
      <c r="BXZ44" s="456"/>
    </row>
    <row r="45" s="25" customFormat="1" spans="1:1024 1025:2002">
      <c r="A45" s="473"/>
      <c r="B45" s="19">
        <v>1117</v>
      </c>
      <c r="C45" s="183">
        <v>46174</v>
      </c>
      <c r="D45" s="17" t="s">
        <v>35</v>
      </c>
      <c r="E45" s="17" t="s">
        <v>71</v>
      </c>
      <c r="F45" s="17" t="s">
        <v>72</v>
      </c>
      <c r="G45" s="17"/>
      <c r="H45" s="19">
        <v>1.2379</v>
      </c>
      <c r="I45" s="19">
        <v>1.2379</v>
      </c>
      <c r="J45" s="17" t="s">
        <v>39</v>
      </c>
      <c r="K45" s="19">
        <v>332</v>
      </c>
      <c r="L45" s="91"/>
      <c r="M45" s="19">
        <v>5800</v>
      </c>
      <c r="N45" s="19" t="s">
        <v>40</v>
      </c>
      <c r="O45" s="19" t="s">
        <v>50</v>
      </c>
      <c r="P45" s="19">
        <v>5000</v>
      </c>
      <c r="Q45" s="19">
        <f>2455+2440</f>
        <v>4895</v>
      </c>
      <c r="R45" s="19">
        <f t="shared" si="2"/>
        <v>105</v>
      </c>
      <c r="S45" s="19">
        <v>2260</v>
      </c>
      <c r="T45" s="19" t="s">
        <v>42</v>
      </c>
      <c r="U45" s="102" t="s">
        <v>73</v>
      </c>
      <c r="V45" s="186">
        <v>46173</v>
      </c>
      <c r="W45" s="17" t="s">
        <v>44</v>
      </c>
      <c r="X45" s="17"/>
      <c r="Y45" s="68">
        <v>46296</v>
      </c>
      <c r="Z45" s="17" t="s">
        <v>45</v>
      </c>
      <c r="AA45" s="17" t="s">
        <v>46</v>
      </c>
      <c r="AB45" s="17"/>
      <c r="AC45" s="102"/>
      <c r="AD45" s="65">
        <v>1855</v>
      </c>
      <c r="AE45" s="17" t="s">
        <v>74</v>
      </c>
      <c r="AF45" s="17"/>
      <c r="AG45" s="17"/>
      <c r="AH45" s="456"/>
      <c r="AI45" s="456"/>
      <c r="AJ45" s="456"/>
      <c r="AK45" s="456"/>
      <c r="AL45" s="456"/>
      <c r="AM45" s="456"/>
      <c r="AN45" s="456"/>
      <c r="AO45" s="456"/>
      <c r="AP45" s="456"/>
      <c r="AQ45" s="456"/>
      <c r="AR45" s="456"/>
      <c r="AS45" s="456"/>
      <c r="AT45" s="456"/>
      <c r="AU45" s="456"/>
      <c r="AV45" s="456"/>
      <c r="AW45" s="456"/>
      <c r="AX45" s="456"/>
      <c r="AY45" s="456"/>
      <c r="AZ45" s="456"/>
      <c r="BA45" s="456"/>
      <c r="BB45" s="456"/>
      <c r="BC45" s="456"/>
      <c r="BD45" s="456"/>
      <c r="BE45" s="456"/>
      <c r="BF45" s="456"/>
      <c r="BG45" s="456"/>
      <c r="BH45" s="456"/>
      <c r="BI45" s="456"/>
      <c r="BJ45" s="456"/>
      <c r="BK45" s="456"/>
      <c r="BL45" s="456"/>
      <c r="BM45" s="456"/>
      <c r="BN45" s="456"/>
      <c r="BO45" s="456"/>
      <c r="BP45" s="456"/>
      <c r="BQ45" s="456"/>
      <c r="BR45" s="456"/>
      <c r="BS45" s="456"/>
      <c r="BT45" s="456"/>
      <c r="BU45" s="456"/>
      <c r="BV45" s="456"/>
      <c r="BW45" s="456"/>
      <c r="BX45" s="456"/>
      <c r="BY45" s="456"/>
      <c r="BZ45" s="456"/>
      <c r="CA45" s="456"/>
      <c r="CB45" s="456"/>
      <c r="CC45" s="456"/>
      <c r="CD45" s="456"/>
      <c r="CE45" s="456"/>
      <c r="CF45" s="456"/>
      <c r="CG45" s="456"/>
      <c r="CH45" s="456"/>
      <c r="CI45" s="456"/>
      <c r="CJ45" s="456"/>
      <c r="CK45" s="456"/>
      <c r="CL45" s="456"/>
      <c r="CM45" s="456"/>
      <c r="CN45" s="456"/>
      <c r="CO45" s="456"/>
      <c r="CP45" s="456"/>
      <c r="CQ45" s="456"/>
      <c r="CR45" s="456"/>
      <c r="CS45" s="456"/>
      <c r="CT45" s="456"/>
      <c r="CU45" s="456"/>
      <c r="CV45" s="456"/>
      <c r="CW45" s="456"/>
      <c r="CX45" s="456"/>
      <c r="CY45" s="456"/>
      <c r="CZ45" s="456"/>
      <c r="DA45" s="456"/>
      <c r="DB45" s="456"/>
      <c r="DC45" s="456"/>
      <c r="DD45" s="456"/>
      <c r="DE45" s="456"/>
      <c r="DF45" s="456"/>
      <c r="DG45" s="456"/>
      <c r="DH45" s="456"/>
      <c r="DI45" s="456"/>
      <c r="DJ45" s="456"/>
      <c r="DK45" s="456"/>
      <c r="DL45" s="456"/>
      <c r="DM45" s="456"/>
      <c r="DN45" s="456"/>
      <c r="DO45" s="456"/>
      <c r="DP45" s="456"/>
      <c r="DQ45" s="456"/>
      <c r="DR45" s="456"/>
      <c r="DS45" s="456"/>
      <c r="DT45" s="456"/>
      <c r="DU45" s="456"/>
      <c r="DV45" s="456"/>
      <c r="DW45" s="456"/>
      <c r="DX45" s="456"/>
      <c r="DY45" s="456"/>
      <c r="DZ45" s="456"/>
      <c r="EA45" s="456"/>
      <c r="EB45" s="456"/>
      <c r="EC45" s="456"/>
      <c r="ED45" s="456"/>
      <c r="EE45" s="456"/>
      <c r="EF45" s="456"/>
      <c r="EG45" s="456"/>
      <c r="EH45" s="456"/>
      <c r="EI45" s="456"/>
      <c r="EJ45" s="456"/>
      <c r="EK45" s="456"/>
      <c r="EL45" s="456"/>
      <c r="EM45" s="456"/>
      <c r="EN45" s="456"/>
      <c r="EO45" s="456"/>
      <c r="EP45" s="456"/>
      <c r="EQ45" s="456"/>
      <c r="ER45" s="456"/>
      <c r="ES45" s="456"/>
      <c r="ET45" s="456"/>
      <c r="EU45" s="456"/>
      <c r="EV45" s="456"/>
      <c r="EW45" s="456"/>
      <c r="EX45" s="456"/>
      <c r="EY45" s="456"/>
      <c r="EZ45" s="456"/>
      <c r="FA45" s="456"/>
      <c r="FB45" s="456"/>
      <c r="FC45" s="456"/>
      <c r="FD45" s="456"/>
      <c r="FE45" s="456"/>
      <c r="FF45" s="456"/>
      <c r="FG45" s="456"/>
      <c r="FH45" s="456"/>
      <c r="FI45" s="456"/>
      <c r="FJ45" s="456"/>
      <c r="FK45" s="456"/>
      <c r="FL45" s="456"/>
      <c r="FM45" s="456"/>
      <c r="FN45" s="456"/>
      <c r="FO45" s="456"/>
      <c r="FP45" s="456"/>
      <c r="FQ45" s="456"/>
      <c r="FR45" s="456"/>
      <c r="FS45" s="456"/>
      <c r="FT45" s="456"/>
      <c r="FU45" s="456"/>
      <c r="FV45" s="456"/>
      <c r="FW45" s="456"/>
      <c r="FX45" s="456"/>
      <c r="FY45" s="456"/>
      <c r="FZ45" s="456"/>
      <c r="GA45" s="456"/>
      <c r="GB45" s="456"/>
      <c r="GC45" s="456"/>
      <c r="GD45" s="456"/>
      <c r="GE45" s="456"/>
      <c r="GF45" s="456"/>
      <c r="GG45" s="456"/>
      <c r="GH45" s="456"/>
      <c r="GI45" s="456"/>
      <c r="GJ45" s="456"/>
      <c r="GK45" s="456"/>
      <c r="GL45" s="456"/>
      <c r="GM45" s="456"/>
      <c r="GN45" s="456"/>
      <c r="GO45" s="456"/>
      <c r="GP45" s="456"/>
      <c r="GQ45" s="456"/>
      <c r="GR45" s="456"/>
      <c r="GS45" s="456"/>
      <c r="GT45" s="456"/>
      <c r="GU45" s="456"/>
      <c r="GV45" s="456"/>
      <c r="GW45" s="456"/>
      <c r="GX45" s="456"/>
      <c r="GY45" s="456"/>
      <c r="GZ45" s="456"/>
      <c r="HA45" s="456"/>
      <c r="HB45" s="456"/>
      <c r="HC45" s="456"/>
      <c r="HD45" s="456"/>
      <c r="HE45" s="456"/>
      <c r="HF45" s="456"/>
      <c r="HG45" s="456"/>
      <c r="HH45" s="456"/>
      <c r="HI45" s="456"/>
      <c r="HJ45" s="456"/>
      <c r="HK45" s="456"/>
      <c r="HL45" s="456"/>
      <c r="HM45" s="456"/>
      <c r="HN45" s="456"/>
      <c r="HO45" s="456"/>
      <c r="HP45" s="456"/>
      <c r="HQ45" s="456"/>
      <c r="HR45" s="456"/>
      <c r="HS45" s="456"/>
      <c r="HT45" s="456"/>
      <c r="HU45" s="456"/>
      <c r="HV45" s="456"/>
      <c r="HW45" s="456"/>
      <c r="HX45" s="456"/>
      <c r="HY45" s="456"/>
      <c r="HZ45" s="456"/>
      <c r="IA45" s="456"/>
      <c r="IB45" s="456"/>
      <c r="IC45" s="456"/>
      <c r="ID45" s="456"/>
      <c r="IE45" s="456"/>
      <c r="IF45" s="456"/>
      <c r="IG45" s="456"/>
      <c r="IH45" s="456"/>
      <c r="II45" s="456"/>
      <c r="IJ45" s="456"/>
      <c r="IK45" s="456"/>
      <c r="IL45" s="456"/>
      <c r="IM45" s="456"/>
      <c r="IN45" s="456"/>
      <c r="IO45" s="456"/>
      <c r="IP45" s="456"/>
      <c r="IQ45" s="456"/>
      <c r="IR45" s="456"/>
      <c r="IS45" s="456"/>
      <c r="IT45" s="456"/>
      <c r="IU45" s="456"/>
      <c r="IV45" s="456"/>
      <c r="IW45" s="456"/>
      <c r="IX45" s="456"/>
      <c r="IY45" s="456"/>
      <c r="IZ45" s="456"/>
      <c r="JA45" s="456"/>
      <c r="JB45" s="456"/>
      <c r="JC45" s="456"/>
      <c r="JD45" s="456"/>
      <c r="JE45" s="456"/>
      <c r="JF45" s="456"/>
      <c r="JG45" s="456"/>
      <c r="JH45" s="456"/>
      <c r="JI45" s="456"/>
      <c r="JJ45" s="456"/>
      <c r="JK45" s="456"/>
      <c r="JL45" s="456"/>
      <c r="JM45" s="456"/>
      <c r="JN45" s="456"/>
      <c r="JO45" s="456"/>
      <c r="JP45" s="456"/>
      <c r="JQ45" s="456"/>
      <c r="JR45" s="456"/>
      <c r="JS45" s="456"/>
      <c r="JT45" s="456"/>
      <c r="JU45" s="456"/>
      <c r="JV45" s="456"/>
      <c r="JW45" s="456"/>
      <c r="JX45" s="456"/>
      <c r="JY45" s="456"/>
      <c r="JZ45" s="456"/>
      <c r="KA45" s="456"/>
      <c r="KB45" s="456"/>
      <c r="KC45" s="456"/>
      <c r="KD45" s="456"/>
      <c r="KE45" s="456"/>
      <c r="KF45" s="456"/>
      <c r="KG45" s="456"/>
      <c r="KH45" s="456"/>
      <c r="KI45" s="456"/>
      <c r="KJ45" s="456"/>
      <c r="KK45" s="456"/>
      <c r="KL45" s="456"/>
      <c r="KM45" s="456"/>
      <c r="KN45" s="456"/>
      <c r="KO45" s="456"/>
      <c r="KP45" s="456"/>
      <c r="KQ45" s="456"/>
      <c r="KR45" s="456"/>
      <c r="KS45" s="456"/>
      <c r="KT45" s="456"/>
      <c r="KU45" s="456"/>
      <c r="KV45" s="456"/>
      <c r="KW45" s="456"/>
      <c r="KX45" s="456"/>
      <c r="KY45" s="456"/>
      <c r="KZ45" s="456"/>
      <c r="LA45" s="456"/>
      <c r="LB45" s="456"/>
      <c r="LC45" s="456"/>
      <c r="LD45" s="456"/>
      <c r="LE45" s="456"/>
      <c r="LF45" s="456"/>
      <c r="LG45" s="456"/>
      <c r="LH45" s="456"/>
      <c r="LI45" s="456"/>
      <c r="LJ45" s="456"/>
      <c r="LK45" s="456"/>
      <c r="LL45" s="456"/>
      <c r="LM45" s="456"/>
      <c r="LN45" s="456"/>
      <c r="LO45" s="456"/>
      <c r="LP45" s="456"/>
      <c r="LQ45" s="456"/>
      <c r="LR45" s="456"/>
      <c r="LS45" s="456"/>
      <c r="LT45" s="456"/>
      <c r="LU45" s="456"/>
      <c r="LV45" s="456"/>
      <c r="LW45" s="456"/>
      <c r="LX45" s="456"/>
      <c r="LY45" s="456"/>
      <c r="LZ45" s="456"/>
      <c r="MA45" s="456"/>
      <c r="MB45" s="456"/>
      <c r="MC45" s="456"/>
      <c r="MD45" s="456"/>
      <c r="ME45" s="456"/>
      <c r="MF45" s="456"/>
      <c r="MG45" s="456"/>
      <c r="MH45" s="456"/>
      <c r="MI45" s="456"/>
      <c r="MJ45" s="456"/>
      <c r="MK45" s="456"/>
      <c r="ML45" s="456"/>
      <c r="MM45" s="456"/>
      <c r="MN45" s="456"/>
      <c r="MO45" s="456"/>
      <c r="MP45" s="456"/>
      <c r="MQ45" s="456"/>
      <c r="MR45" s="456"/>
      <c r="MS45" s="456"/>
      <c r="MT45" s="456"/>
      <c r="MU45" s="456"/>
      <c r="MV45" s="456"/>
      <c r="MW45" s="456"/>
      <c r="MX45" s="456"/>
      <c r="MY45" s="456"/>
      <c r="MZ45" s="456"/>
      <c r="NA45" s="456"/>
      <c r="NB45" s="456"/>
      <c r="NC45" s="456"/>
      <c r="ND45" s="456"/>
      <c r="NE45" s="456"/>
      <c r="NF45" s="456"/>
      <c r="NG45" s="456"/>
      <c r="NH45" s="456"/>
      <c r="NI45" s="456"/>
      <c r="NJ45" s="456"/>
      <c r="NK45" s="456"/>
      <c r="NL45" s="456"/>
      <c r="NM45" s="456"/>
      <c r="NN45" s="456"/>
      <c r="NO45" s="456"/>
      <c r="NP45" s="456"/>
      <c r="NQ45" s="456"/>
      <c r="NR45" s="456"/>
      <c r="NS45" s="456"/>
      <c r="NT45" s="456"/>
      <c r="NU45" s="456"/>
      <c r="NV45" s="456"/>
      <c r="NW45" s="456"/>
      <c r="NX45" s="456"/>
      <c r="NY45" s="456"/>
      <c r="NZ45" s="456"/>
      <c r="OA45" s="456"/>
      <c r="OB45" s="456"/>
      <c r="OC45" s="456"/>
      <c r="OD45" s="456"/>
      <c r="OE45" s="456"/>
      <c r="OF45" s="456"/>
      <c r="OG45" s="456"/>
      <c r="OH45" s="456"/>
      <c r="OI45" s="456"/>
      <c r="OJ45" s="456"/>
      <c r="OK45" s="456"/>
      <c r="OL45" s="456"/>
      <c r="OM45" s="456"/>
      <c r="ON45" s="456"/>
      <c r="OO45" s="456"/>
      <c r="OP45" s="456"/>
      <c r="OQ45" s="456"/>
      <c r="OR45" s="456"/>
      <c r="OS45" s="456"/>
      <c r="OT45" s="456"/>
      <c r="OU45" s="456"/>
      <c r="OV45" s="456"/>
      <c r="OW45" s="456"/>
      <c r="OX45" s="456"/>
      <c r="OY45" s="456"/>
      <c r="OZ45" s="456"/>
      <c r="PA45" s="456"/>
      <c r="PB45" s="456"/>
      <c r="PC45" s="456"/>
      <c r="PD45" s="456"/>
      <c r="PE45" s="456"/>
      <c r="PF45" s="456"/>
      <c r="PG45" s="456"/>
      <c r="PH45" s="456"/>
      <c r="PI45" s="456"/>
      <c r="PJ45" s="456"/>
      <c r="PK45" s="456"/>
      <c r="PL45" s="456"/>
      <c r="PM45" s="456"/>
      <c r="PN45" s="456"/>
      <c r="PO45" s="456"/>
      <c r="PP45" s="456"/>
      <c r="PQ45" s="456"/>
      <c r="PR45" s="456"/>
      <c r="PS45" s="456"/>
      <c r="PT45" s="456"/>
      <c r="PU45" s="456"/>
      <c r="PV45" s="456"/>
      <c r="PW45" s="456"/>
      <c r="PX45" s="456"/>
      <c r="PY45" s="456"/>
      <c r="PZ45" s="456"/>
      <c r="QA45" s="456"/>
      <c r="QB45" s="456"/>
      <c r="QC45" s="456"/>
      <c r="QD45" s="456"/>
      <c r="QE45" s="456"/>
      <c r="QF45" s="456"/>
      <c r="QG45" s="456"/>
      <c r="QH45" s="456"/>
      <c r="QI45" s="456"/>
      <c r="QJ45" s="456"/>
      <c r="QK45" s="456"/>
      <c r="QL45" s="456"/>
      <c r="QM45" s="456"/>
      <c r="QN45" s="456"/>
      <c r="QO45" s="456"/>
      <c r="QP45" s="456"/>
      <c r="QQ45" s="456"/>
      <c r="QR45" s="456"/>
      <c r="QS45" s="456"/>
      <c r="QT45" s="456"/>
      <c r="QU45" s="456"/>
      <c r="QV45" s="456"/>
      <c r="QW45" s="456"/>
      <c r="QX45" s="456"/>
      <c r="QY45" s="456"/>
      <c r="QZ45" s="456"/>
      <c r="RA45" s="456"/>
      <c r="RB45" s="456"/>
      <c r="RC45" s="456"/>
      <c r="RD45" s="456"/>
      <c r="RE45" s="456"/>
      <c r="RF45" s="456"/>
      <c r="RG45" s="456"/>
      <c r="RH45" s="456"/>
      <c r="RI45" s="456"/>
      <c r="RJ45" s="456"/>
      <c r="RK45" s="456"/>
      <c r="RL45" s="456"/>
      <c r="RM45" s="456"/>
      <c r="RN45" s="456"/>
      <c r="RO45" s="456"/>
      <c r="RP45" s="456"/>
      <c r="RQ45" s="456"/>
      <c r="RR45" s="456"/>
      <c r="RS45" s="456"/>
      <c r="RT45" s="456"/>
      <c r="RU45" s="456"/>
      <c r="RV45" s="456"/>
      <c r="RW45" s="456"/>
      <c r="RX45" s="456"/>
      <c r="RY45" s="456"/>
      <c r="RZ45" s="456"/>
      <c r="SA45" s="456"/>
      <c r="SB45" s="456"/>
      <c r="SC45" s="456"/>
      <c r="SD45" s="456"/>
      <c r="SE45" s="456"/>
      <c r="SF45" s="456"/>
      <c r="SG45" s="456"/>
      <c r="SH45" s="456"/>
      <c r="SI45" s="456"/>
      <c r="SJ45" s="456"/>
      <c r="SK45" s="456"/>
      <c r="SL45" s="456"/>
      <c r="SM45" s="456"/>
      <c r="SN45" s="456"/>
      <c r="SO45" s="456"/>
      <c r="SP45" s="456"/>
      <c r="SQ45" s="456"/>
      <c r="SR45" s="456"/>
      <c r="SS45" s="456"/>
      <c r="ST45" s="456"/>
      <c r="SU45" s="456"/>
      <c r="SV45" s="456"/>
      <c r="SW45" s="456"/>
      <c r="SX45" s="456"/>
      <c r="SY45" s="456"/>
      <c r="SZ45" s="456"/>
      <c r="TA45" s="456"/>
      <c r="TB45" s="456"/>
      <c r="TC45" s="456"/>
      <c r="TD45" s="456"/>
      <c r="TE45" s="456"/>
      <c r="TF45" s="456"/>
      <c r="TG45" s="456"/>
      <c r="TH45" s="456"/>
      <c r="TI45" s="456"/>
      <c r="TJ45" s="456"/>
      <c r="TK45" s="456"/>
      <c r="TL45" s="456"/>
      <c r="TM45" s="456"/>
      <c r="TN45" s="456"/>
      <c r="TO45" s="456"/>
      <c r="TP45" s="456"/>
      <c r="TQ45" s="456"/>
      <c r="TR45" s="456"/>
      <c r="TS45" s="456"/>
      <c r="TT45" s="456"/>
      <c r="TU45" s="456"/>
      <c r="TV45" s="456"/>
      <c r="TW45" s="456"/>
      <c r="TX45" s="456"/>
      <c r="TY45" s="456"/>
      <c r="TZ45" s="456"/>
      <c r="UA45" s="456"/>
      <c r="UB45" s="456"/>
      <c r="UC45" s="456"/>
      <c r="UD45" s="456"/>
      <c r="UE45" s="456"/>
      <c r="UF45" s="456"/>
      <c r="UG45" s="456"/>
      <c r="UH45" s="456"/>
      <c r="UI45" s="456"/>
      <c r="UJ45" s="456"/>
      <c r="UK45" s="456"/>
      <c r="UL45" s="456"/>
      <c r="UM45" s="456"/>
      <c r="UN45" s="456"/>
      <c r="UO45" s="456"/>
      <c r="UP45" s="456"/>
      <c r="UQ45" s="456"/>
      <c r="UR45" s="456"/>
      <c r="US45" s="456"/>
      <c r="UT45" s="456"/>
      <c r="UU45" s="456"/>
      <c r="UV45" s="456"/>
      <c r="UW45" s="456"/>
      <c r="UX45" s="456"/>
      <c r="UY45" s="456"/>
      <c r="UZ45" s="456"/>
      <c r="VA45" s="456"/>
      <c r="VB45" s="456"/>
      <c r="VC45" s="456"/>
      <c r="VD45" s="456"/>
      <c r="VE45" s="456"/>
      <c r="VF45" s="456"/>
      <c r="VG45" s="456"/>
      <c r="VH45" s="456"/>
      <c r="VI45" s="456"/>
      <c r="VJ45" s="456"/>
      <c r="VK45" s="456"/>
      <c r="VL45" s="456"/>
      <c r="VM45" s="456"/>
      <c r="VN45" s="456"/>
      <c r="VO45" s="456"/>
      <c r="VP45" s="456"/>
      <c r="VQ45" s="456"/>
      <c r="VR45" s="456"/>
      <c r="VS45" s="456"/>
      <c r="VT45" s="456"/>
      <c r="VU45" s="456"/>
      <c r="VV45" s="456"/>
      <c r="VW45" s="456"/>
      <c r="VX45" s="456"/>
      <c r="VY45" s="456"/>
      <c r="VZ45" s="456"/>
      <c r="WA45" s="456"/>
      <c r="WB45" s="456"/>
      <c r="WC45" s="456"/>
      <c r="WD45" s="456"/>
      <c r="WE45" s="456"/>
      <c r="WF45" s="456"/>
      <c r="WG45" s="456"/>
      <c r="WH45" s="456"/>
      <c r="WI45" s="456"/>
      <c r="WJ45" s="456"/>
      <c r="WK45" s="456"/>
      <c r="WL45" s="456"/>
      <c r="WM45" s="456"/>
      <c r="WN45" s="456"/>
      <c r="WO45" s="456"/>
      <c r="WP45" s="456"/>
      <c r="WQ45" s="456"/>
      <c r="WR45" s="456"/>
      <c r="WS45" s="456"/>
      <c r="WT45" s="456"/>
      <c r="WU45" s="456"/>
      <c r="WV45" s="456"/>
      <c r="WW45" s="456"/>
      <c r="WX45" s="456"/>
      <c r="WY45" s="456"/>
      <c r="WZ45" s="456"/>
      <c r="XA45" s="456"/>
      <c r="XB45" s="456"/>
      <c r="XC45" s="456"/>
      <c r="XD45" s="456"/>
      <c r="XE45" s="456"/>
      <c r="XF45" s="456"/>
      <c r="XG45" s="456"/>
      <c r="XH45" s="456"/>
      <c r="XI45" s="456"/>
      <c r="XJ45" s="456"/>
      <c r="XK45" s="456"/>
      <c r="XL45" s="456"/>
      <c r="XM45" s="456"/>
      <c r="XN45" s="456"/>
      <c r="XO45" s="456"/>
      <c r="XP45" s="456"/>
      <c r="XQ45" s="456"/>
      <c r="XR45" s="456"/>
      <c r="XS45" s="456"/>
      <c r="XT45" s="456"/>
      <c r="XU45" s="456"/>
      <c r="XV45" s="456"/>
      <c r="XW45" s="456"/>
      <c r="XX45" s="456"/>
      <c r="XY45" s="456"/>
      <c r="XZ45" s="456"/>
      <c r="YA45" s="456"/>
      <c r="YB45" s="456"/>
      <c r="YC45" s="456"/>
      <c r="YD45" s="456"/>
      <c r="YE45" s="456"/>
      <c r="YF45" s="456"/>
      <c r="YG45" s="456"/>
      <c r="YH45" s="456"/>
      <c r="YI45" s="456"/>
      <c r="YJ45" s="456"/>
      <c r="YK45" s="456"/>
      <c r="YL45" s="456"/>
      <c r="YM45" s="456"/>
      <c r="YN45" s="456"/>
      <c r="YO45" s="456"/>
      <c r="YP45" s="456"/>
      <c r="YQ45" s="456"/>
      <c r="YR45" s="456"/>
      <c r="YS45" s="456"/>
      <c r="YT45" s="456"/>
      <c r="YU45" s="456"/>
      <c r="YV45" s="456"/>
      <c r="YW45" s="456"/>
      <c r="YX45" s="456"/>
      <c r="YY45" s="456"/>
      <c r="YZ45" s="456"/>
      <c r="ZA45" s="456"/>
      <c r="ZB45" s="456"/>
      <c r="ZC45" s="456"/>
      <c r="ZD45" s="456"/>
      <c r="ZE45" s="456"/>
      <c r="ZF45" s="456"/>
      <c r="ZG45" s="456"/>
      <c r="ZH45" s="456"/>
      <c r="ZI45" s="456"/>
      <c r="ZJ45" s="456"/>
      <c r="ZK45" s="456"/>
      <c r="ZL45" s="456"/>
      <c r="ZM45" s="456"/>
      <c r="ZN45" s="456"/>
      <c r="ZO45" s="456"/>
      <c r="ZP45" s="456"/>
      <c r="ZQ45" s="456"/>
      <c r="ZR45" s="456"/>
      <c r="ZS45" s="456"/>
      <c r="ZT45" s="456"/>
      <c r="ZU45" s="456"/>
      <c r="ZV45" s="456"/>
      <c r="ZW45" s="456"/>
      <c r="ZX45" s="456"/>
      <c r="ZY45" s="456"/>
      <c r="ZZ45" s="456"/>
      <c r="AAA45" s="456"/>
      <c r="AAB45" s="456"/>
      <c r="AAC45" s="456"/>
      <c r="AAD45" s="456"/>
      <c r="AAE45" s="456"/>
      <c r="AAF45" s="456"/>
      <c r="AAG45" s="456"/>
      <c r="AAH45" s="456"/>
      <c r="AAI45" s="456"/>
      <c r="AAJ45" s="456"/>
      <c r="AAK45" s="456"/>
      <c r="AAL45" s="456"/>
      <c r="AAM45" s="456"/>
      <c r="AAN45" s="456"/>
      <c r="AAO45" s="456"/>
      <c r="AAP45" s="456"/>
      <c r="AAQ45" s="456"/>
      <c r="AAR45" s="456"/>
      <c r="AAS45" s="456"/>
      <c r="AAT45" s="456"/>
      <c r="AAU45" s="456"/>
      <c r="AAV45" s="456"/>
      <c r="AAW45" s="456"/>
      <c r="AAX45" s="456"/>
      <c r="AAY45" s="456"/>
      <c r="AAZ45" s="456"/>
      <c r="ABA45" s="456"/>
      <c r="ABB45" s="456"/>
      <c r="ABC45" s="456"/>
      <c r="ABD45" s="456"/>
      <c r="ABE45" s="456"/>
      <c r="ABF45" s="456"/>
      <c r="ABG45" s="456"/>
      <c r="ABH45" s="456"/>
      <c r="ABI45" s="456"/>
      <c r="ABJ45" s="456"/>
      <c r="ABK45" s="456"/>
      <c r="ABL45" s="456"/>
      <c r="ABM45" s="456"/>
      <c r="ABN45" s="456"/>
      <c r="ABO45" s="456"/>
      <c r="ABP45" s="456"/>
      <c r="ABQ45" s="456"/>
      <c r="ABR45" s="456"/>
      <c r="ABS45" s="456"/>
      <c r="ABT45" s="456"/>
      <c r="ABU45" s="456"/>
      <c r="ABV45" s="456"/>
      <c r="ABW45" s="456"/>
      <c r="ABX45" s="456"/>
      <c r="ABY45" s="456"/>
      <c r="ABZ45" s="456"/>
      <c r="ACA45" s="456"/>
      <c r="ACB45" s="456"/>
      <c r="ACC45" s="456"/>
      <c r="ACD45" s="456"/>
      <c r="ACE45" s="456"/>
      <c r="ACF45" s="456"/>
      <c r="ACG45" s="456"/>
      <c r="ACH45" s="456"/>
      <c r="ACI45" s="456"/>
      <c r="ACJ45" s="456"/>
      <c r="ACK45" s="456"/>
      <c r="ACL45" s="456"/>
      <c r="ACM45" s="456"/>
      <c r="ACN45" s="456"/>
      <c r="ACO45" s="456"/>
      <c r="ACP45" s="456"/>
      <c r="ACQ45" s="456"/>
      <c r="ACR45" s="456"/>
      <c r="ACS45" s="456"/>
      <c r="ACT45" s="456"/>
      <c r="ACU45" s="456"/>
      <c r="ACV45" s="456"/>
      <c r="ACW45" s="456"/>
      <c r="ACX45" s="456"/>
      <c r="ACY45" s="456"/>
      <c r="ACZ45" s="456"/>
      <c r="ADA45" s="456"/>
      <c r="ADB45" s="456"/>
      <c r="ADC45" s="456"/>
      <c r="ADD45" s="456"/>
      <c r="ADE45" s="456"/>
      <c r="ADF45" s="456"/>
      <c r="ADG45" s="456"/>
      <c r="ADH45" s="456"/>
      <c r="ADI45" s="456"/>
      <c r="ADJ45" s="456"/>
      <c r="ADK45" s="456"/>
      <c r="ADL45" s="456"/>
      <c r="ADM45" s="456"/>
      <c r="ADN45" s="456"/>
      <c r="ADO45" s="456"/>
      <c r="ADP45" s="456"/>
      <c r="ADQ45" s="456"/>
      <c r="ADR45" s="456"/>
      <c r="ADS45" s="456"/>
      <c r="ADT45" s="456"/>
      <c r="ADU45" s="456"/>
      <c r="ADV45" s="456"/>
      <c r="ADW45" s="456"/>
      <c r="ADX45" s="456"/>
      <c r="ADY45" s="456"/>
      <c r="ADZ45" s="456"/>
      <c r="AEA45" s="456"/>
      <c r="AEB45" s="456"/>
      <c r="AEC45" s="456"/>
      <c r="AED45" s="456"/>
      <c r="AEE45" s="456"/>
      <c r="AEF45" s="456"/>
      <c r="AEG45" s="456"/>
      <c r="AEH45" s="456"/>
      <c r="AEI45" s="456"/>
      <c r="AEJ45" s="456"/>
      <c r="AEK45" s="456"/>
      <c r="AEL45" s="456"/>
      <c r="AEM45" s="456"/>
      <c r="AEN45" s="456"/>
      <c r="AEO45" s="456"/>
      <c r="AEP45" s="456"/>
      <c r="AEQ45" s="456"/>
      <c r="AER45" s="456"/>
      <c r="AES45" s="456"/>
      <c r="AET45" s="456"/>
      <c r="AEU45" s="456"/>
      <c r="AEV45" s="456"/>
      <c r="AEW45" s="456"/>
      <c r="AEX45" s="456"/>
      <c r="AEY45" s="456"/>
      <c r="AEZ45" s="456"/>
      <c r="AFA45" s="456"/>
      <c r="AFB45" s="456"/>
      <c r="AFC45" s="456"/>
      <c r="AFD45" s="456"/>
      <c r="AFE45" s="456"/>
      <c r="AFF45" s="456"/>
      <c r="AFG45" s="456"/>
      <c r="AFH45" s="456"/>
      <c r="AFI45" s="456"/>
      <c r="AFJ45" s="456"/>
      <c r="AFK45" s="456"/>
      <c r="AFL45" s="456"/>
      <c r="AFM45" s="456"/>
      <c r="AFN45" s="456"/>
      <c r="AFO45" s="456"/>
      <c r="AFP45" s="456"/>
      <c r="AFQ45" s="456"/>
      <c r="AFR45" s="456"/>
      <c r="AFS45" s="456"/>
      <c r="AFT45" s="456"/>
      <c r="AFU45" s="456"/>
      <c r="AFV45" s="456"/>
      <c r="AFW45" s="456"/>
      <c r="AFX45" s="456"/>
      <c r="AFY45" s="456"/>
      <c r="AFZ45" s="456"/>
      <c r="AGA45" s="456"/>
      <c r="AGB45" s="456"/>
      <c r="AGC45" s="456"/>
      <c r="AGD45" s="456"/>
      <c r="AGE45" s="456"/>
      <c r="AGF45" s="456"/>
      <c r="AGG45" s="456"/>
      <c r="AGH45" s="456"/>
      <c r="AGI45" s="456"/>
      <c r="AGJ45" s="456"/>
      <c r="AGK45" s="456"/>
      <c r="AGL45" s="456"/>
      <c r="AGM45" s="456"/>
      <c r="AGN45" s="456"/>
      <c r="AGO45" s="456"/>
      <c r="AGP45" s="456"/>
      <c r="AGQ45" s="456"/>
      <c r="AGR45" s="456"/>
      <c r="AGS45" s="456"/>
      <c r="AGT45" s="456"/>
      <c r="AGU45" s="456"/>
      <c r="AGV45" s="456"/>
      <c r="AGW45" s="456"/>
      <c r="AGX45" s="456"/>
      <c r="AGY45" s="456"/>
      <c r="AGZ45" s="456"/>
      <c r="AHA45" s="456"/>
      <c r="AHB45" s="456"/>
      <c r="AHC45" s="456"/>
      <c r="AHD45" s="456"/>
      <c r="AHE45" s="456"/>
      <c r="AHF45" s="456"/>
      <c r="AHG45" s="456"/>
      <c r="AHH45" s="456"/>
      <c r="AHI45" s="456"/>
      <c r="AHJ45" s="456"/>
      <c r="AHK45" s="456"/>
      <c r="AHL45" s="456"/>
      <c r="AHM45" s="456"/>
      <c r="AHN45" s="456"/>
      <c r="AHO45" s="456"/>
      <c r="AHP45" s="456"/>
      <c r="AHQ45" s="456"/>
      <c r="AHR45" s="456"/>
      <c r="AHS45" s="456"/>
      <c r="AHT45" s="456"/>
      <c r="AHU45" s="456"/>
      <c r="AHV45" s="456"/>
      <c r="AHW45" s="456"/>
      <c r="AHX45" s="456"/>
      <c r="AHY45" s="456"/>
      <c r="AHZ45" s="456"/>
      <c r="AIA45" s="456"/>
      <c r="AIB45" s="456"/>
      <c r="AIC45" s="456"/>
      <c r="AID45" s="456"/>
      <c r="AIE45" s="456"/>
      <c r="AIF45" s="456"/>
      <c r="AIG45" s="456"/>
      <c r="AIH45" s="456"/>
      <c r="AII45" s="456"/>
      <c r="AIJ45" s="456"/>
      <c r="AIK45" s="456"/>
      <c r="AIL45" s="456"/>
      <c r="AIM45" s="456"/>
      <c r="AIN45" s="456"/>
      <c r="AIO45" s="456"/>
      <c r="AIP45" s="456"/>
      <c r="AIQ45" s="456"/>
      <c r="AIR45" s="456"/>
      <c r="AIS45" s="456"/>
      <c r="AIT45" s="456"/>
      <c r="AIU45" s="456"/>
      <c r="AIV45" s="456"/>
      <c r="AIW45" s="456"/>
      <c r="AIX45" s="456"/>
      <c r="AIY45" s="456"/>
      <c r="AIZ45" s="456"/>
      <c r="AJA45" s="456"/>
      <c r="AJB45" s="456"/>
      <c r="AJC45" s="456"/>
      <c r="AJD45" s="456"/>
      <c r="AJE45" s="456"/>
      <c r="AJF45" s="456"/>
      <c r="AJG45" s="456"/>
      <c r="AJH45" s="456"/>
      <c r="AJI45" s="456"/>
      <c r="AJJ45" s="456"/>
      <c r="AJK45" s="456"/>
      <c r="AJL45" s="456"/>
      <c r="AJM45" s="456"/>
      <c r="AJN45" s="456"/>
      <c r="AJO45" s="456"/>
      <c r="AJP45" s="456"/>
      <c r="AJQ45" s="456"/>
      <c r="AJR45" s="456"/>
      <c r="AJS45" s="456"/>
      <c r="AJT45" s="456"/>
      <c r="AJU45" s="456"/>
      <c r="AJV45" s="456"/>
      <c r="AJW45" s="456"/>
      <c r="AJX45" s="456"/>
      <c r="AJY45" s="456"/>
      <c r="AJZ45" s="456"/>
      <c r="AKA45" s="456"/>
      <c r="AKB45" s="456"/>
      <c r="AKC45" s="456"/>
      <c r="AKD45" s="456"/>
      <c r="AKE45" s="456"/>
      <c r="AKF45" s="456"/>
      <c r="AKG45" s="456"/>
      <c r="AKH45" s="456"/>
      <c r="AKI45" s="456"/>
      <c r="AKJ45" s="456"/>
      <c r="AKK45" s="456"/>
      <c r="AKL45" s="456"/>
      <c r="AKM45" s="456"/>
      <c r="AKN45" s="456"/>
      <c r="AKO45" s="456"/>
      <c r="AKP45" s="456"/>
      <c r="AKQ45" s="456"/>
      <c r="AKR45" s="456"/>
      <c r="AKS45" s="456"/>
      <c r="AKT45" s="456"/>
      <c r="AKU45" s="456"/>
      <c r="AKV45" s="456"/>
      <c r="AKW45" s="456"/>
      <c r="AKX45" s="456"/>
      <c r="AKY45" s="456"/>
      <c r="AKZ45" s="456"/>
      <c r="ALA45" s="456"/>
      <c r="ALB45" s="456"/>
      <c r="ALC45" s="456"/>
      <c r="ALD45" s="456"/>
      <c r="ALE45" s="456"/>
      <c r="ALF45" s="456"/>
      <c r="ALG45" s="456"/>
      <c r="ALH45" s="456"/>
      <c r="ALI45" s="456"/>
      <c r="ALJ45" s="456"/>
      <c r="ALK45" s="456"/>
      <c r="ALL45" s="456"/>
      <c r="ALM45" s="456"/>
      <c r="ALN45" s="456"/>
      <c r="ALO45" s="456"/>
      <c r="ALP45" s="456"/>
      <c r="ALQ45" s="456"/>
      <c r="ALR45" s="456"/>
      <c r="ALS45" s="456"/>
      <c r="ALT45" s="456"/>
      <c r="ALU45" s="456"/>
      <c r="ALV45" s="456"/>
      <c r="ALW45" s="456"/>
      <c r="ALX45" s="456"/>
      <c r="ALY45" s="456"/>
      <c r="ALZ45" s="456"/>
      <c r="AMA45" s="456"/>
      <c r="AMB45" s="456"/>
      <c r="AMC45" s="456"/>
      <c r="AMD45" s="456"/>
      <c r="AME45" s="456"/>
      <c r="AMF45" s="456"/>
      <c r="AMG45" s="456"/>
      <c r="AMH45" s="456"/>
      <c r="AMI45" s="456"/>
      <c r="AMJ45" s="456"/>
      <c r="AMK45" s="456"/>
      <c r="AML45" s="456"/>
      <c r="AMM45" s="456"/>
      <c r="AMN45" s="456"/>
      <c r="AMO45" s="456"/>
      <c r="AMP45" s="456"/>
      <c r="AMQ45" s="456"/>
      <c r="AMR45" s="456"/>
      <c r="AMS45" s="456"/>
      <c r="AMT45" s="456"/>
      <c r="AMU45" s="456"/>
      <c r="AMV45" s="456"/>
      <c r="AMW45" s="456"/>
      <c r="AMX45" s="456"/>
      <c r="AMY45" s="456"/>
      <c r="AMZ45" s="456"/>
      <c r="ANA45" s="456"/>
      <c r="ANB45" s="456"/>
      <c r="ANC45" s="456"/>
      <c r="AND45" s="456"/>
      <c r="ANE45" s="456"/>
      <c r="ANF45" s="456"/>
      <c r="ANG45" s="456"/>
      <c r="ANH45" s="456"/>
      <c r="ANI45" s="456"/>
      <c r="ANJ45" s="456"/>
      <c r="ANK45" s="456"/>
      <c r="ANL45" s="456"/>
      <c r="ANM45" s="456"/>
      <c r="ANN45" s="456"/>
      <c r="ANO45" s="456"/>
      <c r="ANP45" s="456"/>
      <c r="ANQ45" s="456"/>
      <c r="ANR45" s="456"/>
      <c r="ANS45" s="456"/>
      <c r="ANT45" s="456"/>
      <c r="ANU45" s="456"/>
      <c r="ANV45" s="456"/>
      <c r="ANW45" s="456"/>
      <c r="ANX45" s="456"/>
      <c r="ANY45" s="456"/>
      <c r="ANZ45" s="456"/>
      <c r="AOA45" s="456"/>
      <c r="AOB45" s="456"/>
      <c r="AOC45" s="456"/>
      <c r="AOD45" s="456"/>
      <c r="AOE45" s="456"/>
      <c r="AOF45" s="456"/>
      <c r="AOG45" s="456"/>
      <c r="AOH45" s="456"/>
      <c r="AOI45" s="456"/>
      <c r="AOJ45" s="456"/>
      <c r="AOK45" s="456"/>
      <c r="AOL45" s="456"/>
      <c r="AOM45" s="456"/>
      <c r="AON45" s="456"/>
      <c r="AOO45" s="456"/>
      <c r="AOP45" s="456"/>
      <c r="AOQ45" s="456"/>
      <c r="AOR45" s="456"/>
      <c r="AOS45" s="456"/>
      <c r="AOT45" s="456"/>
      <c r="AOU45" s="456"/>
      <c r="AOV45" s="456"/>
      <c r="AOW45" s="456"/>
      <c r="AOX45" s="456"/>
      <c r="AOY45" s="456"/>
      <c r="AOZ45" s="456"/>
      <c r="APA45" s="456"/>
      <c r="APB45" s="456"/>
      <c r="APC45" s="456"/>
      <c r="APD45" s="456"/>
      <c r="APE45" s="456"/>
      <c r="APF45" s="456"/>
      <c r="APG45" s="456"/>
      <c r="APH45" s="456"/>
      <c r="API45" s="456"/>
      <c r="APJ45" s="456"/>
      <c r="APK45" s="456"/>
      <c r="APL45" s="456"/>
      <c r="APM45" s="456"/>
      <c r="APN45" s="456"/>
      <c r="APO45" s="456"/>
      <c r="APP45" s="456"/>
      <c r="APQ45" s="456"/>
      <c r="APR45" s="456"/>
      <c r="APS45" s="456"/>
      <c r="APT45" s="456"/>
      <c r="APU45" s="456"/>
      <c r="APV45" s="456"/>
      <c r="APW45" s="456"/>
      <c r="APX45" s="456"/>
      <c r="APY45" s="456"/>
      <c r="APZ45" s="456"/>
      <c r="AQA45" s="456"/>
      <c r="AQB45" s="456"/>
      <c r="AQC45" s="456"/>
      <c r="AQD45" s="456"/>
      <c r="AQE45" s="456"/>
      <c r="AQF45" s="456"/>
      <c r="AQG45" s="456"/>
      <c r="AQH45" s="456"/>
      <c r="AQI45" s="456"/>
      <c r="AQJ45" s="456"/>
      <c r="AQK45" s="456"/>
      <c r="AQL45" s="456"/>
      <c r="AQM45" s="456"/>
      <c r="AQN45" s="456"/>
      <c r="AQO45" s="456"/>
      <c r="AQP45" s="456"/>
      <c r="AQQ45" s="456"/>
      <c r="AQR45" s="456"/>
      <c r="AQS45" s="456"/>
      <c r="AQT45" s="456"/>
      <c r="AQU45" s="456"/>
      <c r="AQV45" s="456"/>
      <c r="AQW45" s="456"/>
      <c r="AQX45" s="456"/>
      <c r="AQY45" s="456"/>
      <c r="AQZ45" s="456"/>
      <c r="ARA45" s="456"/>
      <c r="ARB45" s="456"/>
      <c r="ARC45" s="456"/>
      <c r="ARD45" s="456"/>
      <c r="ARE45" s="456"/>
      <c r="ARF45" s="456"/>
      <c r="ARG45" s="456"/>
      <c r="ARH45" s="456"/>
      <c r="ARI45" s="456"/>
      <c r="ARJ45" s="456"/>
      <c r="ARK45" s="456"/>
      <c r="ARL45" s="456"/>
      <c r="ARM45" s="456"/>
      <c r="ARN45" s="456"/>
      <c r="ARO45" s="456"/>
      <c r="ARP45" s="456"/>
      <c r="ARQ45" s="456"/>
      <c r="ARR45" s="456"/>
      <c r="ARS45" s="456"/>
      <c r="ART45" s="456"/>
      <c r="ARU45" s="456"/>
      <c r="ARV45" s="456"/>
      <c r="ARW45" s="456"/>
      <c r="ARX45" s="456"/>
      <c r="ARY45" s="456"/>
      <c r="ARZ45" s="456"/>
      <c r="ASA45" s="456"/>
      <c r="ASB45" s="456"/>
      <c r="ASC45" s="456"/>
      <c r="ASD45" s="456"/>
      <c r="ASE45" s="456"/>
      <c r="ASF45" s="456"/>
      <c r="ASG45" s="456"/>
      <c r="ASH45" s="456"/>
      <c r="ASI45" s="456"/>
      <c r="ASJ45" s="456"/>
      <c r="ASK45" s="456"/>
      <c r="ASL45" s="456"/>
      <c r="ASM45" s="456"/>
      <c r="ASN45" s="456"/>
      <c r="ASO45" s="456"/>
      <c r="ASP45" s="456"/>
      <c r="ASQ45" s="456"/>
      <c r="ASR45" s="456"/>
      <c r="ASS45" s="456"/>
      <c r="AST45" s="456"/>
      <c r="ASU45" s="456"/>
      <c r="ASV45" s="456"/>
      <c r="ASW45" s="456"/>
      <c r="ASX45" s="456"/>
      <c r="ASY45" s="456"/>
      <c r="ASZ45" s="456"/>
      <c r="ATA45" s="456"/>
      <c r="ATB45" s="456"/>
      <c r="ATC45" s="456"/>
      <c r="ATD45" s="456"/>
      <c r="ATE45" s="456"/>
      <c r="ATF45" s="456"/>
      <c r="ATG45" s="456"/>
      <c r="ATH45" s="456"/>
      <c r="ATI45" s="456"/>
      <c r="ATJ45" s="456"/>
      <c r="ATK45" s="456"/>
      <c r="ATL45" s="456"/>
      <c r="ATM45" s="456"/>
      <c r="ATN45" s="456"/>
      <c r="ATO45" s="456"/>
      <c r="ATP45" s="456"/>
      <c r="ATQ45" s="456"/>
      <c r="ATR45" s="456"/>
      <c r="ATS45" s="456"/>
      <c r="ATT45" s="456"/>
      <c r="ATU45" s="456"/>
      <c r="ATV45" s="456"/>
      <c r="ATW45" s="456"/>
      <c r="ATX45" s="456"/>
      <c r="ATY45" s="456"/>
      <c r="ATZ45" s="456"/>
      <c r="AUA45" s="456"/>
      <c r="AUB45" s="456"/>
      <c r="AUC45" s="456"/>
      <c r="AUD45" s="456"/>
      <c r="AUE45" s="456"/>
      <c r="AUF45" s="456"/>
      <c r="AUG45" s="456"/>
      <c r="AUH45" s="456"/>
      <c r="AUI45" s="456"/>
      <c r="AUJ45" s="456"/>
      <c r="AUK45" s="456"/>
      <c r="AUL45" s="456"/>
      <c r="AUM45" s="456"/>
      <c r="AUN45" s="456"/>
      <c r="AUO45" s="456"/>
      <c r="AUP45" s="456"/>
      <c r="AUQ45" s="456"/>
      <c r="AUR45" s="456"/>
      <c r="AUS45" s="456"/>
      <c r="AUT45" s="456"/>
      <c r="AUU45" s="456"/>
      <c r="AUV45" s="456"/>
      <c r="AUW45" s="456"/>
      <c r="AUX45" s="456"/>
      <c r="AUY45" s="456"/>
      <c r="AUZ45" s="456"/>
      <c r="AVA45" s="456"/>
      <c r="AVB45" s="456"/>
      <c r="AVC45" s="456"/>
      <c r="AVD45" s="456"/>
      <c r="AVE45" s="456"/>
      <c r="AVF45" s="456"/>
      <c r="AVG45" s="456"/>
      <c r="AVH45" s="456"/>
      <c r="AVI45" s="456"/>
      <c r="AVJ45" s="456"/>
      <c r="AVK45" s="456"/>
      <c r="AVL45" s="456"/>
      <c r="AVM45" s="456"/>
      <c r="AVN45" s="456"/>
      <c r="AVO45" s="456"/>
      <c r="AVP45" s="456"/>
      <c r="AVQ45" s="456"/>
      <c r="AVR45" s="456"/>
      <c r="AVS45" s="456"/>
      <c r="AVT45" s="456"/>
      <c r="AVU45" s="456"/>
      <c r="AVV45" s="456"/>
      <c r="AVW45" s="456"/>
      <c r="AVX45" s="456"/>
      <c r="AVY45" s="456"/>
      <c r="AVZ45" s="456"/>
      <c r="AWA45" s="456"/>
      <c r="AWB45" s="456"/>
      <c r="AWC45" s="456"/>
      <c r="AWD45" s="456"/>
      <c r="AWE45" s="456"/>
      <c r="AWF45" s="456"/>
      <c r="AWG45" s="456"/>
      <c r="AWH45" s="456"/>
      <c r="AWI45" s="456"/>
      <c r="AWJ45" s="456"/>
      <c r="AWK45" s="456"/>
      <c r="AWL45" s="456"/>
      <c r="AWM45" s="456"/>
      <c r="AWN45" s="456"/>
      <c r="AWO45" s="456"/>
      <c r="AWP45" s="456"/>
      <c r="AWQ45" s="456"/>
      <c r="AWR45" s="456"/>
      <c r="AWS45" s="456"/>
      <c r="AWT45" s="456"/>
      <c r="AWU45" s="456"/>
      <c r="AWV45" s="456"/>
      <c r="AWW45" s="456"/>
      <c r="AWX45" s="456"/>
      <c r="AWY45" s="456"/>
      <c r="AWZ45" s="456"/>
      <c r="AXA45" s="456"/>
      <c r="AXB45" s="456"/>
      <c r="AXC45" s="456"/>
      <c r="AXD45" s="456"/>
      <c r="AXE45" s="456"/>
      <c r="AXF45" s="456"/>
      <c r="AXG45" s="456"/>
      <c r="AXH45" s="456"/>
      <c r="AXI45" s="456"/>
      <c r="AXJ45" s="456"/>
      <c r="AXK45" s="456"/>
      <c r="AXL45" s="456"/>
      <c r="AXM45" s="456"/>
      <c r="AXN45" s="456"/>
      <c r="AXO45" s="456"/>
      <c r="AXP45" s="456"/>
      <c r="AXQ45" s="456"/>
      <c r="AXR45" s="456"/>
      <c r="AXS45" s="456"/>
      <c r="AXT45" s="456"/>
      <c r="AXU45" s="456"/>
      <c r="AXV45" s="456"/>
      <c r="AXW45" s="456"/>
      <c r="AXX45" s="456"/>
      <c r="AXY45" s="456"/>
      <c r="AXZ45" s="456"/>
      <c r="AYA45" s="456"/>
      <c r="AYB45" s="456"/>
      <c r="AYC45" s="456"/>
      <c r="AYD45" s="456"/>
      <c r="AYE45" s="456"/>
      <c r="AYF45" s="456"/>
      <c r="AYG45" s="456"/>
      <c r="AYH45" s="456"/>
      <c r="AYI45" s="456"/>
      <c r="AYJ45" s="456"/>
      <c r="AYK45" s="456"/>
      <c r="AYL45" s="456"/>
      <c r="AYM45" s="456"/>
      <c r="AYN45" s="456"/>
      <c r="AYO45" s="456"/>
      <c r="AYP45" s="456"/>
      <c r="AYQ45" s="456"/>
      <c r="AYR45" s="456"/>
      <c r="AYS45" s="456"/>
      <c r="AYT45" s="456"/>
      <c r="AYU45" s="456"/>
      <c r="AYV45" s="456"/>
      <c r="AYW45" s="456"/>
      <c r="AYX45" s="456"/>
      <c r="AYY45" s="456"/>
      <c r="AYZ45" s="456"/>
      <c r="AZA45" s="456"/>
      <c r="AZB45" s="456"/>
      <c r="AZC45" s="456"/>
      <c r="AZD45" s="456"/>
      <c r="AZE45" s="456"/>
      <c r="AZF45" s="456"/>
      <c r="AZG45" s="456"/>
      <c r="AZH45" s="456"/>
      <c r="AZI45" s="456"/>
      <c r="AZJ45" s="456"/>
      <c r="AZK45" s="456"/>
      <c r="AZL45" s="456"/>
      <c r="AZM45" s="456"/>
      <c r="AZN45" s="456"/>
      <c r="AZO45" s="456"/>
      <c r="AZP45" s="456"/>
      <c r="AZQ45" s="456"/>
      <c r="AZR45" s="456"/>
      <c r="AZS45" s="456"/>
      <c r="AZT45" s="456"/>
      <c r="AZU45" s="456"/>
      <c r="AZV45" s="456"/>
      <c r="AZW45" s="456"/>
      <c r="AZX45" s="456"/>
      <c r="AZY45" s="456"/>
      <c r="AZZ45" s="456"/>
      <c r="BAA45" s="456"/>
      <c r="BAB45" s="456"/>
      <c r="BAC45" s="456"/>
      <c r="BAD45" s="456"/>
      <c r="BAE45" s="456"/>
      <c r="BAF45" s="456"/>
      <c r="BAG45" s="456"/>
      <c r="BAH45" s="456"/>
      <c r="BAI45" s="456"/>
      <c r="BAJ45" s="456"/>
      <c r="BAK45" s="456"/>
      <c r="BAL45" s="456"/>
      <c r="BAM45" s="456"/>
      <c r="BAN45" s="456"/>
      <c r="BAO45" s="456"/>
      <c r="BAP45" s="456"/>
      <c r="BAQ45" s="456"/>
      <c r="BAR45" s="456"/>
      <c r="BAS45" s="456"/>
      <c r="BAT45" s="456"/>
      <c r="BAU45" s="456"/>
      <c r="BAV45" s="456"/>
      <c r="BAW45" s="456"/>
      <c r="BAX45" s="456"/>
      <c r="BAY45" s="456"/>
      <c r="BAZ45" s="456"/>
      <c r="BBA45" s="456"/>
      <c r="BBB45" s="456"/>
      <c r="BBC45" s="456"/>
      <c r="BBD45" s="456"/>
      <c r="BBE45" s="456"/>
      <c r="BBF45" s="456"/>
      <c r="BBG45" s="456"/>
      <c r="BBH45" s="456"/>
      <c r="BBI45" s="456"/>
      <c r="BBJ45" s="456"/>
      <c r="BBK45" s="456"/>
      <c r="BBL45" s="456"/>
      <c r="BBM45" s="456"/>
      <c r="BBN45" s="456"/>
      <c r="BBO45" s="456"/>
      <c r="BBP45" s="456"/>
      <c r="BBQ45" s="456"/>
      <c r="BBR45" s="456"/>
      <c r="BBS45" s="456"/>
      <c r="BBT45" s="456"/>
      <c r="BBU45" s="456"/>
      <c r="BBV45" s="456"/>
      <c r="BBW45" s="456"/>
      <c r="BBX45" s="456"/>
      <c r="BBY45" s="456"/>
      <c r="BBZ45" s="456"/>
      <c r="BCA45" s="456"/>
      <c r="BCB45" s="456"/>
      <c r="BCC45" s="456"/>
      <c r="BCD45" s="456"/>
      <c r="BCE45" s="456"/>
      <c r="BCF45" s="456"/>
      <c r="BCG45" s="456"/>
      <c r="BCH45" s="456"/>
      <c r="BCI45" s="456"/>
      <c r="BCJ45" s="456"/>
      <c r="BCK45" s="456"/>
      <c r="BCL45" s="456"/>
      <c r="BCM45" s="456"/>
      <c r="BCN45" s="456"/>
      <c r="BCO45" s="456"/>
      <c r="BCP45" s="456"/>
      <c r="BCQ45" s="456"/>
      <c r="BCR45" s="456"/>
      <c r="BCS45" s="456"/>
      <c r="BCT45" s="456"/>
      <c r="BCU45" s="456"/>
      <c r="BCV45" s="456"/>
      <c r="BCW45" s="456"/>
      <c r="BCX45" s="456"/>
      <c r="BCY45" s="456"/>
      <c r="BCZ45" s="456"/>
      <c r="BDA45" s="456"/>
      <c r="BDB45" s="456"/>
      <c r="BDC45" s="456"/>
      <c r="BDD45" s="456"/>
      <c r="BDE45" s="456"/>
      <c r="BDF45" s="456"/>
      <c r="BDG45" s="456"/>
      <c r="BDH45" s="456"/>
      <c r="BDI45" s="456"/>
      <c r="BDJ45" s="456"/>
      <c r="BDK45" s="456"/>
      <c r="BDL45" s="456"/>
      <c r="BDM45" s="456"/>
      <c r="BDN45" s="456"/>
      <c r="BDO45" s="456"/>
      <c r="BDP45" s="456"/>
      <c r="BDQ45" s="456"/>
      <c r="BDR45" s="456"/>
      <c r="BDS45" s="456"/>
      <c r="BDT45" s="456"/>
      <c r="BDU45" s="456"/>
      <c r="BDV45" s="456"/>
      <c r="BDW45" s="456"/>
      <c r="BDX45" s="456"/>
      <c r="BDY45" s="456"/>
      <c r="BDZ45" s="456"/>
      <c r="BEA45" s="456"/>
      <c r="BEB45" s="456"/>
      <c r="BEC45" s="456"/>
      <c r="BED45" s="456"/>
      <c r="BEE45" s="456"/>
      <c r="BEF45" s="456"/>
      <c r="BEG45" s="456"/>
      <c r="BEH45" s="456"/>
      <c r="BEI45" s="456"/>
      <c r="BEJ45" s="456"/>
      <c r="BEK45" s="456"/>
      <c r="BEL45" s="456"/>
      <c r="BEM45" s="456"/>
      <c r="BEN45" s="456"/>
      <c r="BEO45" s="456"/>
      <c r="BEP45" s="456"/>
      <c r="BEQ45" s="456"/>
      <c r="BER45" s="456"/>
      <c r="BES45" s="456"/>
      <c r="BET45" s="456"/>
      <c r="BEU45" s="456"/>
      <c r="BEV45" s="456"/>
      <c r="BEW45" s="456"/>
      <c r="BEX45" s="456"/>
      <c r="BEY45" s="456"/>
      <c r="BEZ45" s="456"/>
      <c r="BFA45" s="456"/>
      <c r="BFB45" s="456"/>
      <c r="BFC45" s="456"/>
      <c r="BFD45" s="456"/>
      <c r="BFE45" s="456"/>
      <c r="BFF45" s="456"/>
      <c r="BFG45" s="456"/>
      <c r="BFH45" s="456"/>
      <c r="BFI45" s="456"/>
      <c r="BFJ45" s="456"/>
      <c r="BFK45" s="456"/>
      <c r="BFL45" s="456"/>
      <c r="BFM45" s="456"/>
      <c r="BFN45" s="456"/>
      <c r="BFO45" s="456"/>
      <c r="BFP45" s="456"/>
      <c r="BFQ45" s="456"/>
      <c r="BFR45" s="456"/>
      <c r="BFS45" s="456"/>
      <c r="BFT45" s="456"/>
      <c r="BFU45" s="456"/>
      <c r="BFV45" s="456"/>
      <c r="BFW45" s="456"/>
      <c r="BFX45" s="456"/>
      <c r="BFY45" s="456"/>
      <c r="BFZ45" s="456"/>
      <c r="BGA45" s="456"/>
      <c r="BGB45" s="456"/>
      <c r="BGC45" s="456"/>
      <c r="BGD45" s="456"/>
      <c r="BGE45" s="456"/>
      <c r="BGF45" s="456"/>
      <c r="BGG45" s="456"/>
      <c r="BGH45" s="456"/>
      <c r="BGI45" s="456"/>
      <c r="BGJ45" s="456"/>
      <c r="BGK45" s="456"/>
      <c r="BGL45" s="456"/>
      <c r="BGM45" s="456"/>
      <c r="BGN45" s="456"/>
      <c r="BGO45" s="456"/>
      <c r="BGP45" s="456"/>
      <c r="BGQ45" s="456"/>
      <c r="BGR45" s="456"/>
      <c r="BGS45" s="456"/>
      <c r="BGT45" s="456"/>
      <c r="BGU45" s="456"/>
      <c r="BGV45" s="456"/>
      <c r="BGW45" s="456"/>
      <c r="BGX45" s="456"/>
      <c r="BGY45" s="456"/>
      <c r="BGZ45" s="456"/>
      <c r="BHA45" s="456"/>
      <c r="BHB45" s="456"/>
      <c r="BHC45" s="456"/>
      <c r="BHD45" s="456"/>
      <c r="BHE45" s="456"/>
      <c r="BHF45" s="456"/>
      <c r="BHG45" s="456"/>
      <c r="BHH45" s="456"/>
      <c r="BHI45" s="456"/>
      <c r="BHJ45" s="456"/>
      <c r="BHK45" s="456"/>
      <c r="BHL45" s="456"/>
      <c r="BHM45" s="456"/>
      <c r="BHN45" s="456"/>
      <c r="BHO45" s="456"/>
      <c r="BHP45" s="456"/>
      <c r="BHQ45" s="456"/>
      <c r="BHR45" s="456"/>
      <c r="BHS45" s="456"/>
      <c r="BHT45" s="456"/>
      <c r="BHU45" s="456"/>
      <c r="BHV45" s="456"/>
      <c r="BHW45" s="456"/>
      <c r="BHX45" s="456"/>
      <c r="BHY45" s="456"/>
      <c r="BHZ45" s="456"/>
      <c r="BIA45" s="456"/>
      <c r="BIB45" s="456"/>
      <c r="BIC45" s="456"/>
      <c r="BID45" s="456"/>
      <c r="BIE45" s="456"/>
      <c r="BIF45" s="456"/>
      <c r="BIG45" s="456"/>
      <c r="BIH45" s="456"/>
      <c r="BII45" s="456"/>
      <c r="BIJ45" s="456"/>
      <c r="BIK45" s="456"/>
      <c r="BIL45" s="456"/>
      <c r="BIM45" s="456"/>
      <c r="BIN45" s="456"/>
      <c r="BIO45" s="456"/>
      <c r="BIP45" s="456"/>
      <c r="BIQ45" s="456"/>
      <c r="BIR45" s="456"/>
      <c r="BIS45" s="456"/>
      <c r="BIT45" s="456"/>
      <c r="BIU45" s="456"/>
      <c r="BIV45" s="456"/>
      <c r="BIW45" s="456"/>
      <c r="BIX45" s="456"/>
      <c r="BIY45" s="456"/>
      <c r="BIZ45" s="456"/>
      <c r="BJA45" s="456"/>
      <c r="BJB45" s="456"/>
      <c r="BJC45" s="456"/>
      <c r="BJD45" s="456"/>
      <c r="BJE45" s="456"/>
      <c r="BJF45" s="456"/>
      <c r="BJG45" s="456"/>
      <c r="BJH45" s="456"/>
      <c r="BJI45" s="456"/>
      <c r="BJJ45" s="456"/>
      <c r="BJK45" s="456"/>
      <c r="BJL45" s="456"/>
      <c r="BJM45" s="456"/>
      <c r="BJN45" s="456"/>
      <c r="BJO45" s="456"/>
      <c r="BJP45" s="456"/>
      <c r="BJQ45" s="456"/>
      <c r="BJR45" s="456"/>
      <c r="BJS45" s="456"/>
      <c r="BJT45" s="456"/>
      <c r="BJU45" s="456"/>
      <c r="BJV45" s="456"/>
      <c r="BJW45" s="456"/>
      <c r="BJX45" s="456"/>
      <c r="BJY45" s="456"/>
      <c r="BJZ45" s="456"/>
      <c r="BKA45" s="456"/>
      <c r="BKB45" s="456"/>
      <c r="BKC45" s="456"/>
      <c r="BKD45" s="456"/>
      <c r="BKE45" s="456"/>
      <c r="BKF45" s="456"/>
      <c r="BKG45" s="456"/>
      <c r="BKH45" s="456"/>
      <c r="BKI45" s="456"/>
      <c r="BKJ45" s="456"/>
      <c r="BKK45" s="456"/>
      <c r="BKL45" s="456"/>
      <c r="BKM45" s="456"/>
      <c r="BKN45" s="456"/>
      <c r="BKO45" s="456"/>
      <c r="BKP45" s="456"/>
      <c r="BKQ45" s="456"/>
      <c r="BKR45" s="456"/>
      <c r="BKS45" s="456"/>
      <c r="BKT45" s="456"/>
      <c r="BKU45" s="456"/>
      <c r="BKV45" s="456"/>
      <c r="BKW45" s="456"/>
      <c r="BKX45" s="456"/>
      <c r="BKY45" s="456"/>
      <c r="BKZ45" s="456"/>
      <c r="BLA45" s="456"/>
      <c r="BLB45" s="456"/>
      <c r="BLC45" s="456"/>
      <c r="BLD45" s="456"/>
      <c r="BLE45" s="456"/>
      <c r="BLF45" s="456"/>
      <c r="BLG45" s="456"/>
      <c r="BLH45" s="456"/>
      <c r="BLI45" s="456"/>
      <c r="BLJ45" s="456"/>
      <c r="BLK45" s="456"/>
      <c r="BLL45" s="456"/>
      <c r="BLM45" s="456"/>
      <c r="BLN45" s="456"/>
      <c r="BLO45" s="456"/>
      <c r="BLP45" s="456"/>
      <c r="BLQ45" s="456"/>
      <c r="BLR45" s="456"/>
      <c r="BLS45" s="456"/>
      <c r="BLT45" s="456"/>
      <c r="BLU45" s="456"/>
      <c r="BLV45" s="456"/>
      <c r="BLW45" s="456"/>
      <c r="BLX45" s="456"/>
      <c r="BLY45" s="456"/>
      <c r="BLZ45" s="456"/>
      <c r="BMA45" s="456"/>
      <c r="BMB45" s="456"/>
      <c r="BMC45" s="456"/>
      <c r="BMD45" s="456"/>
      <c r="BME45" s="456"/>
      <c r="BMF45" s="456"/>
      <c r="BMG45" s="456"/>
      <c r="BMH45" s="456"/>
      <c r="BMI45" s="456"/>
      <c r="BMJ45" s="456"/>
      <c r="BMK45" s="456"/>
      <c r="BML45" s="456"/>
      <c r="BMM45" s="456"/>
      <c r="BMN45" s="456"/>
      <c r="BMO45" s="456"/>
      <c r="BMP45" s="456"/>
      <c r="BMQ45" s="456"/>
      <c r="BMR45" s="456"/>
      <c r="BMS45" s="456"/>
      <c r="BMT45" s="456"/>
      <c r="BMU45" s="456"/>
      <c r="BMV45" s="456"/>
      <c r="BMW45" s="456"/>
      <c r="BMX45" s="456"/>
      <c r="BMY45" s="456"/>
      <c r="BMZ45" s="456"/>
      <c r="BNA45" s="456"/>
      <c r="BNB45" s="456"/>
      <c r="BNC45" s="456"/>
      <c r="BND45" s="456"/>
      <c r="BNE45" s="456"/>
      <c r="BNF45" s="456"/>
      <c r="BNG45" s="456"/>
      <c r="BNH45" s="456"/>
      <c r="BNI45" s="456"/>
      <c r="BNJ45" s="456"/>
      <c r="BNK45" s="456"/>
      <c r="BNL45" s="456"/>
      <c r="BNM45" s="456"/>
      <c r="BNN45" s="456"/>
      <c r="BNO45" s="456"/>
      <c r="BNP45" s="456"/>
      <c r="BNQ45" s="456"/>
      <c r="BNR45" s="456"/>
      <c r="BNS45" s="456"/>
      <c r="BNT45" s="456"/>
      <c r="BNU45" s="456"/>
      <c r="BNV45" s="456"/>
      <c r="BNW45" s="456"/>
      <c r="BNX45" s="456"/>
      <c r="BNY45" s="456"/>
      <c r="BNZ45" s="456"/>
      <c r="BOA45" s="456"/>
      <c r="BOB45" s="456"/>
      <c r="BOC45" s="456"/>
      <c r="BOD45" s="456"/>
      <c r="BOE45" s="456"/>
      <c r="BOF45" s="456"/>
      <c r="BOG45" s="456"/>
      <c r="BOH45" s="456"/>
      <c r="BOI45" s="456"/>
      <c r="BOJ45" s="456"/>
      <c r="BOK45" s="456"/>
      <c r="BOL45" s="456"/>
      <c r="BOM45" s="456"/>
      <c r="BON45" s="456"/>
      <c r="BOO45" s="456"/>
      <c r="BOP45" s="456"/>
      <c r="BOQ45" s="456"/>
      <c r="BOR45" s="456"/>
      <c r="BOS45" s="456"/>
      <c r="BOT45" s="456"/>
      <c r="BOU45" s="456"/>
      <c r="BOV45" s="456"/>
      <c r="BOW45" s="456"/>
      <c r="BOX45" s="456"/>
      <c r="BOY45" s="456"/>
      <c r="BOZ45" s="456"/>
      <c r="BPA45" s="456"/>
      <c r="BPB45" s="456"/>
      <c r="BPC45" s="456"/>
      <c r="BPD45" s="456"/>
      <c r="BPE45" s="456"/>
      <c r="BPF45" s="456"/>
      <c r="BPG45" s="456"/>
      <c r="BPH45" s="456"/>
      <c r="BPI45" s="456"/>
      <c r="BPJ45" s="456"/>
      <c r="BPK45" s="456"/>
      <c r="BPL45" s="456"/>
      <c r="BPM45" s="456"/>
      <c r="BPN45" s="456"/>
      <c r="BPO45" s="456"/>
      <c r="BPP45" s="456"/>
      <c r="BPQ45" s="456"/>
      <c r="BPR45" s="456"/>
      <c r="BPS45" s="456"/>
      <c r="BPT45" s="456"/>
      <c r="BPU45" s="456"/>
      <c r="BPV45" s="456"/>
      <c r="BPW45" s="456"/>
      <c r="BPX45" s="456"/>
      <c r="BPY45" s="456"/>
      <c r="BPZ45" s="456"/>
      <c r="BQA45" s="456"/>
      <c r="BQB45" s="456"/>
      <c r="BQC45" s="456"/>
      <c r="BQD45" s="456"/>
      <c r="BQE45" s="456"/>
      <c r="BQF45" s="456"/>
      <c r="BQG45" s="456"/>
      <c r="BQH45" s="456"/>
      <c r="BQI45" s="456"/>
      <c r="BQJ45" s="456"/>
      <c r="BQK45" s="456"/>
      <c r="BQL45" s="456"/>
      <c r="BQM45" s="456"/>
      <c r="BQN45" s="456"/>
      <c r="BQO45" s="456"/>
      <c r="BQP45" s="456"/>
      <c r="BQQ45" s="456"/>
      <c r="BQR45" s="456"/>
      <c r="BQS45" s="456"/>
      <c r="BQT45" s="456"/>
      <c r="BQU45" s="456"/>
      <c r="BQV45" s="456"/>
      <c r="BQW45" s="456"/>
      <c r="BQX45" s="456"/>
      <c r="BQY45" s="456"/>
      <c r="BQZ45" s="456"/>
      <c r="BRA45" s="456"/>
      <c r="BRB45" s="456"/>
      <c r="BRC45" s="456"/>
      <c r="BRD45" s="456"/>
      <c r="BRE45" s="456"/>
      <c r="BRF45" s="456"/>
      <c r="BRG45" s="456"/>
      <c r="BRH45" s="456"/>
      <c r="BRI45" s="456"/>
      <c r="BRJ45" s="456"/>
      <c r="BRK45" s="456"/>
      <c r="BRL45" s="456"/>
      <c r="BRM45" s="456"/>
      <c r="BRN45" s="456"/>
      <c r="BRO45" s="456"/>
      <c r="BRP45" s="456"/>
      <c r="BRQ45" s="456"/>
      <c r="BRR45" s="456"/>
      <c r="BRS45" s="456"/>
      <c r="BRT45" s="456"/>
      <c r="BRU45" s="456"/>
      <c r="BRV45" s="456"/>
      <c r="BRW45" s="456"/>
      <c r="BRX45" s="456"/>
      <c r="BRY45" s="456"/>
      <c r="BRZ45" s="456"/>
      <c r="BSA45" s="456"/>
      <c r="BSB45" s="456"/>
      <c r="BSC45" s="456"/>
      <c r="BSD45" s="456"/>
      <c r="BSE45" s="456"/>
      <c r="BSF45" s="456"/>
      <c r="BSG45" s="456"/>
      <c r="BSH45" s="456"/>
      <c r="BSI45" s="456"/>
      <c r="BSJ45" s="456"/>
      <c r="BSK45" s="456"/>
      <c r="BSL45" s="456"/>
      <c r="BSM45" s="456"/>
      <c r="BSN45" s="456"/>
      <c r="BSO45" s="456"/>
      <c r="BSP45" s="456"/>
      <c r="BSQ45" s="456"/>
      <c r="BSR45" s="456"/>
      <c r="BSS45" s="456"/>
      <c r="BST45" s="456"/>
      <c r="BSU45" s="456"/>
      <c r="BSV45" s="456"/>
      <c r="BSW45" s="456"/>
      <c r="BSX45" s="456"/>
      <c r="BSY45" s="456"/>
      <c r="BSZ45" s="456"/>
      <c r="BTA45" s="456"/>
      <c r="BTB45" s="456"/>
      <c r="BTC45" s="456"/>
      <c r="BTD45" s="456"/>
      <c r="BTE45" s="456"/>
      <c r="BTF45" s="456"/>
      <c r="BTG45" s="456"/>
      <c r="BTH45" s="456"/>
      <c r="BTI45" s="456"/>
      <c r="BTJ45" s="456"/>
      <c r="BTK45" s="456"/>
      <c r="BTL45" s="456"/>
      <c r="BTM45" s="456"/>
      <c r="BTN45" s="456"/>
      <c r="BTO45" s="456"/>
      <c r="BTP45" s="456"/>
      <c r="BTQ45" s="456"/>
      <c r="BTR45" s="456"/>
      <c r="BTS45" s="456"/>
      <c r="BTT45" s="456"/>
      <c r="BTU45" s="456"/>
      <c r="BTV45" s="456"/>
      <c r="BTW45" s="456"/>
      <c r="BTX45" s="456"/>
      <c r="BTY45" s="456"/>
      <c r="BTZ45" s="456"/>
      <c r="BUA45" s="456"/>
      <c r="BUB45" s="456"/>
      <c r="BUC45" s="456"/>
      <c r="BUD45" s="456"/>
      <c r="BUE45" s="456"/>
      <c r="BUF45" s="456"/>
      <c r="BUG45" s="456"/>
      <c r="BUH45" s="456"/>
      <c r="BUI45" s="456"/>
      <c r="BUJ45" s="456"/>
      <c r="BUK45" s="456"/>
      <c r="BUL45" s="456"/>
      <c r="BUM45" s="456"/>
      <c r="BUN45" s="456"/>
      <c r="BUO45" s="456"/>
      <c r="BUP45" s="456"/>
      <c r="BUQ45" s="456"/>
      <c r="BUR45" s="456"/>
      <c r="BUS45" s="456"/>
      <c r="BUT45" s="456"/>
      <c r="BUU45" s="456"/>
      <c r="BUV45" s="456"/>
      <c r="BUW45" s="456"/>
      <c r="BUX45" s="456"/>
      <c r="BUY45" s="456"/>
      <c r="BUZ45" s="456"/>
      <c r="BVA45" s="456"/>
      <c r="BVB45" s="456"/>
      <c r="BVC45" s="456"/>
      <c r="BVD45" s="456"/>
      <c r="BVE45" s="456"/>
      <c r="BVF45" s="456"/>
      <c r="BVG45" s="456"/>
      <c r="BVH45" s="456"/>
      <c r="BVI45" s="456"/>
      <c r="BVJ45" s="456"/>
      <c r="BVK45" s="456"/>
      <c r="BVL45" s="456"/>
      <c r="BVM45" s="456"/>
      <c r="BVN45" s="456"/>
      <c r="BVO45" s="456"/>
      <c r="BVP45" s="456"/>
      <c r="BVQ45" s="456"/>
      <c r="BVR45" s="456"/>
      <c r="BVS45" s="456"/>
      <c r="BVT45" s="456"/>
      <c r="BVU45" s="456"/>
      <c r="BVV45" s="456"/>
      <c r="BVW45" s="456"/>
      <c r="BVX45" s="456"/>
      <c r="BVY45" s="456"/>
      <c r="BVZ45" s="456"/>
      <c r="BWA45" s="456"/>
      <c r="BWB45" s="456"/>
      <c r="BWC45" s="456"/>
      <c r="BWD45" s="456"/>
      <c r="BWE45" s="456"/>
      <c r="BWF45" s="456"/>
      <c r="BWG45" s="456"/>
      <c r="BWH45" s="456"/>
      <c r="BWI45" s="456"/>
      <c r="BWJ45" s="456"/>
      <c r="BWK45" s="456"/>
      <c r="BWL45" s="456"/>
      <c r="BWM45" s="456"/>
      <c r="BWN45" s="456"/>
      <c r="BWO45" s="456"/>
      <c r="BWP45" s="456"/>
      <c r="BWQ45" s="456"/>
      <c r="BWR45" s="456"/>
      <c r="BWS45" s="456"/>
      <c r="BWT45" s="456"/>
      <c r="BWU45" s="456"/>
      <c r="BWV45" s="456"/>
      <c r="BWW45" s="456"/>
      <c r="BWX45" s="456"/>
      <c r="BWY45" s="456"/>
      <c r="BWZ45" s="456"/>
      <c r="BXA45" s="456"/>
      <c r="BXB45" s="456"/>
      <c r="BXC45" s="456"/>
      <c r="BXD45" s="456"/>
      <c r="BXE45" s="456"/>
      <c r="BXF45" s="456"/>
      <c r="BXG45" s="456"/>
      <c r="BXH45" s="456"/>
      <c r="BXI45" s="456"/>
      <c r="BXJ45" s="456"/>
      <c r="BXK45" s="456"/>
      <c r="BXL45" s="456"/>
      <c r="BXM45" s="456"/>
      <c r="BXN45" s="456"/>
      <c r="BXO45" s="456"/>
      <c r="BXP45" s="456"/>
      <c r="BXQ45" s="456"/>
      <c r="BXR45" s="456"/>
      <c r="BXS45" s="456"/>
      <c r="BXT45" s="456"/>
      <c r="BXU45" s="456"/>
      <c r="BXV45" s="456"/>
      <c r="BXW45" s="456"/>
      <c r="BXX45" s="456"/>
      <c r="BXY45" s="456"/>
      <c r="BXZ45" s="456"/>
    </row>
    <row r="46" s="25" customFormat="1" spans="1:1024 1025:2002">
      <c r="A46" s="473" t="s">
        <v>34</v>
      </c>
      <c r="B46" s="19">
        <v>1117</v>
      </c>
      <c r="C46" s="183">
        <v>46174</v>
      </c>
      <c r="D46" s="17" t="s">
        <v>35</v>
      </c>
      <c r="E46" s="17" t="s">
        <v>71</v>
      </c>
      <c r="F46" s="17" t="s">
        <v>72</v>
      </c>
      <c r="G46" s="17"/>
      <c r="H46" s="19">
        <v>1.2379</v>
      </c>
      <c r="I46" s="19">
        <v>1.2379</v>
      </c>
      <c r="J46" s="17" t="s">
        <v>39</v>
      </c>
      <c r="K46" s="19">
        <v>410</v>
      </c>
      <c r="L46" s="91"/>
      <c r="M46" s="19">
        <v>5800</v>
      </c>
      <c r="N46" s="19" t="s">
        <v>40</v>
      </c>
      <c r="O46" s="19" t="s">
        <v>50</v>
      </c>
      <c r="P46" s="19">
        <v>5000</v>
      </c>
      <c r="Q46" s="19">
        <v>3780</v>
      </c>
      <c r="R46" s="19">
        <f t="shared" si="2"/>
        <v>1220</v>
      </c>
      <c r="S46" s="19">
        <f>2330+68</f>
        <v>2398</v>
      </c>
      <c r="T46" s="19" t="s">
        <v>42</v>
      </c>
      <c r="U46" s="102" t="s">
        <v>73</v>
      </c>
      <c r="V46" s="186">
        <v>46173</v>
      </c>
      <c r="W46" s="17" t="s">
        <v>69</v>
      </c>
      <c r="X46" s="17"/>
      <c r="Y46" s="68">
        <v>46296</v>
      </c>
      <c r="Z46" s="17" t="s">
        <v>45</v>
      </c>
      <c r="AA46" s="17" t="s">
        <v>46</v>
      </c>
      <c r="AB46" s="17" t="s">
        <v>75</v>
      </c>
      <c r="AC46" s="217">
        <v>46224</v>
      </c>
      <c r="AD46" s="65">
        <v>1837</v>
      </c>
      <c r="AE46" s="17" t="s">
        <v>74</v>
      </c>
      <c r="AF46" s="17" t="s">
        <v>76</v>
      </c>
      <c r="AG46" s="17"/>
      <c r="AH46" s="456"/>
      <c r="AI46" s="456"/>
      <c r="AJ46" s="456"/>
      <c r="AK46" s="456"/>
      <c r="AL46" s="456"/>
      <c r="AM46" s="456"/>
      <c r="AN46" s="456"/>
      <c r="AO46" s="456"/>
      <c r="AP46" s="456"/>
      <c r="AQ46" s="456"/>
      <c r="AR46" s="456"/>
      <c r="AS46" s="456"/>
      <c r="AT46" s="456"/>
      <c r="AU46" s="456"/>
      <c r="AV46" s="456"/>
      <c r="AW46" s="456"/>
      <c r="AX46" s="456"/>
      <c r="AY46" s="456"/>
      <c r="AZ46" s="456"/>
      <c r="BA46" s="456"/>
      <c r="BB46" s="456"/>
      <c r="BC46" s="456"/>
      <c r="BD46" s="456"/>
      <c r="BE46" s="456"/>
      <c r="BF46" s="456"/>
      <c r="BG46" s="456"/>
      <c r="BH46" s="456"/>
      <c r="BI46" s="456"/>
      <c r="BJ46" s="456"/>
      <c r="BK46" s="456"/>
      <c r="BL46" s="456"/>
      <c r="BM46" s="456"/>
      <c r="BN46" s="456"/>
      <c r="BO46" s="456"/>
      <c r="BP46" s="456"/>
      <c r="BQ46" s="456"/>
      <c r="BR46" s="456"/>
      <c r="BS46" s="456"/>
      <c r="BT46" s="456"/>
      <c r="BU46" s="456"/>
      <c r="BV46" s="456"/>
      <c r="BW46" s="456"/>
      <c r="BX46" s="456"/>
      <c r="BY46" s="456"/>
      <c r="BZ46" s="456"/>
      <c r="CA46" s="456"/>
      <c r="CB46" s="456"/>
      <c r="CC46" s="456"/>
      <c r="CD46" s="456"/>
      <c r="CE46" s="456"/>
      <c r="CF46" s="456"/>
      <c r="CG46" s="456"/>
      <c r="CH46" s="456"/>
      <c r="CI46" s="456"/>
      <c r="CJ46" s="456"/>
      <c r="CK46" s="456"/>
      <c r="CL46" s="456"/>
      <c r="CM46" s="456"/>
      <c r="CN46" s="456"/>
      <c r="CO46" s="456"/>
      <c r="CP46" s="456"/>
      <c r="CQ46" s="456"/>
      <c r="CR46" s="456"/>
      <c r="CS46" s="456"/>
      <c r="CT46" s="456"/>
      <c r="CU46" s="456"/>
      <c r="CV46" s="456"/>
      <c r="CW46" s="456"/>
      <c r="CX46" s="456"/>
      <c r="CY46" s="456"/>
      <c r="CZ46" s="456"/>
      <c r="DA46" s="456"/>
      <c r="DB46" s="456"/>
      <c r="DC46" s="456"/>
      <c r="DD46" s="456"/>
      <c r="DE46" s="456"/>
      <c r="DF46" s="456"/>
      <c r="DG46" s="456"/>
      <c r="DH46" s="456"/>
      <c r="DI46" s="456"/>
      <c r="DJ46" s="456"/>
      <c r="DK46" s="456"/>
      <c r="DL46" s="456"/>
      <c r="DM46" s="456"/>
      <c r="DN46" s="456"/>
      <c r="DO46" s="456"/>
      <c r="DP46" s="456"/>
      <c r="DQ46" s="456"/>
      <c r="DR46" s="456"/>
      <c r="DS46" s="456"/>
      <c r="DT46" s="456"/>
      <c r="DU46" s="456"/>
      <c r="DV46" s="456"/>
      <c r="DW46" s="456"/>
      <c r="DX46" s="456"/>
      <c r="DY46" s="456"/>
      <c r="DZ46" s="456"/>
      <c r="EA46" s="456"/>
      <c r="EB46" s="456"/>
      <c r="EC46" s="456"/>
      <c r="ED46" s="456"/>
      <c r="EE46" s="456"/>
      <c r="EF46" s="456"/>
      <c r="EG46" s="456"/>
      <c r="EH46" s="456"/>
      <c r="EI46" s="456"/>
      <c r="EJ46" s="456"/>
      <c r="EK46" s="456"/>
      <c r="EL46" s="456"/>
      <c r="EM46" s="456"/>
      <c r="EN46" s="456"/>
      <c r="EO46" s="456"/>
      <c r="EP46" s="456"/>
      <c r="EQ46" s="456"/>
      <c r="ER46" s="456"/>
      <c r="ES46" s="456"/>
      <c r="ET46" s="456"/>
      <c r="EU46" s="456"/>
      <c r="EV46" s="456"/>
      <c r="EW46" s="456"/>
      <c r="EX46" s="456"/>
      <c r="EY46" s="456"/>
      <c r="EZ46" s="456"/>
      <c r="FA46" s="456"/>
      <c r="FB46" s="456"/>
      <c r="FC46" s="456"/>
      <c r="FD46" s="456"/>
      <c r="FE46" s="456"/>
      <c r="FF46" s="456"/>
      <c r="FG46" s="456"/>
      <c r="FH46" s="456"/>
      <c r="FI46" s="456"/>
      <c r="FJ46" s="456"/>
      <c r="FK46" s="456"/>
      <c r="FL46" s="456"/>
      <c r="FM46" s="456"/>
      <c r="FN46" s="456"/>
      <c r="FO46" s="456"/>
      <c r="FP46" s="456"/>
      <c r="FQ46" s="456"/>
      <c r="FR46" s="456"/>
      <c r="FS46" s="456"/>
      <c r="FT46" s="456"/>
      <c r="FU46" s="456"/>
      <c r="FV46" s="456"/>
      <c r="FW46" s="456"/>
      <c r="FX46" s="456"/>
      <c r="FY46" s="456"/>
      <c r="FZ46" s="456"/>
      <c r="GA46" s="456"/>
      <c r="GB46" s="456"/>
      <c r="GC46" s="456"/>
      <c r="GD46" s="456"/>
      <c r="GE46" s="456"/>
      <c r="GF46" s="456"/>
      <c r="GG46" s="456"/>
      <c r="GH46" s="456"/>
      <c r="GI46" s="456"/>
      <c r="GJ46" s="456"/>
      <c r="GK46" s="456"/>
      <c r="GL46" s="456"/>
      <c r="GM46" s="456"/>
      <c r="GN46" s="456"/>
      <c r="GO46" s="456"/>
      <c r="GP46" s="456"/>
      <c r="GQ46" s="456"/>
      <c r="GR46" s="456"/>
      <c r="GS46" s="456"/>
      <c r="GT46" s="456"/>
      <c r="GU46" s="456"/>
      <c r="GV46" s="456"/>
      <c r="GW46" s="456"/>
      <c r="GX46" s="456"/>
      <c r="GY46" s="456"/>
      <c r="GZ46" s="456"/>
      <c r="HA46" s="456"/>
      <c r="HB46" s="456"/>
      <c r="HC46" s="456"/>
      <c r="HD46" s="456"/>
      <c r="HE46" s="456"/>
      <c r="HF46" s="456"/>
      <c r="HG46" s="456"/>
      <c r="HH46" s="456"/>
      <c r="HI46" s="456"/>
      <c r="HJ46" s="456"/>
      <c r="HK46" s="456"/>
      <c r="HL46" s="456"/>
      <c r="HM46" s="456"/>
      <c r="HN46" s="456"/>
      <c r="HO46" s="456"/>
      <c r="HP46" s="456"/>
      <c r="HQ46" s="456"/>
      <c r="HR46" s="456"/>
      <c r="HS46" s="456"/>
      <c r="HT46" s="456"/>
      <c r="HU46" s="456"/>
      <c r="HV46" s="456"/>
      <c r="HW46" s="456"/>
      <c r="HX46" s="456"/>
      <c r="HY46" s="456"/>
      <c r="HZ46" s="456"/>
      <c r="IA46" s="456"/>
      <c r="IB46" s="456"/>
      <c r="IC46" s="456"/>
      <c r="ID46" s="456"/>
      <c r="IE46" s="456"/>
      <c r="IF46" s="456"/>
      <c r="IG46" s="456"/>
      <c r="IH46" s="456"/>
      <c r="II46" s="456"/>
      <c r="IJ46" s="456"/>
      <c r="IK46" s="456"/>
      <c r="IL46" s="456"/>
      <c r="IM46" s="456"/>
      <c r="IN46" s="456"/>
      <c r="IO46" s="456"/>
      <c r="IP46" s="456"/>
      <c r="IQ46" s="456"/>
      <c r="IR46" s="456"/>
      <c r="IS46" s="456"/>
      <c r="IT46" s="456"/>
      <c r="IU46" s="456"/>
      <c r="IV46" s="456"/>
      <c r="IW46" s="456"/>
      <c r="IX46" s="456"/>
      <c r="IY46" s="456"/>
      <c r="IZ46" s="456"/>
      <c r="JA46" s="456"/>
      <c r="JB46" s="456"/>
      <c r="JC46" s="456"/>
      <c r="JD46" s="456"/>
      <c r="JE46" s="456"/>
      <c r="JF46" s="456"/>
      <c r="JG46" s="456"/>
      <c r="JH46" s="456"/>
      <c r="JI46" s="456"/>
      <c r="JJ46" s="456"/>
      <c r="JK46" s="456"/>
      <c r="JL46" s="456"/>
      <c r="JM46" s="456"/>
      <c r="JN46" s="456"/>
      <c r="JO46" s="456"/>
      <c r="JP46" s="456"/>
      <c r="JQ46" s="456"/>
      <c r="JR46" s="456"/>
      <c r="JS46" s="456"/>
      <c r="JT46" s="456"/>
      <c r="JU46" s="456"/>
      <c r="JV46" s="456"/>
      <c r="JW46" s="456"/>
      <c r="JX46" s="456"/>
      <c r="JY46" s="456"/>
      <c r="JZ46" s="456"/>
      <c r="KA46" s="456"/>
      <c r="KB46" s="456"/>
      <c r="KC46" s="456"/>
      <c r="KD46" s="456"/>
      <c r="KE46" s="456"/>
      <c r="KF46" s="456"/>
      <c r="KG46" s="456"/>
      <c r="KH46" s="456"/>
      <c r="KI46" s="456"/>
      <c r="KJ46" s="456"/>
      <c r="KK46" s="456"/>
      <c r="KL46" s="456"/>
      <c r="KM46" s="456"/>
      <c r="KN46" s="456"/>
      <c r="KO46" s="456"/>
      <c r="KP46" s="456"/>
      <c r="KQ46" s="456"/>
      <c r="KR46" s="456"/>
      <c r="KS46" s="456"/>
      <c r="KT46" s="456"/>
      <c r="KU46" s="456"/>
      <c r="KV46" s="456"/>
      <c r="KW46" s="456"/>
      <c r="KX46" s="456"/>
      <c r="KY46" s="456"/>
      <c r="KZ46" s="456"/>
      <c r="LA46" s="456"/>
      <c r="LB46" s="456"/>
      <c r="LC46" s="456"/>
      <c r="LD46" s="456"/>
      <c r="LE46" s="456"/>
      <c r="LF46" s="456"/>
      <c r="LG46" s="456"/>
      <c r="LH46" s="456"/>
      <c r="LI46" s="456"/>
      <c r="LJ46" s="456"/>
      <c r="LK46" s="456"/>
      <c r="LL46" s="456"/>
      <c r="LM46" s="456"/>
      <c r="LN46" s="456"/>
      <c r="LO46" s="456"/>
      <c r="LP46" s="456"/>
      <c r="LQ46" s="456"/>
      <c r="LR46" s="456"/>
      <c r="LS46" s="456"/>
      <c r="LT46" s="456"/>
      <c r="LU46" s="456"/>
      <c r="LV46" s="456"/>
      <c r="LW46" s="456"/>
      <c r="LX46" s="456"/>
      <c r="LY46" s="456"/>
      <c r="LZ46" s="456"/>
      <c r="MA46" s="456"/>
      <c r="MB46" s="456"/>
      <c r="MC46" s="456"/>
      <c r="MD46" s="456"/>
      <c r="ME46" s="456"/>
      <c r="MF46" s="456"/>
      <c r="MG46" s="456"/>
      <c r="MH46" s="456"/>
      <c r="MI46" s="456"/>
      <c r="MJ46" s="456"/>
      <c r="MK46" s="456"/>
      <c r="ML46" s="456"/>
      <c r="MM46" s="456"/>
      <c r="MN46" s="456"/>
      <c r="MO46" s="456"/>
      <c r="MP46" s="456"/>
      <c r="MQ46" s="456"/>
      <c r="MR46" s="456"/>
      <c r="MS46" s="456"/>
      <c r="MT46" s="456"/>
      <c r="MU46" s="456"/>
      <c r="MV46" s="456"/>
      <c r="MW46" s="456"/>
      <c r="MX46" s="456"/>
      <c r="MY46" s="456"/>
      <c r="MZ46" s="456"/>
      <c r="NA46" s="456"/>
      <c r="NB46" s="456"/>
      <c r="NC46" s="456"/>
      <c r="ND46" s="456"/>
      <c r="NE46" s="456"/>
      <c r="NF46" s="456"/>
      <c r="NG46" s="456"/>
      <c r="NH46" s="456"/>
      <c r="NI46" s="456"/>
      <c r="NJ46" s="456"/>
      <c r="NK46" s="456"/>
      <c r="NL46" s="456"/>
      <c r="NM46" s="456"/>
      <c r="NN46" s="456"/>
      <c r="NO46" s="456"/>
      <c r="NP46" s="456"/>
      <c r="NQ46" s="456"/>
      <c r="NR46" s="456"/>
      <c r="NS46" s="456"/>
      <c r="NT46" s="456"/>
      <c r="NU46" s="456"/>
      <c r="NV46" s="456"/>
      <c r="NW46" s="456"/>
      <c r="NX46" s="456"/>
      <c r="NY46" s="456"/>
      <c r="NZ46" s="456"/>
      <c r="OA46" s="456"/>
      <c r="OB46" s="456"/>
      <c r="OC46" s="456"/>
      <c r="OD46" s="456"/>
      <c r="OE46" s="456"/>
      <c r="OF46" s="456"/>
      <c r="OG46" s="456"/>
      <c r="OH46" s="456"/>
      <c r="OI46" s="456"/>
      <c r="OJ46" s="456"/>
      <c r="OK46" s="456"/>
      <c r="OL46" s="456"/>
      <c r="OM46" s="456"/>
      <c r="ON46" s="456"/>
      <c r="OO46" s="456"/>
      <c r="OP46" s="456"/>
      <c r="OQ46" s="456"/>
      <c r="OR46" s="456"/>
      <c r="OS46" s="456"/>
      <c r="OT46" s="456"/>
      <c r="OU46" s="456"/>
      <c r="OV46" s="456"/>
      <c r="OW46" s="456"/>
      <c r="OX46" s="456"/>
      <c r="OY46" s="456"/>
      <c r="OZ46" s="456"/>
      <c r="PA46" s="456"/>
      <c r="PB46" s="456"/>
      <c r="PC46" s="456"/>
      <c r="PD46" s="456"/>
      <c r="PE46" s="456"/>
      <c r="PF46" s="456"/>
      <c r="PG46" s="456"/>
      <c r="PH46" s="456"/>
      <c r="PI46" s="456"/>
      <c r="PJ46" s="456"/>
      <c r="PK46" s="456"/>
      <c r="PL46" s="456"/>
      <c r="PM46" s="456"/>
      <c r="PN46" s="456"/>
      <c r="PO46" s="456"/>
      <c r="PP46" s="456"/>
      <c r="PQ46" s="456"/>
      <c r="PR46" s="456"/>
      <c r="PS46" s="456"/>
      <c r="PT46" s="456"/>
      <c r="PU46" s="456"/>
      <c r="PV46" s="456"/>
      <c r="PW46" s="456"/>
      <c r="PX46" s="456"/>
      <c r="PY46" s="456"/>
      <c r="PZ46" s="456"/>
      <c r="QA46" s="456"/>
      <c r="QB46" s="456"/>
      <c r="QC46" s="456"/>
      <c r="QD46" s="456"/>
      <c r="QE46" s="456"/>
      <c r="QF46" s="456"/>
      <c r="QG46" s="456"/>
      <c r="QH46" s="456"/>
      <c r="QI46" s="456"/>
      <c r="QJ46" s="456"/>
      <c r="QK46" s="456"/>
      <c r="QL46" s="456"/>
      <c r="QM46" s="456"/>
      <c r="QN46" s="456"/>
      <c r="QO46" s="456"/>
      <c r="QP46" s="456"/>
      <c r="QQ46" s="456"/>
      <c r="QR46" s="456"/>
      <c r="QS46" s="456"/>
      <c r="QT46" s="456"/>
      <c r="QU46" s="456"/>
      <c r="QV46" s="456"/>
      <c r="QW46" s="456"/>
      <c r="QX46" s="456"/>
      <c r="QY46" s="456"/>
      <c r="QZ46" s="456"/>
      <c r="RA46" s="456"/>
      <c r="RB46" s="456"/>
      <c r="RC46" s="456"/>
      <c r="RD46" s="456"/>
      <c r="RE46" s="456"/>
      <c r="RF46" s="456"/>
      <c r="RG46" s="456"/>
      <c r="RH46" s="456"/>
      <c r="RI46" s="456"/>
      <c r="RJ46" s="456"/>
      <c r="RK46" s="456"/>
      <c r="RL46" s="456"/>
      <c r="RM46" s="456"/>
      <c r="RN46" s="456"/>
      <c r="RO46" s="456"/>
      <c r="RP46" s="456"/>
      <c r="RQ46" s="456"/>
      <c r="RR46" s="456"/>
      <c r="RS46" s="456"/>
      <c r="RT46" s="456"/>
      <c r="RU46" s="456"/>
      <c r="RV46" s="456"/>
      <c r="RW46" s="456"/>
      <c r="RX46" s="456"/>
      <c r="RY46" s="456"/>
      <c r="RZ46" s="456"/>
      <c r="SA46" s="456"/>
      <c r="SB46" s="456"/>
      <c r="SC46" s="456"/>
      <c r="SD46" s="456"/>
      <c r="SE46" s="456"/>
      <c r="SF46" s="456"/>
      <c r="SG46" s="456"/>
      <c r="SH46" s="456"/>
      <c r="SI46" s="456"/>
      <c r="SJ46" s="456"/>
      <c r="SK46" s="456"/>
      <c r="SL46" s="456"/>
      <c r="SM46" s="456"/>
      <c r="SN46" s="456"/>
      <c r="SO46" s="456"/>
      <c r="SP46" s="456"/>
      <c r="SQ46" s="456"/>
      <c r="SR46" s="456"/>
      <c r="SS46" s="456"/>
      <c r="ST46" s="456"/>
      <c r="SU46" s="456"/>
      <c r="SV46" s="456"/>
      <c r="SW46" s="456"/>
      <c r="SX46" s="456"/>
      <c r="SY46" s="456"/>
      <c r="SZ46" s="456"/>
      <c r="TA46" s="456"/>
      <c r="TB46" s="456"/>
      <c r="TC46" s="456"/>
      <c r="TD46" s="456"/>
      <c r="TE46" s="456"/>
      <c r="TF46" s="456"/>
      <c r="TG46" s="456"/>
      <c r="TH46" s="456"/>
      <c r="TI46" s="456"/>
      <c r="TJ46" s="456"/>
      <c r="TK46" s="456"/>
      <c r="TL46" s="456"/>
      <c r="TM46" s="456"/>
      <c r="TN46" s="456"/>
      <c r="TO46" s="456"/>
      <c r="TP46" s="456"/>
      <c r="TQ46" s="456"/>
      <c r="TR46" s="456"/>
      <c r="TS46" s="456"/>
      <c r="TT46" s="456"/>
      <c r="TU46" s="456"/>
      <c r="TV46" s="456"/>
      <c r="TW46" s="456"/>
      <c r="TX46" s="456"/>
      <c r="TY46" s="456"/>
      <c r="TZ46" s="456"/>
      <c r="UA46" s="456"/>
      <c r="UB46" s="456"/>
      <c r="UC46" s="456"/>
      <c r="UD46" s="456"/>
      <c r="UE46" s="456"/>
      <c r="UF46" s="456"/>
      <c r="UG46" s="456"/>
      <c r="UH46" s="456"/>
      <c r="UI46" s="456"/>
      <c r="UJ46" s="456"/>
      <c r="UK46" s="456"/>
      <c r="UL46" s="456"/>
      <c r="UM46" s="456"/>
      <c r="UN46" s="456"/>
      <c r="UO46" s="456"/>
      <c r="UP46" s="456"/>
      <c r="UQ46" s="456"/>
      <c r="UR46" s="456"/>
      <c r="US46" s="456"/>
      <c r="UT46" s="456"/>
      <c r="UU46" s="456"/>
      <c r="UV46" s="456"/>
      <c r="UW46" s="456"/>
      <c r="UX46" s="456"/>
      <c r="UY46" s="456"/>
      <c r="UZ46" s="456"/>
      <c r="VA46" s="456"/>
      <c r="VB46" s="456"/>
      <c r="VC46" s="456"/>
      <c r="VD46" s="456"/>
      <c r="VE46" s="456"/>
      <c r="VF46" s="456"/>
      <c r="VG46" s="456"/>
      <c r="VH46" s="456"/>
      <c r="VI46" s="456"/>
      <c r="VJ46" s="456"/>
      <c r="VK46" s="456"/>
      <c r="VL46" s="456"/>
      <c r="VM46" s="456"/>
      <c r="VN46" s="456"/>
      <c r="VO46" s="456"/>
      <c r="VP46" s="456"/>
      <c r="VQ46" s="456"/>
      <c r="VR46" s="456"/>
      <c r="VS46" s="456"/>
      <c r="VT46" s="456"/>
      <c r="VU46" s="456"/>
      <c r="VV46" s="456"/>
      <c r="VW46" s="456"/>
      <c r="VX46" s="456"/>
      <c r="VY46" s="456"/>
      <c r="VZ46" s="456"/>
      <c r="WA46" s="456"/>
      <c r="WB46" s="456"/>
      <c r="WC46" s="456"/>
      <c r="WD46" s="456"/>
      <c r="WE46" s="456"/>
      <c r="WF46" s="456"/>
      <c r="WG46" s="456"/>
      <c r="WH46" s="456"/>
      <c r="WI46" s="456"/>
      <c r="WJ46" s="456"/>
      <c r="WK46" s="456"/>
      <c r="WL46" s="456"/>
      <c r="WM46" s="456"/>
      <c r="WN46" s="456"/>
      <c r="WO46" s="456"/>
      <c r="WP46" s="456"/>
      <c r="WQ46" s="456"/>
      <c r="WR46" s="456"/>
      <c r="WS46" s="456"/>
      <c r="WT46" s="456"/>
      <c r="WU46" s="456"/>
      <c r="WV46" s="456"/>
      <c r="WW46" s="456"/>
      <c r="WX46" s="456"/>
      <c r="WY46" s="456"/>
      <c r="WZ46" s="456"/>
      <c r="XA46" s="456"/>
      <c r="XB46" s="456"/>
      <c r="XC46" s="456"/>
      <c r="XD46" s="456"/>
      <c r="XE46" s="456"/>
      <c r="XF46" s="456"/>
      <c r="XG46" s="456"/>
      <c r="XH46" s="456"/>
      <c r="XI46" s="456"/>
      <c r="XJ46" s="456"/>
      <c r="XK46" s="456"/>
      <c r="XL46" s="456"/>
      <c r="XM46" s="456"/>
      <c r="XN46" s="456"/>
      <c r="XO46" s="456"/>
      <c r="XP46" s="456"/>
      <c r="XQ46" s="456"/>
      <c r="XR46" s="456"/>
      <c r="XS46" s="456"/>
      <c r="XT46" s="456"/>
      <c r="XU46" s="456"/>
      <c r="XV46" s="456"/>
      <c r="XW46" s="456"/>
      <c r="XX46" s="456"/>
      <c r="XY46" s="456"/>
      <c r="XZ46" s="456"/>
      <c r="YA46" s="456"/>
      <c r="YB46" s="456"/>
      <c r="YC46" s="456"/>
      <c r="YD46" s="456"/>
      <c r="YE46" s="456"/>
      <c r="YF46" s="456"/>
      <c r="YG46" s="456"/>
      <c r="YH46" s="456"/>
      <c r="YI46" s="456"/>
      <c r="YJ46" s="456"/>
      <c r="YK46" s="456"/>
      <c r="YL46" s="456"/>
      <c r="YM46" s="456"/>
      <c r="YN46" s="456"/>
      <c r="YO46" s="456"/>
      <c r="YP46" s="456"/>
      <c r="YQ46" s="456"/>
      <c r="YR46" s="456"/>
      <c r="YS46" s="456"/>
      <c r="YT46" s="456"/>
      <c r="YU46" s="456"/>
      <c r="YV46" s="456"/>
      <c r="YW46" s="456"/>
      <c r="YX46" s="456"/>
      <c r="YY46" s="456"/>
      <c r="YZ46" s="456"/>
      <c r="ZA46" s="456"/>
      <c r="ZB46" s="456"/>
      <c r="ZC46" s="456"/>
      <c r="ZD46" s="456"/>
      <c r="ZE46" s="456"/>
      <c r="ZF46" s="456"/>
      <c r="ZG46" s="456"/>
      <c r="ZH46" s="456"/>
      <c r="ZI46" s="456"/>
      <c r="ZJ46" s="456"/>
      <c r="ZK46" s="456"/>
      <c r="ZL46" s="456"/>
      <c r="ZM46" s="456"/>
      <c r="ZN46" s="456"/>
      <c r="ZO46" s="456"/>
      <c r="ZP46" s="456"/>
      <c r="ZQ46" s="456"/>
      <c r="ZR46" s="456"/>
      <c r="ZS46" s="456"/>
      <c r="ZT46" s="456"/>
      <c r="ZU46" s="456"/>
      <c r="ZV46" s="456"/>
      <c r="ZW46" s="456"/>
      <c r="ZX46" s="456"/>
      <c r="ZY46" s="456"/>
      <c r="ZZ46" s="456"/>
      <c r="AAA46" s="456"/>
      <c r="AAB46" s="456"/>
      <c r="AAC46" s="456"/>
      <c r="AAD46" s="456"/>
      <c r="AAE46" s="456"/>
      <c r="AAF46" s="456"/>
      <c r="AAG46" s="456"/>
      <c r="AAH46" s="456"/>
      <c r="AAI46" s="456"/>
      <c r="AAJ46" s="456"/>
      <c r="AAK46" s="456"/>
      <c r="AAL46" s="456"/>
      <c r="AAM46" s="456"/>
      <c r="AAN46" s="456"/>
      <c r="AAO46" s="456"/>
      <c r="AAP46" s="456"/>
      <c r="AAQ46" s="456"/>
      <c r="AAR46" s="456"/>
      <c r="AAS46" s="456"/>
      <c r="AAT46" s="456"/>
      <c r="AAU46" s="456"/>
      <c r="AAV46" s="456"/>
      <c r="AAW46" s="456"/>
      <c r="AAX46" s="456"/>
      <c r="AAY46" s="456"/>
      <c r="AAZ46" s="456"/>
      <c r="ABA46" s="456"/>
      <c r="ABB46" s="456"/>
      <c r="ABC46" s="456"/>
      <c r="ABD46" s="456"/>
      <c r="ABE46" s="456"/>
      <c r="ABF46" s="456"/>
      <c r="ABG46" s="456"/>
      <c r="ABH46" s="456"/>
      <c r="ABI46" s="456"/>
      <c r="ABJ46" s="456"/>
      <c r="ABK46" s="456"/>
      <c r="ABL46" s="456"/>
      <c r="ABM46" s="456"/>
      <c r="ABN46" s="456"/>
      <c r="ABO46" s="456"/>
      <c r="ABP46" s="456"/>
      <c r="ABQ46" s="456"/>
      <c r="ABR46" s="456"/>
      <c r="ABS46" s="456"/>
      <c r="ABT46" s="456"/>
      <c r="ABU46" s="456"/>
      <c r="ABV46" s="456"/>
      <c r="ABW46" s="456"/>
      <c r="ABX46" s="456"/>
      <c r="ABY46" s="456"/>
      <c r="ABZ46" s="456"/>
      <c r="ACA46" s="456"/>
      <c r="ACB46" s="456"/>
      <c r="ACC46" s="456"/>
      <c r="ACD46" s="456"/>
      <c r="ACE46" s="456"/>
      <c r="ACF46" s="456"/>
      <c r="ACG46" s="456"/>
      <c r="ACH46" s="456"/>
      <c r="ACI46" s="456"/>
      <c r="ACJ46" s="456"/>
      <c r="ACK46" s="456"/>
      <c r="ACL46" s="456"/>
      <c r="ACM46" s="456"/>
      <c r="ACN46" s="456"/>
      <c r="ACO46" s="456"/>
      <c r="ACP46" s="456"/>
      <c r="ACQ46" s="456"/>
      <c r="ACR46" s="456"/>
      <c r="ACS46" s="456"/>
      <c r="ACT46" s="456"/>
      <c r="ACU46" s="456"/>
      <c r="ACV46" s="456"/>
      <c r="ACW46" s="456"/>
      <c r="ACX46" s="456"/>
      <c r="ACY46" s="456"/>
      <c r="ACZ46" s="456"/>
      <c r="ADA46" s="456"/>
      <c r="ADB46" s="456"/>
      <c r="ADC46" s="456"/>
      <c r="ADD46" s="456"/>
      <c r="ADE46" s="456"/>
      <c r="ADF46" s="456"/>
      <c r="ADG46" s="456"/>
      <c r="ADH46" s="456"/>
      <c r="ADI46" s="456"/>
      <c r="ADJ46" s="456"/>
      <c r="ADK46" s="456"/>
      <c r="ADL46" s="456"/>
      <c r="ADM46" s="456"/>
      <c r="ADN46" s="456"/>
      <c r="ADO46" s="456"/>
      <c r="ADP46" s="456"/>
      <c r="ADQ46" s="456"/>
      <c r="ADR46" s="456"/>
      <c r="ADS46" s="456"/>
      <c r="ADT46" s="456"/>
      <c r="ADU46" s="456"/>
      <c r="ADV46" s="456"/>
      <c r="ADW46" s="456"/>
      <c r="ADX46" s="456"/>
      <c r="ADY46" s="456"/>
      <c r="ADZ46" s="456"/>
      <c r="AEA46" s="456"/>
      <c r="AEB46" s="456"/>
      <c r="AEC46" s="456"/>
      <c r="AED46" s="456"/>
      <c r="AEE46" s="456"/>
      <c r="AEF46" s="456"/>
      <c r="AEG46" s="456"/>
      <c r="AEH46" s="456"/>
      <c r="AEI46" s="456"/>
      <c r="AEJ46" s="456"/>
      <c r="AEK46" s="456"/>
      <c r="AEL46" s="456"/>
      <c r="AEM46" s="456"/>
      <c r="AEN46" s="456"/>
      <c r="AEO46" s="456"/>
      <c r="AEP46" s="456"/>
      <c r="AEQ46" s="456"/>
      <c r="AER46" s="456"/>
      <c r="AES46" s="456"/>
      <c r="AET46" s="456"/>
      <c r="AEU46" s="456"/>
      <c r="AEV46" s="456"/>
      <c r="AEW46" s="456"/>
      <c r="AEX46" s="456"/>
      <c r="AEY46" s="456"/>
      <c r="AEZ46" s="456"/>
      <c r="AFA46" s="456"/>
      <c r="AFB46" s="456"/>
      <c r="AFC46" s="456"/>
      <c r="AFD46" s="456"/>
      <c r="AFE46" s="456"/>
      <c r="AFF46" s="456"/>
      <c r="AFG46" s="456"/>
      <c r="AFH46" s="456"/>
      <c r="AFI46" s="456"/>
      <c r="AFJ46" s="456"/>
      <c r="AFK46" s="456"/>
      <c r="AFL46" s="456"/>
      <c r="AFM46" s="456"/>
      <c r="AFN46" s="456"/>
      <c r="AFO46" s="456"/>
      <c r="AFP46" s="456"/>
      <c r="AFQ46" s="456"/>
      <c r="AFR46" s="456"/>
      <c r="AFS46" s="456"/>
      <c r="AFT46" s="456"/>
      <c r="AFU46" s="456"/>
      <c r="AFV46" s="456"/>
      <c r="AFW46" s="456"/>
      <c r="AFX46" s="456"/>
      <c r="AFY46" s="456"/>
      <c r="AFZ46" s="456"/>
      <c r="AGA46" s="456"/>
      <c r="AGB46" s="456"/>
      <c r="AGC46" s="456"/>
      <c r="AGD46" s="456"/>
      <c r="AGE46" s="456"/>
      <c r="AGF46" s="456"/>
      <c r="AGG46" s="456"/>
      <c r="AGH46" s="456"/>
      <c r="AGI46" s="456"/>
      <c r="AGJ46" s="456"/>
      <c r="AGK46" s="456"/>
      <c r="AGL46" s="456"/>
      <c r="AGM46" s="456"/>
      <c r="AGN46" s="456"/>
      <c r="AGO46" s="456"/>
      <c r="AGP46" s="456"/>
      <c r="AGQ46" s="456"/>
      <c r="AGR46" s="456"/>
      <c r="AGS46" s="456"/>
      <c r="AGT46" s="456"/>
      <c r="AGU46" s="456"/>
      <c r="AGV46" s="456"/>
      <c r="AGW46" s="456"/>
      <c r="AGX46" s="456"/>
      <c r="AGY46" s="456"/>
      <c r="AGZ46" s="456"/>
      <c r="AHA46" s="456"/>
      <c r="AHB46" s="456"/>
      <c r="AHC46" s="456"/>
      <c r="AHD46" s="456"/>
      <c r="AHE46" s="456"/>
      <c r="AHF46" s="456"/>
      <c r="AHG46" s="456"/>
      <c r="AHH46" s="456"/>
      <c r="AHI46" s="456"/>
      <c r="AHJ46" s="456"/>
      <c r="AHK46" s="456"/>
      <c r="AHL46" s="456"/>
      <c r="AHM46" s="456"/>
      <c r="AHN46" s="456"/>
      <c r="AHO46" s="456"/>
      <c r="AHP46" s="456"/>
      <c r="AHQ46" s="456"/>
      <c r="AHR46" s="456"/>
      <c r="AHS46" s="456"/>
      <c r="AHT46" s="456"/>
      <c r="AHU46" s="456"/>
      <c r="AHV46" s="456"/>
      <c r="AHW46" s="456"/>
      <c r="AHX46" s="456"/>
      <c r="AHY46" s="456"/>
      <c r="AHZ46" s="456"/>
      <c r="AIA46" s="456"/>
      <c r="AIB46" s="456"/>
      <c r="AIC46" s="456"/>
      <c r="AID46" s="456"/>
      <c r="AIE46" s="456"/>
      <c r="AIF46" s="456"/>
      <c r="AIG46" s="456"/>
      <c r="AIH46" s="456"/>
      <c r="AII46" s="456"/>
      <c r="AIJ46" s="456"/>
      <c r="AIK46" s="456"/>
      <c r="AIL46" s="456"/>
      <c r="AIM46" s="456"/>
      <c r="AIN46" s="456"/>
      <c r="AIO46" s="456"/>
      <c r="AIP46" s="456"/>
      <c r="AIQ46" s="456"/>
      <c r="AIR46" s="456"/>
      <c r="AIS46" s="456"/>
      <c r="AIT46" s="456"/>
      <c r="AIU46" s="456"/>
      <c r="AIV46" s="456"/>
      <c r="AIW46" s="456"/>
      <c r="AIX46" s="456"/>
      <c r="AIY46" s="456"/>
      <c r="AIZ46" s="456"/>
      <c r="AJA46" s="456"/>
      <c r="AJB46" s="456"/>
      <c r="AJC46" s="456"/>
      <c r="AJD46" s="456"/>
      <c r="AJE46" s="456"/>
      <c r="AJF46" s="456"/>
      <c r="AJG46" s="456"/>
      <c r="AJH46" s="456"/>
      <c r="AJI46" s="456"/>
      <c r="AJJ46" s="456"/>
      <c r="AJK46" s="456"/>
      <c r="AJL46" s="456"/>
      <c r="AJM46" s="456"/>
      <c r="AJN46" s="456"/>
      <c r="AJO46" s="456"/>
      <c r="AJP46" s="456"/>
      <c r="AJQ46" s="456"/>
      <c r="AJR46" s="456"/>
      <c r="AJS46" s="456"/>
      <c r="AJT46" s="456"/>
      <c r="AJU46" s="456"/>
      <c r="AJV46" s="456"/>
      <c r="AJW46" s="456"/>
      <c r="AJX46" s="456"/>
      <c r="AJY46" s="456"/>
      <c r="AJZ46" s="456"/>
      <c r="AKA46" s="456"/>
      <c r="AKB46" s="456"/>
      <c r="AKC46" s="456"/>
      <c r="AKD46" s="456"/>
      <c r="AKE46" s="456"/>
      <c r="AKF46" s="456"/>
      <c r="AKG46" s="456"/>
      <c r="AKH46" s="456"/>
      <c r="AKI46" s="456"/>
      <c r="AKJ46" s="456"/>
      <c r="AKK46" s="456"/>
      <c r="AKL46" s="456"/>
      <c r="AKM46" s="456"/>
      <c r="AKN46" s="456"/>
      <c r="AKO46" s="456"/>
      <c r="AKP46" s="456"/>
      <c r="AKQ46" s="456"/>
      <c r="AKR46" s="456"/>
      <c r="AKS46" s="456"/>
      <c r="AKT46" s="456"/>
      <c r="AKU46" s="456"/>
      <c r="AKV46" s="456"/>
      <c r="AKW46" s="456"/>
      <c r="AKX46" s="456"/>
      <c r="AKY46" s="456"/>
      <c r="AKZ46" s="456"/>
      <c r="ALA46" s="456"/>
      <c r="ALB46" s="456"/>
      <c r="ALC46" s="456"/>
      <c r="ALD46" s="456"/>
      <c r="ALE46" s="456"/>
      <c r="ALF46" s="456"/>
      <c r="ALG46" s="456"/>
      <c r="ALH46" s="456"/>
      <c r="ALI46" s="456"/>
      <c r="ALJ46" s="456"/>
      <c r="ALK46" s="456"/>
      <c r="ALL46" s="456"/>
      <c r="ALM46" s="456"/>
      <c r="ALN46" s="456"/>
      <c r="ALO46" s="456"/>
      <c r="ALP46" s="456"/>
      <c r="ALQ46" s="456"/>
      <c r="ALR46" s="456"/>
      <c r="ALS46" s="456"/>
      <c r="ALT46" s="456"/>
      <c r="ALU46" s="456"/>
      <c r="ALV46" s="456"/>
      <c r="ALW46" s="456"/>
      <c r="ALX46" s="456"/>
      <c r="ALY46" s="456"/>
      <c r="ALZ46" s="456"/>
      <c r="AMA46" s="456"/>
      <c r="AMB46" s="456"/>
      <c r="AMC46" s="456"/>
      <c r="AMD46" s="456"/>
      <c r="AME46" s="456"/>
      <c r="AMF46" s="456"/>
      <c r="AMG46" s="456"/>
      <c r="AMH46" s="456"/>
      <c r="AMI46" s="456"/>
      <c r="AMJ46" s="456"/>
      <c r="AMK46" s="456"/>
      <c r="AML46" s="456"/>
      <c r="AMM46" s="456"/>
      <c r="AMN46" s="456"/>
      <c r="AMO46" s="456"/>
      <c r="AMP46" s="456"/>
      <c r="AMQ46" s="456"/>
      <c r="AMR46" s="456"/>
      <c r="AMS46" s="456"/>
      <c r="AMT46" s="456"/>
      <c r="AMU46" s="456"/>
      <c r="AMV46" s="456"/>
      <c r="AMW46" s="456"/>
      <c r="AMX46" s="456"/>
      <c r="AMY46" s="456"/>
      <c r="AMZ46" s="456"/>
      <c r="ANA46" s="456"/>
      <c r="ANB46" s="456"/>
      <c r="ANC46" s="456"/>
      <c r="AND46" s="456"/>
      <c r="ANE46" s="456"/>
      <c r="ANF46" s="456"/>
      <c r="ANG46" s="456"/>
      <c r="ANH46" s="456"/>
      <c r="ANI46" s="456"/>
      <c r="ANJ46" s="456"/>
      <c r="ANK46" s="456"/>
      <c r="ANL46" s="456"/>
      <c r="ANM46" s="456"/>
      <c r="ANN46" s="456"/>
      <c r="ANO46" s="456"/>
      <c r="ANP46" s="456"/>
      <c r="ANQ46" s="456"/>
      <c r="ANR46" s="456"/>
      <c r="ANS46" s="456"/>
      <c r="ANT46" s="456"/>
      <c r="ANU46" s="456"/>
      <c r="ANV46" s="456"/>
      <c r="ANW46" s="456"/>
      <c r="ANX46" s="456"/>
      <c r="ANY46" s="456"/>
      <c r="ANZ46" s="456"/>
      <c r="AOA46" s="456"/>
      <c r="AOB46" s="456"/>
      <c r="AOC46" s="456"/>
      <c r="AOD46" s="456"/>
      <c r="AOE46" s="456"/>
      <c r="AOF46" s="456"/>
      <c r="AOG46" s="456"/>
      <c r="AOH46" s="456"/>
      <c r="AOI46" s="456"/>
      <c r="AOJ46" s="456"/>
      <c r="AOK46" s="456"/>
      <c r="AOL46" s="456"/>
      <c r="AOM46" s="456"/>
      <c r="AON46" s="456"/>
      <c r="AOO46" s="456"/>
      <c r="AOP46" s="456"/>
      <c r="AOQ46" s="456"/>
      <c r="AOR46" s="456"/>
      <c r="AOS46" s="456"/>
      <c r="AOT46" s="456"/>
      <c r="AOU46" s="456"/>
      <c r="AOV46" s="456"/>
      <c r="AOW46" s="456"/>
      <c r="AOX46" s="456"/>
      <c r="AOY46" s="456"/>
      <c r="AOZ46" s="456"/>
      <c r="APA46" s="456"/>
      <c r="APB46" s="456"/>
      <c r="APC46" s="456"/>
      <c r="APD46" s="456"/>
      <c r="APE46" s="456"/>
      <c r="APF46" s="456"/>
      <c r="APG46" s="456"/>
      <c r="APH46" s="456"/>
      <c r="API46" s="456"/>
      <c r="APJ46" s="456"/>
      <c r="APK46" s="456"/>
      <c r="APL46" s="456"/>
      <c r="APM46" s="456"/>
      <c r="APN46" s="456"/>
      <c r="APO46" s="456"/>
      <c r="APP46" s="456"/>
      <c r="APQ46" s="456"/>
      <c r="APR46" s="456"/>
      <c r="APS46" s="456"/>
      <c r="APT46" s="456"/>
      <c r="APU46" s="456"/>
      <c r="APV46" s="456"/>
      <c r="APW46" s="456"/>
      <c r="APX46" s="456"/>
      <c r="APY46" s="456"/>
      <c r="APZ46" s="456"/>
      <c r="AQA46" s="456"/>
      <c r="AQB46" s="456"/>
      <c r="AQC46" s="456"/>
      <c r="AQD46" s="456"/>
      <c r="AQE46" s="456"/>
      <c r="AQF46" s="456"/>
      <c r="AQG46" s="456"/>
      <c r="AQH46" s="456"/>
      <c r="AQI46" s="456"/>
      <c r="AQJ46" s="456"/>
      <c r="AQK46" s="456"/>
      <c r="AQL46" s="456"/>
      <c r="AQM46" s="456"/>
      <c r="AQN46" s="456"/>
      <c r="AQO46" s="456"/>
      <c r="AQP46" s="456"/>
      <c r="AQQ46" s="456"/>
      <c r="AQR46" s="456"/>
      <c r="AQS46" s="456"/>
      <c r="AQT46" s="456"/>
      <c r="AQU46" s="456"/>
      <c r="AQV46" s="456"/>
      <c r="AQW46" s="456"/>
      <c r="AQX46" s="456"/>
      <c r="AQY46" s="456"/>
      <c r="AQZ46" s="456"/>
      <c r="ARA46" s="456"/>
      <c r="ARB46" s="456"/>
      <c r="ARC46" s="456"/>
      <c r="ARD46" s="456"/>
      <c r="ARE46" s="456"/>
      <c r="ARF46" s="456"/>
      <c r="ARG46" s="456"/>
      <c r="ARH46" s="456"/>
      <c r="ARI46" s="456"/>
      <c r="ARJ46" s="456"/>
      <c r="ARK46" s="456"/>
      <c r="ARL46" s="456"/>
      <c r="ARM46" s="456"/>
      <c r="ARN46" s="456"/>
      <c r="ARO46" s="456"/>
      <c r="ARP46" s="456"/>
      <c r="ARQ46" s="456"/>
      <c r="ARR46" s="456"/>
      <c r="ARS46" s="456"/>
      <c r="ART46" s="456"/>
      <c r="ARU46" s="456"/>
      <c r="ARV46" s="456"/>
      <c r="ARW46" s="456"/>
      <c r="ARX46" s="456"/>
      <c r="ARY46" s="456"/>
      <c r="ARZ46" s="456"/>
      <c r="ASA46" s="456"/>
      <c r="ASB46" s="456"/>
      <c r="ASC46" s="456"/>
      <c r="ASD46" s="456"/>
      <c r="ASE46" s="456"/>
      <c r="ASF46" s="456"/>
      <c r="ASG46" s="456"/>
      <c r="ASH46" s="456"/>
      <c r="ASI46" s="456"/>
      <c r="ASJ46" s="456"/>
      <c r="ASK46" s="456"/>
      <c r="ASL46" s="456"/>
      <c r="ASM46" s="456"/>
      <c r="ASN46" s="456"/>
      <c r="ASO46" s="456"/>
      <c r="ASP46" s="456"/>
      <c r="ASQ46" s="456"/>
      <c r="ASR46" s="456"/>
      <c r="ASS46" s="456"/>
      <c r="AST46" s="456"/>
      <c r="ASU46" s="456"/>
      <c r="ASV46" s="456"/>
      <c r="ASW46" s="456"/>
      <c r="ASX46" s="456"/>
      <c r="ASY46" s="456"/>
      <c r="ASZ46" s="456"/>
      <c r="ATA46" s="456"/>
      <c r="ATB46" s="456"/>
      <c r="ATC46" s="456"/>
      <c r="ATD46" s="456"/>
      <c r="ATE46" s="456"/>
      <c r="ATF46" s="456"/>
      <c r="ATG46" s="456"/>
      <c r="ATH46" s="456"/>
      <c r="ATI46" s="456"/>
      <c r="ATJ46" s="456"/>
      <c r="ATK46" s="456"/>
      <c r="ATL46" s="456"/>
      <c r="ATM46" s="456"/>
      <c r="ATN46" s="456"/>
      <c r="ATO46" s="456"/>
      <c r="ATP46" s="456"/>
      <c r="ATQ46" s="456"/>
      <c r="ATR46" s="456"/>
      <c r="ATS46" s="456"/>
      <c r="ATT46" s="456"/>
      <c r="ATU46" s="456"/>
      <c r="ATV46" s="456"/>
      <c r="ATW46" s="456"/>
      <c r="ATX46" s="456"/>
      <c r="ATY46" s="456"/>
      <c r="ATZ46" s="456"/>
      <c r="AUA46" s="456"/>
      <c r="AUB46" s="456"/>
      <c r="AUC46" s="456"/>
      <c r="AUD46" s="456"/>
      <c r="AUE46" s="456"/>
      <c r="AUF46" s="456"/>
      <c r="AUG46" s="456"/>
      <c r="AUH46" s="456"/>
      <c r="AUI46" s="456"/>
      <c r="AUJ46" s="456"/>
      <c r="AUK46" s="456"/>
      <c r="AUL46" s="456"/>
      <c r="AUM46" s="456"/>
      <c r="AUN46" s="456"/>
      <c r="AUO46" s="456"/>
      <c r="AUP46" s="456"/>
      <c r="AUQ46" s="456"/>
      <c r="AUR46" s="456"/>
      <c r="AUS46" s="456"/>
      <c r="AUT46" s="456"/>
      <c r="AUU46" s="456"/>
      <c r="AUV46" s="456"/>
      <c r="AUW46" s="456"/>
      <c r="AUX46" s="456"/>
      <c r="AUY46" s="456"/>
      <c r="AUZ46" s="456"/>
      <c r="AVA46" s="456"/>
      <c r="AVB46" s="456"/>
      <c r="AVC46" s="456"/>
      <c r="AVD46" s="456"/>
      <c r="AVE46" s="456"/>
      <c r="AVF46" s="456"/>
      <c r="AVG46" s="456"/>
      <c r="AVH46" s="456"/>
      <c r="AVI46" s="456"/>
      <c r="AVJ46" s="456"/>
      <c r="AVK46" s="456"/>
      <c r="AVL46" s="456"/>
      <c r="AVM46" s="456"/>
      <c r="AVN46" s="456"/>
      <c r="AVO46" s="456"/>
      <c r="AVP46" s="456"/>
      <c r="AVQ46" s="456"/>
      <c r="AVR46" s="456"/>
      <c r="AVS46" s="456"/>
      <c r="AVT46" s="456"/>
      <c r="AVU46" s="456"/>
      <c r="AVV46" s="456"/>
      <c r="AVW46" s="456"/>
      <c r="AVX46" s="456"/>
      <c r="AVY46" s="456"/>
      <c r="AVZ46" s="456"/>
      <c r="AWA46" s="456"/>
      <c r="AWB46" s="456"/>
      <c r="AWC46" s="456"/>
      <c r="AWD46" s="456"/>
      <c r="AWE46" s="456"/>
      <c r="AWF46" s="456"/>
      <c r="AWG46" s="456"/>
      <c r="AWH46" s="456"/>
      <c r="AWI46" s="456"/>
      <c r="AWJ46" s="456"/>
      <c r="AWK46" s="456"/>
      <c r="AWL46" s="456"/>
      <c r="AWM46" s="456"/>
      <c r="AWN46" s="456"/>
      <c r="AWO46" s="456"/>
      <c r="AWP46" s="456"/>
      <c r="AWQ46" s="456"/>
      <c r="AWR46" s="456"/>
      <c r="AWS46" s="456"/>
      <c r="AWT46" s="456"/>
      <c r="AWU46" s="456"/>
      <c r="AWV46" s="456"/>
      <c r="AWW46" s="456"/>
      <c r="AWX46" s="456"/>
      <c r="AWY46" s="456"/>
      <c r="AWZ46" s="456"/>
      <c r="AXA46" s="456"/>
      <c r="AXB46" s="456"/>
      <c r="AXC46" s="456"/>
      <c r="AXD46" s="456"/>
      <c r="AXE46" s="456"/>
      <c r="AXF46" s="456"/>
      <c r="AXG46" s="456"/>
      <c r="AXH46" s="456"/>
      <c r="AXI46" s="456"/>
      <c r="AXJ46" s="456"/>
      <c r="AXK46" s="456"/>
      <c r="AXL46" s="456"/>
      <c r="AXM46" s="456"/>
      <c r="AXN46" s="456"/>
      <c r="AXO46" s="456"/>
      <c r="AXP46" s="456"/>
      <c r="AXQ46" s="456"/>
      <c r="AXR46" s="456"/>
      <c r="AXS46" s="456"/>
      <c r="AXT46" s="456"/>
      <c r="AXU46" s="456"/>
      <c r="AXV46" s="456"/>
      <c r="AXW46" s="456"/>
      <c r="AXX46" s="456"/>
      <c r="AXY46" s="456"/>
      <c r="AXZ46" s="456"/>
      <c r="AYA46" s="456"/>
      <c r="AYB46" s="456"/>
      <c r="AYC46" s="456"/>
      <c r="AYD46" s="456"/>
      <c r="AYE46" s="456"/>
      <c r="AYF46" s="456"/>
      <c r="AYG46" s="456"/>
      <c r="AYH46" s="456"/>
      <c r="AYI46" s="456"/>
      <c r="AYJ46" s="456"/>
      <c r="AYK46" s="456"/>
      <c r="AYL46" s="456"/>
      <c r="AYM46" s="456"/>
      <c r="AYN46" s="456"/>
      <c r="AYO46" s="456"/>
      <c r="AYP46" s="456"/>
      <c r="AYQ46" s="456"/>
      <c r="AYR46" s="456"/>
      <c r="AYS46" s="456"/>
      <c r="AYT46" s="456"/>
      <c r="AYU46" s="456"/>
      <c r="AYV46" s="456"/>
      <c r="AYW46" s="456"/>
      <c r="AYX46" s="456"/>
      <c r="AYY46" s="456"/>
      <c r="AYZ46" s="456"/>
      <c r="AZA46" s="456"/>
      <c r="AZB46" s="456"/>
      <c r="AZC46" s="456"/>
      <c r="AZD46" s="456"/>
      <c r="AZE46" s="456"/>
      <c r="AZF46" s="456"/>
      <c r="AZG46" s="456"/>
      <c r="AZH46" s="456"/>
      <c r="AZI46" s="456"/>
      <c r="AZJ46" s="456"/>
      <c r="AZK46" s="456"/>
      <c r="AZL46" s="456"/>
      <c r="AZM46" s="456"/>
      <c r="AZN46" s="456"/>
      <c r="AZO46" s="456"/>
      <c r="AZP46" s="456"/>
      <c r="AZQ46" s="456"/>
      <c r="AZR46" s="456"/>
      <c r="AZS46" s="456"/>
      <c r="AZT46" s="456"/>
      <c r="AZU46" s="456"/>
      <c r="AZV46" s="456"/>
      <c r="AZW46" s="456"/>
      <c r="AZX46" s="456"/>
      <c r="AZY46" s="456"/>
      <c r="AZZ46" s="456"/>
      <c r="BAA46" s="456"/>
      <c r="BAB46" s="456"/>
      <c r="BAC46" s="456"/>
      <c r="BAD46" s="456"/>
      <c r="BAE46" s="456"/>
      <c r="BAF46" s="456"/>
      <c r="BAG46" s="456"/>
      <c r="BAH46" s="456"/>
      <c r="BAI46" s="456"/>
      <c r="BAJ46" s="456"/>
      <c r="BAK46" s="456"/>
      <c r="BAL46" s="456"/>
      <c r="BAM46" s="456"/>
      <c r="BAN46" s="456"/>
      <c r="BAO46" s="456"/>
      <c r="BAP46" s="456"/>
      <c r="BAQ46" s="456"/>
      <c r="BAR46" s="456"/>
      <c r="BAS46" s="456"/>
      <c r="BAT46" s="456"/>
      <c r="BAU46" s="456"/>
      <c r="BAV46" s="456"/>
      <c r="BAW46" s="456"/>
      <c r="BAX46" s="456"/>
      <c r="BAY46" s="456"/>
      <c r="BAZ46" s="456"/>
      <c r="BBA46" s="456"/>
      <c r="BBB46" s="456"/>
      <c r="BBC46" s="456"/>
      <c r="BBD46" s="456"/>
      <c r="BBE46" s="456"/>
      <c r="BBF46" s="456"/>
      <c r="BBG46" s="456"/>
      <c r="BBH46" s="456"/>
      <c r="BBI46" s="456"/>
      <c r="BBJ46" s="456"/>
      <c r="BBK46" s="456"/>
      <c r="BBL46" s="456"/>
      <c r="BBM46" s="456"/>
      <c r="BBN46" s="456"/>
      <c r="BBO46" s="456"/>
      <c r="BBP46" s="456"/>
      <c r="BBQ46" s="456"/>
      <c r="BBR46" s="456"/>
      <c r="BBS46" s="456"/>
      <c r="BBT46" s="456"/>
      <c r="BBU46" s="456"/>
      <c r="BBV46" s="456"/>
      <c r="BBW46" s="456"/>
      <c r="BBX46" s="456"/>
      <c r="BBY46" s="456"/>
      <c r="BBZ46" s="456"/>
      <c r="BCA46" s="456"/>
      <c r="BCB46" s="456"/>
      <c r="BCC46" s="456"/>
      <c r="BCD46" s="456"/>
      <c r="BCE46" s="456"/>
      <c r="BCF46" s="456"/>
      <c r="BCG46" s="456"/>
      <c r="BCH46" s="456"/>
      <c r="BCI46" s="456"/>
      <c r="BCJ46" s="456"/>
      <c r="BCK46" s="456"/>
      <c r="BCL46" s="456"/>
      <c r="BCM46" s="456"/>
      <c r="BCN46" s="456"/>
      <c r="BCO46" s="456"/>
      <c r="BCP46" s="456"/>
      <c r="BCQ46" s="456"/>
      <c r="BCR46" s="456"/>
      <c r="BCS46" s="456"/>
      <c r="BCT46" s="456"/>
      <c r="BCU46" s="456"/>
      <c r="BCV46" s="456"/>
      <c r="BCW46" s="456"/>
      <c r="BCX46" s="456"/>
      <c r="BCY46" s="456"/>
      <c r="BCZ46" s="456"/>
      <c r="BDA46" s="456"/>
      <c r="BDB46" s="456"/>
      <c r="BDC46" s="456"/>
      <c r="BDD46" s="456"/>
      <c r="BDE46" s="456"/>
      <c r="BDF46" s="456"/>
      <c r="BDG46" s="456"/>
      <c r="BDH46" s="456"/>
      <c r="BDI46" s="456"/>
      <c r="BDJ46" s="456"/>
      <c r="BDK46" s="456"/>
      <c r="BDL46" s="456"/>
      <c r="BDM46" s="456"/>
      <c r="BDN46" s="456"/>
      <c r="BDO46" s="456"/>
      <c r="BDP46" s="456"/>
      <c r="BDQ46" s="456"/>
      <c r="BDR46" s="456"/>
      <c r="BDS46" s="456"/>
      <c r="BDT46" s="456"/>
      <c r="BDU46" s="456"/>
      <c r="BDV46" s="456"/>
      <c r="BDW46" s="456"/>
      <c r="BDX46" s="456"/>
      <c r="BDY46" s="456"/>
      <c r="BDZ46" s="456"/>
      <c r="BEA46" s="456"/>
      <c r="BEB46" s="456"/>
      <c r="BEC46" s="456"/>
      <c r="BED46" s="456"/>
      <c r="BEE46" s="456"/>
      <c r="BEF46" s="456"/>
      <c r="BEG46" s="456"/>
      <c r="BEH46" s="456"/>
      <c r="BEI46" s="456"/>
      <c r="BEJ46" s="456"/>
      <c r="BEK46" s="456"/>
      <c r="BEL46" s="456"/>
      <c r="BEM46" s="456"/>
      <c r="BEN46" s="456"/>
      <c r="BEO46" s="456"/>
      <c r="BEP46" s="456"/>
      <c r="BEQ46" s="456"/>
      <c r="BER46" s="456"/>
      <c r="BES46" s="456"/>
      <c r="BET46" s="456"/>
      <c r="BEU46" s="456"/>
      <c r="BEV46" s="456"/>
      <c r="BEW46" s="456"/>
      <c r="BEX46" s="456"/>
      <c r="BEY46" s="456"/>
      <c r="BEZ46" s="456"/>
      <c r="BFA46" s="456"/>
      <c r="BFB46" s="456"/>
      <c r="BFC46" s="456"/>
      <c r="BFD46" s="456"/>
      <c r="BFE46" s="456"/>
      <c r="BFF46" s="456"/>
      <c r="BFG46" s="456"/>
      <c r="BFH46" s="456"/>
      <c r="BFI46" s="456"/>
      <c r="BFJ46" s="456"/>
      <c r="BFK46" s="456"/>
      <c r="BFL46" s="456"/>
      <c r="BFM46" s="456"/>
      <c r="BFN46" s="456"/>
      <c r="BFO46" s="456"/>
      <c r="BFP46" s="456"/>
      <c r="BFQ46" s="456"/>
      <c r="BFR46" s="456"/>
      <c r="BFS46" s="456"/>
      <c r="BFT46" s="456"/>
      <c r="BFU46" s="456"/>
      <c r="BFV46" s="456"/>
      <c r="BFW46" s="456"/>
      <c r="BFX46" s="456"/>
      <c r="BFY46" s="456"/>
      <c r="BFZ46" s="456"/>
      <c r="BGA46" s="456"/>
      <c r="BGB46" s="456"/>
      <c r="BGC46" s="456"/>
      <c r="BGD46" s="456"/>
      <c r="BGE46" s="456"/>
      <c r="BGF46" s="456"/>
      <c r="BGG46" s="456"/>
      <c r="BGH46" s="456"/>
      <c r="BGI46" s="456"/>
      <c r="BGJ46" s="456"/>
      <c r="BGK46" s="456"/>
      <c r="BGL46" s="456"/>
      <c r="BGM46" s="456"/>
      <c r="BGN46" s="456"/>
      <c r="BGO46" s="456"/>
      <c r="BGP46" s="456"/>
      <c r="BGQ46" s="456"/>
      <c r="BGR46" s="456"/>
      <c r="BGS46" s="456"/>
      <c r="BGT46" s="456"/>
      <c r="BGU46" s="456"/>
      <c r="BGV46" s="456"/>
      <c r="BGW46" s="456"/>
      <c r="BGX46" s="456"/>
      <c r="BGY46" s="456"/>
      <c r="BGZ46" s="456"/>
      <c r="BHA46" s="456"/>
      <c r="BHB46" s="456"/>
      <c r="BHC46" s="456"/>
      <c r="BHD46" s="456"/>
      <c r="BHE46" s="456"/>
      <c r="BHF46" s="456"/>
      <c r="BHG46" s="456"/>
      <c r="BHH46" s="456"/>
      <c r="BHI46" s="456"/>
      <c r="BHJ46" s="456"/>
      <c r="BHK46" s="456"/>
      <c r="BHL46" s="456"/>
      <c r="BHM46" s="456"/>
      <c r="BHN46" s="456"/>
      <c r="BHO46" s="456"/>
      <c r="BHP46" s="456"/>
      <c r="BHQ46" s="456"/>
      <c r="BHR46" s="456"/>
      <c r="BHS46" s="456"/>
      <c r="BHT46" s="456"/>
      <c r="BHU46" s="456"/>
      <c r="BHV46" s="456"/>
      <c r="BHW46" s="456"/>
      <c r="BHX46" s="456"/>
      <c r="BHY46" s="456"/>
      <c r="BHZ46" s="456"/>
      <c r="BIA46" s="456"/>
      <c r="BIB46" s="456"/>
      <c r="BIC46" s="456"/>
      <c r="BID46" s="456"/>
      <c r="BIE46" s="456"/>
      <c r="BIF46" s="456"/>
      <c r="BIG46" s="456"/>
      <c r="BIH46" s="456"/>
      <c r="BII46" s="456"/>
      <c r="BIJ46" s="456"/>
      <c r="BIK46" s="456"/>
      <c r="BIL46" s="456"/>
      <c r="BIM46" s="456"/>
      <c r="BIN46" s="456"/>
      <c r="BIO46" s="456"/>
      <c r="BIP46" s="456"/>
      <c r="BIQ46" s="456"/>
      <c r="BIR46" s="456"/>
      <c r="BIS46" s="456"/>
      <c r="BIT46" s="456"/>
      <c r="BIU46" s="456"/>
      <c r="BIV46" s="456"/>
      <c r="BIW46" s="456"/>
      <c r="BIX46" s="456"/>
      <c r="BIY46" s="456"/>
      <c r="BIZ46" s="456"/>
      <c r="BJA46" s="456"/>
      <c r="BJB46" s="456"/>
      <c r="BJC46" s="456"/>
      <c r="BJD46" s="456"/>
      <c r="BJE46" s="456"/>
      <c r="BJF46" s="456"/>
      <c r="BJG46" s="456"/>
      <c r="BJH46" s="456"/>
      <c r="BJI46" s="456"/>
      <c r="BJJ46" s="456"/>
      <c r="BJK46" s="456"/>
      <c r="BJL46" s="456"/>
      <c r="BJM46" s="456"/>
      <c r="BJN46" s="456"/>
      <c r="BJO46" s="456"/>
      <c r="BJP46" s="456"/>
      <c r="BJQ46" s="456"/>
      <c r="BJR46" s="456"/>
      <c r="BJS46" s="456"/>
      <c r="BJT46" s="456"/>
      <c r="BJU46" s="456"/>
      <c r="BJV46" s="456"/>
      <c r="BJW46" s="456"/>
      <c r="BJX46" s="456"/>
      <c r="BJY46" s="456"/>
      <c r="BJZ46" s="456"/>
      <c r="BKA46" s="456"/>
      <c r="BKB46" s="456"/>
      <c r="BKC46" s="456"/>
      <c r="BKD46" s="456"/>
      <c r="BKE46" s="456"/>
      <c r="BKF46" s="456"/>
      <c r="BKG46" s="456"/>
      <c r="BKH46" s="456"/>
      <c r="BKI46" s="456"/>
      <c r="BKJ46" s="456"/>
      <c r="BKK46" s="456"/>
      <c r="BKL46" s="456"/>
      <c r="BKM46" s="456"/>
      <c r="BKN46" s="456"/>
      <c r="BKO46" s="456"/>
      <c r="BKP46" s="456"/>
      <c r="BKQ46" s="456"/>
      <c r="BKR46" s="456"/>
      <c r="BKS46" s="456"/>
      <c r="BKT46" s="456"/>
      <c r="BKU46" s="456"/>
      <c r="BKV46" s="456"/>
      <c r="BKW46" s="456"/>
      <c r="BKX46" s="456"/>
      <c r="BKY46" s="456"/>
      <c r="BKZ46" s="456"/>
      <c r="BLA46" s="456"/>
      <c r="BLB46" s="456"/>
      <c r="BLC46" s="456"/>
      <c r="BLD46" s="456"/>
      <c r="BLE46" s="456"/>
      <c r="BLF46" s="456"/>
      <c r="BLG46" s="456"/>
      <c r="BLH46" s="456"/>
      <c r="BLI46" s="456"/>
      <c r="BLJ46" s="456"/>
      <c r="BLK46" s="456"/>
      <c r="BLL46" s="456"/>
      <c r="BLM46" s="456"/>
      <c r="BLN46" s="456"/>
      <c r="BLO46" s="456"/>
      <c r="BLP46" s="456"/>
      <c r="BLQ46" s="456"/>
      <c r="BLR46" s="456"/>
      <c r="BLS46" s="456"/>
      <c r="BLT46" s="456"/>
      <c r="BLU46" s="456"/>
      <c r="BLV46" s="456"/>
      <c r="BLW46" s="456"/>
      <c r="BLX46" s="456"/>
      <c r="BLY46" s="456"/>
      <c r="BLZ46" s="456"/>
      <c r="BMA46" s="456"/>
      <c r="BMB46" s="456"/>
      <c r="BMC46" s="456"/>
      <c r="BMD46" s="456"/>
      <c r="BME46" s="456"/>
      <c r="BMF46" s="456"/>
      <c r="BMG46" s="456"/>
      <c r="BMH46" s="456"/>
      <c r="BMI46" s="456"/>
      <c r="BMJ46" s="456"/>
      <c r="BMK46" s="456"/>
      <c r="BML46" s="456"/>
      <c r="BMM46" s="456"/>
      <c r="BMN46" s="456"/>
      <c r="BMO46" s="456"/>
      <c r="BMP46" s="456"/>
      <c r="BMQ46" s="456"/>
      <c r="BMR46" s="456"/>
      <c r="BMS46" s="456"/>
      <c r="BMT46" s="456"/>
      <c r="BMU46" s="456"/>
      <c r="BMV46" s="456"/>
      <c r="BMW46" s="456"/>
      <c r="BMX46" s="456"/>
      <c r="BMY46" s="456"/>
      <c r="BMZ46" s="456"/>
      <c r="BNA46" s="456"/>
      <c r="BNB46" s="456"/>
      <c r="BNC46" s="456"/>
      <c r="BND46" s="456"/>
      <c r="BNE46" s="456"/>
      <c r="BNF46" s="456"/>
      <c r="BNG46" s="456"/>
      <c r="BNH46" s="456"/>
      <c r="BNI46" s="456"/>
      <c r="BNJ46" s="456"/>
      <c r="BNK46" s="456"/>
      <c r="BNL46" s="456"/>
      <c r="BNM46" s="456"/>
      <c r="BNN46" s="456"/>
      <c r="BNO46" s="456"/>
      <c r="BNP46" s="456"/>
      <c r="BNQ46" s="456"/>
      <c r="BNR46" s="456"/>
      <c r="BNS46" s="456"/>
      <c r="BNT46" s="456"/>
      <c r="BNU46" s="456"/>
      <c r="BNV46" s="456"/>
      <c r="BNW46" s="456"/>
      <c r="BNX46" s="456"/>
      <c r="BNY46" s="456"/>
      <c r="BNZ46" s="456"/>
      <c r="BOA46" s="456"/>
      <c r="BOB46" s="456"/>
      <c r="BOC46" s="456"/>
      <c r="BOD46" s="456"/>
      <c r="BOE46" s="456"/>
      <c r="BOF46" s="456"/>
      <c r="BOG46" s="456"/>
      <c r="BOH46" s="456"/>
      <c r="BOI46" s="456"/>
      <c r="BOJ46" s="456"/>
      <c r="BOK46" s="456"/>
      <c r="BOL46" s="456"/>
      <c r="BOM46" s="456"/>
      <c r="BON46" s="456"/>
      <c r="BOO46" s="456"/>
      <c r="BOP46" s="456"/>
      <c r="BOQ46" s="456"/>
      <c r="BOR46" s="456"/>
      <c r="BOS46" s="456"/>
      <c r="BOT46" s="456"/>
      <c r="BOU46" s="456"/>
      <c r="BOV46" s="456"/>
      <c r="BOW46" s="456"/>
      <c r="BOX46" s="456"/>
      <c r="BOY46" s="456"/>
      <c r="BOZ46" s="456"/>
      <c r="BPA46" s="456"/>
      <c r="BPB46" s="456"/>
      <c r="BPC46" s="456"/>
      <c r="BPD46" s="456"/>
      <c r="BPE46" s="456"/>
      <c r="BPF46" s="456"/>
      <c r="BPG46" s="456"/>
      <c r="BPH46" s="456"/>
      <c r="BPI46" s="456"/>
      <c r="BPJ46" s="456"/>
      <c r="BPK46" s="456"/>
      <c r="BPL46" s="456"/>
      <c r="BPM46" s="456"/>
      <c r="BPN46" s="456"/>
      <c r="BPO46" s="456"/>
      <c r="BPP46" s="456"/>
      <c r="BPQ46" s="456"/>
      <c r="BPR46" s="456"/>
      <c r="BPS46" s="456"/>
      <c r="BPT46" s="456"/>
      <c r="BPU46" s="456"/>
      <c r="BPV46" s="456"/>
      <c r="BPW46" s="456"/>
      <c r="BPX46" s="456"/>
      <c r="BPY46" s="456"/>
      <c r="BPZ46" s="456"/>
      <c r="BQA46" s="456"/>
      <c r="BQB46" s="456"/>
      <c r="BQC46" s="456"/>
      <c r="BQD46" s="456"/>
      <c r="BQE46" s="456"/>
      <c r="BQF46" s="456"/>
      <c r="BQG46" s="456"/>
      <c r="BQH46" s="456"/>
      <c r="BQI46" s="456"/>
      <c r="BQJ46" s="456"/>
      <c r="BQK46" s="456"/>
      <c r="BQL46" s="456"/>
      <c r="BQM46" s="456"/>
      <c r="BQN46" s="456"/>
      <c r="BQO46" s="456"/>
      <c r="BQP46" s="456"/>
      <c r="BQQ46" s="456"/>
      <c r="BQR46" s="456"/>
      <c r="BQS46" s="456"/>
      <c r="BQT46" s="456"/>
      <c r="BQU46" s="456"/>
      <c r="BQV46" s="456"/>
      <c r="BQW46" s="456"/>
      <c r="BQX46" s="456"/>
      <c r="BQY46" s="456"/>
      <c r="BQZ46" s="456"/>
      <c r="BRA46" s="456"/>
      <c r="BRB46" s="456"/>
      <c r="BRC46" s="456"/>
      <c r="BRD46" s="456"/>
      <c r="BRE46" s="456"/>
      <c r="BRF46" s="456"/>
      <c r="BRG46" s="456"/>
      <c r="BRH46" s="456"/>
      <c r="BRI46" s="456"/>
      <c r="BRJ46" s="456"/>
      <c r="BRK46" s="456"/>
      <c r="BRL46" s="456"/>
      <c r="BRM46" s="456"/>
      <c r="BRN46" s="456"/>
      <c r="BRO46" s="456"/>
      <c r="BRP46" s="456"/>
      <c r="BRQ46" s="456"/>
      <c r="BRR46" s="456"/>
      <c r="BRS46" s="456"/>
      <c r="BRT46" s="456"/>
      <c r="BRU46" s="456"/>
      <c r="BRV46" s="456"/>
      <c r="BRW46" s="456"/>
      <c r="BRX46" s="456"/>
      <c r="BRY46" s="456"/>
      <c r="BRZ46" s="456"/>
      <c r="BSA46" s="456"/>
      <c r="BSB46" s="456"/>
      <c r="BSC46" s="456"/>
      <c r="BSD46" s="456"/>
      <c r="BSE46" s="456"/>
      <c r="BSF46" s="456"/>
      <c r="BSG46" s="456"/>
      <c r="BSH46" s="456"/>
      <c r="BSI46" s="456"/>
      <c r="BSJ46" s="456"/>
      <c r="BSK46" s="456"/>
      <c r="BSL46" s="456"/>
      <c r="BSM46" s="456"/>
      <c r="BSN46" s="456"/>
      <c r="BSO46" s="456"/>
      <c r="BSP46" s="456"/>
      <c r="BSQ46" s="456"/>
      <c r="BSR46" s="456"/>
      <c r="BSS46" s="456"/>
      <c r="BST46" s="456"/>
      <c r="BSU46" s="456"/>
      <c r="BSV46" s="456"/>
      <c r="BSW46" s="456"/>
      <c r="BSX46" s="456"/>
      <c r="BSY46" s="456"/>
      <c r="BSZ46" s="456"/>
      <c r="BTA46" s="456"/>
      <c r="BTB46" s="456"/>
      <c r="BTC46" s="456"/>
      <c r="BTD46" s="456"/>
      <c r="BTE46" s="456"/>
      <c r="BTF46" s="456"/>
      <c r="BTG46" s="456"/>
      <c r="BTH46" s="456"/>
      <c r="BTI46" s="456"/>
      <c r="BTJ46" s="456"/>
      <c r="BTK46" s="456"/>
      <c r="BTL46" s="456"/>
      <c r="BTM46" s="456"/>
      <c r="BTN46" s="456"/>
      <c r="BTO46" s="456"/>
      <c r="BTP46" s="456"/>
      <c r="BTQ46" s="456"/>
      <c r="BTR46" s="456"/>
      <c r="BTS46" s="456"/>
      <c r="BTT46" s="456"/>
      <c r="BTU46" s="456"/>
      <c r="BTV46" s="456"/>
      <c r="BTW46" s="456"/>
      <c r="BTX46" s="456"/>
      <c r="BTY46" s="456"/>
      <c r="BTZ46" s="456"/>
      <c r="BUA46" s="456"/>
      <c r="BUB46" s="456"/>
      <c r="BUC46" s="456"/>
      <c r="BUD46" s="456"/>
      <c r="BUE46" s="456"/>
      <c r="BUF46" s="456"/>
      <c r="BUG46" s="456"/>
      <c r="BUH46" s="456"/>
      <c r="BUI46" s="456"/>
      <c r="BUJ46" s="456"/>
      <c r="BUK46" s="456"/>
      <c r="BUL46" s="456"/>
      <c r="BUM46" s="456"/>
      <c r="BUN46" s="456"/>
      <c r="BUO46" s="456"/>
      <c r="BUP46" s="456"/>
      <c r="BUQ46" s="456"/>
      <c r="BUR46" s="456"/>
      <c r="BUS46" s="456"/>
      <c r="BUT46" s="456"/>
      <c r="BUU46" s="456"/>
      <c r="BUV46" s="456"/>
      <c r="BUW46" s="456"/>
      <c r="BUX46" s="456"/>
      <c r="BUY46" s="456"/>
      <c r="BUZ46" s="456"/>
      <c r="BVA46" s="456"/>
      <c r="BVB46" s="456"/>
      <c r="BVC46" s="456"/>
      <c r="BVD46" s="456"/>
      <c r="BVE46" s="456"/>
      <c r="BVF46" s="456"/>
      <c r="BVG46" s="456"/>
      <c r="BVH46" s="456"/>
      <c r="BVI46" s="456"/>
      <c r="BVJ46" s="456"/>
      <c r="BVK46" s="456"/>
      <c r="BVL46" s="456"/>
      <c r="BVM46" s="456"/>
      <c r="BVN46" s="456"/>
      <c r="BVO46" s="456"/>
      <c r="BVP46" s="456"/>
      <c r="BVQ46" s="456"/>
      <c r="BVR46" s="456"/>
      <c r="BVS46" s="456"/>
      <c r="BVT46" s="456"/>
      <c r="BVU46" s="456"/>
      <c r="BVV46" s="456"/>
      <c r="BVW46" s="456"/>
      <c r="BVX46" s="456"/>
      <c r="BVY46" s="456"/>
      <c r="BVZ46" s="456"/>
      <c r="BWA46" s="456"/>
      <c r="BWB46" s="456"/>
      <c r="BWC46" s="456"/>
      <c r="BWD46" s="456"/>
      <c r="BWE46" s="456"/>
      <c r="BWF46" s="456"/>
      <c r="BWG46" s="456"/>
      <c r="BWH46" s="456"/>
      <c r="BWI46" s="456"/>
      <c r="BWJ46" s="456"/>
      <c r="BWK46" s="456"/>
      <c r="BWL46" s="456"/>
      <c r="BWM46" s="456"/>
      <c r="BWN46" s="456"/>
      <c r="BWO46" s="456"/>
      <c r="BWP46" s="456"/>
      <c r="BWQ46" s="456"/>
      <c r="BWR46" s="456"/>
      <c r="BWS46" s="456"/>
      <c r="BWT46" s="456"/>
      <c r="BWU46" s="456"/>
      <c r="BWV46" s="456"/>
      <c r="BWW46" s="456"/>
      <c r="BWX46" s="456"/>
      <c r="BWY46" s="456"/>
      <c r="BWZ46" s="456"/>
      <c r="BXA46" s="456"/>
      <c r="BXB46" s="456"/>
      <c r="BXC46" s="456"/>
      <c r="BXD46" s="456"/>
      <c r="BXE46" s="456"/>
      <c r="BXF46" s="456"/>
      <c r="BXG46" s="456"/>
      <c r="BXH46" s="456"/>
      <c r="BXI46" s="456"/>
      <c r="BXJ46" s="456"/>
      <c r="BXK46" s="456"/>
      <c r="BXL46" s="456"/>
      <c r="BXM46" s="456"/>
      <c r="BXN46" s="456"/>
      <c r="BXO46" s="456"/>
      <c r="BXP46" s="456"/>
      <c r="BXQ46" s="456"/>
      <c r="BXR46" s="456"/>
      <c r="BXS46" s="456"/>
      <c r="BXT46" s="456"/>
      <c r="BXU46" s="456"/>
      <c r="BXV46" s="456"/>
      <c r="BXW46" s="456"/>
      <c r="BXX46" s="456"/>
      <c r="BXY46" s="456"/>
      <c r="BXZ46" s="456"/>
    </row>
    <row r="47" s="25" customFormat="1" spans="1:1024 1025:2002">
      <c r="A47" s="473" t="s">
        <v>34</v>
      </c>
      <c r="B47" s="19">
        <v>1117</v>
      </c>
      <c r="C47" s="183">
        <v>46174</v>
      </c>
      <c r="D47" s="17" t="s">
        <v>35</v>
      </c>
      <c r="E47" s="17" t="s">
        <v>71</v>
      </c>
      <c r="F47" s="17" t="s">
        <v>72</v>
      </c>
      <c r="G47" s="17"/>
      <c r="H47" s="19">
        <v>1.2379</v>
      </c>
      <c r="I47" s="19">
        <v>1.2379</v>
      </c>
      <c r="J47" s="17" t="s">
        <v>39</v>
      </c>
      <c r="K47" s="19">
        <v>505</v>
      </c>
      <c r="L47" s="91"/>
      <c r="M47" s="19">
        <v>5800</v>
      </c>
      <c r="N47" s="19" t="s">
        <v>40</v>
      </c>
      <c r="O47" s="19" t="s">
        <v>50</v>
      </c>
      <c r="P47" s="19">
        <v>9000</v>
      </c>
      <c r="Q47" s="19">
        <v>9000</v>
      </c>
      <c r="R47" s="19">
        <f t="shared" si="2"/>
        <v>0</v>
      </c>
      <c r="S47" s="19">
        <f>2410+68</f>
        <v>2478</v>
      </c>
      <c r="T47" s="19" t="s">
        <v>42</v>
      </c>
      <c r="U47" s="102" t="s">
        <v>73</v>
      </c>
      <c r="V47" s="186">
        <v>46173</v>
      </c>
      <c r="W47" s="17" t="s">
        <v>69</v>
      </c>
      <c r="X47" s="17"/>
      <c r="Y47" s="68">
        <v>46296</v>
      </c>
      <c r="Z47" s="17" t="s">
        <v>45</v>
      </c>
      <c r="AA47" s="17" t="s">
        <v>46</v>
      </c>
      <c r="AB47" s="17" t="s">
        <v>75</v>
      </c>
      <c r="AC47" s="217">
        <v>46224</v>
      </c>
      <c r="AD47" s="65">
        <v>1837</v>
      </c>
      <c r="AE47" s="17" t="s">
        <v>74</v>
      </c>
      <c r="AF47" s="17" t="s">
        <v>76</v>
      </c>
      <c r="AG47" s="17"/>
      <c r="AH47" s="456"/>
      <c r="AI47" s="456"/>
      <c r="AJ47" s="456"/>
      <c r="AK47" s="456"/>
      <c r="AL47" s="456"/>
      <c r="AM47" s="456"/>
      <c r="AN47" s="456"/>
      <c r="AO47" s="456"/>
      <c r="AP47" s="456"/>
      <c r="AQ47" s="456"/>
      <c r="AR47" s="456"/>
      <c r="AS47" s="456"/>
      <c r="AT47" s="456"/>
      <c r="AU47" s="456"/>
      <c r="AV47" s="456"/>
      <c r="AW47" s="456"/>
      <c r="AX47" s="456"/>
      <c r="AY47" s="456"/>
      <c r="AZ47" s="456"/>
      <c r="BA47" s="456"/>
      <c r="BB47" s="456"/>
      <c r="BC47" s="456"/>
      <c r="BD47" s="456"/>
      <c r="BE47" s="456"/>
      <c r="BF47" s="456"/>
      <c r="BG47" s="456"/>
      <c r="BH47" s="456"/>
      <c r="BI47" s="456"/>
      <c r="BJ47" s="456"/>
      <c r="BK47" s="456"/>
      <c r="BL47" s="456"/>
      <c r="BM47" s="456"/>
      <c r="BN47" s="456"/>
      <c r="BO47" s="456"/>
      <c r="BP47" s="456"/>
      <c r="BQ47" s="456"/>
      <c r="BR47" s="456"/>
      <c r="BS47" s="456"/>
      <c r="BT47" s="456"/>
      <c r="BU47" s="456"/>
      <c r="BV47" s="456"/>
      <c r="BW47" s="456"/>
      <c r="BX47" s="456"/>
      <c r="BY47" s="456"/>
      <c r="BZ47" s="456"/>
      <c r="CA47" s="456"/>
      <c r="CB47" s="456"/>
      <c r="CC47" s="456"/>
      <c r="CD47" s="456"/>
      <c r="CE47" s="456"/>
      <c r="CF47" s="456"/>
      <c r="CG47" s="456"/>
      <c r="CH47" s="456"/>
      <c r="CI47" s="456"/>
      <c r="CJ47" s="456"/>
      <c r="CK47" s="456"/>
      <c r="CL47" s="456"/>
      <c r="CM47" s="456"/>
      <c r="CN47" s="456"/>
      <c r="CO47" s="456"/>
      <c r="CP47" s="456"/>
      <c r="CQ47" s="456"/>
      <c r="CR47" s="456"/>
      <c r="CS47" s="456"/>
      <c r="CT47" s="456"/>
      <c r="CU47" s="456"/>
      <c r="CV47" s="456"/>
      <c r="CW47" s="456"/>
      <c r="CX47" s="456"/>
      <c r="CY47" s="456"/>
      <c r="CZ47" s="456"/>
      <c r="DA47" s="456"/>
      <c r="DB47" s="456"/>
      <c r="DC47" s="456"/>
      <c r="DD47" s="456"/>
      <c r="DE47" s="456"/>
      <c r="DF47" s="456"/>
      <c r="DG47" s="456"/>
      <c r="DH47" s="456"/>
      <c r="DI47" s="456"/>
      <c r="DJ47" s="456"/>
      <c r="DK47" s="456"/>
      <c r="DL47" s="456"/>
      <c r="DM47" s="456"/>
      <c r="DN47" s="456"/>
      <c r="DO47" s="456"/>
      <c r="DP47" s="456"/>
      <c r="DQ47" s="456"/>
      <c r="DR47" s="456"/>
      <c r="DS47" s="456"/>
      <c r="DT47" s="456"/>
      <c r="DU47" s="456"/>
      <c r="DV47" s="456"/>
      <c r="DW47" s="456"/>
      <c r="DX47" s="456"/>
      <c r="DY47" s="456"/>
      <c r="DZ47" s="456"/>
      <c r="EA47" s="456"/>
      <c r="EB47" s="456"/>
      <c r="EC47" s="456"/>
      <c r="ED47" s="456"/>
      <c r="EE47" s="456"/>
      <c r="EF47" s="456"/>
      <c r="EG47" s="456"/>
      <c r="EH47" s="456"/>
      <c r="EI47" s="456"/>
      <c r="EJ47" s="456"/>
      <c r="EK47" s="456"/>
      <c r="EL47" s="456"/>
      <c r="EM47" s="456"/>
      <c r="EN47" s="456"/>
      <c r="EO47" s="456"/>
      <c r="EP47" s="456"/>
      <c r="EQ47" s="456"/>
      <c r="ER47" s="456"/>
      <c r="ES47" s="456"/>
      <c r="ET47" s="456"/>
      <c r="EU47" s="456"/>
      <c r="EV47" s="456"/>
      <c r="EW47" s="456"/>
      <c r="EX47" s="456"/>
      <c r="EY47" s="456"/>
      <c r="EZ47" s="456"/>
      <c r="FA47" s="456"/>
      <c r="FB47" s="456"/>
      <c r="FC47" s="456"/>
      <c r="FD47" s="456"/>
      <c r="FE47" s="456"/>
      <c r="FF47" s="456"/>
      <c r="FG47" s="456"/>
      <c r="FH47" s="456"/>
      <c r="FI47" s="456"/>
      <c r="FJ47" s="456"/>
      <c r="FK47" s="456"/>
      <c r="FL47" s="456"/>
      <c r="FM47" s="456"/>
      <c r="FN47" s="456"/>
      <c r="FO47" s="456"/>
      <c r="FP47" s="456"/>
      <c r="FQ47" s="456"/>
      <c r="FR47" s="456"/>
      <c r="FS47" s="456"/>
      <c r="FT47" s="456"/>
      <c r="FU47" s="456"/>
      <c r="FV47" s="456"/>
      <c r="FW47" s="456"/>
      <c r="FX47" s="456"/>
      <c r="FY47" s="456"/>
      <c r="FZ47" s="456"/>
      <c r="GA47" s="456"/>
      <c r="GB47" s="456"/>
      <c r="GC47" s="456"/>
      <c r="GD47" s="456"/>
      <c r="GE47" s="456"/>
      <c r="GF47" s="456"/>
      <c r="GG47" s="456"/>
      <c r="GH47" s="456"/>
      <c r="GI47" s="456"/>
      <c r="GJ47" s="456"/>
      <c r="GK47" s="456"/>
      <c r="GL47" s="456"/>
      <c r="GM47" s="456"/>
      <c r="GN47" s="456"/>
      <c r="GO47" s="456"/>
      <c r="GP47" s="456"/>
      <c r="GQ47" s="456"/>
      <c r="GR47" s="456"/>
      <c r="GS47" s="456"/>
      <c r="GT47" s="456"/>
      <c r="GU47" s="456"/>
      <c r="GV47" s="456"/>
      <c r="GW47" s="456"/>
      <c r="GX47" s="456"/>
      <c r="GY47" s="456"/>
      <c r="GZ47" s="456"/>
      <c r="HA47" s="456"/>
      <c r="HB47" s="456"/>
      <c r="HC47" s="456"/>
      <c r="HD47" s="456"/>
      <c r="HE47" s="456"/>
      <c r="HF47" s="456"/>
      <c r="HG47" s="456"/>
      <c r="HH47" s="456"/>
      <c r="HI47" s="456"/>
      <c r="HJ47" s="456"/>
      <c r="HK47" s="456"/>
      <c r="HL47" s="456"/>
      <c r="HM47" s="456"/>
      <c r="HN47" s="456"/>
      <c r="HO47" s="456"/>
      <c r="HP47" s="456"/>
      <c r="HQ47" s="456"/>
      <c r="HR47" s="456"/>
      <c r="HS47" s="456"/>
      <c r="HT47" s="456"/>
      <c r="HU47" s="456"/>
      <c r="HV47" s="456"/>
      <c r="HW47" s="456"/>
      <c r="HX47" s="456"/>
      <c r="HY47" s="456"/>
      <c r="HZ47" s="456"/>
      <c r="IA47" s="456"/>
      <c r="IB47" s="456"/>
      <c r="IC47" s="456"/>
      <c r="ID47" s="456"/>
      <c r="IE47" s="456"/>
      <c r="IF47" s="456"/>
      <c r="IG47" s="456"/>
      <c r="IH47" s="456"/>
      <c r="II47" s="456"/>
      <c r="IJ47" s="456"/>
      <c r="IK47" s="456"/>
      <c r="IL47" s="456"/>
      <c r="IM47" s="456"/>
      <c r="IN47" s="456"/>
      <c r="IO47" s="456"/>
      <c r="IP47" s="456"/>
      <c r="IQ47" s="456"/>
      <c r="IR47" s="456"/>
      <c r="IS47" s="456"/>
      <c r="IT47" s="456"/>
      <c r="IU47" s="456"/>
      <c r="IV47" s="456"/>
      <c r="IW47" s="456"/>
      <c r="IX47" s="456"/>
      <c r="IY47" s="456"/>
      <c r="IZ47" s="456"/>
      <c r="JA47" s="456"/>
      <c r="JB47" s="456"/>
      <c r="JC47" s="456"/>
      <c r="JD47" s="456"/>
      <c r="JE47" s="456"/>
      <c r="JF47" s="456"/>
      <c r="JG47" s="456"/>
      <c r="JH47" s="456"/>
      <c r="JI47" s="456"/>
      <c r="JJ47" s="456"/>
      <c r="JK47" s="456"/>
      <c r="JL47" s="456"/>
      <c r="JM47" s="456"/>
      <c r="JN47" s="456"/>
      <c r="JO47" s="456"/>
      <c r="JP47" s="456"/>
      <c r="JQ47" s="456"/>
      <c r="JR47" s="456"/>
      <c r="JS47" s="456"/>
      <c r="JT47" s="456"/>
      <c r="JU47" s="456"/>
      <c r="JV47" s="456"/>
      <c r="JW47" s="456"/>
      <c r="JX47" s="456"/>
      <c r="JY47" s="456"/>
      <c r="JZ47" s="456"/>
      <c r="KA47" s="456"/>
      <c r="KB47" s="456"/>
      <c r="KC47" s="456"/>
      <c r="KD47" s="456"/>
      <c r="KE47" s="456"/>
      <c r="KF47" s="456"/>
      <c r="KG47" s="456"/>
      <c r="KH47" s="456"/>
      <c r="KI47" s="456"/>
      <c r="KJ47" s="456"/>
      <c r="KK47" s="456"/>
      <c r="KL47" s="456"/>
      <c r="KM47" s="456"/>
      <c r="KN47" s="456"/>
      <c r="KO47" s="456"/>
      <c r="KP47" s="456"/>
      <c r="KQ47" s="456"/>
      <c r="KR47" s="456"/>
      <c r="KS47" s="456"/>
      <c r="KT47" s="456"/>
      <c r="KU47" s="456"/>
      <c r="KV47" s="456"/>
      <c r="KW47" s="456"/>
      <c r="KX47" s="456"/>
      <c r="KY47" s="456"/>
      <c r="KZ47" s="456"/>
      <c r="LA47" s="456"/>
      <c r="LB47" s="456"/>
      <c r="LC47" s="456"/>
      <c r="LD47" s="456"/>
      <c r="LE47" s="456"/>
      <c r="LF47" s="456"/>
      <c r="LG47" s="456"/>
      <c r="LH47" s="456"/>
      <c r="LI47" s="456"/>
      <c r="LJ47" s="456"/>
      <c r="LK47" s="456"/>
      <c r="LL47" s="456"/>
      <c r="LM47" s="456"/>
      <c r="LN47" s="456"/>
      <c r="LO47" s="456"/>
      <c r="LP47" s="456"/>
      <c r="LQ47" s="456"/>
      <c r="LR47" s="456"/>
      <c r="LS47" s="456"/>
      <c r="LT47" s="456"/>
      <c r="LU47" s="456"/>
      <c r="LV47" s="456"/>
      <c r="LW47" s="456"/>
      <c r="LX47" s="456"/>
      <c r="LY47" s="456"/>
      <c r="LZ47" s="456"/>
      <c r="MA47" s="456"/>
      <c r="MB47" s="456"/>
      <c r="MC47" s="456"/>
      <c r="MD47" s="456"/>
      <c r="ME47" s="456"/>
      <c r="MF47" s="456"/>
      <c r="MG47" s="456"/>
      <c r="MH47" s="456"/>
      <c r="MI47" s="456"/>
      <c r="MJ47" s="456"/>
      <c r="MK47" s="456"/>
      <c r="ML47" s="456"/>
      <c r="MM47" s="456"/>
      <c r="MN47" s="456"/>
      <c r="MO47" s="456"/>
      <c r="MP47" s="456"/>
      <c r="MQ47" s="456"/>
      <c r="MR47" s="456"/>
      <c r="MS47" s="456"/>
      <c r="MT47" s="456"/>
      <c r="MU47" s="456"/>
      <c r="MV47" s="456"/>
      <c r="MW47" s="456"/>
      <c r="MX47" s="456"/>
      <c r="MY47" s="456"/>
      <c r="MZ47" s="456"/>
      <c r="NA47" s="456"/>
      <c r="NB47" s="456"/>
      <c r="NC47" s="456"/>
      <c r="ND47" s="456"/>
      <c r="NE47" s="456"/>
      <c r="NF47" s="456"/>
      <c r="NG47" s="456"/>
      <c r="NH47" s="456"/>
      <c r="NI47" s="456"/>
      <c r="NJ47" s="456"/>
      <c r="NK47" s="456"/>
      <c r="NL47" s="456"/>
      <c r="NM47" s="456"/>
      <c r="NN47" s="456"/>
      <c r="NO47" s="456"/>
      <c r="NP47" s="456"/>
      <c r="NQ47" s="456"/>
      <c r="NR47" s="456"/>
      <c r="NS47" s="456"/>
      <c r="NT47" s="456"/>
      <c r="NU47" s="456"/>
      <c r="NV47" s="456"/>
      <c r="NW47" s="456"/>
      <c r="NX47" s="456"/>
      <c r="NY47" s="456"/>
      <c r="NZ47" s="456"/>
      <c r="OA47" s="456"/>
      <c r="OB47" s="456"/>
      <c r="OC47" s="456"/>
      <c r="OD47" s="456"/>
      <c r="OE47" s="456"/>
      <c r="OF47" s="456"/>
      <c r="OG47" s="456"/>
      <c r="OH47" s="456"/>
      <c r="OI47" s="456"/>
      <c r="OJ47" s="456"/>
      <c r="OK47" s="456"/>
      <c r="OL47" s="456"/>
      <c r="OM47" s="456"/>
      <c r="ON47" s="456"/>
      <c r="OO47" s="456"/>
      <c r="OP47" s="456"/>
      <c r="OQ47" s="456"/>
      <c r="OR47" s="456"/>
      <c r="OS47" s="456"/>
      <c r="OT47" s="456"/>
      <c r="OU47" s="456"/>
      <c r="OV47" s="456"/>
      <c r="OW47" s="456"/>
      <c r="OX47" s="456"/>
      <c r="OY47" s="456"/>
      <c r="OZ47" s="456"/>
      <c r="PA47" s="456"/>
      <c r="PB47" s="456"/>
      <c r="PC47" s="456"/>
      <c r="PD47" s="456"/>
      <c r="PE47" s="456"/>
      <c r="PF47" s="456"/>
      <c r="PG47" s="456"/>
      <c r="PH47" s="456"/>
      <c r="PI47" s="456"/>
      <c r="PJ47" s="456"/>
      <c r="PK47" s="456"/>
      <c r="PL47" s="456"/>
      <c r="PM47" s="456"/>
      <c r="PN47" s="456"/>
      <c r="PO47" s="456"/>
      <c r="PP47" s="456"/>
      <c r="PQ47" s="456"/>
      <c r="PR47" s="456"/>
      <c r="PS47" s="456"/>
      <c r="PT47" s="456"/>
      <c r="PU47" s="456"/>
      <c r="PV47" s="456"/>
      <c r="PW47" s="456"/>
      <c r="PX47" s="456"/>
      <c r="PY47" s="456"/>
      <c r="PZ47" s="456"/>
      <c r="QA47" s="456"/>
      <c r="QB47" s="456"/>
      <c r="QC47" s="456"/>
      <c r="QD47" s="456"/>
      <c r="QE47" s="456"/>
      <c r="QF47" s="456"/>
      <c r="QG47" s="456"/>
      <c r="QH47" s="456"/>
      <c r="QI47" s="456"/>
      <c r="QJ47" s="456"/>
      <c r="QK47" s="456"/>
      <c r="QL47" s="456"/>
      <c r="QM47" s="456"/>
      <c r="QN47" s="456"/>
      <c r="QO47" s="456"/>
      <c r="QP47" s="456"/>
      <c r="QQ47" s="456"/>
      <c r="QR47" s="456"/>
      <c r="QS47" s="456"/>
      <c r="QT47" s="456"/>
      <c r="QU47" s="456"/>
      <c r="QV47" s="456"/>
      <c r="QW47" s="456"/>
      <c r="QX47" s="456"/>
      <c r="QY47" s="456"/>
      <c r="QZ47" s="456"/>
      <c r="RA47" s="456"/>
      <c r="RB47" s="456"/>
      <c r="RC47" s="456"/>
      <c r="RD47" s="456"/>
      <c r="RE47" s="456"/>
      <c r="RF47" s="456"/>
      <c r="RG47" s="456"/>
      <c r="RH47" s="456"/>
      <c r="RI47" s="456"/>
      <c r="RJ47" s="456"/>
      <c r="RK47" s="456"/>
      <c r="RL47" s="456"/>
      <c r="RM47" s="456"/>
      <c r="RN47" s="456"/>
      <c r="RO47" s="456"/>
      <c r="RP47" s="456"/>
      <c r="RQ47" s="456"/>
      <c r="RR47" s="456"/>
      <c r="RS47" s="456"/>
      <c r="RT47" s="456"/>
      <c r="RU47" s="456"/>
      <c r="RV47" s="456"/>
      <c r="RW47" s="456"/>
      <c r="RX47" s="456"/>
      <c r="RY47" s="456"/>
      <c r="RZ47" s="456"/>
      <c r="SA47" s="456"/>
      <c r="SB47" s="456"/>
      <c r="SC47" s="456"/>
      <c r="SD47" s="456"/>
      <c r="SE47" s="456"/>
      <c r="SF47" s="456"/>
      <c r="SG47" s="456"/>
      <c r="SH47" s="456"/>
      <c r="SI47" s="456"/>
      <c r="SJ47" s="456"/>
      <c r="SK47" s="456"/>
      <c r="SL47" s="456"/>
      <c r="SM47" s="456"/>
      <c r="SN47" s="456"/>
      <c r="SO47" s="456"/>
      <c r="SP47" s="456"/>
      <c r="SQ47" s="456"/>
      <c r="SR47" s="456"/>
      <c r="SS47" s="456"/>
      <c r="ST47" s="456"/>
      <c r="SU47" s="456"/>
      <c r="SV47" s="456"/>
      <c r="SW47" s="456"/>
      <c r="SX47" s="456"/>
      <c r="SY47" s="456"/>
      <c r="SZ47" s="456"/>
      <c r="TA47" s="456"/>
      <c r="TB47" s="456"/>
      <c r="TC47" s="456"/>
      <c r="TD47" s="456"/>
      <c r="TE47" s="456"/>
      <c r="TF47" s="456"/>
      <c r="TG47" s="456"/>
      <c r="TH47" s="456"/>
      <c r="TI47" s="456"/>
      <c r="TJ47" s="456"/>
      <c r="TK47" s="456"/>
      <c r="TL47" s="456"/>
      <c r="TM47" s="456"/>
      <c r="TN47" s="456"/>
      <c r="TO47" s="456"/>
      <c r="TP47" s="456"/>
      <c r="TQ47" s="456"/>
      <c r="TR47" s="456"/>
      <c r="TS47" s="456"/>
      <c r="TT47" s="456"/>
      <c r="TU47" s="456"/>
      <c r="TV47" s="456"/>
      <c r="TW47" s="456"/>
      <c r="TX47" s="456"/>
      <c r="TY47" s="456"/>
      <c r="TZ47" s="456"/>
      <c r="UA47" s="456"/>
      <c r="UB47" s="456"/>
      <c r="UC47" s="456"/>
      <c r="UD47" s="456"/>
      <c r="UE47" s="456"/>
      <c r="UF47" s="456"/>
      <c r="UG47" s="456"/>
      <c r="UH47" s="456"/>
      <c r="UI47" s="456"/>
      <c r="UJ47" s="456"/>
      <c r="UK47" s="456"/>
      <c r="UL47" s="456"/>
      <c r="UM47" s="456"/>
      <c r="UN47" s="456"/>
      <c r="UO47" s="456"/>
      <c r="UP47" s="456"/>
      <c r="UQ47" s="456"/>
      <c r="UR47" s="456"/>
      <c r="US47" s="456"/>
      <c r="UT47" s="456"/>
      <c r="UU47" s="456"/>
      <c r="UV47" s="456"/>
      <c r="UW47" s="456"/>
      <c r="UX47" s="456"/>
      <c r="UY47" s="456"/>
      <c r="UZ47" s="456"/>
      <c r="VA47" s="456"/>
      <c r="VB47" s="456"/>
      <c r="VC47" s="456"/>
      <c r="VD47" s="456"/>
      <c r="VE47" s="456"/>
      <c r="VF47" s="456"/>
      <c r="VG47" s="456"/>
      <c r="VH47" s="456"/>
      <c r="VI47" s="456"/>
      <c r="VJ47" s="456"/>
      <c r="VK47" s="456"/>
      <c r="VL47" s="456"/>
      <c r="VM47" s="456"/>
      <c r="VN47" s="456"/>
      <c r="VO47" s="456"/>
      <c r="VP47" s="456"/>
      <c r="VQ47" s="456"/>
      <c r="VR47" s="456"/>
      <c r="VS47" s="456"/>
      <c r="VT47" s="456"/>
      <c r="VU47" s="456"/>
      <c r="VV47" s="456"/>
      <c r="VW47" s="456"/>
      <c r="VX47" s="456"/>
      <c r="VY47" s="456"/>
      <c r="VZ47" s="456"/>
      <c r="WA47" s="456"/>
      <c r="WB47" s="456"/>
      <c r="WC47" s="456"/>
      <c r="WD47" s="456"/>
      <c r="WE47" s="456"/>
      <c r="WF47" s="456"/>
      <c r="WG47" s="456"/>
      <c r="WH47" s="456"/>
      <c r="WI47" s="456"/>
      <c r="WJ47" s="456"/>
      <c r="WK47" s="456"/>
      <c r="WL47" s="456"/>
      <c r="WM47" s="456"/>
      <c r="WN47" s="456"/>
      <c r="WO47" s="456"/>
      <c r="WP47" s="456"/>
      <c r="WQ47" s="456"/>
      <c r="WR47" s="456"/>
      <c r="WS47" s="456"/>
      <c r="WT47" s="456"/>
      <c r="WU47" s="456"/>
      <c r="WV47" s="456"/>
      <c r="WW47" s="456"/>
      <c r="WX47" s="456"/>
      <c r="WY47" s="456"/>
      <c r="WZ47" s="456"/>
      <c r="XA47" s="456"/>
      <c r="XB47" s="456"/>
      <c r="XC47" s="456"/>
      <c r="XD47" s="456"/>
      <c r="XE47" s="456"/>
      <c r="XF47" s="456"/>
      <c r="XG47" s="456"/>
      <c r="XH47" s="456"/>
      <c r="XI47" s="456"/>
      <c r="XJ47" s="456"/>
      <c r="XK47" s="456"/>
      <c r="XL47" s="456"/>
      <c r="XM47" s="456"/>
      <c r="XN47" s="456"/>
      <c r="XO47" s="456"/>
      <c r="XP47" s="456"/>
      <c r="XQ47" s="456"/>
      <c r="XR47" s="456"/>
      <c r="XS47" s="456"/>
      <c r="XT47" s="456"/>
      <c r="XU47" s="456"/>
      <c r="XV47" s="456"/>
      <c r="XW47" s="456"/>
      <c r="XX47" s="456"/>
      <c r="XY47" s="456"/>
      <c r="XZ47" s="456"/>
      <c r="YA47" s="456"/>
      <c r="YB47" s="456"/>
      <c r="YC47" s="456"/>
      <c r="YD47" s="456"/>
      <c r="YE47" s="456"/>
      <c r="YF47" s="456"/>
      <c r="YG47" s="456"/>
      <c r="YH47" s="456"/>
      <c r="YI47" s="456"/>
      <c r="YJ47" s="456"/>
      <c r="YK47" s="456"/>
      <c r="YL47" s="456"/>
      <c r="YM47" s="456"/>
      <c r="YN47" s="456"/>
      <c r="YO47" s="456"/>
      <c r="YP47" s="456"/>
      <c r="YQ47" s="456"/>
      <c r="YR47" s="456"/>
      <c r="YS47" s="456"/>
      <c r="YT47" s="456"/>
      <c r="YU47" s="456"/>
      <c r="YV47" s="456"/>
      <c r="YW47" s="456"/>
      <c r="YX47" s="456"/>
      <c r="YY47" s="456"/>
      <c r="YZ47" s="456"/>
      <c r="ZA47" s="456"/>
      <c r="ZB47" s="456"/>
      <c r="ZC47" s="456"/>
      <c r="ZD47" s="456"/>
      <c r="ZE47" s="456"/>
      <c r="ZF47" s="456"/>
      <c r="ZG47" s="456"/>
      <c r="ZH47" s="456"/>
      <c r="ZI47" s="456"/>
      <c r="ZJ47" s="456"/>
      <c r="ZK47" s="456"/>
      <c r="ZL47" s="456"/>
      <c r="ZM47" s="456"/>
      <c r="ZN47" s="456"/>
      <c r="ZO47" s="456"/>
      <c r="ZP47" s="456"/>
      <c r="ZQ47" s="456"/>
      <c r="ZR47" s="456"/>
      <c r="ZS47" s="456"/>
      <c r="ZT47" s="456"/>
      <c r="ZU47" s="456"/>
      <c r="ZV47" s="456"/>
      <c r="ZW47" s="456"/>
      <c r="ZX47" s="456"/>
      <c r="ZY47" s="456"/>
      <c r="ZZ47" s="456"/>
      <c r="AAA47" s="456"/>
      <c r="AAB47" s="456"/>
      <c r="AAC47" s="456"/>
      <c r="AAD47" s="456"/>
      <c r="AAE47" s="456"/>
      <c r="AAF47" s="456"/>
      <c r="AAG47" s="456"/>
      <c r="AAH47" s="456"/>
      <c r="AAI47" s="456"/>
      <c r="AAJ47" s="456"/>
      <c r="AAK47" s="456"/>
      <c r="AAL47" s="456"/>
      <c r="AAM47" s="456"/>
      <c r="AAN47" s="456"/>
      <c r="AAO47" s="456"/>
      <c r="AAP47" s="456"/>
      <c r="AAQ47" s="456"/>
      <c r="AAR47" s="456"/>
      <c r="AAS47" s="456"/>
      <c r="AAT47" s="456"/>
      <c r="AAU47" s="456"/>
      <c r="AAV47" s="456"/>
      <c r="AAW47" s="456"/>
      <c r="AAX47" s="456"/>
      <c r="AAY47" s="456"/>
      <c r="AAZ47" s="456"/>
      <c r="ABA47" s="456"/>
      <c r="ABB47" s="456"/>
      <c r="ABC47" s="456"/>
      <c r="ABD47" s="456"/>
      <c r="ABE47" s="456"/>
      <c r="ABF47" s="456"/>
      <c r="ABG47" s="456"/>
      <c r="ABH47" s="456"/>
      <c r="ABI47" s="456"/>
      <c r="ABJ47" s="456"/>
      <c r="ABK47" s="456"/>
      <c r="ABL47" s="456"/>
      <c r="ABM47" s="456"/>
      <c r="ABN47" s="456"/>
      <c r="ABO47" s="456"/>
      <c r="ABP47" s="456"/>
      <c r="ABQ47" s="456"/>
      <c r="ABR47" s="456"/>
      <c r="ABS47" s="456"/>
      <c r="ABT47" s="456"/>
      <c r="ABU47" s="456"/>
      <c r="ABV47" s="456"/>
      <c r="ABW47" s="456"/>
      <c r="ABX47" s="456"/>
      <c r="ABY47" s="456"/>
      <c r="ABZ47" s="456"/>
      <c r="ACA47" s="456"/>
      <c r="ACB47" s="456"/>
      <c r="ACC47" s="456"/>
      <c r="ACD47" s="456"/>
      <c r="ACE47" s="456"/>
      <c r="ACF47" s="456"/>
      <c r="ACG47" s="456"/>
      <c r="ACH47" s="456"/>
      <c r="ACI47" s="456"/>
      <c r="ACJ47" s="456"/>
      <c r="ACK47" s="456"/>
      <c r="ACL47" s="456"/>
      <c r="ACM47" s="456"/>
      <c r="ACN47" s="456"/>
      <c r="ACO47" s="456"/>
      <c r="ACP47" s="456"/>
      <c r="ACQ47" s="456"/>
      <c r="ACR47" s="456"/>
      <c r="ACS47" s="456"/>
      <c r="ACT47" s="456"/>
      <c r="ACU47" s="456"/>
      <c r="ACV47" s="456"/>
      <c r="ACW47" s="456"/>
      <c r="ACX47" s="456"/>
      <c r="ACY47" s="456"/>
      <c r="ACZ47" s="456"/>
      <c r="ADA47" s="456"/>
      <c r="ADB47" s="456"/>
      <c r="ADC47" s="456"/>
      <c r="ADD47" s="456"/>
      <c r="ADE47" s="456"/>
      <c r="ADF47" s="456"/>
      <c r="ADG47" s="456"/>
      <c r="ADH47" s="456"/>
      <c r="ADI47" s="456"/>
      <c r="ADJ47" s="456"/>
      <c r="ADK47" s="456"/>
      <c r="ADL47" s="456"/>
      <c r="ADM47" s="456"/>
      <c r="ADN47" s="456"/>
      <c r="ADO47" s="456"/>
      <c r="ADP47" s="456"/>
      <c r="ADQ47" s="456"/>
      <c r="ADR47" s="456"/>
      <c r="ADS47" s="456"/>
      <c r="ADT47" s="456"/>
      <c r="ADU47" s="456"/>
      <c r="ADV47" s="456"/>
      <c r="ADW47" s="456"/>
      <c r="ADX47" s="456"/>
      <c r="ADY47" s="456"/>
      <c r="ADZ47" s="456"/>
      <c r="AEA47" s="456"/>
      <c r="AEB47" s="456"/>
      <c r="AEC47" s="456"/>
      <c r="AED47" s="456"/>
      <c r="AEE47" s="456"/>
      <c r="AEF47" s="456"/>
      <c r="AEG47" s="456"/>
      <c r="AEH47" s="456"/>
      <c r="AEI47" s="456"/>
      <c r="AEJ47" s="456"/>
      <c r="AEK47" s="456"/>
      <c r="AEL47" s="456"/>
      <c r="AEM47" s="456"/>
      <c r="AEN47" s="456"/>
      <c r="AEO47" s="456"/>
      <c r="AEP47" s="456"/>
      <c r="AEQ47" s="456"/>
      <c r="AER47" s="456"/>
      <c r="AES47" s="456"/>
      <c r="AET47" s="456"/>
      <c r="AEU47" s="456"/>
      <c r="AEV47" s="456"/>
      <c r="AEW47" s="456"/>
      <c r="AEX47" s="456"/>
      <c r="AEY47" s="456"/>
      <c r="AEZ47" s="456"/>
      <c r="AFA47" s="456"/>
      <c r="AFB47" s="456"/>
      <c r="AFC47" s="456"/>
      <c r="AFD47" s="456"/>
      <c r="AFE47" s="456"/>
      <c r="AFF47" s="456"/>
      <c r="AFG47" s="456"/>
      <c r="AFH47" s="456"/>
      <c r="AFI47" s="456"/>
      <c r="AFJ47" s="456"/>
      <c r="AFK47" s="456"/>
      <c r="AFL47" s="456"/>
      <c r="AFM47" s="456"/>
      <c r="AFN47" s="456"/>
      <c r="AFO47" s="456"/>
      <c r="AFP47" s="456"/>
      <c r="AFQ47" s="456"/>
      <c r="AFR47" s="456"/>
      <c r="AFS47" s="456"/>
      <c r="AFT47" s="456"/>
      <c r="AFU47" s="456"/>
      <c r="AFV47" s="456"/>
      <c r="AFW47" s="456"/>
      <c r="AFX47" s="456"/>
      <c r="AFY47" s="456"/>
      <c r="AFZ47" s="456"/>
      <c r="AGA47" s="456"/>
      <c r="AGB47" s="456"/>
      <c r="AGC47" s="456"/>
      <c r="AGD47" s="456"/>
      <c r="AGE47" s="456"/>
      <c r="AGF47" s="456"/>
      <c r="AGG47" s="456"/>
      <c r="AGH47" s="456"/>
      <c r="AGI47" s="456"/>
      <c r="AGJ47" s="456"/>
      <c r="AGK47" s="456"/>
      <c r="AGL47" s="456"/>
      <c r="AGM47" s="456"/>
      <c r="AGN47" s="456"/>
      <c r="AGO47" s="456"/>
      <c r="AGP47" s="456"/>
      <c r="AGQ47" s="456"/>
      <c r="AGR47" s="456"/>
      <c r="AGS47" s="456"/>
      <c r="AGT47" s="456"/>
      <c r="AGU47" s="456"/>
      <c r="AGV47" s="456"/>
      <c r="AGW47" s="456"/>
      <c r="AGX47" s="456"/>
      <c r="AGY47" s="456"/>
      <c r="AGZ47" s="456"/>
      <c r="AHA47" s="456"/>
      <c r="AHB47" s="456"/>
      <c r="AHC47" s="456"/>
      <c r="AHD47" s="456"/>
      <c r="AHE47" s="456"/>
      <c r="AHF47" s="456"/>
      <c r="AHG47" s="456"/>
      <c r="AHH47" s="456"/>
      <c r="AHI47" s="456"/>
      <c r="AHJ47" s="456"/>
      <c r="AHK47" s="456"/>
      <c r="AHL47" s="456"/>
      <c r="AHM47" s="456"/>
      <c r="AHN47" s="456"/>
      <c r="AHO47" s="456"/>
      <c r="AHP47" s="456"/>
      <c r="AHQ47" s="456"/>
      <c r="AHR47" s="456"/>
      <c r="AHS47" s="456"/>
      <c r="AHT47" s="456"/>
      <c r="AHU47" s="456"/>
      <c r="AHV47" s="456"/>
      <c r="AHW47" s="456"/>
      <c r="AHX47" s="456"/>
      <c r="AHY47" s="456"/>
      <c r="AHZ47" s="456"/>
      <c r="AIA47" s="456"/>
      <c r="AIB47" s="456"/>
      <c r="AIC47" s="456"/>
      <c r="AID47" s="456"/>
      <c r="AIE47" s="456"/>
      <c r="AIF47" s="456"/>
      <c r="AIG47" s="456"/>
      <c r="AIH47" s="456"/>
      <c r="AII47" s="456"/>
      <c r="AIJ47" s="456"/>
      <c r="AIK47" s="456"/>
      <c r="AIL47" s="456"/>
      <c r="AIM47" s="456"/>
      <c r="AIN47" s="456"/>
      <c r="AIO47" s="456"/>
      <c r="AIP47" s="456"/>
      <c r="AIQ47" s="456"/>
      <c r="AIR47" s="456"/>
      <c r="AIS47" s="456"/>
      <c r="AIT47" s="456"/>
      <c r="AIU47" s="456"/>
      <c r="AIV47" s="456"/>
      <c r="AIW47" s="456"/>
      <c r="AIX47" s="456"/>
      <c r="AIY47" s="456"/>
      <c r="AIZ47" s="456"/>
      <c r="AJA47" s="456"/>
      <c r="AJB47" s="456"/>
      <c r="AJC47" s="456"/>
      <c r="AJD47" s="456"/>
      <c r="AJE47" s="456"/>
      <c r="AJF47" s="456"/>
      <c r="AJG47" s="456"/>
      <c r="AJH47" s="456"/>
      <c r="AJI47" s="456"/>
      <c r="AJJ47" s="456"/>
      <c r="AJK47" s="456"/>
      <c r="AJL47" s="456"/>
      <c r="AJM47" s="456"/>
      <c r="AJN47" s="456"/>
      <c r="AJO47" s="456"/>
      <c r="AJP47" s="456"/>
      <c r="AJQ47" s="456"/>
      <c r="AJR47" s="456"/>
      <c r="AJS47" s="456"/>
      <c r="AJT47" s="456"/>
      <c r="AJU47" s="456"/>
      <c r="AJV47" s="456"/>
      <c r="AJW47" s="456"/>
      <c r="AJX47" s="456"/>
      <c r="AJY47" s="456"/>
      <c r="AJZ47" s="456"/>
      <c r="AKA47" s="456"/>
      <c r="AKB47" s="456"/>
      <c r="AKC47" s="456"/>
      <c r="AKD47" s="456"/>
      <c r="AKE47" s="456"/>
      <c r="AKF47" s="456"/>
      <c r="AKG47" s="456"/>
      <c r="AKH47" s="456"/>
      <c r="AKI47" s="456"/>
      <c r="AKJ47" s="456"/>
      <c r="AKK47" s="456"/>
      <c r="AKL47" s="456"/>
      <c r="AKM47" s="456"/>
      <c r="AKN47" s="456"/>
      <c r="AKO47" s="456"/>
      <c r="AKP47" s="456"/>
      <c r="AKQ47" s="456"/>
      <c r="AKR47" s="456"/>
      <c r="AKS47" s="456"/>
      <c r="AKT47" s="456"/>
      <c r="AKU47" s="456"/>
      <c r="AKV47" s="456"/>
      <c r="AKW47" s="456"/>
      <c r="AKX47" s="456"/>
      <c r="AKY47" s="456"/>
      <c r="AKZ47" s="456"/>
      <c r="ALA47" s="456"/>
      <c r="ALB47" s="456"/>
      <c r="ALC47" s="456"/>
      <c r="ALD47" s="456"/>
      <c r="ALE47" s="456"/>
      <c r="ALF47" s="456"/>
      <c r="ALG47" s="456"/>
      <c r="ALH47" s="456"/>
      <c r="ALI47" s="456"/>
      <c r="ALJ47" s="456"/>
      <c r="ALK47" s="456"/>
      <c r="ALL47" s="456"/>
      <c r="ALM47" s="456"/>
      <c r="ALN47" s="456"/>
      <c r="ALO47" s="456"/>
      <c r="ALP47" s="456"/>
      <c r="ALQ47" s="456"/>
      <c r="ALR47" s="456"/>
      <c r="ALS47" s="456"/>
      <c r="ALT47" s="456"/>
      <c r="ALU47" s="456"/>
      <c r="ALV47" s="456"/>
      <c r="ALW47" s="456"/>
      <c r="ALX47" s="456"/>
      <c r="ALY47" s="456"/>
      <c r="ALZ47" s="456"/>
      <c r="AMA47" s="456"/>
      <c r="AMB47" s="456"/>
      <c r="AMC47" s="456"/>
      <c r="AMD47" s="456"/>
      <c r="AME47" s="456"/>
      <c r="AMF47" s="456"/>
      <c r="AMG47" s="456"/>
      <c r="AMH47" s="456"/>
      <c r="AMI47" s="456"/>
      <c r="AMJ47" s="456"/>
      <c r="AMK47" s="456"/>
      <c r="AML47" s="456"/>
      <c r="AMM47" s="456"/>
      <c r="AMN47" s="456"/>
      <c r="AMO47" s="456"/>
      <c r="AMP47" s="456"/>
      <c r="AMQ47" s="456"/>
      <c r="AMR47" s="456"/>
      <c r="AMS47" s="456"/>
      <c r="AMT47" s="456"/>
      <c r="AMU47" s="456"/>
      <c r="AMV47" s="456"/>
      <c r="AMW47" s="456"/>
      <c r="AMX47" s="456"/>
      <c r="AMY47" s="456"/>
      <c r="AMZ47" s="456"/>
      <c r="ANA47" s="456"/>
      <c r="ANB47" s="456"/>
      <c r="ANC47" s="456"/>
      <c r="AND47" s="456"/>
      <c r="ANE47" s="456"/>
      <c r="ANF47" s="456"/>
      <c r="ANG47" s="456"/>
      <c r="ANH47" s="456"/>
      <c r="ANI47" s="456"/>
      <c r="ANJ47" s="456"/>
      <c r="ANK47" s="456"/>
      <c r="ANL47" s="456"/>
      <c r="ANM47" s="456"/>
      <c r="ANN47" s="456"/>
      <c r="ANO47" s="456"/>
      <c r="ANP47" s="456"/>
      <c r="ANQ47" s="456"/>
      <c r="ANR47" s="456"/>
      <c r="ANS47" s="456"/>
      <c r="ANT47" s="456"/>
      <c r="ANU47" s="456"/>
      <c r="ANV47" s="456"/>
      <c r="ANW47" s="456"/>
      <c r="ANX47" s="456"/>
      <c r="ANY47" s="456"/>
      <c r="ANZ47" s="456"/>
      <c r="AOA47" s="456"/>
      <c r="AOB47" s="456"/>
      <c r="AOC47" s="456"/>
      <c r="AOD47" s="456"/>
      <c r="AOE47" s="456"/>
      <c r="AOF47" s="456"/>
      <c r="AOG47" s="456"/>
      <c r="AOH47" s="456"/>
      <c r="AOI47" s="456"/>
      <c r="AOJ47" s="456"/>
      <c r="AOK47" s="456"/>
      <c r="AOL47" s="456"/>
      <c r="AOM47" s="456"/>
      <c r="AON47" s="456"/>
      <c r="AOO47" s="456"/>
      <c r="AOP47" s="456"/>
      <c r="AOQ47" s="456"/>
      <c r="AOR47" s="456"/>
      <c r="AOS47" s="456"/>
      <c r="AOT47" s="456"/>
      <c r="AOU47" s="456"/>
      <c r="AOV47" s="456"/>
      <c r="AOW47" s="456"/>
      <c r="AOX47" s="456"/>
      <c r="AOY47" s="456"/>
      <c r="AOZ47" s="456"/>
      <c r="APA47" s="456"/>
      <c r="APB47" s="456"/>
      <c r="APC47" s="456"/>
      <c r="APD47" s="456"/>
      <c r="APE47" s="456"/>
      <c r="APF47" s="456"/>
      <c r="APG47" s="456"/>
      <c r="APH47" s="456"/>
      <c r="API47" s="456"/>
      <c r="APJ47" s="456"/>
      <c r="APK47" s="456"/>
      <c r="APL47" s="456"/>
      <c r="APM47" s="456"/>
      <c r="APN47" s="456"/>
      <c r="APO47" s="456"/>
      <c r="APP47" s="456"/>
      <c r="APQ47" s="456"/>
      <c r="APR47" s="456"/>
      <c r="APS47" s="456"/>
      <c r="APT47" s="456"/>
      <c r="APU47" s="456"/>
      <c r="APV47" s="456"/>
      <c r="APW47" s="456"/>
      <c r="APX47" s="456"/>
      <c r="APY47" s="456"/>
      <c r="APZ47" s="456"/>
      <c r="AQA47" s="456"/>
      <c r="AQB47" s="456"/>
      <c r="AQC47" s="456"/>
      <c r="AQD47" s="456"/>
      <c r="AQE47" s="456"/>
      <c r="AQF47" s="456"/>
      <c r="AQG47" s="456"/>
      <c r="AQH47" s="456"/>
      <c r="AQI47" s="456"/>
      <c r="AQJ47" s="456"/>
      <c r="AQK47" s="456"/>
      <c r="AQL47" s="456"/>
      <c r="AQM47" s="456"/>
      <c r="AQN47" s="456"/>
      <c r="AQO47" s="456"/>
      <c r="AQP47" s="456"/>
      <c r="AQQ47" s="456"/>
      <c r="AQR47" s="456"/>
      <c r="AQS47" s="456"/>
      <c r="AQT47" s="456"/>
      <c r="AQU47" s="456"/>
      <c r="AQV47" s="456"/>
      <c r="AQW47" s="456"/>
      <c r="AQX47" s="456"/>
      <c r="AQY47" s="456"/>
      <c r="AQZ47" s="456"/>
      <c r="ARA47" s="456"/>
      <c r="ARB47" s="456"/>
      <c r="ARC47" s="456"/>
      <c r="ARD47" s="456"/>
      <c r="ARE47" s="456"/>
      <c r="ARF47" s="456"/>
      <c r="ARG47" s="456"/>
      <c r="ARH47" s="456"/>
      <c r="ARI47" s="456"/>
      <c r="ARJ47" s="456"/>
      <c r="ARK47" s="456"/>
      <c r="ARL47" s="456"/>
      <c r="ARM47" s="456"/>
      <c r="ARN47" s="456"/>
      <c r="ARO47" s="456"/>
      <c r="ARP47" s="456"/>
      <c r="ARQ47" s="456"/>
      <c r="ARR47" s="456"/>
      <c r="ARS47" s="456"/>
      <c r="ART47" s="456"/>
      <c r="ARU47" s="456"/>
      <c r="ARV47" s="456"/>
      <c r="ARW47" s="456"/>
      <c r="ARX47" s="456"/>
      <c r="ARY47" s="456"/>
      <c r="ARZ47" s="456"/>
      <c r="ASA47" s="456"/>
      <c r="ASB47" s="456"/>
      <c r="ASC47" s="456"/>
      <c r="ASD47" s="456"/>
      <c r="ASE47" s="456"/>
      <c r="ASF47" s="456"/>
      <c r="ASG47" s="456"/>
      <c r="ASH47" s="456"/>
      <c r="ASI47" s="456"/>
      <c r="ASJ47" s="456"/>
      <c r="ASK47" s="456"/>
      <c r="ASL47" s="456"/>
      <c r="ASM47" s="456"/>
      <c r="ASN47" s="456"/>
      <c r="ASO47" s="456"/>
      <c r="ASP47" s="456"/>
      <c r="ASQ47" s="456"/>
      <c r="ASR47" s="456"/>
      <c r="ASS47" s="456"/>
      <c r="AST47" s="456"/>
      <c r="ASU47" s="456"/>
      <c r="ASV47" s="456"/>
      <c r="ASW47" s="456"/>
      <c r="ASX47" s="456"/>
      <c r="ASY47" s="456"/>
      <c r="ASZ47" s="456"/>
      <c r="ATA47" s="456"/>
      <c r="ATB47" s="456"/>
      <c r="ATC47" s="456"/>
      <c r="ATD47" s="456"/>
      <c r="ATE47" s="456"/>
      <c r="ATF47" s="456"/>
      <c r="ATG47" s="456"/>
      <c r="ATH47" s="456"/>
      <c r="ATI47" s="456"/>
      <c r="ATJ47" s="456"/>
      <c r="ATK47" s="456"/>
      <c r="ATL47" s="456"/>
      <c r="ATM47" s="456"/>
      <c r="ATN47" s="456"/>
      <c r="ATO47" s="456"/>
      <c r="ATP47" s="456"/>
      <c r="ATQ47" s="456"/>
      <c r="ATR47" s="456"/>
      <c r="ATS47" s="456"/>
      <c r="ATT47" s="456"/>
      <c r="ATU47" s="456"/>
      <c r="ATV47" s="456"/>
      <c r="ATW47" s="456"/>
      <c r="ATX47" s="456"/>
      <c r="ATY47" s="456"/>
      <c r="ATZ47" s="456"/>
      <c r="AUA47" s="456"/>
      <c r="AUB47" s="456"/>
      <c r="AUC47" s="456"/>
      <c r="AUD47" s="456"/>
      <c r="AUE47" s="456"/>
      <c r="AUF47" s="456"/>
      <c r="AUG47" s="456"/>
      <c r="AUH47" s="456"/>
      <c r="AUI47" s="456"/>
      <c r="AUJ47" s="456"/>
      <c r="AUK47" s="456"/>
      <c r="AUL47" s="456"/>
      <c r="AUM47" s="456"/>
      <c r="AUN47" s="456"/>
      <c r="AUO47" s="456"/>
      <c r="AUP47" s="456"/>
      <c r="AUQ47" s="456"/>
      <c r="AUR47" s="456"/>
      <c r="AUS47" s="456"/>
      <c r="AUT47" s="456"/>
      <c r="AUU47" s="456"/>
      <c r="AUV47" s="456"/>
      <c r="AUW47" s="456"/>
      <c r="AUX47" s="456"/>
      <c r="AUY47" s="456"/>
      <c r="AUZ47" s="456"/>
      <c r="AVA47" s="456"/>
      <c r="AVB47" s="456"/>
      <c r="AVC47" s="456"/>
      <c r="AVD47" s="456"/>
      <c r="AVE47" s="456"/>
      <c r="AVF47" s="456"/>
      <c r="AVG47" s="456"/>
      <c r="AVH47" s="456"/>
      <c r="AVI47" s="456"/>
      <c r="AVJ47" s="456"/>
      <c r="AVK47" s="456"/>
      <c r="AVL47" s="456"/>
      <c r="AVM47" s="456"/>
      <c r="AVN47" s="456"/>
      <c r="AVO47" s="456"/>
      <c r="AVP47" s="456"/>
      <c r="AVQ47" s="456"/>
      <c r="AVR47" s="456"/>
      <c r="AVS47" s="456"/>
      <c r="AVT47" s="456"/>
      <c r="AVU47" s="456"/>
      <c r="AVV47" s="456"/>
      <c r="AVW47" s="456"/>
      <c r="AVX47" s="456"/>
      <c r="AVY47" s="456"/>
      <c r="AVZ47" s="456"/>
      <c r="AWA47" s="456"/>
      <c r="AWB47" s="456"/>
      <c r="AWC47" s="456"/>
      <c r="AWD47" s="456"/>
      <c r="AWE47" s="456"/>
      <c r="AWF47" s="456"/>
      <c r="AWG47" s="456"/>
      <c r="AWH47" s="456"/>
      <c r="AWI47" s="456"/>
      <c r="AWJ47" s="456"/>
      <c r="AWK47" s="456"/>
      <c r="AWL47" s="456"/>
      <c r="AWM47" s="456"/>
      <c r="AWN47" s="456"/>
      <c r="AWO47" s="456"/>
      <c r="AWP47" s="456"/>
      <c r="AWQ47" s="456"/>
      <c r="AWR47" s="456"/>
      <c r="AWS47" s="456"/>
      <c r="AWT47" s="456"/>
      <c r="AWU47" s="456"/>
      <c r="AWV47" s="456"/>
      <c r="AWW47" s="456"/>
      <c r="AWX47" s="456"/>
      <c r="AWY47" s="456"/>
      <c r="AWZ47" s="456"/>
      <c r="AXA47" s="456"/>
      <c r="AXB47" s="456"/>
      <c r="AXC47" s="456"/>
      <c r="AXD47" s="456"/>
      <c r="AXE47" s="456"/>
      <c r="AXF47" s="456"/>
      <c r="AXG47" s="456"/>
      <c r="AXH47" s="456"/>
      <c r="AXI47" s="456"/>
      <c r="AXJ47" s="456"/>
      <c r="AXK47" s="456"/>
      <c r="AXL47" s="456"/>
      <c r="AXM47" s="456"/>
      <c r="AXN47" s="456"/>
      <c r="AXO47" s="456"/>
      <c r="AXP47" s="456"/>
      <c r="AXQ47" s="456"/>
      <c r="AXR47" s="456"/>
      <c r="AXS47" s="456"/>
      <c r="AXT47" s="456"/>
      <c r="AXU47" s="456"/>
      <c r="AXV47" s="456"/>
      <c r="AXW47" s="456"/>
      <c r="AXX47" s="456"/>
      <c r="AXY47" s="456"/>
      <c r="AXZ47" s="456"/>
      <c r="AYA47" s="456"/>
      <c r="AYB47" s="456"/>
      <c r="AYC47" s="456"/>
      <c r="AYD47" s="456"/>
      <c r="AYE47" s="456"/>
      <c r="AYF47" s="456"/>
      <c r="AYG47" s="456"/>
      <c r="AYH47" s="456"/>
      <c r="AYI47" s="456"/>
      <c r="AYJ47" s="456"/>
      <c r="AYK47" s="456"/>
      <c r="AYL47" s="456"/>
      <c r="AYM47" s="456"/>
      <c r="AYN47" s="456"/>
      <c r="AYO47" s="456"/>
      <c r="AYP47" s="456"/>
      <c r="AYQ47" s="456"/>
      <c r="AYR47" s="456"/>
      <c r="AYS47" s="456"/>
      <c r="AYT47" s="456"/>
      <c r="AYU47" s="456"/>
      <c r="AYV47" s="456"/>
      <c r="AYW47" s="456"/>
      <c r="AYX47" s="456"/>
      <c r="AYY47" s="456"/>
      <c r="AYZ47" s="456"/>
      <c r="AZA47" s="456"/>
      <c r="AZB47" s="456"/>
      <c r="AZC47" s="456"/>
      <c r="AZD47" s="456"/>
      <c r="AZE47" s="456"/>
      <c r="AZF47" s="456"/>
      <c r="AZG47" s="456"/>
      <c r="AZH47" s="456"/>
      <c r="AZI47" s="456"/>
      <c r="AZJ47" s="456"/>
      <c r="AZK47" s="456"/>
      <c r="AZL47" s="456"/>
      <c r="AZM47" s="456"/>
      <c r="AZN47" s="456"/>
      <c r="AZO47" s="456"/>
      <c r="AZP47" s="456"/>
      <c r="AZQ47" s="456"/>
      <c r="AZR47" s="456"/>
      <c r="AZS47" s="456"/>
      <c r="AZT47" s="456"/>
      <c r="AZU47" s="456"/>
      <c r="AZV47" s="456"/>
      <c r="AZW47" s="456"/>
      <c r="AZX47" s="456"/>
      <c r="AZY47" s="456"/>
      <c r="AZZ47" s="456"/>
      <c r="BAA47" s="456"/>
      <c r="BAB47" s="456"/>
      <c r="BAC47" s="456"/>
      <c r="BAD47" s="456"/>
      <c r="BAE47" s="456"/>
      <c r="BAF47" s="456"/>
      <c r="BAG47" s="456"/>
      <c r="BAH47" s="456"/>
      <c r="BAI47" s="456"/>
      <c r="BAJ47" s="456"/>
      <c r="BAK47" s="456"/>
      <c r="BAL47" s="456"/>
      <c r="BAM47" s="456"/>
      <c r="BAN47" s="456"/>
      <c r="BAO47" s="456"/>
      <c r="BAP47" s="456"/>
      <c r="BAQ47" s="456"/>
      <c r="BAR47" s="456"/>
      <c r="BAS47" s="456"/>
      <c r="BAT47" s="456"/>
      <c r="BAU47" s="456"/>
      <c r="BAV47" s="456"/>
      <c r="BAW47" s="456"/>
      <c r="BAX47" s="456"/>
      <c r="BAY47" s="456"/>
      <c r="BAZ47" s="456"/>
      <c r="BBA47" s="456"/>
      <c r="BBB47" s="456"/>
      <c r="BBC47" s="456"/>
      <c r="BBD47" s="456"/>
      <c r="BBE47" s="456"/>
      <c r="BBF47" s="456"/>
      <c r="BBG47" s="456"/>
      <c r="BBH47" s="456"/>
      <c r="BBI47" s="456"/>
      <c r="BBJ47" s="456"/>
      <c r="BBK47" s="456"/>
      <c r="BBL47" s="456"/>
      <c r="BBM47" s="456"/>
      <c r="BBN47" s="456"/>
      <c r="BBO47" s="456"/>
      <c r="BBP47" s="456"/>
      <c r="BBQ47" s="456"/>
      <c r="BBR47" s="456"/>
      <c r="BBS47" s="456"/>
      <c r="BBT47" s="456"/>
      <c r="BBU47" s="456"/>
      <c r="BBV47" s="456"/>
      <c r="BBW47" s="456"/>
      <c r="BBX47" s="456"/>
      <c r="BBY47" s="456"/>
      <c r="BBZ47" s="456"/>
      <c r="BCA47" s="456"/>
      <c r="BCB47" s="456"/>
      <c r="BCC47" s="456"/>
      <c r="BCD47" s="456"/>
      <c r="BCE47" s="456"/>
      <c r="BCF47" s="456"/>
      <c r="BCG47" s="456"/>
      <c r="BCH47" s="456"/>
      <c r="BCI47" s="456"/>
      <c r="BCJ47" s="456"/>
      <c r="BCK47" s="456"/>
      <c r="BCL47" s="456"/>
      <c r="BCM47" s="456"/>
      <c r="BCN47" s="456"/>
      <c r="BCO47" s="456"/>
      <c r="BCP47" s="456"/>
      <c r="BCQ47" s="456"/>
      <c r="BCR47" s="456"/>
      <c r="BCS47" s="456"/>
      <c r="BCT47" s="456"/>
      <c r="BCU47" s="456"/>
      <c r="BCV47" s="456"/>
      <c r="BCW47" s="456"/>
      <c r="BCX47" s="456"/>
      <c r="BCY47" s="456"/>
      <c r="BCZ47" s="456"/>
      <c r="BDA47" s="456"/>
      <c r="BDB47" s="456"/>
      <c r="BDC47" s="456"/>
      <c r="BDD47" s="456"/>
      <c r="BDE47" s="456"/>
      <c r="BDF47" s="456"/>
      <c r="BDG47" s="456"/>
      <c r="BDH47" s="456"/>
      <c r="BDI47" s="456"/>
      <c r="BDJ47" s="456"/>
      <c r="BDK47" s="456"/>
      <c r="BDL47" s="456"/>
      <c r="BDM47" s="456"/>
      <c r="BDN47" s="456"/>
      <c r="BDO47" s="456"/>
      <c r="BDP47" s="456"/>
      <c r="BDQ47" s="456"/>
      <c r="BDR47" s="456"/>
      <c r="BDS47" s="456"/>
      <c r="BDT47" s="456"/>
      <c r="BDU47" s="456"/>
      <c r="BDV47" s="456"/>
      <c r="BDW47" s="456"/>
      <c r="BDX47" s="456"/>
      <c r="BDY47" s="456"/>
      <c r="BDZ47" s="456"/>
      <c r="BEA47" s="456"/>
      <c r="BEB47" s="456"/>
      <c r="BEC47" s="456"/>
      <c r="BED47" s="456"/>
      <c r="BEE47" s="456"/>
      <c r="BEF47" s="456"/>
      <c r="BEG47" s="456"/>
      <c r="BEH47" s="456"/>
      <c r="BEI47" s="456"/>
      <c r="BEJ47" s="456"/>
      <c r="BEK47" s="456"/>
      <c r="BEL47" s="456"/>
      <c r="BEM47" s="456"/>
      <c r="BEN47" s="456"/>
      <c r="BEO47" s="456"/>
      <c r="BEP47" s="456"/>
      <c r="BEQ47" s="456"/>
      <c r="BER47" s="456"/>
      <c r="BES47" s="456"/>
      <c r="BET47" s="456"/>
      <c r="BEU47" s="456"/>
      <c r="BEV47" s="456"/>
      <c r="BEW47" s="456"/>
      <c r="BEX47" s="456"/>
      <c r="BEY47" s="456"/>
      <c r="BEZ47" s="456"/>
      <c r="BFA47" s="456"/>
      <c r="BFB47" s="456"/>
      <c r="BFC47" s="456"/>
      <c r="BFD47" s="456"/>
      <c r="BFE47" s="456"/>
      <c r="BFF47" s="456"/>
      <c r="BFG47" s="456"/>
      <c r="BFH47" s="456"/>
      <c r="BFI47" s="456"/>
      <c r="BFJ47" s="456"/>
      <c r="BFK47" s="456"/>
      <c r="BFL47" s="456"/>
      <c r="BFM47" s="456"/>
      <c r="BFN47" s="456"/>
      <c r="BFO47" s="456"/>
      <c r="BFP47" s="456"/>
      <c r="BFQ47" s="456"/>
      <c r="BFR47" s="456"/>
      <c r="BFS47" s="456"/>
      <c r="BFT47" s="456"/>
      <c r="BFU47" s="456"/>
      <c r="BFV47" s="456"/>
      <c r="BFW47" s="456"/>
      <c r="BFX47" s="456"/>
      <c r="BFY47" s="456"/>
      <c r="BFZ47" s="456"/>
      <c r="BGA47" s="456"/>
      <c r="BGB47" s="456"/>
      <c r="BGC47" s="456"/>
      <c r="BGD47" s="456"/>
      <c r="BGE47" s="456"/>
      <c r="BGF47" s="456"/>
      <c r="BGG47" s="456"/>
      <c r="BGH47" s="456"/>
      <c r="BGI47" s="456"/>
      <c r="BGJ47" s="456"/>
      <c r="BGK47" s="456"/>
      <c r="BGL47" s="456"/>
      <c r="BGM47" s="456"/>
      <c r="BGN47" s="456"/>
      <c r="BGO47" s="456"/>
      <c r="BGP47" s="456"/>
      <c r="BGQ47" s="456"/>
      <c r="BGR47" s="456"/>
      <c r="BGS47" s="456"/>
      <c r="BGT47" s="456"/>
      <c r="BGU47" s="456"/>
      <c r="BGV47" s="456"/>
      <c r="BGW47" s="456"/>
      <c r="BGX47" s="456"/>
      <c r="BGY47" s="456"/>
      <c r="BGZ47" s="456"/>
      <c r="BHA47" s="456"/>
      <c r="BHB47" s="456"/>
      <c r="BHC47" s="456"/>
      <c r="BHD47" s="456"/>
      <c r="BHE47" s="456"/>
      <c r="BHF47" s="456"/>
      <c r="BHG47" s="456"/>
      <c r="BHH47" s="456"/>
      <c r="BHI47" s="456"/>
      <c r="BHJ47" s="456"/>
      <c r="BHK47" s="456"/>
      <c r="BHL47" s="456"/>
      <c r="BHM47" s="456"/>
      <c r="BHN47" s="456"/>
      <c r="BHO47" s="456"/>
      <c r="BHP47" s="456"/>
      <c r="BHQ47" s="456"/>
      <c r="BHR47" s="456"/>
      <c r="BHS47" s="456"/>
      <c r="BHT47" s="456"/>
      <c r="BHU47" s="456"/>
      <c r="BHV47" s="456"/>
      <c r="BHW47" s="456"/>
      <c r="BHX47" s="456"/>
      <c r="BHY47" s="456"/>
      <c r="BHZ47" s="456"/>
      <c r="BIA47" s="456"/>
      <c r="BIB47" s="456"/>
      <c r="BIC47" s="456"/>
      <c r="BID47" s="456"/>
      <c r="BIE47" s="456"/>
      <c r="BIF47" s="456"/>
      <c r="BIG47" s="456"/>
      <c r="BIH47" s="456"/>
      <c r="BII47" s="456"/>
      <c r="BIJ47" s="456"/>
      <c r="BIK47" s="456"/>
      <c r="BIL47" s="456"/>
      <c r="BIM47" s="456"/>
      <c r="BIN47" s="456"/>
      <c r="BIO47" s="456"/>
      <c r="BIP47" s="456"/>
      <c r="BIQ47" s="456"/>
      <c r="BIR47" s="456"/>
      <c r="BIS47" s="456"/>
      <c r="BIT47" s="456"/>
      <c r="BIU47" s="456"/>
      <c r="BIV47" s="456"/>
      <c r="BIW47" s="456"/>
      <c r="BIX47" s="456"/>
      <c r="BIY47" s="456"/>
      <c r="BIZ47" s="456"/>
      <c r="BJA47" s="456"/>
      <c r="BJB47" s="456"/>
      <c r="BJC47" s="456"/>
      <c r="BJD47" s="456"/>
      <c r="BJE47" s="456"/>
      <c r="BJF47" s="456"/>
      <c r="BJG47" s="456"/>
      <c r="BJH47" s="456"/>
      <c r="BJI47" s="456"/>
      <c r="BJJ47" s="456"/>
      <c r="BJK47" s="456"/>
      <c r="BJL47" s="456"/>
      <c r="BJM47" s="456"/>
      <c r="BJN47" s="456"/>
      <c r="BJO47" s="456"/>
      <c r="BJP47" s="456"/>
      <c r="BJQ47" s="456"/>
      <c r="BJR47" s="456"/>
      <c r="BJS47" s="456"/>
      <c r="BJT47" s="456"/>
      <c r="BJU47" s="456"/>
      <c r="BJV47" s="456"/>
      <c r="BJW47" s="456"/>
      <c r="BJX47" s="456"/>
      <c r="BJY47" s="456"/>
      <c r="BJZ47" s="456"/>
      <c r="BKA47" s="456"/>
      <c r="BKB47" s="456"/>
      <c r="BKC47" s="456"/>
      <c r="BKD47" s="456"/>
      <c r="BKE47" s="456"/>
      <c r="BKF47" s="456"/>
      <c r="BKG47" s="456"/>
      <c r="BKH47" s="456"/>
      <c r="BKI47" s="456"/>
      <c r="BKJ47" s="456"/>
      <c r="BKK47" s="456"/>
      <c r="BKL47" s="456"/>
      <c r="BKM47" s="456"/>
      <c r="BKN47" s="456"/>
      <c r="BKO47" s="456"/>
      <c r="BKP47" s="456"/>
      <c r="BKQ47" s="456"/>
      <c r="BKR47" s="456"/>
      <c r="BKS47" s="456"/>
      <c r="BKT47" s="456"/>
      <c r="BKU47" s="456"/>
      <c r="BKV47" s="456"/>
      <c r="BKW47" s="456"/>
      <c r="BKX47" s="456"/>
      <c r="BKY47" s="456"/>
      <c r="BKZ47" s="456"/>
      <c r="BLA47" s="456"/>
      <c r="BLB47" s="456"/>
      <c r="BLC47" s="456"/>
      <c r="BLD47" s="456"/>
      <c r="BLE47" s="456"/>
      <c r="BLF47" s="456"/>
      <c r="BLG47" s="456"/>
      <c r="BLH47" s="456"/>
      <c r="BLI47" s="456"/>
      <c r="BLJ47" s="456"/>
      <c r="BLK47" s="456"/>
      <c r="BLL47" s="456"/>
      <c r="BLM47" s="456"/>
      <c r="BLN47" s="456"/>
      <c r="BLO47" s="456"/>
      <c r="BLP47" s="456"/>
      <c r="BLQ47" s="456"/>
      <c r="BLR47" s="456"/>
      <c r="BLS47" s="456"/>
      <c r="BLT47" s="456"/>
      <c r="BLU47" s="456"/>
      <c r="BLV47" s="456"/>
      <c r="BLW47" s="456"/>
      <c r="BLX47" s="456"/>
      <c r="BLY47" s="456"/>
      <c r="BLZ47" s="456"/>
      <c r="BMA47" s="456"/>
      <c r="BMB47" s="456"/>
      <c r="BMC47" s="456"/>
      <c r="BMD47" s="456"/>
      <c r="BME47" s="456"/>
      <c r="BMF47" s="456"/>
      <c r="BMG47" s="456"/>
      <c r="BMH47" s="456"/>
      <c r="BMI47" s="456"/>
      <c r="BMJ47" s="456"/>
      <c r="BMK47" s="456"/>
      <c r="BML47" s="456"/>
      <c r="BMM47" s="456"/>
      <c r="BMN47" s="456"/>
      <c r="BMO47" s="456"/>
      <c r="BMP47" s="456"/>
      <c r="BMQ47" s="456"/>
      <c r="BMR47" s="456"/>
      <c r="BMS47" s="456"/>
      <c r="BMT47" s="456"/>
      <c r="BMU47" s="456"/>
      <c r="BMV47" s="456"/>
      <c r="BMW47" s="456"/>
      <c r="BMX47" s="456"/>
      <c r="BMY47" s="456"/>
      <c r="BMZ47" s="456"/>
      <c r="BNA47" s="456"/>
      <c r="BNB47" s="456"/>
      <c r="BNC47" s="456"/>
      <c r="BND47" s="456"/>
      <c r="BNE47" s="456"/>
      <c r="BNF47" s="456"/>
      <c r="BNG47" s="456"/>
      <c r="BNH47" s="456"/>
      <c r="BNI47" s="456"/>
      <c r="BNJ47" s="456"/>
      <c r="BNK47" s="456"/>
      <c r="BNL47" s="456"/>
      <c r="BNM47" s="456"/>
      <c r="BNN47" s="456"/>
      <c r="BNO47" s="456"/>
      <c r="BNP47" s="456"/>
      <c r="BNQ47" s="456"/>
      <c r="BNR47" s="456"/>
      <c r="BNS47" s="456"/>
      <c r="BNT47" s="456"/>
      <c r="BNU47" s="456"/>
      <c r="BNV47" s="456"/>
      <c r="BNW47" s="456"/>
      <c r="BNX47" s="456"/>
      <c r="BNY47" s="456"/>
      <c r="BNZ47" s="456"/>
      <c r="BOA47" s="456"/>
      <c r="BOB47" s="456"/>
      <c r="BOC47" s="456"/>
      <c r="BOD47" s="456"/>
      <c r="BOE47" s="456"/>
      <c r="BOF47" s="456"/>
      <c r="BOG47" s="456"/>
      <c r="BOH47" s="456"/>
      <c r="BOI47" s="456"/>
      <c r="BOJ47" s="456"/>
      <c r="BOK47" s="456"/>
      <c r="BOL47" s="456"/>
      <c r="BOM47" s="456"/>
      <c r="BON47" s="456"/>
      <c r="BOO47" s="456"/>
      <c r="BOP47" s="456"/>
      <c r="BOQ47" s="456"/>
      <c r="BOR47" s="456"/>
      <c r="BOS47" s="456"/>
      <c r="BOT47" s="456"/>
      <c r="BOU47" s="456"/>
      <c r="BOV47" s="456"/>
      <c r="BOW47" s="456"/>
      <c r="BOX47" s="456"/>
      <c r="BOY47" s="456"/>
      <c r="BOZ47" s="456"/>
      <c r="BPA47" s="456"/>
      <c r="BPB47" s="456"/>
      <c r="BPC47" s="456"/>
      <c r="BPD47" s="456"/>
      <c r="BPE47" s="456"/>
      <c r="BPF47" s="456"/>
      <c r="BPG47" s="456"/>
      <c r="BPH47" s="456"/>
      <c r="BPI47" s="456"/>
      <c r="BPJ47" s="456"/>
      <c r="BPK47" s="456"/>
      <c r="BPL47" s="456"/>
      <c r="BPM47" s="456"/>
      <c r="BPN47" s="456"/>
      <c r="BPO47" s="456"/>
      <c r="BPP47" s="456"/>
      <c r="BPQ47" s="456"/>
      <c r="BPR47" s="456"/>
      <c r="BPS47" s="456"/>
      <c r="BPT47" s="456"/>
      <c r="BPU47" s="456"/>
      <c r="BPV47" s="456"/>
      <c r="BPW47" s="456"/>
      <c r="BPX47" s="456"/>
      <c r="BPY47" s="456"/>
      <c r="BPZ47" s="456"/>
      <c r="BQA47" s="456"/>
      <c r="BQB47" s="456"/>
      <c r="BQC47" s="456"/>
      <c r="BQD47" s="456"/>
      <c r="BQE47" s="456"/>
      <c r="BQF47" s="456"/>
      <c r="BQG47" s="456"/>
      <c r="BQH47" s="456"/>
      <c r="BQI47" s="456"/>
      <c r="BQJ47" s="456"/>
      <c r="BQK47" s="456"/>
      <c r="BQL47" s="456"/>
      <c r="BQM47" s="456"/>
      <c r="BQN47" s="456"/>
      <c r="BQO47" s="456"/>
      <c r="BQP47" s="456"/>
      <c r="BQQ47" s="456"/>
      <c r="BQR47" s="456"/>
      <c r="BQS47" s="456"/>
      <c r="BQT47" s="456"/>
      <c r="BQU47" s="456"/>
      <c r="BQV47" s="456"/>
      <c r="BQW47" s="456"/>
      <c r="BQX47" s="456"/>
      <c r="BQY47" s="456"/>
      <c r="BQZ47" s="456"/>
      <c r="BRA47" s="456"/>
      <c r="BRB47" s="456"/>
      <c r="BRC47" s="456"/>
      <c r="BRD47" s="456"/>
      <c r="BRE47" s="456"/>
      <c r="BRF47" s="456"/>
      <c r="BRG47" s="456"/>
      <c r="BRH47" s="456"/>
      <c r="BRI47" s="456"/>
      <c r="BRJ47" s="456"/>
      <c r="BRK47" s="456"/>
      <c r="BRL47" s="456"/>
      <c r="BRM47" s="456"/>
      <c r="BRN47" s="456"/>
      <c r="BRO47" s="456"/>
      <c r="BRP47" s="456"/>
      <c r="BRQ47" s="456"/>
      <c r="BRR47" s="456"/>
      <c r="BRS47" s="456"/>
      <c r="BRT47" s="456"/>
      <c r="BRU47" s="456"/>
      <c r="BRV47" s="456"/>
      <c r="BRW47" s="456"/>
      <c r="BRX47" s="456"/>
      <c r="BRY47" s="456"/>
      <c r="BRZ47" s="456"/>
      <c r="BSA47" s="456"/>
      <c r="BSB47" s="456"/>
      <c r="BSC47" s="456"/>
      <c r="BSD47" s="456"/>
      <c r="BSE47" s="456"/>
      <c r="BSF47" s="456"/>
      <c r="BSG47" s="456"/>
      <c r="BSH47" s="456"/>
      <c r="BSI47" s="456"/>
      <c r="BSJ47" s="456"/>
      <c r="BSK47" s="456"/>
      <c r="BSL47" s="456"/>
      <c r="BSM47" s="456"/>
      <c r="BSN47" s="456"/>
      <c r="BSO47" s="456"/>
      <c r="BSP47" s="456"/>
      <c r="BSQ47" s="456"/>
      <c r="BSR47" s="456"/>
      <c r="BSS47" s="456"/>
      <c r="BST47" s="456"/>
      <c r="BSU47" s="456"/>
      <c r="BSV47" s="456"/>
      <c r="BSW47" s="456"/>
      <c r="BSX47" s="456"/>
      <c r="BSY47" s="456"/>
      <c r="BSZ47" s="456"/>
      <c r="BTA47" s="456"/>
      <c r="BTB47" s="456"/>
      <c r="BTC47" s="456"/>
      <c r="BTD47" s="456"/>
      <c r="BTE47" s="456"/>
      <c r="BTF47" s="456"/>
      <c r="BTG47" s="456"/>
      <c r="BTH47" s="456"/>
      <c r="BTI47" s="456"/>
      <c r="BTJ47" s="456"/>
      <c r="BTK47" s="456"/>
      <c r="BTL47" s="456"/>
      <c r="BTM47" s="456"/>
      <c r="BTN47" s="456"/>
      <c r="BTO47" s="456"/>
      <c r="BTP47" s="456"/>
      <c r="BTQ47" s="456"/>
      <c r="BTR47" s="456"/>
      <c r="BTS47" s="456"/>
      <c r="BTT47" s="456"/>
      <c r="BTU47" s="456"/>
      <c r="BTV47" s="456"/>
      <c r="BTW47" s="456"/>
      <c r="BTX47" s="456"/>
      <c r="BTY47" s="456"/>
      <c r="BTZ47" s="456"/>
      <c r="BUA47" s="456"/>
      <c r="BUB47" s="456"/>
      <c r="BUC47" s="456"/>
      <c r="BUD47" s="456"/>
      <c r="BUE47" s="456"/>
      <c r="BUF47" s="456"/>
      <c r="BUG47" s="456"/>
      <c r="BUH47" s="456"/>
      <c r="BUI47" s="456"/>
      <c r="BUJ47" s="456"/>
      <c r="BUK47" s="456"/>
      <c r="BUL47" s="456"/>
      <c r="BUM47" s="456"/>
      <c r="BUN47" s="456"/>
      <c r="BUO47" s="456"/>
      <c r="BUP47" s="456"/>
      <c r="BUQ47" s="456"/>
      <c r="BUR47" s="456"/>
      <c r="BUS47" s="456"/>
      <c r="BUT47" s="456"/>
      <c r="BUU47" s="456"/>
      <c r="BUV47" s="456"/>
      <c r="BUW47" s="456"/>
      <c r="BUX47" s="456"/>
      <c r="BUY47" s="456"/>
      <c r="BUZ47" s="456"/>
      <c r="BVA47" s="456"/>
      <c r="BVB47" s="456"/>
      <c r="BVC47" s="456"/>
      <c r="BVD47" s="456"/>
      <c r="BVE47" s="456"/>
      <c r="BVF47" s="456"/>
      <c r="BVG47" s="456"/>
      <c r="BVH47" s="456"/>
      <c r="BVI47" s="456"/>
      <c r="BVJ47" s="456"/>
      <c r="BVK47" s="456"/>
      <c r="BVL47" s="456"/>
      <c r="BVM47" s="456"/>
      <c r="BVN47" s="456"/>
      <c r="BVO47" s="456"/>
      <c r="BVP47" s="456"/>
      <c r="BVQ47" s="456"/>
      <c r="BVR47" s="456"/>
      <c r="BVS47" s="456"/>
      <c r="BVT47" s="456"/>
      <c r="BVU47" s="456"/>
      <c r="BVV47" s="456"/>
      <c r="BVW47" s="456"/>
      <c r="BVX47" s="456"/>
      <c r="BVY47" s="456"/>
      <c r="BVZ47" s="456"/>
      <c r="BWA47" s="456"/>
      <c r="BWB47" s="456"/>
      <c r="BWC47" s="456"/>
      <c r="BWD47" s="456"/>
      <c r="BWE47" s="456"/>
      <c r="BWF47" s="456"/>
      <c r="BWG47" s="456"/>
      <c r="BWH47" s="456"/>
      <c r="BWI47" s="456"/>
      <c r="BWJ47" s="456"/>
      <c r="BWK47" s="456"/>
      <c r="BWL47" s="456"/>
      <c r="BWM47" s="456"/>
      <c r="BWN47" s="456"/>
      <c r="BWO47" s="456"/>
      <c r="BWP47" s="456"/>
      <c r="BWQ47" s="456"/>
      <c r="BWR47" s="456"/>
      <c r="BWS47" s="456"/>
      <c r="BWT47" s="456"/>
      <c r="BWU47" s="456"/>
      <c r="BWV47" s="456"/>
      <c r="BWW47" s="456"/>
      <c r="BWX47" s="456"/>
      <c r="BWY47" s="456"/>
      <c r="BWZ47" s="456"/>
      <c r="BXA47" s="456"/>
      <c r="BXB47" s="456"/>
      <c r="BXC47" s="456"/>
      <c r="BXD47" s="456"/>
      <c r="BXE47" s="456"/>
      <c r="BXF47" s="456"/>
      <c r="BXG47" s="456"/>
      <c r="BXH47" s="456"/>
      <c r="BXI47" s="456"/>
      <c r="BXJ47" s="456"/>
      <c r="BXK47" s="456"/>
      <c r="BXL47" s="456"/>
      <c r="BXM47" s="456"/>
      <c r="BXN47" s="456"/>
      <c r="BXO47" s="456"/>
      <c r="BXP47" s="456"/>
      <c r="BXQ47" s="456"/>
      <c r="BXR47" s="456"/>
      <c r="BXS47" s="456"/>
      <c r="BXT47" s="456"/>
      <c r="BXU47" s="456"/>
      <c r="BXV47" s="456"/>
      <c r="BXW47" s="456"/>
      <c r="BXX47" s="456"/>
      <c r="BXY47" s="456"/>
      <c r="BXZ47" s="456"/>
    </row>
    <row r="48" s="25" customFormat="1" spans="1:1024 1025:2002">
      <c r="A48" s="473"/>
      <c r="B48" s="19">
        <v>1117</v>
      </c>
      <c r="C48" s="183">
        <v>46174</v>
      </c>
      <c r="D48" s="17" t="s">
        <v>35</v>
      </c>
      <c r="E48" s="17" t="s">
        <v>71</v>
      </c>
      <c r="F48" s="17" t="s">
        <v>72</v>
      </c>
      <c r="G48" s="17"/>
      <c r="H48" s="19">
        <v>1.2379</v>
      </c>
      <c r="I48" s="19">
        <v>1.2379</v>
      </c>
      <c r="J48" s="17" t="s">
        <v>39</v>
      </c>
      <c r="K48" s="19">
        <v>605</v>
      </c>
      <c r="L48" s="91"/>
      <c r="M48" s="19">
        <v>5800</v>
      </c>
      <c r="N48" s="19" t="s">
        <v>40</v>
      </c>
      <c r="O48" s="19" t="s">
        <v>50</v>
      </c>
      <c r="P48" s="19">
        <v>12000</v>
      </c>
      <c r="Q48" s="19">
        <v>12320</v>
      </c>
      <c r="R48" s="19">
        <f t="shared" si="2"/>
        <v>-320</v>
      </c>
      <c r="S48" s="19">
        <v>2410</v>
      </c>
      <c r="T48" s="19" t="s">
        <v>42</v>
      </c>
      <c r="U48" s="102" t="s">
        <v>73</v>
      </c>
      <c r="V48" s="186">
        <v>46173</v>
      </c>
      <c r="W48" s="17" t="s">
        <v>44</v>
      </c>
      <c r="X48" s="17"/>
      <c r="Y48" s="68">
        <v>46296</v>
      </c>
      <c r="Z48" s="17" t="s">
        <v>45</v>
      </c>
      <c r="AA48" s="17" t="s">
        <v>46</v>
      </c>
      <c r="AB48" s="17"/>
      <c r="AC48" s="102"/>
      <c r="AD48" s="65">
        <v>1855</v>
      </c>
      <c r="AE48" s="17" t="s">
        <v>74</v>
      </c>
      <c r="AF48" s="17"/>
      <c r="AG48" s="17"/>
      <c r="AH48" s="456"/>
      <c r="AI48" s="456"/>
      <c r="AJ48" s="456"/>
      <c r="AK48" s="456"/>
      <c r="AL48" s="456"/>
      <c r="AM48" s="456"/>
      <c r="AN48" s="456"/>
      <c r="AO48" s="456"/>
      <c r="AP48" s="456"/>
      <c r="AQ48" s="456"/>
      <c r="AR48" s="456"/>
      <c r="AS48" s="456"/>
      <c r="AT48" s="456"/>
      <c r="AU48" s="456"/>
      <c r="AV48" s="456"/>
      <c r="AW48" s="456"/>
      <c r="AX48" s="456"/>
      <c r="AY48" s="456"/>
      <c r="AZ48" s="456"/>
      <c r="BA48" s="456"/>
      <c r="BB48" s="456"/>
      <c r="BC48" s="456"/>
      <c r="BD48" s="456"/>
      <c r="BE48" s="456"/>
      <c r="BF48" s="456"/>
      <c r="BG48" s="456"/>
      <c r="BH48" s="456"/>
      <c r="BI48" s="456"/>
      <c r="BJ48" s="456"/>
      <c r="BK48" s="456"/>
      <c r="BL48" s="456"/>
      <c r="BM48" s="456"/>
      <c r="BN48" s="456"/>
      <c r="BO48" s="456"/>
      <c r="BP48" s="456"/>
      <c r="BQ48" s="456"/>
      <c r="BR48" s="456"/>
      <c r="BS48" s="456"/>
      <c r="BT48" s="456"/>
      <c r="BU48" s="456"/>
      <c r="BV48" s="456"/>
      <c r="BW48" s="456"/>
      <c r="BX48" s="456"/>
      <c r="BY48" s="456"/>
      <c r="BZ48" s="456"/>
      <c r="CA48" s="456"/>
      <c r="CB48" s="456"/>
      <c r="CC48" s="456"/>
      <c r="CD48" s="456"/>
      <c r="CE48" s="456"/>
      <c r="CF48" s="456"/>
      <c r="CG48" s="456"/>
      <c r="CH48" s="456"/>
      <c r="CI48" s="456"/>
      <c r="CJ48" s="456"/>
      <c r="CK48" s="456"/>
      <c r="CL48" s="456"/>
      <c r="CM48" s="456"/>
      <c r="CN48" s="456"/>
      <c r="CO48" s="456"/>
      <c r="CP48" s="456"/>
      <c r="CQ48" s="456"/>
      <c r="CR48" s="456"/>
      <c r="CS48" s="456"/>
      <c r="CT48" s="456"/>
      <c r="CU48" s="456"/>
      <c r="CV48" s="456"/>
      <c r="CW48" s="456"/>
      <c r="CX48" s="456"/>
      <c r="CY48" s="456"/>
      <c r="CZ48" s="456"/>
      <c r="DA48" s="456"/>
      <c r="DB48" s="456"/>
      <c r="DC48" s="456"/>
      <c r="DD48" s="456"/>
      <c r="DE48" s="456"/>
      <c r="DF48" s="456"/>
      <c r="DG48" s="456"/>
      <c r="DH48" s="456"/>
      <c r="DI48" s="456"/>
      <c r="DJ48" s="456"/>
      <c r="DK48" s="456"/>
      <c r="DL48" s="456"/>
      <c r="DM48" s="456"/>
      <c r="DN48" s="456"/>
      <c r="DO48" s="456"/>
      <c r="DP48" s="456"/>
      <c r="DQ48" s="456"/>
      <c r="DR48" s="456"/>
      <c r="DS48" s="456"/>
      <c r="DT48" s="456"/>
      <c r="DU48" s="456"/>
      <c r="DV48" s="456"/>
      <c r="DW48" s="456"/>
      <c r="DX48" s="456"/>
      <c r="DY48" s="456"/>
      <c r="DZ48" s="456"/>
      <c r="EA48" s="456"/>
      <c r="EB48" s="456"/>
      <c r="EC48" s="456"/>
      <c r="ED48" s="456"/>
      <c r="EE48" s="456"/>
      <c r="EF48" s="456"/>
      <c r="EG48" s="456"/>
      <c r="EH48" s="456"/>
      <c r="EI48" s="456"/>
      <c r="EJ48" s="456"/>
      <c r="EK48" s="456"/>
      <c r="EL48" s="456"/>
      <c r="EM48" s="456"/>
      <c r="EN48" s="456"/>
      <c r="EO48" s="456"/>
      <c r="EP48" s="456"/>
      <c r="EQ48" s="456"/>
      <c r="ER48" s="456"/>
      <c r="ES48" s="456"/>
      <c r="ET48" s="456"/>
      <c r="EU48" s="456"/>
      <c r="EV48" s="456"/>
      <c r="EW48" s="456"/>
      <c r="EX48" s="456"/>
      <c r="EY48" s="456"/>
      <c r="EZ48" s="456"/>
      <c r="FA48" s="456"/>
      <c r="FB48" s="456"/>
      <c r="FC48" s="456"/>
      <c r="FD48" s="456"/>
      <c r="FE48" s="456"/>
      <c r="FF48" s="456"/>
      <c r="FG48" s="456"/>
      <c r="FH48" s="456"/>
      <c r="FI48" s="456"/>
      <c r="FJ48" s="456"/>
      <c r="FK48" s="456"/>
      <c r="FL48" s="456"/>
      <c r="FM48" s="456"/>
      <c r="FN48" s="456"/>
      <c r="FO48" s="456"/>
      <c r="FP48" s="456"/>
      <c r="FQ48" s="456"/>
      <c r="FR48" s="456"/>
      <c r="FS48" s="456"/>
      <c r="FT48" s="456"/>
      <c r="FU48" s="456"/>
      <c r="FV48" s="456"/>
      <c r="FW48" s="456"/>
      <c r="FX48" s="456"/>
      <c r="FY48" s="456"/>
      <c r="FZ48" s="456"/>
      <c r="GA48" s="456"/>
      <c r="GB48" s="456"/>
      <c r="GC48" s="456"/>
      <c r="GD48" s="456"/>
      <c r="GE48" s="456"/>
      <c r="GF48" s="456"/>
      <c r="GG48" s="456"/>
      <c r="GH48" s="456"/>
      <c r="GI48" s="456"/>
      <c r="GJ48" s="456"/>
      <c r="GK48" s="456"/>
      <c r="GL48" s="456"/>
      <c r="GM48" s="456"/>
      <c r="GN48" s="456"/>
      <c r="GO48" s="456"/>
      <c r="GP48" s="456"/>
      <c r="GQ48" s="456"/>
      <c r="GR48" s="456"/>
      <c r="GS48" s="456"/>
      <c r="GT48" s="456"/>
      <c r="GU48" s="456"/>
      <c r="GV48" s="456"/>
      <c r="GW48" s="456"/>
      <c r="GX48" s="456"/>
      <c r="GY48" s="456"/>
      <c r="GZ48" s="456"/>
      <c r="HA48" s="456"/>
      <c r="HB48" s="456"/>
      <c r="HC48" s="456"/>
      <c r="HD48" s="456"/>
      <c r="HE48" s="456"/>
      <c r="HF48" s="456"/>
      <c r="HG48" s="456"/>
      <c r="HH48" s="456"/>
      <c r="HI48" s="456"/>
      <c r="HJ48" s="456"/>
      <c r="HK48" s="456"/>
      <c r="HL48" s="456"/>
      <c r="HM48" s="456"/>
      <c r="HN48" s="456"/>
      <c r="HO48" s="456"/>
      <c r="HP48" s="456"/>
      <c r="HQ48" s="456"/>
      <c r="HR48" s="456"/>
      <c r="HS48" s="456"/>
      <c r="HT48" s="456"/>
      <c r="HU48" s="456"/>
      <c r="HV48" s="456"/>
      <c r="HW48" s="456"/>
      <c r="HX48" s="456"/>
      <c r="HY48" s="456"/>
      <c r="HZ48" s="456"/>
      <c r="IA48" s="456"/>
      <c r="IB48" s="456"/>
      <c r="IC48" s="456"/>
      <c r="ID48" s="456"/>
      <c r="IE48" s="456"/>
      <c r="IF48" s="456"/>
      <c r="IG48" s="456"/>
      <c r="IH48" s="456"/>
      <c r="II48" s="456"/>
      <c r="IJ48" s="456"/>
      <c r="IK48" s="456"/>
      <c r="IL48" s="456"/>
      <c r="IM48" s="456"/>
      <c r="IN48" s="456"/>
      <c r="IO48" s="456"/>
      <c r="IP48" s="456"/>
      <c r="IQ48" s="456"/>
      <c r="IR48" s="456"/>
      <c r="IS48" s="456"/>
      <c r="IT48" s="456"/>
      <c r="IU48" s="456"/>
      <c r="IV48" s="456"/>
      <c r="IW48" s="456"/>
      <c r="IX48" s="456"/>
      <c r="IY48" s="456"/>
      <c r="IZ48" s="456"/>
      <c r="JA48" s="456"/>
      <c r="JB48" s="456"/>
      <c r="JC48" s="456"/>
      <c r="JD48" s="456"/>
      <c r="JE48" s="456"/>
      <c r="JF48" s="456"/>
      <c r="JG48" s="456"/>
      <c r="JH48" s="456"/>
      <c r="JI48" s="456"/>
      <c r="JJ48" s="456"/>
      <c r="JK48" s="456"/>
      <c r="JL48" s="456"/>
      <c r="JM48" s="456"/>
      <c r="JN48" s="456"/>
      <c r="JO48" s="456"/>
      <c r="JP48" s="456"/>
      <c r="JQ48" s="456"/>
      <c r="JR48" s="456"/>
      <c r="JS48" s="456"/>
      <c r="JT48" s="456"/>
      <c r="JU48" s="456"/>
      <c r="JV48" s="456"/>
      <c r="JW48" s="456"/>
      <c r="JX48" s="456"/>
      <c r="JY48" s="456"/>
      <c r="JZ48" s="456"/>
      <c r="KA48" s="456"/>
      <c r="KB48" s="456"/>
      <c r="KC48" s="456"/>
      <c r="KD48" s="456"/>
      <c r="KE48" s="456"/>
      <c r="KF48" s="456"/>
      <c r="KG48" s="456"/>
      <c r="KH48" s="456"/>
      <c r="KI48" s="456"/>
      <c r="KJ48" s="456"/>
      <c r="KK48" s="456"/>
      <c r="KL48" s="456"/>
      <c r="KM48" s="456"/>
      <c r="KN48" s="456"/>
      <c r="KO48" s="456"/>
      <c r="KP48" s="456"/>
      <c r="KQ48" s="456"/>
      <c r="KR48" s="456"/>
      <c r="KS48" s="456"/>
      <c r="KT48" s="456"/>
      <c r="KU48" s="456"/>
      <c r="KV48" s="456"/>
      <c r="KW48" s="456"/>
      <c r="KX48" s="456"/>
      <c r="KY48" s="456"/>
      <c r="KZ48" s="456"/>
      <c r="LA48" s="456"/>
      <c r="LB48" s="456"/>
      <c r="LC48" s="456"/>
      <c r="LD48" s="456"/>
      <c r="LE48" s="456"/>
      <c r="LF48" s="456"/>
      <c r="LG48" s="456"/>
      <c r="LH48" s="456"/>
      <c r="LI48" s="456"/>
      <c r="LJ48" s="456"/>
      <c r="LK48" s="456"/>
      <c r="LL48" s="456"/>
      <c r="LM48" s="456"/>
      <c r="LN48" s="456"/>
      <c r="LO48" s="456"/>
      <c r="LP48" s="456"/>
      <c r="LQ48" s="456"/>
      <c r="LR48" s="456"/>
      <c r="LS48" s="456"/>
      <c r="LT48" s="456"/>
      <c r="LU48" s="456"/>
      <c r="LV48" s="456"/>
      <c r="LW48" s="456"/>
      <c r="LX48" s="456"/>
      <c r="LY48" s="456"/>
      <c r="LZ48" s="456"/>
      <c r="MA48" s="456"/>
      <c r="MB48" s="456"/>
      <c r="MC48" s="456"/>
      <c r="MD48" s="456"/>
      <c r="ME48" s="456"/>
      <c r="MF48" s="456"/>
      <c r="MG48" s="456"/>
      <c r="MH48" s="456"/>
      <c r="MI48" s="456"/>
      <c r="MJ48" s="456"/>
      <c r="MK48" s="456"/>
      <c r="ML48" s="456"/>
      <c r="MM48" s="456"/>
      <c r="MN48" s="456"/>
      <c r="MO48" s="456"/>
      <c r="MP48" s="456"/>
      <c r="MQ48" s="456"/>
      <c r="MR48" s="456"/>
      <c r="MS48" s="456"/>
      <c r="MT48" s="456"/>
      <c r="MU48" s="456"/>
      <c r="MV48" s="456"/>
      <c r="MW48" s="456"/>
      <c r="MX48" s="456"/>
      <c r="MY48" s="456"/>
      <c r="MZ48" s="456"/>
      <c r="NA48" s="456"/>
      <c r="NB48" s="456"/>
      <c r="NC48" s="456"/>
      <c r="ND48" s="456"/>
      <c r="NE48" s="456"/>
      <c r="NF48" s="456"/>
      <c r="NG48" s="456"/>
      <c r="NH48" s="456"/>
      <c r="NI48" s="456"/>
      <c r="NJ48" s="456"/>
      <c r="NK48" s="456"/>
      <c r="NL48" s="456"/>
      <c r="NM48" s="456"/>
      <c r="NN48" s="456"/>
      <c r="NO48" s="456"/>
      <c r="NP48" s="456"/>
      <c r="NQ48" s="456"/>
      <c r="NR48" s="456"/>
      <c r="NS48" s="456"/>
      <c r="NT48" s="456"/>
      <c r="NU48" s="456"/>
      <c r="NV48" s="456"/>
      <c r="NW48" s="456"/>
      <c r="NX48" s="456"/>
      <c r="NY48" s="456"/>
      <c r="NZ48" s="456"/>
      <c r="OA48" s="456"/>
      <c r="OB48" s="456"/>
      <c r="OC48" s="456"/>
      <c r="OD48" s="456"/>
      <c r="OE48" s="456"/>
      <c r="OF48" s="456"/>
      <c r="OG48" s="456"/>
      <c r="OH48" s="456"/>
      <c r="OI48" s="456"/>
      <c r="OJ48" s="456"/>
      <c r="OK48" s="456"/>
      <c r="OL48" s="456"/>
      <c r="OM48" s="456"/>
      <c r="ON48" s="456"/>
      <c r="OO48" s="456"/>
      <c r="OP48" s="456"/>
      <c r="OQ48" s="456"/>
      <c r="OR48" s="456"/>
      <c r="OS48" s="456"/>
      <c r="OT48" s="456"/>
      <c r="OU48" s="456"/>
      <c r="OV48" s="456"/>
      <c r="OW48" s="456"/>
      <c r="OX48" s="456"/>
      <c r="OY48" s="456"/>
      <c r="OZ48" s="456"/>
      <c r="PA48" s="456"/>
      <c r="PB48" s="456"/>
      <c r="PC48" s="456"/>
      <c r="PD48" s="456"/>
      <c r="PE48" s="456"/>
      <c r="PF48" s="456"/>
      <c r="PG48" s="456"/>
      <c r="PH48" s="456"/>
      <c r="PI48" s="456"/>
      <c r="PJ48" s="456"/>
      <c r="PK48" s="456"/>
      <c r="PL48" s="456"/>
      <c r="PM48" s="456"/>
      <c r="PN48" s="456"/>
      <c r="PO48" s="456"/>
      <c r="PP48" s="456"/>
      <c r="PQ48" s="456"/>
      <c r="PR48" s="456"/>
      <c r="PS48" s="456"/>
      <c r="PT48" s="456"/>
      <c r="PU48" s="456"/>
      <c r="PV48" s="456"/>
      <c r="PW48" s="456"/>
      <c r="PX48" s="456"/>
      <c r="PY48" s="456"/>
      <c r="PZ48" s="456"/>
      <c r="QA48" s="456"/>
      <c r="QB48" s="456"/>
      <c r="QC48" s="456"/>
      <c r="QD48" s="456"/>
      <c r="QE48" s="456"/>
      <c r="QF48" s="456"/>
      <c r="QG48" s="456"/>
      <c r="QH48" s="456"/>
      <c r="QI48" s="456"/>
      <c r="QJ48" s="456"/>
      <c r="QK48" s="456"/>
      <c r="QL48" s="456"/>
      <c r="QM48" s="456"/>
      <c r="QN48" s="456"/>
      <c r="QO48" s="456"/>
      <c r="QP48" s="456"/>
      <c r="QQ48" s="456"/>
      <c r="QR48" s="456"/>
      <c r="QS48" s="456"/>
      <c r="QT48" s="456"/>
      <c r="QU48" s="456"/>
      <c r="QV48" s="456"/>
      <c r="QW48" s="456"/>
      <c r="QX48" s="456"/>
      <c r="QY48" s="456"/>
      <c r="QZ48" s="456"/>
      <c r="RA48" s="456"/>
      <c r="RB48" s="456"/>
      <c r="RC48" s="456"/>
      <c r="RD48" s="456"/>
      <c r="RE48" s="456"/>
      <c r="RF48" s="456"/>
      <c r="RG48" s="456"/>
      <c r="RH48" s="456"/>
      <c r="RI48" s="456"/>
      <c r="RJ48" s="456"/>
      <c r="RK48" s="456"/>
      <c r="RL48" s="456"/>
      <c r="RM48" s="456"/>
      <c r="RN48" s="456"/>
      <c r="RO48" s="456"/>
      <c r="RP48" s="456"/>
      <c r="RQ48" s="456"/>
      <c r="RR48" s="456"/>
      <c r="RS48" s="456"/>
      <c r="RT48" s="456"/>
      <c r="RU48" s="456"/>
      <c r="RV48" s="456"/>
      <c r="RW48" s="456"/>
      <c r="RX48" s="456"/>
      <c r="RY48" s="456"/>
      <c r="RZ48" s="456"/>
      <c r="SA48" s="456"/>
      <c r="SB48" s="456"/>
      <c r="SC48" s="456"/>
      <c r="SD48" s="456"/>
      <c r="SE48" s="456"/>
      <c r="SF48" s="456"/>
      <c r="SG48" s="456"/>
      <c r="SH48" s="456"/>
      <c r="SI48" s="456"/>
      <c r="SJ48" s="456"/>
      <c r="SK48" s="456"/>
      <c r="SL48" s="456"/>
      <c r="SM48" s="456"/>
      <c r="SN48" s="456"/>
      <c r="SO48" s="456"/>
      <c r="SP48" s="456"/>
      <c r="SQ48" s="456"/>
      <c r="SR48" s="456"/>
      <c r="SS48" s="456"/>
      <c r="ST48" s="456"/>
      <c r="SU48" s="456"/>
      <c r="SV48" s="456"/>
      <c r="SW48" s="456"/>
      <c r="SX48" s="456"/>
      <c r="SY48" s="456"/>
      <c r="SZ48" s="456"/>
      <c r="TA48" s="456"/>
      <c r="TB48" s="456"/>
      <c r="TC48" s="456"/>
      <c r="TD48" s="456"/>
      <c r="TE48" s="456"/>
      <c r="TF48" s="456"/>
      <c r="TG48" s="456"/>
      <c r="TH48" s="456"/>
      <c r="TI48" s="456"/>
      <c r="TJ48" s="456"/>
      <c r="TK48" s="456"/>
      <c r="TL48" s="456"/>
      <c r="TM48" s="456"/>
      <c r="TN48" s="456"/>
      <c r="TO48" s="456"/>
      <c r="TP48" s="456"/>
      <c r="TQ48" s="456"/>
      <c r="TR48" s="456"/>
      <c r="TS48" s="456"/>
      <c r="TT48" s="456"/>
      <c r="TU48" s="456"/>
      <c r="TV48" s="456"/>
      <c r="TW48" s="456"/>
      <c r="TX48" s="456"/>
      <c r="TY48" s="456"/>
      <c r="TZ48" s="456"/>
      <c r="UA48" s="456"/>
      <c r="UB48" s="456"/>
      <c r="UC48" s="456"/>
      <c r="UD48" s="456"/>
      <c r="UE48" s="456"/>
      <c r="UF48" s="456"/>
      <c r="UG48" s="456"/>
      <c r="UH48" s="456"/>
      <c r="UI48" s="456"/>
      <c r="UJ48" s="456"/>
      <c r="UK48" s="456"/>
      <c r="UL48" s="456"/>
      <c r="UM48" s="456"/>
      <c r="UN48" s="456"/>
      <c r="UO48" s="456"/>
      <c r="UP48" s="456"/>
      <c r="UQ48" s="456"/>
      <c r="UR48" s="456"/>
      <c r="US48" s="456"/>
      <c r="UT48" s="456"/>
      <c r="UU48" s="456"/>
      <c r="UV48" s="456"/>
      <c r="UW48" s="456"/>
      <c r="UX48" s="456"/>
      <c r="UY48" s="456"/>
      <c r="UZ48" s="456"/>
      <c r="VA48" s="456"/>
      <c r="VB48" s="456"/>
      <c r="VC48" s="456"/>
      <c r="VD48" s="456"/>
      <c r="VE48" s="456"/>
      <c r="VF48" s="456"/>
      <c r="VG48" s="456"/>
      <c r="VH48" s="456"/>
      <c r="VI48" s="456"/>
      <c r="VJ48" s="456"/>
      <c r="VK48" s="456"/>
      <c r="VL48" s="456"/>
      <c r="VM48" s="456"/>
      <c r="VN48" s="456"/>
      <c r="VO48" s="456"/>
      <c r="VP48" s="456"/>
      <c r="VQ48" s="456"/>
      <c r="VR48" s="456"/>
      <c r="VS48" s="456"/>
      <c r="VT48" s="456"/>
      <c r="VU48" s="456"/>
      <c r="VV48" s="456"/>
      <c r="VW48" s="456"/>
      <c r="VX48" s="456"/>
      <c r="VY48" s="456"/>
      <c r="VZ48" s="456"/>
      <c r="WA48" s="456"/>
      <c r="WB48" s="456"/>
      <c r="WC48" s="456"/>
      <c r="WD48" s="456"/>
      <c r="WE48" s="456"/>
      <c r="WF48" s="456"/>
      <c r="WG48" s="456"/>
      <c r="WH48" s="456"/>
      <c r="WI48" s="456"/>
      <c r="WJ48" s="456"/>
      <c r="WK48" s="456"/>
      <c r="WL48" s="456"/>
      <c r="WM48" s="456"/>
      <c r="WN48" s="456"/>
      <c r="WO48" s="456"/>
      <c r="WP48" s="456"/>
      <c r="WQ48" s="456"/>
      <c r="WR48" s="456"/>
      <c r="WS48" s="456"/>
      <c r="WT48" s="456"/>
      <c r="WU48" s="456"/>
      <c r="WV48" s="456"/>
      <c r="WW48" s="456"/>
      <c r="WX48" s="456"/>
      <c r="WY48" s="456"/>
      <c r="WZ48" s="456"/>
      <c r="XA48" s="456"/>
      <c r="XB48" s="456"/>
      <c r="XC48" s="456"/>
      <c r="XD48" s="456"/>
      <c r="XE48" s="456"/>
      <c r="XF48" s="456"/>
      <c r="XG48" s="456"/>
      <c r="XH48" s="456"/>
      <c r="XI48" s="456"/>
      <c r="XJ48" s="456"/>
      <c r="XK48" s="456"/>
      <c r="XL48" s="456"/>
      <c r="XM48" s="456"/>
      <c r="XN48" s="456"/>
      <c r="XO48" s="456"/>
      <c r="XP48" s="456"/>
      <c r="XQ48" s="456"/>
      <c r="XR48" s="456"/>
      <c r="XS48" s="456"/>
      <c r="XT48" s="456"/>
      <c r="XU48" s="456"/>
      <c r="XV48" s="456"/>
      <c r="XW48" s="456"/>
      <c r="XX48" s="456"/>
      <c r="XY48" s="456"/>
      <c r="XZ48" s="456"/>
      <c r="YA48" s="456"/>
      <c r="YB48" s="456"/>
      <c r="YC48" s="456"/>
      <c r="YD48" s="456"/>
      <c r="YE48" s="456"/>
      <c r="YF48" s="456"/>
      <c r="YG48" s="456"/>
      <c r="YH48" s="456"/>
      <c r="YI48" s="456"/>
      <c r="YJ48" s="456"/>
      <c r="YK48" s="456"/>
      <c r="YL48" s="456"/>
      <c r="YM48" s="456"/>
      <c r="YN48" s="456"/>
      <c r="YO48" s="456"/>
      <c r="YP48" s="456"/>
      <c r="YQ48" s="456"/>
      <c r="YR48" s="456"/>
      <c r="YS48" s="456"/>
      <c r="YT48" s="456"/>
      <c r="YU48" s="456"/>
      <c r="YV48" s="456"/>
      <c r="YW48" s="456"/>
      <c r="YX48" s="456"/>
      <c r="YY48" s="456"/>
      <c r="YZ48" s="456"/>
      <c r="ZA48" s="456"/>
      <c r="ZB48" s="456"/>
      <c r="ZC48" s="456"/>
      <c r="ZD48" s="456"/>
      <c r="ZE48" s="456"/>
      <c r="ZF48" s="456"/>
      <c r="ZG48" s="456"/>
      <c r="ZH48" s="456"/>
      <c r="ZI48" s="456"/>
      <c r="ZJ48" s="456"/>
      <c r="ZK48" s="456"/>
      <c r="ZL48" s="456"/>
      <c r="ZM48" s="456"/>
      <c r="ZN48" s="456"/>
      <c r="ZO48" s="456"/>
      <c r="ZP48" s="456"/>
      <c r="ZQ48" s="456"/>
      <c r="ZR48" s="456"/>
      <c r="ZS48" s="456"/>
      <c r="ZT48" s="456"/>
      <c r="ZU48" s="456"/>
      <c r="ZV48" s="456"/>
      <c r="ZW48" s="456"/>
      <c r="ZX48" s="456"/>
      <c r="ZY48" s="456"/>
      <c r="ZZ48" s="456"/>
      <c r="AAA48" s="456"/>
      <c r="AAB48" s="456"/>
      <c r="AAC48" s="456"/>
      <c r="AAD48" s="456"/>
      <c r="AAE48" s="456"/>
      <c r="AAF48" s="456"/>
      <c r="AAG48" s="456"/>
      <c r="AAH48" s="456"/>
      <c r="AAI48" s="456"/>
      <c r="AAJ48" s="456"/>
      <c r="AAK48" s="456"/>
      <c r="AAL48" s="456"/>
      <c r="AAM48" s="456"/>
      <c r="AAN48" s="456"/>
      <c r="AAO48" s="456"/>
      <c r="AAP48" s="456"/>
      <c r="AAQ48" s="456"/>
      <c r="AAR48" s="456"/>
      <c r="AAS48" s="456"/>
      <c r="AAT48" s="456"/>
      <c r="AAU48" s="456"/>
      <c r="AAV48" s="456"/>
      <c r="AAW48" s="456"/>
      <c r="AAX48" s="456"/>
      <c r="AAY48" s="456"/>
      <c r="AAZ48" s="456"/>
      <c r="ABA48" s="456"/>
      <c r="ABB48" s="456"/>
      <c r="ABC48" s="456"/>
      <c r="ABD48" s="456"/>
      <c r="ABE48" s="456"/>
      <c r="ABF48" s="456"/>
      <c r="ABG48" s="456"/>
      <c r="ABH48" s="456"/>
      <c r="ABI48" s="456"/>
      <c r="ABJ48" s="456"/>
      <c r="ABK48" s="456"/>
      <c r="ABL48" s="456"/>
      <c r="ABM48" s="456"/>
      <c r="ABN48" s="456"/>
      <c r="ABO48" s="456"/>
      <c r="ABP48" s="456"/>
      <c r="ABQ48" s="456"/>
      <c r="ABR48" s="456"/>
      <c r="ABS48" s="456"/>
      <c r="ABT48" s="456"/>
      <c r="ABU48" s="456"/>
      <c r="ABV48" s="456"/>
      <c r="ABW48" s="456"/>
      <c r="ABX48" s="456"/>
      <c r="ABY48" s="456"/>
      <c r="ABZ48" s="456"/>
      <c r="ACA48" s="456"/>
      <c r="ACB48" s="456"/>
      <c r="ACC48" s="456"/>
      <c r="ACD48" s="456"/>
      <c r="ACE48" s="456"/>
      <c r="ACF48" s="456"/>
      <c r="ACG48" s="456"/>
      <c r="ACH48" s="456"/>
      <c r="ACI48" s="456"/>
      <c r="ACJ48" s="456"/>
      <c r="ACK48" s="456"/>
      <c r="ACL48" s="456"/>
      <c r="ACM48" s="456"/>
      <c r="ACN48" s="456"/>
      <c r="ACO48" s="456"/>
      <c r="ACP48" s="456"/>
      <c r="ACQ48" s="456"/>
      <c r="ACR48" s="456"/>
      <c r="ACS48" s="456"/>
      <c r="ACT48" s="456"/>
      <c r="ACU48" s="456"/>
      <c r="ACV48" s="456"/>
      <c r="ACW48" s="456"/>
      <c r="ACX48" s="456"/>
      <c r="ACY48" s="456"/>
      <c r="ACZ48" s="456"/>
      <c r="ADA48" s="456"/>
      <c r="ADB48" s="456"/>
      <c r="ADC48" s="456"/>
      <c r="ADD48" s="456"/>
      <c r="ADE48" s="456"/>
      <c r="ADF48" s="456"/>
      <c r="ADG48" s="456"/>
      <c r="ADH48" s="456"/>
      <c r="ADI48" s="456"/>
      <c r="ADJ48" s="456"/>
      <c r="ADK48" s="456"/>
      <c r="ADL48" s="456"/>
      <c r="ADM48" s="456"/>
      <c r="ADN48" s="456"/>
      <c r="ADO48" s="456"/>
      <c r="ADP48" s="456"/>
      <c r="ADQ48" s="456"/>
      <c r="ADR48" s="456"/>
      <c r="ADS48" s="456"/>
      <c r="ADT48" s="456"/>
      <c r="ADU48" s="456"/>
      <c r="ADV48" s="456"/>
      <c r="ADW48" s="456"/>
      <c r="ADX48" s="456"/>
      <c r="ADY48" s="456"/>
      <c r="ADZ48" s="456"/>
      <c r="AEA48" s="456"/>
      <c r="AEB48" s="456"/>
      <c r="AEC48" s="456"/>
      <c r="AED48" s="456"/>
      <c r="AEE48" s="456"/>
      <c r="AEF48" s="456"/>
      <c r="AEG48" s="456"/>
      <c r="AEH48" s="456"/>
      <c r="AEI48" s="456"/>
      <c r="AEJ48" s="456"/>
      <c r="AEK48" s="456"/>
      <c r="AEL48" s="456"/>
      <c r="AEM48" s="456"/>
      <c r="AEN48" s="456"/>
      <c r="AEO48" s="456"/>
      <c r="AEP48" s="456"/>
      <c r="AEQ48" s="456"/>
      <c r="AER48" s="456"/>
      <c r="AES48" s="456"/>
      <c r="AET48" s="456"/>
      <c r="AEU48" s="456"/>
      <c r="AEV48" s="456"/>
      <c r="AEW48" s="456"/>
      <c r="AEX48" s="456"/>
      <c r="AEY48" s="456"/>
      <c r="AEZ48" s="456"/>
      <c r="AFA48" s="456"/>
      <c r="AFB48" s="456"/>
      <c r="AFC48" s="456"/>
      <c r="AFD48" s="456"/>
      <c r="AFE48" s="456"/>
      <c r="AFF48" s="456"/>
      <c r="AFG48" s="456"/>
      <c r="AFH48" s="456"/>
      <c r="AFI48" s="456"/>
      <c r="AFJ48" s="456"/>
      <c r="AFK48" s="456"/>
      <c r="AFL48" s="456"/>
      <c r="AFM48" s="456"/>
      <c r="AFN48" s="456"/>
      <c r="AFO48" s="456"/>
      <c r="AFP48" s="456"/>
      <c r="AFQ48" s="456"/>
      <c r="AFR48" s="456"/>
      <c r="AFS48" s="456"/>
      <c r="AFT48" s="456"/>
      <c r="AFU48" s="456"/>
      <c r="AFV48" s="456"/>
      <c r="AFW48" s="456"/>
      <c r="AFX48" s="456"/>
      <c r="AFY48" s="456"/>
      <c r="AFZ48" s="456"/>
      <c r="AGA48" s="456"/>
      <c r="AGB48" s="456"/>
      <c r="AGC48" s="456"/>
      <c r="AGD48" s="456"/>
      <c r="AGE48" s="456"/>
      <c r="AGF48" s="456"/>
      <c r="AGG48" s="456"/>
      <c r="AGH48" s="456"/>
      <c r="AGI48" s="456"/>
      <c r="AGJ48" s="456"/>
      <c r="AGK48" s="456"/>
      <c r="AGL48" s="456"/>
      <c r="AGM48" s="456"/>
      <c r="AGN48" s="456"/>
      <c r="AGO48" s="456"/>
      <c r="AGP48" s="456"/>
      <c r="AGQ48" s="456"/>
      <c r="AGR48" s="456"/>
      <c r="AGS48" s="456"/>
      <c r="AGT48" s="456"/>
      <c r="AGU48" s="456"/>
      <c r="AGV48" s="456"/>
      <c r="AGW48" s="456"/>
      <c r="AGX48" s="456"/>
      <c r="AGY48" s="456"/>
      <c r="AGZ48" s="456"/>
      <c r="AHA48" s="456"/>
      <c r="AHB48" s="456"/>
      <c r="AHC48" s="456"/>
      <c r="AHD48" s="456"/>
      <c r="AHE48" s="456"/>
      <c r="AHF48" s="456"/>
      <c r="AHG48" s="456"/>
      <c r="AHH48" s="456"/>
      <c r="AHI48" s="456"/>
      <c r="AHJ48" s="456"/>
      <c r="AHK48" s="456"/>
      <c r="AHL48" s="456"/>
      <c r="AHM48" s="456"/>
      <c r="AHN48" s="456"/>
      <c r="AHO48" s="456"/>
      <c r="AHP48" s="456"/>
      <c r="AHQ48" s="456"/>
      <c r="AHR48" s="456"/>
      <c r="AHS48" s="456"/>
      <c r="AHT48" s="456"/>
      <c r="AHU48" s="456"/>
      <c r="AHV48" s="456"/>
      <c r="AHW48" s="456"/>
      <c r="AHX48" s="456"/>
      <c r="AHY48" s="456"/>
      <c r="AHZ48" s="456"/>
      <c r="AIA48" s="456"/>
      <c r="AIB48" s="456"/>
      <c r="AIC48" s="456"/>
      <c r="AID48" s="456"/>
      <c r="AIE48" s="456"/>
      <c r="AIF48" s="456"/>
      <c r="AIG48" s="456"/>
      <c r="AIH48" s="456"/>
      <c r="AII48" s="456"/>
      <c r="AIJ48" s="456"/>
      <c r="AIK48" s="456"/>
      <c r="AIL48" s="456"/>
      <c r="AIM48" s="456"/>
      <c r="AIN48" s="456"/>
      <c r="AIO48" s="456"/>
      <c r="AIP48" s="456"/>
      <c r="AIQ48" s="456"/>
      <c r="AIR48" s="456"/>
      <c r="AIS48" s="456"/>
      <c r="AIT48" s="456"/>
      <c r="AIU48" s="456"/>
      <c r="AIV48" s="456"/>
      <c r="AIW48" s="456"/>
      <c r="AIX48" s="456"/>
      <c r="AIY48" s="456"/>
      <c r="AIZ48" s="456"/>
      <c r="AJA48" s="456"/>
      <c r="AJB48" s="456"/>
      <c r="AJC48" s="456"/>
      <c r="AJD48" s="456"/>
      <c r="AJE48" s="456"/>
      <c r="AJF48" s="456"/>
      <c r="AJG48" s="456"/>
      <c r="AJH48" s="456"/>
      <c r="AJI48" s="456"/>
      <c r="AJJ48" s="456"/>
      <c r="AJK48" s="456"/>
      <c r="AJL48" s="456"/>
      <c r="AJM48" s="456"/>
      <c r="AJN48" s="456"/>
      <c r="AJO48" s="456"/>
      <c r="AJP48" s="456"/>
      <c r="AJQ48" s="456"/>
      <c r="AJR48" s="456"/>
      <c r="AJS48" s="456"/>
      <c r="AJT48" s="456"/>
      <c r="AJU48" s="456"/>
      <c r="AJV48" s="456"/>
      <c r="AJW48" s="456"/>
      <c r="AJX48" s="456"/>
      <c r="AJY48" s="456"/>
      <c r="AJZ48" s="456"/>
      <c r="AKA48" s="456"/>
      <c r="AKB48" s="456"/>
      <c r="AKC48" s="456"/>
      <c r="AKD48" s="456"/>
      <c r="AKE48" s="456"/>
      <c r="AKF48" s="456"/>
      <c r="AKG48" s="456"/>
      <c r="AKH48" s="456"/>
      <c r="AKI48" s="456"/>
      <c r="AKJ48" s="456"/>
      <c r="AKK48" s="456"/>
      <c r="AKL48" s="456"/>
      <c r="AKM48" s="456"/>
      <c r="AKN48" s="456"/>
      <c r="AKO48" s="456"/>
      <c r="AKP48" s="456"/>
      <c r="AKQ48" s="456"/>
      <c r="AKR48" s="456"/>
      <c r="AKS48" s="456"/>
      <c r="AKT48" s="456"/>
      <c r="AKU48" s="456"/>
      <c r="AKV48" s="456"/>
      <c r="AKW48" s="456"/>
      <c r="AKX48" s="456"/>
      <c r="AKY48" s="456"/>
      <c r="AKZ48" s="456"/>
      <c r="ALA48" s="456"/>
      <c r="ALB48" s="456"/>
      <c r="ALC48" s="456"/>
      <c r="ALD48" s="456"/>
      <c r="ALE48" s="456"/>
      <c r="ALF48" s="456"/>
      <c r="ALG48" s="456"/>
      <c r="ALH48" s="456"/>
      <c r="ALI48" s="456"/>
      <c r="ALJ48" s="456"/>
      <c r="ALK48" s="456"/>
      <c r="ALL48" s="456"/>
      <c r="ALM48" s="456"/>
      <c r="ALN48" s="456"/>
      <c r="ALO48" s="456"/>
      <c r="ALP48" s="456"/>
      <c r="ALQ48" s="456"/>
      <c r="ALR48" s="456"/>
      <c r="ALS48" s="456"/>
      <c r="ALT48" s="456"/>
      <c r="ALU48" s="456"/>
      <c r="ALV48" s="456"/>
      <c r="ALW48" s="456"/>
      <c r="ALX48" s="456"/>
      <c r="ALY48" s="456"/>
      <c r="ALZ48" s="456"/>
      <c r="AMA48" s="456"/>
      <c r="AMB48" s="456"/>
      <c r="AMC48" s="456"/>
      <c r="AMD48" s="456"/>
      <c r="AME48" s="456"/>
      <c r="AMF48" s="456"/>
      <c r="AMG48" s="456"/>
      <c r="AMH48" s="456"/>
      <c r="AMI48" s="456"/>
      <c r="AMJ48" s="456"/>
      <c r="AMK48" s="456"/>
      <c r="AML48" s="456"/>
      <c r="AMM48" s="456"/>
      <c r="AMN48" s="456"/>
      <c r="AMO48" s="456"/>
      <c r="AMP48" s="456"/>
      <c r="AMQ48" s="456"/>
      <c r="AMR48" s="456"/>
      <c r="AMS48" s="456"/>
      <c r="AMT48" s="456"/>
      <c r="AMU48" s="456"/>
      <c r="AMV48" s="456"/>
      <c r="AMW48" s="456"/>
      <c r="AMX48" s="456"/>
      <c r="AMY48" s="456"/>
      <c r="AMZ48" s="456"/>
      <c r="ANA48" s="456"/>
      <c r="ANB48" s="456"/>
      <c r="ANC48" s="456"/>
      <c r="AND48" s="456"/>
      <c r="ANE48" s="456"/>
      <c r="ANF48" s="456"/>
      <c r="ANG48" s="456"/>
      <c r="ANH48" s="456"/>
      <c r="ANI48" s="456"/>
      <c r="ANJ48" s="456"/>
      <c r="ANK48" s="456"/>
      <c r="ANL48" s="456"/>
      <c r="ANM48" s="456"/>
      <c r="ANN48" s="456"/>
      <c r="ANO48" s="456"/>
      <c r="ANP48" s="456"/>
      <c r="ANQ48" s="456"/>
      <c r="ANR48" s="456"/>
      <c r="ANS48" s="456"/>
      <c r="ANT48" s="456"/>
      <c r="ANU48" s="456"/>
      <c r="ANV48" s="456"/>
      <c r="ANW48" s="456"/>
      <c r="ANX48" s="456"/>
      <c r="ANY48" s="456"/>
      <c r="ANZ48" s="456"/>
      <c r="AOA48" s="456"/>
      <c r="AOB48" s="456"/>
      <c r="AOC48" s="456"/>
      <c r="AOD48" s="456"/>
      <c r="AOE48" s="456"/>
      <c r="AOF48" s="456"/>
      <c r="AOG48" s="456"/>
      <c r="AOH48" s="456"/>
      <c r="AOI48" s="456"/>
      <c r="AOJ48" s="456"/>
      <c r="AOK48" s="456"/>
      <c r="AOL48" s="456"/>
      <c r="AOM48" s="456"/>
      <c r="AON48" s="456"/>
      <c r="AOO48" s="456"/>
      <c r="AOP48" s="456"/>
      <c r="AOQ48" s="456"/>
      <c r="AOR48" s="456"/>
      <c r="AOS48" s="456"/>
      <c r="AOT48" s="456"/>
      <c r="AOU48" s="456"/>
      <c r="AOV48" s="456"/>
      <c r="AOW48" s="456"/>
      <c r="AOX48" s="456"/>
      <c r="AOY48" s="456"/>
      <c r="AOZ48" s="456"/>
      <c r="APA48" s="456"/>
      <c r="APB48" s="456"/>
      <c r="APC48" s="456"/>
      <c r="APD48" s="456"/>
      <c r="APE48" s="456"/>
      <c r="APF48" s="456"/>
      <c r="APG48" s="456"/>
      <c r="APH48" s="456"/>
      <c r="API48" s="456"/>
      <c r="APJ48" s="456"/>
      <c r="APK48" s="456"/>
      <c r="APL48" s="456"/>
      <c r="APM48" s="456"/>
      <c r="APN48" s="456"/>
      <c r="APO48" s="456"/>
      <c r="APP48" s="456"/>
      <c r="APQ48" s="456"/>
      <c r="APR48" s="456"/>
      <c r="APS48" s="456"/>
      <c r="APT48" s="456"/>
      <c r="APU48" s="456"/>
      <c r="APV48" s="456"/>
      <c r="APW48" s="456"/>
      <c r="APX48" s="456"/>
      <c r="APY48" s="456"/>
      <c r="APZ48" s="456"/>
      <c r="AQA48" s="456"/>
      <c r="AQB48" s="456"/>
      <c r="AQC48" s="456"/>
      <c r="AQD48" s="456"/>
      <c r="AQE48" s="456"/>
      <c r="AQF48" s="456"/>
      <c r="AQG48" s="456"/>
      <c r="AQH48" s="456"/>
      <c r="AQI48" s="456"/>
      <c r="AQJ48" s="456"/>
      <c r="AQK48" s="456"/>
      <c r="AQL48" s="456"/>
      <c r="AQM48" s="456"/>
      <c r="AQN48" s="456"/>
      <c r="AQO48" s="456"/>
      <c r="AQP48" s="456"/>
      <c r="AQQ48" s="456"/>
      <c r="AQR48" s="456"/>
      <c r="AQS48" s="456"/>
      <c r="AQT48" s="456"/>
      <c r="AQU48" s="456"/>
      <c r="AQV48" s="456"/>
      <c r="AQW48" s="456"/>
      <c r="AQX48" s="456"/>
      <c r="AQY48" s="456"/>
      <c r="AQZ48" s="456"/>
      <c r="ARA48" s="456"/>
      <c r="ARB48" s="456"/>
      <c r="ARC48" s="456"/>
      <c r="ARD48" s="456"/>
      <c r="ARE48" s="456"/>
      <c r="ARF48" s="456"/>
      <c r="ARG48" s="456"/>
      <c r="ARH48" s="456"/>
      <c r="ARI48" s="456"/>
      <c r="ARJ48" s="456"/>
      <c r="ARK48" s="456"/>
      <c r="ARL48" s="456"/>
      <c r="ARM48" s="456"/>
      <c r="ARN48" s="456"/>
      <c r="ARO48" s="456"/>
      <c r="ARP48" s="456"/>
      <c r="ARQ48" s="456"/>
      <c r="ARR48" s="456"/>
      <c r="ARS48" s="456"/>
      <c r="ART48" s="456"/>
      <c r="ARU48" s="456"/>
      <c r="ARV48" s="456"/>
      <c r="ARW48" s="456"/>
      <c r="ARX48" s="456"/>
      <c r="ARY48" s="456"/>
      <c r="ARZ48" s="456"/>
      <c r="ASA48" s="456"/>
      <c r="ASB48" s="456"/>
      <c r="ASC48" s="456"/>
      <c r="ASD48" s="456"/>
      <c r="ASE48" s="456"/>
      <c r="ASF48" s="456"/>
      <c r="ASG48" s="456"/>
      <c r="ASH48" s="456"/>
      <c r="ASI48" s="456"/>
      <c r="ASJ48" s="456"/>
      <c r="ASK48" s="456"/>
      <c r="ASL48" s="456"/>
      <c r="ASM48" s="456"/>
      <c r="ASN48" s="456"/>
      <c r="ASO48" s="456"/>
      <c r="ASP48" s="456"/>
      <c r="ASQ48" s="456"/>
      <c r="ASR48" s="456"/>
      <c r="ASS48" s="456"/>
      <c r="AST48" s="456"/>
      <c r="ASU48" s="456"/>
      <c r="ASV48" s="456"/>
      <c r="ASW48" s="456"/>
      <c r="ASX48" s="456"/>
      <c r="ASY48" s="456"/>
      <c r="ASZ48" s="456"/>
      <c r="ATA48" s="456"/>
      <c r="ATB48" s="456"/>
      <c r="ATC48" s="456"/>
      <c r="ATD48" s="456"/>
      <c r="ATE48" s="456"/>
      <c r="ATF48" s="456"/>
      <c r="ATG48" s="456"/>
      <c r="ATH48" s="456"/>
      <c r="ATI48" s="456"/>
      <c r="ATJ48" s="456"/>
      <c r="ATK48" s="456"/>
      <c r="ATL48" s="456"/>
      <c r="ATM48" s="456"/>
      <c r="ATN48" s="456"/>
      <c r="ATO48" s="456"/>
      <c r="ATP48" s="456"/>
      <c r="ATQ48" s="456"/>
      <c r="ATR48" s="456"/>
      <c r="ATS48" s="456"/>
      <c r="ATT48" s="456"/>
      <c r="ATU48" s="456"/>
      <c r="ATV48" s="456"/>
      <c r="ATW48" s="456"/>
      <c r="ATX48" s="456"/>
      <c r="ATY48" s="456"/>
      <c r="ATZ48" s="456"/>
      <c r="AUA48" s="456"/>
      <c r="AUB48" s="456"/>
      <c r="AUC48" s="456"/>
      <c r="AUD48" s="456"/>
      <c r="AUE48" s="456"/>
      <c r="AUF48" s="456"/>
      <c r="AUG48" s="456"/>
      <c r="AUH48" s="456"/>
      <c r="AUI48" s="456"/>
      <c r="AUJ48" s="456"/>
      <c r="AUK48" s="456"/>
      <c r="AUL48" s="456"/>
      <c r="AUM48" s="456"/>
      <c r="AUN48" s="456"/>
      <c r="AUO48" s="456"/>
      <c r="AUP48" s="456"/>
      <c r="AUQ48" s="456"/>
      <c r="AUR48" s="456"/>
      <c r="AUS48" s="456"/>
      <c r="AUT48" s="456"/>
      <c r="AUU48" s="456"/>
      <c r="AUV48" s="456"/>
      <c r="AUW48" s="456"/>
      <c r="AUX48" s="456"/>
      <c r="AUY48" s="456"/>
      <c r="AUZ48" s="456"/>
      <c r="AVA48" s="456"/>
      <c r="AVB48" s="456"/>
      <c r="AVC48" s="456"/>
      <c r="AVD48" s="456"/>
      <c r="AVE48" s="456"/>
      <c r="AVF48" s="456"/>
      <c r="AVG48" s="456"/>
      <c r="AVH48" s="456"/>
      <c r="AVI48" s="456"/>
      <c r="AVJ48" s="456"/>
      <c r="AVK48" s="456"/>
      <c r="AVL48" s="456"/>
      <c r="AVM48" s="456"/>
      <c r="AVN48" s="456"/>
      <c r="AVO48" s="456"/>
      <c r="AVP48" s="456"/>
      <c r="AVQ48" s="456"/>
      <c r="AVR48" s="456"/>
      <c r="AVS48" s="456"/>
      <c r="AVT48" s="456"/>
      <c r="AVU48" s="456"/>
      <c r="AVV48" s="456"/>
      <c r="AVW48" s="456"/>
      <c r="AVX48" s="456"/>
      <c r="AVY48" s="456"/>
      <c r="AVZ48" s="456"/>
      <c r="AWA48" s="456"/>
      <c r="AWB48" s="456"/>
      <c r="AWC48" s="456"/>
      <c r="AWD48" s="456"/>
      <c r="AWE48" s="456"/>
      <c r="AWF48" s="456"/>
      <c r="AWG48" s="456"/>
      <c r="AWH48" s="456"/>
      <c r="AWI48" s="456"/>
      <c r="AWJ48" s="456"/>
      <c r="AWK48" s="456"/>
      <c r="AWL48" s="456"/>
      <c r="AWM48" s="456"/>
      <c r="AWN48" s="456"/>
      <c r="AWO48" s="456"/>
      <c r="AWP48" s="456"/>
      <c r="AWQ48" s="456"/>
      <c r="AWR48" s="456"/>
      <c r="AWS48" s="456"/>
      <c r="AWT48" s="456"/>
      <c r="AWU48" s="456"/>
      <c r="AWV48" s="456"/>
      <c r="AWW48" s="456"/>
      <c r="AWX48" s="456"/>
      <c r="AWY48" s="456"/>
      <c r="AWZ48" s="456"/>
      <c r="AXA48" s="456"/>
      <c r="AXB48" s="456"/>
      <c r="AXC48" s="456"/>
      <c r="AXD48" s="456"/>
      <c r="AXE48" s="456"/>
      <c r="AXF48" s="456"/>
      <c r="AXG48" s="456"/>
      <c r="AXH48" s="456"/>
      <c r="AXI48" s="456"/>
      <c r="AXJ48" s="456"/>
      <c r="AXK48" s="456"/>
      <c r="AXL48" s="456"/>
      <c r="AXM48" s="456"/>
      <c r="AXN48" s="456"/>
      <c r="AXO48" s="456"/>
      <c r="AXP48" s="456"/>
      <c r="AXQ48" s="456"/>
      <c r="AXR48" s="456"/>
      <c r="AXS48" s="456"/>
      <c r="AXT48" s="456"/>
      <c r="AXU48" s="456"/>
      <c r="AXV48" s="456"/>
      <c r="AXW48" s="456"/>
      <c r="AXX48" s="456"/>
      <c r="AXY48" s="456"/>
      <c r="AXZ48" s="456"/>
      <c r="AYA48" s="456"/>
      <c r="AYB48" s="456"/>
      <c r="AYC48" s="456"/>
      <c r="AYD48" s="456"/>
      <c r="AYE48" s="456"/>
      <c r="AYF48" s="456"/>
      <c r="AYG48" s="456"/>
      <c r="AYH48" s="456"/>
      <c r="AYI48" s="456"/>
      <c r="AYJ48" s="456"/>
      <c r="AYK48" s="456"/>
      <c r="AYL48" s="456"/>
      <c r="AYM48" s="456"/>
      <c r="AYN48" s="456"/>
      <c r="AYO48" s="456"/>
      <c r="AYP48" s="456"/>
      <c r="AYQ48" s="456"/>
      <c r="AYR48" s="456"/>
      <c r="AYS48" s="456"/>
      <c r="AYT48" s="456"/>
      <c r="AYU48" s="456"/>
      <c r="AYV48" s="456"/>
      <c r="AYW48" s="456"/>
      <c r="AYX48" s="456"/>
      <c r="AYY48" s="456"/>
      <c r="AYZ48" s="456"/>
      <c r="AZA48" s="456"/>
      <c r="AZB48" s="456"/>
      <c r="AZC48" s="456"/>
      <c r="AZD48" s="456"/>
      <c r="AZE48" s="456"/>
      <c r="AZF48" s="456"/>
      <c r="AZG48" s="456"/>
      <c r="AZH48" s="456"/>
      <c r="AZI48" s="456"/>
      <c r="AZJ48" s="456"/>
      <c r="AZK48" s="456"/>
      <c r="AZL48" s="456"/>
      <c r="AZM48" s="456"/>
      <c r="AZN48" s="456"/>
      <c r="AZO48" s="456"/>
      <c r="AZP48" s="456"/>
      <c r="AZQ48" s="456"/>
      <c r="AZR48" s="456"/>
      <c r="AZS48" s="456"/>
      <c r="AZT48" s="456"/>
      <c r="AZU48" s="456"/>
      <c r="AZV48" s="456"/>
      <c r="AZW48" s="456"/>
      <c r="AZX48" s="456"/>
      <c r="AZY48" s="456"/>
      <c r="AZZ48" s="456"/>
      <c r="BAA48" s="456"/>
      <c r="BAB48" s="456"/>
      <c r="BAC48" s="456"/>
      <c r="BAD48" s="456"/>
      <c r="BAE48" s="456"/>
      <c r="BAF48" s="456"/>
      <c r="BAG48" s="456"/>
      <c r="BAH48" s="456"/>
      <c r="BAI48" s="456"/>
      <c r="BAJ48" s="456"/>
      <c r="BAK48" s="456"/>
      <c r="BAL48" s="456"/>
      <c r="BAM48" s="456"/>
      <c r="BAN48" s="456"/>
      <c r="BAO48" s="456"/>
      <c r="BAP48" s="456"/>
      <c r="BAQ48" s="456"/>
      <c r="BAR48" s="456"/>
      <c r="BAS48" s="456"/>
      <c r="BAT48" s="456"/>
      <c r="BAU48" s="456"/>
      <c r="BAV48" s="456"/>
      <c r="BAW48" s="456"/>
      <c r="BAX48" s="456"/>
      <c r="BAY48" s="456"/>
      <c r="BAZ48" s="456"/>
      <c r="BBA48" s="456"/>
      <c r="BBB48" s="456"/>
      <c r="BBC48" s="456"/>
      <c r="BBD48" s="456"/>
      <c r="BBE48" s="456"/>
      <c r="BBF48" s="456"/>
      <c r="BBG48" s="456"/>
      <c r="BBH48" s="456"/>
      <c r="BBI48" s="456"/>
      <c r="BBJ48" s="456"/>
      <c r="BBK48" s="456"/>
      <c r="BBL48" s="456"/>
      <c r="BBM48" s="456"/>
      <c r="BBN48" s="456"/>
      <c r="BBO48" s="456"/>
      <c r="BBP48" s="456"/>
      <c r="BBQ48" s="456"/>
      <c r="BBR48" s="456"/>
      <c r="BBS48" s="456"/>
      <c r="BBT48" s="456"/>
      <c r="BBU48" s="456"/>
      <c r="BBV48" s="456"/>
      <c r="BBW48" s="456"/>
      <c r="BBX48" s="456"/>
      <c r="BBY48" s="456"/>
      <c r="BBZ48" s="456"/>
      <c r="BCA48" s="456"/>
      <c r="BCB48" s="456"/>
      <c r="BCC48" s="456"/>
      <c r="BCD48" s="456"/>
      <c r="BCE48" s="456"/>
      <c r="BCF48" s="456"/>
      <c r="BCG48" s="456"/>
      <c r="BCH48" s="456"/>
      <c r="BCI48" s="456"/>
      <c r="BCJ48" s="456"/>
      <c r="BCK48" s="456"/>
      <c r="BCL48" s="456"/>
      <c r="BCM48" s="456"/>
      <c r="BCN48" s="456"/>
      <c r="BCO48" s="456"/>
      <c r="BCP48" s="456"/>
      <c r="BCQ48" s="456"/>
      <c r="BCR48" s="456"/>
      <c r="BCS48" s="456"/>
      <c r="BCT48" s="456"/>
      <c r="BCU48" s="456"/>
      <c r="BCV48" s="456"/>
      <c r="BCW48" s="456"/>
      <c r="BCX48" s="456"/>
      <c r="BCY48" s="456"/>
      <c r="BCZ48" s="456"/>
      <c r="BDA48" s="456"/>
      <c r="BDB48" s="456"/>
      <c r="BDC48" s="456"/>
      <c r="BDD48" s="456"/>
      <c r="BDE48" s="456"/>
      <c r="BDF48" s="456"/>
      <c r="BDG48" s="456"/>
      <c r="BDH48" s="456"/>
      <c r="BDI48" s="456"/>
      <c r="BDJ48" s="456"/>
      <c r="BDK48" s="456"/>
      <c r="BDL48" s="456"/>
      <c r="BDM48" s="456"/>
      <c r="BDN48" s="456"/>
      <c r="BDO48" s="456"/>
      <c r="BDP48" s="456"/>
      <c r="BDQ48" s="456"/>
      <c r="BDR48" s="456"/>
      <c r="BDS48" s="456"/>
      <c r="BDT48" s="456"/>
      <c r="BDU48" s="456"/>
      <c r="BDV48" s="456"/>
      <c r="BDW48" s="456"/>
      <c r="BDX48" s="456"/>
      <c r="BDY48" s="456"/>
      <c r="BDZ48" s="456"/>
      <c r="BEA48" s="456"/>
      <c r="BEB48" s="456"/>
      <c r="BEC48" s="456"/>
      <c r="BED48" s="456"/>
      <c r="BEE48" s="456"/>
      <c r="BEF48" s="456"/>
      <c r="BEG48" s="456"/>
      <c r="BEH48" s="456"/>
      <c r="BEI48" s="456"/>
      <c r="BEJ48" s="456"/>
      <c r="BEK48" s="456"/>
      <c r="BEL48" s="456"/>
      <c r="BEM48" s="456"/>
      <c r="BEN48" s="456"/>
      <c r="BEO48" s="456"/>
      <c r="BEP48" s="456"/>
      <c r="BEQ48" s="456"/>
      <c r="BER48" s="456"/>
      <c r="BES48" s="456"/>
      <c r="BET48" s="456"/>
      <c r="BEU48" s="456"/>
      <c r="BEV48" s="456"/>
      <c r="BEW48" s="456"/>
      <c r="BEX48" s="456"/>
      <c r="BEY48" s="456"/>
      <c r="BEZ48" s="456"/>
      <c r="BFA48" s="456"/>
      <c r="BFB48" s="456"/>
      <c r="BFC48" s="456"/>
      <c r="BFD48" s="456"/>
      <c r="BFE48" s="456"/>
      <c r="BFF48" s="456"/>
      <c r="BFG48" s="456"/>
      <c r="BFH48" s="456"/>
      <c r="BFI48" s="456"/>
      <c r="BFJ48" s="456"/>
      <c r="BFK48" s="456"/>
      <c r="BFL48" s="456"/>
      <c r="BFM48" s="456"/>
      <c r="BFN48" s="456"/>
      <c r="BFO48" s="456"/>
      <c r="BFP48" s="456"/>
      <c r="BFQ48" s="456"/>
      <c r="BFR48" s="456"/>
      <c r="BFS48" s="456"/>
      <c r="BFT48" s="456"/>
      <c r="BFU48" s="456"/>
      <c r="BFV48" s="456"/>
      <c r="BFW48" s="456"/>
      <c r="BFX48" s="456"/>
      <c r="BFY48" s="456"/>
      <c r="BFZ48" s="456"/>
      <c r="BGA48" s="456"/>
      <c r="BGB48" s="456"/>
      <c r="BGC48" s="456"/>
      <c r="BGD48" s="456"/>
      <c r="BGE48" s="456"/>
      <c r="BGF48" s="456"/>
      <c r="BGG48" s="456"/>
      <c r="BGH48" s="456"/>
      <c r="BGI48" s="456"/>
      <c r="BGJ48" s="456"/>
      <c r="BGK48" s="456"/>
      <c r="BGL48" s="456"/>
      <c r="BGM48" s="456"/>
      <c r="BGN48" s="456"/>
      <c r="BGO48" s="456"/>
      <c r="BGP48" s="456"/>
      <c r="BGQ48" s="456"/>
      <c r="BGR48" s="456"/>
      <c r="BGS48" s="456"/>
      <c r="BGT48" s="456"/>
      <c r="BGU48" s="456"/>
      <c r="BGV48" s="456"/>
      <c r="BGW48" s="456"/>
      <c r="BGX48" s="456"/>
      <c r="BGY48" s="456"/>
      <c r="BGZ48" s="456"/>
      <c r="BHA48" s="456"/>
      <c r="BHB48" s="456"/>
      <c r="BHC48" s="456"/>
      <c r="BHD48" s="456"/>
      <c r="BHE48" s="456"/>
      <c r="BHF48" s="456"/>
      <c r="BHG48" s="456"/>
      <c r="BHH48" s="456"/>
      <c r="BHI48" s="456"/>
      <c r="BHJ48" s="456"/>
      <c r="BHK48" s="456"/>
      <c r="BHL48" s="456"/>
      <c r="BHM48" s="456"/>
      <c r="BHN48" s="456"/>
      <c r="BHO48" s="456"/>
      <c r="BHP48" s="456"/>
      <c r="BHQ48" s="456"/>
      <c r="BHR48" s="456"/>
      <c r="BHS48" s="456"/>
      <c r="BHT48" s="456"/>
      <c r="BHU48" s="456"/>
      <c r="BHV48" s="456"/>
      <c r="BHW48" s="456"/>
      <c r="BHX48" s="456"/>
      <c r="BHY48" s="456"/>
      <c r="BHZ48" s="456"/>
      <c r="BIA48" s="456"/>
      <c r="BIB48" s="456"/>
      <c r="BIC48" s="456"/>
      <c r="BID48" s="456"/>
      <c r="BIE48" s="456"/>
      <c r="BIF48" s="456"/>
      <c r="BIG48" s="456"/>
      <c r="BIH48" s="456"/>
      <c r="BII48" s="456"/>
      <c r="BIJ48" s="456"/>
      <c r="BIK48" s="456"/>
      <c r="BIL48" s="456"/>
      <c r="BIM48" s="456"/>
      <c r="BIN48" s="456"/>
      <c r="BIO48" s="456"/>
      <c r="BIP48" s="456"/>
      <c r="BIQ48" s="456"/>
      <c r="BIR48" s="456"/>
      <c r="BIS48" s="456"/>
      <c r="BIT48" s="456"/>
      <c r="BIU48" s="456"/>
      <c r="BIV48" s="456"/>
      <c r="BIW48" s="456"/>
      <c r="BIX48" s="456"/>
      <c r="BIY48" s="456"/>
      <c r="BIZ48" s="456"/>
      <c r="BJA48" s="456"/>
      <c r="BJB48" s="456"/>
      <c r="BJC48" s="456"/>
      <c r="BJD48" s="456"/>
      <c r="BJE48" s="456"/>
      <c r="BJF48" s="456"/>
      <c r="BJG48" s="456"/>
      <c r="BJH48" s="456"/>
      <c r="BJI48" s="456"/>
      <c r="BJJ48" s="456"/>
      <c r="BJK48" s="456"/>
      <c r="BJL48" s="456"/>
      <c r="BJM48" s="456"/>
      <c r="BJN48" s="456"/>
      <c r="BJO48" s="456"/>
      <c r="BJP48" s="456"/>
      <c r="BJQ48" s="456"/>
      <c r="BJR48" s="456"/>
      <c r="BJS48" s="456"/>
      <c r="BJT48" s="456"/>
      <c r="BJU48" s="456"/>
      <c r="BJV48" s="456"/>
      <c r="BJW48" s="456"/>
      <c r="BJX48" s="456"/>
      <c r="BJY48" s="456"/>
      <c r="BJZ48" s="456"/>
      <c r="BKA48" s="456"/>
      <c r="BKB48" s="456"/>
      <c r="BKC48" s="456"/>
      <c r="BKD48" s="456"/>
      <c r="BKE48" s="456"/>
      <c r="BKF48" s="456"/>
      <c r="BKG48" s="456"/>
      <c r="BKH48" s="456"/>
      <c r="BKI48" s="456"/>
      <c r="BKJ48" s="456"/>
      <c r="BKK48" s="456"/>
      <c r="BKL48" s="456"/>
      <c r="BKM48" s="456"/>
      <c r="BKN48" s="456"/>
      <c r="BKO48" s="456"/>
      <c r="BKP48" s="456"/>
      <c r="BKQ48" s="456"/>
      <c r="BKR48" s="456"/>
      <c r="BKS48" s="456"/>
      <c r="BKT48" s="456"/>
      <c r="BKU48" s="456"/>
      <c r="BKV48" s="456"/>
      <c r="BKW48" s="456"/>
      <c r="BKX48" s="456"/>
      <c r="BKY48" s="456"/>
      <c r="BKZ48" s="456"/>
      <c r="BLA48" s="456"/>
      <c r="BLB48" s="456"/>
      <c r="BLC48" s="456"/>
      <c r="BLD48" s="456"/>
      <c r="BLE48" s="456"/>
      <c r="BLF48" s="456"/>
      <c r="BLG48" s="456"/>
      <c r="BLH48" s="456"/>
      <c r="BLI48" s="456"/>
      <c r="BLJ48" s="456"/>
      <c r="BLK48" s="456"/>
      <c r="BLL48" s="456"/>
      <c r="BLM48" s="456"/>
      <c r="BLN48" s="456"/>
      <c r="BLO48" s="456"/>
      <c r="BLP48" s="456"/>
      <c r="BLQ48" s="456"/>
      <c r="BLR48" s="456"/>
      <c r="BLS48" s="456"/>
      <c r="BLT48" s="456"/>
      <c r="BLU48" s="456"/>
      <c r="BLV48" s="456"/>
      <c r="BLW48" s="456"/>
      <c r="BLX48" s="456"/>
      <c r="BLY48" s="456"/>
      <c r="BLZ48" s="456"/>
      <c r="BMA48" s="456"/>
      <c r="BMB48" s="456"/>
      <c r="BMC48" s="456"/>
      <c r="BMD48" s="456"/>
      <c r="BME48" s="456"/>
      <c r="BMF48" s="456"/>
      <c r="BMG48" s="456"/>
      <c r="BMH48" s="456"/>
      <c r="BMI48" s="456"/>
      <c r="BMJ48" s="456"/>
      <c r="BMK48" s="456"/>
      <c r="BML48" s="456"/>
      <c r="BMM48" s="456"/>
      <c r="BMN48" s="456"/>
      <c r="BMO48" s="456"/>
      <c r="BMP48" s="456"/>
      <c r="BMQ48" s="456"/>
      <c r="BMR48" s="456"/>
      <c r="BMS48" s="456"/>
      <c r="BMT48" s="456"/>
      <c r="BMU48" s="456"/>
      <c r="BMV48" s="456"/>
      <c r="BMW48" s="456"/>
      <c r="BMX48" s="456"/>
      <c r="BMY48" s="456"/>
      <c r="BMZ48" s="456"/>
      <c r="BNA48" s="456"/>
      <c r="BNB48" s="456"/>
      <c r="BNC48" s="456"/>
      <c r="BND48" s="456"/>
      <c r="BNE48" s="456"/>
      <c r="BNF48" s="456"/>
      <c r="BNG48" s="456"/>
      <c r="BNH48" s="456"/>
      <c r="BNI48" s="456"/>
      <c r="BNJ48" s="456"/>
      <c r="BNK48" s="456"/>
      <c r="BNL48" s="456"/>
      <c r="BNM48" s="456"/>
      <c r="BNN48" s="456"/>
      <c r="BNO48" s="456"/>
      <c r="BNP48" s="456"/>
      <c r="BNQ48" s="456"/>
      <c r="BNR48" s="456"/>
      <c r="BNS48" s="456"/>
      <c r="BNT48" s="456"/>
      <c r="BNU48" s="456"/>
      <c r="BNV48" s="456"/>
      <c r="BNW48" s="456"/>
      <c r="BNX48" s="456"/>
      <c r="BNY48" s="456"/>
      <c r="BNZ48" s="456"/>
      <c r="BOA48" s="456"/>
      <c r="BOB48" s="456"/>
      <c r="BOC48" s="456"/>
      <c r="BOD48" s="456"/>
      <c r="BOE48" s="456"/>
      <c r="BOF48" s="456"/>
      <c r="BOG48" s="456"/>
      <c r="BOH48" s="456"/>
      <c r="BOI48" s="456"/>
      <c r="BOJ48" s="456"/>
      <c r="BOK48" s="456"/>
      <c r="BOL48" s="456"/>
      <c r="BOM48" s="456"/>
      <c r="BON48" s="456"/>
      <c r="BOO48" s="456"/>
      <c r="BOP48" s="456"/>
      <c r="BOQ48" s="456"/>
      <c r="BOR48" s="456"/>
      <c r="BOS48" s="456"/>
      <c r="BOT48" s="456"/>
      <c r="BOU48" s="456"/>
      <c r="BOV48" s="456"/>
      <c r="BOW48" s="456"/>
      <c r="BOX48" s="456"/>
      <c r="BOY48" s="456"/>
      <c r="BOZ48" s="456"/>
      <c r="BPA48" s="456"/>
      <c r="BPB48" s="456"/>
      <c r="BPC48" s="456"/>
      <c r="BPD48" s="456"/>
      <c r="BPE48" s="456"/>
      <c r="BPF48" s="456"/>
      <c r="BPG48" s="456"/>
      <c r="BPH48" s="456"/>
      <c r="BPI48" s="456"/>
      <c r="BPJ48" s="456"/>
      <c r="BPK48" s="456"/>
      <c r="BPL48" s="456"/>
      <c r="BPM48" s="456"/>
      <c r="BPN48" s="456"/>
      <c r="BPO48" s="456"/>
      <c r="BPP48" s="456"/>
      <c r="BPQ48" s="456"/>
      <c r="BPR48" s="456"/>
      <c r="BPS48" s="456"/>
      <c r="BPT48" s="456"/>
      <c r="BPU48" s="456"/>
      <c r="BPV48" s="456"/>
      <c r="BPW48" s="456"/>
      <c r="BPX48" s="456"/>
      <c r="BPY48" s="456"/>
      <c r="BPZ48" s="456"/>
      <c r="BQA48" s="456"/>
      <c r="BQB48" s="456"/>
      <c r="BQC48" s="456"/>
      <c r="BQD48" s="456"/>
      <c r="BQE48" s="456"/>
      <c r="BQF48" s="456"/>
      <c r="BQG48" s="456"/>
      <c r="BQH48" s="456"/>
      <c r="BQI48" s="456"/>
      <c r="BQJ48" s="456"/>
      <c r="BQK48" s="456"/>
      <c r="BQL48" s="456"/>
      <c r="BQM48" s="456"/>
      <c r="BQN48" s="456"/>
      <c r="BQO48" s="456"/>
      <c r="BQP48" s="456"/>
      <c r="BQQ48" s="456"/>
      <c r="BQR48" s="456"/>
      <c r="BQS48" s="456"/>
      <c r="BQT48" s="456"/>
      <c r="BQU48" s="456"/>
      <c r="BQV48" s="456"/>
      <c r="BQW48" s="456"/>
      <c r="BQX48" s="456"/>
      <c r="BQY48" s="456"/>
      <c r="BQZ48" s="456"/>
      <c r="BRA48" s="456"/>
      <c r="BRB48" s="456"/>
      <c r="BRC48" s="456"/>
      <c r="BRD48" s="456"/>
      <c r="BRE48" s="456"/>
      <c r="BRF48" s="456"/>
      <c r="BRG48" s="456"/>
      <c r="BRH48" s="456"/>
      <c r="BRI48" s="456"/>
      <c r="BRJ48" s="456"/>
      <c r="BRK48" s="456"/>
      <c r="BRL48" s="456"/>
      <c r="BRM48" s="456"/>
      <c r="BRN48" s="456"/>
      <c r="BRO48" s="456"/>
      <c r="BRP48" s="456"/>
      <c r="BRQ48" s="456"/>
      <c r="BRR48" s="456"/>
      <c r="BRS48" s="456"/>
      <c r="BRT48" s="456"/>
      <c r="BRU48" s="456"/>
      <c r="BRV48" s="456"/>
      <c r="BRW48" s="456"/>
      <c r="BRX48" s="456"/>
      <c r="BRY48" s="456"/>
      <c r="BRZ48" s="456"/>
      <c r="BSA48" s="456"/>
      <c r="BSB48" s="456"/>
      <c r="BSC48" s="456"/>
      <c r="BSD48" s="456"/>
      <c r="BSE48" s="456"/>
      <c r="BSF48" s="456"/>
      <c r="BSG48" s="456"/>
      <c r="BSH48" s="456"/>
      <c r="BSI48" s="456"/>
      <c r="BSJ48" s="456"/>
      <c r="BSK48" s="456"/>
      <c r="BSL48" s="456"/>
      <c r="BSM48" s="456"/>
      <c r="BSN48" s="456"/>
      <c r="BSO48" s="456"/>
      <c r="BSP48" s="456"/>
      <c r="BSQ48" s="456"/>
      <c r="BSR48" s="456"/>
      <c r="BSS48" s="456"/>
      <c r="BST48" s="456"/>
      <c r="BSU48" s="456"/>
      <c r="BSV48" s="456"/>
      <c r="BSW48" s="456"/>
      <c r="BSX48" s="456"/>
      <c r="BSY48" s="456"/>
      <c r="BSZ48" s="456"/>
      <c r="BTA48" s="456"/>
      <c r="BTB48" s="456"/>
      <c r="BTC48" s="456"/>
      <c r="BTD48" s="456"/>
      <c r="BTE48" s="456"/>
      <c r="BTF48" s="456"/>
      <c r="BTG48" s="456"/>
      <c r="BTH48" s="456"/>
      <c r="BTI48" s="456"/>
      <c r="BTJ48" s="456"/>
      <c r="BTK48" s="456"/>
      <c r="BTL48" s="456"/>
      <c r="BTM48" s="456"/>
      <c r="BTN48" s="456"/>
      <c r="BTO48" s="456"/>
      <c r="BTP48" s="456"/>
      <c r="BTQ48" s="456"/>
      <c r="BTR48" s="456"/>
      <c r="BTS48" s="456"/>
      <c r="BTT48" s="456"/>
      <c r="BTU48" s="456"/>
      <c r="BTV48" s="456"/>
      <c r="BTW48" s="456"/>
      <c r="BTX48" s="456"/>
      <c r="BTY48" s="456"/>
      <c r="BTZ48" s="456"/>
      <c r="BUA48" s="456"/>
      <c r="BUB48" s="456"/>
      <c r="BUC48" s="456"/>
      <c r="BUD48" s="456"/>
      <c r="BUE48" s="456"/>
      <c r="BUF48" s="456"/>
      <c r="BUG48" s="456"/>
      <c r="BUH48" s="456"/>
      <c r="BUI48" s="456"/>
      <c r="BUJ48" s="456"/>
      <c r="BUK48" s="456"/>
      <c r="BUL48" s="456"/>
      <c r="BUM48" s="456"/>
      <c r="BUN48" s="456"/>
      <c r="BUO48" s="456"/>
      <c r="BUP48" s="456"/>
      <c r="BUQ48" s="456"/>
      <c r="BUR48" s="456"/>
      <c r="BUS48" s="456"/>
      <c r="BUT48" s="456"/>
      <c r="BUU48" s="456"/>
      <c r="BUV48" s="456"/>
      <c r="BUW48" s="456"/>
      <c r="BUX48" s="456"/>
      <c r="BUY48" s="456"/>
      <c r="BUZ48" s="456"/>
      <c r="BVA48" s="456"/>
      <c r="BVB48" s="456"/>
      <c r="BVC48" s="456"/>
      <c r="BVD48" s="456"/>
      <c r="BVE48" s="456"/>
      <c r="BVF48" s="456"/>
      <c r="BVG48" s="456"/>
      <c r="BVH48" s="456"/>
      <c r="BVI48" s="456"/>
      <c r="BVJ48" s="456"/>
      <c r="BVK48" s="456"/>
      <c r="BVL48" s="456"/>
      <c r="BVM48" s="456"/>
      <c r="BVN48" s="456"/>
      <c r="BVO48" s="456"/>
      <c r="BVP48" s="456"/>
      <c r="BVQ48" s="456"/>
      <c r="BVR48" s="456"/>
      <c r="BVS48" s="456"/>
      <c r="BVT48" s="456"/>
      <c r="BVU48" s="456"/>
      <c r="BVV48" s="456"/>
      <c r="BVW48" s="456"/>
      <c r="BVX48" s="456"/>
      <c r="BVY48" s="456"/>
      <c r="BVZ48" s="456"/>
      <c r="BWA48" s="456"/>
      <c r="BWB48" s="456"/>
      <c r="BWC48" s="456"/>
      <c r="BWD48" s="456"/>
      <c r="BWE48" s="456"/>
      <c r="BWF48" s="456"/>
      <c r="BWG48" s="456"/>
      <c r="BWH48" s="456"/>
      <c r="BWI48" s="456"/>
      <c r="BWJ48" s="456"/>
      <c r="BWK48" s="456"/>
      <c r="BWL48" s="456"/>
      <c r="BWM48" s="456"/>
      <c r="BWN48" s="456"/>
      <c r="BWO48" s="456"/>
      <c r="BWP48" s="456"/>
      <c r="BWQ48" s="456"/>
      <c r="BWR48" s="456"/>
      <c r="BWS48" s="456"/>
      <c r="BWT48" s="456"/>
      <c r="BWU48" s="456"/>
      <c r="BWV48" s="456"/>
      <c r="BWW48" s="456"/>
      <c r="BWX48" s="456"/>
      <c r="BWY48" s="456"/>
      <c r="BWZ48" s="456"/>
      <c r="BXA48" s="456"/>
      <c r="BXB48" s="456"/>
      <c r="BXC48" s="456"/>
      <c r="BXD48" s="456"/>
      <c r="BXE48" s="456"/>
      <c r="BXF48" s="456"/>
      <c r="BXG48" s="456"/>
      <c r="BXH48" s="456"/>
      <c r="BXI48" s="456"/>
      <c r="BXJ48" s="456"/>
      <c r="BXK48" s="456"/>
      <c r="BXL48" s="456"/>
      <c r="BXM48" s="456"/>
      <c r="BXN48" s="456"/>
      <c r="BXO48" s="456"/>
      <c r="BXP48" s="456"/>
      <c r="BXQ48" s="456"/>
      <c r="BXR48" s="456"/>
      <c r="BXS48" s="456"/>
      <c r="BXT48" s="456"/>
      <c r="BXU48" s="456"/>
      <c r="BXV48" s="456"/>
      <c r="BXW48" s="456"/>
      <c r="BXX48" s="456"/>
      <c r="BXY48" s="456"/>
      <c r="BXZ48" s="456"/>
    </row>
    <row r="49" spans="1:1024 1025:2002">
      <c r="A49" s="474"/>
      <c r="B49" s="75">
        <v>1118</v>
      </c>
      <c r="C49" s="213">
        <v>46177</v>
      </c>
      <c r="D49" s="18" t="s">
        <v>35</v>
      </c>
      <c r="E49" s="18" t="s">
        <v>36</v>
      </c>
      <c r="F49" s="18" t="s">
        <v>37</v>
      </c>
      <c r="G49" s="18"/>
      <c r="H49" s="75">
        <v>1.2344</v>
      </c>
      <c r="I49" s="75"/>
      <c r="J49" s="18" t="s">
        <v>39</v>
      </c>
      <c r="K49" s="75">
        <v>162</v>
      </c>
      <c r="L49" s="111"/>
      <c r="M49" s="75">
        <v>5000</v>
      </c>
      <c r="N49" s="75" t="s">
        <v>40</v>
      </c>
      <c r="O49" s="75" t="s">
        <v>50</v>
      </c>
      <c r="P49" s="75">
        <v>4000</v>
      </c>
      <c r="Q49" s="75"/>
      <c r="R49" s="75">
        <f t="shared" si="2"/>
        <v>4000</v>
      </c>
      <c r="S49" s="75">
        <v>2880</v>
      </c>
      <c r="T49" s="342" t="s">
        <v>42</v>
      </c>
      <c r="U49" s="137" t="s">
        <v>77</v>
      </c>
      <c r="V49" s="193">
        <v>46177</v>
      </c>
      <c r="W49" s="24" t="s">
        <v>44</v>
      </c>
      <c r="X49" s="18"/>
      <c r="Y49" s="114">
        <v>46327</v>
      </c>
      <c r="Z49" s="18" t="s">
        <v>78</v>
      </c>
      <c r="AA49" s="24" t="s">
        <v>46</v>
      </c>
      <c r="AB49" s="18"/>
      <c r="AC49" s="137"/>
      <c r="AD49" s="77"/>
      <c r="AE49" s="18" t="s">
        <v>79</v>
      </c>
      <c r="AF49" s="18" t="s">
        <v>80</v>
      </c>
      <c r="AG49" s="18"/>
    </row>
    <row r="50" s="25" customFormat="1" spans="1:1024 1025:2002">
      <c r="A50" s="473"/>
      <c r="B50" s="19">
        <v>1118</v>
      </c>
      <c r="C50" s="183">
        <v>46177</v>
      </c>
      <c r="D50" s="17" t="s">
        <v>35</v>
      </c>
      <c r="E50" s="17" t="s">
        <v>36</v>
      </c>
      <c r="F50" s="17" t="s">
        <v>37</v>
      </c>
      <c r="G50" s="17"/>
      <c r="H50" s="19">
        <v>1.2344</v>
      </c>
      <c r="I50" s="19"/>
      <c r="J50" s="17" t="s">
        <v>39</v>
      </c>
      <c r="K50" s="19">
        <v>322</v>
      </c>
      <c r="L50" s="91"/>
      <c r="M50" s="19">
        <v>5000</v>
      </c>
      <c r="N50" s="19" t="s">
        <v>40</v>
      </c>
      <c r="O50" s="19" t="s">
        <v>50</v>
      </c>
      <c r="P50" s="19">
        <v>30000</v>
      </c>
      <c r="Q50" s="19">
        <v>26784</v>
      </c>
      <c r="R50" s="19">
        <f t="shared" si="2"/>
        <v>3216</v>
      </c>
      <c r="S50" s="19">
        <v>2880</v>
      </c>
      <c r="T50" s="19" t="s">
        <v>42</v>
      </c>
      <c r="U50" s="102" t="s">
        <v>77</v>
      </c>
      <c r="V50" s="186">
        <v>46177</v>
      </c>
      <c r="W50" s="17" t="s">
        <v>44</v>
      </c>
      <c r="X50" s="17"/>
      <c r="Y50" s="68">
        <v>46327</v>
      </c>
      <c r="Z50" s="17" t="s">
        <v>78</v>
      </c>
      <c r="AA50" s="17" t="s">
        <v>46</v>
      </c>
      <c r="AB50" s="17"/>
      <c r="AC50" s="102"/>
      <c r="AD50" s="65">
        <v>1869</v>
      </c>
      <c r="AE50" s="17" t="s">
        <v>79</v>
      </c>
      <c r="AF50" s="17" t="s">
        <v>81</v>
      </c>
      <c r="AG50" s="17"/>
      <c r="AH50" s="456"/>
      <c r="AI50" s="456"/>
      <c r="AJ50" s="456"/>
      <c r="AK50" s="456"/>
      <c r="AL50" s="456"/>
      <c r="AM50" s="456"/>
      <c r="AN50" s="456"/>
      <c r="AO50" s="456"/>
      <c r="AP50" s="456"/>
      <c r="AQ50" s="456"/>
      <c r="AR50" s="456"/>
      <c r="AS50" s="456"/>
      <c r="AT50" s="456"/>
      <c r="AU50" s="456"/>
      <c r="AV50" s="456"/>
      <c r="AW50" s="456"/>
      <c r="AX50" s="456"/>
      <c r="AY50" s="456"/>
      <c r="AZ50" s="456"/>
      <c r="BA50" s="456"/>
      <c r="BB50" s="456"/>
      <c r="BC50" s="456"/>
      <c r="BD50" s="456"/>
      <c r="BE50" s="456"/>
      <c r="BF50" s="456"/>
      <c r="BG50" s="456"/>
      <c r="BH50" s="456"/>
      <c r="BI50" s="456"/>
      <c r="BJ50" s="456"/>
      <c r="BK50" s="456"/>
      <c r="BL50" s="456"/>
      <c r="BM50" s="456"/>
      <c r="BN50" s="456"/>
      <c r="BO50" s="456"/>
      <c r="BP50" s="456"/>
      <c r="BQ50" s="456"/>
      <c r="BR50" s="456"/>
      <c r="BS50" s="456"/>
      <c r="BT50" s="456"/>
      <c r="BU50" s="456"/>
      <c r="BV50" s="456"/>
      <c r="BW50" s="456"/>
      <c r="BX50" s="456"/>
      <c r="BY50" s="456"/>
      <c r="BZ50" s="456"/>
      <c r="CA50" s="456"/>
      <c r="CB50" s="456"/>
      <c r="CC50" s="456"/>
      <c r="CD50" s="456"/>
      <c r="CE50" s="456"/>
      <c r="CF50" s="456"/>
      <c r="CG50" s="456"/>
      <c r="CH50" s="456"/>
      <c r="CI50" s="456"/>
      <c r="CJ50" s="456"/>
      <c r="CK50" s="456"/>
      <c r="CL50" s="456"/>
      <c r="CM50" s="456"/>
      <c r="CN50" s="456"/>
      <c r="CO50" s="456"/>
      <c r="CP50" s="456"/>
      <c r="CQ50" s="456"/>
      <c r="CR50" s="456"/>
      <c r="CS50" s="456"/>
      <c r="CT50" s="456"/>
      <c r="CU50" s="456"/>
      <c r="CV50" s="456"/>
      <c r="CW50" s="456"/>
      <c r="CX50" s="456"/>
      <c r="CY50" s="456"/>
      <c r="CZ50" s="456"/>
      <c r="DA50" s="456"/>
      <c r="DB50" s="456"/>
      <c r="DC50" s="456"/>
      <c r="DD50" s="456"/>
      <c r="DE50" s="456"/>
      <c r="DF50" s="456"/>
      <c r="DG50" s="456"/>
      <c r="DH50" s="456"/>
      <c r="DI50" s="456"/>
      <c r="DJ50" s="456"/>
      <c r="DK50" s="456"/>
      <c r="DL50" s="456"/>
      <c r="DM50" s="456"/>
      <c r="DN50" s="456"/>
      <c r="DO50" s="456"/>
      <c r="DP50" s="456"/>
      <c r="DQ50" s="456"/>
      <c r="DR50" s="456"/>
      <c r="DS50" s="456"/>
      <c r="DT50" s="456"/>
      <c r="DU50" s="456"/>
      <c r="DV50" s="456"/>
      <c r="DW50" s="456"/>
      <c r="DX50" s="456"/>
      <c r="DY50" s="456"/>
      <c r="DZ50" s="456"/>
      <c r="EA50" s="456"/>
      <c r="EB50" s="456"/>
      <c r="EC50" s="456"/>
      <c r="ED50" s="456"/>
      <c r="EE50" s="456"/>
      <c r="EF50" s="456"/>
      <c r="EG50" s="456"/>
      <c r="EH50" s="456"/>
      <c r="EI50" s="456"/>
      <c r="EJ50" s="456"/>
      <c r="EK50" s="456"/>
      <c r="EL50" s="456"/>
      <c r="EM50" s="456"/>
      <c r="EN50" s="456"/>
      <c r="EO50" s="456"/>
      <c r="EP50" s="456"/>
      <c r="EQ50" s="456"/>
      <c r="ER50" s="456"/>
      <c r="ES50" s="456"/>
      <c r="ET50" s="456"/>
      <c r="EU50" s="456"/>
      <c r="EV50" s="456"/>
      <c r="EW50" s="456"/>
      <c r="EX50" s="456"/>
      <c r="EY50" s="456"/>
      <c r="EZ50" s="456"/>
      <c r="FA50" s="456"/>
      <c r="FB50" s="456"/>
      <c r="FC50" s="456"/>
      <c r="FD50" s="456"/>
      <c r="FE50" s="456"/>
      <c r="FF50" s="456"/>
      <c r="FG50" s="456"/>
      <c r="FH50" s="456"/>
      <c r="FI50" s="456"/>
      <c r="FJ50" s="456"/>
      <c r="FK50" s="456"/>
      <c r="FL50" s="456"/>
      <c r="FM50" s="456"/>
      <c r="FN50" s="456"/>
      <c r="FO50" s="456"/>
      <c r="FP50" s="456"/>
      <c r="FQ50" s="456"/>
      <c r="FR50" s="456"/>
      <c r="FS50" s="456"/>
      <c r="FT50" s="456"/>
      <c r="FU50" s="456"/>
      <c r="FV50" s="456"/>
      <c r="FW50" s="456"/>
      <c r="FX50" s="456"/>
      <c r="FY50" s="456"/>
      <c r="FZ50" s="456"/>
      <c r="GA50" s="456"/>
      <c r="GB50" s="456"/>
      <c r="GC50" s="456"/>
      <c r="GD50" s="456"/>
      <c r="GE50" s="456"/>
      <c r="GF50" s="456"/>
      <c r="GG50" s="456"/>
      <c r="GH50" s="456"/>
      <c r="GI50" s="456"/>
      <c r="GJ50" s="456"/>
      <c r="GK50" s="456"/>
      <c r="GL50" s="456"/>
      <c r="GM50" s="456"/>
      <c r="GN50" s="456"/>
      <c r="GO50" s="456"/>
      <c r="GP50" s="456"/>
      <c r="GQ50" s="456"/>
      <c r="GR50" s="456"/>
      <c r="GS50" s="456"/>
      <c r="GT50" s="456"/>
      <c r="GU50" s="456"/>
      <c r="GV50" s="456"/>
      <c r="GW50" s="456"/>
      <c r="GX50" s="456"/>
      <c r="GY50" s="456"/>
      <c r="GZ50" s="456"/>
      <c r="HA50" s="456"/>
      <c r="HB50" s="456"/>
      <c r="HC50" s="456"/>
      <c r="HD50" s="456"/>
      <c r="HE50" s="456"/>
      <c r="HF50" s="456"/>
      <c r="HG50" s="456"/>
      <c r="HH50" s="456"/>
      <c r="HI50" s="456"/>
      <c r="HJ50" s="456"/>
      <c r="HK50" s="456"/>
      <c r="HL50" s="456"/>
      <c r="HM50" s="456"/>
      <c r="HN50" s="456"/>
      <c r="HO50" s="456"/>
      <c r="HP50" s="456"/>
      <c r="HQ50" s="456"/>
      <c r="HR50" s="456"/>
      <c r="HS50" s="456"/>
      <c r="HT50" s="456"/>
      <c r="HU50" s="456"/>
      <c r="HV50" s="456"/>
      <c r="HW50" s="456"/>
      <c r="HX50" s="456"/>
      <c r="HY50" s="456"/>
      <c r="HZ50" s="456"/>
      <c r="IA50" s="456"/>
      <c r="IB50" s="456"/>
      <c r="IC50" s="456"/>
      <c r="ID50" s="456"/>
      <c r="IE50" s="456"/>
      <c r="IF50" s="456"/>
      <c r="IG50" s="456"/>
      <c r="IH50" s="456"/>
      <c r="II50" s="456"/>
      <c r="IJ50" s="456"/>
      <c r="IK50" s="456"/>
      <c r="IL50" s="456"/>
      <c r="IM50" s="456"/>
      <c r="IN50" s="456"/>
      <c r="IO50" s="456"/>
      <c r="IP50" s="456"/>
      <c r="IQ50" s="456"/>
      <c r="IR50" s="456"/>
      <c r="IS50" s="456"/>
      <c r="IT50" s="456"/>
      <c r="IU50" s="456"/>
      <c r="IV50" s="456"/>
      <c r="IW50" s="456"/>
      <c r="IX50" s="456"/>
      <c r="IY50" s="456"/>
      <c r="IZ50" s="456"/>
      <c r="JA50" s="456"/>
      <c r="JB50" s="456"/>
      <c r="JC50" s="456"/>
      <c r="JD50" s="456"/>
      <c r="JE50" s="456"/>
      <c r="JF50" s="456"/>
      <c r="JG50" s="456"/>
      <c r="JH50" s="456"/>
      <c r="JI50" s="456"/>
      <c r="JJ50" s="456"/>
      <c r="JK50" s="456"/>
      <c r="JL50" s="456"/>
      <c r="JM50" s="456"/>
      <c r="JN50" s="456"/>
      <c r="JO50" s="456"/>
      <c r="JP50" s="456"/>
      <c r="JQ50" s="456"/>
      <c r="JR50" s="456"/>
      <c r="JS50" s="456"/>
      <c r="JT50" s="456"/>
      <c r="JU50" s="456"/>
      <c r="JV50" s="456"/>
      <c r="JW50" s="456"/>
      <c r="JX50" s="456"/>
      <c r="JY50" s="456"/>
      <c r="JZ50" s="456"/>
      <c r="KA50" s="456"/>
      <c r="KB50" s="456"/>
      <c r="KC50" s="456"/>
      <c r="KD50" s="456"/>
      <c r="KE50" s="456"/>
      <c r="KF50" s="456"/>
      <c r="KG50" s="456"/>
      <c r="KH50" s="456"/>
      <c r="KI50" s="456"/>
      <c r="KJ50" s="456"/>
      <c r="KK50" s="456"/>
      <c r="KL50" s="456"/>
      <c r="KM50" s="456"/>
      <c r="KN50" s="456"/>
      <c r="KO50" s="456"/>
      <c r="KP50" s="456"/>
      <c r="KQ50" s="456"/>
      <c r="KR50" s="456"/>
      <c r="KS50" s="456"/>
      <c r="KT50" s="456"/>
      <c r="KU50" s="456"/>
      <c r="KV50" s="456"/>
      <c r="KW50" s="456"/>
      <c r="KX50" s="456"/>
      <c r="KY50" s="456"/>
      <c r="KZ50" s="456"/>
      <c r="LA50" s="456"/>
      <c r="LB50" s="456"/>
      <c r="LC50" s="456"/>
      <c r="LD50" s="456"/>
      <c r="LE50" s="456"/>
      <c r="LF50" s="456"/>
      <c r="LG50" s="456"/>
      <c r="LH50" s="456"/>
      <c r="LI50" s="456"/>
      <c r="LJ50" s="456"/>
      <c r="LK50" s="456"/>
      <c r="LL50" s="456"/>
      <c r="LM50" s="456"/>
      <c r="LN50" s="456"/>
      <c r="LO50" s="456"/>
      <c r="LP50" s="456"/>
      <c r="LQ50" s="456"/>
      <c r="LR50" s="456"/>
      <c r="LS50" s="456"/>
      <c r="LT50" s="456"/>
      <c r="LU50" s="456"/>
      <c r="LV50" s="456"/>
      <c r="LW50" s="456"/>
      <c r="LX50" s="456"/>
      <c r="LY50" s="456"/>
      <c r="LZ50" s="456"/>
      <c r="MA50" s="456"/>
      <c r="MB50" s="456"/>
      <c r="MC50" s="456"/>
      <c r="MD50" s="456"/>
      <c r="ME50" s="456"/>
      <c r="MF50" s="456"/>
      <c r="MG50" s="456"/>
      <c r="MH50" s="456"/>
      <c r="MI50" s="456"/>
      <c r="MJ50" s="456"/>
      <c r="MK50" s="456"/>
      <c r="ML50" s="456"/>
      <c r="MM50" s="456"/>
      <c r="MN50" s="456"/>
      <c r="MO50" s="456"/>
      <c r="MP50" s="456"/>
      <c r="MQ50" s="456"/>
      <c r="MR50" s="456"/>
      <c r="MS50" s="456"/>
      <c r="MT50" s="456"/>
      <c r="MU50" s="456"/>
      <c r="MV50" s="456"/>
      <c r="MW50" s="456"/>
      <c r="MX50" s="456"/>
      <c r="MY50" s="456"/>
      <c r="MZ50" s="456"/>
      <c r="NA50" s="456"/>
      <c r="NB50" s="456"/>
      <c r="NC50" s="456"/>
      <c r="ND50" s="456"/>
      <c r="NE50" s="456"/>
      <c r="NF50" s="456"/>
      <c r="NG50" s="456"/>
      <c r="NH50" s="456"/>
      <c r="NI50" s="456"/>
      <c r="NJ50" s="456"/>
      <c r="NK50" s="456"/>
      <c r="NL50" s="456"/>
      <c r="NM50" s="456"/>
      <c r="NN50" s="456"/>
      <c r="NO50" s="456"/>
      <c r="NP50" s="456"/>
      <c r="NQ50" s="456"/>
      <c r="NR50" s="456"/>
      <c r="NS50" s="456"/>
      <c r="NT50" s="456"/>
      <c r="NU50" s="456"/>
      <c r="NV50" s="456"/>
      <c r="NW50" s="456"/>
      <c r="NX50" s="456"/>
      <c r="NY50" s="456"/>
      <c r="NZ50" s="456"/>
      <c r="OA50" s="456"/>
      <c r="OB50" s="456"/>
      <c r="OC50" s="456"/>
      <c r="OD50" s="456"/>
      <c r="OE50" s="456"/>
      <c r="OF50" s="456"/>
      <c r="OG50" s="456"/>
      <c r="OH50" s="456"/>
      <c r="OI50" s="456"/>
      <c r="OJ50" s="456"/>
      <c r="OK50" s="456"/>
      <c r="OL50" s="456"/>
      <c r="OM50" s="456"/>
      <c r="ON50" s="456"/>
      <c r="OO50" s="456"/>
      <c r="OP50" s="456"/>
      <c r="OQ50" s="456"/>
      <c r="OR50" s="456"/>
      <c r="OS50" s="456"/>
      <c r="OT50" s="456"/>
      <c r="OU50" s="456"/>
      <c r="OV50" s="456"/>
      <c r="OW50" s="456"/>
      <c r="OX50" s="456"/>
      <c r="OY50" s="456"/>
      <c r="OZ50" s="456"/>
      <c r="PA50" s="456"/>
      <c r="PB50" s="456"/>
      <c r="PC50" s="456"/>
      <c r="PD50" s="456"/>
      <c r="PE50" s="456"/>
      <c r="PF50" s="456"/>
      <c r="PG50" s="456"/>
      <c r="PH50" s="456"/>
      <c r="PI50" s="456"/>
      <c r="PJ50" s="456"/>
      <c r="PK50" s="456"/>
      <c r="PL50" s="456"/>
      <c r="PM50" s="456"/>
      <c r="PN50" s="456"/>
      <c r="PO50" s="456"/>
      <c r="PP50" s="456"/>
      <c r="PQ50" s="456"/>
      <c r="PR50" s="456"/>
      <c r="PS50" s="456"/>
      <c r="PT50" s="456"/>
      <c r="PU50" s="456"/>
      <c r="PV50" s="456"/>
      <c r="PW50" s="456"/>
      <c r="PX50" s="456"/>
      <c r="PY50" s="456"/>
      <c r="PZ50" s="456"/>
      <c r="QA50" s="456"/>
      <c r="QB50" s="456"/>
      <c r="QC50" s="456"/>
      <c r="QD50" s="456"/>
      <c r="QE50" s="456"/>
      <c r="QF50" s="456"/>
      <c r="QG50" s="456"/>
      <c r="QH50" s="456"/>
      <c r="QI50" s="456"/>
      <c r="QJ50" s="456"/>
      <c r="QK50" s="456"/>
      <c r="QL50" s="456"/>
      <c r="QM50" s="456"/>
      <c r="QN50" s="456"/>
      <c r="QO50" s="456"/>
      <c r="QP50" s="456"/>
      <c r="QQ50" s="456"/>
      <c r="QR50" s="456"/>
      <c r="QS50" s="456"/>
      <c r="QT50" s="456"/>
      <c r="QU50" s="456"/>
      <c r="QV50" s="456"/>
      <c r="QW50" s="456"/>
      <c r="QX50" s="456"/>
      <c r="QY50" s="456"/>
      <c r="QZ50" s="456"/>
      <c r="RA50" s="456"/>
      <c r="RB50" s="456"/>
      <c r="RC50" s="456"/>
      <c r="RD50" s="456"/>
      <c r="RE50" s="456"/>
      <c r="RF50" s="456"/>
      <c r="RG50" s="456"/>
      <c r="RH50" s="456"/>
      <c r="RI50" s="456"/>
      <c r="RJ50" s="456"/>
      <c r="RK50" s="456"/>
      <c r="RL50" s="456"/>
      <c r="RM50" s="456"/>
      <c r="RN50" s="456"/>
      <c r="RO50" s="456"/>
      <c r="RP50" s="456"/>
      <c r="RQ50" s="456"/>
      <c r="RR50" s="456"/>
      <c r="RS50" s="456"/>
      <c r="RT50" s="456"/>
      <c r="RU50" s="456"/>
      <c r="RV50" s="456"/>
      <c r="RW50" s="456"/>
      <c r="RX50" s="456"/>
      <c r="RY50" s="456"/>
      <c r="RZ50" s="456"/>
      <c r="SA50" s="456"/>
      <c r="SB50" s="456"/>
      <c r="SC50" s="456"/>
      <c r="SD50" s="456"/>
      <c r="SE50" s="456"/>
      <c r="SF50" s="456"/>
      <c r="SG50" s="456"/>
      <c r="SH50" s="456"/>
      <c r="SI50" s="456"/>
      <c r="SJ50" s="456"/>
      <c r="SK50" s="456"/>
      <c r="SL50" s="456"/>
      <c r="SM50" s="456"/>
      <c r="SN50" s="456"/>
      <c r="SO50" s="456"/>
      <c r="SP50" s="456"/>
      <c r="SQ50" s="456"/>
      <c r="SR50" s="456"/>
      <c r="SS50" s="456"/>
      <c r="ST50" s="456"/>
      <c r="SU50" s="456"/>
      <c r="SV50" s="456"/>
      <c r="SW50" s="456"/>
      <c r="SX50" s="456"/>
      <c r="SY50" s="456"/>
      <c r="SZ50" s="456"/>
      <c r="TA50" s="456"/>
      <c r="TB50" s="456"/>
      <c r="TC50" s="456"/>
      <c r="TD50" s="456"/>
      <c r="TE50" s="456"/>
      <c r="TF50" s="456"/>
      <c r="TG50" s="456"/>
      <c r="TH50" s="456"/>
      <c r="TI50" s="456"/>
      <c r="TJ50" s="456"/>
      <c r="TK50" s="456"/>
      <c r="TL50" s="456"/>
      <c r="TM50" s="456"/>
      <c r="TN50" s="456"/>
      <c r="TO50" s="456"/>
      <c r="TP50" s="456"/>
      <c r="TQ50" s="456"/>
      <c r="TR50" s="456"/>
      <c r="TS50" s="456"/>
      <c r="TT50" s="456"/>
      <c r="TU50" s="456"/>
      <c r="TV50" s="456"/>
      <c r="TW50" s="456"/>
      <c r="TX50" s="456"/>
      <c r="TY50" s="456"/>
      <c r="TZ50" s="456"/>
      <c r="UA50" s="456"/>
      <c r="UB50" s="456"/>
      <c r="UC50" s="456"/>
      <c r="UD50" s="456"/>
      <c r="UE50" s="456"/>
      <c r="UF50" s="456"/>
      <c r="UG50" s="456"/>
      <c r="UH50" s="456"/>
      <c r="UI50" s="456"/>
      <c r="UJ50" s="456"/>
      <c r="UK50" s="456"/>
      <c r="UL50" s="456"/>
      <c r="UM50" s="456"/>
      <c r="UN50" s="456"/>
      <c r="UO50" s="456"/>
      <c r="UP50" s="456"/>
      <c r="UQ50" s="456"/>
      <c r="UR50" s="456"/>
      <c r="US50" s="456"/>
      <c r="UT50" s="456"/>
      <c r="UU50" s="456"/>
      <c r="UV50" s="456"/>
      <c r="UW50" s="456"/>
      <c r="UX50" s="456"/>
      <c r="UY50" s="456"/>
      <c r="UZ50" s="456"/>
      <c r="VA50" s="456"/>
      <c r="VB50" s="456"/>
      <c r="VC50" s="456"/>
      <c r="VD50" s="456"/>
      <c r="VE50" s="456"/>
      <c r="VF50" s="456"/>
      <c r="VG50" s="456"/>
      <c r="VH50" s="456"/>
      <c r="VI50" s="456"/>
      <c r="VJ50" s="456"/>
      <c r="VK50" s="456"/>
      <c r="VL50" s="456"/>
      <c r="VM50" s="456"/>
      <c r="VN50" s="456"/>
      <c r="VO50" s="456"/>
      <c r="VP50" s="456"/>
      <c r="VQ50" s="456"/>
      <c r="VR50" s="456"/>
      <c r="VS50" s="456"/>
      <c r="VT50" s="456"/>
      <c r="VU50" s="456"/>
      <c r="VV50" s="456"/>
      <c r="VW50" s="456"/>
      <c r="VX50" s="456"/>
      <c r="VY50" s="456"/>
      <c r="VZ50" s="456"/>
      <c r="WA50" s="456"/>
      <c r="WB50" s="456"/>
      <c r="WC50" s="456"/>
      <c r="WD50" s="456"/>
      <c r="WE50" s="456"/>
      <c r="WF50" s="456"/>
      <c r="WG50" s="456"/>
      <c r="WH50" s="456"/>
      <c r="WI50" s="456"/>
      <c r="WJ50" s="456"/>
      <c r="WK50" s="456"/>
      <c r="WL50" s="456"/>
      <c r="WM50" s="456"/>
      <c r="WN50" s="456"/>
      <c r="WO50" s="456"/>
      <c r="WP50" s="456"/>
      <c r="WQ50" s="456"/>
      <c r="WR50" s="456"/>
      <c r="WS50" s="456"/>
      <c r="WT50" s="456"/>
      <c r="WU50" s="456"/>
      <c r="WV50" s="456"/>
      <c r="WW50" s="456"/>
      <c r="WX50" s="456"/>
      <c r="WY50" s="456"/>
      <c r="WZ50" s="456"/>
      <c r="XA50" s="456"/>
      <c r="XB50" s="456"/>
      <c r="XC50" s="456"/>
      <c r="XD50" s="456"/>
      <c r="XE50" s="456"/>
      <c r="XF50" s="456"/>
      <c r="XG50" s="456"/>
      <c r="XH50" s="456"/>
      <c r="XI50" s="456"/>
      <c r="XJ50" s="456"/>
      <c r="XK50" s="456"/>
      <c r="XL50" s="456"/>
      <c r="XM50" s="456"/>
      <c r="XN50" s="456"/>
      <c r="XO50" s="456"/>
      <c r="XP50" s="456"/>
      <c r="XQ50" s="456"/>
      <c r="XR50" s="456"/>
      <c r="XS50" s="456"/>
      <c r="XT50" s="456"/>
      <c r="XU50" s="456"/>
      <c r="XV50" s="456"/>
      <c r="XW50" s="456"/>
      <c r="XX50" s="456"/>
      <c r="XY50" s="456"/>
      <c r="XZ50" s="456"/>
      <c r="YA50" s="456"/>
      <c r="YB50" s="456"/>
      <c r="YC50" s="456"/>
      <c r="YD50" s="456"/>
      <c r="YE50" s="456"/>
      <c r="YF50" s="456"/>
      <c r="YG50" s="456"/>
      <c r="YH50" s="456"/>
      <c r="YI50" s="456"/>
      <c r="YJ50" s="456"/>
      <c r="YK50" s="456"/>
      <c r="YL50" s="456"/>
      <c r="YM50" s="456"/>
      <c r="YN50" s="456"/>
      <c r="YO50" s="456"/>
      <c r="YP50" s="456"/>
      <c r="YQ50" s="456"/>
      <c r="YR50" s="456"/>
      <c r="YS50" s="456"/>
      <c r="YT50" s="456"/>
      <c r="YU50" s="456"/>
      <c r="YV50" s="456"/>
      <c r="YW50" s="456"/>
      <c r="YX50" s="456"/>
      <c r="YY50" s="456"/>
      <c r="YZ50" s="456"/>
      <c r="ZA50" s="456"/>
      <c r="ZB50" s="456"/>
      <c r="ZC50" s="456"/>
      <c r="ZD50" s="456"/>
      <c r="ZE50" s="456"/>
      <c r="ZF50" s="456"/>
      <c r="ZG50" s="456"/>
      <c r="ZH50" s="456"/>
      <c r="ZI50" s="456"/>
      <c r="ZJ50" s="456"/>
      <c r="ZK50" s="456"/>
      <c r="ZL50" s="456"/>
      <c r="ZM50" s="456"/>
      <c r="ZN50" s="456"/>
      <c r="ZO50" s="456"/>
      <c r="ZP50" s="456"/>
      <c r="ZQ50" s="456"/>
      <c r="ZR50" s="456"/>
      <c r="ZS50" s="456"/>
      <c r="ZT50" s="456"/>
      <c r="ZU50" s="456"/>
      <c r="ZV50" s="456"/>
      <c r="ZW50" s="456"/>
      <c r="ZX50" s="456"/>
      <c r="ZY50" s="456"/>
      <c r="ZZ50" s="456"/>
      <c r="AAA50" s="456"/>
      <c r="AAB50" s="456"/>
      <c r="AAC50" s="456"/>
      <c r="AAD50" s="456"/>
      <c r="AAE50" s="456"/>
      <c r="AAF50" s="456"/>
      <c r="AAG50" s="456"/>
      <c r="AAH50" s="456"/>
      <c r="AAI50" s="456"/>
      <c r="AAJ50" s="456"/>
      <c r="AAK50" s="456"/>
      <c r="AAL50" s="456"/>
      <c r="AAM50" s="456"/>
      <c r="AAN50" s="456"/>
      <c r="AAO50" s="456"/>
      <c r="AAP50" s="456"/>
      <c r="AAQ50" s="456"/>
      <c r="AAR50" s="456"/>
      <c r="AAS50" s="456"/>
      <c r="AAT50" s="456"/>
      <c r="AAU50" s="456"/>
      <c r="AAV50" s="456"/>
      <c r="AAW50" s="456"/>
      <c r="AAX50" s="456"/>
      <c r="AAY50" s="456"/>
      <c r="AAZ50" s="456"/>
      <c r="ABA50" s="456"/>
      <c r="ABB50" s="456"/>
      <c r="ABC50" s="456"/>
      <c r="ABD50" s="456"/>
      <c r="ABE50" s="456"/>
      <c r="ABF50" s="456"/>
      <c r="ABG50" s="456"/>
      <c r="ABH50" s="456"/>
      <c r="ABI50" s="456"/>
      <c r="ABJ50" s="456"/>
      <c r="ABK50" s="456"/>
      <c r="ABL50" s="456"/>
      <c r="ABM50" s="456"/>
      <c r="ABN50" s="456"/>
      <c r="ABO50" s="456"/>
      <c r="ABP50" s="456"/>
      <c r="ABQ50" s="456"/>
      <c r="ABR50" s="456"/>
      <c r="ABS50" s="456"/>
      <c r="ABT50" s="456"/>
      <c r="ABU50" s="456"/>
      <c r="ABV50" s="456"/>
      <c r="ABW50" s="456"/>
      <c r="ABX50" s="456"/>
      <c r="ABY50" s="456"/>
      <c r="ABZ50" s="456"/>
      <c r="ACA50" s="456"/>
      <c r="ACB50" s="456"/>
      <c r="ACC50" s="456"/>
      <c r="ACD50" s="456"/>
      <c r="ACE50" s="456"/>
      <c r="ACF50" s="456"/>
      <c r="ACG50" s="456"/>
      <c r="ACH50" s="456"/>
      <c r="ACI50" s="456"/>
      <c r="ACJ50" s="456"/>
      <c r="ACK50" s="456"/>
      <c r="ACL50" s="456"/>
      <c r="ACM50" s="456"/>
      <c r="ACN50" s="456"/>
      <c r="ACO50" s="456"/>
      <c r="ACP50" s="456"/>
      <c r="ACQ50" s="456"/>
      <c r="ACR50" s="456"/>
      <c r="ACS50" s="456"/>
      <c r="ACT50" s="456"/>
      <c r="ACU50" s="456"/>
      <c r="ACV50" s="456"/>
      <c r="ACW50" s="456"/>
      <c r="ACX50" s="456"/>
      <c r="ACY50" s="456"/>
      <c r="ACZ50" s="456"/>
      <c r="ADA50" s="456"/>
      <c r="ADB50" s="456"/>
      <c r="ADC50" s="456"/>
      <c r="ADD50" s="456"/>
      <c r="ADE50" s="456"/>
      <c r="ADF50" s="456"/>
      <c r="ADG50" s="456"/>
      <c r="ADH50" s="456"/>
      <c r="ADI50" s="456"/>
      <c r="ADJ50" s="456"/>
      <c r="ADK50" s="456"/>
      <c r="ADL50" s="456"/>
      <c r="ADM50" s="456"/>
      <c r="ADN50" s="456"/>
      <c r="ADO50" s="456"/>
      <c r="ADP50" s="456"/>
      <c r="ADQ50" s="456"/>
      <c r="ADR50" s="456"/>
      <c r="ADS50" s="456"/>
      <c r="ADT50" s="456"/>
      <c r="ADU50" s="456"/>
      <c r="ADV50" s="456"/>
      <c r="ADW50" s="456"/>
      <c r="ADX50" s="456"/>
      <c r="ADY50" s="456"/>
      <c r="ADZ50" s="456"/>
      <c r="AEA50" s="456"/>
      <c r="AEB50" s="456"/>
      <c r="AEC50" s="456"/>
      <c r="AED50" s="456"/>
      <c r="AEE50" s="456"/>
      <c r="AEF50" s="456"/>
      <c r="AEG50" s="456"/>
      <c r="AEH50" s="456"/>
      <c r="AEI50" s="456"/>
      <c r="AEJ50" s="456"/>
      <c r="AEK50" s="456"/>
      <c r="AEL50" s="456"/>
      <c r="AEM50" s="456"/>
      <c r="AEN50" s="456"/>
      <c r="AEO50" s="456"/>
      <c r="AEP50" s="456"/>
      <c r="AEQ50" s="456"/>
      <c r="AER50" s="456"/>
      <c r="AES50" s="456"/>
      <c r="AET50" s="456"/>
      <c r="AEU50" s="456"/>
      <c r="AEV50" s="456"/>
      <c r="AEW50" s="456"/>
      <c r="AEX50" s="456"/>
      <c r="AEY50" s="456"/>
      <c r="AEZ50" s="456"/>
      <c r="AFA50" s="456"/>
      <c r="AFB50" s="456"/>
      <c r="AFC50" s="456"/>
      <c r="AFD50" s="456"/>
      <c r="AFE50" s="456"/>
      <c r="AFF50" s="456"/>
      <c r="AFG50" s="456"/>
      <c r="AFH50" s="456"/>
      <c r="AFI50" s="456"/>
      <c r="AFJ50" s="456"/>
      <c r="AFK50" s="456"/>
      <c r="AFL50" s="456"/>
      <c r="AFM50" s="456"/>
      <c r="AFN50" s="456"/>
      <c r="AFO50" s="456"/>
      <c r="AFP50" s="456"/>
      <c r="AFQ50" s="456"/>
      <c r="AFR50" s="456"/>
      <c r="AFS50" s="456"/>
      <c r="AFT50" s="456"/>
      <c r="AFU50" s="456"/>
      <c r="AFV50" s="456"/>
      <c r="AFW50" s="456"/>
      <c r="AFX50" s="456"/>
      <c r="AFY50" s="456"/>
      <c r="AFZ50" s="456"/>
      <c r="AGA50" s="456"/>
      <c r="AGB50" s="456"/>
      <c r="AGC50" s="456"/>
      <c r="AGD50" s="456"/>
      <c r="AGE50" s="456"/>
      <c r="AGF50" s="456"/>
      <c r="AGG50" s="456"/>
      <c r="AGH50" s="456"/>
      <c r="AGI50" s="456"/>
      <c r="AGJ50" s="456"/>
      <c r="AGK50" s="456"/>
      <c r="AGL50" s="456"/>
      <c r="AGM50" s="456"/>
      <c r="AGN50" s="456"/>
      <c r="AGO50" s="456"/>
      <c r="AGP50" s="456"/>
      <c r="AGQ50" s="456"/>
      <c r="AGR50" s="456"/>
      <c r="AGS50" s="456"/>
      <c r="AGT50" s="456"/>
      <c r="AGU50" s="456"/>
      <c r="AGV50" s="456"/>
      <c r="AGW50" s="456"/>
      <c r="AGX50" s="456"/>
      <c r="AGY50" s="456"/>
      <c r="AGZ50" s="456"/>
      <c r="AHA50" s="456"/>
      <c r="AHB50" s="456"/>
      <c r="AHC50" s="456"/>
      <c r="AHD50" s="456"/>
      <c r="AHE50" s="456"/>
      <c r="AHF50" s="456"/>
      <c r="AHG50" s="456"/>
      <c r="AHH50" s="456"/>
      <c r="AHI50" s="456"/>
      <c r="AHJ50" s="456"/>
      <c r="AHK50" s="456"/>
      <c r="AHL50" s="456"/>
      <c r="AHM50" s="456"/>
      <c r="AHN50" s="456"/>
      <c r="AHO50" s="456"/>
      <c r="AHP50" s="456"/>
      <c r="AHQ50" s="456"/>
      <c r="AHR50" s="456"/>
      <c r="AHS50" s="456"/>
      <c r="AHT50" s="456"/>
      <c r="AHU50" s="456"/>
      <c r="AHV50" s="456"/>
      <c r="AHW50" s="456"/>
      <c r="AHX50" s="456"/>
      <c r="AHY50" s="456"/>
      <c r="AHZ50" s="456"/>
      <c r="AIA50" s="456"/>
      <c r="AIB50" s="456"/>
      <c r="AIC50" s="456"/>
      <c r="AID50" s="456"/>
      <c r="AIE50" s="456"/>
      <c r="AIF50" s="456"/>
      <c r="AIG50" s="456"/>
      <c r="AIH50" s="456"/>
      <c r="AII50" s="456"/>
      <c r="AIJ50" s="456"/>
      <c r="AIK50" s="456"/>
      <c r="AIL50" s="456"/>
      <c r="AIM50" s="456"/>
      <c r="AIN50" s="456"/>
      <c r="AIO50" s="456"/>
      <c r="AIP50" s="456"/>
      <c r="AIQ50" s="456"/>
      <c r="AIR50" s="456"/>
      <c r="AIS50" s="456"/>
      <c r="AIT50" s="456"/>
      <c r="AIU50" s="456"/>
      <c r="AIV50" s="456"/>
      <c r="AIW50" s="456"/>
      <c r="AIX50" s="456"/>
      <c r="AIY50" s="456"/>
      <c r="AIZ50" s="456"/>
      <c r="AJA50" s="456"/>
      <c r="AJB50" s="456"/>
      <c r="AJC50" s="456"/>
      <c r="AJD50" s="456"/>
      <c r="AJE50" s="456"/>
      <c r="AJF50" s="456"/>
      <c r="AJG50" s="456"/>
      <c r="AJH50" s="456"/>
      <c r="AJI50" s="456"/>
      <c r="AJJ50" s="456"/>
      <c r="AJK50" s="456"/>
      <c r="AJL50" s="456"/>
      <c r="AJM50" s="456"/>
      <c r="AJN50" s="456"/>
      <c r="AJO50" s="456"/>
      <c r="AJP50" s="456"/>
      <c r="AJQ50" s="456"/>
      <c r="AJR50" s="456"/>
      <c r="AJS50" s="456"/>
      <c r="AJT50" s="456"/>
      <c r="AJU50" s="456"/>
      <c r="AJV50" s="456"/>
      <c r="AJW50" s="456"/>
      <c r="AJX50" s="456"/>
      <c r="AJY50" s="456"/>
      <c r="AJZ50" s="456"/>
      <c r="AKA50" s="456"/>
      <c r="AKB50" s="456"/>
      <c r="AKC50" s="456"/>
      <c r="AKD50" s="456"/>
      <c r="AKE50" s="456"/>
      <c r="AKF50" s="456"/>
      <c r="AKG50" s="456"/>
      <c r="AKH50" s="456"/>
      <c r="AKI50" s="456"/>
      <c r="AKJ50" s="456"/>
      <c r="AKK50" s="456"/>
      <c r="AKL50" s="456"/>
      <c r="AKM50" s="456"/>
      <c r="AKN50" s="456"/>
      <c r="AKO50" s="456"/>
      <c r="AKP50" s="456"/>
      <c r="AKQ50" s="456"/>
      <c r="AKR50" s="456"/>
      <c r="AKS50" s="456"/>
      <c r="AKT50" s="456"/>
      <c r="AKU50" s="456"/>
      <c r="AKV50" s="456"/>
      <c r="AKW50" s="456"/>
      <c r="AKX50" s="456"/>
      <c r="AKY50" s="456"/>
      <c r="AKZ50" s="456"/>
      <c r="ALA50" s="456"/>
      <c r="ALB50" s="456"/>
      <c r="ALC50" s="456"/>
      <c r="ALD50" s="456"/>
      <c r="ALE50" s="456"/>
      <c r="ALF50" s="456"/>
      <c r="ALG50" s="456"/>
      <c r="ALH50" s="456"/>
      <c r="ALI50" s="456"/>
      <c r="ALJ50" s="456"/>
      <c r="ALK50" s="456"/>
      <c r="ALL50" s="456"/>
      <c r="ALM50" s="456"/>
      <c r="ALN50" s="456"/>
      <c r="ALO50" s="456"/>
      <c r="ALP50" s="456"/>
      <c r="ALQ50" s="456"/>
      <c r="ALR50" s="456"/>
      <c r="ALS50" s="456"/>
      <c r="ALT50" s="456"/>
      <c r="ALU50" s="456"/>
      <c r="ALV50" s="456"/>
      <c r="ALW50" s="456"/>
      <c r="ALX50" s="456"/>
      <c r="ALY50" s="456"/>
      <c r="ALZ50" s="456"/>
      <c r="AMA50" s="456"/>
      <c r="AMB50" s="456"/>
      <c r="AMC50" s="456"/>
      <c r="AMD50" s="456"/>
      <c r="AME50" s="456"/>
      <c r="AMF50" s="456"/>
      <c r="AMG50" s="456"/>
      <c r="AMH50" s="456"/>
      <c r="AMI50" s="456"/>
      <c r="AMJ50" s="456"/>
      <c r="AMK50" s="456"/>
      <c r="AML50" s="456"/>
      <c r="AMM50" s="456"/>
      <c r="AMN50" s="456"/>
      <c r="AMO50" s="456"/>
      <c r="AMP50" s="456"/>
      <c r="AMQ50" s="456"/>
      <c r="AMR50" s="456"/>
      <c r="AMS50" s="456"/>
      <c r="AMT50" s="456"/>
      <c r="AMU50" s="456"/>
      <c r="AMV50" s="456"/>
      <c r="AMW50" s="456"/>
      <c r="AMX50" s="456"/>
      <c r="AMY50" s="456"/>
      <c r="AMZ50" s="456"/>
      <c r="ANA50" s="456"/>
      <c r="ANB50" s="456"/>
      <c r="ANC50" s="456"/>
      <c r="AND50" s="456"/>
      <c r="ANE50" s="456"/>
      <c r="ANF50" s="456"/>
      <c r="ANG50" s="456"/>
      <c r="ANH50" s="456"/>
      <c r="ANI50" s="456"/>
      <c r="ANJ50" s="456"/>
      <c r="ANK50" s="456"/>
      <c r="ANL50" s="456"/>
      <c r="ANM50" s="456"/>
      <c r="ANN50" s="456"/>
      <c r="ANO50" s="456"/>
      <c r="ANP50" s="456"/>
      <c r="ANQ50" s="456"/>
      <c r="ANR50" s="456"/>
      <c r="ANS50" s="456"/>
      <c r="ANT50" s="456"/>
      <c r="ANU50" s="456"/>
      <c r="ANV50" s="456"/>
      <c r="ANW50" s="456"/>
      <c r="ANX50" s="456"/>
      <c r="ANY50" s="456"/>
      <c r="ANZ50" s="456"/>
      <c r="AOA50" s="456"/>
      <c r="AOB50" s="456"/>
      <c r="AOC50" s="456"/>
      <c r="AOD50" s="456"/>
      <c r="AOE50" s="456"/>
      <c r="AOF50" s="456"/>
      <c r="AOG50" s="456"/>
      <c r="AOH50" s="456"/>
      <c r="AOI50" s="456"/>
      <c r="AOJ50" s="456"/>
      <c r="AOK50" s="456"/>
      <c r="AOL50" s="456"/>
      <c r="AOM50" s="456"/>
      <c r="AON50" s="456"/>
      <c r="AOO50" s="456"/>
      <c r="AOP50" s="456"/>
      <c r="AOQ50" s="456"/>
      <c r="AOR50" s="456"/>
      <c r="AOS50" s="456"/>
      <c r="AOT50" s="456"/>
      <c r="AOU50" s="456"/>
      <c r="AOV50" s="456"/>
      <c r="AOW50" s="456"/>
      <c r="AOX50" s="456"/>
      <c r="AOY50" s="456"/>
      <c r="AOZ50" s="456"/>
      <c r="APA50" s="456"/>
      <c r="APB50" s="456"/>
      <c r="APC50" s="456"/>
      <c r="APD50" s="456"/>
      <c r="APE50" s="456"/>
      <c r="APF50" s="456"/>
      <c r="APG50" s="456"/>
      <c r="APH50" s="456"/>
      <c r="API50" s="456"/>
      <c r="APJ50" s="456"/>
      <c r="APK50" s="456"/>
      <c r="APL50" s="456"/>
      <c r="APM50" s="456"/>
      <c r="APN50" s="456"/>
      <c r="APO50" s="456"/>
      <c r="APP50" s="456"/>
      <c r="APQ50" s="456"/>
      <c r="APR50" s="456"/>
      <c r="APS50" s="456"/>
      <c r="APT50" s="456"/>
      <c r="APU50" s="456"/>
      <c r="APV50" s="456"/>
      <c r="APW50" s="456"/>
      <c r="APX50" s="456"/>
      <c r="APY50" s="456"/>
      <c r="APZ50" s="456"/>
      <c r="AQA50" s="456"/>
      <c r="AQB50" s="456"/>
      <c r="AQC50" s="456"/>
      <c r="AQD50" s="456"/>
      <c r="AQE50" s="456"/>
      <c r="AQF50" s="456"/>
      <c r="AQG50" s="456"/>
      <c r="AQH50" s="456"/>
      <c r="AQI50" s="456"/>
      <c r="AQJ50" s="456"/>
      <c r="AQK50" s="456"/>
      <c r="AQL50" s="456"/>
      <c r="AQM50" s="456"/>
      <c r="AQN50" s="456"/>
      <c r="AQO50" s="456"/>
      <c r="AQP50" s="456"/>
      <c r="AQQ50" s="456"/>
      <c r="AQR50" s="456"/>
      <c r="AQS50" s="456"/>
      <c r="AQT50" s="456"/>
      <c r="AQU50" s="456"/>
      <c r="AQV50" s="456"/>
      <c r="AQW50" s="456"/>
      <c r="AQX50" s="456"/>
      <c r="AQY50" s="456"/>
      <c r="AQZ50" s="456"/>
      <c r="ARA50" s="456"/>
      <c r="ARB50" s="456"/>
      <c r="ARC50" s="456"/>
      <c r="ARD50" s="456"/>
      <c r="ARE50" s="456"/>
      <c r="ARF50" s="456"/>
      <c r="ARG50" s="456"/>
      <c r="ARH50" s="456"/>
      <c r="ARI50" s="456"/>
      <c r="ARJ50" s="456"/>
      <c r="ARK50" s="456"/>
      <c r="ARL50" s="456"/>
      <c r="ARM50" s="456"/>
      <c r="ARN50" s="456"/>
      <c r="ARO50" s="456"/>
      <c r="ARP50" s="456"/>
      <c r="ARQ50" s="456"/>
      <c r="ARR50" s="456"/>
      <c r="ARS50" s="456"/>
      <c r="ART50" s="456"/>
      <c r="ARU50" s="456"/>
      <c r="ARV50" s="456"/>
      <c r="ARW50" s="456"/>
      <c r="ARX50" s="456"/>
      <c r="ARY50" s="456"/>
      <c r="ARZ50" s="456"/>
      <c r="ASA50" s="456"/>
      <c r="ASB50" s="456"/>
      <c r="ASC50" s="456"/>
      <c r="ASD50" s="456"/>
      <c r="ASE50" s="456"/>
      <c r="ASF50" s="456"/>
      <c r="ASG50" s="456"/>
      <c r="ASH50" s="456"/>
      <c r="ASI50" s="456"/>
      <c r="ASJ50" s="456"/>
      <c r="ASK50" s="456"/>
      <c r="ASL50" s="456"/>
      <c r="ASM50" s="456"/>
      <c r="ASN50" s="456"/>
      <c r="ASO50" s="456"/>
      <c r="ASP50" s="456"/>
      <c r="ASQ50" s="456"/>
      <c r="ASR50" s="456"/>
      <c r="ASS50" s="456"/>
      <c r="AST50" s="456"/>
      <c r="ASU50" s="456"/>
      <c r="ASV50" s="456"/>
      <c r="ASW50" s="456"/>
      <c r="ASX50" s="456"/>
      <c r="ASY50" s="456"/>
      <c r="ASZ50" s="456"/>
      <c r="ATA50" s="456"/>
      <c r="ATB50" s="456"/>
      <c r="ATC50" s="456"/>
      <c r="ATD50" s="456"/>
      <c r="ATE50" s="456"/>
      <c r="ATF50" s="456"/>
      <c r="ATG50" s="456"/>
      <c r="ATH50" s="456"/>
      <c r="ATI50" s="456"/>
      <c r="ATJ50" s="456"/>
      <c r="ATK50" s="456"/>
      <c r="ATL50" s="456"/>
      <c r="ATM50" s="456"/>
      <c r="ATN50" s="456"/>
      <c r="ATO50" s="456"/>
      <c r="ATP50" s="456"/>
      <c r="ATQ50" s="456"/>
      <c r="ATR50" s="456"/>
      <c r="ATS50" s="456"/>
      <c r="ATT50" s="456"/>
      <c r="ATU50" s="456"/>
      <c r="ATV50" s="456"/>
      <c r="ATW50" s="456"/>
      <c r="ATX50" s="456"/>
      <c r="ATY50" s="456"/>
      <c r="ATZ50" s="456"/>
      <c r="AUA50" s="456"/>
      <c r="AUB50" s="456"/>
      <c r="AUC50" s="456"/>
      <c r="AUD50" s="456"/>
      <c r="AUE50" s="456"/>
      <c r="AUF50" s="456"/>
      <c r="AUG50" s="456"/>
      <c r="AUH50" s="456"/>
      <c r="AUI50" s="456"/>
      <c r="AUJ50" s="456"/>
      <c r="AUK50" s="456"/>
      <c r="AUL50" s="456"/>
      <c r="AUM50" s="456"/>
      <c r="AUN50" s="456"/>
      <c r="AUO50" s="456"/>
      <c r="AUP50" s="456"/>
      <c r="AUQ50" s="456"/>
      <c r="AUR50" s="456"/>
      <c r="AUS50" s="456"/>
      <c r="AUT50" s="456"/>
      <c r="AUU50" s="456"/>
      <c r="AUV50" s="456"/>
      <c r="AUW50" s="456"/>
      <c r="AUX50" s="456"/>
      <c r="AUY50" s="456"/>
      <c r="AUZ50" s="456"/>
      <c r="AVA50" s="456"/>
      <c r="AVB50" s="456"/>
      <c r="AVC50" s="456"/>
      <c r="AVD50" s="456"/>
      <c r="AVE50" s="456"/>
      <c r="AVF50" s="456"/>
      <c r="AVG50" s="456"/>
      <c r="AVH50" s="456"/>
      <c r="AVI50" s="456"/>
      <c r="AVJ50" s="456"/>
      <c r="AVK50" s="456"/>
      <c r="AVL50" s="456"/>
      <c r="AVM50" s="456"/>
      <c r="AVN50" s="456"/>
      <c r="AVO50" s="456"/>
      <c r="AVP50" s="456"/>
      <c r="AVQ50" s="456"/>
      <c r="AVR50" s="456"/>
      <c r="AVS50" s="456"/>
      <c r="AVT50" s="456"/>
      <c r="AVU50" s="456"/>
      <c r="AVV50" s="456"/>
      <c r="AVW50" s="456"/>
      <c r="AVX50" s="456"/>
      <c r="AVY50" s="456"/>
      <c r="AVZ50" s="456"/>
      <c r="AWA50" s="456"/>
      <c r="AWB50" s="456"/>
      <c r="AWC50" s="456"/>
      <c r="AWD50" s="456"/>
      <c r="AWE50" s="456"/>
      <c r="AWF50" s="456"/>
      <c r="AWG50" s="456"/>
      <c r="AWH50" s="456"/>
      <c r="AWI50" s="456"/>
      <c r="AWJ50" s="456"/>
      <c r="AWK50" s="456"/>
      <c r="AWL50" s="456"/>
      <c r="AWM50" s="456"/>
      <c r="AWN50" s="456"/>
      <c r="AWO50" s="456"/>
      <c r="AWP50" s="456"/>
      <c r="AWQ50" s="456"/>
      <c r="AWR50" s="456"/>
      <c r="AWS50" s="456"/>
      <c r="AWT50" s="456"/>
      <c r="AWU50" s="456"/>
      <c r="AWV50" s="456"/>
      <c r="AWW50" s="456"/>
      <c r="AWX50" s="456"/>
      <c r="AWY50" s="456"/>
      <c r="AWZ50" s="456"/>
      <c r="AXA50" s="456"/>
      <c r="AXB50" s="456"/>
      <c r="AXC50" s="456"/>
      <c r="AXD50" s="456"/>
      <c r="AXE50" s="456"/>
      <c r="AXF50" s="456"/>
      <c r="AXG50" s="456"/>
      <c r="AXH50" s="456"/>
      <c r="AXI50" s="456"/>
      <c r="AXJ50" s="456"/>
      <c r="AXK50" s="456"/>
      <c r="AXL50" s="456"/>
      <c r="AXM50" s="456"/>
      <c r="AXN50" s="456"/>
      <c r="AXO50" s="456"/>
      <c r="AXP50" s="456"/>
      <c r="AXQ50" s="456"/>
      <c r="AXR50" s="456"/>
      <c r="AXS50" s="456"/>
      <c r="AXT50" s="456"/>
      <c r="AXU50" s="456"/>
      <c r="AXV50" s="456"/>
      <c r="AXW50" s="456"/>
      <c r="AXX50" s="456"/>
      <c r="AXY50" s="456"/>
      <c r="AXZ50" s="456"/>
      <c r="AYA50" s="456"/>
      <c r="AYB50" s="456"/>
      <c r="AYC50" s="456"/>
      <c r="AYD50" s="456"/>
      <c r="AYE50" s="456"/>
      <c r="AYF50" s="456"/>
      <c r="AYG50" s="456"/>
      <c r="AYH50" s="456"/>
      <c r="AYI50" s="456"/>
      <c r="AYJ50" s="456"/>
      <c r="AYK50" s="456"/>
      <c r="AYL50" s="456"/>
      <c r="AYM50" s="456"/>
      <c r="AYN50" s="456"/>
      <c r="AYO50" s="456"/>
      <c r="AYP50" s="456"/>
      <c r="AYQ50" s="456"/>
      <c r="AYR50" s="456"/>
      <c r="AYS50" s="456"/>
      <c r="AYT50" s="456"/>
      <c r="AYU50" s="456"/>
      <c r="AYV50" s="456"/>
      <c r="AYW50" s="456"/>
      <c r="AYX50" s="456"/>
      <c r="AYY50" s="456"/>
      <c r="AYZ50" s="456"/>
      <c r="AZA50" s="456"/>
      <c r="AZB50" s="456"/>
      <c r="AZC50" s="456"/>
      <c r="AZD50" s="456"/>
      <c r="AZE50" s="456"/>
      <c r="AZF50" s="456"/>
      <c r="AZG50" s="456"/>
      <c r="AZH50" s="456"/>
      <c r="AZI50" s="456"/>
      <c r="AZJ50" s="456"/>
      <c r="AZK50" s="456"/>
      <c r="AZL50" s="456"/>
      <c r="AZM50" s="456"/>
      <c r="AZN50" s="456"/>
      <c r="AZO50" s="456"/>
      <c r="AZP50" s="456"/>
      <c r="AZQ50" s="456"/>
      <c r="AZR50" s="456"/>
      <c r="AZS50" s="456"/>
      <c r="AZT50" s="456"/>
      <c r="AZU50" s="456"/>
      <c r="AZV50" s="456"/>
      <c r="AZW50" s="456"/>
      <c r="AZX50" s="456"/>
      <c r="AZY50" s="456"/>
      <c r="AZZ50" s="456"/>
      <c r="BAA50" s="456"/>
      <c r="BAB50" s="456"/>
      <c r="BAC50" s="456"/>
      <c r="BAD50" s="456"/>
      <c r="BAE50" s="456"/>
      <c r="BAF50" s="456"/>
      <c r="BAG50" s="456"/>
      <c r="BAH50" s="456"/>
      <c r="BAI50" s="456"/>
      <c r="BAJ50" s="456"/>
      <c r="BAK50" s="456"/>
      <c r="BAL50" s="456"/>
      <c r="BAM50" s="456"/>
      <c r="BAN50" s="456"/>
      <c r="BAO50" s="456"/>
      <c r="BAP50" s="456"/>
      <c r="BAQ50" s="456"/>
      <c r="BAR50" s="456"/>
      <c r="BAS50" s="456"/>
      <c r="BAT50" s="456"/>
      <c r="BAU50" s="456"/>
      <c r="BAV50" s="456"/>
      <c r="BAW50" s="456"/>
      <c r="BAX50" s="456"/>
      <c r="BAY50" s="456"/>
      <c r="BAZ50" s="456"/>
      <c r="BBA50" s="456"/>
      <c r="BBB50" s="456"/>
      <c r="BBC50" s="456"/>
      <c r="BBD50" s="456"/>
      <c r="BBE50" s="456"/>
      <c r="BBF50" s="456"/>
      <c r="BBG50" s="456"/>
      <c r="BBH50" s="456"/>
      <c r="BBI50" s="456"/>
      <c r="BBJ50" s="456"/>
      <c r="BBK50" s="456"/>
      <c r="BBL50" s="456"/>
      <c r="BBM50" s="456"/>
      <c r="BBN50" s="456"/>
      <c r="BBO50" s="456"/>
      <c r="BBP50" s="456"/>
      <c r="BBQ50" s="456"/>
      <c r="BBR50" s="456"/>
      <c r="BBS50" s="456"/>
      <c r="BBT50" s="456"/>
      <c r="BBU50" s="456"/>
      <c r="BBV50" s="456"/>
      <c r="BBW50" s="456"/>
      <c r="BBX50" s="456"/>
      <c r="BBY50" s="456"/>
      <c r="BBZ50" s="456"/>
      <c r="BCA50" s="456"/>
      <c r="BCB50" s="456"/>
      <c r="BCC50" s="456"/>
      <c r="BCD50" s="456"/>
      <c r="BCE50" s="456"/>
      <c r="BCF50" s="456"/>
      <c r="BCG50" s="456"/>
      <c r="BCH50" s="456"/>
      <c r="BCI50" s="456"/>
      <c r="BCJ50" s="456"/>
      <c r="BCK50" s="456"/>
      <c r="BCL50" s="456"/>
      <c r="BCM50" s="456"/>
      <c r="BCN50" s="456"/>
      <c r="BCO50" s="456"/>
      <c r="BCP50" s="456"/>
      <c r="BCQ50" s="456"/>
      <c r="BCR50" s="456"/>
      <c r="BCS50" s="456"/>
      <c r="BCT50" s="456"/>
      <c r="BCU50" s="456"/>
      <c r="BCV50" s="456"/>
      <c r="BCW50" s="456"/>
      <c r="BCX50" s="456"/>
      <c r="BCY50" s="456"/>
      <c r="BCZ50" s="456"/>
      <c r="BDA50" s="456"/>
      <c r="BDB50" s="456"/>
      <c r="BDC50" s="456"/>
      <c r="BDD50" s="456"/>
      <c r="BDE50" s="456"/>
      <c r="BDF50" s="456"/>
      <c r="BDG50" s="456"/>
      <c r="BDH50" s="456"/>
      <c r="BDI50" s="456"/>
      <c r="BDJ50" s="456"/>
      <c r="BDK50" s="456"/>
      <c r="BDL50" s="456"/>
      <c r="BDM50" s="456"/>
      <c r="BDN50" s="456"/>
      <c r="BDO50" s="456"/>
      <c r="BDP50" s="456"/>
      <c r="BDQ50" s="456"/>
      <c r="BDR50" s="456"/>
      <c r="BDS50" s="456"/>
      <c r="BDT50" s="456"/>
      <c r="BDU50" s="456"/>
      <c r="BDV50" s="456"/>
      <c r="BDW50" s="456"/>
      <c r="BDX50" s="456"/>
      <c r="BDY50" s="456"/>
      <c r="BDZ50" s="456"/>
      <c r="BEA50" s="456"/>
      <c r="BEB50" s="456"/>
      <c r="BEC50" s="456"/>
      <c r="BED50" s="456"/>
      <c r="BEE50" s="456"/>
      <c r="BEF50" s="456"/>
      <c r="BEG50" s="456"/>
      <c r="BEH50" s="456"/>
      <c r="BEI50" s="456"/>
      <c r="BEJ50" s="456"/>
      <c r="BEK50" s="456"/>
      <c r="BEL50" s="456"/>
      <c r="BEM50" s="456"/>
      <c r="BEN50" s="456"/>
      <c r="BEO50" s="456"/>
      <c r="BEP50" s="456"/>
      <c r="BEQ50" s="456"/>
      <c r="BER50" s="456"/>
      <c r="BES50" s="456"/>
      <c r="BET50" s="456"/>
      <c r="BEU50" s="456"/>
      <c r="BEV50" s="456"/>
      <c r="BEW50" s="456"/>
      <c r="BEX50" s="456"/>
      <c r="BEY50" s="456"/>
      <c r="BEZ50" s="456"/>
      <c r="BFA50" s="456"/>
      <c r="BFB50" s="456"/>
      <c r="BFC50" s="456"/>
      <c r="BFD50" s="456"/>
      <c r="BFE50" s="456"/>
      <c r="BFF50" s="456"/>
      <c r="BFG50" s="456"/>
      <c r="BFH50" s="456"/>
      <c r="BFI50" s="456"/>
      <c r="BFJ50" s="456"/>
      <c r="BFK50" s="456"/>
      <c r="BFL50" s="456"/>
      <c r="BFM50" s="456"/>
      <c r="BFN50" s="456"/>
      <c r="BFO50" s="456"/>
      <c r="BFP50" s="456"/>
      <c r="BFQ50" s="456"/>
      <c r="BFR50" s="456"/>
      <c r="BFS50" s="456"/>
      <c r="BFT50" s="456"/>
      <c r="BFU50" s="456"/>
      <c r="BFV50" s="456"/>
      <c r="BFW50" s="456"/>
      <c r="BFX50" s="456"/>
      <c r="BFY50" s="456"/>
      <c r="BFZ50" s="456"/>
      <c r="BGA50" s="456"/>
      <c r="BGB50" s="456"/>
      <c r="BGC50" s="456"/>
      <c r="BGD50" s="456"/>
      <c r="BGE50" s="456"/>
      <c r="BGF50" s="456"/>
      <c r="BGG50" s="456"/>
      <c r="BGH50" s="456"/>
      <c r="BGI50" s="456"/>
      <c r="BGJ50" s="456"/>
      <c r="BGK50" s="456"/>
      <c r="BGL50" s="456"/>
      <c r="BGM50" s="456"/>
      <c r="BGN50" s="456"/>
      <c r="BGO50" s="456"/>
      <c r="BGP50" s="456"/>
      <c r="BGQ50" s="456"/>
      <c r="BGR50" s="456"/>
      <c r="BGS50" s="456"/>
      <c r="BGT50" s="456"/>
      <c r="BGU50" s="456"/>
      <c r="BGV50" s="456"/>
      <c r="BGW50" s="456"/>
      <c r="BGX50" s="456"/>
      <c r="BGY50" s="456"/>
      <c r="BGZ50" s="456"/>
      <c r="BHA50" s="456"/>
      <c r="BHB50" s="456"/>
      <c r="BHC50" s="456"/>
      <c r="BHD50" s="456"/>
      <c r="BHE50" s="456"/>
      <c r="BHF50" s="456"/>
      <c r="BHG50" s="456"/>
      <c r="BHH50" s="456"/>
      <c r="BHI50" s="456"/>
      <c r="BHJ50" s="456"/>
      <c r="BHK50" s="456"/>
      <c r="BHL50" s="456"/>
      <c r="BHM50" s="456"/>
      <c r="BHN50" s="456"/>
      <c r="BHO50" s="456"/>
      <c r="BHP50" s="456"/>
      <c r="BHQ50" s="456"/>
      <c r="BHR50" s="456"/>
      <c r="BHS50" s="456"/>
      <c r="BHT50" s="456"/>
      <c r="BHU50" s="456"/>
      <c r="BHV50" s="456"/>
      <c r="BHW50" s="456"/>
      <c r="BHX50" s="456"/>
      <c r="BHY50" s="456"/>
      <c r="BHZ50" s="456"/>
      <c r="BIA50" s="456"/>
      <c r="BIB50" s="456"/>
      <c r="BIC50" s="456"/>
      <c r="BID50" s="456"/>
      <c r="BIE50" s="456"/>
      <c r="BIF50" s="456"/>
      <c r="BIG50" s="456"/>
      <c r="BIH50" s="456"/>
      <c r="BII50" s="456"/>
      <c r="BIJ50" s="456"/>
      <c r="BIK50" s="456"/>
      <c r="BIL50" s="456"/>
      <c r="BIM50" s="456"/>
      <c r="BIN50" s="456"/>
      <c r="BIO50" s="456"/>
      <c r="BIP50" s="456"/>
      <c r="BIQ50" s="456"/>
      <c r="BIR50" s="456"/>
      <c r="BIS50" s="456"/>
      <c r="BIT50" s="456"/>
      <c r="BIU50" s="456"/>
      <c r="BIV50" s="456"/>
      <c r="BIW50" s="456"/>
      <c r="BIX50" s="456"/>
      <c r="BIY50" s="456"/>
      <c r="BIZ50" s="456"/>
      <c r="BJA50" s="456"/>
      <c r="BJB50" s="456"/>
      <c r="BJC50" s="456"/>
      <c r="BJD50" s="456"/>
      <c r="BJE50" s="456"/>
      <c r="BJF50" s="456"/>
      <c r="BJG50" s="456"/>
      <c r="BJH50" s="456"/>
      <c r="BJI50" s="456"/>
      <c r="BJJ50" s="456"/>
      <c r="BJK50" s="456"/>
      <c r="BJL50" s="456"/>
      <c r="BJM50" s="456"/>
      <c r="BJN50" s="456"/>
      <c r="BJO50" s="456"/>
      <c r="BJP50" s="456"/>
      <c r="BJQ50" s="456"/>
      <c r="BJR50" s="456"/>
      <c r="BJS50" s="456"/>
      <c r="BJT50" s="456"/>
      <c r="BJU50" s="456"/>
      <c r="BJV50" s="456"/>
      <c r="BJW50" s="456"/>
      <c r="BJX50" s="456"/>
      <c r="BJY50" s="456"/>
      <c r="BJZ50" s="456"/>
      <c r="BKA50" s="456"/>
      <c r="BKB50" s="456"/>
      <c r="BKC50" s="456"/>
      <c r="BKD50" s="456"/>
      <c r="BKE50" s="456"/>
      <c r="BKF50" s="456"/>
      <c r="BKG50" s="456"/>
      <c r="BKH50" s="456"/>
      <c r="BKI50" s="456"/>
      <c r="BKJ50" s="456"/>
      <c r="BKK50" s="456"/>
      <c r="BKL50" s="456"/>
      <c r="BKM50" s="456"/>
      <c r="BKN50" s="456"/>
      <c r="BKO50" s="456"/>
      <c r="BKP50" s="456"/>
      <c r="BKQ50" s="456"/>
      <c r="BKR50" s="456"/>
      <c r="BKS50" s="456"/>
      <c r="BKT50" s="456"/>
      <c r="BKU50" s="456"/>
      <c r="BKV50" s="456"/>
      <c r="BKW50" s="456"/>
      <c r="BKX50" s="456"/>
      <c r="BKY50" s="456"/>
      <c r="BKZ50" s="456"/>
      <c r="BLA50" s="456"/>
      <c r="BLB50" s="456"/>
      <c r="BLC50" s="456"/>
      <c r="BLD50" s="456"/>
      <c r="BLE50" s="456"/>
      <c r="BLF50" s="456"/>
      <c r="BLG50" s="456"/>
      <c r="BLH50" s="456"/>
      <c r="BLI50" s="456"/>
      <c r="BLJ50" s="456"/>
      <c r="BLK50" s="456"/>
      <c r="BLL50" s="456"/>
      <c r="BLM50" s="456"/>
      <c r="BLN50" s="456"/>
      <c r="BLO50" s="456"/>
      <c r="BLP50" s="456"/>
      <c r="BLQ50" s="456"/>
      <c r="BLR50" s="456"/>
      <c r="BLS50" s="456"/>
      <c r="BLT50" s="456"/>
      <c r="BLU50" s="456"/>
      <c r="BLV50" s="456"/>
      <c r="BLW50" s="456"/>
      <c r="BLX50" s="456"/>
      <c r="BLY50" s="456"/>
      <c r="BLZ50" s="456"/>
      <c r="BMA50" s="456"/>
      <c r="BMB50" s="456"/>
      <c r="BMC50" s="456"/>
      <c r="BMD50" s="456"/>
      <c r="BME50" s="456"/>
      <c r="BMF50" s="456"/>
      <c r="BMG50" s="456"/>
      <c r="BMH50" s="456"/>
      <c r="BMI50" s="456"/>
      <c r="BMJ50" s="456"/>
      <c r="BMK50" s="456"/>
      <c r="BML50" s="456"/>
      <c r="BMM50" s="456"/>
      <c r="BMN50" s="456"/>
      <c r="BMO50" s="456"/>
      <c r="BMP50" s="456"/>
      <c r="BMQ50" s="456"/>
      <c r="BMR50" s="456"/>
      <c r="BMS50" s="456"/>
      <c r="BMT50" s="456"/>
      <c r="BMU50" s="456"/>
      <c r="BMV50" s="456"/>
      <c r="BMW50" s="456"/>
      <c r="BMX50" s="456"/>
      <c r="BMY50" s="456"/>
      <c r="BMZ50" s="456"/>
      <c r="BNA50" s="456"/>
      <c r="BNB50" s="456"/>
      <c r="BNC50" s="456"/>
      <c r="BND50" s="456"/>
      <c r="BNE50" s="456"/>
      <c r="BNF50" s="456"/>
      <c r="BNG50" s="456"/>
      <c r="BNH50" s="456"/>
      <c r="BNI50" s="456"/>
      <c r="BNJ50" s="456"/>
      <c r="BNK50" s="456"/>
      <c r="BNL50" s="456"/>
      <c r="BNM50" s="456"/>
      <c r="BNN50" s="456"/>
      <c r="BNO50" s="456"/>
      <c r="BNP50" s="456"/>
      <c r="BNQ50" s="456"/>
      <c r="BNR50" s="456"/>
      <c r="BNS50" s="456"/>
      <c r="BNT50" s="456"/>
      <c r="BNU50" s="456"/>
      <c r="BNV50" s="456"/>
      <c r="BNW50" s="456"/>
      <c r="BNX50" s="456"/>
      <c r="BNY50" s="456"/>
      <c r="BNZ50" s="456"/>
      <c r="BOA50" s="456"/>
      <c r="BOB50" s="456"/>
      <c r="BOC50" s="456"/>
      <c r="BOD50" s="456"/>
      <c r="BOE50" s="456"/>
      <c r="BOF50" s="456"/>
      <c r="BOG50" s="456"/>
      <c r="BOH50" s="456"/>
      <c r="BOI50" s="456"/>
      <c r="BOJ50" s="456"/>
      <c r="BOK50" s="456"/>
      <c r="BOL50" s="456"/>
      <c r="BOM50" s="456"/>
      <c r="BON50" s="456"/>
      <c r="BOO50" s="456"/>
      <c r="BOP50" s="456"/>
      <c r="BOQ50" s="456"/>
      <c r="BOR50" s="456"/>
      <c r="BOS50" s="456"/>
      <c r="BOT50" s="456"/>
      <c r="BOU50" s="456"/>
      <c r="BOV50" s="456"/>
      <c r="BOW50" s="456"/>
      <c r="BOX50" s="456"/>
      <c r="BOY50" s="456"/>
      <c r="BOZ50" s="456"/>
      <c r="BPA50" s="456"/>
      <c r="BPB50" s="456"/>
      <c r="BPC50" s="456"/>
      <c r="BPD50" s="456"/>
      <c r="BPE50" s="456"/>
      <c r="BPF50" s="456"/>
      <c r="BPG50" s="456"/>
      <c r="BPH50" s="456"/>
      <c r="BPI50" s="456"/>
      <c r="BPJ50" s="456"/>
      <c r="BPK50" s="456"/>
      <c r="BPL50" s="456"/>
      <c r="BPM50" s="456"/>
      <c r="BPN50" s="456"/>
      <c r="BPO50" s="456"/>
      <c r="BPP50" s="456"/>
      <c r="BPQ50" s="456"/>
      <c r="BPR50" s="456"/>
      <c r="BPS50" s="456"/>
      <c r="BPT50" s="456"/>
      <c r="BPU50" s="456"/>
      <c r="BPV50" s="456"/>
      <c r="BPW50" s="456"/>
      <c r="BPX50" s="456"/>
      <c r="BPY50" s="456"/>
      <c r="BPZ50" s="456"/>
      <c r="BQA50" s="456"/>
      <c r="BQB50" s="456"/>
      <c r="BQC50" s="456"/>
      <c r="BQD50" s="456"/>
      <c r="BQE50" s="456"/>
      <c r="BQF50" s="456"/>
      <c r="BQG50" s="456"/>
      <c r="BQH50" s="456"/>
      <c r="BQI50" s="456"/>
      <c r="BQJ50" s="456"/>
      <c r="BQK50" s="456"/>
      <c r="BQL50" s="456"/>
      <c r="BQM50" s="456"/>
      <c r="BQN50" s="456"/>
      <c r="BQO50" s="456"/>
      <c r="BQP50" s="456"/>
      <c r="BQQ50" s="456"/>
      <c r="BQR50" s="456"/>
      <c r="BQS50" s="456"/>
      <c r="BQT50" s="456"/>
      <c r="BQU50" s="456"/>
      <c r="BQV50" s="456"/>
      <c r="BQW50" s="456"/>
      <c r="BQX50" s="456"/>
      <c r="BQY50" s="456"/>
      <c r="BQZ50" s="456"/>
      <c r="BRA50" s="456"/>
      <c r="BRB50" s="456"/>
      <c r="BRC50" s="456"/>
      <c r="BRD50" s="456"/>
      <c r="BRE50" s="456"/>
      <c r="BRF50" s="456"/>
      <c r="BRG50" s="456"/>
      <c r="BRH50" s="456"/>
      <c r="BRI50" s="456"/>
      <c r="BRJ50" s="456"/>
      <c r="BRK50" s="456"/>
      <c r="BRL50" s="456"/>
      <c r="BRM50" s="456"/>
      <c r="BRN50" s="456"/>
      <c r="BRO50" s="456"/>
      <c r="BRP50" s="456"/>
      <c r="BRQ50" s="456"/>
      <c r="BRR50" s="456"/>
      <c r="BRS50" s="456"/>
      <c r="BRT50" s="456"/>
      <c r="BRU50" s="456"/>
      <c r="BRV50" s="456"/>
      <c r="BRW50" s="456"/>
      <c r="BRX50" s="456"/>
      <c r="BRY50" s="456"/>
      <c r="BRZ50" s="456"/>
      <c r="BSA50" s="456"/>
      <c r="BSB50" s="456"/>
      <c r="BSC50" s="456"/>
      <c r="BSD50" s="456"/>
      <c r="BSE50" s="456"/>
      <c r="BSF50" s="456"/>
      <c r="BSG50" s="456"/>
      <c r="BSH50" s="456"/>
      <c r="BSI50" s="456"/>
      <c r="BSJ50" s="456"/>
      <c r="BSK50" s="456"/>
      <c r="BSL50" s="456"/>
      <c r="BSM50" s="456"/>
      <c r="BSN50" s="456"/>
      <c r="BSO50" s="456"/>
      <c r="BSP50" s="456"/>
      <c r="BSQ50" s="456"/>
      <c r="BSR50" s="456"/>
      <c r="BSS50" s="456"/>
      <c r="BST50" s="456"/>
      <c r="BSU50" s="456"/>
      <c r="BSV50" s="456"/>
      <c r="BSW50" s="456"/>
      <c r="BSX50" s="456"/>
      <c r="BSY50" s="456"/>
      <c r="BSZ50" s="456"/>
      <c r="BTA50" s="456"/>
      <c r="BTB50" s="456"/>
      <c r="BTC50" s="456"/>
      <c r="BTD50" s="456"/>
      <c r="BTE50" s="456"/>
      <c r="BTF50" s="456"/>
      <c r="BTG50" s="456"/>
      <c r="BTH50" s="456"/>
      <c r="BTI50" s="456"/>
      <c r="BTJ50" s="456"/>
      <c r="BTK50" s="456"/>
      <c r="BTL50" s="456"/>
      <c r="BTM50" s="456"/>
      <c r="BTN50" s="456"/>
      <c r="BTO50" s="456"/>
      <c r="BTP50" s="456"/>
      <c r="BTQ50" s="456"/>
      <c r="BTR50" s="456"/>
      <c r="BTS50" s="456"/>
      <c r="BTT50" s="456"/>
      <c r="BTU50" s="456"/>
      <c r="BTV50" s="456"/>
      <c r="BTW50" s="456"/>
      <c r="BTX50" s="456"/>
      <c r="BTY50" s="456"/>
      <c r="BTZ50" s="456"/>
      <c r="BUA50" s="456"/>
      <c r="BUB50" s="456"/>
      <c r="BUC50" s="456"/>
      <c r="BUD50" s="456"/>
      <c r="BUE50" s="456"/>
      <c r="BUF50" s="456"/>
      <c r="BUG50" s="456"/>
      <c r="BUH50" s="456"/>
      <c r="BUI50" s="456"/>
      <c r="BUJ50" s="456"/>
      <c r="BUK50" s="456"/>
      <c r="BUL50" s="456"/>
      <c r="BUM50" s="456"/>
      <c r="BUN50" s="456"/>
      <c r="BUO50" s="456"/>
      <c r="BUP50" s="456"/>
      <c r="BUQ50" s="456"/>
      <c r="BUR50" s="456"/>
      <c r="BUS50" s="456"/>
      <c r="BUT50" s="456"/>
      <c r="BUU50" s="456"/>
      <c r="BUV50" s="456"/>
      <c r="BUW50" s="456"/>
      <c r="BUX50" s="456"/>
      <c r="BUY50" s="456"/>
      <c r="BUZ50" s="456"/>
      <c r="BVA50" s="456"/>
      <c r="BVB50" s="456"/>
      <c r="BVC50" s="456"/>
      <c r="BVD50" s="456"/>
      <c r="BVE50" s="456"/>
      <c r="BVF50" s="456"/>
      <c r="BVG50" s="456"/>
      <c r="BVH50" s="456"/>
      <c r="BVI50" s="456"/>
      <c r="BVJ50" s="456"/>
      <c r="BVK50" s="456"/>
      <c r="BVL50" s="456"/>
      <c r="BVM50" s="456"/>
      <c r="BVN50" s="456"/>
      <c r="BVO50" s="456"/>
      <c r="BVP50" s="456"/>
      <c r="BVQ50" s="456"/>
      <c r="BVR50" s="456"/>
      <c r="BVS50" s="456"/>
      <c r="BVT50" s="456"/>
      <c r="BVU50" s="456"/>
      <c r="BVV50" s="456"/>
      <c r="BVW50" s="456"/>
      <c r="BVX50" s="456"/>
      <c r="BVY50" s="456"/>
      <c r="BVZ50" s="456"/>
      <c r="BWA50" s="456"/>
      <c r="BWB50" s="456"/>
      <c r="BWC50" s="456"/>
      <c r="BWD50" s="456"/>
      <c r="BWE50" s="456"/>
      <c r="BWF50" s="456"/>
      <c r="BWG50" s="456"/>
      <c r="BWH50" s="456"/>
      <c r="BWI50" s="456"/>
      <c r="BWJ50" s="456"/>
      <c r="BWK50" s="456"/>
      <c r="BWL50" s="456"/>
      <c r="BWM50" s="456"/>
      <c r="BWN50" s="456"/>
      <c r="BWO50" s="456"/>
      <c r="BWP50" s="456"/>
      <c r="BWQ50" s="456"/>
      <c r="BWR50" s="456"/>
      <c r="BWS50" s="456"/>
      <c r="BWT50" s="456"/>
      <c r="BWU50" s="456"/>
      <c r="BWV50" s="456"/>
      <c r="BWW50" s="456"/>
      <c r="BWX50" s="456"/>
      <c r="BWY50" s="456"/>
      <c r="BWZ50" s="456"/>
      <c r="BXA50" s="456"/>
      <c r="BXB50" s="456"/>
      <c r="BXC50" s="456"/>
      <c r="BXD50" s="456"/>
      <c r="BXE50" s="456"/>
      <c r="BXF50" s="456"/>
      <c r="BXG50" s="456"/>
      <c r="BXH50" s="456"/>
      <c r="BXI50" s="456"/>
      <c r="BXJ50" s="456"/>
      <c r="BXK50" s="456"/>
      <c r="BXL50" s="456"/>
      <c r="BXM50" s="456"/>
      <c r="BXN50" s="456"/>
      <c r="BXO50" s="456"/>
      <c r="BXP50" s="456"/>
      <c r="BXQ50" s="456"/>
      <c r="BXR50" s="456"/>
      <c r="BXS50" s="456"/>
      <c r="BXT50" s="456"/>
      <c r="BXU50" s="456"/>
      <c r="BXV50" s="456"/>
      <c r="BXW50" s="456"/>
      <c r="BXX50" s="456"/>
      <c r="BXY50" s="456"/>
      <c r="BXZ50" s="456"/>
    </row>
    <row r="51" s="25" customFormat="1" spans="1:1024 1025:2002">
      <c r="A51" s="473"/>
      <c r="B51" s="19">
        <v>1118</v>
      </c>
      <c r="C51" s="183">
        <v>46177</v>
      </c>
      <c r="D51" s="17" t="s">
        <v>35</v>
      </c>
      <c r="E51" s="17" t="s">
        <v>36</v>
      </c>
      <c r="F51" s="17" t="s">
        <v>37</v>
      </c>
      <c r="G51" s="17"/>
      <c r="H51" s="19">
        <v>1.2344</v>
      </c>
      <c r="I51" s="19"/>
      <c r="J51" s="17" t="s">
        <v>39</v>
      </c>
      <c r="K51" s="19">
        <v>402</v>
      </c>
      <c r="L51" s="91"/>
      <c r="M51" s="19">
        <v>5000</v>
      </c>
      <c r="N51" s="19" t="s">
        <v>40</v>
      </c>
      <c r="O51" s="19" t="s">
        <v>50</v>
      </c>
      <c r="P51" s="19">
        <v>30000</v>
      </c>
      <c r="Q51" s="19">
        <v>20200</v>
      </c>
      <c r="R51" s="19">
        <f t="shared" si="2"/>
        <v>9800</v>
      </c>
      <c r="S51" s="19">
        <v>2880</v>
      </c>
      <c r="T51" s="19" t="s">
        <v>42</v>
      </c>
      <c r="U51" s="102" t="s">
        <v>77</v>
      </c>
      <c r="V51" s="186">
        <v>46177</v>
      </c>
      <c r="W51" s="17" t="s">
        <v>44</v>
      </c>
      <c r="X51" s="17"/>
      <c r="Y51" s="68">
        <v>46327</v>
      </c>
      <c r="Z51" s="17" t="s">
        <v>78</v>
      </c>
      <c r="AA51" s="17" t="s">
        <v>46</v>
      </c>
      <c r="AB51" s="17"/>
      <c r="AC51" s="102"/>
      <c r="AD51" s="65">
        <v>1869</v>
      </c>
      <c r="AE51" s="17" t="s">
        <v>79</v>
      </c>
      <c r="AF51" s="17" t="s">
        <v>81</v>
      </c>
      <c r="AG51" s="17"/>
      <c r="AH51" s="456"/>
      <c r="AI51" s="456"/>
      <c r="AJ51" s="456"/>
      <c r="AK51" s="456"/>
      <c r="AL51" s="456"/>
      <c r="AM51" s="456"/>
      <c r="AN51" s="456"/>
      <c r="AO51" s="456"/>
      <c r="AP51" s="456"/>
      <c r="AQ51" s="456"/>
      <c r="AR51" s="456"/>
      <c r="AS51" s="456"/>
      <c r="AT51" s="456"/>
      <c r="AU51" s="456"/>
      <c r="AV51" s="456"/>
      <c r="AW51" s="456"/>
      <c r="AX51" s="456"/>
      <c r="AY51" s="456"/>
      <c r="AZ51" s="456"/>
      <c r="BA51" s="456"/>
      <c r="BB51" s="456"/>
      <c r="BC51" s="456"/>
      <c r="BD51" s="456"/>
      <c r="BE51" s="456"/>
      <c r="BF51" s="456"/>
      <c r="BG51" s="456"/>
      <c r="BH51" s="456"/>
      <c r="BI51" s="456"/>
      <c r="BJ51" s="456"/>
      <c r="BK51" s="456"/>
      <c r="BL51" s="456"/>
      <c r="BM51" s="456"/>
      <c r="BN51" s="456"/>
      <c r="BO51" s="456"/>
      <c r="BP51" s="456"/>
      <c r="BQ51" s="456"/>
      <c r="BR51" s="456"/>
      <c r="BS51" s="456"/>
      <c r="BT51" s="456"/>
      <c r="BU51" s="456"/>
      <c r="BV51" s="456"/>
      <c r="BW51" s="456"/>
      <c r="BX51" s="456"/>
      <c r="BY51" s="456"/>
      <c r="BZ51" s="456"/>
      <c r="CA51" s="456"/>
      <c r="CB51" s="456"/>
      <c r="CC51" s="456"/>
      <c r="CD51" s="456"/>
      <c r="CE51" s="456"/>
      <c r="CF51" s="456"/>
      <c r="CG51" s="456"/>
      <c r="CH51" s="456"/>
      <c r="CI51" s="456"/>
      <c r="CJ51" s="456"/>
      <c r="CK51" s="456"/>
      <c r="CL51" s="456"/>
      <c r="CM51" s="456"/>
      <c r="CN51" s="456"/>
      <c r="CO51" s="456"/>
      <c r="CP51" s="456"/>
      <c r="CQ51" s="456"/>
      <c r="CR51" s="456"/>
      <c r="CS51" s="456"/>
      <c r="CT51" s="456"/>
      <c r="CU51" s="456"/>
      <c r="CV51" s="456"/>
      <c r="CW51" s="456"/>
      <c r="CX51" s="456"/>
      <c r="CY51" s="456"/>
      <c r="CZ51" s="456"/>
      <c r="DA51" s="456"/>
      <c r="DB51" s="456"/>
      <c r="DC51" s="456"/>
      <c r="DD51" s="456"/>
      <c r="DE51" s="456"/>
      <c r="DF51" s="456"/>
      <c r="DG51" s="456"/>
      <c r="DH51" s="456"/>
      <c r="DI51" s="456"/>
      <c r="DJ51" s="456"/>
      <c r="DK51" s="456"/>
      <c r="DL51" s="456"/>
      <c r="DM51" s="456"/>
      <c r="DN51" s="456"/>
      <c r="DO51" s="456"/>
      <c r="DP51" s="456"/>
      <c r="DQ51" s="456"/>
      <c r="DR51" s="456"/>
      <c r="DS51" s="456"/>
      <c r="DT51" s="456"/>
      <c r="DU51" s="456"/>
      <c r="DV51" s="456"/>
      <c r="DW51" s="456"/>
      <c r="DX51" s="456"/>
      <c r="DY51" s="456"/>
      <c r="DZ51" s="456"/>
      <c r="EA51" s="456"/>
      <c r="EB51" s="456"/>
      <c r="EC51" s="456"/>
      <c r="ED51" s="456"/>
      <c r="EE51" s="456"/>
      <c r="EF51" s="456"/>
      <c r="EG51" s="456"/>
      <c r="EH51" s="456"/>
      <c r="EI51" s="456"/>
      <c r="EJ51" s="456"/>
      <c r="EK51" s="456"/>
      <c r="EL51" s="456"/>
      <c r="EM51" s="456"/>
      <c r="EN51" s="456"/>
      <c r="EO51" s="456"/>
      <c r="EP51" s="456"/>
      <c r="EQ51" s="456"/>
      <c r="ER51" s="456"/>
      <c r="ES51" s="456"/>
      <c r="ET51" s="456"/>
      <c r="EU51" s="456"/>
      <c r="EV51" s="456"/>
      <c r="EW51" s="456"/>
      <c r="EX51" s="456"/>
      <c r="EY51" s="456"/>
      <c r="EZ51" s="456"/>
      <c r="FA51" s="456"/>
      <c r="FB51" s="456"/>
      <c r="FC51" s="456"/>
      <c r="FD51" s="456"/>
      <c r="FE51" s="456"/>
      <c r="FF51" s="456"/>
      <c r="FG51" s="456"/>
      <c r="FH51" s="456"/>
      <c r="FI51" s="456"/>
      <c r="FJ51" s="456"/>
      <c r="FK51" s="456"/>
      <c r="FL51" s="456"/>
      <c r="FM51" s="456"/>
      <c r="FN51" s="456"/>
      <c r="FO51" s="456"/>
      <c r="FP51" s="456"/>
      <c r="FQ51" s="456"/>
      <c r="FR51" s="456"/>
      <c r="FS51" s="456"/>
      <c r="FT51" s="456"/>
      <c r="FU51" s="456"/>
      <c r="FV51" s="456"/>
      <c r="FW51" s="456"/>
      <c r="FX51" s="456"/>
      <c r="FY51" s="456"/>
      <c r="FZ51" s="456"/>
      <c r="GA51" s="456"/>
      <c r="GB51" s="456"/>
      <c r="GC51" s="456"/>
      <c r="GD51" s="456"/>
      <c r="GE51" s="456"/>
      <c r="GF51" s="456"/>
      <c r="GG51" s="456"/>
      <c r="GH51" s="456"/>
      <c r="GI51" s="456"/>
      <c r="GJ51" s="456"/>
      <c r="GK51" s="456"/>
      <c r="GL51" s="456"/>
      <c r="GM51" s="456"/>
      <c r="GN51" s="456"/>
      <c r="GO51" s="456"/>
      <c r="GP51" s="456"/>
      <c r="GQ51" s="456"/>
      <c r="GR51" s="456"/>
      <c r="GS51" s="456"/>
      <c r="GT51" s="456"/>
      <c r="GU51" s="456"/>
      <c r="GV51" s="456"/>
      <c r="GW51" s="456"/>
      <c r="GX51" s="456"/>
      <c r="GY51" s="456"/>
      <c r="GZ51" s="456"/>
      <c r="HA51" s="456"/>
      <c r="HB51" s="456"/>
      <c r="HC51" s="456"/>
      <c r="HD51" s="456"/>
      <c r="HE51" s="456"/>
      <c r="HF51" s="456"/>
      <c r="HG51" s="456"/>
      <c r="HH51" s="456"/>
      <c r="HI51" s="456"/>
      <c r="HJ51" s="456"/>
      <c r="HK51" s="456"/>
      <c r="HL51" s="456"/>
      <c r="HM51" s="456"/>
      <c r="HN51" s="456"/>
      <c r="HO51" s="456"/>
      <c r="HP51" s="456"/>
      <c r="HQ51" s="456"/>
      <c r="HR51" s="456"/>
      <c r="HS51" s="456"/>
      <c r="HT51" s="456"/>
      <c r="HU51" s="456"/>
      <c r="HV51" s="456"/>
      <c r="HW51" s="456"/>
      <c r="HX51" s="456"/>
      <c r="HY51" s="456"/>
      <c r="HZ51" s="456"/>
      <c r="IA51" s="456"/>
      <c r="IB51" s="456"/>
      <c r="IC51" s="456"/>
      <c r="ID51" s="456"/>
      <c r="IE51" s="456"/>
      <c r="IF51" s="456"/>
      <c r="IG51" s="456"/>
      <c r="IH51" s="456"/>
      <c r="II51" s="456"/>
      <c r="IJ51" s="456"/>
      <c r="IK51" s="456"/>
      <c r="IL51" s="456"/>
      <c r="IM51" s="456"/>
      <c r="IN51" s="456"/>
      <c r="IO51" s="456"/>
      <c r="IP51" s="456"/>
      <c r="IQ51" s="456"/>
      <c r="IR51" s="456"/>
      <c r="IS51" s="456"/>
      <c r="IT51" s="456"/>
      <c r="IU51" s="456"/>
      <c r="IV51" s="456"/>
      <c r="IW51" s="456"/>
      <c r="IX51" s="456"/>
      <c r="IY51" s="456"/>
      <c r="IZ51" s="456"/>
      <c r="JA51" s="456"/>
      <c r="JB51" s="456"/>
      <c r="JC51" s="456"/>
      <c r="JD51" s="456"/>
      <c r="JE51" s="456"/>
      <c r="JF51" s="456"/>
      <c r="JG51" s="456"/>
      <c r="JH51" s="456"/>
      <c r="JI51" s="456"/>
      <c r="JJ51" s="456"/>
      <c r="JK51" s="456"/>
      <c r="JL51" s="456"/>
      <c r="JM51" s="456"/>
      <c r="JN51" s="456"/>
      <c r="JO51" s="456"/>
      <c r="JP51" s="456"/>
      <c r="JQ51" s="456"/>
      <c r="JR51" s="456"/>
      <c r="JS51" s="456"/>
      <c r="JT51" s="456"/>
      <c r="JU51" s="456"/>
      <c r="JV51" s="456"/>
      <c r="JW51" s="456"/>
      <c r="JX51" s="456"/>
      <c r="JY51" s="456"/>
      <c r="JZ51" s="456"/>
      <c r="KA51" s="456"/>
      <c r="KB51" s="456"/>
      <c r="KC51" s="456"/>
      <c r="KD51" s="456"/>
      <c r="KE51" s="456"/>
      <c r="KF51" s="456"/>
      <c r="KG51" s="456"/>
      <c r="KH51" s="456"/>
      <c r="KI51" s="456"/>
      <c r="KJ51" s="456"/>
      <c r="KK51" s="456"/>
      <c r="KL51" s="456"/>
      <c r="KM51" s="456"/>
      <c r="KN51" s="456"/>
      <c r="KO51" s="456"/>
      <c r="KP51" s="456"/>
      <c r="KQ51" s="456"/>
      <c r="KR51" s="456"/>
      <c r="KS51" s="456"/>
      <c r="KT51" s="456"/>
      <c r="KU51" s="456"/>
      <c r="KV51" s="456"/>
      <c r="KW51" s="456"/>
      <c r="KX51" s="456"/>
      <c r="KY51" s="456"/>
      <c r="KZ51" s="456"/>
      <c r="LA51" s="456"/>
      <c r="LB51" s="456"/>
      <c r="LC51" s="456"/>
      <c r="LD51" s="456"/>
      <c r="LE51" s="456"/>
      <c r="LF51" s="456"/>
      <c r="LG51" s="456"/>
      <c r="LH51" s="456"/>
      <c r="LI51" s="456"/>
      <c r="LJ51" s="456"/>
      <c r="LK51" s="456"/>
      <c r="LL51" s="456"/>
      <c r="LM51" s="456"/>
      <c r="LN51" s="456"/>
      <c r="LO51" s="456"/>
      <c r="LP51" s="456"/>
      <c r="LQ51" s="456"/>
      <c r="LR51" s="456"/>
      <c r="LS51" s="456"/>
      <c r="LT51" s="456"/>
      <c r="LU51" s="456"/>
      <c r="LV51" s="456"/>
      <c r="LW51" s="456"/>
      <c r="LX51" s="456"/>
      <c r="LY51" s="456"/>
      <c r="LZ51" s="456"/>
      <c r="MA51" s="456"/>
      <c r="MB51" s="456"/>
      <c r="MC51" s="456"/>
      <c r="MD51" s="456"/>
      <c r="ME51" s="456"/>
      <c r="MF51" s="456"/>
      <c r="MG51" s="456"/>
      <c r="MH51" s="456"/>
      <c r="MI51" s="456"/>
      <c r="MJ51" s="456"/>
      <c r="MK51" s="456"/>
      <c r="ML51" s="456"/>
      <c r="MM51" s="456"/>
      <c r="MN51" s="456"/>
      <c r="MO51" s="456"/>
      <c r="MP51" s="456"/>
      <c r="MQ51" s="456"/>
      <c r="MR51" s="456"/>
      <c r="MS51" s="456"/>
      <c r="MT51" s="456"/>
      <c r="MU51" s="456"/>
      <c r="MV51" s="456"/>
      <c r="MW51" s="456"/>
      <c r="MX51" s="456"/>
      <c r="MY51" s="456"/>
      <c r="MZ51" s="456"/>
      <c r="NA51" s="456"/>
      <c r="NB51" s="456"/>
      <c r="NC51" s="456"/>
      <c r="ND51" s="456"/>
      <c r="NE51" s="456"/>
      <c r="NF51" s="456"/>
      <c r="NG51" s="456"/>
      <c r="NH51" s="456"/>
      <c r="NI51" s="456"/>
      <c r="NJ51" s="456"/>
      <c r="NK51" s="456"/>
      <c r="NL51" s="456"/>
      <c r="NM51" s="456"/>
      <c r="NN51" s="456"/>
      <c r="NO51" s="456"/>
      <c r="NP51" s="456"/>
      <c r="NQ51" s="456"/>
      <c r="NR51" s="456"/>
      <c r="NS51" s="456"/>
      <c r="NT51" s="456"/>
      <c r="NU51" s="456"/>
      <c r="NV51" s="456"/>
      <c r="NW51" s="456"/>
      <c r="NX51" s="456"/>
      <c r="NY51" s="456"/>
      <c r="NZ51" s="456"/>
      <c r="OA51" s="456"/>
      <c r="OB51" s="456"/>
      <c r="OC51" s="456"/>
      <c r="OD51" s="456"/>
      <c r="OE51" s="456"/>
      <c r="OF51" s="456"/>
      <c r="OG51" s="456"/>
      <c r="OH51" s="456"/>
      <c r="OI51" s="456"/>
      <c r="OJ51" s="456"/>
      <c r="OK51" s="456"/>
      <c r="OL51" s="456"/>
      <c r="OM51" s="456"/>
      <c r="ON51" s="456"/>
      <c r="OO51" s="456"/>
      <c r="OP51" s="456"/>
      <c r="OQ51" s="456"/>
      <c r="OR51" s="456"/>
      <c r="OS51" s="456"/>
      <c r="OT51" s="456"/>
      <c r="OU51" s="456"/>
      <c r="OV51" s="456"/>
      <c r="OW51" s="456"/>
      <c r="OX51" s="456"/>
      <c r="OY51" s="456"/>
      <c r="OZ51" s="456"/>
      <c r="PA51" s="456"/>
      <c r="PB51" s="456"/>
      <c r="PC51" s="456"/>
      <c r="PD51" s="456"/>
      <c r="PE51" s="456"/>
      <c r="PF51" s="456"/>
      <c r="PG51" s="456"/>
      <c r="PH51" s="456"/>
      <c r="PI51" s="456"/>
      <c r="PJ51" s="456"/>
      <c r="PK51" s="456"/>
      <c r="PL51" s="456"/>
      <c r="PM51" s="456"/>
      <c r="PN51" s="456"/>
      <c r="PO51" s="456"/>
      <c r="PP51" s="456"/>
      <c r="PQ51" s="456"/>
      <c r="PR51" s="456"/>
      <c r="PS51" s="456"/>
      <c r="PT51" s="456"/>
      <c r="PU51" s="456"/>
      <c r="PV51" s="456"/>
      <c r="PW51" s="456"/>
      <c r="PX51" s="456"/>
      <c r="PY51" s="456"/>
      <c r="PZ51" s="456"/>
      <c r="QA51" s="456"/>
      <c r="QB51" s="456"/>
      <c r="QC51" s="456"/>
      <c r="QD51" s="456"/>
      <c r="QE51" s="456"/>
      <c r="QF51" s="456"/>
      <c r="QG51" s="456"/>
      <c r="QH51" s="456"/>
      <c r="QI51" s="456"/>
      <c r="QJ51" s="456"/>
      <c r="QK51" s="456"/>
      <c r="QL51" s="456"/>
      <c r="QM51" s="456"/>
      <c r="QN51" s="456"/>
      <c r="QO51" s="456"/>
      <c r="QP51" s="456"/>
      <c r="QQ51" s="456"/>
      <c r="QR51" s="456"/>
      <c r="QS51" s="456"/>
      <c r="QT51" s="456"/>
      <c r="QU51" s="456"/>
      <c r="QV51" s="456"/>
      <c r="QW51" s="456"/>
      <c r="QX51" s="456"/>
      <c r="QY51" s="456"/>
      <c r="QZ51" s="456"/>
      <c r="RA51" s="456"/>
      <c r="RB51" s="456"/>
      <c r="RC51" s="456"/>
      <c r="RD51" s="456"/>
      <c r="RE51" s="456"/>
      <c r="RF51" s="456"/>
      <c r="RG51" s="456"/>
      <c r="RH51" s="456"/>
      <c r="RI51" s="456"/>
      <c r="RJ51" s="456"/>
      <c r="RK51" s="456"/>
      <c r="RL51" s="456"/>
      <c r="RM51" s="456"/>
      <c r="RN51" s="456"/>
      <c r="RO51" s="456"/>
      <c r="RP51" s="456"/>
      <c r="RQ51" s="456"/>
      <c r="RR51" s="456"/>
      <c r="RS51" s="456"/>
      <c r="RT51" s="456"/>
      <c r="RU51" s="456"/>
      <c r="RV51" s="456"/>
      <c r="RW51" s="456"/>
      <c r="RX51" s="456"/>
      <c r="RY51" s="456"/>
      <c r="RZ51" s="456"/>
      <c r="SA51" s="456"/>
      <c r="SB51" s="456"/>
      <c r="SC51" s="456"/>
      <c r="SD51" s="456"/>
      <c r="SE51" s="456"/>
      <c r="SF51" s="456"/>
      <c r="SG51" s="456"/>
      <c r="SH51" s="456"/>
      <c r="SI51" s="456"/>
      <c r="SJ51" s="456"/>
      <c r="SK51" s="456"/>
      <c r="SL51" s="456"/>
      <c r="SM51" s="456"/>
      <c r="SN51" s="456"/>
      <c r="SO51" s="456"/>
      <c r="SP51" s="456"/>
      <c r="SQ51" s="456"/>
      <c r="SR51" s="456"/>
      <c r="SS51" s="456"/>
      <c r="ST51" s="456"/>
      <c r="SU51" s="456"/>
      <c r="SV51" s="456"/>
      <c r="SW51" s="456"/>
      <c r="SX51" s="456"/>
      <c r="SY51" s="456"/>
      <c r="SZ51" s="456"/>
      <c r="TA51" s="456"/>
      <c r="TB51" s="456"/>
      <c r="TC51" s="456"/>
      <c r="TD51" s="456"/>
      <c r="TE51" s="456"/>
      <c r="TF51" s="456"/>
      <c r="TG51" s="456"/>
      <c r="TH51" s="456"/>
      <c r="TI51" s="456"/>
      <c r="TJ51" s="456"/>
      <c r="TK51" s="456"/>
      <c r="TL51" s="456"/>
      <c r="TM51" s="456"/>
      <c r="TN51" s="456"/>
      <c r="TO51" s="456"/>
      <c r="TP51" s="456"/>
      <c r="TQ51" s="456"/>
      <c r="TR51" s="456"/>
      <c r="TS51" s="456"/>
      <c r="TT51" s="456"/>
      <c r="TU51" s="456"/>
      <c r="TV51" s="456"/>
      <c r="TW51" s="456"/>
      <c r="TX51" s="456"/>
      <c r="TY51" s="456"/>
      <c r="TZ51" s="456"/>
      <c r="UA51" s="456"/>
      <c r="UB51" s="456"/>
      <c r="UC51" s="456"/>
      <c r="UD51" s="456"/>
      <c r="UE51" s="456"/>
      <c r="UF51" s="456"/>
      <c r="UG51" s="456"/>
      <c r="UH51" s="456"/>
      <c r="UI51" s="456"/>
      <c r="UJ51" s="456"/>
      <c r="UK51" s="456"/>
      <c r="UL51" s="456"/>
      <c r="UM51" s="456"/>
      <c r="UN51" s="456"/>
      <c r="UO51" s="456"/>
      <c r="UP51" s="456"/>
      <c r="UQ51" s="456"/>
      <c r="UR51" s="456"/>
      <c r="US51" s="456"/>
      <c r="UT51" s="456"/>
      <c r="UU51" s="456"/>
      <c r="UV51" s="456"/>
      <c r="UW51" s="456"/>
      <c r="UX51" s="456"/>
      <c r="UY51" s="456"/>
      <c r="UZ51" s="456"/>
      <c r="VA51" s="456"/>
      <c r="VB51" s="456"/>
      <c r="VC51" s="456"/>
      <c r="VD51" s="456"/>
      <c r="VE51" s="456"/>
      <c r="VF51" s="456"/>
      <c r="VG51" s="456"/>
      <c r="VH51" s="456"/>
      <c r="VI51" s="456"/>
      <c r="VJ51" s="456"/>
      <c r="VK51" s="456"/>
      <c r="VL51" s="456"/>
      <c r="VM51" s="456"/>
      <c r="VN51" s="456"/>
      <c r="VO51" s="456"/>
      <c r="VP51" s="456"/>
      <c r="VQ51" s="456"/>
      <c r="VR51" s="456"/>
      <c r="VS51" s="456"/>
      <c r="VT51" s="456"/>
      <c r="VU51" s="456"/>
      <c r="VV51" s="456"/>
      <c r="VW51" s="456"/>
      <c r="VX51" s="456"/>
      <c r="VY51" s="456"/>
      <c r="VZ51" s="456"/>
      <c r="WA51" s="456"/>
      <c r="WB51" s="456"/>
      <c r="WC51" s="456"/>
      <c r="WD51" s="456"/>
      <c r="WE51" s="456"/>
      <c r="WF51" s="456"/>
      <c r="WG51" s="456"/>
      <c r="WH51" s="456"/>
      <c r="WI51" s="456"/>
      <c r="WJ51" s="456"/>
      <c r="WK51" s="456"/>
      <c r="WL51" s="456"/>
      <c r="WM51" s="456"/>
      <c r="WN51" s="456"/>
      <c r="WO51" s="456"/>
      <c r="WP51" s="456"/>
      <c r="WQ51" s="456"/>
      <c r="WR51" s="456"/>
      <c r="WS51" s="456"/>
      <c r="WT51" s="456"/>
      <c r="WU51" s="456"/>
      <c r="WV51" s="456"/>
      <c r="WW51" s="456"/>
      <c r="WX51" s="456"/>
      <c r="WY51" s="456"/>
      <c r="WZ51" s="456"/>
      <c r="XA51" s="456"/>
      <c r="XB51" s="456"/>
      <c r="XC51" s="456"/>
      <c r="XD51" s="456"/>
      <c r="XE51" s="456"/>
      <c r="XF51" s="456"/>
      <c r="XG51" s="456"/>
      <c r="XH51" s="456"/>
      <c r="XI51" s="456"/>
      <c r="XJ51" s="456"/>
      <c r="XK51" s="456"/>
      <c r="XL51" s="456"/>
      <c r="XM51" s="456"/>
      <c r="XN51" s="456"/>
      <c r="XO51" s="456"/>
      <c r="XP51" s="456"/>
      <c r="XQ51" s="456"/>
      <c r="XR51" s="456"/>
      <c r="XS51" s="456"/>
      <c r="XT51" s="456"/>
      <c r="XU51" s="456"/>
      <c r="XV51" s="456"/>
      <c r="XW51" s="456"/>
      <c r="XX51" s="456"/>
      <c r="XY51" s="456"/>
      <c r="XZ51" s="456"/>
      <c r="YA51" s="456"/>
      <c r="YB51" s="456"/>
      <c r="YC51" s="456"/>
      <c r="YD51" s="456"/>
      <c r="YE51" s="456"/>
      <c r="YF51" s="456"/>
      <c r="YG51" s="456"/>
      <c r="YH51" s="456"/>
      <c r="YI51" s="456"/>
      <c r="YJ51" s="456"/>
      <c r="YK51" s="456"/>
      <c r="YL51" s="456"/>
      <c r="YM51" s="456"/>
      <c r="YN51" s="456"/>
      <c r="YO51" s="456"/>
      <c r="YP51" s="456"/>
      <c r="YQ51" s="456"/>
      <c r="YR51" s="456"/>
      <c r="YS51" s="456"/>
      <c r="YT51" s="456"/>
      <c r="YU51" s="456"/>
      <c r="YV51" s="456"/>
      <c r="YW51" s="456"/>
      <c r="YX51" s="456"/>
      <c r="YY51" s="456"/>
      <c r="YZ51" s="456"/>
      <c r="ZA51" s="456"/>
      <c r="ZB51" s="456"/>
      <c r="ZC51" s="456"/>
      <c r="ZD51" s="456"/>
      <c r="ZE51" s="456"/>
      <c r="ZF51" s="456"/>
      <c r="ZG51" s="456"/>
      <c r="ZH51" s="456"/>
      <c r="ZI51" s="456"/>
      <c r="ZJ51" s="456"/>
      <c r="ZK51" s="456"/>
      <c r="ZL51" s="456"/>
      <c r="ZM51" s="456"/>
      <c r="ZN51" s="456"/>
      <c r="ZO51" s="456"/>
      <c r="ZP51" s="456"/>
      <c r="ZQ51" s="456"/>
      <c r="ZR51" s="456"/>
      <c r="ZS51" s="456"/>
      <c r="ZT51" s="456"/>
      <c r="ZU51" s="456"/>
      <c r="ZV51" s="456"/>
      <c r="ZW51" s="456"/>
      <c r="ZX51" s="456"/>
      <c r="ZY51" s="456"/>
      <c r="ZZ51" s="456"/>
      <c r="AAA51" s="456"/>
      <c r="AAB51" s="456"/>
      <c r="AAC51" s="456"/>
      <c r="AAD51" s="456"/>
      <c r="AAE51" s="456"/>
      <c r="AAF51" s="456"/>
      <c r="AAG51" s="456"/>
      <c r="AAH51" s="456"/>
      <c r="AAI51" s="456"/>
      <c r="AAJ51" s="456"/>
      <c r="AAK51" s="456"/>
      <c r="AAL51" s="456"/>
      <c r="AAM51" s="456"/>
      <c r="AAN51" s="456"/>
      <c r="AAO51" s="456"/>
      <c r="AAP51" s="456"/>
      <c r="AAQ51" s="456"/>
      <c r="AAR51" s="456"/>
      <c r="AAS51" s="456"/>
      <c r="AAT51" s="456"/>
      <c r="AAU51" s="456"/>
      <c r="AAV51" s="456"/>
      <c r="AAW51" s="456"/>
      <c r="AAX51" s="456"/>
      <c r="AAY51" s="456"/>
      <c r="AAZ51" s="456"/>
      <c r="ABA51" s="456"/>
      <c r="ABB51" s="456"/>
      <c r="ABC51" s="456"/>
      <c r="ABD51" s="456"/>
      <c r="ABE51" s="456"/>
      <c r="ABF51" s="456"/>
      <c r="ABG51" s="456"/>
      <c r="ABH51" s="456"/>
      <c r="ABI51" s="456"/>
      <c r="ABJ51" s="456"/>
      <c r="ABK51" s="456"/>
      <c r="ABL51" s="456"/>
      <c r="ABM51" s="456"/>
      <c r="ABN51" s="456"/>
      <c r="ABO51" s="456"/>
      <c r="ABP51" s="456"/>
      <c r="ABQ51" s="456"/>
      <c r="ABR51" s="456"/>
      <c r="ABS51" s="456"/>
      <c r="ABT51" s="456"/>
      <c r="ABU51" s="456"/>
      <c r="ABV51" s="456"/>
      <c r="ABW51" s="456"/>
      <c r="ABX51" s="456"/>
      <c r="ABY51" s="456"/>
      <c r="ABZ51" s="456"/>
      <c r="ACA51" s="456"/>
      <c r="ACB51" s="456"/>
      <c r="ACC51" s="456"/>
      <c r="ACD51" s="456"/>
      <c r="ACE51" s="456"/>
      <c r="ACF51" s="456"/>
      <c r="ACG51" s="456"/>
      <c r="ACH51" s="456"/>
      <c r="ACI51" s="456"/>
      <c r="ACJ51" s="456"/>
      <c r="ACK51" s="456"/>
      <c r="ACL51" s="456"/>
      <c r="ACM51" s="456"/>
      <c r="ACN51" s="456"/>
      <c r="ACO51" s="456"/>
      <c r="ACP51" s="456"/>
      <c r="ACQ51" s="456"/>
      <c r="ACR51" s="456"/>
      <c r="ACS51" s="456"/>
      <c r="ACT51" s="456"/>
      <c r="ACU51" s="456"/>
      <c r="ACV51" s="456"/>
      <c r="ACW51" s="456"/>
      <c r="ACX51" s="456"/>
      <c r="ACY51" s="456"/>
      <c r="ACZ51" s="456"/>
      <c r="ADA51" s="456"/>
      <c r="ADB51" s="456"/>
      <c r="ADC51" s="456"/>
      <c r="ADD51" s="456"/>
      <c r="ADE51" s="456"/>
      <c r="ADF51" s="456"/>
      <c r="ADG51" s="456"/>
      <c r="ADH51" s="456"/>
      <c r="ADI51" s="456"/>
      <c r="ADJ51" s="456"/>
      <c r="ADK51" s="456"/>
      <c r="ADL51" s="456"/>
      <c r="ADM51" s="456"/>
      <c r="ADN51" s="456"/>
      <c r="ADO51" s="456"/>
      <c r="ADP51" s="456"/>
      <c r="ADQ51" s="456"/>
      <c r="ADR51" s="456"/>
      <c r="ADS51" s="456"/>
      <c r="ADT51" s="456"/>
      <c r="ADU51" s="456"/>
      <c r="ADV51" s="456"/>
      <c r="ADW51" s="456"/>
      <c r="ADX51" s="456"/>
      <c r="ADY51" s="456"/>
      <c r="ADZ51" s="456"/>
      <c r="AEA51" s="456"/>
      <c r="AEB51" s="456"/>
      <c r="AEC51" s="456"/>
      <c r="AED51" s="456"/>
      <c r="AEE51" s="456"/>
      <c r="AEF51" s="456"/>
      <c r="AEG51" s="456"/>
      <c r="AEH51" s="456"/>
      <c r="AEI51" s="456"/>
      <c r="AEJ51" s="456"/>
      <c r="AEK51" s="456"/>
      <c r="AEL51" s="456"/>
      <c r="AEM51" s="456"/>
      <c r="AEN51" s="456"/>
      <c r="AEO51" s="456"/>
      <c r="AEP51" s="456"/>
      <c r="AEQ51" s="456"/>
      <c r="AER51" s="456"/>
      <c r="AES51" s="456"/>
      <c r="AET51" s="456"/>
      <c r="AEU51" s="456"/>
      <c r="AEV51" s="456"/>
      <c r="AEW51" s="456"/>
      <c r="AEX51" s="456"/>
      <c r="AEY51" s="456"/>
      <c r="AEZ51" s="456"/>
      <c r="AFA51" s="456"/>
      <c r="AFB51" s="456"/>
      <c r="AFC51" s="456"/>
      <c r="AFD51" s="456"/>
      <c r="AFE51" s="456"/>
      <c r="AFF51" s="456"/>
      <c r="AFG51" s="456"/>
      <c r="AFH51" s="456"/>
      <c r="AFI51" s="456"/>
      <c r="AFJ51" s="456"/>
      <c r="AFK51" s="456"/>
      <c r="AFL51" s="456"/>
      <c r="AFM51" s="456"/>
      <c r="AFN51" s="456"/>
      <c r="AFO51" s="456"/>
      <c r="AFP51" s="456"/>
      <c r="AFQ51" s="456"/>
      <c r="AFR51" s="456"/>
      <c r="AFS51" s="456"/>
      <c r="AFT51" s="456"/>
      <c r="AFU51" s="456"/>
      <c r="AFV51" s="456"/>
      <c r="AFW51" s="456"/>
      <c r="AFX51" s="456"/>
      <c r="AFY51" s="456"/>
      <c r="AFZ51" s="456"/>
      <c r="AGA51" s="456"/>
      <c r="AGB51" s="456"/>
      <c r="AGC51" s="456"/>
      <c r="AGD51" s="456"/>
      <c r="AGE51" s="456"/>
      <c r="AGF51" s="456"/>
      <c r="AGG51" s="456"/>
      <c r="AGH51" s="456"/>
      <c r="AGI51" s="456"/>
      <c r="AGJ51" s="456"/>
      <c r="AGK51" s="456"/>
      <c r="AGL51" s="456"/>
      <c r="AGM51" s="456"/>
      <c r="AGN51" s="456"/>
      <c r="AGO51" s="456"/>
      <c r="AGP51" s="456"/>
      <c r="AGQ51" s="456"/>
      <c r="AGR51" s="456"/>
      <c r="AGS51" s="456"/>
      <c r="AGT51" s="456"/>
      <c r="AGU51" s="456"/>
      <c r="AGV51" s="456"/>
      <c r="AGW51" s="456"/>
      <c r="AGX51" s="456"/>
      <c r="AGY51" s="456"/>
      <c r="AGZ51" s="456"/>
      <c r="AHA51" s="456"/>
      <c r="AHB51" s="456"/>
      <c r="AHC51" s="456"/>
      <c r="AHD51" s="456"/>
      <c r="AHE51" s="456"/>
      <c r="AHF51" s="456"/>
      <c r="AHG51" s="456"/>
      <c r="AHH51" s="456"/>
      <c r="AHI51" s="456"/>
      <c r="AHJ51" s="456"/>
      <c r="AHK51" s="456"/>
      <c r="AHL51" s="456"/>
      <c r="AHM51" s="456"/>
      <c r="AHN51" s="456"/>
      <c r="AHO51" s="456"/>
      <c r="AHP51" s="456"/>
      <c r="AHQ51" s="456"/>
      <c r="AHR51" s="456"/>
      <c r="AHS51" s="456"/>
      <c r="AHT51" s="456"/>
      <c r="AHU51" s="456"/>
      <c r="AHV51" s="456"/>
      <c r="AHW51" s="456"/>
      <c r="AHX51" s="456"/>
      <c r="AHY51" s="456"/>
      <c r="AHZ51" s="456"/>
      <c r="AIA51" s="456"/>
      <c r="AIB51" s="456"/>
      <c r="AIC51" s="456"/>
      <c r="AID51" s="456"/>
      <c r="AIE51" s="456"/>
      <c r="AIF51" s="456"/>
      <c r="AIG51" s="456"/>
      <c r="AIH51" s="456"/>
      <c r="AII51" s="456"/>
      <c r="AIJ51" s="456"/>
      <c r="AIK51" s="456"/>
      <c r="AIL51" s="456"/>
      <c r="AIM51" s="456"/>
      <c r="AIN51" s="456"/>
      <c r="AIO51" s="456"/>
      <c r="AIP51" s="456"/>
      <c r="AIQ51" s="456"/>
      <c r="AIR51" s="456"/>
      <c r="AIS51" s="456"/>
      <c r="AIT51" s="456"/>
      <c r="AIU51" s="456"/>
      <c r="AIV51" s="456"/>
      <c r="AIW51" s="456"/>
      <c r="AIX51" s="456"/>
      <c r="AIY51" s="456"/>
      <c r="AIZ51" s="456"/>
      <c r="AJA51" s="456"/>
      <c r="AJB51" s="456"/>
      <c r="AJC51" s="456"/>
      <c r="AJD51" s="456"/>
      <c r="AJE51" s="456"/>
      <c r="AJF51" s="456"/>
      <c r="AJG51" s="456"/>
      <c r="AJH51" s="456"/>
      <c r="AJI51" s="456"/>
      <c r="AJJ51" s="456"/>
      <c r="AJK51" s="456"/>
      <c r="AJL51" s="456"/>
      <c r="AJM51" s="456"/>
      <c r="AJN51" s="456"/>
      <c r="AJO51" s="456"/>
      <c r="AJP51" s="456"/>
      <c r="AJQ51" s="456"/>
      <c r="AJR51" s="456"/>
      <c r="AJS51" s="456"/>
      <c r="AJT51" s="456"/>
      <c r="AJU51" s="456"/>
      <c r="AJV51" s="456"/>
      <c r="AJW51" s="456"/>
      <c r="AJX51" s="456"/>
      <c r="AJY51" s="456"/>
      <c r="AJZ51" s="456"/>
      <c r="AKA51" s="456"/>
      <c r="AKB51" s="456"/>
      <c r="AKC51" s="456"/>
      <c r="AKD51" s="456"/>
      <c r="AKE51" s="456"/>
      <c r="AKF51" s="456"/>
      <c r="AKG51" s="456"/>
      <c r="AKH51" s="456"/>
      <c r="AKI51" s="456"/>
      <c r="AKJ51" s="456"/>
      <c r="AKK51" s="456"/>
      <c r="AKL51" s="456"/>
      <c r="AKM51" s="456"/>
      <c r="AKN51" s="456"/>
      <c r="AKO51" s="456"/>
      <c r="AKP51" s="456"/>
      <c r="AKQ51" s="456"/>
      <c r="AKR51" s="456"/>
      <c r="AKS51" s="456"/>
      <c r="AKT51" s="456"/>
      <c r="AKU51" s="456"/>
      <c r="AKV51" s="456"/>
      <c r="AKW51" s="456"/>
      <c r="AKX51" s="456"/>
      <c r="AKY51" s="456"/>
      <c r="AKZ51" s="456"/>
      <c r="ALA51" s="456"/>
      <c r="ALB51" s="456"/>
      <c r="ALC51" s="456"/>
      <c r="ALD51" s="456"/>
      <c r="ALE51" s="456"/>
      <c r="ALF51" s="456"/>
      <c r="ALG51" s="456"/>
      <c r="ALH51" s="456"/>
      <c r="ALI51" s="456"/>
      <c r="ALJ51" s="456"/>
      <c r="ALK51" s="456"/>
      <c r="ALL51" s="456"/>
      <c r="ALM51" s="456"/>
      <c r="ALN51" s="456"/>
      <c r="ALO51" s="456"/>
      <c r="ALP51" s="456"/>
      <c r="ALQ51" s="456"/>
      <c r="ALR51" s="456"/>
      <c r="ALS51" s="456"/>
      <c r="ALT51" s="456"/>
      <c r="ALU51" s="456"/>
      <c r="ALV51" s="456"/>
      <c r="ALW51" s="456"/>
      <c r="ALX51" s="456"/>
      <c r="ALY51" s="456"/>
      <c r="ALZ51" s="456"/>
      <c r="AMA51" s="456"/>
      <c r="AMB51" s="456"/>
      <c r="AMC51" s="456"/>
      <c r="AMD51" s="456"/>
      <c r="AME51" s="456"/>
      <c r="AMF51" s="456"/>
      <c r="AMG51" s="456"/>
      <c r="AMH51" s="456"/>
      <c r="AMI51" s="456"/>
      <c r="AMJ51" s="456"/>
      <c r="AMK51" s="456"/>
      <c r="AML51" s="456"/>
      <c r="AMM51" s="456"/>
      <c r="AMN51" s="456"/>
      <c r="AMO51" s="456"/>
      <c r="AMP51" s="456"/>
      <c r="AMQ51" s="456"/>
      <c r="AMR51" s="456"/>
      <c r="AMS51" s="456"/>
      <c r="AMT51" s="456"/>
      <c r="AMU51" s="456"/>
      <c r="AMV51" s="456"/>
      <c r="AMW51" s="456"/>
      <c r="AMX51" s="456"/>
      <c r="AMY51" s="456"/>
      <c r="AMZ51" s="456"/>
      <c r="ANA51" s="456"/>
      <c r="ANB51" s="456"/>
      <c r="ANC51" s="456"/>
      <c r="AND51" s="456"/>
      <c r="ANE51" s="456"/>
      <c r="ANF51" s="456"/>
      <c r="ANG51" s="456"/>
      <c r="ANH51" s="456"/>
      <c r="ANI51" s="456"/>
      <c r="ANJ51" s="456"/>
      <c r="ANK51" s="456"/>
      <c r="ANL51" s="456"/>
      <c r="ANM51" s="456"/>
      <c r="ANN51" s="456"/>
      <c r="ANO51" s="456"/>
      <c r="ANP51" s="456"/>
      <c r="ANQ51" s="456"/>
      <c r="ANR51" s="456"/>
      <c r="ANS51" s="456"/>
      <c r="ANT51" s="456"/>
      <c r="ANU51" s="456"/>
      <c r="ANV51" s="456"/>
      <c r="ANW51" s="456"/>
      <c r="ANX51" s="456"/>
      <c r="ANY51" s="456"/>
      <c r="ANZ51" s="456"/>
      <c r="AOA51" s="456"/>
      <c r="AOB51" s="456"/>
      <c r="AOC51" s="456"/>
      <c r="AOD51" s="456"/>
      <c r="AOE51" s="456"/>
      <c r="AOF51" s="456"/>
      <c r="AOG51" s="456"/>
      <c r="AOH51" s="456"/>
      <c r="AOI51" s="456"/>
      <c r="AOJ51" s="456"/>
      <c r="AOK51" s="456"/>
      <c r="AOL51" s="456"/>
      <c r="AOM51" s="456"/>
      <c r="AON51" s="456"/>
      <c r="AOO51" s="456"/>
      <c r="AOP51" s="456"/>
      <c r="AOQ51" s="456"/>
      <c r="AOR51" s="456"/>
      <c r="AOS51" s="456"/>
      <c r="AOT51" s="456"/>
      <c r="AOU51" s="456"/>
      <c r="AOV51" s="456"/>
      <c r="AOW51" s="456"/>
      <c r="AOX51" s="456"/>
      <c r="AOY51" s="456"/>
      <c r="AOZ51" s="456"/>
      <c r="APA51" s="456"/>
      <c r="APB51" s="456"/>
      <c r="APC51" s="456"/>
      <c r="APD51" s="456"/>
      <c r="APE51" s="456"/>
      <c r="APF51" s="456"/>
      <c r="APG51" s="456"/>
      <c r="APH51" s="456"/>
      <c r="API51" s="456"/>
      <c r="APJ51" s="456"/>
      <c r="APK51" s="456"/>
      <c r="APL51" s="456"/>
      <c r="APM51" s="456"/>
      <c r="APN51" s="456"/>
      <c r="APO51" s="456"/>
      <c r="APP51" s="456"/>
      <c r="APQ51" s="456"/>
      <c r="APR51" s="456"/>
      <c r="APS51" s="456"/>
      <c r="APT51" s="456"/>
      <c r="APU51" s="456"/>
      <c r="APV51" s="456"/>
      <c r="APW51" s="456"/>
      <c r="APX51" s="456"/>
      <c r="APY51" s="456"/>
      <c r="APZ51" s="456"/>
      <c r="AQA51" s="456"/>
      <c r="AQB51" s="456"/>
      <c r="AQC51" s="456"/>
      <c r="AQD51" s="456"/>
      <c r="AQE51" s="456"/>
      <c r="AQF51" s="456"/>
      <c r="AQG51" s="456"/>
      <c r="AQH51" s="456"/>
      <c r="AQI51" s="456"/>
      <c r="AQJ51" s="456"/>
      <c r="AQK51" s="456"/>
      <c r="AQL51" s="456"/>
      <c r="AQM51" s="456"/>
      <c r="AQN51" s="456"/>
      <c r="AQO51" s="456"/>
      <c r="AQP51" s="456"/>
      <c r="AQQ51" s="456"/>
      <c r="AQR51" s="456"/>
      <c r="AQS51" s="456"/>
      <c r="AQT51" s="456"/>
      <c r="AQU51" s="456"/>
      <c r="AQV51" s="456"/>
      <c r="AQW51" s="456"/>
      <c r="AQX51" s="456"/>
      <c r="AQY51" s="456"/>
      <c r="AQZ51" s="456"/>
      <c r="ARA51" s="456"/>
      <c r="ARB51" s="456"/>
      <c r="ARC51" s="456"/>
      <c r="ARD51" s="456"/>
      <c r="ARE51" s="456"/>
      <c r="ARF51" s="456"/>
      <c r="ARG51" s="456"/>
      <c r="ARH51" s="456"/>
      <c r="ARI51" s="456"/>
      <c r="ARJ51" s="456"/>
      <c r="ARK51" s="456"/>
      <c r="ARL51" s="456"/>
      <c r="ARM51" s="456"/>
      <c r="ARN51" s="456"/>
      <c r="ARO51" s="456"/>
      <c r="ARP51" s="456"/>
      <c r="ARQ51" s="456"/>
      <c r="ARR51" s="456"/>
      <c r="ARS51" s="456"/>
      <c r="ART51" s="456"/>
      <c r="ARU51" s="456"/>
      <c r="ARV51" s="456"/>
      <c r="ARW51" s="456"/>
      <c r="ARX51" s="456"/>
      <c r="ARY51" s="456"/>
      <c r="ARZ51" s="456"/>
      <c r="ASA51" s="456"/>
      <c r="ASB51" s="456"/>
      <c r="ASC51" s="456"/>
      <c r="ASD51" s="456"/>
      <c r="ASE51" s="456"/>
      <c r="ASF51" s="456"/>
      <c r="ASG51" s="456"/>
      <c r="ASH51" s="456"/>
      <c r="ASI51" s="456"/>
      <c r="ASJ51" s="456"/>
      <c r="ASK51" s="456"/>
      <c r="ASL51" s="456"/>
      <c r="ASM51" s="456"/>
      <c r="ASN51" s="456"/>
      <c r="ASO51" s="456"/>
      <c r="ASP51" s="456"/>
      <c r="ASQ51" s="456"/>
      <c r="ASR51" s="456"/>
      <c r="ASS51" s="456"/>
      <c r="AST51" s="456"/>
      <c r="ASU51" s="456"/>
      <c r="ASV51" s="456"/>
      <c r="ASW51" s="456"/>
      <c r="ASX51" s="456"/>
      <c r="ASY51" s="456"/>
      <c r="ASZ51" s="456"/>
      <c r="ATA51" s="456"/>
      <c r="ATB51" s="456"/>
      <c r="ATC51" s="456"/>
      <c r="ATD51" s="456"/>
      <c r="ATE51" s="456"/>
      <c r="ATF51" s="456"/>
      <c r="ATG51" s="456"/>
      <c r="ATH51" s="456"/>
      <c r="ATI51" s="456"/>
      <c r="ATJ51" s="456"/>
      <c r="ATK51" s="456"/>
      <c r="ATL51" s="456"/>
      <c r="ATM51" s="456"/>
      <c r="ATN51" s="456"/>
      <c r="ATO51" s="456"/>
      <c r="ATP51" s="456"/>
      <c r="ATQ51" s="456"/>
      <c r="ATR51" s="456"/>
      <c r="ATS51" s="456"/>
      <c r="ATT51" s="456"/>
      <c r="ATU51" s="456"/>
      <c r="ATV51" s="456"/>
      <c r="ATW51" s="456"/>
      <c r="ATX51" s="456"/>
      <c r="ATY51" s="456"/>
      <c r="ATZ51" s="456"/>
      <c r="AUA51" s="456"/>
      <c r="AUB51" s="456"/>
      <c r="AUC51" s="456"/>
      <c r="AUD51" s="456"/>
      <c r="AUE51" s="456"/>
      <c r="AUF51" s="456"/>
      <c r="AUG51" s="456"/>
      <c r="AUH51" s="456"/>
      <c r="AUI51" s="456"/>
      <c r="AUJ51" s="456"/>
      <c r="AUK51" s="456"/>
      <c r="AUL51" s="456"/>
      <c r="AUM51" s="456"/>
      <c r="AUN51" s="456"/>
      <c r="AUO51" s="456"/>
      <c r="AUP51" s="456"/>
      <c r="AUQ51" s="456"/>
      <c r="AUR51" s="456"/>
      <c r="AUS51" s="456"/>
      <c r="AUT51" s="456"/>
      <c r="AUU51" s="456"/>
      <c r="AUV51" s="456"/>
      <c r="AUW51" s="456"/>
      <c r="AUX51" s="456"/>
      <c r="AUY51" s="456"/>
      <c r="AUZ51" s="456"/>
      <c r="AVA51" s="456"/>
      <c r="AVB51" s="456"/>
      <c r="AVC51" s="456"/>
      <c r="AVD51" s="456"/>
      <c r="AVE51" s="456"/>
      <c r="AVF51" s="456"/>
      <c r="AVG51" s="456"/>
      <c r="AVH51" s="456"/>
      <c r="AVI51" s="456"/>
      <c r="AVJ51" s="456"/>
      <c r="AVK51" s="456"/>
      <c r="AVL51" s="456"/>
      <c r="AVM51" s="456"/>
      <c r="AVN51" s="456"/>
      <c r="AVO51" s="456"/>
      <c r="AVP51" s="456"/>
      <c r="AVQ51" s="456"/>
      <c r="AVR51" s="456"/>
      <c r="AVS51" s="456"/>
      <c r="AVT51" s="456"/>
      <c r="AVU51" s="456"/>
      <c r="AVV51" s="456"/>
      <c r="AVW51" s="456"/>
      <c r="AVX51" s="456"/>
      <c r="AVY51" s="456"/>
      <c r="AVZ51" s="456"/>
      <c r="AWA51" s="456"/>
      <c r="AWB51" s="456"/>
      <c r="AWC51" s="456"/>
      <c r="AWD51" s="456"/>
      <c r="AWE51" s="456"/>
      <c r="AWF51" s="456"/>
      <c r="AWG51" s="456"/>
      <c r="AWH51" s="456"/>
      <c r="AWI51" s="456"/>
      <c r="AWJ51" s="456"/>
      <c r="AWK51" s="456"/>
      <c r="AWL51" s="456"/>
      <c r="AWM51" s="456"/>
      <c r="AWN51" s="456"/>
      <c r="AWO51" s="456"/>
      <c r="AWP51" s="456"/>
      <c r="AWQ51" s="456"/>
      <c r="AWR51" s="456"/>
      <c r="AWS51" s="456"/>
      <c r="AWT51" s="456"/>
      <c r="AWU51" s="456"/>
      <c r="AWV51" s="456"/>
      <c r="AWW51" s="456"/>
      <c r="AWX51" s="456"/>
      <c r="AWY51" s="456"/>
      <c r="AWZ51" s="456"/>
      <c r="AXA51" s="456"/>
      <c r="AXB51" s="456"/>
      <c r="AXC51" s="456"/>
      <c r="AXD51" s="456"/>
      <c r="AXE51" s="456"/>
      <c r="AXF51" s="456"/>
      <c r="AXG51" s="456"/>
      <c r="AXH51" s="456"/>
      <c r="AXI51" s="456"/>
      <c r="AXJ51" s="456"/>
      <c r="AXK51" s="456"/>
      <c r="AXL51" s="456"/>
      <c r="AXM51" s="456"/>
      <c r="AXN51" s="456"/>
      <c r="AXO51" s="456"/>
      <c r="AXP51" s="456"/>
      <c r="AXQ51" s="456"/>
      <c r="AXR51" s="456"/>
      <c r="AXS51" s="456"/>
      <c r="AXT51" s="456"/>
      <c r="AXU51" s="456"/>
      <c r="AXV51" s="456"/>
      <c r="AXW51" s="456"/>
      <c r="AXX51" s="456"/>
      <c r="AXY51" s="456"/>
      <c r="AXZ51" s="456"/>
      <c r="AYA51" s="456"/>
      <c r="AYB51" s="456"/>
      <c r="AYC51" s="456"/>
      <c r="AYD51" s="456"/>
      <c r="AYE51" s="456"/>
      <c r="AYF51" s="456"/>
      <c r="AYG51" s="456"/>
      <c r="AYH51" s="456"/>
      <c r="AYI51" s="456"/>
      <c r="AYJ51" s="456"/>
      <c r="AYK51" s="456"/>
      <c r="AYL51" s="456"/>
      <c r="AYM51" s="456"/>
      <c r="AYN51" s="456"/>
      <c r="AYO51" s="456"/>
      <c r="AYP51" s="456"/>
      <c r="AYQ51" s="456"/>
      <c r="AYR51" s="456"/>
      <c r="AYS51" s="456"/>
      <c r="AYT51" s="456"/>
      <c r="AYU51" s="456"/>
      <c r="AYV51" s="456"/>
      <c r="AYW51" s="456"/>
      <c r="AYX51" s="456"/>
      <c r="AYY51" s="456"/>
      <c r="AYZ51" s="456"/>
      <c r="AZA51" s="456"/>
      <c r="AZB51" s="456"/>
      <c r="AZC51" s="456"/>
      <c r="AZD51" s="456"/>
      <c r="AZE51" s="456"/>
      <c r="AZF51" s="456"/>
      <c r="AZG51" s="456"/>
      <c r="AZH51" s="456"/>
      <c r="AZI51" s="456"/>
      <c r="AZJ51" s="456"/>
      <c r="AZK51" s="456"/>
      <c r="AZL51" s="456"/>
      <c r="AZM51" s="456"/>
      <c r="AZN51" s="456"/>
      <c r="AZO51" s="456"/>
      <c r="AZP51" s="456"/>
      <c r="AZQ51" s="456"/>
      <c r="AZR51" s="456"/>
      <c r="AZS51" s="456"/>
      <c r="AZT51" s="456"/>
      <c r="AZU51" s="456"/>
      <c r="AZV51" s="456"/>
      <c r="AZW51" s="456"/>
      <c r="AZX51" s="456"/>
      <c r="AZY51" s="456"/>
      <c r="AZZ51" s="456"/>
      <c r="BAA51" s="456"/>
      <c r="BAB51" s="456"/>
      <c r="BAC51" s="456"/>
      <c r="BAD51" s="456"/>
      <c r="BAE51" s="456"/>
      <c r="BAF51" s="456"/>
      <c r="BAG51" s="456"/>
      <c r="BAH51" s="456"/>
      <c r="BAI51" s="456"/>
      <c r="BAJ51" s="456"/>
      <c r="BAK51" s="456"/>
      <c r="BAL51" s="456"/>
      <c r="BAM51" s="456"/>
      <c r="BAN51" s="456"/>
      <c r="BAO51" s="456"/>
      <c r="BAP51" s="456"/>
      <c r="BAQ51" s="456"/>
      <c r="BAR51" s="456"/>
      <c r="BAS51" s="456"/>
      <c r="BAT51" s="456"/>
      <c r="BAU51" s="456"/>
      <c r="BAV51" s="456"/>
      <c r="BAW51" s="456"/>
      <c r="BAX51" s="456"/>
      <c r="BAY51" s="456"/>
      <c r="BAZ51" s="456"/>
      <c r="BBA51" s="456"/>
      <c r="BBB51" s="456"/>
      <c r="BBC51" s="456"/>
      <c r="BBD51" s="456"/>
      <c r="BBE51" s="456"/>
      <c r="BBF51" s="456"/>
      <c r="BBG51" s="456"/>
      <c r="BBH51" s="456"/>
      <c r="BBI51" s="456"/>
      <c r="BBJ51" s="456"/>
      <c r="BBK51" s="456"/>
      <c r="BBL51" s="456"/>
      <c r="BBM51" s="456"/>
      <c r="BBN51" s="456"/>
      <c r="BBO51" s="456"/>
      <c r="BBP51" s="456"/>
      <c r="BBQ51" s="456"/>
      <c r="BBR51" s="456"/>
      <c r="BBS51" s="456"/>
      <c r="BBT51" s="456"/>
      <c r="BBU51" s="456"/>
      <c r="BBV51" s="456"/>
      <c r="BBW51" s="456"/>
      <c r="BBX51" s="456"/>
      <c r="BBY51" s="456"/>
      <c r="BBZ51" s="456"/>
      <c r="BCA51" s="456"/>
      <c r="BCB51" s="456"/>
      <c r="BCC51" s="456"/>
      <c r="BCD51" s="456"/>
      <c r="BCE51" s="456"/>
      <c r="BCF51" s="456"/>
      <c r="BCG51" s="456"/>
      <c r="BCH51" s="456"/>
      <c r="BCI51" s="456"/>
      <c r="BCJ51" s="456"/>
      <c r="BCK51" s="456"/>
      <c r="BCL51" s="456"/>
      <c r="BCM51" s="456"/>
      <c r="BCN51" s="456"/>
      <c r="BCO51" s="456"/>
      <c r="BCP51" s="456"/>
      <c r="BCQ51" s="456"/>
      <c r="BCR51" s="456"/>
      <c r="BCS51" s="456"/>
      <c r="BCT51" s="456"/>
      <c r="BCU51" s="456"/>
      <c r="BCV51" s="456"/>
      <c r="BCW51" s="456"/>
      <c r="BCX51" s="456"/>
      <c r="BCY51" s="456"/>
      <c r="BCZ51" s="456"/>
      <c r="BDA51" s="456"/>
      <c r="BDB51" s="456"/>
      <c r="BDC51" s="456"/>
      <c r="BDD51" s="456"/>
      <c r="BDE51" s="456"/>
      <c r="BDF51" s="456"/>
      <c r="BDG51" s="456"/>
      <c r="BDH51" s="456"/>
      <c r="BDI51" s="456"/>
      <c r="BDJ51" s="456"/>
      <c r="BDK51" s="456"/>
      <c r="BDL51" s="456"/>
      <c r="BDM51" s="456"/>
      <c r="BDN51" s="456"/>
      <c r="BDO51" s="456"/>
      <c r="BDP51" s="456"/>
      <c r="BDQ51" s="456"/>
      <c r="BDR51" s="456"/>
      <c r="BDS51" s="456"/>
      <c r="BDT51" s="456"/>
      <c r="BDU51" s="456"/>
      <c r="BDV51" s="456"/>
      <c r="BDW51" s="456"/>
      <c r="BDX51" s="456"/>
      <c r="BDY51" s="456"/>
      <c r="BDZ51" s="456"/>
      <c r="BEA51" s="456"/>
      <c r="BEB51" s="456"/>
      <c r="BEC51" s="456"/>
      <c r="BED51" s="456"/>
      <c r="BEE51" s="456"/>
      <c r="BEF51" s="456"/>
      <c r="BEG51" s="456"/>
      <c r="BEH51" s="456"/>
      <c r="BEI51" s="456"/>
      <c r="BEJ51" s="456"/>
      <c r="BEK51" s="456"/>
      <c r="BEL51" s="456"/>
      <c r="BEM51" s="456"/>
      <c r="BEN51" s="456"/>
      <c r="BEO51" s="456"/>
      <c r="BEP51" s="456"/>
      <c r="BEQ51" s="456"/>
      <c r="BER51" s="456"/>
      <c r="BES51" s="456"/>
      <c r="BET51" s="456"/>
      <c r="BEU51" s="456"/>
      <c r="BEV51" s="456"/>
      <c r="BEW51" s="456"/>
      <c r="BEX51" s="456"/>
      <c r="BEY51" s="456"/>
      <c r="BEZ51" s="456"/>
      <c r="BFA51" s="456"/>
      <c r="BFB51" s="456"/>
      <c r="BFC51" s="456"/>
      <c r="BFD51" s="456"/>
      <c r="BFE51" s="456"/>
      <c r="BFF51" s="456"/>
      <c r="BFG51" s="456"/>
      <c r="BFH51" s="456"/>
      <c r="BFI51" s="456"/>
      <c r="BFJ51" s="456"/>
      <c r="BFK51" s="456"/>
      <c r="BFL51" s="456"/>
      <c r="BFM51" s="456"/>
      <c r="BFN51" s="456"/>
      <c r="BFO51" s="456"/>
      <c r="BFP51" s="456"/>
      <c r="BFQ51" s="456"/>
      <c r="BFR51" s="456"/>
      <c r="BFS51" s="456"/>
      <c r="BFT51" s="456"/>
      <c r="BFU51" s="456"/>
      <c r="BFV51" s="456"/>
      <c r="BFW51" s="456"/>
      <c r="BFX51" s="456"/>
      <c r="BFY51" s="456"/>
      <c r="BFZ51" s="456"/>
      <c r="BGA51" s="456"/>
      <c r="BGB51" s="456"/>
      <c r="BGC51" s="456"/>
      <c r="BGD51" s="456"/>
      <c r="BGE51" s="456"/>
      <c r="BGF51" s="456"/>
      <c r="BGG51" s="456"/>
      <c r="BGH51" s="456"/>
      <c r="BGI51" s="456"/>
      <c r="BGJ51" s="456"/>
      <c r="BGK51" s="456"/>
      <c r="BGL51" s="456"/>
      <c r="BGM51" s="456"/>
      <c r="BGN51" s="456"/>
      <c r="BGO51" s="456"/>
      <c r="BGP51" s="456"/>
      <c r="BGQ51" s="456"/>
      <c r="BGR51" s="456"/>
      <c r="BGS51" s="456"/>
      <c r="BGT51" s="456"/>
      <c r="BGU51" s="456"/>
      <c r="BGV51" s="456"/>
      <c r="BGW51" s="456"/>
      <c r="BGX51" s="456"/>
      <c r="BGY51" s="456"/>
      <c r="BGZ51" s="456"/>
      <c r="BHA51" s="456"/>
      <c r="BHB51" s="456"/>
      <c r="BHC51" s="456"/>
      <c r="BHD51" s="456"/>
      <c r="BHE51" s="456"/>
      <c r="BHF51" s="456"/>
      <c r="BHG51" s="456"/>
      <c r="BHH51" s="456"/>
      <c r="BHI51" s="456"/>
      <c r="BHJ51" s="456"/>
      <c r="BHK51" s="456"/>
      <c r="BHL51" s="456"/>
      <c r="BHM51" s="456"/>
      <c r="BHN51" s="456"/>
      <c r="BHO51" s="456"/>
      <c r="BHP51" s="456"/>
      <c r="BHQ51" s="456"/>
      <c r="BHR51" s="456"/>
      <c r="BHS51" s="456"/>
      <c r="BHT51" s="456"/>
      <c r="BHU51" s="456"/>
      <c r="BHV51" s="456"/>
      <c r="BHW51" s="456"/>
      <c r="BHX51" s="456"/>
      <c r="BHY51" s="456"/>
      <c r="BHZ51" s="456"/>
      <c r="BIA51" s="456"/>
      <c r="BIB51" s="456"/>
      <c r="BIC51" s="456"/>
      <c r="BID51" s="456"/>
      <c r="BIE51" s="456"/>
      <c r="BIF51" s="456"/>
      <c r="BIG51" s="456"/>
      <c r="BIH51" s="456"/>
      <c r="BII51" s="456"/>
      <c r="BIJ51" s="456"/>
      <c r="BIK51" s="456"/>
      <c r="BIL51" s="456"/>
      <c r="BIM51" s="456"/>
      <c r="BIN51" s="456"/>
      <c r="BIO51" s="456"/>
      <c r="BIP51" s="456"/>
      <c r="BIQ51" s="456"/>
      <c r="BIR51" s="456"/>
      <c r="BIS51" s="456"/>
      <c r="BIT51" s="456"/>
      <c r="BIU51" s="456"/>
      <c r="BIV51" s="456"/>
      <c r="BIW51" s="456"/>
      <c r="BIX51" s="456"/>
      <c r="BIY51" s="456"/>
      <c r="BIZ51" s="456"/>
      <c r="BJA51" s="456"/>
      <c r="BJB51" s="456"/>
      <c r="BJC51" s="456"/>
      <c r="BJD51" s="456"/>
      <c r="BJE51" s="456"/>
      <c r="BJF51" s="456"/>
      <c r="BJG51" s="456"/>
      <c r="BJH51" s="456"/>
      <c r="BJI51" s="456"/>
      <c r="BJJ51" s="456"/>
      <c r="BJK51" s="456"/>
      <c r="BJL51" s="456"/>
      <c r="BJM51" s="456"/>
      <c r="BJN51" s="456"/>
      <c r="BJO51" s="456"/>
      <c r="BJP51" s="456"/>
      <c r="BJQ51" s="456"/>
      <c r="BJR51" s="456"/>
      <c r="BJS51" s="456"/>
      <c r="BJT51" s="456"/>
      <c r="BJU51" s="456"/>
      <c r="BJV51" s="456"/>
      <c r="BJW51" s="456"/>
      <c r="BJX51" s="456"/>
      <c r="BJY51" s="456"/>
      <c r="BJZ51" s="456"/>
      <c r="BKA51" s="456"/>
      <c r="BKB51" s="456"/>
      <c r="BKC51" s="456"/>
      <c r="BKD51" s="456"/>
      <c r="BKE51" s="456"/>
      <c r="BKF51" s="456"/>
      <c r="BKG51" s="456"/>
      <c r="BKH51" s="456"/>
      <c r="BKI51" s="456"/>
      <c r="BKJ51" s="456"/>
      <c r="BKK51" s="456"/>
      <c r="BKL51" s="456"/>
      <c r="BKM51" s="456"/>
      <c r="BKN51" s="456"/>
      <c r="BKO51" s="456"/>
      <c r="BKP51" s="456"/>
      <c r="BKQ51" s="456"/>
      <c r="BKR51" s="456"/>
      <c r="BKS51" s="456"/>
      <c r="BKT51" s="456"/>
      <c r="BKU51" s="456"/>
      <c r="BKV51" s="456"/>
      <c r="BKW51" s="456"/>
      <c r="BKX51" s="456"/>
      <c r="BKY51" s="456"/>
      <c r="BKZ51" s="456"/>
      <c r="BLA51" s="456"/>
      <c r="BLB51" s="456"/>
      <c r="BLC51" s="456"/>
      <c r="BLD51" s="456"/>
      <c r="BLE51" s="456"/>
      <c r="BLF51" s="456"/>
      <c r="BLG51" s="456"/>
      <c r="BLH51" s="456"/>
      <c r="BLI51" s="456"/>
      <c r="BLJ51" s="456"/>
      <c r="BLK51" s="456"/>
      <c r="BLL51" s="456"/>
      <c r="BLM51" s="456"/>
      <c r="BLN51" s="456"/>
      <c r="BLO51" s="456"/>
      <c r="BLP51" s="456"/>
      <c r="BLQ51" s="456"/>
      <c r="BLR51" s="456"/>
      <c r="BLS51" s="456"/>
      <c r="BLT51" s="456"/>
      <c r="BLU51" s="456"/>
      <c r="BLV51" s="456"/>
      <c r="BLW51" s="456"/>
      <c r="BLX51" s="456"/>
      <c r="BLY51" s="456"/>
      <c r="BLZ51" s="456"/>
      <c r="BMA51" s="456"/>
      <c r="BMB51" s="456"/>
      <c r="BMC51" s="456"/>
      <c r="BMD51" s="456"/>
      <c r="BME51" s="456"/>
      <c r="BMF51" s="456"/>
      <c r="BMG51" s="456"/>
      <c r="BMH51" s="456"/>
      <c r="BMI51" s="456"/>
      <c r="BMJ51" s="456"/>
      <c r="BMK51" s="456"/>
      <c r="BML51" s="456"/>
      <c r="BMM51" s="456"/>
      <c r="BMN51" s="456"/>
      <c r="BMO51" s="456"/>
      <c r="BMP51" s="456"/>
      <c r="BMQ51" s="456"/>
      <c r="BMR51" s="456"/>
      <c r="BMS51" s="456"/>
      <c r="BMT51" s="456"/>
      <c r="BMU51" s="456"/>
      <c r="BMV51" s="456"/>
      <c r="BMW51" s="456"/>
      <c r="BMX51" s="456"/>
      <c r="BMY51" s="456"/>
      <c r="BMZ51" s="456"/>
      <c r="BNA51" s="456"/>
      <c r="BNB51" s="456"/>
      <c r="BNC51" s="456"/>
      <c r="BND51" s="456"/>
      <c r="BNE51" s="456"/>
      <c r="BNF51" s="456"/>
      <c r="BNG51" s="456"/>
      <c r="BNH51" s="456"/>
      <c r="BNI51" s="456"/>
      <c r="BNJ51" s="456"/>
      <c r="BNK51" s="456"/>
      <c r="BNL51" s="456"/>
      <c r="BNM51" s="456"/>
      <c r="BNN51" s="456"/>
      <c r="BNO51" s="456"/>
      <c r="BNP51" s="456"/>
      <c r="BNQ51" s="456"/>
      <c r="BNR51" s="456"/>
      <c r="BNS51" s="456"/>
      <c r="BNT51" s="456"/>
      <c r="BNU51" s="456"/>
      <c r="BNV51" s="456"/>
      <c r="BNW51" s="456"/>
      <c r="BNX51" s="456"/>
      <c r="BNY51" s="456"/>
      <c r="BNZ51" s="456"/>
      <c r="BOA51" s="456"/>
      <c r="BOB51" s="456"/>
      <c r="BOC51" s="456"/>
      <c r="BOD51" s="456"/>
      <c r="BOE51" s="456"/>
      <c r="BOF51" s="456"/>
      <c r="BOG51" s="456"/>
      <c r="BOH51" s="456"/>
      <c r="BOI51" s="456"/>
      <c r="BOJ51" s="456"/>
      <c r="BOK51" s="456"/>
      <c r="BOL51" s="456"/>
      <c r="BOM51" s="456"/>
      <c r="BON51" s="456"/>
      <c r="BOO51" s="456"/>
      <c r="BOP51" s="456"/>
      <c r="BOQ51" s="456"/>
      <c r="BOR51" s="456"/>
      <c r="BOS51" s="456"/>
      <c r="BOT51" s="456"/>
      <c r="BOU51" s="456"/>
      <c r="BOV51" s="456"/>
      <c r="BOW51" s="456"/>
      <c r="BOX51" s="456"/>
      <c r="BOY51" s="456"/>
      <c r="BOZ51" s="456"/>
      <c r="BPA51" s="456"/>
      <c r="BPB51" s="456"/>
      <c r="BPC51" s="456"/>
      <c r="BPD51" s="456"/>
      <c r="BPE51" s="456"/>
      <c r="BPF51" s="456"/>
      <c r="BPG51" s="456"/>
      <c r="BPH51" s="456"/>
      <c r="BPI51" s="456"/>
      <c r="BPJ51" s="456"/>
      <c r="BPK51" s="456"/>
      <c r="BPL51" s="456"/>
      <c r="BPM51" s="456"/>
      <c r="BPN51" s="456"/>
      <c r="BPO51" s="456"/>
      <c r="BPP51" s="456"/>
      <c r="BPQ51" s="456"/>
      <c r="BPR51" s="456"/>
      <c r="BPS51" s="456"/>
      <c r="BPT51" s="456"/>
      <c r="BPU51" s="456"/>
      <c r="BPV51" s="456"/>
      <c r="BPW51" s="456"/>
      <c r="BPX51" s="456"/>
      <c r="BPY51" s="456"/>
      <c r="BPZ51" s="456"/>
      <c r="BQA51" s="456"/>
      <c r="BQB51" s="456"/>
      <c r="BQC51" s="456"/>
      <c r="BQD51" s="456"/>
      <c r="BQE51" s="456"/>
      <c r="BQF51" s="456"/>
      <c r="BQG51" s="456"/>
      <c r="BQH51" s="456"/>
      <c r="BQI51" s="456"/>
      <c r="BQJ51" s="456"/>
      <c r="BQK51" s="456"/>
      <c r="BQL51" s="456"/>
      <c r="BQM51" s="456"/>
      <c r="BQN51" s="456"/>
      <c r="BQO51" s="456"/>
      <c r="BQP51" s="456"/>
      <c r="BQQ51" s="456"/>
      <c r="BQR51" s="456"/>
      <c r="BQS51" s="456"/>
      <c r="BQT51" s="456"/>
      <c r="BQU51" s="456"/>
      <c r="BQV51" s="456"/>
      <c r="BQW51" s="456"/>
      <c r="BQX51" s="456"/>
      <c r="BQY51" s="456"/>
      <c r="BQZ51" s="456"/>
      <c r="BRA51" s="456"/>
      <c r="BRB51" s="456"/>
      <c r="BRC51" s="456"/>
      <c r="BRD51" s="456"/>
      <c r="BRE51" s="456"/>
      <c r="BRF51" s="456"/>
      <c r="BRG51" s="456"/>
      <c r="BRH51" s="456"/>
      <c r="BRI51" s="456"/>
      <c r="BRJ51" s="456"/>
      <c r="BRK51" s="456"/>
      <c r="BRL51" s="456"/>
      <c r="BRM51" s="456"/>
      <c r="BRN51" s="456"/>
      <c r="BRO51" s="456"/>
      <c r="BRP51" s="456"/>
      <c r="BRQ51" s="456"/>
      <c r="BRR51" s="456"/>
      <c r="BRS51" s="456"/>
      <c r="BRT51" s="456"/>
      <c r="BRU51" s="456"/>
      <c r="BRV51" s="456"/>
      <c r="BRW51" s="456"/>
      <c r="BRX51" s="456"/>
      <c r="BRY51" s="456"/>
      <c r="BRZ51" s="456"/>
      <c r="BSA51" s="456"/>
      <c r="BSB51" s="456"/>
      <c r="BSC51" s="456"/>
      <c r="BSD51" s="456"/>
      <c r="BSE51" s="456"/>
      <c r="BSF51" s="456"/>
      <c r="BSG51" s="456"/>
      <c r="BSH51" s="456"/>
      <c r="BSI51" s="456"/>
      <c r="BSJ51" s="456"/>
      <c r="BSK51" s="456"/>
      <c r="BSL51" s="456"/>
      <c r="BSM51" s="456"/>
      <c r="BSN51" s="456"/>
      <c r="BSO51" s="456"/>
      <c r="BSP51" s="456"/>
      <c r="BSQ51" s="456"/>
      <c r="BSR51" s="456"/>
      <c r="BSS51" s="456"/>
      <c r="BST51" s="456"/>
      <c r="BSU51" s="456"/>
      <c r="BSV51" s="456"/>
      <c r="BSW51" s="456"/>
      <c r="BSX51" s="456"/>
      <c r="BSY51" s="456"/>
      <c r="BSZ51" s="456"/>
      <c r="BTA51" s="456"/>
      <c r="BTB51" s="456"/>
      <c r="BTC51" s="456"/>
      <c r="BTD51" s="456"/>
      <c r="BTE51" s="456"/>
      <c r="BTF51" s="456"/>
      <c r="BTG51" s="456"/>
      <c r="BTH51" s="456"/>
      <c r="BTI51" s="456"/>
      <c r="BTJ51" s="456"/>
      <c r="BTK51" s="456"/>
      <c r="BTL51" s="456"/>
      <c r="BTM51" s="456"/>
      <c r="BTN51" s="456"/>
      <c r="BTO51" s="456"/>
      <c r="BTP51" s="456"/>
      <c r="BTQ51" s="456"/>
      <c r="BTR51" s="456"/>
      <c r="BTS51" s="456"/>
      <c r="BTT51" s="456"/>
      <c r="BTU51" s="456"/>
      <c r="BTV51" s="456"/>
      <c r="BTW51" s="456"/>
      <c r="BTX51" s="456"/>
      <c r="BTY51" s="456"/>
      <c r="BTZ51" s="456"/>
      <c r="BUA51" s="456"/>
      <c r="BUB51" s="456"/>
      <c r="BUC51" s="456"/>
      <c r="BUD51" s="456"/>
      <c r="BUE51" s="456"/>
      <c r="BUF51" s="456"/>
      <c r="BUG51" s="456"/>
      <c r="BUH51" s="456"/>
      <c r="BUI51" s="456"/>
      <c r="BUJ51" s="456"/>
      <c r="BUK51" s="456"/>
      <c r="BUL51" s="456"/>
      <c r="BUM51" s="456"/>
      <c r="BUN51" s="456"/>
      <c r="BUO51" s="456"/>
      <c r="BUP51" s="456"/>
      <c r="BUQ51" s="456"/>
      <c r="BUR51" s="456"/>
      <c r="BUS51" s="456"/>
      <c r="BUT51" s="456"/>
      <c r="BUU51" s="456"/>
      <c r="BUV51" s="456"/>
      <c r="BUW51" s="456"/>
      <c r="BUX51" s="456"/>
      <c r="BUY51" s="456"/>
      <c r="BUZ51" s="456"/>
      <c r="BVA51" s="456"/>
      <c r="BVB51" s="456"/>
      <c r="BVC51" s="456"/>
      <c r="BVD51" s="456"/>
      <c r="BVE51" s="456"/>
      <c r="BVF51" s="456"/>
      <c r="BVG51" s="456"/>
      <c r="BVH51" s="456"/>
      <c r="BVI51" s="456"/>
      <c r="BVJ51" s="456"/>
      <c r="BVK51" s="456"/>
      <c r="BVL51" s="456"/>
      <c r="BVM51" s="456"/>
      <c r="BVN51" s="456"/>
      <c r="BVO51" s="456"/>
      <c r="BVP51" s="456"/>
      <c r="BVQ51" s="456"/>
      <c r="BVR51" s="456"/>
      <c r="BVS51" s="456"/>
      <c r="BVT51" s="456"/>
      <c r="BVU51" s="456"/>
      <c r="BVV51" s="456"/>
      <c r="BVW51" s="456"/>
      <c r="BVX51" s="456"/>
      <c r="BVY51" s="456"/>
      <c r="BVZ51" s="456"/>
      <c r="BWA51" s="456"/>
      <c r="BWB51" s="456"/>
      <c r="BWC51" s="456"/>
      <c r="BWD51" s="456"/>
      <c r="BWE51" s="456"/>
      <c r="BWF51" s="456"/>
      <c r="BWG51" s="456"/>
      <c r="BWH51" s="456"/>
      <c r="BWI51" s="456"/>
      <c r="BWJ51" s="456"/>
      <c r="BWK51" s="456"/>
      <c r="BWL51" s="456"/>
      <c r="BWM51" s="456"/>
      <c r="BWN51" s="456"/>
      <c r="BWO51" s="456"/>
      <c r="BWP51" s="456"/>
      <c r="BWQ51" s="456"/>
      <c r="BWR51" s="456"/>
      <c r="BWS51" s="456"/>
      <c r="BWT51" s="456"/>
      <c r="BWU51" s="456"/>
      <c r="BWV51" s="456"/>
      <c r="BWW51" s="456"/>
      <c r="BWX51" s="456"/>
      <c r="BWY51" s="456"/>
      <c r="BWZ51" s="456"/>
      <c r="BXA51" s="456"/>
      <c r="BXB51" s="456"/>
      <c r="BXC51" s="456"/>
      <c r="BXD51" s="456"/>
      <c r="BXE51" s="456"/>
      <c r="BXF51" s="456"/>
      <c r="BXG51" s="456"/>
      <c r="BXH51" s="456"/>
      <c r="BXI51" s="456"/>
      <c r="BXJ51" s="456"/>
      <c r="BXK51" s="456"/>
      <c r="BXL51" s="456"/>
      <c r="BXM51" s="456"/>
      <c r="BXN51" s="456"/>
      <c r="BXO51" s="456"/>
      <c r="BXP51" s="456"/>
      <c r="BXQ51" s="456"/>
      <c r="BXR51" s="456"/>
      <c r="BXS51" s="456"/>
      <c r="BXT51" s="456"/>
      <c r="BXU51" s="456"/>
      <c r="BXV51" s="456"/>
      <c r="BXW51" s="456"/>
      <c r="BXX51" s="456"/>
      <c r="BXY51" s="456"/>
      <c r="BXZ51" s="456"/>
    </row>
    <row r="52" s="25" customFormat="1" spans="1:1024 1025:2002">
      <c r="A52" s="473"/>
      <c r="B52" s="19">
        <v>1118</v>
      </c>
      <c r="C52" s="183">
        <v>46177</v>
      </c>
      <c r="D52" s="17" t="s">
        <v>35</v>
      </c>
      <c r="E52" s="17" t="s">
        <v>36</v>
      </c>
      <c r="F52" s="17" t="s">
        <v>37</v>
      </c>
      <c r="G52" s="17"/>
      <c r="H52" s="19">
        <v>1.2344</v>
      </c>
      <c r="I52" s="19"/>
      <c r="J52" s="17" t="s">
        <v>39</v>
      </c>
      <c r="K52" s="19">
        <v>502</v>
      </c>
      <c r="L52" s="91"/>
      <c r="M52" s="19">
        <v>5000</v>
      </c>
      <c r="N52" s="19" t="s">
        <v>40</v>
      </c>
      <c r="O52" s="19" t="s">
        <v>50</v>
      </c>
      <c r="P52" s="19">
        <v>36000</v>
      </c>
      <c r="Q52" s="19">
        <v>24218</v>
      </c>
      <c r="R52" s="19">
        <f t="shared" si="2"/>
        <v>11782</v>
      </c>
      <c r="S52" s="19">
        <v>2880</v>
      </c>
      <c r="T52" s="19" t="s">
        <v>42</v>
      </c>
      <c r="U52" s="102" t="s">
        <v>77</v>
      </c>
      <c r="V52" s="186">
        <v>46177</v>
      </c>
      <c r="W52" s="17" t="s">
        <v>44</v>
      </c>
      <c r="X52" s="17"/>
      <c r="Y52" s="68">
        <v>46327</v>
      </c>
      <c r="Z52" s="17" t="s">
        <v>78</v>
      </c>
      <c r="AA52" s="17" t="s">
        <v>46</v>
      </c>
      <c r="AB52" s="17"/>
      <c r="AC52" s="102"/>
      <c r="AD52" s="65">
        <v>1854</v>
      </c>
      <c r="AE52" s="17" t="s">
        <v>79</v>
      </c>
      <c r="AF52" s="17" t="s">
        <v>81</v>
      </c>
      <c r="AG52" s="17"/>
      <c r="AH52" s="456"/>
      <c r="AI52" s="456"/>
      <c r="AJ52" s="456"/>
      <c r="AK52" s="456"/>
      <c r="AL52" s="456"/>
      <c r="AM52" s="456"/>
      <c r="AN52" s="456"/>
      <c r="AO52" s="456"/>
      <c r="AP52" s="456"/>
      <c r="AQ52" s="456"/>
      <c r="AR52" s="456"/>
      <c r="AS52" s="456"/>
      <c r="AT52" s="456"/>
      <c r="AU52" s="456"/>
      <c r="AV52" s="456"/>
      <c r="AW52" s="456"/>
      <c r="AX52" s="456"/>
      <c r="AY52" s="456"/>
      <c r="AZ52" s="456"/>
      <c r="BA52" s="456"/>
      <c r="BB52" s="456"/>
      <c r="BC52" s="456"/>
      <c r="BD52" s="456"/>
      <c r="BE52" s="456"/>
      <c r="BF52" s="456"/>
      <c r="BG52" s="456"/>
      <c r="BH52" s="456"/>
      <c r="BI52" s="456"/>
      <c r="BJ52" s="456"/>
      <c r="BK52" s="456"/>
      <c r="BL52" s="456"/>
      <c r="BM52" s="456"/>
      <c r="BN52" s="456"/>
      <c r="BO52" s="456"/>
      <c r="BP52" s="456"/>
      <c r="BQ52" s="456"/>
      <c r="BR52" s="456"/>
      <c r="BS52" s="456"/>
      <c r="BT52" s="456"/>
      <c r="BU52" s="456"/>
      <c r="BV52" s="456"/>
      <c r="BW52" s="456"/>
      <c r="BX52" s="456"/>
      <c r="BY52" s="456"/>
      <c r="BZ52" s="456"/>
      <c r="CA52" s="456"/>
      <c r="CB52" s="456"/>
      <c r="CC52" s="456"/>
      <c r="CD52" s="456"/>
      <c r="CE52" s="456"/>
      <c r="CF52" s="456"/>
      <c r="CG52" s="456"/>
      <c r="CH52" s="456"/>
      <c r="CI52" s="456"/>
      <c r="CJ52" s="456"/>
      <c r="CK52" s="456"/>
      <c r="CL52" s="456"/>
      <c r="CM52" s="456"/>
      <c r="CN52" s="456"/>
      <c r="CO52" s="456"/>
      <c r="CP52" s="456"/>
      <c r="CQ52" s="456"/>
      <c r="CR52" s="456"/>
      <c r="CS52" s="456"/>
      <c r="CT52" s="456"/>
      <c r="CU52" s="456"/>
      <c r="CV52" s="456"/>
      <c r="CW52" s="456"/>
      <c r="CX52" s="456"/>
      <c r="CY52" s="456"/>
      <c r="CZ52" s="456"/>
      <c r="DA52" s="456"/>
      <c r="DB52" s="456"/>
      <c r="DC52" s="456"/>
      <c r="DD52" s="456"/>
      <c r="DE52" s="456"/>
      <c r="DF52" s="456"/>
      <c r="DG52" s="456"/>
      <c r="DH52" s="456"/>
      <c r="DI52" s="456"/>
      <c r="DJ52" s="456"/>
      <c r="DK52" s="456"/>
      <c r="DL52" s="456"/>
      <c r="DM52" s="456"/>
      <c r="DN52" s="456"/>
      <c r="DO52" s="456"/>
      <c r="DP52" s="456"/>
      <c r="DQ52" s="456"/>
      <c r="DR52" s="456"/>
      <c r="DS52" s="456"/>
      <c r="DT52" s="456"/>
      <c r="DU52" s="456"/>
      <c r="DV52" s="456"/>
      <c r="DW52" s="456"/>
      <c r="DX52" s="456"/>
      <c r="DY52" s="456"/>
      <c r="DZ52" s="456"/>
      <c r="EA52" s="456"/>
      <c r="EB52" s="456"/>
      <c r="EC52" s="456"/>
      <c r="ED52" s="456"/>
      <c r="EE52" s="456"/>
      <c r="EF52" s="456"/>
      <c r="EG52" s="456"/>
      <c r="EH52" s="456"/>
      <c r="EI52" s="456"/>
      <c r="EJ52" s="456"/>
      <c r="EK52" s="456"/>
      <c r="EL52" s="456"/>
      <c r="EM52" s="456"/>
      <c r="EN52" s="456"/>
      <c r="EO52" s="456"/>
      <c r="EP52" s="456"/>
      <c r="EQ52" s="456"/>
      <c r="ER52" s="456"/>
      <c r="ES52" s="456"/>
      <c r="ET52" s="456"/>
      <c r="EU52" s="456"/>
      <c r="EV52" s="456"/>
      <c r="EW52" s="456"/>
      <c r="EX52" s="456"/>
      <c r="EY52" s="456"/>
      <c r="EZ52" s="456"/>
      <c r="FA52" s="456"/>
      <c r="FB52" s="456"/>
      <c r="FC52" s="456"/>
      <c r="FD52" s="456"/>
      <c r="FE52" s="456"/>
      <c r="FF52" s="456"/>
      <c r="FG52" s="456"/>
      <c r="FH52" s="456"/>
      <c r="FI52" s="456"/>
      <c r="FJ52" s="456"/>
      <c r="FK52" s="456"/>
      <c r="FL52" s="456"/>
      <c r="FM52" s="456"/>
      <c r="FN52" s="456"/>
      <c r="FO52" s="456"/>
      <c r="FP52" s="456"/>
      <c r="FQ52" s="456"/>
      <c r="FR52" s="456"/>
      <c r="FS52" s="456"/>
      <c r="FT52" s="456"/>
      <c r="FU52" s="456"/>
      <c r="FV52" s="456"/>
      <c r="FW52" s="456"/>
      <c r="FX52" s="456"/>
      <c r="FY52" s="456"/>
      <c r="FZ52" s="456"/>
      <c r="GA52" s="456"/>
      <c r="GB52" s="456"/>
      <c r="GC52" s="456"/>
      <c r="GD52" s="456"/>
      <c r="GE52" s="456"/>
      <c r="GF52" s="456"/>
      <c r="GG52" s="456"/>
      <c r="GH52" s="456"/>
      <c r="GI52" s="456"/>
      <c r="GJ52" s="456"/>
      <c r="GK52" s="456"/>
      <c r="GL52" s="456"/>
      <c r="GM52" s="456"/>
      <c r="GN52" s="456"/>
      <c r="GO52" s="456"/>
      <c r="GP52" s="456"/>
      <c r="GQ52" s="456"/>
      <c r="GR52" s="456"/>
      <c r="GS52" s="456"/>
      <c r="GT52" s="456"/>
      <c r="GU52" s="456"/>
      <c r="GV52" s="456"/>
      <c r="GW52" s="456"/>
      <c r="GX52" s="456"/>
      <c r="GY52" s="456"/>
      <c r="GZ52" s="456"/>
      <c r="HA52" s="456"/>
      <c r="HB52" s="456"/>
      <c r="HC52" s="456"/>
      <c r="HD52" s="456"/>
      <c r="HE52" s="456"/>
      <c r="HF52" s="456"/>
      <c r="HG52" s="456"/>
      <c r="HH52" s="456"/>
      <c r="HI52" s="456"/>
      <c r="HJ52" s="456"/>
      <c r="HK52" s="456"/>
      <c r="HL52" s="456"/>
      <c r="HM52" s="456"/>
      <c r="HN52" s="456"/>
      <c r="HO52" s="456"/>
      <c r="HP52" s="456"/>
      <c r="HQ52" s="456"/>
      <c r="HR52" s="456"/>
      <c r="HS52" s="456"/>
      <c r="HT52" s="456"/>
      <c r="HU52" s="456"/>
      <c r="HV52" s="456"/>
      <c r="HW52" s="456"/>
      <c r="HX52" s="456"/>
      <c r="HY52" s="456"/>
      <c r="HZ52" s="456"/>
      <c r="IA52" s="456"/>
      <c r="IB52" s="456"/>
      <c r="IC52" s="456"/>
      <c r="ID52" s="456"/>
      <c r="IE52" s="456"/>
      <c r="IF52" s="456"/>
      <c r="IG52" s="456"/>
      <c r="IH52" s="456"/>
      <c r="II52" s="456"/>
      <c r="IJ52" s="456"/>
      <c r="IK52" s="456"/>
      <c r="IL52" s="456"/>
      <c r="IM52" s="456"/>
      <c r="IN52" s="456"/>
      <c r="IO52" s="456"/>
      <c r="IP52" s="456"/>
      <c r="IQ52" s="456"/>
      <c r="IR52" s="456"/>
      <c r="IS52" s="456"/>
      <c r="IT52" s="456"/>
      <c r="IU52" s="456"/>
      <c r="IV52" s="456"/>
      <c r="IW52" s="456"/>
      <c r="IX52" s="456"/>
      <c r="IY52" s="456"/>
      <c r="IZ52" s="456"/>
      <c r="JA52" s="456"/>
      <c r="JB52" s="456"/>
      <c r="JC52" s="456"/>
      <c r="JD52" s="456"/>
      <c r="JE52" s="456"/>
      <c r="JF52" s="456"/>
      <c r="JG52" s="456"/>
      <c r="JH52" s="456"/>
      <c r="JI52" s="456"/>
      <c r="JJ52" s="456"/>
      <c r="JK52" s="456"/>
      <c r="JL52" s="456"/>
      <c r="JM52" s="456"/>
      <c r="JN52" s="456"/>
      <c r="JO52" s="456"/>
      <c r="JP52" s="456"/>
      <c r="JQ52" s="456"/>
      <c r="JR52" s="456"/>
      <c r="JS52" s="456"/>
      <c r="JT52" s="456"/>
      <c r="JU52" s="456"/>
      <c r="JV52" s="456"/>
      <c r="JW52" s="456"/>
      <c r="JX52" s="456"/>
      <c r="JY52" s="456"/>
      <c r="JZ52" s="456"/>
      <c r="KA52" s="456"/>
      <c r="KB52" s="456"/>
      <c r="KC52" s="456"/>
      <c r="KD52" s="456"/>
      <c r="KE52" s="456"/>
      <c r="KF52" s="456"/>
      <c r="KG52" s="456"/>
      <c r="KH52" s="456"/>
      <c r="KI52" s="456"/>
      <c r="KJ52" s="456"/>
      <c r="KK52" s="456"/>
      <c r="KL52" s="456"/>
      <c r="KM52" s="456"/>
      <c r="KN52" s="456"/>
      <c r="KO52" s="456"/>
      <c r="KP52" s="456"/>
      <c r="KQ52" s="456"/>
      <c r="KR52" s="456"/>
      <c r="KS52" s="456"/>
      <c r="KT52" s="456"/>
      <c r="KU52" s="456"/>
      <c r="KV52" s="456"/>
      <c r="KW52" s="456"/>
      <c r="KX52" s="456"/>
      <c r="KY52" s="456"/>
      <c r="KZ52" s="456"/>
      <c r="LA52" s="456"/>
      <c r="LB52" s="456"/>
      <c r="LC52" s="456"/>
      <c r="LD52" s="456"/>
      <c r="LE52" s="456"/>
      <c r="LF52" s="456"/>
      <c r="LG52" s="456"/>
      <c r="LH52" s="456"/>
      <c r="LI52" s="456"/>
      <c r="LJ52" s="456"/>
      <c r="LK52" s="456"/>
      <c r="LL52" s="456"/>
      <c r="LM52" s="456"/>
      <c r="LN52" s="456"/>
      <c r="LO52" s="456"/>
      <c r="LP52" s="456"/>
      <c r="LQ52" s="456"/>
      <c r="LR52" s="456"/>
      <c r="LS52" s="456"/>
      <c r="LT52" s="456"/>
      <c r="LU52" s="456"/>
      <c r="LV52" s="456"/>
      <c r="LW52" s="456"/>
      <c r="LX52" s="456"/>
      <c r="LY52" s="456"/>
      <c r="LZ52" s="456"/>
      <c r="MA52" s="456"/>
      <c r="MB52" s="456"/>
      <c r="MC52" s="456"/>
      <c r="MD52" s="456"/>
      <c r="ME52" s="456"/>
      <c r="MF52" s="456"/>
      <c r="MG52" s="456"/>
      <c r="MH52" s="456"/>
      <c r="MI52" s="456"/>
      <c r="MJ52" s="456"/>
      <c r="MK52" s="456"/>
      <c r="ML52" s="456"/>
      <c r="MM52" s="456"/>
      <c r="MN52" s="456"/>
      <c r="MO52" s="456"/>
      <c r="MP52" s="456"/>
      <c r="MQ52" s="456"/>
      <c r="MR52" s="456"/>
      <c r="MS52" s="456"/>
      <c r="MT52" s="456"/>
      <c r="MU52" s="456"/>
      <c r="MV52" s="456"/>
      <c r="MW52" s="456"/>
      <c r="MX52" s="456"/>
      <c r="MY52" s="456"/>
      <c r="MZ52" s="456"/>
      <c r="NA52" s="456"/>
      <c r="NB52" s="456"/>
      <c r="NC52" s="456"/>
      <c r="ND52" s="456"/>
      <c r="NE52" s="456"/>
      <c r="NF52" s="456"/>
      <c r="NG52" s="456"/>
      <c r="NH52" s="456"/>
      <c r="NI52" s="456"/>
      <c r="NJ52" s="456"/>
      <c r="NK52" s="456"/>
      <c r="NL52" s="456"/>
      <c r="NM52" s="456"/>
      <c r="NN52" s="456"/>
      <c r="NO52" s="456"/>
      <c r="NP52" s="456"/>
      <c r="NQ52" s="456"/>
      <c r="NR52" s="456"/>
      <c r="NS52" s="456"/>
      <c r="NT52" s="456"/>
      <c r="NU52" s="456"/>
      <c r="NV52" s="456"/>
      <c r="NW52" s="456"/>
      <c r="NX52" s="456"/>
      <c r="NY52" s="456"/>
      <c r="NZ52" s="456"/>
      <c r="OA52" s="456"/>
      <c r="OB52" s="456"/>
      <c r="OC52" s="456"/>
      <c r="OD52" s="456"/>
      <c r="OE52" s="456"/>
      <c r="OF52" s="456"/>
      <c r="OG52" s="456"/>
      <c r="OH52" s="456"/>
      <c r="OI52" s="456"/>
      <c r="OJ52" s="456"/>
      <c r="OK52" s="456"/>
      <c r="OL52" s="456"/>
      <c r="OM52" s="456"/>
      <c r="ON52" s="456"/>
      <c r="OO52" s="456"/>
      <c r="OP52" s="456"/>
      <c r="OQ52" s="456"/>
      <c r="OR52" s="456"/>
      <c r="OS52" s="456"/>
      <c r="OT52" s="456"/>
      <c r="OU52" s="456"/>
      <c r="OV52" s="456"/>
      <c r="OW52" s="456"/>
      <c r="OX52" s="456"/>
      <c r="OY52" s="456"/>
      <c r="OZ52" s="456"/>
      <c r="PA52" s="456"/>
      <c r="PB52" s="456"/>
      <c r="PC52" s="456"/>
      <c r="PD52" s="456"/>
      <c r="PE52" s="456"/>
      <c r="PF52" s="456"/>
      <c r="PG52" s="456"/>
      <c r="PH52" s="456"/>
      <c r="PI52" s="456"/>
      <c r="PJ52" s="456"/>
      <c r="PK52" s="456"/>
      <c r="PL52" s="456"/>
      <c r="PM52" s="456"/>
      <c r="PN52" s="456"/>
      <c r="PO52" s="456"/>
      <c r="PP52" s="456"/>
      <c r="PQ52" s="456"/>
      <c r="PR52" s="456"/>
      <c r="PS52" s="456"/>
      <c r="PT52" s="456"/>
      <c r="PU52" s="456"/>
      <c r="PV52" s="456"/>
      <c r="PW52" s="456"/>
      <c r="PX52" s="456"/>
      <c r="PY52" s="456"/>
      <c r="PZ52" s="456"/>
      <c r="QA52" s="456"/>
      <c r="QB52" s="456"/>
      <c r="QC52" s="456"/>
      <c r="QD52" s="456"/>
      <c r="QE52" s="456"/>
      <c r="QF52" s="456"/>
      <c r="QG52" s="456"/>
      <c r="QH52" s="456"/>
      <c r="QI52" s="456"/>
      <c r="QJ52" s="456"/>
      <c r="QK52" s="456"/>
      <c r="QL52" s="456"/>
      <c r="QM52" s="456"/>
      <c r="QN52" s="456"/>
      <c r="QO52" s="456"/>
      <c r="QP52" s="456"/>
      <c r="QQ52" s="456"/>
      <c r="QR52" s="456"/>
      <c r="QS52" s="456"/>
      <c r="QT52" s="456"/>
      <c r="QU52" s="456"/>
      <c r="QV52" s="456"/>
      <c r="QW52" s="456"/>
      <c r="QX52" s="456"/>
      <c r="QY52" s="456"/>
      <c r="QZ52" s="456"/>
      <c r="RA52" s="456"/>
      <c r="RB52" s="456"/>
      <c r="RC52" s="456"/>
      <c r="RD52" s="456"/>
      <c r="RE52" s="456"/>
      <c r="RF52" s="456"/>
      <c r="RG52" s="456"/>
      <c r="RH52" s="456"/>
      <c r="RI52" s="456"/>
      <c r="RJ52" s="456"/>
      <c r="RK52" s="456"/>
      <c r="RL52" s="456"/>
      <c r="RM52" s="456"/>
      <c r="RN52" s="456"/>
      <c r="RO52" s="456"/>
      <c r="RP52" s="456"/>
      <c r="RQ52" s="456"/>
      <c r="RR52" s="456"/>
      <c r="RS52" s="456"/>
      <c r="RT52" s="456"/>
      <c r="RU52" s="456"/>
      <c r="RV52" s="456"/>
      <c r="RW52" s="456"/>
      <c r="RX52" s="456"/>
      <c r="RY52" s="456"/>
      <c r="RZ52" s="456"/>
      <c r="SA52" s="456"/>
      <c r="SB52" s="456"/>
      <c r="SC52" s="456"/>
      <c r="SD52" s="456"/>
      <c r="SE52" s="456"/>
      <c r="SF52" s="456"/>
      <c r="SG52" s="456"/>
      <c r="SH52" s="456"/>
      <c r="SI52" s="456"/>
      <c r="SJ52" s="456"/>
      <c r="SK52" s="456"/>
      <c r="SL52" s="456"/>
      <c r="SM52" s="456"/>
      <c r="SN52" s="456"/>
      <c r="SO52" s="456"/>
      <c r="SP52" s="456"/>
      <c r="SQ52" s="456"/>
      <c r="SR52" s="456"/>
      <c r="SS52" s="456"/>
      <c r="ST52" s="456"/>
      <c r="SU52" s="456"/>
      <c r="SV52" s="456"/>
      <c r="SW52" s="456"/>
      <c r="SX52" s="456"/>
      <c r="SY52" s="456"/>
      <c r="SZ52" s="456"/>
      <c r="TA52" s="456"/>
      <c r="TB52" s="456"/>
      <c r="TC52" s="456"/>
      <c r="TD52" s="456"/>
      <c r="TE52" s="456"/>
      <c r="TF52" s="456"/>
      <c r="TG52" s="456"/>
      <c r="TH52" s="456"/>
      <c r="TI52" s="456"/>
      <c r="TJ52" s="456"/>
      <c r="TK52" s="456"/>
      <c r="TL52" s="456"/>
      <c r="TM52" s="456"/>
      <c r="TN52" s="456"/>
      <c r="TO52" s="456"/>
      <c r="TP52" s="456"/>
      <c r="TQ52" s="456"/>
      <c r="TR52" s="456"/>
      <c r="TS52" s="456"/>
      <c r="TT52" s="456"/>
      <c r="TU52" s="456"/>
      <c r="TV52" s="456"/>
      <c r="TW52" s="456"/>
      <c r="TX52" s="456"/>
      <c r="TY52" s="456"/>
      <c r="TZ52" s="456"/>
      <c r="UA52" s="456"/>
      <c r="UB52" s="456"/>
      <c r="UC52" s="456"/>
      <c r="UD52" s="456"/>
      <c r="UE52" s="456"/>
      <c r="UF52" s="456"/>
      <c r="UG52" s="456"/>
      <c r="UH52" s="456"/>
      <c r="UI52" s="456"/>
      <c r="UJ52" s="456"/>
      <c r="UK52" s="456"/>
      <c r="UL52" s="456"/>
      <c r="UM52" s="456"/>
      <c r="UN52" s="456"/>
      <c r="UO52" s="456"/>
      <c r="UP52" s="456"/>
      <c r="UQ52" s="456"/>
      <c r="UR52" s="456"/>
      <c r="US52" s="456"/>
      <c r="UT52" s="456"/>
      <c r="UU52" s="456"/>
      <c r="UV52" s="456"/>
      <c r="UW52" s="456"/>
      <c r="UX52" s="456"/>
      <c r="UY52" s="456"/>
      <c r="UZ52" s="456"/>
      <c r="VA52" s="456"/>
      <c r="VB52" s="456"/>
      <c r="VC52" s="456"/>
      <c r="VD52" s="456"/>
      <c r="VE52" s="456"/>
      <c r="VF52" s="456"/>
      <c r="VG52" s="456"/>
      <c r="VH52" s="456"/>
      <c r="VI52" s="456"/>
      <c r="VJ52" s="456"/>
      <c r="VK52" s="456"/>
      <c r="VL52" s="456"/>
      <c r="VM52" s="456"/>
      <c r="VN52" s="456"/>
      <c r="VO52" s="456"/>
      <c r="VP52" s="456"/>
      <c r="VQ52" s="456"/>
      <c r="VR52" s="456"/>
      <c r="VS52" s="456"/>
      <c r="VT52" s="456"/>
      <c r="VU52" s="456"/>
      <c r="VV52" s="456"/>
      <c r="VW52" s="456"/>
      <c r="VX52" s="456"/>
      <c r="VY52" s="456"/>
      <c r="VZ52" s="456"/>
      <c r="WA52" s="456"/>
      <c r="WB52" s="456"/>
      <c r="WC52" s="456"/>
      <c r="WD52" s="456"/>
      <c r="WE52" s="456"/>
      <c r="WF52" s="456"/>
      <c r="WG52" s="456"/>
      <c r="WH52" s="456"/>
      <c r="WI52" s="456"/>
      <c r="WJ52" s="456"/>
      <c r="WK52" s="456"/>
      <c r="WL52" s="456"/>
      <c r="WM52" s="456"/>
      <c r="WN52" s="456"/>
      <c r="WO52" s="456"/>
      <c r="WP52" s="456"/>
      <c r="WQ52" s="456"/>
      <c r="WR52" s="456"/>
      <c r="WS52" s="456"/>
      <c r="WT52" s="456"/>
      <c r="WU52" s="456"/>
      <c r="WV52" s="456"/>
      <c r="WW52" s="456"/>
      <c r="WX52" s="456"/>
      <c r="WY52" s="456"/>
      <c r="WZ52" s="456"/>
      <c r="XA52" s="456"/>
      <c r="XB52" s="456"/>
      <c r="XC52" s="456"/>
      <c r="XD52" s="456"/>
      <c r="XE52" s="456"/>
      <c r="XF52" s="456"/>
      <c r="XG52" s="456"/>
      <c r="XH52" s="456"/>
      <c r="XI52" s="456"/>
      <c r="XJ52" s="456"/>
      <c r="XK52" s="456"/>
      <c r="XL52" s="456"/>
      <c r="XM52" s="456"/>
      <c r="XN52" s="456"/>
      <c r="XO52" s="456"/>
      <c r="XP52" s="456"/>
      <c r="XQ52" s="456"/>
      <c r="XR52" s="456"/>
      <c r="XS52" s="456"/>
      <c r="XT52" s="456"/>
      <c r="XU52" s="456"/>
      <c r="XV52" s="456"/>
      <c r="XW52" s="456"/>
      <c r="XX52" s="456"/>
      <c r="XY52" s="456"/>
      <c r="XZ52" s="456"/>
      <c r="YA52" s="456"/>
      <c r="YB52" s="456"/>
      <c r="YC52" s="456"/>
      <c r="YD52" s="456"/>
      <c r="YE52" s="456"/>
      <c r="YF52" s="456"/>
      <c r="YG52" s="456"/>
      <c r="YH52" s="456"/>
      <c r="YI52" s="456"/>
      <c r="YJ52" s="456"/>
      <c r="YK52" s="456"/>
      <c r="YL52" s="456"/>
      <c r="YM52" s="456"/>
      <c r="YN52" s="456"/>
      <c r="YO52" s="456"/>
      <c r="YP52" s="456"/>
      <c r="YQ52" s="456"/>
      <c r="YR52" s="456"/>
      <c r="YS52" s="456"/>
      <c r="YT52" s="456"/>
      <c r="YU52" s="456"/>
      <c r="YV52" s="456"/>
      <c r="YW52" s="456"/>
      <c r="YX52" s="456"/>
      <c r="YY52" s="456"/>
      <c r="YZ52" s="456"/>
      <c r="ZA52" s="456"/>
      <c r="ZB52" s="456"/>
      <c r="ZC52" s="456"/>
      <c r="ZD52" s="456"/>
      <c r="ZE52" s="456"/>
      <c r="ZF52" s="456"/>
      <c r="ZG52" s="456"/>
      <c r="ZH52" s="456"/>
      <c r="ZI52" s="456"/>
      <c r="ZJ52" s="456"/>
      <c r="ZK52" s="456"/>
      <c r="ZL52" s="456"/>
      <c r="ZM52" s="456"/>
      <c r="ZN52" s="456"/>
      <c r="ZO52" s="456"/>
      <c r="ZP52" s="456"/>
      <c r="ZQ52" s="456"/>
      <c r="ZR52" s="456"/>
      <c r="ZS52" s="456"/>
      <c r="ZT52" s="456"/>
      <c r="ZU52" s="456"/>
      <c r="ZV52" s="456"/>
      <c r="ZW52" s="456"/>
      <c r="ZX52" s="456"/>
      <c r="ZY52" s="456"/>
      <c r="ZZ52" s="456"/>
      <c r="AAA52" s="456"/>
      <c r="AAB52" s="456"/>
      <c r="AAC52" s="456"/>
      <c r="AAD52" s="456"/>
      <c r="AAE52" s="456"/>
      <c r="AAF52" s="456"/>
      <c r="AAG52" s="456"/>
      <c r="AAH52" s="456"/>
      <c r="AAI52" s="456"/>
      <c r="AAJ52" s="456"/>
      <c r="AAK52" s="456"/>
      <c r="AAL52" s="456"/>
      <c r="AAM52" s="456"/>
      <c r="AAN52" s="456"/>
      <c r="AAO52" s="456"/>
      <c r="AAP52" s="456"/>
      <c r="AAQ52" s="456"/>
      <c r="AAR52" s="456"/>
      <c r="AAS52" s="456"/>
      <c r="AAT52" s="456"/>
      <c r="AAU52" s="456"/>
      <c r="AAV52" s="456"/>
      <c r="AAW52" s="456"/>
      <c r="AAX52" s="456"/>
      <c r="AAY52" s="456"/>
      <c r="AAZ52" s="456"/>
      <c r="ABA52" s="456"/>
      <c r="ABB52" s="456"/>
      <c r="ABC52" s="456"/>
      <c r="ABD52" s="456"/>
      <c r="ABE52" s="456"/>
      <c r="ABF52" s="456"/>
      <c r="ABG52" s="456"/>
      <c r="ABH52" s="456"/>
      <c r="ABI52" s="456"/>
      <c r="ABJ52" s="456"/>
      <c r="ABK52" s="456"/>
      <c r="ABL52" s="456"/>
      <c r="ABM52" s="456"/>
      <c r="ABN52" s="456"/>
      <c r="ABO52" s="456"/>
      <c r="ABP52" s="456"/>
      <c r="ABQ52" s="456"/>
      <c r="ABR52" s="456"/>
      <c r="ABS52" s="456"/>
      <c r="ABT52" s="456"/>
      <c r="ABU52" s="456"/>
      <c r="ABV52" s="456"/>
      <c r="ABW52" s="456"/>
      <c r="ABX52" s="456"/>
      <c r="ABY52" s="456"/>
      <c r="ABZ52" s="456"/>
      <c r="ACA52" s="456"/>
      <c r="ACB52" s="456"/>
      <c r="ACC52" s="456"/>
      <c r="ACD52" s="456"/>
      <c r="ACE52" s="456"/>
      <c r="ACF52" s="456"/>
      <c r="ACG52" s="456"/>
      <c r="ACH52" s="456"/>
      <c r="ACI52" s="456"/>
      <c r="ACJ52" s="456"/>
      <c r="ACK52" s="456"/>
      <c r="ACL52" s="456"/>
      <c r="ACM52" s="456"/>
      <c r="ACN52" s="456"/>
      <c r="ACO52" s="456"/>
      <c r="ACP52" s="456"/>
      <c r="ACQ52" s="456"/>
      <c r="ACR52" s="456"/>
      <c r="ACS52" s="456"/>
      <c r="ACT52" s="456"/>
      <c r="ACU52" s="456"/>
      <c r="ACV52" s="456"/>
      <c r="ACW52" s="456"/>
      <c r="ACX52" s="456"/>
      <c r="ACY52" s="456"/>
      <c r="ACZ52" s="456"/>
      <c r="ADA52" s="456"/>
      <c r="ADB52" s="456"/>
      <c r="ADC52" s="456"/>
      <c r="ADD52" s="456"/>
      <c r="ADE52" s="456"/>
      <c r="ADF52" s="456"/>
      <c r="ADG52" s="456"/>
      <c r="ADH52" s="456"/>
      <c r="ADI52" s="456"/>
      <c r="ADJ52" s="456"/>
      <c r="ADK52" s="456"/>
      <c r="ADL52" s="456"/>
      <c r="ADM52" s="456"/>
      <c r="ADN52" s="456"/>
      <c r="ADO52" s="456"/>
      <c r="ADP52" s="456"/>
      <c r="ADQ52" s="456"/>
      <c r="ADR52" s="456"/>
      <c r="ADS52" s="456"/>
      <c r="ADT52" s="456"/>
      <c r="ADU52" s="456"/>
      <c r="ADV52" s="456"/>
      <c r="ADW52" s="456"/>
      <c r="ADX52" s="456"/>
      <c r="ADY52" s="456"/>
      <c r="ADZ52" s="456"/>
      <c r="AEA52" s="456"/>
      <c r="AEB52" s="456"/>
      <c r="AEC52" s="456"/>
      <c r="AED52" s="456"/>
      <c r="AEE52" s="456"/>
      <c r="AEF52" s="456"/>
      <c r="AEG52" s="456"/>
      <c r="AEH52" s="456"/>
      <c r="AEI52" s="456"/>
      <c r="AEJ52" s="456"/>
      <c r="AEK52" s="456"/>
      <c r="AEL52" s="456"/>
      <c r="AEM52" s="456"/>
      <c r="AEN52" s="456"/>
      <c r="AEO52" s="456"/>
      <c r="AEP52" s="456"/>
      <c r="AEQ52" s="456"/>
      <c r="AER52" s="456"/>
      <c r="AES52" s="456"/>
      <c r="AET52" s="456"/>
      <c r="AEU52" s="456"/>
      <c r="AEV52" s="456"/>
      <c r="AEW52" s="456"/>
      <c r="AEX52" s="456"/>
      <c r="AEY52" s="456"/>
      <c r="AEZ52" s="456"/>
      <c r="AFA52" s="456"/>
      <c r="AFB52" s="456"/>
      <c r="AFC52" s="456"/>
      <c r="AFD52" s="456"/>
      <c r="AFE52" s="456"/>
      <c r="AFF52" s="456"/>
      <c r="AFG52" s="456"/>
      <c r="AFH52" s="456"/>
      <c r="AFI52" s="456"/>
      <c r="AFJ52" s="456"/>
      <c r="AFK52" s="456"/>
      <c r="AFL52" s="456"/>
      <c r="AFM52" s="456"/>
      <c r="AFN52" s="456"/>
      <c r="AFO52" s="456"/>
      <c r="AFP52" s="456"/>
      <c r="AFQ52" s="456"/>
      <c r="AFR52" s="456"/>
      <c r="AFS52" s="456"/>
      <c r="AFT52" s="456"/>
      <c r="AFU52" s="456"/>
      <c r="AFV52" s="456"/>
      <c r="AFW52" s="456"/>
      <c r="AFX52" s="456"/>
      <c r="AFY52" s="456"/>
      <c r="AFZ52" s="456"/>
      <c r="AGA52" s="456"/>
      <c r="AGB52" s="456"/>
      <c r="AGC52" s="456"/>
      <c r="AGD52" s="456"/>
      <c r="AGE52" s="456"/>
      <c r="AGF52" s="456"/>
      <c r="AGG52" s="456"/>
      <c r="AGH52" s="456"/>
      <c r="AGI52" s="456"/>
      <c r="AGJ52" s="456"/>
      <c r="AGK52" s="456"/>
      <c r="AGL52" s="456"/>
      <c r="AGM52" s="456"/>
      <c r="AGN52" s="456"/>
      <c r="AGO52" s="456"/>
      <c r="AGP52" s="456"/>
      <c r="AGQ52" s="456"/>
      <c r="AGR52" s="456"/>
      <c r="AGS52" s="456"/>
      <c r="AGT52" s="456"/>
      <c r="AGU52" s="456"/>
      <c r="AGV52" s="456"/>
      <c r="AGW52" s="456"/>
      <c r="AGX52" s="456"/>
      <c r="AGY52" s="456"/>
      <c r="AGZ52" s="456"/>
      <c r="AHA52" s="456"/>
      <c r="AHB52" s="456"/>
      <c r="AHC52" s="456"/>
      <c r="AHD52" s="456"/>
      <c r="AHE52" s="456"/>
      <c r="AHF52" s="456"/>
      <c r="AHG52" s="456"/>
      <c r="AHH52" s="456"/>
      <c r="AHI52" s="456"/>
      <c r="AHJ52" s="456"/>
      <c r="AHK52" s="456"/>
      <c r="AHL52" s="456"/>
      <c r="AHM52" s="456"/>
      <c r="AHN52" s="456"/>
      <c r="AHO52" s="456"/>
      <c r="AHP52" s="456"/>
      <c r="AHQ52" s="456"/>
      <c r="AHR52" s="456"/>
      <c r="AHS52" s="456"/>
      <c r="AHT52" s="456"/>
      <c r="AHU52" s="456"/>
      <c r="AHV52" s="456"/>
      <c r="AHW52" s="456"/>
      <c r="AHX52" s="456"/>
      <c r="AHY52" s="456"/>
      <c r="AHZ52" s="456"/>
      <c r="AIA52" s="456"/>
      <c r="AIB52" s="456"/>
      <c r="AIC52" s="456"/>
      <c r="AID52" s="456"/>
      <c r="AIE52" s="456"/>
      <c r="AIF52" s="456"/>
      <c r="AIG52" s="456"/>
      <c r="AIH52" s="456"/>
      <c r="AII52" s="456"/>
      <c r="AIJ52" s="456"/>
      <c r="AIK52" s="456"/>
      <c r="AIL52" s="456"/>
      <c r="AIM52" s="456"/>
      <c r="AIN52" s="456"/>
      <c r="AIO52" s="456"/>
      <c r="AIP52" s="456"/>
      <c r="AIQ52" s="456"/>
      <c r="AIR52" s="456"/>
      <c r="AIS52" s="456"/>
      <c r="AIT52" s="456"/>
      <c r="AIU52" s="456"/>
      <c r="AIV52" s="456"/>
      <c r="AIW52" s="456"/>
      <c r="AIX52" s="456"/>
      <c r="AIY52" s="456"/>
      <c r="AIZ52" s="456"/>
      <c r="AJA52" s="456"/>
      <c r="AJB52" s="456"/>
      <c r="AJC52" s="456"/>
      <c r="AJD52" s="456"/>
      <c r="AJE52" s="456"/>
      <c r="AJF52" s="456"/>
      <c r="AJG52" s="456"/>
      <c r="AJH52" s="456"/>
      <c r="AJI52" s="456"/>
      <c r="AJJ52" s="456"/>
      <c r="AJK52" s="456"/>
      <c r="AJL52" s="456"/>
      <c r="AJM52" s="456"/>
      <c r="AJN52" s="456"/>
      <c r="AJO52" s="456"/>
      <c r="AJP52" s="456"/>
      <c r="AJQ52" s="456"/>
      <c r="AJR52" s="456"/>
      <c r="AJS52" s="456"/>
      <c r="AJT52" s="456"/>
      <c r="AJU52" s="456"/>
      <c r="AJV52" s="456"/>
      <c r="AJW52" s="456"/>
      <c r="AJX52" s="456"/>
      <c r="AJY52" s="456"/>
      <c r="AJZ52" s="456"/>
      <c r="AKA52" s="456"/>
      <c r="AKB52" s="456"/>
      <c r="AKC52" s="456"/>
      <c r="AKD52" s="456"/>
      <c r="AKE52" s="456"/>
      <c r="AKF52" s="456"/>
      <c r="AKG52" s="456"/>
      <c r="AKH52" s="456"/>
      <c r="AKI52" s="456"/>
      <c r="AKJ52" s="456"/>
      <c r="AKK52" s="456"/>
      <c r="AKL52" s="456"/>
      <c r="AKM52" s="456"/>
      <c r="AKN52" s="456"/>
      <c r="AKO52" s="456"/>
      <c r="AKP52" s="456"/>
      <c r="AKQ52" s="456"/>
      <c r="AKR52" s="456"/>
      <c r="AKS52" s="456"/>
      <c r="AKT52" s="456"/>
      <c r="AKU52" s="456"/>
      <c r="AKV52" s="456"/>
      <c r="AKW52" s="456"/>
      <c r="AKX52" s="456"/>
      <c r="AKY52" s="456"/>
      <c r="AKZ52" s="456"/>
      <c r="ALA52" s="456"/>
      <c r="ALB52" s="456"/>
      <c r="ALC52" s="456"/>
      <c r="ALD52" s="456"/>
      <c r="ALE52" s="456"/>
      <c r="ALF52" s="456"/>
      <c r="ALG52" s="456"/>
      <c r="ALH52" s="456"/>
      <c r="ALI52" s="456"/>
      <c r="ALJ52" s="456"/>
      <c r="ALK52" s="456"/>
      <c r="ALL52" s="456"/>
      <c r="ALM52" s="456"/>
      <c r="ALN52" s="456"/>
      <c r="ALO52" s="456"/>
      <c r="ALP52" s="456"/>
      <c r="ALQ52" s="456"/>
      <c r="ALR52" s="456"/>
      <c r="ALS52" s="456"/>
      <c r="ALT52" s="456"/>
      <c r="ALU52" s="456"/>
      <c r="ALV52" s="456"/>
      <c r="ALW52" s="456"/>
      <c r="ALX52" s="456"/>
      <c r="ALY52" s="456"/>
      <c r="ALZ52" s="456"/>
      <c r="AMA52" s="456"/>
      <c r="AMB52" s="456"/>
      <c r="AMC52" s="456"/>
      <c r="AMD52" s="456"/>
      <c r="AME52" s="456"/>
      <c r="AMF52" s="456"/>
      <c r="AMG52" s="456"/>
      <c r="AMH52" s="456"/>
      <c r="AMI52" s="456"/>
      <c r="AMJ52" s="456"/>
      <c r="AMK52" s="456"/>
      <c r="AML52" s="456"/>
      <c r="AMM52" s="456"/>
      <c r="AMN52" s="456"/>
      <c r="AMO52" s="456"/>
      <c r="AMP52" s="456"/>
      <c r="AMQ52" s="456"/>
      <c r="AMR52" s="456"/>
      <c r="AMS52" s="456"/>
      <c r="AMT52" s="456"/>
      <c r="AMU52" s="456"/>
      <c r="AMV52" s="456"/>
      <c r="AMW52" s="456"/>
      <c r="AMX52" s="456"/>
      <c r="AMY52" s="456"/>
      <c r="AMZ52" s="456"/>
      <c r="ANA52" s="456"/>
      <c r="ANB52" s="456"/>
      <c r="ANC52" s="456"/>
      <c r="AND52" s="456"/>
      <c r="ANE52" s="456"/>
      <c r="ANF52" s="456"/>
      <c r="ANG52" s="456"/>
      <c r="ANH52" s="456"/>
      <c r="ANI52" s="456"/>
      <c r="ANJ52" s="456"/>
      <c r="ANK52" s="456"/>
      <c r="ANL52" s="456"/>
      <c r="ANM52" s="456"/>
      <c r="ANN52" s="456"/>
      <c r="ANO52" s="456"/>
      <c r="ANP52" s="456"/>
      <c r="ANQ52" s="456"/>
      <c r="ANR52" s="456"/>
      <c r="ANS52" s="456"/>
      <c r="ANT52" s="456"/>
      <c r="ANU52" s="456"/>
      <c r="ANV52" s="456"/>
      <c r="ANW52" s="456"/>
      <c r="ANX52" s="456"/>
      <c r="ANY52" s="456"/>
      <c r="ANZ52" s="456"/>
      <c r="AOA52" s="456"/>
      <c r="AOB52" s="456"/>
      <c r="AOC52" s="456"/>
      <c r="AOD52" s="456"/>
      <c r="AOE52" s="456"/>
      <c r="AOF52" s="456"/>
      <c r="AOG52" s="456"/>
      <c r="AOH52" s="456"/>
      <c r="AOI52" s="456"/>
      <c r="AOJ52" s="456"/>
      <c r="AOK52" s="456"/>
      <c r="AOL52" s="456"/>
      <c r="AOM52" s="456"/>
      <c r="AON52" s="456"/>
      <c r="AOO52" s="456"/>
      <c r="AOP52" s="456"/>
      <c r="AOQ52" s="456"/>
      <c r="AOR52" s="456"/>
      <c r="AOS52" s="456"/>
      <c r="AOT52" s="456"/>
      <c r="AOU52" s="456"/>
      <c r="AOV52" s="456"/>
      <c r="AOW52" s="456"/>
      <c r="AOX52" s="456"/>
      <c r="AOY52" s="456"/>
      <c r="AOZ52" s="456"/>
      <c r="APA52" s="456"/>
      <c r="APB52" s="456"/>
      <c r="APC52" s="456"/>
      <c r="APD52" s="456"/>
      <c r="APE52" s="456"/>
      <c r="APF52" s="456"/>
      <c r="APG52" s="456"/>
      <c r="APH52" s="456"/>
      <c r="API52" s="456"/>
      <c r="APJ52" s="456"/>
      <c r="APK52" s="456"/>
      <c r="APL52" s="456"/>
      <c r="APM52" s="456"/>
      <c r="APN52" s="456"/>
      <c r="APO52" s="456"/>
      <c r="APP52" s="456"/>
      <c r="APQ52" s="456"/>
      <c r="APR52" s="456"/>
      <c r="APS52" s="456"/>
      <c r="APT52" s="456"/>
      <c r="APU52" s="456"/>
      <c r="APV52" s="456"/>
      <c r="APW52" s="456"/>
      <c r="APX52" s="456"/>
      <c r="APY52" s="456"/>
      <c r="APZ52" s="456"/>
      <c r="AQA52" s="456"/>
      <c r="AQB52" s="456"/>
      <c r="AQC52" s="456"/>
      <c r="AQD52" s="456"/>
      <c r="AQE52" s="456"/>
      <c r="AQF52" s="456"/>
      <c r="AQG52" s="456"/>
      <c r="AQH52" s="456"/>
      <c r="AQI52" s="456"/>
      <c r="AQJ52" s="456"/>
      <c r="AQK52" s="456"/>
      <c r="AQL52" s="456"/>
      <c r="AQM52" s="456"/>
      <c r="AQN52" s="456"/>
      <c r="AQO52" s="456"/>
      <c r="AQP52" s="456"/>
      <c r="AQQ52" s="456"/>
      <c r="AQR52" s="456"/>
      <c r="AQS52" s="456"/>
      <c r="AQT52" s="456"/>
      <c r="AQU52" s="456"/>
      <c r="AQV52" s="456"/>
      <c r="AQW52" s="456"/>
      <c r="AQX52" s="456"/>
      <c r="AQY52" s="456"/>
      <c r="AQZ52" s="456"/>
      <c r="ARA52" s="456"/>
      <c r="ARB52" s="456"/>
      <c r="ARC52" s="456"/>
      <c r="ARD52" s="456"/>
      <c r="ARE52" s="456"/>
      <c r="ARF52" s="456"/>
      <c r="ARG52" s="456"/>
      <c r="ARH52" s="456"/>
      <c r="ARI52" s="456"/>
      <c r="ARJ52" s="456"/>
      <c r="ARK52" s="456"/>
      <c r="ARL52" s="456"/>
      <c r="ARM52" s="456"/>
      <c r="ARN52" s="456"/>
      <c r="ARO52" s="456"/>
      <c r="ARP52" s="456"/>
      <c r="ARQ52" s="456"/>
      <c r="ARR52" s="456"/>
      <c r="ARS52" s="456"/>
      <c r="ART52" s="456"/>
      <c r="ARU52" s="456"/>
      <c r="ARV52" s="456"/>
      <c r="ARW52" s="456"/>
      <c r="ARX52" s="456"/>
      <c r="ARY52" s="456"/>
      <c r="ARZ52" s="456"/>
      <c r="ASA52" s="456"/>
      <c r="ASB52" s="456"/>
      <c r="ASC52" s="456"/>
      <c r="ASD52" s="456"/>
      <c r="ASE52" s="456"/>
      <c r="ASF52" s="456"/>
      <c r="ASG52" s="456"/>
      <c r="ASH52" s="456"/>
      <c r="ASI52" s="456"/>
      <c r="ASJ52" s="456"/>
      <c r="ASK52" s="456"/>
      <c r="ASL52" s="456"/>
      <c r="ASM52" s="456"/>
      <c r="ASN52" s="456"/>
      <c r="ASO52" s="456"/>
      <c r="ASP52" s="456"/>
      <c r="ASQ52" s="456"/>
      <c r="ASR52" s="456"/>
      <c r="ASS52" s="456"/>
      <c r="AST52" s="456"/>
      <c r="ASU52" s="456"/>
      <c r="ASV52" s="456"/>
      <c r="ASW52" s="456"/>
      <c r="ASX52" s="456"/>
      <c r="ASY52" s="456"/>
      <c r="ASZ52" s="456"/>
      <c r="ATA52" s="456"/>
      <c r="ATB52" s="456"/>
      <c r="ATC52" s="456"/>
      <c r="ATD52" s="456"/>
      <c r="ATE52" s="456"/>
      <c r="ATF52" s="456"/>
      <c r="ATG52" s="456"/>
      <c r="ATH52" s="456"/>
      <c r="ATI52" s="456"/>
      <c r="ATJ52" s="456"/>
      <c r="ATK52" s="456"/>
      <c r="ATL52" s="456"/>
      <c r="ATM52" s="456"/>
      <c r="ATN52" s="456"/>
      <c r="ATO52" s="456"/>
      <c r="ATP52" s="456"/>
      <c r="ATQ52" s="456"/>
      <c r="ATR52" s="456"/>
      <c r="ATS52" s="456"/>
      <c r="ATT52" s="456"/>
      <c r="ATU52" s="456"/>
      <c r="ATV52" s="456"/>
      <c r="ATW52" s="456"/>
      <c r="ATX52" s="456"/>
      <c r="ATY52" s="456"/>
      <c r="ATZ52" s="456"/>
      <c r="AUA52" s="456"/>
      <c r="AUB52" s="456"/>
      <c r="AUC52" s="456"/>
      <c r="AUD52" s="456"/>
      <c r="AUE52" s="456"/>
      <c r="AUF52" s="456"/>
      <c r="AUG52" s="456"/>
      <c r="AUH52" s="456"/>
      <c r="AUI52" s="456"/>
      <c r="AUJ52" s="456"/>
      <c r="AUK52" s="456"/>
      <c r="AUL52" s="456"/>
      <c r="AUM52" s="456"/>
      <c r="AUN52" s="456"/>
      <c r="AUO52" s="456"/>
      <c r="AUP52" s="456"/>
      <c r="AUQ52" s="456"/>
      <c r="AUR52" s="456"/>
      <c r="AUS52" s="456"/>
      <c r="AUT52" s="456"/>
      <c r="AUU52" s="456"/>
      <c r="AUV52" s="456"/>
      <c r="AUW52" s="456"/>
      <c r="AUX52" s="456"/>
      <c r="AUY52" s="456"/>
      <c r="AUZ52" s="456"/>
      <c r="AVA52" s="456"/>
      <c r="AVB52" s="456"/>
      <c r="AVC52" s="456"/>
      <c r="AVD52" s="456"/>
      <c r="AVE52" s="456"/>
      <c r="AVF52" s="456"/>
      <c r="AVG52" s="456"/>
      <c r="AVH52" s="456"/>
      <c r="AVI52" s="456"/>
      <c r="AVJ52" s="456"/>
      <c r="AVK52" s="456"/>
      <c r="AVL52" s="456"/>
      <c r="AVM52" s="456"/>
      <c r="AVN52" s="456"/>
      <c r="AVO52" s="456"/>
      <c r="AVP52" s="456"/>
      <c r="AVQ52" s="456"/>
      <c r="AVR52" s="456"/>
      <c r="AVS52" s="456"/>
      <c r="AVT52" s="456"/>
      <c r="AVU52" s="456"/>
      <c r="AVV52" s="456"/>
      <c r="AVW52" s="456"/>
      <c r="AVX52" s="456"/>
      <c r="AVY52" s="456"/>
      <c r="AVZ52" s="456"/>
      <c r="AWA52" s="456"/>
      <c r="AWB52" s="456"/>
      <c r="AWC52" s="456"/>
      <c r="AWD52" s="456"/>
      <c r="AWE52" s="456"/>
      <c r="AWF52" s="456"/>
      <c r="AWG52" s="456"/>
      <c r="AWH52" s="456"/>
      <c r="AWI52" s="456"/>
      <c r="AWJ52" s="456"/>
      <c r="AWK52" s="456"/>
      <c r="AWL52" s="456"/>
      <c r="AWM52" s="456"/>
      <c r="AWN52" s="456"/>
      <c r="AWO52" s="456"/>
      <c r="AWP52" s="456"/>
      <c r="AWQ52" s="456"/>
      <c r="AWR52" s="456"/>
      <c r="AWS52" s="456"/>
      <c r="AWT52" s="456"/>
      <c r="AWU52" s="456"/>
      <c r="AWV52" s="456"/>
      <c r="AWW52" s="456"/>
      <c r="AWX52" s="456"/>
      <c r="AWY52" s="456"/>
      <c r="AWZ52" s="456"/>
      <c r="AXA52" s="456"/>
      <c r="AXB52" s="456"/>
      <c r="AXC52" s="456"/>
      <c r="AXD52" s="456"/>
      <c r="AXE52" s="456"/>
      <c r="AXF52" s="456"/>
      <c r="AXG52" s="456"/>
      <c r="AXH52" s="456"/>
      <c r="AXI52" s="456"/>
      <c r="AXJ52" s="456"/>
      <c r="AXK52" s="456"/>
      <c r="AXL52" s="456"/>
      <c r="AXM52" s="456"/>
      <c r="AXN52" s="456"/>
      <c r="AXO52" s="456"/>
      <c r="AXP52" s="456"/>
      <c r="AXQ52" s="456"/>
      <c r="AXR52" s="456"/>
      <c r="AXS52" s="456"/>
      <c r="AXT52" s="456"/>
      <c r="AXU52" s="456"/>
      <c r="AXV52" s="456"/>
      <c r="AXW52" s="456"/>
      <c r="AXX52" s="456"/>
      <c r="AXY52" s="456"/>
      <c r="AXZ52" s="456"/>
      <c r="AYA52" s="456"/>
      <c r="AYB52" s="456"/>
      <c r="AYC52" s="456"/>
      <c r="AYD52" s="456"/>
      <c r="AYE52" s="456"/>
      <c r="AYF52" s="456"/>
      <c r="AYG52" s="456"/>
      <c r="AYH52" s="456"/>
      <c r="AYI52" s="456"/>
      <c r="AYJ52" s="456"/>
      <c r="AYK52" s="456"/>
      <c r="AYL52" s="456"/>
      <c r="AYM52" s="456"/>
      <c r="AYN52" s="456"/>
      <c r="AYO52" s="456"/>
      <c r="AYP52" s="456"/>
      <c r="AYQ52" s="456"/>
      <c r="AYR52" s="456"/>
      <c r="AYS52" s="456"/>
      <c r="AYT52" s="456"/>
      <c r="AYU52" s="456"/>
      <c r="AYV52" s="456"/>
      <c r="AYW52" s="456"/>
      <c r="AYX52" s="456"/>
      <c r="AYY52" s="456"/>
      <c r="AYZ52" s="456"/>
      <c r="AZA52" s="456"/>
      <c r="AZB52" s="456"/>
      <c r="AZC52" s="456"/>
      <c r="AZD52" s="456"/>
      <c r="AZE52" s="456"/>
      <c r="AZF52" s="456"/>
      <c r="AZG52" s="456"/>
      <c r="AZH52" s="456"/>
      <c r="AZI52" s="456"/>
      <c r="AZJ52" s="456"/>
      <c r="AZK52" s="456"/>
      <c r="AZL52" s="456"/>
      <c r="AZM52" s="456"/>
      <c r="AZN52" s="456"/>
      <c r="AZO52" s="456"/>
      <c r="AZP52" s="456"/>
      <c r="AZQ52" s="456"/>
      <c r="AZR52" s="456"/>
      <c r="AZS52" s="456"/>
      <c r="AZT52" s="456"/>
      <c r="AZU52" s="456"/>
      <c r="AZV52" s="456"/>
      <c r="AZW52" s="456"/>
      <c r="AZX52" s="456"/>
      <c r="AZY52" s="456"/>
      <c r="AZZ52" s="456"/>
      <c r="BAA52" s="456"/>
      <c r="BAB52" s="456"/>
      <c r="BAC52" s="456"/>
      <c r="BAD52" s="456"/>
      <c r="BAE52" s="456"/>
      <c r="BAF52" s="456"/>
      <c r="BAG52" s="456"/>
      <c r="BAH52" s="456"/>
      <c r="BAI52" s="456"/>
      <c r="BAJ52" s="456"/>
      <c r="BAK52" s="456"/>
      <c r="BAL52" s="456"/>
      <c r="BAM52" s="456"/>
      <c r="BAN52" s="456"/>
      <c r="BAO52" s="456"/>
      <c r="BAP52" s="456"/>
      <c r="BAQ52" s="456"/>
      <c r="BAR52" s="456"/>
      <c r="BAS52" s="456"/>
      <c r="BAT52" s="456"/>
      <c r="BAU52" s="456"/>
      <c r="BAV52" s="456"/>
      <c r="BAW52" s="456"/>
      <c r="BAX52" s="456"/>
      <c r="BAY52" s="456"/>
      <c r="BAZ52" s="456"/>
      <c r="BBA52" s="456"/>
      <c r="BBB52" s="456"/>
      <c r="BBC52" s="456"/>
      <c r="BBD52" s="456"/>
      <c r="BBE52" s="456"/>
      <c r="BBF52" s="456"/>
      <c r="BBG52" s="456"/>
      <c r="BBH52" s="456"/>
      <c r="BBI52" s="456"/>
      <c r="BBJ52" s="456"/>
      <c r="BBK52" s="456"/>
      <c r="BBL52" s="456"/>
      <c r="BBM52" s="456"/>
      <c r="BBN52" s="456"/>
      <c r="BBO52" s="456"/>
      <c r="BBP52" s="456"/>
      <c r="BBQ52" s="456"/>
      <c r="BBR52" s="456"/>
      <c r="BBS52" s="456"/>
      <c r="BBT52" s="456"/>
      <c r="BBU52" s="456"/>
      <c r="BBV52" s="456"/>
      <c r="BBW52" s="456"/>
      <c r="BBX52" s="456"/>
      <c r="BBY52" s="456"/>
      <c r="BBZ52" s="456"/>
      <c r="BCA52" s="456"/>
      <c r="BCB52" s="456"/>
      <c r="BCC52" s="456"/>
      <c r="BCD52" s="456"/>
      <c r="BCE52" s="456"/>
      <c r="BCF52" s="456"/>
      <c r="BCG52" s="456"/>
      <c r="BCH52" s="456"/>
      <c r="BCI52" s="456"/>
      <c r="BCJ52" s="456"/>
      <c r="BCK52" s="456"/>
      <c r="BCL52" s="456"/>
      <c r="BCM52" s="456"/>
      <c r="BCN52" s="456"/>
      <c r="BCO52" s="456"/>
      <c r="BCP52" s="456"/>
      <c r="BCQ52" s="456"/>
      <c r="BCR52" s="456"/>
      <c r="BCS52" s="456"/>
      <c r="BCT52" s="456"/>
      <c r="BCU52" s="456"/>
      <c r="BCV52" s="456"/>
      <c r="BCW52" s="456"/>
      <c r="BCX52" s="456"/>
      <c r="BCY52" s="456"/>
      <c r="BCZ52" s="456"/>
      <c r="BDA52" s="456"/>
      <c r="BDB52" s="456"/>
      <c r="BDC52" s="456"/>
      <c r="BDD52" s="456"/>
      <c r="BDE52" s="456"/>
      <c r="BDF52" s="456"/>
      <c r="BDG52" s="456"/>
      <c r="BDH52" s="456"/>
      <c r="BDI52" s="456"/>
      <c r="BDJ52" s="456"/>
      <c r="BDK52" s="456"/>
      <c r="BDL52" s="456"/>
      <c r="BDM52" s="456"/>
      <c r="BDN52" s="456"/>
      <c r="BDO52" s="456"/>
      <c r="BDP52" s="456"/>
      <c r="BDQ52" s="456"/>
      <c r="BDR52" s="456"/>
      <c r="BDS52" s="456"/>
      <c r="BDT52" s="456"/>
      <c r="BDU52" s="456"/>
      <c r="BDV52" s="456"/>
      <c r="BDW52" s="456"/>
      <c r="BDX52" s="456"/>
      <c r="BDY52" s="456"/>
      <c r="BDZ52" s="456"/>
      <c r="BEA52" s="456"/>
      <c r="BEB52" s="456"/>
      <c r="BEC52" s="456"/>
      <c r="BED52" s="456"/>
      <c r="BEE52" s="456"/>
      <c r="BEF52" s="456"/>
      <c r="BEG52" s="456"/>
      <c r="BEH52" s="456"/>
      <c r="BEI52" s="456"/>
      <c r="BEJ52" s="456"/>
      <c r="BEK52" s="456"/>
      <c r="BEL52" s="456"/>
      <c r="BEM52" s="456"/>
      <c r="BEN52" s="456"/>
      <c r="BEO52" s="456"/>
      <c r="BEP52" s="456"/>
      <c r="BEQ52" s="456"/>
      <c r="BER52" s="456"/>
      <c r="BES52" s="456"/>
      <c r="BET52" s="456"/>
      <c r="BEU52" s="456"/>
      <c r="BEV52" s="456"/>
      <c r="BEW52" s="456"/>
      <c r="BEX52" s="456"/>
      <c r="BEY52" s="456"/>
      <c r="BEZ52" s="456"/>
      <c r="BFA52" s="456"/>
      <c r="BFB52" s="456"/>
      <c r="BFC52" s="456"/>
      <c r="BFD52" s="456"/>
      <c r="BFE52" s="456"/>
      <c r="BFF52" s="456"/>
      <c r="BFG52" s="456"/>
      <c r="BFH52" s="456"/>
      <c r="BFI52" s="456"/>
      <c r="BFJ52" s="456"/>
      <c r="BFK52" s="456"/>
      <c r="BFL52" s="456"/>
      <c r="BFM52" s="456"/>
      <c r="BFN52" s="456"/>
      <c r="BFO52" s="456"/>
      <c r="BFP52" s="456"/>
      <c r="BFQ52" s="456"/>
      <c r="BFR52" s="456"/>
      <c r="BFS52" s="456"/>
      <c r="BFT52" s="456"/>
      <c r="BFU52" s="456"/>
      <c r="BFV52" s="456"/>
      <c r="BFW52" s="456"/>
      <c r="BFX52" s="456"/>
      <c r="BFY52" s="456"/>
      <c r="BFZ52" s="456"/>
      <c r="BGA52" s="456"/>
      <c r="BGB52" s="456"/>
      <c r="BGC52" s="456"/>
      <c r="BGD52" s="456"/>
      <c r="BGE52" s="456"/>
      <c r="BGF52" s="456"/>
      <c r="BGG52" s="456"/>
      <c r="BGH52" s="456"/>
      <c r="BGI52" s="456"/>
      <c r="BGJ52" s="456"/>
      <c r="BGK52" s="456"/>
      <c r="BGL52" s="456"/>
      <c r="BGM52" s="456"/>
      <c r="BGN52" s="456"/>
      <c r="BGO52" s="456"/>
      <c r="BGP52" s="456"/>
      <c r="BGQ52" s="456"/>
      <c r="BGR52" s="456"/>
      <c r="BGS52" s="456"/>
      <c r="BGT52" s="456"/>
      <c r="BGU52" s="456"/>
      <c r="BGV52" s="456"/>
      <c r="BGW52" s="456"/>
      <c r="BGX52" s="456"/>
      <c r="BGY52" s="456"/>
      <c r="BGZ52" s="456"/>
      <c r="BHA52" s="456"/>
      <c r="BHB52" s="456"/>
      <c r="BHC52" s="456"/>
      <c r="BHD52" s="456"/>
      <c r="BHE52" s="456"/>
      <c r="BHF52" s="456"/>
      <c r="BHG52" s="456"/>
      <c r="BHH52" s="456"/>
      <c r="BHI52" s="456"/>
      <c r="BHJ52" s="456"/>
      <c r="BHK52" s="456"/>
      <c r="BHL52" s="456"/>
      <c r="BHM52" s="456"/>
      <c r="BHN52" s="456"/>
      <c r="BHO52" s="456"/>
      <c r="BHP52" s="456"/>
      <c r="BHQ52" s="456"/>
      <c r="BHR52" s="456"/>
      <c r="BHS52" s="456"/>
      <c r="BHT52" s="456"/>
      <c r="BHU52" s="456"/>
      <c r="BHV52" s="456"/>
      <c r="BHW52" s="456"/>
      <c r="BHX52" s="456"/>
      <c r="BHY52" s="456"/>
      <c r="BHZ52" s="456"/>
      <c r="BIA52" s="456"/>
      <c r="BIB52" s="456"/>
      <c r="BIC52" s="456"/>
      <c r="BID52" s="456"/>
      <c r="BIE52" s="456"/>
      <c r="BIF52" s="456"/>
      <c r="BIG52" s="456"/>
      <c r="BIH52" s="456"/>
      <c r="BII52" s="456"/>
      <c r="BIJ52" s="456"/>
      <c r="BIK52" s="456"/>
      <c r="BIL52" s="456"/>
      <c r="BIM52" s="456"/>
      <c r="BIN52" s="456"/>
      <c r="BIO52" s="456"/>
      <c r="BIP52" s="456"/>
      <c r="BIQ52" s="456"/>
      <c r="BIR52" s="456"/>
      <c r="BIS52" s="456"/>
      <c r="BIT52" s="456"/>
      <c r="BIU52" s="456"/>
      <c r="BIV52" s="456"/>
      <c r="BIW52" s="456"/>
      <c r="BIX52" s="456"/>
      <c r="BIY52" s="456"/>
      <c r="BIZ52" s="456"/>
      <c r="BJA52" s="456"/>
      <c r="BJB52" s="456"/>
      <c r="BJC52" s="456"/>
      <c r="BJD52" s="456"/>
      <c r="BJE52" s="456"/>
      <c r="BJF52" s="456"/>
      <c r="BJG52" s="456"/>
      <c r="BJH52" s="456"/>
      <c r="BJI52" s="456"/>
      <c r="BJJ52" s="456"/>
      <c r="BJK52" s="456"/>
      <c r="BJL52" s="456"/>
      <c r="BJM52" s="456"/>
      <c r="BJN52" s="456"/>
      <c r="BJO52" s="456"/>
      <c r="BJP52" s="456"/>
      <c r="BJQ52" s="456"/>
      <c r="BJR52" s="456"/>
      <c r="BJS52" s="456"/>
      <c r="BJT52" s="456"/>
      <c r="BJU52" s="456"/>
      <c r="BJV52" s="456"/>
      <c r="BJW52" s="456"/>
      <c r="BJX52" s="456"/>
      <c r="BJY52" s="456"/>
      <c r="BJZ52" s="456"/>
      <c r="BKA52" s="456"/>
      <c r="BKB52" s="456"/>
      <c r="BKC52" s="456"/>
      <c r="BKD52" s="456"/>
      <c r="BKE52" s="456"/>
      <c r="BKF52" s="456"/>
      <c r="BKG52" s="456"/>
      <c r="BKH52" s="456"/>
      <c r="BKI52" s="456"/>
      <c r="BKJ52" s="456"/>
      <c r="BKK52" s="456"/>
      <c r="BKL52" s="456"/>
      <c r="BKM52" s="456"/>
      <c r="BKN52" s="456"/>
      <c r="BKO52" s="456"/>
      <c r="BKP52" s="456"/>
      <c r="BKQ52" s="456"/>
      <c r="BKR52" s="456"/>
      <c r="BKS52" s="456"/>
      <c r="BKT52" s="456"/>
      <c r="BKU52" s="456"/>
      <c r="BKV52" s="456"/>
      <c r="BKW52" s="456"/>
      <c r="BKX52" s="456"/>
      <c r="BKY52" s="456"/>
      <c r="BKZ52" s="456"/>
      <c r="BLA52" s="456"/>
      <c r="BLB52" s="456"/>
      <c r="BLC52" s="456"/>
      <c r="BLD52" s="456"/>
      <c r="BLE52" s="456"/>
      <c r="BLF52" s="456"/>
      <c r="BLG52" s="456"/>
      <c r="BLH52" s="456"/>
      <c r="BLI52" s="456"/>
      <c r="BLJ52" s="456"/>
      <c r="BLK52" s="456"/>
      <c r="BLL52" s="456"/>
      <c r="BLM52" s="456"/>
      <c r="BLN52" s="456"/>
      <c r="BLO52" s="456"/>
      <c r="BLP52" s="456"/>
      <c r="BLQ52" s="456"/>
      <c r="BLR52" s="456"/>
      <c r="BLS52" s="456"/>
      <c r="BLT52" s="456"/>
      <c r="BLU52" s="456"/>
      <c r="BLV52" s="456"/>
      <c r="BLW52" s="456"/>
      <c r="BLX52" s="456"/>
      <c r="BLY52" s="456"/>
      <c r="BLZ52" s="456"/>
      <c r="BMA52" s="456"/>
      <c r="BMB52" s="456"/>
      <c r="BMC52" s="456"/>
      <c r="BMD52" s="456"/>
      <c r="BME52" s="456"/>
      <c r="BMF52" s="456"/>
      <c r="BMG52" s="456"/>
      <c r="BMH52" s="456"/>
      <c r="BMI52" s="456"/>
      <c r="BMJ52" s="456"/>
      <c r="BMK52" s="456"/>
      <c r="BML52" s="456"/>
      <c r="BMM52" s="456"/>
      <c r="BMN52" s="456"/>
      <c r="BMO52" s="456"/>
      <c r="BMP52" s="456"/>
      <c r="BMQ52" s="456"/>
      <c r="BMR52" s="456"/>
      <c r="BMS52" s="456"/>
      <c r="BMT52" s="456"/>
      <c r="BMU52" s="456"/>
      <c r="BMV52" s="456"/>
      <c r="BMW52" s="456"/>
      <c r="BMX52" s="456"/>
      <c r="BMY52" s="456"/>
      <c r="BMZ52" s="456"/>
      <c r="BNA52" s="456"/>
      <c r="BNB52" s="456"/>
      <c r="BNC52" s="456"/>
      <c r="BND52" s="456"/>
      <c r="BNE52" s="456"/>
      <c r="BNF52" s="456"/>
      <c r="BNG52" s="456"/>
      <c r="BNH52" s="456"/>
      <c r="BNI52" s="456"/>
      <c r="BNJ52" s="456"/>
      <c r="BNK52" s="456"/>
      <c r="BNL52" s="456"/>
      <c r="BNM52" s="456"/>
      <c r="BNN52" s="456"/>
      <c r="BNO52" s="456"/>
      <c r="BNP52" s="456"/>
      <c r="BNQ52" s="456"/>
      <c r="BNR52" s="456"/>
      <c r="BNS52" s="456"/>
      <c r="BNT52" s="456"/>
      <c r="BNU52" s="456"/>
      <c r="BNV52" s="456"/>
      <c r="BNW52" s="456"/>
      <c r="BNX52" s="456"/>
      <c r="BNY52" s="456"/>
      <c r="BNZ52" s="456"/>
      <c r="BOA52" s="456"/>
      <c r="BOB52" s="456"/>
      <c r="BOC52" s="456"/>
      <c r="BOD52" s="456"/>
      <c r="BOE52" s="456"/>
      <c r="BOF52" s="456"/>
      <c r="BOG52" s="456"/>
      <c r="BOH52" s="456"/>
      <c r="BOI52" s="456"/>
      <c r="BOJ52" s="456"/>
      <c r="BOK52" s="456"/>
      <c r="BOL52" s="456"/>
      <c r="BOM52" s="456"/>
      <c r="BON52" s="456"/>
      <c r="BOO52" s="456"/>
      <c r="BOP52" s="456"/>
      <c r="BOQ52" s="456"/>
      <c r="BOR52" s="456"/>
      <c r="BOS52" s="456"/>
      <c r="BOT52" s="456"/>
      <c r="BOU52" s="456"/>
      <c r="BOV52" s="456"/>
      <c r="BOW52" s="456"/>
      <c r="BOX52" s="456"/>
      <c r="BOY52" s="456"/>
      <c r="BOZ52" s="456"/>
      <c r="BPA52" s="456"/>
      <c r="BPB52" s="456"/>
      <c r="BPC52" s="456"/>
      <c r="BPD52" s="456"/>
      <c r="BPE52" s="456"/>
      <c r="BPF52" s="456"/>
      <c r="BPG52" s="456"/>
      <c r="BPH52" s="456"/>
      <c r="BPI52" s="456"/>
      <c r="BPJ52" s="456"/>
      <c r="BPK52" s="456"/>
      <c r="BPL52" s="456"/>
      <c r="BPM52" s="456"/>
      <c r="BPN52" s="456"/>
      <c r="BPO52" s="456"/>
      <c r="BPP52" s="456"/>
      <c r="BPQ52" s="456"/>
      <c r="BPR52" s="456"/>
      <c r="BPS52" s="456"/>
      <c r="BPT52" s="456"/>
      <c r="BPU52" s="456"/>
      <c r="BPV52" s="456"/>
      <c r="BPW52" s="456"/>
      <c r="BPX52" s="456"/>
      <c r="BPY52" s="456"/>
      <c r="BPZ52" s="456"/>
      <c r="BQA52" s="456"/>
      <c r="BQB52" s="456"/>
      <c r="BQC52" s="456"/>
      <c r="BQD52" s="456"/>
      <c r="BQE52" s="456"/>
      <c r="BQF52" s="456"/>
      <c r="BQG52" s="456"/>
      <c r="BQH52" s="456"/>
      <c r="BQI52" s="456"/>
      <c r="BQJ52" s="456"/>
      <c r="BQK52" s="456"/>
      <c r="BQL52" s="456"/>
      <c r="BQM52" s="456"/>
      <c r="BQN52" s="456"/>
      <c r="BQO52" s="456"/>
      <c r="BQP52" s="456"/>
      <c r="BQQ52" s="456"/>
      <c r="BQR52" s="456"/>
      <c r="BQS52" s="456"/>
      <c r="BQT52" s="456"/>
      <c r="BQU52" s="456"/>
      <c r="BQV52" s="456"/>
      <c r="BQW52" s="456"/>
      <c r="BQX52" s="456"/>
      <c r="BQY52" s="456"/>
      <c r="BQZ52" s="456"/>
      <c r="BRA52" s="456"/>
      <c r="BRB52" s="456"/>
      <c r="BRC52" s="456"/>
      <c r="BRD52" s="456"/>
      <c r="BRE52" s="456"/>
      <c r="BRF52" s="456"/>
      <c r="BRG52" s="456"/>
      <c r="BRH52" s="456"/>
      <c r="BRI52" s="456"/>
      <c r="BRJ52" s="456"/>
      <c r="BRK52" s="456"/>
      <c r="BRL52" s="456"/>
      <c r="BRM52" s="456"/>
      <c r="BRN52" s="456"/>
      <c r="BRO52" s="456"/>
      <c r="BRP52" s="456"/>
      <c r="BRQ52" s="456"/>
      <c r="BRR52" s="456"/>
      <c r="BRS52" s="456"/>
      <c r="BRT52" s="456"/>
      <c r="BRU52" s="456"/>
      <c r="BRV52" s="456"/>
      <c r="BRW52" s="456"/>
      <c r="BRX52" s="456"/>
      <c r="BRY52" s="456"/>
      <c r="BRZ52" s="456"/>
      <c r="BSA52" s="456"/>
      <c r="BSB52" s="456"/>
      <c r="BSC52" s="456"/>
      <c r="BSD52" s="456"/>
      <c r="BSE52" s="456"/>
      <c r="BSF52" s="456"/>
      <c r="BSG52" s="456"/>
      <c r="BSH52" s="456"/>
      <c r="BSI52" s="456"/>
      <c r="BSJ52" s="456"/>
      <c r="BSK52" s="456"/>
      <c r="BSL52" s="456"/>
      <c r="BSM52" s="456"/>
      <c r="BSN52" s="456"/>
      <c r="BSO52" s="456"/>
      <c r="BSP52" s="456"/>
      <c r="BSQ52" s="456"/>
      <c r="BSR52" s="456"/>
      <c r="BSS52" s="456"/>
      <c r="BST52" s="456"/>
      <c r="BSU52" s="456"/>
      <c r="BSV52" s="456"/>
      <c r="BSW52" s="456"/>
      <c r="BSX52" s="456"/>
      <c r="BSY52" s="456"/>
      <c r="BSZ52" s="456"/>
      <c r="BTA52" s="456"/>
      <c r="BTB52" s="456"/>
      <c r="BTC52" s="456"/>
      <c r="BTD52" s="456"/>
      <c r="BTE52" s="456"/>
      <c r="BTF52" s="456"/>
      <c r="BTG52" s="456"/>
      <c r="BTH52" s="456"/>
      <c r="BTI52" s="456"/>
      <c r="BTJ52" s="456"/>
      <c r="BTK52" s="456"/>
      <c r="BTL52" s="456"/>
      <c r="BTM52" s="456"/>
      <c r="BTN52" s="456"/>
      <c r="BTO52" s="456"/>
      <c r="BTP52" s="456"/>
      <c r="BTQ52" s="456"/>
      <c r="BTR52" s="456"/>
      <c r="BTS52" s="456"/>
      <c r="BTT52" s="456"/>
      <c r="BTU52" s="456"/>
      <c r="BTV52" s="456"/>
      <c r="BTW52" s="456"/>
      <c r="BTX52" s="456"/>
      <c r="BTY52" s="456"/>
      <c r="BTZ52" s="456"/>
      <c r="BUA52" s="456"/>
      <c r="BUB52" s="456"/>
      <c r="BUC52" s="456"/>
      <c r="BUD52" s="456"/>
      <c r="BUE52" s="456"/>
      <c r="BUF52" s="456"/>
      <c r="BUG52" s="456"/>
      <c r="BUH52" s="456"/>
      <c r="BUI52" s="456"/>
      <c r="BUJ52" s="456"/>
      <c r="BUK52" s="456"/>
      <c r="BUL52" s="456"/>
      <c r="BUM52" s="456"/>
      <c r="BUN52" s="456"/>
      <c r="BUO52" s="456"/>
      <c r="BUP52" s="456"/>
      <c r="BUQ52" s="456"/>
      <c r="BUR52" s="456"/>
      <c r="BUS52" s="456"/>
      <c r="BUT52" s="456"/>
      <c r="BUU52" s="456"/>
      <c r="BUV52" s="456"/>
      <c r="BUW52" s="456"/>
      <c r="BUX52" s="456"/>
      <c r="BUY52" s="456"/>
      <c r="BUZ52" s="456"/>
      <c r="BVA52" s="456"/>
      <c r="BVB52" s="456"/>
      <c r="BVC52" s="456"/>
      <c r="BVD52" s="456"/>
      <c r="BVE52" s="456"/>
      <c r="BVF52" s="456"/>
      <c r="BVG52" s="456"/>
      <c r="BVH52" s="456"/>
      <c r="BVI52" s="456"/>
      <c r="BVJ52" s="456"/>
      <c r="BVK52" s="456"/>
      <c r="BVL52" s="456"/>
      <c r="BVM52" s="456"/>
      <c r="BVN52" s="456"/>
      <c r="BVO52" s="456"/>
      <c r="BVP52" s="456"/>
      <c r="BVQ52" s="456"/>
      <c r="BVR52" s="456"/>
      <c r="BVS52" s="456"/>
      <c r="BVT52" s="456"/>
      <c r="BVU52" s="456"/>
      <c r="BVV52" s="456"/>
      <c r="BVW52" s="456"/>
      <c r="BVX52" s="456"/>
      <c r="BVY52" s="456"/>
      <c r="BVZ52" s="456"/>
      <c r="BWA52" s="456"/>
      <c r="BWB52" s="456"/>
      <c r="BWC52" s="456"/>
      <c r="BWD52" s="456"/>
      <c r="BWE52" s="456"/>
      <c r="BWF52" s="456"/>
      <c r="BWG52" s="456"/>
      <c r="BWH52" s="456"/>
      <c r="BWI52" s="456"/>
      <c r="BWJ52" s="456"/>
      <c r="BWK52" s="456"/>
      <c r="BWL52" s="456"/>
      <c r="BWM52" s="456"/>
      <c r="BWN52" s="456"/>
      <c r="BWO52" s="456"/>
      <c r="BWP52" s="456"/>
      <c r="BWQ52" s="456"/>
      <c r="BWR52" s="456"/>
      <c r="BWS52" s="456"/>
      <c r="BWT52" s="456"/>
      <c r="BWU52" s="456"/>
      <c r="BWV52" s="456"/>
      <c r="BWW52" s="456"/>
      <c r="BWX52" s="456"/>
      <c r="BWY52" s="456"/>
      <c r="BWZ52" s="456"/>
      <c r="BXA52" s="456"/>
      <c r="BXB52" s="456"/>
      <c r="BXC52" s="456"/>
      <c r="BXD52" s="456"/>
      <c r="BXE52" s="456"/>
      <c r="BXF52" s="456"/>
      <c r="BXG52" s="456"/>
      <c r="BXH52" s="456"/>
      <c r="BXI52" s="456"/>
      <c r="BXJ52" s="456"/>
      <c r="BXK52" s="456"/>
      <c r="BXL52" s="456"/>
      <c r="BXM52" s="456"/>
      <c r="BXN52" s="456"/>
      <c r="BXO52" s="456"/>
      <c r="BXP52" s="456"/>
      <c r="BXQ52" s="456"/>
      <c r="BXR52" s="456"/>
      <c r="BXS52" s="456"/>
      <c r="BXT52" s="456"/>
      <c r="BXU52" s="456"/>
      <c r="BXV52" s="456"/>
      <c r="BXW52" s="456"/>
      <c r="BXX52" s="456"/>
      <c r="BXY52" s="456"/>
      <c r="BXZ52" s="456"/>
    </row>
    <row r="53" spans="1:1024 1025:2002">
      <c r="A53" s="474"/>
      <c r="B53" s="75">
        <v>1119</v>
      </c>
      <c r="C53" s="213">
        <v>46181</v>
      </c>
      <c r="D53" s="18" t="s">
        <v>35</v>
      </c>
      <c r="E53" s="18" t="s">
        <v>71</v>
      </c>
      <c r="F53" s="18" t="s">
        <v>72</v>
      </c>
      <c r="G53" s="18"/>
      <c r="H53" s="75">
        <v>1.2379</v>
      </c>
      <c r="I53" s="75"/>
      <c r="J53" s="18" t="s">
        <v>82</v>
      </c>
      <c r="K53" s="111">
        <v>610</v>
      </c>
      <c r="L53" s="475">
        <v>10</v>
      </c>
      <c r="M53" s="75">
        <v>5800</v>
      </c>
      <c r="N53" s="75" t="s">
        <v>40</v>
      </c>
      <c r="O53" s="75" t="s">
        <v>67</v>
      </c>
      <c r="P53" s="75">
        <v>1500</v>
      </c>
      <c r="Q53" s="75"/>
      <c r="R53" s="75">
        <f t="shared" si="2"/>
        <v>1500</v>
      </c>
      <c r="S53" s="476">
        <v>2430</v>
      </c>
      <c r="T53" s="342" t="s">
        <v>42</v>
      </c>
      <c r="U53" s="137" t="s">
        <v>83</v>
      </c>
      <c r="V53" s="193">
        <v>46181</v>
      </c>
      <c r="W53" s="24" t="s">
        <v>44</v>
      </c>
      <c r="X53" s="18"/>
      <c r="Y53" s="114">
        <v>46327</v>
      </c>
      <c r="Z53" s="18" t="s">
        <v>45</v>
      </c>
      <c r="AA53" s="24" t="s">
        <v>46</v>
      </c>
      <c r="AB53" s="18"/>
      <c r="AC53" s="137"/>
      <c r="AD53" s="77"/>
      <c r="AE53" s="18" t="s">
        <v>48</v>
      </c>
      <c r="AF53" s="18"/>
      <c r="AG53" s="18"/>
    </row>
    <row r="54" spans="1:1024 1025:2002">
      <c r="A54" s="474"/>
      <c r="B54" s="75">
        <v>1119</v>
      </c>
      <c r="C54" s="213">
        <v>46181</v>
      </c>
      <c r="D54" s="18" t="s">
        <v>35</v>
      </c>
      <c r="E54" s="18" t="s">
        <v>71</v>
      </c>
      <c r="F54" s="18" t="s">
        <v>72</v>
      </c>
      <c r="G54" s="18"/>
      <c r="H54" s="75">
        <v>1.2379</v>
      </c>
      <c r="I54" s="75"/>
      <c r="J54" s="18" t="s">
        <v>82</v>
      </c>
      <c r="K54" s="111">
        <v>610</v>
      </c>
      <c r="L54" s="475">
        <v>13</v>
      </c>
      <c r="M54" s="75">
        <v>5800</v>
      </c>
      <c r="N54" s="75" t="s">
        <v>40</v>
      </c>
      <c r="O54" s="75" t="s">
        <v>67</v>
      </c>
      <c r="P54" s="75">
        <v>1500</v>
      </c>
      <c r="Q54" s="75"/>
      <c r="R54" s="75">
        <f t="shared" si="2"/>
        <v>1500</v>
      </c>
      <c r="S54" s="476">
        <v>2430</v>
      </c>
      <c r="T54" s="342" t="s">
        <v>42</v>
      </c>
      <c r="U54" s="137" t="s">
        <v>83</v>
      </c>
      <c r="V54" s="193">
        <v>46181</v>
      </c>
      <c r="W54" s="24" t="s">
        <v>44</v>
      </c>
      <c r="X54" s="18"/>
      <c r="Y54" s="114">
        <v>46327</v>
      </c>
      <c r="Z54" s="18" t="s">
        <v>45</v>
      </c>
      <c r="AA54" s="24" t="s">
        <v>46</v>
      </c>
      <c r="AB54" s="18"/>
      <c r="AC54" s="137"/>
      <c r="AD54" s="77"/>
      <c r="AE54" s="18" t="s">
        <v>48</v>
      </c>
      <c r="AF54" s="18"/>
      <c r="AG54" s="18"/>
    </row>
    <row r="55" s="25" customFormat="1" spans="1:1024 1025:2002">
      <c r="A55" s="473" t="s">
        <v>34</v>
      </c>
      <c r="B55" s="19">
        <v>1119</v>
      </c>
      <c r="C55" s="183">
        <v>46181</v>
      </c>
      <c r="D55" s="17" t="s">
        <v>35</v>
      </c>
      <c r="E55" s="17" t="s">
        <v>71</v>
      </c>
      <c r="F55" s="17" t="s">
        <v>72</v>
      </c>
      <c r="G55" s="17"/>
      <c r="H55" s="19">
        <v>1.2379</v>
      </c>
      <c r="I55" s="19">
        <v>1.2379</v>
      </c>
      <c r="J55" s="17" t="s">
        <v>82</v>
      </c>
      <c r="K55" s="91">
        <v>610</v>
      </c>
      <c r="L55" s="23">
        <v>16</v>
      </c>
      <c r="M55" s="19">
        <v>5800</v>
      </c>
      <c r="N55" s="19" t="s">
        <v>40</v>
      </c>
      <c r="O55" s="19" t="s">
        <v>67</v>
      </c>
      <c r="P55" s="19">
        <v>1500</v>
      </c>
      <c r="Q55" s="19">
        <v>1194</v>
      </c>
      <c r="R55" s="19">
        <f t="shared" si="2"/>
        <v>306</v>
      </c>
      <c r="S55" s="477">
        <f>2430+68</f>
        <v>2498</v>
      </c>
      <c r="T55" s="19" t="s">
        <v>42</v>
      </c>
      <c r="U55" s="102" t="s">
        <v>83</v>
      </c>
      <c r="V55" s="186">
        <v>46181</v>
      </c>
      <c r="W55" s="17" t="s">
        <v>69</v>
      </c>
      <c r="X55" s="17"/>
      <c r="Y55" s="68">
        <v>46327</v>
      </c>
      <c r="Z55" s="17" t="s">
        <v>45</v>
      </c>
      <c r="AA55" s="17" t="s">
        <v>46</v>
      </c>
      <c r="AB55" s="17" t="s">
        <v>75</v>
      </c>
      <c r="AC55" s="217">
        <v>46224</v>
      </c>
      <c r="AD55" s="65">
        <v>1837</v>
      </c>
      <c r="AE55" s="17" t="s">
        <v>48</v>
      </c>
      <c r="AF55" s="17" t="s">
        <v>76</v>
      </c>
      <c r="AG55" s="17"/>
      <c r="AH55" s="456"/>
      <c r="AI55" s="456"/>
      <c r="AJ55" s="456"/>
      <c r="AK55" s="456"/>
      <c r="AL55" s="456"/>
      <c r="AM55" s="456"/>
      <c r="AN55" s="456"/>
      <c r="AO55" s="456"/>
      <c r="AP55" s="456"/>
      <c r="AQ55" s="456"/>
      <c r="AR55" s="456"/>
      <c r="AS55" s="456"/>
      <c r="AT55" s="456"/>
      <c r="AU55" s="456"/>
      <c r="AV55" s="456"/>
      <c r="AW55" s="456"/>
      <c r="AX55" s="456"/>
      <c r="AY55" s="456"/>
      <c r="AZ55" s="456"/>
      <c r="BA55" s="456"/>
      <c r="BB55" s="456"/>
      <c r="BC55" s="456"/>
      <c r="BD55" s="456"/>
      <c r="BE55" s="456"/>
      <c r="BF55" s="456"/>
      <c r="BG55" s="456"/>
      <c r="BH55" s="456"/>
      <c r="BI55" s="456"/>
      <c r="BJ55" s="456"/>
      <c r="BK55" s="456"/>
      <c r="BL55" s="456"/>
      <c r="BM55" s="456"/>
      <c r="BN55" s="456"/>
      <c r="BO55" s="456"/>
      <c r="BP55" s="456"/>
      <c r="BQ55" s="456"/>
      <c r="BR55" s="456"/>
      <c r="BS55" s="456"/>
      <c r="BT55" s="456"/>
      <c r="BU55" s="456"/>
      <c r="BV55" s="456"/>
      <c r="BW55" s="456"/>
      <c r="BX55" s="456"/>
      <c r="BY55" s="456"/>
      <c r="BZ55" s="456"/>
      <c r="CA55" s="456"/>
      <c r="CB55" s="456"/>
      <c r="CC55" s="456"/>
      <c r="CD55" s="456"/>
      <c r="CE55" s="456"/>
      <c r="CF55" s="456"/>
      <c r="CG55" s="456"/>
      <c r="CH55" s="456"/>
      <c r="CI55" s="456"/>
      <c r="CJ55" s="456"/>
      <c r="CK55" s="456"/>
      <c r="CL55" s="456"/>
      <c r="CM55" s="456"/>
      <c r="CN55" s="456"/>
      <c r="CO55" s="456"/>
      <c r="CP55" s="456"/>
      <c r="CQ55" s="456"/>
      <c r="CR55" s="456"/>
      <c r="CS55" s="456"/>
      <c r="CT55" s="456"/>
      <c r="CU55" s="456"/>
      <c r="CV55" s="456"/>
      <c r="CW55" s="456"/>
      <c r="CX55" s="456"/>
      <c r="CY55" s="456"/>
      <c r="CZ55" s="456"/>
      <c r="DA55" s="456"/>
      <c r="DB55" s="456"/>
      <c r="DC55" s="456"/>
      <c r="DD55" s="456"/>
      <c r="DE55" s="456"/>
      <c r="DF55" s="456"/>
      <c r="DG55" s="456"/>
      <c r="DH55" s="456"/>
      <c r="DI55" s="456"/>
      <c r="DJ55" s="456"/>
      <c r="DK55" s="456"/>
      <c r="DL55" s="456"/>
      <c r="DM55" s="456"/>
      <c r="DN55" s="456"/>
      <c r="DO55" s="456"/>
      <c r="DP55" s="456"/>
      <c r="DQ55" s="456"/>
      <c r="DR55" s="456"/>
      <c r="DS55" s="456"/>
      <c r="DT55" s="456"/>
      <c r="DU55" s="456"/>
      <c r="DV55" s="456"/>
      <c r="DW55" s="456"/>
      <c r="DX55" s="456"/>
      <c r="DY55" s="456"/>
      <c r="DZ55" s="456"/>
      <c r="EA55" s="456"/>
      <c r="EB55" s="456"/>
      <c r="EC55" s="456"/>
      <c r="ED55" s="456"/>
      <c r="EE55" s="456"/>
      <c r="EF55" s="456"/>
      <c r="EG55" s="456"/>
      <c r="EH55" s="456"/>
      <c r="EI55" s="456"/>
      <c r="EJ55" s="456"/>
      <c r="EK55" s="456"/>
      <c r="EL55" s="456"/>
      <c r="EM55" s="456"/>
      <c r="EN55" s="456"/>
      <c r="EO55" s="456"/>
      <c r="EP55" s="456"/>
      <c r="EQ55" s="456"/>
      <c r="ER55" s="456"/>
      <c r="ES55" s="456"/>
      <c r="ET55" s="456"/>
      <c r="EU55" s="456"/>
      <c r="EV55" s="456"/>
      <c r="EW55" s="456"/>
      <c r="EX55" s="456"/>
      <c r="EY55" s="456"/>
      <c r="EZ55" s="456"/>
      <c r="FA55" s="456"/>
      <c r="FB55" s="456"/>
      <c r="FC55" s="456"/>
      <c r="FD55" s="456"/>
      <c r="FE55" s="456"/>
      <c r="FF55" s="456"/>
      <c r="FG55" s="456"/>
      <c r="FH55" s="456"/>
      <c r="FI55" s="456"/>
      <c r="FJ55" s="456"/>
      <c r="FK55" s="456"/>
      <c r="FL55" s="456"/>
      <c r="FM55" s="456"/>
      <c r="FN55" s="456"/>
      <c r="FO55" s="456"/>
      <c r="FP55" s="456"/>
      <c r="FQ55" s="456"/>
      <c r="FR55" s="456"/>
      <c r="FS55" s="456"/>
      <c r="FT55" s="456"/>
      <c r="FU55" s="456"/>
      <c r="FV55" s="456"/>
      <c r="FW55" s="456"/>
      <c r="FX55" s="456"/>
      <c r="FY55" s="456"/>
      <c r="FZ55" s="456"/>
      <c r="GA55" s="456"/>
      <c r="GB55" s="456"/>
      <c r="GC55" s="456"/>
      <c r="GD55" s="456"/>
      <c r="GE55" s="456"/>
      <c r="GF55" s="456"/>
      <c r="GG55" s="456"/>
      <c r="GH55" s="456"/>
      <c r="GI55" s="456"/>
      <c r="GJ55" s="456"/>
      <c r="GK55" s="456"/>
      <c r="GL55" s="456"/>
      <c r="GM55" s="456"/>
      <c r="GN55" s="456"/>
      <c r="GO55" s="456"/>
      <c r="GP55" s="456"/>
      <c r="GQ55" s="456"/>
      <c r="GR55" s="456"/>
      <c r="GS55" s="456"/>
      <c r="GT55" s="456"/>
      <c r="GU55" s="456"/>
      <c r="GV55" s="456"/>
      <c r="GW55" s="456"/>
      <c r="GX55" s="456"/>
      <c r="GY55" s="456"/>
      <c r="GZ55" s="456"/>
      <c r="HA55" s="456"/>
      <c r="HB55" s="456"/>
      <c r="HC55" s="456"/>
      <c r="HD55" s="456"/>
      <c r="HE55" s="456"/>
      <c r="HF55" s="456"/>
      <c r="HG55" s="456"/>
      <c r="HH55" s="456"/>
      <c r="HI55" s="456"/>
      <c r="HJ55" s="456"/>
      <c r="HK55" s="456"/>
      <c r="HL55" s="456"/>
      <c r="HM55" s="456"/>
      <c r="HN55" s="456"/>
      <c r="HO55" s="456"/>
      <c r="HP55" s="456"/>
      <c r="HQ55" s="456"/>
      <c r="HR55" s="456"/>
      <c r="HS55" s="456"/>
      <c r="HT55" s="456"/>
      <c r="HU55" s="456"/>
      <c r="HV55" s="456"/>
      <c r="HW55" s="456"/>
      <c r="HX55" s="456"/>
      <c r="HY55" s="456"/>
      <c r="HZ55" s="456"/>
      <c r="IA55" s="456"/>
      <c r="IB55" s="456"/>
      <c r="IC55" s="456"/>
      <c r="ID55" s="456"/>
      <c r="IE55" s="456"/>
      <c r="IF55" s="456"/>
      <c r="IG55" s="456"/>
      <c r="IH55" s="456"/>
      <c r="II55" s="456"/>
      <c r="IJ55" s="456"/>
      <c r="IK55" s="456"/>
      <c r="IL55" s="456"/>
      <c r="IM55" s="456"/>
      <c r="IN55" s="456"/>
      <c r="IO55" s="456"/>
      <c r="IP55" s="456"/>
      <c r="IQ55" s="456"/>
      <c r="IR55" s="456"/>
      <c r="IS55" s="456"/>
      <c r="IT55" s="456"/>
      <c r="IU55" s="456"/>
      <c r="IV55" s="456"/>
      <c r="IW55" s="456"/>
      <c r="IX55" s="456"/>
      <c r="IY55" s="456"/>
      <c r="IZ55" s="456"/>
      <c r="JA55" s="456"/>
      <c r="JB55" s="456"/>
      <c r="JC55" s="456"/>
      <c r="JD55" s="456"/>
      <c r="JE55" s="456"/>
      <c r="JF55" s="456"/>
      <c r="JG55" s="456"/>
      <c r="JH55" s="456"/>
      <c r="JI55" s="456"/>
      <c r="JJ55" s="456"/>
      <c r="JK55" s="456"/>
      <c r="JL55" s="456"/>
      <c r="JM55" s="456"/>
      <c r="JN55" s="456"/>
      <c r="JO55" s="456"/>
      <c r="JP55" s="456"/>
      <c r="JQ55" s="456"/>
      <c r="JR55" s="456"/>
      <c r="JS55" s="456"/>
      <c r="JT55" s="456"/>
      <c r="JU55" s="456"/>
      <c r="JV55" s="456"/>
      <c r="JW55" s="456"/>
      <c r="JX55" s="456"/>
      <c r="JY55" s="456"/>
      <c r="JZ55" s="456"/>
      <c r="KA55" s="456"/>
      <c r="KB55" s="456"/>
      <c r="KC55" s="456"/>
      <c r="KD55" s="456"/>
      <c r="KE55" s="456"/>
      <c r="KF55" s="456"/>
      <c r="KG55" s="456"/>
      <c r="KH55" s="456"/>
      <c r="KI55" s="456"/>
      <c r="KJ55" s="456"/>
      <c r="KK55" s="456"/>
      <c r="KL55" s="456"/>
      <c r="KM55" s="456"/>
      <c r="KN55" s="456"/>
      <c r="KO55" s="456"/>
      <c r="KP55" s="456"/>
      <c r="KQ55" s="456"/>
      <c r="KR55" s="456"/>
      <c r="KS55" s="456"/>
      <c r="KT55" s="456"/>
      <c r="KU55" s="456"/>
      <c r="KV55" s="456"/>
      <c r="KW55" s="456"/>
      <c r="KX55" s="456"/>
      <c r="KY55" s="456"/>
      <c r="KZ55" s="456"/>
      <c r="LA55" s="456"/>
      <c r="LB55" s="456"/>
      <c r="LC55" s="456"/>
      <c r="LD55" s="456"/>
      <c r="LE55" s="456"/>
      <c r="LF55" s="456"/>
      <c r="LG55" s="456"/>
      <c r="LH55" s="456"/>
      <c r="LI55" s="456"/>
      <c r="LJ55" s="456"/>
      <c r="LK55" s="456"/>
      <c r="LL55" s="456"/>
      <c r="LM55" s="456"/>
      <c r="LN55" s="456"/>
      <c r="LO55" s="456"/>
      <c r="LP55" s="456"/>
      <c r="LQ55" s="456"/>
      <c r="LR55" s="456"/>
      <c r="LS55" s="456"/>
      <c r="LT55" s="456"/>
      <c r="LU55" s="456"/>
      <c r="LV55" s="456"/>
      <c r="LW55" s="456"/>
      <c r="LX55" s="456"/>
      <c r="LY55" s="456"/>
      <c r="LZ55" s="456"/>
      <c r="MA55" s="456"/>
      <c r="MB55" s="456"/>
      <c r="MC55" s="456"/>
      <c r="MD55" s="456"/>
      <c r="ME55" s="456"/>
      <c r="MF55" s="456"/>
      <c r="MG55" s="456"/>
      <c r="MH55" s="456"/>
      <c r="MI55" s="456"/>
      <c r="MJ55" s="456"/>
      <c r="MK55" s="456"/>
      <c r="ML55" s="456"/>
      <c r="MM55" s="456"/>
      <c r="MN55" s="456"/>
      <c r="MO55" s="456"/>
      <c r="MP55" s="456"/>
      <c r="MQ55" s="456"/>
      <c r="MR55" s="456"/>
      <c r="MS55" s="456"/>
      <c r="MT55" s="456"/>
      <c r="MU55" s="456"/>
      <c r="MV55" s="456"/>
      <c r="MW55" s="456"/>
      <c r="MX55" s="456"/>
      <c r="MY55" s="456"/>
      <c r="MZ55" s="456"/>
      <c r="NA55" s="456"/>
      <c r="NB55" s="456"/>
      <c r="NC55" s="456"/>
      <c r="ND55" s="456"/>
      <c r="NE55" s="456"/>
      <c r="NF55" s="456"/>
      <c r="NG55" s="456"/>
      <c r="NH55" s="456"/>
      <c r="NI55" s="456"/>
      <c r="NJ55" s="456"/>
      <c r="NK55" s="456"/>
      <c r="NL55" s="456"/>
      <c r="NM55" s="456"/>
      <c r="NN55" s="456"/>
      <c r="NO55" s="456"/>
      <c r="NP55" s="456"/>
      <c r="NQ55" s="456"/>
      <c r="NR55" s="456"/>
      <c r="NS55" s="456"/>
      <c r="NT55" s="456"/>
      <c r="NU55" s="456"/>
      <c r="NV55" s="456"/>
      <c r="NW55" s="456"/>
      <c r="NX55" s="456"/>
      <c r="NY55" s="456"/>
      <c r="NZ55" s="456"/>
      <c r="OA55" s="456"/>
      <c r="OB55" s="456"/>
      <c r="OC55" s="456"/>
      <c r="OD55" s="456"/>
      <c r="OE55" s="456"/>
      <c r="OF55" s="456"/>
      <c r="OG55" s="456"/>
      <c r="OH55" s="456"/>
      <c r="OI55" s="456"/>
      <c r="OJ55" s="456"/>
      <c r="OK55" s="456"/>
      <c r="OL55" s="456"/>
      <c r="OM55" s="456"/>
      <c r="ON55" s="456"/>
      <c r="OO55" s="456"/>
      <c r="OP55" s="456"/>
      <c r="OQ55" s="456"/>
      <c r="OR55" s="456"/>
      <c r="OS55" s="456"/>
      <c r="OT55" s="456"/>
      <c r="OU55" s="456"/>
      <c r="OV55" s="456"/>
      <c r="OW55" s="456"/>
      <c r="OX55" s="456"/>
      <c r="OY55" s="456"/>
      <c r="OZ55" s="456"/>
      <c r="PA55" s="456"/>
      <c r="PB55" s="456"/>
      <c r="PC55" s="456"/>
      <c r="PD55" s="456"/>
      <c r="PE55" s="456"/>
      <c r="PF55" s="456"/>
      <c r="PG55" s="456"/>
      <c r="PH55" s="456"/>
      <c r="PI55" s="456"/>
      <c r="PJ55" s="456"/>
      <c r="PK55" s="456"/>
      <c r="PL55" s="456"/>
      <c r="PM55" s="456"/>
      <c r="PN55" s="456"/>
      <c r="PO55" s="456"/>
      <c r="PP55" s="456"/>
      <c r="PQ55" s="456"/>
      <c r="PR55" s="456"/>
      <c r="PS55" s="456"/>
      <c r="PT55" s="456"/>
      <c r="PU55" s="456"/>
      <c r="PV55" s="456"/>
      <c r="PW55" s="456"/>
      <c r="PX55" s="456"/>
      <c r="PY55" s="456"/>
      <c r="PZ55" s="456"/>
      <c r="QA55" s="456"/>
      <c r="QB55" s="456"/>
      <c r="QC55" s="456"/>
      <c r="QD55" s="456"/>
      <c r="QE55" s="456"/>
      <c r="QF55" s="456"/>
      <c r="QG55" s="456"/>
      <c r="QH55" s="456"/>
      <c r="QI55" s="456"/>
      <c r="QJ55" s="456"/>
      <c r="QK55" s="456"/>
      <c r="QL55" s="456"/>
      <c r="QM55" s="456"/>
      <c r="QN55" s="456"/>
      <c r="QO55" s="456"/>
      <c r="QP55" s="456"/>
      <c r="QQ55" s="456"/>
      <c r="QR55" s="456"/>
      <c r="QS55" s="456"/>
      <c r="QT55" s="456"/>
      <c r="QU55" s="456"/>
      <c r="QV55" s="456"/>
      <c r="QW55" s="456"/>
      <c r="QX55" s="456"/>
      <c r="QY55" s="456"/>
      <c r="QZ55" s="456"/>
      <c r="RA55" s="456"/>
      <c r="RB55" s="456"/>
      <c r="RC55" s="456"/>
      <c r="RD55" s="456"/>
      <c r="RE55" s="456"/>
      <c r="RF55" s="456"/>
      <c r="RG55" s="456"/>
      <c r="RH55" s="456"/>
      <c r="RI55" s="456"/>
      <c r="RJ55" s="456"/>
      <c r="RK55" s="456"/>
      <c r="RL55" s="456"/>
      <c r="RM55" s="456"/>
      <c r="RN55" s="456"/>
      <c r="RO55" s="456"/>
      <c r="RP55" s="456"/>
      <c r="RQ55" s="456"/>
      <c r="RR55" s="456"/>
      <c r="RS55" s="456"/>
      <c r="RT55" s="456"/>
      <c r="RU55" s="456"/>
      <c r="RV55" s="456"/>
      <c r="RW55" s="456"/>
      <c r="RX55" s="456"/>
      <c r="RY55" s="456"/>
      <c r="RZ55" s="456"/>
      <c r="SA55" s="456"/>
      <c r="SB55" s="456"/>
      <c r="SC55" s="456"/>
      <c r="SD55" s="456"/>
      <c r="SE55" s="456"/>
      <c r="SF55" s="456"/>
      <c r="SG55" s="456"/>
      <c r="SH55" s="456"/>
      <c r="SI55" s="456"/>
      <c r="SJ55" s="456"/>
      <c r="SK55" s="456"/>
      <c r="SL55" s="456"/>
      <c r="SM55" s="456"/>
      <c r="SN55" s="456"/>
      <c r="SO55" s="456"/>
      <c r="SP55" s="456"/>
      <c r="SQ55" s="456"/>
      <c r="SR55" s="456"/>
      <c r="SS55" s="456"/>
      <c r="ST55" s="456"/>
      <c r="SU55" s="456"/>
      <c r="SV55" s="456"/>
      <c r="SW55" s="456"/>
      <c r="SX55" s="456"/>
      <c r="SY55" s="456"/>
      <c r="SZ55" s="456"/>
      <c r="TA55" s="456"/>
      <c r="TB55" s="456"/>
      <c r="TC55" s="456"/>
      <c r="TD55" s="456"/>
      <c r="TE55" s="456"/>
      <c r="TF55" s="456"/>
      <c r="TG55" s="456"/>
      <c r="TH55" s="456"/>
      <c r="TI55" s="456"/>
      <c r="TJ55" s="456"/>
      <c r="TK55" s="456"/>
      <c r="TL55" s="456"/>
      <c r="TM55" s="456"/>
      <c r="TN55" s="456"/>
      <c r="TO55" s="456"/>
      <c r="TP55" s="456"/>
      <c r="TQ55" s="456"/>
      <c r="TR55" s="456"/>
      <c r="TS55" s="456"/>
      <c r="TT55" s="456"/>
      <c r="TU55" s="456"/>
      <c r="TV55" s="456"/>
      <c r="TW55" s="456"/>
      <c r="TX55" s="456"/>
      <c r="TY55" s="456"/>
      <c r="TZ55" s="456"/>
      <c r="UA55" s="456"/>
      <c r="UB55" s="456"/>
      <c r="UC55" s="456"/>
      <c r="UD55" s="456"/>
      <c r="UE55" s="456"/>
      <c r="UF55" s="456"/>
      <c r="UG55" s="456"/>
      <c r="UH55" s="456"/>
      <c r="UI55" s="456"/>
      <c r="UJ55" s="456"/>
      <c r="UK55" s="456"/>
      <c r="UL55" s="456"/>
      <c r="UM55" s="456"/>
      <c r="UN55" s="456"/>
      <c r="UO55" s="456"/>
      <c r="UP55" s="456"/>
      <c r="UQ55" s="456"/>
      <c r="UR55" s="456"/>
      <c r="US55" s="456"/>
      <c r="UT55" s="456"/>
      <c r="UU55" s="456"/>
      <c r="UV55" s="456"/>
      <c r="UW55" s="456"/>
      <c r="UX55" s="456"/>
      <c r="UY55" s="456"/>
      <c r="UZ55" s="456"/>
      <c r="VA55" s="456"/>
      <c r="VB55" s="456"/>
      <c r="VC55" s="456"/>
      <c r="VD55" s="456"/>
      <c r="VE55" s="456"/>
      <c r="VF55" s="456"/>
      <c r="VG55" s="456"/>
      <c r="VH55" s="456"/>
      <c r="VI55" s="456"/>
      <c r="VJ55" s="456"/>
      <c r="VK55" s="456"/>
      <c r="VL55" s="456"/>
      <c r="VM55" s="456"/>
      <c r="VN55" s="456"/>
      <c r="VO55" s="456"/>
      <c r="VP55" s="456"/>
      <c r="VQ55" s="456"/>
      <c r="VR55" s="456"/>
      <c r="VS55" s="456"/>
      <c r="VT55" s="456"/>
      <c r="VU55" s="456"/>
      <c r="VV55" s="456"/>
      <c r="VW55" s="456"/>
      <c r="VX55" s="456"/>
      <c r="VY55" s="456"/>
      <c r="VZ55" s="456"/>
      <c r="WA55" s="456"/>
      <c r="WB55" s="456"/>
      <c r="WC55" s="456"/>
      <c r="WD55" s="456"/>
      <c r="WE55" s="456"/>
      <c r="WF55" s="456"/>
      <c r="WG55" s="456"/>
      <c r="WH55" s="456"/>
      <c r="WI55" s="456"/>
      <c r="WJ55" s="456"/>
      <c r="WK55" s="456"/>
      <c r="WL55" s="456"/>
      <c r="WM55" s="456"/>
      <c r="WN55" s="456"/>
      <c r="WO55" s="456"/>
      <c r="WP55" s="456"/>
      <c r="WQ55" s="456"/>
      <c r="WR55" s="456"/>
      <c r="WS55" s="456"/>
      <c r="WT55" s="456"/>
      <c r="WU55" s="456"/>
      <c r="WV55" s="456"/>
      <c r="WW55" s="456"/>
      <c r="WX55" s="456"/>
      <c r="WY55" s="456"/>
      <c r="WZ55" s="456"/>
      <c r="XA55" s="456"/>
      <c r="XB55" s="456"/>
      <c r="XC55" s="456"/>
      <c r="XD55" s="456"/>
      <c r="XE55" s="456"/>
      <c r="XF55" s="456"/>
      <c r="XG55" s="456"/>
      <c r="XH55" s="456"/>
      <c r="XI55" s="456"/>
      <c r="XJ55" s="456"/>
      <c r="XK55" s="456"/>
      <c r="XL55" s="456"/>
      <c r="XM55" s="456"/>
      <c r="XN55" s="456"/>
      <c r="XO55" s="456"/>
      <c r="XP55" s="456"/>
      <c r="XQ55" s="456"/>
      <c r="XR55" s="456"/>
      <c r="XS55" s="456"/>
      <c r="XT55" s="456"/>
      <c r="XU55" s="456"/>
      <c r="XV55" s="456"/>
      <c r="XW55" s="456"/>
      <c r="XX55" s="456"/>
      <c r="XY55" s="456"/>
      <c r="XZ55" s="456"/>
      <c r="YA55" s="456"/>
      <c r="YB55" s="456"/>
      <c r="YC55" s="456"/>
      <c r="YD55" s="456"/>
      <c r="YE55" s="456"/>
      <c r="YF55" s="456"/>
      <c r="YG55" s="456"/>
      <c r="YH55" s="456"/>
      <c r="YI55" s="456"/>
      <c r="YJ55" s="456"/>
      <c r="YK55" s="456"/>
      <c r="YL55" s="456"/>
      <c r="YM55" s="456"/>
      <c r="YN55" s="456"/>
      <c r="YO55" s="456"/>
      <c r="YP55" s="456"/>
      <c r="YQ55" s="456"/>
      <c r="YR55" s="456"/>
      <c r="YS55" s="456"/>
      <c r="YT55" s="456"/>
      <c r="YU55" s="456"/>
      <c r="YV55" s="456"/>
      <c r="YW55" s="456"/>
      <c r="YX55" s="456"/>
      <c r="YY55" s="456"/>
      <c r="YZ55" s="456"/>
      <c r="ZA55" s="456"/>
      <c r="ZB55" s="456"/>
      <c r="ZC55" s="456"/>
      <c r="ZD55" s="456"/>
      <c r="ZE55" s="456"/>
      <c r="ZF55" s="456"/>
      <c r="ZG55" s="456"/>
      <c r="ZH55" s="456"/>
      <c r="ZI55" s="456"/>
      <c r="ZJ55" s="456"/>
      <c r="ZK55" s="456"/>
      <c r="ZL55" s="456"/>
      <c r="ZM55" s="456"/>
      <c r="ZN55" s="456"/>
      <c r="ZO55" s="456"/>
      <c r="ZP55" s="456"/>
      <c r="ZQ55" s="456"/>
      <c r="ZR55" s="456"/>
      <c r="ZS55" s="456"/>
      <c r="ZT55" s="456"/>
      <c r="ZU55" s="456"/>
      <c r="ZV55" s="456"/>
      <c r="ZW55" s="456"/>
      <c r="ZX55" s="456"/>
      <c r="ZY55" s="456"/>
      <c r="ZZ55" s="456"/>
      <c r="AAA55" s="456"/>
      <c r="AAB55" s="456"/>
      <c r="AAC55" s="456"/>
      <c r="AAD55" s="456"/>
      <c r="AAE55" s="456"/>
      <c r="AAF55" s="456"/>
      <c r="AAG55" s="456"/>
      <c r="AAH55" s="456"/>
      <c r="AAI55" s="456"/>
      <c r="AAJ55" s="456"/>
      <c r="AAK55" s="456"/>
      <c r="AAL55" s="456"/>
      <c r="AAM55" s="456"/>
      <c r="AAN55" s="456"/>
      <c r="AAO55" s="456"/>
      <c r="AAP55" s="456"/>
      <c r="AAQ55" s="456"/>
      <c r="AAR55" s="456"/>
      <c r="AAS55" s="456"/>
      <c r="AAT55" s="456"/>
      <c r="AAU55" s="456"/>
      <c r="AAV55" s="456"/>
      <c r="AAW55" s="456"/>
      <c r="AAX55" s="456"/>
      <c r="AAY55" s="456"/>
      <c r="AAZ55" s="456"/>
      <c r="ABA55" s="456"/>
      <c r="ABB55" s="456"/>
      <c r="ABC55" s="456"/>
      <c r="ABD55" s="456"/>
      <c r="ABE55" s="456"/>
      <c r="ABF55" s="456"/>
      <c r="ABG55" s="456"/>
      <c r="ABH55" s="456"/>
      <c r="ABI55" s="456"/>
      <c r="ABJ55" s="456"/>
      <c r="ABK55" s="456"/>
      <c r="ABL55" s="456"/>
      <c r="ABM55" s="456"/>
      <c r="ABN55" s="456"/>
      <c r="ABO55" s="456"/>
      <c r="ABP55" s="456"/>
      <c r="ABQ55" s="456"/>
      <c r="ABR55" s="456"/>
      <c r="ABS55" s="456"/>
      <c r="ABT55" s="456"/>
      <c r="ABU55" s="456"/>
      <c r="ABV55" s="456"/>
      <c r="ABW55" s="456"/>
      <c r="ABX55" s="456"/>
      <c r="ABY55" s="456"/>
      <c r="ABZ55" s="456"/>
      <c r="ACA55" s="456"/>
      <c r="ACB55" s="456"/>
      <c r="ACC55" s="456"/>
      <c r="ACD55" s="456"/>
      <c r="ACE55" s="456"/>
      <c r="ACF55" s="456"/>
      <c r="ACG55" s="456"/>
      <c r="ACH55" s="456"/>
      <c r="ACI55" s="456"/>
      <c r="ACJ55" s="456"/>
      <c r="ACK55" s="456"/>
      <c r="ACL55" s="456"/>
      <c r="ACM55" s="456"/>
      <c r="ACN55" s="456"/>
      <c r="ACO55" s="456"/>
      <c r="ACP55" s="456"/>
      <c r="ACQ55" s="456"/>
      <c r="ACR55" s="456"/>
      <c r="ACS55" s="456"/>
      <c r="ACT55" s="456"/>
      <c r="ACU55" s="456"/>
      <c r="ACV55" s="456"/>
      <c r="ACW55" s="456"/>
      <c r="ACX55" s="456"/>
      <c r="ACY55" s="456"/>
      <c r="ACZ55" s="456"/>
      <c r="ADA55" s="456"/>
      <c r="ADB55" s="456"/>
      <c r="ADC55" s="456"/>
      <c r="ADD55" s="456"/>
      <c r="ADE55" s="456"/>
      <c r="ADF55" s="456"/>
      <c r="ADG55" s="456"/>
      <c r="ADH55" s="456"/>
      <c r="ADI55" s="456"/>
      <c r="ADJ55" s="456"/>
      <c r="ADK55" s="456"/>
      <c r="ADL55" s="456"/>
      <c r="ADM55" s="456"/>
      <c r="ADN55" s="456"/>
      <c r="ADO55" s="456"/>
      <c r="ADP55" s="456"/>
      <c r="ADQ55" s="456"/>
      <c r="ADR55" s="456"/>
      <c r="ADS55" s="456"/>
      <c r="ADT55" s="456"/>
      <c r="ADU55" s="456"/>
      <c r="ADV55" s="456"/>
      <c r="ADW55" s="456"/>
      <c r="ADX55" s="456"/>
      <c r="ADY55" s="456"/>
      <c r="ADZ55" s="456"/>
      <c r="AEA55" s="456"/>
      <c r="AEB55" s="456"/>
      <c r="AEC55" s="456"/>
      <c r="AED55" s="456"/>
      <c r="AEE55" s="456"/>
      <c r="AEF55" s="456"/>
      <c r="AEG55" s="456"/>
      <c r="AEH55" s="456"/>
      <c r="AEI55" s="456"/>
      <c r="AEJ55" s="456"/>
      <c r="AEK55" s="456"/>
      <c r="AEL55" s="456"/>
      <c r="AEM55" s="456"/>
      <c r="AEN55" s="456"/>
      <c r="AEO55" s="456"/>
      <c r="AEP55" s="456"/>
      <c r="AEQ55" s="456"/>
      <c r="AER55" s="456"/>
      <c r="AES55" s="456"/>
      <c r="AET55" s="456"/>
      <c r="AEU55" s="456"/>
      <c r="AEV55" s="456"/>
      <c r="AEW55" s="456"/>
      <c r="AEX55" s="456"/>
      <c r="AEY55" s="456"/>
      <c r="AEZ55" s="456"/>
      <c r="AFA55" s="456"/>
      <c r="AFB55" s="456"/>
      <c r="AFC55" s="456"/>
      <c r="AFD55" s="456"/>
      <c r="AFE55" s="456"/>
      <c r="AFF55" s="456"/>
      <c r="AFG55" s="456"/>
      <c r="AFH55" s="456"/>
      <c r="AFI55" s="456"/>
      <c r="AFJ55" s="456"/>
      <c r="AFK55" s="456"/>
      <c r="AFL55" s="456"/>
      <c r="AFM55" s="456"/>
      <c r="AFN55" s="456"/>
      <c r="AFO55" s="456"/>
      <c r="AFP55" s="456"/>
      <c r="AFQ55" s="456"/>
      <c r="AFR55" s="456"/>
      <c r="AFS55" s="456"/>
      <c r="AFT55" s="456"/>
      <c r="AFU55" s="456"/>
      <c r="AFV55" s="456"/>
      <c r="AFW55" s="456"/>
      <c r="AFX55" s="456"/>
      <c r="AFY55" s="456"/>
      <c r="AFZ55" s="456"/>
      <c r="AGA55" s="456"/>
      <c r="AGB55" s="456"/>
      <c r="AGC55" s="456"/>
      <c r="AGD55" s="456"/>
      <c r="AGE55" s="456"/>
      <c r="AGF55" s="456"/>
      <c r="AGG55" s="456"/>
      <c r="AGH55" s="456"/>
      <c r="AGI55" s="456"/>
      <c r="AGJ55" s="456"/>
      <c r="AGK55" s="456"/>
      <c r="AGL55" s="456"/>
      <c r="AGM55" s="456"/>
      <c r="AGN55" s="456"/>
      <c r="AGO55" s="456"/>
      <c r="AGP55" s="456"/>
      <c r="AGQ55" s="456"/>
      <c r="AGR55" s="456"/>
      <c r="AGS55" s="456"/>
      <c r="AGT55" s="456"/>
      <c r="AGU55" s="456"/>
      <c r="AGV55" s="456"/>
      <c r="AGW55" s="456"/>
      <c r="AGX55" s="456"/>
      <c r="AGY55" s="456"/>
      <c r="AGZ55" s="456"/>
      <c r="AHA55" s="456"/>
      <c r="AHB55" s="456"/>
      <c r="AHC55" s="456"/>
      <c r="AHD55" s="456"/>
      <c r="AHE55" s="456"/>
      <c r="AHF55" s="456"/>
      <c r="AHG55" s="456"/>
      <c r="AHH55" s="456"/>
      <c r="AHI55" s="456"/>
      <c r="AHJ55" s="456"/>
      <c r="AHK55" s="456"/>
      <c r="AHL55" s="456"/>
      <c r="AHM55" s="456"/>
      <c r="AHN55" s="456"/>
      <c r="AHO55" s="456"/>
      <c r="AHP55" s="456"/>
      <c r="AHQ55" s="456"/>
      <c r="AHR55" s="456"/>
      <c r="AHS55" s="456"/>
      <c r="AHT55" s="456"/>
      <c r="AHU55" s="456"/>
      <c r="AHV55" s="456"/>
      <c r="AHW55" s="456"/>
      <c r="AHX55" s="456"/>
      <c r="AHY55" s="456"/>
      <c r="AHZ55" s="456"/>
      <c r="AIA55" s="456"/>
      <c r="AIB55" s="456"/>
      <c r="AIC55" s="456"/>
      <c r="AID55" s="456"/>
      <c r="AIE55" s="456"/>
      <c r="AIF55" s="456"/>
      <c r="AIG55" s="456"/>
      <c r="AIH55" s="456"/>
      <c r="AII55" s="456"/>
      <c r="AIJ55" s="456"/>
      <c r="AIK55" s="456"/>
      <c r="AIL55" s="456"/>
      <c r="AIM55" s="456"/>
      <c r="AIN55" s="456"/>
      <c r="AIO55" s="456"/>
      <c r="AIP55" s="456"/>
      <c r="AIQ55" s="456"/>
      <c r="AIR55" s="456"/>
      <c r="AIS55" s="456"/>
      <c r="AIT55" s="456"/>
      <c r="AIU55" s="456"/>
      <c r="AIV55" s="456"/>
      <c r="AIW55" s="456"/>
      <c r="AIX55" s="456"/>
      <c r="AIY55" s="456"/>
      <c r="AIZ55" s="456"/>
      <c r="AJA55" s="456"/>
      <c r="AJB55" s="456"/>
      <c r="AJC55" s="456"/>
      <c r="AJD55" s="456"/>
      <c r="AJE55" s="456"/>
      <c r="AJF55" s="456"/>
      <c r="AJG55" s="456"/>
      <c r="AJH55" s="456"/>
      <c r="AJI55" s="456"/>
      <c r="AJJ55" s="456"/>
      <c r="AJK55" s="456"/>
      <c r="AJL55" s="456"/>
      <c r="AJM55" s="456"/>
      <c r="AJN55" s="456"/>
      <c r="AJO55" s="456"/>
      <c r="AJP55" s="456"/>
      <c r="AJQ55" s="456"/>
      <c r="AJR55" s="456"/>
      <c r="AJS55" s="456"/>
      <c r="AJT55" s="456"/>
      <c r="AJU55" s="456"/>
      <c r="AJV55" s="456"/>
      <c r="AJW55" s="456"/>
      <c r="AJX55" s="456"/>
      <c r="AJY55" s="456"/>
      <c r="AJZ55" s="456"/>
      <c r="AKA55" s="456"/>
      <c r="AKB55" s="456"/>
      <c r="AKC55" s="456"/>
      <c r="AKD55" s="456"/>
      <c r="AKE55" s="456"/>
      <c r="AKF55" s="456"/>
      <c r="AKG55" s="456"/>
      <c r="AKH55" s="456"/>
      <c r="AKI55" s="456"/>
      <c r="AKJ55" s="456"/>
      <c r="AKK55" s="456"/>
      <c r="AKL55" s="456"/>
      <c r="AKM55" s="456"/>
      <c r="AKN55" s="456"/>
      <c r="AKO55" s="456"/>
      <c r="AKP55" s="456"/>
      <c r="AKQ55" s="456"/>
      <c r="AKR55" s="456"/>
      <c r="AKS55" s="456"/>
      <c r="AKT55" s="456"/>
      <c r="AKU55" s="456"/>
      <c r="AKV55" s="456"/>
      <c r="AKW55" s="456"/>
      <c r="AKX55" s="456"/>
      <c r="AKY55" s="456"/>
      <c r="AKZ55" s="456"/>
      <c r="ALA55" s="456"/>
      <c r="ALB55" s="456"/>
      <c r="ALC55" s="456"/>
      <c r="ALD55" s="456"/>
      <c r="ALE55" s="456"/>
      <c r="ALF55" s="456"/>
      <c r="ALG55" s="456"/>
      <c r="ALH55" s="456"/>
      <c r="ALI55" s="456"/>
      <c r="ALJ55" s="456"/>
      <c r="ALK55" s="456"/>
      <c r="ALL55" s="456"/>
      <c r="ALM55" s="456"/>
      <c r="ALN55" s="456"/>
      <c r="ALO55" s="456"/>
      <c r="ALP55" s="456"/>
      <c r="ALQ55" s="456"/>
      <c r="ALR55" s="456"/>
      <c r="ALS55" s="456"/>
      <c r="ALT55" s="456"/>
      <c r="ALU55" s="456"/>
      <c r="ALV55" s="456"/>
      <c r="ALW55" s="456"/>
      <c r="ALX55" s="456"/>
      <c r="ALY55" s="456"/>
      <c r="ALZ55" s="456"/>
      <c r="AMA55" s="456"/>
      <c r="AMB55" s="456"/>
      <c r="AMC55" s="456"/>
      <c r="AMD55" s="456"/>
      <c r="AME55" s="456"/>
      <c r="AMF55" s="456"/>
      <c r="AMG55" s="456"/>
      <c r="AMH55" s="456"/>
      <c r="AMI55" s="456"/>
      <c r="AMJ55" s="456"/>
      <c r="AMK55" s="456"/>
      <c r="AML55" s="456"/>
      <c r="AMM55" s="456"/>
      <c r="AMN55" s="456"/>
      <c r="AMO55" s="456"/>
      <c r="AMP55" s="456"/>
      <c r="AMQ55" s="456"/>
      <c r="AMR55" s="456"/>
      <c r="AMS55" s="456"/>
      <c r="AMT55" s="456"/>
      <c r="AMU55" s="456"/>
      <c r="AMV55" s="456"/>
      <c r="AMW55" s="456"/>
      <c r="AMX55" s="456"/>
      <c r="AMY55" s="456"/>
      <c r="AMZ55" s="456"/>
      <c r="ANA55" s="456"/>
      <c r="ANB55" s="456"/>
      <c r="ANC55" s="456"/>
      <c r="AND55" s="456"/>
      <c r="ANE55" s="456"/>
      <c r="ANF55" s="456"/>
      <c r="ANG55" s="456"/>
      <c r="ANH55" s="456"/>
      <c r="ANI55" s="456"/>
      <c r="ANJ55" s="456"/>
      <c r="ANK55" s="456"/>
      <c r="ANL55" s="456"/>
      <c r="ANM55" s="456"/>
      <c r="ANN55" s="456"/>
      <c r="ANO55" s="456"/>
      <c r="ANP55" s="456"/>
      <c r="ANQ55" s="456"/>
      <c r="ANR55" s="456"/>
      <c r="ANS55" s="456"/>
      <c r="ANT55" s="456"/>
      <c r="ANU55" s="456"/>
      <c r="ANV55" s="456"/>
      <c r="ANW55" s="456"/>
      <c r="ANX55" s="456"/>
      <c r="ANY55" s="456"/>
      <c r="ANZ55" s="456"/>
      <c r="AOA55" s="456"/>
      <c r="AOB55" s="456"/>
      <c r="AOC55" s="456"/>
      <c r="AOD55" s="456"/>
      <c r="AOE55" s="456"/>
      <c r="AOF55" s="456"/>
      <c r="AOG55" s="456"/>
      <c r="AOH55" s="456"/>
      <c r="AOI55" s="456"/>
      <c r="AOJ55" s="456"/>
      <c r="AOK55" s="456"/>
      <c r="AOL55" s="456"/>
      <c r="AOM55" s="456"/>
      <c r="AON55" s="456"/>
      <c r="AOO55" s="456"/>
      <c r="AOP55" s="456"/>
      <c r="AOQ55" s="456"/>
      <c r="AOR55" s="456"/>
      <c r="AOS55" s="456"/>
      <c r="AOT55" s="456"/>
      <c r="AOU55" s="456"/>
      <c r="AOV55" s="456"/>
      <c r="AOW55" s="456"/>
      <c r="AOX55" s="456"/>
      <c r="AOY55" s="456"/>
      <c r="AOZ55" s="456"/>
      <c r="APA55" s="456"/>
      <c r="APB55" s="456"/>
      <c r="APC55" s="456"/>
      <c r="APD55" s="456"/>
      <c r="APE55" s="456"/>
      <c r="APF55" s="456"/>
      <c r="APG55" s="456"/>
      <c r="APH55" s="456"/>
      <c r="API55" s="456"/>
      <c r="APJ55" s="456"/>
      <c r="APK55" s="456"/>
      <c r="APL55" s="456"/>
      <c r="APM55" s="456"/>
      <c r="APN55" s="456"/>
      <c r="APO55" s="456"/>
      <c r="APP55" s="456"/>
      <c r="APQ55" s="456"/>
      <c r="APR55" s="456"/>
      <c r="APS55" s="456"/>
      <c r="APT55" s="456"/>
      <c r="APU55" s="456"/>
      <c r="APV55" s="456"/>
      <c r="APW55" s="456"/>
      <c r="APX55" s="456"/>
      <c r="APY55" s="456"/>
      <c r="APZ55" s="456"/>
      <c r="AQA55" s="456"/>
      <c r="AQB55" s="456"/>
      <c r="AQC55" s="456"/>
      <c r="AQD55" s="456"/>
      <c r="AQE55" s="456"/>
      <c r="AQF55" s="456"/>
      <c r="AQG55" s="456"/>
      <c r="AQH55" s="456"/>
      <c r="AQI55" s="456"/>
      <c r="AQJ55" s="456"/>
      <c r="AQK55" s="456"/>
      <c r="AQL55" s="456"/>
      <c r="AQM55" s="456"/>
      <c r="AQN55" s="456"/>
      <c r="AQO55" s="456"/>
      <c r="AQP55" s="456"/>
      <c r="AQQ55" s="456"/>
      <c r="AQR55" s="456"/>
      <c r="AQS55" s="456"/>
      <c r="AQT55" s="456"/>
      <c r="AQU55" s="456"/>
      <c r="AQV55" s="456"/>
      <c r="AQW55" s="456"/>
      <c r="AQX55" s="456"/>
      <c r="AQY55" s="456"/>
      <c r="AQZ55" s="456"/>
      <c r="ARA55" s="456"/>
      <c r="ARB55" s="456"/>
      <c r="ARC55" s="456"/>
      <c r="ARD55" s="456"/>
      <c r="ARE55" s="456"/>
      <c r="ARF55" s="456"/>
      <c r="ARG55" s="456"/>
      <c r="ARH55" s="456"/>
      <c r="ARI55" s="456"/>
      <c r="ARJ55" s="456"/>
      <c r="ARK55" s="456"/>
      <c r="ARL55" s="456"/>
      <c r="ARM55" s="456"/>
      <c r="ARN55" s="456"/>
      <c r="ARO55" s="456"/>
      <c r="ARP55" s="456"/>
      <c r="ARQ55" s="456"/>
      <c r="ARR55" s="456"/>
      <c r="ARS55" s="456"/>
      <c r="ART55" s="456"/>
      <c r="ARU55" s="456"/>
      <c r="ARV55" s="456"/>
      <c r="ARW55" s="456"/>
      <c r="ARX55" s="456"/>
      <c r="ARY55" s="456"/>
      <c r="ARZ55" s="456"/>
      <c r="ASA55" s="456"/>
      <c r="ASB55" s="456"/>
      <c r="ASC55" s="456"/>
      <c r="ASD55" s="456"/>
      <c r="ASE55" s="456"/>
      <c r="ASF55" s="456"/>
      <c r="ASG55" s="456"/>
      <c r="ASH55" s="456"/>
      <c r="ASI55" s="456"/>
      <c r="ASJ55" s="456"/>
      <c r="ASK55" s="456"/>
      <c r="ASL55" s="456"/>
      <c r="ASM55" s="456"/>
      <c r="ASN55" s="456"/>
      <c r="ASO55" s="456"/>
      <c r="ASP55" s="456"/>
      <c r="ASQ55" s="456"/>
      <c r="ASR55" s="456"/>
      <c r="ASS55" s="456"/>
      <c r="AST55" s="456"/>
      <c r="ASU55" s="456"/>
      <c r="ASV55" s="456"/>
      <c r="ASW55" s="456"/>
      <c r="ASX55" s="456"/>
      <c r="ASY55" s="456"/>
      <c r="ASZ55" s="456"/>
      <c r="ATA55" s="456"/>
      <c r="ATB55" s="456"/>
      <c r="ATC55" s="456"/>
      <c r="ATD55" s="456"/>
      <c r="ATE55" s="456"/>
      <c r="ATF55" s="456"/>
      <c r="ATG55" s="456"/>
      <c r="ATH55" s="456"/>
      <c r="ATI55" s="456"/>
      <c r="ATJ55" s="456"/>
      <c r="ATK55" s="456"/>
      <c r="ATL55" s="456"/>
      <c r="ATM55" s="456"/>
      <c r="ATN55" s="456"/>
      <c r="ATO55" s="456"/>
      <c r="ATP55" s="456"/>
      <c r="ATQ55" s="456"/>
      <c r="ATR55" s="456"/>
      <c r="ATS55" s="456"/>
      <c r="ATT55" s="456"/>
      <c r="ATU55" s="456"/>
      <c r="ATV55" s="456"/>
      <c r="ATW55" s="456"/>
      <c r="ATX55" s="456"/>
      <c r="ATY55" s="456"/>
      <c r="ATZ55" s="456"/>
      <c r="AUA55" s="456"/>
      <c r="AUB55" s="456"/>
      <c r="AUC55" s="456"/>
      <c r="AUD55" s="456"/>
      <c r="AUE55" s="456"/>
      <c r="AUF55" s="456"/>
      <c r="AUG55" s="456"/>
      <c r="AUH55" s="456"/>
      <c r="AUI55" s="456"/>
      <c r="AUJ55" s="456"/>
      <c r="AUK55" s="456"/>
      <c r="AUL55" s="456"/>
      <c r="AUM55" s="456"/>
      <c r="AUN55" s="456"/>
      <c r="AUO55" s="456"/>
      <c r="AUP55" s="456"/>
      <c r="AUQ55" s="456"/>
      <c r="AUR55" s="456"/>
      <c r="AUS55" s="456"/>
      <c r="AUT55" s="456"/>
      <c r="AUU55" s="456"/>
      <c r="AUV55" s="456"/>
      <c r="AUW55" s="456"/>
      <c r="AUX55" s="456"/>
      <c r="AUY55" s="456"/>
      <c r="AUZ55" s="456"/>
      <c r="AVA55" s="456"/>
      <c r="AVB55" s="456"/>
      <c r="AVC55" s="456"/>
      <c r="AVD55" s="456"/>
      <c r="AVE55" s="456"/>
      <c r="AVF55" s="456"/>
      <c r="AVG55" s="456"/>
      <c r="AVH55" s="456"/>
      <c r="AVI55" s="456"/>
      <c r="AVJ55" s="456"/>
      <c r="AVK55" s="456"/>
      <c r="AVL55" s="456"/>
      <c r="AVM55" s="456"/>
      <c r="AVN55" s="456"/>
      <c r="AVO55" s="456"/>
      <c r="AVP55" s="456"/>
      <c r="AVQ55" s="456"/>
      <c r="AVR55" s="456"/>
      <c r="AVS55" s="456"/>
      <c r="AVT55" s="456"/>
      <c r="AVU55" s="456"/>
      <c r="AVV55" s="456"/>
      <c r="AVW55" s="456"/>
      <c r="AVX55" s="456"/>
      <c r="AVY55" s="456"/>
      <c r="AVZ55" s="456"/>
      <c r="AWA55" s="456"/>
      <c r="AWB55" s="456"/>
      <c r="AWC55" s="456"/>
      <c r="AWD55" s="456"/>
      <c r="AWE55" s="456"/>
      <c r="AWF55" s="456"/>
      <c r="AWG55" s="456"/>
      <c r="AWH55" s="456"/>
      <c r="AWI55" s="456"/>
      <c r="AWJ55" s="456"/>
      <c r="AWK55" s="456"/>
      <c r="AWL55" s="456"/>
      <c r="AWM55" s="456"/>
      <c r="AWN55" s="456"/>
      <c r="AWO55" s="456"/>
      <c r="AWP55" s="456"/>
      <c r="AWQ55" s="456"/>
      <c r="AWR55" s="456"/>
      <c r="AWS55" s="456"/>
      <c r="AWT55" s="456"/>
      <c r="AWU55" s="456"/>
      <c r="AWV55" s="456"/>
      <c r="AWW55" s="456"/>
      <c r="AWX55" s="456"/>
      <c r="AWY55" s="456"/>
      <c r="AWZ55" s="456"/>
      <c r="AXA55" s="456"/>
      <c r="AXB55" s="456"/>
      <c r="AXC55" s="456"/>
      <c r="AXD55" s="456"/>
      <c r="AXE55" s="456"/>
      <c r="AXF55" s="456"/>
      <c r="AXG55" s="456"/>
      <c r="AXH55" s="456"/>
      <c r="AXI55" s="456"/>
      <c r="AXJ55" s="456"/>
      <c r="AXK55" s="456"/>
      <c r="AXL55" s="456"/>
      <c r="AXM55" s="456"/>
      <c r="AXN55" s="456"/>
      <c r="AXO55" s="456"/>
      <c r="AXP55" s="456"/>
      <c r="AXQ55" s="456"/>
      <c r="AXR55" s="456"/>
      <c r="AXS55" s="456"/>
      <c r="AXT55" s="456"/>
      <c r="AXU55" s="456"/>
      <c r="AXV55" s="456"/>
      <c r="AXW55" s="456"/>
      <c r="AXX55" s="456"/>
      <c r="AXY55" s="456"/>
      <c r="AXZ55" s="456"/>
      <c r="AYA55" s="456"/>
      <c r="AYB55" s="456"/>
      <c r="AYC55" s="456"/>
      <c r="AYD55" s="456"/>
      <c r="AYE55" s="456"/>
      <c r="AYF55" s="456"/>
      <c r="AYG55" s="456"/>
      <c r="AYH55" s="456"/>
      <c r="AYI55" s="456"/>
      <c r="AYJ55" s="456"/>
      <c r="AYK55" s="456"/>
      <c r="AYL55" s="456"/>
      <c r="AYM55" s="456"/>
      <c r="AYN55" s="456"/>
      <c r="AYO55" s="456"/>
      <c r="AYP55" s="456"/>
      <c r="AYQ55" s="456"/>
      <c r="AYR55" s="456"/>
      <c r="AYS55" s="456"/>
      <c r="AYT55" s="456"/>
      <c r="AYU55" s="456"/>
      <c r="AYV55" s="456"/>
      <c r="AYW55" s="456"/>
      <c r="AYX55" s="456"/>
      <c r="AYY55" s="456"/>
      <c r="AYZ55" s="456"/>
      <c r="AZA55" s="456"/>
      <c r="AZB55" s="456"/>
      <c r="AZC55" s="456"/>
      <c r="AZD55" s="456"/>
      <c r="AZE55" s="456"/>
      <c r="AZF55" s="456"/>
      <c r="AZG55" s="456"/>
      <c r="AZH55" s="456"/>
      <c r="AZI55" s="456"/>
      <c r="AZJ55" s="456"/>
      <c r="AZK55" s="456"/>
      <c r="AZL55" s="456"/>
      <c r="AZM55" s="456"/>
      <c r="AZN55" s="456"/>
      <c r="AZO55" s="456"/>
      <c r="AZP55" s="456"/>
      <c r="AZQ55" s="456"/>
      <c r="AZR55" s="456"/>
      <c r="AZS55" s="456"/>
      <c r="AZT55" s="456"/>
      <c r="AZU55" s="456"/>
      <c r="AZV55" s="456"/>
      <c r="AZW55" s="456"/>
      <c r="AZX55" s="456"/>
      <c r="AZY55" s="456"/>
      <c r="AZZ55" s="456"/>
      <c r="BAA55" s="456"/>
      <c r="BAB55" s="456"/>
      <c r="BAC55" s="456"/>
      <c r="BAD55" s="456"/>
      <c r="BAE55" s="456"/>
      <c r="BAF55" s="456"/>
      <c r="BAG55" s="456"/>
      <c r="BAH55" s="456"/>
      <c r="BAI55" s="456"/>
      <c r="BAJ55" s="456"/>
      <c r="BAK55" s="456"/>
      <c r="BAL55" s="456"/>
      <c r="BAM55" s="456"/>
      <c r="BAN55" s="456"/>
      <c r="BAO55" s="456"/>
      <c r="BAP55" s="456"/>
      <c r="BAQ55" s="456"/>
      <c r="BAR55" s="456"/>
      <c r="BAS55" s="456"/>
      <c r="BAT55" s="456"/>
      <c r="BAU55" s="456"/>
      <c r="BAV55" s="456"/>
      <c r="BAW55" s="456"/>
      <c r="BAX55" s="456"/>
      <c r="BAY55" s="456"/>
      <c r="BAZ55" s="456"/>
      <c r="BBA55" s="456"/>
      <c r="BBB55" s="456"/>
      <c r="BBC55" s="456"/>
      <c r="BBD55" s="456"/>
      <c r="BBE55" s="456"/>
      <c r="BBF55" s="456"/>
      <c r="BBG55" s="456"/>
      <c r="BBH55" s="456"/>
      <c r="BBI55" s="456"/>
      <c r="BBJ55" s="456"/>
      <c r="BBK55" s="456"/>
      <c r="BBL55" s="456"/>
      <c r="BBM55" s="456"/>
      <c r="BBN55" s="456"/>
      <c r="BBO55" s="456"/>
      <c r="BBP55" s="456"/>
      <c r="BBQ55" s="456"/>
      <c r="BBR55" s="456"/>
      <c r="BBS55" s="456"/>
      <c r="BBT55" s="456"/>
      <c r="BBU55" s="456"/>
      <c r="BBV55" s="456"/>
      <c r="BBW55" s="456"/>
      <c r="BBX55" s="456"/>
      <c r="BBY55" s="456"/>
      <c r="BBZ55" s="456"/>
      <c r="BCA55" s="456"/>
      <c r="BCB55" s="456"/>
      <c r="BCC55" s="456"/>
      <c r="BCD55" s="456"/>
      <c r="BCE55" s="456"/>
      <c r="BCF55" s="456"/>
      <c r="BCG55" s="456"/>
      <c r="BCH55" s="456"/>
      <c r="BCI55" s="456"/>
      <c r="BCJ55" s="456"/>
      <c r="BCK55" s="456"/>
      <c r="BCL55" s="456"/>
      <c r="BCM55" s="456"/>
      <c r="BCN55" s="456"/>
      <c r="BCO55" s="456"/>
      <c r="BCP55" s="456"/>
      <c r="BCQ55" s="456"/>
      <c r="BCR55" s="456"/>
      <c r="BCS55" s="456"/>
      <c r="BCT55" s="456"/>
      <c r="BCU55" s="456"/>
      <c r="BCV55" s="456"/>
      <c r="BCW55" s="456"/>
      <c r="BCX55" s="456"/>
      <c r="BCY55" s="456"/>
      <c r="BCZ55" s="456"/>
      <c r="BDA55" s="456"/>
      <c r="BDB55" s="456"/>
      <c r="BDC55" s="456"/>
      <c r="BDD55" s="456"/>
      <c r="BDE55" s="456"/>
      <c r="BDF55" s="456"/>
      <c r="BDG55" s="456"/>
      <c r="BDH55" s="456"/>
      <c r="BDI55" s="456"/>
      <c r="BDJ55" s="456"/>
      <c r="BDK55" s="456"/>
      <c r="BDL55" s="456"/>
      <c r="BDM55" s="456"/>
      <c r="BDN55" s="456"/>
      <c r="BDO55" s="456"/>
      <c r="BDP55" s="456"/>
      <c r="BDQ55" s="456"/>
      <c r="BDR55" s="456"/>
      <c r="BDS55" s="456"/>
      <c r="BDT55" s="456"/>
      <c r="BDU55" s="456"/>
      <c r="BDV55" s="456"/>
      <c r="BDW55" s="456"/>
      <c r="BDX55" s="456"/>
      <c r="BDY55" s="456"/>
      <c r="BDZ55" s="456"/>
      <c r="BEA55" s="456"/>
      <c r="BEB55" s="456"/>
      <c r="BEC55" s="456"/>
      <c r="BED55" s="456"/>
      <c r="BEE55" s="456"/>
      <c r="BEF55" s="456"/>
      <c r="BEG55" s="456"/>
      <c r="BEH55" s="456"/>
      <c r="BEI55" s="456"/>
      <c r="BEJ55" s="456"/>
      <c r="BEK55" s="456"/>
      <c r="BEL55" s="456"/>
      <c r="BEM55" s="456"/>
      <c r="BEN55" s="456"/>
      <c r="BEO55" s="456"/>
      <c r="BEP55" s="456"/>
      <c r="BEQ55" s="456"/>
      <c r="BER55" s="456"/>
      <c r="BES55" s="456"/>
      <c r="BET55" s="456"/>
      <c r="BEU55" s="456"/>
      <c r="BEV55" s="456"/>
      <c r="BEW55" s="456"/>
      <c r="BEX55" s="456"/>
      <c r="BEY55" s="456"/>
      <c r="BEZ55" s="456"/>
      <c r="BFA55" s="456"/>
      <c r="BFB55" s="456"/>
      <c r="BFC55" s="456"/>
      <c r="BFD55" s="456"/>
      <c r="BFE55" s="456"/>
      <c r="BFF55" s="456"/>
      <c r="BFG55" s="456"/>
      <c r="BFH55" s="456"/>
      <c r="BFI55" s="456"/>
      <c r="BFJ55" s="456"/>
      <c r="BFK55" s="456"/>
      <c r="BFL55" s="456"/>
      <c r="BFM55" s="456"/>
      <c r="BFN55" s="456"/>
      <c r="BFO55" s="456"/>
      <c r="BFP55" s="456"/>
      <c r="BFQ55" s="456"/>
      <c r="BFR55" s="456"/>
      <c r="BFS55" s="456"/>
      <c r="BFT55" s="456"/>
      <c r="BFU55" s="456"/>
      <c r="BFV55" s="456"/>
      <c r="BFW55" s="456"/>
      <c r="BFX55" s="456"/>
      <c r="BFY55" s="456"/>
      <c r="BFZ55" s="456"/>
      <c r="BGA55" s="456"/>
      <c r="BGB55" s="456"/>
      <c r="BGC55" s="456"/>
      <c r="BGD55" s="456"/>
      <c r="BGE55" s="456"/>
      <c r="BGF55" s="456"/>
      <c r="BGG55" s="456"/>
      <c r="BGH55" s="456"/>
      <c r="BGI55" s="456"/>
      <c r="BGJ55" s="456"/>
      <c r="BGK55" s="456"/>
      <c r="BGL55" s="456"/>
      <c r="BGM55" s="456"/>
      <c r="BGN55" s="456"/>
      <c r="BGO55" s="456"/>
      <c r="BGP55" s="456"/>
      <c r="BGQ55" s="456"/>
      <c r="BGR55" s="456"/>
      <c r="BGS55" s="456"/>
      <c r="BGT55" s="456"/>
      <c r="BGU55" s="456"/>
      <c r="BGV55" s="456"/>
      <c r="BGW55" s="456"/>
      <c r="BGX55" s="456"/>
      <c r="BGY55" s="456"/>
      <c r="BGZ55" s="456"/>
      <c r="BHA55" s="456"/>
      <c r="BHB55" s="456"/>
      <c r="BHC55" s="456"/>
      <c r="BHD55" s="456"/>
      <c r="BHE55" s="456"/>
      <c r="BHF55" s="456"/>
      <c r="BHG55" s="456"/>
      <c r="BHH55" s="456"/>
      <c r="BHI55" s="456"/>
      <c r="BHJ55" s="456"/>
      <c r="BHK55" s="456"/>
      <c r="BHL55" s="456"/>
      <c r="BHM55" s="456"/>
      <c r="BHN55" s="456"/>
      <c r="BHO55" s="456"/>
      <c r="BHP55" s="456"/>
      <c r="BHQ55" s="456"/>
      <c r="BHR55" s="456"/>
      <c r="BHS55" s="456"/>
      <c r="BHT55" s="456"/>
      <c r="BHU55" s="456"/>
      <c r="BHV55" s="456"/>
      <c r="BHW55" s="456"/>
      <c r="BHX55" s="456"/>
      <c r="BHY55" s="456"/>
      <c r="BHZ55" s="456"/>
      <c r="BIA55" s="456"/>
      <c r="BIB55" s="456"/>
      <c r="BIC55" s="456"/>
      <c r="BID55" s="456"/>
      <c r="BIE55" s="456"/>
      <c r="BIF55" s="456"/>
      <c r="BIG55" s="456"/>
      <c r="BIH55" s="456"/>
      <c r="BII55" s="456"/>
      <c r="BIJ55" s="456"/>
      <c r="BIK55" s="456"/>
      <c r="BIL55" s="456"/>
      <c r="BIM55" s="456"/>
      <c r="BIN55" s="456"/>
      <c r="BIO55" s="456"/>
      <c r="BIP55" s="456"/>
      <c r="BIQ55" s="456"/>
      <c r="BIR55" s="456"/>
      <c r="BIS55" s="456"/>
      <c r="BIT55" s="456"/>
      <c r="BIU55" s="456"/>
      <c r="BIV55" s="456"/>
      <c r="BIW55" s="456"/>
      <c r="BIX55" s="456"/>
      <c r="BIY55" s="456"/>
      <c r="BIZ55" s="456"/>
      <c r="BJA55" s="456"/>
      <c r="BJB55" s="456"/>
      <c r="BJC55" s="456"/>
      <c r="BJD55" s="456"/>
      <c r="BJE55" s="456"/>
      <c r="BJF55" s="456"/>
      <c r="BJG55" s="456"/>
      <c r="BJH55" s="456"/>
      <c r="BJI55" s="456"/>
      <c r="BJJ55" s="456"/>
      <c r="BJK55" s="456"/>
      <c r="BJL55" s="456"/>
      <c r="BJM55" s="456"/>
      <c r="BJN55" s="456"/>
      <c r="BJO55" s="456"/>
      <c r="BJP55" s="456"/>
      <c r="BJQ55" s="456"/>
      <c r="BJR55" s="456"/>
      <c r="BJS55" s="456"/>
      <c r="BJT55" s="456"/>
      <c r="BJU55" s="456"/>
      <c r="BJV55" s="456"/>
      <c r="BJW55" s="456"/>
      <c r="BJX55" s="456"/>
      <c r="BJY55" s="456"/>
      <c r="BJZ55" s="456"/>
      <c r="BKA55" s="456"/>
      <c r="BKB55" s="456"/>
      <c r="BKC55" s="456"/>
      <c r="BKD55" s="456"/>
      <c r="BKE55" s="456"/>
      <c r="BKF55" s="456"/>
      <c r="BKG55" s="456"/>
      <c r="BKH55" s="456"/>
      <c r="BKI55" s="456"/>
      <c r="BKJ55" s="456"/>
      <c r="BKK55" s="456"/>
      <c r="BKL55" s="456"/>
      <c r="BKM55" s="456"/>
      <c r="BKN55" s="456"/>
      <c r="BKO55" s="456"/>
      <c r="BKP55" s="456"/>
      <c r="BKQ55" s="456"/>
      <c r="BKR55" s="456"/>
      <c r="BKS55" s="456"/>
      <c r="BKT55" s="456"/>
      <c r="BKU55" s="456"/>
      <c r="BKV55" s="456"/>
      <c r="BKW55" s="456"/>
      <c r="BKX55" s="456"/>
      <c r="BKY55" s="456"/>
      <c r="BKZ55" s="456"/>
      <c r="BLA55" s="456"/>
      <c r="BLB55" s="456"/>
      <c r="BLC55" s="456"/>
      <c r="BLD55" s="456"/>
      <c r="BLE55" s="456"/>
      <c r="BLF55" s="456"/>
      <c r="BLG55" s="456"/>
      <c r="BLH55" s="456"/>
      <c r="BLI55" s="456"/>
      <c r="BLJ55" s="456"/>
      <c r="BLK55" s="456"/>
      <c r="BLL55" s="456"/>
      <c r="BLM55" s="456"/>
      <c r="BLN55" s="456"/>
      <c r="BLO55" s="456"/>
      <c r="BLP55" s="456"/>
      <c r="BLQ55" s="456"/>
      <c r="BLR55" s="456"/>
      <c r="BLS55" s="456"/>
      <c r="BLT55" s="456"/>
      <c r="BLU55" s="456"/>
      <c r="BLV55" s="456"/>
      <c r="BLW55" s="456"/>
      <c r="BLX55" s="456"/>
      <c r="BLY55" s="456"/>
      <c r="BLZ55" s="456"/>
      <c r="BMA55" s="456"/>
      <c r="BMB55" s="456"/>
      <c r="BMC55" s="456"/>
      <c r="BMD55" s="456"/>
      <c r="BME55" s="456"/>
      <c r="BMF55" s="456"/>
      <c r="BMG55" s="456"/>
      <c r="BMH55" s="456"/>
      <c r="BMI55" s="456"/>
      <c r="BMJ55" s="456"/>
      <c r="BMK55" s="456"/>
      <c r="BML55" s="456"/>
      <c r="BMM55" s="456"/>
      <c r="BMN55" s="456"/>
      <c r="BMO55" s="456"/>
      <c r="BMP55" s="456"/>
      <c r="BMQ55" s="456"/>
      <c r="BMR55" s="456"/>
      <c r="BMS55" s="456"/>
      <c r="BMT55" s="456"/>
      <c r="BMU55" s="456"/>
      <c r="BMV55" s="456"/>
      <c r="BMW55" s="456"/>
      <c r="BMX55" s="456"/>
      <c r="BMY55" s="456"/>
      <c r="BMZ55" s="456"/>
      <c r="BNA55" s="456"/>
      <c r="BNB55" s="456"/>
      <c r="BNC55" s="456"/>
      <c r="BND55" s="456"/>
      <c r="BNE55" s="456"/>
      <c r="BNF55" s="456"/>
      <c r="BNG55" s="456"/>
      <c r="BNH55" s="456"/>
      <c r="BNI55" s="456"/>
      <c r="BNJ55" s="456"/>
      <c r="BNK55" s="456"/>
      <c r="BNL55" s="456"/>
      <c r="BNM55" s="456"/>
      <c r="BNN55" s="456"/>
      <c r="BNO55" s="456"/>
      <c r="BNP55" s="456"/>
      <c r="BNQ55" s="456"/>
      <c r="BNR55" s="456"/>
      <c r="BNS55" s="456"/>
      <c r="BNT55" s="456"/>
      <c r="BNU55" s="456"/>
      <c r="BNV55" s="456"/>
      <c r="BNW55" s="456"/>
      <c r="BNX55" s="456"/>
      <c r="BNY55" s="456"/>
      <c r="BNZ55" s="456"/>
      <c r="BOA55" s="456"/>
      <c r="BOB55" s="456"/>
      <c r="BOC55" s="456"/>
      <c r="BOD55" s="456"/>
      <c r="BOE55" s="456"/>
      <c r="BOF55" s="456"/>
      <c r="BOG55" s="456"/>
      <c r="BOH55" s="456"/>
      <c r="BOI55" s="456"/>
      <c r="BOJ55" s="456"/>
      <c r="BOK55" s="456"/>
      <c r="BOL55" s="456"/>
      <c r="BOM55" s="456"/>
      <c r="BON55" s="456"/>
      <c r="BOO55" s="456"/>
      <c r="BOP55" s="456"/>
      <c r="BOQ55" s="456"/>
      <c r="BOR55" s="456"/>
      <c r="BOS55" s="456"/>
      <c r="BOT55" s="456"/>
      <c r="BOU55" s="456"/>
      <c r="BOV55" s="456"/>
      <c r="BOW55" s="456"/>
      <c r="BOX55" s="456"/>
      <c r="BOY55" s="456"/>
      <c r="BOZ55" s="456"/>
      <c r="BPA55" s="456"/>
      <c r="BPB55" s="456"/>
      <c r="BPC55" s="456"/>
      <c r="BPD55" s="456"/>
      <c r="BPE55" s="456"/>
      <c r="BPF55" s="456"/>
      <c r="BPG55" s="456"/>
      <c r="BPH55" s="456"/>
      <c r="BPI55" s="456"/>
      <c r="BPJ55" s="456"/>
      <c r="BPK55" s="456"/>
      <c r="BPL55" s="456"/>
      <c r="BPM55" s="456"/>
      <c r="BPN55" s="456"/>
      <c r="BPO55" s="456"/>
      <c r="BPP55" s="456"/>
      <c r="BPQ55" s="456"/>
      <c r="BPR55" s="456"/>
      <c r="BPS55" s="456"/>
      <c r="BPT55" s="456"/>
      <c r="BPU55" s="456"/>
      <c r="BPV55" s="456"/>
      <c r="BPW55" s="456"/>
      <c r="BPX55" s="456"/>
      <c r="BPY55" s="456"/>
      <c r="BPZ55" s="456"/>
      <c r="BQA55" s="456"/>
      <c r="BQB55" s="456"/>
      <c r="BQC55" s="456"/>
      <c r="BQD55" s="456"/>
      <c r="BQE55" s="456"/>
      <c r="BQF55" s="456"/>
      <c r="BQG55" s="456"/>
      <c r="BQH55" s="456"/>
      <c r="BQI55" s="456"/>
      <c r="BQJ55" s="456"/>
      <c r="BQK55" s="456"/>
      <c r="BQL55" s="456"/>
      <c r="BQM55" s="456"/>
      <c r="BQN55" s="456"/>
      <c r="BQO55" s="456"/>
      <c r="BQP55" s="456"/>
      <c r="BQQ55" s="456"/>
      <c r="BQR55" s="456"/>
      <c r="BQS55" s="456"/>
      <c r="BQT55" s="456"/>
      <c r="BQU55" s="456"/>
      <c r="BQV55" s="456"/>
      <c r="BQW55" s="456"/>
      <c r="BQX55" s="456"/>
      <c r="BQY55" s="456"/>
      <c r="BQZ55" s="456"/>
      <c r="BRA55" s="456"/>
      <c r="BRB55" s="456"/>
      <c r="BRC55" s="456"/>
      <c r="BRD55" s="456"/>
      <c r="BRE55" s="456"/>
      <c r="BRF55" s="456"/>
      <c r="BRG55" s="456"/>
      <c r="BRH55" s="456"/>
      <c r="BRI55" s="456"/>
      <c r="BRJ55" s="456"/>
      <c r="BRK55" s="456"/>
      <c r="BRL55" s="456"/>
      <c r="BRM55" s="456"/>
      <c r="BRN55" s="456"/>
      <c r="BRO55" s="456"/>
      <c r="BRP55" s="456"/>
      <c r="BRQ55" s="456"/>
      <c r="BRR55" s="456"/>
      <c r="BRS55" s="456"/>
      <c r="BRT55" s="456"/>
      <c r="BRU55" s="456"/>
      <c r="BRV55" s="456"/>
      <c r="BRW55" s="456"/>
      <c r="BRX55" s="456"/>
      <c r="BRY55" s="456"/>
      <c r="BRZ55" s="456"/>
      <c r="BSA55" s="456"/>
      <c r="BSB55" s="456"/>
      <c r="BSC55" s="456"/>
      <c r="BSD55" s="456"/>
      <c r="BSE55" s="456"/>
      <c r="BSF55" s="456"/>
      <c r="BSG55" s="456"/>
      <c r="BSH55" s="456"/>
      <c r="BSI55" s="456"/>
      <c r="BSJ55" s="456"/>
      <c r="BSK55" s="456"/>
      <c r="BSL55" s="456"/>
      <c r="BSM55" s="456"/>
      <c r="BSN55" s="456"/>
      <c r="BSO55" s="456"/>
      <c r="BSP55" s="456"/>
      <c r="BSQ55" s="456"/>
      <c r="BSR55" s="456"/>
      <c r="BSS55" s="456"/>
      <c r="BST55" s="456"/>
      <c r="BSU55" s="456"/>
      <c r="BSV55" s="456"/>
      <c r="BSW55" s="456"/>
      <c r="BSX55" s="456"/>
      <c r="BSY55" s="456"/>
      <c r="BSZ55" s="456"/>
      <c r="BTA55" s="456"/>
      <c r="BTB55" s="456"/>
      <c r="BTC55" s="456"/>
      <c r="BTD55" s="456"/>
      <c r="BTE55" s="456"/>
      <c r="BTF55" s="456"/>
      <c r="BTG55" s="456"/>
      <c r="BTH55" s="456"/>
      <c r="BTI55" s="456"/>
      <c r="BTJ55" s="456"/>
      <c r="BTK55" s="456"/>
      <c r="BTL55" s="456"/>
      <c r="BTM55" s="456"/>
      <c r="BTN55" s="456"/>
      <c r="BTO55" s="456"/>
      <c r="BTP55" s="456"/>
      <c r="BTQ55" s="456"/>
      <c r="BTR55" s="456"/>
      <c r="BTS55" s="456"/>
      <c r="BTT55" s="456"/>
      <c r="BTU55" s="456"/>
      <c r="BTV55" s="456"/>
      <c r="BTW55" s="456"/>
      <c r="BTX55" s="456"/>
      <c r="BTY55" s="456"/>
      <c r="BTZ55" s="456"/>
      <c r="BUA55" s="456"/>
      <c r="BUB55" s="456"/>
      <c r="BUC55" s="456"/>
      <c r="BUD55" s="456"/>
      <c r="BUE55" s="456"/>
      <c r="BUF55" s="456"/>
      <c r="BUG55" s="456"/>
      <c r="BUH55" s="456"/>
      <c r="BUI55" s="456"/>
      <c r="BUJ55" s="456"/>
      <c r="BUK55" s="456"/>
      <c r="BUL55" s="456"/>
      <c r="BUM55" s="456"/>
      <c r="BUN55" s="456"/>
      <c r="BUO55" s="456"/>
      <c r="BUP55" s="456"/>
      <c r="BUQ55" s="456"/>
      <c r="BUR55" s="456"/>
      <c r="BUS55" s="456"/>
      <c r="BUT55" s="456"/>
      <c r="BUU55" s="456"/>
      <c r="BUV55" s="456"/>
      <c r="BUW55" s="456"/>
      <c r="BUX55" s="456"/>
      <c r="BUY55" s="456"/>
      <c r="BUZ55" s="456"/>
      <c r="BVA55" s="456"/>
      <c r="BVB55" s="456"/>
      <c r="BVC55" s="456"/>
      <c r="BVD55" s="456"/>
      <c r="BVE55" s="456"/>
      <c r="BVF55" s="456"/>
      <c r="BVG55" s="456"/>
      <c r="BVH55" s="456"/>
      <c r="BVI55" s="456"/>
      <c r="BVJ55" s="456"/>
      <c r="BVK55" s="456"/>
      <c r="BVL55" s="456"/>
      <c r="BVM55" s="456"/>
      <c r="BVN55" s="456"/>
      <c r="BVO55" s="456"/>
      <c r="BVP55" s="456"/>
      <c r="BVQ55" s="456"/>
      <c r="BVR55" s="456"/>
      <c r="BVS55" s="456"/>
      <c r="BVT55" s="456"/>
      <c r="BVU55" s="456"/>
      <c r="BVV55" s="456"/>
      <c r="BVW55" s="456"/>
      <c r="BVX55" s="456"/>
      <c r="BVY55" s="456"/>
      <c r="BVZ55" s="456"/>
      <c r="BWA55" s="456"/>
      <c r="BWB55" s="456"/>
      <c r="BWC55" s="456"/>
      <c r="BWD55" s="456"/>
      <c r="BWE55" s="456"/>
      <c r="BWF55" s="456"/>
      <c r="BWG55" s="456"/>
      <c r="BWH55" s="456"/>
      <c r="BWI55" s="456"/>
      <c r="BWJ55" s="456"/>
      <c r="BWK55" s="456"/>
      <c r="BWL55" s="456"/>
      <c r="BWM55" s="456"/>
      <c r="BWN55" s="456"/>
      <c r="BWO55" s="456"/>
      <c r="BWP55" s="456"/>
      <c r="BWQ55" s="456"/>
      <c r="BWR55" s="456"/>
      <c r="BWS55" s="456"/>
      <c r="BWT55" s="456"/>
      <c r="BWU55" s="456"/>
      <c r="BWV55" s="456"/>
      <c r="BWW55" s="456"/>
      <c r="BWX55" s="456"/>
      <c r="BWY55" s="456"/>
      <c r="BWZ55" s="456"/>
      <c r="BXA55" s="456"/>
      <c r="BXB55" s="456"/>
      <c r="BXC55" s="456"/>
      <c r="BXD55" s="456"/>
      <c r="BXE55" s="456"/>
      <c r="BXF55" s="456"/>
      <c r="BXG55" s="456"/>
      <c r="BXH55" s="456"/>
      <c r="BXI55" s="456"/>
      <c r="BXJ55" s="456"/>
      <c r="BXK55" s="456"/>
      <c r="BXL55" s="456"/>
      <c r="BXM55" s="456"/>
      <c r="BXN55" s="456"/>
      <c r="BXO55" s="456"/>
      <c r="BXP55" s="456"/>
      <c r="BXQ55" s="456"/>
      <c r="BXR55" s="456"/>
      <c r="BXS55" s="456"/>
      <c r="BXT55" s="456"/>
      <c r="BXU55" s="456"/>
      <c r="BXV55" s="456"/>
      <c r="BXW55" s="456"/>
      <c r="BXX55" s="456"/>
      <c r="BXY55" s="456"/>
      <c r="BXZ55" s="456"/>
    </row>
    <row r="56" s="25" customFormat="1" spans="1:1024 1025:2002">
      <c r="A56" s="473" t="s">
        <v>34</v>
      </c>
      <c r="B56" s="19">
        <v>1119</v>
      </c>
      <c r="C56" s="183">
        <v>46181</v>
      </c>
      <c r="D56" s="17" t="s">
        <v>35</v>
      </c>
      <c r="E56" s="17" t="s">
        <v>71</v>
      </c>
      <c r="F56" s="17" t="s">
        <v>72</v>
      </c>
      <c r="G56" s="17"/>
      <c r="H56" s="19">
        <v>1.2379</v>
      </c>
      <c r="I56" s="19">
        <v>1.2379</v>
      </c>
      <c r="J56" s="17" t="s">
        <v>82</v>
      </c>
      <c r="K56" s="91">
        <v>305</v>
      </c>
      <c r="L56" s="23">
        <v>20</v>
      </c>
      <c r="M56" s="19">
        <v>5800</v>
      </c>
      <c r="N56" s="19" t="s">
        <v>40</v>
      </c>
      <c r="O56" s="19" t="s">
        <v>67</v>
      </c>
      <c r="P56" s="19">
        <v>1000</v>
      </c>
      <c r="Q56" s="19">
        <v>766</v>
      </c>
      <c r="R56" s="19">
        <f t="shared" si="2"/>
        <v>234</v>
      </c>
      <c r="S56" s="477">
        <f>2365+68</f>
        <v>2433</v>
      </c>
      <c r="T56" s="19" t="s">
        <v>42</v>
      </c>
      <c r="U56" s="102" t="s">
        <v>83</v>
      </c>
      <c r="V56" s="186">
        <v>46181</v>
      </c>
      <c r="W56" s="17" t="s">
        <v>69</v>
      </c>
      <c r="X56" s="17"/>
      <c r="Y56" s="68">
        <v>46327</v>
      </c>
      <c r="Z56" s="17" t="s">
        <v>45</v>
      </c>
      <c r="AA56" s="17" t="s">
        <v>46</v>
      </c>
      <c r="AB56" s="17" t="s">
        <v>75</v>
      </c>
      <c r="AC56" s="217">
        <v>46224</v>
      </c>
      <c r="AD56" s="65">
        <v>1837</v>
      </c>
      <c r="AE56" s="17" t="s">
        <v>48</v>
      </c>
      <c r="AF56" s="17" t="s">
        <v>76</v>
      </c>
      <c r="AG56" s="17"/>
      <c r="AH56" s="456"/>
      <c r="AI56" s="456"/>
      <c r="AJ56" s="456"/>
      <c r="AK56" s="456"/>
      <c r="AL56" s="456"/>
      <c r="AM56" s="456"/>
      <c r="AN56" s="456"/>
      <c r="AO56" s="456"/>
      <c r="AP56" s="456"/>
      <c r="AQ56" s="456"/>
      <c r="AR56" s="456"/>
      <c r="AS56" s="456"/>
      <c r="AT56" s="456"/>
      <c r="AU56" s="456"/>
      <c r="AV56" s="456"/>
      <c r="AW56" s="456"/>
      <c r="AX56" s="456"/>
      <c r="AY56" s="456"/>
      <c r="AZ56" s="456"/>
      <c r="BA56" s="456"/>
      <c r="BB56" s="456"/>
      <c r="BC56" s="456"/>
      <c r="BD56" s="456"/>
      <c r="BE56" s="456"/>
      <c r="BF56" s="456"/>
      <c r="BG56" s="456"/>
      <c r="BH56" s="456"/>
      <c r="BI56" s="456"/>
      <c r="BJ56" s="456"/>
      <c r="BK56" s="456"/>
      <c r="BL56" s="456"/>
      <c r="BM56" s="456"/>
      <c r="BN56" s="456"/>
      <c r="BO56" s="456"/>
      <c r="BP56" s="456"/>
      <c r="BQ56" s="456"/>
      <c r="BR56" s="456"/>
      <c r="BS56" s="456"/>
      <c r="BT56" s="456"/>
      <c r="BU56" s="456"/>
      <c r="BV56" s="456"/>
      <c r="BW56" s="456"/>
      <c r="BX56" s="456"/>
      <c r="BY56" s="456"/>
      <c r="BZ56" s="456"/>
      <c r="CA56" s="456"/>
      <c r="CB56" s="456"/>
      <c r="CC56" s="456"/>
      <c r="CD56" s="456"/>
      <c r="CE56" s="456"/>
      <c r="CF56" s="456"/>
      <c r="CG56" s="456"/>
      <c r="CH56" s="456"/>
      <c r="CI56" s="456"/>
      <c r="CJ56" s="456"/>
      <c r="CK56" s="456"/>
      <c r="CL56" s="456"/>
      <c r="CM56" s="456"/>
      <c r="CN56" s="456"/>
      <c r="CO56" s="456"/>
      <c r="CP56" s="456"/>
      <c r="CQ56" s="456"/>
      <c r="CR56" s="456"/>
      <c r="CS56" s="456"/>
      <c r="CT56" s="456"/>
      <c r="CU56" s="456"/>
      <c r="CV56" s="456"/>
      <c r="CW56" s="456"/>
      <c r="CX56" s="456"/>
      <c r="CY56" s="456"/>
      <c r="CZ56" s="456"/>
      <c r="DA56" s="456"/>
      <c r="DB56" s="456"/>
      <c r="DC56" s="456"/>
      <c r="DD56" s="456"/>
      <c r="DE56" s="456"/>
      <c r="DF56" s="456"/>
      <c r="DG56" s="456"/>
      <c r="DH56" s="456"/>
      <c r="DI56" s="456"/>
      <c r="DJ56" s="456"/>
      <c r="DK56" s="456"/>
      <c r="DL56" s="456"/>
      <c r="DM56" s="456"/>
      <c r="DN56" s="456"/>
      <c r="DO56" s="456"/>
      <c r="DP56" s="456"/>
      <c r="DQ56" s="456"/>
      <c r="DR56" s="456"/>
      <c r="DS56" s="456"/>
      <c r="DT56" s="456"/>
      <c r="DU56" s="456"/>
      <c r="DV56" s="456"/>
      <c r="DW56" s="456"/>
      <c r="DX56" s="456"/>
      <c r="DY56" s="456"/>
      <c r="DZ56" s="456"/>
      <c r="EA56" s="456"/>
      <c r="EB56" s="456"/>
      <c r="EC56" s="456"/>
      <c r="ED56" s="456"/>
      <c r="EE56" s="456"/>
      <c r="EF56" s="456"/>
      <c r="EG56" s="456"/>
      <c r="EH56" s="456"/>
      <c r="EI56" s="456"/>
      <c r="EJ56" s="456"/>
      <c r="EK56" s="456"/>
      <c r="EL56" s="456"/>
      <c r="EM56" s="456"/>
      <c r="EN56" s="456"/>
      <c r="EO56" s="456"/>
      <c r="EP56" s="456"/>
      <c r="EQ56" s="456"/>
      <c r="ER56" s="456"/>
      <c r="ES56" s="456"/>
      <c r="ET56" s="456"/>
      <c r="EU56" s="456"/>
      <c r="EV56" s="456"/>
      <c r="EW56" s="456"/>
      <c r="EX56" s="456"/>
      <c r="EY56" s="456"/>
      <c r="EZ56" s="456"/>
      <c r="FA56" s="456"/>
      <c r="FB56" s="456"/>
      <c r="FC56" s="456"/>
      <c r="FD56" s="456"/>
      <c r="FE56" s="456"/>
      <c r="FF56" s="456"/>
      <c r="FG56" s="456"/>
      <c r="FH56" s="456"/>
      <c r="FI56" s="456"/>
      <c r="FJ56" s="456"/>
      <c r="FK56" s="456"/>
      <c r="FL56" s="456"/>
      <c r="FM56" s="456"/>
      <c r="FN56" s="456"/>
      <c r="FO56" s="456"/>
      <c r="FP56" s="456"/>
      <c r="FQ56" s="456"/>
      <c r="FR56" s="456"/>
      <c r="FS56" s="456"/>
      <c r="FT56" s="456"/>
      <c r="FU56" s="456"/>
      <c r="FV56" s="456"/>
      <c r="FW56" s="456"/>
      <c r="FX56" s="456"/>
      <c r="FY56" s="456"/>
      <c r="FZ56" s="456"/>
      <c r="GA56" s="456"/>
      <c r="GB56" s="456"/>
      <c r="GC56" s="456"/>
      <c r="GD56" s="456"/>
      <c r="GE56" s="456"/>
      <c r="GF56" s="456"/>
      <c r="GG56" s="456"/>
      <c r="GH56" s="456"/>
      <c r="GI56" s="456"/>
      <c r="GJ56" s="456"/>
      <c r="GK56" s="456"/>
      <c r="GL56" s="456"/>
      <c r="GM56" s="456"/>
      <c r="GN56" s="456"/>
      <c r="GO56" s="456"/>
      <c r="GP56" s="456"/>
      <c r="GQ56" s="456"/>
      <c r="GR56" s="456"/>
      <c r="GS56" s="456"/>
      <c r="GT56" s="456"/>
      <c r="GU56" s="456"/>
      <c r="GV56" s="456"/>
      <c r="GW56" s="456"/>
      <c r="GX56" s="456"/>
      <c r="GY56" s="456"/>
      <c r="GZ56" s="456"/>
      <c r="HA56" s="456"/>
      <c r="HB56" s="456"/>
      <c r="HC56" s="456"/>
      <c r="HD56" s="456"/>
      <c r="HE56" s="456"/>
      <c r="HF56" s="456"/>
      <c r="HG56" s="456"/>
      <c r="HH56" s="456"/>
      <c r="HI56" s="456"/>
      <c r="HJ56" s="456"/>
      <c r="HK56" s="456"/>
      <c r="HL56" s="456"/>
      <c r="HM56" s="456"/>
      <c r="HN56" s="456"/>
      <c r="HO56" s="456"/>
      <c r="HP56" s="456"/>
      <c r="HQ56" s="456"/>
      <c r="HR56" s="456"/>
      <c r="HS56" s="456"/>
      <c r="HT56" s="456"/>
      <c r="HU56" s="456"/>
      <c r="HV56" s="456"/>
      <c r="HW56" s="456"/>
      <c r="HX56" s="456"/>
      <c r="HY56" s="456"/>
      <c r="HZ56" s="456"/>
      <c r="IA56" s="456"/>
      <c r="IB56" s="456"/>
      <c r="IC56" s="456"/>
      <c r="ID56" s="456"/>
      <c r="IE56" s="456"/>
      <c r="IF56" s="456"/>
      <c r="IG56" s="456"/>
      <c r="IH56" s="456"/>
      <c r="II56" s="456"/>
      <c r="IJ56" s="456"/>
      <c r="IK56" s="456"/>
      <c r="IL56" s="456"/>
      <c r="IM56" s="456"/>
      <c r="IN56" s="456"/>
      <c r="IO56" s="456"/>
      <c r="IP56" s="456"/>
      <c r="IQ56" s="456"/>
      <c r="IR56" s="456"/>
      <c r="IS56" s="456"/>
      <c r="IT56" s="456"/>
      <c r="IU56" s="456"/>
      <c r="IV56" s="456"/>
      <c r="IW56" s="456"/>
      <c r="IX56" s="456"/>
      <c r="IY56" s="456"/>
      <c r="IZ56" s="456"/>
      <c r="JA56" s="456"/>
      <c r="JB56" s="456"/>
      <c r="JC56" s="456"/>
      <c r="JD56" s="456"/>
      <c r="JE56" s="456"/>
      <c r="JF56" s="456"/>
      <c r="JG56" s="456"/>
      <c r="JH56" s="456"/>
      <c r="JI56" s="456"/>
      <c r="JJ56" s="456"/>
      <c r="JK56" s="456"/>
      <c r="JL56" s="456"/>
      <c r="JM56" s="456"/>
      <c r="JN56" s="456"/>
      <c r="JO56" s="456"/>
      <c r="JP56" s="456"/>
      <c r="JQ56" s="456"/>
      <c r="JR56" s="456"/>
      <c r="JS56" s="456"/>
      <c r="JT56" s="456"/>
      <c r="JU56" s="456"/>
      <c r="JV56" s="456"/>
      <c r="JW56" s="456"/>
      <c r="JX56" s="456"/>
      <c r="JY56" s="456"/>
      <c r="JZ56" s="456"/>
      <c r="KA56" s="456"/>
      <c r="KB56" s="456"/>
      <c r="KC56" s="456"/>
      <c r="KD56" s="456"/>
      <c r="KE56" s="456"/>
      <c r="KF56" s="456"/>
      <c r="KG56" s="456"/>
      <c r="KH56" s="456"/>
      <c r="KI56" s="456"/>
      <c r="KJ56" s="456"/>
      <c r="KK56" s="456"/>
      <c r="KL56" s="456"/>
      <c r="KM56" s="456"/>
      <c r="KN56" s="456"/>
      <c r="KO56" s="456"/>
      <c r="KP56" s="456"/>
      <c r="KQ56" s="456"/>
      <c r="KR56" s="456"/>
      <c r="KS56" s="456"/>
      <c r="KT56" s="456"/>
      <c r="KU56" s="456"/>
      <c r="KV56" s="456"/>
      <c r="KW56" s="456"/>
      <c r="KX56" s="456"/>
      <c r="KY56" s="456"/>
      <c r="KZ56" s="456"/>
      <c r="LA56" s="456"/>
      <c r="LB56" s="456"/>
      <c r="LC56" s="456"/>
      <c r="LD56" s="456"/>
      <c r="LE56" s="456"/>
      <c r="LF56" s="456"/>
      <c r="LG56" s="456"/>
      <c r="LH56" s="456"/>
      <c r="LI56" s="456"/>
      <c r="LJ56" s="456"/>
      <c r="LK56" s="456"/>
      <c r="LL56" s="456"/>
      <c r="LM56" s="456"/>
      <c r="LN56" s="456"/>
      <c r="LO56" s="456"/>
      <c r="LP56" s="456"/>
      <c r="LQ56" s="456"/>
      <c r="LR56" s="456"/>
      <c r="LS56" s="456"/>
      <c r="LT56" s="456"/>
      <c r="LU56" s="456"/>
      <c r="LV56" s="456"/>
      <c r="LW56" s="456"/>
      <c r="LX56" s="456"/>
      <c r="LY56" s="456"/>
      <c r="LZ56" s="456"/>
      <c r="MA56" s="456"/>
      <c r="MB56" s="456"/>
      <c r="MC56" s="456"/>
      <c r="MD56" s="456"/>
      <c r="ME56" s="456"/>
      <c r="MF56" s="456"/>
      <c r="MG56" s="456"/>
      <c r="MH56" s="456"/>
      <c r="MI56" s="456"/>
      <c r="MJ56" s="456"/>
      <c r="MK56" s="456"/>
      <c r="ML56" s="456"/>
      <c r="MM56" s="456"/>
      <c r="MN56" s="456"/>
      <c r="MO56" s="456"/>
      <c r="MP56" s="456"/>
      <c r="MQ56" s="456"/>
      <c r="MR56" s="456"/>
      <c r="MS56" s="456"/>
      <c r="MT56" s="456"/>
      <c r="MU56" s="456"/>
      <c r="MV56" s="456"/>
      <c r="MW56" s="456"/>
      <c r="MX56" s="456"/>
      <c r="MY56" s="456"/>
      <c r="MZ56" s="456"/>
      <c r="NA56" s="456"/>
      <c r="NB56" s="456"/>
      <c r="NC56" s="456"/>
      <c r="ND56" s="456"/>
      <c r="NE56" s="456"/>
      <c r="NF56" s="456"/>
      <c r="NG56" s="456"/>
      <c r="NH56" s="456"/>
      <c r="NI56" s="456"/>
      <c r="NJ56" s="456"/>
      <c r="NK56" s="456"/>
      <c r="NL56" s="456"/>
      <c r="NM56" s="456"/>
      <c r="NN56" s="456"/>
      <c r="NO56" s="456"/>
      <c r="NP56" s="456"/>
      <c r="NQ56" s="456"/>
      <c r="NR56" s="456"/>
      <c r="NS56" s="456"/>
      <c r="NT56" s="456"/>
      <c r="NU56" s="456"/>
      <c r="NV56" s="456"/>
      <c r="NW56" s="456"/>
      <c r="NX56" s="456"/>
      <c r="NY56" s="456"/>
      <c r="NZ56" s="456"/>
      <c r="OA56" s="456"/>
      <c r="OB56" s="456"/>
      <c r="OC56" s="456"/>
      <c r="OD56" s="456"/>
      <c r="OE56" s="456"/>
      <c r="OF56" s="456"/>
      <c r="OG56" s="456"/>
      <c r="OH56" s="456"/>
      <c r="OI56" s="456"/>
      <c r="OJ56" s="456"/>
      <c r="OK56" s="456"/>
      <c r="OL56" s="456"/>
      <c r="OM56" s="456"/>
      <c r="ON56" s="456"/>
      <c r="OO56" s="456"/>
      <c r="OP56" s="456"/>
      <c r="OQ56" s="456"/>
      <c r="OR56" s="456"/>
      <c r="OS56" s="456"/>
      <c r="OT56" s="456"/>
      <c r="OU56" s="456"/>
      <c r="OV56" s="456"/>
      <c r="OW56" s="456"/>
      <c r="OX56" s="456"/>
      <c r="OY56" s="456"/>
      <c r="OZ56" s="456"/>
      <c r="PA56" s="456"/>
      <c r="PB56" s="456"/>
      <c r="PC56" s="456"/>
      <c r="PD56" s="456"/>
      <c r="PE56" s="456"/>
      <c r="PF56" s="456"/>
      <c r="PG56" s="456"/>
      <c r="PH56" s="456"/>
      <c r="PI56" s="456"/>
      <c r="PJ56" s="456"/>
      <c r="PK56" s="456"/>
      <c r="PL56" s="456"/>
      <c r="PM56" s="456"/>
      <c r="PN56" s="456"/>
      <c r="PO56" s="456"/>
      <c r="PP56" s="456"/>
      <c r="PQ56" s="456"/>
      <c r="PR56" s="456"/>
      <c r="PS56" s="456"/>
      <c r="PT56" s="456"/>
      <c r="PU56" s="456"/>
      <c r="PV56" s="456"/>
      <c r="PW56" s="456"/>
      <c r="PX56" s="456"/>
      <c r="PY56" s="456"/>
      <c r="PZ56" s="456"/>
      <c r="QA56" s="456"/>
      <c r="QB56" s="456"/>
      <c r="QC56" s="456"/>
      <c r="QD56" s="456"/>
      <c r="QE56" s="456"/>
      <c r="QF56" s="456"/>
      <c r="QG56" s="456"/>
      <c r="QH56" s="456"/>
      <c r="QI56" s="456"/>
      <c r="QJ56" s="456"/>
      <c r="QK56" s="456"/>
      <c r="QL56" s="456"/>
      <c r="QM56" s="456"/>
      <c r="QN56" s="456"/>
      <c r="QO56" s="456"/>
      <c r="QP56" s="456"/>
      <c r="QQ56" s="456"/>
      <c r="QR56" s="456"/>
      <c r="QS56" s="456"/>
      <c r="QT56" s="456"/>
      <c r="QU56" s="456"/>
      <c r="QV56" s="456"/>
      <c r="QW56" s="456"/>
      <c r="QX56" s="456"/>
      <c r="QY56" s="456"/>
      <c r="QZ56" s="456"/>
      <c r="RA56" s="456"/>
      <c r="RB56" s="456"/>
      <c r="RC56" s="456"/>
      <c r="RD56" s="456"/>
      <c r="RE56" s="456"/>
      <c r="RF56" s="456"/>
      <c r="RG56" s="456"/>
      <c r="RH56" s="456"/>
      <c r="RI56" s="456"/>
      <c r="RJ56" s="456"/>
      <c r="RK56" s="456"/>
      <c r="RL56" s="456"/>
      <c r="RM56" s="456"/>
      <c r="RN56" s="456"/>
      <c r="RO56" s="456"/>
      <c r="RP56" s="456"/>
      <c r="RQ56" s="456"/>
      <c r="RR56" s="456"/>
      <c r="RS56" s="456"/>
      <c r="RT56" s="456"/>
      <c r="RU56" s="456"/>
      <c r="RV56" s="456"/>
      <c r="RW56" s="456"/>
      <c r="RX56" s="456"/>
      <c r="RY56" s="456"/>
      <c r="RZ56" s="456"/>
      <c r="SA56" s="456"/>
      <c r="SB56" s="456"/>
      <c r="SC56" s="456"/>
      <c r="SD56" s="456"/>
      <c r="SE56" s="456"/>
      <c r="SF56" s="456"/>
      <c r="SG56" s="456"/>
      <c r="SH56" s="456"/>
      <c r="SI56" s="456"/>
      <c r="SJ56" s="456"/>
      <c r="SK56" s="456"/>
      <c r="SL56" s="456"/>
      <c r="SM56" s="456"/>
      <c r="SN56" s="456"/>
      <c r="SO56" s="456"/>
      <c r="SP56" s="456"/>
      <c r="SQ56" s="456"/>
      <c r="SR56" s="456"/>
      <c r="SS56" s="456"/>
      <c r="ST56" s="456"/>
      <c r="SU56" s="456"/>
      <c r="SV56" s="456"/>
      <c r="SW56" s="456"/>
      <c r="SX56" s="456"/>
      <c r="SY56" s="456"/>
      <c r="SZ56" s="456"/>
      <c r="TA56" s="456"/>
      <c r="TB56" s="456"/>
      <c r="TC56" s="456"/>
      <c r="TD56" s="456"/>
      <c r="TE56" s="456"/>
      <c r="TF56" s="456"/>
      <c r="TG56" s="456"/>
      <c r="TH56" s="456"/>
      <c r="TI56" s="456"/>
      <c r="TJ56" s="456"/>
      <c r="TK56" s="456"/>
      <c r="TL56" s="456"/>
      <c r="TM56" s="456"/>
      <c r="TN56" s="456"/>
      <c r="TO56" s="456"/>
      <c r="TP56" s="456"/>
      <c r="TQ56" s="456"/>
      <c r="TR56" s="456"/>
      <c r="TS56" s="456"/>
      <c r="TT56" s="456"/>
      <c r="TU56" s="456"/>
      <c r="TV56" s="456"/>
      <c r="TW56" s="456"/>
      <c r="TX56" s="456"/>
      <c r="TY56" s="456"/>
      <c r="TZ56" s="456"/>
      <c r="UA56" s="456"/>
      <c r="UB56" s="456"/>
      <c r="UC56" s="456"/>
      <c r="UD56" s="456"/>
      <c r="UE56" s="456"/>
      <c r="UF56" s="456"/>
      <c r="UG56" s="456"/>
      <c r="UH56" s="456"/>
      <c r="UI56" s="456"/>
      <c r="UJ56" s="456"/>
      <c r="UK56" s="456"/>
      <c r="UL56" s="456"/>
      <c r="UM56" s="456"/>
      <c r="UN56" s="456"/>
      <c r="UO56" s="456"/>
      <c r="UP56" s="456"/>
      <c r="UQ56" s="456"/>
      <c r="UR56" s="456"/>
      <c r="US56" s="456"/>
      <c r="UT56" s="456"/>
      <c r="UU56" s="456"/>
      <c r="UV56" s="456"/>
      <c r="UW56" s="456"/>
      <c r="UX56" s="456"/>
      <c r="UY56" s="456"/>
      <c r="UZ56" s="456"/>
      <c r="VA56" s="456"/>
      <c r="VB56" s="456"/>
      <c r="VC56" s="456"/>
      <c r="VD56" s="456"/>
      <c r="VE56" s="456"/>
      <c r="VF56" s="456"/>
      <c r="VG56" s="456"/>
      <c r="VH56" s="456"/>
      <c r="VI56" s="456"/>
      <c r="VJ56" s="456"/>
      <c r="VK56" s="456"/>
      <c r="VL56" s="456"/>
      <c r="VM56" s="456"/>
      <c r="VN56" s="456"/>
      <c r="VO56" s="456"/>
      <c r="VP56" s="456"/>
      <c r="VQ56" s="456"/>
      <c r="VR56" s="456"/>
      <c r="VS56" s="456"/>
      <c r="VT56" s="456"/>
      <c r="VU56" s="456"/>
      <c r="VV56" s="456"/>
      <c r="VW56" s="456"/>
      <c r="VX56" s="456"/>
      <c r="VY56" s="456"/>
      <c r="VZ56" s="456"/>
      <c r="WA56" s="456"/>
      <c r="WB56" s="456"/>
      <c r="WC56" s="456"/>
      <c r="WD56" s="456"/>
      <c r="WE56" s="456"/>
      <c r="WF56" s="456"/>
      <c r="WG56" s="456"/>
      <c r="WH56" s="456"/>
      <c r="WI56" s="456"/>
      <c r="WJ56" s="456"/>
      <c r="WK56" s="456"/>
      <c r="WL56" s="456"/>
      <c r="WM56" s="456"/>
      <c r="WN56" s="456"/>
      <c r="WO56" s="456"/>
      <c r="WP56" s="456"/>
      <c r="WQ56" s="456"/>
      <c r="WR56" s="456"/>
      <c r="WS56" s="456"/>
      <c r="WT56" s="456"/>
      <c r="WU56" s="456"/>
      <c r="WV56" s="456"/>
      <c r="WW56" s="456"/>
      <c r="WX56" s="456"/>
      <c r="WY56" s="456"/>
      <c r="WZ56" s="456"/>
      <c r="XA56" s="456"/>
      <c r="XB56" s="456"/>
      <c r="XC56" s="456"/>
      <c r="XD56" s="456"/>
      <c r="XE56" s="456"/>
      <c r="XF56" s="456"/>
      <c r="XG56" s="456"/>
      <c r="XH56" s="456"/>
      <c r="XI56" s="456"/>
      <c r="XJ56" s="456"/>
      <c r="XK56" s="456"/>
      <c r="XL56" s="456"/>
      <c r="XM56" s="456"/>
      <c r="XN56" s="456"/>
      <c r="XO56" s="456"/>
      <c r="XP56" s="456"/>
      <c r="XQ56" s="456"/>
      <c r="XR56" s="456"/>
      <c r="XS56" s="456"/>
      <c r="XT56" s="456"/>
      <c r="XU56" s="456"/>
      <c r="XV56" s="456"/>
      <c r="XW56" s="456"/>
      <c r="XX56" s="456"/>
      <c r="XY56" s="456"/>
      <c r="XZ56" s="456"/>
      <c r="YA56" s="456"/>
      <c r="YB56" s="456"/>
      <c r="YC56" s="456"/>
      <c r="YD56" s="456"/>
      <c r="YE56" s="456"/>
      <c r="YF56" s="456"/>
      <c r="YG56" s="456"/>
      <c r="YH56" s="456"/>
      <c r="YI56" s="456"/>
      <c r="YJ56" s="456"/>
      <c r="YK56" s="456"/>
      <c r="YL56" s="456"/>
      <c r="YM56" s="456"/>
      <c r="YN56" s="456"/>
      <c r="YO56" s="456"/>
      <c r="YP56" s="456"/>
      <c r="YQ56" s="456"/>
      <c r="YR56" s="456"/>
      <c r="YS56" s="456"/>
      <c r="YT56" s="456"/>
      <c r="YU56" s="456"/>
      <c r="YV56" s="456"/>
      <c r="YW56" s="456"/>
      <c r="YX56" s="456"/>
      <c r="YY56" s="456"/>
      <c r="YZ56" s="456"/>
      <c r="ZA56" s="456"/>
      <c r="ZB56" s="456"/>
      <c r="ZC56" s="456"/>
      <c r="ZD56" s="456"/>
      <c r="ZE56" s="456"/>
      <c r="ZF56" s="456"/>
      <c r="ZG56" s="456"/>
      <c r="ZH56" s="456"/>
      <c r="ZI56" s="456"/>
      <c r="ZJ56" s="456"/>
      <c r="ZK56" s="456"/>
      <c r="ZL56" s="456"/>
      <c r="ZM56" s="456"/>
      <c r="ZN56" s="456"/>
      <c r="ZO56" s="456"/>
      <c r="ZP56" s="456"/>
      <c r="ZQ56" s="456"/>
      <c r="ZR56" s="456"/>
      <c r="ZS56" s="456"/>
      <c r="ZT56" s="456"/>
      <c r="ZU56" s="456"/>
      <c r="ZV56" s="456"/>
      <c r="ZW56" s="456"/>
      <c r="ZX56" s="456"/>
      <c r="ZY56" s="456"/>
      <c r="ZZ56" s="456"/>
      <c r="AAA56" s="456"/>
      <c r="AAB56" s="456"/>
      <c r="AAC56" s="456"/>
      <c r="AAD56" s="456"/>
      <c r="AAE56" s="456"/>
      <c r="AAF56" s="456"/>
      <c r="AAG56" s="456"/>
      <c r="AAH56" s="456"/>
      <c r="AAI56" s="456"/>
      <c r="AAJ56" s="456"/>
      <c r="AAK56" s="456"/>
      <c r="AAL56" s="456"/>
      <c r="AAM56" s="456"/>
      <c r="AAN56" s="456"/>
      <c r="AAO56" s="456"/>
      <c r="AAP56" s="456"/>
      <c r="AAQ56" s="456"/>
      <c r="AAR56" s="456"/>
      <c r="AAS56" s="456"/>
      <c r="AAT56" s="456"/>
      <c r="AAU56" s="456"/>
      <c r="AAV56" s="456"/>
      <c r="AAW56" s="456"/>
      <c r="AAX56" s="456"/>
      <c r="AAY56" s="456"/>
      <c r="AAZ56" s="456"/>
      <c r="ABA56" s="456"/>
      <c r="ABB56" s="456"/>
      <c r="ABC56" s="456"/>
      <c r="ABD56" s="456"/>
      <c r="ABE56" s="456"/>
      <c r="ABF56" s="456"/>
      <c r="ABG56" s="456"/>
      <c r="ABH56" s="456"/>
      <c r="ABI56" s="456"/>
      <c r="ABJ56" s="456"/>
      <c r="ABK56" s="456"/>
      <c r="ABL56" s="456"/>
      <c r="ABM56" s="456"/>
      <c r="ABN56" s="456"/>
      <c r="ABO56" s="456"/>
      <c r="ABP56" s="456"/>
      <c r="ABQ56" s="456"/>
      <c r="ABR56" s="456"/>
      <c r="ABS56" s="456"/>
      <c r="ABT56" s="456"/>
      <c r="ABU56" s="456"/>
      <c r="ABV56" s="456"/>
      <c r="ABW56" s="456"/>
      <c r="ABX56" s="456"/>
      <c r="ABY56" s="456"/>
      <c r="ABZ56" s="456"/>
      <c r="ACA56" s="456"/>
      <c r="ACB56" s="456"/>
      <c r="ACC56" s="456"/>
      <c r="ACD56" s="456"/>
      <c r="ACE56" s="456"/>
      <c r="ACF56" s="456"/>
      <c r="ACG56" s="456"/>
      <c r="ACH56" s="456"/>
      <c r="ACI56" s="456"/>
      <c r="ACJ56" s="456"/>
      <c r="ACK56" s="456"/>
      <c r="ACL56" s="456"/>
      <c r="ACM56" s="456"/>
      <c r="ACN56" s="456"/>
      <c r="ACO56" s="456"/>
      <c r="ACP56" s="456"/>
      <c r="ACQ56" s="456"/>
      <c r="ACR56" s="456"/>
      <c r="ACS56" s="456"/>
      <c r="ACT56" s="456"/>
      <c r="ACU56" s="456"/>
      <c r="ACV56" s="456"/>
      <c r="ACW56" s="456"/>
      <c r="ACX56" s="456"/>
      <c r="ACY56" s="456"/>
      <c r="ACZ56" s="456"/>
      <c r="ADA56" s="456"/>
      <c r="ADB56" s="456"/>
      <c r="ADC56" s="456"/>
      <c r="ADD56" s="456"/>
      <c r="ADE56" s="456"/>
      <c r="ADF56" s="456"/>
      <c r="ADG56" s="456"/>
      <c r="ADH56" s="456"/>
      <c r="ADI56" s="456"/>
      <c r="ADJ56" s="456"/>
      <c r="ADK56" s="456"/>
      <c r="ADL56" s="456"/>
      <c r="ADM56" s="456"/>
      <c r="ADN56" s="456"/>
      <c r="ADO56" s="456"/>
      <c r="ADP56" s="456"/>
      <c r="ADQ56" s="456"/>
      <c r="ADR56" s="456"/>
      <c r="ADS56" s="456"/>
      <c r="ADT56" s="456"/>
      <c r="ADU56" s="456"/>
      <c r="ADV56" s="456"/>
      <c r="ADW56" s="456"/>
      <c r="ADX56" s="456"/>
      <c r="ADY56" s="456"/>
      <c r="ADZ56" s="456"/>
      <c r="AEA56" s="456"/>
      <c r="AEB56" s="456"/>
      <c r="AEC56" s="456"/>
      <c r="AED56" s="456"/>
      <c r="AEE56" s="456"/>
      <c r="AEF56" s="456"/>
      <c r="AEG56" s="456"/>
      <c r="AEH56" s="456"/>
      <c r="AEI56" s="456"/>
      <c r="AEJ56" s="456"/>
      <c r="AEK56" s="456"/>
      <c r="AEL56" s="456"/>
      <c r="AEM56" s="456"/>
      <c r="AEN56" s="456"/>
      <c r="AEO56" s="456"/>
      <c r="AEP56" s="456"/>
      <c r="AEQ56" s="456"/>
      <c r="AER56" s="456"/>
      <c r="AES56" s="456"/>
      <c r="AET56" s="456"/>
      <c r="AEU56" s="456"/>
      <c r="AEV56" s="456"/>
      <c r="AEW56" s="456"/>
      <c r="AEX56" s="456"/>
      <c r="AEY56" s="456"/>
      <c r="AEZ56" s="456"/>
      <c r="AFA56" s="456"/>
      <c r="AFB56" s="456"/>
      <c r="AFC56" s="456"/>
      <c r="AFD56" s="456"/>
      <c r="AFE56" s="456"/>
      <c r="AFF56" s="456"/>
      <c r="AFG56" s="456"/>
      <c r="AFH56" s="456"/>
      <c r="AFI56" s="456"/>
      <c r="AFJ56" s="456"/>
      <c r="AFK56" s="456"/>
      <c r="AFL56" s="456"/>
      <c r="AFM56" s="456"/>
      <c r="AFN56" s="456"/>
      <c r="AFO56" s="456"/>
      <c r="AFP56" s="456"/>
      <c r="AFQ56" s="456"/>
      <c r="AFR56" s="456"/>
      <c r="AFS56" s="456"/>
      <c r="AFT56" s="456"/>
      <c r="AFU56" s="456"/>
      <c r="AFV56" s="456"/>
      <c r="AFW56" s="456"/>
      <c r="AFX56" s="456"/>
      <c r="AFY56" s="456"/>
      <c r="AFZ56" s="456"/>
      <c r="AGA56" s="456"/>
      <c r="AGB56" s="456"/>
      <c r="AGC56" s="456"/>
      <c r="AGD56" s="456"/>
      <c r="AGE56" s="456"/>
      <c r="AGF56" s="456"/>
      <c r="AGG56" s="456"/>
      <c r="AGH56" s="456"/>
      <c r="AGI56" s="456"/>
      <c r="AGJ56" s="456"/>
      <c r="AGK56" s="456"/>
      <c r="AGL56" s="456"/>
      <c r="AGM56" s="456"/>
      <c r="AGN56" s="456"/>
      <c r="AGO56" s="456"/>
      <c r="AGP56" s="456"/>
      <c r="AGQ56" s="456"/>
      <c r="AGR56" s="456"/>
      <c r="AGS56" s="456"/>
      <c r="AGT56" s="456"/>
      <c r="AGU56" s="456"/>
      <c r="AGV56" s="456"/>
      <c r="AGW56" s="456"/>
      <c r="AGX56" s="456"/>
      <c r="AGY56" s="456"/>
      <c r="AGZ56" s="456"/>
      <c r="AHA56" s="456"/>
      <c r="AHB56" s="456"/>
      <c r="AHC56" s="456"/>
      <c r="AHD56" s="456"/>
      <c r="AHE56" s="456"/>
      <c r="AHF56" s="456"/>
      <c r="AHG56" s="456"/>
      <c r="AHH56" s="456"/>
      <c r="AHI56" s="456"/>
      <c r="AHJ56" s="456"/>
      <c r="AHK56" s="456"/>
      <c r="AHL56" s="456"/>
      <c r="AHM56" s="456"/>
      <c r="AHN56" s="456"/>
      <c r="AHO56" s="456"/>
      <c r="AHP56" s="456"/>
      <c r="AHQ56" s="456"/>
      <c r="AHR56" s="456"/>
      <c r="AHS56" s="456"/>
      <c r="AHT56" s="456"/>
      <c r="AHU56" s="456"/>
      <c r="AHV56" s="456"/>
      <c r="AHW56" s="456"/>
      <c r="AHX56" s="456"/>
      <c r="AHY56" s="456"/>
      <c r="AHZ56" s="456"/>
      <c r="AIA56" s="456"/>
      <c r="AIB56" s="456"/>
      <c r="AIC56" s="456"/>
      <c r="AID56" s="456"/>
      <c r="AIE56" s="456"/>
      <c r="AIF56" s="456"/>
      <c r="AIG56" s="456"/>
      <c r="AIH56" s="456"/>
      <c r="AII56" s="456"/>
      <c r="AIJ56" s="456"/>
      <c r="AIK56" s="456"/>
      <c r="AIL56" s="456"/>
      <c r="AIM56" s="456"/>
      <c r="AIN56" s="456"/>
      <c r="AIO56" s="456"/>
      <c r="AIP56" s="456"/>
      <c r="AIQ56" s="456"/>
      <c r="AIR56" s="456"/>
      <c r="AIS56" s="456"/>
      <c r="AIT56" s="456"/>
      <c r="AIU56" s="456"/>
      <c r="AIV56" s="456"/>
      <c r="AIW56" s="456"/>
      <c r="AIX56" s="456"/>
      <c r="AIY56" s="456"/>
      <c r="AIZ56" s="456"/>
      <c r="AJA56" s="456"/>
      <c r="AJB56" s="456"/>
      <c r="AJC56" s="456"/>
      <c r="AJD56" s="456"/>
      <c r="AJE56" s="456"/>
      <c r="AJF56" s="456"/>
      <c r="AJG56" s="456"/>
      <c r="AJH56" s="456"/>
      <c r="AJI56" s="456"/>
      <c r="AJJ56" s="456"/>
      <c r="AJK56" s="456"/>
      <c r="AJL56" s="456"/>
      <c r="AJM56" s="456"/>
      <c r="AJN56" s="456"/>
      <c r="AJO56" s="456"/>
      <c r="AJP56" s="456"/>
      <c r="AJQ56" s="456"/>
      <c r="AJR56" s="456"/>
      <c r="AJS56" s="456"/>
      <c r="AJT56" s="456"/>
      <c r="AJU56" s="456"/>
      <c r="AJV56" s="456"/>
      <c r="AJW56" s="456"/>
      <c r="AJX56" s="456"/>
      <c r="AJY56" s="456"/>
      <c r="AJZ56" s="456"/>
      <c r="AKA56" s="456"/>
      <c r="AKB56" s="456"/>
      <c r="AKC56" s="456"/>
      <c r="AKD56" s="456"/>
      <c r="AKE56" s="456"/>
      <c r="AKF56" s="456"/>
      <c r="AKG56" s="456"/>
      <c r="AKH56" s="456"/>
      <c r="AKI56" s="456"/>
      <c r="AKJ56" s="456"/>
      <c r="AKK56" s="456"/>
      <c r="AKL56" s="456"/>
      <c r="AKM56" s="456"/>
      <c r="AKN56" s="456"/>
      <c r="AKO56" s="456"/>
      <c r="AKP56" s="456"/>
      <c r="AKQ56" s="456"/>
      <c r="AKR56" s="456"/>
      <c r="AKS56" s="456"/>
      <c r="AKT56" s="456"/>
      <c r="AKU56" s="456"/>
      <c r="AKV56" s="456"/>
      <c r="AKW56" s="456"/>
      <c r="AKX56" s="456"/>
      <c r="AKY56" s="456"/>
      <c r="AKZ56" s="456"/>
      <c r="ALA56" s="456"/>
      <c r="ALB56" s="456"/>
      <c r="ALC56" s="456"/>
      <c r="ALD56" s="456"/>
      <c r="ALE56" s="456"/>
      <c r="ALF56" s="456"/>
      <c r="ALG56" s="456"/>
      <c r="ALH56" s="456"/>
      <c r="ALI56" s="456"/>
      <c r="ALJ56" s="456"/>
      <c r="ALK56" s="456"/>
      <c r="ALL56" s="456"/>
      <c r="ALM56" s="456"/>
      <c r="ALN56" s="456"/>
      <c r="ALO56" s="456"/>
      <c r="ALP56" s="456"/>
      <c r="ALQ56" s="456"/>
      <c r="ALR56" s="456"/>
      <c r="ALS56" s="456"/>
      <c r="ALT56" s="456"/>
      <c r="ALU56" s="456"/>
      <c r="ALV56" s="456"/>
      <c r="ALW56" s="456"/>
      <c r="ALX56" s="456"/>
      <c r="ALY56" s="456"/>
      <c r="ALZ56" s="456"/>
      <c r="AMA56" s="456"/>
      <c r="AMB56" s="456"/>
      <c r="AMC56" s="456"/>
      <c r="AMD56" s="456"/>
      <c r="AME56" s="456"/>
      <c r="AMF56" s="456"/>
      <c r="AMG56" s="456"/>
      <c r="AMH56" s="456"/>
      <c r="AMI56" s="456"/>
      <c r="AMJ56" s="456"/>
      <c r="AMK56" s="456"/>
      <c r="AML56" s="456"/>
      <c r="AMM56" s="456"/>
      <c r="AMN56" s="456"/>
      <c r="AMO56" s="456"/>
      <c r="AMP56" s="456"/>
      <c r="AMQ56" s="456"/>
      <c r="AMR56" s="456"/>
      <c r="AMS56" s="456"/>
      <c r="AMT56" s="456"/>
      <c r="AMU56" s="456"/>
      <c r="AMV56" s="456"/>
      <c r="AMW56" s="456"/>
      <c r="AMX56" s="456"/>
      <c r="AMY56" s="456"/>
      <c r="AMZ56" s="456"/>
      <c r="ANA56" s="456"/>
      <c r="ANB56" s="456"/>
      <c r="ANC56" s="456"/>
      <c r="AND56" s="456"/>
      <c r="ANE56" s="456"/>
      <c r="ANF56" s="456"/>
      <c r="ANG56" s="456"/>
      <c r="ANH56" s="456"/>
      <c r="ANI56" s="456"/>
      <c r="ANJ56" s="456"/>
      <c r="ANK56" s="456"/>
      <c r="ANL56" s="456"/>
      <c r="ANM56" s="456"/>
      <c r="ANN56" s="456"/>
      <c r="ANO56" s="456"/>
      <c r="ANP56" s="456"/>
      <c r="ANQ56" s="456"/>
      <c r="ANR56" s="456"/>
      <c r="ANS56" s="456"/>
      <c r="ANT56" s="456"/>
      <c r="ANU56" s="456"/>
      <c r="ANV56" s="456"/>
      <c r="ANW56" s="456"/>
      <c r="ANX56" s="456"/>
      <c r="ANY56" s="456"/>
      <c r="ANZ56" s="456"/>
      <c r="AOA56" s="456"/>
      <c r="AOB56" s="456"/>
      <c r="AOC56" s="456"/>
      <c r="AOD56" s="456"/>
      <c r="AOE56" s="456"/>
      <c r="AOF56" s="456"/>
      <c r="AOG56" s="456"/>
      <c r="AOH56" s="456"/>
      <c r="AOI56" s="456"/>
      <c r="AOJ56" s="456"/>
      <c r="AOK56" s="456"/>
      <c r="AOL56" s="456"/>
      <c r="AOM56" s="456"/>
      <c r="AON56" s="456"/>
      <c r="AOO56" s="456"/>
      <c r="AOP56" s="456"/>
      <c r="AOQ56" s="456"/>
      <c r="AOR56" s="456"/>
      <c r="AOS56" s="456"/>
      <c r="AOT56" s="456"/>
      <c r="AOU56" s="456"/>
      <c r="AOV56" s="456"/>
      <c r="AOW56" s="456"/>
      <c r="AOX56" s="456"/>
      <c r="AOY56" s="456"/>
      <c r="AOZ56" s="456"/>
      <c r="APA56" s="456"/>
      <c r="APB56" s="456"/>
      <c r="APC56" s="456"/>
      <c r="APD56" s="456"/>
      <c r="APE56" s="456"/>
      <c r="APF56" s="456"/>
      <c r="APG56" s="456"/>
      <c r="APH56" s="456"/>
      <c r="API56" s="456"/>
      <c r="APJ56" s="456"/>
      <c r="APK56" s="456"/>
      <c r="APL56" s="456"/>
      <c r="APM56" s="456"/>
      <c r="APN56" s="456"/>
      <c r="APO56" s="456"/>
      <c r="APP56" s="456"/>
      <c r="APQ56" s="456"/>
      <c r="APR56" s="456"/>
      <c r="APS56" s="456"/>
      <c r="APT56" s="456"/>
      <c r="APU56" s="456"/>
      <c r="APV56" s="456"/>
      <c r="APW56" s="456"/>
      <c r="APX56" s="456"/>
      <c r="APY56" s="456"/>
      <c r="APZ56" s="456"/>
      <c r="AQA56" s="456"/>
      <c r="AQB56" s="456"/>
      <c r="AQC56" s="456"/>
      <c r="AQD56" s="456"/>
      <c r="AQE56" s="456"/>
      <c r="AQF56" s="456"/>
      <c r="AQG56" s="456"/>
      <c r="AQH56" s="456"/>
      <c r="AQI56" s="456"/>
      <c r="AQJ56" s="456"/>
      <c r="AQK56" s="456"/>
      <c r="AQL56" s="456"/>
      <c r="AQM56" s="456"/>
      <c r="AQN56" s="456"/>
      <c r="AQO56" s="456"/>
      <c r="AQP56" s="456"/>
      <c r="AQQ56" s="456"/>
      <c r="AQR56" s="456"/>
      <c r="AQS56" s="456"/>
      <c r="AQT56" s="456"/>
      <c r="AQU56" s="456"/>
      <c r="AQV56" s="456"/>
      <c r="AQW56" s="456"/>
      <c r="AQX56" s="456"/>
      <c r="AQY56" s="456"/>
      <c r="AQZ56" s="456"/>
      <c r="ARA56" s="456"/>
      <c r="ARB56" s="456"/>
      <c r="ARC56" s="456"/>
      <c r="ARD56" s="456"/>
      <c r="ARE56" s="456"/>
      <c r="ARF56" s="456"/>
      <c r="ARG56" s="456"/>
      <c r="ARH56" s="456"/>
      <c r="ARI56" s="456"/>
      <c r="ARJ56" s="456"/>
      <c r="ARK56" s="456"/>
      <c r="ARL56" s="456"/>
      <c r="ARM56" s="456"/>
      <c r="ARN56" s="456"/>
      <c r="ARO56" s="456"/>
      <c r="ARP56" s="456"/>
      <c r="ARQ56" s="456"/>
      <c r="ARR56" s="456"/>
      <c r="ARS56" s="456"/>
      <c r="ART56" s="456"/>
      <c r="ARU56" s="456"/>
      <c r="ARV56" s="456"/>
      <c r="ARW56" s="456"/>
      <c r="ARX56" s="456"/>
      <c r="ARY56" s="456"/>
      <c r="ARZ56" s="456"/>
      <c r="ASA56" s="456"/>
      <c r="ASB56" s="456"/>
      <c r="ASC56" s="456"/>
      <c r="ASD56" s="456"/>
      <c r="ASE56" s="456"/>
      <c r="ASF56" s="456"/>
      <c r="ASG56" s="456"/>
      <c r="ASH56" s="456"/>
      <c r="ASI56" s="456"/>
      <c r="ASJ56" s="456"/>
      <c r="ASK56" s="456"/>
      <c r="ASL56" s="456"/>
      <c r="ASM56" s="456"/>
      <c r="ASN56" s="456"/>
      <c r="ASO56" s="456"/>
      <c r="ASP56" s="456"/>
      <c r="ASQ56" s="456"/>
      <c r="ASR56" s="456"/>
      <c r="ASS56" s="456"/>
      <c r="AST56" s="456"/>
      <c r="ASU56" s="456"/>
      <c r="ASV56" s="456"/>
      <c r="ASW56" s="456"/>
      <c r="ASX56" s="456"/>
      <c r="ASY56" s="456"/>
      <c r="ASZ56" s="456"/>
      <c r="ATA56" s="456"/>
      <c r="ATB56" s="456"/>
      <c r="ATC56" s="456"/>
      <c r="ATD56" s="456"/>
      <c r="ATE56" s="456"/>
      <c r="ATF56" s="456"/>
      <c r="ATG56" s="456"/>
      <c r="ATH56" s="456"/>
      <c r="ATI56" s="456"/>
      <c r="ATJ56" s="456"/>
      <c r="ATK56" s="456"/>
      <c r="ATL56" s="456"/>
      <c r="ATM56" s="456"/>
      <c r="ATN56" s="456"/>
      <c r="ATO56" s="456"/>
      <c r="ATP56" s="456"/>
      <c r="ATQ56" s="456"/>
      <c r="ATR56" s="456"/>
      <c r="ATS56" s="456"/>
      <c r="ATT56" s="456"/>
      <c r="ATU56" s="456"/>
      <c r="ATV56" s="456"/>
      <c r="ATW56" s="456"/>
      <c r="ATX56" s="456"/>
      <c r="ATY56" s="456"/>
      <c r="ATZ56" s="456"/>
      <c r="AUA56" s="456"/>
      <c r="AUB56" s="456"/>
      <c r="AUC56" s="456"/>
      <c r="AUD56" s="456"/>
      <c r="AUE56" s="456"/>
      <c r="AUF56" s="456"/>
      <c r="AUG56" s="456"/>
      <c r="AUH56" s="456"/>
      <c r="AUI56" s="456"/>
      <c r="AUJ56" s="456"/>
      <c r="AUK56" s="456"/>
      <c r="AUL56" s="456"/>
      <c r="AUM56" s="456"/>
      <c r="AUN56" s="456"/>
      <c r="AUO56" s="456"/>
      <c r="AUP56" s="456"/>
      <c r="AUQ56" s="456"/>
      <c r="AUR56" s="456"/>
      <c r="AUS56" s="456"/>
      <c r="AUT56" s="456"/>
      <c r="AUU56" s="456"/>
      <c r="AUV56" s="456"/>
      <c r="AUW56" s="456"/>
      <c r="AUX56" s="456"/>
      <c r="AUY56" s="456"/>
      <c r="AUZ56" s="456"/>
      <c r="AVA56" s="456"/>
      <c r="AVB56" s="456"/>
      <c r="AVC56" s="456"/>
      <c r="AVD56" s="456"/>
      <c r="AVE56" s="456"/>
      <c r="AVF56" s="456"/>
      <c r="AVG56" s="456"/>
      <c r="AVH56" s="456"/>
      <c r="AVI56" s="456"/>
      <c r="AVJ56" s="456"/>
      <c r="AVK56" s="456"/>
      <c r="AVL56" s="456"/>
      <c r="AVM56" s="456"/>
      <c r="AVN56" s="456"/>
      <c r="AVO56" s="456"/>
      <c r="AVP56" s="456"/>
      <c r="AVQ56" s="456"/>
      <c r="AVR56" s="456"/>
      <c r="AVS56" s="456"/>
      <c r="AVT56" s="456"/>
      <c r="AVU56" s="456"/>
      <c r="AVV56" s="456"/>
      <c r="AVW56" s="456"/>
      <c r="AVX56" s="456"/>
      <c r="AVY56" s="456"/>
      <c r="AVZ56" s="456"/>
      <c r="AWA56" s="456"/>
      <c r="AWB56" s="456"/>
      <c r="AWC56" s="456"/>
      <c r="AWD56" s="456"/>
      <c r="AWE56" s="456"/>
      <c r="AWF56" s="456"/>
      <c r="AWG56" s="456"/>
      <c r="AWH56" s="456"/>
      <c r="AWI56" s="456"/>
      <c r="AWJ56" s="456"/>
      <c r="AWK56" s="456"/>
      <c r="AWL56" s="456"/>
      <c r="AWM56" s="456"/>
      <c r="AWN56" s="456"/>
      <c r="AWO56" s="456"/>
      <c r="AWP56" s="456"/>
      <c r="AWQ56" s="456"/>
      <c r="AWR56" s="456"/>
      <c r="AWS56" s="456"/>
      <c r="AWT56" s="456"/>
      <c r="AWU56" s="456"/>
      <c r="AWV56" s="456"/>
      <c r="AWW56" s="456"/>
      <c r="AWX56" s="456"/>
      <c r="AWY56" s="456"/>
      <c r="AWZ56" s="456"/>
      <c r="AXA56" s="456"/>
      <c r="AXB56" s="456"/>
      <c r="AXC56" s="456"/>
      <c r="AXD56" s="456"/>
      <c r="AXE56" s="456"/>
      <c r="AXF56" s="456"/>
      <c r="AXG56" s="456"/>
      <c r="AXH56" s="456"/>
      <c r="AXI56" s="456"/>
      <c r="AXJ56" s="456"/>
      <c r="AXK56" s="456"/>
      <c r="AXL56" s="456"/>
      <c r="AXM56" s="456"/>
      <c r="AXN56" s="456"/>
      <c r="AXO56" s="456"/>
      <c r="AXP56" s="456"/>
      <c r="AXQ56" s="456"/>
      <c r="AXR56" s="456"/>
      <c r="AXS56" s="456"/>
      <c r="AXT56" s="456"/>
      <c r="AXU56" s="456"/>
      <c r="AXV56" s="456"/>
      <c r="AXW56" s="456"/>
      <c r="AXX56" s="456"/>
      <c r="AXY56" s="456"/>
      <c r="AXZ56" s="456"/>
      <c r="AYA56" s="456"/>
      <c r="AYB56" s="456"/>
      <c r="AYC56" s="456"/>
      <c r="AYD56" s="456"/>
      <c r="AYE56" s="456"/>
      <c r="AYF56" s="456"/>
      <c r="AYG56" s="456"/>
      <c r="AYH56" s="456"/>
      <c r="AYI56" s="456"/>
      <c r="AYJ56" s="456"/>
      <c r="AYK56" s="456"/>
      <c r="AYL56" s="456"/>
      <c r="AYM56" s="456"/>
      <c r="AYN56" s="456"/>
      <c r="AYO56" s="456"/>
      <c r="AYP56" s="456"/>
      <c r="AYQ56" s="456"/>
      <c r="AYR56" s="456"/>
      <c r="AYS56" s="456"/>
      <c r="AYT56" s="456"/>
      <c r="AYU56" s="456"/>
      <c r="AYV56" s="456"/>
      <c r="AYW56" s="456"/>
      <c r="AYX56" s="456"/>
      <c r="AYY56" s="456"/>
      <c r="AYZ56" s="456"/>
      <c r="AZA56" s="456"/>
      <c r="AZB56" s="456"/>
      <c r="AZC56" s="456"/>
      <c r="AZD56" s="456"/>
      <c r="AZE56" s="456"/>
      <c r="AZF56" s="456"/>
      <c r="AZG56" s="456"/>
      <c r="AZH56" s="456"/>
      <c r="AZI56" s="456"/>
      <c r="AZJ56" s="456"/>
      <c r="AZK56" s="456"/>
      <c r="AZL56" s="456"/>
      <c r="AZM56" s="456"/>
      <c r="AZN56" s="456"/>
      <c r="AZO56" s="456"/>
      <c r="AZP56" s="456"/>
      <c r="AZQ56" s="456"/>
      <c r="AZR56" s="456"/>
      <c r="AZS56" s="456"/>
      <c r="AZT56" s="456"/>
      <c r="AZU56" s="456"/>
      <c r="AZV56" s="456"/>
      <c r="AZW56" s="456"/>
      <c r="AZX56" s="456"/>
      <c r="AZY56" s="456"/>
      <c r="AZZ56" s="456"/>
      <c r="BAA56" s="456"/>
      <c r="BAB56" s="456"/>
      <c r="BAC56" s="456"/>
      <c r="BAD56" s="456"/>
      <c r="BAE56" s="456"/>
      <c r="BAF56" s="456"/>
      <c r="BAG56" s="456"/>
      <c r="BAH56" s="456"/>
      <c r="BAI56" s="456"/>
      <c r="BAJ56" s="456"/>
      <c r="BAK56" s="456"/>
      <c r="BAL56" s="456"/>
      <c r="BAM56" s="456"/>
      <c r="BAN56" s="456"/>
      <c r="BAO56" s="456"/>
      <c r="BAP56" s="456"/>
      <c r="BAQ56" s="456"/>
      <c r="BAR56" s="456"/>
      <c r="BAS56" s="456"/>
      <c r="BAT56" s="456"/>
      <c r="BAU56" s="456"/>
      <c r="BAV56" s="456"/>
      <c r="BAW56" s="456"/>
      <c r="BAX56" s="456"/>
      <c r="BAY56" s="456"/>
      <c r="BAZ56" s="456"/>
      <c r="BBA56" s="456"/>
      <c r="BBB56" s="456"/>
      <c r="BBC56" s="456"/>
      <c r="BBD56" s="456"/>
      <c r="BBE56" s="456"/>
      <c r="BBF56" s="456"/>
      <c r="BBG56" s="456"/>
      <c r="BBH56" s="456"/>
      <c r="BBI56" s="456"/>
      <c r="BBJ56" s="456"/>
      <c r="BBK56" s="456"/>
      <c r="BBL56" s="456"/>
      <c r="BBM56" s="456"/>
      <c r="BBN56" s="456"/>
      <c r="BBO56" s="456"/>
      <c r="BBP56" s="456"/>
      <c r="BBQ56" s="456"/>
      <c r="BBR56" s="456"/>
      <c r="BBS56" s="456"/>
      <c r="BBT56" s="456"/>
      <c r="BBU56" s="456"/>
      <c r="BBV56" s="456"/>
      <c r="BBW56" s="456"/>
      <c r="BBX56" s="456"/>
      <c r="BBY56" s="456"/>
      <c r="BBZ56" s="456"/>
      <c r="BCA56" s="456"/>
      <c r="BCB56" s="456"/>
      <c r="BCC56" s="456"/>
      <c r="BCD56" s="456"/>
      <c r="BCE56" s="456"/>
      <c r="BCF56" s="456"/>
      <c r="BCG56" s="456"/>
      <c r="BCH56" s="456"/>
      <c r="BCI56" s="456"/>
      <c r="BCJ56" s="456"/>
      <c r="BCK56" s="456"/>
      <c r="BCL56" s="456"/>
      <c r="BCM56" s="456"/>
      <c r="BCN56" s="456"/>
      <c r="BCO56" s="456"/>
      <c r="BCP56" s="456"/>
      <c r="BCQ56" s="456"/>
      <c r="BCR56" s="456"/>
      <c r="BCS56" s="456"/>
      <c r="BCT56" s="456"/>
      <c r="BCU56" s="456"/>
      <c r="BCV56" s="456"/>
      <c r="BCW56" s="456"/>
      <c r="BCX56" s="456"/>
      <c r="BCY56" s="456"/>
      <c r="BCZ56" s="456"/>
      <c r="BDA56" s="456"/>
      <c r="BDB56" s="456"/>
      <c r="BDC56" s="456"/>
      <c r="BDD56" s="456"/>
      <c r="BDE56" s="456"/>
      <c r="BDF56" s="456"/>
      <c r="BDG56" s="456"/>
      <c r="BDH56" s="456"/>
      <c r="BDI56" s="456"/>
      <c r="BDJ56" s="456"/>
      <c r="BDK56" s="456"/>
      <c r="BDL56" s="456"/>
      <c r="BDM56" s="456"/>
      <c r="BDN56" s="456"/>
      <c r="BDO56" s="456"/>
      <c r="BDP56" s="456"/>
      <c r="BDQ56" s="456"/>
      <c r="BDR56" s="456"/>
      <c r="BDS56" s="456"/>
      <c r="BDT56" s="456"/>
      <c r="BDU56" s="456"/>
      <c r="BDV56" s="456"/>
      <c r="BDW56" s="456"/>
      <c r="BDX56" s="456"/>
      <c r="BDY56" s="456"/>
      <c r="BDZ56" s="456"/>
      <c r="BEA56" s="456"/>
      <c r="BEB56" s="456"/>
      <c r="BEC56" s="456"/>
      <c r="BED56" s="456"/>
      <c r="BEE56" s="456"/>
      <c r="BEF56" s="456"/>
      <c r="BEG56" s="456"/>
      <c r="BEH56" s="456"/>
      <c r="BEI56" s="456"/>
      <c r="BEJ56" s="456"/>
      <c r="BEK56" s="456"/>
      <c r="BEL56" s="456"/>
      <c r="BEM56" s="456"/>
      <c r="BEN56" s="456"/>
      <c r="BEO56" s="456"/>
      <c r="BEP56" s="456"/>
      <c r="BEQ56" s="456"/>
      <c r="BER56" s="456"/>
      <c r="BES56" s="456"/>
      <c r="BET56" s="456"/>
      <c r="BEU56" s="456"/>
      <c r="BEV56" s="456"/>
      <c r="BEW56" s="456"/>
      <c r="BEX56" s="456"/>
      <c r="BEY56" s="456"/>
      <c r="BEZ56" s="456"/>
      <c r="BFA56" s="456"/>
      <c r="BFB56" s="456"/>
      <c r="BFC56" s="456"/>
      <c r="BFD56" s="456"/>
      <c r="BFE56" s="456"/>
      <c r="BFF56" s="456"/>
      <c r="BFG56" s="456"/>
      <c r="BFH56" s="456"/>
      <c r="BFI56" s="456"/>
      <c r="BFJ56" s="456"/>
      <c r="BFK56" s="456"/>
      <c r="BFL56" s="456"/>
      <c r="BFM56" s="456"/>
      <c r="BFN56" s="456"/>
      <c r="BFO56" s="456"/>
      <c r="BFP56" s="456"/>
      <c r="BFQ56" s="456"/>
      <c r="BFR56" s="456"/>
      <c r="BFS56" s="456"/>
      <c r="BFT56" s="456"/>
      <c r="BFU56" s="456"/>
      <c r="BFV56" s="456"/>
      <c r="BFW56" s="456"/>
      <c r="BFX56" s="456"/>
      <c r="BFY56" s="456"/>
      <c r="BFZ56" s="456"/>
      <c r="BGA56" s="456"/>
      <c r="BGB56" s="456"/>
      <c r="BGC56" s="456"/>
      <c r="BGD56" s="456"/>
      <c r="BGE56" s="456"/>
      <c r="BGF56" s="456"/>
      <c r="BGG56" s="456"/>
      <c r="BGH56" s="456"/>
      <c r="BGI56" s="456"/>
      <c r="BGJ56" s="456"/>
      <c r="BGK56" s="456"/>
      <c r="BGL56" s="456"/>
      <c r="BGM56" s="456"/>
      <c r="BGN56" s="456"/>
      <c r="BGO56" s="456"/>
      <c r="BGP56" s="456"/>
      <c r="BGQ56" s="456"/>
      <c r="BGR56" s="456"/>
      <c r="BGS56" s="456"/>
      <c r="BGT56" s="456"/>
      <c r="BGU56" s="456"/>
      <c r="BGV56" s="456"/>
      <c r="BGW56" s="456"/>
      <c r="BGX56" s="456"/>
      <c r="BGY56" s="456"/>
      <c r="BGZ56" s="456"/>
      <c r="BHA56" s="456"/>
      <c r="BHB56" s="456"/>
      <c r="BHC56" s="456"/>
      <c r="BHD56" s="456"/>
      <c r="BHE56" s="456"/>
      <c r="BHF56" s="456"/>
      <c r="BHG56" s="456"/>
      <c r="BHH56" s="456"/>
      <c r="BHI56" s="456"/>
      <c r="BHJ56" s="456"/>
      <c r="BHK56" s="456"/>
      <c r="BHL56" s="456"/>
      <c r="BHM56" s="456"/>
      <c r="BHN56" s="456"/>
      <c r="BHO56" s="456"/>
      <c r="BHP56" s="456"/>
      <c r="BHQ56" s="456"/>
      <c r="BHR56" s="456"/>
      <c r="BHS56" s="456"/>
      <c r="BHT56" s="456"/>
      <c r="BHU56" s="456"/>
      <c r="BHV56" s="456"/>
      <c r="BHW56" s="456"/>
      <c r="BHX56" s="456"/>
      <c r="BHY56" s="456"/>
      <c r="BHZ56" s="456"/>
      <c r="BIA56" s="456"/>
      <c r="BIB56" s="456"/>
      <c r="BIC56" s="456"/>
      <c r="BID56" s="456"/>
      <c r="BIE56" s="456"/>
      <c r="BIF56" s="456"/>
      <c r="BIG56" s="456"/>
      <c r="BIH56" s="456"/>
      <c r="BII56" s="456"/>
      <c r="BIJ56" s="456"/>
      <c r="BIK56" s="456"/>
      <c r="BIL56" s="456"/>
      <c r="BIM56" s="456"/>
      <c r="BIN56" s="456"/>
      <c r="BIO56" s="456"/>
      <c r="BIP56" s="456"/>
      <c r="BIQ56" s="456"/>
      <c r="BIR56" s="456"/>
      <c r="BIS56" s="456"/>
      <c r="BIT56" s="456"/>
      <c r="BIU56" s="456"/>
      <c r="BIV56" s="456"/>
      <c r="BIW56" s="456"/>
      <c r="BIX56" s="456"/>
      <c r="BIY56" s="456"/>
      <c r="BIZ56" s="456"/>
      <c r="BJA56" s="456"/>
      <c r="BJB56" s="456"/>
      <c r="BJC56" s="456"/>
      <c r="BJD56" s="456"/>
      <c r="BJE56" s="456"/>
      <c r="BJF56" s="456"/>
      <c r="BJG56" s="456"/>
      <c r="BJH56" s="456"/>
      <c r="BJI56" s="456"/>
      <c r="BJJ56" s="456"/>
      <c r="BJK56" s="456"/>
      <c r="BJL56" s="456"/>
      <c r="BJM56" s="456"/>
      <c r="BJN56" s="456"/>
      <c r="BJO56" s="456"/>
      <c r="BJP56" s="456"/>
      <c r="BJQ56" s="456"/>
      <c r="BJR56" s="456"/>
      <c r="BJS56" s="456"/>
      <c r="BJT56" s="456"/>
      <c r="BJU56" s="456"/>
      <c r="BJV56" s="456"/>
      <c r="BJW56" s="456"/>
      <c r="BJX56" s="456"/>
      <c r="BJY56" s="456"/>
      <c r="BJZ56" s="456"/>
      <c r="BKA56" s="456"/>
      <c r="BKB56" s="456"/>
      <c r="BKC56" s="456"/>
      <c r="BKD56" s="456"/>
      <c r="BKE56" s="456"/>
      <c r="BKF56" s="456"/>
      <c r="BKG56" s="456"/>
      <c r="BKH56" s="456"/>
      <c r="BKI56" s="456"/>
      <c r="BKJ56" s="456"/>
      <c r="BKK56" s="456"/>
      <c r="BKL56" s="456"/>
      <c r="BKM56" s="456"/>
      <c r="BKN56" s="456"/>
      <c r="BKO56" s="456"/>
      <c r="BKP56" s="456"/>
      <c r="BKQ56" s="456"/>
      <c r="BKR56" s="456"/>
      <c r="BKS56" s="456"/>
      <c r="BKT56" s="456"/>
      <c r="BKU56" s="456"/>
      <c r="BKV56" s="456"/>
      <c r="BKW56" s="456"/>
      <c r="BKX56" s="456"/>
      <c r="BKY56" s="456"/>
      <c r="BKZ56" s="456"/>
      <c r="BLA56" s="456"/>
      <c r="BLB56" s="456"/>
      <c r="BLC56" s="456"/>
      <c r="BLD56" s="456"/>
      <c r="BLE56" s="456"/>
      <c r="BLF56" s="456"/>
      <c r="BLG56" s="456"/>
      <c r="BLH56" s="456"/>
      <c r="BLI56" s="456"/>
      <c r="BLJ56" s="456"/>
      <c r="BLK56" s="456"/>
      <c r="BLL56" s="456"/>
      <c r="BLM56" s="456"/>
      <c r="BLN56" s="456"/>
      <c r="BLO56" s="456"/>
      <c r="BLP56" s="456"/>
      <c r="BLQ56" s="456"/>
      <c r="BLR56" s="456"/>
      <c r="BLS56" s="456"/>
      <c r="BLT56" s="456"/>
      <c r="BLU56" s="456"/>
      <c r="BLV56" s="456"/>
      <c r="BLW56" s="456"/>
      <c r="BLX56" s="456"/>
      <c r="BLY56" s="456"/>
      <c r="BLZ56" s="456"/>
      <c r="BMA56" s="456"/>
      <c r="BMB56" s="456"/>
      <c r="BMC56" s="456"/>
      <c r="BMD56" s="456"/>
      <c r="BME56" s="456"/>
      <c r="BMF56" s="456"/>
      <c r="BMG56" s="456"/>
      <c r="BMH56" s="456"/>
      <c r="BMI56" s="456"/>
      <c r="BMJ56" s="456"/>
      <c r="BMK56" s="456"/>
      <c r="BML56" s="456"/>
      <c r="BMM56" s="456"/>
      <c r="BMN56" s="456"/>
      <c r="BMO56" s="456"/>
      <c r="BMP56" s="456"/>
      <c r="BMQ56" s="456"/>
      <c r="BMR56" s="456"/>
      <c r="BMS56" s="456"/>
      <c r="BMT56" s="456"/>
      <c r="BMU56" s="456"/>
      <c r="BMV56" s="456"/>
      <c r="BMW56" s="456"/>
      <c r="BMX56" s="456"/>
      <c r="BMY56" s="456"/>
      <c r="BMZ56" s="456"/>
      <c r="BNA56" s="456"/>
      <c r="BNB56" s="456"/>
      <c r="BNC56" s="456"/>
      <c r="BND56" s="456"/>
      <c r="BNE56" s="456"/>
      <c r="BNF56" s="456"/>
      <c r="BNG56" s="456"/>
      <c r="BNH56" s="456"/>
      <c r="BNI56" s="456"/>
      <c r="BNJ56" s="456"/>
      <c r="BNK56" s="456"/>
      <c r="BNL56" s="456"/>
      <c r="BNM56" s="456"/>
      <c r="BNN56" s="456"/>
      <c r="BNO56" s="456"/>
      <c r="BNP56" s="456"/>
      <c r="BNQ56" s="456"/>
      <c r="BNR56" s="456"/>
      <c r="BNS56" s="456"/>
      <c r="BNT56" s="456"/>
      <c r="BNU56" s="456"/>
      <c r="BNV56" s="456"/>
      <c r="BNW56" s="456"/>
      <c r="BNX56" s="456"/>
      <c r="BNY56" s="456"/>
      <c r="BNZ56" s="456"/>
      <c r="BOA56" s="456"/>
      <c r="BOB56" s="456"/>
      <c r="BOC56" s="456"/>
      <c r="BOD56" s="456"/>
      <c r="BOE56" s="456"/>
      <c r="BOF56" s="456"/>
      <c r="BOG56" s="456"/>
      <c r="BOH56" s="456"/>
      <c r="BOI56" s="456"/>
      <c r="BOJ56" s="456"/>
      <c r="BOK56" s="456"/>
      <c r="BOL56" s="456"/>
      <c r="BOM56" s="456"/>
      <c r="BON56" s="456"/>
      <c r="BOO56" s="456"/>
      <c r="BOP56" s="456"/>
      <c r="BOQ56" s="456"/>
      <c r="BOR56" s="456"/>
      <c r="BOS56" s="456"/>
      <c r="BOT56" s="456"/>
      <c r="BOU56" s="456"/>
      <c r="BOV56" s="456"/>
      <c r="BOW56" s="456"/>
      <c r="BOX56" s="456"/>
      <c r="BOY56" s="456"/>
      <c r="BOZ56" s="456"/>
      <c r="BPA56" s="456"/>
      <c r="BPB56" s="456"/>
      <c r="BPC56" s="456"/>
      <c r="BPD56" s="456"/>
      <c r="BPE56" s="456"/>
      <c r="BPF56" s="456"/>
      <c r="BPG56" s="456"/>
      <c r="BPH56" s="456"/>
      <c r="BPI56" s="456"/>
      <c r="BPJ56" s="456"/>
      <c r="BPK56" s="456"/>
      <c r="BPL56" s="456"/>
      <c r="BPM56" s="456"/>
      <c r="BPN56" s="456"/>
      <c r="BPO56" s="456"/>
      <c r="BPP56" s="456"/>
      <c r="BPQ56" s="456"/>
      <c r="BPR56" s="456"/>
      <c r="BPS56" s="456"/>
      <c r="BPT56" s="456"/>
      <c r="BPU56" s="456"/>
      <c r="BPV56" s="456"/>
      <c r="BPW56" s="456"/>
      <c r="BPX56" s="456"/>
      <c r="BPY56" s="456"/>
      <c r="BPZ56" s="456"/>
      <c r="BQA56" s="456"/>
      <c r="BQB56" s="456"/>
      <c r="BQC56" s="456"/>
      <c r="BQD56" s="456"/>
      <c r="BQE56" s="456"/>
      <c r="BQF56" s="456"/>
      <c r="BQG56" s="456"/>
      <c r="BQH56" s="456"/>
      <c r="BQI56" s="456"/>
      <c r="BQJ56" s="456"/>
      <c r="BQK56" s="456"/>
      <c r="BQL56" s="456"/>
      <c r="BQM56" s="456"/>
      <c r="BQN56" s="456"/>
      <c r="BQO56" s="456"/>
      <c r="BQP56" s="456"/>
      <c r="BQQ56" s="456"/>
      <c r="BQR56" s="456"/>
      <c r="BQS56" s="456"/>
      <c r="BQT56" s="456"/>
      <c r="BQU56" s="456"/>
      <c r="BQV56" s="456"/>
      <c r="BQW56" s="456"/>
      <c r="BQX56" s="456"/>
      <c r="BQY56" s="456"/>
      <c r="BQZ56" s="456"/>
      <c r="BRA56" s="456"/>
      <c r="BRB56" s="456"/>
      <c r="BRC56" s="456"/>
      <c r="BRD56" s="456"/>
      <c r="BRE56" s="456"/>
      <c r="BRF56" s="456"/>
      <c r="BRG56" s="456"/>
      <c r="BRH56" s="456"/>
      <c r="BRI56" s="456"/>
      <c r="BRJ56" s="456"/>
      <c r="BRK56" s="456"/>
      <c r="BRL56" s="456"/>
      <c r="BRM56" s="456"/>
      <c r="BRN56" s="456"/>
      <c r="BRO56" s="456"/>
      <c r="BRP56" s="456"/>
      <c r="BRQ56" s="456"/>
      <c r="BRR56" s="456"/>
      <c r="BRS56" s="456"/>
      <c r="BRT56" s="456"/>
      <c r="BRU56" s="456"/>
      <c r="BRV56" s="456"/>
      <c r="BRW56" s="456"/>
      <c r="BRX56" s="456"/>
      <c r="BRY56" s="456"/>
      <c r="BRZ56" s="456"/>
      <c r="BSA56" s="456"/>
      <c r="BSB56" s="456"/>
      <c r="BSC56" s="456"/>
      <c r="BSD56" s="456"/>
      <c r="BSE56" s="456"/>
      <c r="BSF56" s="456"/>
      <c r="BSG56" s="456"/>
      <c r="BSH56" s="456"/>
      <c r="BSI56" s="456"/>
      <c r="BSJ56" s="456"/>
      <c r="BSK56" s="456"/>
      <c r="BSL56" s="456"/>
      <c r="BSM56" s="456"/>
      <c r="BSN56" s="456"/>
      <c r="BSO56" s="456"/>
      <c r="BSP56" s="456"/>
      <c r="BSQ56" s="456"/>
      <c r="BSR56" s="456"/>
      <c r="BSS56" s="456"/>
      <c r="BST56" s="456"/>
      <c r="BSU56" s="456"/>
      <c r="BSV56" s="456"/>
      <c r="BSW56" s="456"/>
      <c r="BSX56" s="456"/>
      <c r="BSY56" s="456"/>
      <c r="BSZ56" s="456"/>
      <c r="BTA56" s="456"/>
      <c r="BTB56" s="456"/>
      <c r="BTC56" s="456"/>
      <c r="BTD56" s="456"/>
      <c r="BTE56" s="456"/>
      <c r="BTF56" s="456"/>
      <c r="BTG56" s="456"/>
      <c r="BTH56" s="456"/>
      <c r="BTI56" s="456"/>
      <c r="BTJ56" s="456"/>
      <c r="BTK56" s="456"/>
      <c r="BTL56" s="456"/>
      <c r="BTM56" s="456"/>
      <c r="BTN56" s="456"/>
      <c r="BTO56" s="456"/>
      <c r="BTP56" s="456"/>
      <c r="BTQ56" s="456"/>
      <c r="BTR56" s="456"/>
      <c r="BTS56" s="456"/>
      <c r="BTT56" s="456"/>
      <c r="BTU56" s="456"/>
      <c r="BTV56" s="456"/>
      <c r="BTW56" s="456"/>
      <c r="BTX56" s="456"/>
      <c r="BTY56" s="456"/>
      <c r="BTZ56" s="456"/>
      <c r="BUA56" s="456"/>
      <c r="BUB56" s="456"/>
      <c r="BUC56" s="456"/>
      <c r="BUD56" s="456"/>
      <c r="BUE56" s="456"/>
      <c r="BUF56" s="456"/>
      <c r="BUG56" s="456"/>
      <c r="BUH56" s="456"/>
      <c r="BUI56" s="456"/>
      <c r="BUJ56" s="456"/>
      <c r="BUK56" s="456"/>
      <c r="BUL56" s="456"/>
      <c r="BUM56" s="456"/>
      <c r="BUN56" s="456"/>
      <c r="BUO56" s="456"/>
      <c r="BUP56" s="456"/>
      <c r="BUQ56" s="456"/>
      <c r="BUR56" s="456"/>
      <c r="BUS56" s="456"/>
      <c r="BUT56" s="456"/>
      <c r="BUU56" s="456"/>
      <c r="BUV56" s="456"/>
      <c r="BUW56" s="456"/>
      <c r="BUX56" s="456"/>
      <c r="BUY56" s="456"/>
      <c r="BUZ56" s="456"/>
      <c r="BVA56" s="456"/>
      <c r="BVB56" s="456"/>
      <c r="BVC56" s="456"/>
      <c r="BVD56" s="456"/>
      <c r="BVE56" s="456"/>
      <c r="BVF56" s="456"/>
      <c r="BVG56" s="456"/>
      <c r="BVH56" s="456"/>
      <c r="BVI56" s="456"/>
      <c r="BVJ56" s="456"/>
      <c r="BVK56" s="456"/>
      <c r="BVL56" s="456"/>
      <c r="BVM56" s="456"/>
      <c r="BVN56" s="456"/>
      <c r="BVO56" s="456"/>
      <c r="BVP56" s="456"/>
      <c r="BVQ56" s="456"/>
      <c r="BVR56" s="456"/>
      <c r="BVS56" s="456"/>
      <c r="BVT56" s="456"/>
      <c r="BVU56" s="456"/>
      <c r="BVV56" s="456"/>
      <c r="BVW56" s="456"/>
      <c r="BVX56" s="456"/>
      <c r="BVY56" s="456"/>
      <c r="BVZ56" s="456"/>
      <c r="BWA56" s="456"/>
      <c r="BWB56" s="456"/>
      <c r="BWC56" s="456"/>
      <c r="BWD56" s="456"/>
      <c r="BWE56" s="456"/>
      <c r="BWF56" s="456"/>
      <c r="BWG56" s="456"/>
      <c r="BWH56" s="456"/>
      <c r="BWI56" s="456"/>
      <c r="BWJ56" s="456"/>
      <c r="BWK56" s="456"/>
      <c r="BWL56" s="456"/>
      <c r="BWM56" s="456"/>
      <c r="BWN56" s="456"/>
      <c r="BWO56" s="456"/>
      <c r="BWP56" s="456"/>
      <c r="BWQ56" s="456"/>
      <c r="BWR56" s="456"/>
      <c r="BWS56" s="456"/>
      <c r="BWT56" s="456"/>
      <c r="BWU56" s="456"/>
      <c r="BWV56" s="456"/>
      <c r="BWW56" s="456"/>
      <c r="BWX56" s="456"/>
      <c r="BWY56" s="456"/>
      <c r="BWZ56" s="456"/>
      <c r="BXA56" s="456"/>
      <c r="BXB56" s="456"/>
      <c r="BXC56" s="456"/>
      <c r="BXD56" s="456"/>
      <c r="BXE56" s="456"/>
      <c r="BXF56" s="456"/>
      <c r="BXG56" s="456"/>
      <c r="BXH56" s="456"/>
      <c r="BXI56" s="456"/>
      <c r="BXJ56" s="456"/>
      <c r="BXK56" s="456"/>
      <c r="BXL56" s="456"/>
      <c r="BXM56" s="456"/>
      <c r="BXN56" s="456"/>
      <c r="BXO56" s="456"/>
      <c r="BXP56" s="456"/>
      <c r="BXQ56" s="456"/>
      <c r="BXR56" s="456"/>
      <c r="BXS56" s="456"/>
      <c r="BXT56" s="456"/>
      <c r="BXU56" s="456"/>
      <c r="BXV56" s="456"/>
      <c r="BXW56" s="456"/>
      <c r="BXX56" s="456"/>
      <c r="BXY56" s="456"/>
      <c r="BXZ56" s="456"/>
    </row>
    <row r="57" s="25" customFormat="1" spans="1:1024 1025:2002">
      <c r="A57" s="473" t="s">
        <v>34</v>
      </c>
      <c r="B57" s="19">
        <v>1119</v>
      </c>
      <c r="C57" s="183">
        <v>46181</v>
      </c>
      <c r="D57" s="17" t="s">
        <v>35</v>
      </c>
      <c r="E57" s="17" t="s">
        <v>71</v>
      </c>
      <c r="F57" s="17" t="s">
        <v>72</v>
      </c>
      <c r="G57" s="17"/>
      <c r="H57" s="19">
        <v>1.2379</v>
      </c>
      <c r="I57" s="19">
        <v>1.2379</v>
      </c>
      <c r="J57" s="17" t="s">
        <v>82</v>
      </c>
      <c r="K57" s="91">
        <v>355</v>
      </c>
      <c r="L57" s="23">
        <v>20</v>
      </c>
      <c r="M57" s="19">
        <v>5800</v>
      </c>
      <c r="N57" s="19" t="s">
        <v>40</v>
      </c>
      <c r="O57" s="19" t="s">
        <v>67</v>
      </c>
      <c r="P57" s="19">
        <v>1000</v>
      </c>
      <c r="Q57" s="19">
        <v>712</v>
      </c>
      <c r="R57" s="19">
        <f t="shared" si="2"/>
        <v>288</v>
      </c>
      <c r="S57" s="477">
        <f>2365+68</f>
        <v>2433</v>
      </c>
      <c r="T57" s="19" t="s">
        <v>42</v>
      </c>
      <c r="U57" s="102" t="s">
        <v>83</v>
      </c>
      <c r="V57" s="186">
        <v>46181</v>
      </c>
      <c r="W57" s="17" t="s">
        <v>69</v>
      </c>
      <c r="X57" s="17"/>
      <c r="Y57" s="68">
        <v>46327</v>
      </c>
      <c r="Z57" s="17" t="s">
        <v>45</v>
      </c>
      <c r="AA57" s="17" t="s">
        <v>46</v>
      </c>
      <c r="AB57" s="17" t="s">
        <v>75</v>
      </c>
      <c r="AC57" s="217">
        <v>46224</v>
      </c>
      <c r="AD57" s="65">
        <v>1837</v>
      </c>
      <c r="AE57" s="17" t="s">
        <v>48</v>
      </c>
      <c r="AF57" s="17" t="s">
        <v>76</v>
      </c>
      <c r="AG57" s="17"/>
      <c r="AH57" s="456"/>
      <c r="AI57" s="456"/>
      <c r="AJ57" s="456"/>
      <c r="AK57" s="456"/>
      <c r="AL57" s="456"/>
      <c r="AM57" s="456"/>
      <c r="AN57" s="456"/>
      <c r="AO57" s="456"/>
      <c r="AP57" s="456"/>
      <c r="AQ57" s="456"/>
      <c r="AR57" s="456"/>
      <c r="AS57" s="456"/>
      <c r="AT57" s="456"/>
      <c r="AU57" s="456"/>
      <c r="AV57" s="456"/>
      <c r="AW57" s="456"/>
      <c r="AX57" s="456"/>
      <c r="AY57" s="456"/>
      <c r="AZ57" s="456"/>
      <c r="BA57" s="456"/>
      <c r="BB57" s="456"/>
      <c r="BC57" s="456"/>
      <c r="BD57" s="456"/>
      <c r="BE57" s="456"/>
      <c r="BF57" s="456"/>
      <c r="BG57" s="456"/>
      <c r="BH57" s="456"/>
      <c r="BI57" s="456"/>
      <c r="BJ57" s="456"/>
      <c r="BK57" s="456"/>
      <c r="BL57" s="456"/>
      <c r="BM57" s="456"/>
      <c r="BN57" s="456"/>
      <c r="BO57" s="456"/>
      <c r="BP57" s="456"/>
      <c r="BQ57" s="456"/>
      <c r="BR57" s="456"/>
      <c r="BS57" s="456"/>
      <c r="BT57" s="456"/>
      <c r="BU57" s="456"/>
      <c r="BV57" s="456"/>
      <c r="BW57" s="456"/>
      <c r="BX57" s="456"/>
      <c r="BY57" s="456"/>
      <c r="BZ57" s="456"/>
      <c r="CA57" s="456"/>
      <c r="CB57" s="456"/>
      <c r="CC57" s="456"/>
      <c r="CD57" s="456"/>
      <c r="CE57" s="456"/>
      <c r="CF57" s="456"/>
      <c r="CG57" s="456"/>
      <c r="CH57" s="456"/>
      <c r="CI57" s="456"/>
      <c r="CJ57" s="456"/>
      <c r="CK57" s="456"/>
      <c r="CL57" s="456"/>
      <c r="CM57" s="456"/>
      <c r="CN57" s="456"/>
      <c r="CO57" s="456"/>
      <c r="CP57" s="456"/>
      <c r="CQ57" s="456"/>
      <c r="CR57" s="456"/>
      <c r="CS57" s="456"/>
      <c r="CT57" s="456"/>
      <c r="CU57" s="456"/>
      <c r="CV57" s="456"/>
      <c r="CW57" s="456"/>
      <c r="CX57" s="456"/>
      <c r="CY57" s="456"/>
      <c r="CZ57" s="456"/>
      <c r="DA57" s="456"/>
      <c r="DB57" s="456"/>
      <c r="DC57" s="456"/>
      <c r="DD57" s="456"/>
      <c r="DE57" s="456"/>
      <c r="DF57" s="456"/>
      <c r="DG57" s="456"/>
      <c r="DH57" s="456"/>
      <c r="DI57" s="456"/>
      <c r="DJ57" s="456"/>
      <c r="DK57" s="456"/>
      <c r="DL57" s="456"/>
      <c r="DM57" s="456"/>
      <c r="DN57" s="456"/>
      <c r="DO57" s="456"/>
      <c r="DP57" s="456"/>
      <c r="DQ57" s="456"/>
      <c r="DR57" s="456"/>
      <c r="DS57" s="456"/>
      <c r="DT57" s="456"/>
      <c r="DU57" s="456"/>
      <c r="DV57" s="456"/>
      <c r="DW57" s="456"/>
      <c r="DX57" s="456"/>
      <c r="DY57" s="456"/>
      <c r="DZ57" s="456"/>
      <c r="EA57" s="456"/>
      <c r="EB57" s="456"/>
      <c r="EC57" s="456"/>
      <c r="ED57" s="456"/>
      <c r="EE57" s="456"/>
      <c r="EF57" s="456"/>
      <c r="EG57" s="456"/>
      <c r="EH57" s="456"/>
      <c r="EI57" s="456"/>
      <c r="EJ57" s="456"/>
      <c r="EK57" s="456"/>
      <c r="EL57" s="456"/>
      <c r="EM57" s="456"/>
      <c r="EN57" s="456"/>
      <c r="EO57" s="456"/>
      <c r="EP57" s="456"/>
      <c r="EQ57" s="456"/>
      <c r="ER57" s="456"/>
      <c r="ES57" s="456"/>
      <c r="ET57" s="456"/>
      <c r="EU57" s="456"/>
      <c r="EV57" s="456"/>
      <c r="EW57" s="456"/>
      <c r="EX57" s="456"/>
      <c r="EY57" s="456"/>
      <c r="EZ57" s="456"/>
      <c r="FA57" s="456"/>
      <c r="FB57" s="456"/>
      <c r="FC57" s="456"/>
      <c r="FD57" s="456"/>
      <c r="FE57" s="456"/>
      <c r="FF57" s="456"/>
      <c r="FG57" s="456"/>
      <c r="FH57" s="456"/>
      <c r="FI57" s="456"/>
      <c r="FJ57" s="456"/>
      <c r="FK57" s="456"/>
      <c r="FL57" s="456"/>
      <c r="FM57" s="456"/>
      <c r="FN57" s="456"/>
      <c r="FO57" s="456"/>
      <c r="FP57" s="456"/>
      <c r="FQ57" s="456"/>
      <c r="FR57" s="456"/>
      <c r="FS57" s="456"/>
      <c r="FT57" s="456"/>
      <c r="FU57" s="456"/>
      <c r="FV57" s="456"/>
      <c r="FW57" s="456"/>
      <c r="FX57" s="456"/>
      <c r="FY57" s="456"/>
      <c r="FZ57" s="456"/>
      <c r="GA57" s="456"/>
      <c r="GB57" s="456"/>
      <c r="GC57" s="456"/>
      <c r="GD57" s="456"/>
      <c r="GE57" s="456"/>
      <c r="GF57" s="456"/>
      <c r="GG57" s="456"/>
      <c r="GH57" s="456"/>
      <c r="GI57" s="456"/>
      <c r="GJ57" s="456"/>
      <c r="GK57" s="456"/>
      <c r="GL57" s="456"/>
      <c r="GM57" s="456"/>
      <c r="GN57" s="456"/>
      <c r="GO57" s="456"/>
      <c r="GP57" s="456"/>
      <c r="GQ57" s="456"/>
      <c r="GR57" s="456"/>
      <c r="GS57" s="456"/>
      <c r="GT57" s="456"/>
      <c r="GU57" s="456"/>
      <c r="GV57" s="456"/>
      <c r="GW57" s="456"/>
      <c r="GX57" s="456"/>
      <c r="GY57" s="456"/>
      <c r="GZ57" s="456"/>
      <c r="HA57" s="456"/>
      <c r="HB57" s="456"/>
      <c r="HC57" s="456"/>
      <c r="HD57" s="456"/>
      <c r="HE57" s="456"/>
      <c r="HF57" s="456"/>
      <c r="HG57" s="456"/>
      <c r="HH57" s="456"/>
      <c r="HI57" s="456"/>
      <c r="HJ57" s="456"/>
      <c r="HK57" s="456"/>
      <c r="HL57" s="456"/>
      <c r="HM57" s="456"/>
      <c r="HN57" s="456"/>
      <c r="HO57" s="456"/>
      <c r="HP57" s="456"/>
      <c r="HQ57" s="456"/>
      <c r="HR57" s="456"/>
      <c r="HS57" s="456"/>
      <c r="HT57" s="456"/>
      <c r="HU57" s="456"/>
      <c r="HV57" s="456"/>
      <c r="HW57" s="456"/>
      <c r="HX57" s="456"/>
      <c r="HY57" s="456"/>
      <c r="HZ57" s="456"/>
      <c r="IA57" s="456"/>
      <c r="IB57" s="456"/>
      <c r="IC57" s="456"/>
      <c r="ID57" s="456"/>
      <c r="IE57" s="456"/>
      <c r="IF57" s="456"/>
      <c r="IG57" s="456"/>
      <c r="IH57" s="456"/>
      <c r="II57" s="456"/>
      <c r="IJ57" s="456"/>
      <c r="IK57" s="456"/>
      <c r="IL57" s="456"/>
      <c r="IM57" s="456"/>
      <c r="IN57" s="456"/>
      <c r="IO57" s="456"/>
      <c r="IP57" s="456"/>
      <c r="IQ57" s="456"/>
      <c r="IR57" s="456"/>
      <c r="IS57" s="456"/>
      <c r="IT57" s="456"/>
      <c r="IU57" s="456"/>
      <c r="IV57" s="456"/>
      <c r="IW57" s="456"/>
      <c r="IX57" s="456"/>
      <c r="IY57" s="456"/>
      <c r="IZ57" s="456"/>
      <c r="JA57" s="456"/>
      <c r="JB57" s="456"/>
      <c r="JC57" s="456"/>
      <c r="JD57" s="456"/>
      <c r="JE57" s="456"/>
      <c r="JF57" s="456"/>
      <c r="JG57" s="456"/>
      <c r="JH57" s="456"/>
      <c r="JI57" s="456"/>
      <c r="JJ57" s="456"/>
      <c r="JK57" s="456"/>
      <c r="JL57" s="456"/>
      <c r="JM57" s="456"/>
      <c r="JN57" s="456"/>
      <c r="JO57" s="456"/>
      <c r="JP57" s="456"/>
      <c r="JQ57" s="456"/>
      <c r="JR57" s="456"/>
      <c r="JS57" s="456"/>
      <c r="JT57" s="456"/>
      <c r="JU57" s="456"/>
      <c r="JV57" s="456"/>
      <c r="JW57" s="456"/>
      <c r="JX57" s="456"/>
      <c r="JY57" s="456"/>
      <c r="JZ57" s="456"/>
      <c r="KA57" s="456"/>
      <c r="KB57" s="456"/>
      <c r="KC57" s="456"/>
      <c r="KD57" s="456"/>
      <c r="KE57" s="456"/>
      <c r="KF57" s="456"/>
      <c r="KG57" s="456"/>
      <c r="KH57" s="456"/>
      <c r="KI57" s="456"/>
      <c r="KJ57" s="456"/>
      <c r="KK57" s="456"/>
      <c r="KL57" s="456"/>
      <c r="KM57" s="456"/>
      <c r="KN57" s="456"/>
      <c r="KO57" s="456"/>
      <c r="KP57" s="456"/>
      <c r="KQ57" s="456"/>
      <c r="KR57" s="456"/>
      <c r="KS57" s="456"/>
      <c r="KT57" s="456"/>
      <c r="KU57" s="456"/>
      <c r="KV57" s="456"/>
      <c r="KW57" s="456"/>
      <c r="KX57" s="456"/>
      <c r="KY57" s="456"/>
      <c r="KZ57" s="456"/>
      <c r="LA57" s="456"/>
      <c r="LB57" s="456"/>
      <c r="LC57" s="456"/>
      <c r="LD57" s="456"/>
      <c r="LE57" s="456"/>
      <c r="LF57" s="456"/>
      <c r="LG57" s="456"/>
      <c r="LH57" s="456"/>
      <c r="LI57" s="456"/>
      <c r="LJ57" s="456"/>
      <c r="LK57" s="456"/>
      <c r="LL57" s="456"/>
      <c r="LM57" s="456"/>
      <c r="LN57" s="456"/>
      <c r="LO57" s="456"/>
      <c r="LP57" s="456"/>
      <c r="LQ57" s="456"/>
      <c r="LR57" s="456"/>
      <c r="LS57" s="456"/>
      <c r="LT57" s="456"/>
      <c r="LU57" s="456"/>
      <c r="LV57" s="456"/>
      <c r="LW57" s="456"/>
      <c r="LX57" s="456"/>
      <c r="LY57" s="456"/>
      <c r="LZ57" s="456"/>
      <c r="MA57" s="456"/>
      <c r="MB57" s="456"/>
      <c r="MC57" s="456"/>
      <c r="MD57" s="456"/>
      <c r="ME57" s="456"/>
      <c r="MF57" s="456"/>
      <c r="MG57" s="456"/>
      <c r="MH57" s="456"/>
      <c r="MI57" s="456"/>
      <c r="MJ57" s="456"/>
      <c r="MK57" s="456"/>
      <c r="ML57" s="456"/>
      <c r="MM57" s="456"/>
      <c r="MN57" s="456"/>
      <c r="MO57" s="456"/>
      <c r="MP57" s="456"/>
      <c r="MQ57" s="456"/>
      <c r="MR57" s="456"/>
      <c r="MS57" s="456"/>
      <c r="MT57" s="456"/>
      <c r="MU57" s="456"/>
      <c r="MV57" s="456"/>
      <c r="MW57" s="456"/>
      <c r="MX57" s="456"/>
      <c r="MY57" s="456"/>
      <c r="MZ57" s="456"/>
      <c r="NA57" s="456"/>
      <c r="NB57" s="456"/>
      <c r="NC57" s="456"/>
      <c r="ND57" s="456"/>
      <c r="NE57" s="456"/>
      <c r="NF57" s="456"/>
      <c r="NG57" s="456"/>
      <c r="NH57" s="456"/>
      <c r="NI57" s="456"/>
      <c r="NJ57" s="456"/>
      <c r="NK57" s="456"/>
      <c r="NL57" s="456"/>
      <c r="NM57" s="456"/>
      <c r="NN57" s="456"/>
      <c r="NO57" s="456"/>
      <c r="NP57" s="456"/>
      <c r="NQ57" s="456"/>
      <c r="NR57" s="456"/>
      <c r="NS57" s="456"/>
      <c r="NT57" s="456"/>
      <c r="NU57" s="456"/>
      <c r="NV57" s="456"/>
      <c r="NW57" s="456"/>
      <c r="NX57" s="456"/>
      <c r="NY57" s="456"/>
      <c r="NZ57" s="456"/>
      <c r="OA57" s="456"/>
      <c r="OB57" s="456"/>
      <c r="OC57" s="456"/>
      <c r="OD57" s="456"/>
      <c r="OE57" s="456"/>
      <c r="OF57" s="456"/>
      <c r="OG57" s="456"/>
      <c r="OH57" s="456"/>
      <c r="OI57" s="456"/>
      <c r="OJ57" s="456"/>
      <c r="OK57" s="456"/>
      <c r="OL57" s="456"/>
      <c r="OM57" s="456"/>
      <c r="ON57" s="456"/>
      <c r="OO57" s="456"/>
      <c r="OP57" s="456"/>
      <c r="OQ57" s="456"/>
      <c r="OR57" s="456"/>
      <c r="OS57" s="456"/>
      <c r="OT57" s="456"/>
      <c r="OU57" s="456"/>
      <c r="OV57" s="456"/>
      <c r="OW57" s="456"/>
      <c r="OX57" s="456"/>
      <c r="OY57" s="456"/>
      <c r="OZ57" s="456"/>
      <c r="PA57" s="456"/>
      <c r="PB57" s="456"/>
      <c r="PC57" s="456"/>
      <c r="PD57" s="456"/>
      <c r="PE57" s="456"/>
      <c r="PF57" s="456"/>
      <c r="PG57" s="456"/>
      <c r="PH57" s="456"/>
      <c r="PI57" s="456"/>
      <c r="PJ57" s="456"/>
      <c r="PK57" s="456"/>
      <c r="PL57" s="456"/>
      <c r="PM57" s="456"/>
      <c r="PN57" s="456"/>
      <c r="PO57" s="456"/>
      <c r="PP57" s="456"/>
      <c r="PQ57" s="456"/>
      <c r="PR57" s="456"/>
      <c r="PS57" s="456"/>
      <c r="PT57" s="456"/>
      <c r="PU57" s="456"/>
      <c r="PV57" s="456"/>
      <c r="PW57" s="456"/>
      <c r="PX57" s="456"/>
      <c r="PY57" s="456"/>
      <c r="PZ57" s="456"/>
      <c r="QA57" s="456"/>
      <c r="QB57" s="456"/>
      <c r="QC57" s="456"/>
      <c r="QD57" s="456"/>
      <c r="QE57" s="456"/>
      <c r="QF57" s="456"/>
      <c r="QG57" s="456"/>
      <c r="QH57" s="456"/>
      <c r="QI57" s="456"/>
      <c r="QJ57" s="456"/>
      <c r="QK57" s="456"/>
      <c r="QL57" s="456"/>
      <c r="QM57" s="456"/>
      <c r="QN57" s="456"/>
      <c r="QO57" s="456"/>
      <c r="QP57" s="456"/>
      <c r="QQ57" s="456"/>
      <c r="QR57" s="456"/>
      <c r="QS57" s="456"/>
      <c r="QT57" s="456"/>
      <c r="QU57" s="456"/>
      <c r="QV57" s="456"/>
      <c r="QW57" s="456"/>
      <c r="QX57" s="456"/>
      <c r="QY57" s="456"/>
      <c r="QZ57" s="456"/>
      <c r="RA57" s="456"/>
      <c r="RB57" s="456"/>
      <c r="RC57" s="456"/>
      <c r="RD57" s="456"/>
      <c r="RE57" s="456"/>
      <c r="RF57" s="456"/>
      <c r="RG57" s="456"/>
      <c r="RH57" s="456"/>
      <c r="RI57" s="456"/>
      <c r="RJ57" s="456"/>
      <c r="RK57" s="456"/>
      <c r="RL57" s="456"/>
      <c r="RM57" s="456"/>
      <c r="RN57" s="456"/>
      <c r="RO57" s="456"/>
      <c r="RP57" s="456"/>
      <c r="RQ57" s="456"/>
      <c r="RR57" s="456"/>
      <c r="RS57" s="456"/>
      <c r="RT57" s="456"/>
      <c r="RU57" s="456"/>
      <c r="RV57" s="456"/>
      <c r="RW57" s="456"/>
      <c r="RX57" s="456"/>
      <c r="RY57" s="456"/>
      <c r="RZ57" s="456"/>
      <c r="SA57" s="456"/>
      <c r="SB57" s="456"/>
      <c r="SC57" s="456"/>
      <c r="SD57" s="456"/>
      <c r="SE57" s="456"/>
      <c r="SF57" s="456"/>
      <c r="SG57" s="456"/>
      <c r="SH57" s="456"/>
      <c r="SI57" s="456"/>
      <c r="SJ57" s="456"/>
      <c r="SK57" s="456"/>
      <c r="SL57" s="456"/>
      <c r="SM57" s="456"/>
      <c r="SN57" s="456"/>
      <c r="SO57" s="456"/>
      <c r="SP57" s="456"/>
      <c r="SQ57" s="456"/>
      <c r="SR57" s="456"/>
      <c r="SS57" s="456"/>
      <c r="ST57" s="456"/>
      <c r="SU57" s="456"/>
      <c r="SV57" s="456"/>
      <c r="SW57" s="456"/>
      <c r="SX57" s="456"/>
      <c r="SY57" s="456"/>
      <c r="SZ57" s="456"/>
      <c r="TA57" s="456"/>
      <c r="TB57" s="456"/>
      <c r="TC57" s="456"/>
      <c r="TD57" s="456"/>
      <c r="TE57" s="456"/>
      <c r="TF57" s="456"/>
      <c r="TG57" s="456"/>
      <c r="TH57" s="456"/>
      <c r="TI57" s="456"/>
      <c r="TJ57" s="456"/>
      <c r="TK57" s="456"/>
      <c r="TL57" s="456"/>
      <c r="TM57" s="456"/>
      <c r="TN57" s="456"/>
      <c r="TO57" s="456"/>
      <c r="TP57" s="456"/>
      <c r="TQ57" s="456"/>
      <c r="TR57" s="456"/>
      <c r="TS57" s="456"/>
      <c r="TT57" s="456"/>
      <c r="TU57" s="456"/>
      <c r="TV57" s="456"/>
      <c r="TW57" s="456"/>
      <c r="TX57" s="456"/>
      <c r="TY57" s="456"/>
      <c r="TZ57" s="456"/>
      <c r="UA57" s="456"/>
      <c r="UB57" s="456"/>
      <c r="UC57" s="456"/>
      <c r="UD57" s="456"/>
      <c r="UE57" s="456"/>
      <c r="UF57" s="456"/>
      <c r="UG57" s="456"/>
      <c r="UH57" s="456"/>
      <c r="UI57" s="456"/>
      <c r="UJ57" s="456"/>
      <c r="UK57" s="456"/>
      <c r="UL57" s="456"/>
      <c r="UM57" s="456"/>
      <c r="UN57" s="456"/>
      <c r="UO57" s="456"/>
      <c r="UP57" s="456"/>
      <c r="UQ57" s="456"/>
      <c r="UR57" s="456"/>
      <c r="US57" s="456"/>
      <c r="UT57" s="456"/>
      <c r="UU57" s="456"/>
      <c r="UV57" s="456"/>
      <c r="UW57" s="456"/>
      <c r="UX57" s="456"/>
      <c r="UY57" s="456"/>
      <c r="UZ57" s="456"/>
      <c r="VA57" s="456"/>
      <c r="VB57" s="456"/>
      <c r="VC57" s="456"/>
      <c r="VD57" s="456"/>
      <c r="VE57" s="456"/>
      <c r="VF57" s="456"/>
      <c r="VG57" s="456"/>
      <c r="VH57" s="456"/>
      <c r="VI57" s="456"/>
      <c r="VJ57" s="456"/>
      <c r="VK57" s="456"/>
      <c r="VL57" s="456"/>
      <c r="VM57" s="456"/>
      <c r="VN57" s="456"/>
      <c r="VO57" s="456"/>
      <c r="VP57" s="456"/>
      <c r="VQ57" s="456"/>
      <c r="VR57" s="456"/>
      <c r="VS57" s="456"/>
      <c r="VT57" s="456"/>
      <c r="VU57" s="456"/>
      <c r="VV57" s="456"/>
      <c r="VW57" s="456"/>
      <c r="VX57" s="456"/>
      <c r="VY57" s="456"/>
      <c r="VZ57" s="456"/>
      <c r="WA57" s="456"/>
      <c r="WB57" s="456"/>
      <c r="WC57" s="456"/>
      <c r="WD57" s="456"/>
      <c r="WE57" s="456"/>
      <c r="WF57" s="456"/>
      <c r="WG57" s="456"/>
      <c r="WH57" s="456"/>
      <c r="WI57" s="456"/>
      <c r="WJ57" s="456"/>
      <c r="WK57" s="456"/>
      <c r="WL57" s="456"/>
      <c r="WM57" s="456"/>
      <c r="WN57" s="456"/>
      <c r="WO57" s="456"/>
      <c r="WP57" s="456"/>
      <c r="WQ57" s="456"/>
      <c r="WR57" s="456"/>
      <c r="WS57" s="456"/>
      <c r="WT57" s="456"/>
      <c r="WU57" s="456"/>
      <c r="WV57" s="456"/>
      <c r="WW57" s="456"/>
      <c r="WX57" s="456"/>
      <c r="WY57" s="456"/>
      <c r="WZ57" s="456"/>
      <c r="XA57" s="456"/>
      <c r="XB57" s="456"/>
      <c r="XC57" s="456"/>
      <c r="XD57" s="456"/>
      <c r="XE57" s="456"/>
      <c r="XF57" s="456"/>
      <c r="XG57" s="456"/>
      <c r="XH57" s="456"/>
      <c r="XI57" s="456"/>
      <c r="XJ57" s="456"/>
      <c r="XK57" s="456"/>
      <c r="XL57" s="456"/>
      <c r="XM57" s="456"/>
      <c r="XN57" s="456"/>
      <c r="XO57" s="456"/>
      <c r="XP57" s="456"/>
      <c r="XQ57" s="456"/>
      <c r="XR57" s="456"/>
      <c r="XS57" s="456"/>
      <c r="XT57" s="456"/>
      <c r="XU57" s="456"/>
      <c r="XV57" s="456"/>
      <c r="XW57" s="456"/>
      <c r="XX57" s="456"/>
      <c r="XY57" s="456"/>
      <c r="XZ57" s="456"/>
      <c r="YA57" s="456"/>
      <c r="YB57" s="456"/>
      <c r="YC57" s="456"/>
      <c r="YD57" s="456"/>
      <c r="YE57" s="456"/>
      <c r="YF57" s="456"/>
      <c r="YG57" s="456"/>
      <c r="YH57" s="456"/>
      <c r="YI57" s="456"/>
      <c r="YJ57" s="456"/>
      <c r="YK57" s="456"/>
      <c r="YL57" s="456"/>
      <c r="YM57" s="456"/>
      <c r="YN57" s="456"/>
      <c r="YO57" s="456"/>
      <c r="YP57" s="456"/>
      <c r="YQ57" s="456"/>
      <c r="YR57" s="456"/>
      <c r="YS57" s="456"/>
      <c r="YT57" s="456"/>
      <c r="YU57" s="456"/>
      <c r="YV57" s="456"/>
      <c r="YW57" s="456"/>
      <c r="YX57" s="456"/>
      <c r="YY57" s="456"/>
      <c r="YZ57" s="456"/>
      <c r="ZA57" s="456"/>
      <c r="ZB57" s="456"/>
      <c r="ZC57" s="456"/>
      <c r="ZD57" s="456"/>
      <c r="ZE57" s="456"/>
      <c r="ZF57" s="456"/>
      <c r="ZG57" s="456"/>
      <c r="ZH57" s="456"/>
      <c r="ZI57" s="456"/>
      <c r="ZJ57" s="456"/>
      <c r="ZK57" s="456"/>
      <c r="ZL57" s="456"/>
      <c r="ZM57" s="456"/>
      <c r="ZN57" s="456"/>
      <c r="ZO57" s="456"/>
      <c r="ZP57" s="456"/>
      <c r="ZQ57" s="456"/>
      <c r="ZR57" s="456"/>
      <c r="ZS57" s="456"/>
      <c r="ZT57" s="456"/>
      <c r="ZU57" s="456"/>
      <c r="ZV57" s="456"/>
      <c r="ZW57" s="456"/>
      <c r="ZX57" s="456"/>
      <c r="ZY57" s="456"/>
      <c r="ZZ57" s="456"/>
      <c r="AAA57" s="456"/>
      <c r="AAB57" s="456"/>
      <c r="AAC57" s="456"/>
      <c r="AAD57" s="456"/>
      <c r="AAE57" s="456"/>
      <c r="AAF57" s="456"/>
      <c r="AAG57" s="456"/>
      <c r="AAH57" s="456"/>
      <c r="AAI57" s="456"/>
      <c r="AAJ57" s="456"/>
      <c r="AAK57" s="456"/>
      <c r="AAL57" s="456"/>
      <c r="AAM57" s="456"/>
      <c r="AAN57" s="456"/>
      <c r="AAO57" s="456"/>
      <c r="AAP57" s="456"/>
      <c r="AAQ57" s="456"/>
      <c r="AAR57" s="456"/>
      <c r="AAS57" s="456"/>
      <c r="AAT57" s="456"/>
      <c r="AAU57" s="456"/>
      <c r="AAV57" s="456"/>
      <c r="AAW57" s="456"/>
      <c r="AAX57" s="456"/>
      <c r="AAY57" s="456"/>
      <c r="AAZ57" s="456"/>
      <c r="ABA57" s="456"/>
      <c r="ABB57" s="456"/>
      <c r="ABC57" s="456"/>
      <c r="ABD57" s="456"/>
      <c r="ABE57" s="456"/>
      <c r="ABF57" s="456"/>
      <c r="ABG57" s="456"/>
      <c r="ABH57" s="456"/>
      <c r="ABI57" s="456"/>
      <c r="ABJ57" s="456"/>
      <c r="ABK57" s="456"/>
      <c r="ABL57" s="456"/>
      <c r="ABM57" s="456"/>
      <c r="ABN57" s="456"/>
      <c r="ABO57" s="456"/>
      <c r="ABP57" s="456"/>
      <c r="ABQ57" s="456"/>
      <c r="ABR57" s="456"/>
      <c r="ABS57" s="456"/>
      <c r="ABT57" s="456"/>
      <c r="ABU57" s="456"/>
      <c r="ABV57" s="456"/>
      <c r="ABW57" s="456"/>
      <c r="ABX57" s="456"/>
      <c r="ABY57" s="456"/>
      <c r="ABZ57" s="456"/>
      <c r="ACA57" s="456"/>
      <c r="ACB57" s="456"/>
      <c r="ACC57" s="456"/>
      <c r="ACD57" s="456"/>
      <c r="ACE57" s="456"/>
      <c r="ACF57" s="456"/>
      <c r="ACG57" s="456"/>
      <c r="ACH57" s="456"/>
      <c r="ACI57" s="456"/>
      <c r="ACJ57" s="456"/>
      <c r="ACK57" s="456"/>
      <c r="ACL57" s="456"/>
      <c r="ACM57" s="456"/>
      <c r="ACN57" s="456"/>
      <c r="ACO57" s="456"/>
      <c r="ACP57" s="456"/>
      <c r="ACQ57" s="456"/>
      <c r="ACR57" s="456"/>
      <c r="ACS57" s="456"/>
      <c r="ACT57" s="456"/>
      <c r="ACU57" s="456"/>
      <c r="ACV57" s="456"/>
      <c r="ACW57" s="456"/>
      <c r="ACX57" s="456"/>
      <c r="ACY57" s="456"/>
      <c r="ACZ57" s="456"/>
      <c r="ADA57" s="456"/>
      <c r="ADB57" s="456"/>
      <c r="ADC57" s="456"/>
      <c r="ADD57" s="456"/>
      <c r="ADE57" s="456"/>
      <c r="ADF57" s="456"/>
      <c r="ADG57" s="456"/>
      <c r="ADH57" s="456"/>
      <c r="ADI57" s="456"/>
      <c r="ADJ57" s="456"/>
      <c r="ADK57" s="456"/>
      <c r="ADL57" s="456"/>
      <c r="ADM57" s="456"/>
      <c r="ADN57" s="456"/>
      <c r="ADO57" s="456"/>
      <c r="ADP57" s="456"/>
      <c r="ADQ57" s="456"/>
      <c r="ADR57" s="456"/>
      <c r="ADS57" s="456"/>
      <c r="ADT57" s="456"/>
      <c r="ADU57" s="456"/>
      <c r="ADV57" s="456"/>
      <c r="ADW57" s="456"/>
      <c r="ADX57" s="456"/>
      <c r="ADY57" s="456"/>
      <c r="ADZ57" s="456"/>
      <c r="AEA57" s="456"/>
      <c r="AEB57" s="456"/>
      <c r="AEC57" s="456"/>
      <c r="AED57" s="456"/>
      <c r="AEE57" s="456"/>
      <c r="AEF57" s="456"/>
      <c r="AEG57" s="456"/>
      <c r="AEH57" s="456"/>
      <c r="AEI57" s="456"/>
      <c r="AEJ57" s="456"/>
      <c r="AEK57" s="456"/>
      <c r="AEL57" s="456"/>
      <c r="AEM57" s="456"/>
      <c r="AEN57" s="456"/>
      <c r="AEO57" s="456"/>
      <c r="AEP57" s="456"/>
      <c r="AEQ57" s="456"/>
      <c r="AER57" s="456"/>
      <c r="AES57" s="456"/>
      <c r="AET57" s="456"/>
      <c r="AEU57" s="456"/>
      <c r="AEV57" s="456"/>
      <c r="AEW57" s="456"/>
      <c r="AEX57" s="456"/>
      <c r="AEY57" s="456"/>
      <c r="AEZ57" s="456"/>
      <c r="AFA57" s="456"/>
      <c r="AFB57" s="456"/>
      <c r="AFC57" s="456"/>
      <c r="AFD57" s="456"/>
      <c r="AFE57" s="456"/>
      <c r="AFF57" s="456"/>
      <c r="AFG57" s="456"/>
      <c r="AFH57" s="456"/>
      <c r="AFI57" s="456"/>
      <c r="AFJ57" s="456"/>
      <c r="AFK57" s="456"/>
      <c r="AFL57" s="456"/>
      <c r="AFM57" s="456"/>
      <c r="AFN57" s="456"/>
      <c r="AFO57" s="456"/>
      <c r="AFP57" s="456"/>
      <c r="AFQ57" s="456"/>
      <c r="AFR57" s="456"/>
      <c r="AFS57" s="456"/>
      <c r="AFT57" s="456"/>
      <c r="AFU57" s="456"/>
      <c r="AFV57" s="456"/>
      <c r="AFW57" s="456"/>
      <c r="AFX57" s="456"/>
      <c r="AFY57" s="456"/>
      <c r="AFZ57" s="456"/>
      <c r="AGA57" s="456"/>
      <c r="AGB57" s="456"/>
      <c r="AGC57" s="456"/>
      <c r="AGD57" s="456"/>
      <c r="AGE57" s="456"/>
      <c r="AGF57" s="456"/>
      <c r="AGG57" s="456"/>
      <c r="AGH57" s="456"/>
      <c r="AGI57" s="456"/>
      <c r="AGJ57" s="456"/>
      <c r="AGK57" s="456"/>
      <c r="AGL57" s="456"/>
      <c r="AGM57" s="456"/>
      <c r="AGN57" s="456"/>
      <c r="AGO57" s="456"/>
      <c r="AGP57" s="456"/>
      <c r="AGQ57" s="456"/>
      <c r="AGR57" s="456"/>
      <c r="AGS57" s="456"/>
      <c r="AGT57" s="456"/>
      <c r="AGU57" s="456"/>
      <c r="AGV57" s="456"/>
      <c r="AGW57" s="456"/>
      <c r="AGX57" s="456"/>
      <c r="AGY57" s="456"/>
      <c r="AGZ57" s="456"/>
      <c r="AHA57" s="456"/>
      <c r="AHB57" s="456"/>
      <c r="AHC57" s="456"/>
      <c r="AHD57" s="456"/>
      <c r="AHE57" s="456"/>
      <c r="AHF57" s="456"/>
      <c r="AHG57" s="456"/>
      <c r="AHH57" s="456"/>
      <c r="AHI57" s="456"/>
      <c r="AHJ57" s="456"/>
      <c r="AHK57" s="456"/>
      <c r="AHL57" s="456"/>
      <c r="AHM57" s="456"/>
      <c r="AHN57" s="456"/>
      <c r="AHO57" s="456"/>
      <c r="AHP57" s="456"/>
      <c r="AHQ57" s="456"/>
      <c r="AHR57" s="456"/>
      <c r="AHS57" s="456"/>
      <c r="AHT57" s="456"/>
      <c r="AHU57" s="456"/>
      <c r="AHV57" s="456"/>
      <c r="AHW57" s="456"/>
      <c r="AHX57" s="456"/>
      <c r="AHY57" s="456"/>
      <c r="AHZ57" s="456"/>
      <c r="AIA57" s="456"/>
      <c r="AIB57" s="456"/>
      <c r="AIC57" s="456"/>
      <c r="AID57" s="456"/>
      <c r="AIE57" s="456"/>
      <c r="AIF57" s="456"/>
      <c r="AIG57" s="456"/>
      <c r="AIH57" s="456"/>
      <c r="AII57" s="456"/>
      <c r="AIJ57" s="456"/>
      <c r="AIK57" s="456"/>
      <c r="AIL57" s="456"/>
      <c r="AIM57" s="456"/>
      <c r="AIN57" s="456"/>
      <c r="AIO57" s="456"/>
      <c r="AIP57" s="456"/>
      <c r="AIQ57" s="456"/>
      <c r="AIR57" s="456"/>
      <c r="AIS57" s="456"/>
      <c r="AIT57" s="456"/>
      <c r="AIU57" s="456"/>
      <c r="AIV57" s="456"/>
      <c r="AIW57" s="456"/>
      <c r="AIX57" s="456"/>
      <c r="AIY57" s="456"/>
      <c r="AIZ57" s="456"/>
      <c r="AJA57" s="456"/>
      <c r="AJB57" s="456"/>
      <c r="AJC57" s="456"/>
      <c r="AJD57" s="456"/>
      <c r="AJE57" s="456"/>
      <c r="AJF57" s="456"/>
      <c r="AJG57" s="456"/>
      <c r="AJH57" s="456"/>
      <c r="AJI57" s="456"/>
      <c r="AJJ57" s="456"/>
      <c r="AJK57" s="456"/>
      <c r="AJL57" s="456"/>
      <c r="AJM57" s="456"/>
      <c r="AJN57" s="456"/>
      <c r="AJO57" s="456"/>
      <c r="AJP57" s="456"/>
      <c r="AJQ57" s="456"/>
      <c r="AJR57" s="456"/>
      <c r="AJS57" s="456"/>
      <c r="AJT57" s="456"/>
      <c r="AJU57" s="456"/>
      <c r="AJV57" s="456"/>
      <c r="AJW57" s="456"/>
      <c r="AJX57" s="456"/>
      <c r="AJY57" s="456"/>
      <c r="AJZ57" s="456"/>
      <c r="AKA57" s="456"/>
      <c r="AKB57" s="456"/>
      <c r="AKC57" s="456"/>
      <c r="AKD57" s="456"/>
      <c r="AKE57" s="456"/>
      <c r="AKF57" s="456"/>
      <c r="AKG57" s="456"/>
      <c r="AKH57" s="456"/>
      <c r="AKI57" s="456"/>
      <c r="AKJ57" s="456"/>
      <c r="AKK57" s="456"/>
      <c r="AKL57" s="456"/>
      <c r="AKM57" s="456"/>
      <c r="AKN57" s="456"/>
      <c r="AKO57" s="456"/>
      <c r="AKP57" s="456"/>
      <c r="AKQ57" s="456"/>
      <c r="AKR57" s="456"/>
      <c r="AKS57" s="456"/>
      <c r="AKT57" s="456"/>
      <c r="AKU57" s="456"/>
      <c r="AKV57" s="456"/>
      <c r="AKW57" s="456"/>
      <c r="AKX57" s="456"/>
      <c r="AKY57" s="456"/>
      <c r="AKZ57" s="456"/>
      <c r="ALA57" s="456"/>
      <c r="ALB57" s="456"/>
      <c r="ALC57" s="456"/>
      <c r="ALD57" s="456"/>
      <c r="ALE57" s="456"/>
      <c r="ALF57" s="456"/>
      <c r="ALG57" s="456"/>
      <c r="ALH57" s="456"/>
      <c r="ALI57" s="456"/>
      <c r="ALJ57" s="456"/>
      <c r="ALK57" s="456"/>
      <c r="ALL57" s="456"/>
      <c r="ALM57" s="456"/>
      <c r="ALN57" s="456"/>
      <c r="ALO57" s="456"/>
      <c r="ALP57" s="456"/>
      <c r="ALQ57" s="456"/>
      <c r="ALR57" s="456"/>
      <c r="ALS57" s="456"/>
      <c r="ALT57" s="456"/>
      <c r="ALU57" s="456"/>
      <c r="ALV57" s="456"/>
      <c r="ALW57" s="456"/>
      <c r="ALX57" s="456"/>
      <c r="ALY57" s="456"/>
      <c r="ALZ57" s="456"/>
      <c r="AMA57" s="456"/>
      <c r="AMB57" s="456"/>
      <c r="AMC57" s="456"/>
      <c r="AMD57" s="456"/>
      <c r="AME57" s="456"/>
      <c r="AMF57" s="456"/>
      <c r="AMG57" s="456"/>
      <c r="AMH57" s="456"/>
      <c r="AMI57" s="456"/>
      <c r="AMJ57" s="456"/>
      <c r="AMK57" s="456"/>
      <c r="AML57" s="456"/>
      <c r="AMM57" s="456"/>
      <c r="AMN57" s="456"/>
      <c r="AMO57" s="456"/>
      <c r="AMP57" s="456"/>
      <c r="AMQ57" s="456"/>
      <c r="AMR57" s="456"/>
      <c r="AMS57" s="456"/>
      <c r="AMT57" s="456"/>
      <c r="AMU57" s="456"/>
      <c r="AMV57" s="456"/>
      <c r="AMW57" s="456"/>
      <c r="AMX57" s="456"/>
      <c r="AMY57" s="456"/>
      <c r="AMZ57" s="456"/>
      <c r="ANA57" s="456"/>
      <c r="ANB57" s="456"/>
      <c r="ANC57" s="456"/>
      <c r="AND57" s="456"/>
      <c r="ANE57" s="456"/>
      <c r="ANF57" s="456"/>
      <c r="ANG57" s="456"/>
      <c r="ANH57" s="456"/>
      <c r="ANI57" s="456"/>
      <c r="ANJ57" s="456"/>
      <c r="ANK57" s="456"/>
      <c r="ANL57" s="456"/>
      <c r="ANM57" s="456"/>
      <c r="ANN57" s="456"/>
      <c r="ANO57" s="456"/>
      <c r="ANP57" s="456"/>
      <c r="ANQ57" s="456"/>
      <c r="ANR57" s="456"/>
      <c r="ANS57" s="456"/>
      <c r="ANT57" s="456"/>
      <c r="ANU57" s="456"/>
      <c r="ANV57" s="456"/>
      <c r="ANW57" s="456"/>
      <c r="ANX57" s="456"/>
      <c r="ANY57" s="456"/>
      <c r="ANZ57" s="456"/>
      <c r="AOA57" s="456"/>
      <c r="AOB57" s="456"/>
      <c r="AOC57" s="456"/>
      <c r="AOD57" s="456"/>
      <c r="AOE57" s="456"/>
      <c r="AOF57" s="456"/>
      <c r="AOG57" s="456"/>
      <c r="AOH57" s="456"/>
      <c r="AOI57" s="456"/>
      <c r="AOJ57" s="456"/>
      <c r="AOK57" s="456"/>
      <c r="AOL57" s="456"/>
      <c r="AOM57" s="456"/>
      <c r="AON57" s="456"/>
      <c r="AOO57" s="456"/>
      <c r="AOP57" s="456"/>
      <c r="AOQ57" s="456"/>
      <c r="AOR57" s="456"/>
      <c r="AOS57" s="456"/>
      <c r="AOT57" s="456"/>
      <c r="AOU57" s="456"/>
      <c r="AOV57" s="456"/>
      <c r="AOW57" s="456"/>
      <c r="AOX57" s="456"/>
      <c r="AOY57" s="456"/>
      <c r="AOZ57" s="456"/>
      <c r="APA57" s="456"/>
      <c r="APB57" s="456"/>
      <c r="APC57" s="456"/>
      <c r="APD57" s="456"/>
      <c r="APE57" s="456"/>
      <c r="APF57" s="456"/>
      <c r="APG57" s="456"/>
      <c r="APH57" s="456"/>
      <c r="API57" s="456"/>
      <c r="APJ57" s="456"/>
      <c r="APK57" s="456"/>
      <c r="APL57" s="456"/>
      <c r="APM57" s="456"/>
      <c r="APN57" s="456"/>
      <c r="APO57" s="456"/>
      <c r="APP57" s="456"/>
      <c r="APQ57" s="456"/>
      <c r="APR57" s="456"/>
      <c r="APS57" s="456"/>
      <c r="APT57" s="456"/>
      <c r="APU57" s="456"/>
      <c r="APV57" s="456"/>
      <c r="APW57" s="456"/>
      <c r="APX57" s="456"/>
      <c r="APY57" s="456"/>
      <c r="APZ57" s="456"/>
      <c r="AQA57" s="456"/>
      <c r="AQB57" s="456"/>
      <c r="AQC57" s="456"/>
      <c r="AQD57" s="456"/>
      <c r="AQE57" s="456"/>
      <c r="AQF57" s="456"/>
      <c r="AQG57" s="456"/>
      <c r="AQH57" s="456"/>
      <c r="AQI57" s="456"/>
      <c r="AQJ57" s="456"/>
      <c r="AQK57" s="456"/>
      <c r="AQL57" s="456"/>
      <c r="AQM57" s="456"/>
      <c r="AQN57" s="456"/>
      <c r="AQO57" s="456"/>
      <c r="AQP57" s="456"/>
      <c r="AQQ57" s="456"/>
      <c r="AQR57" s="456"/>
      <c r="AQS57" s="456"/>
      <c r="AQT57" s="456"/>
      <c r="AQU57" s="456"/>
      <c r="AQV57" s="456"/>
      <c r="AQW57" s="456"/>
      <c r="AQX57" s="456"/>
      <c r="AQY57" s="456"/>
      <c r="AQZ57" s="456"/>
      <c r="ARA57" s="456"/>
      <c r="ARB57" s="456"/>
      <c r="ARC57" s="456"/>
      <c r="ARD57" s="456"/>
      <c r="ARE57" s="456"/>
      <c r="ARF57" s="456"/>
      <c r="ARG57" s="456"/>
      <c r="ARH57" s="456"/>
      <c r="ARI57" s="456"/>
      <c r="ARJ57" s="456"/>
      <c r="ARK57" s="456"/>
      <c r="ARL57" s="456"/>
      <c r="ARM57" s="456"/>
      <c r="ARN57" s="456"/>
      <c r="ARO57" s="456"/>
      <c r="ARP57" s="456"/>
      <c r="ARQ57" s="456"/>
      <c r="ARR57" s="456"/>
      <c r="ARS57" s="456"/>
      <c r="ART57" s="456"/>
      <c r="ARU57" s="456"/>
      <c r="ARV57" s="456"/>
      <c r="ARW57" s="456"/>
      <c r="ARX57" s="456"/>
      <c r="ARY57" s="456"/>
      <c r="ARZ57" s="456"/>
      <c r="ASA57" s="456"/>
      <c r="ASB57" s="456"/>
      <c r="ASC57" s="456"/>
      <c r="ASD57" s="456"/>
      <c r="ASE57" s="456"/>
      <c r="ASF57" s="456"/>
      <c r="ASG57" s="456"/>
      <c r="ASH57" s="456"/>
      <c r="ASI57" s="456"/>
      <c r="ASJ57" s="456"/>
      <c r="ASK57" s="456"/>
      <c r="ASL57" s="456"/>
      <c r="ASM57" s="456"/>
      <c r="ASN57" s="456"/>
      <c r="ASO57" s="456"/>
      <c r="ASP57" s="456"/>
      <c r="ASQ57" s="456"/>
      <c r="ASR57" s="456"/>
      <c r="ASS57" s="456"/>
      <c r="AST57" s="456"/>
      <c r="ASU57" s="456"/>
      <c r="ASV57" s="456"/>
      <c r="ASW57" s="456"/>
      <c r="ASX57" s="456"/>
      <c r="ASY57" s="456"/>
      <c r="ASZ57" s="456"/>
      <c r="ATA57" s="456"/>
      <c r="ATB57" s="456"/>
      <c r="ATC57" s="456"/>
      <c r="ATD57" s="456"/>
      <c r="ATE57" s="456"/>
      <c r="ATF57" s="456"/>
      <c r="ATG57" s="456"/>
      <c r="ATH57" s="456"/>
      <c r="ATI57" s="456"/>
      <c r="ATJ57" s="456"/>
      <c r="ATK57" s="456"/>
      <c r="ATL57" s="456"/>
      <c r="ATM57" s="456"/>
      <c r="ATN57" s="456"/>
      <c r="ATO57" s="456"/>
      <c r="ATP57" s="456"/>
      <c r="ATQ57" s="456"/>
      <c r="ATR57" s="456"/>
      <c r="ATS57" s="456"/>
      <c r="ATT57" s="456"/>
      <c r="ATU57" s="456"/>
      <c r="ATV57" s="456"/>
      <c r="ATW57" s="456"/>
      <c r="ATX57" s="456"/>
      <c r="ATY57" s="456"/>
      <c r="ATZ57" s="456"/>
      <c r="AUA57" s="456"/>
      <c r="AUB57" s="456"/>
      <c r="AUC57" s="456"/>
      <c r="AUD57" s="456"/>
      <c r="AUE57" s="456"/>
      <c r="AUF57" s="456"/>
      <c r="AUG57" s="456"/>
      <c r="AUH57" s="456"/>
      <c r="AUI57" s="456"/>
      <c r="AUJ57" s="456"/>
      <c r="AUK57" s="456"/>
      <c r="AUL57" s="456"/>
      <c r="AUM57" s="456"/>
      <c r="AUN57" s="456"/>
      <c r="AUO57" s="456"/>
      <c r="AUP57" s="456"/>
      <c r="AUQ57" s="456"/>
      <c r="AUR57" s="456"/>
      <c r="AUS57" s="456"/>
      <c r="AUT57" s="456"/>
      <c r="AUU57" s="456"/>
      <c r="AUV57" s="456"/>
      <c r="AUW57" s="456"/>
      <c r="AUX57" s="456"/>
      <c r="AUY57" s="456"/>
      <c r="AUZ57" s="456"/>
      <c r="AVA57" s="456"/>
      <c r="AVB57" s="456"/>
      <c r="AVC57" s="456"/>
      <c r="AVD57" s="456"/>
      <c r="AVE57" s="456"/>
      <c r="AVF57" s="456"/>
      <c r="AVG57" s="456"/>
      <c r="AVH57" s="456"/>
      <c r="AVI57" s="456"/>
      <c r="AVJ57" s="456"/>
      <c r="AVK57" s="456"/>
      <c r="AVL57" s="456"/>
      <c r="AVM57" s="456"/>
      <c r="AVN57" s="456"/>
      <c r="AVO57" s="456"/>
      <c r="AVP57" s="456"/>
      <c r="AVQ57" s="456"/>
      <c r="AVR57" s="456"/>
      <c r="AVS57" s="456"/>
      <c r="AVT57" s="456"/>
      <c r="AVU57" s="456"/>
      <c r="AVV57" s="456"/>
      <c r="AVW57" s="456"/>
      <c r="AVX57" s="456"/>
      <c r="AVY57" s="456"/>
      <c r="AVZ57" s="456"/>
      <c r="AWA57" s="456"/>
      <c r="AWB57" s="456"/>
      <c r="AWC57" s="456"/>
      <c r="AWD57" s="456"/>
      <c r="AWE57" s="456"/>
      <c r="AWF57" s="456"/>
      <c r="AWG57" s="456"/>
      <c r="AWH57" s="456"/>
      <c r="AWI57" s="456"/>
      <c r="AWJ57" s="456"/>
      <c r="AWK57" s="456"/>
      <c r="AWL57" s="456"/>
      <c r="AWM57" s="456"/>
      <c r="AWN57" s="456"/>
      <c r="AWO57" s="456"/>
      <c r="AWP57" s="456"/>
      <c r="AWQ57" s="456"/>
      <c r="AWR57" s="456"/>
      <c r="AWS57" s="456"/>
      <c r="AWT57" s="456"/>
      <c r="AWU57" s="456"/>
      <c r="AWV57" s="456"/>
      <c r="AWW57" s="456"/>
      <c r="AWX57" s="456"/>
      <c r="AWY57" s="456"/>
      <c r="AWZ57" s="456"/>
      <c r="AXA57" s="456"/>
      <c r="AXB57" s="456"/>
      <c r="AXC57" s="456"/>
      <c r="AXD57" s="456"/>
      <c r="AXE57" s="456"/>
      <c r="AXF57" s="456"/>
      <c r="AXG57" s="456"/>
      <c r="AXH57" s="456"/>
      <c r="AXI57" s="456"/>
      <c r="AXJ57" s="456"/>
      <c r="AXK57" s="456"/>
      <c r="AXL57" s="456"/>
      <c r="AXM57" s="456"/>
      <c r="AXN57" s="456"/>
      <c r="AXO57" s="456"/>
      <c r="AXP57" s="456"/>
      <c r="AXQ57" s="456"/>
      <c r="AXR57" s="456"/>
      <c r="AXS57" s="456"/>
      <c r="AXT57" s="456"/>
      <c r="AXU57" s="456"/>
      <c r="AXV57" s="456"/>
      <c r="AXW57" s="456"/>
      <c r="AXX57" s="456"/>
      <c r="AXY57" s="456"/>
      <c r="AXZ57" s="456"/>
      <c r="AYA57" s="456"/>
      <c r="AYB57" s="456"/>
      <c r="AYC57" s="456"/>
      <c r="AYD57" s="456"/>
      <c r="AYE57" s="456"/>
      <c r="AYF57" s="456"/>
      <c r="AYG57" s="456"/>
      <c r="AYH57" s="456"/>
      <c r="AYI57" s="456"/>
      <c r="AYJ57" s="456"/>
      <c r="AYK57" s="456"/>
      <c r="AYL57" s="456"/>
      <c r="AYM57" s="456"/>
      <c r="AYN57" s="456"/>
      <c r="AYO57" s="456"/>
      <c r="AYP57" s="456"/>
      <c r="AYQ57" s="456"/>
      <c r="AYR57" s="456"/>
      <c r="AYS57" s="456"/>
      <c r="AYT57" s="456"/>
      <c r="AYU57" s="456"/>
      <c r="AYV57" s="456"/>
      <c r="AYW57" s="456"/>
      <c r="AYX57" s="456"/>
      <c r="AYY57" s="456"/>
      <c r="AYZ57" s="456"/>
      <c r="AZA57" s="456"/>
      <c r="AZB57" s="456"/>
      <c r="AZC57" s="456"/>
      <c r="AZD57" s="456"/>
      <c r="AZE57" s="456"/>
      <c r="AZF57" s="456"/>
      <c r="AZG57" s="456"/>
      <c r="AZH57" s="456"/>
      <c r="AZI57" s="456"/>
      <c r="AZJ57" s="456"/>
      <c r="AZK57" s="456"/>
      <c r="AZL57" s="456"/>
      <c r="AZM57" s="456"/>
      <c r="AZN57" s="456"/>
      <c r="AZO57" s="456"/>
      <c r="AZP57" s="456"/>
      <c r="AZQ57" s="456"/>
      <c r="AZR57" s="456"/>
      <c r="AZS57" s="456"/>
      <c r="AZT57" s="456"/>
      <c r="AZU57" s="456"/>
      <c r="AZV57" s="456"/>
      <c r="AZW57" s="456"/>
      <c r="AZX57" s="456"/>
      <c r="AZY57" s="456"/>
      <c r="AZZ57" s="456"/>
      <c r="BAA57" s="456"/>
      <c r="BAB57" s="456"/>
      <c r="BAC57" s="456"/>
      <c r="BAD57" s="456"/>
      <c r="BAE57" s="456"/>
      <c r="BAF57" s="456"/>
      <c r="BAG57" s="456"/>
      <c r="BAH57" s="456"/>
      <c r="BAI57" s="456"/>
      <c r="BAJ57" s="456"/>
      <c r="BAK57" s="456"/>
      <c r="BAL57" s="456"/>
      <c r="BAM57" s="456"/>
      <c r="BAN57" s="456"/>
      <c r="BAO57" s="456"/>
      <c r="BAP57" s="456"/>
      <c r="BAQ57" s="456"/>
      <c r="BAR57" s="456"/>
      <c r="BAS57" s="456"/>
      <c r="BAT57" s="456"/>
      <c r="BAU57" s="456"/>
      <c r="BAV57" s="456"/>
      <c r="BAW57" s="456"/>
      <c r="BAX57" s="456"/>
      <c r="BAY57" s="456"/>
      <c r="BAZ57" s="456"/>
      <c r="BBA57" s="456"/>
      <c r="BBB57" s="456"/>
      <c r="BBC57" s="456"/>
      <c r="BBD57" s="456"/>
      <c r="BBE57" s="456"/>
      <c r="BBF57" s="456"/>
      <c r="BBG57" s="456"/>
      <c r="BBH57" s="456"/>
      <c r="BBI57" s="456"/>
      <c r="BBJ57" s="456"/>
      <c r="BBK57" s="456"/>
      <c r="BBL57" s="456"/>
      <c r="BBM57" s="456"/>
      <c r="BBN57" s="456"/>
      <c r="BBO57" s="456"/>
      <c r="BBP57" s="456"/>
      <c r="BBQ57" s="456"/>
      <c r="BBR57" s="456"/>
      <c r="BBS57" s="456"/>
      <c r="BBT57" s="456"/>
      <c r="BBU57" s="456"/>
      <c r="BBV57" s="456"/>
      <c r="BBW57" s="456"/>
      <c r="BBX57" s="456"/>
      <c r="BBY57" s="456"/>
      <c r="BBZ57" s="456"/>
      <c r="BCA57" s="456"/>
      <c r="BCB57" s="456"/>
      <c r="BCC57" s="456"/>
      <c r="BCD57" s="456"/>
      <c r="BCE57" s="456"/>
      <c r="BCF57" s="456"/>
      <c r="BCG57" s="456"/>
      <c r="BCH57" s="456"/>
      <c r="BCI57" s="456"/>
      <c r="BCJ57" s="456"/>
      <c r="BCK57" s="456"/>
      <c r="BCL57" s="456"/>
      <c r="BCM57" s="456"/>
      <c r="BCN57" s="456"/>
      <c r="BCO57" s="456"/>
      <c r="BCP57" s="456"/>
      <c r="BCQ57" s="456"/>
      <c r="BCR57" s="456"/>
      <c r="BCS57" s="456"/>
      <c r="BCT57" s="456"/>
      <c r="BCU57" s="456"/>
      <c r="BCV57" s="456"/>
      <c r="BCW57" s="456"/>
      <c r="BCX57" s="456"/>
      <c r="BCY57" s="456"/>
      <c r="BCZ57" s="456"/>
      <c r="BDA57" s="456"/>
      <c r="BDB57" s="456"/>
      <c r="BDC57" s="456"/>
      <c r="BDD57" s="456"/>
      <c r="BDE57" s="456"/>
      <c r="BDF57" s="456"/>
      <c r="BDG57" s="456"/>
      <c r="BDH57" s="456"/>
      <c r="BDI57" s="456"/>
      <c r="BDJ57" s="456"/>
      <c r="BDK57" s="456"/>
      <c r="BDL57" s="456"/>
      <c r="BDM57" s="456"/>
      <c r="BDN57" s="456"/>
      <c r="BDO57" s="456"/>
      <c r="BDP57" s="456"/>
      <c r="BDQ57" s="456"/>
      <c r="BDR57" s="456"/>
      <c r="BDS57" s="456"/>
      <c r="BDT57" s="456"/>
      <c r="BDU57" s="456"/>
      <c r="BDV57" s="456"/>
      <c r="BDW57" s="456"/>
      <c r="BDX57" s="456"/>
      <c r="BDY57" s="456"/>
      <c r="BDZ57" s="456"/>
      <c r="BEA57" s="456"/>
      <c r="BEB57" s="456"/>
      <c r="BEC57" s="456"/>
      <c r="BED57" s="456"/>
      <c r="BEE57" s="456"/>
      <c r="BEF57" s="456"/>
      <c r="BEG57" s="456"/>
      <c r="BEH57" s="456"/>
      <c r="BEI57" s="456"/>
      <c r="BEJ57" s="456"/>
      <c r="BEK57" s="456"/>
      <c r="BEL57" s="456"/>
      <c r="BEM57" s="456"/>
      <c r="BEN57" s="456"/>
      <c r="BEO57" s="456"/>
      <c r="BEP57" s="456"/>
      <c r="BEQ57" s="456"/>
      <c r="BER57" s="456"/>
      <c r="BES57" s="456"/>
      <c r="BET57" s="456"/>
      <c r="BEU57" s="456"/>
      <c r="BEV57" s="456"/>
      <c r="BEW57" s="456"/>
      <c r="BEX57" s="456"/>
      <c r="BEY57" s="456"/>
      <c r="BEZ57" s="456"/>
      <c r="BFA57" s="456"/>
      <c r="BFB57" s="456"/>
      <c r="BFC57" s="456"/>
      <c r="BFD57" s="456"/>
      <c r="BFE57" s="456"/>
      <c r="BFF57" s="456"/>
      <c r="BFG57" s="456"/>
      <c r="BFH57" s="456"/>
      <c r="BFI57" s="456"/>
      <c r="BFJ57" s="456"/>
      <c r="BFK57" s="456"/>
      <c r="BFL57" s="456"/>
      <c r="BFM57" s="456"/>
      <c r="BFN57" s="456"/>
      <c r="BFO57" s="456"/>
      <c r="BFP57" s="456"/>
      <c r="BFQ57" s="456"/>
      <c r="BFR57" s="456"/>
      <c r="BFS57" s="456"/>
      <c r="BFT57" s="456"/>
      <c r="BFU57" s="456"/>
      <c r="BFV57" s="456"/>
      <c r="BFW57" s="456"/>
      <c r="BFX57" s="456"/>
      <c r="BFY57" s="456"/>
      <c r="BFZ57" s="456"/>
      <c r="BGA57" s="456"/>
      <c r="BGB57" s="456"/>
      <c r="BGC57" s="456"/>
      <c r="BGD57" s="456"/>
      <c r="BGE57" s="456"/>
      <c r="BGF57" s="456"/>
      <c r="BGG57" s="456"/>
      <c r="BGH57" s="456"/>
      <c r="BGI57" s="456"/>
      <c r="BGJ57" s="456"/>
      <c r="BGK57" s="456"/>
      <c r="BGL57" s="456"/>
      <c r="BGM57" s="456"/>
      <c r="BGN57" s="456"/>
      <c r="BGO57" s="456"/>
      <c r="BGP57" s="456"/>
      <c r="BGQ57" s="456"/>
      <c r="BGR57" s="456"/>
      <c r="BGS57" s="456"/>
      <c r="BGT57" s="456"/>
      <c r="BGU57" s="456"/>
      <c r="BGV57" s="456"/>
      <c r="BGW57" s="456"/>
      <c r="BGX57" s="456"/>
      <c r="BGY57" s="456"/>
      <c r="BGZ57" s="456"/>
      <c r="BHA57" s="456"/>
      <c r="BHB57" s="456"/>
      <c r="BHC57" s="456"/>
      <c r="BHD57" s="456"/>
      <c r="BHE57" s="456"/>
      <c r="BHF57" s="456"/>
      <c r="BHG57" s="456"/>
      <c r="BHH57" s="456"/>
      <c r="BHI57" s="456"/>
      <c r="BHJ57" s="456"/>
      <c r="BHK57" s="456"/>
      <c r="BHL57" s="456"/>
      <c r="BHM57" s="456"/>
      <c r="BHN57" s="456"/>
      <c r="BHO57" s="456"/>
      <c r="BHP57" s="456"/>
      <c r="BHQ57" s="456"/>
      <c r="BHR57" s="456"/>
      <c r="BHS57" s="456"/>
      <c r="BHT57" s="456"/>
      <c r="BHU57" s="456"/>
      <c r="BHV57" s="456"/>
      <c r="BHW57" s="456"/>
      <c r="BHX57" s="456"/>
      <c r="BHY57" s="456"/>
      <c r="BHZ57" s="456"/>
      <c r="BIA57" s="456"/>
      <c r="BIB57" s="456"/>
      <c r="BIC57" s="456"/>
      <c r="BID57" s="456"/>
      <c r="BIE57" s="456"/>
      <c r="BIF57" s="456"/>
      <c r="BIG57" s="456"/>
      <c r="BIH57" s="456"/>
      <c r="BII57" s="456"/>
      <c r="BIJ57" s="456"/>
      <c r="BIK57" s="456"/>
      <c r="BIL57" s="456"/>
      <c r="BIM57" s="456"/>
      <c r="BIN57" s="456"/>
      <c r="BIO57" s="456"/>
      <c r="BIP57" s="456"/>
      <c r="BIQ57" s="456"/>
      <c r="BIR57" s="456"/>
      <c r="BIS57" s="456"/>
      <c r="BIT57" s="456"/>
      <c r="BIU57" s="456"/>
      <c r="BIV57" s="456"/>
      <c r="BIW57" s="456"/>
      <c r="BIX57" s="456"/>
      <c r="BIY57" s="456"/>
      <c r="BIZ57" s="456"/>
      <c r="BJA57" s="456"/>
      <c r="BJB57" s="456"/>
      <c r="BJC57" s="456"/>
      <c r="BJD57" s="456"/>
      <c r="BJE57" s="456"/>
      <c r="BJF57" s="456"/>
      <c r="BJG57" s="456"/>
      <c r="BJH57" s="456"/>
      <c r="BJI57" s="456"/>
      <c r="BJJ57" s="456"/>
      <c r="BJK57" s="456"/>
      <c r="BJL57" s="456"/>
      <c r="BJM57" s="456"/>
      <c r="BJN57" s="456"/>
      <c r="BJO57" s="456"/>
      <c r="BJP57" s="456"/>
      <c r="BJQ57" s="456"/>
      <c r="BJR57" s="456"/>
      <c r="BJS57" s="456"/>
      <c r="BJT57" s="456"/>
      <c r="BJU57" s="456"/>
      <c r="BJV57" s="456"/>
      <c r="BJW57" s="456"/>
      <c r="BJX57" s="456"/>
      <c r="BJY57" s="456"/>
      <c r="BJZ57" s="456"/>
      <c r="BKA57" s="456"/>
      <c r="BKB57" s="456"/>
      <c r="BKC57" s="456"/>
      <c r="BKD57" s="456"/>
      <c r="BKE57" s="456"/>
      <c r="BKF57" s="456"/>
      <c r="BKG57" s="456"/>
      <c r="BKH57" s="456"/>
      <c r="BKI57" s="456"/>
      <c r="BKJ57" s="456"/>
      <c r="BKK57" s="456"/>
      <c r="BKL57" s="456"/>
      <c r="BKM57" s="456"/>
      <c r="BKN57" s="456"/>
      <c r="BKO57" s="456"/>
      <c r="BKP57" s="456"/>
      <c r="BKQ57" s="456"/>
      <c r="BKR57" s="456"/>
      <c r="BKS57" s="456"/>
      <c r="BKT57" s="456"/>
      <c r="BKU57" s="456"/>
      <c r="BKV57" s="456"/>
      <c r="BKW57" s="456"/>
      <c r="BKX57" s="456"/>
      <c r="BKY57" s="456"/>
      <c r="BKZ57" s="456"/>
      <c r="BLA57" s="456"/>
      <c r="BLB57" s="456"/>
      <c r="BLC57" s="456"/>
      <c r="BLD57" s="456"/>
      <c r="BLE57" s="456"/>
      <c r="BLF57" s="456"/>
      <c r="BLG57" s="456"/>
      <c r="BLH57" s="456"/>
      <c r="BLI57" s="456"/>
      <c r="BLJ57" s="456"/>
      <c r="BLK57" s="456"/>
      <c r="BLL57" s="456"/>
      <c r="BLM57" s="456"/>
      <c r="BLN57" s="456"/>
      <c r="BLO57" s="456"/>
      <c r="BLP57" s="456"/>
      <c r="BLQ57" s="456"/>
      <c r="BLR57" s="456"/>
      <c r="BLS57" s="456"/>
      <c r="BLT57" s="456"/>
      <c r="BLU57" s="456"/>
      <c r="BLV57" s="456"/>
      <c r="BLW57" s="456"/>
      <c r="BLX57" s="456"/>
      <c r="BLY57" s="456"/>
      <c r="BLZ57" s="456"/>
      <c r="BMA57" s="456"/>
      <c r="BMB57" s="456"/>
      <c r="BMC57" s="456"/>
      <c r="BMD57" s="456"/>
      <c r="BME57" s="456"/>
      <c r="BMF57" s="456"/>
      <c r="BMG57" s="456"/>
      <c r="BMH57" s="456"/>
      <c r="BMI57" s="456"/>
      <c r="BMJ57" s="456"/>
      <c r="BMK57" s="456"/>
      <c r="BML57" s="456"/>
      <c r="BMM57" s="456"/>
      <c r="BMN57" s="456"/>
      <c r="BMO57" s="456"/>
      <c r="BMP57" s="456"/>
      <c r="BMQ57" s="456"/>
      <c r="BMR57" s="456"/>
      <c r="BMS57" s="456"/>
      <c r="BMT57" s="456"/>
      <c r="BMU57" s="456"/>
      <c r="BMV57" s="456"/>
      <c r="BMW57" s="456"/>
      <c r="BMX57" s="456"/>
      <c r="BMY57" s="456"/>
      <c r="BMZ57" s="456"/>
      <c r="BNA57" s="456"/>
      <c r="BNB57" s="456"/>
      <c r="BNC57" s="456"/>
      <c r="BND57" s="456"/>
      <c r="BNE57" s="456"/>
      <c r="BNF57" s="456"/>
      <c r="BNG57" s="456"/>
      <c r="BNH57" s="456"/>
      <c r="BNI57" s="456"/>
      <c r="BNJ57" s="456"/>
      <c r="BNK57" s="456"/>
      <c r="BNL57" s="456"/>
      <c r="BNM57" s="456"/>
      <c r="BNN57" s="456"/>
      <c r="BNO57" s="456"/>
      <c r="BNP57" s="456"/>
      <c r="BNQ57" s="456"/>
      <c r="BNR57" s="456"/>
      <c r="BNS57" s="456"/>
      <c r="BNT57" s="456"/>
      <c r="BNU57" s="456"/>
      <c r="BNV57" s="456"/>
      <c r="BNW57" s="456"/>
      <c r="BNX57" s="456"/>
      <c r="BNY57" s="456"/>
      <c r="BNZ57" s="456"/>
      <c r="BOA57" s="456"/>
      <c r="BOB57" s="456"/>
      <c r="BOC57" s="456"/>
      <c r="BOD57" s="456"/>
      <c r="BOE57" s="456"/>
      <c r="BOF57" s="456"/>
      <c r="BOG57" s="456"/>
      <c r="BOH57" s="456"/>
      <c r="BOI57" s="456"/>
      <c r="BOJ57" s="456"/>
      <c r="BOK57" s="456"/>
      <c r="BOL57" s="456"/>
      <c r="BOM57" s="456"/>
      <c r="BON57" s="456"/>
      <c r="BOO57" s="456"/>
      <c r="BOP57" s="456"/>
      <c r="BOQ57" s="456"/>
      <c r="BOR57" s="456"/>
      <c r="BOS57" s="456"/>
      <c r="BOT57" s="456"/>
      <c r="BOU57" s="456"/>
      <c r="BOV57" s="456"/>
      <c r="BOW57" s="456"/>
      <c r="BOX57" s="456"/>
      <c r="BOY57" s="456"/>
      <c r="BOZ57" s="456"/>
      <c r="BPA57" s="456"/>
      <c r="BPB57" s="456"/>
      <c r="BPC57" s="456"/>
      <c r="BPD57" s="456"/>
      <c r="BPE57" s="456"/>
      <c r="BPF57" s="456"/>
      <c r="BPG57" s="456"/>
      <c r="BPH57" s="456"/>
      <c r="BPI57" s="456"/>
      <c r="BPJ57" s="456"/>
      <c r="BPK57" s="456"/>
      <c r="BPL57" s="456"/>
      <c r="BPM57" s="456"/>
      <c r="BPN57" s="456"/>
      <c r="BPO57" s="456"/>
      <c r="BPP57" s="456"/>
      <c r="BPQ57" s="456"/>
      <c r="BPR57" s="456"/>
      <c r="BPS57" s="456"/>
      <c r="BPT57" s="456"/>
      <c r="BPU57" s="456"/>
      <c r="BPV57" s="456"/>
      <c r="BPW57" s="456"/>
      <c r="BPX57" s="456"/>
      <c r="BPY57" s="456"/>
      <c r="BPZ57" s="456"/>
      <c r="BQA57" s="456"/>
      <c r="BQB57" s="456"/>
      <c r="BQC57" s="456"/>
      <c r="BQD57" s="456"/>
      <c r="BQE57" s="456"/>
      <c r="BQF57" s="456"/>
      <c r="BQG57" s="456"/>
      <c r="BQH57" s="456"/>
      <c r="BQI57" s="456"/>
      <c r="BQJ57" s="456"/>
      <c r="BQK57" s="456"/>
      <c r="BQL57" s="456"/>
      <c r="BQM57" s="456"/>
      <c r="BQN57" s="456"/>
      <c r="BQO57" s="456"/>
      <c r="BQP57" s="456"/>
      <c r="BQQ57" s="456"/>
      <c r="BQR57" s="456"/>
      <c r="BQS57" s="456"/>
      <c r="BQT57" s="456"/>
      <c r="BQU57" s="456"/>
      <c r="BQV57" s="456"/>
      <c r="BQW57" s="456"/>
      <c r="BQX57" s="456"/>
      <c r="BQY57" s="456"/>
      <c r="BQZ57" s="456"/>
      <c r="BRA57" s="456"/>
      <c r="BRB57" s="456"/>
      <c r="BRC57" s="456"/>
      <c r="BRD57" s="456"/>
      <c r="BRE57" s="456"/>
      <c r="BRF57" s="456"/>
      <c r="BRG57" s="456"/>
      <c r="BRH57" s="456"/>
      <c r="BRI57" s="456"/>
      <c r="BRJ57" s="456"/>
      <c r="BRK57" s="456"/>
      <c r="BRL57" s="456"/>
      <c r="BRM57" s="456"/>
      <c r="BRN57" s="456"/>
      <c r="BRO57" s="456"/>
      <c r="BRP57" s="456"/>
      <c r="BRQ57" s="456"/>
      <c r="BRR57" s="456"/>
      <c r="BRS57" s="456"/>
      <c r="BRT57" s="456"/>
      <c r="BRU57" s="456"/>
      <c r="BRV57" s="456"/>
      <c r="BRW57" s="456"/>
      <c r="BRX57" s="456"/>
      <c r="BRY57" s="456"/>
      <c r="BRZ57" s="456"/>
      <c r="BSA57" s="456"/>
      <c r="BSB57" s="456"/>
      <c r="BSC57" s="456"/>
      <c r="BSD57" s="456"/>
      <c r="BSE57" s="456"/>
      <c r="BSF57" s="456"/>
      <c r="BSG57" s="456"/>
      <c r="BSH57" s="456"/>
      <c r="BSI57" s="456"/>
      <c r="BSJ57" s="456"/>
      <c r="BSK57" s="456"/>
      <c r="BSL57" s="456"/>
      <c r="BSM57" s="456"/>
      <c r="BSN57" s="456"/>
      <c r="BSO57" s="456"/>
      <c r="BSP57" s="456"/>
      <c r="BSQ57" s="456"/>
      <c r="BSR57" s="456"/>
      <c r="BSS57" s="456"/>
      <c r="BST57" s="456"/>
      <c r="BSU57" s="456"/>
      <c r="BSV57" s="456"/>
      <c r="BSW57" s="456"/>
      <c r="BSX57" s="456"/>
      <c r="BSY57" s="456"/>
      <c r="BSZ57" s="456"/>
      <c r="BTA57" s="456"/>
      <c r="BTB57" s="456"/>
      <c r="BTC57" s="456"/>
      <c r="BTD57" s="456"/>
      <c r="BTE57" s="456"/>
      <c r="BTF57" s="456"/>
      <c r="BTG57" s="456"/>
      <c r="BTH57" s="456"/>
      <c r="BTI57" s="456"/>
      <c r="BTJ57" s="456"/>
      <c r="BTK57" s="456"/>
      <c r="BTL57" s="456"/>
      <c r="BTM57" s="456"/>
      <c r="BTN57" s="456"/>
      <c r="BTO57" s="456"/>
      <c r="BTP57" s="456"/>
      <c r="BTQ57" s="456"/>
      <c r="BTR57" s="456"/>
      <c r="BTS57" s="456"/>
      <c r="BTT57" s="456"/>
      <c r="BTU57" s="456"/>
      <c r="BTV57" s="456"/>
      <c r="BTW57" s="456"/>
      <c r="BTX57" s="456"/>
      <c r="BTY57" s="456"/>
      <c r="BTZ57" s="456"/>
      <c r="BUA57" s="456"/>
      <c r="BUB57" s="456"/>
      <c r="BUC57" s="456"/>
      <c r="BUD57" s="456"/>
      <c r="BUE57" s="456"/>
      <c r="BUF57" s="456"/>
      <c r="BUG57" s="456"/>
      <c r="BUH57" s="456"/>
      <c r="BUI57" s="456"/>
      <c r="BUJ57" s="456"/>
      <c r="BUK57" s="456"/>
      <c r="BUL57" s="456"/>
      <c r="BUM57" s="456"/>
      <c r="BUN57" s="456"/>
      <c r="BUO57" s="456"/>
      <c r="BUP57" s="456"/>
      <c r="BUQ57" s="456"/>
      <c r="BUR57" s="456"/>
      <c r="BUS57" s="456"/>
      <c r="BUT57" s="456"/>
      <c r="BUU57" s="456"/>
      <c r="BUV57" s="456"/>
      <c r="BUW57" s="456"/>
      <c r="BUX57" s="456"/>
      <c r="BUY57" s="456"/>
      <c r="BUZ57" s="456"/>
      <c r="BVA57" s="456"/>
      <c r="BVB57" s="456"/>
      <c r="BVC57" s="456"/>
      <c r="BVD57" s="456"/>
      <c r="BVE57" s="456"/>
      <c r="BVF57" s="456"/>
      <c r="BVG57" s="456"/>
      <c r="BVH57" s="456"/>
      <c r="BVI57" s="456"/>
      <c r="BVJ57" s="456"/>
      <c r="BVK57" s="456"/>
      <c r="BVL57" s="456"/>
      <c r="BVM57" s="456"/>
      <c r="BVN57" s="456"/>
      <c r="BVO57" s="456"/>
      <c r="BVP57" s="456"/>
      <c r="BVQ57" s="456"/>
      <c r="BVR57" s="456"/>
      <c r="BVS57" s="456"/>
      <c r="BVT57" s="456"/>
      <c r="BVU57" s="456"/>
      <c r="BVV57" s="456"/>
      <c r="BVW57" s="456"/>
      <c r="BVX57" s="456"/>
      <c r="BVY57" s="456"/>
      <c r="BVZ57" s="456"/>
      <c r="BWA57" s="456"/>
      <c r="BWB57" s="456"/>
      <c r="BWC57" s="456"/>
      <c r="BWD57" s="456"/>
      <c r="BWE57" s="456"/>
      <c r="BWF57" s="456"/>
      <c r="BWG57" s="456"/>
      <c r="BWH57" s="456"/>
      <c r="BWI57" s="456"/>
      <c r="BWJ57" s="456"/>
      <c r="BWK57" s="456"/>
      <c r="BWL57" s="456"/>
      <c r="BWM57" s="456"/>
      <c r="BWN57" s="456"/>
      <c r="BWO57" s="456"/>
      <c r="BWP57" s="456"/>
      <c r="BWQ57" s="456"/>
      <c r="BWR57" s="456"/>
      <c r="BWS57" s="456"/>
      <c r="BWT57" s="456"/>
      <c r="BWU57" s="456"/>
      <c r="BWV57" s="456"/>
      <c r="BWW57" s="456"/>
      <c r="BWX57" s="456"/>
      <c r="BWY57" s="456"/>
      <c r="BWZ57" s="456"/>
      <c r="BXA57" s="456"/>
      <c r="BXB57" s="456"/>
      <c r="BXC57" s="456"/>
      <c r="BXD57" s="456"/>
      <c r="BXE57" s="456"/>
      <c r="BXF57" s="456"/>
      <c r="BXG57" s="456"/>
      <c r="BXH57" s="456"/>
      <c r="BXI57" s="456"/>
      <c r="BXJ57" s="456"/>
      <c r="BXK57" s="456"/>
      <c r="BXL57" s="456"/>
      <c r="BXM57" s="456"/>
      <c r="BXN57" s="456"/>
      <c r="BXO57" s="456"/>
      <c r="BXP57" s="456"/>
      <c r="BXQ57" s="456"/>
      <c r="BXR57" s="456"/>
      <c r="BXS57" s="456"/>
      <c r="BXT57" s="456"/>
      <c r="BXU57" s="456"/>
      <c r="BXV57" s="456"/>
      <c r="BXW57" s="456"/>
      <c r="BXX57" s="456"/>
      <c r="BXY57" s="456"/>
      <c r="BXZ57" s="456"/>
    </row>
    <row r="58" spans="1:1024 1025:2002">
      <c r="A58" s="474"/>
      <c r="B58" s="75">
        <v>1119</v>
      </c>
      <c r="C58" s="213">
        <v>46181</v>
      </c>
      <c r="D58" s="18" t="s">
        <v>35</v>
      </c>
      <c r="E58" s="18" t="s">
        <v>71</v>
      </c>
      <c r="F58" s="18" t="s">
        <v>72</v>
      </c>
      <c r="G58" s="18"/>
      <c r="H58" s="75">
        <v>1.2379</v>
      </c>
      <c r="I58" s="75"/>
      <c r="J58" s="18" t="s">
        <v>82</v>
      </c>
      <c r="K58" s="111">
        <v>405</v>
      </c>
      <c r="L58" s="475">
        <v>20</v>
      </c>
      <c r="M58" s="75">
        <v>5800</v>
      </c>
      <c r="N58" s="75" t="s">
        <v>40</v>
      </c>
      <c r="O58" s="75" t="s">
        <v>67</v>
      </c>
      <c r="P58" s="75">
        <v>1000</v>
      </c>
      <c r="Q58" s="75"/>
      <c r="R58" s="75">
        <f t="shared" si="2"/>
        <v>1000</v>
      </c>
      <c r="S58" s="476">
        <v>2365</v>
      </c>
      <c r="T58" s="342" t="s">
        <v>42</v>
      </c>
      <c r="U58" s="137" t="s">
        <v>83</v>
      </c>
      <c r="V58" s="193">
        <v>46181</v>
      </c>
      <c r="W58" s="24" t="s">
        <v>44</v>
      </c>
      <c r="X58" s="18"/>
      <c r="Y58" s="114">
        <v>46327</v>
      </c>
      <c r="Z58" s="18" t="s">
        <v>45</v>
      </c>
      <c r="AA58" s="24" t="s">
        <v>46</v>
      </c>
      <c r="AB58" s="18"/>
      <c r="AC58" s="137"/>
      <c r="AD58" s="77"/>
      <c r="AE58" s="18" t="s">
        <v>48</v>
      </c>
      <c r="AF58" s="18"/>
      <c r="AG58" s="18"/>
    </row>
    <row r="59" s="25" customFormat="1" spans="1:1024 1025:2002">
      <c r="A59" s="473" t="s">
        <v>34</v>
      </c>
      <c r="B59" s="19">
        <v>1119</v>
      </c>
      <c r="C59" s="183">
        <v>46181</v>
      </c>
      <c r="D59" s="17" t="s">
        <v>35</v>
      </c>
      <c r="E59" s="17" t="s">
        <v>71</v>
      </c>
      <c r="F59" s="17" t="s">
        <v>72</v>
      </c>
      <c r="G59" s="17"/>
      <c r="H59" s="19">
        <v>1.2379</v>
      </c>
      <c r="I59" s="19">
        <v>1.2379</v>
      </c>
      <c r="J59" s="17" t="s">
        <v>82</v>
      </c>
      <c r="K59" s="91">
        <v>505</v>
      </c>
      <c r="L59" s="23">
        <v>20</v>
      </c>
      <c r="M59" s="19">
        <v>5800</v>
      </c>
      <c r="N59" s="19" t="s">
        <v>40</v>
      </c>
      <c r="O59" s="19" t="s">
        <v>67</v>
      </c>
      <c r="P59" s="19">
        <v>1500</v>
      </c>
      <c r="Q59" s="19">
        <v>1042</v>
      </c>
      <c r="R59" s="19">
        <f t="shared" si="2"/>
        <v>458</v>
      </c>
      <c r="S59" s="477">
        <f t="shared" ref="S59:S62" si="3">2365+68</f>
        <v>2433</v>
      </c>
      <c r="T59" s="19" t="s">
        <v>42</v>
      </c>
      <c r="U59" s="102" t="s">
        <v>83</v>
      </c>
      <c r="V59" s="186">
        <v>46181</v>
      </c>
      <c r="W59" s="17" t="s">
        <v>69</v>
      </c>
      <c r="X59" s="17"/>
      <c r="Y59" s="68">
        <v>46327</v>
      </c>
      <c r="Z59" s="17" t="s">
        <v>45</v>
      </c>
      <c r="AA59" s="17" t="s">
        <v>46</v>
      </c>
      <c r="AB59" s="17" t="s">
        <v>75</v>
      </c>
      <c r="AC59" s="217">
        <v>46224</v>
      </c>
      <c r="AD59" s="65">
        <v>1837</v>
      </c>
      <c r="AE59" s="17" t="s">
        <v>48</v>
      </c>
      <c r="AF59" s="17" t="s">
        <v>76</v>
      </c>
      <c r="AG59" s="17"/>
      <c r="AH59" s="456"/>
      <c r="AI59" s="456"/>
      <c r="AJ59" s="456"/>
      <c r="AK59" s="456"/>
      <c r="AL59" s="456"/>
      <c r="AM59" s="456"/>
      <c r="AN59" s="456"/>
      <c r="AO59" s="456"/>
      <c r="AP59" s="456"/>
      <c r="AQ59" s="456"/>
      <c r="AR59" s="456"/>
      <c r="AS59" s="456"/>
      <c r="AT59" s="456"/>
      <c r="AU59" s="456"/>
      <c r="AV59" s="456"/>
      <c r="AW59" s="456"/>
      <c r="AX59" s="456"/>
      <c r="AY59" s="456"/>
      <c r="AZ59" s="456"/>
      <c r="BA59" s="456"/>
      <c r="BB59" s="456"/>
      <c r="BC59" s="456"/>
      <c r="BD59" s="456"/>
      <c r="BE59" s="456"/>
      <c r="BF59" s="456"/>
      <c r="BG59" s="456"/>
      <c r="BH59" s="456"/>
      <c r="BI59" s="456"/>
      <c r="BJ59" s="456"/>
      <c r="BK59" s="456"/>
      <c r="BL59" s="456"/>
      <c r="BM59" s="456"/>
      <c r="BN59" s="456"/>
      <c r="BO59" s="456"/>
      <c r="BP59" s="456"/>
      <c r="BQ59" s="456"/>
      <c r="BR59" s="456"/>
      <c r="BS59" s="456"/>
      <c r="BT59" s="456"/>
      <c r="BU59" s="456"/>
      <c r="BV59" s="456"/>
      <c r="BW59" s="456"/>
      <c r="BX59" s="456"/>
      <c r="BY59" s="456"/>
      <c r="BZ59" s="456"/>
      <c r="CA59" s="456"/>
      <c r="CB59" s="456"/>
      <c r="CC59" s="456"/>
      <c r="CD59" s="456"/>
      <c r="CE59" s="456"/>
      <c r="CF59" s="456"/>
      <c r="CG59" s="456"/>
      <c r="CH59" s="456"/>
      <c r="CI59" s="456"/>
      <c r="CJ59" s="456"/>
      <c r="CK59" s="456"/>
      <c r="CL59" s="456"/>
      <c r="CM59" s="456"/>
      <c r="CN59" s="456"/>
      <c r="CO59" s="456"/>
      <c r="CP59" s="456"/>
      <c r="CQ59" s="456"/>
      <c r="CR59" s="456"/>
      <c r="CS59" s="456"/>
      <c r="CT59" s="456"/>
      <c r="CU59" s="456"/>
      <c r="CV59" s="456"/>
      <c r="CW59" s="456"/>
      <c r="CX59" s="456"/>
      <c r="CY59" s="456"/>
      <c r="CZ59" s="456"/>
      <c r="DA59" s="456"/>
      <c r="DB59" s="456"/>
      <c r="DC59" s="456"/>
      <c r="DD59" s="456"/>
      <c r="DE59" s="456"/>
      <c r="DF59" s="456"/>
      <c r="DG59" s="456"/>
      <c r="DH59" s="456"/>
      <c r="DI59" s="456"/>
      <c r="DJ59" s="456"/>
      <c r="DK59" s="456"/>
      <c r="DL59" s="456"/>
      <c r="DM59" s="456"/>
      <c r="DN59" s="456"/>
      <c r="DO59" s="456"/>
      <c r="DP59" s="456"/>
      <c r="DQ59" s="456"/>
      <c r="DR59" s="456"/>
      <c r="DS59" s="456"/>
      <c r="DT59" s="456"/>
      <c r="DU59" s="456"/>
      <c r="DV59" s="456"/>
      <c r="DW59" s="456"/>
      <c r="DX59" s="456"/>
      <c r="DY59" s="456"/>
      <c r="DZ59" s="456"/>
      <c r="EA59" s="456"/>
      <c r="EB59" s="456"/>
      <c r="EC59" s="456"/>
      <c r="ED59" s="456"/>
      <c r="EE59" s="456"/>
      <c r="EF59" s="456"/>
      <c r="EG59" s="456"/>
      <c r="EH59" s="456"/>
      <c r="EI59" s="456"/>
      <c r="EJ59" s="456"/>
      <c r="EK59" s="456"/>
      <c r="EL59" s="456"/>
      <c r="EM59" s="456"/>
      <c r="EN59" s="456"/>
      <c r="EO59" s="456"/>
      <c r="EP59" s="456"/>
      <c r="EQ59" s="456"/>
      <c r="ER59" s="456"/>
      <c r="ES59" s="456"/>
      <c r="ET59" s="456"/>
      <c r="EU59" s="456"/>
      <c r="EV59" s="456"/>
      <c r="EW59" s="456"/>
      <c r="EX59" s="456"/>
      <c r="EY59" s="456"/>
      <c r="EZ59" s="456"/>
      <c r="FA59" s="456"/>
      <c r="FB59" s="456"/>
      <c r="FC59" s="456"/>
      <c r="FD59" s="456"/>
      <c r="FE59" s="456"/>
      <c r="FF59" s="456"/>
      <c r="FG59" s="456"/>
      <c r="FH59" s="456"/>
      <c r="FI59" s="456"/>
      <c r="FJ59" s="456"/>
      <c r="FK59" s="456"/>
      <c r="FL59" s="456"/>
      <c r="FM59" s="456"/>
      <c r="FN59" s="456"/>
      <c r="FO59" s="456"/>
      <c r="FP59" s="456"/>
      <c r="FQ59" s="456"/>
      <c r="FR59" s="456"/>
      <c r="FS59" s="456"/>
      <c r="FT59" s="456"/>
      <c r="FU59" s="456"/>
      <c r="FV59" s="456"/>
      <c r="FW59" s="456"/>
      <c r="FX59" s="456"/>
      <c r="FY59" s="456"/>
      <c r="FZ59" s="456"/>
      <c r="GA59" s="456"/>
      <c r="GB59" s="456"/>
      <c r="GC59" s="456"/>
      <c r="GD59" s="456"/>
      <c r="GE59" s="456"/>
      <c r="GF59" s="456"/>
      <c r="GG59" s="456"/>
      <c r="GH59" s="456"/>
      <c r="GI59" s="456"/>
      <c r="GJ59" s="456"/>
      <c r="GK59" s="456"/>
      <c r="GL59" s="456"/>
      <c r="GM59" s="456"/>
      <c r="GN59" s="456"/>
      <c r="GO59" s="456"/>
      <c r="GP59" s="456"/>
      <c r="GQ59" s="456"/>
      <c r="GR59" s="456"/>
      <c r="GS59" s="456"/>
      <c r="GT59" s="456"/>
      <c r="GU59" s="456"/>
      <c r="GV59" s="456"/>
      <c r="GW59" s="456"/>
      <c r="GX59" s="456"/>
      <c r="GY59" s="456"/>
      <c r="GZ59" s="456"/>
      <c r="HA59" s="456"/>
      <c r="HB59" s="456"/>
      <c r="HC59" s="456"/>
      <c r="HD59" s="456"/>
      <c r="HE59" s="456"/>
      <c r="HF59" s="456"/>
      <c r="HG59" s="456"/>
      <c r="HH59" s="456"/>
      <c r="HI59" s="456"/>
      <c r="HJ59" s="456"/>
      <c r="HK59" s="456"/>
      <c r="HL59" s="456"/>
      <c r="HM59" s="456"/>
      <c r="HN59" s="456"/>
      <c r="HO59" s="456"/>
      <c r="HP59" s="456"/>
      <c r="HQ59" s="456"/>
      <c r="HR59" s="456"/>
      <c r="HS59" s="456"/>
      <c r="HT59" s="456"/>
      <c r="HU59" s="456"/>
      <c r="HV59" s="456"/>
      <c r="HW59" s="456"/>
      <c r="HX59" s="456"/>
      <c r="HY59" s="456"/>
      <c r="HZ59" s="456"/>
      <c r="IA59" s="456"/>
      <c r="IB59" s="456"/>
      <c r="IC59" s="456"/>
      <c r="ID59" s="456"/>
      <c r="IE59" s="456"/>
      <c r="IF59" s="456"/>
      <c r="IG59" s="456"/>
      <c r="IH59" s="456"/>
      <c r="II59" s="456"/>
      <c r="IJ59" s="456"/>
      <c r="IK59" s="456"/>
      <c r="IL59" s="456"/>
      <c r="IM59" s="456"/>
      <c r="IN59" s="456"/>
      <c r="IO59" s="456"/>
      <c r="IP59" s="456"/>
      <c r="IQ59" s="456"/>
      <c r="IR59" s="456"/>
      <c r="IS59" s="456"/>
      <c r="IT59" s="456"/>
      <c r="IU59" s="456"/>
      <c r="IV59" s="456"/>
      <c r="IW59" s="456"/>
      <c r="IX59" s="456"/>
      <c r="IY59" s="456"/>
      <c r="IZ59" s="456"/>
      <c r="JA59" s="456"/>
      <c r="JB59" s="456"/>
      <c r="JC59" s="456"/>
      <c r="JD59" s="456"/>
      <c r="JE59" s="456"/>
      <c r="JF59" s="456"/>
      <c r="JG59" s="456"/>
      <c r="JH59" s="456"/>
      <c r="JI59" s="456"/>
      <c r="JJ59" s="456"/>
      <c r="JK59" s="456"/>
      <c r="JL59" s="456"/>
      <c r="JM59" s="456"/>
      <c r="JN59" s="456"/>
      <c r="JO59" s="456"/>
      <c r="JP59" s="456"/>
      <c r="JQ59" s="456"/>
      <c r="JR59" s="456"/>
      <c r="JS59" s="456"/>
      <c r="JT59" s="456"/>
      <c r="JU59" s="456"/>
      <c r="JV59" s="456"/>
      <c r="JW59" s="456"/>
      <c r="JX59" s="456"/>
      <c r="JY59" s="456"/>
      <c r="JZ59" s="456"/>
      <c r="KA59" s="456"/>
      <c r="KB59" s="456"/>
      <c r="KC59" s="456"/>
      <c r="KD59" s="456"/>
      <c r="KE59" s="456"/>
      <c r="KF59" s="456"/>
      <c r="KG59" s="456"/>
      <c r="KH59" s="456"/>
      <c r="KI59" s="456"/>
      <c r="KJ59" s="456"/>
      <c r="KK59" s="456"/>
      <c r="KL59" s="456"/>
      <c r="KM59" s="456"/>
      <c r="KN59" s="456"/>
      <c r="KO59" s="456"/>
      <c r="KP59" s="456"/>
      <c r="KQ59" s="456"/>
      <c r="KR59" s="456"/>
      <c r="KS59" s="456"/>
      <c r="KT59" s="456"/>
      <c r="KU59" s="456"/>
      <c r="KV59" s="456"/>
      <c r="KW59" s="456"/>
      <c r="KX59" s="456"/>
      <c r="KY59" s="456"/>
      <c r="KZ59" s="456"/>
      <c r="LA59" s="456"/>
      <c r="LB59" s="456"/>
      <c r="LC59" s="456"/>
      <c r="LD59" s="456"/>
      <c r="LE59" s="456"/>
      <c r="LF59" s="456"/>
      <c r="LG59" s="456"/>
      <c r="LH59" s="456"/>
      <c r="LI59" s="456"/>
      <c r="LJ59" s="456"/>
      <c r="LK59" s="456"/>
      <c r="LL59" s="456"/>
      <c r="LM59" s="456"/>
      <c r="LN59" s="456"/>
      <c r="LO59" s="456"/>
      <c r="LP59" s="456"/>
      <c r="LQ59" s="456"/>
      <c r="LR59" s="456"/>
      <c r="LS59" s="456"/>
      <c r="LT59" s="456"/>
      <c r="LU59" s="456"/>
      <c r="LV59" s="456"/>
      <c r="LW59" s="456"/>
      <c r="LX59" s="456"/>
      <c r="LY59" s="456"/>
      <c r="LZ59" s="456"/>
      <c r="MA59" s="456"/>
      <c r="MB59" s="456"/>
      <c r="MC59" s="456"/>
      <c r="MD59" s="456"/>
      <c r="ME59" s="456"/>
      <c r="MF59" s="456"/>
      <c r="MG59" s="456"/>
      <c r="MH59" s="456"/>
      <c r="MI59" s="456"/>
      <c r="MJ59" s="456"/>
      <c r="MK59" s="456"/>
      <c r="ML59" s="456"/>
      <c r="MM59" s="456"/>
      <c r="MN59" s="456"/>
      <c r="MO59" s="456"/>
      <c r="MP59" s="456"/>
      <c r="MQ59" s="456"/>
      <c r="MR59" s="456"/>
      <c r="MS59" s="456"/>
      <c r="MT59" s="456"/>
      <c r="MU59" s="456"/>
      <c r="MV59" s="456"/>
      <c r="MW59" s="456"/>
      <c r="MX59" s="456"/>
      <c r="MY59" s="456"/>
      <c r="MZ59" s="456"/>
      <c r="NA59" s="456"/>
      <c r="NB59" s="456"/>
      <c r="NC59" s="456"/>
      <c r="ND59" s="456"/>
      <c r="NE59" s="456"/>
      <c r="NF59" s="456"/>
      <c r="NG59" s="456"/>
      <c r="NH59" s="456"/>
      <c r="NI59" s="456"/>
      <c r="NJ59" s="456"/>
      <c r="NK59" s="456"/>
      <c r="NL59" s="456"/>
      <c r="NM59" s="456"/>
      <c r="NN59" s="456"/>
      <c r="NO59" s="456"/>
      <c r="NP59" s="456"/>
      <c r="NQ59" s="456"/>
      <c r="NR59" s="456"/>
      <c r="NS59" s="456"/>
      <c r="NT59" s="456"/>
      <c r="NU59" s="456"/>
      <c r="NV59" s="456"/>
      <c r="NW59" s="456"/>
      <c r="NX59" s="456"/>
      <c r="NY59" s="456"/>
      <c r="NZ59" s="456"/>
      <c r="OA59" s="456"/>
      <c r="OB59" s="456"/>
      <c r="OC59" s="456"/>
      <c r="OD59" s="456"/>
      <c r="OE59" s="456"/>
      <c r="OF59" s="456"/>
      <c r="OG59" s="456"/>
      <c r="OH59" s="456"/>
      <c r="OI59" s="456"/>
      <c r="OJ59" s="456"/>
      <c r="OK59" s="456"/>
      <c r="OL59" s="456"/>
      <c r="OM59" s="456"/>
      <c r="ON59" s="456"/>
      <c r="OO59" s="456"/>
      <c r="OP59" s="456"/>
      <c r="OQ59" s="456"/>
      <c r="OR59" s="456"/>
      <c r="OS59" s="456"/>
      <c r="OT59" s="456"/>
      <c r="OU59" s="456"/>
      <c r="OV59" s="456"/>
      <c r="OW59" s="456"/>
      <c r="OX59" s="456"/>
      <c r="OY59" s="456"/>
      <c r="OZ59" s="456"/>
      <c r="PA59" s="456"/>
      <c r="PB59" s="456"/>
      <c r="PC59" s="456"/>
      <c r="PD59" s="456"/>
      <c r="PE59" s="456"/>
      <c r="PF59" s="456"/>
      <c r="PG59" s="456"/>
      <c r="PH59" s="456"/>
      <c r="PI59" s="456"/>
      <c r="PJ59" s="456"/>
      <c r="PK59" s="456"/>
      <c r="PL59" s="456"/>
      <c r="PM59" s="456"/>
      <c r="PN59" s="456"/>
      <c r="PO59" s="456"/>
      <c r="PP59" s="456"/>
      <c r="PQ59" s="456"/>
      <c r="PR59" s="456"/>
      <c r="PS59" s="456"/>
      <c r="PT59" s="456"/>
      <c r="PU59" s="456"/>
      <c r="PV59" s="456"/>
      <c r="PW59" s="456"/>
      <c r="PX59" s="456"/>
      <c r="PY59" s="456"/>
      <c r="PZ59" s="456"/>
      <c r="QA59" s="456"/>
      <c r="QB59" s="456"/>
      <c r="QC59" s="456"/>
      <c r="QD59" s="456"/>
      <c r="QE59" s="456"/>
      <c r="QF59" s="456"/>
      <c r="QG59" s="456"/>
      <c r="QH59" s="456"/>
      <c r="QI59" s="456"/>
      <c r="QJ59" s="456"/>
      <c r="QK59" s="456"/>
      <c r="QL59" s="456"/>
      <c r="QM59" s="456"/>
      <c r="QN59" s="456"/>
      <c r="QO59" s="456"/>
      <c r="QP59" s="456"/>
      <c r="QQ59" s="456"/>
      <c r="QR59" s="456"/>
      <c r="QS59" s="456"/>
      <c r="QT59" s="456"/>
      <c r="QU59" s="456"/>
      <c r="QV59" s="456"/>
      <c r="QW59" s="456"/>
      <c r="QX59" s="456"/>
      <c r="QY59" s="456"/>
      <c r="QZ59" s="456"/>
      <c r="RA59" s="456"/>
      <c r="RB59" s="456"/>
      <c r="RC59" s="456"/>
      <c r="RD59" s="456"/>
      <c r="RE59" s="456"/>
      <c r="RF59" s="456"/>
      <c r="RG59" s="456"/>
      <c r="RH59" s="456"/>
      <c r="RI59" s="456"/>
      <c r="RJ59" s="456"/>
      <c r="RK59" s="456"/>
      <c r="RL59" s="456"/>
      <c r="RM59" s="456"/>
      <c r="RN59" s="456"/>
      <c r="RO59" s="456"/>
      <c r="RP59" s="456"/>
      <c r="RQ59" s="456"/>
      <c r="RR59" s="456"/>
      <c r="RS59" s="456"/>
      <c r="RT59" s="456"/>
      <c r="RU59" s="456"/>
      <c r="RV59" s="456"/>
      <c r="RW59" s="456"/>
      <c r="RX59" s="456"/>
      <c r="RY59" s="456"/>
      <c r="RZ59" s="456"/>
      <c r="SA59" s="456"/>
      <c r="SB59" s="456"/>
      <c r="SC59" s="456"/>
      <c r="SD59" s="456"/>
      <c r="SE59" s="456"/>
      <c r="SF59" s="456"/>
      <c r="SG59" s="456"/>
      <c r="SH59" s="456"/>
      <c r="SI59" s="456"/>
      <c r="SJ59" s="456"/>
      <c r="SK59" s="456"/>
      <c r="SL59" s="456"/>
      <c r="SM59" s="456"/>
      <c r="SN59" s="456"/>
      <c r="SO59" s="456"/>
      <c r="SP59" s="456"/>
      <c r="SQ59" s="456"/>
      <c r="SR59" s="456"/>
      <c r="SS59" s="456"/>
      <c r="ST59" s="456"/>
      <c r="SU59" s="456"/>
      <c r="SV59" s="456"/>
      <c r="SW59" s="456"/>
      <c r="SX59" s="456"/>
      <c r="SY59" s="456"/>
      <c r="SZ59" s="456"/>
      <c r="TA59" s="456"/>
      <c r="TB59" s="456"/>
      <c r="TC59" s="456"/>
      <c r="TD59" s="456"/>
      <c r="TE59" s="456"/>
      <c r="TF59" s="456"/>
      <c r="TG59" s="456"/>
      <c r="TH59" s="456"/>
      <c r="TI59" s="456"/>
      <c r="TJ59" s="456"/>
      <c r="TK59" s="456"/>
      <c r="TL59" s="456"/>
      <c r="TM59" s="456"/>
      <c r="TN59" s="456"/>
      <c r="TO59" s="456"/>
      <c r="TP59" s="456"/>
      <c r="TQ59" s="456"/>
      <c r="TR59" s="456"/>
      <c r="TS59" s="456"/>
      <c r="TT59" s="456"/>
      <c r="TU59" s="456"/>
      <c r="TV59" s="456"/>
      <c r="TW59" s="456"/>
      <c r="TX59" s="456"/>
      <c r="TY59" s="456"/>
      <c r="TZ59" s="456"/>
      <c r="UA59" s="456"/>
      <c r="UB59" s="456"/>
      <c r="UC59" s="456"/>
      <c r="UD59" s="456"/>
      <c r="UE59" s="456"/>
      <c r="UF59" s="456"/>
      <c r="UG59" s="456"/>
      <c r="UH59" s="456"/>
      <c r="UI59" s="456"/>
      <c r="UJ59" s="456"/>
      <c r="UK59" s="456"/>
      <c r="UL59" s="456"/>
      <c r="UM59" s="456"/>
      <c r="UN59" s="456"/>
      <c r="UO59" s="456"/>
      <c r="UP59" s="456"/>
      <c r="UQ59" s="456"/>
      <c r="UR59" s="456"/>
      <c r="US59" s="456"/>
      <c r="UT59" s="456"/>
      <c r="UU59" s="456"/>
      <c r="UV59" s="456"/>
      <c r="UW59" s="456"/>
      <c r="UX59" s="456"/>
      <c r="UY59" s="456"/>
      <c r="UZ59" s="456"/>
      <c r="VA59" s="456"/>
      <c r="VB59" s="456"/>
      <c r="VC59" s="456"/>
      <c r="VD59" s="456"/>
      <c r="VE59" s="456"/>
      <c r="VF59" s="456"/>
      <c r="VG59" s="456"/>
      <c r="VH59" s="456"/>
      <c r="VI59" s="456"/>
      <c r="VJ59" s="456"/>
      <c r="VK59" s="456"/>
      <c r="VL59" s="456"/>
      <c r="VM59" s="456"/>
      <c r="VN59" s="456"/>
      <c r="VO59" s="456"/>
      <c r="VP59" s="456"/>
      <c r="VQ59" s="456"/>
      <c r="VR59" s="456"/>
      <c r="VS59" s="456"/>
      <c r="VT59" s="456"/>
      <c r="VU59" s="456"/>
      <c r="VV59" s="456"/>
      <c r="VW59" s="456"/>
      <c r="VX59" s="456"/>
      <c r="VY59" s="456"/>
      <c r="VZ59" s="456"/>
      <c r="WA59" s="456"/>
      <c r="WB59" s="456"/>
      <c r="WC59" s="456"/>
      <c r="WD59" s="456"/>
      <c r="WE59" s="456"/>
      <c r="WF59" s="456"/>
      <c r="WG59" s="456"/>
      <c r="WH59" s="456"/>
      <c r="WI59" s="456"/>
      <c r="WJ59" s="456"/>
      <c r="WK59" s="456"/>
      <c r="WL59" s="456"/>
      <c r="WM59" s="456"/>
      <c r="WN59" s="456"/>
      <c r="WO59" s="456"/>
      <c r="WP59" s="456"/>
      <c r="WQ59" s="456"/>
      <c r="WR59" s="456"/>
      <c r="WS59" s="456"/>
      <c r="WT59" s="456"/>
      <c r="WU59" s="456"/>
      <c r="WV59" s="456"/>
      <c r="WW59" s="456"/>
      <c r="WX59" s="456"/>
      <c r="WY59" s="456"/>
      <c r="WZ59" s="456"/>
      <c r="XA59" s="456"/>
      <c r="XB59" s="456"/>
      <c r="XC59" s="456"/>
      <c r="XD59" s="456"/>
      <c r="XE59" s="456"/>
      <c r="XF59" s="456"/>
      <c r="XG59" s="456"/>
      <c r="XH59" s="456"/>
      <c r="XI59" s="456"/>
      <c r="XJ59" s="456"/>
      <c r="XK59" s="456"/>
      <c r="XL59" s="456"/>
      <c r="XM59" s="456"/>
      <c r="XN59" s="456"/>
      <c r="XO59" s="456"/>
      <c r="XP59" s="456"/>
      <c r="XQ59" s="456"/>
      <c r="XR59" s="456"/>
      <c r="XS59" s="456"/>
      <c r="XT59" s="456"/>
      <c r="XU59" s="456"/>
      <c r="XV59" s="456"/>
      <c r="XW59" s="456"/>
      <c r="XX59" s="456"/>
      <c r="XY59" s="456"/>
      <c r="XZ59" s="456"/>
      <c r="YA59" s="456"/>
      <c r="YB59" s="456"/>
      <c r="YC59" s="456"/>
      <c r="YD59" s="456"/>
      <c r="YE59" s="456"/>
      <c r="YF59" s="456"/>
      <c r="YG59" s="456"/>
      <c r="YH59" s="456"/>
      <c r="YI59" s="456"/>
      <c r="YJ59" s="456"/>
      <c r="YK59" s="456"/>
      <c r="YL59" s="456"/>
      <c r="YM59" s="456"/>
      <c r="YN59" s="456"/>
      <c r="YO59" s="456"/>
      <c r="YP59" s="456"/>
      <c r="YQ59" s="456"/>
      <c r="YR59" s="456"/>
      <c r="YS59" s="456"/>
      <c r="YT59" s="456"/>
      <c r="YU59" s="456"/>
      <c r="YV59" s="456"/>
      <c r="YW59" s="456"/>
      <c r="YX59" s="456"/>
      <c r="YY59" s="456"/>
      <c r="YZ59" s="456"/>
      <c r="ZA59" s="456"/>
      <c r="ZB59" s="456"/>
      <c r="ZC59" s="456"/>
      <c r="ZD59" s="456"/>
      <c r="ZE59" s="456"/>
      <c r="ZF59" s="456"/>
      <c r="ZG59" s="456"/>
      <c r="ZH59" s="456"/>
      <c r="ZI59" s="456"/>
      <c r="ZJ59" s="456"/>
      <c r="ZK59" s="456"/>
      <c r="ZL59" s="456"/>
      <c r="ZM59" s="456"/>
      <c r="ZN59" s="456"/>
      <c r="ZO59" s="456"/>
      <c r="ZP59" s="456"/>
      <c r="ZQ59" s="456"/>
      <c r="ZR59" s="456"/>
      <c r="ZS59" s="456"/>
      <c r="ZT59" s="456"/>
      <c r="ZU59" s="456"/>
      <c r="ZV59" s="456"/>
      <c r="ZW59" s="456"/>
      <c r="ZX59" s="456"/>
      <c r="ZY59" s="456"/>
      <c r="ZZ59" s="456"/>
      <c r="AAA59" s="456"/>
      <c r="AAB59" s="456"/>
      <c r="AAC59" s="456"/>
      <c r="AAD59" s="456"/>
      <c r="AAE59" s="456"/>
      <c r="AAF59" s="456"/>
      <c r="AAG59" s="456"/>
      <c r="AAH59" s="456"/>
      <c r="AAI59" s="456"/>
      <c r="AAJ59" s="456"/>
      <c r="AAK59" s="456"/>
      <c r="AAL59" s="456"/>
      <c r="AAM59" s="456"/>
      <c r="AAN59" s="456"/>
      <c r="AAO59" s="456"/>
      <c r="AAP59" s="456"/>
      <c r="AAQ59" s="456"/>
      <c r="AAR59" s="456"/>
      <c r="AAS59" s="456"/>
      <c r="AAT59" s="456"/>
      <c r="AAU59" s="456"/>
      <c r="AAV59" s="456"/>
      <c r="AAW59" s="456"/>
      <c r="AAX59" s="456"/>
      <c r="AAY59" s="456"/>
      <c r="AAZ59" s="456"/>
      <c r="ABA59" s="456"/>
      <c r="ABB59" s="456"/>
      <c r="ABC59" s="456"/>
      <c r="ABD59" s="456"/>
      <c r="ABE59" s="456"/>
      <c r="ABF59" s="456"/>
      <c r="ABG59" s="456"/>
      <c r="ABH59" s="456"/>
      <c r="ABI59" s="456"/>
      <c r="ABJ59" s="456"/>
      <c r="ABK59" s="456"/>
      <c r="ABL59" s="456"/>
      <c r="ABM59" s="456"/>
      <c r="ABN59" s="456"/>
      <c r="ABO59" s="456"/>
      <c r="ABP59" s="456"/>
      <c r="ABQ59" s="456"/>
      <c r="ABR59" s="456"/>
      <c r="ABS59" s="456"/>
      <c r="ABT59" s="456"/>
      <c r="ABU59" s="456"/>
      <c r="ABV59" s="456"/>
      <c r="ABW59" s="456"/>
      <c r="ABX59" s="456"/>
      <c r="ABY59" s="456"/>
      <c r="ABZ59" s="456"/>
      <c r="ACA59" s="456"/>
      <c r="ACB59" s="456"/>
      <c r="ACC59" s="456"/>
      <c r="ACD59" s="456"/>
      <c r="ACE59" s="456"/>
      <c r="ACF59" s="456"/>
      <c r="ACG59" s="456"/>
      <c r="ACH59" s="456"/>
      <c r="ACI59" s="456"/>
      <c r="ACJ59" s="456"/>
      <c r="ACK59" s="456"/>
      <c r="ACL59" s="456"/>
      <c r="ACM59" s="456"/>
      <c r="ACN59" s="456"/>
      <c r="ACO59" s="456"/>
      <c r="ACP59" s="456"/>
      <c r="ACQ59" s="456"/>
      <c r="ACR59" s="456"/>
      <c r="ACS59" s="456"/>
      <c r="ACT59" s="456"/>
      <c r="ACU59" s="456"/>
      <c r="ACV59" s="456"/>
      <c r="ACW59" s="456"/>
      <c r="ACX59" s="456"/>
      <c r="ACY59" s="456"/>
      <c r="ACZ59" s="456"/>
      <c r="ADA59" s="456"/>
      <c r="ADB59" s="456"/>
      <c r="ADC59" s="456"/>
      <c r="ADD59" s="456"/>
      <c r="ADE59" s="456"/>
      <c r="ADF59" s="456"/>
      <c r="ADG59" s="456"/>
      <c r="ADH59" s="456"/>
      <c r="ADI59" s="456"/>
      <c r="ADJ59" s="456"/>
      <c r="ADK59" s="456"/>
      <c r="ADL59" s="456"/>
      <c r="ADM59" s="456"/>
      <c r="ADN59" s="456"/>
      <c r="ADO59" s="456"/>
      <c r="ADP59" s="456"/>
      <c r="ADQ59" s="456"/>
      <c r="ADR59" s="456"/>
      <c r="ADS59" s="456"/>
      <c r="ADT59" s="456"/>
      <c r="ADU59" s="456"/>
      <c r="ADV59" s="456"/>
      <c r="ADW59" s="456"/>
      <c r="ADX59" s="456"/>
      <c r="ADY59" s="456"/>
      <c r="ADZ59" s="456"/>
      <c r="AEA59" s="456"/>
      <c r="AEB59" s="456"/>
      <c r="AEC59" s="456"/>
      <c r="AED59" s="456"/>
      <c r="AEE59" s="456"/>
      <c r="AEF59" s="456"/>
      <c r="AEG59" s="456"/>
      <c r="AEH59" s="456"/>
      <c r="AEI59" s="456"/>
      <c r="AEJ59" s="456"/>
      <c r="AEK59" s="456"/>
      <c r="AEL59" s="456"/>
      <c r="AEM59" s="456"/>
      <c r="AEN59" s="456"/>
      <c r="AEO59" s="456"/>
      <c r="AEP59" s="456"/>
      <c r="AEQ59" s="456"/>
      <c r="AER59" s="456"/>
      <c r="AES59" s="456"/>
      <c r="AET59" s="456"/>
      <c r="AEU59" s="456"/>
      <c r="AEV59" s="456"/>
      <c r="AEW59" s="456"/>
      <c r="AEX59" s="456"/>
      <c r="AEY59" s="456"/>
      <c r="AEZ59" s="456"/>
      <c r="AFA59" s="456"/>
      <c r="AFB59" s="456"/>
      <c r="AFC59" s="456"/>
      <c r="AFD59" s="456"/>
      <c r="AFE59" s="456"/>
      <c r="AFF59" s="456"/>
      <c r="AFG59" s="456"/>
      <c r="AFH59" s="456"/>
      <c r="AFI59" s="456"/>
      <c r="AFJ59" s="456"/>
      <c r="AFK59" s="456"/>
      <c r="AFL59" s="456"/>
      <c r="AFM59" s="456"/>
      <c r="AFN59" s="456"/>
      <c r="AFO59" s="456"/>
      <c r="AFP59" s="456"/>
      <c r="AFQ59" s="456"/>
      <c r="AFR59" s="456"/>
      <c r="AFS59" s="456"/>
      <c r="AFT59" s="456"/>
      <c r="AFU59" s="456"/>
      <c r="AFV59" s="456"/>
      <c r="AFW59" s="456"/>
      <c r="AFX59" s="456"/>
      <c r="AFY59" s="456"/>
      <c r="AFZ59" s="456"/>
      <c r="AGA59" s="456"/>
      <c r="AGB59" s="456"/>
      <c r="AGC59" s="456"/>
      <c r="AGD59" s="456"/>
      <c r="AGE59" s="456"/>
      <c r="AGF59" s="456"/>
      <c r="AGG59" s="456"/>
      <c r="AGH59" s="456"/>
      <c r="AGI59" s="456"/>
      <c r="AGJ59" s="456"/>
      <c r="AGK59" s="456"/>
      <c r="AGL59" s="456"/>
      <c r="AGM59" s="456"/>
      <c r="AGN59" s="456"/>
      <c r="AGO59" s="456"/>
      <c r="AGP59" s="456"/>
      <c r="AGQ59" s="456"/>
      <c r="AGR59" s="456"/>
      <c r="AGS59" s="456"/>
      <c r="AGT59" s="456"/>
      <c r="AGU59" s="456"/>
      <c r="AGV59" s="456"/>
      <c r="AGW59" s="456"/>
      <c r="AGX59" s="456"/>
      <c r="AGY59" s="456"/>
      <c r="AGZ59" s="456"/>
      <c r="AHA59" s="456"/>
      <c r="AHB59" s="456"/>
      <c r="AHC59" s="456"/>
      <c r="AHD59" s="456"/>
      <c r="AHE59" s="456"/>
      <c r="AHF59" s="456"/>
      <c r="AHG59" s="456"/>
      <c r="AHH59" s="456"/>
      <c r="AHI59" s="456"/>
      <c r="AHJ59" s="456"/>
      <c r="AHK59" s="456"/>
      <c r="AHL59" s="456"/>
      <c r="AHM59" s="456"/>
      <c r="AHN59" s="456"/>
      <c r="AHO59" s="456"/>
      <c r="AHP59" s="456"/>
      <c r="AHQ59" s="456"/>
      <c r="AHR59" s="456"/>
      <c r="AHS59" s="456"/>
      <c r="AHT59" s="456"/>
      <c r="AHU59" s="456"/>
      <c r="AHV59" s="456"/>
      <c r="AHW59" s="456"/>
      <c r="AHX59" s="456"/>
      <c r="AHY59" s="456"/>
      <c r="AHZ59" s="456"/>
      <c r="AIA59" s="456"/>
      <c r="AIB59" s="456"/>
      <c r="AIC59" s="456"/>
      <c r="AID59" s="456"/>
      <c r="AIE59" s="456"/>
      <c r="AIF59" s="456"/>
      <c r="AIG59" s="456"/>
      <c r="AIH59" s="456"/>
      <c r="AII59" s="456"/>
      <c r="AIJ59" s="456"/>
      <c r="AIK59" s="456"/>
      <c r="AIL59" s="456"/>
      <c r="AIM59" s="456"/>
      <c r="AIN59" s="456"/>
      <c r="AIO59" s="456"/>
      <c r="AIP59" s="456"/>
      <c r="AIQ59" s="456"/>
      <c r="AIR59" s="456"/>
      <c r="AIS59" s="456"/>
      <c r="AIT59" s="456"/>
      <c r="AIU59" s="456"/>
      <c r="AIV59" s="456"/>
      <c r="AIW59" s="456"/>
      <c r="AIX59" s="456"/>
      <c r="AIY59" s="456"/>
      <c r="AIZ59" s="456"/>
      <c r="AJA59" s="456"/>
      <c r="AJB59" s="456"/>
      <c r="AJC59" s="456"/>
      <c r="AJD59" s="456"/>
      <c r="AJE59" s="456"/>
      <c r="AJF59" s="456"/>
      <c r="AJG59" s="456"/>
      <c r="AJH59" s="456"/>
      <c r="AJI59" s="456"/>
      <c r="AJJ59" s="456"/>
      <c r="AJK59" s="456"/>
      <c r="AJL59" s="456"/>
      <c r="AJM59" s="456"/>
      <c r="AJN59" s="456"/>
      <c r="AJO59" s="456"/>
      <c r="AJP59" s="456"/>
      <c r="AJQ59" s="456"/>
      <c r="AJR59" s="456"/>
      <c r="AJS59" s="456"/>
      <c r="AJT59" s="456"/>
      <c r="AJU59" s="456"/>
      <c r="AJV59" s="456"/>
      <c r="AJW59" s="456"/>
      <c r="AJX59" s="456"/>
      <c r="AJY59" s="456"/>
      <c r="AJZ59" s="456"/>
      <c r="AKA59" s="456"/>
      <c r="AKB59" s="456"/>
      <c r="AKC59" s="456"/>
      <c r="AKD59" s="456"/>
      <c r="AKE59" s="456"/>
      <c r="AKF59" s="456"/>
      <c r="AKG59" s="456"/>
      <c r="AKH59" s="456"/>
      <c r="AKI59" s="456"/>
      <c r="AKJ59" s="456"/>
      <c r="AKK59" s="456"/>
      <c r="AKL59" s="456"/>
      <c r="AKM59" s="456"/>
      <c r="AKN59" s="456"/>
      <c r="AKO59" s="456"/>
      <c r="AKP59" s="456"/>
      <c r="AKQ59" s="456"/>
      <c r="AKR59" s="456"/>
      <c r="AKS59" s="456"/>
      <c r="AKT59" s="456"/>
      <c r="AKU59" s="456"/>
      <c r="AKV59" s="456"/>
      <c r="AKW59" s="456"/>
      <c r="AKX59" s="456"/>
      <c r="AKY59" s="456"/>
      <c r="AKZ59" s="456"/>
      <c r="ALA59" s="456"/>
      <c r="ALB59" s="456"/>
      <c r="ALC59" s="456"/>
      <c r="ALD59" s="456"/>
      <c r="ALE59" s="456"/>
      <c r="ALF59" s="456"/>
      <c r="ALG59" s="456"/>
      <c r="ALH59" s="456"/>
      <c r="ALI59" s="456"/>
      <c r="ALJ59" s="456"/>
      <c r="ALK59" s="456"/>
      <c r="ALL59" s="456"/>
      <c r="ALM59" s="456"/>
      <c r="ALN59" s="456"/>
      <c r="ALO59" s="456"/>
      <c r="ALP59" s="456"/>
      <c r="ALQ59" s="456"/>
      <c r="ALR59" s="456"/>
      <c r="ALS59" s="456"/>
      <c r="ALT59" s="456"/>
      <c r="ALU59" s="456"/>
      <c r="ALV59" s="456"/>
      <c r="ALW59" s="456"/>
      <c r="ALX59" s="456"/>
      <c r="ALY59" s="456"/>
      <c r="ALZ59" s="456"/>
      <c r="AMA59" s="456"/>
      <c r="AMB59" s="456"/>
      <c r="AMC59" s="456"/>
      <c r="AMD59" s="456"/>
      <c r="AME59" s="456"/>
      <c r="AMF59" s="456"/>
      <c r="AMG59" s="456"/>
      <c r="AMH59" s="456"/>
      <c r="AMI59" s="456"/>
      <c r="AMJ59" s="456"/>
      <c r="AMK59" s="456"/>
      <c r="AML59" s="456"/>
      <c r="AMM59" s="456"/>
      <c r="AMN59" s="456"/>
      <c r="AMO59" s="456"/>
      <c r="AMP59" s="456"/>
      <c r="AMQ59" s="456"/>
      <c r="AMR59" s="456"/>
      <c r="AMS59" s="456"/>
      <c r="AMT59" s="456"/>
      <c r="AMU59" s="456"/>
      <c r="AMV59" s="456"/>
      <c r="AMW59" s="456"/>
      <c r="AMX59" s="456"/>
      <c r="AMY59" s="456"/>
      <c r="AMZ59" s="456"/>
      <c r="ANA59" s="456"/>
      <c r="ANB59" s="456"/>
      <c r="ANC59" s="456"/>
      <c r="AND59" s="456"/>
      <c r="ANE59" s="456"/>
      <c r="ANF59" s="456"/>
      <c r="ANG59" s="456"/>
      <c r="ANH59" s="456"/>
      <c r="ANI59" s="456"/>
      <c r="ANJ59" s="456"/>
      <c r="ANK59" s="456"/>
      <c r="ANL59" s="456"/>
      <c r="ANM59" s="456"/>
      <c r="ANN59" s="456"/>
      <c r="ANO59" s="456"/>
      <c r="ANP59" s="456"/>
      <c r="ANQ59" s="456"/>
      <c r="ANR59" s="456"/>
      <c r="ANS59" s="456"/>
      <c r="ANT59" s="456"/>
      <c r="ANU59" s="456"/>
      <c r="ANV59" s="456"/>
      <c r="ANW59" s="456"/>
      <c r="ANX59" s="456"/>
      <c r="ANY59" s="456"/>
      <c r="ANZ59" s="456"/>
      <c r="AOA59" s="456"/>
      <c r="AOB59" s="456"/>
      <c r="AOC59" s="456"/>
      <c r="AOD59" s="456"/>
      <c r="AOE59" s="456"/>
      <c r="AOF59" s="456"/>
      <c r="AOG59" s="456"/>
      <c r="AOH59" s="456"/>
      <c r="AOI59" s="456"/>
      <c r="AOJ59" s="456"/>
      <c r="AOK59" s="456"/>
      <c r="AOL59" s="456"/>
      <c r="AOM59" s="456"/>
      <c r="AON59" s="456"/>
      <c r="AOO59" s="456"/>
      <c r="AOP59" s="456"/>
      <c r="AOQ59" s="456"/>
      <c r="AOR59" s="456"/>
      <c r="AOS59" s="456"/>
      <c r="AOT59" s="456"/>
      <c r="AOU59" s="456"/>
      <c r="AOV59" s="456"/>
      <c r="AOW59" s="456"/>
      <c r="AOX59" s="456"/>
      <c r="AOY59" s="456"/>
      <c r="AOZ59" s="456"/>
      <c r="APA59" s="456"/>
      <c r="APB59" s="456"/>
      <c r="APC59" s="456"/>
      <c r="APD59" s="456"/>
      <c r="APE59" s="456"/>
      <c r="APF59" s="456"/>
      <c r="APG59" s="456"/>
      <c r="APH59" s="456"/>
      <c r="API59" s="456"/>
      <c r="APJ59" s="456"/>
      <c r="APK59" s="456"/>
      <c r="APL59" s="456"/>
      <c r="APM59" s="456"/>
      <c r="APN59" s="456"/>
      <c r="APO59" s="456"/>
      <c r="APP59" s="456"/>
      <c r="APQ59" s="456"/>
      <c r="APR59" s="456"/>
      <c r="APS59" s="456"/>
      <c r="APT59" s="456"/>
      <c r="APU59" s="456"/>
      <c r="APV59" s="456"/>
      <c r="APW59" s="456"/>
      <c r="APX59" s="456"/>
      <c r="APY59" s="456"/>
      <c r="APZ59" s="456"/>
      <c r="AQA59" s="456"/>
      <c r="AQB59" s="456"/>
      <c r="AQC59" s="456"/>
      <c r="AQD59" s="456"/>
      <c r="AQE59" s="456"/>
      <c r="AQF59" s="456"/>
      <c r="AQG59" s="456"/>
      <c r="AQH59" s="456"/>
      <c r="AQI59" s="456"/>
      <c r="AQJ59" s="456"/>
      <c r="AQK59" s="456"/>
      <c r="AQL59" s="456"/>
      <c r="AQM59" s="456"/>
      <c r="AQN59" s="456"/>
      <c r="AQO59" s="456"/>
      <c r="AQP59" s="456"/>
      <c r="AQQ59" s="456"/>
      <c r="AQR59" s="456"/>
      <c r="AQS59" s="456"/>
      <c r="AQT59" s="456"/>
      <c r="AQU59" s="456"/>
      <c r="AQV59" s="456"/>
      <c r="AQW59" s="456"/>
      <c r="AQX59" s="456"/>
      <c r="AQY59" s="456"/>
      <c r="AQZ59" s="456"/>
      <c r="ARA59" s="456"/>
      <c r="ARB59" s="456"/>
      <c r="ARC59" s="456"/>
      <c r="ARD59" s="456"/>
      <c r="ARE59" s="456"/>
      <c r="ARF59" s="456"/>
      <c r="ARG59" s="456"/>
      <c r="ARH59" s="456"/>
      <c r="ARI59" s="456"/>
      <c r="ARJ59" s="456"/>
      <c r="ARK59" s="456"/>
      <c r="ARL59" s="456"/>
      <c r="ARM59" s="456"/>
      <c r="ARN59" s="456"/>
      <c r="ARO59" s="456"/>
      <c r="ARP59" s="456"/>
      <c r="ARQ59" s="456"/>
      <c r="ARR59" s="456"/>
      <c r="ARS59" s="456"/>
      <c r="ART59" s="456"/>
      <c r="ARU59" s="456"/>
      <c r="ARV59" s="456"/>
      <c r="ARW59" s="456"/>
      <c r="ARX59" s="456"/>
      <c r="ARY59" s="456"/>
      <c r="ARZ59" s="456"/>
      <c r="ASA59" s="456"/>
      <c r="ASB59" s="456"/>
      <c r="ASC59" s="456"/>
      <c r="ASD59" s="456"/>
      <c r="ASE59" s="456"/>
      <c r="ASF59" s="456"/>
      <c r="ASG59" s="456"/>
      <c r="ASH59" s="456"/>
      <c r="ASI59" s="456"/>
      <c r="ASJ59" s="456"/>
      <c r="ASK59" s="456"/>
      <c r="ASL59" s="456"/>
      <c r="ASM59" s="456"/>
      <c r="ASN59" s="456"/>
      <c r="ASO59" s="456"/>
      <c r="ASP59" s="456"/>
      <c r="ASQ59" s="456"/>
      <c r="ASR59" s="456"/>
      <c r="ASS59" s="456"/>
      <c r="AST59" s="456"/>
      <c r="ASU59" s="456"/>
      <c r="ASV59" s="456"/>
      <c r="ASW59" s="456"/>
      <c r="ASX59" s="456"/>
      <c r="ASY59" s="456"/>
      <c r="ASZ59" s="456"/>
      <c r="ATA59" s="456"/>
      <c r="ATB59" s="456"/>
      <c r="ATC59" s="456"/>
      <c r="ATD59" s="456"/>
      <c r="ATE59" s="456"/>
      <c r="ATF59" s="456"/>
      <c r="ATG59" s="456"/>
      <c r="ATH59" s="456"/>
      <c r="ATI59" s="456"/>
      <c r="ATJ59" s="456"/>
      <c r="ATK59" s="456"/>
      <c r="ATL59" s="456"/>
      <c r="ATM59" s="456"/>
      <c r="ATN59" s="456"/>
      <c r="ATO59" s="456"/>
      <c r="ATP59" s="456"/>
      <c r="ATQ59" s="456"/>
      <c r="ATR59" s="456"/>
      <c r="ATS59" s="456"/>
      <c r="ATT59" s="456"/>
      <c r="ATU59" s="456"/>
      <c r="ATV59" s="456"/>
      <c r="ATW59" s="456"/>
      <c r="ATX59" s="456"/>
      <c r="ATY59" s="456"/>
      <c r="ATZ59" s="456"/>
      <c r="AUA59" s="456"/>
      <c r="AUB59" s="456"/>
      <c r="AUC59" s="456"/>
      <c r="AUD59" s="456"/>
      <c r="AUE59" s="456"/>
      <c r="AUF59" s="456"/>
      <c r="AUG59" s="456"/>
      <c r="AUH59" s="456"/>
      <c r="AUI59" s="456"/>
      <c r="AUJ59" s="456"/>
      <c r="AUK59" s="456"/>
      <c r="AUL59" s="456"/>
      <c r="AUM59" s="456"/>
      <c r="AUN59" s="456"/>
      <c r="AUO59" s="456"/>
      <c r="AUP59" s="456"/>
      <c r="AUQ59" s="456"/>
      <c r="AUR59" s="456"/>
      <c r="AUS59" s="456"/>
      <c r="AUT59" s="456"/>
      <c r="AUU59" s="456"/>
      <c r="AUV59" s="456"/>
      <c r="AUW59" s="456"/>
      <c r="AUX59" s="456"/>
      <c r="AUY59" s="456"/>
      <c r="AUZ59" s="456"/>
      <c r="AVA59" s="456"/>
      <c r="AVB59" s="456"/>
      <c r="AVC59" s="456"/>
      <c r="AVD59" s="456"/>
      <c r="AVE59" s="456"/>
      <c r="AVF59" s="456"/>
      <c r="AVG59" s="456"/>
      <c r="AVH59" s="456"/>
      <c r="AVI59" s="456"/>
      <c r="AVJ59" s="456"/>
      <c r="AVK59" s="456"/>
      <c r="AVL59" s="456"/>
      <c r="AVM59" s="456"/>
      <c r="AVN59" s="456"/>
      <c r="AVO59" s="456"/>
      <c r="AVP59" s="456"/>
      <c r="AVQ59" s="456"/>
      <c r="AVR59" s="456"/>
      <c r="AVS59" s="456"/>
      <c r="AVT59" s="456"/>
      <c r="AVU59" s="456"/>
      <c r="AVV59" s="456"/>
      <c r="AVW59" s="456"/>
      <c r="AVX59" s="456"/>
      <c r="AVY59" s="456"/>
      <c r="AVZ59" s="456"/>
      <c r="AWA59" s="456"/>
      <c r="AWB59" s="456"/>
      <c r="AWC59" s="456"/>
      <c r="AWD59" s="456"/>
      <c r="AWE59" s="456"/>
      <c r="AWF59" s="456"/>
      <c r="AWG59" s="456"/>
      <c r="AWH59" s="456"/>
      <c r="AWI59" s="456"/>
      <c r="AWJ59" s="456"/>
      <c r="AWK59" s="456"/>
      <c r="AWL59" s="456"/>
      <c r="AWM59" s="456"/>
      <c r="AWN59" s="456"/>
      <c r="AWO59" s="456"/>
      <c r="AWP59" s="456"/>
      <c r="AWQ59" s="456"/>
      <c r="AWR59" s="456"/>
      <c r="AWS59" s="456"/>
      <c r="AWT59" s="456"/>
      <c r="AWU59" s="456"/>
      <c r="AWV59" s="456"/>
      <c r="AWW59" s="456"/>
      <c r="AWX59" s="456"/>
      <c r="AWY59" s="456"/>
      <c r="AWZ59" s="456"/>
      <c r="AXA59" s="456"/>
      <c r="AXB59" s="456"/>
      <c r="AXC59" s="456"/>
      <c r="AXD59" s="456"/>
      <c r="AXE59" s="456"/>
      <c r="AXF59" s="456"/>
      <c r="AXG59" s="456"/>
      <c r="AXH59" s="456"/>
      <c r="AXI59" s="456"/>
      <c r="AXJ59" s="456"/>
      <c r="AXK59" s="456"/>
      <c r="AXL59" s="456"/>
      <c r="AXM59" s="456"/>
      <c r="AXN59" s="456"/>
      <c r="AXO59" s="456"/>
      <c r="AXP59" s="456"/>
      <c r="AXQ59" s="456"/>
      <c r="AXR59" s="456"/>
      <c r="AXS59" s="456"/>
      <c r="AXT59" s="456"/>
      <c r="AXU59" s="456"/>
      <c r="AXV59" s="456"/>
      <c r="AXW59" s="456"/>
      <c r="AXX59" s="456"/>
      <c r="AXY59" s="456"/>
      <c r="AXZ59" s="456"/>
      <c r="AYA59" s="456"/>
      <c r="AYB59" s="456"/>
      <c r="AYC59" s="456"/>
      <c r="AYD59" s="456"/>
      <c r="AYE59" s="456"/>
      <c r="AYF59" s="456"/>
      <c r="AYG59" s="456"/>
      <c r="AYH59" s="456"/>
      <c r="AYI59" s="456"/>
      <c r="AYJ59" s="456"/>
      <c r="AYK59" s="456"/>
      <c r="AYL59" s="456"/>
      <c r="AYM59" s="456"/>
      <c r="AYN59" s="456"/>
      <c r="AYO59" s="456"/>
      <c r="AYP59" s="456"/>
      <c r="AYQ59" s="456"/>
      <c r="AYR59" s="456"/>
      <c r="AYS59" s="456"/>
      <c r="AYT59" s="456"/>
      <c r="AYU59" s="456"/>
      <c r="AYV59" s="456"/>
      <c r="AYW59" s="456"/>
      <c r="AYX59" s="456"/>
      <c r="AYY59" s="456"/>
      <c r="AYZ59" s="456"/>
      <c r="AZA59" s="456"/>
      <c r="AZB59" s="456"/>
      <c r="AZC59" s="456"/>
      <c r="AZD59" s="456"/>
      <c r="AZE59" s="456"/>
      <c r="AZF59" s="456"/>
      <c r="AZG59" s="456"/>
      <c r="AZH59" s="456"/>
      <c r="AZI59" s="456"/>
      <c r="AZJ59" s="456"/>
      <c r="AZK59" s="456"/>
      <c r="AZL59" s="456"/>
      <c r="AZM59" s="456"/>
      <c r="AZN59" s="456"/>
      <c r="AZO59" s="456"/>
      <c r="AZP59" s="456"/>
      <c r="AZQ59" s="456"/>
      <c r="AZR59" s="456"/>
      <c r="AZS59" s="456"/>
      <c r="AZT59" s="456"/>
      <c r="AZU59" s="456"/>
      <c r="AZV59" s="456"/>
      <c r="AZW59" s="456"/>
      <c r="AZX59" s="456"/>
      <c r="AZY59" s="456"/>
      <c r="AZZ59" s="456"/>
      <c r="BAA59" s="456"/>
      <c r="BAB59" s="456"/>
      <c r="BAC59" s="456"/>
      <c r="BAD59" s="456"/>
      <c r="BAE59" s="456"/>
      <c r="BAF59" s="456"/>
      <c r="BAG59" s="456"/>
      <c r="BAH59" s="456"/>
      <c r="BAI59" s="456"/>
      <c r="BAJ59" s="456"/>
      <c r="BAK59" s="456"/>
      <c r="BAL59" s="456"/>
      <c r="BAM59" s="456"/>
      <c r="BAN59" s="456"/>
      <c r="BAO59" s="456"/>
      <c r="BAP59" s="456"/>
      <c r="BAQ59" s="456"/>
      <c r="BAR59" s="456"/>
      <c r="BAS59" s="456"/>
      <c r="BAT59" s="456"/>
      <c r="BAU59" s="456"/>
      <c r="BAV59" s="456"/>
      <c r="BAW59" s="456"/>
      <c r="BAX59" s="456"/>
      <c r="BAY59" s="456"/>
      <c r="BAZ59" s="456"/>
      <c r="BBA59" s="456"/>
      <c r="BBB59" s="456"/>
      <c r="BBC59" s="456"/>
      <c r="BBD59" s="456"/>
      <c r="BBE59" s="456"/>
      <c r="BBF59" s="456"/>
      <c r="BBG59" s="456"/>
      <c r="BBH59" s="456"/>
      <c r="BBI59" s="456"/>
      <c r="BBJ59" s="456"/>
      <c r="BBK59" s="456"/>
      <c r="BBL59" s="456"/>
      <c r="BBM59" s="456"/>
      <c r="BBN59" s="456"/>
      <c r="BBO59" s="456"/>
      <c r="BBP59" s="456"/>
      <c r="BBQ59" s="456"/>
      <c r="BBR59" s="456"/>
      <c r="BBS59" s="456"/>
      <c r="BBT59" s="456"/>
      <c r="BBU59" s="456"/>
      <c r="BBV59" s="456"/>
      <c r="BBW59" s="456"/>
      <c r="BBX59" s="456"/>
      <c r="BBY59" s="456"/>
      <c r="BBZ59" s="456"/>
      <c r="BCA59" s="456"/>
      <c r="BCB59" s="456"/>
      <c r="BCC59" s="456"/>
      <c r="BCD59" s="456"/>
      <c r="BCE59" s="456"/>
      <c r="BCF59" s="456"/>
      <c r="BCG59" s="456"/>
      <c r="BCH59" s="456"/>
      <c r="BCI59" s="456"/>
      <c r="BCJ59" s="456"/>
      <c r="BCK59" s="456"/>
      <c r="BCL59" s="456"/>
      <c r="BCM59" s="456"/>
      <c r="BCN59" s="456"/>
      <c r="BCO59" s="456"/>
      <c r="BCP59" s="456"/>
      <c r="BCQ59" s="456"/>
      <c r="BCR59" s="456"/>
      <c r="BCS59" s="456"/>
      <c r="BCT59" s="456"/>
      <c r="BCU59" s="456"/>
      <c r="BCV59" s="456"/>
      <c r="BCW59" s="456"/>
      <c r="BCX59" s="456"/>
      <c r="BCY59" s="456"/>
      <c r="BCZ59" s="456"/>
      <c r="BDA59" s="456"/>
      <c r="BDB59" s="456"/>
      <c r="BDC59" s="456"/>
      <c r="BDD59" s="456"/>
      <c r="BDE59" s="456"/>
      <c r="BDF59" s="456"/>
      <c r="BDG59" s="456"/>
      <c r="BDH59" s="456"/>
      <c r="BDI59" s="456"/>
      <c r="BDJ59" s="456"/>
      <c r="BDK59" s="456"/>
      <c r="BDL59" s="456"/>
      <c r="BDM59" s="456"/>
      <c r="BDN59" s="456"/>
      <c r="BDO59" s="456"/>
      <c r="BDP59" s="456"/>
      <c r="BDQ59" s="456"/>
      <c r="BDR59" s="456"/>
      <c r="BDS59" s="456"/>
      <c r="BDT59" s="456"/>
      <c r="BDU59" s="456"/>
      <c r="BDV59" s="456"/>
      <c r="BDW59" s="456"/>
      <c r="BDX59" s="456"/>
      <c r="BDY59" s="456"/>
      <c r="BDZ59" s="456"/>
      <c r="BEA59" s="456"/>
      <c r="BEB59" s="456"/>
      <c r="BEC59" s="456"/>
      <c r="BED59" s="456"/>
      <c r="BEE59" s="456"/>
      <c r="BEF59" s="456"/>
      <c r="BEG59" s="456"/>
      <c r="BEH59" s="456"/>
      <c r="BEI59" s="456"/>
      <c r="BEJ59" s="456"/>
      <c r="BEK59" s="456"/>
      <c r="BEL59" s="456"/>
      <c r="BEM59" s="456"/>
      <c r="BEN59" s="456"/>
      <c r="BEO59" s="456"/>
      <c r="BEP59" s="456"/>
      <c r="BEQ59" s="456"/>
      <c r="BER59" s="456"/>
      <c r="BES59" s="456"/>
      <c r="BET59" s="456"/>
      <c r="BEU59" s="456"/>
      <c r="BEV59" s="456"/>
      <c r="BEW59" s="456"/>
      <c r="BEX59" s="456"/>
      <c r="BEY59" s="456"/>
      <c r="BEZ59" s="456"/>
      <c r="BFA59" s="456"/>
      <c r="BFB59" s="456"/>
      <c r="BFC59" s="456"/>
      <c r="BFD59" s="456"/>
      <c r="BFE59" s="456"/>
      <c r="BFF59" s="456"/>
      <c r="BFG59" s="456"/>
      <c r="BFH59" s="456"/>
      <c r="BFI59" s="456"/>
      <c r="BFJ59" s="456"/>
      <c r="BFK59" s="456"/>
      <c r="BFL59" s="456"/>
      <c r="BFM59" s="456"/>
      <c r="BFN59" s="456"/>
      <c r="BFO59" s="456"/>
      <c r="BFP59" s="456"/>
      <c r="BFQ59" s="456"/>
      <c r="BFR59" s="456"/>
      <c r="BFS59" s="456"/>
      <c r="BFT59" s="456"/>
      <c r="BFU59" s="456"/>
      <c r="BFV59" s="456"/>
      <c r="BFW59" s="456"/>
      <c r="BFX59" s="456"/>
      <c r="BFY59" s="456"/>
      <c r="BFZ59" s="456"/>
      <c r="BGA59" s="456"/>
      <c r="BGB59" s="456"/>
      <c r="BGC59" s="456"/>
      <c r="BGD59" s="456"/>
      <c r="BGE59" s="456"/>
      <c r="BGF59" s="456"/>
      <c r="BGG59" s="456"/>
      <c r="BGH59" s="456"/>
      <c r="BGI59" s="456"/>
      <c r="BGJ59" s="456"/>
      <c r="BGK59" s="456"/>
      <c r="BGL59" s="456"/>
      <c r="BGM59" s="456"/>
      <c r="BGN59" s="456"/>
      <c r="BGO59" s="456"/>
      <c r="BGP59" s="456"/>
      <c r="BGQ59" s="456"/>
      <c r="BGR59" s="456"/>
      <c r="BGS59" s="456"/>
      <c r="BGT59" s="456"/>
      <c r="BGU59" s="456"/>
      <c r="BGV59" s="456"/>
      <c r="BGW59" s="456"/>
      <c r="BGX59" s="456"/>
      <c r="BGY59" s="456"/>
      <c r="BGZ59" s="456"/>
      <c r="BHA59" s="456"/>
      <c r="BHB59" s="456"/>
      <c r="BHC59" s="456"/>
      <c r="BHD59" s="456"/>
      <c r="BHE59" s="456"/>
      <c r="BHF59" s="456"/>
      <c r="BHG59" s="456"/>
      <c r="BHH59" s="456"/>
      <c r="BHI59" s="456"/>
      <c r="BHJ59" s="456"/>
      <c r="BHK59" s="456"/>
      <c r="BHL59" s="456"/>
      <c r="BHM59" s="456"/>
      <c r="BHN59" s="456"/>
      <c r="BHO59" s="456"/>
      <c r="BHP59" s="456"/>
      <c r="BHQ59" s="456"/>
      <c r="BHR59" s="456"/>
      <c r="BHS59" s="456"/>
      <c r="BHT59" s="456"/>
      <c r="BHU59" s="456"/>
      <c r="BHV59" s="456"/>
      <c r="BHW59" s="456"/>
      <c r="BHX59" s="456"/>
      <c r="BHY59" s="456"/>
      <c r="BHZ59" s="456"/>
      <c r="BIA59" s="456"/>
      <c r="BIB59" s="456"/>
      <c r="BIC59" s="456"/>
      <c r="BID59" s="456"/>
      <c r="BIE59" s="456"/>
      <c r="BIF59" s="456"/>
      <c r="BIG59" s="456"/>
      <c r="BIH59" s="456"/>
      <c r="BII59" s="456"/>
      <c r="BIJ59" s="456"/>
      <c r="BIK59" s="456"/>
      <c r="BIL59" s="456"/>
      <c r="BIM59" s="456"/>
      <c r="BIN59" s="456"/>
      <c r="BIO59" s="456"/>
      <c r="BIP59" s="456"/>
      <c r="BIQ59" s="456"/>
      <c r="BIR59" s="456"/>
      <c r="BIS59" s="456"/>
      <c r="BIT59" s="456"/>
      <c r="BIU59" s="456"/>
      <c r="BIV59" s="456"/>
      <c r="BIW59" s="456"/>
      <c r="BIX59" s="456"/>
      <c r="BIY59" s="456"/>
      <c r="BIZ59" s="456"/>
      <c r="BJA59" s="456"/>
      <c r="BJB59" s="456"/>
      <c r="BJC59" s="456"/>
      <c r="BJD59" s="456"/>
      <c r="BJE59" s="456"/>
      <c r="BJF59" s="456"/>
      <c r="BJG59" s="456"/>
      <c r="BJH59" s="456"/>
      <c r="BJI59" s="456"/>
      <c r="BJJ59" s="456"/>
      <c r="BJK59" s="456"/>
      <c r="BJL59" s="456"/>
      <c r="BJM59" s="456"/>
      <c r="BJN59" s="456"/>
      <c r="BJO59" s="456"/>
      <c r="BJP59" s="456"/>
      <c r="BJQ59" s="456"/>
      <c r="BJR59" s="456"/>
      <c r="BJS59" s="456"/>
      <c r="BJT59" s="456"/>
      <c r="BJU59" s="456"/>
      <c r="BJV59" s="456"/>
      <c r="BJW59" s="456"/>
      <c r="BJX59" s="456"/>
      <c r="BJY59" s="456"/>
      <c r="BJZ59" s="456"/>
      <c r="BKA59" s="456"/>
      <c r="BKB59" s="456"/>
      <c r="BKC59" s="456"/>
      <c r="BKD59" s="456"/>
      <c r="BKE59" s="456"/>
      <c r="BKF59" s="456"/>
      <c r="BKG59" s="456"/>
      <c r="BKH59" s="456"/>
      <c r="BKI59" s="456"/>
      <c r="BKJ59" s="456"/>
      <c r="BKK59" s="456"/>
      <c r="BKL59" s="456"/>
      <c r="BKM59" s="456"/>
      <c r="BKN59" s="456"/>
      <c r="BKO59" s="456"/>
      <c r="BKP59" s="456"/>
      <c r="BKQ59" s="456"/>
      <c r="BKR59" s="456"/>
      <c r="BKS59" s="456"/>
      <c r="BKT59" s="456"/>
      <c r="BKU59" s="456"/>
      <c r="BKV59" s="456"/>
      <c r="BKW59" s="456"/>
      <c r="BKX59" s="456"/>
      <c r="BKY59" s="456"/>
      <c r="BKZ59" s="456"/>
      <c r="BLA59" s="456"/>
      <c r="BLB59" s="456"/>
      <c r="BLC59" s="456"/>
      <c r="BLD59" s="456"/>
      <c r="BLE59" s="456"/>
      <c r="BLF59" s="456"/>
      <c r="BLG59" s="456"/>
      <c r="BLH59" s="456"/>
      <c r="BLI59" s="456"/>
      <c r="BLJ59" s="456"/>
      <c r="BLK59" s="456"/>
      <c r="BLL59" s="456"/>
      <c r="BLM59" s="456"/>
      <c r="BLN59" s="456"/>
      <c r="BLO59" s="456"/>
      <c r="BLP59" s="456"/>
      <c r="BLQ59" s="456"/>
      <c r="BLR59" s="456"/>
      <c r="BLS59" s="456"/>
      <c r="BLT59" s="456"/>
      <c r="BLU59" s="456"/>
      <c r="BLV59" s="456"/>
      <c r="BLW59" s="456"/>
      <c r="BLX59" s="456"/>
      <c r="BLY59" s="456"/>
      <c r="BLZ59" s="456"/>
      <c r="BMA59" s="456"/>
      <c r="BMB59" s="456"/>
      <c r="BMC59" s="456"/>
      <c r="BMD59" s="456"/>
      <c r="BME59" s="456"/>
      <c r="BMF59" s="456"/>
      <c r="BMG59" s="456"/>
      <c r="BMH59" s="456"/>
      <c r="BMI59" s="456"/>
      <c r="BMJ59" s="456"/>
      <c r="BMK59" s="456"/>
      <c r="BML59" s="456"/>
      <c r="BMM59" s="456"/>
      <c r="BMN59" s="456"/>
      <c r="BMO59" s="456"/>
      <c r="BMP59" s="456"/>
      <c r="BMQ59" s="456"/>
      <c r="BMR59" s="456"/>
      <c r="BMS59" s="456"/>
      <c r="BMT59" s="456"/>
      <c r="BMU59" s="456"/>
      <c r="BMV59" s="456"/>
      <c r="BMW59" s="456"/>
      <c r="BMX59" s="456"/>
      <c r="BMY59" s="456"/>
      <c r="BMZ59" s="456"/>
      <c r="BNA59" s="456"/>
      <c r="BNB59" s="456"/>
      <c r="BNC59" s="456"/>
      <c r="BND59" s="456"/>
      <c r="BNE59" s="456"/>
      <c r="BNF59" s="456"/>
      <c r="BNG59" s="456"/>
      <c r="BNH59" s="456"/>
      <c r="BNI59" s="456"/>
      <c r="BNJ59" s="456"/>
      <c r="BNK59" s="456"/>
      <c r="BNL59" s="456"/>
      <c r="BNM59" s="456"/>
      <c r="BNN59" s="456"/>
      <c r="BNO59" s="456"/>
      <c r="BNP59" s="456"/>
      <c r="BNQ59" s="456"/>
      <c r="BNR59" s="456"/>
      <c r="BNS59" s="456"/>
      <c r="BNT59" s="456"/>
      <c r="BNU59" s="456"/>
      <c r="BNV59" s="456"/>
      <c r="BNW59" s="456"/>
      <c r="BNX59" s="456"/>
      <c r="BNY59" s="456"/>
      <c r="BNZ59" s="456"/>
      <c r="BOA59" s="456"/>
      <c r="BOB59" s="456"/>
      <c r="BOC59" s="456"/>
      <c r="BOD59" s="456"/>
      <c r="BOE59" s="456"/>
      <c r="BOF59" s="456"/>
      <c r="BOG59" s="456"/>
      <c r="BOH59" s="456"/>
      <c r="BOI59" s="456"/>
      <c r="BOJ59" s="456"/>
      <c r="BOK59" s="456"/>
      <c r="BOL59" s="456"/>
      <c r="BOM59" s="456"/>
      <c r="BON59" s="456"/>
      <c r="BOO59" s="456"/>
      <c r="BOP59" s="456"/>
      <c r="BOQ59" s="456"/>
      <c r="BOR59" s="456"/>
      <c r="BOS59" s="456"/>
      <c r="BOT59" s="456"/>
      <c r="BOU59" s="456"/>
      <c r="BOV59" s="456"/>
      <c r="BOW59" s="456"/>
      <c r="BOX59" s="456"/>
      <c r="BOY59" s="456"/>
      <c r="BOZ59" s="456"/>
      <c r="BPA59" s="456"/>
      <c r="BPB59" s="456"/>
      <c r="BPC59" s="456"/>
      <c r="BPD59" s="456"/>
      <c r="BPE59" s="456"/>
      <c r="BPF59" s="456"/>
      <c r="BPG59" s="456"/>
      <c r="BPH59" s="456"/>
      <c r="BPI59" s="456"/>
      <c r="BPJ59" s="456"/>
      <c r="BPK59" s="456"/>
      <c r="BPL59" s="456"/>
      <c r="BPM59" s="456"/>
      <c r="BPN59" s="456"/>
      <c r="BPO59" s="456"/>
      <c r="BPP59" s="456"/>
      <c r="BPQ59" s="456"/>
      <c r="BPR59" s="456"/>
      <c r="BPS59" s="456"/>
      <c r="BPT59" s="456"/>
      <c r="BPU59" s="456"/>
      <c r="BPV59" s="456"/>
      <c r="BPW59" s="456"/>
      <c r="BPX59" s="456"/>
      <c r="BPY59" s="456"/>
      <c r="BPZ59" s="456"/>
      <c r="BQA59" s="456"/>
      <c r="BQB59" s="456"/>
      <c r="BQC59" s="456"/>
      <c r="BQD59" s="456"/>
      <c r="BQE59" s="456"/>
      <c r="BQF59" s="456"/>
      <c r="BQG59" s="456"/>
      <c r="BQH59" s="456"/>
      <c r="BQI59" s="456"/>
      <c r="BQJ59" s="456"/>
      <c r="BQK59" s="456"/>
      <c r="BQL59" s="456"/>
      <c r="BQM59" s="456"/>
      <c r="BQN59" s="456"/>
      <c r="BQO59" s="456"/>
      <c r="BQP59" s="456"/>
      <c r="BQQ59" s="456"/>
      <c r="BQR59" s="456"/>
      <c r="BQS59" s="456"/>
      <c r="BQT59" s="456"/>
      <c r="BQU59" s="456"/>
      <c r="BQV59" s="456"/>
      <c r="BQW59" s="456"/>
      <c r="BQX59" s="456"/>
      <c r="BQY59" s="456"/>
      <c r="BQZ59" s="456"/>
      <c r="BRA59" s="456"/>
      <c r="BRB59" s="456"/>
      <c r="BRC59" s="456"/>
      <c r="BRD59" s="456"/>
      <c r="BRE59" s="456"/>
      <c r="BRF59" s="456"/>
      <c r="BRG59" s="456"/>
      <c r="BRH59" s="456"/>
      <c r="BRI59" s="456"/>
      <c r="BRJ59" s="456"/>
      <c r="BRK59" s="456"/>
      <c r="BRL59" s="456"/>
      <c r="BRM59" s="456"/>
      <c r="BRN59" s="456"/>
      <c r="BRO59" s="456"/>
      <c r="BRP59" s="456"/>
      <c r="BRQ59" s="456"/>
      <c r="BRR59" s="456"/>
      <c r="BRS59" s="456"/>
      <c r="BRT59" s="456"/>
      <c r="BRU59" s="456"/>
      <c r="BRV59" s="456"/>
      <c r="BRW59" s="456"/>
      <c r="BRX59" s="456"/>
      <c r="BRY59" s="456"/>
      <c r="BRZ59" s="456"/>
      <c r="BSA59" s="456"/>
      <c r="BSB59" s="456"/>
      <c r="BSC59" s="456"/>
      <c r="BSD59" s="456"/>
      <c r="BSE59" s="456"/>
      <c r="BSF59" s="456"/>
      <c r="BSG59" s="456"/>
      <c r="BSH59" s="456"/>
      <c r="BSI59" s="456"/>
      <c r="BSJ59" s="456"/>
      <c r="BSK59" s="456"/>
      <c r="BSL59" s="456"/>
      <c r="BSM59" s="456"/>
      <c r="BSN59" s="456"/>
      <c r="BSO59" s="456"/>
      <c r="BSP59" s="456"/>
      <c r="BSQ59" s="456"/>
      <c r="BSR59" s="456"/>
      <c r="BSS59" s="456"/>
      <c r="BST59" s="456"/>
      <c r="BSU59" s="456"/>
      <c r="BSV59" s="456"/>
      <c r="BSW59" s="456"/>
      <c r="BSX59" s="456"/>
      <c r="BSY59" s="456"/>
      <c r="BSZ59" s="456"/>
      <c r="BTA59" s="456"/>
      <c r="BTB59" s="456"/>
      <c r="BTC59" s="456"/>
      <c r="BTD59" s="456"/>
      <c r="BTE59" s="456"/>
      <c r="BTF59" s="456"/>
      <c r="BTG59" s="456"/>
      <c r="BTH59" s="456"/>
      <c r="BTI59" s="456"/>
      <c r="BTJ59" s="456"/>
      <c r="BTK59" s="456"/>
      <c r="BTL59" s="456"/>
      <c r="BTM59" s="456"/>
      <c r="BTN59" s="456"/>
      <c r="BTO59" s="456"/>
      <c r="BTP59" s="456"/>
      <c r="BTQ59" s="456"/>
      <c r="BTR59" s="456"/>
      <c r="BTS59" s="456"/>
      <c r="BTT59" s="456"/>
      <c r="BTU59" s="456"/>
      <c r="BTV59" s="456"/>
      <c r="BTW59" s="456"/>
      <c r="BTX59" s="456"/>
      <c r="BTY59" s="456"/>
      <c r="BTZ59" s="456"/>
      <c r="BUA59" s="456"/>
      <c r="BUB59" s="456"/>
      <c r="BUC59" s="456"/>
      <c r="BUD59" s="456"/>
      <c r="BUE59" s="456"/>
      <c r="BUF59" s="456"/>
      <c r="BUG59" s="456"/>
      <c r="BUH59" s="456"/>
      <c r="BUI59" s="456"/>
      <c r="BUJ59" s="456"/>
      <c r="BUK59" s="456"/>
      <c r="BUL59" s="456"/>
      <c r="BUM59" s="456"/>
      <c r="BUN59" s="456"/>
      <c r="BUO59" s="456"/>
      <c r="BUP59" s="456"/>
      <c r="BUQ59" s="456"/>
      <c r="BUR59" s="456"/>
      <c r="BUS59" s="456"/>
      <c r="BUT59" s="456"/>
      <c r="BUU59" s="456"/>
      <c r="BUV59" s="456"/>
      <c r="BUW59" s="456"/>
      <c r="BUX59" s="456"/>
      <c r="BUY59" s="456"/>
      <c r="BUZ59" s="456"/>
      <c r="BVA59" s="456"/>
      <c r="BVB59" s="456"/>
      <c r="BVC59" s="456"/>
      <c r="BVD59" s="456"/>
      <c r="BVE59" s="456"/>
      <c r="BVF59" s="456"/>
      <c r="BVG59" s="456"/>
      <c r="BVH59" s="456"/>
      <c r="BVI59" s="456"/>
      <c r="BVJ59" s="456"/>
      <c r="BVK59" s="456"/>
      <c r="BVL59" s="456"/>
      <c r="BVM59" s="456"/>
      <c r="BVN59" s="456"/>
      <c r="BVO59" s="456"/>
      <c r="BVP59" s="456"/>
      <c r="BVQ59" s="456"/>
      <c r="BVR59" s="456"/>
      <c r="BVS59" s="456"/>
      <c r="BVT59" s="456"/>
      <c r="BVU59" s="456"/>
      <c r="BVV59" s="456"/>
      <c r="BVW59" s="456"/>
      <c r="BVX59" s="456"/>
      <c r="BVY59" s="456"/>
      <c r="BVZ59" s="456"/>
      <c r="BWA59" s="456"/>
      <c r="BWB59" s="456"/>
      <c r="BWC59" s="456"/>
      <c r="BWD59" s="456"/>
      <c r="BWE59" s="456"/>
      <c r="BWF59" s="456"/>
      <c r="BWG59" s="456"/>
      <c r="BWH59" s="456"/>
      <c r="BWI59" s="456"/>
      <c r="BWJ59" s="456"/>
      <c r="BWK59" s="456"/>
      <c r="BWL59" s="456"/>
      <c r="BWM59" s="456"/>
      <c r="BWN59" s="456"/>
      <c r="BWO59" s="456"/>
      <c r="BWP59" s="456"/>
      <c r="BWQ59" s="456"/>
      <c r="BWR59" s="456"/>
      <c r="BWS59" s="456"/>
      <c r="BWT59" s="456"/>
      <c r="BWU59" s="456"/>
      <c r="BWV59" s="456"/>
      <c r="BWW59" s="456"/>
      <c r="BWX59" s="456"/>
      <c r="BWY59" s="456"/>
      <c r="BWZ59" s="456"/>
      <c r="BXA59" s="456"/>
      <c r="BXB59" s="456"/>
      <c r="BXC59" s="456"/>
      <c r="BXD59" s="456"/>
      <c r="BXE59" s="456"/>
      <c r="BXF59" s="456"/>
      <c r="BXG59" s="456"/>
      <c r="BXH59" s="456"/>
      <c r="BXI59" s="456"/>
      <c r="BXJ59" s="456"/>
      <c r="BXK59" s="456"/>
      <c r="BXL59" s="456"/>
      <c r="BXM59" s="456"/>
      <c r="BXN59" s="456"/>
      <c r="BXO59" s="456"/>
      <c r="BXP59" s="456"/>
      <c r="BXQ59" s="456"/>
      <c r="BXR59" s="456"/>
      <c r="BXS59" s="456"/>
      <c r="BXT59" s="456"/>
      <c r="BXU59" s="456"/>
      <c r="BXV59" s="456"/>
      <c r="BXW59" s="456"/>
      <c r="BXX59" s="456"/>
      <c r="BXY59" s="456"/>
      <c r="BXZ59" s="456"/>
    </row>
    <row r="60" s="25" customFormat="1" spans="1:1024 1025:2002">
      <c r="A60" s="473" t="s">
        <v>34</v>
      </c>
      <c r="B60" s="19">
        <v>1119</v>
      </c>
      <c r="C60" s="183">
        <v>46181</v>
      </c>
      <c r="D60" s="17" t="s">
        <v>35</v>
      </c>
      <c r="E60" s="17" t="s">
        <v>71</v>
      </c>
      <c r="F60" s="17" t="s">
        <v>72</v>
      </c>
      <c r="G60" s="17"/>
      <c r="H60" s="19">
        <v>1.2379</v>
      </c>
      <c r="I60" s="19">
        <v>1.2379</v>
      </c>
      <c r="J60" s="17" t="s">
        <v>82</v>
      </c>
      <c r="K60" s="91">
        <v>610</v>
      </c>
      <c r="L60" s="23">
        <v>20</v>
      </c>
      <c r="M60" s="19">
        <v>5800</v>
      </c>
      <c r="N60" s="19" t="s">
        <v>40</v>
      </c>
      <c r="O60" s="19" t="s">
        <v>67</v>
      </c>
      <c r="P60" s="19">
        <v>2500</v>
      </c>
      <c r="Q60" s="19">
        <f>1490+672</f>
        <v>2162</v>
      </c>
      <c r="R60" s="19">
        <f t="shared" si="2"/>
        <v>338</v>
      </c>
      <c r="S60" s="477">
        <f t="shared" si="3"/>
        <v>2433</v>
      </c>
      <c r="T60" s="19" t="s">
        <v>42</v>
      </c>
      <c r="U60" s="102" t="s">
        <v>83</v>
      </c>
      <c r="V60" s="186">
        <v>46181</v>
      </c>
      <c r="W60" s="17" t="s">
        <v>69</v>
      </c>
      <c r="X60" s="17"/>
      <c r="Y60" s="68">
        <v>46327</v>
      </c>
      <c r="Z60" s="17" t="s">
        <v>45</v>
      </c>
      <c r="AA60" s="17" t="s">
        <v>46</v>
      </c>
      <c r="AB60" s="17" t="s">
        <v>75</v>
      </c>
      <c r="AC60" s="217">
        <v>46224</v>
      </c>
      <c r="AD60" s="65">
        <v>1837</v>
      </c>
      <c r="AE60" s="17" t="s">
        <v>48</v>
      </c>
      <c r="AF60" s="17" t="s">
        <v>76</v>
      </c>
      <c r="AG60" s="17"/>
      <c r="AH60" s="456"/>
      <c r="AI60" s="456"/>
      <c r="AJ60" s="456"/>
      <c r="AK60" s="456"/>
      <c r="AL60" s="456"/>
      <c r="AM60" s="456"/>
      <c r="AN60" s="456"/>
      <c r="AO60" s="456"/>
      <c r="AP60" s="456"/>
      <c r="AQ60" s="456"/>
      <c r="AR60" s="456"/>
      <c r="AS60" s="456"/>
      <c r="AT60" s="456"/>
      <c r="AU60" s="456"/>
      <c r="AV60" s="456"/>
      <c r="AW60" s="456"/>
      <c r="AX60" s="456"/>
      <c r="AY60" s="456"/>
      <c r="AZ60" s="456"/>
      <c r="BA60" s="456"/>
      <c r="BB60" s="456"/>
      <c r="BC60" s="456"/>
      <c r="BD60" s="456"/>
      <c r="BE60" s="456"/>
      <c r="BF60" s="456"/>
      <c r="BG60" s="456"/>
      <c r="BH60" s="456"/>
      <c r="BI60" s="456"/>
      <c r="BJ60" s="456"/>
      <c r="BK60" s="456"/>
      <c r="BL60" s="456"/>
      <c r="BM60" s="456"/>
      <c r="BN60" s="456"/>
      <c r="BO60" s="456"/>
      <c r="BP60" s="456"/>
      <c r="BQ60" s="456"/>
      <c r="BR60" s="456"/>
      <c r="BS60" s="456"/>
      <c r="BT60" s="456"/>
      <c r="BU60" s="456"/>
      <c r="BV60" s="456"/>
      <c r="BW60" s="456"/>
      <c r="BX60" s="456"/>
      <c r="BY60" s="456"/>
      <c r="BZ60" s="456"/>
      <c r="CA60" s="456"/>
      <c r="CB60" s="456"/>
      <c r="CC60" s="456"/>
      <c r="CD60" s="456"/>
      <c r="CE60" s="456"/>
      <c r="CF60" s="456"/>
      <c r="CG60" s="456"/>
      <c r="CH60" s="456"/>
      <c r="CI60" s="456"/>
      <c r="CJ60" s="456"/>
      <c r="CK60" s="456"/>
      <c r="CL60" s="456"/>
      <c r="CM60" s="456"/>
      <c r="CN60" s="456"/>
      <c r="CO60" s="456"/>
      <c r="CP60" s="456"/>
      <c r="CQ60" s="456"/>
      <c r="CR60" s="456"/>
      <c r="CS60" s="456"/>
      <c r="CT60" s="456"/>
      <c r="CU60" s="456"/>
      <c r="CV60" s="456"/>
      <c r="CW60" s="456"/>
      <c r="CX60" s="456"/>
      <c r="CY60" s="456"/>
      <c r="CZ60" s="456"/>
      <c r="DA60" s="456"/>
      <c r="DB60" s="456"/>
      <c r="DC60" s="456"/>
      <c r="DD60" s="456"/>
      <c r="DE60" s="456"/>
      <c r="DF60" s="456"/>
      <c r="DG60" s="456"/>
      <c r="DH60" s="456"/>
      <c r="DI60" s="456"/>
      <c r="DJ60" s="456"/>
      <c r="DK60" s="456"/>
      <c r="DL60" s="456"/>
      <c r="DM60" s="456"/>
      <c r="DN60" s="456"/>
      <c r="DO60" s="456"/>
      <c r="DP60" s="456"/>
      <c r="DQ60" s="456"/>
      <c r="DR60" s="456"/>
      <c r="DS60" s="456"/>
      <c r="DT60" s="456"/>
      <c r="DU60" s="456"/>
      <c r="DV60" s="456"/>
      <c r="DW60" s="456"/>
      <c r="DX60" s="456"/>
      <c r="DY60" s="456"/>
      <c r="DZ60" s="456"/>
      <c r="EA60" s="456"/>
      <c r="EB60" s="456"/>
      <c r="EC60" s="456"/>
      <c r="ED60" s="456"/>
      <c r="EE60" s="456"/>
      <c r="EF60" s="456"/>
      <c r="EG60" s="456"/>
      <c r="EH60" s="456"/>
      <c r="EI60" s="456"/>
      <c r="EJ60" s="456"/>
      <c r="EK60" s="456"/>
      <c r="EL60" s="456"/>
      <c r="EM60" s="456"/>
      <c r="EN60" s="456"/>
      <c r="EO60" s="456"/>
      <c r="EP60" s="456"/>
      <c r="EQ60" s="456"/>
      <c r="ER60" s="456"/>
      <c r="ES60" s="456"/>
      <c r="ET60" s="456"/>
      <c r="EU60" s="456"/>
      <c r="EV60" s="456"/>
      <c r="EW60" s="456"/>
      <c r="EX60" s="456"/>
      <c r="EY60" s="456"/>
      <c r="EZ60" s="456"/>
      <c r="FA60" s="456"/>
      <c r="FB60" s="456"/>
      <c r="FC60" s="456"/>
      <c r="FD60" s="456"/>
      <c r="FE60" s="456"/>
      <c r="FF60" s="456"/>
      <c r="FG60" s="456"/>
      <c r="FH60" s="456"/>
      <c r="FI60" s="456"/>
      <c r="FJ60" s="456"/>
      <c r="FK60" s="456"/>
      <c r="FL60" s="456"/>
      <c r="FM60" s="456"/>
      <c r="FN60" s="456"/>
      <c r="FO60" s="456"/>
      <c r="FP60" s="456"/>
      <c r="FQ60" s="456"/>
      <c r="FR60" s="456"/>
      <c r="FS60" s="456"/>
      <c r="FT60" s="456"/>
      <c r="FU60" s="456"/>
      <c r="FV60" s="456"/>
      <c r="FW60" s="456"/>
      <c r="FX60" s="456"/>
      <c r="FY60" s="456"/>
      <c r="FZ60" s="456"/>
      <c r="GA60" s="456"/>
      <c r="GB60" s="456"/>
      <c r="GC60" s="456"/>
      <c r="GD60" s="456"/>
      <c r="GE60" s="456"/>
      <c r="GF60" s="456"/>
      <c r="GG60" s="456"/>
      <c r="GH60" s="456"/>
      <c r="GI60" s="456"/>
      <c r="GJ60" s="456"/>
      <c r="GK60" s="456"/>
      <c r="GL60" s="456"/>
      <c r="GM60" s="456"/>
      <c r="GN60" s="456"/>
      <c r="GO60" s="456"/>
      <c r="GP60" s="456"/>
      <c r="GQ60" s="456"/>
      <c r="GR60" s="456"/>
      <c r="GS60" s="456"/>
      <c r="GT60" s="456"/>
      <c r="GU60" s="456"/>
      <c r="GV60" s="456"/>
      <c r="GW60" s="456"/>
      <c r="GX60" s="456"/>
      <c r="GY60" s="456"/>
      <c r="GZ60" s="456"/>
      <c r="HA60" s="456"/>
      <c r="HB60" s="456"/>
      <c r="HC60" s="456"/>
      <c r="HD60" s="456"/>
      <c r="HE60" s="456"/>
      <c r="HF60" s="456"/>
      <c r="HG60" s="456"/>
      <c r="HH60" s="456"/>
      <c r="HI60" s="456"/>
      <c r="HJ60" s="456"/>
      <c r="HK60" s="456"/>
      <c r="HL60" s="456"/>
      <c r="HM60" s="456"/>
      <c r="HN60" s="456"/>
      <c r="HO60" s="456"/>
      <c r="HP60" s="456"/>
      <c r="HQ60" s="456"/>
      <c r="HR60" s="456"/>
      <c r="HS60" s="456"/>
      <c r="HT60" s="456"/>
      <c r="HU60" s="456"/>
      <c r="HV60" s="456"/>
      <c r="HW60" s="456"/>
      <c r="HX60" s="456"/>
      <c r="HY60" s="456"/>
      <c r="HZ60" s="456"/>
      <c r="IA60" s="456"/>
      <c r="IB60" s="456"/>
      <c r="IC60" s="456"/>
      <c r="ID60" s="456"/>
      <c r="IE60" s="456"/>
      <c r="IF60" s="456"/>
      <c r="IG60" s="456"/>
      <c r="IH60" s="456"/>
      <c r="II60" s="456"/>
      <c r="IJ60" s="456"/>
      <c r="IK60" s="456"/>
      <c r="IL60" s="456"/>
      <c r="IM60" s="456"/>
      <c r="IN60" s="456"/>
      <c r="IO60" s="456"/>
      <c r="IP60" s="456"/>
      <c r="IQ60" s="456"/>
      <c r="IR60" s="456"/>
      <c r="IS60" s="456"/>
      <c r="IT60" s="456"/>
      <c r="IU60" s="456"/>
      <c r="IV60" s="456"/>
      <c r="IW60" s="456"/>
      <c r="IX60" s="456"/>
      <c r="IY60" s="456"/>
      <c r="IZ60" s="456"/>
      <c r="JA60" s="456"/>
      <c r="JB60" s="456"/>
      <c r="JC60" s="456"/>
      <c r="JD60" s="456"/>
      <c r="JE60" s="456"/>
      <c r="JF60" s="456"/>
      <c r="JG60" s="456"/>
      <c r="JH60" s="456"/>
      <c r="JI60" s="456"/>
      <c r="JJ60" s="456"/>
      <c r="JK60" s="456"/>
      <c r="JL60" s="456"/>
      <c r="JM60" s="456"/>
      <c r="JN60" s="456"/>
      <c r="JO60" s="456"/>
      <c r="JP60" s="456"/>
      <c r="JQ60" s="456"/>
      <c r="JR60" s="456"/>
      <c r="JS60" s="456"/>
      <c r="JT60" s="456"/>
      <c r="JU60" s="456"/>
      <c r="JV60" s="456"/>
      <c r="JW60" s="456"/>
      <c r="JX60" s="456"/>
      <c r="JY60" s="456"/>
      <c r="JZ60" s="456"/>
      <c r="KA60" s="456"/>
      <c r="KB60" s="456"/>
      <c r="KC60" s="456"/>
      <c r="KD60" s="456"/>
      <c r="KE60" s="456"/>
      <c r="KF60" s="456"/>
      <c r="KG60" s="456"/>
      <c r="KH60" s="456"/>
      <c r="KI60" s="456"/>
      <c r="KJ60" s="456"/>
      <c r="KK60" s="456"/>
      <c r="KL60" s="456"/>
      <c r="KM60" s="456"/>
      <c r="KN60" s="456"/>
      <c r="KO60" s="456"/>
      <c r="KP60" s="456"/>
      <c r="KQ60" s="456"/>
      <c r="KR60" s="456"/>
      <c r="KS60" s="456"/>
      <c r="KT60" s="456"/>
      <c r="KU60" s="456"/>
      <c r="KV60" s="456"/>
      <c r="KW60" s="456"/>
      <c r="KX60" s="456"/>
      <c r="KY60" s="456"/>
      <c r="KZ60" s="456"/>
      <c r="LA60" s="456"/>
      <c r="LB60" s="456"/>
      <c r="LC60" s="456"/>
      <c r="LD60" s="456"/>
      <c r="LE60" s="456"/>
      <c r="LF60" s="456"/>
      <c r="LG60" s="456"/>
      <c r="LH60" s="456"/>
      <c r="LI60" s="456"/>
      <c r="LJ60" s="456"/>
      <c r="LK60" s="456"/>
      <c r="LL60" s="456"/>
      <c r="LM60" s="456"/>
      <c r="LN60" s="456"/>
      <c r="LO60" s="456"/>
      <c r="LP60" s="456"/>
      <c r="LQ60" s="456"/>
      <c r="LR60" s="456"/>
      <c r="LS60" s="456"/>
      <c r="LT60" s="456"/>
      <c r="LU60" s="456"/>
      <c r="LV60" s="456"/>
      <c r="LW60" s="456"/>
      <c r="LX60" s="456"/>
      <c r="LY60" s="456"/>
      <c r="LZ60" s="456"/>
      <c r="MA60" s="456"/>
      <c r="MB60" s="456"/>
      <c r="MC60" s="456"/>
      <c r="MD60" s="456"/>
      <c r="ME60" s="456"/>
      <c r="MF60" s="456"/>
      <c r="MG60" s="456"/>
      <c r="MH60" s="456"/>
      <c r="MI60" s="456"/>
      <c r="MJ60" s="456"/>
      <c r="MK60" s="456"/>
      <c r="ML60" s="456"/>
      <c r="MM60" s="456"/>
      <c r="MN60" s="456"/>
      <c r="MO60" s="456"/>
      <c r="MP60" s="456"/>
      <c r="MQ60" s="456"/>
      <c r="MR60" s="456"/>
      <c r="MS60" s="456"/>
      <c r="MT60" s="456"/>
      <c r="MU60" s="456"/>
      <c r="MV60" s="456"/>
      <c r="MW60" s="456"/>
      <c r="MX60" s="456"/>
      <c r="MY60" s="456"/>
      <c r="MZ60" s="456"/>
      <c r="NA60" s="456"/>
      <c r="NB60" s="456"/>
      <c r="NC60" s="456"/>
      <c r="ND60" s="456"/>
      <c r="NE60" s="456"/>
      <c r="NF60" s="456"/>
      <c r="NG60" s="456"/>
      <c r="NH60" s="456"/>
      <c r="NI60" s="456"/>
      <c r="NJ60" s="456"/>
      <c r="NK60" s="456"/>
      <c r="NL60" s="456"/>
      <c r="NM60" s="456"/>
      <c r="NN60" s="456"/>
      <c r="NO60" s="456"/>
      <c r="NP60" s="456"/>
      <c r="NQ60" s="456"/>
      <c r="NR60" s="456"/>
      <c r="NS60" s="456"/>
      <c r="NT60" s="456"/>
      <c r="NU60" s="456"/>
      <c r="NV60" s="456"/>
      <c r="NW60" s="456"/>
      <c r="NX60" s="456"/>
      <c r="NY60" s="456"/>
      <c r="NZ60" s="456"/>
      <c r="OA60" s="456"/>
      <c r="OB60" s="456"/>
      <c r="OC60" s="456"/>
      <c r="OD60" s="456"/>
      <c r="OE60" s="456"/>
      <c r="OF60" s="456"/>
      <c r="OG60" s="456"/>
      <c r="OH60" s="456"/>
      <c r="OI60" s="456"/>
      <c r="OJ60" s="456"/>
      <c r="OK60" s="456"/>
      <c r="OL60" s="456"/>
      <c r="OM60" s="456"/>
      <c r="ON60" s="456"/>
      <c r="OO60" s="456"/>
      <c r="OP60" s="456"/>
      <c r="OQ60" s="456"/>
      <c r="OR60" s="456"/>
      <c r="OS60" s="456"/>
      <c r="OT60" s="456"/>
      <c r="OU60" s="456"/>
      <c r="OV60" s="456"/>
      <c r="OW60" s="456"/>
      <c r="OX60" s="456"/>
      <c r="OY60" s="456"/>
      <c r="OZ60" s="456"/>
      <c r="PA60" s="456"/>
      <c r="PB60" s="456"/>
      <c r="PC60" s="456"/>
      <c r="PD60" s="456"/>
      <c r="PE60" s="456"/>
      <c r="PF60" s="456"/>
      <c r="PG60" s="456"/>
      <c r="PH60" s="456"/>
      <c r="PI60" s="456"/>
      <c r="PJ60" s="456"/>
      <c r="PK60" s="456"/>
      <c r="PL60" s="456"/>
      <c r="PM60" s="456"/>
      <c r="PN60" s="456"/>
      <c r="PO60" s="456"/>
      <c r="PP60" s="456"/>
      <c r="PQ60" s="456"/>
      <c r="PR60" s="456"/>
      <c r="PS60" s="456"/>
      <c r="PT60" s="456"/>
      <c r="PU60" s="456"/>
      <c r="PV60" s="456"/>
      <c r="PW60" s="456"/>
      <c r="PX60" s="456"/>
      <c r="PY60" s="456"/>
      <c r="PZ60" s="456"/>
      <c r="QA60" s="456"/>
      <c r="QB60" s="456"/>
      <c r="QC60" s="456"/>
      <c r="QD60" s="456"/>
      <c r="QE60" s="456"/>
      <c r="QF60" s="456"/>
      <c r="QG60" s="456"/>
      <c r="QH60" s="456"/>
      <c r="QI60" s="456"/>
      <c r="QJ60" s="456"/>
      <c r="QK60" s="456"/>
      <c r="QL60" s="456"/>
      <c r="QM60" s="456"/>
      <c r="QN60" s="456"/>
      <c r="QO60" s="456"/>
      <c r="QP60" s="456"/>
      <c r="QQ60" s="456"/>
      <c r="QR60" s="456"/>
      <c r="QS60" s="456"/>
      <c r="QT60" s="456"/>
      <c r="QU60" s="456"/>
      <c r="QV60" s="456"/>
      <c r="QW60" s="456"/>
      <c r="QX60" s="456"/>
      <c r="QY60" s="456"/>
      <c r="QZ60" s="456"/>
      <c r="RA60" s="456"/>
      <c r="RB60" s="456"/>
      <c r="RC60" s="456"/>
      <c r="RD60" s="456"/>
      <c r="RE60" s="456"/>
      <c r="RF60" s="456"/>
      <c r="RG60" s="456"/>
      <c r="RH60" s="456"/>
      <c r="RI60" s="456"/>
      <c r="RJ60" s="456"/>
      <c r="RK60" s="456"/>
      <c r="RL60" s="456"/>
      <c r="RM60" s="456"/>
      <c r="RN60" s="456"/>
      <c r="RO60" s="456"/>
      <c r="RP60" s="456"/>
      <c r="RQ60" s="456"/>
      <c r="RR60" s="456"/>
      <c r="RS60" s="456"/>
      <c r="RT60" s="456"/>
      <c r="RU60" s="456"/>
      <c r="RV60" s="456"/>
      <c r="RW60" s="456"/>
      <c r="RX60" s="456"/>
      <c r="RY60" s="456"/>
      <c r="RZ60" s="456"/>
      <c r="SA60" s="456"/>
      <c r="SB60" s="456"/>
      <c r="SC60" s="456"/>
      <c r="SD60" s="456"/>
      <c r="SE60" s="456"/>
      <c r="SF60" s="456"/>
      <c r="SG60" s="456"/>
      <c r="SH60" s="456"/>
      <c r="SI60" s="456"/>
      <c r="SJ60" s="456"/>
      <c r="SK60" s="456"/>
      <c r="SL60" s="456"/>
      <c r="SM60" s="456"/>
      <c r="SN60" s="456"/>
      <c r="SO60" s="456"/>
      <c r="SP60" s="456"/>
      <c r="SQ60" s="456"/>
      <c r="SR60" s="456"/>
      <c r="SS60" s="456"/>
      <c r="ST60" s="456"/>
      <c r="SU60" s="456"/>
      <c r="SV60" s="456"/>
      <c r="SW60" s="456"/>
      <c r="SX60" s="456"/>
      <c r="SY60" s="456"/>
      <c r="SZ60" s="456"/>
      <c r="TA60" s="456"/>
      <c r="TB60" s="456"/>
      <c r="TC60" s="456"/>
      <c r="TD60" s="456"/>
      <c r="TE60" s="456"/>
      <c r="TF60" s="456"/>
      <c r="TG60" s="456"/>
      <c r="TH60" s="456"/>
      <c r="TI60" s="456"/>
      <c r="TJ60" s="456"/>
      <c r="TK60" s="456"/>
      <c r="TL60" s="456"/>
      <c r="TM60" s="456"/>
      <c r="TN60" s="456"/>
      <c r="TO60" s="456"/>
      <c r="TP60" s="456"/>
      <c r="TQ60" s="456"/>
      <c r="TR60" s="456"/>
      <c r="TS60" s="456"/>
      <c r="TT60" s="456"/>
      <c r="TU60" s="456"/>
      <c r="TV60" s="456"/>
      <c r="TW60" s="456"/>
      <c r="TX60" s="456"/>
      <c r="TY60" s="456"/>
      <c r="TZ60" s="456"/>
      <c r="UA60" s="456"/>
      <c r="UB60" s="456"/>
      <c r="UC60" s="456"/>
      <c r="UD60" s="456"/>
      <c r="UE60" s="456"/>
      <c r="UF60" s="456"/>
      <c r="UG60" s="456"/>
      <c r="UH60" s="456"/>
      <c r="UI60" s="456"/>
      <c r="UJ60" s="456"/>
      <c r="UK60" s="456"/>
      <c r="UL60" s="456"/>
      <c r="UM60" s="456"/>
      <c r="UN60" s="456"/>
      <c r="UO60" s="456"/>
      <c r="UP60" s="456"/>
      <c r="UQ60" s="456"/>
      <c r="UR60" s="456"/>
      <c r="US60" s="456"/>
      <c r="UT60" s="456"/>
      <c r="UU60" s="456"/>
      <c r="UV60" s="456"/>
      <c r="UW60" s="456"/>
      <c r="UX60" s="456"/>
      <c r="UY60" s="456"/>
      <c r="UZ60" s="456"/>
      <c r="VA60" s="456"/>
      <c r="VB60" s="456"/>
      <c r="VC60" s="456"/>
      <c r="VD60" s="456"/>
      <c r="VE60" s="456"/>
      <c r="VF60" s="456"/>
      <c r="VG60" s="456"/>
      <c r="VH60" s="456"/>
      <c r="VI60" s="456"/>
      <c r="VJ60" s="456"/>
      <c r="VK60" s="456"/>
      <c r="VL60" s="456"/>
      <c r="VM60" s="456"/>
      <c r="VN60" s="456"/>
      <c r="VO60" s="456"/>
      <c r="VP60" s="456"/>
      <c r="VQ60" s="456"/>
      <c r="VR60" s="456"/>
      <c r="VS60" s="456"/>
      <c r="VT60" s="456"/>
      <c r="VU60" s="456"/>
      <c r="VV60" s="456"/>
      <c r="VW60" s="456"/>
      <c r="VX60" s="456"/>
      <c r="VY60" s="456"/>
      <c r="VZ60" s="456"/>
      <c r="WA60" s="456"/>
      <c r="WB60" s="456"/>
      <c r="WC60" s="456"/>
      <c r="WD60" s="456"/>
      <c r="WE60" s="456"/>
      <c r="WF60" s="456"/>
      <c r="WG60" s="456"/>
      <c r="WH60" s="456"/>
      <c r="WI60" s="456"/>
      <c r="WJ60" s="456"/>
      <c r="WK60" s="456"/>
      <c r="WL60" s="456"/>
      <c r="WM60" s="456"/>
      <c r="WN60" s="456"/>
      <c r="WO60" s="456"/>
      <c r="WP60" s="456"/>
      <c r="WQ60" s="456"/>
      <c r="WR60" s="456"/>
      <c r="WS60" s="456"/>
      <c r="WT60" s="456"/>
      <c r="WU60" s="456"/>
      <c r="WV60" s="456"/>
      <c r="WW60" s="456"/>
      <c r="WX60" s="456"/>
      <c r="WY60" s="456"/>
      <c r="WZ60" s="456"/>
      <c r="XA60" s="456"/>
      <c r="XB60" s="456"/>
      <c r="XC60" s="456"/>
      <c r="XD60" s="456"/>
      <c r="XE60" s="456"/>
      <c r="XF60" s="456"/>
      <c r="XG60" s="456"/>
      <c r="XH60" s="456"/>
      <c r="XI60" s="456"/>
      <c r="XJ60" s="456"/>
      <c r="XK60" s="456"/>
      <c r="XL60" s="456"/>
      <c r="XM60" s="456"/>
      <c r="XN60" s="456"/>
      <c r="XO60" s="456"/>
      <c r="XP60" s="456"/>
      <c r="XQ60" s="456"/>
      <c r="XR60" s="456"/>
      <c r="XS60" s="456"/>
      <c r="XT60" s="456"/>
      <c r="XU60" s="456"/>
      <c r="XV60" s="456"/>
      <c r="XW60" s="456"/>
      <c r="XX60" s="456"/>
      <c r="XY60" s="456"/>
      <c r="XZ60" s="456"/>
      <c r="YA60" s="456"/>
      <c r="YB60" s="456"/>
      <c r="YC60" s="456"/>
      <c r="YD60" s="456"/>
      <c r="YE60" s="456"/>
      <c r="YF60" s="456"/>
      <c r="YG60" s="456"/>
      <c r="YH60" s="456"/>
      <c r="YI60" s="456"/>
      <c r="YJ60" s="456"/>
      <c r="YK60" s="456"/>
      <c r="YL60" s="456"/>
      <c r="YM60" s="456"/>
      <c r="YN60" s="456"/>
      <c r="YO60" s="456"/>
      <c r="YP60" s="456"/>
      <c r="YQ60" s="456"/>
      <c r="YR60" s="456"/>
      <c r="YS60" s="456"/>
      <c r="YT60" s="456"/>
      <c r="YU60" s="456"/>
      <c r="YV60" s="456"/>
      <c r="YW60" s="456"/>
      <c r="YX60" s="456"/>
      <c r="YY60" s="456"/>
      <c r="YZ60" s="456"/>
      <c r="ZA60" s="456"/>
      <c r="ZB60" s="456"/>
      <c r="ZC60" s="456"/>
      <c r="ZD60" s="456"/>
      <c r="ZE60" s="456"/>
      <c r="ZF60" s="456"/>
      <c r="ZG60" s="456"/>
      <c r="ZH60" s="456"/>
      <c r="ZI60" s="456"/>
      <c r="ZJ60" s="456"/>
      <c r="ZK60" s="456"/>
      <c r="ZL60" s="456"/>
      <c r="ZM60" s="456"/>
      <c r="ZN60" s="456"/>
      <c r="ZO60" s="456"/>
      <c r="ZP60" s="456"/>
      <c r="ZQ60" s="456"/>
      <c r="ZR60" s="456"/>
      <c r="ZS60" s="456"/>
      <c r="ZT60" s="456"/>
      <c r="ZU60" s="456"/>
      <c r="ZV60" s="456"/>
      <c r="ZW60" s="456"/>
      <c r="ZX60" s="456"/>
      <c r="ZY60" s="456"/>
      <c r="ZZ60" s="456"/>
      <c r="AAA60" s="456"/>
      <c r="AAB60" s="456"/>
      <c r="AAC60" s="456"/>
      <c r="AAD60" s="456"/>
      <c r="AAE60" s="456"/>
      <c r="AAF60" s="456"/>
      <c r="AAG60" s="456"/>
      <c r="AAH60" s="456"/>
      <c r="AAI60" s="456"/>
      <c r="AAJ60" s="456"/>
      <c r="AAK60" s="456"/>
      <c r="AAL60" s="456"/>
      <c r="AAM60" s="456"/>
      <c r="AAN60" s="456"/>
      <c r="AAO60" s="456"/>
      <c r="AAP60" s="456"/>
      <c r="AAQ60" s="456"/>
      <c r="AAR60" s="456"/>
      <c r="AAS60" s="456"/>
      <c r="AAT60" s="456"/>
      <c r="AAU60" s="456"/>
      <c r="AAV60" s="456"/>
      <c r="AAW60" s="456"/>
      <c r="AAX60" s="456"/>
      <c r="AAY60" s="456"/>
      <c r="AAZ60" s="456"/>
      <c r="ABA60" s="456"/>
      <c r="ABB60" s="456"/>
      <c r="ABC60" s="456"/>
      <c r="ABD60" s="456"/>
      <c r="ABE60" s="456"/>
      <c r="ABF60" s="456"/>
      <c r="ABG60" s="456"/>
      <c r="ABH60" s="456"/>
      <c r="ABI60" s="456"/>
      <c r="ABJ60" s="456"/>
      <c r="ABK60" s="456"/>
      <c r="ABL60" s="456"/>
      <c r="ABM60" s="456"/>
      <c r="ABN60" s="456"/>
      <c r="ABO60" s="456"/>
      <c r="ABP60" s="456"/>
      <c r="ABQ60" s="456"/>
      <c r="ABR60" s="456"/>
      <c r="ABS60" s="456"/>
      <c r="ABT60" s="456"/>
      <c r="ABU60" s="456"/>
      <c r="ABV60" s="456"/>
      <c r="ABW60" s="456"/>
      <c r="ABX60" s="456"/>
      <c r="ABY60" s="456"/>
      <c r="ABZ60" s="456"/>
      <c r="ACA60" s="456"/>
      <c r="ACB60" s="456"/>
      <c r="ACC60" s="456"/>
      <c r="ACD60" s="456"/>
      <c r="ACE60" s="456"/>
      <c r="ACF60" s="456"/>
      <c r="ACG60" s="456"/>
      <c r="ACH60" s="456"/>
      <c r="ACI60" s="456"/>
      <c r="ACJ60" s="456"/>
      <c r="ACK60" s="456"/>
      <c r="ACL60" s="456"/>
      <c r="ACM60" s="456"/>
      <c r="ACN60" s="456"/>
      <c r="ACO60" s="456"/>
      <c r="ACP60" s="456"/>
      <c r="ACQ60" s="456"/>
      <c r="ACR60" s="456"/>
      <c r="ACS60" s="456"/>
      <c r="ACT60" s="456"/>
      <c r="ACU60" s="456"/>
      <c r="ACV60" s="456"/>
      <c r="ACW60" s="456"/>
      <c r="ACX60" s="456"/>
      <c r="ACY60" s="456"/>
      <c r="ACZ60" s="456"/>
      <c r="ADA60" s="456"/>
      <c r="ADB60" s="456"/>
      <c r="ADC60" s="456"/>
      <c r="ADD60" s="456"/>
      <c r="ADE60" s="456"/>
      <c r="ADF60" s="456"/>
      <c r="ADG60" s="456"/>
      <c r="ADH60" s="456"/>
      <c r="ADI60" s="456"/>
      <c r="ADJ60" s="456"/>
      <c r="ADK60" s="456"/>
      <c r="ADL60" s="456"/>
      <c r="ADM60" s="456"/>
      <c r="ADN60" s="456"/>
      <c r="ADO60" s="456"/>
      <c r="ADP60" s="456"/>
      <c r="ADQ60" s="456"/>
      <c r="ADR60" s="456"/>
      <c r="ADS60" s="456"/>
      <c r="ADT60" s="456"/>
      <c r="ADU60" s="456"/>
      <c r="ADV60" s="456"/>
      <c r="ADW60" s="456"/>
      <c r="ADX60" s="456"/>
      <c r="ADY60" s="456"/>
      <c r="ADZ60" s="456"/>
      <c r="AEA60" s="456"/>
      <c r="AEB60" s="456"/>
      <c r="AEC60" s="456"/>
      <c r="AED60" s="456"/>
      <c r="AEE60" s="456"/>
      <c r="AEF60" s="456"/>
      <c r="AEG60" s="456"/>
      <c r="AEH60" s="456"/>
      <c r="AEI60" s="456"/>
      <c r="AEJ60" s="456"/>
      <c r="AEK60" s="456"/>
      <c r="AEL60" s="456"/>
      <c r="AEM60" s="456"/>
      <c r="AEN60" s="456"/>
      <c r="AEO60" s="456"/>
      <c r="AEP60" s="456"/>
      <c r="AEQ60" s="456"/>
      <c r="AER60" s="456"/>
      <c r="AES60" s="456"/>
      <c r="AET60" s="456"/>
      <c r="AEU60" s="456"/>
      <c r="AEV60" s="456"/>
      <c r="AEW60" s="456"/>
      <c r="AEX60" s="456"/>
      <c r="AEY60" s="456"/>
      <c r="AEZ60" s="456"/>
      <c r="AFA60" s="456"/>
      <c r="AFB60" s="456"/>
      <c r="AFC60" s="456"/>
      <c r="AFD60" s="456"/>
      <c r="AFE60" s="456"/>
      <c r="AFF60" s="456"/>
      <c r="AFG60" s="456"/>
      <c r="AFH60" s="456"/>
      <c r="AFI60" s="456"/>
      <c r="AFJ60" s="456"/>
      <c r="AFK60" s="456"/>
      <c r="AFL60" s="456"/>
      <c r="AFM60" s="456"/>
      <c r="AFN60" s="456"/>
      <c r="AFO60" s="456"/>
      <c r="AFP60" s="456"/>
      <c r="AFQ60" s="456"/>
      <c r="AFR60" s="456"/>
      <c r="AFS60" s="456"/>
      <c r="AFT60" s="456"/>
      <c r="AFU60" s="456"/>
      <c r="AFV60" s="456"/>
      <c r="AFW60" s="456"/>
      <c r="AFX60" s="456"/>
      <c r="AFY60" s="456"/>
      <c r="AFZ60" s="456"/>
      <c r="AGA60" s="456"/>
      <c r="AGB60" s="456"/>
      <c r="AGC60" s="456"/>
      <c r="AGD60" s="456"/>
      <c r="AGE60" s="456"/>
      <c r="AGF60" s="456"/>
      <c r="AGG60" s="456"/>
      <c r="AGH60" s="456"/>
      <c r="AGI60" s="456"/>
      <c r="AGJ60" s="456"/>
      <c r="AGK60" s="456"/>
      <c r="AGL60" s="456"/>
      <c r="AGM60" s="456"/>
      <c r="AGN60" s="456"/>
      <c r="AGO60" s="456"/>
      <c r="AGP60" s="456"/>
      <c r="AGQ60" s="456"/>
      <c r="AGR60" s="456"/>
      <c r="AGS60" s="456"/>
      <c r="AGT60" s="456"/>
      <c r="AGU60" s="456"/>
      <c r="AGV60" s="456"/>
      <c r="AGW60" s="456"/>
      <c r="AGX60" s="456"/>
      <c r="AGY60" s="456"/>
      <c r="AGZ60" s="456"/>
      <c r="AHA60" s="456"/>
      <c r="AHB60" s="456"/>
      <c r="AHC60" s="456"/>
      <c r="AHD60" s="456"/>
      <c r="AHE60" s="456"/>
      <c r="AHF60" s="456"/>
      <c r="AHG60" s="456"/>
      <c r="AHH60" s="456"/>
      <c r="AHI60" s="456"/>
      <c r="AHJ60" s="456"/>
      <c r="AHK60" s="456"/>
      <c r="AHL60" s="456"/>
      <c r="AHM60" s="456"/>
      <c r="AHN60" s="456"/>
      <c r="AHO60" s="456"/>
      <c r="AHP60" s="456"/>
      <c r="AHQ60" s="456"/>
      <c r="AHR60" s="456"/>
      <c r="AHS60" s="456"/>
      <c r="AHT60" s="456"/>
      <c r="AHU60" s="456"/>
      <c r="AHV60" s="456"/>
      <c r="AHW60" s="456"/>
      <c r="AHX60" s="456"/>
      <c r="AHY60" s="456"/>
      <c r="AHZ60" s="456"/>
      <c r="AIA60" s="456"/>
      <c r="AIB60" s="456"/>
      <c r="AIC60" s="456"/>
      <c r="AID60" s="456"/>
      <c r="AIE60" s="456"/>
      <c r="AIF60" s="456"/>
      <c r="AIG60" s="456"/>
      <c r="AIH60" s="456"/>
      <c r="AII60" s="456"/>
      <c r="AIJ60" s="456"/>
      <c r="AIK60" s="456"/>
      <c r="AIL60" s="456"/>
      <c r="AIM60" s="456"/>
      <c r="AIN60" s="456"/>
      <c r="AIO60" s="456"/>
      <c r="AIP60" s="456"/>
      <c r="AIQ60" s="456"/>
      <c r="AIR60" s="456"/>
      <c r="AIS60" s="456"/>
      <c r="AIT60" s="456"/>
      <c r="AIU60" s="456"/>
      <c r="AIV60" s="456"/>
      <c r="AIW60" s="456"/>
      <c r="AIX60" s="456"/>
      <c r="AIY60" s="456"/>
      <c r="AIZ60" s="456"/>
      <c r="AJA60" s="456"/>
      <c r="AJB60" s="456"/>
      <c r="AJC60" s="456"/>
      <c r="AJD60" s="456"/>
      <c r="AJE60" s="456"/>
      <c r="AJF60" s="456"/>
      <c r="AJG60" s="456"/>
      <c r="AJH60" s="456"/>
      <c r="AJI60" s="456"/>
      <c r="AJJ60" s="456"/>
      <c r="AJK60" s="456"/>
      <c r="AJL60" s="456"/>
      <c r="AJM60" s="456"/>
      <c r="AJN60" s="456"/>
      <c r="AJO60" s="456"/>
      <c r="AJP60" s="456"/>
      <c r="AJQ60" s="456"/>
      <c r="AJR60" s="456"/>
      <c r="AJS60" s="456"/>
      <c r="AJT60" s="456"/>
      <c r="AJU60" s="456"/>
      <c r="AJV60" s="456"/>
      <c r="AJW60" s="456"/>
      <c r="AJX60" s="456"/>
      <c r="AJY60" s="456"/>
      <c r="AJZ60" s="456"/>
      <c r="AKA60" s="456"/>
      <c r="AKB60" s="456"/>
      <c r="AKC60" s="456"/>
      <c r="AKD60" s="456"/>
      <c r="AKE60" s="456"/>
      <c r="AKF60" s="456"/>
      <c r="AKG60" s="456"/>
      <c r="AKH60" s="456"/>
      <c r="AKI60" s="456"/>
      <c r="AKJ60" s="456"/>
      <c r="AKK60" s="456"/>
      <c r="AKL60" s="456"/>
      <c r="AKM60" s="456"/>
      <c r="AKN60" s="456"/>
      <c r="AKO60" s="456"/>
      <c r="AKP60" s="456"/>
      <c r="AKQ60" s="456"/>
      <c r="AKR60" s="456"/>
      <c r="AKS60" s="456"/>
      <c r="AKT60" s="456"/>
      <c r="AKU60" s="456"/>
      <c r="AKV60" s="456"/>
      <c r="AKW60" s="456"/>
      <c r="AKX60" s="456"/>
      <c r="AKY60" s="456"/>
      <c r="AKZ60" s="456"/>
      <c r="ALA60" s="456"/>
      <c r="ALB60" s="456"/>
      <c r="ALC60" s="456"/>
      <c r="ALD60" s="456"/>
      <c r="ALE60" s="456"/>
      <c r="ALF60" s="456"/>
      <c r="ALG60" s="456"/>
      <c r="ALH60" s="456"/>
      <c r="ALI60" s="456"/>
      <c r="ALJ60" s="456"/>
      <c r="ALK60" s="456"/>
      <c r="ALL60" s="456"/>
      <c r="ALM60" s="456"/>
      <c r="ALN60" s="456"/>
      <c r="ALO60" s="456"/>
      <c r="ALP60" s="456"/>
      <c r="ALQ60" s="456"/>
      <c r="ALR60" s="456"/>
      <c r="ALS60" s="456"/>
      <c r="ALT60" s="456"/>
      <c r="ALU60" s="456"/>
      <c r="ALV60" s="456"/>
      <c r="ALW60" s="456"/>
      <c r="ALX60" s="456"/>
      <c r="ALY60" s="456"/>
      <c r="ALZ60" s="456"/>
      <c r="AMA60" s="456"/>
      <c r="AMB60" s="456"/>
      <c r="AMC60" s="456"/>
      <c r="AMD60" s="456"/>
      <c r="AME60" s="456"/>
      <c r="AMF60" s="456"/>
      <c r="AMG60" s="456"/>
      <c r="AMH60" s="456"/>
      <c r="AMI60" s="456"/>
      <c r="AMJ60" s="456"/>
      <c r="AMK60" s="456"/>
      <c r="AML60" s="456"/>
      <c r="AMM60" s="456"/>
      <c r="AMN60" s="456"/>
      <c r="AMO60" s="456"/>
      <c r="AMP60" s="456"/>
      <c r="AMQ60" s="456"/>
      <c r="AMR60" s="456"/>
      <c r="AMS60" s="456"/>
      <c r="AMT60" s="456"/>
      <c r="AMU60" s="456"/>
      <c r="AMV60" s="456"/>
      <c r="AMW60" s="456"/>
      <c r="AMX60" s="456"/>
      <c r="AMY60" s="456"/>
      <c r="AMZ60" s="456"/>
      <c r="ANA60" s="456"/>
      <c r="ANB60" s="456"/>
      <c r="ANC60" s="456"/>
      <c r="AND60" s="456"/>
      <c r="ANE60" s="456"/>
      <c r="ANF60" s="456"/>
      <c r="ANG60" s="456"/>
      <c r="ANH60" s="456"/>
      <c r="ANI60" s="456"/>
      <c r="ANJ60" s="456"/>
      <c r="ANK60" s="456"/>
      <c r="ANL60" s="456"/>
      <c r="ANM60" s="456"/>
      <c r="ANN60" s="456"/>
      <c r="ANO60" s="456"/>
      <c r="ANP60" s="456"/>
      <c r="ANQ60" s="456"/>
      <c r="ANR60" s="456"/>
      <c r="ANS60" s="456"/>
      <c r="ANT60" s="456"/>
      <c r="ANU60" s="456"/>
      <c r="ANV60" s="456"/>
      <c r="ANW60" s="456"/>
      <c r="ANX60" s="456"/>
      <c r="ANY60" s="456"/>
      <c r="ANZ60" s="456"/>
      <c r="AOA60" s="456"/>
      <c r="AOB60" s="456"/>
      <c r="AOC60" s="456"/>
      <c r="AOD60" s="456"/>
      <c r="AOE60" s="456"/>
      <c r="AOF60" s="456"/>
      <c r="AOG60" s="456"/>
      <c r="AOH60" s="456"/>
      <c r="AOI60" s="456"/>
      <c r="AOJ60" s="456"/>
      <c r="AOK60" s="456"/>
      <c r="AOL60" s="456"/>
      <c r="AOM60" s="456"/>
      <c r="AON60" s="456"/>
      <c r="AOO60" s="456"/>
      <c r="AOP60" s="456"/>
      <c r="AOQ60" s="456"/>
      <c r="AOR60" s="456"/>
      <c r="AOS60" s="456"/>
      <c r="AOT60" s="456"/>
      <c r="AOU60" s="456"/>
      <c r="AOV60" s="456"/>
      <c r="AOW60" s="456"/>
      <c r="AOX60" s="456"/>
      <c r="AOY60" s="456"/>
      <c r="AOZ60" s="456"/>
      <c r="APA60" s="456"/>
      <c r="APB60" s="456"/>
      <c r="APC60" s="456"/>
      <c r="APD60" s="456"/>
      <c r="APE60" s="456"/>
      <c r="APF60" s="456"/>
      <c r="APG60" s="456"/>
      <c r="APH60" s="456"/>
      <c r="API60" s="456"/>
      <c r="APJ60" s="456"/>
      <c r="APK60" s="456"/>
      <c r="APL60" s="456"/>
      <c r="APM60" s="456"/>
      <c r="APN60" s="456"/>
      <c r="APO60" s="456"/>
      <c r="APP60" s="456"/>
      <c r="APQ60" s="456"/>
      <c r="APR60" s="456"/>
      <c r="APS60" s="456"/>
      <c r="APT60" s="456"/>
      <c r="APU60" s="456"/>
      <c r="APV60" s="456"/>
      <c r="APW60" s="456"/>
      <c r="APX60" s="456"/>
      <c r="APY60" s="456"/>
      <c r="APZ60" s="456"/>
      <c r="AQA60" s="456"/>
      <c r="AQB60" s="456"/>
      <c r="AQC60" s="456"/>
      <c r="AQD60" s="456"/>
      <c r="AQE60" s="456"/>
      <c r="AQF60" s="456"/>
      <c r="AQG60" s="456"/>
      <c r="AQH60" s="456"/>
      <c r="AQI60" s="456"/>
      <c r="AQJ60" s="456"/>
      <c r="AQK60" s="456"/>
      <c r="AQL60" s="456"/>
      <c r="AQM60" s="456"/>
      <c r="AQN60" s="456"/>
      <c r="AQO60" s="456"/>
      <c r="AQP60" s="456"/>
      <c r="AQQ60" s="456"/>
      <c r="AQR60" s="456"/>
      <c r="AQS60" s="456"/>
      <c r="AQT60" s="456"/>
      <c r="AQU60" s="456"/>
      <c r="AQV60" s="456"/>
      <c r="AQW60" s="456"/>
      <c r="AQX60" s="456"/>
      <c r="AQY60" s="456"/>
      <c r="AQZ60" s="456"/>
      <c r="ARA60" s="456"/>
      <c r="ARB60" s="456"/>
      <c r="ARC60" s="456"/>
      <c r="ARD60" s="456"/>
      <c r="ARE60" s="456"/>
      <c r="ARF60" s="456"/>
      <c r="ARG60" s="456"/>
      <c r="ARH60" s="456"/>
      <c r="ARI60" s="456"/>
      <c r="ARJ60" s="456"/>
      <c r="ARK60" s="456"/>
      <c r="ARL60" s="456"/>
      <c r="ARM60" s="456"/>
      <c r="ARN60" s="456"/>
      <c r="ARO60" s="456"/>
      <c r="ARP60" s="456"/>
      <c r="ARQ60" s="456"/>
      <c r="ARR60" s="456"/>
      <c r="ARS60" s="456"/>
      <c r="ART60" s="456"/>
      <c r="ARU60" s="456"/>
      <c r="ARV60" s="456"/>
      <c r="ARW60" s="456"/>
      <c r="ARX60" s="456"/>
      <c r="ARY60" s="456"/>
      <c r="ARZ60" s="456"/>
      <c r="ASA60" s="456"/>
      <c r="ASB60" s="456"/>
      <c r="ASC60" s="456"/>
      <c r="ASD60" s="456"/>
      <c r="ASE60" s="456"/>
      <c r="ASF60" s="456"/>
      <c r="ASG60" s="456"/>
      <c r="ASH60" s="456"/>
      <c r="ASI60" s="456"/>
      <c r="ASJ60" s="456"/>
      <c r="ASK60" s="456"/>
      <c r="ASL60" s="456"/>
      <c r="ASM60" s="456"/>
      <c r="ASN60" s="456"/>
      <c r="ASO60" s="456"/>
      <c r="ASP60" s="456"/>
      <c r="ASQ60" s="456"/>
      <c r="ASR60" s="456"/>
      <c r="ASS60" s="456"/>
      <c r="AST60" s="456"/>
      <c r="ASU60" s="456"/>
      <c r="ASV60" s="456"/>
      <c r="ASW60" s="456"/>
      <c r="ASX60" s="456"/>
      <c r="ASY60" s="456"/>
      <c r="ASZ60" s="456"/>
      <c r="ATA60" s="456"/>
      <c r="ATB60" s="456"/>
      <c r="ATC60" s="456"/>
      <c r="ATD60" s="456"/>
      <c r="ATE60" s="456"/>
      <c r="ATF60" s="456"/>
      <c r="ATG60" s="456"/>
      <c r="ATH60" s="456"/>
      <c r="ATI60" s="456"/>
      <c r="ATJ60" s="456"/>
      <c r="ATK60" s="456"/>
      <c r="ATL60" s="456"/>
      <c r="ATM60" s="456"/>
      <c r="ATN60" s="456"/>
      <c r="ATO60" s="456"/>
      <c r="ATP60" s="456"/>
      <c r="ATQ60" s="456"/>
      <c r="ATR60" s="456"/>
      <c r="ATS60" s="456"/>
      <c r="ATT60" s="456"/>
      <c r="ATU60" s="456"/>
      <c r="ATV60" s="456"/>
      <c r="ATW60" s="456"/>
      <c r="ATX60" s="456"/>
      <c r="ATY60" s="456"/>
      <c r="ATZ60" s="456"/>
      <c r="AUA60" s="456"/>
      <c r="AUB60" s="456"/>
      <c r="AUC60" s="456"/>
      <c r="AUD60" s="456"/>
      <c r="AUE60" s="456"/>
      <c r="AUF60" s="456"/>
      <c r="AUG60" s="456"/>
      <c r="AUH60" s="456"/>
      <c r="AUI60" s="456"/>
      <c r="AUJ60" s="456"/>
      <c r="AUK60" s="456"/>
      <c r="AUL60" s="456"/>
      <c r="AUM60" s="456"/>
      <c r="AUN60" s="456"/>
      <c r="AUO60" s="456"/>
      <c r="AUP60" s="456"/>
      <c r="AUQ60" s="456"/>
      <c r="AUR60" s="456"/>
      <c r="AUS60" s="456"/>
      <c r="AUT60" s="456"/>
      <c r="AUU60" s="456"/>
      <c r="AUV60" s="456"/>
      <c r="AUW60" s="456"/>
      <c r="AUX60" s="456"/>
      <c r="AUY60" s="456"/>
      <c r="AUZ60" s="456"/>
      <c r="AVA60" s="456"/>
      <c r="AVB60" s="456"/>
      <c r="AVC60" s="456"/>
      <c r="AVD60" s="456"/>
      <c r="AVE60" s="456"/>
      <c r="AVF60" s="456"/>
      <c r="AVG60" s="456"/>
      <c r="AVH60" s="456"/>
      <c r="AVI60" s="456"/>
      <c r="AVJ60" s="456"/>
      <c r="AVK60" s="456"/>
      <c r="AVL60" s="456"/>
      <c r="AVM60" s="456"/>
      <c r="AVN60" s="456"/>
      <c r="AVO60" s="456"/>
      <c r="AVP60" s="456"/>
      <c r="AVQ60" s="456"/>
      <c r="AVR60" s="456"/>
      <c r="AVS60" s="456"/>
      <c r="AVT60" s="456"/>
      <c r="AVU60" s="456"/>
      <c r="AVV60" s="456"/>
      <c r="AVW60" s="456"/>
      <c r="AVX60" s="456"/>
      <c r="AVY60" s="456"/>
      <c r="AVZ60" s="456"/>
      <c r="AWA60" s="456"/>
      <c r="AWB60" s="456"/>
      <c r="AWC60" s="456"/>
      <c r="AWD60" s="456"/>
      <c r="AWE60" s="456"/>
      <c r="AWF60" s="456"/>
      <c r="AWG60" s="456"/>
      <c r="AWH60" s="456"/>
      <c r="AWI60" s="456"/>
      <c r="AWJ60" s="456"/>
      <c r="AWK60" s="456"/>
      <c r="AWL60" s="456"/>
      <c r="AWM60" s="456"/>
      <c r="AWN60" s="456"/>
      <c r="AWO60" s="456"/>
      <c r="AWP60" s="456"/>
      <c r="AWQ60" s="456"/>
      <c r="AWR60" s="456"/>
      <c r="AWS60" s="456"/>
      <c r="AWT60" s="456"/>
      <c r="AWU60" s="456"/>
      <c r="AWV60" s="456"/>
      <c r="AWW60" s="456"/>
      <c r="AWX60" s="456"/>
      <c r="AWY60" s="456"/>
      <c r="AWZ60" s="456"/>
      <c r="AXA60" s="456"/>
      <c r="AXB60" s="456"/>
      <c r="AXC60" s="456"/>
      <c r="AXD60" s="456"/>
      <c r="AXE60" s="456"/>
      <c r="AXF60" s="456"/>
      <c r="AXG60" s="456"/>
      <c r="AXH60" s="456"/>
      <c r="AXI60" s="456"/>
      <c r="AXJ60" s="456"/>
      <c r="AXK60" s="456"/>
      <c r="AXL60" s="456"/>
      <c r="AXM60" s="456"/>
      <c r="AXN60" s="456"/>
      <c r="AXO60" s="456"/>
      <c r="AXP60" s="456"/>
      <c r="AXQ60" s="456"/>
      <c r="AXR60" s="456"/>
      <c r="AXS60" s="456"/>
      <c r="AXT60" s="456"/>
      <c r="AXU60" s="456"/>
      <c r="AXV60" s="456"/>
      <c r="AXW60" s="456"/>
      <c r="AXX60" s="456"/>
      <c r="AXY60" s="456"/>
      <c r="AXZ60" s="456"/>
      <c r="AYA60" s="456"/>
      <c r="AYB60" s="456"/>
      <c r="AYC60" s="456"/>
      <c r="AYD60" s="456"/>
      <c r="AYE60" s="456"/>
      <c r="AYF60" s="456"/>
      <c r="AYG60" s="456"/>
      <c r="AYH60" s="456"/>
      <c r="AYI60" s="456"/>
      <c r="AYJ60" s="456"/>
      <c r="AYK60" s="456"/>
      <c r="AYL60" s="456"/>
      <c r="AYM60" s="456"/>
      <c r="AYN60" s="456"/>
      <c r="AYO60" s="456"/>
      <c r="AYP60" s="456"/>
      <c r="AYQ60" s="456"/>
      <c r="AYR60" s="456"/>
      <c r="AYS60" s="456"/>
      <c r="AYT60" s="456"/>
      <c r="AYU60" s="456"/>
      <c r="AYV60" s="456"/>
      <c r="AYW60" s="456"/>
      <c r="AYX60" s="456"/>
      <c r="AYY60" s="456"/>
      <c r="AYZ60" s="456"/>
      <c r="AZA60" s="456"/>
      <c r="AZB60" s="456"/>
      <c r="AZC60" s="456"/>
      <c r="AZD60" s="456"/>
      <c r="AZE60" s="456"/>
      <c r="AZF60" s="456"/>
      <c r="AZG60" s="456"/>
      <c r="AZH60" s="456"/>
      <c r="AZI60" s="456"/>
      <c r="AZJ60" s="456"/>
      <c r="AZK60" s="456"/>
      <c r="AZL60" s="456"/>
      <c r="AZM60" s="456"/>
      <c r="AZN60" s="456"/>
      <c r="AZO60" s="456"/>
      <c r="AZP60" s="456"/>
      <c r="AZQ60" s="456"/>
      <c r="AZR60" s="456"/>
      <c r="AZS60" s="456"/>
      <c r="AZT60" s="456"/>
      <c r="AZU60" s="456"/>
      <c r="AZV60" s="456"/>
      <c r="AZW60" s="456"/>
      <c r="AZX60" s="456"/>
      <c r="AZY60" s="456"/>
      <c r="AZZ60" s="456"/>
      <c r="BAA60" s="456"/>
      <c r="BAB60" s="456"/>
      <c r="BAC60" s="456"/>
      <c r="BAD60" s="456"/>
      <c r="BAE60" s="456"/>
      <c r="BAF60" s="456"/>
      <c r="BAG60" s="456"/>
      <c r="BAH60" s="456"/>
      <c r="BAI60" s="456"/>
      <c r="BAJ60" s="456"/>
      <c r="BAK60" s="456"/>
      <c r="BAL60" s="456"/>
      <c r="BAM60" s="456"/>
      <c r="BAN60" s="456"/>
      <c r="BAO60" s="456"/>
      <c r="BAP60" s="456"/>
      <c r="BAQ60" s="456"/>
      <c r="BAR60" s="456"/>
      <c r="BAS60" s="456"/>
      <c r="BAT60" s="456"/>
      <c r="BAU60" s="456"/>
      <c r="BAV60" s="456"/>
      <c r="BAW60" s="456"/>
      <c r="BAX60" s="456"/>
      <c r="BAY60" s="456"/>
      <c r="BAZ60" s="456"/>
      <c r="BBA60" s="456"/>
      <c r="BBB60" s="456"/>
      <c r="BBC60" s="456"/>
      <c r="BBD60" s="456"/>
      <c r="BBE60" s="456"/>
      <c r="BBF60" s="456"/>
      <c r="BBG60" s="456"/>
      <c r="BBH60" s="456"/>
      <c r="BBI60" s="456"/>
      <c r="BBJ60" s="456"/>
      <c r="BBK60" s="456"/>
      <c r="BBL60" s="456"/>
      <c r="BBM60" s="456"/>
      <c r="BBN60" s="456"/>
      <c r="BBO60" s="456"/>
      <c r="BBP60" s="456"/>
      <c r="BBQ60" s="456"/>
      <c r="BBR60" s="456"/>
      <c r="BBS60" s="456"/>
      <c r="BBT60" s="456"/>
      <c r="BBU60" s="456"/>
      <c r="BBV60" s="456"/>
      <c r="BBW60" s="456"/>
      <c r="BBX60" s="456"/>
      <c r="BBY60" s="456"/>
      <c r="BBZ60" s="456"/>
      <c r="BCA60" s="456"/>
      <c r="BCB60" s="456"/>
      <c r="BCC60" s="456"/>
      <c r="BCD60" s="456"/>
      <c r="BCE60" s="456"/>
      <c r="BCF60" s="456"/>
      <c r="BCG60" s="456"/>
      <c r="BCH60" s="456"/>
      <c r="BCI60" s="456"/>
      <c r="BCJ60" s="456"/>
      <c r="BCK60" s="456"/>
      <c r="BCL60" s="456"/>
      <c r="BCM60" s="456"/>
      <c r="BCN60" s="456"/>
      <c r="BCO60" s="456"/>
      <c r="BCP60" s="456"/>
      <c r="BCQ60" s="456"/>
      <c r="BCR60" s="456"/>
      <c r="BCS60" s="456"/>
      <c r="BCT60" s="456"/>
      <c r="BCU60" s="456"/>
      <c r="BCV60" s="456"/>
      <c r="BCW60" s="456"/>
      <c r="BCX60" s="456"/>
      <c r="BCY60" s="456"/>
      <c r="BCZ60" s="456"/>
      <c r="BDA60" s="456"/>
      <c r="BDB60" s="456"/>
      <c r="BDC60" s="456"/>
      <c r="BDD60" s="456"/>
      <c r="BDE60" s="456"/>
      <c r="BDF60" s="456"/>
      <c r="BDG60" s="456"/>
      <c r="BDH60" s="456"/>
      <c r="BDI60" s="456"/>
      <c r="BDJ60" s="456"/>
      <c r="BDK60" s="456"/>
      <c r="BDL60" s="456"/>
      <c r="BDM60" s="456"/>
      <c r="BDN60" s="456"/>
      <c r="BDO60" s="456"/>
      <c r="BDP60" s="456"/>
      <c r="BDQ60" s="456"/>
      <c r="BDR60" s="456"/>
      <c r="BDS60" s="456"/>
      <c r="BDT60" s="456"/>
      <c r="BDU60" s="456"/>
      <c r="BDV60" s="456"/>
      <c r="BDW60" s="456"/>
      <c r="BDX60" s="456"/>
      <c r="BDY60" s="456"/>
      <c r="BDZ60" s="456"/>
      <c r="BEA60" s="456"/>
      <c r="BEB60" s="456"/>
      <c r="BEC60" s="456"/>
      <c r="BED60" s="456"/>
      <c r="BEE60" s="456"/>
      <c r="BEF60" s="456"/>
      <c r="BEG60" s="456"/>
      <c r="BEH60" s="456"/>
      <c r="BEI60" s="456"/>
      <c r="BEJ60" s="456"/>
      <c r="BEK60" s="456"/>
      <c r="BEL60" s="456"/>
      <c r="BEM60" s="456"/>
      <c r="BEN60" s="456"/>
      <c r="BEO60" s="456"/>
      <c r="BEP60" s="456"/>
      <c r="BEQ60" s="456"/>
      <c r="BER60" s="456"/>
      <c r="BES60" s="456"/>
      <c r="BET60" s="456"/>
      <c r="BEU60" s="456"/>
      <c r="BEV60" s="456"/>
      <c r="BEW60" s="456"/>
      <c r="BEX60" s="456"/>
      <c r="BEY60" s="456"/>
      <c r="BEZ60" s="456"/>
      <c r="BFA60" s="456"/>
      <c r="BFB60" s="456"/>
      <c r="BFC60" s="456"/>
      <c r="BFD60" s="456"/>
      <c r="BFE60" s="456"/>
      <c r="BFF60" s="456"/>
      <c r="BFG60" s="456"/>
      <c r="BFH60" s="456"/>
      <c r="BFI60" s="456"/>
      <c r="BFJ60" s="456"/>
      <c r="BFK60" s="456"/>
      <c r="BFL60" s="456"/>
      <c r="BFM60" s="456"/>
      <c r="BFN60" s="456"/>
      <c r="BFO60" s="456"/>
      <c r="BFP60" s="456"/>
      <c r="BFQ60" s="456"/>
      <c r="BFR60" s="456"/>
      <c r="BFS60" s="456"/>
      <c r="BFT60" s="456"/>
      <c r="BFU60" s="456"/>
      <c r="BFV60" s="456"/>
      <c r="BFW60" s="456"/>
      <c r="BFX60" s="456"/>
      <c r="BFY60" s="456"/>
      <c r="BFZ60" s="456"/>
      <c r="BGA60" s="456"/>
      <c r="BGB60" s="456"/>
      <c r="BGC60" s="456"/>
      <c r="BGD60" s="456"/>
      <c r="BGE60" s="456"/>
      <c r="BGF60" s="456"/>
      <c r="BGG60" s="456"/>
      <c r="BGH60" s="456"/>
      <c r="BGI60" s="456"/>
      <c r="BGJ60" s="456"/>
      <c r="BGK60" s="456"/>
      <c r="BGL60" s="456"/>
      <c r="BGM60" s="456"/>
      <c r="BGN60" s="456"/>
      <c r="BGO60" s="456"/>
      <c r="BGP60" s="456"/>
      <c r="BGQ60" s="456"/>
      <c r="BGR60" s="456"/>
      <c r="BGS60" s="456"/>
      <c r="BGT60" s="456"/>
      <c r="BGU60" s="456"/>
      <c r="BGV60" s="456"/>
      <c r="BGW60" s="456"/>
      <c r="BGX60" s="456"/>
      <c r="BGY60" s="456"/>
      <c r="BGZ60" s="456"/>
      <c r="BHA60" s="456"/>
      <c r="BHB60" s="456"/>
      <c r="BHC60" s="456"/>
      <c r="BHD60" s="456"/>
      <c r="BHE60" s="456"/>
      <c r="BHF60" s="456"/>
      <c r="BHG60" s="456"/>
      <c r="BHH60" s="456"/>
      <c r="BHI60" s="456"/>
      <c r="BHJ60" s="456"/>
      <c r="BHK60" s="456"/>
      <c r="BHL60" s="456"/>
      <c r="BHM60" s="456"/>
      <c r="BHN60" s="456"/>
      <c r="BHO60" s="456"/>
      <c r="BHP60" s="456"/>
      <c r="BHQ60" s="456"/>
      <c r="BHR60" s="456"/>
      <c r="BHS60" s="456"/>
      <c r="BHT60" s="456"/>
      <c r="BHU60" s="456"/>
      <c r="BHV60" s="456"/>
      <c r="BHW60" s="456"/>
      <c r="BHX60" s="456"/>
      <c r="BHY60" s="456"/>
      <c r="BHZ60" s="456"/>
      <c r="BIA60" s="456"/>
      <c r="BIB60" s="456"/>
      <c r="BIC60" s="456"/>
      <c r="BID60" s="456"/>
      <c r="BIE60" s="456"/>
      <c r="BIF60" s="456"/>
      <c r="BIG60" s="456"/>
      <c r="BIH60" s="456"/>
      <c r="BII60" s="456"/>
      <c r="BIJ60" s="456"/>
      <c r="BIK60" s="456"/>
      <c r="BIL60" s="456"/>
      <c r="BIM60" s="456"/>
      <c r="BIN60" s="456"/>
      <c r="BIO60" s="456"/>
      <c r="BIP60" s="456"/>
      <c r="BIQ60" s="456"/>
      <c r="BIR60" s="456"/>
      <c r="BIS60" s="456"/>
      <c r="BIT60" s="456"/>
      <c r="BIU60" s="456"/>
      <c r="BIV60" s="456"/>
      <c r="BIW60" s="456"/>
      <c r="BIX60" s="456"/>
      <c r="BIY60" s="456"/>
      <c r="BIZ60" s="456"/>
      <c r="BJA60" s="456"/>
      <c r="BJB60" s="456"/>
      <c r="BJC60" s="456"/>
      <c r="BJD60" s="456"/>
      <c r="BJE60" s="456"/>
      <c r="BJF60" s="456"/>
      <c r="BJG60" s="456"/>
      <c r="BJH60" s="456"/>
      <c r="BJI60" s="456"/>
      <c r="BJJ60" s="456"/>
      <c r="BJK60" s="456"/>
      <c r="BJL60" s="456"/>
      <c r="BJM60" s="456"/>
      <c r="BJN60" s="456"/>
      <c r="BJO60" s="456"/>
      <c r="BJP60" s="456"/>
      <c r="BJQ60" s="456"/>
      <c r="BJR60" s="456"/>
      <c r="BJS60" s="456"/>
      <c r="BJT60" s="456"/>
      <c r="BJU60" s="456"/>
      <c r="BJV60" s="456"/>
      <c r="BJW60" s="456"/>
      <c r="BJX60" s="456"/>
      <c r="BJY60" s="456"/>
      <c r="BJZ60" s="456"/>
      <c r="BKA60" s="456"/>
      <c r="BKB60" s="456"/>
      <c r="BKC60" s="456"/>
      <c r="BKD60" s="456"/>
      <c r="BKE60" s="456"/>
      <c r="BKF60" s="456"/>
      <c r="BKG60" s="456"/>
      <c r="BKH60" s="456"/>
      <c r="BKI60" s="456"/>
      <c r="BKJ60" s="456"/>
      <c r="BKK60" s="456"/>
      <c r="BKL60" s="456"/>
      <c r="BKM60" s="456"/>
      <c r="BKN60" s="456"/>
      <c r="BKO60" s="456"/>
      <c r="BKP60" s="456"/>
      <c r="BKQ60" s="456"/>
      <c r="BKR60" s="456"/>
      <c r="BKS60" s="456"/>
      <c r="BKT60" s="456"/>
      <c r="BKU60" s="456"/>
      <c r="BKV60" s="456"/>
      <c r="BKW60" s="456"/>
      <c r="BKX60" s="456"/>
      <c r="BKY60" s="456"/>
      <c r="BKZ60" s="456"/>
      <c r="BLA60" s="456"/>
      <c r="BLB60" s="456"/>
      <c r="BLC60" s="456"/>
      <c r="BLD60" s="456"/>
      <c r="BLE60" s="456"/>
      <c r="BLF60" s="456"/>
      <c r="BLG60" s="456"/>
      <c r="BLH60" s="456"/>
      <c r="BLI60" s="456"/>
      <c r="BLJ60" s="456"/>
      <c r="BLK60" s="456"/>
      <c r="BLL60" s="456"/>
      <c r="BLM60" s="456"/>
      <c r="BLN60" s="456"/>
      <c r="BLO60" s="456"/>
      <c r="BLP60" s="456"/>
      <c r="BLQ60" s="456"/>
      <c r="BLR60" s="456"/>
      <c r="BLS60" s="456"/>
      <c r="BLT60" s="456"/>
      <c r="BLU60" s="456"/>
      <c r="BLV60" s="456"/>
      <c r="BLW60" s="456"/>
      <c r="BLX60" s="456"/>
      <c r="BLY60" s="456"/>
      <c r="BLZ60" s="456"/>
      <c r="BMA60" s="456"/>
      <c r="BMB60" s="456"/>
      <c r="BMC60" s="456"/>
      <c r="BMD60" s="456"/>
      <c r="BME60" s="456"/>
      <c r="BMF60" s="456"/>
      <c r="BMG60" s="456"/>
      <c r="BMH60" s="456"/>
      <c r="BMI60" s="456"/>
      <c r="BMJ60" s="456"/>
      <c r="BMK60" s="456"/>
      <c r="BML60" s="456"/>
      <c r="BMM60" s="456"/>
      <c r="BMN60" s="456"/>
      <c r="BMO60" s="456"/>
      <c r="BMP60" s="456"/>
      <c r="BMQ60" s="456"/>
      <c r="BMR60" s="456"/>
      <c r="BMS60" s="456"/>
      <c r="BMT60" s="456"/>
      <c r="BMU60" s="456"/>
      <c r="BMV60" s="456"/>
      <c r="BMW60" s="456"/>
      <c r="BMX60" s="456"/>
      <c r="BMY60" s="456"/>
      <c r="BMZ60" s="456"/>
      <c r="BNA60" s="456"/>
      <c r="BNB60" s="456"/>
      <c r="BNC60" s="456"/>
      <c r="BND60" s="456"/>
      <c r="BNE60" s="456"/>
      <c r="BNF60" s="456"/>
      <c r="BNG60" s="456"/>
      <c r="BNH60" s="456"/>
      <c r="BNI60" s="456"/>
      <c r="BNJ60" s="456"/>
      <c r="BNK60" s="456"/>
      <c r="BNL60" s="456"/>
      <c r="BNM60" s="456"/>
      <c r="BNN60" s="456"/>
      <c r="BNO60" s="456"/>
      <c r="BNP60" s="456"/>
      <c r="BNQ60" s="456"/>
      <c r="BNR60" s="456"/>
      <c r="BNS60" s="456"/>
      <c r="BNT60" s="456"/>
      <c r="BNU60" s="456"/>
      <c r="BNV60" s="456"/>
      <c r="BNW60" s="456"/>
      <c r="BNX60" s="456"/>
      <c r="BNY60" s="456"/>
      <c r="BNZ60" s="456"/>
      <c r="BOA60" s="456"/>
      <c r="BOB60" s="456"/>
      <c r="BOC60" s="456"/>
      <c r="BOD60" s="456"/>
      <c r="BOE60" s="456"/>
      <c r="BOF60" s="456"/>
      <c r="BOG60" s="456"/>
      <c r="BOH60" s="456"/>
      <c r="BOI60" s="456"/>
      <c r="BOJ60" s="456"/>
      <c r="BOK60" s="456"/>
      <c r="BOL60" s="456"/>
      <c r="BOM60" s="456"/>
      <c r="BON60" s="456"/>
      <c r="BOO60" s="456"/>
      <c r="BOP60" s="456"/>
      <c r="BOQ60" s="456"/>
      <c r="BOR60" s="456"/>
      <c r="BOS60" s="456"/>
      <c r="BOT60" s="456"/>
      <c r="BOU60" s="456"/>
      <c r="BOV60" s="456"/>
      <c r="BOW60" s="456"/>
      <c r="BOX60" s="456"/>
      <c r="BOY60" s="456"/>
      <c r="BOZ60" s="456"/>
      <c r="BPA60" s="456"/>
      <c r="BPB60" s="456"/>
      <c r="BPC60" s="456"/>
      <c r="BPD60" s="456"/>
      <c r="BPE60" s="456"/>
      <c r="BPF60" s="456"/>
      <c r="BPG60" s="456"/>
      <c r="BPH60" s="456"/>
      <c r="BPI60" s="456"/>
      <c r="BPJ60" s="456"/>
      <c r="BPK60" s="456"/>
      <c r="BPL60" s="456"/>
      <c r="BPM60" s="456"/>
      <c r="BPN60" s="456"/>
      <c r="BPO60" s="456"/>
      <c r="BPP60" s="456"/>
      <c r="BPQ60" s="456"/>
      <c r="BPR60" s="456"/>
      <c r="BPS60" s="456"/>
      <c r="BPT60" s="456"/>
      <c r="BPU60" s="456"/>
      <c r="BPV60" s="456"/>
      <c r="BPW60" s="456"/>
      <c r="BPX60" s="456"/>
      <c r="BPY60" s="456"/>
      <c r="BPZ60" s="456"/>
      <c r="BQA60" s="456"/>
      <c r="BQB60" s="456"/>
      <c r="BQC60" s="456"/>
      <c r="BQD60" s="456"/>
      <c r="BQE60" s="456"/>
      <c r="BQF60" s="456"/>
      <c r="BQG60" s="456"/>
      <c r="BQH60" s="456"/>
      <c r="BQI60" s="456"/>
      <c r="BQJ60" s="456"/>
      <c r="BQK60" s="456"/>
      <c r="BQL60" s="456"/>
      <c r="BQM60" s="456"/>
      <c r="BQN60" s="456"/>
      <c r="BQO60" s="456"/>
      <c r="BQP60" s="456"/>
      <c r="BQQ60" s="456"/>
      <c r="BQR60" s="456"/>
      <c r="BQS60" s="456"/>
      <c r="BQT60" s="456"/>
      <c r="BQU60" s="456"/>
      <c r="BQV60" s="456"/>
      <c r="BQW60" s="456"/>
      <c r="BQX60" s="456"/>
      <c r="BQY60" s="456"/>
      <c r="BQZ60" s="456"/>
      <c r="BRA60" s="456"/>
      <c r="BRB60" s="456"/>
      <c r="BRC60" s="456"/>
      <c r="BRD60" s="456"/>
      <c r="BRE60" s="456"/>
      <c r="BRF60" s="456"/>
      <c r="BRG60" s="456"/>
      <c r="BRH60" s="456"/>
      <c r="BRI60" s="456"/>
      <c r="BRJ60" s="456"/>
      <c r="BRK60" s="456"/>
      <c r="BRL60" s="456"/>
      <c r="BRM60" s="456"/>
      <c r="BRN60" s="456"/>
      <c r="BRO60" s="456"/>
      <c r="BRP60" s="456"/>
      <c r="BRQ60" s="456"/>
      <c r="BRR60" s="456"/>
      <c r="BRS60" s="456"/>
      <c r="BRT60" s="456"/>
      <c r="BRU60" s="456"/>
      <c r="BRV60" s="456"/>
      <c r="BRW60" s="456"/>
      <c r="BRX60" s="456"/>
      <c r="BRY60" s="456"/>
      <c r="BRZ60" s="456"/>
      <c r="BSA60" s="456"/>
      <c r="BSB60" s="456"/>
      <c r="BSC60" s="456"/>
      <c r="BSD60" s="456"/>
      <c r="BSE60" s="456"/>
      <c r="BSF60" s="456"/>
      <c r="BSG60" s="456"/>
      <c r="BSH60" s="456"/>
      <c r="BSI60" s="456"/>
      <c r="BSJ60" s="456"/>
      <c r="BSK60" s="456"/>
      <c r="BSL60" s="456"/>
      <c r="BSM60" s="456"/>
      <c r="BSN60" s="456"/>
      <c r="BSO60" s="456"/>
      <c r="BSP60" s="456"/>
      <c r="BSQ60" s="456"/>
      <c r="BSR60" s="456"/>
      <c r="BSS60" s="456"/>
      <c r="BST60" s="456"/>
      <c r="BSU60" s="456"/>
      <c r="BSV60" s="456"/>
      <c r="BSW60" s="456"/>
      <c r="BSX60" s="456"/>
      <c r="BSY60" s="456"/>
      <c r="BSZ60" s="456"/>
      <c r="BTA60" s="456"/>
      <c r="BTB60" s="456"/>
      <c r="BTC60" s="456"/>
      <c r="BTD60" s="456"/>
      <c r="BTE60" s="456"/>
      <c r="BTF60" s="456"/>
      <c r="BTG60" s="456"/>
      <c r="BTH60" s="456"/>
      <c r="BTI60" s="456"/>
      <c r="BTJ60" s="456"/>
      <c r="BTK60" s="456"/>
      <c r="BTL60" s="456"/>
      <c r="BTM60" s="456"/>
      <c r="BTN60" s="456"/>
      <c r="BTO60" s="456"/>
      <c r="BTP60" s="456"/>
      <c r="BTQ60" s="456"/>
      <c r="BTR60" s="456"/>
      <c r="BTS60" s="456"/>
      <c r="BTT60" s="456"/>
      <c r="BTU60" s="456"/>
      <c r="BTV60" s="456"/>
      <c r="BTW60" s="456"/>
      <c r="BTX60" s="456"/>
      <c r="BTY60" s="456"/>
      <c r="BTZ60" s="456"/>
      <c r="BUA60" s="456"/>
      <c r="BUB60" s="456"/>
      <c r="BUC60" s="456"/>
      <c r="BUD60" s="456"/>
      <c r="BUE60" s="456"/>
      <c r="BUF60" s="456"/>
      <c r="BUG60" s="456"/>
      <c r="BUH60" s="456"/>
      <c r="BUI60" s="456"/>
      <c r="BUJ60" s="456"/>
      <c r="BUK60" s="456"/>
      <c r="BUL60" s="456"/>
      <c r="BUM60" s="456"/>
      <c r="BUN60" s="456"/>
      <c r="BUO60" s="456"/>
      <c r="BUP60" s="456"/>
      <c r="BUQ60" s="456"/>
      <c r="BUR60" s="456"/>
      <c r="BUS60" s="456"/>
      <c r="BUT60" s="456"/>
      <c r="BUU60" s="456"/>
      <c r="BUV60" s="456"/>
      <c r="BUW60" s="456"/>
      <c r="BUX60" s="456"/>
      <c r="BUY60" s="456"/>
      <c r="BUZ60" s="456"/>
      <c r="BVA60" s="456"/>
      <c r="BVB60" s="456"/>
      <c r="BVC60" s="456"/>
      <c r="BVD60" s="456"/>
      <c r="BVE60" s="456"/>
      <c r="BVF60" s="456"/>
      <c r="BVG60" s="456"/>
      <c r="BVH60" s="456"/>
      <c r="BVI60" s="456"/>
      <c r="BVJ60" s="456"/>
      <c r="BVK60" s="456"/>
      <c r="BVL60" s="456"/>
      <c r="BVM60" s="456"/>
      <c r="BVN60" s="456"/>
      <c r="BVO60" s="456"/>
      <c r="BVP60" s="456"/>
      <c r="BVQ60" s="456"/>
      <c r="BVR60" s="456"/>
      <c r="BVS60" s="456"/>
      <c r="BVT60" s="456"/>
      <c r="BVU60" s="456"/>
      <c r="BVV60" s="456"/>
      <c r="BVW60" s="456"/>
      <c r="BVX60" s="456"/>
      <c r="BVY60" s="456"/>
      <c r="BVZ60" s="456"/>
      <c r="BWA60" s="456"/>
      <c r="BWB60" s="456"/>
      <c r="BWC60" s="456"/>
      <c r="BWD60" s="456"/>
      <c r="BWE60" s="456"/>
      <c r="BWF60" s="456"/>
      <c r="BWG60" s="456"/>
      <c r="BWH60" s="456"/>
      <c r="BWI60" s="456"/>
      <c r="BWJ60" s="456"/>
      <c r="BWK60" s="456"/>
      <c r="BWL60" s="456"/>
      <c r="BWM60" s="456"/>
      <c r="BWN60" s="456"/>
      <c r="BWO60" s="456"/>
      <c r="BWP60" s="456"/>
      <c r="BWQ60" s="456"/>
      <c r="BWR60" s="456"/>
      <c r="BWS60" s="456"/>
      <c r="BWT60" s="456"/>
      <c r="BWU60" s="456"/>
      <c r="BWV60" s="456"/>
      <c r="BWW60" s="456"/>
      <c r="BWX60" s="456"/>
      <c r="BWY60" s="456"/>
      <c r="BWZ60" s="456"/>
      <c r="BXA60" s="456"/>
      <c r="BXB60" s="456"/>
      <c r="BXC60" s="456"/>
      <c r="BXD60" s="456"/>
      <c r="BXE60" s="456"/>
      <c r="BXF60" s="456"/>
      <c r="BXG60" s="456"/>
      <c r="BXH60" s="456"/>
      <c r="BXI60" s="456"/>
      <c r="BXJ60" s="456"/>
      <c r="BXK60" s="456"/>
      <c r="BXL60" s="456"/>
      <c r="BXM60" s="456"/>
      <c r="BXN60" s="456"/>
      <c r="BXO60" s="456"/>
      <c r="BXP60" s="456"/>
      <c r="BXQ60" s="456"/>
      <c r="BXR60" s="456"/>
      <c r="BXS60" s="456"/>
      <c r="BXT60" s="456"/>
      <c r="BXU60" s="456"/>
      <c r="BXV60" s="456"/>
      <c r="BXW60" s="456"/>
      <c r="BXX60" s="456"/>
      <c r="BXY60" s="456"/>
      <c r="BXZ60" s="456"/>
    </row>
    <row r="61" s="25" customFormat="1" spans="1:1024 1025:2002">
      <c r="A61" s="473" t="s">
        <v>34</v>
      </c>
      <c r="B61" s="19">
        <v>1119</v>
      </c>
      <c r="C61" s="183">
        <v>46181</v>
      </c>
      <c r="D61" s="17" t="s">
        <v>35</v>
      </c>
      <c r="E61" s="17" t="s">
        <v>71</v>
      </c>
      <c r="F61" s="17" t="s">
        <v>72</v>
      </c>
      <c r="G61" s="17"/>
      <c r="H61" s="19">
        <v>1.2379</v>
      </c>
      <c r="I61" s="19">
        <v>1.2379</v>
      </c>
      <c r="J61" s="17" t="s">
        <v>82</v>
      </c>
      <c r="K61" s="91">
        <v>305</v>
      </c>
      <c r="L61" s="23">
        <v>25</v>
      </c>
      <c r="M61" s="19">
        <v>5800</v>
      </c>
      <c r="N61" s="19" t="s">
        <v>40</v>
      </c>
      <c r="O61" s="19" t="s">
        <v>67</v>
      </c>
      <c r="P61" s="19">
        <v>1000</v>
      </c>
      <c r="Q61" s="19">
        <v>872</v>
      </c>
      <c r="R61" s="19">
        <f t="shared" si="2"/>
        <v>128</v>
      </c>
      <c r="S61" s="477">
        <f t="shared" si="3"/>
        <v>2433</v>
      </c>
      <c r="T61" s="19" t="s">
        <v>42</v>
      </c>
      <c r="U61" s="102" t="s">
        <v>83</v>
      </c>
      <c r="V61" s="186">
        <v>46181</v>
      </c>
      <c r="W61" s="17" t="s">
        <v>69</v>
      </c>
      <c r="X61" s="17"/>
      <c r="Y61" s="68">
        <v>46327</v>
      </c>
      <c r="Z61" s="17" t="s">
        <v>45</v>
      </c>
      <c r="AA61" s="17" t="s">
        <v>46</v>
      </c>
      <c r="AB61" s="17" t="s">
        <v>75</v>
      </c>
      <c r="AC61" s="217">
        <v>46224</v>
      </c>
      <c r="AD61" s="65">
        <v>1837</v>
      </c>
      <c r="AE61" s="17" t="s">
        <v>48</v>
      </c>
      <c r="AF61" s="17" t="s">
        <v>76</v>
      </c>
      <c r="AG61" s="17"/>
      <c r="AH61" s="456"/>
      <c r="AI61" s="456"/>
      <c r="AJ61" s="456"/>
      <c r="AK61" s="456"/>
      <c r="AL61" s="456"/>
      <c r="AM61" s="456"/>
      <c r="AN61" s="456"/>
      <c r="AO61" s="456"/>
      <c r="AP61" s="456"/>
      <c r="AQ61" s="456"/>
      <c r="AR61" s="456"/>
      <c r="AS61" s="456"/>
      <c r="AT61" s="456"/>
      <c r="AU61" s="456"/>
      <c r="AV61" s="456"/>
      <c r="AW61" s="456"/>
      <c r="AX61" s="456"/>
      <c r="AY61" s="456"/>
      <c r="AZ61" s="456"/>
      <c r="BA61" s="456"/>
      <c r="BB61" s="456"/>
      <c r="BC61" s="456"/>
      <c r="BD61" s="456"/>
      <c r="BE61" s="456"/>
      <c r="BF61" s="456"/>
      <c r="BG61" s="456"/>
      <c r="BH61" s="456"/>
      <c r="BI61" s="456"/>
      <c r="BJ61" s="456"/>
      <c r="BK61" s="456"/>
      <c r="BL61" s="456"/>
      <c r="BM61" s="456"/>
      <c r="BN61" s="456"/>
      <c r="BO61" s="456"/>
      <c r="BP61" s="456"/>
      <c r="BQ61" s="456"/>
      <c r="BR61" s="456"/>
      <c r="BS61" s="456"/>
      <c r="BT61" s="456"/>
      <c r="BU61" s="456"/>
      <c r="BV61" s="456"/>
      <c r="BW61" s="456"/>
      <c r="BX61" s="456"/>
      <c r="BY61" s="456"/>
      <c r="BZ61" s="456"/>
      <c r="CA61" s="456"/>
      <c r="CB61" s="456"/>
      <c r="CC61" s="456"/>
      <c r="CD61" s="456"/>
      <c r="CE61" s="456"/>
      <c r="CF61" s="456"/>
      <c r="CG61" s="456"/>
      <c r="CH61" s="456"/>
      <c r="CI61" s="456"/>
      <c r="CJ61" s="456"/>
      <c r="CK61" s="456"/>
      <c r="CL61" s="456"/>
      <c r="CM61" s="456"/>
      <c r="CN61" s="456"/>
      <c r="CO61" s="456"/>
      <c r="CP61" s="456"/>
      <c r="CQ61" s="456"/>
      <c r="CR61" s="456"/>
      <c r="CS61" s="456"/>
      <c r="CT61" s="456"/>
      <c r="CU61" s="456"/>
      <c r="CV61" s="456"/>
      <c r="CW61" s="456"/>
      <c r="CX61" s="456"/>
      <c r="CY61" s="456"/>
      <c r="CZ61" s="456"/>
      <c r="DA61" s="456"/>
      <c r="DB61" s="456"/>
      <c r="DC61" s="456"/>
      <c r="DD61" s="456"/>
      <c r="DE61" s="456"/>
      <c r="DF61" s="456"/>
      <c r="DG61" s="456"/>
      <c r="DH61" s="456"/>
      <c r="DI61" s="456"/>
      <c r="DJ61" s="456"/>
      <c r="DK61" s="456"/>
      <c r="DL61" s="456"/>
      <c r="DM61" s="456"/>
      <c r="DN61" s="456"/>
      <c r="DO61" s="456"/>
      <c r="DP61" s="456"/>
      <c r="DQ61" s="456"/>
      <c r="DR61" s="456"/>
      <c r="DS61" s="456"/>
      <c r="DT61" s="456"/>
      <c r="DU61" s="456"/>
      <c r="DV61" s="456"/>
      <c r="DW61" s="456"/>
      <c r="DX61" s="456"/>
      <c r="DY61" s="456"/>
      <c r="DZ61" s="456"/>
      <c r="EA61" s="456"/>
      <c r="EB61" s="456"/>
      <c r="EC61" s="456"/>
      <c r="ED61" s="456"/>
      <c r="EE61" s="456"/>
      <c r="EF61" s="456"/>
      <c r="EG61" s="456"/>
      <c r="EH61" s="456"/>
      <c r="EI61" s="456"/>
      <c r="EJ61" s="456"/>
      <c r="EK61" s="456"/>
      <c r="EL61" s="456"/>
      <c r="EM61" s="456"/>
      <c r="EN61" s="456"/>
      <c r="EO61" s="456"/>
      <c r="EP61" s="456"/>
      <c r="EQ61" s="456"/>
      <c r="ER61" s="456"/>
      <c r="ES61" s="456"/>
      <c r="ET61" s="456"/>
      <c r="EU61" s="456"/>
      <c r="EV61" s="456"/>
      <c r="EW61" s="456"/>
      <c r="EX61" s="456"/>
      <c r="EY61" s="456"/>
      <c r="EZ61" s="456"/>
      <c r="FA61" s="456"/>
      <c r="FB61" s="456"/>
      <c r="FC61" s="456"/>
      <c r="FD61" s="456"/>
      <c r="FE61" s="456"/>
      <c r="FF61" s="456"/>
      <c r="FG61" s="456"/>
      <c r="FH61" s="456"/>
      <c r="FI61" s="456"/>
      <c r="FJ61" s="456"/>
      <c r="FK61" s="456"/>
      <c r="FL61" s="456"/>
      <c r="FM61" s="456"/>
      <c r="FN61" s="456"/>
      <c r="FO61" s="456"/>
      <c r="FP61" s="456"/>
      <c r="FQ61" s="456"/>
      <c r="FR61" s="456"/>
      <c r="FS61" s="456"/>
      <c r="FT61" s="456"/>
      <c r="FU61" s="456"/>
      <c r="FV61" s="456"/>
      <c r="FW61" s="456"/>
      <c r="FX61" s="456"/>
      <c r="FY61" s="456"/>
      <c r="FZ61" s="456"/>
      <c r="GA61" s="456"/>
      <c r="GB61" s="456"/>
      <c r="GC61" s="456"/>
      <c r="GD61" s="456"/>
      <c r="GE61" s="456"/>
      <c r="GF61" s="456"/>
      <c r="GG61" s="456"/>
      <c r="GH61" s="456"/>
      <c r="GI61" s="456"/>
      <c r="GJ61" s="456"/>
      <c r="GK61" s="456"/>
      <c r="GL61" s="456"/>
      <c r="GM61" s="456"/>
      <c r="GN61" s="456"/>
      <c r="GO61" s="456"/>
      <c r="GP61" s="456"/>
      <c r="GQ61" s="456"/>
      <c r="GR61" s="456"/>
      <c r="GS61" s="456"/>
      <c r="GT61" s="456"/>
      <c r="GU61" s="456"/>
      <c r="GV61" s="456"/>
      <c r="GW61" s="456"/>
      <c r="GX61" s="456"/>
      <c r="GY61" s="456"/>
      <c r="GZ61" s="456"/>
      <c r="HA61" s="456"/>
      <c r="HB61" s="456"/>
      <c r="HC61" s="456"/>
      <c r="HD61" s="456"/>
      <c r="HE61" s="456"/>
      <c r="HF61" s="456"/>
      <c r="HG61" s="456"/>
      <c r="HH61" s="456"/>
      <c r="HI61" s="456"/>
      <c r="HJ61" s="456"/>
      <c r="HK61" s="456"/>
      <c r="HL61" s="456"/>
      <c r="HM61" s="456"/>
      <c r="HN61" s="456"/>
      <c r="HO61" s="456"/>
      <c r="HP61" s="456"/>
      <c r="HQ61" s="456"/>
      <c r="HR61" s="456"/>
      <c r="HS61" s="456"/>
      <c r="HT61" s="456"/>
      <c r="HU61" s="456"/>
      <c r="HV61" s="456"/>
      <c r="HW61" s="456"/>
      <c r="HX61" s="456"/>
      <c r="HY61" s="456"/>
      <c r="HZ61" s="456"/>
      <c r="IA61" s="456"/>
      <c r="IB61" s="456"/>
      <c r="IC61" s="456"/>
      <c r="ID61" s="456"/>
      <c r="IE61" s="456"/>
      <c r="IF61" s="456"/>
      <c r="IG61" s="456"/>
      <c r="IH61" s="456"/>
      <c r="II61" s="456"/>
      <c r="IJ61" s="456"/>
      <c r="IK61" s="456"/>
      <c r="IL61" s="456"/>
      <c r="IM61" s="456"/>
      <c r="IN61" s="456"/>
      <c r="IO61" s="456"/>
      <c r="IP61" s="456"/>
      <c r="IQ61" s="456"/>
      <c r="IR61" s="456"/>
      <c r="IS61" s="456"/>
      <c r="IT61" s="456"/>
      <c r="IU61" s="456"/>
      <c r="IV61" s="456"/>
      <c r="IW61" s="456"/>
      <c r="IX61" s="456"/>
      <c r="IY61" s="456"/>
      <c r="IZ61" s="456"/>
      <c r="JA61" s="456"/>
      <c r="JB61" s="456"/>
      <c r="JC61" s="456"/>
      <c r="JD61" s="456"/>
      <c r="JE61" s="456"/>
      <c r="JF61" s="456"/>
      <c r="JG61" s="456"/>
      <c r="JH61" s="456"/>
      <c r="JI61" s="456"/>
      <c r="JJ61" s="456"/>
      <c r="JK61" s="456"/>
      <c r="JL61" s="456"/>
      <c r="JM61" s="456"/>
      <c r="JN61" s="456"/>
      <c r="JO61" s="456"/>
      <c r="JP61" s="456"/>
      <c r="JQ61" s="456"/>
      <c r="JR61" s="456"/>
      <c r="JS61" s="456"/>
      <c r="JT61" s="456"/>
      <c r="JU61" s="456"/>
      <c r="JV61" s="456"/>
      <c r="JW61" s="456"/>
      <c r="JX61" s="456"/>
      <c r="JY61" s="456"/>
      <c r="JZ61" s="456"/>
      <c r="KA61" s="456"/>
      <c r="KB61" s="456"/>
      <c r="KC61" s="456"/>
      <c r="KD61" s="456"/>
      <c r="KE61" s="456"/>
      <c r="KF61" s="456"/>
      <c r="KG61" s="456"/>
      <c r="KH61" s="456"/>
      <c r="KI61" s="456"/>
      <c r="KJ61" s="456"/>
      <c r="KK61" s="456"/>
      <c r="KL61" s="456"/>
      <c r="KM61" s="456"/>
      <c r="KN61" s="456"/>
      <c r="KO61" s="456"/>
      <c r="KP61" s="456"/>
      <c r="KQ61" s="456"/>
      <c r="KR61" s="456"/>
      <c r="KS61" s="456"/>
      <c r="KT61" s="456"/>
      <c r="KU61" s="456"/>
      <c r="KV61" s="456"/>
      <c r="KW61" s="456"/>
      <c r="KX61" s="456"/>
      <c r="KY61" s="456"/>
      <c r="KZ61" s="456"/>
      <c r="LA61" s="456"/>
      <c r="LB61" s="456"/>
      <c r="LC61" s="456"/>
      <c r="LD61" s="456"/>
      <c r="LE61" s="456"/>
      <c r="LF61" s="456"/>
      <c r="LG61" s="456"/>
      <c r="LH61" s="456"/>
      <c r="LI61" s="456"/>
      <c r="LJ61" s="456"/>
      <c r="LK61" s="456"/>
      <c r="LL61" s="456"/>
      <c r="LM61" s="456"/>
      <c r="LN61" s="456"/>
      <c r="LO61" s="456"/>
      <c r="LP61" s="456"/>
      <c r="LQ61" s="456"/>
      <c r="LR61" s="456"/>
      <c r="LS61" s="456"/>
      <c r="LT61" s="456"/>
      <c r="LU61" s="456"/>
      <c r="LV61" s="456"/>
      <c r="LW61" s="456"/>
      <c r="LX61" s="456"/>
      <c r="LY61" s="456"/>
      <c r="LZ61" s="456"/>
      <c r="MA61" s="456"/>
      <c r="MB61" s="456"/>
      <c r="MC61" s="456"/>
      <c r="MD61" s="456"/>
      <c r="ME61" s="456"/>
      <c r="MF61" s="456"/>
      <c r="MG61" s="456"/>
      <c r="MH61" s="456"/>
      <c r="MI61" s="456"/>
      <c r="MJ61" s="456"/>
      <c r="MK61" s="456"/>
      <c r="ML61" s="456"/>
      <c r="MM61" s="456"/>
      <c r="MN61" s="456"/>
      <c r="MO61" s="456"/>
      <c r="MP61" s="456"/>
      <c r="MQ61" s="456"/>
      <c r="MR61" s="456"/>
      <c r="MS61" s="456"/>
      <c r="MT61" s="456"/>
      <c r="MU61" s="456"/>
      <c r="MV61" s="456"/>
      <c r="MW61" s="456"/>
      <c r="MX61" s="456"/>
      <c r="MY61" s="456"/>
      <c r="MZ61" s="456"/>
      <c r="NA61" s="456"/>
      <c r="NB61" s="456"/>
      <c r="NC61" s="456"/>
      <c r="ND61" s="456"/>
      <c r="NE61" s="456"/>
      <c r="NF61" s="456"/>
      <c r="NG61" s="456"/>
      <c r="NH61" s="456"/>
      <c r="NI61" s="456"/>
      <c r="NJ61" s="456"/>
      <c r="NK61" s="456"/>
      <c r="NL61" s="456"/>
      <c r="NM61" s="456"/>
      <c r="NN61" s="456"/>
      <c r="NO61" s="456"/>
      <c r="NP61" s="456"/>
      <c r="NQ61" s="456"/>
      <c r="NR61" s="456"/>
      <c r="NS61" s="456"/>
      <c r="NT61" s="456"/>
      <c r="NU61" s="456"/>
      <c r="NV61" s="456"/>
      <c r="NW61" s="456"/>
      <c r="NX61" s="456"/>
      <c r="NY61" s="456"/>
      <c r="NZ61" s="456"/>
      <c r="OA61" s="456"/>
      <c r="OB61" s="456"/>
      <c r="OC61" s="456"/>
      <c r="OD61" s="456"/>
      <c r="OE61" s="456"/>
      <c r="OF61" s="456"/>
      <c r="OG61" s="456"/>
      <c r="OH61" s="456"/>
      <c r="OI61" s="456"/>
      <c r="OJ61" s="456"/>
      <c r="OK61" s="456"/>
      <c r="OL61" s="456"/>
      <c r="OM61" s="456"/>
      <c r="ON61" s="456"/>
      <c r="OO61" s="456"/>
      <c r="OP61" s="456"/>
      <c r="OQ61" s="456"/>
      <c r="OR61" s="456"/>
      <c r="OS61" s="456"/>
      <c r="OT61" s="456"/>
      <c r="OU61" s="456"/>
      <c r="OV61" s="456"/>
      <c r="OW61" s="456"/>
      <c r="OX61" s="456"/>
      <c r="OY61" s="456"/>
      <c r="OZ61" s="456"/>
      <c r="PA61" s="456"/>
      <c r="PB61" s="456"/>
      <c r="PC61" s="456"/>
      <c r="PD61" s="456"/>
      <c r="PE61" s="456"/>
      <c r="PF61" s="456"/>
      <c r="PG61" s="456"/>
      <c r="PH61" s="456"/>
      <c r="PI61" s="456"/>
      <c r="PJ61" s="456"/>
      <c r="PK61" s="456"/>
      <c r="PL61" s="456"/>
      <c r="PM61" s="456"/>
      <c r="PN61" s="456"/>
      <c r="PO61" s="456"/>
      <c r="PP61" s="456"/>
      <c r="PQ61" s="456"/>
      <c r="PR61" s="456"/>
      <c r="PS61" s="456"/>
      <c r="PT61" s="456"/>
      <c r="PU61" s="456"/>
      <c r="PV61" s="456"/>
      <c r="PW61" s="456"/>
      <c r="PX61" s="456"/>
      <c r="PY61" s="456"/>
      <c r="PZ61" s="456"/>
      <c r="QA61" s="456"/>
      <c r="QB61" s="456"/>
      <c r="QC61" s="456"/>
      <c r="QD61" s="456"/>
      <c r="QE61" s="456"/>
      <c r="QF61" s="456"/>
      <c r="QG61" s="456"/>
      <c r="QH61" s="456"/>
      <c r="QI61" s="456"/>
      <c r="QJ61" s="456"/>
      <c r="QK61" s="456"/>
      <c r="QL61" s="456"/>
      <c r="QM61" s="456"/>
      <c r="QN61" s="456"/>
      <c r="QO61" s="456"/>
      <c r="QP61" s="456"/>
      <c r="QQ61" s="456"/>
      <c r="QR61" s="456"/>
      <c r="QS61" s="456"/>
      <c r="QT61" s="456"/>
      <c r="QU61" s="456"/>
      <c r="QV61" s="456"/>
      <c r="QW61" s="456"/>
      <c r="QX61" s="456"/>
      <c r="QY61" s="456"/>
      <c r="QZ61" s="456"/>
      <c r="RA61" s="456"/>
      <c r="RB61" s="456"/>
      <c r="RC61" s="456"/>
      <c r="RD61" s="456"/>
      <c r="RE61" s="456"/>
      <c r="RF61" s="456"/>
      <c r="RG61" s="456"/>
      <c r="RH61" s="456"/>
      <c r="RI61" s="456"/>
      <c r="RJ61" s="456"/>
      <c r="RK61" s="456"/>
      <c r="RL61" s="456"/>
      <c r="RM61" s="456"/>
      <c r="RN61" s="456"/>
      <c r="RO61" s="456"/>
      <c r="RP61" s="456"/>
      <c r="RQ61" s="456"/>
      <c r="RR61" s="456"/>
      <c r="RS61" s="456"/>
      <c r="RT61" s="456"/>
      <c r="RU61" s="456"/>
      <c r="RV61" s="456"/>
      <c r="RW61" s="456"/>
      <c r="RX61" s="456"/>
      <c r="RY61" s="456"/>
      <c r="RZ61" s="456"/>
      <c r="SA61" s="456"/>
      <c r="SB61" s="456"/>
      <c r="SC61" s="456"/>
      <c r="SD61" s="456"/>
      <c r="SE61" s="456"/>
      <c r="SF61" s="456"/>
      <c r="SG61" s="456"/>
      <c r="SH61" s="456"/>
      <c r="SI61" s="456"/>
      <c r="SJ61" s="456"/>
      <c r="SK61" s="456"/>
      <c r="SL61" s="456"/>
      <c r="SM61" s="456"/>
      <c r="SN61" s="456"/>
      <c r="SO61" s="456"/>
      <c r="SP61" s="456"/>
      <c r="SQ61" s="456"/>
      <c r="SR61" s="456"/>
      <c r="SS61" s="456"/>
      <c r="ST61" s="456"/>
      <c r="SU61" s="456"/>
      <c r="SV61" s="456"/>
      <c r="SW61" s="456"/>
      <c r="SX61" s="456"/>
      <c r="SY61" s="456"/>
      <c r="SZ61" s="456"/>
      <c r="TA61" s="456"/>
      <c r="TB61" s="456"/>
      <c r="TC61" s="456"/>
      <c r="TD61" s="456"/>
      <c r="TE61" s="456"/>
      <c r="TF61" s="456"/>
      <c r="TG61" s="456"/>
      <c r="TH61" s="456"/>
      <c r="TI61" s="456"/>
      <c r="TJ61" s="456"/>
      <c r="TK61" s="456"/>
      <c r="TL61" s="456"/>
      <c r="TM61" s="456"/>
      <c r="TN61" s="456"/>
      <c r="TO61" s="456"/>
      <c r="TP61" s="456"/>
      <c r="TQ61" s="456"/>
      <c r="TR61" s="456"/>
      <c r="TS61" s="456"/>
      <c r="TT61" s="456"/>
      <c r="TU61" s="456"/>
      <c r="TV61" s="456"/>
      <c r="TW61" s="456"/>
      <c r="TX61" s="456"/>
      <c r="TY61" s="456"/>
      <c r="TZ61" s="456"/>
      <c r="UA61" s="456"/>
      <c r="UB61" s="456"/>
      <c r="UC61" s="456"/>
      <c r="UD61" s="456"/>
      <c r="UE61" s="456"/>
      <c r="UF61" s="456"/>
      <c r="UG61" s="456"/>
      <c r="UH61" s="456"/>
      <c r="UI61" s="456"/>
      <c r="UJ61" s="456"/>
      <c r="UK61" s="456"/>
      <c r="UL61" s="456"/>
      <c r="UM61" s="456"/>
      <c r="UN61" s="456"/>
      <c r="UO61" s="456"/>
      <c r="UP61" s="456"/>
      <c r="UQ61" s="456"/>
      <c r="UR61" s="456"/>
      <c r="US61" s="456"/>
      <c r="UT61" s="456"/>
      <c r="UU61" s="456"/>
      <c r="UV61" s="456"/>
      <c r="UW61" s="456"/>
      <c r="UX61" s="456"/>
      <c r="UY61" s="456"/>
      <c r="UZ61" s="456"/>
      <c r="VA61" s="456"/>
      <c r="VB61" s="456"/>
      <c r="VC61" s="456"/>
      <c r="VD61" s="456"/>
      <c r="VE61" s="456"/>
      <c r="VF61" s="456"/>
      <c r="VG61" s="456"/>
      <c r="VH61" s="456"/>
      <c r="VI61" s="456"/>
      <c r="VJ61" s="456"/>
      <c r="VK61" s="456"/>
      <c r="VL61" s="456"/>
      <c r="VM61" s="456"/>
      <c r="VN61" s="456"/>
      <c r="VO61" s="456"/>
      <c r="VP61" s="456"/>
      <c r="VQ61" s="456"/>
      <c r="VR61" s="456"/>
      <c r="VS61" s="456"/>
      <c r="VT61" s="456"/>
      <c r="VU61" s="456"/>
      <c r="VV61" s="456"/>
      <c r="VW61" s="456"/>
      <c r="VX61" s="456"/>
      <c r="VY61" s="456"/>
      <c r="VZ61" s="456"/>
      <c r="WA61" s="456"/>
      <c r="WB61" s="456"/>
      <c r="WC61" s="456"/>
      <c r="WD61" s="456"/>
      <c r="WE61" s="456"/>
      <c r="WF61" s="456"/>
      <c r="WG61" s="456"/>
      <c r="WH61" s="456"/>
      <c r="WI61" s="456"/>
      <c r="WJ61" s="456"/>
      <c r="WK61" s="456"/>
      <c r="WL61" s="456"/>
      <c r="WM61" s="456"/>
      <c r="WN61" s="456"/>
      <c r="WO61" s="456"/>
      <c r="WP61" s="456"/>
      <c r="WQ61" s="456"/>
      <c r="WR61" s="456"/>
      <c r="WS61" s="456"/>
      <c r="WT61" s="456"/>
      <c r="WU61" s="456"/>
      <c r="WV61" s="456"/>
      <c r="WW61" s="456"/>
      <c r="WX61" s="456"/>
      <c r="WY61" s="456"/>
      <c r="WZ61" s="456"/>
      <c r="XA61" s="456"/>
      <c r="XB61" s="456"/>
      <c r="XC61" s="456"/>
      <c r="XD61" s="456"/>
      <c r="XE61" s="456"/>
      <c r="XF61" s="456"/>
      <c r="XG61" s="456"/>
      <c r="XH61" s="456"/>
      <c r="XI61" s="456"/>
      <c r="XJ61" s="456"/>
      <c r="XK61" s="456"/>
      <c r="XL61" s="456"/>
      <c r="XM61" s="456"/>
      <c r="XN61" s="456"/>
      <c r="XO61" s="456"/>
      <c r="XP61" s="456"/>
      <c r="XQ61" s="456"/>
      <c r="XR61" s="456"/>
      <c r="XS61" s="456"/>
      <c r="XT61" s="456"/>
      <c r="XU61" s="456"/>
      <c r="XV61" s="456"/>
      <c r="XW61" s="456"/>
      <c r="XX61" s="456"/>
      <c r="XY61" s="456"/>
      <c r="XZ61" s="456"/>
      <c r="YA61" s="456"/>
      <c r="YB61" s="456"/>
      <c r="YC61" s="456"/>
      <c r="YD61" s="456"/>
      <c r="YE61" s="456"/>
      <c r="YF61" s="456"/>
      <c r="YG61" s="456"/>
      <c r="YH61" s="456"/>
      <c r="YI61" s="456"/>
      <c r="YJ61" s="456"/>
      <c r="YK61" s="456"/>
      <c r="YL61" s="456"/>
      <c r="YM61" s="456"/>
      <c r="YN61" s="456"/>
      <c r="YO61" s="456"/>
      <c r="YP61" s="456"/>
      <c r="YQ61" s="456"/>
      <c r="YR61" s="456"/>
      <c r="YS61" s="456"/>
      <c r="YT61" s="456"/>
      <c r="YU61" s="456"/>
      <c r="YV61" s="456"/>
      <c r="YW61" s="456"/>
      <c r="YX61" s="456"/>
      <c r="YY61" s="456"/>
      <c r="YZ61" s="456"/>
      <c r="ZA61" s="456"/>
      <c r="ZB61" s="456"/>
      <c r="ZC61" s="456"/>
      <c r="ZD61" s="456"/>
      <c r="ZE61" s="456"/>
      <c r="ZF61" s="456"/>
      <c r="ZG61" s="456"/>
      <c r="ZH61" s="456"/>
      <c r="ZI61" s="456"/>
      <c r="ZJ61" s="456"/>
      <c r="ZK61" s="456"/>
      <c r="ZL61" s="456"/>
      <c r="ZM61" s="456"/>
      <c r="ZN61" s="456"/>
      <c r="ZO61" s="456"/>
      <c r="ZP61" s="456"/>
      <c r="ZQ61" s="456"/>
      <c r="ZR61" s="456"/>
      <c r="ZS61" s="456"/>
      <c r="ZT61" s="456"/>
      <c r="ZU61" s="456"/>
      <c r="ZV61" s="456"/>
      <c r="ZW61" s="456"/>
      <c r="ZX61" s="456"/>
      <c r="ZY61" s="456"/>
      <c r="ZZ61" s="456"/>
      <c r="AAA61" s="456"/>
      <c r="AAB61" s="456"/>
      <c r="AAC61" s="456"/>
      <c r="AAD61" s="456"/>
      <c r="AAE61" s="456"/>
      <c r="AAF61" s="456"/>
      <c r="AAG61" s="456"/>
      <c r="AAH61" s="456"/>
      <c r="AAI61" s="456"/>
      <c r="AAJ61" s="456"/>
      <c r="AAK61" s="456"/>
      <c r="AAL61" s="456"/>
      <c r="AAM61" s="456"/>
      <c r="AAN61" s="456"/>
      <c r="AAO61" s="456"/>
      <c r="AAP61" s="456"/>
      <c r="AAQ61" s="456"/>
      <c r="AAR61" s="456"/>
      <c r="AAS61" s="456"/>
      <c r="AAT61" s="456"/>
      <c r="AAU61" s="456"/>
      <c r="AAV61" s="456"/>
      <c r="AAW61" s="456"/>
      <c r="AAX61" s="456"/>
      <c r="AAY61" s="456"/>
      <c r="AAZ61" s="456"/>
      <c r="ABA61" s="456"/>
      <c r="ABB61" s="456"/>
      <c r="ABC61" s="456"/>
      <c r="ABD61" s="456"/>
      <c r="ABE61" s="456"/>
      <c r="ABF61" s="456"/>
      <c r="ABG61" s="456"/>
      <c r="ABH61" s="456"/>
      <c r="ABI61" s="456"/>
      <c r="ABJ61" s="456"/>
      <c r="ABK61" s="456"/>
      <c r="ABL61" s="456"/>
      <c r="ABM61" s="456"/>
      <c r="ABN61" s="456"/>
      <c r="ABO61" s="456"/>
      <c r="ABP61" s="456"/>
      <c r="ABQ61" s="456"/>
      <c r="ABR61" s="456"/>
      <c r="ABS61" s="456"/>
      <c r="ABT61" s="456"/>
      <c r="ABU61" s="456"/>
      <c r="ABV61" s="456"/>
      <c r="ABW61" s="456"/>
      <c r="ABX61" s="456"/>
      <c r="ABY61" s="456"/>
      <c r="ABZ61" s="456"/>
      <c r="ACA61" s="456"/>
      <c r="ACB61" s="456"/>
      <c r="ACC61" s="456"/>
      <c r="ACD61" s="456"/>
      <c r="ACE61" s="456"/>
      <c r="ACF61" s="456"/>
      <c r="ACG61" s="456"/>
      <c r="ACH61" s="456"/>
      <c r="ACI61" s="456"/>
      <c r="ACJ61" s="456"/>
      <c r="ACK61" s="456"/>
      <c r="ACL61" s="456"/>
      <c r="ACM61" s="456"/>
      <c r="ACN61" s="456"/>
      <c r="ACO61" s="456"/>
      <c r="ACP61" s="456"/>
      <c r="ACQ61" s="456"/>
      <c r="ACR61" s="456"/>
      <c r="ACS61" s="456"/>
      <c r="ACT61" s="456"/>
      <c r="ACU61" s="456"/>
      <c r="ACV61" s="456"/>
      <c r="ACW61" s="456"/>
      <c r="ACX61" s="456"/>
      <c r="ACY61" s="456"/>
      <c r="ACZ61" s="456"/>
      <c r="ADA61" s="456"/>
      <c r="ADB61" s="456"/>
      <c r="ADC61" s="456"/>
      <c r="ADD61" s="456"/>
      <c r="ADE61" s="456"/>
      <c r="ADF61" s="456"/>
      <c r="ADG61" s="456"/>
      <c r="ADH61" s="456"/>
      <c r="ADI61" s="456"/>
      <c r="ADJ61" s="456"/>
      <c r="ADK61" s="456"/>
      <c r="ADL61" s="456"/>
      <c r="ADM61" s="456"/>
      <c r="ADN61" s="456"/>
      <c r="ADO61" s="456"/>
      <c r="ADP61" s="456"/>
      <c r="ADQ61" s="456"/>
      <c r="ADR61" s="456"/>
      <c r="ADS61" s="456"/>
      <c r="ADT61" s="456"/>
      <c r="ADU61" s="456"/>
      <c r="ADV61" s="456"/>
      <c r="ADW61" s="456"/>
      <c r="ADX61" s="456"/>
      <c r="ADY61" s="456"/>
      <c r="ADZ61" s="456"/>
      <c r="AEA61" s="456"/>
      <c r="AEB61" s="456"/>
      <c r="AEC61" s="456"/>
      <c r="AED61" s="456"/>
      <c r="AEE61" s="456"/>
      <c r="AEF61" s="456"/>
      <c r="AEG61" s="456"/>
      <c r="AEH61" s="456"/>
      <c r="AEI61" s="456"/>
      <c r="AEJ61" s="456"/>
      <c r="AEK61" s="456"/>
      <c r="AEL61" s="456"/>
      <c r="AEM61" s="456"/>
      <c r="AEN61" s="456"/>
      <c r="AEO61" s="456"/>
      <c r="AEP61" s="456"/>
      <c r="AEQ61" s="456"/>
      <c r="AER61" s="456"/>
      <c r="AES61" s="456"/>
      <c r="AET61" s="456"/>
      <c r="AEU61" s="456"/>
      <c r="AEV61" s="456"/>
      <c r="AEW61" s="456"/>
      <c r="AEX61" s="456"/>
      <c r="AEY61" s="456"/>
      <c r="AEZ61" s="456"/>
      <c r="AFA61" s="456"/>
      <c r="AFB61" s="456"/>
      <c r="AFC61" s="456"/>
      <c r="AFD61" s="456"/>
      <c r="AFE61" s="456"/>
      <c r="AFF61" s="456"/>
      <c r="AFG61" s="456"/>
      <c r="AFH61" s="456"/>
      <c r="AFI61" s="456"/>
      <c r="AFJ61" s="456"/>
      <c r="AFK61" s="456"/>
      <c r="AFL61" s="456"/>
      <c r="AFM61" s="456"/>
      <c r="AFN61" s="456"/>
      <c r="AFO61" s="456"/>
      <c r="AFP61" s="456"/>
      <c r="AFQ61" s="456"/>
      <c r="AFR61" s="456"/>
      <c r="AFS61" s="456"/>
      <c r="AFT61" s="456"/>
      <c r="AFU61" s="456"/>
      <c r="AFV61" s="456"/>
      <c r="AFW61" s="456"/>
      <c r="AFX61" s="456"/>
      <c r="AFY61" s="456"/>
      <c r="AFZ61" s="456"/>
      <c r="AGA61" s="456"/>
      <c r="AGB61" s="456"/>
      <c r="AGC61" s="456"/>
      <c r="AGD61" s="456"/>
      <c r="AGE61" s="456"/>
      <c r="AGF61" s="456"/>
      <c r="AGG61" s="456"/>
      <c r="AGH61" s="456"/>
      <c r="AGI61" s="456"/>
      <c r="AGJ61" s="456"/>
      <c r="AGK61" s="456"/>
      <c r="AGL61" s="456"/>
      <c r="AGM61" s="456"/>
      <c r="AGN61" s="456"/>
      <c r="AGO61" s="456"/>
      <c r="AGP61" s="456"/>
      <c r="AGQ61" s="456"/>
      <c r="AGR61" s="456"/>
      <c r="AGS61" s="456"/>
      <c r="AGT61" s="456"/>
      <c r="AGU61" s="456"/>
      <c r="AGV61" s="456"/>
      <c r="AGW61" s="456"/>
      <c r="AGX61" s="456"/>
      <c r="AGY61" s="456"/>
      <c r="AGZ61" s="456"/>
      <c r="AHA61" s="456"/>
      <c r="AHB61" s="456"/>
      <c r="AHC61" s="456"/>
      <c r="AHD61" s="456"/>
      <c r="AHE61" s="456"/>
      <c r="AHF61" s="456"/>
      <c r="AHG61" s="456"/>
      <c r="AHH61" s="456"/>
      <c r="AHI61" s="456"/>
      <c r="AHJ61" s="456"/>
      <c r="AHK61" s="456"/>
      <c r="AHL61" s="456"/>
      <c r="AHM61" s="456"/>
      <c r="AHN61" s="456"/>
      <c r="AHO61" s="456"/>
      <c r="AHP61" s="456"/>
      <c r="AHQ61" s="456"/>
      <c r="AHR61" s="456"/>
      <c r="AHS61" s="456"/>
      <c r="AHT61" s="456"/>
      <c r="AHU61" s="456"/>
      <c r="AHV61" s="456"/>
      <c r="AHW61" s="456"/>
      <c r="AHX61" s="456"/>
      <c r="AHY61" s="456"/>
      <c r="AHZ61" s="456"/>
      <c r="AIA61" s="456"/>
      <c r="AIB61" s="456"/>
      <c r="AIC61" s="456"/>
      <c r="AID61" s="456"/>
      <c r="AIE61" s="456"/>
      <c r="AIF61" s="456"/>
      <c r="AIG61" s="456"/>
      <c r="AIH61" s="456"/>
      <c r="AII61" s="456"/>
      <c r="AIJ61" s="456"/>
      <c r="AIK61" s="456"/>
      <c r="AIL61" s="456"/>
      <c r="AIM61" s="456"/>
      <c r="AIN61" s="456"/>
      <c r="AIO61" s="456"/>
      <c r="AIP61" s="456"/>
      <c r="AIQ61" s="456"/>
      <c r="AIR61" s="456"/>
      <c r="AIS61" s="456"/>
      <c r="AIT61" s="456"/>
      <c r="AIU61" s="456"/>
      <c r="AIV61" s="456"/>
      <c r="AIW61" s="456"/>
      <c r="AIX61" s="456"/>
      <c r="AIY61" s="456"/>
      <c r="AIZ61" s="456"/>
      <c r="AJA61" s="456"/>
      <c r="AJB61" s="456"/>
      <c r="AJC61" s="456"/>
      <c r="AJD61" s="456"/>
      <c r="AJE61" s="456"/>
      <c r="AJF61" s="456"/>
      <c r="AJG61" s="456"/>
      <c r="AJH61" s="456"/>
      <c r="AJI61" s="456"/>
      <c r="AJJ61" s="456"/>
      <c r="AJK61" s="456"/>
      <c r="AJL61" s="456"/>
      <c r="AJM61" s="456"/>
      <c r="AJN61" s="456"/>
      <c r="AJO61" s="456"/>
      <c r="AJP61" s="456"/>
      <c r="AJQ61" s="456"/>
      <c r="AJR61" s="456"/>
      <c r="AJS61" s="456"/>
      <c r="AJT61" s="456"/>
      <c r="AJU61" s="456"/>
      <c r="AJV61" s="456"/>
      <c r="AJW61" s="456"/>
      <c r="AJX61" s="456"/>
      <c r="AJY61" s="456"/>
      <c r="AJZ61" s="456"/>
      <c r="AKA61" s="456"/>
      <c r="AKB61" s="456"/>
      <c r="AKC61" s="456"/>
      <c r="AKD61" s="456"/>
      <c r="AKE61" s="456"/>
      <c r="AKF61" s="456"/>
      <c r="AKG61" s="456"/>
      <c r="AKH61" s="456"/>
      <c r="AKI61" s="456"/>
      <c r="AKJ61" s="456"/>
      <c r="AKK61" s="456"/>
      <c r="AKL61" s="456"/>
      <c r="AKM61" s="456"/>
      <c r="AKN61" s="456"/>
      <c r="AKO61" s="456"/>
      <c r="AKP61" s="456"/>
      <c r="AKQ61" s="456"/>
      <c r="AKR61" s="456"/>
      <c r="AKS61" s="456"/>
      <c r="AKT61" s="456"/>
      <c r="AKU61" s="456"/>
      <c r="AKV61" s="456"/>
      <c r="AKW61" s="456"/>
      <c r="AKX61" s="456"/>
      <c r="AKY61" s="456"/>
      <c r="AKZ61" s="456"/>
      <c r="ALA61" s="456"/>
      <c r="ALB61" s="456"/>
      <c r="ALC61" s="456"/>
      <c r="ALD61" s="456"/>
      <c r="ALE61" s="456"/>
      <c r="ALF61" s="456"/>
      <c r="ALG61" s="456"/>
      <c r="ALH61" s="456"/>
      <c r="ALI61" s="456"/>
      <c r="ALJ61" s="456"/>
      <c r="ALK61" s="456"/>
      <c r="ALL61" s="456"/>
      <c r="ALM61" s="456"/>
      <c r="ALN61" s="456"/>
      <c r="ALO61" s="456"/>
      <c r="ALP61" s="456"/>
      <c r="ALQ61" s="456"/>
      <c r="ALR61" s="456"/>
      <c r="ALS61" s="456"/>
      <c r="ALT61" s="456"/>
      <c r="ALU61" s="456"/>
      <c r="ALV61" s="456"/>
      <c r="ALW61" s="456"/>
      <c r="ALX61" s="456"/>
      <c r="ALY61" s="456"/>
      <c r="ALZ61" s="456"/>
      <c r="AMA61" s="456"/>
      <c r="AMB61" s="456"/>
      <c r="AMC61" s="456"/>
      <c r="AMD61" s="456"/>
      <c r="AME61" s="456"/>
      <c r="AMF61" s="456"/>
      <c r="AMG61" s="456"/>
      <c r="AMH61" s="456"/>
      <c r="AMI61" s="456"/>
      <c r="AMJ61" s="456"/>
      <c r="AMK61" s="456"/>
      <c r="AML61" s="456"/>
      <c r="AMM61" s="456"/>
      <c r="AMN61" s="456"/>
      <c r="AMO61" s="456"/>
      <c r="AMP61" s="456"/>
      <c r="AMQ61" s="456"/>
      <c r="AMR61" s="456"/>
      <c r="AMS61" s="456"/>
      <c r="AMT61" s="456"/>
      <c r="AMU61" s="456"/>
      <c r="AMV61" s="456"/>
      <c r="AMW61" s="456"/>
      <c r="AMX61" s="456"/>
      <c r="AMY61" s="456"/>
      <c r="AMZ61" s="456"/>
      <c r="ANA61" s="456"/>
      <c r="ANB61" s="456"/>
      <c r="ANC61" s="456"/>
      <c r="AND61" s="456"/>
      <c r="ANE61" s="456"/>
      <c r="ANF61" s="456"/>
      <c r="ANG61" s="456"/>
      <c r="ANH61" s="456"/>
      <c r="ANI61" s="456"/>
      <c r="ANJ61" s="456"/>
      <c r="ANK61" s="456"/>
      <c r="ANL61" s="456"/>
      <c r="ANM61" s="456"/>
      <c r="ANN61" s="456"/>
      <c r="ANO61" s="456"/>
      <c r="ANP61" s="456"/>
      <c r="ANQ61" s="456"/>
      <c r="ANR61" s="456"/>
      <c r="ANS61" s="456"/>
      <c r="ANT61" s="456"/>
      <c r="ANU61" s="456"/>
      <c r="ANV61" s="456"/>
      <c r="ANW61" s="456"/>
      <c r="ANX61" s="456"/>
      <c r="ANY61" s="456"/>
      <c r="ANZ61" s="456"/>
      <c r="AOA61" s="456"/>
      <c r="AOB61" s="456"/>
      <c r="AOC61" s="456"/>
      <c r="AOD61" s="456"/>
      <c r="AOE61" s="456"/>
      <c r="AOF61" s="456"/>
      <c r="AOG61" s="456"/>
      <c r="AOH61" s="456"/>
      <c r="AOI61" s="456"/>
      <c r="AOJ61" s="456"/>
      <c r="AOK61" s="456"/>
      <c r="AOL61" s="456"/>
      <c r="AOM61" s="456"/>
      <c r="AON61" s="456"/>
      <c r="AOO61" s="456"/>
      <c r="AOP61" s="456"/>
      <c r="AOQ61" s="456"/>
      <c r="AOR61" s="456"/>
      <c r="AOS61" s="456"/>
      <c r="AOT61" s="456"/>
      <c r="AOU61" s="456"/>
      <c r="AOV61" s="456"/>
      <c r="AOW61" s="456"/>
      <c r="AOX61" s="456"/>
      <c r="AOY61" s="456"/>
      <c r="AOZ61" s="456"/>
      <c r="APA61" s="456"/>
      <c r="APB61" s="456"/>
      <c r="APC61" s="456"/>
      <c r="APD61" s="456"/>
      <c r="APE61" s="456"/>
      <c r="APF61" s="456"/>
      <c r="APG61" s="456"/>
      <c r="APH61" s="456"/>
      <c r="API61" s="456"/>
      <c r="APJ61" s="456"/>
      <c r="APK61" s="456"/>
      <c r="APL61" s="456"/>
      <c r="APM61" s="456"/>
      <c r="APN61" s="456"/>
      <c r="APO61" s="456"/>
      <c r="APP61" s="456"/>
      <c r="APQ61" s="456"/>
      <c r="APR61" s="456"/>
      <c r="APS61" s="456"/>
      <c r="APT61" s="456"/>
      <c r="APU61" s="456"/>
      <c r="APV61" s="456"/>
      <c r="APW61" s="456"/>
      <c r="APX61" s="456"/>
      <c r="APY61" s="456"/>
      <c r="APZ61" s="456"/>
      <c r="AQA61" s="456"/>
      <c r="AQB61" s="456"/>
      <c r="AQC61" s="456"/>
      <c r="AQD61" s="456"/>
      <c r="AQE61" s="456"/>
      <c r="AQF61" s="456"/>
      <c r="AQG61" s="456"/>
      <c r="AQH61" s="456"/>
      <c r="AQI61" s="456"/>
      <c r="AQJ61" s="456"/>
      <c r="AQK61" s="456"/>
      <c r="AQL61" s="456"/>
      <c r="AQM61" s="456"/>
      <c r="AQN61" s="456"/>
      <c r="AQO61" s="456"/>
      <c r="AQP61" s="456"/>
      <c r="AQQ61" s="456"/>
      <c r="AQR61" s="456"/>
      <c r="AQS61" s="456"/>
      <c r="AQT61" s="456"/>
      <c r="AQU61" s="456"/>
      <c r="AQV61" s="456"/>
      <c r="AQW61" s="456"/>
      <c r="AQX61" s="456"/>
      <c r="AQY61" s="456"/>
      <c r="AQZ61" s="456"/>
      <c r="ARA61" s="456"/>
      <c r="ARB61" s="456"/>
      <c r="ARC61" s="456"/>
      <c r="ARD61" s="456"/>
      <c r="ARE61" s="456"/>
      <c r="ARF61" s="456"/>
      <c r="ARG61" s="456"/>
      <c r="ARH61" s="456"/>
      <c r="ARI61" s="456"/>
      <c r="ARJ61" s="456"/>
      <c r="ARK61" s="456"/>
      <c r="ARL61" s="456"/>
      <c r="ARM61" s="456"/>
      <c r="ARN61" s="456"/>
      <c r="ARO61" s="456"/>
      <c r="ARP61" s="456"/>
      <c r="ARQ61" s="456"/>
      <c r="ARR61" s="456"/>
      <c r="ARS61" s="456"/>
      <c r="ART61" s="456"/>
      <c r="ARU61" s="456"/>
      <c r="ARV61" s="456"/>
      <c r="ARW61" s="456"/>
      <c r="ARX61" s="456"/>
      <c r="ARY61" s="456"/>
      <c r="ARZ61" s="456"/>
      <c r="ASA61" s="456"/>
      <c r="ASB61" s="456"/>
      <c r="ASC61" s="456"/>
      <c r="ASD61" s="456"/>
      <c r="ASE61" s="456"/>
      <c r="ASF61" s="456"/>
      <c r="ASG61" s="456"/>
      <c r="ASH61" s="456"/>
      <c r="ASI61" s="456"/>
      <c r="ASJ61" s="456"/>
      <c r="ASK61" s="456"/>
      <c r="ASL61" s="456"/>
      <c r="ASM61" s="456"/>
      <c r="ASN61" s="456"/>
      <c r="ASO61" s="456"/>
      <c r="ASP61" s="456"/>
      <c r="ASQ61" s="456"/>
      <c r="ASR61" s="456"/>
      <c r="ASS61" s="456"/>
      <c r="AST61" s="456"/>
      <c r="ASU61" s="456"/>
      <c r="ASV61" s="456"/>
      <c r="ASW61" s="456"/>
      <c r="ASX61" s="456"/>
      <c r="ASY61" s="456"/>
      <c r="ASZ61" s="456"/>
      <c r="ATA61" s="456"/>
      <c r="ATB61" s="456"/>
      <c r="ATC61" s="456"/>
      <c r="ATD61" s="456"/>
      <c r="ATE61" s="456"/>
      <c r="ATF61" s="456"/>
      <c r="ATG61" s="456"/>
      <c r="ATH61" s="456"/>
      <c r="ATI61" s="456"/>
      <c r="ATJ61" s="456"/>
      <c r="ATK61" s="456"/>
      <c r="ATL61" s="456"/>
      <c r="ATM61" s="456"/>
      <c r="ATN61" s="456"/>
      <c r="ATO61" s="456"/>
      <c r="ATP61" s="456"/>
      <c r="ATQ61" s="456"/>
      <c r="ATR61" s="456"/>
      <c r="ATS61" s="456"/>
      <c r="ATT61" s="456"/>
      <c r="ATU61" s="456"/>
      <c r="ATV61" s="456"/>
      <c r="ATW61" s="456"/>
      <c r="ATX61" s="456"/>
      <c r="ATY61" s="456"/>
      <c r="ATZ61" s="456"/>
      <c r="AUA61" s="456"/>
      <c r="AUB61" s="456"/>
      <c r="AUC61" s="456"/>
      <c r="AUD61" s="456"/>
      <c r="AUE61" s="456"/>
      <c r="AUF61" s="456"/>
      <c r="AUG61" s="456"/>
      <c r="AUH61" s="456"/>
      <c r="AUI61" s="456"/>
      <c r="AUJ61" s="456"/>
      <c r="AUK61" s="456"/>
      <c r="AUL61" s="456"/>
      <c r="AUM61" s="456"/>
      <c r="AUN61" s="456"/>
      <c r="AUO61" s="456"/>
      <c r="AUP61" s="456"/>
      <c r="AUQ61" s="456"/>
      <c r="AUR61" s="456"/>
      <c r="AUS61" s="456"/>
      <c r="AUT61" s="456"/>
      <c r="AUU61" s="456"/>
      <c r="AUV61" s="456"/>
      <c r="AUW61" s="456"/>
      <c r="AUX61" s="456"/>
      <c r="AUY61" s="456"/>
      <c r="AUZ61" s="456"/>
      <c r="AVA61" s="456"/>
      <c r="AVB61" s="456"/>
      <c r="AVC61" s="456"/>
      <c r="AVD61" s="456"/>
      <c r="AVE61" s="456"/>
      <c r="AVF61" s="456"/>
      <c r="AVG61" s="456"/>
      <c r="AVH61" s="456"/>
      <c r="AVI61" s="456"/>
      <c r="AVJ61" s="456"/>
      <c r="AVK61" s="456"/>
      <c r="AVL61" s="456"/>
      <c r="AVM61" s="456"/>
      <c r="AVN61" s="456"/>
      <c r="AVO61" s="456"/>
      <c r="AVP61" s="456"/>
      <c r="AVQ61" s="456"/>
      <c r="AVR61" s="456"/>
      <c r="AVS61" s="456"/>
      <c r="AVT61" s="456"/>
      <c r="AVU61" s="456"/>
      <c r="AVV61" s="456"/>
      <c r="AVW61" s="456"/>
      <c r="AVX61" s="456"/>
      <c r="AVY61" s="456"/>
      <c r="AVZ61" s="456"/>
      <c r="AWA61" s="456"/>
      <c r="AWB61" s="456"/>
      <c r="AWC61" s="456"/>
      <c r="AWD61" s="456"/>
      <c r="AWE61" s="456"/>
      <c r="AWF61" s="456"/>
      <c r="AWG61" s="456"/>
      <c r="AWH61" s="456"/>
      <c r="AWI61" s="456"/>
      <c r="AWJ61" s="456"/>
      <c r="AWK61" s="456"/>
      <c r="AWL61" s="456"/>
      <c r="AWM61" s="456"/>
      <c r="AWN61" s="456"/>
      <c r="AWO61" s="456"/>
      <c r="AWP61" s="456"/>
      <c r="AWQ61" s="456"/>
      <c r="AWR61" s="456"/>
      <c r="AWS61" s="456"/>
      <c r="AWT61" s="456"/>
      <c r="AWU61" s="456"/>
      <c r="AWV61" s="456"/>
      <c r="AWW61" s="456"/>
      <c r="AWX61" s="456"/>
      <c r="AWY61" s="456"/>
      <c r="AWZ61" s="456"/>
      <c r="AXA61" s="456"/>
      <c r="AXB61" s="456"/>
      <c r="AXC61" s="456"/>
      <c r="AXD61" s="456"/>
      <c r="AXE61" s="456"/>
      <c r="AXF61" s="456"/>
      <c r="AXG61" s="456"/>
      <c r="AXH61" s="456"/>
      <c r="AXI61" s="456"/>
      <c r="AXJ61" s="456"/>
      <c r="AXK61" s="456"/>
      <c r="AXL61" s="456"/>
      <c r="AXM61" s="456"/>
      <c r="AXN61" s="456"/>
      <c r="AXO61" s="456"/>
      <c r="AXP61" s="456"/>
      <c r="AXQ61" s="456"/>
      <c r="AXR61" s="456"/>
      <c r="AXS61" s="456"/>
      <c r="AXT61" s="456"/>
      <c r="AXU61" s="456"/>
      <c r="AXV61" s="456"/>
      <c r="AXW61" s="456"/>
      <c r="AXX61" s="456"/>
      <c r="AXY61" s="456"/>
      <c r="AXZ61" s="456"/>
      <c r="AYA61" s="456"/>
      <c r="AYB61" s="456"/>
      <c r="AYC61" s="456"/>
      <c r="AYD61" s="456"/>
      <c r="AYE61" s="456"/>
      <c r="AYF61" s="456"/>
      <c r="AYG61" s="456"/>
      <c r="AYH61" s="456"/>
      <c r="AYI61" s="456"/>
      <c r="AYJ61" s="456"/>
      <c r="AYK61" s="456"/>
      <c r="AYL61" s="456"/>
      <c r="AYM61" s="456"/>
      <c r="AYN61" s="456"/>
      <c r="AYO61" s="456"/>
      <c r="AYP61" s="456"/>
      <c r="AYQ61" s="456"/>
      <c r="AYR61" s="456"/>
      <c r="AYS61" s="456"/>
      <c r="AYT61" s="456"/>
      <c r="AYU61" s="456"/>
      <c r="AYV61" s="456"/>
      <c r="AYW61" s="456"/>
      <c r="AYX61" s="456"/>
      <c r="AYY61" s="456"/>
      <c r="AYZ61" s="456"/>
      <c r="AZA61" s="456"/>
      <c r="AZB61" s="456"/>
      <c r="AZC61" s="456"/>
      <c r="AZD61" s="456"/>
      <c r="AZE61" s="456"/>
      <c r="AZF61" s="456"/>
      <c r="AZG61" s="456"/>
      <c r="AZH61" s="456"/>
      <c r="AZI61" s="456"/>
      <c r="AZJ61" s="456"/>
      <c r="AZK61" s="456"/>
      <c r="AZL61" s="456"/>
      <c r="AZM61" s="456"/>
      <c r="AZN61" s="456"/>
      <c r="AZO61" s="456"/>
      <c r="AZP61" s="456"/>
      <c r="AZQ61" s="456"/>
      <c r="AZR61" s="456"/>
      <c r="AZS61" s="456"/>
      <c r="AZT61" s="456"/>
      <c r="AZU61" s="456"/>
      <c r="AZV61" s="456"/>
      <c r="AZW61" s="456"/>
      <c r="AZX61" s="456"/>
      <c r="AZY61" s="456"/>
      <c r="AZZ61" s="456"/>
      <c r="BAA61" s="456"/>
      <c r="BAB61" s="456"/>
      <c r="BAC61" s="456"/>
      <c r="BAD61" s="456"/>
      <c r="BAE61" s="456"/>
      <c r="BAF61" s="456"/>
      <c r="BAG61" s="456"/>
      <c r="BAH61" s="456"/>
      <c r="BAI61" s="456"/>
      <c r="BAJ61" s="456"/>
      <c r="BAK61" s="456"/>
      <c r="BAL61" s="456"/>
      <c r="BAM61" s="456"/>
      <c r="BAN61" s="456"/>
      <c r="BAO61" s="456"/>
      <c r="BAP61" s="456"/>
      <c r="BAQ61" s="456"/>
      <c r="BAR61" s="456"/>
      <c r="BAS61" s="456"/>
      <c r="BAT61" s="456"/>
      <c r="BAU61" s="456"/>
      <c r="BAV61" s="456"/>
      <c r="BAW61" s="456"/>
      <c r="BAX61" s="456"/>
      <c r="BAY61" s="456"/>
      <c r="BAZ61" s="456"/>
      <c r="BBA61" s="456"/>
      <c r="BBB61" s="456"/>
      <c r="BBC61" s="456"/>
      <c r="BBD61" s="456"/>
      <c r="BBE61" s="456"/>
      <c r="BBF61" s="456"/>
      <c r="BBG61" s="456"/>
      <c r="BBH61" s="456"/>
      <c r="BBI61" s="456"/>
      <c r="BBJ61" s="456"/>
      <c r="BBK61" s="456"/>
      <c r="BBL61" s="456"/>
      <c r="BBM61" s="456"/>
      <c r="BBN61" s="456"/>
      <c r="BBO61" s="456"/>
      <c r="BBP61" s="456"/>
      <c r="BBQ61" s="456"/>
      <c r="BBR61" s="456"/>
      <c r="BBS61" s="456"/>
      <c r="BBT61" s="456"/>
      <c r="BBU61" s="456"/>
      <c r="BBV61" s="456"/>
      <c r="BBW61" s="456"/>
      <c r="BBX61" s="456"/>
      <c r="BBY61" s="456"/>
      <c r="BBZ61" s="456"/>
      <c r="BCA61" s="456"/>
      <c r="BCB61" s="456"/>
      <c r="BCC61" s="456"/>
      <c r="BCD61" s="456"/>
      <c r="BCE61" s="456"/>
      <c r="BCF61" s="456"/>
      <c r="BCG61" s="456"/>
      <c r="BCH61" s="456"/>
      <c r="BCI61" s="456"/>
      <c r="BCJ61" s="456"/>
      <c r="BCK61" s="456"/>
      <c r="BCL61" s="456"/>
      <c r="BCM61" s="456"/>
      <c r="BCN61" s="456"/>
      <c r="BCO61" s="456"/>
      <c r="BCP61" s="456"/>
      <c r="BCQ61" s="456"/>
      <c r="BCR61" s="456"/>
      <c r="BCS61" s="456"/>
      <c r="BCT61" s="456"/>
      <c r="BCU61" s="456"/>
      <c r="BCV61" s="456"/>
      <c r="BCW61" s="456"/>
      <c r="BCX61" s="456"/>
      <c r="BCY61" s="456"/>
      <c r="BCZ61" s="456"/>
      <c r="BDA61" s="456"/>
      <c r="BDB61" s="456"/>
      <c r="BDC61" s="456"/>
      <c r="BDD61" s="456"/>
      <c r="BDE61" s="456"/>
      <c r="BDF61" s="456"/>
      <c r="BDG61" s="456"/>
      <c r="BDH61" s="456"/>
      <c r="BDI61" s="456"/>
      <c r="BDJ61" s="456"/>
      <c r="BDK61" s="456"/>
      <c r="BDL61" s="456"/>
      <c r="BDM61" s="456"/>
      <c r="BDN61" s="456"/>
      <c r="BDO61" s="456"/>
      <c r="BDP61" s="456"/>
      <c r="BDQ61" s="456"/>
      <c r="BDR61" s="456"/>
      <c r="BDS61" s="456"/>
      <c r="BDT61" s="456"/>
      <c r="BDU61" s="456"/>
      <c r="BDV61" s="456"/>
      <c r="BDW61" s="456"/>
      <c r="BDX61" s="456"/>
      <c r="BDY61" s="456"/>
      <c r="BDZ61" s="456"/>
      <c r="BEA61" s="456"/>
      <c r="BEB61" s="456"/>
      <c r="BEC61" s="456"/>
      <c r="BED61" s="456"/>
      <c r="BEE61" s="456"/>
      <c r="BEF61" s="456"/>
      <c r="BEG61" s="456"/>
      <c r="BEH61" s="456"/>
      <c r="BEI61" s="456"/>
      <c r="BEJ61" s="456"/>
      <c r="BEK61" s="456"/>
      <c r="BEL61" s="456"/>
      <c r="BEM61" s="456"/>
      <c r="BEN61" s="456"/>
      <c r="BEO61" s="456"/>
      <c r="BEP61" s="456"/>
      <c r="BEQ61" s="456"/>
      <c r="BER61" s="456"/>
      <c r="BES61" s="456"/>
      <c r="BET61" s="456"/>
      <c r="BEU61" s="456"/>
      <c r="BEV61" s="456"/>
      <c r="BEW61" s="456"/>
      <c r="BEX61" s="456"/>
      <c r="BEY61" s="456"/>
      <c r="BEZ61" s="456"/>
      <c r="BFA61" s="456"/>
      <c r="BFB61" s="456"/>
      <c r="BFC61" s="456"/>
      <c r="BFD61" s="456"/>
      <c r="BFE61" s="456"/>
      <c r="BFF61" s="456"/>
      <c r="BFG61" s="456"/>
      <c r="BFH61" s="456"/>
      <c r="BFI61" s="456"/>
      <c r="BFJ61" s="456"/>
      <c r="BFK61" s="456"/>
      <c r="BFL61" s="456"/>
      <c r="BFM61" s="456"/>
      <c r="BFN61" s="456"/>
      <c r="BFO61" s="456"/>
      <c r="BFP61" s="456"/>
      <c r="BFQ61" s="456"/>
      <c r="BFR61" s="456"/>
      <c r="BFS61" s="456"/>
      <c r="BFT61" s="456"/>
      <c r="BFU61" s="456"/>
      <c r="BFV61" s="456"/>
      <c r="BFW61" s="456"/>
      <c r="BFX61" s="456"/>
      <c r="BFY61" s="456"/>
      <c r="BFZ61" s="456"/>
      <c r="BGA61" s="456"/>
      <c r="BGB61" s="456"/>
      <c r="BGC61" s="456"/>
      <c r="BGD61" s="456"/>
      <c r="BGE61" s="456"/>
      <c r="BGF61" s="456"/>
      <c r="BGG61" s="456"/>
      <c r="BGH61" s="456"/>
      <c r="BGI61" s="456"/>
      <c r="BGJ61" s="456"/>
      <c r="BGK61" s="456"/>
      <c r="BGL61" s="456"/>
      <c r="BGM61" s="456"/>
      <c r="BGN61" s="456"/>
      <c r="BGO61" s="456"/>
      <c r="BGP61" s="456"/>
      <c r="BGQ61" s="456"/>
      <c r="BGR61" s="456"/>
      <c r="BGS61" s="456"/>
      <c r="BGT61" s="456"/>
      <c r="BGU61" s="456"/>
      <c r="BGV61" s="456"/>
      <c r="BGW61" s="456"/>
      <c r="BGX61" s="456"/>
      <c r="BGY61" s="456"/>
      <c r="BGZ61" s="456"/>
      <c r="BHA61" s="456"/>
      <c r="BHB61" s="456"/>
      <c r="BHC61" s="456"/>
      <c r="BHD61" s="456"/>
      <c r="BHE61" s="456"/>
      <c r="BHF61" s="456"/>
      <c r="BHG61" s="456"/>
      <c r="BHH61" s="456"/>
      <c r="BHI61" s="456"/>
      <c r="BHJ61" s="456"/>
      <c r="BHK61" s="456"/>
      <c r="BHL61" s="456"/>
      <c r="BHM61" s="456"/>
      <c r="BHN61" s="456"/>
      <c r="BHO61" s="456"/>
      <c r="BHP61" s="456"/>
      <c r="BHQ61" s="456"/>
      <c r="BHR61" s="456"/>
      <c r="BHS61" s="456"/>
      <c r="BHT61" s="456"/>
      <c r="BHU61" s="456"/>
      <c r="BHV61" s="456"/>
      <c r="BHW61" s="456"/>
      <c r="BHX61" s="456"/>
      <c r="BHY61" s="456"/>
      <c r="BHZ61" s="456"/>
      <c r="BIA61" s="456"/>
      <c r="BIB61" s="456"/>
      <c r="BIC61" s="456"/>
      <c r="BID61" s="456"/>
      <c r="BIE61" s="456"/>
      <c r="BIF61" s="456"/>
      <c r="BIG61" s="456"/>
      <c r="BIH61" s="456"/>
      <c r="BII61" s="456"/>
      <c r="BIJ61" s="456"/>
      <c r="BIK61" s="456"/>
      <c r="BIL61" s="456"/>
      <c r="BIM61" s="456"/>
      <c r="BIN61" s="456"/>
      <c r="BIO61" s="456"/>
      <c r="BIP61" s="456"/>
      <c r="BIQ61" s="456"/>
      <c r="BIR61" s="456"/>
      <c r="BIS61" s="456"/>
      <c r="BIT61" s="456"/>
      <c r="BIU61" s="456"/>
      <c r="BIV61" s="456"/>
      <c r="BIW61" s="456"/>
      <c r="BIX61" s="456"/>
      <c r="BIY61" s="456"/>
      <c r="BIZ61" s="456"/>
      <c r="BJA61" s="456"/>
      <c r="BJB61" s="456"/>
      <c r="BJC61" s="456"/>
      <c r="BJD61" s="456"/>
      <c r="BJE61" s="456"/>
      <c r="BJF61" s="456"/>
      <c r="BJG61" s="456"/>
      <c r="BJH61" s="456"/>
      <c r="BJI61" s="456"/>
      <c r="BJJ61" s="456"/>
      <c r="BJK61" s="456"/>
      <c r="BJL61" s="456"/>
      <c r="BJM61" s="456"/>
      <c r="BJN61" s="456"/>
      <c r="BJO61" s="456"/>
      <c r="BJP61" s="456"/>
      <c r="BJQ61" s="456"/>
      <c r="BJR61" s="456"/>
      <c r="BJS61" s="456"/>
      <c r="BJT61" s="456"/>
      <c r="BJU61" s="456"/>
      <c r="BJV61" s="456"/>
      <c r="BJW61" s="456"/>
      <c r="BJX61" s="456"/>
      <c r="BJY61" s="456"/>
      <c r="BJZ61" s="456"/>
      <c r="BKA61" s="456"/>
      <c r="BKB61" s="456"/>
      <c r="BKC61" s="456"/>
      <c r="BKD61" s="456"/>
      <c r="BKE61" s="456"/>
      <c r="BKF61" s="456"/>
      <c r="BKG61" s="456"/>
      <c r="BKH61" s="456"/>
      <c r="BKI61" s="456"/>
      <c r="BKJ61" s="456"/>
      <c r="BKK61" s="456"/>
      <c r="BKL61" s="456"/>
      <c r="BKM61" s="456"/>
      <c r="BKN61" s="456"/>
      <c r="BKO61" s="456"/>
      <c r="BKP61" s="456"/>
      <c r="BKQ61" s="456"/>
      <c r="BKR61" s="456"/>
      <c r="BKS61" s="456"/>
      <c r="BKT61" s="456"/>
      <c r="BKU61" s="456"/>
      <c r="BKV61" s="456"/>
      <c r="BKW61" s="456"/>
      <c r="BKX61" s="456"/>
      <c r="BKY61" s="456"/>
      <c r="BKZ61" s="456"/>
      <c r="BLA61" s="456"/>
      <c r="BLB61" s="456"/>
      <c r="BLC61" s="456"/>
      <c r="BLD61" s="456"/>
      <c r="BLE61" s="456"/>
      <c r="BLF61" s="456"/>
      <c r="BLG61" s="456"/>
      <c r="BLH61" s="456"/>
      <c r="BLI61" s="456"/>
      <c r="BLJ61" s="456"/>
      <c r="BLK61" s="456"/>
      <c r="BLL61" s="456"/>
      <c r="BLM61" s="456"/>
      <c r="BLN61" s="456"/>
      <c r="BLO61" s="456"/>
      <c r="BLP61" s="456"/>
      <c r="BLQ61" s="456"/>
      <c r="BLR61" s="456"/>
      <c r="BLS61" s="456"/>
      <c r="BLT61" s="456"/>
      <c r="BLU61" s="456"/>
      <c r="BLV61" s="456"/>
      <c r="BLW61" s="456"/>
      <c r="BLX61" s="456"/>
      <c r="BLY61" s="456"/>
      <c r="BLZ61" s="456"/>
      <c r="BMA61" s="456"/>
      <c r="BMB61" s="456"/>
      <c r="BMC61" s="456"/>
      <c r="BMD61" s="456"/>
      <c r="BME61" s="456"/>
      <c r="BMF61" s="456"/>
      <c r="BMG61" s="456"/>
      <c r="BMH61" s="456"/>
      <c r="BMI61" s="456"/>
      <c r="BMJ61" s="456"/>
      <c r="BMK61" s="456"/>
      <c r="BML61" s="456"/>
      <c r="BMM61" s="456"/>
      <c r="BMN61" s="456"/>
      <c r="BMO61" s="456"/>
      <c r="BMP61" s="456"/>
      <c r="BMQ61" s="456"/>
      <c r="BMR61" s="456"/>
      <c r="BMS61" s="456"/>
      <c r="BMT61" s="456"/>
      <c r="BMU61" s="456"/>
      <c r="BMV61" s="456"/>
      <c r="BMW61" s="456"/>
      <c r="BMX61" s="456"/>
      <c r="BMY61" s="456"/>
      <c r="BMZ61" s="456"/>
      <c r="BNA61" s="456"/>
      <c r="BNB61" s="456"/>
      <c r="BNC61" s="456"/>
      <c r="BND61" s="456"/>
      <c r="BNE61" s="456"/>
      <c r="BNF61" s="456"/>
      <c r="BNG61" s="456"/>
      <c r="BNH61" s="456"/>
      <c r="BNI61" s="456"/>
      <c r="BNJ61" s="456"/>
      <c r="BNK61" s="456"/>
      <c r="BNL61" s="456"/>
      <c r="BNM61" s="456"/>
      <c r="BNN61" s="456"/>
      <c r="BNO61" s="456"/>
      <c r="BNP61" s="456"/>
      <c r="BNQ61" s="456"/>
      <c r="BNR61" s="456"/>
      <c r="BNS61" s="456"/>
      <c r="BNT61" s="456"/>
      <c r="BNU61" s="456"/>
      <c r="BNV61" s="456"/>
      <c r="BNW61" s="456"/>
      <c r="BNX61" s="456"/>
      <c r="BNY61" s="456"/>
      <c r="BNZ61" s="456"/>
      <c r="BOA61" s="456"/>
      <c r="BOB61" s="456"/>
      <c r="BOC61" s="456"/>
      <c r="BOD61" s="456"/>
      <c r="BOE61" s="456"/>
      <c r="BOF61" s="456"/>
      <c r="BOG61" s="456"/>
      <c r="BOH61" s="456"/>
      <c r="BOI61" s="456"/>
      <c r="BOJ61" s="456"/>
      <c r="BOK61" s="456"/>
      <c r="BOL61" s="456"/>
      <c r="BOM61" s="456"/>
      <c r="BON61" s="456"/>
      <c r="BOO61" s="456"/>
      <c r="BOP61" s="456"/>
      <c r="BOQ61" s="456"/>
      <c r="BOR61" s="456"/>
      <c r="BOS61" s="456"/>
      <c r="BOT61" s="456"/>
      <c r="BOU61" s="456"/>
      <c r="BOV61" s="456"/>
      <c r="BOW61" s="456"/>
      <c r="BOX61" s="456"/>
      <c r="BOY61" s="456"/>
      <c r="BOZ61" s="456"/>
      <c r="BPA61" s="456"/>
      <c r="BPB61" s="456"/>
      <c r="BPC61" s="456"/>
      <c r="BPD61" s="456"/>
      <c r="BPE61" s="456"/>
      <c r="BPF61" s="456"/>
      <c r="BPG61" s="456"/>
      <c r="BPH61" s="456"/>
      <c r="BPI61" s="456"/>
      <c r="BPJ61" s="456"/>
      <c r="BPK61" s="456"/>
      <c r="BPL61" s="456"/>
      <c r="BPM61" s="456"/>
      <c r="BPN61" s="456"/>
      <c r="BPO61" s="456"/>
      <c r="BPP61" s="456"/>
      <c r="BPQ61" s="456"/>
      <c r="BPR61" s="456"/>
      <c r="BPS61" s="456"/>
      <c r="BPT61" s="456"/>
      <c r="BPU61" s="456"/>
      <c r="BPV61" s="456"/>
      <c r="BPW61" s="456"/>
      <c r="BPX61" s="456"/>
      <c r="BPY61" s="456"/>
      <c r="BPZ61" s="456"/>
      <c r="BQA61" s="456"/>
      <c r="BQB61" s="456"/>
      <c r="BQC61" s="456"/>
      <c r="BQD61" s="456"/>
      <c r="BQE61" s="456"/>
      <c r="BQF61" s="456"/>
      <c r="BQG61" s="456"/>
      <c r="BQH61" s="456"/>
      <c r="BQI61" s="456"/>
      <c r="BQJ61" s="456"/>
      <c r="BQK61" s="456"/>
      <c r="BQL61" s="456"/>
      <c r="BQM61" s="456"/>
      <c r="BQN61" s="456"/>
      <c r="BQO61" s="456"/>
      <c r="BQP61" s="456"/>
      <c r="BQQ61" s="456"/>
      <c r="BQR61" s="456"/>
      <c r="BQS61" s="456"/>
      <c r="BQT61" s="456"/>
      <c r="BQU61" s="456"/>
      <c r="BQV61" s="456"/>
      <c r="BQW61" s="456"/>
      <c r="BQX61" s="456"/>
      <c r="BQY61" s="456"/>
      <c r="BQZ61" s="456"/>
      <c r="BRA61" s="456"/>
      <c r="BRB61" s="456"/>
      <c r="BRC61" s="456"/>
      <c r="BRD61" s="456"/>
      <c r="BRE61" s="456"/>
      <c r="BRF61" s="456"/>
      <c r="BRG61" s="456"/>
      <c r="BRH61" s="456"/>
      <c r="BRI61" s="456"/>
      <c r="BRJ61" s="456"/>
      <c r="BRK61" s="456"/>
      <c r="BRL61" s="456"/>
      <c r="BRM61" s="456"/>
      <c r="BRN61" s="456"/>
      <c r="BRO61" s="456"/>
      <c r="BRP61" s="456"/>
      <c r="BRQ61" s="456"/>
      <c r="BRR61" s="456"/>
      <c r="BRS61" s="456"/>
      <c r="BRT61" s="456"/>
      <c r="BRU61" s="456"/>
      <c r="BRV61" s="456"/>
      <c r="BRW61" s="456"/>
      <c r="BRX61" s="456"/>
      <c r="BRY61" s="456"/>
      <c r="BRZ61" s="456"/>
      <c r="BSA61" s="456"/>
      <c r="BSB61" s="456"/>
      <c r="BSC61" s="456"/>
      <c r="BSD61" s="456"/>
      <c r="BSE61" s="456"/>
      <c r="BSF61" s="456"/>
      <c r="BSG61" s="456"/>
      <c r="BSH61" s="456"/>
      <c r="BSI61" s="456"/>
      <c r="BSJ61" s="456"/>
      <c r="BSK61" s="456"/>
      <c r="BSL61" s="456"/>
      <c r="BSM61" s="456"/>
      <c r="BSN61" s="456"/>
      <c r="BSO61" s="456"/>
      <c r="BSP61" s="456"/>
      <c r="BSQ61" s="456"/>
      <c r="BSR61" s="456"/>
      <c r="BSS61" s="456"/>
      <c r="BST61" s="456"/>
      <c r="BSU61" s="456"/>
      <c r="BSV61" s="456"/>
      <c r="BSW61" s="456"/>
      <c r="BSX61" s="456"/>
      <c r="BSY61" s="456"/>
      <c r="BSZ61" s="456"/>
      <c r="BTA61" s="456"/>
      <c r="BTB61" s="456"/>
      <c r="BTC61" s="456"/>
      <c r="BTD61" s="456"/>
      <c r="BTE61" s="456"/>
      <c r="BTF61" s="456"/>
      <c r="BTG61" s="456"/>
      <c r="BTH61" s="456"/>
      <c r="BTI61" s="456"/>
      <c r="BTJ61" s="456"/>
      <c r="BTK61" s="456"/>
      <c r="BTL61" s="456"/>
      <c r="BTM61" s="456"/>
      <c r="BTN61" s="456"/>
      <c r="BTO61" s="456"/>
      <c r="BTP61" s="456"/>
      <c r="BTQ61" s="456"/>
      <c r="BTR61" s="456"/>
      <c r="BTS61" s="456"/>
      <c r="BTT61" s="456"/>
      <c r="BTU61" s="456"/>
      <c r="BTV61" s="456"/>
      <c r="BTW61" s="456"/>
      <c r="BTX61" s="456"/>
      <c r="BTY61" s="456"/>
      <c r="BTZ61" s="456"/>
      <c r="BUA61" s="456"/>
      <c r="BUB61" s="456"/>
      <c r="BUC61" s="456"/>
      <c r="BUD61" s="456"/>
      <c r="BUE61" s="456"/>
      <c r="BUF61" s="456"/>
      <c r="BUG61" s="456"/>
      <c r="BUH61" s="456"/>
      <c r="BUI61" s="456"/>
      <c r="BUJ61" s="456"/>
      <c r="BUK61" s="456"/>
      <c r="BUL61" s="456"/>
      <c r="BUM61" s="456"/>
      <c r="BUN61" s="456"/>
      <c r="BUO61" s="456"/>
      <c r="BUP61" s="456"/>
      <c r="BUQ61" s="456"/>
      <c r="BUR61" s="456"/>
      <c r="BUS61" s="456"/>
      <c r="BUT61" s="456"/>
      <c r="BUU61" s="456"/>
      <c r="BUV61" s="456"/>
      <c r="BUW61" s="456"/>
      <c r="BUX61" s="456"/>
      <c r="BUY61" s="456"/>
      <c r="BUZ61" s="456"/>
      <c r="BVA61" s="456"/>
      <c r="BVB61" s="456"/>
      <c r="BVC61" s="456"/>
      <c r="BVD61" s="456"/>
      <c r="BVE61" s="456"/>
      <c r="BVF61" s="456"/>
      <c r="BVG61" s="456"/>
      <c r="BVH61" s="456"/>
      <c r="BVI61" s="456"/>
      <c r="BVJ61" s="456"/>
      <c r="BVK61" s="456"/>
      <c r="BVL61" s="456"/>
      <c r="BVM61" s="456"/>
      <c r="BVN61" s="456"/>
      <c r="BVO61" s="456"/>
      <c r="BVP61" s="456"/>
      <c r="BVQ61" s="456"/>
      <c r="BVR61" s="456"/>
      <c r="BVS61" s="456"/>
      <c r="BVT61" s="456"/>
      <c r="BVU61" s="456"/>
      <c r="BVV61" s="456"/>
      <c r="BVW61" s="456"/>
      <c r="BVX61" s="456"/>
      <c r="BVY61" s="456"/>
      <c r="BVZ61" s="456"/>
      <c r="BWA61" s="456"/>
      <c r="BWB61" s="456"/>
      <c r="BWC61" s="456"/>
      <c r="BWD61" s="456"/>
      <c r="BWE61" s="456"/>
      <c r="BWF61" s="456"/>
      <c r="BWG61" s="456"/>
      <c r="BWH61" s="456"/>
      <c r="BWI61" s="456"/>
      <c r="BWJ61" s="456"/>
      <c r="BWK61" s="456"/>
      <c r="BWL61" s="456"/>
      <c r="BWM61" s="456"/>
      <c r="BWN61" s="456"/>
      <c r="BWO61" s="456"/>
      <c r="BWP61" s="456"/>
      <c r="BWQ61" s="456"/>
      <c r="BWR61" s="456"/>
      <c r="BWS61" s="456"/>
      <c r="BWT61" s="456"/>
      <c r="BWU61" s="456"/>
      <c r="BWV61" s="456"/>
      <c r="BWW61" s="456"/>
      <c r="BWX61" s="456"/>
      <c r="BWY61" s="456"/>
      <c r="BWZ61" s="456"/>
      <c r="BXA61" s="456"/>
      <c r="BXB61" s="456"/>
      <c r="BXC61" s="456"/>
      <c r="BXD61" s="456"/>
      <c r="BXE61" s="456"/>
      <c r="BXF61" s="456"/>
      <c r="BXG61" s="456"/>
      <c r="BXH61" s="456"/>
      <c r="BXI61" s="456"/>
      <c r="BXJ61" s="456"/>
      <c r="BXK61" s="456"/>
      <c r="BXL61" s="456"/>
      <c r="BXM61" s="456"/>
      <c r="BXN61" s="456"/>
      <c r="BXO61" s="456"/>
      <c r="BXP61" s="456"/>
      <c r="BXQ61" s="456"/>
      <c r="BXR61" s="456"/>
      <c r="BXS61" s="456"/>
      <c r="BXT61" s="456"/>
      <c r="BXU61" s="456"/>
      <c r="BXV61" s="456"/>
      <c r="BXW61" s="456"/>
      <c r="BXX61" s="456"/>
      <c r="BXY61" s="456"/>
      <c r="BXZ61" s="456"/>
    </row>
    <row r="62" s="25" customFormat="1" spans="1:1024 1025:2002">
      <c r="A62" s="473" t="s">
        <v>34</v>
      </c>
      <c r="B62" s="19">
        <v>1119</v>
      </c>
      <c r="C62" s="183">
        <v>46181</v>
      </c>
      <c r="D62" s="17" t="s">
        <v>35</v>
      </c>
      <c r="E62" s="17" t="s">
        <v>71</v>
      </c>
      <c r="F62" s="17" t="s">
        <v>72</v>
      </c>
      <c r="G62" s="17"/>
      <c r="H62" s="19">
        <v>1.2379</v>
      </c>
      <c r="I62" s="19">
        <v>1.2379</v>
      </c>
      <c r="J62" s="17" t="s">
        <v>82</v>
      </c>
      <c r="K62" s="91">
        <v>355</v>
      </c>
      <c r="L62" s="23">
        <v>25</v>
      </c>
      <c r="M62" s="19">
        <v>5800</v>
      </c>
      <c r="N62" s="19" t="s">
        <v>40</v>
      </c>
      <c r="O62" s="19" t="s">
        <v>67</v>
      </c>
      <c r="P62" s="19">
        <v>1000</v>
      </c>
      <c r="Q62" s="19">
        <v>1404</v>
      </c>
      <c r="R62" s="19">
        <f t="shared" si="2"/>
        <v>-404</v>
      </c>
      <c r="S62" s="477">
        <f t="shared" si="3"/>
        <v>2433</v>
      </c>
      <c r="T62" s="19" t="s">
        <v>42</v>
      </c>
      <c r="U62" s="102" t="s">
        <v>83</v>
      </c>
      <c r="V62" s="186">
        <v>46181</v>
      </c>
      <c r="W62" s="17" t="s">
        <v>69</v>
      </c>
      <c r="X62" s="17"/>
      <c r="Y62" s="68">
        <v>46327</v>
      </c>
      <c r="Z62" s="17" t="s">
        <v>45</v>
      </c>
      <c r="AA62" s="17" t="s">
        <v>46</v>
      </c>
      <c r="AB62" s="17" t="s">
        <v>75</v>
      </c>
      <c r="AC62" s="217">
        <v>46224</v>
      </c>
      <c r="AD62" s="65">
        <v>1837</v>
      </c>
      <c r="AE62" s="17" t="s">
        <v>48</v>
      </c>
      <c r="AF62" s="17" t="s">
        <v>76</v>
      </c>
      <c r="AG62" s="17"/>
      <c r="AH62" s="456"/>
      <c r="AI62" s="456"/>
      <c r="AJ62" s="456"/>
      <c r="AK62" s="456"/>
      <c r="AL62" s="456"/>
      <c r="AM62" s="456"/>
      <c r="AN62" s="456"/>
      <c r="AO62" s="456"/>
      <c r="AP62" s="456"/>
      <c r="AQ62" s="456"/>
      <c r="AR62" s="456"/>
      <c r="AS62" s="456"/>
      <c r="AT62" s="456"/>
      <c r="AU62" s="456"/>
      <c r="AV62" s="456"/>
      <c r="AW62" s="456"/>
      <c r="AX62" s="456"/>
      <c r="AY62" s="456"/>
      <c r="AZ62" s="456"/>
      <c r="BA62" s="456"/>
      <c r="BB62" s="456"/>
      <c r="BC62" s="456"/>
      <c r="BD62" s="456"/>
      <c r="BE62" s="456"/>
      <c r="BF62" s="456"/>
      <c r="BG62" s="456"/>
      <c r="BH62" s="456"/>
      <c r="BI62" s="456"/>
      <c r="BJ62" s="456"/>
      <c r="BK62" s="456"/>
      <c r="BL62" s="456"/>
      <c r="BM62" s="456"/>
      <c r="BN62" s="456"/>
      <c r="BO62" s="456"/>
      <c r="BP62" s="456"/>
      <c r="BQ62" s="456"/>
      <c r="BR62" s="456"/>
      <c r="BS62" s="456"/>
      <c r="BT62" s="456"/>
      <c r="BU62" s="456"/>
      <c r="BV62" s="456"/>
      <c r="BW62" s="456"/>
      <c r="BX62" s="456"/>
      <c r="BY62" s="456"/>
      <c r="BZ62" s="456"/>
      <c r="CA62" s="456"/>
      <c r="CB62" s="456"/>
      <c r="CC62" s="456"/>
      <c r="CD62" s="456"/>
      <c r="CE62" s="456"/>
      <c r="CF62" s="456"/>
      <c r="CG62" s="456"/>
      <c r="CH62" s="456"/>
      <c r="CI62" s="456"/>
      <c r="CJ62" s="456"/>
      <c r="CK62" s="456"/>
      <c r="CL62" s="456"/>
      <c r="CM62" s="456"/>
      <c r="CN62" s="456"/>
      <c r="CO62" s="456"/>
      <c r="CP62" s="456"/>
      <c r="CQ62" s="456"/>
      <c r="CR62" s="456"/>
      <c r="CS62" s="456"/>
      <c r="CT62" s="456"/>
      <c r="CU62" s="456"/>
      <c r="CV62" s="456"/>
      <c r="CW62" s="456"/>
      <c r="CX62" s="456"/>
      <c r="CY62" s="456"/>
      <c r="CZ62" s="456"/>
      <c r="DA62" s="456"/>
      <c r="DB62" s="456"/>
      <c r="DC62" s="456"/>
      <c r="DD62" s="456"/>
      <c r="DE62" s="456"/>
      <c r="DF62" s="456"/>
      <c r="DG62" s="456"/>
      <c r="DH62" s="456"/>
      <c r="DI62" s="456"/>
      <c r="DJ62" s="456"/>
      <c r="DK62" s="456"/>
      <c r="DL62" s="456"/>
      <c r="DM62" s="456"/>
      <c r="DN62" s="456"/>
      <c r="DO62" s="456"/>
      <c r="DP62" s="456"/>
      <c r="DQ62" s="456"/>
      <c r="DR62" s="456"/>
      <c r="DS62" s="456"/>
      <c r="DT62" s="456"/>
      <c r="DU62" s="456"/>
      <c r="DV62" s="456"/>
      <c r="DW62" s="456"/>
      <c r="DX62" s="456"/>
      <c r="DY62" s="456"/>
      <c r="DZ62" s="456"/>
      <c r="EA62" s="456"/>
      <c r="EB62" s="456"/>
      <c r="EC62" s="456"/>
      <c r="ED62" s="456"/>
      <c r="EE62" s="456"/>
      <c r="EF62" s="456"/>
      <c r="EG62" s="456"/>
      <c r="EH62" s="456"/>
      <c r="EI62" s="456"/>
      <c r="EJ62" s="456"/>
      <c r="EK62" s="456"/>
      <c r="EL62" s="456"/>
      <c r="EM62" s="456"/>
      <c r="EN62" s="456"/>
      <c r="EO62" s="456"/>
      <c r="EP62" s="456"/>
      <c r="EQ62" s="456"/>
      <c r="ER62" s="456"/>
      <c r="ES62" s="456"/>
      <c r="ET62" s="456"/>
      <c r="EU62" s="456"/>
      <c r="EV62" s="456"/>
      <c r="EW62" s="456"/>
      <c r="EX62" s="456"/>
      <c r="EY62" s="456"/>
      <c r="EZ62" s="456"/>
      <c r="FA62" s="456"/>
      <c r="FB62" s="456"/>
      <c r="FC62" s="456"/>
      <c r="FD62" s="456"/>
      <c r="FE62" s="456"/>
      <c r="FF62" s="456"/>
      <c r="FG62" s="456"/>
      <c r="FH62" s="456"/>
      <c r="FI62" s="456"/>
      <c r="FJ62" s="456"/>
      <c r="FK62" s="456"/>
      <c r="FL62" s="456"/>
      <c r="FM62" s="456"/>
      <c r="FN62" s="456"/>
      <c r="FO62" s="456"/>
      <c r="FP62" s="456"/>
      <c r="FQ62" s="456"/>
      <c r="FR62" s="456"/>
      <c r="FS62" s="456"/>
      <c r="FT62" s="456"/>
      <c r="FU62" s="456"/>
      <c r="FV62" s="456"/>
      <c r="FW62" s="456"/>
      <c r="FX62" s="456"/>
      <c r="FY62" s="456"/>
      <c r="FZ62" s="456"/>
      <c r="GA62" s="456"/>
      <c r="GB62" s="456"/>
      <c r="GC62" s="456"/>
      <c r="GD62" s="456"/>
      <c r="GE62" s="456"/>
      <c r="GF62" s="456"/>
      <c r="GG62" s="456"/>
      <c r="GH62" s="456"/>
      <c r="GI62" s="456"/>
      <c r="GJ62" s="456"/>
      <c r="GK62" s="456"/>
      <c r="GL62" s="456"/>
      <c r="GM62" s="456"/>
      <c r="GN62" s="456"/>
      <c r="GO62" s="456"/>
      <c r="GP62" s="456"/>
      <c r="GQ62" s="456"/>
      <c r="GR62" s="456"/>
      <c r="GS62" s="456"/>
      <c r="GT62" s="456"/>
      <c r="GU62" s="456"/>
      <c r="GV62" s="456"/>
      <c r="GW62" s="456"/>
      <c r="GX62" s="456"/>
      <c r="GY62" s="456"/>
      <c r="GZ62" s="456"/>
      <c r="HA62" s="456"/>
      <c r="HB62" s="456"/>
      <c r="HC62" s="456"/>
      <c r="HD62" s="456"/>
      <c r="HE62" s="456"/>
      <c r="HF62" s="456"/>
      <c r="HG62" s="456"/>
      <c r="HH62" s="456"/>
      <c r="HI62" s="456"/>
      <c r="HJ62" s="456"/>
      <c r="HK62" s="456"/>
      <c r="HL62" s="456"/>
      <c r="HM62" s="456"/>
      <c r="HN62" s="456"/>
      <c r="HO62" s="456"/>
      <c r="HP62" s="456"/>
      <c r="HQ62" s="456"/>
      <c r="HR62" s="456"/>
      <c r="HS62" s="456"/>
      <c r="HT62" s="456"/>
      <c r="HU62" s="456"/>
      <c r="HV62" s="456"/>
      <c r="HW62" s="456"/>
      <c r="HX62" s="456"/>
      <c r="HY62" s="456"/>
      <c r="HZ62" s="456"/>
      <c r="IA62" s="456"/>
      <c r="IB62" s="456"/>
      <c r="IC62" s="456"/>
      <c r="ID62" s="456"/>
      <c r="IE62" s="456"/>
      <c r="IF62" s="456"/>
      <c r="IG62" s="456"/>
      <c r="IH62" s="456"/>
      <c r="II62" s="456"/>
      <c r="IJ62" s="456"/>
      <c r="IK62" s="456"/>
      <c r="IL62" s="456"/>
      <c r="IM62" s="456"/>
      <c r="IN62" s="456"/>
      <c r="IO62" s="456"/>
      <c r="IP62" s="456"/>
      <c r="IQ62" s="456"/>
      <c r="IR62" s="456"/>
      <c r="IS62" s="456"/>
      <c r="IT62" s="456"/>
      <c r="IU62" s="456"/>
      <c r="IV62" s="456"/>
      <c r="IW62" s="456"/>
      <c r="IX62" s="456"/>
      <c r="IY62" s="456"/>
      <c r="IZ62" s="456"/>
      <c r="JA62" s="456"/>
      <c r="JB62" s="456"/>
      <c r="JC62" s="456"/>
      <c r="JD62" s="456"/>
      <c r="JE62" s="456"/>
      <c r="JF62" s="456"/>
      <c r="JG62" s="456"/>
      <c r="JH62" s="456"/>
      <c r="JI62" s="456"/>
      <c r="JJ62" s="456"/>
      <c r="JK62" s="456"/>
      <c r="JL62" s="456"/>
      <c r="JM62" s="456"/>
      <c r="JN62" s="456"/>
      <c r="JO62" s="456"/>
      <c r="JP62" s="456"/>
      <c r="JQ62" s="456"/>
      <c r="JR62" s="456"/>
      <c r="JS62" s="456"/>
      <c r="JT62" s="456"/>
      <c r="JU62" s="456"/>
      <c r="JV62" s="456"/>
      <c r="JW62" s="456"/>
      <c r="JX62" s="456"/>
      <c r="JY62" s="456"/>
      <c r="JZ62" s="456"/>
      <c r="KA62" s="456"/>
      <c r="KB62" s="456"/>
      <c r="KC62" s="456"/>
      <c r="KD62" s="456"/>
      <c r="KE62" s="456"/>
      <c r="KF62" s="456"/>
      <c r="KG62" s="456"/>
      <c r="KH62" s="456"/>
      <c r="KI62" s="456"/>
      <c r="KJ62" s="456"/>
      <c r="KK62" s="456"/>
      <c r="KL62" s="456"/>
      <c r="KM62" s="456"/>
      <c r="KN62" s="456"/>
      <c r="KO62" s="456"/>
      <c r="KP62" s="456"/>
      <c r="KQ62" s="456"/>
      <c r="KR62" s="456"/>
      <c r="KS62" s="456"/>
      <c r="KT62" s="456"/>
      <c r="KU62" s="456"/>
      <c r="KV62" s="456"/>
      <c r="KW62" s="456"/>
      <c r="KX62" s="456"/>
      <c r="KY62" s="456"/>
      <c r="KZ62" s="456"/>
      <c r="LA62" s="456"/>
      <c r="LB62" s="456"/>
      <c r="LC62" s="456"/>
      <c r="LD62" s="456"/>
      <c r="LE62" s="456"/>
      <c r="LF62" s="456"/>
      <c r="LG62" s="456"/>
      <c r="LH62" s="456"/>
      <c r="LI62" s="456"/>
      <c r="LJ62" s="456"/>
      <c r="LK62" s="456"/>
      <c r="LL62" s="456"/>
      <c r="LM62" s="456"/>
      <c r="LN62" s="456"/>
      <c r="LO62" s="456"/>
      <c r="LP62" s="456"/>
      <c r="LQ62" s="456"/>
      <c r="LR62" s="456"/>
      <c r="LS62" s="456"/>
      <c r="LT62" s="456"/>
      <c r="LU62" s="456"/>
      <c r="LV62" s="456"/>
      <c r="LW62" s="456"/>
      <c r="LX62" s="456"/>
      <c r="LY62" s="456"/>
      <c r="LZ62" s="456"/>
      <c r="MA62" s="456"/>
      <c r="MB62" s="456"/>
      <c r="MC62" s="456"/>
      <c r="MD62" s="456"/>
      <c r="ME62" s="456"/>
      <c r="MF62" s="456"/>
      <c r="MG62" s="456"/>
      <c r="MH62" s="456"/>
      <c r="MI62" s="456"/>
      <c r="MJ62" s="456"/>
      <c r="MK62" s="456"/>
      <c r="ML62" s="456"/>
      <c r="MM62" s="456"/>
      <c r="MN62" s="456"/>
      <c r="MO62" s="456"/>
      <c r="MP62" s="456"/>
      <c r="MQ62" s="456"/>
      <c r="MR62" s="456"/>
      <c r="MS62" s="456"/>
      <c r="MT62" s="456"/>
      <c r="MU62" s="456"/>
      <c r="MV62" s="456"/>
      <c r="MW62" s="456"/>
      <c r="MX62" s="456"/>
      <c r="MY62" s="456"/>
      <c r="MZ62" s="456"/>
      <c r="NA62" s="456"/>
      <c r="NB62" s="456"/>
      <c r="NC62" s="456"/>
      <c r="ND62" s="456"/>
      <c r="NE62" s="456"/>
      <c r="NF62" s="456"/>
      <c r="NG62" s="456"/>
      <c r="NH62" s="456"/>
      <c r="NI62" s="456"/>
      <c r="NJ62" s="456"/>
      <c r="NK62" s="456"/>
      <c r="NL62" s="456"/>
      <c r="NM62" s="456"/>
      <c r="NN62" s="456"/>
      <c r="NO62" s="456"/>
      <c r="NP62" s="456"/>
      <c r="NQ62" s="456"/>
      <c r="NR62" s="456"/>
      <c r="NS62" s="456"/>
      <c r="NT62" s="456"/>
      <c r="NU62" s="456"/>
      <c r="NV62" s="456"/>
      <c r="NW62" s="456"/>
      <c r="NX62" s="456"/>
      <c r="NY62" s="456"/>
      <c r="NZ62" s="456"/>
      <c r="OA62" s="456"/>
      <c r="OB62" s="456"/>
      <c r="OC62" s="456"/>
      <c r="OD62" s="456"/>
      <c r="OE62" s="456"/>
      <c r="OF62" s="456"/>
      <c r="OG62" s="456"/>
      <c r="OH62" s="456"/>
      <c r="OI62" s="456"/>
      <c r="OJ62" s="456"/>
      <c r="OK62" s="456"/>
      <c r="OL62" s="456"/>
      <c r="OM62" s="456"/>
      <c r="ON62" s="456"/>
      <c r="OO62" s="456"/>
      <c r="OP62" s="456"/>
      <c r="OQ62" s="456"/>
      <c r="OR62" s="456"/>
      <c r="OS62" s="456"/>
      <c r="OT62" s="456"/>
      <c r="OU62" s="456"/>
      <c r="OV62" s="456"/>
      <c r="OW62" s="456"/>
      <c r="OX62" s="456"/>
      <c r="OY62" s="456"/>
      <c r="OZ62" s="456"/>
      <c r="PA62" s="456"/>
      <c r="PB62" s="456"/>
      <c r="PC62" s="456"/>
      <c r="PD62" s="456"/>
      <c r="PE62" s="456"/>
      <c r="PF62" s="456"/>
      <c r="PG62" s="456"/>
      <c r="PH62" s="456"/>
      <c r="PI62" s="456"/>
      <c r="PJ62" s="456"/>
      <c r="PK62" s="456"/>
      <c r="PL62" s="456"/>
      <c r="PM62" s="456"/>
      <c r="PN62" s="456"/>
      <c r="PO62" s="456"/>
      <c r="PP62" s="456"/>
      <c r="PQ62" s="456"/>
      <c r="PR62" s="456"/>
      <c r="PS62" s="456"/>
      <c r="PT62" s="456"/>
      <c r="PU62" s="456"/>
      <c r="PV62" s="456"/>
      <c r="PW62" s="456"/>
      <c r="PX62" s="456"/>
      <c r="PY62" s="456"/>
      <c r="PZ62" s="456"/>
      <c r="QA62" s="456"/>
      <c r="QB62" s="456"/>
      <c r="QC62" s="456"/>
      <c r="QD62" s="456"/>
      <c r="QE62" s="456"/>
      <c r="QF62" s="456"/>
      <c r="QG62" s="456"/>
      <c r="QH62" s="456"/>
      <c r="QI62" s="456"/>
      <c r="QJ62" s="456"/>
      <c r="QK62" s="456"/>
      <c r="QL62" s="456"/>
      <c r="QM62" s="456"/>
      <c r="QN62" s="456"/>
      <c r="QO62" s="456"/>
      <c r="QP62" s="456"/>
      <c r="QQ62" s="456"/>
      <c r="QR62" s="456"/>
      <c r="QS62" s="456"/>
      <c r="QT62" s="456"/>
      <c r="QU62" s="456"/>
      <c r="QV62" s="456"/>
      <c r="QW62" s="456"/>
      <c r="QX62" s="456"/>
      <c r="QY62" s="456"/>
      <c r="QZ62" s="456"/>
      <c r="RA62" s="456"/>
      <c r="RB62" s="456"/>
      <c r="RC62" s="456"/>
      <c r="RD62" s="456"/>
      <c r="RE62" s="456"/>
      <c r="RF62" s="456"/>
      <c r="RG62" s="456"/>
      <c r="RH62" s="456"/>
      <c r="RI62" s="456"/>
      <c r="RJ62" s="456"/>
      <c r="RK62" s="456"/>
      <c r="RL62" s="456"/>
      <c r="RM62" s="456"/>
      <c r="RN62" s="456"/>
      <c r="RO62" s="456"/>
      <c r="RP62" s="456"/>
      <c r="RQ62" s="456"/>
      <c r="RR62" s="456"/>
      <c r="RS62" s="456"/>
      <c r="RT62" s="456"/>
      <c r="RU62" s="456"/>
      <c r="RV62" s="456"/>
      <c r="RW62" s="456"/>
      <c r="RX62" s="456"/>
      <c r="RY62" s="456"/>
      <c r="RZ62" s="456"/>
      <c r="SA62" s="456"/>
      <c r="SB62" s="456"/>
      <c r="SC62" s="456"/>
      <c r="SD62" s="456"/>
      <c r="SE62" s="456"/>
      <c r="SF62" s="456"/>
      <c r="SG62" s="456"/>
      <c r="SH62" s="456"/>
      <c r="SI62" s="456"/>
      <c r="SJ62" s="456"/>
      <c r="SK62" s="456"/>
      <c r="SL62" s="456"/>
      <c r="SM62" s="456"/>
      <c r="SN62" s="456"/>
      <c r="SO62" s="456"/>
      <c r="SP62" s="456"/>
      <c r="SQ62" s="456"/>
      <c r="SR62" s="456"/>
      <c r="SS62" s="456"/>
      <c r="ST62" s="456"/>
      <c r="SU62" s="456"/>
      <c r="SV62" s="456"/>
      <c r="SW62" s="456"/>
      <c r="SX62" s="456"/>
      <c r="SY62" s="456"/>
      <c r="SZ62" s="456"/>
      <c r="TA62" s="456"/>
      <c r="TB62" s="456"/>
      <c r="TC62" s="456"/>
      <c r="TD62" s="456"/>
      <c r="TE62" s="456"/>
      <c r="TF62" s="456"/>
      <c r="TG62" s="456"/>
      <c r="TH62" s="456"/>
      <c r="TI62" s="456"/>
      <c r="TJ62" s="456"/>
      <c r="TK62" s="456"/>
      <c r="TL62" s="456"/>
      <c r="TM62" s="456"/>
      <c r="TN62" s="456"/>
      <c r="TO62" s="456"/>
      <c r="TP62" s="456"/>
      <c r="TQ62" s="456"/>
      <c r="TR62" s="456"/>
      <c r="TS62" s="456"/>
      <c r="TT62" s="456"/>
      <c r="TU62" s="456"/>
      <c r="TV62" s="456"/>
      <c r="TW62" s="456"/>
      <c r="TX62" s="456"/>
      <c r="TY62" s="456"/>
      <c r="TZ62" s="456"/>
      <c r="UA62" s="456"/>
      <c r="UB62" s="456"/>
      <c r="UC62" s="456"/>
      <c r="UD62" s="456"/>
      <c r="UE62" s="456"/>
      <c r="UF62" s="456"/>
      <c r="UG62" s="456"/>
      <c r="UH62" s="456"/>
      <c r="UI62" s="456"/>
      <c r="UJ62" s="456"/>
      <c r="UK62" s="456"/>
      <c r="UL62" s="456"/>
      <c r="UM62" s="456"/>
      <c r="UN62" s="456"/>
      <c r="UO62" s="456"/>
      <c r="UP62" s="456"/>
      <c r="UQ62" s="456"/>
      <c r="UR62" s="456"/>
      <c r="US62" s="456"/>
      <c r="UT62" s="456"/>
      <c r="UU62" s="456"/>
      <c r="UV62" s="456"/>
      <c r="UW62" s="456"/>
      <c r="UX62" s="456"/>
      <c r="UY62" s="456"/>
      <c r="UZ62" s="456"/>
      <c r="VA62" s="456"/>
      <c r="VB62" s="456"/>
      <c r="VC62" s="456"/>
      <c r="VD62" s="456"/>
      <c r="VE62" s="456"/>
      <c r="VF62" s="456"/>
      <c r="VG62" s="456"/>
      <c r="VH62" s="456"/>
      <c r="VI62" s="456"/>
      <c r="VJ62" s="456"/>
      <c r="VK62" s="456"/>
      <c r="VL62" s="456"/>
      <c r="VM62" s="456"/>
      <c r="VN62" s="456"/>
      <c r="VO62" s="456"/>
      <c r="VP62" s="456"/>
      <c r="VQ62" s="456"/>
      <c r="VR62" s="456"/>
      <c r="VS62" s="456"/>
      <c r="VT62" s="456"/>
      <c r="VU62" s="456"/>
      <c r="VV62" s="456"/>
      <c r="VW62" s="456"/>
      <c r="VX62" s="456"/>
      <c r="VY62" s="456"/>
      <c r="VZ62" s="456"/>
      <c r="WA62" s="456"/>
      <c r="WB62" s="456"/>
      <c r="WC62" s="456"/>
      <c r="WD62" s="456"/>
      <c r="WE62" s="456"/>
      <c r="WF62" s="456"/>
      <c r="WG62" s="456"/>
      <c r="WH62" s="456"/>
      <c r="WI62" s="456"/>
      <c r="WJ62" s="456"/>
      <c r="WK62" s="456"/>
      <c r="WL62" s="456"/>
      <c r="WM62" s="456"/>
      <c r="WN62" s="456"/>
      <c r="WO62" s="456"/>
      <c r="WP62" s="456"/>
      <c r="WQ62" s="456"/>
      <c r="WR62" s="456"/>
      <c r="WS62" s="456"/>
      <c r="WT62" s="456"/>
      <c r="WU62" s="456"/>
      <c r="WV62" s="456"/>
      <c r="WW62" s="456"/>
      <c r="WX62" s="456"/>
      <c r="WY62" s="456"/>
      <c r="WZ62" s="456"/>
      <c r="XA62" s="456"/>
      <c r="XB62" s="456"/>
      <c r="XC62" s="456"/>
      <c r="XD62" s="456"/>
      <c r="XE62" s="456"/>
      <c r="XF62" s="456"/>
      <c r="XG62" s="456"/>
      <c r="XH62" s="456"/>
      <c r="XI62" s="456"/>
      <c r="XJ62" s="456"/>
      <c r="XK62" s="456"/>
      <c r="XL62" s="456"/>
      <c r="XM62" s="456"/>
      <c r="XN62" s="456"/>
      <c r="XO62" s="456"/>
      <c r="XP62" s="456"/>
      <c r="XQ62" s="456"/>
      <c r="XR62" s="456"/>
      <c r="XS62" s="456"/>
      <c r="XT62" s="456"/>
      <c r="XU62" s="456"/>
      <c r="XV62" s="456"/>
      <c r="XW62" s="456"/>
      <c r="XX62" s="456"/>
      <c r="XY62" s="456"/>
      <c r="XZ62" s="456"/>
      <c r="YA62" s="456"/>
      <c r="YB62" s="456"/>
      <c r="YC62" s="456"/>
      <c r="YD62" s="456"/>
      <c r="YE62" s="456"/>
      <c r="YF62" s="456"/>
      <c r="YG62" s="456"/>
      <c r="YH62" s="456"/>
      <c r="YI62" s="456"/>
      <c r="YJ62" s="456"/>
      <c r="YK62" s="456"/>
      <c r="YL62" s="456"/>
      <c r="YM62" s="456"/>
      <c r="YN62" s="456"/>
      <c r="YO62" s="456"/>
      <c r="YP62" s="456"/>
      <c r="YQ62" s="456"/>
      <c r="YR62" s="456"/>
      <c r="YS62" s="456"/>
      <c r="YT62" s="456"/>
      <c r="YU62" s="456"/>
      <c r="YV62" s="456"/>
      <c r="YW62" s="456"/>
      <c r="YX62" s="456"/>
      <c r="YY62" s="456"/>
      <c r="YZ62" s="456"/>
      <c r="ZA62" s="456"/>
      <c r="ZB62" s="456"/>
      <c r="ZC62" s="456"/>
      <c r="ZD62" s="456"/>
      <c r="ZE62" s="456"/>
      <c r="ZF62" s="456"/>
      <c r="ZG62" s="456"/>
      <c r="ZH62" s="456"/>
      <c r="ZI62" s="456"/>
      <c r="ZJ62" s="456"/>
      <c r="ZK62" s="456"/>
      <c r="ZL62" s="456"/>
      <c r="ZM62" s="456"/>
      <c r="ZN62" s="456"/>
      <c r="ZO62" s="456"/>
      <c r="ZP62" s="456"/>
      <c r="ZQ62" s="456"/>
      <c r="ZR62" s="456"/>
      <c r="ZS62" s="456"/>
      <c r="ZT62" s="456"/>
      <c r="ZU62" s="456"/>
      <c r="ZV62" s="456"/>
      <c r="ZW62" s="456"/>
      <c r="ZX62" s="456"/>
      <c r="ZY62" s="456"/>
      <c r="ZZ62" s="456"/>
      <c r="AAA62" s="456"/>
      <c r="AAB62" s="456"/>
      <c r="AAC62" s="456"/>
      <c r="AAD62" s="456"/>
      <c r="AAE62" s="456"/>
      <c r="AAF62" s="456"/>
      <c r="AAG62" s="456"/>
      <c r="AAH62" s="456"/>
      <c r="AAI62" s="456"/>
      <c r="AAJ62" s="456"/>
      <c r="AAK62" s="456"/>
      <c r="AAL62" s="456"/>
      <c r="AAM62" s="456"/>
      <c r="AAN62" s="456"/>
      <c r="AAO62" s="456"/>
      <c r="AAP62" s="456"/>
      <c r="AAQ62" s="456"/>
      <c r="AAR62" s="456"/>
      <c r="AAS62" s="456"/>
      <c r="AAT62" s="456"/>
      <c r="AAU62" s="456"/>
      <c r="AAV62" s="456"/>
      <c r="AAW62" s="456"/>
      <c r="AAX62" s="456"/>
      <c r="AAY62" s="456"/>
      <c r="AAZ62" s="456"/>
      <c r="ABA62" s="456"/>
      <c r="ABB62" s="456"/>
      <c r="ABC62" s="456"/>
      <c r="ABD62" s="456"/>
      <c r="ABE62" s="456"/>
      <c r="ABF62" s="456"/>
      <c r="ABG62" s="456"/>
      <c r="ABH62" s="456"/>
      <c r="ABI62" s="456"/>
      <c r="ABJ62" s="456"/>
      <c r="ABK62" s="456"/>
      <c r="ABL62" s="456"/>
      <c r="ABM62" s="456"/>
      <c r="ABN62" s="456"/>
      <c r="ABO62" s="456"/>
      <c r="ABP62" s="456"/>
      <c r="ABQ62" s="456"/>
      <c r="ABR62" s="456"/>
      <c r="ABS62" s="456"/>
      <c r="ABT62" s="456"/>
      <c r="ABU62" s="456"/>
      <c r="ABV62" s="456"/>
      <c r="ABW62" s="456"/>
      <c r="ABX62" s="456"/>
      <c r="ABY62" s="456"/>
      <c r="ABZ62" s="456"/>
      <c r="ACA62" s="456"/>
      <c r="ACB62" s="456"/>
      <c r="ACC62" s="456"/>
      <c r="ACD62" s="456"/>
      <c r="ACE62" s="456"/>
      <c r="ACF62" s="456"/>
      <c r="ACG62" s="456"/>
      <c r="ACH62" s="456"/>
      <c r="ACI62" s="456"/>
      <c r="ACJ62" s="456"/>
      <c r="ACK62" s="456"/>
      <c r="ACL62" s="456"/>
      <c r="ACM62" s="456"/>
      <c r="ACN62" s="456"/>
      <c r="ACO62" s="456"/>
      <c r="ACP62" s="456"/>
      <c r="ACQ62" s="456"/>
      <c r="ACR62" s="456"/>
      <c r="ACS62" s="456"/>
      <c r="ACT62" s="456"/>
      <c r="ACU62" s="456"/>
      <c r="ACV62" s="456"/>
      <c r="ACW62" s="456"/>
      <c r="ACX62" s="456"/>
      <c r="ACY62" s="456"/>
      <c r="ACZ62" s="456"/>
      <c r="ADA62" s="456"/>
      <c r="ADB62" s="456"/>
      <c r="ADC62" s="456"/>
      <c r="ADD62" s="456"/>
      <c r="ADE62" s="456"/>
      <c r="ADF62" s="456"/>
      <c r="ADG62" s="456"/>
      <c r="ADH62" s="456"/>
      <c r="ADI62" s="456"/>
      <c r="ADJ62" s="456"/>
      <c r="ADK62" s="456"/>
      <c r="ADL62" s="456"/>
      <c r="ADM62" s="456"/>
      <c r="ADN62" s="456"/>
      <c r="ADO62" s="456"/>
      <c r="ADP62" s="456"/>
      <c r="ADQ62" s="456"/>
      <c r="ADR62" s="456"/>
      <c r="ADS62" s="456"/>
      <c r="ADT62" s="456"/>
      <c r="ADU62" s="456"/>
      <c r="ADV62" s="456"/>
      <c r="ADW62" s="456"/>
      <c r="ADX62" s="456"/>
      <c r="ADY62" s="456"/>
      <c r="ADZ62" s="456"/>
      <c r="AEA62" s="456"/>
      <c r="AEB62" s="456"/>
      <c r="AEC62" s="456"/>
      <c r="AED62" s="456"/>
      <c r="AEE62" s="456"/>
      <c r="AEF62" s="456"/>
      <c r="AEG62" s="456"/>
      <c r="AEH62" s="456"/>
      <c r="AEI62" s="456"/>
      <c r="AEJ62" s="456"/>
      <c r="AEK62" s="456"/>
      <c r="AEL62" s="456"/>
      <c r="AEM62" s="456"/>
      <c r="AEN62" s="456"/>
      <c r="AEO62" s="456"/>
      <c r="AEP62" s="456"/>
      <c r="AEQ62" s="456"/>
      <c r="AER62" s="456"/>
      <c r="AES62" s="456"/>
      <c r="AET62" s="456"/>
      <c r="AEU62" s="456"/>
      <c r="AEV62" s="456"/>
      <c r="AEW62" s="456"/>
      <c r="AEX62" s="456"/>
      <c r="AEY62" s="456"/>
      <c r="AEZ62" s="456"/>
      <c r="AFA62" s="456"/>
      <c r="AFB62" s="456"/>
      <c r="AFC62" s="456"/>
      <c r="AFD62" s="456"/>
      <c r="AFE62" s="456"/>
      <c r="AFF62" s="456"/>
      <c r="AFG62" s="456"/>
      <c r="AFH62" s="456"/>
      <c r="AFI62" s="456"/>
      <c r="AFJ62" s="456"/>
      <c r="AFK62" s="456"/>
      <c r="AFL62" s="456"/>
      <c r="AFM62" s="456"/>
      <c r="AFN62" s="456"/>
      <c r="AFO62" s="456"/>
      <c r="AFP62" s="456"/>
      <c r="AFQ62" s="456"/>
      <c r="AFR62" s="456"/>
      <c r="AFS62" s="456"/>
      <c r="AFT62" s="456"/>
      <c r="AFU62" s="456"/>
      <c r="AFV62" s="456"/>
      <c r="AFW62" s="456"/>
      <c r="AFX62" s="456"/>
      <c r="AFY62" s="456"/>
      <c r="AFZ62" s="456"/>
      <c r="AGA62" s="456"/>
      <c r="AGB62" s="456"/>
      <c r="AGC62" s="456"/>
      <c r="AGD62" s="456"/>
      <c r="AGE62" s="456"/>
      <c r="AGF62" s="456"/>
      <c r="AGG62" s="456"/>
      <c r="AGH62" s="456"/>
      <c r="AGI62" s="456"/>
      <c r="AGJ62" s="456"/>
      <c r="AGK62" s="456"/>
      <c r="AGL62" s="456"/>
      <c r="AGM62" s="456"/>
      <c r="AGN62" s="456"/>
      <c r="AGO62" s="456"/>
      <c r="AGP62" s="456"/>
      <c r="AGQ62" s="456"/>
      <c r="AGR62" s="456"/>
      <c r="AGS62" s="456"/>
      <c r="AGT62" s="456"/>
      <c r="AGU62" s="456"/>
      <c r="AGV62" s="456"/>
      <c r="AGW62" s="456"/>
      <c r="AGX62" s="456"/>
      <c r="AGY62" s="456"/>
      <c r="AGZ62" s="456"/>
      <c r="AHA62" s="456"/>
      <c r="AHB62" s="456"/>
      <c r="AHC62" s="456"/>
      <c r="AHD62" s="456"/>
      <c r="AHE62" s="456"/>
      <c r="AHF62" s="456"/>
      <c r="AHG62" s="456"/>
      <c r="AHH62" s="456"/>
      <c r="AHI62" s="456"/>
      <c r="AHJ62" s="456"/>
      <c r="AHK62" s="456"/>
      <c r="AHL62" s="456"/>
      <c r="AHM62" s="456"/>
      <c r="AHN62" s="456"/>
      <c r="AHO62" s="456"/>
      <c r="AHP62" s="456"/>
      <c r="AHQ62" s="456"/>
      <c r="AHR62" s="456"/>
      <c r="AHS62" s="456"/>
      <c r="AHT62" s="456"/>
      <c r="AHU62" s="456"/>
      <c r="AHV62" s="456"/>
      <c r="AHW62" s="456"/>
      <c r="AHX62" s="456"/>
      <c r="AHY62" s="456"/>
      <c r="AHZ62" s="456"/>
      <c r="AIA62" s="456"/>
      <c r="AIB62" s="456"/>
      <c r="AIC62" s="456"/>
      <c r="AID62" s="456"/>
      <c r="AIE62" s="456"/>
      <c r="AIF62" s="456"/>
      <c r="AIG62" s="456"/>
      <c r="AIH62" s="456"/>
      <c r="AII62" s="456"/>
      <c r="AIJ62" s="456"/>
      <c r="AIK62" s="456"/>
      <c r="AIL62" s="456"/>
      <c r="AIM62" s="456"/>
      <c r="AIN62" s="456"/>
      <c r="AIO62" s="456"/>
      <c r="AIP62" s="456"/>
      <c r="AIQ62" s="456"/>
      <c r="AIR62" s="456"/>
      <c r="AIS62" s="456"/>
      <c r="AIT62" s="456"/>
      <c r="AIU62" s="456"/>
      <c r="AIV62" s="456"/>
      <c r="AIW62" s="456"/>
      <c r="AIX62" s="456"/>
      <c r="AIY62" s="456"/>
      <c r="AIZ62" s="456"/>
      <c r="AJA62" s="456"/>
      <c r="AJB62" s="456"/>
      <c r="AJC62" s="456"/>
      <c r="AJD62" s="456"/>
      <c r="AJE62" s="456"/>
      <c r="AJF62" s="456"/>
      <c r="AJG62" s="456"/>
      <c r="AJH62" s="456"/>
      <c r="AJI62" s="456"/>
      <c r="AJJ62" s="456"/>
      <c r="AJK62" s="456"/>
      <c r="AJL62" s="456"/>
      <c r="AJM62" s="456"/>
      <c r="AJN62" s="456"/>
      <c r="AJO62" s="456"/>
      <c r="AJP62" s="456"/>
      <c r="AJQ62" s="456"/>
      <c r="AJR62" s="456"/>
      <c r="AJS62" s="456"/>
      <c r="AJT62" s="456"/>
      <c r="AJU62" s="456"/>
      <c r="AJV62" s="456"/>
      <c r="AJW62" s="456"/>
      <c r="AJX62" s="456"/>
      <c r="AJY62" s="456"/>
      <c r="AJZ62" s="456"/>
      <c r="AKA62" s="456"/>
      <c r="AKB62" s="456"/>
      <c r="AKC62" s="456"/>
      <c r="AKD62" s="456"/>
      <c r="AKE62" s="456"/>
      <c r="AKF62" s="456"/>
      <c r="AKG62" s="456"/>
      <c r="AKH62" s="456"/>
      <c r="AKI62" s="456"/>
      <c r="AKJ62" s="456"/>
      <c r="AKK62" s="456"/>
      <c r="AKL62" s="456"/>
      <c r="AKM62" s="456"/>
      <c r="AKN62" s="456"/>
      <c r="AKO62" s="456"/>
      <c r="AKP62" s="456"/>
      <c r="AKQ62" s="456"/>
      <c r="AKR62" s="456"/>
      <c r="AKS62" s="456"/>
      <c r="AKT62" s="456"/>
      <c r="AKU62" s="456"/>
      <c r="AKV62" s="456"/>
      <c r="AKW62" s="456"/>
      <c r="AKX62" s="456"/>
      <c r="AKY62" s="456"/>
      <c r="AKZ62" s="456"/>
      <c r="ALA62" s="456"/>
      <c r="ALB62" s="456"/>
      <c r="ALC62" s="456"/>
      <c r="ALD62" s="456"/>
      <c r="ALE62" s="456"/>
      <c r="ALF62" s="456"/>
      <c r="ALG62" s="456"/>
      <c r="ALH62" s="456"/>
      <c r="ALI62" s="456"/>
      <c r="ALJ62" s="456"/>
      <c r="ALK62" s="456"/>
      <c r="ALL62" s="456"/>
      <c r="ALM62" s="456"/>
      <c r="ALN62" s="456"/>
      <c r="ALO62" s="456"/>
      <c r="ALP62" s="456"/>
      <c r="ALQ62" s="456"/>
      <c r="ALR62" s="456"/>
      <c r="ALS62" s="456"/>
      <c r="ALT62" s="456"/>
      <c r="ALU62" s="456"/>
      <c r="ALV62" s="456"/>
      <c r="ALW62" s="456"/>
      <c r="ALX62" s="456"/>
      <c r="ALY62" s="456"/>
      <c r="ALZ62" s="456"/>
      <c r="AMA62" s="456"/>
      <c r="AMB62" s="456"/>
      <c r="AMC62" s="456"/>
      <c r="AMD62" s="456"/>
      <c r="AME62" s="456"/>
      <c r="AMF62" s="456"/>
      <c r="AMG62" s="456"/>
      <c r="AMH62" s="456"/>
      <c r="AMI62" s="456"/>
      <c r="AMJ62" s="456"/>
      <c r="AMK62" s="456"/>
      <c r="AML62" s="456"/>
      <c r="AMM62" s="456"/>
      <c r="AMN62" s="456"/>
      <c r="AMO62" s="456"/>
      <c r="AMP62" s="456"/>
      <c r="AMQ62" s="456"/>
      <c r="AMR62" s="456"/>
      <c r="AMS62" s="456"/>
      <c r="AMT62" s="456"/>
      <c r="AMU62" s="456"/>
      <c r="AMV62" s="456"/>
      <c r="AMW62" s="456"/>
      <c r="AMX62" s="456"/>
      <c r="AMY62" s="456"/>
      <c r="AMZ62" s="456"/>
      <c r="ANA62" s="456"/>
      <c r="ANB62" s="456"/>
      <c r="ANC62" s="456"/>
      <c r="AND62" s="456"/>
      <c r="ANE62" s="456"/>
      <c r="ANF62" s="456"/>
      <c r="ANG62" s="456"/>
      <c r="ANH62" s="456"/>
      <c r="ANI62" s="456"/>
      <c r="ANJ62" s="456"/>
      <c r="ANK62" s="456"/>
      <c r="ANL62" s="456"/>
      <c r="ANM62" s="456"/>
      <c r="ANN62" s="456"/>
      <c r="ANO62" s="456"/>
      <c r="ANP62" s="456"/>
      <c r="ANQ62" s="456"/>
      <c r="ANR62" s="456"/>
      <c r="ANS62" s="456"/>
      <c r="ANT62" s="456"/>
      <c r="ANU62" s="456"/>
      <c r="ANV62" s="456"/>
      <c r="ANW62" s="456"/>
      <c r="ANX62" s="456"/>
      <c r="ANY62" s="456"/>
      <c r="ANZ62" s="456"/>
      <c r="AOA62" s="456"/>
      <c r="AOB62" s="456"/>
      <c r="AOC62" s="456"/>
      <c r="AOD62" s="456"/>
      <c r="AOE62" s="456"/>
      <c r="AOF62" s="456"/>
      <c r="AOG62" s="456"/>
      <c r="AOH62" s="456"/>
      <c r="AOI62" s="456"/>
      <c r="AOJ62" s="456"/>
      <c r="AOK62" s="456"/>
      <c r="AOL62" s="456"/>
      <c r="AOM62" s="456"/>
      <c r="AON62" s="456"/>
      <c r="AOO62" s="456"/>
      <c r="AOP62" s="456"/>
      <c r="AOQ62" s="456"/>
      <c r="AOR62" s="456"/>
      <c r="AOS62" s="456"/>
      <c r="AOT62" s="456"/>
      <c r="AOU62" s="456"/>
      <c r="AOV62" s="456"/>
      <c r="AOW62" s="456"/>
      <c r="AOX62" s="456"/>
      <c r="AOY62" s="456"/>
      <c r="AOZ62" s="456"/>
      <c r="APA62" s="456"/>
      <c r="APB62" s="456"/>
      <c r="APC62" s="456"/>
      <c r="APD62" s="456"/>
      <c r="APE62" s="456"/>
      <c r="APF62" s="456"/>
      <c r="APG62" s="456"/>
      <c r="APH62" s="456"/>
      <c r="API62" s="456"/>
      <c r="APJ62" s="456"/>
      <c r="APK62" s="456"/>
      <c r="APL62" s="456"/>
      <c r="APM62" s="456"/>
      <c r="APN62" s="456"/>
      <c r="APO62" s="456"/>
      <c r="APP62" s="456"/>
      <c r="APQ62" s="456"/>
      <c r="APR62" s="456"/>
      <c r="APS62" s="456"/>
      <c r="APT62" s="456"/>
      <c r="APU62" s="456"/>
      <c r="APV62" s="456"/>
      <c r="APW62" s="456"/>
      <c r="APX62" s="456"/>
      <c r="APY62" s="456"/>
      <c r="APZ62" s="456"/>
      <c r="AQA62" s="456"/>
      <c r="AQB62" s="456"/>
      <c r="AQC62" s="456"/>
      <c r="AQD62" s="456"/>
      <c r="AQE62" s="456"/>
      <c r="AQF62" s="456"/>
      <c r="AQG62" s="456"/>
      <c r="AQH62" s="456"/>
      <c r="AQI62" s="456"/>
      <c r="AQJ62" s="456"/>
      <c r="AQK62" s="456"/>
      <c r="AQL62" s="456"/>
      <c r="AQM62" s="456"/>
      <c r="AQN62" s="456"/>
      <c r="AQO62" s="456"/>
      <c r="AQP62" s="456"/>
      <c r="AQQ62" s="456"/>
      <c r="AQR62" s="456"/>
      <c r="AQS62" s="456"/>
      <c r="AQT62" s="456"/>
      <c r="AQU62" s="456"/>
      <c r="AQV62" s="456"/>
      <c r="AQW62" s="456"/>
      <c r="AQX62" s="456"/>
      <c r="AQY62" s="456"/>
      <c r="AQZ62" s="456"/>
      <c r="ARA62" s="456"/>
      <c r="ARB62" s="456"/>
      <c r="ARC62" s="456"/>
      <c r="ARD62" s="456"/>
      <c r="ARE62" s="456"/>
      <c r="ARF62" s="456"/>
      <c r="ARG62" s="456"/>
      <c r="ARH62" s="456"/>
      <c r="ARI62" s="456"/>
      <c r="ARJ62" s="456"/>
      <c r="ARK62" s="456"/>
      <c r="ARL62" s="456"/>
      <c r="ARM62" s="456"/>
      <c r="ARN62" s="456"/>
      <c r="ARO62" s="456"/>
      <c r="ARP62" s="456"/>
      <c r="ARQ62" s="456"/>
      <c r="ARR62" s="456"/>
      <c r="ARS62" s="456"/>
      <c r="ART62" s="456"/>
      <c r="ARU62" s="456"/>
      <c r="ARV62" s="456"/>
      <c r="ARW62" s="456"/>
      <c r="ARX62" s="456"/>
      <c r="ARY62" s="456"/>
      <c r="ARZ62" s="456"/>
      <c r="ASA62" s="456"/>
      <c r="ASB62" s="456"/>
      <c r="ASC62" s="456"/>
      <c r="ASD62" s="456"/>
      <c r="ASE62" s="456"/>
      <c r="ASF62" s="456"/>
      <c r="ASG62" s="456"/>
      <c r="ASH62" s="456"/>
      <c r="ASI62" s="456"/>
      <c r="ASJ62" s="456"/>
      <c r="ASK62" s="456"/>
      <c r="ASL62" s="456"/>
      <c r="ASM62" s="456"/>
      <c r="ASN62" s="456"/>
      <c r="ASO62" s="456"/>
      <c r="ASP62" s="456"/>
      <c r="ASQ62" s="456"/>
      <c r="ASR62" s="456"/>
      <c r="ASS62" s="456"/>
      <c r="AST62" s="456"/>
      <c r="ASU62" s="456"/>
      <c r="ASV62" s="456"/>
      <c r="ASW62" s="456"/>
      <c r="ASX62" s="456"/>
      <c r="ASY62" s="456"/>
      <c r="ASZ62" s="456"/>
      <c r="ATA62" s="456"/>
      <c r="ATB62" s="456"/>
      <c r="ATC62" s="456"/>
      <c r="ATD62" s="456"/>
      <c r="ATE62" s="456"/>
      <c r="ATF62" s="456"/>
      <c r="ATG62" s="456"/>
      <c r="ATH62" s="456"/>
      <c r="ATI62" s="456"/>
      <c r="ATJ62" s="456"/>
      <c r="ATK62" s="456"/>
      <c r="ATL62" s="456"/>
      <c r="ATM62" s="456"/>
      <c r="ATN62" s="456"/>
      <c r="ATO62" s="456"/>
      <c r="ATP62" s="456"/>
      <c r="ATQ62" s="456"/>
      <c r="ATR62" s="456"/>
      <c r="ATS62" s="456"/>
      <c r="ATT62" s="456"/>
      <c r="ATU62" s="456"/>
      <c r="ATV62" s="456"/>
      <c r="ATW62" s="456"/>
      <c r="ATX62" s="456"/>
      <c r="ATY62" s="456"/>
      <c r="ATZ62" s="456"/>
      <c r="AUA62" s="456"/>
      <c r="AUB62" s="456"/>
      <c r="AUC62" s="456"/>
      <c r="AUD62" s="456"/>
      <c r="AUE62" s="456"/>
      <c r="AUF62" s="456"/>
      <c r="AUG62" s="456"/>
      <c r="AUH62" s="456"/>
      <c r="AUI62" s="456"/>
      <c r="AUJ62" s="456"/>
      <c r="AUK62" s="456"/>
      <c r="AUL62" s="456"/>
      <c r="AUM62" s="456"/>
      <c r="AUN62" s="456"/>
      <c r="AUO62" s="456"/>
      <c r="AUP62" s="456"/>
      <c r="AUQ62" s="456"/>
      <c r="AUR62" s="456"/>
      <c r="AUS62" s="456"/>
      <c r="AUT62" s="456"/>
      <c r="AUU62" s="456"/>
      <c r="AUV62" s="456"/>
      <c r="AUW62" s="456"/>
      <c r="AUX62" s="456"/>
      <c r="AUY62" s="456"/>
      <c r="AUZ62" s="456"/>
      <c r="AVA62" s="456"/>
      <c r="AVB62" s="456"/>
      <c r="AVC62" s="456"/>
      <c r="AVD62" s="456"/>
      <c r="AVE62" s="456"/>
      <c r="AVF62" s="456"/>
      <c r="AVG62" s="456"/>
      <c r="AVH62" s="456"/>
      <c r="AVI62" s="456"/>
      <c r="AVJ62" s="456"/>
      <c r="AVK62" s="456"/>
      <c r="AVL62" s="456"/>
      <c r="AVM62" s="456"/>
      <c r="AVN62" s="456"/>
      <c r="AVO62" s="456"/>
      <c r="AVP62" s="456"/>
      <c r="AVQ62" s="456"/>
      <c r="AVR62" s="456"/>
      <c r="AVS62" s="456"/>
      <c r="AVT62" s="456"/>
      <c r="AVU62" s="456"/>
      <c r="AVV62" s="456"/>
      <c r="AVW62" s="456"/>
      <c r="AVX62" s="456"/>
      <c r="AVY62" s="456"/>
      <c r="AVZ62" s="456"/>
      <c r="AWA62" s="456"/>
      <c r="AWB62" s="456"/>
      <c r="AWC62" s="456"/>
      <c r="AWD62" s="456"/>
      <c r="AWE62" s="456"/>
      <c r="AWF62" s="456"/>
      <c r="AWG62" s="456"/>
      <c r="AWH62" s="456"/>
      <c r="AWI62" s="456"/>
      <c r="AWJ62" s="456"/>
      <c r="AWK62" s="456"/>
      <c r="AWL62" s="456"/>
      <c r="AWM62" s="456"/>
      <c r="AWN62" s="456"/>
      <c r="AWO62" s="456"/>
      <c r="AWP62" s="456"/>
      <c r="AWQ62" s="456"/>
      <c r="AWR62" s="456"/>
      <c r="AWS62" s="456"/>
      <c r="AWT62" s="456"/>
      <c r="AWU62" s="456"/>
      <c r="AWV62" s="456"/>
      <c r="AWW62" s="456"/>
      <c r="AWX62" s="456"/>
      <c r="AWY62" s="456"/>
      <c r="AWZ62" s="456"/>
      <c r="AXA62" s="456"/>
      <c r="AXB62" s="456"/>
      <c r="AXC62" s="456"/>
      <c r="AXD62" s="456"/>
      <c r="AXE62" s="456"/>
      <c r="AXF62" s="456"/>
      <c r="AXG62" s="456"/>
      <c r="AXH62" s="456"/>
      <c r="AXI62" s="456"/>
      <c r="AXJ62" s="456"/>
      <c r="AXK62" s="456"/>
      <c r="AXL62" s="456"/>
      <c r="AXM62" s="456"/>
      <c r="AXN62" s="456"/>
      <c r="AXO62" s="456"/>
      <c r="AXP62" s="456"/>
      <c r="AXQ62" s="456"/>
      <c r="AXR62" s="456"/>
      <c r="AXS62" s="456"/>
      <c r="AXT62" s="456"/>
      <c r="AXU62" s="456"/>
      <c r="AXV62" s="456"/>
      <c r="AXW62" s="456"/>
      <c r="AXX62" s="456"/>
      <c r="AXY62" s="456"/>
      <c r="AXZ62" s="456"/>
      <c r="AYA62" s="456"/>
      <c r="AYB62" s="456"/>
      <c r="AYC62" s="456"/>
      <c r="AYD62" s="456"/>
      <c r="AYE62" s="456"/>
      <c r="AYF62" s="456"/>
      <c r="AYG62" s="456"/>
      <c r="AYH62" s="456"/>
      <c r="AYI62" s="456"/>
      <c r="AYJ62" s="456"/>
      <c r="AYK62" s="456"/>
      <c r="AYL62" s="456"/>
      <c r="AYM62" s="456"/>
      <c r="AYN62" s="456"/>
      <c r="AYO62" s="456"/>
      <c r="AYP62" s="456"/>
      <c r="AYQ62" s="456"/>
      <c r="AYR62" s="456"/>
      <c r="AYS62" s="456"/>
      <c r="AYT62" s="456"/>
      <c r="AYU62" s="456"/>
      <c r="AYV62" s="456"/>
      <c r="AYW62" s="456"/>
      <c r="AYX62" s="456"/>
      <c r="AYY62" s="456"/>
      <c r="AYZ62" s="456"/>
      <c r="AZA62" s="456"/>
      <c r="AZB62" s="456"/>
      <c r="AZC62" s="456"/>
      <c r="AZD62" s="456"/>
      <c r="AZE62" s="456"/>
      <c r="AZF62" s="456"/>
      <c r="AZG62" s="456"/>
      <c r="AZH62" s="456"/>
      <c r="AZI62" s="456"/>
      <c r="AZJ62" s="456"/>
      <c r="AZK62" s="456"/>
      <c r="AZL62" s="456"/>
      <c r="AZM62" s="456"/>
      <c r="AZN62" s="456"/>
      <c r="AZO62" s="456"/>
      <c r="AZP62" s="456"/>
      <c r="AZQ62" s="456"/>
      <c r="AZR62" s="456"/>
      <c r="AZS62" s="456"/>
      <c r="AZT62" s="456"/>
      <c r="AZU62" s="456"/>
      <c r="AZV62" s="456"/>
      <c r="AZW62" s="456"/>
      <c r="AZX62" s="456"/>
      <c r="AZY62" s="456"/>
      <c r="AZZ62" s="456"/>
      <c r="BAA62" s="456"/>
      <c r="BAB62" s="456"/>
      <c r="BAC62" s="456"/>
      <c r="BAD62" s="456"/>
      <c r="BAE62" s="456"/>
      <c r="BAF62" s="456"/>
      <c r="BAG62" s="456"/>
      <c r="BAH62" s="456"/>
      <c r="BAI62" s="456"/>
      <c r="BAJ62" s="456"/>
      <c r="BAK62" s="456"/>
      <c r="BAL62" s="456"/>
      <c r="BAM62" s="456"/>
      <c r="BAN62" s="456"/>
      <c r="BAO62" s="456"/>
      <c r="BAP62" s="456"/>
      <c r="BAQ62" s="456"/>
      <c r="BAR62" s="456"/>
      <c r="BAS62" s="456"/>
      <c r="BAT62" s="456"/>
      <c r="BAU62" s="456"/>
      <c r="BAV62" s="456"/>
      <c r="BAW62" s="456"/>
      <c r="BAX62" s="456"/>
      <c r="BAY62" s="456"/>
      <c r="BAZ62" s="456"/>
      <c r="BBA62" s="456"/>
      <c r="BBB62" s="456"/>
      <c r="BBC62" s="456"/>
      <c r="BBD62" s="456"/>
      <c r="BBE62" s="456"/>
      <c r="BBF62" s="456"/>
      <c r="BBG62" s="456"/>
      <c r="BBH62" s="456"/>
      <c r="BBI62" s="456"/>
      <c r="BBJ62" s="456"/>
      <c r="BBK62" s="456"/>
      <c r="BBL62" s="456"/>
      <c r="BBM62" s="456"/>
      <c r="BBN62" s="456"/>
      <c r="BBO62" s="456"/>
      <c r="BBP62" s="456"/>
      <c r="BBQ62" s="456"/>
      <c r="BBR62" s="456"/>
      <c r="BBS62" s="456"/>
      <c r="BBT62" s="456"/>
      <c r="BBU62" s="456"/>
      <c r="BBV62" s="456"/>
      <c r="BBW62" s="456"/>
      <c r="BBX62" s="456"/>
      <c r="BBY62" s="456"/>
      <c r="BBZ62" s="456"/>
      <c r="BCA62" s="456"/>
      <c r="BCB62" s="456"/>
      <c r="BCC62" s="456"/>
      <c r="BCD62" s="456"/>
      <c r="BCE62" s="456"/>
      <c r="BCF62" s="456"/>
      <c r="BCG62" s="456"/>
      <c r="BCH62" s="456"/>
      <c r="BCI62" s="456"/>
      <c r="BCJ62" s="456"/>
      <c r="BCK62" s="456"/>
      <c r="BCL62" s="456"/>
      <c r="BCM62" s="456"/>
      <c r="BCN62" s="456"/>
      <c r="BCO62" s="456"/>
      <c r="BCP62" s="456"/>
      <c r="BCQ62" s="456"/>
      <c r="BCR62" s="456"/>
      <c r="BCS62" s="456"/>
      <c r="BCT62" s="456"/>
      <c r="BCU62" s="456"/>
      <c r="BCV62" s="456"/>
      <c r="BCW62" s="456"/>
      <c r="BCX62" s="456"/>
      <c r="BCY62" s="456"/>
      <c r="BCZ62" s="456"/>
      <c r="BDA62" s="456"/>
      <c r="BDB62" s="456"/>
      <c r="BDC62" s="456"/>
      <c r="BDD62" s="456"/>
      <c r="BDE62" s="456"/>
      <c r="BDF62" s="456"/>
      <c r="BDG62" s="456"/>
      <c r="BDH62" s="456"/>
      <c r="BDI62" s="456"/>
      <c r="BDJ62" s="456"/>
      <c r="BDK62" s="456"/>
      <c r="BDL62" s="456"/>
      <c r="BDM62" s="456"/>
      <c r="BDN62" s="456"/>
      <c r="BDO62" s="456"/>
      <c r="BDP62" s="456"/>
      <c r="BDQ62" s="456"/>
      <c r="BDR62" s="456"/>
      <c r="BDS62" s="456"/>
      <c r="BDT62" s="456"/>
      <c r="BDU62" s="456"/>
      <c r="BDV62" s="456"/>
      <c r="BDW62" s="456"/>
      <c r="BDX62" s="456"/>
      <c r="BDY62" s="456"/>
      <c r="BDZ62" s="456"/>
      <c r="BEA62" s="456"/>
      <c r="BEB62" s="456"/>
      <c r="BEC62" s="456"/>
      <c r="BED62" s="456"/>
      <c r="BEE62" s="456"/>
      <c r="BEF62" s="456"/>
      <c r="BEG62" s="456"/>
      <c r="BEH62" s="456"/>
      <c r="BEI62" s="456"/>
      <c r="BEJ62" s="456"/>
      <c r="BEK62" s="456"/>
      <c r="BEL62" s="456"/>
      <c r="BEM62" s="456"/>
      <c r="BEN62" s="456"/>
      <c r="BEO62" s="456"/>
      <c r="BEP62" s="456"/>
      <c r="BEQ62" s="456"/>
      <c r="BER62" s="456"/>
      <c r="BES62" s="456"/>
      <c r="BET62" s="456"/>
      <c r="BEU62" s="456"/>
      <c r="BEV62" s="456"/>
      <c r="BEW62" s="456"/>
      <c r="BEX62" s="456"/>
      <c r="BEY62" s="456"/>
      <c r="BEZ62" s="456"/>
      <c r="BFA62" s="456"/>
      <c r="BFB62" s="456"/>
      <c r="BFC62" s="456"/>
      <c r="BFD62" s="456"/>
      <c r="BFE62" s="456"/>
      <c r="BFF62" s="456"/>
      <c r="BFG62" s="456"/>
      <c r="BFH62" s="456"/>
      <c r="BFI62" s="456"/>
      <c r="BFJ62" s="456"/>
      <c r="BFK62" s="456"/>
      <c r="BFL62" s="456"/>
      <c r="BFM62" s="456"/>
      <c r="BFN62" s="456"/>
      <c r="BFO62" s="456"/>
      <c r="BFP62" s="456"/>
      <c r="BFQ62" s="456"/>
      <c r="BFR62" s="456"/>
      <c r="BFS62" s="456"/>
      <c r="BFT62" s="456"/>
      <c r="BFU62" s="456"/>
      <c r="BFV62" s="456"/>
      <c r="BFW62" s="456"/>
      <c r="BFX62" s="456"/>
      <c r="BFY62" s="456"/>
      <c r="BFZ62" s="456"/>
      <c r="BGA62" s="456"/>
      <c r="BGB62" s="456"/>
      <c r="BGC62" s="456"/>
      <c r="BGD62" s="456"/>
      <c r="BGE62" s="456"/>
      <c r="BGF62" s="456"/>
      <c r="BGG62" s="456"/>
      <c r="BGH62" s="456"/>
      <c r="BGI62" s="456"/>
      <c r="BGJ62" s="456"/>
      <c r="BGK62" s="456"/>
      <c r="BGL62" s="456"/>
      <c r="BGM62" s="456"/>
      <c r="BGN62" s="456"/>
      <c r="BGO62" s="456"/>
      <c r="BGP62" s="456"/>
      <c r="BGQ62" s="456"/>
      <c r="BGR62" s="456"/>
      <c r="BGS62" s="456"/>
      <c r="BGT62" s="456"/>
      <c r="BGU62" s="456"/>
      <c r="BGV62" s="456"/>
      <c r="BGW62" s="456"/>
      <c r="BGX62" s="456"/>
      <c r="BGY62" s="456"/>
      <c r="BGZ62" s="456"/>
      <c r="BHA62" s="456"/>
      <c r="BHB62" s="456"/>
      <c r="BHC62" s="456"/>
      <c r="BHD62" s="456"/>
      <c r="BHE62" s="456"/>
      <c r="BHF62" s="456"/>
      <c r="BHG62" s="456"/>
      <c r="BHH62" s="456"/>
      <c r="BHI62" s="456"/>
      <c r="BHJ62" s="456"/>
      <c r="BHK62" s="456"/>
      <c r="BHL62" s="456"/>
      <c r="BHM62" s="456"/>
      <c r="BHN62" s="456"/>
      <c r="BHO62" s="456"/>
      <c r="BHP62" s="456"/>
      <c r="BHQ62" s="456"/>
      <c r="BHR62" s="456"/>
      <c r="BHS62" s="456"/>
      <c r="BHT62" s="456"/>
      <c r="BHU62" s="456"/>
      <c r="BHV62" s="456"/>
      <c r="BHW62" s="456"/>
      <c r="BHX62" s="456"/>
      <c r="BHY62" s="456"/>
      <c r="BHZ62" s="456"/>
      <c r="BIA62" s="456"/>
      <c r="BIB62" s="456"/>
      <c r="BIC62" s="456"/>
      <c r="BID62" s="456"/>
      <c r="BIE62" s="456"/>
      <c r="BIF62" s="456"/>
      <c r="BIG62" s="456"/>
      <c r="BIH62" s="456"/>
      <c r="BII62" s="456"/>
      <c r="BIJ62" s="456"/>
      <c r="BIK62" s="456"/>
      <c r="BIL62" s="456"/>
      <c r="BIM62" s="456"/>
      <c r="BIN62" s="456"/>
      <c r="BIO62" s="456"/>
      <c r="BIP62" s="456"/>
      <c r="BIQ62" s="456"/>
      <c r="BIR62" s="456"/>
      <c r="BIS62" s="456"/>
      <c r="BIT62" s="456"/>
      <c r="BIU62" s="456"/>
      <c r="BIV62" s="456"/>
      <c r="BIW62" s="456"/>
      <c r="BIX62" s="456"/>
      <c r="BIY62" s="456"/>
      <c r="BIZ62" s="456"/>
      <c r="BJA62" s="456"/>
      <c r="BJB62" s="456"/>
      <c r="BJC62" s="456"/>
      <c r="BJD62" s="456"/>
      <c r="BJE62" s="456"/>
      <c r="BJF62" s="456"/>
      <c r="BJG62" s="456"/>
      <c r="BJH62" s="456"/>
      <c r="BJI62" s="456"/>
      <c r="BJJ62" s="456"/>
      <c r="BJK62" s="456"/>
      <c r="BJL62" s="456"/>
      <c r="BJM62" s="456"/>
      <c r="BJN62" s="456"/>
      <c r="BJO62" s="456"/>
      <c r="BJP62" s="456"/>
      <c r="BJQ62" s="456"/>
      <c r="BJR62" s="456"/>
      <c r="BJS62" s="456"/>
      <c r="BJT62" s="456"/>
      <c r="BJU62" s="456"/>
      <c r="BJV62" s="456"/>
      <c r="BJW62" s="456"/>
      <c r="BJX62" s="456"/>
      <c r="BJY62" s="456"/>
      <c r="BJZ62" s="456"/>
      <c r="BKA62" s="456"/>
      <c r="BKB62" s="456"/>
      <c r="BKC62" s="456"/>
      <c r="BKD62" s="456"/>
      <c r="BKE62" s="456"/>
      <c r="BKF62" s="456"/>
      <c r="BKG62" s="456"/>
      <c r="BKH62" s="456"/>
      <c r="BKI62" s="456"/>
      <c r="BKJ62" s="456"/>
      <c r="BKK62" s="456"/>
      <c r="BKL62" s="456"/>
      <c r="BKM62" s="456"/>
      <c r="BKN62" s="456"/>
      <c r="BKO62" s="456"/>
      <c r="BKP62" s="456"/>
      <c r="BKQ62" s="456"/>
      <c r="BKR62" s="456"/>
      <c r="BKS62" s="456"/>
      <c r="BKT62" s="456"/>
      <c r="BKU62" s="456"/>
      <c r="BKV62" s="456"/>
      <c r="BKW62" s="456"/>
      <c r="BKX62" s="456"/>
      <c r="BKY62" s="456"/>
      <c r="BKZ62" s="456"/>
      <c r="BLA62" s="456"/>
      <c r="BLB62" s="456"/>
      <c r="BLC62" s="456"/>
      <c r="BLD62" s="456"/>
      <c r="BLE62" s="456"/>
      <c r="BLF62" s="456"/>
      <c r="BLG62" s="456"/>
      <c r="BLH62" s="456"/>
      <c r="BLI62" s="456"/>
      <c r="BLJ62" s="456"/>
      <c r="BLK62" s="456"/>
      <c r="BLL62" s="456"/>
      <c r="BLM62" s="456"/>
      <c r="BLN62" s="456"/>
      <c r="BLO62" s="456"/>
      <c r="BLP62" s="456"/>
      <c r="BLQ62" s="456"/>
      <c r="BLR62" s="456"/>
      <c r="BLS62" s="456"/>
      <c r="BLT62" s="456"/>
      <c r="BLU62" s="456"/>
      <c r="BLV62" s="456"/>
      <c r="BLW62" s="456"/>
      <c r="BLX62" s="456"/>
      <c r="BLY62" s="456"/>
      <c r="BLZ62" s="456"/>
      <c r="BMA62" s="456"/>
      <c r="BMB62" s="456"/>
      <c r="BMC62" s="456"/>
      <c r="BMD62" s="456"/>
      <c r="BME62" s="456"/>
      <c r="BMF62" s="456"/>
      <c r="BMG62" s="456"/>
      <c r="BMH62" s="456"/>
      <c r="BMI62" s="456"/>
      <c r="BMJ62" s="456"/>
      <c r="BMK62" s="456"/>
      <c r="BML62" s="456"/>
      <c r="BMM62" s="456"/>
      <c r="BMN62" s="456"/>
      <c r="BMO62" s="456"/>
      <c r="BMP62" s="456"/>
      <c r="BMQ62" s="456"/>
      <c r="BMR62" s="456"/>
      <c r="BMS62" s="456"/>
      <c r="BMT62" s="456"/>
      <c r="BMU62" s="456"/>
      <c r="BMV62" s="456"/>
      <c r="BMW62" s="456"/>
      <c r="BMX62" s="456"/>
      <c r="BMY62" s="456"/>
      <c r="BMZ62" s="456"/>
      <c r="BNA62" s="456"/>
      <c r="BNB62" s="456"/>
      <c r="BNC62" s="456"/>
      <c r="BND62" s="456"/>
      <c r="BNE62" s="456"/>
      <c r="BNF62" s="456"/>
      <c r="BNG62" s="456"/>
      <c r="BNH62" s="456"/>
      <c r="BNI62" s="456"/>
      <c r="BNJ62" s="456"/>
      <c r="BNK62" s="456"/>
      <c r="BNL62" s="456"/>
      <c r="BNM62" s="456"/>
      <c r="BNN62" s="456"/>
      <c r="BNO62" s="456"/>
      <c r="BNP62" s="456"/>
      <c r="BNQ62" s="456"/>
      <c r="BNR62" s="456"/>
      <c r="BNS62" s="456"/>
      <c r="BNT62" s="456"/>
      <c r="BNU62" s="456"/>
      <c r="BNV62" s="456"/>
      <c r="BNW62" s="456"/>
      <c r="BNX62" s="456"/>
      <c r="BNY62" s="456"/>
      <c r="BNZ62" s="456"/>
      <c r="BOA62" s="456"/>
      <c r="BOB62" s="456"/>
      <c r="BOC62" s="456"/>
      <c r="BOD62" s="456"/>
      <c r="BOE62" s="456"/>
      <c r="BOF62" s="456"/>
      <c r="BOG62" s="456"/>
      <c r="BOH62" s="456"/>
      <c r="BOI62" s="456"/>
      <c r="BOJ62" s="456"/>
      <c r="BOK62" s="456"/>
      <c r="BOL62" s="456"/>
      <c r="BOM62" s="456"/>
      <c r="BON62" s="456"/>
      <c r="BOO62" s="456"/>
      <c r="BOP62" s="456"/>
      <c r="BOQ62" s="456"/>
      <c r="BOR62" s="456"/>
      <c r="BOS62" s="456"/>
      <c r="BOT62" s="456"/>
      <c r="BOU62" s="456"/>
      <c r="BOV62" s="456"/>
      <c r="BOW62" s="456"/>
      <c r="BOX62" s="456"/>
      <c r="BOY62" s="456"/>
      <c r="BOZ62" s="456"/>
      <c r="BPA62" s="456"/>
      <c r="BPB62" s="456"/>
      <c r="BPC62" s="456"/>
      <c r="BPD62" s="456"/>
      <c r="BPE62" s="456"/>
      <c r="BPF62" s="456"/>
      <c r="BPG62" s="456"/>
      <c r="BPH62" s="456"/>
      <c r="BPI62" s="456"/>
      <c r="BPJ62" s="456"/>
      <c r="BPK62" s="456"/>
      <c r="BPL62" s="456"/>
      <c r="BPM62" s="456"/>
      <c r="BPN62" s="456"/>
      <c r="BPO62" s="456"/>
      <c r="BPP62" s="456"/>
      <c r="BPQ62" s="456"/>
      <c r="BPR62" s="456"/>
      <c r="BPS62" s="456"/>
      <c r="BPT62" s="456"/>
      <c r="BPU62" s="456"/>
      <c r="BPV62" s="456"/>
      <c r="BPW62" s="456"/>
      <c r="BPX62" s="456"/>
      <c r="BPY62" s="456"/>
      <c r="BPZ62" s="456"/>
      <c r="BQA62" s="456"/>
      <c r="BQB62" s="456"/>
      <c r="BQC62" s="456"/>
      <c r="BQD62" s="456"/>
      <c r="BQE62" s="456"/>
      <c r="BQF62" s="456"/>
      <c r="BQG62" s="456"/>
      <c r="BQH62" s="456"/>
      <c r="BQI62" s="456"/>
      <c r="BQJ62" s="456"/>
      <c r="BQK62" s="456"/>
      <c r="BQL62" s="456"/>
      <c r="BQM62" s="456"/>
      <c r="BQN62" s="456"/>
      <c r="BQO62" s="456"/>
      <c r="BQP62" s="456"/>
      <c r="BQQ62" s="456"/>
      <c r="BQR62" s="456"/>
      <c r="BQS62" s="456"/>
      <c r="BQT62" s="456"/>
      <c r="BQU62" s="456"/>
      <c r="BQV62" s="456"/>
      <c r="BQW62" s="456"/>
      <c r="BQX62" s="456"/>
      <c r="BQY62" s="456"/>
      <c r="BQZ62" s="456"/>
      <c r="BRA62" s="456"/>
      <c r="BRB62" s="456"/>
      <c r="BRC62" s="456"/>
      <c r="BRD62" s="456"/>
      <c r="BRE62" s="456"/>
      <c r="BRF62" s="456"/>
      <c r="BRG62" s="456"/>
      <c r="BRH62" s="456"/>
      <c r="BRI62" s="456"/>
      <c r="BRJ62" s="456"/>
      <c r="BRK62" s="456"/>
      <c r="BRL62" s="456"/>
      <c r="BRM62" s="456"/>
      <c r="BRN62" s="456"/>
      <c r="BRO62" s="456"/>
      <c r="BRP62" s="456"/>
      <c r="BRQ62" s="456"/>
      <c r="BRR62" s="456"/>
      <c r="BRS62" s="456"/>
      <c r="BRT62" s="456"/>
      <c r="BRU62" s="456"/>
      <c r="BRV62" s="456"/>
      <c r="BRW62" s="456"/>
      <c r="BRX62" s="456"/>
      <c r="BRY62" s="456"/>
      <c r="BRZ62" s="456"/>
      <c r="BSA62" s="456"/>
      <c r="BSB62" s="456"/>
      <c r="BSC62" s="456"/>
      <c r="BSD62" s="456"/>
      <c r="BSE62" s="456"/>
      <c r="BSF62" s="456"/>
      <c r="BSG62" s="456"/>
      <c r="BSH62" s="456"/>
      <c r="BSI62" s="456"/>
      <c r="BSJ62" s="456"/>
      <c r="BSK62" s="456"/>
      <c r="BSL62" s="456"/>
      <c r="BSM62" s="456"/>
      <c r="BSN62" s="456"/>
      <c r="BSO62" s="456"/>
      <c r="BSP62" s="456"/>
      <c r="BSQ62" s="456"/>
      <c r="BSR62" s="456"/>
      <c r="BSS62" s="456"/>
      <c r="BST62" s="456"/>
      <c r="BSU62" s="456"/>
      <c r="BSV62" s="456"/>
      <c r="BSW62" s="456"/>
      <c r="BSX62" s="456"/>
      <c r="BSY62" s="456"/>
      <c r="BSZ62" s="456"/>
      <c r="BTA62" s="456"/>
      <c r="BTB62" s="456"/>
      <c r="BTC62" s="456"/>
      <c r="BTD62" s="456"/>
      <c r="BTE62" s="456"/>
      <c r="BTF62" s="456"/>
      <c r="BTG62" s="456"/>
      <c r="BTH62" s="456"/>
      <c r="BTI62" s="456"/>
      <c r="BTJ62" s="456"/>
      <c r="BTK62" s="456"/>
      <c r="BTL62" s="456"/>
      <c r="BTM62" s="456"/>
      <c r="BTN62" s="456"/>
      <c r="BTO62" s="456"/>
      <c r="BTP62" s="456"/>
      <c r="BTQ62" s="456"/>
      <c r="BTR62" s="456"/>
      <c r="BTS62" s="456"/>
      <c r="BTT62" s="456"/>
      <c r="BTU62" s="456"/>
      <c r="BTV62" s="456"/>
      <c r="BTW62" s="456"/>
      <c r="BTX62" s="456"/>
      <c r="BTY62" s="456"/>
      <c r="BTZ62" s="456"/>
      <c r="BUA62" s="456"/>
      <c r="BUB62" s="456"/>
      <c r="BUC62" s="456"/>
      <c r="BUD62" s="456"/>
      <c r="BUE62" s="456"/>
      <c r="BUF62" s="456"/>
      <c r="BUG62" s="456"/>
      <c r="BUH62" s="456"/>
      <c r="BUI62" s="456"/>
      <c r="BUJ62" s="456"/>
      <c r="BUK62" s="456"/>
      <c r="BUL62" s="456"/>
      <c r="BUM62" s="456"/>
      <c r="BUN62" s="456"/>
      <c r="BUO62" s="456"/>
      <c r="BUP62" s="456"/>
      <c r="BUQ62" s="456"/>
      <c r="BUR62" s="456"/>
      <c r="BUS62" s="456"/>
      <c r="BUT62" s="456"/>
      <c r="BUU62" s="456"/>
      <c r="BUV62" s="456"/>
      <c r="BUW62" s="456"/>
      <c r="BUX62" s="456"/>
      <c r="BUY62" s="456"/>
      <c r="BUZ62" s="456"/>
      <c r="BVA62" s="456"/>
      <c r="BVB62" s="456"/>
      <c r="BVC62" s="456"/>
      <c r="BVD62" s="456"/>
      <c r="BVE62" s="456"/>
      <c r="BVF62" s="456"/>
      <c r="BVG62" s="456"/>
      <c r="BVH62" s="456"/>
      <c r="BVI62" s="456"/>
      <c r="BVJ62" s="456"/>
      <c r="BVK62" s="456"/>
      <c r="BVL62" s="456"/>
      <c r="BVM62" s="456"/>
      <c r="BVN62" s="456"/>
      <c r="BVO62" s="456"/>
      <c r="BVP62" s="456"/>
      <c r="BVQ62" s="456"/>
      <c r="BVR62" s="456"/>
      <c r="BVS62" s="456"/>
      <c r="BVT62" s="456"/>
      <c r="BVU62" s="456"/>
      <c r="BVV62" s="456"/>
      <c r="BVW62" s="456"/>
      <c r="BVX62" s="456"/>
      <c r="BVY62" s="456"/>
      <c r="BVZ62" s="456"/>
      <c r="BWA62" s="456"/>
      <c r="BWB62" s="456"/>
      <c r="BWC62" s="456"/>
      <c r="BWD62" s="456"/>
      <c r="BWE62" s="456"/>
      <c r="BWF62" s="456"/>
      <c r="BWG62" s="456"/>
      <c r="BWH62" s="456"/>
      <c r="BWI62" s="456"/>
      <c r="BWJ62" s="456"/>
      <c r="BWK62" s="456"/>
      <c r="BWL62" s="456"/>
      <c r="BWM62" s="456"/>
      <c r="BWN62" s="456"/>
      <c r="BWO62" s="456"/>
      <c r="BWP62" s="456"/>
      <c r="BWQ62" s="456"/>
      <c r="BWR62" s="456"/>
      <c r="BWS62" s="456"/>
      <c r="BWT62" s="456"/>
      <c r="BWU62" s="456"/>
      <c r="BWV62" s="456"/>
      <c r="BWW62" s="456"/>
      <c r="BWX62" s="456"/>
      <c r="BWY62" s="456"/>
      <c r="BWZ62" s="456"/>
      <c r="BXA62" s="456"/>
      <c r="BXB62" s="456"/>
      <c r="BXC62" s="456"/>
      <c r="BXD62" s="456"/>
      <c r="BXE62" s="456"/>
      <c r="BXF62" s="456"/>
      <c r="BXG62" s="456"/>
      <c r="BXH62" s="456"/>
      <c r="BXI62" s="456"/>
      <c r="BXJ62" s="456"/>
      <c r="BXK62" s="456"/>
      <c r="BXL62" s="456"/>
      <c r="BXM62" s="456"/>
      <c r="BXN62" s="456"/>
      <c r="BXO62" s="456"/>
      <c r="BXP62" s="456"/>
      <c r="BXQ62" s="456"/>
      <c r="BXR62" s="456"/>
      <c r="BXS62" s="456"/>
      <c r="BXT62" s="456"/>
      <c r="BXU62" s="456"/>
      <c r="BXV62" s="456"/>
      <c r="BXW62" s="456"/>
      <c r="BXX62" s="456"/>
      <c r="BXY62" s="456"/>
      <c r="BXZ62" s="456"/>
    </row>
    <row r="63" spans="1:1024 1025:2002">
      <c r="A63" s="474"/>
      <c r="B63" s="75">
        <v>1119</v>
      </c>
      <c r="C63" s="213">
        <v>46181</v>
      </c>
      <c r="D63" s="18" t="s">
        <v>35</v>
      </c>
      <c r="E63" s="18" t="s">
        <v>71</v>
      </c>
      <c r="F63" s="18" t="s">
        <v>72</v>
      </c>
      <c r="G63" s="18"/>
      <c r="H63" s="75">
        <v>1.2379</v>
      </c>
      <c r="I63" s="75"/>
      <c r="J63" s="18" t="s">
        <v>82</v>
      </c>
      <c r="K63" s="111">
        <v>405</v>
      </c>
      <c r="L63" s="475">
        <v>25</v>
      </c>
      <c r="M63" s="75">
        <v>5800</v>
      </c>
      <c r="N63" s="75" t="s">
        <v>40</v>
      </c>
      <c r="O63" s="75" t="s">
        <v>67</v>
      </c>
      <c r="P63" s="75">
        <v>1000</v>
      </c>
      <c r="Q63" s="75"/>
      <c r="R63" s="75">
        <f t="shared" si="2"/>
        <v>1000</v>
      </c>
      <c r="S63" s="476">
        <v>2365</v>
      </c>
      <c r="T63" s="342" t="s">
        <v>42</v>
      </c>
      <c r="U63" s="137" t="s">
        <v>83</v>
      </c>
      <c r="V63" s="193">
        <v>46181</v>
      </c>
      <c r="W63" s="24" t="s">
        <v>44</v>
      </c>
      <c r="X63" s="18"/>
      <c r="Y63" s="114">
        <v>46327</v>
      </c>
      <c r="Z63" s="18" t="s">
        <v>45</v>
      </c>
      <c r="AA63" s="24" t="s">
        <v>46</v>
      </c>
      <c r="AB63" s="18"/>
      <c r="AC63" s="137"/>
      <c r="AD63" s="77"/>
      <c r="AE63" s="18" t="s">
        <v>48</v>
      </c>
      <c r="AF63" s="18"/>
      <c r="AG63" s="18"/>
    </row>
    <row r="64" s="25" customFormat="1" spans="1:1024 1025:2002">
      <c r="A64" s="473" t="s">
        <v>34</v>
      </c>
      <c r="B64" s="19">
        <v>1119</v>
      </c>
      <c r="C64" s="183">
        <v>46181</v>
      </c>
      <c r="D64" s="17" t="s">
        <v>35</v>
      </c>
      <c r="E64" s="17" t="s">
        <v>71</v>
      </c>
      <c r="F64" s="17" t="s">
        <v>72</v>
      </c>
      <c r="G64" s="17"/>
      <c r="H64" s="19">
        <v>1.2379</v>
      </c>
      <c r="I64" s="19">
        <v>1.2379</v>
      </c>
      <c r="J64" s="17" t="s">
        <v>82</v>
      </c>
      <c r="K64" s="91">
        <v>505</v>
      </c>
      <c r="L64" s="23">
        <v>25</v>
      </c>
      <c r="M64" s="19">
        <v>5800</v>
      </c>
      <c r="N64" s="19" t="s">
        <v>40</v>
      </c>
      <c r="O64" s="19" t="s">
        <v>67</v>
      </c>
      <c r="P64" s="19">
        <v>2000</v>
      </c>
      <c r="Q64" s="19">
        <v>1238</v>
      </c>
      <c r="R64" s="19">
        <f t="shared" si="2"/>
        <v>762</v>
      </c>
      <c r="S64" s="477">
        <f t="shared" ref="S64:S66" si="4">2365+68</f>
        <v>2433</v>
      </c>
      <c r="T64" s="19" t="s">
        <v>42</v>
      </c>
      <c r="U64" s="102" t="s">
        <v>83</v>
      </c>
      <c r="V64" s="186">
        <v>46181</v>
      </c>
      <c r="W64" s="17" t="s">
        <v>69</v>
      </c>
      <c r="X64" s="17"/>
      <c r="Y64" s="68">
        <v>46327</v>
      </c>
      <c r="Z64" s="17" t="s">
        <v>45</v>
      </c>
      <c r="AA64" s="17" t="s">
        <v>46</v>
      </c>
      <c r="AB64" s="17" t="s">
        <v>75</v>
      </c>
      <c r="AC64" s="217">
        <v>46224</v>
      </c>
      <c r="AD64" s="65">
        <v>1837</v>
      </c>
      <c r="AE64" s="17" t="s">
        <v>48</v>
      </c>
      <c r="AF64" s="17" t="s">
        <v>76</v>
      </c>
      <c r="AG64" s="17"/>
      <c r="AH64" s="456"/>
      <c r="AI64" s="456"/>
      <c r="AJ64" s="456"/>
      <c r="AK64" s="456"/>
      <c r="AL64" s="456"/>
      <c r="AM64" s="456"/>
      <c r="AN64" s="456"/>
      <c r="AO64" s="456"/>
      <c r="AP64" s="456"/>
      <c r="AQ64" s="456"/>
      <c r="AR64" s="456"/>
      <c r="AS64" s="456"/>
      <c r="AT64" s="456"/>
      <c r="AU64" s="456"/>
      <c r="AV64" s="456"/>
      <c r="AW64" s="456"/>
      <c r="AX64" s="456"/>
      <c r="AY64" s="456"/>
      <c r="AZ64" s="456"/>
      <c r="BA64" s="456"/>
      <c r="BB64" s="456"/>
      <c r="BC64" s="456"/>
      <c r="BD64" s="456"/>
      <c r="BE64" s="456"/>
      <c r="BF64" s="456"/>
      <c r="BG64" s="456"/>
      <c r="BH64" s="456"/>
      <c r="BI64" s="456"/>
      <c r="BJ64" s="456"/>
      <c r="BK64" s="456"/>
      <c r="BL64" s="456"/>
      <c r="BM64" s="456"/>
      <c r="BN64" s="456"/>
      <c r="BO64" s="456"/>
      <c r="BP64" s="456"/>
      <c r="BQ64" s="456"/>
      <c r="BR64" s="456"/>
      <c r="BS64" s="456"/>
      <c r="BT64" s="456"/>
      <c r="BU64" s="456"/>
      <c r="BV64" s="456"/>
      <c r="BW64" s="456"/>
      <c r="BX64" s="456"/>
      <c r="BY64" s="456"/>
      <c r="BZ64" s="456"/>
      <c r="CA64" s="456"/>
      <c r="CB64" s="456"/>
      <c r="CC64" s="456"/>
      <c r="CD64" s="456"/>
      <c r="CE64" s="456"/>
      <c r="CF64" s="456"/>
      <c r="CG64" s="456"/>
      <c r="CH64" s="456"/>
      <c r="CI64" s="456"/>
      <c r="CJ64" s="456"/>
      <c r="CK64" s="456"/>
      <c r="CL64" s="456"/>
      <c r="CM64" s="456"/>
      <c r="CN64" s="456"/>
      <c r="CO64" s="456"/>
      <c r="CP64" s="456"/>
      <c r="CQ64" s="456"/>
      <c r="CR64" s="456"/>
      <c r="CS64" s="456"/>
      <c r="CT64" s="456"/>
      <c r="CU64" s="456"/>
      <c r="CV64" s="456"/>
      <c r="CW64" s="456"/>
      <c r="CX64" s="456"/>
      <c r="CY64" s="456"/>
      <c r="CZ64" s="456"/>
      <c r="DA64" s="456"/>
      <c r="DB64" s="456"/>
      <c r="DC64" s="456"/>
      <c r="DD64" s="456"/>
      <c r="DE64" s="456"/>
      <c r="DF64" s="456"/>
      <c r="DG64" s="456"/>
      <c r="DH64" s="456"/>
      <c r="DI64" s="456"/>
      <c r="DJ64" s="456"/>
      <c r="DK64" s="456"/>
      <c r="DL64" s="456"/>
      <c r="DM64" s="456"/>
      <c r="DN64" s="456"/>
      <c r="DO64" s="456"/>
      <c r="DP64" s="456"/>
      <c r="DQ64" s="456"/>
      <c r="DR64" s="456"/>
      <c r="DS64" s="456"/>
      <c r="DT64" s="456"/>
      <c r="DU64" s="456"/>
      <c r="DV64" s="456"/>
      <c r="DW64" s="456"/>
      <c r="DX64" s="456"/>
      <c r="DY64" s="456"/>
      <c r="DZ64" s="456"/>
      <c r="EA64" s="456"/>
      <c r="EB64" s="456"/>
      <c r="EC64" s="456"/>
      <c r="ED64" s="456"/>
      <c r="EE64" s="456"/>
      <c r="EF64" s="456"/>
      <c r="EG64" s="456"/>
      <c r="EH64" s="456"/>
      <c r="EI64" s="456"/>
      <c r="EJ64" s="456"/>
      <c r="EK64" s="456"/>
      <c r="EL64" s="456"/>
      <c r="EM64" s="456"/>
      <c r="EN64" s="456"/>
      <c r="EO64" s="456"/>
      <c r="EP64" s="456"/>
      <c r="EQ64" s="456"/>
      <c r="ER64" s="456"/>
      <c r="ES64" s="456"/>
      <c r="ET64" s="456"/>
      <c r="EU64" s="456"/>
      <c r="EV64" s="456"/>
      <c r="EW64" s="456"/>
      <c r="EX64" s="456"/>
      <c r="EY64" s="456"/>
      <c r="EZ64" s="456"/>
      <c r="FA64" s="456"/>
      <c r="FB64" s="456"/>
      <c r="FC64" s="456"/>
      <c r="FD64" s="456"/>
      <c r="FE64" s="456"/>
      <c r="FF64" s="456"/>
      <c r="FG64" s="456"/>
      <c r="FH64" s="456"/>
      <c r="FI64" s="456"/>
      <c r="FJ64" s="456"/>
      <c r="FK64" s="456"/>
      <c r="FL64" s="456"/>
      <c r="FM64" s="456"/>
      <c r="FN64" s="456"/>
      <c r="FO64" s="456"/>
      <c r="FP64" s="456"/>
      <c r="FQ64" s="456"/>
      <c r="FR64" s="456"/>
      <c r="FS64" s="456"/>
      <c r="FT64" s="456"/>
      <c r="FU64" s="456"/>
      <c r="FV64" s="456"/>
      <c r="FW64" s="456"/>
      <c r="FX64" s="456"/>
      <c r="FY64" s="456"/>
      <c r="FZ64" s="456"/>
      <c r="GA64" s="456"/>
      <c r="GB64" s="456"/>
      <c r="GC64" s="456"/>
      <c r="GD64" s="456"/>
      <c r="GE64" s="456"/>
      <c r="GF64" s="456"/>
      <c r="GG64" s="456"/>
      <c r="GH64" s="456"/>
      <c r="GI64" s="456"/>
      <c r="GJ64" s="456"/>
      <c r="GK64" s="456"/>
      <c r="GL64" s="456"/>
      <c r="GM64" s="456"/>
      <c r="GN64" s="456"/>
      <c r="GO64" s="456"/>
      <c r="GP64" s="456"/>
      <c r="GQ64" s="456"/>
      <c r="GR64" s="456"/>
      <c r="GS64" s="456"/>
      <c r="GT64" s="456"/>
      <c r="GU64" s="456"/>
      <c r="GV64" s="456"/>
      <c r="GW64" s="456"/>
      <c r="GX64" s="456"/>
      <c r="GY64" s="456"/>
      <c r="GZ64" s="456"/>
      <c r="HA64" s="456"/>
      <c r="HB64" s="456"/>
      <c r="HC64" s="456"/>
      <c r="HD64" s="456"/>
      <c r="HE64" s="456"/>
      <c r="HF64" s="456"/>
      <c r="HG64" s="456"/>
      <c r="HH64" s="456"/>
      <c r="HI64" s="456"/>
      <c r="HJ64" s="456"/>
      <c r="HK64" s="456"/>
      <c r="HL64" s="456"/>
      <c r="HM64" s="456"/>
      <c r="HN64" s="456"/>
      <c r="HO64" s="456"/>
      <c r="HP64" s="456"/>
      <c r="HQ64" s="456"/>
      <c r="HR64" s="456"/>
      <c r="HS64" s="456"/>
      <c r="HT64" s="456"/>
      <c r="HU64" s="456"/>
      <c r="HV64" s="456"/>
      <c r="HW64" s="456"/>
      <c r="HX64" s="456"/>
      <c r="HY64" s="456"/>
      <c r="HZ64" s="456"/>
      <c r="IA64" s="456"/>
      <c r="IB64" s="456"/>
      <c r="IC64" s="456"/>
      <c r="ID64" s="456"/>
      <c r="IE64" s="456"/>
      <c r="IF64" s="456"/>
      <c r="IG64" s="456"/>
      <c r="IH64" s="456"/>
      <c r="II64" s="456"/>
      <c r="IJ64" s="456"/>
      <c r="IK64" s="456"/>
      <c r="IL64" s="456"/>
      <c r="IM64" s="456"/>
      <c r="IN64" s="456"/>
      <c r="IO64" s="456"/>
      <c r="IP64" s="456"/>
      <c r="IQ64" s="456"/>
      <c r="IR64" s="456"/>
      <c r="IS64" s="456"/>
      <c r="IT64" s="456"/>
      <c r="IU64" s="456"/>
      <c r="IV64" s="456"/>
      <c r="IW64" s="456"/>
      <c r="IX64" s="456"/>
      <c r="IY64" s="456"/>
      <c r="IZ64" s="456"/>
      <c r="JA64" s="456"/>
      <c r="JB64" s="456"/>
      <c r="JC64" s="456"/>
      <c r="JD64" s="456"/>
      <c r="JE64" s="456"/>
      <c r="JF64" s="456"/>
      <c r="JG64" s="456"/>
      <c r="JH64" s="456"/>
      <c r="JI64" s="456"/>
      <c r="JJ64" s="456"/>
      <c r="JK64" s="456"/>
      <c r="JL64" s="456"/>
      <c r="JM64" s="456"/>
      <c r="JN64" s="456"/>
      <c r="JO64" s="456"/>
      <c r="JP64" s="456"/>
      <c r="JQ64" s="456"/>
      <c r="JR64" s="456"/>
      <c r="JS64" s="456"/>
      <c r="JT64" s="456"/>
      <c r="JU64" s="456"/>
      <c r="JV64" s="456"/>
      <c r="JW64" s="456"/>
      <c r="JX64" s="456"/>
      <c r="JY64" s="456"/>
      <c r="JZ64" s="456"/>
      <c r="KA64" s="456"/>
      <c r="KB64" s="456"/>
      <c r="KC64" s="456"/>
      <c r="KD64" s="456"/>
      <c r="KE64" s="456"/>
      <c r="KF64" s="456"/>
      <c r="KG64" s="456"/>
      <c r="KH64" s="456"/>
      <c r="KI64" s="456"/>
      <c r="KJ64" s="456"/>
      <c r="KK64" s="456"/>
      <c r="KL64" s="456"/>
      <c r="KM64" s="456"/>
      <c r="KN64" s="456"/>
      <c r="KO64" s="456"/>
      <c r="KP64" s="456"/>
      <c r="KQ64" s="456"/>
      <c r="KR64" s="456"/>
      <c r="KS64" s="456"/>
      <c r="KT64" s="456"/>
      <c r="KU64" s="456"/>
      <c r="KV64" s="456"/>
      <c r="KW64" s="456"/>
      <c r="KX64" s="456"/>
      <c r="KY64" s="456"/>
      <c r="KZ64" s="456"/>
      <c r="LA64" s="456"/>
      <c r="LB64" s="456"/>
      <c r="LC64" s="456"/>
      <c r="LD64" s="456"/>
      <c r="LE64" s="456"/>
      <c r="LF64" s="456"/>
      <c r="LG64" s="456"/>
      <c r="LH64" s="456"/>
      <c r="LI64" s="456"/>
      <c r="LJ64" s="456"/>
      <c r="LK64" s="456"/>
      <c r="LL64" s="456"/>
      <c r="LM64" s="456"/>
      <c r="LN64" s="456"/>
      <c r="LO64" s="456"/>
      <c r="LP64" s="456"/>
      <c r="LQ64" s="456"/>
      <c r="LR64" s="456"/>
      <c r="LS64" s="456"/>
      <c r="LT64" s="456"/>
      <c r="LU64" s="456"/>
      <c r="LV64" s="456"/>
      <c r="LW64" s="456"/>
      <c r="LX64" s="456"/>
      <c r="LY64" s="456"/>
      <c r="LZ64" s="456"/>
      <c r="MA64" s="456"/>
      <c r="MB64" s="456"/>
      <c r="MC64" s="456"/>
      <c r="MD64" s="456"/>
      <c r="ME64" s="456"/>
      <c r="MF64" s="456"/>
      <c r="MG64" s="456"/>
      <c r="MH64" s="456"/>
      <c r="MI64" s="456"/>
      <c r="MJ64" s="456"/>
      <c r="MK64" s="456"/>
      <c r="ML64" s="456"/>
      <c r="MM64" s="456"/>
      <c r="MN64" s="456"/>
      <c r="MO64" s="456"/>
      <c r="MP64" s="456"/>
      <c r="MQ64" s="456"/>
      <c r="MR64" s="456"/>
      <c r="MS64" s="456"/>
      <c r="MT64" s="456"/>
      <c r="MU64" s="456"/>
      <c r="MV64" s="456"/>
      <c r="MW64" s="456"/>
      <c r="MX64" s="456"/>
      <c r="MY64" s="456"/>
      <c r="MZ64" s="456"/>
      <c r="NA64" s="456"/>
      <c r="NB64" s="456"/>
      <c r="NC64" s="456"/>
      <c r="ND64" s="456"/>
      <c r="NE64" s="456"/>
      <c r="NF64" s="456"/>
      <c r="NG64" s="456"/>
      <c r="NH64" s="456"/>
      <c r="NI64" s="456"/>
      <c r="NJ64" s="456"/>
      <c r="NK64" s="456"/>
      <c r="NL64" s="456"/>
      <c r="NM64" s="456"/>
      <c r="NN64" s="456"/>
      <c r="NO64" s="456"/>
      <c r="NP64" s="456"/>
      <c r="NQ64" s="456"/>
      <c r="NR64" s="456"/>
      <c r="NS64" s="456"/>
      <c r="NT64" s="456"/>
      <c r="NU64" s="456"/>
      <c r="NV64" s="456"/>
      <c r="NW64" s="456"/>
      <c r="NX64" s="456"/>
      <c r="NY64" s="456"/>
      <c r="NZ64" s="456"/>
      <c r="OA64" s="456"/>
      <c r="OB64" s="456"/>
      <c r="OC64" s="456"/>
      <c r="OD64" s="456"/>
      <c r="OE64" s="456"/>
      <c r="OF64" s="456"/>
      <c r="OG64" s="456"/>
      <c r="OH64" s="456"/>
      <c r="OI64" s="456"/>
      <c r="OJ64" s="456"/>
      <c r="OK64" s="456"/>
      <c r="OL64" s="456"/>
      <c r="OM64" s="456"/>
      <c r="ON64" s="456"/>
      <c r="OO64" s="456"/>
      <c r="OP64" s="456"/>
      <c r="OQ64" s="456"/>
      <c r="OR64" s="456"/>
      <c r="OS64" s="456"/>
      <c r="OT64" s="456"/>
      <c r="OU64" s="456"/>
      <c r="OV64" s="456"/>
      <c r="OW64" s="456"/>
      <c r="OX64" s="456"/>
      <c r="OY64" s="456"/>
      <c r="OZ64" s="456"/>
      <c r="PA64" s="456"/>
      <c r="PB64" s="456"/>
      <c r="PC64" s="456"/>
      <c r="PD64" s="456"/>
      <c r="PE64" s="456"/>
      <c r="PF64" s="456"/>
      <c r="PG64" s="456"/>
      <c r="PH64" s="456"/>
      <c r="PI64" s="456"/>
      <c r="PJ64" s="456"/>
      <c r="PK64" s="456"/>
      <c r="PL64" s="456"/>
      <c r="PM64" s="456"/>
      <c r="PN64" s="456"/>
      <c r="PO64" s="456"/>
      <c r="PP64" s="456"/>
      <c r="PQ64" s="456"/>
      <c r="PR64" s="456"/>
      <c r="PS64" s="456"/>
      <c r="PT64" s="456"/>
      <c r="PU64" s="456"/>
      <c r="PV64" s="456"/>
      <c r="PW64" s="456"/>
      <c r="PX64" s="456"/>
      <c r="PY64" s="456"/>
      <c r="PZ64" s="456"/>
      <c r="QA64" s="456"/>
      <c r="QB64" s="456"/>
      <c r="QC64" s="456"/>
      <c r="QD64" s="456"/>
      <c r="QE64" s="456"/>
      <c r="QF64" s="456"/>
      <c r="QG64" s="456"/>
      <c r="QH64" s="456"/>
      <c r="QI64" s="456"/>
      <c r="QJ64" s="456"/>
      <c r="QK64" s="456"/>
      <c r="QL64" s="456"/>
      <c r="QM64" s="456"/>
      <c r="QN64" s="456"/>
      <c r="QO64" s="456"/>
      <c r="QP64" s="456"/>
      <c r="QQ64" s="456"/>
      <c r="QR64" s="456"/>
      <c r="QS64" s="456"/>
      <c r="QT64" s="456"/>
      <c r="QU64" s="456"/>
      <c r="QV64" s="456"/>
      <c r="QW64" s="456"/>
      <c r="QX64" s="456"/>
      <c r="QY64" s="456"/>
      <c r="QZ64" s="456"/>
      <c r="RA64" s="456"/>
      <c r="RB64" s="456"/>
      <c r="RC64" s="456"/>
      <c r="RD64" s="456"/>
      <c r="RE64" s="456"/>
      <c r="RF64" s="456"/>
      <c r="RG64" s="456"/>
      <c r="RH64" s="456"/>
      <c r="RI64" s="456"/>
      <c r="RJ64" s="456"/>
      <c r="RK64" s="456"/>
      <c r="RL64" s="456"/>
      <c r="RM64" s="456"/>
      <c r="RN64" s="456"/>
      <c r="RO64" s="456"/>
      <c r="RP64" s="456"/>
      <c r="RQ64" s="456"/>
      <c r="RR64" s="456"/>
      <c r="RS64" s="456"/>
      <c r="RT64" s="456"/>
      <c r="RU64" s="456"/>
      <c r="RV64" s="456"/>
      <c r="RW64" s="456"/>
      <c r="RX64" s="456"/>
      <c r="RY64" s="456"/>
      <c r="RZ64" s="456"/>
      <c r="SA64" s="456"/>
      <c r="SB64" s="456"/>
      <c r="SC64" s="456"/>
      <c r="SD64" s="456"/>
      <c r="SE64" s="456"/>
      <c r="SF64" s="456"/>
      <c r="SG64" s="456"/>
      <c r="SH64" s="456"/>
      <c r="SI64" s="456"/>
      <c r="SJ64" s="456"/>
      <c r="SK64" s="456"/>
      <c r="SL64" s="456"/>
      <c r="SM64" s="456"/>
      <c r="SN64" s="456"/>
      <c r="SO64" s="456"/>
      <c r="SP64" s="456"/>
      <c r="SQ64" s="456"/>
      <c r="SR64" s="456"/>
      <c r="SS64" s="456"/>
      <c r="ST64" s="456"/>
      <c r="SU64" s="456"/>
      <c r="SV64" s="456"/>
      <c r="SW64" s="456"/>
      <c r="SX64" s="456"/>
      <c r="SY64" s="456"/>
      <c r="SZ64" s="456"/>
      <c r="TA64" s="456"/>
      <c r="TB64" s="456"/>
      <c r="TC64" s="456"/>
      <c r="TD64" s="456"/>
      <c r="TE64" s="456"/>
      <c r="TF64" s="456"/>
      <c r="TG64" s="456"/>
      <c r="TH64" s="456"/>
      <c r="TI64" s="456"/>
      <c r="TJ64" s="456"/>
      <c r="TK64" s="456"/>
      <c r="TL64" s="456"/>
      <c r="TM64" s="456"/>
      <c r="TN64" s="456"/>
      <c r="TO64" s="456"/>
      <c r="TP64" s="456"/>
      <c r="TQ64" s="456"/>
      <c r="TR64" s="456"/>
      <c r="TS64" s="456"/>
      <c r="TT64" s="456"/>
      <c r="TU64" s="456"/>
      <c r="TV64" s="456"/>
      <c r="TW64" s="456"/>
      <c r="TX64" s="456"/>
      <c r="TY64" s="456"/>
      <c r="TZ64" s="456"/>
      <c r="UA64" s="456"/>
      <c r="UB64" s="456"/>
      <c r="UC64" s="456"/>
      <c r="UD64" s="456"/>
      <c r="UE64" s="456"/>
      <c r="UF64" s="456"/>
      <c r="UG64" s="456"/>
      <c r="UH64" s="456"/>
      <c r="UI64" s="456"/>
      <c r="UJ64" s="456"/>
      <c r="UK64" s="456"/>
      <c r="UL64" s="456"/>
      <c r="UM64" s="456"/>
      <c r="UN64" s="456"/>
      <c r="UO64" s="456"/>
      <c r="UP64" s="456"/>
      <c r="UQ64" s="456"/>
      <c r="UR64" s="456"/>
      <c r="US64" s="456"/>
      <c r="UT64" s="456"/>
      <c r="UU64" s="456"/>
      <c r="UV64" s="456"/>
      <c r="UW64" s="456"/>
      <c r="UX64" s="456"/>
      <c r="UY64" s="456"/>
      <c r="UZ64" s="456"/>
      <c r="VA64" s="456"/>
      <c r="VB64" s="456"/>
      <c r="VC64" s="456"/>
      <c r="VD64" s="456"/>
      <c r="VE64" s="456"/>
      <c r="VF64" s="456"/>
      <c r="VG64" s="456"/>
      <c r="VH64" s="456"/>
      <c r="VI64" s="456"/>
      <c r="VJ64" s="456"/>
      <c r="VK64" s="456"/>
      <c r="VL64" s="456"/>
      <c r="VM64" s="456"/>
      <c r="VN64" s="456"/>
      <c r="VO64" s="456"/>
      <c r="VP64" s="456"/>
      <c r="VQ64" s="456"/>
      <c r="VR64" s="456"/>
      <c r="VS64" s="456"/>
      <c r="VT64" s="456"/>
      <c r="VU64" s="456"/>
      <c r="VV64" s="456"/>
      <c r="VW64" s="456"/>
      <c r="VX64" s="456"/>
      <c r="VY64" s="456"/>
      <c r="VZ64" s="456"/>
      <c r="WA64" s="456"/>
      <c r="WB64" s="456"/>
      <c r="WC64" s="456"/>
      <c r="WD64" s="456"/>
      <c r="WE64" s="456"/>
      <c r="WF64" s="456"/>
      <c r="WG64" s="456"/>
      <c r="WH64" s="456"/>
      <c r="WI64" s="456"/>
      <c r="WJ64" s="456"/>
      <c r="WK64" s="456"/>
      <c r="WL64" s="456"/>
      <c r="WM64" s="456"/>
      <c r="WN64" s="456"/>
      <c r="WO64" s="456"/>
      <c r="WP64" s="456"/>
      <c r="WQ64" s="456"/>
      <c r="WR64" s="456"/>
      <c r="WS64" s="456"/>
      <c r="WT64" s="456"/>
      <c r="WU64" s="456"/>
      <c r="WV64" s="456"/>
      <c r="WW64" s="456"/>
      <c r="WX64" s="456"/>
      <c r="WY64" s="456"/>
      <c r="WZ64" s="456"/>
      <c r="XA64" s="456"/>
      <c r="XB64" s="456"/>
      <c r="XC64" s="456"/>
      <c r="XD64" s="456"/>
      <c r="XE64" s="456"/>
      <c r="XF64" s="456"/>
      <c r="XG64" s="456"/>
      <c r="XH64" s="456"/>
      <c r="XI64" s="456"/>
      <c r="XJ64" s="456"/>
      <c r="XK64" s="456"/>
      <c r="XL64" s="456"/>
      <c r="XM64" s="456"/>
      <c r="XN64" s="456"/>
      <c r="XO64" s="456"/>
      <c r="XP64" s="456"/>
      <c r="XQ64" s="456"/>
      <c r="XR64" s="456"/>
      <c r="XS64" s="456"/>
      <c r="XT64" s="456"/>
      <c r="XU64" s="456"/>
      <c r="XV64" s="456"/>
      <c r="XW64" s="456"/>
      <c r="XX64" s="456"/>
      <c r="XY64" s="456"/>
      <c r="XZ64" s="456"/>
      <c r="YA64" s="456"/>
      <c r="YB64" s="456"/>
      <c r="YC64" s="456"/>
      <c r="YD64" s="456"/>
      <c r="YE64" s="456"/>
      <c r="YF64" s="456"/>
      <c r="YG64" s="456"/>
      <c r="YH64" s="456"/>
      <c r="YI64" s="456"/>
      <c r="YJ64" s="456"/>
      <c r="YK64" s="456"/>
      <c r="YL64" s="456"/>
      <c r="YM64" s="456"/>
      <c r="YN64" s="456"/>
      <c r="YO64" s="456"/>
      <c r="YP64" s="456"/>
      <c r="YQ64" s="456"/>
      <c r="YR64" s="456"/>
      <c r="YS64" s="456"/>
      <c r="YT64" s="456"/>
      <c r="YU64" s="456"/>
      <c r="YV64" s="456"/>
      <c r="YW64" s="456"/>
      <c r="YX64" s="456"/>
      <c r="YY64" s="456"/>
      <c r="YZ64" s="456"/>
      <c r="ZA64" s="456"/>
      <c r="ZB64" s="456"/>
      <c r="ZC64" s="456"/>
      <c r="ZD64" s="456"/>
      <c r="ZE64" s="456"/>
      <c r="ZF64" s="456"/>
      <c r="ZG64" s="456"/>
      <c r="ZH64" s="456"/>
      <c r="ZI64" s="456"/>
      <c r="ZJ64" s="456"/>
      <c r="ZK64" s="456"/>
      <c r="ZL64" s="456"/>
      <c r="ZM64" s="456"/>
      <c r="ZN64" s="456"/>
      <c r="ZO64" s="456"/>
      <c r="ZP64" s="456"/>
      <c r="ZQ64" s="456"/>
      <c r="ZR64" s="456"/>
      <c r="ZS64" s="456"/>
      <c r="ZT64" s="456"/>
      <c r="ZU64" s="456"/>
      <c r="ZV64" s="456"/>
      <c r="ZW64" s="456"/>
      <c r="ZX64" s="456"/>
      <c r="ZY64" s="456"/>
      <c r="ZZ64" s="456"/>
      <c r="AAA64" s="456"/>
      <c r="AAB64" s="456"/>
      <c r="AAC64" s="456"/>
      <c r="AAD64" s="456"/>
      <c r="AAE64" s="456"/>
      <c r="AAF64" s="456"/>
      <c r="AAG64" s="456"/>
      <c r="AAH64" s="456"/>
      <c r="AAI64" s="456"/>
      <c r="AAJ64" s="456"/>
      <c r="AAK64" s="456"/>
      <c r="AAL64" s="456"/>
      <c r="AAM64" s="456"/>
      <c r="AAN64" s="456"/>
      <c r="AAO64" s="456"/>
      <c r="AAP64" s="456"/>
      <c r="AAQ64" s="456"/>
      <c r="AAR64" s="456"/>
      <c r="AAS64" s="456"/>
      <c r="AAT64" s="456"/>
      <c r="AAU64" s="456"/>
      <c r="AAV64" s="456"/>
      <c r="AAW64" s="456"/>
      <c r="AAX64" s="456"/>
      <c r="AAY64" s="456"/>
      <c r="AAZ64" s="456"/>
      <c r="ABA64" s="456"/>
      <c r="ABB64" s="456"/>
      <c r="ABC64" s="456"/>
      <c r="ABD64" s="456"/>
      <c r="ABE64" s="456"/>
      <c r="ABF64" s="456"/>
      <c r="ABG64" s="456"/>
      <c r="ABH64" s="456"/>
      <c r="ABI64" s="456"/>
      <c r="ABJ64" s="456"/>
      <c r="ABK64" s="456"/>
      <c r="ABL64" s="456"/>
      <c r="ABM64" s="456"/>
      <c r="ABN64" s="456"/>
      <c r="ABO64" s="456"/>
      <c r="ABP64" s="456"/>
      <c r="ABQ64" s="456"/>
      <c r="ABR64" s="456"/>
      <c r="ABS64" s="456"/>
      <c r="ABT64" s="456"/>
      <c r="ABU64" s="456"/>
      <c r="ABV64" s="456"/>
      <c r="ABW64" s="456"/>
      <c r="ABX64" s="456"/>
      <c r="ABY64" s="456"/>
      <c r="ABZ64" s="456"/>
      <c r="ACA64" s="456"/>
      <c r="ACB64" s="456"/>
      <c r="ACC64" s="456"/>
      <c r="ACD64" s="456"/>
      <c r="ACE64" s="456"/>
      <c r="ACF64" s="456"/>
      <c r="ACG64" s="456"/>
      <c r="ACH64" s="456"/>
      <c r="ACI64" s="456"/>
      <c r="ACJ64" s="456"/>
      <c r="ACK64" s="456"/>
      <c r="ACL64" s="456"/>
      <c r="ACM64" s="456"/>
      <c r="ACN64" s="456"/>
      <c r="ACO64" s="456"/>
      <c r="ACP64" s="456"/>
      <c r="ACQ64" s="456"/>
      <c r="ACR64" s="456"/>
      <c r="ACS64" s="456"/>
      <c r="ACT64" s="456"/>
      <c r="ACU64" s="456"/>
      <c r="ACV64" s="456"/>
      <c r="ACW64" s="456"/>
      <c r="ACX64" s="456"/>
      <c r="ACY64" s="456"/>
      <c r="ACZ64" s="456"/>
      <c r="ADA64" s="456"/>
      <c r="ADB64" s="456"/>
      <c r="ADC64" s="456"/>
      <c r="ADD64" s="456"/>
      <c r="ADE64" s="456"/>
      <c r="ADF64" s="456"/>
      <c r="ADG64" s="456"/>
      <c r="ADH64" s="456"/>
      <c r="ADI64" s="456"/>
      <c r="ADJ64" s="456"/>
      <c r="ADK64" s="456"/>
      <c r="ADL64" s="456"/>
      <c r="ADM64" s="456"/>
      <c r="ADN64" s="456"/>
      <c r="ADO64" s="456"/>
      <c r="ADP64" s="456"/>
      <c r="ADQ64" s="456"/>
      <c r="ADR64" s="456"/>
      <c r="ADS64" s="456"/>
      <c r="ADT64" s="456"/>
      <c r="ADU64" s="456"/>
      <c r="ADV64" s="456"/>
      <c r="ADW64" s="456"/>
      <c r="ADX64" s="456"/>
      <c r="ADY64" s="456"/>
      <c r="ADZ64" s="456"/>
      <c r="AEA64" s="456"/>
      <c r="AEB64" s="456"/>
      <c r="AEC64" s="456"/>
      <c r="AED64" s="456"/>
      <c r="AEE64" s="456"/>
      <c r="AEF64" s="456"/>
      <c r="AEG64" s="456"/>
      <c r="AEH64" s="456"/>
      <c r="AEI64" s="456"/>
      <c r="AEJ64" s="456"/>
      <c r="AEK64" s="456"/>
      <c r="AEL64" s="456"/>
      <c r="AEM64" s="456"/>
      <c r="AEN64" s="456"/>
      <c r="AEO64" s="456"/>
      <c r="AEP64" s="456"/>
      <c r="AEQ64" s="456"/>
      <c r="AER64" s="456"/>
      <c r="AES64" s="456"/>
      <c r="AET64" s="456"/>
      <c r="AEU64" s="456"/>
      <c r="AEV64" s="456"/>
      <c r="AEW64" s="456"/>
      <c r="AEX64" s="456"/>
      <c r="AEY64" s="456"/>
      <c r="AEZ64" s="456"/>
      <c r="AFA64" s="456"/>
      <c r="AFB64" s="456"/>
      <c r="AFC64" s="456"/>
      <c r="AFD64" s="456"/>
      <c r="AFE64" s="456"/>
      <c r="AFF64" s="456"/>
      <c r="AFG64" s="456"/>
      <c r="AFH64" s="456"/>
      <c r="AFI64" s="456"/>
      <c r="AFJ64" s="456"/>
      <c r="AFK64" s="456"/>
      <c r="AFL64" s="456"/>
      <c r="AFM64" s="456"/>
      <c r="AFN64" s="456"/>
      <c r="AFO64" s="456"/>
      <c r="AFP64" s="456"/>
      <c r="AFQ64" s="456"/>
      <c r="AFR64" s="456"/>
      <c r="AFS64" s="456"/>
      <c r="AFT64" s="456"/>
      <c r="AFU64" s="456"/>
      <c r="AFV64" s="456"/>
      <c r="AFW64" s="456"/>
      <c r="AFX64" s="456"/>
      <c r="AFY64" s="456"/>
      <c r="AFZ64" s="456"/>
      <c r="AGA64" s="456"/>
      <c r="AGB64" s="456"/>
      <c r="AGC64" s="456"/>
      <c r="AGD64" s="456"/>
      <c r="AGE64" s="456"/>
      <c r="AGF64" s="456"/>
      <c r="AGG64" s="456"/>
      <c r="AGH64" s="456"/>
      <c r="AGI64" s="456"/>
      <c r="AGJ64" s="456"/>
      <c r="AGK64" s="456"/>
      <c r="AGL64" s="456"/>
      <c r="AGM64" s="456"/>
      <c r="AGN64" s="456"/>
      <c r="AGO64" s="456"/>
      <c r="AGP64" s="456"/>
      <c r="AGQ64" s="456"/>
      <c r="AGR64" s="456"/>
      <c r="AGS64" s="456"/>
      <c r="AGT64" s="456"/>
      <c r="AGU64" s="456"/>
      <c r="AGV64" s="456"/>
      <c r="AGW64" s="456"/>
      <c r="AGX64" s="456"/>
      <c r="AGY64" s="456"/>
      <c r="AGZ64" s="456"/>
      <c r="AHA64" s="456"/>
      <c r="AHB64" s="456"/>
      <c r="AHC64" s="456"/>
      <c r="AHD64" s="456"/>
      <c r="AHE64" s="456"/>
      <c r="AHF64" s="456"/>
      <c r="AHG64" s="456"/>
      <c r="AHH64" s="456"/>
      <c r="AHI64" s="456"/>
      <c r="AHJ64" s="456"/>
      <c r="AHK64" s="456"/>
      <c r="AHL64" s="456"/>
      <c r="AHM64" s="456"/>
      <c r="AHN64" s="456"/>
      <c r="AHO64" s="456"/>
      <c r="AHP64" s="456"/>
      <c r="AHQ64" s="456"/>
      <c r="AHR64" s="456"/>
      <c r="AHS64" s="456"/>
      <c r="AHT64" s="456"/>
      <c r="AHU64" s="456"/>
      <c r="AHV64" s="456"/>
      <c r="AHW64" s="456"/>
      <c r="AHX64" s="456"/>
      <c r="AHY64" s="456"/>
      <c r="AHZ64" s="456"/>
      <c r="AIA64" s="456"/>
      <c r="AIB64" s="456"/>
      <c r="AIC64" s="456"/>
      <c r="AID64" s="456"/>
      <c r="AIE64" s="456"/>
      <c r="AIF64" s="456"/>
      <c r="AIG64" s="456"/>
      <c r="AIH64" s="456"/>
      <c r="AII64" s="456"/>
      <c r="AIJ64" s="456"/>
      <c r="AIK64" s="456"/>
      <c r="AIL64" s="456"/>
      <c r="AIM64" s="456"/>
      <c r="AIN64" s="456"/>
      <c r="AIO64" s="456"/>
      <c r="AIP64" s="456"/>
      <c r="AIQ64" s="456"/>
      <c r="AIR64" s="456"/>
      <c r="AIS64" s="456"/>
      <c r="AIT64" s="456"/>
      <c r="AIU64" s="456"/>
      <c r="AIV64" s="456"/>
      <c r="AIW64" s="456"/>
      <c r="AIX64" s="456"/>
      <c r="AIY64" s="456"/>
      <c r="AIZ64" s="456"/>
      <c r="AJA64" s="456"/>
      <c r="AJB64" s="456"/>
      <c r="AJC64" s="456"/>
      <c r="AJD64" s="456"/>
      <c r="AJE64" s="456"/>
      <c r="AJF64" s="456"/>
      <c r="AJG64" s="456"/>
      <c r="AJH64" s="456"/>
      <c r="AJI64" s="456"/>
      <c r="AJJ64" s="456"/>
      <c r="AJK64" s="456"/>
      <c r="AJL64" s="456"/>
      <c r="AJM64" s="456"/>
      <c r="AJN64" s="456"/>
      <c r="AJO64" s="456"/>
      <c r="AJP64" s="456"/>
      <c r="AJQ64" s="456"/>
      <c r="AJR64" s="456"/>
      <c r="AJS64" s="456"/>
      <c r="AJT64" s="456"/>
      <c r="AJU64" s="456"/>
      <c r="AJV64" s="456"/>
      <c r="AJW64" s="456"/>
      <c r="AJX64" s="456"/>
      <c r="AJY64" s="456"/>
      <c r="AJZ64" s="456"/>
      <c r="AKA64" s="456"/>
      <c r="AKB64" s="456"/>
      <c r="AKC64" s="456"/>
      <c r="AKD64" s="456"/>
      <c r="AKE64" s="456"/>
      <c r="AKF64" s="456"/>
      <c r="AKG64" s="456"/>
      <c r="AKH64" s="456"/>
      <c r="AKI64" s="456"/>
      <c r="AKJ64" s="456"/>
      <c r="AKK64" s="456"/>
      <c r="AKL64" s="456"/>
      <c r="AKM64" s="456"/>
      <c r="AKN64" s="456"/>
      <c r="AKO64" s="456"/>
      <c r="AKP64" s="456"/>
      <c r="AKQ64" s="456"/>
      <c r="AKR64" s="456"/>
      <c r="AKS64" s="456"/>
      <c r="AKT64" s="456"/>
      <c r="AKU64" s="456"/>
      <c r="AKV64" s="456"/>
      <c r="AKW64" s="456"/>
      <c r="AKX64" s="456"/>
      <c r="AKY64" s="456"/>
      <c r="AKZ64" s="456"/>
      <c r="ALA64" s="456"/>
      <c r="ALB64" s="456"/>
      <c r="ALC64" s="456"/>
      <c r="ALD64" s="456"/>
      <c r="ALE64" s="456"/>
      <c r="ALF64" s="456"/>
      <c r="ALG64" s="456"/>
      <c r="ALH64" s="456"/>
      <c r="ALI64" s="456"/>
      <c r="ALJ64" s="456"/>
      <c r="ALK64" s="456"/>
      <c r="ALL64" s="456"/>
      <c r="ALM64" s="456"/>
      <c r="ALN64" s="456"/>
      <c r="ALO64" s="456"/>
      <c r="ALP64" s="456"/>
      <c r="ALQ64" s="456"/>
      <c r="ALR64" s="456"/>
      <c r="ALS64" s="456"/>
      <c r="ALT64" s="456"/>
      <c r="ALU64" s="456"/>
      <c r="ALV64" s="456"/>
      <c r="ALW64" s="456"/>
      <c r="ALX64" s="456"/>
      <c r="ALY64" s="456"/>
      <c r="ALZ64" s="456"/>
      <c r="AMA64" s="456"/>
      <c r="AMB64" s="456"/>
      <c r="AMC64" s="456"/>
      <c r="AMD64" s="456"/>
      <c r="AME64" s="456"/>
      <c r="AMF64" s="456"/>
      <c r="AMG64" s="456"/>
      <c r="AMH64" s="456"/>
      <c r="AMI64" s="456"/>
      <c r="AMJ64" s="456"/>
      <c r="AMK64" s="456"/>
      <c r="AML64" s="456"/>
      <c r="AMM64" s="456"/>
      <c r="AMN64" s="456"/>
      <c r="AMO64" s="456"/>
      <c r="AMP64" s="456"/>
      <c r="AMQ64" s="456"/>
      <c r="AMR64" s="456"/>
      <c r="AMS64" s="456"/>
      <c r="AMT64" s="456"/>
      <c r="AMU64" s="456"/>
      <c r="AMV64" s="456"/>
      <c r="AMW64" s="456"/>
      <c r="AMX64" s="456"/>
      <c r="AMY64" s="456"/>
      <c r="AMZ64" s="456"/>
      <c r="ANA64" s="456"/>
      <c r="ANB64" s="456"/>
      <c r="ANC64" s="456"/>
      <c r="AND64" s="456"/>
      <c r="ANE64" s="456"/>
      <c r="ANF64" s="456"/>
      <c r="ANG64" s="456"/>
      <c r="ANH64" s="456"/>
      <c r="ANI64" s="456"/>
      <c r="ANJ64" s="456"/>
      <c r="ANK64" s="456"/>
      <c r="ANL64" s="456"/>
      <c r="ANM64" s="456"/>
      <c r="ANN64" s="456"/>
      <c r="ANO64" s="456"/>
      <c r="ANP64" s="456"/>
      <c r="ANQ64" s="456"/>
      <c r="ANR64" s="456"/>
      <c r="ANS64" s="456"/>
      <c r="ANT64" s="456"/>
      <c r="ANU64" s="456"/>
      <c r="ANV64" s="456"/>
      <c r="ANW64" s="456"/>
      <c r="ANX64" s="456"/>
      <c r="ANY64" s="456"/>
      <c r="ANZ64" s="456"/>
      <c r="AOA64" s="456"/>
      <c r="AOB64" s="456"/>
      <c r="AOC64" s="456"/>
      <c r="AOD64" s="456"/>
      <c r="AOE64" s="456"/>
      <c r="AOF64" s="456"/>
      <c r="AOG64" s="456"/>
      <c r="AOH64" s="456"/>
      <c r="AOI64" s="456"/>
      <c r="AOJ64" s="456"/>
      <c r="AOK64" s="456"/>
      <c r="AOL64" s="456"/>
      <c r="AOM64" s="456"/>
      <c r="AON64" s="456"/>
      <c r="AOO64" s="456"/>
      <c r="AOP64" s="456"/>
      <c r="AOQ64" s="456"/>
      <c r="AOR64" s="456"/>
      <c r="AOS64" s="456"/>
      <c r="AOT64" s="456"/>
      <c r="AOU64" s="456"/>
      <c r="AOV64" s="456"/>
      <c r="AOW64" s="456"/>
      <c r="AOX64" s="456"/>
      <c r="AOY64" s="456"/>
      <c r="AOZ64" s="456"/>
      <c r="APA64" s="456"/>
      <c r="APB64" s="456"/>
      <c r="APC64" s="456"/>
      <c r="APD64" s="456"/>
      <c r="APE64" s="456"/>
      <c r="APF64" s="456"/>
      <c r="APG64" s="456"/>
      <c r="APH64" s="456"/>
      <c r="API64" s="456"/>
      <c r="APJ64" s="456"/>
      <c r="APK64" s="456"/>
      <c r="APL64" s="456"/>
      <c r="APM64" s="456"/>
      <c r="APN64" s="456"/>
      <c r="APO64" s="456"/>
      <c r="APP64" s="456"/>
      <c r="APQ64" s="456"/>
      <c r="APR64" s="456"/>
      <c r="APS64" s="456"/>
      <c r="APT64" s="456"/>
      <c r="APU64" s="456"/>
      <c r="APV64" s="456"/>
      <c r="APW64" s="456"/>
      <c r="APX64" s="456"/>
      <c r="APY64" s="456"/>
      <c r="APZ64" s="456"/>
      <c r="AQA64" s="456"/>
      <c r="AQB64" s="456"/>
      <c r="AQC64" s="456"/>
      <c r="AQD64" s="456"/>
      <c r="AQE64" s="456"/>
      <c r="AQF64" s="456"/>
      <c r="AQG64" s="456"/>
      <c r="AQH64" s="456"/>
      <c r="AQI64" s="456"/>
      <c r="AQJ64" s="456"/>
      <c r="AQK64" s="456"/>
      <c r="AQL64" s="456"/>
      <c r="AQM64" s="456"/>
      <c r="AQN64" s="456"/>
      <c r="AQO64" s="456"/>
      <c r="AQP64" s="456"/>
      <c r="AQQ64" s="456"/>
      <c r="AQR64" s="456"/>
      <c r="AQS64" s="456"/>
      <c r="AQT64" s="456"/>
      <c r="AQU64" s="456"/>
      <c r="AQV64" s="456"/>
      <c r="AQW64" s="456"/>
      <c r="AQX64" s="456"/>
      <c r="AQY64" s="456"/>
      <c r="AQZ64" s="456"/>
      <c r="ARA64" s="456"/>
      <c r="ARB64" s="456"/>
      <c r="ARC64" s="456"/>
      <c r="ARD64" s="456"/>
      <c r="ARE64" s="456"/>
      <c r="ARF64" s="456"/>
      <c r="ARG64" s="456"/>
      <c r="ARH64" s="456"/>
      <c r="ARI64" s="456"/>
      <c r="ARJ64" s="456"/>
      <c r="ARK64" s="456"/>
      <c r="ARL64" s="456"/>
      <c r="ARM64" s="456"/>
      <c r="ARN64" s="456"/>
      <c r="ARO64" s="456"/>
      <c r="ARP64" s="456"/>
      <c r="ARQ64" s="456"/>
      <c r="ARR64" s="456"/>
      <c r="ARS64" s="456"/>
      <c r="ART64" s="456"/>
      <c r="ARU64" s="456"/>
      <c r="ARV64" s="456"/>
      <c r="ARW64" s="456"/>
      <c r="ARX64" s="456"/>
      <c r="ARY64" s="456"/>
      <c r="ARZ64" s="456"/>
      <c r="ASA64" s="456"/>
      <c r="ASB64" s="456"/>
      <c r="ASC64" s="456"/>
      <c r="ASD64" s="456"/>
      <c r="ASE64" s="456"/>
      <c r="ASF64" s="456"/>
      <c r="ASG64" s="456"/>
      <c r="ASH64" s="456"/>
      <c r="ASI64" s="456"/>
      <c r="ASJ64" s="456"/>
      <c r="ASK64" s="456"/>
      <c r="ASL64" s="456"/>
      <c r="ASM64" s="456"/>
      <c r="ASN64" s="456"/>
      <c r="ASO64" s="456"/>
      <c r="ASP64" s="456"/>
      <c r="ASQ64" s="456"/>
      <c r="ASR64" s="456"/>
      <c r="ASS64" s="456"/>
      <c r="AST64" s="456"/>
      <c r="ASU64" s="456"/>
      <c r="ASV64" s="456"/>
      <c r="ASW64" s="456"/>
      <c r="ASX64" s="456"/>
      <c r="ASY64" s="456"/>
      <c r="ASZ64" s="456"/>
      <c r="ATA64" s="456"/>
      <c r="ATB64" s="456"/>
      <c r="ATC64" s="456"/>
      <c r="ATD64" s="456"/>
      <c r="ATE64" s="456"/>
      <c r="ATF64" s="456"/>
      <c r="ATG64" s="456"/>
      <c r="ATH64" s="456"/>
      <c r="ATI64" s="456"/>
      <c r="ATJ64" s="456"/>
      <c r="ATK64" s="456"/>
      <c r="ATL64" s="456"/>
      <c r="ATM64" s="456"/>
      <c r="ATN64" s="456"/>
      <c r="ATO64" s="456"/>
      <c r="ATP64" s="456"/>
      <c r="ATQ64" s="456"/>
      <c r="ATR64" s="456"/>
      <c r="ATS64" s="456"/>
      <c r="ATT64" s="456"/>
      <c r="ATU64" s="456"/>
      <c r="ATV64" s="456"/>
      <c r="ATW64" s="456"/>
      <c r="ATX64" s="456"/>
      <c r="ATY64" s="456"/>
      <c r="ATZ64" s="456"/>
      <c r="AUA64" s="456"/>
      <c r="AUB64" s="456"/>
      <c r="AUC64" s="456"/>
      <c r="AUD64" s="456"/>
      <c r="AUE64" s="456"/>
      <c r="AUF64" s="456"/>
      <c r="AUG64" s="456"/>
      <c r="AUH64" s="456"/>
      <c r="AUI64" s="456"/>
      <c r="AUJ64" s="456"/>
      <c r="AUK64" s="456"/>
      <c r="AUL64" s="456"/>
      <c r="AUM64" s="456"/>
      <c r="AUN64" s="456"/>
      <c r="AUO64" s="456"/>
      <c r="AUP64" s="456"/>
      <c r="AUQ64" s="456"/>
      <c r="AUR64" s="456"/>
      <c r="AUS64" s="456"/>
      <c r="AUT64" s="456"/>
      <c r="AUU64" s="456"/>
      <c r="AUV64" s="456"/>
      <c r="AUW64" s="456"/>
      <c r="AUX64" s="456"/>
      <c r="AUY64" s="456"/>
      <c r="AUZ64" s="456"/>
      <c r="AVA64" s="456"/>
      <c r="AVB64" s="456"/>
      <c r="AVC64" s="456"/>
      <c r="AVD64" s="456"/>
      <c r="AVE64" s="456"/>
      <c r="AVF64" s="456"/>
      <c r="AVG64" s="456"/>
      <c r="AVH64" s="456"/>
      <c r="AVI64" s="456"/>
      <c r="AVJ64" s="456"/>
      <c r="AVK64" s="456"/>
      <c r="AVL64" s="456"/>
      <c r="AVM64" s="456"/>
      <c r="AVN64" s="456"/>
      <c r="AVO64" s="456"/>
      <c r="AVP64" s="456"/>
      <c r="AVQ64" s="456"/>
      <c r="AVR64" s="456"/>
      <c r="AVS64" s="456"/>
      <c r="AVT64" s="456"/>
      <c r="AVU64" s="456"/>
      <c r="AVV64" s="456"/>
      <c r="AVW64" s="456"/>
      <c r="AVX64" s="456"/>
      <c r="AVY64" s="456"/>
      <c r="AVZ64" s="456"/>
      <c r="AWA64" s="456"/>
      <c r="AWB64" s="456"/>
      <c r="AWC64" s="456"/>
      <c r="AWD64" s="456"/>
      <c r="AWE64" s="456"/>
      <c r="AWF64" s="456"/>
      <c r="AWG64" s="456"/>
      <c r="AWH64" s="456"/>
      <c r="AWI64" s="456"/>
      <c r="AWJ64" s="456"/>
      <c r="AWK64" s="456"/>
      <c r="AWL64" s="456"/>
      <c r="AWM64" s="456"/>
      <c r="AWN64" s="456"/>
      <c r="AWO64" s="456"/>
      <c r="AWP64" s="456"/>
      <c r="AWQ64" s="456"/>
      <c r="AWR64" s="456"/>
      <c r="AWS64" s="456"/>
      <c r="AWT64" s="456"/>
      <c r="AWU64" s="456"/>
      <c r="AWV64" s="456"/>
      <c r="AWW64" s="456"/>
      <c r="AWX64" s="456"/>
      <c r="AWY64" s="456"/>
      <c r="AWZ64" s="456"/>
      <c r="AXA64" s="456"/>
      <c r="AXB64" s="456"/>
      <c r="AXC64" s="456"/>
      <c r="AXD64" s="456"/>
      <c r="AXE64" s="456"/>
      <c r="AXF64" s="456"/>
      <c r="AXG64" s="456"/>
      <c r="AXH64" s="456"/>
      <c r="AXI64" s="456"/>
      <c r="AXJ64" s="456"/>
      <c r="AXK64" s="456"/>
      <c r="AXL64" s="456"/>
      <c r="AXM64" s="456"/>
      <c r="AXN64" s="456"/>
      <c r="AXO64" s="456"/>
      <c r="AXP64" s="456"/>
      <c r="AXQ64" s="456"/>
      <c r="AXR64" s="456"/>
      <c r="AXS64" s="456"/>
      <c r="AXT64" s="456"/>
      <c r="AXU64" s="456"/>
      <c r="AXV64" s="456"/>
      <c r="AXW64" s="456"/>
      <c r="AXX64" s="456"/>
      <c r="AXY64" s="456"/>
      <c r="AXZ64" s="456"/>
      <c r="AYA64" s="456"/>
      <c r="AYB64" s="456"/>
      <c r="AYC64" s="456"/>
      <c r="AYD64" s="456"/>
      <c r="AYE64" s="456"/>
      <c r="AYF64" s="456"/>
      <c r="AYG64" s="456"/>
      <c r="AYH64" s="456"/>
      <c r="AYI64" s="456"/>
      <c r="AYJ64" s="456"/>
      <c r="AYK64" s="456"/>
      <c r="AYL64" s="456"/>
      <c r="AYM64" s="456"/>
      <c r="AYN64" s="456"/>
      <c r="AYO64" s="456"/>
      <c r="AYP64" s="456"/>
      <c r="AYQ64" s="456"/>
      <c r="AYR64" s="456"/>
      <c r="AYS64" s="456"/>
      <c r="AYT64" s="456"/>
      <c r="AYU64" s="456"/>
      <c r="AYV64" s="456"/>
      <c r="AYW64" s="456"/>
      <c r="AYX64" s="456"/>
      <c r="AYY64" s="456"/>
      <c r="AYZ64" s="456"/>
      <c r="AZA64" s="456"/>
      <c r="AZB64" s="456"/>
      <c r="AZC64" s="456"/>
      <c r="AZD64" s="456"/>
      <c r="AZE64" s="456"/>
      <c r="AZF64" s="456"/>
      <c r="AZG64" s="456"/>
      <c r="AZH64" s="456"/>
      <c r="AZI64" s="456"/>
      <c r="AZJ64" s="456"/>
      <c r="AZK64" s="456"/>
      <c r="AZL64" s="456"/>
      <c r="AZM64" s="456"/>
      <c r="AZN64" s="456"/>
      <c r="AZO64" s="456"/>
      <c r="AZP64" s="456"/>
      <c r="AZQ64" s="456"/>
      <c r="AZR64" s="456"/>
      <c r="AZS64" s="456"/>
      <c r="AZT64" s="456"/>
      <c r="AZU64" s="456"/>
      <c r="AZV64" s="456"/>
      <c r="AZW64" s="456"/>
      <c r="AZX64" s="456"/>
      <c r="AZY64" s="456"/>
      <c r="AZZ64" s="456"/>
      <c r="BAA64" s="456"/>
      <c r="BAB64" s="456"/>
      <c r="BAC64" s="456"/>
      <c r="BAD64" s="456"/>
      <c r="BAE64" s="456"/>
      <c r="BAF64" s="456"/>
      <c r="BAG64" s="456"/>
      <c r="BAH64" s="456"/>
      <c r="BAI64" s="456"/>
      <c r="BAJ64" s="456"/>
      <c r="BAK64" s="456"/>
      <c r="BAL64" s="456"/>
      <c r="BAM64" s="456"/>
      <c r="BAN64" s="456"/>
      <c r="BAO64" s="456"/>
      <c r="BAP64" s="456"/>
      <c r="BAQ64" s="456"/>
      <c r="BAR64" s="456"/>
      <c r="BAS64" s="456"/>
      <c r="BAT64" s="456"/>
      <c r="BAU64" s="456"/>
      <c r="BAV64" s="456"/>
      <c r="BAW64" s="456"/>
      <c r="BAX64" s="456"/>
      <c r="BAY64" s="456"/>
      <c r="BAZ64" s="456"/>
      <c r="BBA64" s="456"/>
      <c r="BBB64" s="456"/>
      <c r="BBC64" s="456"/>
      <c r="BBD64" s="456"/>
      <c r="BBE64" s="456"/>
      <c r="BBF64" s="456"/>
      <c r="BBG64" s="456"/>
      <c r="BBH64" s="456"/>
      <c r="BBI64" s="456"/>
      <c r="BBJ64" s="456"/>
      <c r="BBK64" s="456"/>
      <c r="BBL64" s="456"/>
      <c r="BBM64" s="456"/>
      <c r="BBN64" s="456"/>
      <c r="BBO64" s="456"/>
      <c r="BBP64" s="456"/>
      <c r="BBQ64" s="456"/>
      <c r="BBR64" s="456"/>
      <c r="BBS64" s="456"/>
      <c r="BBT64" s="456"/>
      <c r="BBU64" s="456"/>
      <c r="BBV64" s="456"/>
      <c r="BBW64" s="456"/>
      <c r="BBX64" s="456"/>
      <c r="BBY64" s="456"/>
      <c r="BBZ64" s="456"/>
      <c r="BCA64" s="456"/>
      <c r="BCB64" s="456"/>
      <c r="BCC64" s="456"/>
      <c r="BCD64" s="456"/>
      <c r="BCE64" s="456"/>
      <c r="BCF64" s="456"/>
      <c r="BCG64" s="456"/>
      <c r="BCH64" s="456"/>
      <c r="BCI64" s="456"/>
      <c r="BCJ64" s="456"/>
      <c r="BCK64" s="456"/>
      <c r="BCL64" s="456"/>
      <c r="BCM64" s="456"/>
      <c r="BCN64" s="456"/>
      <c r="BCO64" s="456"/>
      <c r="BCP64" s="456"/>
      <c r="BCQ64" s="456"/>
      <c r="BCR64" s="456"/>
      <c r="BCS64" s="456"/>
      <c r="BCT64" s="456"/>
      <c r="BCU64" s="456"/>
      <c r="BCV64" s="456"/>
      <c r="BCW64" s="456"/>
      <c r="BCX64" s="456"/>
      <c r="BCY64" s="456"/>
      <c r="BCZ64" s="456"/>
      <c r="BDA64" s="456"/>
      <c r="BDB64" s="456"/>
      <c r="BDC64" s="456"/>
      <c r="BDD64" s="456"/>
      <c r="BDE64" s="456"/>
      <c r="BDF64" s="456"/>
      <c r="BDG64" s="456"/>
      <c r="BDH64" s="456"/>
      <c r="BDI64" s="456"/>
      <c r="BDJ64" s="456"/>
      <c r="BDK64" s="456"/>
      <c r="BDL64" s="456"/>
      <c r="BDM64" s="456"/>
      <c r="BDN64" s="456"/>
      <c r="BDO64" s="456"/>
      <c r="BDP64" s="456"/>
      <c r="BDQ64" s="456"/>
      <c r="BDR64" s="456"/>
      <c r="BDS64" s="456"/>
      <c r="BDT64" s="456"/>
      <c r="BDU64" s="456"/>
      <c r="BDV64" s="456"/>
      <c r="BDW64" s="456"/>
      <c r="BDX64" s="456"/>
      <c r="BDY64" s="456"/>
      <c r="BDZ64" s="456"/>
      <c r="BEA64" s="456"/>
      <c r="BEB64" s="456"/>
      <c r="BEC64" s="456"/>
      <c r="BED64" s="456"/>
      <c r="BEE64" s="456"/>
      <c r="BEF64" s="456"/>
      <c r="BEG64" s="456"/>
      <c r="BEH64" s="456"/>
      <c r="BEI64" s="456"/>
      <c r="BEJ64" s="456"/>
      <c r="BEK64" s="456"/>
      <c r="BEL64" s="456"/>
      <c r="BEM64" s="456"/>
      <c r="BEN64" s="456"/>
      <c r="BEO64" s="456"/>
      <c r="BEP64" s="456"/>
      <c r="BEQ64" s="456"/>
      <c r="BER64" s="456"/>
      <c r="BES64" s="456"/>
      <c r="BET64" s="456"/>
      <c r="BEU64" s="456"/>
      <c r="BEV64" s="456"/>
      <c r="BEW64" s="456"/>
      <c r="BEX64" s="456"/>
      <c r="BEY64" s="456"/>
      <c r="BEZ64" s="456"/>
      <c r="BFA64" s="456"/>
      <c r="BFB64" s="456"/>
      <c r="BFC64" s="456"/>
      <c r="BFD64" s="456"/>
      <c r="BFE64" s="456"/>
      <c r="BFF64" s="456"/>
      <c r="BFG64" s="456"/>
      <c r="BFH64" s="456"/>
      <c r="BFI64" s="456"/>
      <c r="BFJ64" s="456"/>
      <c r="BFK64" s="456"/>
      <c r="BFL64" s="456"/>
      <c r="BFM64" s="456"/>
      <c r="BFN64" s="456"/>
      <c r="BFO64" s="456"/>
      <c r="BFP64" s="456"/>
      <c r="BFQ64" s="456"/>
      <c r="BFR64" s="456"/>
      <c r="BFS64" s="456"/>
      <c r="BFT64" s="456"/>
      <c r="BFU64" s="456"/>
      <c r="BFV64" s="456"/>
      <c r="BFW64" s="456"/>
      <c r="BFX64" s="456"/>
      <c r="BFY64" s="456"/>
      <c r="BFZ64" s="456"/>
      <c r="BGA64" s="456"/>
      <c r="BGB64" s="456"/>
      <c r="BGC64" s="456"/>
      <c r="BGD64" s="456"/>
      <c r="BGE64" s="456"/>
      <c r="BGF64" s="456"/>
      <c r="BGG64" s="456"/>
      <c r="BGH64" s="456"/>
      <c r="BGI64" s="456"/>
      <c r="BGJ64" s="456"/>
      <c r="BGK64" s="456"/>
      <c r="BGL64" s="456"/>
      <c r="BGM64" s="456"/>
      <c r="BGN64" s="456"/>
      <c r="BGO64" s="456"/>
      <c r="BGP64" s="456"/>
      <c r="BGQ64" s="456"/>
      <c r="BGR64" s="456"/>
      <c r="BGS64" s="456"/>
      <c r="BGT64" s="456"/>
      <c r="BGU64" s="456"/>
      <c r="BGV64" s="456"/>
      <c r="BGW64" s="456"/>
      <c r="BGX64" s="456"/>
      <c r="BGY64" s="456"/>
      <c r="BGZ64" s="456"/>
      <c r="BHA64" s="456"/>
      <c r="BHB64" s="456"/>
      <c r="BHC64" s="456"/>
      <c r="BHD64" s="456"/>
      <c r="BHE64" s="456"/>
      <c r="BHF64" s="456"/>
      <c r="BHG64" s="456"/>
      <c r="BHH64" s="456"/>
      <c r="BHI64" s="456"/>
      <c r="BHJ64" s="456"/>
      <c r="BHK64" s="456"/>
      <c r="BHL64" s="456"/>
      <c r="BHM64" s="456"/>
      <c r="BHN64" s="456"/>
      <c r="BHO64" s="456"/>
      <c r="BHP64" s="456"/>
      <c r="BHQ64" s="456"/>
      <c r="BHR64" s="456"/>
      <c r="BHS64" s="456"/>
      <c r="BHT64" s="456"/>
      <c r="BHU64" s="456"/>
      <c r="BHV64" s="456"/>
      <c r="BHW64" s="456"/>
      <c r="BHX64" s="456"/>
      <c r="BHY64" s="456"/>
      <c r="BHZ64" s="456"/>
      <c r="BIA64" s="456"/>
      <c r="BIB64" s="456"/>
      <c r="BIC64" s="456"/>
      <c r="BID64" s="456"/>
      <c r="BIE64" s="456"/>
      <c r="BIF64" s="456"/>
      <c r="BIG64" s="456"/>
      <c r="BIH64" s="456"/>
      <c r="BII64" s="456"/>
      <c r="BIJ64" s="456"/>
      <c r="BIK64" s="456"/>
      <c r="BIL64" s="456"/>
      <c r="BIM64" s="456"/>
      <c r="BIN64" s="456"/>
      <c r="BIO64" s="456"/>
      <c r="BIP64" s="456"/>
      <c r="BIQ64" s="456"/>
      <c r="BIR64" s="456"/>
      <c r="BIS64" s="456"/>
      <c r="BIT64" s="456"/>
      <c r="BIU64" s="456"/>
      <c r="BIV64" s="456"/>
      <c r="BIW64" s="456"/>
      <c r="BIX64" s="456"/>
      <c r="BIY64" s="456"/>
      <c r="BIZ64" s="456"/>
      <c r="BJA64" s="456"/>
      <c r="BJB64" s="456"/>
      <c r="BJC64" s="456"/>
      <c r="BJD64" s="456"/>
      <c r="BJE64" s="456"/>
      <c r="BJF64" s="456"/>
      <c r="BJG64" s="456"/>
      <c r="BJH64" s="456"/>
      <c r="BJI64" s="456"/>
      <c r="BJJ64" s="456"/>
      <c r="BJK64" s="456"/>
      <c r="BJL64" s="456"/>
      <c r="BJM64" s="456"/>
      <c r="BJN64" s="456"/>
      <c r="BJO64" s="456"/>
      <c r="BJP64" s="456"/>
      <c r="BJQ64" s="456"/>
      <c r="BJR64" s="456"/>
      <c r="BJS64" s="456"/>
      <c r="BJT64" s="456"/>
      <c r="BJU64" s="456"/>
      <c r="BJV64" s="456"/>
      <c r="BJW64" s="456"/>
      <c r="BJX64" s="456"/>
      <c r="BJY64" s="456"/>
      <c r="BJZ64" s="456"/>
      <c r="BKA64" s="456"/>
      <c r="BKB64" s="456"/>
      <c r="BKC64" s="456"/>
      <c r="BKD64" s="456"/>
      <c r="BKE64" s="456"/>
      <c r="BKF64" s="456"/>
      <c r="BKG64" s="456"/>
      <c r="BKH64" s="456"/>
      <c r="BKI64" s="456"/>
      <c r="BKJ64" s="456"/>
      <c r="BKK64" s="456"/>
      <c r="BKL64" s="456"/>
      <c r="BKM64" s="456"/>
      <c r="BKN64" s="456"/>
      <c r="BKO64" s="456"/>
      <c r="BKP64" s="456"/>
      <c r="BKQ64" s="456"/>
      <c r="BKR64" s="456"/>
      <c r="BKS64" s="456"/>
      <c r="BKT64" s="456"/>
      <c r="BKU64" s="456"/>
      <c r="BKV64" s="456"/>
      <c r="BKW64" s="456"/>
      <c r="BKX64" s="456"/>
      <c r="BKY64" s="456"/>
      <c r="BKZ64" s="456"/>
      <c r="BLA64" s="456"/>
      <c r="BLB64" s="456"/>
      <c r="BLC64" s="456"/>
      <c r="BLD64" s="456"/>
      <c r="BLE64" s="456"/>
      <c r="BLF64" s="456"/>
      <c r="BLG64" s="456"/>
      <c r="BLH64" s="456"/>
      <c r="BLI64" s="456"/>
      <c r="BLJ64" s="456"/>
      <c r="BLK64" s="456"/>
      <c r="BLL64" s="456"/>
      <c r="BLM64" s="456"/>
      <c r="BLN64" s="456"/>
      <c r="BLO64" s="456"/>
      <c r="BLP64" s="456"/>
      <c r="BLQ64" s="456"/>
      <c r="BLR64" s="456"/>
      <c r="BLS64" s="456"/>
      <c r="BLT64" s="456"/>
      <c r="BLU64" s="456"/>
      <c r="BLV64" s="456"/>
      <c r="BLW64" s="456"/>
      <c r="BLX64" s="456"/>
      <c r="BLY64" s="456"/>
      <c r="BLZ64" s="456"/>
      <c r="BMA64" s="456"/>
      <c r="BMB64" s="456"/>
      <c r="BMC64" s="456"/>
      <c r="BMD64" s="456"/>
      <c r="BME64" s="456"/>
      <c r="BMF64" s="456"/>
      <c r="BMG64" s="456"/>
      <c r="BMH64" s="456"/>
      <c r="BMI64" s="456"/>
      <c r="BMJ64" s="456"/>
      <c r="BMK64" s="456"/>
      <c r="BML64" s="456"/>
      <c r="BMM64" s="456"/>
      <c r="BMN64" s="456"/>
      <c r="BMO64" s="456"/>
      <c r="BMP64" s="456"/>
      <c r="BMQ64" s="456"/>
      <c r="BMR64" s="456"/>
      <c r="BMS64" s="456"/>
      <c r="BMT64" s="456"/>
      <c r="BMU64" s="456"/>
      <c r="BMV64" s="456"/>
      <c r="BMW64" s="456"/>
      <c r="BMX64" s="456"/>
      <c r="BMY64" s="456"/>
      <c r="BMZ64" s="456"/>
      <c r="BNA64" s="456"/>
      <c r="BNB64" s="456"/>
      <c r="BNC64" s="456"/>
      <c r="BND64" s="456"/>
      <c r="BNE64" s="456"/>
      <c r="BNF64" s="456"/>
      <c r="BNG64" s="456"/>
      <c r="BNH64" s="456"/>
      <c r="BNI64" s="456"/>
      <c r="BNJ64" s="456"/>
      <c r="BNK64" s="456"/>
      <c r="BNL64" s="456"/>
      <c r="BNM64" s="456"/>
      <c r="BNN64" s="456"/>
      <c r="BNO64" s="456"/>
      <c r="BNP64" s="456"/>
      <c r="BNQ64" s="456"/>
      <c r="BNR64" s="456"/>
      <c r="BNS64" s="456"/>
      <c r="BNT64" s="456"/>
      <c r="BNU64" s="456"/>
      <c r="BNV64" s="456"/>
      <c r="BNW64" s="456"/>
      <c r="BNX64" s="456"/>
      <c r="BNY64" s="456"/>
      <c r="BNZ64" s="456"/>
      <c r="BOA64" s="456"/>
      <c r="BOB64" s="456"/>
      <c r="BOC64" s="456"/>
      <c r="BOD64" s="456"/>
      <c r="BOE64" s="456"/>
      <c r="BOF64" s="456"/>
      <c r="BOG64" s="456"/>
      <c r="BOH64" s="456"/>
      <c r="BOI64" s="456"/>
      <c r="BOJ64" s="456"/>
      <c r="BOK64" s="456"/>
      <c r="BOL64" s="456"/>
      <c r="BOM64" s="456"/>
      <c r="BON64" s="456"/>
      <c r="BOO64" s="456"/>
      <c r="BOP64" s="456"/>
      <c r="BOQ64" s="456"/>
      <c r="BOR64" s="456"/>
      <c r="BOS64" s="456"/>
      <c r="BOT64" s="456"/>
      <c r="BOU64" s="456"/>
      <c r="BOV64" s="456"/>
      <c r="BOW64" s="456"/>
      <c r="BOX64" s="456"/>
      <c r="BOY64" s="456"/>
      <c r="BOZ64" s="456"/>
      <c r="BPA64" s="456"/>
      <c r="BPB64" s="456"/>
      <c r="BPC64" s="456"/>
      <c r="BPD64" s="456"/>
      <c r="BPE64" s="456"/>
      <c r="BPF64" s="456"/>
      <c r="BPG64" s="456"/>
      <c r="BPH64" s="456"/>
      <c r="BPI64" s="456"/>
      <c r="BPJ64" s="456"/>
      <c r="BPK64" s="456"/>
      <c r="BPL64" s="456"/>
      <c r="BPM64" s="456"/>
      <c r="BPN64" s="456"/>
      <c r="BPO64" s="456"/>
      <c r="BPP64" s="456"/>
      <c r="BPQ64" s="456"/>
      <c r="BPR64" s="456"/>
      <c r="BPS64" s="456"/>
      <c r="BPT64" s="456"/>
      <c r="BPU64" s="456"/>
      <c r="BPV64" s="456"/>
      <c r="BPW64" s="456"/>
      <c r="BPX64" s="456"/>
      <c r="BPY64" s="456"/>
      <c r="BPZ64" s="456"/>
      <c r="BQA64" s="456"/>
      <c r="BQB64" s="456"/>
      <c r="BQC64" s="456"/>
      <c r="BQD64" s="456"/>
      <c r="BQE64" s="456"/>
      <c r="BQF64" s="456"/>
      <c r="BQG64" s="456"/>
      <c r="BQH64" s="456"/>
      <c r="BQI64" s="456"/>
      <c r="BQJ64" s="456"/>
      <c r="BQK64" s="456"/>
      <c r="BQL64" s="456"/>
      <c r="BQM64" s="456"/>
      <c r="BQN64" s="456"/>
      <c r="BQO64" s="456"/>
      <c r="BQP64" s="456"/>
      <c r="BQQ64" s="456"/>
      <c r="BQR64" s="456"/>
      <c r="BQS64" s="456"/>
      <c r="BQT64" s="456"/>
      <c r="BQU64" s="456"/>
      <c r="BQV64" s="456"/>
      <c r="BQW64" s="456"/>
      <c r="BQX64" s="456"/>
      <c r="BQY64" s="456"/>
      <c r="BQZ64" s="456"/>
      <c r="BRA64" s="456"/>
      <c r="BRB64" s="456"/>
      <c r="BRC64" s="456"/>
      <c r="BRD64" s="456"/>
      <c r="BRE64" s="456"/>
      <c r="BRF64" s="456"/>
      <c r="BRG64" s="456"/>
      <c r="BRH64" s="456"/>
      <c r="BRI64" s="456"/>
      <c r="BRJ64" s="456"/>
      <c r="BRK64" s="456"/>
      <c r="BRL64" s="456"/>
      <c r="BRM64" s="456"/>
      <c r="BRN64" s="456"/>
      <c r="BRO64" s="456"/>
      <c r="BRP64" s="456"/>
      <c r="BRQ64" s="456"/>
      <c r="BRR64" s="456"/>
      <c r="BRS64" s="456"/>
      <c r="BRT64" s="456"/>
      <c r="BRU64" s="456"/>
      <c r="BRV64" s="456"/>
      <c r="BRW64" s="456"/>
      <c r="BRX64" s="456"/>
      <c r="BRY64" s="456"/>
      <c r="BRZ64" s="456"/>
      <c r="BSA64" s="456"/>
      <c r="BSB64" s="456"/>
      <c r="BSC64" s="456"/>
      <c r="BSD64" s="456"/>
      <c r="BSE64" s="456"/>
      <c r="BSF64" s="456"/>
      <c r="BSG64" s="456"/>
      <c r="BSH64" s="456"/>
      <c r="BSI64" s="456"/>
      <c r="BSJ64" s="456"/>
      <c r="BSK64" s="456"/>
      <c r="BSL64" s="456"/>
      <c r="BSM64" s="456"/>
      <c r="BSN64" s="456"/>
      <c r="BSO64" s="456"/>
      <c r="BSP64" s="456"/>
      <c r="BSQ64" s="456"/>
      <c r="BSR64" s="456"/>
      <c r="BSS64" s="456"/>
      <c r="BST64" s="456"/>
      <c r="BSU64" s="456"/>
      <c r="BSV64" s="456"/>
      <c r="BSW64" s="456"/>
      <c r="BSX64" s="456"/>
      <c r="BSY64" s="456"/>
      <c r="BSZ64" s="456"/>
      <c r="BTA64" s="456"/>
      <c r="BTB64" s="456"/>
      <c r="BTC64" s="456"/>
      <c r="BTD64" s="456"/>
      <c r="BTE64" s="456"/>
      <c r="BTF64" s="456"/>
      <c r="BTG64" s="456"/>
      <c r="BTH64" s="456"/>
      <c r="BTI64" s="456"/>
      <c r="BTJ64" s="456"/>
      <c r="BTK64" s="456"/>
      <c r="BTL64" s="456"/>
      <c r="BTM64" s="456"/>
      <c r="BTN64" s="456"/>
      <c r="BTO64" s="456"/>
      <c r="BTP64" s="456"/>
      <c r="BTQ64" s="456"/>
      <c r="BTR64" s="456"/>
      <c r="BTS64" s="456"/>
      <c r="BTT64" s="456"/>
      <c r="BTU64" s="456"/>
      <c r="BTV64" s="456"/>
      <c r="BTW64" s="456"/>
      <c r="BTX64" s="456"/>
      <c r="BTY64" s="456"/>
      <c r="BTZ64" s="456"/>
      <c r="BUA64" s="456"/>
      <c r="BUB64" s="456"/>
      <c r="BUC64" s="456"/>
      <c r="BUD64" s="456"/>
      <c r="BUE64" s="456"/>
      <c r="BUF64" s="456"/>
      <c r="BUG64" s="456"/>
      <c r="BUH64" s="456"/>
      <c r="BUI64" s="456"/>
      <c r="BUJ64" s="456"/>
      <c r="BUK64" s="456"/>
      <c r="BUL64" s="456"/>
      <c r="BUM64" s="456"/>
      <c r="BUN64" s="456"/>
      <c r="BUO64" s="456"/>
      <c r="BUP64" s="456"/>
      <c r="BUQ64" s="456"/>
      <c r="BUR64" s="456"/>
      <c r="BUS64" s="456"/>
      <c r="BUT64" s="456"/>
      <c r="BUU64" s="456"/>
      <c r="BUV64" s="456"/>
      <c r="BUW64" s="456"/>
      <c r="BUX64" s="456"/>
      <c r="BUY64" s="456"/>
      <c r="BUZ64" s="456"/>
      <c r="BVA64" s="456"/>
      <c r="BVB64" s="456"/>
      <c r="BVC64" s="456"/>
      <c r="BVD64" s="456"/>
      <c r="BVE64" s="456"/>
      <c r="BVF64" s="456"/>
      <c r="BVG64" s="456"/>
      <c r="BVH64" s="456"/>
      <c r="BVI64" s="456"/>
      <c r="BVJ64" s="456"/>
      <c r="BVK64" s="456"/>
      <c r="BVL64" s="456"/>
      <c r="BVM64" s="456"/>
      <c r="BVN64" s="456"/>
      <c r="BVO64" s="456"/>
      <c r="BVP64" s="456"/>
      <c r="BVQ64" s="456"/>
      <c r="BVR64" s="456"/>
      <c r="BVS64" s="456"/>
      <c r="BVT64" s="456"/>
      <c r="BVU64" s="456"/>
      <c r="BVV64" s="456"/>
      <c r="BVW64" s="456"/>
      <c r="BVX64" s="456"/>
      <c r="BVY64" s="456"/>
      <c r="BVZ64" s="456"/>
      <c r="BWA64" s="456"/>
      <c r="BWB64" s="456"/>
      <c r="BWC64" s="456"/>
      <c r="BWD64" s="456"/>
      <c r="BWE64" s="456"/>
      <c r="BWF64" s="456"/>
      <c r="BWG64" s="456"/>
      <c r="BWH64" s="456"/>
      <c r="BWI64" s="456"/>
      <c r="BWJ64" s="456"/>
      <c r="BWK64" s="456"/>
      <c r="BWL64" s="456"/>
      <c r="BWM64" s="456"/>
      <c r="BWN64" s="456"/>
      <c r="BWO64" s="456"/>
      <c r="BWP64" s="456"/>
      <c r="BWQ64" s="456"/>
      <c r="BWR64" s="456"/>
      <c r="BWS64" s="456"/>
      <c r="BWT64" s="456"/>
      <c r="BWU64" s="456"/>
      <c r="BWV64" s="456"/>
      <c r="BWW64" s="456"/>
      <c r="BWX64" s="456"/>
      <c r="BWY64" s="456"/>
      <c r="BWZ64" s="456"/>
      <c r="BXA64" s="456"/>
      <c r="BXB64" s="456"/>
      <c r="BXC64" s="456"/>
      <c r="BXD64" s="456"/>
      <c r="BXE64" s="456"/>
      <c r="BXF64" s="456"/>
      <c r="BXG64" s="456"/>
      <c r="BXH64" s="456"/>
      <c r="BXI64" s="456"/>
      <c r="BXJ64" s="456"/>
      <c r="BXK64" s="456"/>
      <c r="BXL64" s="456"/>
      <c r="BXM64" s="456"/>
      <c r="BXN64" s="456"/>
      <c r="BXO64" s="456"/>
      <c r="BXP64" s="456"/>
      <c r="BXQ64" s="456"/>
      <c r="BXR64" s="456"/>
      <c r="BXS64" s="456"/>
      <c r="BXT64" s="456"/>
      <c r="BXU64" s="456"/>
      <c r="BXV64" s="456"/>
      <c r="BXW64" s="456"/>
      <c r="BXX64" s="456"/>
      <c r="BXY64" s="456"/>
      <c r="BXZ64" s="456"/>
    </row>
    <row r="65" s="25" customFormat="1" spans="1:1024 1025:2002">
      <c r="A65" s="473" t="s">
        <v>34</v>
      </c>
      <c r="B65" s="19">
        <v>1119</v>
      </c>
      <c r="C65" s="183">
        <v>46181</v>
      </c>
      <c r="D65" s="17" t="s">
        <v>35</v>
      </c>
      <c r="E65" s="17" t="s">
        <v>71</v>
      </c>
      <c r="F65" s="17" t="s">
        <v>72</v>
      </c>
      <c r="G65" s="17"/>
      <c r="H65" s="19">
        <v>1.2379</v>
      </c>
      <c r="I65" s="19">
        <v>1.2379</v>
      </c>
      <c r="J65" s="17" t="s">
        <v>82</v>
      </c>
      <c r="K65" s="91">
        <v>610</v>
      </c>
      <c r="L65" s="23">
        <v>25</v>
      </c>
      <c r="M65" s="19">
        <v>5800</v>
      </c>
      <c r="N65" s="19" t="s">
        <v>40</v>
      </c>
      <c r="O65" s="19" t="s">
        <v>67</v>
      </c>
      <c r="P65" s="19">
        <v>2500</v>
      </c>
      <c r="Q65" s="19">
        <f>1476+1408</f>
        <v>2884</v>
      </c>
      <c r="R65" s="19">
        <f t="shared" si="2"/>
        <v>-384</v>
      </c>
      <c r="S65" s="477">
        <f t="shared" si="4"/>
        <v>2433</v>
      </c>
      <c r="T65" s="19" t="s">
        <v>42</v>
      </c>
      <c r="U65" s="102" t="s">
        <v>83</v>
      </c>
      <c r="V65" s="186">
        <v>46181</v>
      </c>
      <c r="W65" s="17" t="s">
        <v>69</v>
      </c>
      <c r="X65" s="17"/>
      <c r="Y65" s="68">
        <v>46327</v>
      </c>
      <c r="Z65" s="17" t="s">
        <v>45</v>
      </c>
      <c r="AA65" s="17" t="s">
        <v>46</v>
      </c>
      <c r="AB65" s="17" t="s">
        <v>75</v>
      </c>
      <c r="AC65" s="217">
        <v>46224</v>
      </c>
      <c r="AD65" s="65">
        <v>1837</v>
      </c>
      <c r="AE65" s="17" t="s">
        <v>48</v>
      </c>
      <c r="AF65" s="17" t="s">
        <v>76</v>
      </c>
      <c r="AG65" s="17"/>
      <c r="AH65" s="456"/>
      <c r="AI65" s="456"/>
      <c r="AJ65" s="456"/>
      <c r="AK65" s="456"/>
      <c r="AL65" s="456"/>
      <c r="AM65" s="456"/>
      <c r="AN65" s="456"/>
      <c r="AO65" s="456"/>
      <c r="AP65" s="456"/>
      <c r="AQ65" s="456"/>
      <c r="AR65" s="456"/>
      <c r="AS65" s="456"/>
      <c r="AT65" s="456"/>
      <c r="AU65" s="456"/>
      <c r="AV65" s="456"/>
      <c r="AW65" s="456"/>
      <c r="AX65" s="456"/>
      <c r="AY65" s="456"/>
      <c r="AZ65" s="456"/>
      <c r="BA65" s="456"/>
      <c r="BB65" s="456"/>
      <c r="BC65" s="456"/>
      <c r="BD65" s="456"/>
      <c r="BE65" s="456"/>
      <c r="BF65" s="456"/>
      <c r="BG65" s="456"/>
      <c r="BH65" s="456"/>
      <c r="BI65" s="456"/>
      <c r="BJ65" s="456"/>
      <c r="BK65" s="456"/>
      <c r="BL65" s="456"/>
      <c r="BM65" s="456"/>
      <c r="BN65" s="456"/>
      <c r="BO65" s="456"/>
      <c r="BP65" s="456"/>
      <c r="BQ65" s="456"/>
      <c r="BR65" s="456"/>
      <c r="BS65" s="456"/>
      <c r="BT65" s="456"/>
      <c r="BU65" s="456"/>
      <c r="BV65" s="456"/>
      <c r="BW65" s="456"/>
      <c r="BX65" s="456"/>
      <c r="BY65" s="456"/>
      <c r="BZ65" s="456"/>
      <c r="CA65" s="456"/>
      <c r="CB65" s="456"/>
      <c r="CC65" s="456"/>
      <c r="CD65" s="456"/>
      <c r="CE65" s="456"/>
      <c r="CF65" s="456"/>
      <c r="CG65" s="456"/>
      <c r="CH65" s="456"/>
      <c r="CI65" s="456"/>
      <c r="CJ65" s="456"/>
      <c r="CK65" s="456"/>
      <c r="CL65" s="456"/>
      <c r="CM65" s="456"/>
      <c r="CN65" s="456"/>
      <c r="CO65" s="456"/>
      <c r="CP65" s="456"/>
      <c r="CQ65" s="456"/>
      <c r="CR65" s="456"/>
      <c r="CS65" s="456"/>
      <c r="CT65" s="456"/>
      <c r="CU65" s="456"/>
      <c r="CV65" s="456"/>
      <c r="CW65" s="456"/>
      <c r="CX65" s="456"/>
      <c r="CY65" s="456"/>
      <c r="CZ65" s="456"/>
      <c r="DA65" s="456"/>
      <c r="DB65" s="456"/>
      <c r="DC65" s="456"/>
      <c r="DD65" s="456"/>
      <c r="DE65" s="456"/>
      <c r="DF65" s="456"/>
      <c r="DG65" s="456"/>
      <c r="DH65" s="456"/>
      <c r="DI65" s="456"/>
      <c r="DJ65" s="456"/>
      <c r="DK65" s="456"/>
      <c r="DL65" s="456"/>
      <c r="DM65" s="456"/>
      <c r="DN65" s="456"/>
      <c r="DO65" s="456"/>
      <c r="DP65" s="456"/>
      <c r="DQ65" s="456"/>
      <c r="DR65" s="456"/>
      <c r="DS65" s="456"/>
      <c r="DT65" s="456"/>
      <c r="DU65" s="456"/>
      <c r="DV65" s="456"/>
      <c r="DW65" s="456"/>
      <c r="DX65" s="456"/>
      <c r="DY65" s="456"/>
      <c r="DZ65" s="456"/>
      <c r="EA65" s="456"/>
      <c r="EB65" s="456"/>
      <c r="EC65" s="456"/>
      <c r="ED65" s="456"/>
      <c r="EE65" s="456"/>
      <c r="EF65" s="456"/>
      <c r="EG65" s="456"/>
      <c r="EH65" s="456"/>
      <c r="EI65" s="456"/>
      <c r="EJ65" s="456"/>
      <c r="EK65" s="456"/>
      <c r="EL65" s="456"/>
      <c r="EM65" s="456"/>
      <c r="EN65" s="456"/>
      <c r="EO65" s="456"/>
      <c r="EP65" s="456"/>
      <c r="EQ65" s="456"/>
      <c r="ER65" s="456"/>
      <c r="ES65" s="456"/>
      <c r="ET65" s="456"/>
      <c r="EU65" s="456"/>
      <c r="EV65" s="456"/>
      <c r="EW65" s="456"/>
      <c r="EX65" s="456"/>
      <c r="EY65" s="456"/>
      <c r="EZ65" s="456"/>
      <c r="FA65" s="456"/>
      <c r="FB65" s="456"/>
      <c r="FC65" s="456"/>
      <c r="FD65" s="456"/>
      <c r="FE65" s="456"/>
      <c r="FF65" s="456"/>
      <c r="FG65" s="456"/>
      <c r="FH65" s="456"/>
      <c r="FI65" s="456"/>
      <c r="FJ65" s="456"/>
      <c r="FK65" s="456"/>
      <c r="FL65" s="456"/>
      <c r="FM65" s="456"/>
      <c r="FN65" s="456"/>
      <c r="FO65" s="456"/>
      <c r="FP65" s="456"/>
      <c r="FQ65" s="456"/>
      <c r="FR65" s="456"/>
      <c r="FS65" s="456"/>
      <c r="FT65" s="456"/>
      <c r="FU65" s="456"/>
      <c r="FV65" s="456"/>
      <c r="FW65" s="456"/>
      <c r="FX65" s="456"/>
      <c r="FY65" s="456"/>
      <c r="FZ65" s="456"/>
      <c r="GA65" s="456"/>
      <c r="GB65" s="456"/>
      <c r="GC65" s="456"/>
      <c r="GD65" s="456"/>
      <c r="GE65" s="456"/>
      <c r="GF65" s="456"/>
      <c r="GG65" s="456"/>
      <c r="GH65" s="456"/>
      <c r="GI65" s="456"/>
      <c r="GJ65" s="456"/>
      <c r="GK65" s="456"/>
      <c r="GL65" s="456"/>
      <c r="GM65" s="456"/>
      <c r="GN65" s="456"/>
      <c r="GO65" s="456"/>
      <c r="GP65" s="456"/>
      <c r="GQ65" s="456"/>
      <c r="GR65" s="456"/>
      <c r="GS65" s="456"/>
      <c r="GT65" s="456"/>
      <c r="GU65" s="456"/>
      <c r="GV65" s="456"/>
      <c r="GW65" s="456"/>
      <c r="GX65" s="456"/>
      <c r="GY65" s="456"/>
      <c r="GZ65" s="456"/>
      <c r="HA65" s="456"/>
      <c r="HB65" s="456"/>
      <c r="HC65" s="456"/>
      <c r="HD65" s="456"/>
      <c r="HE65" s="456"/>
      <c r="HF65" s="456"/>
      <c r="HG65" s="456"/>
      <c r="HH65" s="456"/>
      <c r="HI65" s="456"/>
      <c r="HJ65" s="456"/>
      <c r="HK65" s="456"/>
      <c r="HL65" s="456"/>
      <c r="HM65" s="456"/>
      <c r="HN65" s="456"/>
      <c r="HO65" s="456"/>
      <c r="HP65" s="456"/>
      <c r="HQ65" s="456"/>
      <c r="HR65" s="456"/>
      <c r="HS65" s="456"/>
      <c r="HT65" s="456"/>
      <c r="HU65" s="456"/>
      <c r="HV65" s="456"/>
      <c r="HW65" s="456"/>
      <c r="HX65" s="456"/>
      <c r="HY65" s="456"/>
      <c r="HZ65" s="456"/>
      <c r="IA65" s="456"/>
      <c r="IB65" s="456"/>
      <c r="IC65" s="456"/>
      <c r="ID65" s="456"/>
      <c r="IE65" s="456"/>
      <c r="IF65" s="456"/>
      <c r="IG65" s="456"/>
      <c r="IH65" s="456"/>
      <c r="II65" s="456"/>
      <c r="IJ65" s="456"/>
      <c r="IK65" s="456"/>
      <c r="IL65" s="456"/>
      <c r="IM65" s="456"/>
      <c r="IN65" s="456"/>
      <c r="IO65" s="456"/>
      <c r="IP65" s="456"/>
      <c r="IQ65" s="456"/>
      <c r="IR65" s="456"/>
      <c r="IS65" s="456"/>
      <c r="IT65" s="456"/>
      <c r="IU65" s="456"/>
      <c r="IV65" s="456"/>
      <c r="IW65" s="456"/>
      <c r="IX65" s="456"/>
      <c r="IY65" s="456"/>
      <c r="IZ65" s="456"/>
      <c r="JA65" s="456"/>
      <c r="JB65" s="456"/>
      <c r="JC65" s="456"/>
      <c r="JD65" s="456"/>
      <c r="JE65" s="456"/>
      <c r="JF65" s="456"/>
      <c r="JG65" s="456"/>
      <c r="JH65" s="456"/>
      <c r="JI65" s="456"/>
      <c r="JJ65" s="456"/>
      <c r="JK65" s="456"/>
      <c r="JL65" s="456"/>
      <c r="JM65" s="456"/>
      <c r="JN65" s="456"/>
      <c r="JO65" s="456"/>
      <c r="JP65" s="456"/>
      <c r="JQ65" s="456"/>
      <c r="JR65" s="456"/>
      <c r="JS65" s="456"/>
      <c r="JT65" s="456"/>
      <c r="JU65" s="456"/>
      <c r="JV65" s="456"/>
      <c r="JW65" s="456"/>
      <c r="JX65" s="456"/>
      <c r="JY65" s="456"/>
      <c r="JZ65" s="456"/>
      <c r="KA65" s="456"/>
      <c r="KB65" s="456"/>
      <c r="KC65" s="456"/>
      <c r="KD65" s="456"/>
      <c r="KE65" s="456"/>
      <c r="KF65" s="456"/>
      <c r="KG65" s="456"/>
      <c r="KH65" s="456"/>
      <c r="KI65" s="456"/>
      <c r="KJ65" s="456"/>
      <c r="KK65" s="456"/>
      <c r="KL65" s="456"/>
      <c r="KM65" s="456"/>
      <c r="KN65" s="456"/>
      <c r="KO65" s="456"/>
      <c r="KP65" s="456"/>
      <c r="KQ65" s="456"/>
      <c r="KR65" s="456"/>
      <c r="KS65" s="456"/>
      <c r="KT65" s="456"/>
      <c r="KU65" s="456"/>
      <c r="KV65" s="456"/>
      <c r="KW65" s="456"/>
      <c r="KX65" s="456"/>
      <c r="KY65" s="456"/>
      <c r="KZ65" s="456"/>
      <c r="LA65" s="456"/>
      <c r="LB65" s="456"/>
      <c r="LC65" s="456"/>
      <c r="LD65" s="456"/>
      <c r="LE65" s="456"/>
      <c r="LF65" s="456"/>
      <c r="LG65" s="456"/>
      <c r="LH65" s="456"/>
      <c r="LI65" s="456"/>
      <c r="LJ65" s="456"/>
      <c r="LK65" s="456"/>
      <c r="LL65" s="456"/>
      <c r="LM65" s="456"/>
      <c r="LN65" s="456"/>
      <c r="LO65" s="456"/>
      <c r="LP65" s="456"/>
      <c r="LQ65" s="456"/>
      <c r="LR65" s="456"/>
      <c r="LS65" s="456"/>
      <c r="LT65" s="456"/>
      <c r="LU65" s="456"/>
      <c r="LV65" s="456"/>
      <c r="LW65" s="456"/>
      <c r="LX65" s="456"/>
      <c r="LY65" s="456"/>
      <c r="LZ65" s="456"/>
      <c r="MA65" s="456"/>
      <c r="MB65" s="456"/>
      <c r="MC65" s="456"/>
      <c r="MD65" s="456"/>
      <c r="ME65" s="456"/>
      <c r="MF65" s="456"/>
      <c r="MG65" s="456"/>
      <c r="MH65" s="456"/>
      <c r="MI65" s="456"/>
      <c r="MJ65" s="456"/>
      <c r="MK65" s="456"/>
      <c r="ML65" s="456"/>
      <c r="MM65" s="456"/>
      <c r="MN65" s="456"/>
      <c r="MO65" s="456"/>
      <c r="MP65" s="456"/>
      <c r="MQ65" s="456"/>
      <c r="MR65" s="456"/>
      <c r="MS65" s="456"/>
      <c r="MT65" s="456"/>
      <c r="MU65" s="456"/>
      <c r="MV65" s="456"/>
      <c r="MW65" s="456"/>
      <c r="MX65" s="456"/>
      <c r="MY65" s="456"/>
      <c r="MZ65" s="456"/>
      <c r="NA65" s="456"/>
      <c r="NB65" s="456"/>
      <c r="NC65" s="456"/>
      <c r="ND65" s="456"/>
      <c r="NE65" s="456"/>
      <c r="NF65" s="456"/>
      <c r="NG65" s="456"/>
      <c r="NH65" s="456"/>
      <c r="NI65" s="456"/>
      <c r="NJ65" s="456"/>
      <c r="NK65" s="456"/>
      <c r="NL65" s="456"/>
      <c r="NM65" s="456"/>
      <c r="NN65" s="456"/>
      <c r="NO65" s="456"/>
      <c r="NP65" s="456"/>
      <c r="NQ65" s="456"/>
      <c r="NR65" s="456"/>
      <c r="NS65" s="456"/>
      <c r="NT65" s="456"/>
      <c r="NU65" s="456"/>
      <c r="NV65" s="456"/>
      <c r="NW65" s="456"/>
      <c r="NX65" s="456"/>
      <c r="NY65" s="456"/>
      <c r="NZ65" s="456"/>
      <c r="OA65" s="456"/>
      <c r="OB65" s="456"/>
      <c r="OC65" s="456"/>
      <c r="OD65" s="456"/>
      <c r="OE65" s="456"/>
      <c r="OF65" s="456"/>
      <c r="OG65" s="456"/>
      <c r="OH65" s="456"/>
      <c r="OI65" s="456"/>
      <c r="OJ65" s="456"/>
      <c r="OK65" s="456"/>
      <c r="OL65" s="456"/>
      <c r="OM65" s="456"/>
      <c r="ON65" s="456"/>
      <c r="OO65" s="456"/>
      <c r="OP65" s="456"/>
      <c r="OQ65" s="456"/>
      <c r="OR65" s="456"/>
      <c r="OS65" s="456"/>
      <c r="OT65" s="456"/>
      <c r="OU65" s="456"/>
      <c r="OV65" s="456"/>
      <c r="OW65" s="456"/>
      <c r="OX65" s="456"/>
      <c r="OY65" s="456"/>
      <c r="OZ65" s="456"/>
      <c r="PA65" s="456"/>
      <c r="PB65" s="456"/>
      <c r="PC65" s="456"/>
      <c r="PD65" s="456"/>
      <c r="PE65" s="456"/>
      <c r="PF65" s="456"/>
      <c r="PG65" s="456"/>
      <c r="PH65" s="456"/>
      <c r="PI65" s="456"/>
      <c r="PJ65" s="456"/>
      <c r="PK65" s="456"/>
      <c r="PL65" s="456"/>
      <c r="PM65" s="456"/>
      <c r="PN65" s="456"/>
      <c r="PO65" s="456"/>
      <c r="PP65" s="456"/>
      <c r="PQ65" s="456"/>
      <c r="PR65" s="456"/>
      <c r="PS65" s="456"/>
      <c r="PT65" s="456"/>
      <c r="PU65" s="456"/>
      <c r="PV65" s="456"/>
      <c r="PW65" s="456"/>
      <c r="PX65" s="456"/>
      <c r="PY65" s="456"/>
      <c r="PZ65" s="456"/>
      <c r="QA65" s="456"/>
      <c r="QB65" s="456"/>
      <c r="QC65" s="456"/>
      <c r="QD65" s="456"/>
      <c r="QE65" s="456"/>
      <c r="QF65" s="456"/>
      <c r="QG65" s="456"/>
      <c r="QH65" s="456"/>
      <c r="QI65" s="456"/>
      <c r="QJ65" s="456"/>
      <c r="QK65" s="456"/>
      <c r="QL65" s="456"/>
      <c r="QM65" s="456"/>
      <c r="QN65" s="456"/>
      <c r="QO65" s="456"/>
      <c r="QP65" s="456"/>
      <c r="QQ65" s="456"/>
      <c r="QR65" s="456"/>
      <c r="QS65" s="456"/>
      <c r="QT65" s="456"/>
      <c r="QU65" s="456"/>
      <c r="QV65" s="456"/>
      <c r="QW65" s="456"/>
      <c r="QX65" s="456"/>
      <c r="QY65" s="456"/>
      <c r="QZ65" s="456"/>
      <c r="RA65" s="456"/>
      <c r="RB65" s="456"/>
      <c r="RC65" s="456"/>
      <c r="RD65" s="456"/>
      <c r="RE65" s="456"/>
      <c r="RF65" s="456"/>
      <c r="RG65" s="456"/>
      <c r="RH65" s="456"/>
      <c r="RI65" s="456"/>
      <c r="RJ65" s="456"/>
      <c r="RK65" s="456"/>
      <c r="RL65" s="456"/>
      <c r="RM65" s="456"/>
      <c r="RN65" s="456"/>
      <c r="RO65" s="456"/>
      <c r="RP65" s="456"/>
      <c r="RQ65" s="456"/>
      <c r="RR65" s="456"/>
      <c r="RS65" s="456"/>
      <c r="RT65" s="456"/>
      <c r="RU65" s="456"/>
      <c r="RV65" s="456"/>
      <c r="RW65" s="456"/>
      <c r="RX65" s="456"/>
      <c r="RY65" s="456"/>
      <c r="RZ65" s="456"/>
      <c r="SA65" s="456"/>
      <c r="SB65" s="456"/>
      <c r="SC65" s="456"/>
      <c r="SD65" s="456"/>
      <c r="SE65" s="456"/>
      <c r="SF65" s="456"/>
      <c r="SG65" s="456"/>
      <c r="SH65" s="456"/>
      <c r="SI65" s="456"/>
      <c r="SJ65" s="456"/>
      <c r="SK65" s="456"/>
      <c r="SL65" s="456"/>
      <c r="SM65" s="456"/>
      <c r="SN65" s="456"/>
      <c r="SO65" s="456"/>
      <c r="SP65" s="456"/>
      <c r="SQ65" s="456"/>
      <c r="SR65" s="456"/>
      <c r="SS65" s="456"/>
      <c r="ST65" s="456"/>
      <c r="SU65" s="456"/>
      <c r="SV65" s="456"/>
      <c r="SW65" s="456"/>
      <c r="SX65" s="456"/>
      <c r="SY65" s="456"/>
      <c r="SZ65" s="456"/>
      <c r="TA65" s="456"/>
      <c r="TB65" s="456"/>
      <c r="TC65" s="456"/>
      <c r="TD65" s="456"/>
      <c r="TE65" s="456"/>
      <c r="TF65" s="456"/>
      <c r="TG65" s="456"/>
      <c r="TH65" s="456"/>
      <c r="TI65" s="456"/>
      <c r="TJ65" s="456"/>
      <c r="TK65" s="456"/>
      <c r="TL65" s="456"/>
      <c r="TM65" s="456"/>
      <c r="TN65" s="456"/>
      <c r="TO65" s="456"/>
      <c r="TP65" s="456"/>
      <c r="TQ65" s="456"/>
      <c r="TR65" s="456"/>
      <c r="TS65" s="456"/>
      <c r="TT65" s="456"/>
      <c r="TU65" s="456"/>
      <c r="TV65" s="456"/>
      <c r="TW65" s="456"/>
      <c r="TX65" s="456"/>
      <c r="TY65" s="456"/>
      <c r="TZ65" s="456"/>
      <c r="UA65" s="456"/>
      <c r="UB65" s="456"/>
      <c r="UC65" s="456"/>
      <c r="UD65" s="456"/>
      <c r="UE65" s="456"/>
      <c r="UF65" s="456"/>
      <c r="UG65" s="456"/>
      <c r="UH65" s="456"/>
      <c r="UI65" s="456"/>
      <c r="UJ65" s="456"/>
      <c r="UK65" s="456"/>
      <c r="UL65" s="456"/>
      <c r="UM65" s="456"/>
      <c r="UN65" s="456"/>
      <c r="UO65" s="456"/>
      <c r="UP65" s="456"/>
      <c r="UQ65" s="456"/>
      <c r="UR65" s="456"/>
      <c r="US65" s="456"/>
      <c r="UT65" s="456"/>
      <c r="UU65" s="456"/>
      <c r="UV65" s="456"/>
      <c r="UW65" s="456"/>
      <c r="UX65" s="456"/>
      <c r="UY65" s="456"/>
      <c r="UZ65" s="456"/>
      <c r="VA65" s="456"/>
      <c r="VB65" s="456"/>
      <c r="VC65" s="456"/>
      <c r="VD65" s="456"/>
      <c r="VE65" s="456"/>
      <c r="VF65" s="456"/>
      <c r="VG65" s="456"/>
      <c r="VH65" s="456"/>
      <c r="VI65" s="456"/>
      <c r="VJ65" s="456"/>
      <c r="VK65" s="456"/>
      <c r="VL65" s="456"/>
      <c r="VM65" s="456"/>
      <c r="VN65" s="456"/>
      <c r="VO65" s="456"/>
      <c r="VP65" s="456"/>
      <c r="VQ65" s="456"/>
      <c r="VR65" s="456"/>
      <c r="VS65" s="456"/>
      <c r="VT65" s="456"/>
      <c r="VU65" s="456"/>
      <c r="VV65" s="456"/>
      <c r="VW65" s="456"/>
      <c r="VX65" s="456"/>
      <c r="VY65" s="456"/>
      <c r="VZ65" s="456"/>
      <c r="WA65" s="456"/>
      <c r="WB65" s="456"/>
      <c r="WC65" s="456"/>
      <c r="WD65" s="456"/>
      <c r="WE65" s="456"/>
      <c r="WF65" s="456"/>
      <c r="WG65" s="456"/>
      <c r="WH65" s="456"/>
      <c r="WI65" s="456"/>
      <c r="WJ65" s="456"/>
      <c r="WK65" s="456"/>
      <c r="WL65" s="456"/>
      <c r="WM65" s="456"/>
      <c r="WN65" s="456"/>
      <c r="WO65" s="456"/>
      <c r="WP65" s="456"/>
      <c r="WQ65" s="456"/>
      <c r="WR65" s="456"/>
      <c r="WS65" s="456"/>
      <c r="WT65" s="456"/>
      <c r="WU65" s="456"/>
      <c r="WV65" s="456"/>
      <c r="WW65" s="456"/>
      <c r="WX65" s="456"/>
      <c r="WY65" s="456"/>
      <c r="WZ65" s="456"/>
      <c r="XA65" s="456"/>
      <c r="XB65" s="456"/>
      <c r="XC65" s="456"/>
      <c r="XD65" s="456"/>
      <c r="XE65" s="456"/>
      <c r="XF65" s="456"/>
      <c r="XG65" s="456"/>
      <c r="XH65" s="456"/>
      <c r="XI65" s="456"/>
      <c r="XJ65" s="456"/>
      <c r="XK65" s="456"/>
      <c r="XL65" s="456"/>
      <c r="XM65" s="456"/>
      <c r="XN65" s="456"/>
      <c r="XO65" s="456"/>
      <c r="XP65" s="456"/>
      <c r="XQ65" s="456"/>
      <c r="XR65" s="456"/>
      <c r="XS65" s="456"/>
      <c r="XT65" s="456"/>
      <c r="XU65" s="456"/>
      <c r="XV65" s="456"/>
      <c r="XW65" s="456"/>
      <c r="XX65" s="456"/>
      <c r="XY65" s="456"/>
      <c r="XZ65" s="456"/>
      <c r="YA65" s="456"/>
      <c r="YB65" s="456"/>
      <c r="YC65" s="456"/>
      <c r="YD65" s="456"/>
      <c r="YE65" s="456"/>
      <c r="YF65" s="456"/>
      <c r="YG65" s="456"/>
      <c r="YH65" s="456"/>
      <c r="YI65" s="456"/>
      <c r="YJ65" s="456"/>
      <c r="YK65" s="456"/>
      <c r="YL65" s="456"/>
      <c r="YM65" s="456"/>
      <c r="YN65" s="456"/>
      <c r="YO65" s="456"/>
      <c r="YP65" s="456"/>
      <c r="YQ65" s="456"/>
      <c r="YR65" s="456"/>
      <c r="YS65" s="456"/>
      <c r="YT65" s="456"/>
      <c r="YU65" s="456"/>
      <c r="YV65" s="456"/>
      <c r="YW65" s="456"/>
      <c r="YX65" s="456"/>
      <c r="YY65" s="456"/>
      <c r="YZ65" s="456"/>
      <c r="ZA65" s="456"/>
      <c r="ZB65" s="456"/>
      <c r="ZC65" s="456"/>
      <c r="ZD65" s="456"/>
      <c r="ZE65" s="456"/>
      <c r="ZF65" s="456"/>
      <c r="ZG65" s="456"/>
      <c r="ZH65" s="456"/>
      <c r="ZI65" s="456"/>
      <c r="ZJ65" s="456"/>
      <c r="ZK65" s="456"/>
      <c r="ZL65" s="456"/>
      <c r="ZM65" s="456"/>
      <c r="ZN65" s="456"/>
      <c r="ZO65" s="456"/>
      <c r="ZP65" s="456"/>
      <c r="ZQ65" s="456"/>
      <c r="ZR65" s="456"/>
      <c r="ZS65" s="456"/>
      <c r="ZT65" s="456"/>
      <c r="ZU65" s="456"/>
      <c r="ZV65" s="456"/>
      <c r="ZW65" s="456"/>
      <c r="ZX65" s="456"/>
      <c r="ZY65" s="456"/>
      <c r="ZZ65" s="456"/>
      <c r="AAA65" s="456"/>
      <c r="AAB65" s="456"/>
      <c r="AAC65" s="456"/>
      <c r="AAD65" s="456"/>
      <c r="AAE65" s="456"/>
      <c r="AAF65" s="456"/>
      <c r="AAG65" s="456"/>
      <c r="AAH65" s="456"/>
      <c r="AAI65" s="456"/>
      <c r="AAJ65" s="456"/>
      <c r="AAK65" s="456"/>
      <c r="AAL65" s="456"/>
      <c r="AAM65" s="456"/>
      <c r="AAN65" s="456"/>
      <c r="AAO65" s="456"/>
      <c r="AAP65" s="456"/>
      <c r="AAQ65" s="456"/>
      <c r="AAR65" s="456"/>
      <c r="AAS65" s="456"/>
      <c r="AAT65" s="456"/>
      <c r="AAU65" s="456"/>
      <c r="AAV65" s="456"/>
      <c r="AAW65" s="456"/>
      <c r="AAX65" s="456"/>
      <c r="AAY65" s="456"/>
      <c r="AAZ65" s="456"/>
      <c r="ABA65" s="456"/>
      <c r="ABB65" s="456"/>
      <c r="ABC65" s="456"/>
      <c r="ABD65" s="456"/>
      <c r="ABE65" s="456"/>
      <c r="ABF65" s="456"/>
      <c r="ABG65" s="456"/>
      <c r="ABH65" s="456"/>
      <c r="ABI65" s="456"/>
      <c r="ABJ65" s="456"/>
      <c r="ABK65" s="456"/>
      <c r="ABL65" s="456"/>
      <c r="ABM65" s="456"/>
      <c r="ABN65" s="456"/>
      <c r="ABO65" s="456"/>
      <c r="ABP65" s="456"/>
      <c r="ABQ65" s="456"/>
      <c r="ABR65" s="456"/>
      <c r="ABS65" s="456"/>
      <c r="ABT65" s="456"/>
      <c r="ABU65" s="456"/>
      <c r="ABV65" s="456"/>
      <c r="ABW65" s="456"/>
      <c r="ABX65" s="456"/>
      <c r="ABY65" s="456"/>
      <c r="ABZ65" s="456"/>
      <c r="ACA65" s="456"/>
      <c r="ACB65" s="456"/>
      <c r="ACC65" s="456"/>
      <c r="ACD65" s="456"/>
      <c r="ACE65" s="456"/>
      <c r="ACF65" s="456"/>
      <c r="ACG65" s="456"/>
      <c r="ACH65" s="456"/>
      <c r="ACI65" s="456"/>
      <c r="ACJ65" s="456"/>
      <c r="ACK65" s="456"/>
      <c r="ACL65" s="456"/>
      <c r="ACM65" s="456"/>
      <c r="ACN65" s="456"/>
      <c r="ACO65" s="456"/>
      <c r="ACP65" s="456"/>
      <c r="ACQ65" s="456"/>
      <c r="ACR65" s="456"/>
      <c r="ACS65" s="456"/>
      <c r="ACT65" s="456"/>
      <c r="ACU65" s="456"/>
      <c r="ACV65" s="456"/>
      <c r="ACW65" s="456"/>
      <c r="ACX65" s="456"/>
      <c r="ACY65" s="456"/>
      <c r="ACZ65" s="456"/>
      <c r="ADA65" s="456"/>
      <c r="ADB65" s="456"/>
      <c r="ADC65" s="456"/>
      <c r="ADD65" s="456"/>
      <c r="ADE65" s="456"/>
      <c r="ADF65" s="456"/>
      <c r="ADG65" s="456"/>
      <c r="ADH65" s="456"/>
      <c r="ADI65" s="456"/>
      <c r="ADJ65" s="456"/>
      <c r="ADK65" s="456"/>
      <c r="ADL65" s="456"/>
      <c r="ADM65" s="456"/>
      <c r="ADN65" s="456"/>
      <c r="ADO65" s="456"/>
      <c r="ADP65" s="456"/>
      <c r="ADQ65" s="456"/>
      <c r="ADR65" s="456"/>
      <c r="ADS65" s="456"/>
      <c r="ADT65" s="456"/>
      <c r="ADU65" s="456"/>
      <c r="ADV65" s="456"/>
      <c r="ADW65" s="456"/>
      <c r="ADX65" s="456"/>
      <c r="ADY65" s="456"/>
      <c r="ADZ65" s="456"/>
      <c r="AEA65" s="456"/>
      <c r="AEB65" s="456"/>
      <c r="AEC65" s="456"/>
      <c r="AED65" s="456"/>
      <c r="AEE65" s="456"/>
      <c r="AEF65" s="456"/>
      <c r="AEG65" s="456"/>
      <c r="AEH65" s="456"/>
      <c r="AEI65" s="456"/>
      <c r="AEJ65" s="456"/>
      <c r="AEK65" s="456"/>
      <c r="AEL65" s="456"/>
      <c r="AEM65" s="456"/>
      <c r="AEN65" s="456"/>
      <c r="AEO65" s="456"/>
      <c r="AEP65" s="456"/>
      <c r="AEQ65" s="456"/>
      <c r="AER65" s="456"/>
      <c r="AES65" s="456"/>
      <c r="AET65" s="456"/>
      <c r="AEU65" s="456"/>
      <c r="AEV65" s="456"/>
      <c r="AEW65" s="456"/>
      <c r="AEX65" s="456"/>
      <c r="AEY65" s="456"/>
      <c r="AEZ65" s="456"/>
      <c r="AFA65" s="456"/>
      <c r="AFB65" s="456"/>
      <c r="AFC65" s="456"/>
      <c r="AFD65" s="456"/>
      <c r="AFE65" s="456"/>
      <c r="AFF65" s="456"/>
      <c r="AFG65" s="456"/>
      <c r="AFH65" s="456"/>
      <c r="AFI65" s="456"/>
      <c r="AFJ65" s="456"/>
      <c r="AFK65" s="456"/>
      <c r="AFL65" s="456"/>
      <c r="AFM65" s="456"/>
      <c r="AFN65" s="456"/>
      <c r="AFO65" s="456"/>
      <c r="AFP65" s="456"/>
      <c r="AFQ65" s="456"/>
      <c r="AFR65" s="456"/>
      <c r="AFS65" s="456"/>
      <c r="AFT65" s="456"/>
      <c r="AFU65" s="456"/>
      <c r="AFV65" s="456"/>
      <c r="AFW65" s="456"/>
      <c r="AFX65" s="456"/>
      <c r="AFY65" s="456"/>
      <c r="AFZ65" s="456"/>
      <c r="AGA65" s="456"/>
      <c r="AGB65" s="456"/>
      <c r="AGC65" s="456"/>
      <c r="AGD65" s="456"/>
      <c r="AGE65" s="456"/>
      <c r="AGF65" s="456"/>
      <c r="AGG65" s="456"/>
      <c r="AGH65" s="456"/>
      <c r="AGI65" s="456"/>
      <c r="AGJ65" s="456"/>
      <c r="AGK65" s="456"/>
      <c r="AGL65" s="456"/>
      <c r="AGM65" s="456"/>
      <c r="AGN65" s="456"/>
      <c r="AGO65" s="456"/>
      <c r="AGP65" s="456"/>
      <c r="AGQ65" s="456"/>
      <c r="AGR65" s="456"/>
      <c r="AGS65" s="456"/>
      <c r="AGT65" s="456"/>
      <c r="AGU65" s="456"/>
      <c r="AGV65" s="456"/>
      <c r="AGW65" s="456"/>
      <c r="AGX65" s="456"/>
      <c r="AGY65" s="456"/>
      <c r="AGZ65" s="456"/>
      <c r="AHA65" s="456"/>
      <c r="AHB65" s="456"/>
      <c r="AHC65" s="456"/>
      <c r="AHD65" s="456"/>
      <c r="AHE65" s="456"/>
      <c r="AHF65" s="456"/>
      <c r="AHG65" s="456"/>
      <c r="AHH65" s="456"/>
      <c r="AHI65" s="456"/>
      <c r="AHJ65" s="456"/>
      <c r="AHK65" s="456"/>
      <c r="AHL65" s="456"/>
      <c r="AHM65" s="456"/>
      <c r="AHN65" s="456"/>
      <c r="AHO65" s="456"/>
      <c r="AHP65" s="456"/>
      <c r="AHQ65" s="456"/>
      <c r="AHR65" s="456"/>
      <c r="AHS65" s="456"/>
      <c r="AHT65" s="456"/>
      <c r="AHU65" s="456"/>
      <c r="AHV65" s="456"/>
      <c r="AHW65" s="456"/>
      <c r="AHX65" s="456"/>
      <c r="AHY65" s="456"/>
      <c r="AHZ65" s="456"/>
      <c r="AIA65" s="456"/>
      <c r="AIB65" s="456"/>
      <c r="AIC65" s="456"/>
      <c r="AID65" s="456"/>
      <c r="AIE65" s="456"/>
      <c r="AIF65" s="456"/>
      <c r="AIG65" s="456"/>
      <c r="AIH65" s="456"/>
      <c r="AII65" s="456"/>
      <c r="AIJ65" s="456"/>
      <c r="AIK65" s="456"/>
      <c r="AIL65" s="456"/>
      <c r="AIM65" s="456"/>
      <c r="AIN65" s="456"/>
      <c r="AIO65" s="456"/>
      <c r="AIP65" s="456"/>
      <c r="AIQ65" s="456"/>
      <c r="AIR65" s="456"/>
      <c r="AIS65" s="456"/>
      <c r="AIT65" s="456"/>
      <c r="AIU65" s="456"/>
      <c r="AIV65" s="456"/>
      <c r="AIW65" s="456"/>
      <c r="AIX65" s="456"/>
      <c r="AIY65" s="456"/>
      <c r="AIZ65" s="456"/>
      <c r="AJA65" s="456"/>
      <c r="AJB65" s="456"/>
      <c r="AJC65" s="456"/>
      <c r="AJD65" s="456"/>
      <c r="AJE65" s="456"/>
      <c r="AJF65" s="456"/>
      <c r="AJG65" s="456"/>
      <c r="AJH65" s="456"/>
      <c r="AJI65" s="456"/>
      <c r="AJJ65" s="456"/>
      <c r="AJK65" s="456"/>
      <c r="AJL65" s="456"/>
      <c r="AJM65" s="456"/>
      <c r="AJN65" s="456"/>
      <c r="AJO65" s="456"/>
      <c r="AJP65" s="456"/>
      <c r="AJQ65" s="456"/>
      <c r="AJR65" s="456"/>
      <c r="AJS65" s="456"/>
      <c r="AJT65" s="456"/>
      <c r="AJU65" s="456"/>
      <c r="AJV65" s="456"/>
      <c r="AJW65" s="456"/>
      <c r="AJX65" s="456"/>
      <c r="AJY65" s="456"/>
      <c r="AJZ65" s="456"/>
      <c r="AKA65" s="456"/>
      <c r="AKB65" s="456"/>
      <c r="AKC65" s="456"/>
      <c r="AKD65" s="456"/>
      <c r="AKE65" s="456"/>
      <c r="AKF65" s="456"/>
      <c r="AKG65" s="456"/>
      <c r="AKH65" s="456"/>
      <c r="AKI65" s="456"/>
      <c r="AKJ65" s="456"/>
      <c r="AKK65" s="456"/>
      <c r="AKL65" s="456"/>
      <c r="AKM65" s="456"/>
      <c r="AKN65" s="456"/>
      <c r="AKO65" s="456"/>
      <c r="AKP65" s="456"/>
      <c r="AKQ65" s="456"/>
      <c r="AKR65" s="456"/>
      <c r="AKS65" s="456"/>
      <c r="AKT65" s="456"/>
      <c r="AKU65" s="456"/>
      <c r="AKV65" s="456"/>
      <c r="AKW65" s="456"/>
      <c r="AKX65" s="456"/>
      <c r="AKY65" s="456"/>
      <c r="AKZ65" s="456"/>
      <c r="ALA65" s="456"/>
      <c r="ALB65" s="456"/>
      <c r="ALC65" s="456"/>
      <c r="ALD65" s="456"/>
      <c r="ALE65" s="456"/>
      <c r="ALF65" s="456"/>
      <c r="ALG65" s="456"/>
      <c r="ALH65" s="456"/>
      <c r="ALI65" s="456"/>
      <c r="ALJ65" s="456"/>
      <c r="ALK65" s="456"/>
      <c r="ALL65" s="456"/>
      <c r="ALM65" s="456"/>
      <c r="ALN65" s="456"/>
      <c r="ALO65" s="456"/>
      <c r="ALP65" s="456"/>
      <c r="ALQ65" s="456"/>
      <c r="ALR65" s="456"/>
      <c r="ALS65" s="456"/>
      <c r="ALT65" s="456"/>
      <c r="ALU65" s="456"/>
      <c r="ALV65" s="456"/>
      <c r="ALW65" s="456"/>
      <c r="ALX65" s="456"/>
      <c r="ALY65" s="456"/>
      <c r="ALZ65" s="456"/>
      <c r="AMA65" s="456"/>
      <c r="AMB65" s="456"/>
      <c r="AMC65" s="456"/>
      <c r="AMD65" s="456"/>
      <c r="AME65" s="456"/>
      <c r="AMF65" s="456"/>
      <c r="AMG65" s="456"/>
      <c r="AMH65" s="456"/>
      <c r="AMI65" s="456"/>
      <c r="AMJ65" s="456"/>
      <c r="AMK65" s="456"/>
      <c r="AML65" s="456"/>
      <c r="AMM65" s="456"/>
      <c r="AMN65" s="456"/>
      <c r="AMO65" s="456"/>
      <c r="AMP65" s="456"/>
      <c r="AMQ65" s="456"/>
      <c r="AMR65" s="456"/>
      <c r="AMS65" s="456"/>
      <c r="AMT65" s="456"/>
      <c r="AMU65" s="456"/>
      <c r="AMV65" s="456"/>
      <c r="AMW65" s="456"/>
      <c r="AMX65" s="456"/>
      <c r="AMY65" s="456"/>
      <c r="AMZ65" s="456"/>
      <c r="ANA65" s="456"/>
      <c r="ANB65" s="456"/>
      <c r="ANC65" s="456"/>
      <c r="AND65" s="456"/>
      <c r="ANE65" s="456"/>
      <c r="ANF65" s="456"/>
      <c r="ANG65" s="456"/>
      <c r="ANH65" s="456"/>
      <c r="ANI65" s="456"/>
      <c r="ANJ65" s="456"/>
      <c r="ANK65" s="456"/>
      <c r="ANL65" s="456"/>
      <c r="ANM65" s="456"/>
      <c r="ANN65" s="456"/>
      <c r="ANO65" s="456"/>
      <c r="ANP65" s="456"/>
      <c r="ANQ65" s="456"/>
      <c r="ANR65" s="456"/>
      <c r="ANS65" s="456"/>
      <c r="ANT65" s="456"/>
      <c r="ANU65" s="456"/>
      <c r="ANV65" s="456"/>
      <c r="ANW65" s="456"/>
      <c r="ANX65" s="456"/>
      <c r="ANY65" s="456"/>
      <c r="ANZ65" s="456"/>
      <c r="AOA65" s="456"/>
      <c r="AOB65" s="456"/>
      <c r="AOC65" s="456"/>
      <c r="AOD65" s="456"/>
      <c r="AOE65" s="456"/>
      <c r="AOF65" s="456"/>
      <c r="AOG65" s="456"/>
      <c r="AOH65" s="456"/>
      <c r="AOI65" s="456"/>
      <c r="AOJ65" s="456"/>
      <c r="AOK65" s="456"/>
      <c r="AOL65" s="456"/>
      <c r="AOM65" s="456"/>
      <c r="AON65" s="456"/>
      <c r="AOO65" s="456"/>
      <c r="AOP65" s="456"/>
      <c r="AOQ65" s="456"/>
      <c r="AOR65" s="456"/>
      <c r="AOS65" s="456"/>
      <c r="AOT65" s="456"/>
      <c r="AOU65" s="456"/>
      <c r="AOV65" s="456"/>
      <c r="AOW65" s="456"/>
      <c r="AOX65" s="456"/>
      <c r="AOY65" s="456"/>
      <c r="AOZ65" s="456"/>
      <c r="APA65" s="456"/>
      <c r="APB65" s="456"/>
      <c r="APC65" s="456"/>
      <c r="APD65" s="456"/>
      <c r="APE65" s="456"/>
      <c r="APF65" s="456"/>
      <c r="APG65" s="456"/>
      <c r="APH65" s="456"/>
      <c r="API65" s="456"/>
      <c r="APJ65" s="456"/>
      <c r="APK65" s="456"/>
      <c r="APL65" s="456"/>
      <c r="APM65" s="456"/>
      <c r="APN65" s="456"/>
      <c r="APO65" s="456"/>
      <c r="APP65" s="456"/>
      <c r="APQ65" s="456"/>
      <c r="APR65" s="456"/>
      <c r="APS65" s="456"/>
      <c r="APT65" s="456"/>
      <c r="APU65" s="456"/>
      <c r="APV65" s="456"/>
      <c r="APW65" s="456"/>
      <c r="APX65" s="456"/>
      <c r="APY65" s="456"/>
      <c r="APZ65" s="456"/>
      <c r="AQA65" s="456"/>
      <c r="AQB65" s="456"/>
      <c r="AQC65" s="456"/>
      <c r="AQD65" s="456"/>
      <c r="AQE65" s="456"/>
      <c r="AQF65" s="456"/>
      <c r="AQG65" s="456"/>
      <c r="AQH65" s="456"/>
      <c r="AQI65" s="456"/>
      <c r="AQJ65" s="456"/>
      <c r="AQK65" s="456"/>
      <c r="AQL65" s="456"/>
      <c r="AQM65" s="456"/>
      <c r="AQN65" s="456"/>
      <c r="AQO65" s="456"/>
      <c r="AQP65" s="456"/>
      <c r="AQQ65" s="456"/>
      <c r="AQR65" s="456"/>
      <c r="AQS65" s="456"/>
      <c r="AQT65" s="456"/>
      <c r="AQU65" s="456"/>
      <c r="AQV65" s="456"/>
      <c r="AQW65" s="456"/>
      <c r="AQX65" s="456"/>
      <c r="AQY65" s="456"/>
      <c r="AQZ65" s="456"/>
      <c r="ARA65" s="456"/>
      <c r="ARB65" s="456"/>
      <c r="ARC65" s="456"/>
      <c r="ARD65" s="456"/>
      <c r="ARE65" s="456"/>
      <c r="ARF65" s="456"/>
      <c r="ARG65" s="456"/>
      <c r="ARH65" s="456"/>
      <c r="ARI65" s="456"/>
      <c r="ARJ65" s="456"/>
      <c r="ARK65" s="456"/>
      <c r="ARL65" s="456"/>
      <c r="ARM65" s="456"/>
      <c r="ARN65" s="456"/>
      <c r="ARO65" s="456"/>
      <c r="ARP65" s="456"/>
      <c r="ARQ65" s="456"/>
      <c r="ARR65" s="456"/>
      <c r="ARS65" s="456"/>
      <c r="ART65" s="456"/>
      <c r="ARU65" s="456"/>
      <c r="ARV65" s="456"/>
      <c r="ARW65" s="456"/>
      <c r="ARX65" s="456"/>
      <c r="ARY65" s="456"/>
      <c r="ARZ65" s="456"/>
      <c r="ASA65" s="456"/>
      <c r="ASB65" s="456"/>
      <c r="ASC65" s="456"/>
      <c r="ASD65" s="456"/>
      <c r="ASE65" s="456"/>
      <c r="ASF65" s="456"/>
      <c r="ASG65" s="456"/>
      <c r="ASH65" s="456"/>
      <c r="ASI65" s="456"/>
      <c r="ASJ65" s="456"/>
      <c r="ASK65" s="456"/>
      <c r="ASL65" s="456"/>
      <c r="ASM65" s="456"/>
      <c r="ASN65" s="456"/>
      <c r="ASO65" s="456"/>
      <c r="ASP65" s="456"/>
      <c r="ASQ65" s="456"/>
      <c r="ASR65" s="456"/>
      <c r="ASS65" s="456"/>
      <c r="AST65" s="456"/>
      <c r="ASU65" s="456"/>
      <c r="ASV65" s="456"/>
      <c r="ASW65" s="456"/>
      <c r="ASX65" s="456"/>
      <c r="ASY65" s="456"/>
      <c r="ASZ65" s="456"/>
      <c r="ATA65" s="456"/>
      <c r="ATB65" s="456"/>
      <c r="ATC65" s="456"/>
      <c r="ATD65" s="456"/>
      <c r="ATE65" s="456"/>
      <c r="ATF65" s="456"/>
      <c r="ATG65" s="456"/>
      <c r="ATH65" s="456"/>
      <c r="ATI65" s="456"/>
      <c r="ATJ65" s="456"/>
      <c r="ATK65" s="456"/>
      <c r="ATL65" s="456"/>
      <c r="ATM65" s="456"/>
      <c r="ATN65" s="456"/>
      <c r="ATO65" s="456"/>
      <c r="ATP65" s="456"/>
      <c r="ATQ65" s="456"/>
      <c r="ATR65" s="456"/>
      <c r="ATS65" s="456"/>
      <c r="ATT65" s="456"/>
      <c r="ATU65" s="456"/>
      <c r="ATV65" s="456"/>
      <c r="ATW65" s="456"/>
      <c r="ATX65" s="456"/>
      <c r="ATY65" s="456"/>
      <c r="ATZ65" s="456"/>
      <c r="AUA65" s="456"/>
      <c r="AUB65" s="456"/>
      <c r="AUC65" s="456"/>
      <c r="AUD65" s="456"/>
      <c r="AUE65" s="456"/>
      <c r="AUF65" s="456"/>
      <c r="AUG65" s="456"/>
      <c r="AUH65" s="456"/>
      <c r="AUI65" s="456"/>
      <c r="AUJ65" s="456"/>
      <c r="AUK65" s="456"/>
      <c r="AUL65" s="456"/>
      <c r="AUM65" s="456"/>
      <c r="AUN65" s="456"/>
      <c r="AUO65" s="456"/>
      <c r="AUP65" s="456"/>
      <c r="AUQ65" s="456"/>
      <c r="AUR65" s="456"/>
      <c r="AUS65" s="456"/>
      <c r="AUT65" s="456"/>
      <c r="AUU65" s="456"/>
      <c r="AUV65" s="456"/>
      <c r="AUW65" s="456"/>
      <c r="AUX65" s="456"/>
      <c r="AUY65" s="456"/>
      <c r="AUZ65" s="456"/>
      <c r="AVA65" s="456"/>
      <c r="AVB65" s="456"/>
      <c r="AVC65" s="456"/>
      <c r="AVD65" s="456"/>
      <c r="AVE65" s="456"/>
      <c r="AVF65" s="456"/>
      <c r="AVG65" s="456"/>
      <c r="AVH65" s="456"/>
      <c r="AVI65" s="456"/>
      <c r="AVJ65" s="456"/>
      <c r="AVK65" s="456"/>
      <c r="AVL65" s="456"/>
      <c r="AVM65" s="456"/>
      <c r="AVN65" s="456"/>
      <c r="AVO65" s="456"/>
      <c r="AVP65" s="456"/>
      <c r="AVQ65" s="456"/>
      <c r="AVR65" s="456"/>
      <c r="AVS65" s="456"/>
      <c r="AVT65" s="456"/>
      <c r="AVU65" s="456"/>
      <c r="AVV65" s="456"/>
      <c r="AVW65" s="456"/>
      <c r="AVX65" s="456"/>
      <c r="AVY65" s="456"/>
      <c r="AVZ65" s="456"/>
      <c r="AWA65" s="456"/>
      <c r="AWB65" s="456"/>
      <c r="AWC65" s="456"/>
      <c r="AWD65" s="456"/>
      <c r="AWE65" s="456"/>
      <c r="AWF65" s="456"/>
      <c r="AWG65" s="456"/>
      <c r="AWH65" s="456"/>
      <c r="AWI65" s="456"/>
      <c r="AWJ65" s="456"/>
      <c r="AWK65" s="456"/>
      <c r="AWL65" s="456"/>
      <c r="AWM65" s="456"/>
      <c r="AWN65" s="456"/>
      <c r="AWO65" s="456"/>
      <c r="AWP65" s="456"/>
      <c r="AWQ65" s="456"/>
      <c r="AWR65" s="456"/>
      <c r="AWS65" s="456"/>
      <c r="AWT65" s="456"/>
      <c r="AWU65" s="456"/>
      <c r="AWV65" s="456"/>
      <c r="AWW65" s="456"/>
      <c r="AWX65" s="456"/>
      <c r="AWY65" s="456"/>
      <c r="AWZ65" s="456"/>
      <c r="AXA65" s="456"/>
      <c r="AXB65" s="456"/>
      <c r="AXC65" s="456"/>
      <c r="AXD65" s="456"/>
      <c r="AXE65" s="456"/>
      <c r="AXF65" s="456"/>
      <c r="AXG65" s="456"/>
      <c r="AXH65" s="456"/>
      <c r="AXI65" s="456"/>
      <c r="AXJ65" s="456"/>
      <c r="AXK65" s="456"/>
      <c r="AXL65" s="456"/>
      <c r="AXM65" s="456"/>
      <c r="AXN65" s="456"/>
      <c r="AXO65" s="456"/>
      <c r="AXP65" s="456"/>
      <c r="AXQ65" s="456"/>
      <c r="AXR65" s="456"/>
      <c r="AXS65" s="456"/>
      <c r="AXT65" s="456"/>
      <c r="AXU65" s="456"/>
      <c r="AXV65" s="456"/>
      <c r="AXW65" s="456"/>
      <c r="AXX65" s="456"/>
      <c r="AXY65" s="456"/>
      <c r="AXZ65" s="456"/>
      <c r="AYA65" s="456"/>
      <c r="AYB65" s="456"/>
      <c r="AYC65" s="456"/>
      <c r="AYD65" s="456"/>
      <c r="AYE65" s="456"/>
      <c r="AYF65" s="456"/>
      <c r="AYG65" s="456"/>
      <c r="AYH65" s="456"/>
      <c r="AYI65" s="456"/>
      <c r="AYJ65" s="456"/>
      <c r="AYK65" s="456"/>
      <c r="AYL65" s="456"/>
      <c r="AYM65" s="456"/>
      <c r="AYN65" s="456"/>
      <c r="AYO65" s="456"/>
      <c r="AYP65" s="456"/>
      <c r="AYQ65" s="456"/>
      <c r="AYR65" s="456"/>
      <c r="AYS65" s="456"/>
      <c r="AYT65" s="456"/>
      <c r="AYU65" s="456"/>
      <c r="AYV65" s="456"/>
      <c r="AYW65" s="456"/>
      <c r="AYX65" s="456"/>
      <c r="AYY65" s="456"/>
      <c r="AYZ65" s="456"/>
      <c r="AZA65" s="456"/>
      <c r="AZB65" s="456"/>
      <c r="AZC65" s="456"/>
      <c r="AZD65" s="456"/>
      <c r="AZE65" s="456"/>
      <c r="AZF65" s="456"/>
      <c r="AZG65" s="456"/>
      <c r="AZH65" s="456"/>
      <c r="AZI65" s="456"/>
      <c r="AZJ65" s="456"/>
      <c r="AZK65" s="456"/>
      <c r="AZL65" s="456"/>
      <c r="AZM65" s="456"/>
      <c r="AZN65" s="456"/>
      <c r="AZO65" s="456"/>
      <c r="AZP65" s="456"/>
      <c r="AZQ65" s="456"/>
      <c r="AZR65" s="456"/>
      <c r="AZS65" s="456"/>
      <c r="AZT65" s="456"/>
      <c r="AZU65" s="456"/>
      <c r="AZV65" s="456"/>
      <c r="AZW65" s="456"/>
      <c r="AZX65" s="456"/>
      <c r="AZY65" s="456"/>
      <c r="AZZ65" s="456"/>
      <c r="BAA65" s="456"/>
      <c r="BAB65" s="456"/>
      <c r="BAC65" s="456"/>
      <c r="BAD65" s="456"/>
      <c r="BAE65" s="456"/>
      <c r="BAF65" s="456"/>
      <c r="BAG65" s="456"/>
      <c r="BAH65" s="456"/>
      <c r="BAI65" s="456"/>
      <c r="BAJ65" s="456"/>
      <c r="BAK65" s="456"/>
      <c r="BAL65" s="456"/>
      <c r="BAM65" s="456"/>
      <c r="BAN65" s="456"/>
      <c r="BAO65" s="456"/>
      <c r="BAP65" s="456"/>
      <c r="BAQ65" s="456"/>
      <c r="BAR65" s="456"/>
      <c r="BAS65" s="456"/>
      <c r="BAT65" s="456"/>
      <c r="BAU65" s="456"/>
      <c r="BAV65" s="456"/>
      <c r="BAW65" s="456"/>
      <c r="BAX65" s="456"/>
      <c r="BAY65" s="456"/>
      <c r="BAZ65" s="456"/>
      <c r="BBA65" s="456"/>
      <c r="BBB65" s="456"/>
      <c r="BBC65" s="456"/>
      <c r="BBD65" s="456"/>
      <c r="BBE65" s="456"/>
      <c r="BBF65" s="456"/>
      <c r="BBG65" s="456"/>
      <c r="BBH65" s="456"/>
      <c r="BBI65" s="456"/>
      <c r="BBJ65" s="456"/>
      <c r="BBK65" s="456"/>
      <c r="BBL65" s="456"/>
      <c r="BBM65" s="456"/>
      <c r="BBN65" s="456"/>
      <c r="BBO65" s="456"/>
      <c r="BBP65" s="456"/>
      <c r="BBQ65" s="456"/>
      <c r="BBR65" s="456"/>
      <c r="BBS65" s="456"/>
      <c r="BBT65" s="456"/>
      <c r="BBU65" s="456"/>
      <c r="BBV65" s="456"/>
      <c r="BBW65" s="456"/>
      <c r="BBX65" s="456"/>
      <c r="BBY65" s="456"/>
      <c r="BBZ65" s="456"/>
      <c r="BCA65" s="456"/>
      <c r="BCB65" s="456"/>
      <c r="BCC65" s="456"/>
      <c r="BCD65" s="456"/>
      <c r="BCE65" s="456"/>
      <c r="BCF65" s="456"/>
      <c r="BCG65" s="456"/>
      <c r="BCH65" s="456"/>
      <c r="BCI65" s="456"/>
      <c r="BCJ65" s="456"/>
      <c r="BCK65" s="456"/>
      <c r="BCL65" s="456"/>
      <c r="BCM65" s="456"/>
      <c r="BCN65" s="456"/>
      <c r="BCO65" s="456"/>
      <c r="BCP65" s="456"/>
      <c r="BCQ65" s="456"/>
      <c r="BCR65" s="456"/>
      <c r="BCS65" s="456"/>
      <c r="BCT65" s="456"/>
      <c r="BCU65" s="456"/>
      <c r="BCV65" s="456"/>
      <c r="BCW65" s="456"/>
      <c r="BCX65" s="456"/>
      <c r="BCY65" s="456"/>
      <c r="BCZ65" s="456"/>
      <c r="BDA65" s="456"/>
      <c r="BDB65" s="456"/>
      <c r="BDC65" s="456"/>
      <c r="BDD65" s="456"/>
      <c r="BDE65" s="456"/>
      <c r="BDF65" s="456"/>
      <c r="BDG65" s="456"/>
      <c r="BDH65" s="456"/>
      <c r="BDI65" s="456"/>
      <c r="BDJ65" s="456"/>
      <c r="BDK65" s="456"/>
      <c r="BDL65" s="456"/>
      <c r="BDM65" s="456"/>
      <c r="BDN65" s="456"/>
      <c r="BDO65" s="456"/>
      <c r="BDP65" s="456"/>
      <c r="BDQ65" s="456"/>
      <c r="BDR65" s="456"/>
      <c r="BDS65" s="456"/>
      <c r="BDT65" s="456"/>
      <c r="BDU65" s="456"/>
      <c r="BDV65" s="456"/>
      <c r="BDW65" s="456"/>
      <c r="BDX65" s="456"/>
      <c r="BDY65" s="456"/>
      <c r="BDZ65" s="456"/>
      <c r="BEA65" s="456"/>
      <c r="BEB65" s="456"/>
      <c r="BEC65" s="456"/>
      <c r="BED65" s="456"/>
      <c r="BEE65" s="456"/>
      <c r="BEF65" s="456"/>
      <c r="BEG65" s="456"/>
      <c r="BEH65" s="456"/>
      <c r="BEI65" s="456"/>
      <c r="BEJ65" s="456"/>
      <c r="BEK65" s="456"/>
      <c r="BEL65" s="456"/>
      <c r="BEM65" s="456"/>
      <c r="BEN65" s="456"/>
      <c r="BEO65" s="456"/>
      <c r="BEP65" s="456"/>
      <c r="BEQ65" s="456"/>
      <c r="BER65" s="456"/>
      <c r="BES65" s="456"/>
      <c r="BET65" s="456"/>
      <c r="BEU65" s="456"/>
      <c r="BEV65" s="456"/>
      <c r="BEW65" s="456"/>
      <c r="BEX65" s="456"/>
      <c r="BEY65" s="456"/>
      <c r="BEZ65" s="456"/>
      <c r="BFA65" s="456"/>
      <c r="BFB65" s="456"/>
      <c r="BFC65" s="456"/>
      <c r="BFD65" s="456"/>
      <c r="BFE65" s="456"/>
      <c r="BFF65" s="456"/>
      <c r="BFG65" s="456"/>
      <c r="BFH65" s="456"/>
      <c r="BFI65" s="456"/>
      <c r="BFJ65" s="456"/>
      <c r="BFK65" s="456"/>
      <c r="BFL65" s="456"/>
      <c r="BFM65" s="456"/>
      <c r="BFN65" s="456"/>
      <c r="BFO65" s="456"/>
      <c r="BFP65" s="456"/>
      <c r="BFQ65" s="456"/>
      <c r="BFR65" s="456"/>
      <c r="BFS65" s="456"/>
      <c r="BFT65" s="456"/>
      <c r="BFU65" s="456"/>
      <c r="BFV65" s="456"/>
      <c r="BFW65" s="456"/>
      <c r="BFX65" s="456"/>
      <c r="BFY65" s="456"/>
      <c r="BFZ65" s="456"/>
      <c r="BGA65" s="456"/>
      <c r="BGB65" s="456"/>
      <c r="BGC65" s="456"/>
      <c r="BGD65" s="456"/>
      <c r="BGE65" s="456"/>
      <c r="BGF65" s="456"/>
      <c r="BGG65" s="456"/>
      <c r="BGH65" s="456"/>
      <c r="BGI65" s="456"/>
      <c r="BGJ65" s="456"/>
      <c r="BGK65" s="456"/>
      <c r="BGL65" s="456"/>
      <c r="BGM65" s="456"/>
      <c r="BGN65" s="456"/>
      <c r="BGO65" s="456"/>
      <c r="BGP65" s="456"/>
      <c r="BGQ65" s="456"/>
      <c r="BGR65" s="456"/>
      <c r="BGS65" s="456"/>
      <c r="BGT65" s="456"/>
      <c r="BGU65" s="456"/>
      <c r="BGV65" s="456"/>
      <c r="BGW65" s="456"/>
      <c r="BGX65" s="456"/>
      <c r="BGY65" s="456"/>
      <c r="BGZ65" s="456"/>
      <c r="BHA65" s="456"/>
      <c r="BHB65" s="456"/>
      <c r="BHC65" s="456"/>
      <c r="BHD65" s="456"/>
      <c r="BHE65" s="456"/>
      <c r="BHF65" s="456"/>
      <c r="BHG65" s="456"/>
      <c r="BHH65" s="456"/>
      <c r="BHI65" s="456"/>
      <c r="BHJ65" s="456"/>
      <c r="BHK65" s="456"/>
      <c r="BHL65" s="456"/>
      <c r="BHM65" s="456"/>
      <c r="BHN65" s="456"/>
      <c r="BHO65" s="456"/>
      <c r="BHP65" s="456"/>
      <c r="BHQ65" s="456"/>
      <c r="BHR65" s="456"/>
      <c r="BHS65" s="456"/>
      <c r="BHT65" s="456"/>
      <c r="BHU65" s="456"/>
      <c r="BHV65" s="456"/>
      <c r="BHW65" s="456"/>
      <c r="BHX65" s="456"/>
      <c r="BHY65" s="456"/>
      <c r="BHZ65" s="456"/>
      <c r="BIA65" s="456"/>
      <c r="BIB65" s="456"/>
      <c r="BIC65" s="456"/>
      <c r="BID65" s="456"/>
      <c r="BIE65" s="456"/>
      <c r="BIF65" s="456"/>
      <c r="BIG65" s="456"/>
      <c r="BIH65" s="456"/>
      <c r="BII65" s="456"/>
      <c r="BIJ65" s="456"/>
      <c r="BIK65" s="456"/>
      <c r="BIL65" s="456"/>
      <c r="BIM65" s="456"/>
      <c r="BIN65" s="456"/>
      <c r="BIO65" s="456"/>
      <c r="BIP65" s="456"/>
      <c r="BIQ65" s="456"/>
      <c r="BIR65" s="456"/>
      <c r="BIS65" s="456"/>
      <c r="BIT65" s="456"/>
      <c r="BIU65" s="456"/>
      <c r="BIV65" s="456"/>
      <c r="BIW65" s="456"/>
      <c r="BIX65" s="456"/>
      <c r="BIY65" s="456"/>
      <c r="BIZ65" s="456"/>
      <c r="BJA65" s="456"/>
      <c r="BJB65" s="456"/>
      <c r="BJC65" s="456"/>
      <c r="BJD65" s="456"/>
      <c r="BJE65" s="456"/>
      <c r="BJF65" s="456"/>
      <c r="BJG65" s="456"/>
      <c r="BJH65" s="456"/>
      <c r="BJI65" s="456"/>
      <c r="BJJ65" s="456"/>
      <c r="BJK65" s="456"/>
      <c r="BJL65" s="456"/>
      <c r="BJM65" s="456"/>
      <c r="BJN65" s="456"/>
      <c r="BJO65" s="456"/>
      <c r="BJP65" s="456"/>
      <c r="BJQ65" s="456"/>
      <c r="BJR65" s="456"/>
      <c r="BJS65" s="456"/>
      <c r="BJT65" s="456"/>
      <c r="BJU65" s="456"/>
      <c r="BJV65" s="456"/>
      <c r="BJW65" s="456"/>
      <c r="BJX65" s="456"/>
      <c r="BJY65" s="456"/>
      <c r="BJZ65" s="456"/>
      <c r="BKA65" s="456"/>
      <c r="BKB65" s="456"/>
      <c r="BKC65" s="456"/>
      <c r="BKD65" s="456"/>
      <c r="BKE65" s="456"/>
      <c r="BKF65" s="456"/>
      <c r="BKG65" s="456"/>
      <c r="BKH65" s="456"/>
      <c r="BKI65" s="456"/>
      <c r="BKJ65" s="456"/>
      <c r="BKK65" s="456"/>
      <c r="BKL65" s="456"/>
      <c r="BKM65" s="456"/>
      <c r="BKN65" s="456"/>
      <c r="BKO65" s="456"/>
      <c r="BKP65" s="456"/>
      <c r="BKQ65" s="456"/>
      <c r="BKR65" s="456"/>
      <c r="BKS65" s="456"/>
      <c r="BKT65" s="456"/>
      <c r="BKU65" s="456"/>
      <c r="BKV65" s="456"/>
      <c r="BKW65" s="456"/>
      <c r="BKX65" s="456"/>
      <c r="BKY65" s="456"/>
      <c r="BKZ65" s="456"/>
      <c r="BLA65" s="456"/>
      <c r="BLB65" s="456"/>
      <c r="BLC65" s="456"/>
      <c r="BLD65" s="456"/>
      <c r="BLE65" s="456"/>
      <c r="BLF65" s="456"/>
      <c r="BLG65" s="456"/>
      <c r="BLH65" s="456"/>
      <c r="BLI65" s="456"/>
      <c r="BLJ65" s="456"/>
      <c r="BLK65" s="456"/>
      <c r="BLL65" s="456"/>
      <c r="BLM65" s="456"/>
      <c r="BLN65" s="456"/>
      <c r="BLO65" s="456"/>
      <c r="BLP65" s="456"/>
      <c r="BLQ65" s="456"/>
      <c r="BLR65" s="456"/>
      <c r="BLS65" s="456"/>
      <c r="BLT65" s="456"/>
      <c r="BLU65" s="456"/>
      <c r="BLV65" s="456"/>
      <c r="BLW65" s="456"/>
      <c r="BLX65" s="456"/>
      <c r="BLY65" s="456"/>
      <c r="BLZ65" s="456"/>
      <c r="BMA65" s="456"/>
      <c r="BMB65" s="456"/>
      <c r="BMC65" s="456"/>
      <c r="BMD65" s="456"/>
      <c r="BME65" s="456"/>
      <c r="BMF65" s="456"/>
      <c r="BMG65" s="456"/>
      <c r="BMH65" s="456"/>
      <c r="BMI65" s="456"/>
      <c r="BMJ65" s="456"/>
      <c r="BMK65" s="456"/>
      <c r="BML65" s="456"/>
      <c r="BMM65" s="456"/>
      <c r="BMN65" s="456"/>
      <c r="BMO65" s="456"/>
      <c r="BMP65" s="456"/>
      <c r="BMQ65" s="456"/>
      <c r="BMR65" s="456"/>
      <c r="BMS65" s="456"/>
      <c r="BMT65" s="456"/>
      <c r="BMU65" s="456"/>
      <c r="BMV65" s="456"/>
      <c r="BMW65" s="456"/>
      <c r="BMX65" s="456"/>
      <c r="BMY65" s="456"/>
      <c r="BMZ65" s="456"/>
      <c r="BNA65" s="456"/>
      <c r="BNB65" s="456"/>
      <c r="BNC65" s="456"/>
      <c r="BND65" s="456"/>
      <c r="BNE65" s="456"/>
      <c r="BNF65" s="456"/>
      <c r="BNG65" s="456"/>
      <c r="BNH65" s="456"/>
      <c r="BNI65" s="456"/>
      <c r="BNJ65" s="456"/>
      <c r="BNK65" s="456"/>
      <c r="BNL65" s="456"/>
      <c r="BNM65" s="456"/>
      <c r="BNN65" s="456"/>
      <c r="BNO65" s="456"/>
      <c r="BNP65" s="456"/>
      <c r="BNQ65" s="456"/>
      <c r="BNR65" s="456"/>
      <c r="BNS65" s="456"/>
      <c r="BNT65" s="456"/>
      <c r="BNU65" s="456"/>
      <c r="BNV65" s="456"/>
      <c r="BNW65" s="456"/>
      <c r="BNX65" s="456"/>
      <c r="BNY65" s="456"/>
      <c r="BNZ65" s="456"/>
      <c r="BOA65" s="456"/>
      <c r="BOB65" s="456"/>
      <c r="BOC65" s="456"/>
      <c r="BOD65" s="456"/>
      <c r="BOE65" s="456"/>
      <c r="BOF65" s="456"/>
      <c r="BOG65" s="456"/>
      <c r="BOH65" s="456"/>
      <c r="BOI65" s="456"/>
      <c r="BOJ65" s="456"/>
      <c r="BOK65" s="456"/>
      <c r="BOL65" s="456"/>
      <c r="BOM65" s="456"/>
      <c r="BON65" s="456"/>
      <c r="BOO65" s="456"/>
      <c r="BOP65" s="456"/>
      <c r="BOQ65" s="456"/>
      <c r="BOR65" s="456"/>
      <c r="BOS65" s="456"/>
      <c r="BOT65" s="456"/>
      <c r="BOU65" s="456"/>
      <c r="BOV65" s="456"/>
      <c r="BOW65" s="456"/>
      <c r="BOX65" s="456"/>
      <c r="BOY65" s="456"/>
      <c r="BOZ65" s="456"/>
      <c r="BPA65" s="456"/>
      <c r="BPB65" s="456"/>
      <c r="BPC65" s="456"/>
      <c r="BPD65" s="456"/>
      <c r="BPE65" s="456"/>
      <c r="BPF65" s="456"/>
      <c r="BPG65" s="456"/>
      <c r="BPH65" s="456"/>
      <c r="BPI65" s="456"/>
      <c r="BPJ65" s="456"/>
      <c r="BPK65" s="456"/>
      <c r="BPL65" s="456"/>
      <c r="BPM65" s="456"/>
      <c r="BPN65" s="456"/>
      <c r="BPO65" s="456"/>
      <c r="BPP65" s="456"/>
      <c r="BPQ65" s="456"/>
      <c r="BPR65" s="456"/>
      <c r="BPS65" s="456"/>
      <c r="BPT65" s="456"/>
      <c r="BPU65" s="456"/>
      <c r="BPV65" s="456"/>
      <c r="BPW65" s="456"/>
      <c r="BPX65" s="456"/>
      <c r="BPY65" s="456"/>
      <c r="BPZ65" s="456"/>
      <c r="BQA65" s="456"/>
      <c r="BQB65" s="456"/>
      <c r="BQC65" s="456"/>
      <c r="BQD65" s="456"/>
      <c r="BQE65" s="456"/>
      <c r="BQF65" s="456"/>
      <c r="BQG65" s="456"/>
      <c r="BQH65" s="456"/>
      <c r="BQI65" s="456"/>
      <c r="BQJ65" s="456"/>
      <c r="BQK65" s="456"/>
      <c r="BQL65" s="456"/>
      <c r="BQM65" s="456"/>
      <c r="BQN65" s="456"/>
      <c r="BQO65" s="456"/>
      <c r="BQP65" s="456"/>
      <c r="BQQ65" s="456"/>
      <c r="BQR65" s="456"/>
      <c r="BQS65" s="456"/>
      <c r="BQT65" s="456"/>
      <c r="BQU65" s="456"/>
      <c r="BQV65" s="456"/>
      <c r="BQW65" s="456"/>
      <c r="BQX65" s="456"/>
      <c r="BQY65" s="456"/>
      <c r="BQZ65" s="456"/>
      <c r="BRA65" s="456"/>
      <c r="BRB65" s="456"/>
      <c r="BRC65" s="456"/>
      <c r="BRD65" s="456"/>
      <c r="BRE65" s="456"/>
      <c r="BRF65" s="456"/>
      <c r="BRG65" s="456"/>
      <c r="BRH65" s="456"/>
      <c r="BRI65" s="456"/>
      <c r="BRJ65" s="456"/>
      <c r="BRK65" s="456"/>
      <c r="BRL65" s="456"/>
      <c r="BRM65" s="456"/>
      <c r="BRN65" s="456"/>
      <c r="BRO65" s="456"/>
      <c r="BRP65" s="456"/>
      <c r="BRQ65" s="456"/>
      <c r="BRR65" s="456"/>
      <c r="BRS65" s="456"/>
      <c r="BRT65" s="456"/>
      <c r="BRU65" s="456"/>
      <c r="BRV65" s="456"/>
      <c r="BRW65" s="456"/>
      <c r="BRX65" s="456"/>
      <c r="BRY65" s="456"/>
      <c r="BRZ65" s="456"/>
      <c r="BSA65" s="456"/>
      <c r="BSB65" s="456"/>
      <c r="BSC65" s="456"/>
      <c r="BSD65" s="456"/>
      <c r="BSE65" s="456"/>
      <c r="BSF65" s="456"/>
      <c r="BSG65" s="456"/>
      <c r="BSH65" s="456"/>
      <c r="BSI65" s="456"/>
      <c r="BSJ65" s="456"/>
      <c r="BSK65" s="456"/>
      <c r="BSL65" s="456"/>
      <c r="BSM65" s="456"/>
      <c r="BSN65" s="456"/>
      <c r="BSO65" s="456"/>
      <c r="BSP65" s="456"/>
      <c r="BSQ65" s="456"/>
      <c r="BSR65" s="456"/>
      <c r="BSS65" s="456"/>
      <c r="BST65" s="456"/>
      <c r="BSU65" s="456"/>
      <c r="BSV65" s="456"/>
      <c r="BSW65" s="456"/>
      <c r="BSX65" s="456"/>
      <c r="BSY65" s="456"/>
      <c r="BSZ65" s="456"/>
      <c r="BTA65" s="456"/>
      <c r="BTB65" s="456"/>
      <c r="BTC65" s="456"/>
      <c r="BTD65" s="456"/>
      <c r="BTE65" s="456"/>
      <c r="BTF65" s="456"/>
      <c r="BTG65" s="456"/>
      <c r="BTH65" s="456"/>
      <c r="BTI65" s="456"/>
      <c r="BTJ65" s="456"/>
      <c r="BTK65" s="456"/>
      <c r="BTL65" s="456"/>
      <c r="BTM65" s="456"/>
      <c r="BTN65" s="456"/>
      <c r="BTO65" s="456"/>
      <c r="BTP65" s="456"/>
      <c r="BTQ65" s="456"/>
      <c r="BTR65" s="456"/>
      <c r="BTS65" s="456"/>
      <c r="BTT65" s="456"/>
      <c r="BTU65" s="456"/>
      <c r="BTV65" s="456"/>
      <c r="BTW65" s="456"/>
      <c r="BTX65" s="456"/>
      <c r="BTY65" s="456"/>
      <c r="BTZ65" s="456"/>
      <c r="BUA65" s="456"/>
      <c r="BUB65" s="456"/>
      <c r="BUC65" s="456"/>
      <c r="BUD65" s="456"/>
      <c r="BUE65" s="456"/>
      <c r="BUF65" s="456"/>
      <c r="BUG65" s="456"/>
      <c r="BUH65" s="456"/>
      <c r="BUI65" s="456"/>
      <c r="BUJ65" s="456"/>
      <c r="BUK65" s="456"/>
      <c r="BUL65" s="456"/>
      <c r="BUM65" s="456"/>
      <c r="BUN65" s="456"/>
      <c r="BUO65" s="456"/>
      <c r="BUP65" s="456"/>
      <c r="BUQ65" s="456"/>
      <c r="BUR65" s="456"/>
      <c r="BUS65" s="456"/>
      <c r="BUT65" s="456"/>
      <c r="BUU65" s="456"/>
      <c r="BUV65" s="456"/>
      <c r="BUW65" s="456"/>
      <c r="BUX65" s="456"/>
      <c r="BUY65" s="456"/>
      <c r="BUZ65" s="456"/>
      <c r="BVA65" s="456"/>
      <c r="BVB65" s="456"/>
      <c r="BVC65" s="456"/>
      <c r="BVD65" s="456"/>
      <c r="BVE65" s="456"/>
      <c r="BVF65" s="456"/>
      <c r="BVG65" s="456"/>
      <c r="BVH65" s="456"/>
      <c r="BVI65" s="456"/>
      <c r="BVJ65" s="456"/>
      <c r="BVK65" s="456"/>
      <c r="BVL65" s="456"/>
      <c r="BVM65" s="456"/>
      <c r="BVN65" s="456"/>
      <c r="BVO65" s="456"/>
      <c r="BVP65" s="456"/>
      <c r="BVQ65" s="456"/>
      <c r="BVR65" s="456"/>
      <c r="BVS65" s="456"/>
      <c r="BVT65" s="456"/>
      <c r="BVU65" s="456"/>
      <c r="BVV65" s="456"/>
      <c r="BVW65" s="456"/>
      <c r="BVX65" s="456"/>
      <c r="BVY65" s="456"/>
      <c r="BVZ65" s="456"/>
      <c r="BWA65" s="456"/>
      <c r="BWB65" s="456"/>
      <c r="BWC65" s="456"/>
      <c r="BWD65" s="456"/>
      <c r="BWE65" s="456"/>
      <c r="BWF65" s="456"/>
      <c r="BWG65" s="456"/>
      <c r="BWH65" s="456"/>
      <c r="BWI65" s="456"/>
      <c r="BWJ65" s="456"/>
      <c r="BWK65" s="456"/>
      <c r="BWL65" s="456"/>
      <c r="BWM65" s="456"/>
      <c r="BWN65" s="456"/>
      <c r="BWO65" s="456"/>
      <c r="BWP65" s="456"/>
      <c r="BWQ65" s="456"/>
      <c r="BWR65" s="456"/>
      <c r="BWS65" s="456"/>
      <c r="BWT65" s="456"/>
      <c r="BWU65" s="456"/>
      <c r="BWV65" s="456"/>
      <c r="BWW65" s="456"/>
      <c r="BWX65" s="456"/>
      <c r="BWY65" s="456"/>
      <c r="BWZ65" s="456"/>
      <c r="BXA65" s="456"/>
      <c r="BXB65" s="456"/>
      <c r="BXC65" s="456"/>
      <c r="BXD65" s="456"/>
      <c r="BXE65" s="456"/>
      <c r="BXF65" s="456"/>
      <c r="BXG65" s="456"/>
      <c r="BXH65" s="456"/>
      <c r="BXI65" s="456"/>
      <c r="BXJ65" s="456"/>
      <c r="BXK65" s="456"/>
      <c r="BXL65" s="456"/>
      <c r="BXM65" s="456"/>
      <c r="BXN65" s="456"/>
      <c r="BXO65" s="456"/>
      <c r="BXP65" s="456"/>
      <c r="BXQ65" s="456"/>
      <c r="BXR65" s="456"/>
      <c r="BXS65" s="456"/>
      <c r="BXT65" s="456"/>
      <c r="BXU65" s="456"/>
      <c r="BXV65" s="456"/>
      <c r="BXW65" s="456"/>
      <c r="BXX65" s="456"/>
      <c r="BXY65" s="456"/>
      <c r="BXZ65" s="456"/>
    </row>
    <row r="66" s="25" customFormat="1" spans="1:1024 1025:2002">
      <c r="A66" s="473" t="s">
        <v>34</v>
      </c>
      <c r="B66" s="19">
        <v>1119</v>
      </c>
      <c r="C66" s="183">
        <v>46181</v>
      </c>
      <c r="D66" s="17" t="s">
        <v>35</v>
      </c>
      <c r="E66" s="17" t="s">
        <v>71</v>
      </c>
      <c r="F66" s="17" t="s">
        <v>72</v>
      </c>
      <c r="G66" s="17"/>
      <c r="H66" s="19">
        <v>1.2379</v>
      </c>
      <c r="I66" s="19">
        <v>1.2379</v>
      </c>
      <c r="J66" s="17" t="s">
        <v>82</v>
      </c>
      <c r="K66" s="91">
        <v>610</v>
      </c>
      <c r="L66" s="23">
        <v>32</v>
      </c>
      <c r="M66" s="19">
        <v>5800</v>
      </c>
      <c r="N66" s="19" t="s">
        <v>40</v>
      </c>
      <c r="O66" s="19" t="s">
        <v>67</v>
      </c>
      <c r="P66" s="19">
        <v>2500</v>
      </c>
      <c r="Q66" s="19">
        <f>716+2140</f>
        <v>2856</v>
      </c>
      <c r="R66" s="19">
        <f t="shared" si="2"/>
        <v>-356</v>
      </c>
      <c r="S66" s="477">
        <f t="shared" si="4"/>
        <v>2433</v>
      </c>
      <c r="T66" s="19" t="s">
        <v>42</v>
      </c>
      <c r="U66" s="102" t="s">
        <v>83</v>
      </c>
      <c r="V66" s="186">
        <v>46181</v>
      </c>
      <c r="W66" s="17" t="s">
        <v>69</v>
      </c>
      <c r="X66" s="17"/>
      <c r="Y66" s="68">
        <v>46327</v>
      </c>
      <c r="Z66" s="17" t="s">
        <v>45</v>
      </c>
      <c r="AA66" s="17" t="s">
        <v>46</v>
      </c>
      <c r="AB66" s="17" t="s">
        <v>75</v>
      </c>
      <c r="AC66" s="217">
        <v>46224</v>
      </c>
      <c r="AD66" s="65">
        <v>1837</v>
      </c>
      <c r="AE66" s="17" t="s">
        <v>48</v>
      </c>
      <c r="AF66" s="17" t="s">
        <v>76</v>
      </c>
      <c r="AG66" s="17"/>
      <c r="AH66" s="456"/>
      <c r="AI66" s="456"/>
      <c r="AJ66" s="456"/>
      <c r="AK66" s="456"/>
      <c r="AL66" s="456"/>
      <c r="AM66" s="456"/>
      <c r="AN66" s="456"/>
      <c r="AO66" s="456"/>
      <c r="AP66" s="456"/>
      <c r="AQ66" s="456"/>
      <c r="AR66" s="456"/>
      <c r="AS66" s="456"/>
      <c r="AT66" s="456"/>
      <c r="AU66" s="456"/>
      <c r="AV66" s="456"/>
      <c r="AW66" s="456"/>
      <c r="AX66" s="456"/>
      <c r="AY66" s="456"/>
      <c r="AZ66" s="456"/>
      <c r="BA66" s="456"/>
      <c r="BB66" s="456"/>
      <c r="BC66" s="456"/>
      <c r="BD66" s="456"/>
      <c r="BE66" s="456"/>
      <c r="BF66" s="456"/>
      <c r="BG66" s="456"/>
      <c r="BH66" s="456"/>
      <c r="BI66" s="456"/>
      <c r="BJ66" s="456"/>
      <c r="BK66" s="456"/>
      <c r="BL66" s="456"/>
      <c r="BM66" s="456"/>
      <c r="BN66" s="456"/>
      <c r="BO66" s="456"/>
      <c r="BP66" s="456"/>
      <c r="BQ66" s="456"/>
      <c r="BR66" s="456"/>
      <c r="BS66" s="456"/>
      <c r="BT66" s="456"/>
      <c r="BU66" s="456"/>
      <c r="BV66" s="456"/>
      <c r="BW66" s="456"/>
      <c r="BX66" s="456"/>
      <c r="BY66" s="456"/>
      <c r="BZ66" s="456"/>
      <c r="CA66" s="456"/>
      <c r="CB66" s="456"/>
      <c r="CC66" s="456"/>
      <c r="CD66" s="456"/>
      <c r="CE66" s="456"/>
      <c r="CF66" s="456"/>
      <c r="CG66" s="456"/>
      <c r="CH66" s="456"/>
      <c r="CI66" s="456"/>
      <c r="CJ66" s="456"/>
      <c r="CK66" s="456"/>
      <c r="CL66" s="456"/>
      <c r="CM66" s="456"/>
      <c r="CN66" s="456"/>
      <c r="CO66" s="456"/>
      <c r="CP66" s="456"/>
      <c r="CQ66" s="456"/>
      <c r="CR66" s="456"/>
      <c r="CS66" s="456"/>
      <c r="CT66" s="456"/>
      <c r="CU66" s="456"/>
      <c r="CV66" s="456"/>
      <c r="CW66" s="456"/>
      <c r="CX66" s="456"/>
      <c r="CY66" s="456"/>
      <c r="CZ66" s="456"/>
      <c r="DA66" s="456"/>
      <c r="DB66" s="456"/>
      <c r="DC66" s="456"/>
      <c r="DD66" s="456"/>
      <c r="DE66" s="456"/>
      <c r="DF66" s="456"/>
      <c r="DG66" s="456"/>
      <c r="DH66" s="456"/>
      <c r="DI66" s="456"/>
      <c r="DJ66" s="456"/>
      <c r="DK66" s="456"/>
      <c r="DL66" s="456"/>
      <c r="DM66" s="456"/>
      <c r="DN66" s="456"/>
      <c r="DO66" s="456"/>
      <c r="DP66" s="456"/>
      <c r="DQ66" s="456"/>
      <c r="DR66" s="456"/>
      <c r="DS66" s="456"/>
      <c r="DT66" s="456"/>
      <c r="DU66" s="456"/>
      <c r="DV66" s="456"/>
      <c r="DW66" s="456"/>
      <c r="DX66" s="456"/>
      <c r="DY66" s="456"/>
      <c r="DZ66" s="456"/>
      <c r="EA66" s="456"/>
      <c r="EB66" s="456"/>
      <c r="EC66" s="456"/>
      <c r="ED66" s="456"/>
      <c r="EE66" s="456"/>
      <c r="EF66" s="456"/>
      <c r="EG66" s="456"/>
      <c r="EH66" s="456"/>
      <c r="EI66" s="456"/>
      <c r="EJ66" s="456"/>
      <c r="EK66" s="456"/>
      <c r="EL66" s="456"/>
      <c r="EM66" s="456"/>
      <c r="EN66" s="456"/>
      <c r="EO66" s="456"/>
      <c r="EP66" s="456"/>
      <c r="EQ66" s="456"/>
      <c r="ER66" s="456"/>
      <c r="ES66" s="456"/>
      <c r="ET66" s="456"/>
      <c r="EU66" s="456"/>
      <c r="EV66" s="456"/>
      <c r="EW66" s="456"/>
      <c r="EX66" s="456"/>
      <c r="EY66" s="456"/>
      <c r="EZ66" s="456"/>
      <c r="FA66" s="456"/>
      <c r="FB66" s="456"/>
      <c r="FC66" s="456"/>
      <c r="FD66" s="456"/>
      <c r="FE66" s="456"/>
      <c r="FF66" s="456"/>
      <c r="FG66" s="456"/>
      <c r="FH66" s="456"/>
      <c r="FI66" s="456"/>
      <c r="FJ66" s="456"/>
      <c r="FK66" s="456"/>
      <c r="FL66" s="456"/>
      <c r="FM66" s="456"/>
      <c r="FN66" s="456"/>
      <c r="FO66" s="456"/>
      <c r="FP66" s="456"/>
      <c r="FQ66" s="456"/>
      <c r="FR66" s="456"/>
      <c r="FS66" s="456"/>
      <c r="FT66" s="456"/>
      <c r="FU66" s="456"/>
      <c r="FV66" s="456"/>
      <c r="FW66" s="456"/>
      <c r="FX66" s="456"/>
      <c r="FY66" s="456"/>
      <c r="FZ66" s="456"/>
      <c r="GA66" s="456"/>
      <c r="GB66" s="456"/>
      <c r="GC66" s="456"/>
      <c r="GD66" s="456"/>
      <c r="GE66" s="456"/>
      <c r="GF66" s="456"/>
      <c r="GG66" s="456"/>
      <c r="GH66" s="456"/>
      <c r="GI66" s="456"/>
      <c r="GJ66" s="456"/>
      <c r="GK66" s="456"/>
      <c r="GL66" s="456"/>
      <c r="GM66" s="456"/>
      <c r="GN66" s="456"/>
      <c r="GO66" s="456"/>
      <c r="GP66" s="456"/>
      <c r="GQ66" s="456"/>
      <c r="GR66" s="456"/>
      <c r="GS66" s="456"/>
      <c r="GT66" s="456"/>
      <c r="GU66" s="456"/>
      <c r="GV66" s="456"/>
      <c r="GW66" s="456"/>
      <c r="GX66" s="456"/>
      <c r="GY66" s="456"/>
      <c r="GZ66" s="456"/>
      <c r="HA66" s="456"/>
      <c r="HB66" s="456"/>
      <c r="HC66" s="456"/>
      <c r="HD66" s="456"/>
      <c r="HE66" s="456"/>
      <c r="HF66" s="456"/>
      <c r="HG66" s="456"/>
      <c r="HH66" s="456"/>
      <c r="HI66" s="456"/>
      <c r="HJ66" s="456"/>
      <c r="HK66" s="456"/>
      <c r="HL66" s="456"/>
      <c r="HM66" s="456"/>
      <c r="HN66" s="456"/>
      <c r="HO66" s="456"/>
      <c r="HP66" s="456"/>
      <c r="HQ66" s="456"/>
      <c r="HR66" s="456"/>
      <c r="HS66" s="456"/>
      <c r="HT66" s="456"/>
      <c r="HU66" s="456"/>
      <c r="HV66" s="456"/>
      <c r="HW66" s="456"/>
      <c r="HX66" s="456"/>
      <c r="HY66" s="456"/>
      <c r="HZ66" s="456"/>
      <c r="IA66" s="456"/>
      <c r="IB66" s="456"/>
      <c r="IC66" s="456"/>
      <c r="ID66" s="456"/>
      <c r="IE66" s="456"/>
      <c r="IF66" s="456"/>
      <c r="IG66" s="456"/>
      <c r="IH66" s="456"/>
      <c r="II66" s="456"/>
      <c r="IJ66" s="456"/>
      <c r="IK66" s="456"/>
      <c r="IL66" s="456"/>
      <c r="IM66" s="456"/>
      <c r="IN66" s="456"/>
      <c r="IO66" s="456"/>
      <c r="IP66" s="456"/>
      <c r="IQ66" s="456"/>
      <c r="IR66" s="456"/>
      <c r="IS66" s="456"/>
      <c r="IT66" s="456"/>
      <c r="IU66" s="456"/>
      <c r="IV66" s="456"/>
      <c r="IW66" s="456"/>
      <c r="IX66" s="456"/>
      <c r="IY66" s="456"/>
      <c r="IZ66" s="456"/>
      <c r="JA66" s="456"/>
      <c r="JB66" s="456"/>
      <c r="JC66" s="456"/>
      <c r="JD66" s="456"/>
      <c r="JE66" s="456"/>
      <c r="JF66" s="456"/>
      <c r="JG66" s="456"/>
      <c r="JH66" s="456"/>
      <c r="JI66" s="456"/>
      <c r="JJ66" s="456"/>
      <c r="JK66" s="456"/>
      <c r="JL66" s="456"/>
      <c r="JM66" s="456"/>
      <c r="JN66" s="456"/>
      <c r="JO66" s="456"/>
      <c r="JP66" s="456"/>
      <c r="JQ66" s="456"/>
      <c r="JR66" s="456"/>
      <c r="JS66" s="456"/>
      <c r="JT66" s="456"/>
      <c r="JU66" s="456"/>
      <c r="JV66" s="456"/>
      <c r="JW66" s="456"/>
      <c r="JX66" s="456"/>
      <c r="JY66" s="456"/>
      <c r="JZ66" s="456"/>
      <c r="KA66" s="456"/>
      <c r="KB66" s="456"/>
      <c r="KC66" s="456"/>
      <c r="KD66" s="456"/>
      <c r="KE66" s="456"/>
      <c r="KF66" s="456"/>
      <c r="KG66" s="456"/>
      <c r="KH66" s="456"/>
      <c r="KI66" s="456"/>
      <c r="KJ66" s="456"/>
      <c r="KK66" s="456"/>
      <c r="KL66" s="456"/>
      <c r="KM66" s="456"/>
      <c r="KN66" s="456"/>
      <c r="KO66" s="456"/>
      <c r="KP66" s="456"/>
      <c r="KQ66" s="456"/>
      <c r="KR66" s="456"/>
      <c r="KS66" s="456"/>
      <c r="KT66" s="456"/>
      <c r="KU66" s="456"/>
      <c r="KV66" s="456"/>
      <c r="KW66" s="456"/>
      <c r="KX66" s="456"/>
      <c r="KY66" s="456"/>
      <c r="KZ66" s="456"/>
      <c r="LA66" s="456"/>
      <c r="LB66" s="456"/>
      <c r="LC66" s="456"/>
      <c r="LD66" s="456"/>
      <c r="LE66" s="456"/>
      <c r="LF66" s="456"/>
      <c r="LG66" s="456"/>
      <c r="LH66" s="456"/>
      <c r="LI66" s="456"/>
      <c r="LJ66" s="456"/>
      <c r="LK66" s="456"/>
      <c r="LL66" s="456"/>
      <c r="LM66" s="456"/>
      <c r="LN66" s="456"/>
      <c r="LO66" s="456"/>
      <c r="LP66" s="456"/>
      <c r="LQ66" s="456"/>
      <c r="LR66" s="456"/>
      <c r="LS66" s="456"/>
      <c r="LT66" s="456"/>
      <c r="LU66" s="456"/>
      <c r="LV66" s="456"/>
      <c r="LW66" s="456"/>
      <c r="LX66" s="456"/>
      <c r="LY66" s="456"/>
      <c r="LZ66" s="456"/>
      <c r="MA66" s="456"/>
      <c r="MB66" s="456"/>
      <c r="MC66" s="456"/>
      <c r="MD66" s="456"/>
      <c r="ME66" s="456"/>
      <c r="MF66" s="456"/>
      <c r="MG66" s="456"/>
      <c r="MH66" s="456"/>
      <c r="MI66" s="456"/>
      <c r="MJ66" s="456"/>
      <c r="MK66" s="456"/>
      <c r="ML66" s="456"/>
      <c r="MM66" s="456"/>
      <c r="MN66" s="456"/>
      <c r="MO66" s="456"/>
      <c r="MP66" s="456"/>
      <c r="MQ66" s="456"/>
      <c r="MR66" s="456"/>
      <c r="MS66" s="456"/>
      <c r="MT66" s="456"/>
      <c r="MU66" s="456"/>
      <c r="MV66" s="456"/>
      <c r="MW66" s="456"/>
      <c r="MX66" s="456"/>
      <c r="MY66" s="456"/>
      <c r="MZ66" s="456"/>
      <c r="NA66" s="456"/>
      <c r="NB66" s="456"/>
      <c r="NC66" s="456"/>
      <c r="ND66" s="456"/>
      <c r="NE66" s="456"/>
      <c r="NF66" s="456"/>
      <c r="NG66" s="456"/>
      <c r="NH66" s="456"/>
      <c r="NI66" s="456"/>
      <c r="NJ66" s="456"/>
      <c r="NK66" s="456"/>
      <c r="NL66" s="456"/>
      <c r="NM66" s="456"/>
      <c r="NN66" s="456"/>
      <c r="NO66" s="456"/>
      <c r="NP66" s="456"/>
      <c r="NQ66" s="456"/>
      <c r="NR66" s="456"/>
      <c r="NS66" s="456"/>
      <c r="NT66" s="456"/>
      <c r="NU66" s="456"/>
      <c r="NV66" s="456"/>
      <c r="NW66" s="456"/>
      <c r="NX66" s="456"/>
      <c r="NY66" s="456"/>
      <c r="NZ66" s="456"/>
      <c r="OA66" s="456"/>
      <c r="OB66" s="456"/>
      <c r="OC66" s="456"/>
      <c r="OD66" s="456"/>
      <c r="OE66" s="456"/>
      <c r="OF66" s="456"/>
      <c r="OG66" s="456"/>
      <c r="OH66" s="456"/>
      <c r="OI66" s="456"/>
      <c r="OJ66" s="456"/>
      <c r="OK66" s="456"/>
      <c r="OL66" s="456"/>
      <c r="OM66" s="456"/>
      <c r="ON66" s="456"/>
      <c r="OO66" s="456"/>
      <c r="OP66" s="456"/>
      <c r="OQ66" s="456"/>
      <c r="OR66" s="456"/>
      <c r="OS66" s="456"/>
      <c r="OT66" s="456"/>
      <c r="OU66" s="456"/>
      <c r="OV66" s="456"/>
      <c r="OW66" s="456"/>
      <c r="OX66" s="456"/>
      <c r="OY66" s="456"/>
      <c r="OZ66" s="456"/>
      <c r="PA66" s="456"/>
      <c r="PB66" s="456"/>
      <c r="PC66" s="456"/>
      <c r="PD66" s="456"/>
      <c r="PE66" s="456"/>
      <c r="PF66" s="456"/>
      <c r="PG66" s="456"/>
      <c r="PH66" s="456"/>
      <c r="PI66" s="456"/>
      <c r="PJ66" s="456"/>
      <c r="PK66" s="456"/>
      <c r="PL66" s="456"/>
      <c r="PM66" s="456"/>
      <c r="PN66" s="456"/>
      <c r="PO66" s="456"/>
      <c r="PP66" s="456"/>
      <c r="PQ66" s="456"/>
      <c r="PR66" s="456"/>
      <c r="PS66" s="456"/>
      <c r="PT66" s="456"/>
      <c r="PU66" s="456"/>
      <c r="PV66" s="456"/>
      <c r="PW66" s="456"/>
      <c r="PX66" s="456"/>
      <c r="PY66" s="456"/>
      <c r="PZ66" s="456"/>
      <c r="QA66" s="456"/>
      <c r="QB66" s="456"/>
      <c r="QC66" s="456"/>
      <c r="QD66" s="456"/>
      <c r="QE66" s="456"/>
      <c r="QF66" s="456"/>
      <c r="QG66" s="456"/>
      <c r="QH66" s="456"/>
      <c r="QI66" s="456"/>
      <c r="QJ66" s="456"/>
      <c r="QK66" s="456"/>
      <c r="QL66" s="456"/>
      <c r="QM66" s="456"/>
      <c r="QN66" s="456"/>
      <c r="QO66" s="456"/>
      <c r="QP66" s="456"/>
      <c r="QQ66" s="456"/>
      <c r="QR66" s="456"/>
      <c r="QS66" s="456"/>
      <c r="QT66" s="456"/>
      <c r="QU66" s="456"/>
      <c r="QV66" s="456"/>
      <c r="QW66" s="456"/>
      <c r="QX66" s="456"/>
      <c r="QY66" s="456"/>
      <c r="QZ66" s="456"/>
      <c r="RA66" s="456"/>
      <c r="RB66" s="456"/>
      <c r="RC66" s="456"/>
      <c r="RD66" s="456"/>
      <c r="RE66" s="456"/>
      <c r="RF66" s="456"/>
      <c r="RG66" s="456"/>
      <c r="RH66" s="456"/>
      <c r="RI66" s="456"/>
      <c r="RJ66" s="456"/>
      <c r="RK66" s="456"/>
      <c r="RL66" s="456"/>
      <c r="RM66" s="456"/>
      <c r="RN66" s="456"/>
      <c r="RO66" s="456"/>
      <c r="RP66" s="456"/>
      <c r="RQ66" s="456"/>
      <c r="RR66" s="456"/>
      <c r="RS66" s="456"/>
      <c r="RT66" s="456"/>
      <c r="RU66" s="456"/>
      <c r="RV66" s="456"/>
      <c r="RW66" s="456"/>
      <c r="RX66" s="456"/>
      <c r="RY66" s="456"/>
      <c r="RZ66" s="456"/>
      <c r="SA66" s="456"/>
      <c r="SB66" s="456"/>
      <c r="SC66" s="456"/>
      <c r="SD66" s="456"/>
      <c r="SE66" s="456"/>
      <c r="SF66" s="456"/>
      <c r="SG66" s="456"/>
      <c r="SH66" s="456"/>
      <c r="SI66" s="456"/>
      <c r="SJ66" s="456"/>
      <c r="SK66" s="456"/>
      <c r="SL66" s="456"/>
      <c r="SM66" s="456"/>
      <c r="SN66" s="456"/>
      <c r="SO66" s="456"/>
      <c r="SP66" s="456"/>
      <c r="SQ66" s="456"/>
      <c r="SR66" s="456"/>
      <c r="SS66" s="456"/>
      <c r="ST66" s="456"/>
      <c r="SU66" s="456"/>
      <c r="SV66" s="456"/>
      <c r="SW66" s="456"/>
      <c r="SX66" s="456"/>
      <c r="SY66" s="456"/>
      <c r="SZ66" s="456"/>
      <c r="TA66" s="456"/>
      <c r="TB66" s="456"/>
      <c r="TC66" s="456"/>
      <c r="TD66" s="456"/>
      <c r="TE66" s="456"/>
      <c r="TF66" s="456"/>
      <c r="TG66" s="456"/>
      <c r="TH66" s="456"/>
      <c r="TI66" s="456"/>
      <c r="TJ66" s="456"/>
      <c r="TK66" s="456"/>
      <c r="TL66" s="456"/>
      <c r="TM66" s="456"/>
      <c r="TN66" s="456"/>
      <c r="TO66" s="456"/>
      <c r="TP66" s="456"/>
      <c r="TQ66" s="456"/>
      <c r="TR66" s="456"/>
      <c r="TS66" s="456"/>
      <c r="TT66" s="456"/>
      <c r="TU66" s="456"/>
      <c r="TV66" s="456"/>
      <c r="TW66" s="456"/>
      <c r="TX66" s="456"/>
      <c r="TY66" s="456"/>
      <c r="TZ66" s="456"/>
      <c r="UA66" s="456"/>
      <c r="UB66" s="456"/>
      <c r="UC66" s="456"/>
      <c r="UD66" s="456"/>
      <c r="UE66" s="456"/>
      <c r="UF66" s="456"/>
      <c r="UG66" s="456"/>
      <c r="UH66" s="456"/>
      <c r="UI66" s="456"/>
      <c r="UJ66" s="456"/>
      <c r="UK66" s="456"/>
      <c r="UL66" s="456"/>
      <c r="UM66" s="456"/>
      <c r="UN66" s="456"/>
      <c r="UO66" s="456"/>
      <c r="UP66" s="456"/>
      <c r="UQ66" s="456"/>
      <c r="UR66" s="456"/>
      <c r="US66" s="456"/>
      <c r="UT66" s="456"/>
      <c r="UU66" s="456"/>
      <c r="UV66" s="456"/>
      <c r="UW66" s="456"/>
      <c r="UX66" s="456"/>
      <c r="UY66" s="456"/>
      <c r="UZ66" s="456"/>
      <c r="VA66" s="456"/>
      <c r="VB66" s="456"/>
      <c r="VC66" s="456"/>
      <c r="VD66" s="456"/>
      <c r="VE66" s="456"/>
      <c r="VF66" s="456"/>
      <c r="VG66" s="456"/>
      <c r="VH66" s="456"/>
      <c r="VI66" s="456"/>
      <c r="VJ66" s="456"/>
      <c r="VK66" s="456"/>
      <c r="VL66" s="456"/>
      <c r="VM66" s="456"/>
      <c r="VN66" s="456"/>
      <c r="VO66" s="456"/>
      <c r="VP66" s="456"/>
      <c r="VQ66" s="456"/>
      <c r="VR66" s="456"/>
      <c r="VS66" s="456"/>
      <c r="VT66" s="456"/>
      <c r="VU66" s="456"/>
      <c r="VV66" s="456"/>
      <c r="VW66" s="456"/>
      <c r="VX66" s="456"/>
      <c r="VY66" s="456"/>
      <c r="VZ66" s="456"/>
      <c r="WA66" s="456"/>
      <c r="WB66" s="456"/>
      <c r="WC66" s="456"/>
      <c r="WD66" s="456"/>
      <c r="WE66" s="456"/>
      <c r="WF66" s="456"/>
      <c r="WG66" s="456"/>
      <c r="WH66" s="456"/>
      <c r="WI66" s="456"/>
      <c r="WJ66" s="456"/>
      <c r="WK66" s="456"/>
      <c r="WL66" s="456"/>
      <c r="WM66" s="456"/>
      <c r="WN66" s="456"/>
      <c r="WO66" s="456"/>
      <c r="WP66" s="456"/>
      <c r="WQ66" s="456"/>
      <c r="WR66" s="456"/>
      <c r="WS66" s="456"/>
      <c r="WT66" s="456"/>
      <c r="WU66" s="456"/>
      <c r="WV66" s="456"/>
      <c r="WW66" s="456"/>
      <c r="WX66" s="456"/>
      <c r="WY66" s="456"/>
      <c r="WZ66" s="456"/>
      <c r="XA66" s="456"/>
      <c r="XB66" s="456"/>
      <c r="XC66" s="456"/>
      <c r="XD66" s="456"/>
      <c r="XE66" s="456"/>
      <c r="XF66" s="456"/>
      <c r="XG66" s="456"/>
      <c r="XH66" s="456"/>
      <c r="XI66" s="456"/>
      <c r="XJ66" s="456"/>
      <c r="XK66" s="456"/>
      <c r="XL66" s="456"/>
      <c r="XM66" s="456"/>
      <c r="XN66" s="456"/>
      <c r="XO66" s="456"/>
      <c r="XP66" s="456"/>
      <c r="XQ66" s="456"/>
      <c r="XR66" s="456"/>
      <c r="XS66" s="456"/>
      <c r="XT66" s="456"/>
      <c r="XU66" s="456"/>
      <c r="XV66" s="456"/>
      <c r="XW66" s="456"/>
      <c r="XX66" s="456"/>
      <c r="XY66" s="456"/>
      <c r="XZ66" s="456"/>
      <c r="YA66" s="456"/>
      <c r="YB66" s="456"/>
      <c r="YC66" s="456"/>
      <c r="YD66" s="456"/>
      <c r="YE66" s="456"/>
      <c r="YF66" s="456"/>
      <c r="YG66" s="456"/>
      <c r="YH66" s="456"/>
      <c r="YI66" s="456"/>
      <c r="YJ66" s="456"/>
      <c r="YK66" s="456"/>
      <c r="YL66" s="456"/>
      <c r="YM66" s="456"/>
      <c r="YN66" s="456"/>
      <c r="YO66" s="456"/>
      <c r="YP66" s="456"/>
      <c r="YQ66" s="456"/>
      <c r="YR66" s="456"/>
      <c r="YS66" s="456"/>
      <c r="YT66" s="456"/>
      <c r="YU66" s="456"/>
      <c r="YV66" s="456"/>
      <c r="YW66" s="456"/>
      <c r="YX66" s="456"/>
      <c r="YY66" s="456"/>
      <c r="YZ66" s="456"/>
      <c r="ZA66" s="456"/>
      <c r="ZB66" s="456"/>
      <c r="ZC66" s="456"/>
      <c r="ZD66" s="456"/>
      <c r="ZE66" s="456"/>
      <c r="ZF66" s="456"/>
      <c r="ZG66" s="456"/>
      <c r="ZH66" s="456"/>
      <c r="ZI66" s="456"/>
      <c r="ZJ66" s="456"/>
      <c r="ZK66" s="456"/>
      <c r="ZL66" s="456"/>
      <c r="ZM66" s="456"/>
      <c r="ZN66" s="456"/>
      <c r="ZO66" s="456"/>
      <c r="ZP66" s="456"/>
      <c r="ZQ66" s="456"/>
      <c r="ZR66" s="456"/>
      <c r="ZS66" s="456"/>
      <c r="ZT66" s="456"/>
      <c r="ZU66" s="456"/>
      <c r="ZV66" s="456"/>
      <c r="ZW66" s="456"/>
      <c r="ZX66" s="456"/>
      <c r="ZY66" s="456"/>
      <c r="ZZ66" s="456"/>
      <c r="AAA66" s="456"/>
      <c r="AAB66" s="456"/>
      <c r="AAC66" s="456"/>
      <c r="AAD66" s="456"/>
      <c r="AAE66" s="456"/>
      <c r="AAF66" s="456"/>
      <c r="AAG66" s="456"/>
      <c r="AAH66" s="456"/>
      <c r="AAI66" s="456"/>
      <c r="AAJ66" s="456"/>
      <c r="AAK66" s="456"/>
      <c r="AAL66" s="456"/>
      <c r="AAM66" s="456"/>
      <c r="AAN66" s="456"/>
      <c r="AAO66" s="456"/>
      <c r="AAP66" s="456"/>
      <c r="AAQ66" s="456"/>
      <c r="AAR66" s="456"/>
      <c r="AAS66" s="456"/>
      <c r="AAT66" s="456"/>
      <c r="AAU66" s="456"/>
      <c r="AAV66" s="456"/>
      <c r="AAW66" s="456"/>
      <c r="AAX66" s="456"/>
      <c r="AAY66" s="456"/>
      <c r="AAZ66" s="456"/>
      <c r="ABA66" s="456"/>
      <c r="ABB66" s="456"/>
      <c r="ABC66" s="456"/>
      <c r="ABD66" s="456"/>
      <c r="ABE66" s="456"/>
      <c r="ABF66" s="456"/>
      <c r="ABG66" s="456"/>
      <c r="ABH66" s="456"/>
      <c r="ABI66" s="456"/>
      <c r="ABJ66" s="456"/>
      <c r="ABK66" s="456"/>
      <c r="ABL66" s="456"/>
      <c r="ABM66" s="456"/>
      <c r="ABN66" s="456"/>
      <c r="ABO66" s="456"/>
      <c r="ABP66" s="456"/>
      <c r="ABQ66" s="456"/>
      <c r="ABR66" s="456"/>
      <c r="ABS66" s="456"/>
      <c r="ABT66" s="456"/>
      <c r="ABU66" s="456"/>
      <c r="ABV66" s="456"/>
      <c r="ABW66" s="456"/>
      <c r="ABX66" s="456"/>
      <c r="ABY66" s="456"/>
      <c r="ABZ66" s="456"/>
      <c r="ACA66" s="456"/>
      <c r="ACB66" s="456"/>
      <c r="ACC66" s="456"/>
      <c r="ACD66" s="456"/>
      <c r="ACE66" s="456"/>
      <c r="ACF66" s="456"/>
      <c r="ACG66" s="456"/>
      <c r="ACH66" s="456"/>
      <c r="ACI66" s="456"/>
      <c r="ACJ66" s="456"/>
      <c r="ACK66" s="456"/>
      <c r="ACL66" s="456"/>
      <c r="ACM66" s="456"/>
      <c r="ACN66" s="456"/>
      <c r="ACO66" s="456"/>
      <c r="ACP66" s="456"/>
      <c r="ACQ66" s="456"/>
      <c r="ACR66" s="456"/>
      <c r="ACS66" s="456"/>
      <c r="ACT66" s="456"/>
      <c r="ACU66" s="456"/>
      <c r="ACV66" s="456"/>
      <c r="ACW66" s="456"/>
      <c r="ACX66" s="456"/>
      <c r="ACY66" s="456"/>
      <c r="ACZ66" s="456"/>
      <c r="ADA66" s="456"/>
      <c r="ADB66" s="456"/>
      <c r="ADC66" s="456"/>
      <c r="ADD66" s="456"/>
      <c r="ADE66" s="456"/>
      <c r="ADF66" s="456"/>
      <c r="ADG66" s="456"/>
      <c r="ADH66" s="456"/>
      <c r="ADI66" s="456"/>
      <c r="ADJ66" s="456"/>
      <c r="ADK66" s="456"/>
      <c r="ADL66" s="456"/>
      <c r="ADM66" s="456"/>
      <c r="ADN66" s="456"/>
      <c r="ADO66" s="456"/>
      <c r="ADP66" s="456"/>
      <c r="ADQ66" s="456"/>
      <c r="ADR66" s="456"/>
      <c r="ADS66" s="456"/>
      <c r="ADT66" s="456"/>
      <c r="ADU66" s="456"/>
      <c r="ADV66" s="456"/>
      <c r="ADW66" s="456"/>
      <c r="ADX66" s="456"/>
      <c r="ADY66" s="456"/>
      <c r="ADZ66" s="456"/>
      <c r="AEA66" s="456"/>
      <c r="AEB66" s="456"/>
      <c r="AEC66" s="456"/>
      <c r="AED66" s="456"/>
      <c r="AEE66" s="456"/>
      <c r="AEF66" s="456"/>
      <c r="AEG66" s="456"/>
      <c r="AEH66" s="456"/>
      <c r="AEI66" s="456"/>
      <c r="AEJ66" s="456"/>
      <c r="AEK66" s="456"/>
      <c r="AEL66" s="456"/>
      <c r="AEM66" s="456"/>
      <c r="AEN66" s="456"/>
      <c r="AEO66" s="456"/>
      <c r="AEP66" s="456"/>
      <c r="AEQ66" s="456"/>
      <c r="AER66" s="456"/>
      <c r="AES66" s="456"/>
      <c r="AET66" s="456"/>
      <c r="AEU66" s="456"/>
      <c r="AEV66" s="456"/>
      <c r="AEW66" s="456"/>
      <c r="AEX66" s="456"/>
      <c r="AEY66" s="456"/>
      <c r="AEZ66" s="456"/>
      <c r="AFA66" s="456"/>
      <c r="AFB66" s="456"/>
      <c r="AFC66" s="456"/>
      <c r="AFD66" s="456"/>
      <c r="AFE66" s="456"/>
      <c r="AFF66" s="456"/>
      <c r="AFG66" s="456"/>
      <c r="AFH66" s="456"/>
      <c r="AFI66" s="456"/>
      <c r="AFJ66" s="456"/>
      <c r="AFK66" s="456"/>
      <c r="AFL66" s="456"/>
      <c r="AFM66" s="456"/>
      <c r="AFN66" s="456"/>
      <c r="AFO66" s="456"/>
      <c r="AFP66" s="456"/>
      <c r="AFQ66" s="456"/>
      <c r="AFR66" s="456"/>
      <c r="AFS66" s="456"/>
      <c r="AFT66" s="456"/>
      <c r="AFU66" s="456"/>
      <c r="AFV66" s="456"/>
      <c r="AFW66" s="456"/>
      <c r="AFX66" s="456"/>
      <c r="AFY66" s="456"/>
      <c r="AFZ66" s="456"/>
      <c r="AGA66" s="456"/>
      <c r="AGB66" s="456"/>
      <c r="AGC66" s="456"/>
      <c r="AGD66" s="456"/>
      <c r="AGE66" s="456"/>
      <c r="AGF66" s="456"/>
      <c r="AGG66" s="456"/>
      <c r="AGH66" s="456"/>
      <c r="AGI66" s="456"/>
      <c r="AGJ66" s="456"/>
      <c r="AGK66" s="456"/>
      <c r="AGL66" s="456"/>
      <c r="AGM66" s="456"/>
      <c r="AGN66" s="456"/>
      <c r="AGO66" s="456"/>
      <c r="AGP66" s="456"/>
      <c r="AGQ66" s="456"/>
      <c r="AGR66" s="456"/>
      <c r="AGS66" s="456"/>
      <c r="AGT66" s="456"/>
      <c r="AGU66" s="456"/>
      <c r="AGV66" s="456"/>
      <c r="AGW66" s="456"/>
      <c r="AGX66" s="456"/>
      <c r="AGY66" s="456"/>
      <c r="AGZ66" s="456"/>
      <c r="AHA66" s="456"/>
      <c r="AHB66" s="456"/>
      <c r="AHC66" s="456"/>
      <c r="AHD66" s="456"/>
      <c r="AHE66" s="456"/>
      <c r="AHF66" s="456"/>
      <c r="AHG66" s="456"/>
      <c r="AHH66" s="456"/>
      <c r="AHI66" s="456"/>
      <c r="AHJ66" s="456"/>
      <c r="AHK66" s="456"/>
      <c r="AHL66" s="456"/>
      <c r="AHM66" s="456"/>
      <c r="AHN66" s="456"/>
      <c r="AHO66" s="456"/>
      <c r="AHP66" s="456"/>
      <c r="AHQ66" s="456"/>
      <c r="AHR66" s="456"/>
      <c r="AHS66" s="456"/>
      <c r="AHT66" s="456"/>
      <c r="AHU66" s="456"/>
      <c r="AHV66" s="456"/>
      <c r="AHW66" s="456"/>
      <c r="AHX66" s="456"/>
      <c r="AHY66" s="456"/>
      <c r="AHZ66" s="456"/>
      <c r="AIA66" s="456"/>
      <c r="AIB66" s="456"/>
      <c r="AIC66" s="456"/>
      <c r="AID66" s="456"/>
      <c r="AIE66" s="456"/>
      <c r="AIF66" s="456"/>
      <c r="AIG66" s="456"/>
      <c r="AIH66" s="456"/>
      <c r="AII66" s="456"/>
      <c r="AIJ66" s="456"/>
      <c r="AIK66" s="456"/>
      <c r="AIL66" s="456"/>
      <c r="AIM66" s="456"/>
      <c r="AIN66" s="456"/>
      <c r="AIO66" s="456"/>
      <c r="AIP66" s="456"/>
      <c r="AIQ66" s="456"/>
      <c r="AIR66" s="456"/>
      <c r="AIS66" s="456"/>
      <c r="AIT66" s="456"/>
      <c r="AIU66" s="456"/>
      <c r="AIV66" s="456"/>
      <c r="AIW66" s="456"/>
      <c r="AIX66" s="456"/>
      <c r="AIY66" s="456"/>
      <c r="AIZ66" s="456"/>
      <c r="AJA66" s="456"/>
      <c r="AJB66" s="456"/>
      <c r="AJC66" s="456"/>
      <c r="AJD66" s="456"/>
      <c r="AJE66" s="456"/>
      <c r="AJF66" s="456"/>
      <c r="AJG66" s="456"/>
      <c r="AJH66" s="456"/>
      <c r="AJI66" s="456"/>
      <c r="AJJ66" s="456"/>
      <c r="AJK66" s="456"/>
      <c r="AJL66" s="456"/>
      <c r="AJM66" s="456"/>
      <c r="AJN66" s="456"/>
      <c r="AJO66" s="456"/>
      <c r="AJP66" s="456"/>
      <c r="AJQ66" s="456"/>
      <c r="AJR66" s="456"/>
      <c r="AJS66" s="456"/>
      <c r="AJT66" s="456"/>
      <c r="AJU66" s="456"/>
      <c r="AJV66" s="456"/>
      <c r="AJW66" s="456"/>
      <c r="AJX66" s="456"/>
      <c r="AJY66" s="456"/>
      <c r="AJZ66" s="456"/>
      <c r="AKA66" s="456"/>
      <c r="AKB66" s="456"/>
      <c r="AKC66" s="456"/>
      <c r="AKD66" s="456"/>
      <c r="AKE66" s="456"/>
      <c r="AKF66" s="456"/>
      <c r="AKG66" s="456"/>
      <c r="AKH66" s="456"/>
      <c r="AKI66" s="456"/>
      <c r="AKJ66" s="456"/>
      <c r="AKK66" s="456"/>
      <c r="AKL66" s="456"/>
      <c r="AKM66" s="456"/>
      <c r="AKN66" s="456"/>
      <c r="AKO66" s="456"/>
      <c r="AKP66" s="456"/>
      <c r="AKQ66" s="456"/>
      <c r="AKR66" s="456"/>
      <c r="AKS66" s="456"/>
      <c r="AKT66" s="456"/>
      <c r="AKU66" s="456"/>
      <c r="AKV66" s="456"/>
      <c r="AKW66" s="456"/>
      <c r="AKX66" s="456"/>
      <c r="AKY66" s="456"/>
      <c r="AKZ66" s="456"/>
      <c r="ALA66" s="456"/>
      <c r="ALB66" s="456"/>
      <c r="ALC66" s="456"/>
      <c r="ALD66" s="456"/>
      <c r="ALE66" s="456"/>
      <c r="ALF66" s="456"/>
      <c r="ALG66" s="456"/>
      <c r="ALH66" s="456"/>
      <c r="ALI66" s="456"/>
      <c r="ALJ66" s="456"/>
      <c r="ALK66" s="456"/>
      <c r="ALL66" s="456"/>
      <c r="ALM66" s="456"/>
      <c r="ALN66" s="456"/>
      <c r="ALO66" s="456"/>
      <c r="ALP66" s="456"/>
      <c r="ALQ66" s="456"/>
      <c r="ALR66" s="456"/>
      <c r="ALS66" s="456"/>
      <c r="ALT66" s="456"/>
      <c r="ALU66" s="456"/>
      <c r="ALV66" s="456"/>
      <c r="ALW66" s="456"/>
      <c r="ALX66" s="456"/>
      <c r="ALY66" s="456"/>
      <c r="ALZ66" s="456"/>
      <c r="AMA66" s="456"/>
      <c r="AMB66" s="456"/>
      <c r="AMC66" s="456"/>
      <c r="AMD66" s="456"/>
      <c r="AME66" s="456"/>
      <c r="AMF66" s="456"/>
      <c r="AMG66" s="456"/>
      <c r="AMH66" s="456"/>
      <c r="AMI66" s="456"/>
      <c r="AMJ66" s="456"/>
      <c r="AMK66" s="456"/>
      <c r="AML66" s="456"/>
      <c r="AMM66" s="456"/>
      <c r="AMN66" s="456"/>
      <c r="AMO66" s="456"/>
      <c r="AMP66" s="456"/>
      <c r="AMQ66" s="456"/>
      <c r="AMR66" s="456"/>
      <c r="AMS66" s="456"/>
      <c r="AMT66" s="456"/>
      <c r="AMU66" s="456"/>
      <c r="AMV66" s="456"/>
      <c r="AMW66" s="456"/>
      <c r="AMX66" s="456"/>
      <c r="AMY66" s="456"/>
      <c r="AMZ66" s="456"/>
      <c r="ANA66" s="456"/>
      <c r="ANB66" s="456"/>
      <c r="ANC66" s="456"/>
      <c r="AND66" s="456"/>
      <c r="ANE66" s="456"/>
      <c r="ANF66" s="456"/>
      <c r="ANG66" s="456"/>
      <c r="ANH66" s="456"/>
      <c r="ANI66" s="456"/>
      <c r="ANJ66" s="456"/>
      <c r="ANK66" s="456"/>
      <c r="ANL66" s="456"/>
      <c r="ANM66" s="456"/>
      <c r="ANN66" s="456"/>
      <c r="ANO66" s="456"/>
      <c r="ANP66" s="456"/>
      <c r="ANQ66" s="456"/>
      <c r="ANR66" s="456"/>
      <c r="ANS66" s="456"/>
      <c r="ANT66" s="456"/>
      <c r="ANU66" s="456"/>
      <c r="ANV66" s="456"/>
      <c r="ANW66" s="456"/>
      <c r="ANX66" s="456"/>
      <c r="ANY66" s="456"/>
      <c r="ANZ66" s="456"/>
      <c r="AOA66" s="456"/>
      <c r="AOB66" s="456"/>
      <c r="AOC66" s="456"/>
      <c r="AOD66" s="456"/>
      <c r="AOE66" s="456"/>
      <c r="AOF66" s="456"/>
      <c r="AOG66" s="456"/>
      <c r="AOH66" s="456"/>
      <c r="AOI66" s="456"/>
      <c r="AOJ66" s="456"/>
      <c r="AOK66" s="456"/>
      <c r="AOL66" s="456"/>
      <c r="AOM66" s="456"/>
      <c r="AON66" s="456"/>
      <c r="AOO66" s="456"/>
      <c r="AOP66" s="456"/>
      <c r="AOQ66" s="456"/>
      <c r="AOR66" s="456"/>
      <c r="AOS66" s="456"/>
      <c r="AOT66" s="456"/>
      <c r="AOU66" s="456"/>
      <c r="AOV66" s="456"/>
      <c r="AOW66" s="456"/>
      <c r="AOX66" s="456"/>
      <c r="AOY66" s="456"/>
      <c r="AOZ66" s="456"/>
      <c r="APA66" s="456"/>
      <c r="APB66" s="456"/>
      <c r="APC66" s="456"/>
      <c r="APD66" s="456"/>
      <c r="APE66" s="456"/>
      <c r="APF66" s="456"/>
      <c r="APG66" s="456"/>
      <c r="APH66" s="456"/>
      <c r="API66" s="456"/>
      <c r="APJ66" s="456"/>
      <c r="APK66" s="456"/>
      <c r="APL66" s="456"/>
      <c r="APM66" s="456"/>
      <c r="APN66" s="456"/>
      <c r="APO66" s="456"/>
      <c r="APP66" s="456"/>
      <c r="APQ66" s="456"/>
      <c r="APR66" s="456"/>
      <c r="APS66" s="456"/>
      <c r="APT66" s="456"/>
      <c r="APU66" s="456"/>
      <c r="APV66" s="456"/>
      <c r="APW66" s="456"/>
      <c r="APX66" s="456"/>
      <c r="APY66" s="456"/>
      <c r="APZ66" s="456"/>
      <c r="AQA66" s="456"/>
      <c r="AQB66" s="456"/>
      <c r="AQC66" s="456"/>
      <c r="AQD66" s="456"/>
      <c r="AQE66" s="456"/>
      <c r="AQF66" s="456"/>
      <c r="AQG66" s="456"/>
      <c r="AQH66" s="456"/>
      <c r="AQI66" s="456"/>
      <c r="AQJ66" s="456"/>
      <c r="AQK66" s="456"/>
      <c r="AQL66" s="456"/>
      <c r="AQM66" s="456"/>
      <c r="AQN66" s="456"/>
      <c r="AQO66" s="456"/>
      <c r="AQP66" s="456"/>
      <c r="AQQ66" s="456"/>
      <c r="AQR66" s="456"/>
      <c r="AQS66" s="456"/>
      <c r="AQT66" s="456"/>
      <c r="AQU66" s="456"/>
      <c r="AQV66" s="456"/>
      <c r="AQW66" s="456"/>
      <c r="AQX66" s="456"/>
      <c r="AQY66" s="456"/>
      <c r="AQZ66" s="456"/>
      <c r="ARA66" s="456"/>
      <c r="ARB66" s="456"/>
      <c r="ARC66" s="456"/>
      <c r="ARD66" s="456"/>
      <c r="ARE66" s="456"/>
      <c r="ARF66" s="456"/>
      <c r="ARG66" s="456"/>
      <c r="ARH66" s="456"/>
      <c r="ARI66" s="456"/>
      <c r="ARJ66" s="456"/>
      <c r="ARK66" s="456"/>
      <c r="ARL66" s="456"/>
      <c r="ARM66" s="456"/>
      <c r="ARN66" s="456"/>
      <c r="ARO66" s="456"/>
      <c r="ARP66" s="456"/>
      <c r="ARQ66" s="456"/>
      <c r="ARR66" s="456"/>
      <c r="ARS66" s="456"/>
      <c r="ART66" s="456"/>
      <c r="ARU66" s="456"/>
      <c r="ARV66" s="456"/>
      <c r="ARW66" s="456"/>
      <c r="ARX66" s="456"/>
      <c r="ARY66" s="456"/>
      <c r="ARZ66" s="456"/>
      <c r="ASA66" s="456"/>
      <c r="ASB66" s="456"/>
      <c r="ASC66" s="456"/>
      <c r="ASD66" s="456"/>
      <c r="ASE66" s="456"/>
      <c r="ASF66" s="456"/>
      <c r="ASG66" s="456"/>
      <c r="ASH66" s="456"/>
      <c r="ASI66" s="456"/>
      <c r="ASJ66" s="456"/>
      <c r="ASK66" s="456"/>
      <c r="ASL66" s="456"/>
      <c r="ASM66" s="456"/>
      <c r="ASN66" s="456"/>
      <c r="ASO66" s="456"/>
      <c r="ASP66" s="456"/>
      <c r="ASQ66" s="456"/>
      <c r="ASR66" s="456"/>
      <c r="ASS66" s="456"/>
      <c r="AST66" s="456"/>
      <c r="ASU66" s="456"/>
      <c r="ASV66" s="456"/>
      <c r="ASW66" s="456"/>
      <c r="ASX66" s="456"/>
      <c r="ASY66" s="456"/>
      <c r="ASZ66" s="456"/>
      <c r="ATA66" s="456"/>
      <c r="ATB66" s="456"/>
      <c r="ATC66" s="456"/>
      <c r="ATD66" s="456"/>
      <c r="ATE66" s="456"/>
      <c r="ATF66" s="456"/>
      <c r="ATG66" s="456"/>
      <c r="ATH66" s="456"/>
      <c r="ATI66" s="456"/>
      <c r="ATJ66" s="456"/>
      <c r="ATK66" s="456"/>
      <c r="ATL66" s="456"/>
      <c r="ATM66" s="456"/>
      <c r="ATN66" s="456"/>
      <c r="ATO66" s="456"/>
      <c r="ATP66" s="456"/>
      <c r="ATQ66" s="456"/>
      <c r="ATR66" s="456"/>
      <c r="ATS66" s="456"/>
      <c r="ATT66" s="456"/>
      <c r="ATU66" s="456"/>
      <c r="ATV66" s="456"/>
      <c r="ATW66" s="456"/>
      <c r="ATX66" s="456"/>
      <c r="ATY66" s="456"/>
      <c r="ATZ66" s="456"/>
      <c r="AUA66" s="456"/>
      <c r="AUB66" s="456"/>
      <c r="AUC66" s="456"/>
      <c r="AUD66" s="456"/>
      <c r="AUE66" s="456"/>
      <c r="AUF66" s="456"/>
      <c r="AUG66" s="456"/>
      <c r="AUH66" s="456"/>
      <c r="AUI66" s="456"/>
      <c r="AUJ66" s="456"/>
      <c r="AUK66" s="456"/>
      <c r="AUL66" s="456"/>
      <c r="AUM66" s="456"/>
      <c r="AUN66" s="456"/>
      <c r="AUO66" s="456"/>
      <c r="AUP66" s="456"/>
      <c r="AUQ66" s="456"/>
      <c r="AUR66" s="456"/>
      <c r="AUS66" s="456"/>
      <c r="AUT66" s="456"/>
      <c r="AUU66" s="456"/>
      <c r="AUV66" s="456"/>
      <c r="AUW66" s="456"/>
      <c r="AUX66" s="456"/>
      <c r="AUY66" s="456"/>
      <c r="AUZ66" s="456"/>
      <c r="AVA66" s="456"/>
      <c r="AVB66" s="456"/>
      <c r="AVC66" s="456"/>
      <c r="AVD66" s="456"/>
      <c r="AVE66" s="456"/>
      <c r="AVF66" s="456"/>
      <c r="AVG66" s="456"/>
      <c r="AVH66" s="456"/>
      <c r="AVI66" s="456"/>
      <c r="AVJ66" s="456"/>
      <c r="AVK66" s="456"/>
      <c r="AVL66" s="456"/>
      <c r="AVM66" s="456"/>
      <c r="AVN66" s="456"/>
      <c r="AVO66" s="456"/>
      <c r="AVP66" s="456"/>
      <c r="AVQ66" s="456"/>
      <c r="AVR66" s="456"/>
      <c r="AVS66" s="456"/>
      <c r="AVT66" s="456"/>
      <c r="AVU66" s="456"/>
      <c r="AVV66" s="456"/>
      <c r="AVW66" s="456"/>
      <c r="AVX66" s="456"/>
      <c r="AVY66" s="456"/>
      <c r="AVZ66" s="456"/>
      <c r="AWA66" s="456"/>
      <c r="AWB66" s="456"/>
      <c r="AWC66" s="456"/>
      <c r="AWD66" s="456"/>
      <c r="AWE66" s="456"/>
      <c r="AWF66" s="456"/>
      <c r="AWG66" s="456"/>
      <c r="AWH66" s="456"/>
      <c r="AWI66" s="456"/>
      <c r="AWJ66" s="456"/>
      <c r="AWK66" s="456"/>
      <c r="AWL66" s="456"/>
      <c r="AWM66" s="456"/>
      <c r="AWN66" s="456"/>
      <c r="AWO66" s="456"/>
      <c r="AWP66" s="456"/>
      <c r="AWQ66" s="456"/>
      <c r="AWR66" s="456"/>
      <c r="AWS66" s="456"/>
      <c r="AWT66" s="456"/>
      <c r="AWU66" s="456"/>
      <c r="AWV66" s="456"/>
      <c r="AWW66" s="456"/>
      <c r="AWX66" s="456"/>
      <c r="AWY66" s="456"/>
      <c r="AWZ66" s="456"/>
      <c r="AXA66" s="456"/>
      <c r="AXB66" s="456"/>
      <c r="AXC66" s="456"/>
      <c r="AXD66" s="456"/>
      <c r="AXE66" s="456"/>
      <c r="AXF66" s="456"/>
      <c r="AXG66" s="456"/>
      <c r="AXH66" s="456"/>
      <c r="AXI66" s="456"/>
      <c r="AXJ66" s="456"/>
      <c r="AXK66" s="456"/>
      <c r="AXL66" s="456"/>
      <c r="AXM66" s="456"/>
      <c r="AXN66" s="456"/>
      <c r="AXO66" s="456"/>
      <c r="AXP66" s="456"/>
      <c r="AXQ66" s="456"/>
      <c r="AXR66" s="456"/>
      <c r="AXS66" s="456"/>
      <c r="AXT66" s="456"/>
      <c r="AXU66" s="456"/>
      <c r="AXV66" s="456"/>
      <c r="AXW66" s="456"/>
      <c r="AXX66" s="456"/>
      <c r="AXY66" s="456"/>
      <c r="AXZ66" s="456"/>
      <c r="AYA66" s="456"/>
      <c r="AYB66" s="456"/>
      <c r="AYC66" s="456"/>
      <c r="AYD66" s="456"/>
      <c r="AYE66" s="456"/>
      <c r="AYF66" s="456"/>
      <c r="AYG66" s="456"/>
      <c r="AYH66" s="456"/>
      <c r="AYI66" s="456"/>
      <c r="AYJ66" s="456"/>
      <c r="AYK66" s="456"/>
      <c r="AYL66" s="456"/>
      <c r="AYM66" s="456"/>
      <c r="AYN66" s="456"/>
      <c r="AYO66" s="456"/>
      <c r="AYP66" s="456"/>
      <c r="AYQ66" s="456"/>
      <c r="AYR66" s="456"/>
      <c r="AYS66" s="456"/>
      <c r="AYT66" s="456"/>
      <c r="AYU66" s="456"/>
      <c r="AYV66" s="456"/>
      <c r="AYW66" s="456"/>
      <c r="AYX66" s="456"/>
      <c r="AYY66" s="456"/>
      <c r="AYZ66" s="456"/>
      <c r="AZA66" s="456"/>
      <c r="AZB66" s="456"/>
      <c r="AZC66" s="456"/>
      <c r="AZD66" s="456"/>
      <c r="AZE66" s="456"/>
      <c r="AZF66" s="456"/>
      <c r="AZG66" s="456"/>
      <c r="AZH66" s="456"/>
      <c r="AZI66" s="456"/>
      <c r="AZJ66" s="456"/>
      <c r="AZK66" s="456"/>
      <c r="AZL66" s="456"/>
      <c r="AZM66" s="456"/>
      <c r="AZN66" s="456"/>
      <c r="AZO66" s="456"/>
      <c r="AZP66" s="456"/>
      <c r="AZQ66" s="456"/>
      <c r="AZR66" s="456"/>
      <c r="AZS66" s="456"/>
      <c r="AZT66" s="456"/>
      <c r="AZU66" s="456"/>
      <c r="AZV66" s="456"/>
      <c r="AZW66" s="456"/>
      <c r="AZX66" s="456"/>
      <c r="AZY66" s="456"/>
      <c r="AZZ66" s="456"/>
      <c r="BAA66" s="456"/>
      <c r="BAB66" s="456"/>
      <c r="BAC66" s="456"/>
      <c r="BAD66" s="456"/>
      <c r="BAE66" s="456"/>
      <c r="BAF66" s="456"/>
      <c r="BAG66" s="456"/>
      <c r="BAH66" s="456"/>
      <c r="BAI66" s="456"/>
      <c r="BAJ66" s="456"/>
      <c r="BAK66" s="456"/>
      <c r="BAL66" s="456"/>
      <c r="BAM66" s="456"/>
      <c r="BAN66" s="456"/>
      <c r="BAO66" s="456"/>
      <c r="BAP66" s="456"/>
      <c r="BAQ66" s="456"/>
      <c r="BAR66" s="456"/>
      <c r="BAS66" s="456"/>
      <c r="BAT66" s="456"/>
      <c r="BAU66" s="456"/>
      <c r="BAV66" s="456"/>
      <c r="BAW66" s="456"/>
      <c r="BAX66" s="456"/>
      <c r="BAY66" s="456"/>
      <c r="BAZ66" s="456"/>
      <c r="BBA66" s="456"/>
      <c r="BBB66" s="456"/>
      <c r="BBC66" s="456"/>
      <c r="BBD66" s="456"/>
      <c r="BBE66" s="456"/>
      <c r="BBF66" s="456"/>
      <c r="BBG66" s="456"/>
      <c r="BBH66" s="456"/>
      <c r="BBI66" s="456"/>
      <c r="BBJ66" s="456"/>
      <c r="BBK66" s="456"/>
      <c r="BBL66" s="456"/>
      <c r="BBM66" s="456"/>
      <c r="BBN66" s="456"/>
      <c r="BBO66" s="456"/>
      <c r="BBP66" s="456"/>
      <c r="BBQ66" s="456"/>
      <c r="BBR66" s="456"/>
      <c r="BBS66" s="456"/>
      <c r="BBT66" s="456"/>
      <c r="BBU66" s="456"/>
      <c r="BBV66" s="456"/>
      <c r="BBW66" s="456"/>
      <c r="BBX66" s="456"/>
      <c r="BBY66" s="456"/>
      <c r="BBZ66" s="456"/>
      <c r="BCA66" s="456"/>
      <c r="BCB66" s="456"/>
      <c r="BCC66" s="456"/>
      <c r="BCD66" s="456"/>
      <c r="BCE66" s="456"/>
      <c r="BCF66" s="456"/>
      <c r="BCG66" s="456"/>
      <c r="BCH66" s="456"/>
      <c r="BCI66" s="456"/>
      <c r="BCJ66" s="456"/>
      <c r="BCK66" s="456"/>
      <c r="BCL66" s="456"/>
      <c r="BCM66" s="456"/>
      <c r="BCN66" s="456"/>
      <c r="BCO66" s="456"/>
      <c r="BCP66" s="456"/>
      <c r="BCQ66" s="456"/>
      <c r="BCR66" s="456"/>
      <c r="BCS66" s="456"/>
      <c r="BCT66" s="456"/>
      <c r="BCU66" s="456"/>
      <c r="BCV66" s="456"/>
      <c r="BCW66" s="456"/>
      <c r="BCX66" s="456"/>
      <c r="BCY66" s="456"/>
      <c r="BCZ66" s="456"/>
      <c r="BDA66" s="456"/>
      <c r="BDB66" s="456"/>
      <c r="BDC66" s="456"/>
      <c r="BDD66" s="456"/>
      <c r="BDE66" s="456"/>
      <c r="BDF66" s="456"/>
      <c r="BDG66" s="456"/>
      <c r="BDH66" s="456"/>
      <c r="BDI66" s="456"/>
      <c r="BDJ66" s="456"/>
      <c r="BDK66" s="456"/>
      <c r="BDL66" s="456"/>
      <c r="BDM66" s="456"/>
      <c r="BDN66" s="456"/>
      <c r="BDO66" s="456"/>
      <c r="BDP66" s="456"/>
      <c r="BDQ66" s="456"/>
      <c r="BDR66" s="456"/>
      <c r="BDS66" s="456"/>
      <c r="BDT66" s="456"/>
      <c r="BDU66" s="456"/>
      <c r="BDV66" s="456"/>
      <c r="BDW66" s="456"/>
      <c r="BDX66" s="456"/>
      <c r="BDY66" s="456"/>
      <c r="BDZ66" s="456"/>
      <c r="BEA66" s="456"/>
      <c r="BEB66" s="456"/>
      <c r="BEC66" s="456"/>
      <c r="BED66" s="456"/>
      <c r="BEE66" s="456"/>
      <c r="BEF66" s="456"/>
      <c r="BEG66" s="456"/>
      <c r="BEH66" s="456"/>
      <c r="BEI66" s="456"/>
      <c r="BEJ66" s="456"/>
      <c r="BEK66" s="456"/>
      <c r="BEL66" s="456"/>
      <c r="BEM66" s="456"/>
      <c r="BEN66" s="456"/>
      <c r="BEO66" s="456"/>
      <c r="BEP66" s="456"/>
      <c r="BEQ66" s="456"/>
      <c r="BER66" s="456"/>
      <c r="BES66" s="456"/>
      <c r="BET66" s="456"/>
      <c r="BEU66" s="456"/>
      <c r="BEV66" s="456"/>
      <c r="BEW66" s="456"/>
      <c r="BEX66" s="456"/>
      <c r="BEY66" s="456"/>
      <c r="BEZ66" s="456"/>
      <c r="BFA66" s="456"/>
      <c r="BFB66" s="456"/>
      <c r="BFC66" s="456"/>
      <c r="BFD66" s="456"/>
      <c r="BFE66" s="456"/>
      <c r="BFF66" s="456"/>
      <c r="BFG66" s="456"/>
      <c r="BFH66" s="456"/>
      <c r="BFI66" s="456"/>
      <c r="BFJ66" s="456"/>
      <c r="BFK66" s="456"/>
      <c r="BFL66" s="456"/>
      <c r="BFM66" s="456"/>
      <c r="BFN66" s="456"/>
      <c r="BFO66" s="456"/>
      <c r="BFP66" s="456"/>
      <c r="BFQ66" s="456"/>
      <c r="BFR66" s="456"/>
      <c r="BFS66" s="456"/>
      <c r="BFT66" s="456"/>
      <c r="BFU66" s="456"/>
      <c r="BFV66" s="456"/>
      <c r="BFW66" s="456"/>
      <c r="BFX66" s="456"/>
      <c r="BFY66" s="456"/>
      <c r="BFZ66" s="456"/>
      <c r="BGA66" s="456"/>
      <c r="BGB66" s="456"/>
      <c r="BGC66" s="456"/>
      <c r="BGD66" s="456"/>
      <c r="BGE66" s="456"/>
      <c r="BGF66" s="456"/>
      <c r="BGG66" s="456"/>
      <c r="BGH66" s="456"/>
      <c r="BGI66" s="456"/>
      <c r="BGJ66" s="456"/>
      <c r="BGK66" s="456"/>
      <c r="BGL66" s="456"/>
      <c r="BGM66" s="456"/>
      <c r="BGN66" s="456"/>
      <c r="BGO66" s="456"/>
      <c r="BGP66" s="456"/>
      <c r="BGQ66" s="456"/>
      <c r="BGR66" s="456"/>
      <c r="BGS66" s="456"/>
      <c r="BGT66" s="456"/>
      <c r="BGU66" s="456"/>
      <c r="BGV66" s="456"/>
      <c r="BGW66" s="456"/>
      <c r="BGX66" s="456"/>
      <c r="BGY66" s="456"/>
      <c r="BGZ66" s="456"/>
      <c r="BHA66" s="456"/>
      <c r="BHB66" s="456"/>
      <c r="BHC66" s="456"/>
      <c r="BHD66" s="456"/>
      <c r="BHE66" s="456"/>
      <c r="BHF66" s="456"/>
      <c r="BHG66" s="456"/>
      <c r="BHH66" s="456"/>
      <c r="BHI66" s="456"/>
      <c r="BHJ66" s="456"/>
      <c r="BHK66" s="456"/>
      <c r="BHL66" s="456"/>
      <c r="BHM66" s="456"/>
      <c r="BHN66" s="456"/>
      <c r="BHO66" s="456"/>
      <c r="BHP66" s="456"/>
      <c r="BHQ66" s="456"/>
      <c r="BHR66" s="456"/>
      <c r="BHS66" s="456"/>
      <c r="BHT66" s="456"/>
      <c r="BHU66" s="456"/>
      <c r="BHV66" s="456"/>
      <c r="BHW66" s="456"/>
      <c r="BHX66" s="456"/>
      <c r="BHY66" s="456"/>
      <c r="BHZ66" s="456"/>
      <c r="BIA66" s="456"/>
      <c r="BIB66" s="456"/>
      <c r="BIC66" s="456"/>
      <c r="BID66" s="456"/>
      <c r="BIE66" s="456"/>
      <c r="BIF66" s="456"/>
      <c r="BIG66" s="456"/>
      <c r="BIH66" s="456"/>
      <c r="BII66" s="456"/>
      <c r="BIJ66" s="456"/>
      <c r="BIK66" s="456"/>
      <c r="BIL66" s="456"/>
      <c r="BIM66" s="456"/>
      <c r="BIN66" s="456"/>
      <c r="BIO66" s="456"/>
      <c r="BIP66" s="456"/>
      <c r="BIQ66" s="456"/>
      <c r="BIR66" s="456"/>
      <c r="BIS66" s="456"/>
      <c r="BIT66" s="456"/>
      <c r="BIU66" s="456"/>
      <c r="BIV66" s="456"/>
      <c r="BIW66" s="456"/>
      <c r="BIX66" s="456"/>
      <c r="BIY66" s="456"/>
      <c r="BIZ66" s="456"/>
      <c r="BJA66" s="456"/>
      <c r="BJB66" s="456"/>
      <c r="BJC66" s="456"/>
      <c r="BJD66" s="456"/>
      <c r="BJE66" s="456"/>
      <c r="BJF66" s="456"/>
      <c r="BJG66" s="456"/>
      <c r="BJH66" s="456"/>
      <c r="BJI66" s="456"/>
      <c r="BJJ66" s="456"/>
      <c r="BJK66" s="456"/>
      <c r="BJL66" s="456"/>
      <c r="BJM66" s="456"/>
      <c r="BJN66" s="456"/>
      <c r="BJO66" s="456"/>
      <c r="BJP66" s="456"/>
      <c r="BJQ66" s="456"/>
      <c r="BJR66" s="456"/>
      <c r="BJS66" s="456"/>
      <c r="BJT66" s="456"/>
      <c r="BJU66" s="456"/>
      <c r="BJV66" s="456"/>
      <c r="BJW66" s="456"/>
      <c r="BJX66" s="456"/>
      <c r="BJY66" s="456"/>
      <c r="BJZ66" s="456"/>
      <c r="BKA66" s="456"/>
      <c r="BKB66" s="456"/>
      <c r="BKC66" s="456"/>
      <c r="BKD66" s="456"/>
      <c r="BKE66" s="456"/>
      <c r="BKF66" s="456"/>
      <c r="BKG66" s="456"/>
      <c r="BKH66" s="456"/>
      <c r="BKI66" s="456"/>
      <c r="BKJ66" s="456"/>
      <c r="BKK66" s="456"/>
      <c r="BKL66" s="456"/>
      <c r="BKM66" s="456"/>
      <c r="BKN66" s="456"/>
      <c r="BKO66" s="456"/>
      <c r="BKP66" s="456"/>
      <c r="BKQ66" s="456"/>
      <c r="BKR66" s="456"/>
      <c r="BKS66" s="456"/>
      <c r="BKT66" s="456"/>
      <c r="BKU66" s="456"/>
      <c r="BKV66" s="456"/>
      <c r="BKW66" s="456"/>
      <c r="BKX66" s="456"/>
      <c r="BKY66" s="456"/>
      <c r="BKZ66" s="456"/>
      <c r="BLA66" s="456"/>
      <c r="BLB66" s="456"/>
      <c r="BLC66" s="456"/>
      <c r="BLD66" s="456"/>
      <c r="BLE66" s="456"/>
      <c r="BLF66" s="456"/>
      <c r="BLG66" s="456"/>
      <c r="BLH66" s="456"/>
      <c r="BLI66" s="456"/>
      <c r="BLJ66" s="456"/>
      <c r="BLK66" s="456"/>
      <c r="BLL66" s="456"/>
      <c r="BLM66" s="456"/>
      <c r="BLN66" s="456"/>
      <c r="BLO66" s="456"/>
      <c r="BLP66" s="456"/>
      <c r="BLQ66" s="456"/>
      <c r="BLR66" s="456"/>
      <c r="BLS66" s="456"/>
      <c r="BLT66" s="456"/>
      <c r="BLU66" s="456"/>
      <c r="BLV66" s="456"/>
      <c r="BLW66" s="456"/>
      <c r="BLX66" s="456"/>
      <c r="BLY66" s="456"/>
      <c r="BLZ66" s="456"/>
      <c r="BMA66" s="456"/>
      <c r="BMB66" s="456"/>
      <c r="BMC66" s="456"/>
      <c r="BMD66" s="456"/>
      <c r="BME66" s="456"/>
      <c r="BMF66" s="456"/>
      <c r="BMG66" s="456"/>
      <c r="BMH66" s="456"/>
      <c r="BMI66" s="456"/>
      <c r="BMJ66" s="456"/>
      <c r="BMK66" s="456"/>
      <c r="BML66" s="456"/>
      <c r="BMM66" s="456"/>
      <c r="BMN66" s="456"/>
      <c r="BMO66" s="456"/>
      <c r="BMP66" s="456"/>
      <c r="BMQ66" s="456"/>
      <c r="BMR66" s="456"/>
      <c r="BMS66" s="456"/>
      <c r="BMT66" s="456"/>
      <c r="BMU66" s="456"/>
      <c r="BMV66" s="456"/>
      <c r="BMW66" s="456"/>
      <c r="BMX66" s="456"/>
      <c r="BMY66" s="456"/>
      <c r="BMZ66" s="456"/>
      <c r="BNA66" s="456"/>
      <c r="BNB66" s="456"/>
      <c r="BNC66" s="456"/>
      <c r="BND66" s="456"/>
      <c r="BNE66" s="456"/>
      <c r="BNF66" s="456"/>
      <c r="BNG66" s="456"/>
      <c r="BNH66" s="456"/>
      <c r="BNI66" s="456"/>
      <c r="BNJ66" s="456"/>
      <c r="BNK66" s="456"/>
      <c r="BNL66" s="456"/>
      <c r="BNM66" s="456"/>
      <c r="BNN66" s="456"/>
      <c r="BNO66" s="456"/>
      <c r="BNP66" s="456"/>
      <c r="BNQ66" s="456"/>
      <c r="BNR66" s="456"/>
      <c r="BNS66" s="456"/>
      <c r="BNT66" s="456"/>
      <c r="BNU66" s="456"/>
      <c r="BNV66" s="456"/>
      <c r="BNW66" s="456"/>
      <c r="BNX66" s="456"/>
      <c r="BNY66" s="456"/>
      <c r="BNZ66" s="456"/>
      <c r="BOA66" s="456"/>
      <c r="BOB66" s="456"/>
      <c r="BOC66" s="456"/>
      <c r="BOD66" s="456"/>
      <c r="BOE66" s="456"/>
      <c r="BOF66" s="456"/>
      <c r="BOG66" s="456"/>
      <c r="BOH66" s="456"/>
      <c r="BOI66" s="456"/>
      <c r="BOJ66" s="456"/>
      <c r="BOK66" s="456"/>
      <c r="BOL66" s="456"/>
      <c r="BOM66" s="456"/>
      <c r="BON66" s="456"/>
      <c r="BOO66" s="456"/>
      <c r="BOP66" s="456"/>
      <c r="BOQ66" s="456"/>
      <c r="BOR66" s="456"/>
      <c r="BOS66" s="456"/>
      <c r="BOT66" s="456"/>
      <c r="BOU66" s="456"/>
      <c r="BOV66" s="456"/>
      <c r="BOW66" s="456"/>
      <c r="BOX66" s="456"/>
      <c r="BOY66" s="456"/>
      <c r="BOZ66" s="456"/>
      <c r="BPA66" s="456"/>
      <c r="BPB66" s="456"/>
      <c r="BPC66" s="456"/>
      <c r="BPD66" s="456"/>
      <c r="BPE66" s="456"/>
      <c r="BPF66" s="456"/>
      <c r="BPG66" s="456"/>
      <c r="BPH66" s="456"/>
      <c r="BPI66" s="456"/>
      <c r="BPJ66" s="456"/>
      <c r="BPK66" s="456"/>
      <c r="BPL66" s="456"/>
      <c r="BPM66" s="456"/>
      <c r="BPN66" s="456"/>
      <c r="BPO66" s="456"/>
      <c r="BPP66" s="456"/>
      <c r="BPQ66" s="456"/>
      <c r="BPR66" s="456"/>
      <c r="BPS66" s="456"/>
      <c r="BPT66" s="456"/>
      <c r="BPU66" s="456"/>
      <c r="BPV66" s="456"/>
      <c r="BPW66" s="456"/>
      <c r="BPX66" s="456"/>
      <c r="BPY66" s="456"/>
      <c r="BPZ66" s="456"/>
      <c r="BQA66" s="456"/>
      <c r="BQB66" s="456"/>
      <c r="BQC66" s="456"/>
      <c r="BQD66" s="456"/>
      <c r="BQE66" s="456"/>
      <c r="BQF66" s="456"/>
      <c r="BQG66" s="456"/>
      <c r="BQH66" s="456"/>
      <c r="BQI66" s="456"/>
      <c r="BQJ66" s="456"/>
      <c r="BQK66" s="456"/>
      <c r="BQL66" s="456"/>
      <c r="BQM66" s="456"/>
      <c r="BQN66" s="456"/>
      <c r="BQO66" s="456"/>
      <c r="BQP66" s="456"/>
      <c r="BQQ66" s="456"/>
      <c r="BQR66" s="456"/>
      <c r="BQS66" s="456"/>
      <c r="BQT66" s="456"/>
      <c r="BQU66" s="456"/>
      <c r="BQV66" s="456"/>
      <c r="BQW66" s="456"/>
      <c r="BQX66" s="456"/>
      <c r="BQY66" s="456"/>
      <c r="BQZ66" s="456"/>
      <c r="BRA66" s="456"/>
      <c r="BRB66" s="456"/>
      <c r="BRC66" s="456"/>
      <c r="BRD66" s="456"/>
      <c r="BRE66" s="456"/>
      <c r="BRF66" s="456"/>
      <c r="BRG66" s="456"/>
      <c r="BRH66" s="456"/>
      <c r="BRI66" s="456"/>
      <c r="BRJ66" s="456"/>
      <c r="BRK66" s="456"/>
      <c r="BRL66" s="456"/>
      <c r="BRM66" s="456"/>
      <c r="BRN66" s="456"/>
      <c r="BRO66" s="456"/>
      <c r="BRP66" s="456"/>
      <c r="BRQ66" s="456"/>
      <c r="BRR66" s="456"/>
      <c r="BRS66" s="456"/>
      <c r="BRT66" s="456"/>
      <c r="BRU66" s="456"/>
      <c r="BRV66" s="456"/>
      <c r="BRW66" s="456"/>
      <c r="BRX66" s="456"/>
      <c r="BRY66" s="456"/>
      <c r="BRZ66" s="456"/>
      <c r="BSA66" s="456"/>
      <c r="BSB66" s="456"/>
      <c r="BSC66" s="456"/>
      <c r="BSD66" s="456"/>
      <c r="BSE66" s="456"/>
      <c r="BSF66" s="456"/>
      <c r="BSG66" s="456"/>
      <c r="BSH66" s="456"/>
      <c r="BSI66" s="456"/>
      <c r="BSJ66" s="456"/>
      <c r="BSK66" s="456"/>
      <c r="BSL66" s="456"/>
      <c r="BSM66" s="456"/>
      <c r="BSN66" s="456"/>
      <c r="BSO66" s="456"/>
      <c r="BSP66" s="456"/>
      <c r="BSQ66" s="456"/>
      <c r="BSR66" s="456"/>
      <c r="BSS66" s="456"/>
      <c r="BST66" s="456"/>
      <c r="BSU66" s="456"/>
      <c r="BSV66" s="456"/>
      <c r="BSW66" s="456"/>
      <c r="BSX66" s="456"/>
      <c r="BSY66" s="456"/>
      <c r="BSZ66" s="456"/>
      <c r="BTA66" s="456"/>
      <c r="BTB66" s="456"/>
      <c r="BTC66" s="456"/>
      <c r="BTD66" s="456"/>
      <c r="BTE66" s="456"/>
      <c r="BTF66" s="456"/>
      <c r="BTG66" s="456"/>
      <c r="BTH66" s="456"/>
      <c r="BTI66" s="456"/>
      <c r="BTJ66" s="456"/>
      <c r="BTK66" s="456"/>
      <c r="BTL66" s="456"/>
      <c r="BTM66" s="456"/>
      <c r="BTN66" s="456"/>
      <c r="BTO66" s="456"/>
      <c r="BTP66" s="456"/>
      <c r="BTQ66" s="456"/>
      <c r="BTR66" s="456"/>
      <c r="BTS66" s="456"/>
      <c r="BTT66" s="456"/>
      <c r="BTU66" s="456"/>
      <c r="BTV66" s="456"/>
      <c r="BTW66" s="456"/>
      <c r="BTX66" s="456"/>
      <c r="BTY66" s="456"/>
      <c r="BTZ66" s="456"/>
      <c r="BUA66" s="456"/>
      <c r="BUB66" s="456"/>
      <c r="BUC66" s="456"/>
      <c r="BUD66" s="456"/>
      <c r="BUE66" s="456"/>
      <c r="BUF66" s="456"/>
      <c r="BUG66" s="456"/>
      <c r="BUH66" s="456"/>
      <c r="BUI66" s="456"/>
      <c r="BUJ66" s="456"/>
      <c r="BUK66" s="456"/>
      <c r="BUL66" s="456"/>
      <c r="BUM66" s="456"/>
      <c r="BUN66" s="456"/>
      <c r="BUO66" s="456"/>
      <c r="BUP66" s="456"/>
      <c r="BUQ66" s="456"/>
      <c r="BUR66" s="456"/>
      <c r="BUS66" s="456"/>
      <c r="BUT66" s="456"/>
      <c r="BUU66" s="456"/>
      <c r="BUV66" s="456"/>
      <c r="BUW66" s="456"/>
      <c r="BUX66" s="456"/>
      <c r="BUY66" s="456"/>
      <c r="BUZ66" s="456"/>
      <c r="BVA66" s="456"/>
      <c r="BVB66" s="456"/>
      <c r="BVC66" s="456"/>
      <c r="BVD66" s="456"/>
      <c r="BVE66" s="456"/>
      <c r="BVF66" s="456"/>
      <c r="BVG66" s="456"/>
      <c r="BVH66" s="456"/>
      <c r="BVI66" s="456"/>
      <c r="BVJ66" s="456"/>
      <c r="BVK66" s="456"/>
      <c r="BVL66" s="456"/>
      <c r="BVM66" s="456"/>
      <c r="BVN66" s="456"/>
      <c r="BVO66" s="456"/>
      <c r="BVP66" s="456"/>
      <c r="BVQ66" s="456"/>
      <c r="BVR66" s="456"/>
      <c r="BVS66" s="456"/>
      <c r="BVT66" s="456"/>
      <c r="BVU66" s="456"/>
      <c r="BVV66" s="456"/>
      <c r="BVW66" s="456"/>
      <c r="BVX66" s="456"/>
      <c r="BVY66" s="456"/>
      <c r="BVZ66" s="456"/>
      <c r="BWA66" s="456"/>
      <c r="BWB66" s="456"/>
      <c r="BWC66" s="456"/>
      <c r="BWD66" s="456"/>
      <c r="BWE66" s="456"/>
      <c r="BWF66" s="456"/>
      <c r="BWG66" s="456"/>
      <c r="BWH66" s="456"/>
      <c r="BWI66" s="456"/>
      <c r="BWJ66" s="456"/>
      <c r="BWK66" s="456"/>
      <c r="BWL66" s="456"/>
      <c r="BWM66" s="456"/>
      <c r="BWN66" s="456"/>
      <c r="BWO66" s="456"/>
      <c r="BWP66" s="456"/>
      <c r="BWQ66" s="456"/>
      <c r="BWR66" s="456"/>
      <c r="BWS66" s="456"/>
      <c r="BWT66" s="456"/>
      <c r="BWU66" s="456"/>
      <c r="BWV66" s="456"/>
      <c r="BWW66" s="456"/>
      <c r="BWX66" s="456"/>
      <c r="BWY66" s="456"/>
      <c r="BWZ66" s="456"/>
      <c r="BXA66" s="456"/>
      <c r="BXB66" s="456"/>
      <c r="BXC66" s="456"/>
      <c r="BXD66" s="456"/>
      <c r="BXE66" s="456"/>
      <c r="BXF66" s="456"/>
      <c r="BXG66" s="456"/>
      <c r="BXH66" s="456"/>
      <c r="BXI66" s="456"/>
      <c r="BXJ66" s="456"/>
      <c r="BXK66" s="456"/>
      <c r="BXL66" s="456"/>
      <c r="BXM66" s="456"/>
      <c r="BXN66" s="456"/>
      <c r="BXO66" s="456"/>
      <c r="BXP66" s="456"/>
      <c r="BXQ66" s="456"/>
      <c r="BXR66" s="456"/>
      <c r="BXS66" s="456"/>
      <c r="BXT66" s="456"/>
      <c r="BXU66" s="456"/>
      <c r="BXV66" s="456"/>
      <c r="BXW66" s="456"/>
      <c r="BXX66" s="456"/>
      <c r="BXY66" s="456"/>
      <c r="BXZ66" s="456"/>
    </row>
    <row r="67" spans="1:1024 1025:2002">
      <c r="A67" s="474"/>
      <c r="B67" s="75">
        <v>1119</v>
      </c>
      <c r="C67" s="213">
        <v>46181</v>
      </c>
      <c r="D67" s="18" t="s">
        <v>35</v>
      </c>
      <c r="E67" s="18" t="s">
        <v>71</v>
      </c>
      <c r="F67" s="18" t="s">
        <v>72</v>
      </c>
      <c r="G67" s="18"/>
      <c r="H67" s="75">
        <v>1.2379</v>
      </c>
      <c r="I67" s="75"/>
      <c r="J67" s="18" t="s">
        <v>82</v>
      </c>
      <c r="K67" s="111">
        <v>335</v>
      </c>
      <c r="L67" s="475">
        <v>40</v>
      </c>
      <c r="M67" s="75">
        <v>5800</v>
      </c>
      <c r="N67" s="75" t="s">
        <v>40</v>
      </c>
      <c r="O67" s="75" t="s">
        <v>67</v>
      </c>
      <c r="P67" s="75">
        <v>1000</v>
      </c>
      <c r="Q67" s="75"/>
      <c r="R67" s="75">
        <f t="shared" si="2"/>
        <v>1000</v>
      </c>
      <c r="S67" s="476">
        <v>2365</v>
      </c>
      <c r="T67" s="342" t="s">
        <v>42</v>
      </c>
      <c r="U67" s="137" t="s">
        <v>83</v>
      </c>
      <c r="V67" s="193">
        <v>46181</v>
      </c>
      <c r="W67" s="24" t="s">
        <v>44</v>
      </c>
      <c r="X67" s="18"/>
      <c r="Y67" s="114">
        <v>46327</v>
      </c>
      <c r="Z67" s="18" t="s">
        <v>45</v>
      </c>
      <c r="AA67" s="24" t="s">
        <v>46</v>
      </c>
      <c r="AB67" s="18"/>
      <c r="AC67" s="137"/>
      <c r="AD67" s="77"/>
      <c r="AE67" s="18" t="s">
        <v>48</v>
      </c>
      <c r="AF67" s="18"/>
      <c r="AG67" s="18"/>
    </row>
    <row r="68" spans="1:1024 1025:2002">
      <c r="A68" s="478"/>
      <c r="B68" s="75">
        <v>1119</v>
      </c>
      <c r="C68" s="213">
        <v>46181</v>
      </c>
      <c r="D68" s="18" t="s">
        <v>35</v>
      </c>
      <c r="E68" s="18" t="s">
        <v>71</v>
      </c>
      <c r="F68" s="18" t="s">
        <v>72</v>
      </c>
      <c r="G68" s="18"/>
      <c r="H68" s="75">
        <v>1.2379</v>
      </c>
      <c r="I68" s="75"/>
      <c r="J68" s="18" t="s">
        <v>82</v>
      </c>
      <c r="K68" s="111">
        <v>360</v>
      </c>
      <c r="L68" s="475">
        <v>40</v>
      </c>
      <c r="M68" s="75">
        <v>5800</v>
      </c>
      <c r="N68" s="329" t="s">
        <v>40</v>
      </c>
      <c r="O68" s="75" t="s">
        <v>67</v>
      </c>
      <c r="P68" s="329">
        <v>3000</v>
      </c>
      <c r="Q68" s="329"/>
      <c r="R68" s="329">
        <f t="shared" si="2"/>
        <v>3000</v>
      </c>
      <c r="S68" s="476">
        <v>2365</v>
      </c>
      <c r="T68" s="342" t="s">
        <v>42</v>
      </c>
      <c r="U68" s="137" t="s">
        <v>83</v>
      </c>
      <c r="V68" s="193">
        <v>46181</v>
      </c>
      <c r="W68" s="24" t="s">
        <v>44</v>
      </c>
      <c r="X68" s="174"/>
      <c r="Y68" s="114">
        <v>46327</v>
      </c>
      <c r="Z68" s="18" t="s">
        <v>45</v>
      </c>
      <c r="AA68" s="24" t="s">
        <v>46</v>
      </c>
      <c r="AB68" s="174"/>
      <c r="AC68" s="479"/>
      <c r="AD68" s="480"/>
      <c r="AE68" s="18" t="s">
        <v>48</v>
      </c>
      <c r="AF68" s="174"/>
      <c r="AG68" s="174"/>
    </row>
    <row r="69" s="25" customFormat="1" spans="1:1024 1025:2002">
      <c r="A69" s="473" t="s">
        <v>34</v>
      </c>
      <c r="B69" s="19">
        <v>1119</v>
      </c>
      <c r="C69" s="183">
        <v>46181</v>
      </c>
      <c r="D69" s="17" t="s">
        <v>35</v>
      </c>
      <c r="E69" s="17" t="s">
        <v>71</v>
      </c>
      <c r="F69" s="17" t="s">
        <v>72</v>
      </c>
      <c r="G69" s="17"/>
      <c r="H69" s="19">
        <v>1.2379</v>
      </c>
      <c r="I69" s="19">
        <v>1.2379</v>
      </c>
      <c r="J69" s="17" t="s">
        <v>82</v>
      </c>
      <c r="K69" s="91">
        <v>610</v>
      </c>
      <c r="L69" s="23">
        <v>40</v>
      </c>
      <c r="M69" s="19">
        <v>5800</v>
      </c>
      <c r="N69" s="19" t="s">
        <v>40</v>
      </c>
      <c r="O69" s="19" t="s">
        <v>67</v>
      </c>
      <c r="P69" s="19">
        <v>2500</v>
      </c>
      <c r="Q69" s="19">
        <f>1450+1400</f>
        <v>2850</v>
      </c>
      <c r="R69" s="19">
        <f t="shared" si="2"/>
        <v>-350</v>
      </c>
      <c r="S69" s="477">
        <f t="shared" ref="S69:S70" si="5">2365+68</f>
        <v>2433</v>
      </c>
      <c r="T69" s="19" t="s">
        <v>42</v>
      </c>
      <c r="U69" s="102" t="s">
        <v>83</v>
      </c>
      <c r="V69" s="186">
        <v>46181</v>
      </c>
      <c r="W69" s="17" t="s">
        <v>69</v>
      </c>
      <c r="X69" s="17"/>
      <c r="Y69" s="68">
        <v>46327</v>
      </c>
      <c r="Z69" s="17" t="s">
        <v>45</v>
      </c>
      <c r="AA69" s="17" t="s">
        <v>46</v>
      </c>
      <c r="AB69" s="17" t="s">
        <v>75</v>
      </c>
      <c r="AC69" s="217">
        <v>46224</v>
      </c>
      <c r="AD69" s="65">
        <v>1837</v>
      </c>
      <c r="AE69" s="17" t="s">
        <v>48</v>
      </c>
      <c r="AF69" s="17" t="s">
        <v>76</v>
      </c>
      <c r="AG69" s="17"/>
      <c r="AH69" s="456"/>
      <c r="AI69" s="456"/>
      <c r="AJ69" s="456"/>
      <c r="AK69" s="456"/>
      <c r="AL69" s="456"/>
      <c r="AM69" s="456"/>
      <c r="AN69" s="456"/>
      <c r="AO69" s="456"/>
      <c r="AP69" s="456"/>
      <c r="AQ69" s="456"/>
      <c r="AR69" s="456"/>
      <c r="AS69" s="456"/>
      <c r="AT69" s="456"/>
      <c r="AU69" s="456"/>
      <c r="AV69" s="456"/>
      <c r="AW69" s="456"/>
      <c r="AX69" s="456"/>
      <c r="AY69" s="456"/>
      <c r="AZ69" s="456"/>
      <c r="BA69" s="456"/>
      <c r="BB69" s="456"/>
      <c r="BC69" s="456"/>
      <c r="BD69" s="456"/>
      <c r="BE69" s="456"/>
      <c r="BF69" s="456"/>
      <c r="BG69" s="456"/>
      <c r="BH69" s="456"/>
      <c r="BI69" s="456"/>
      <c r="BJ69" s="456"/>
      <c r="BK69" s="456"/>
      <c r="BL69" s="456"/>
      <c r="BM69" s="456"/>
      <c r="BN69" s="456"/>
      <c r="BO69" s="456"/>
      <c r="BP69" s="456"/>
      <c r="BQ69" s="456"/>
      <c r="BR69" s="456"/>
      <c r="BS69" s="456"/>
      <c r="BT69" s="456"/>
      <c r="BU69" s="456"/>
      <c r="BV69" s="456"/>
      <c r="BW69" s="456"/>
      <c r="BX69" s="456"/>
      <c r="BY69" s="456"/>
      <c r="BZ69" s="456"/>
      <c r="CA69" s="456"/>
      <c r="CB69" s="456"/>
      <c r="CC69" s="456"/>
      <c r="CD69" s="456"/>
      <c r="CE69" s="456"/>
      <c r="CF69" s="456"/>
      <c r="CG69" s="456"/>
      <c r="CH69" s="456"/>
      <c r="CI69" s="456"/>
      <c r="CJ69" s="456"/>
      <c r="CK69" s="456"/>
      <c r="CL69" s="456"/>
      <c r="CM69" s="456"/>
      <c r="CN69" s="456"/>
      <c r="CO69" s="456"/>
      <c r="CP69" s="456"/>
      <c r="CQ69" s="456"/>
      <c r="CR69" s="456"/>
      <c r="CS69" s="456"/>
      <c r="CT69" s="456"/>
      <c r="CU69" s="456"/>
      <c r="CV69" s="456"/>
      <c r="CW69" s="456"/>
      <c r="CX69" s="456"/>
      <c r="CY69" s="456"/>
      <c r="CZ69" s="456"/>
      <c r="DA69" s="456"/>
      <c r="DB69" s="456"/>
      <c r="DC69" s="456"/>
      <c r="DD69" s="456"/>
      <c r="DE69" s="456"/>
      <c r="DF69" s="456"/>
      <c r="DG69" s="456"/>
      <c r="DH69" s="456"/>
      <c r="DI69" s="456"/>
      <c r="DJ69" s="456"/>
      <c r="DK69" s="456"/>
      <c r="DL69" s="456"/>
      <c r="DM69" s="456"/>
      <c r="DN69" s="456"/>
      <c r="DO69" s="456"/>
      <c r="DP69" s="456"/>
      <c r="DQ69" s="456"/>
      <c r="DR69" s="456"/>
      <c r="DS69" s="456"/>
      <c r="DT69" s="456"/>
      <c r="DU69" s="456"/>
      <c r="DV69" s="456"/>
      <c r="DW69" s="456"/>
      <c r="DX69" s="456"/>
      <c r="DY69" s="456"/>
      <c r="DZ69" s="456"/>
      <c r="EA69" s="456"/>
      <c r="EB69" s="456"/>
      <c r="EC69" s="456"/>
      <c r="ED69" s="456"/>
      <c r="EE69" s="456"/>
      <c r="EF69" s="456"/>
      <c r="EG69" s="456"/>
      <c r="EH69" s="456"/>
      <c r="EI69" s="456"/>
      <c r="EJ69" s="456"/>
      <c r="EK69" s="456"/>
      <c r="EL69" s="456"/>
      <c r="EM69" s="456"/>
      <c r="EN69" s="456"/>
      <c r="EO69" s="456"/>
      <c r="EP69" s="456"/>
      <c r="EQ69" s="456"/>
      <c r="ER69" s="456"/>
      <c r="ES69" s="456"/>
      <c r="ET69" s="456"/>
      <c r="EU69" s="456"/>
      <c r="EV69" s="456"/>
      <c r="EW69" s="456"/>
      <c r="EX69" s="456"/>
      <c r="EY69" s="456"/>
      <c r="EZ69" s="456"/>
      <c r="FA69" s="456"/>
      <c r="FB69" s="456"/>
      <c r="FC69" s="456"/>
      <c r="FD69" s="456"/>
      <c r="FE69" s="456"/>
      <c r="FF69" s="456"/>
      <c r="FG69" s="456"/>
      <c r="FH69" s="456"/>
      <c r="FI69" s="456"/>
      <c r="FJ69" s="456"/>
      <c r="FK69" s="456"/>
      <c r="FL69" s="456"/>
      <c r="FM69" s="456"/>
      <c r="FN69" s="456"/>
      <c r="FO69" s="456"/>
      <c r="FP69" s="456"/>
      <c r="FQ69" s="456"/>
      <c r="FR69" s="456"/>
      <c r="FS69" s="456"/>
      <c r="FT69" s="456"/>
      <c r="FU69" s="456"/>
      <c r="FV69" s="456"/>
      <c r="FW69" s="456"/>
      <c r="FX69" s="456"/>
      <c r="FY69" s="456"/>
      <c r="FZ69" s="456"/>
      <c r="GA69" s="456"/>
      <c r="GB69" s="456"/>
      <c r="GC69" s="456"/>
      <c r="GD69" s="456"/>
      <c r="GE69" s="456"/>
      <c r="GF69" s="456"/>
      <c r="GG69" s="456"/>
      <c r="GH69" s="456"/>
      <c r="GI69" s="456"/>
      <c r="GJ69" s="456"/>
      <c r="GK69" s="456"/>
      <c r="GL69" s="456"/>
      <c r="GM69" s="456"/>
      <c r="GN69" s="456"/>
      <c r="GO69" s="456"/>
      <c r="GP69" s="456"/>
      <c r="GQ69" s="456"/>
      <c r="GR69" s="456"/>
      <c r="GS69" s="456"/>
      <c r="GT69" s="456"/>
      <c r="GU69" s="456"/>
      <c r="GV69" s="456"/>
      <c r="GW69" s="456"/>
      <c r="GX69" s="456"/>
      <c r="GY69" s="456"/>
      <c r="GZ69" s="456"/>
      <c r="HA69" s="456"/>
      <c r="HB69" s="456"/>
      <c r="HC69" s="456"/>
      <c r="HD69" s="456"/>
      <c r="HE69" s="456"/>
      <c r="HF69" s="456"/>
      <c r="HG69" s="456"/>
      <c r="HH69" s="456"/>
      <c r="HI69" s="456"/>
      <c r="HJ69" s="456"/>
      <c r="HK69" s="456"/>
      <c r="HL69" s="456"/>
      <c r="HM69" s="456"/>
      <c r="HN69" s="456"/>
      <c r="HO69" s="456"/>
      <c r="HP69" s="456"/>
      <c r="HQ69" s="456"/>
      <c r="HR69" s="456"/>
      <c r="HS69" s="456"/>
      <c r="HT69" s="456"/>
      <c r="HU69" s="456"/>
      <c r="HV69" s="456"/>
      <c r="HW69" s="456"/>
      <c r="HX69" s="456"/>
      <c r="HY69" s="456"/>
      <c r="HZ69" s="456"/>
      <c r="IA69" s="456"/>
      <c r="IB69" s="456"/>
      <c r="IC69" s="456"/>
      <c r="ID69" s="456"/>
      <c r="IE69" s="456"/>
      <c r="IF69" s="456"/>
      <c r="IG69" s="456"/>
      <c r="IH69" s="456"/>
      <c r="II69" s="456"/>
      <c r="IJ69" s="456"/>
      <c r="IK69" s="456"/>
      <c r="IL69" s="456"/>
      <c r="IM69" s="456"/>
      <c r="IN69" s="456"/>
      <c r="IO69" s="456"/>
      <c r="IP69" s="456"/>
      <c r="IQ69" s="456"/>
      <c r="IR69" s="456"/>
      <c r="IS69" s="456"/>
      <c r="IT69" s="456"/>
      <c r="IU69" s="456"/>
      <c r="IV69" s="456"/>
      <c r="IW69" s="456"/>
      <c r="IX69" s="456"/>
      <c r="IY69" s="456"/>
      <c r="IZ69" s="456"/>
      <c r="JA69" s="456"/>
      <c r="JB69" s="456"/>
      <c r="JC69" s="456"/>
      <c r="JD69" s="456"/>
      <c r="JE69" s="456"/>
      <c r="JF69" s="456"/>
      <c r="JG69" s="456"/>
      <c r="JH69" s="456"/>
      <c r="JI69" s="456"/>
      <c r="JJ69" s="456"/>
      <c r="JK69" s="456"/>
      <c r="JL69" s="456"/>
      <c r="JM69" s="456"/>
      <c r="JN69" s="456"/>
      <c r="JO69" s="456"/>
      <c r="JP69" s="456"/>
      <c r="JQ69" s="456"/>
      <c r="JR69" s="456"/>
      <c r="JS69" s="456"/>
      <c r="JT69" s="456"/>
      <c r="JU69" s="456"/>
      <c r="JV69" s="456"/>
      <c r="JW69" s="456"/>
      <c r="JX69" s="456"/>
      <c r="JY69" s="456"/>
      <c r="JZ69" s="456"/>
      <c r="KA69" s="456"/>
      <c r="KB69" s="456"/>
      <c r="KC69" s="456"/>
      <c r="KD69" s="456"/>
      <c r="KE69" s="456"/>
      <c r="KF69" s="456"/>
      <c r="KG69" s="456"/>
      <c r="KH69" s="456"/>
      <c r="KI69" s="456"/>
      <c r="KJ69" s="456"/>
      <c r="KK69" s="456"/>
      <c r="KL69" s="456"/>
      <c r="KM69" s="456"/>
      <c r="KN69" s="456"/>
      <c r="KO69" s="456"/>
      <c r="KP69" s="456"/>
      <c r="KQ69" s="456"/>
      <c r="KR69" s="456"/>
      <c r="KS69" s="456"/>
      <c r="KT69" s="456"/>
      <c r="KU69" s="456"/>
      <c r="KV69" s="456"/>
      <c r="KW69" s="456"/>
      <c r="KX69" s="456"/>
      <c r="KY69" s="456"/>
      <c r="KZ69" s="456"/>
      <c r="LA69" s="456"/>
      <c r="LB69" s="456"/>
      <c r="LC69" s="456"/>
      <c r="LD69" s="456"/>
      <c r="LE69" s="456"/>
      <c r="LF69" s="456"/>
      <c r="LG69" s="456"/>
      <c r="LH69" s="456"/>
      <c r="LI69" s="456"/>
      <c r="LJ69" s="456"/>
      <c r="LK69" s="456"/>
      <c r="LL69" s="456"/>
      <c r="LM69" s="456"/>
      <c r="LN69" s="456"/>
      <c r="LO69" s="456"/>
      <c r="LP69" s="456"/>
      <c r="LQ69" s="456"/>
      <c r="LR69" s="456"/>
      <c r="LS69" s="456"/>
      <c r="LT69" s="456"/>
      <c r="LU69" s="456"/>
      <c r="LV69" s="456"/>
      <c r="LW69" s="456"/>
      <c r="LX69" s="456"/>
      <c r="LY69" s="456"/>
      <c r="LZ69" s="456"/>
      <c r="MA69" s="456"/>
      <c r="MB69" s="456"/>
      <c r="MC69" s="456"/>
      <c r="MD69" s="456"/>
      <c r="ME69" s="456"/>
      <c r="MF69" s="456"/>
      <c r="MG69" s="456"/>
      <c r="MH69" s="456"/>
      <c r="MI69" s="456"/>
      <c r="MJ69" s="456"/>
      <c r="MK69" s="456"/>
      <c r="ML69" s="456"/>
      <c r="MM69" s="456"/>
      <c r="MN69" s="456"/>
      <c r="MO69" s="456"/>
      <c r="MP69" s="456"/>
      <c r="MQ69" s="456"/>
      <c r="MR69" s="456"/>
      <c r="MS69" s="456"/>
      <c r="MT69" s="456"/>
      <c r="MU69" s="456"/>
      <c r="MV69" s="456"/>
      <c r="MW69" s="456"/>
      <c r="MX69" s="456"/>
      <c r="MY69" s="456"/>
      <c r="MZ69" s="456"/>
      <c r="NA69" s="456"/>
      <c r="NB69" s="456"/>
      <c r="NC69" s="456"/>
      <c r="ND69" s="456"/>
      <c r="NE69" s="456"/>
      <c r="NF69" s="456"/>
      <c r="NG69" s="456"/>
      <c r="NH69" s="456"/>
      <c r="NI69" s="456"/>
      <c r="NJ69" s="456"/>
      <c r="NK69" s="456"/>
      <c r="NL69" s="456"/>
      <c r="NM69" s="456"/>
      <c r="NN69" s="456"/>
      <c r="NO69" s="456"/>
      <c r="NP69" s="456"/>
      <c r="NQ69" s="456"/>
      <c r="NR69" s="456"/>
      <c r="NS69" s="456"/>
      <c r="NT69" s="456"/>
      <c r="NU69" s="456"/>
      <c r="NV69" s="456"/>
      <c r="NW69" s="456"/>
      <c r="NX69" s="456"/>
      <c r="NY69" s="456"/>
      <c r="NZ69" s="456"/>
      <c r="OA69" s="456"/>
      <c r="OB69" s="456"/>
      <c r="OC69" s="456"/>
      <c r="OD69" s="456"/>
      <c r="OE69" s="456"/>
      <c r="OF69" s="456"/>
      <c r="OG69" s="456"/>
      <c r="OH69" s="456"/>
      <c r="OI69" s="456"/>
      <c r="OJ69" s="456"/>
      <c r="OK69" s="456"/>
      <c r="OL69" s="456"/>
      <c r="OM69" s="456"/>
      <c r="ON69" s="456"/>
      <c r="OO69" s="456"/>
      <c r="OP69" s="456"/>
      <c r="OQ69" s="456"/>
      <c r="OR69" s="456"/>
      <c r="OS69" s="456"/>
      <c r="OT69" s="456"/>
      <c r="OU69" s="456"/>
      <c r="OV69" s="456"/>
      <c r="OW69" s="456"/>
      <c r="OX69" s="456"/>
      <c r="OY69" s="456"/>
      <c r="OZ69" s="456"/>
      <c r="PA69" s="456"/>
      <c r="PB69" s="456"/>
      <c r="PC69" s="456"/>
      <c r="PD69" s="456"/>
      <c r="PE69" s="456"/>
      <c r="PF69" s="456"/>
      <c r="PG69" s="456"/>
      <c r="PH69" s="456"/>
      <c r="PI69" s="456"/>
      <c r="PJ69" s="456"/>
      <c r="PK69" s="456"/>
      <c r="PL69" s="456"/>
      <c r="PM69" s="456"/>
      <c r="PN69" s="456"/>
      <c r="PO69" s="456"/>
      <c r="PP69" s="456"/>
      <c r="PQ69" s="456"/>
      <c r="PR69" s="456"/>
      <c r="PS69" s="456"/>
      <c r="PT69" s="456"/>
      <c r="PU69" s="456"/>
      <c r="PV69" s="456"/>
      <c r="PW69" s="456"/>
      <c r="PX69" s="456"/>
      <c r="PY69" s="456"/>
      <c r="PZ69" s="456"/>
      <c r="QA69" s="456"/>
      <c r="QB69" s="456"/>
      <c r="QC69" s="456"/>
      <c r="QD69" s="456"/>
      <c r="QE69" s="456"/>
      <c r="QF69" s="456"/>
      <c r="QG69" s="456"/>
      <c r="QH69" s="456"/>
      <c r="QI69" s="456"/>
      <c r="QJ69" s="456"/>
      <c r="QK69" s="456"/>
      <c r="QL69" s="456"/>
      <c r="QM69" s="456"/>
      <c r="QN69" s="456"/>
      <c r="QO69" s="456"/>
      <c r="QP69" s="456"/>
      <c r="QQ69" s="456"/>
      <c r="QR69" s="456"/>
      <c r="QS69" s="456"/>
      <c r="QT69" s="456"/>
      <c r="QU69" s="456"/>
      <c r="QV69" s="456"/>
      <c r="QW69" s="456"/>
      <c r="QX69" s="456"/>
      <c r="QY69" s="456"/>
      <c r="QZ69" s="456"/>
      <c r="RA69" s="456"/>
      <c r="RB69" s="456"/>
      <c r="RC69" s="456"/>
      <c r="RD69" s="456"/>
      <c r="RE69" s="456"/>
      <c r="RF69" s="456"/>
      <c r="RG69" s="456"/>
      <c r="RH69" s="456"/>
      <c r="RI69" s="456"/>
      <c r="RJ69" s="456"/>
      <c r="RK69" s="456"/>
      <c r="RL69" s="456"/>
      <c r="RM69" s="456"/>
      <c r="RN69" s="456"/>
      <c r="RO69" s="456"/>
      <c r="RP69" s="456"/>
      <c r="RQ69" s="456"/>
      <c r="RR69" s="456"/>
      <c r="RS69" s="456"/>
      <c r="RT69" s="456"/>
      <c r="RU69" s="456"/>
      <c r="RV69" s="456"/>
      <c r="RW69" s="456"/>
      <c r="RX69" s="456"/>
      <c r="RY69" s="456"/>
      <c r="RZ69" s="456"/>
      <c r="SA69" s="456"/>
      <c r="SB69" s="456"/>
      <c r="SC69" s="456"/>
      <c r="SD69" s="456"/>
      <c r="SE69" s="456"/>
      <c r="SF69" s="456"/>
      <c r="SG69" s="456"/>
      <c r="SH69" s="456"/>
      <c r="SI69" s="456"/>
      <c r="SJ69" s="456"/>
      <c r="SK69" s="456"/>
      <c r="SL69" s="456"/>
      <c r="SM69" s="456"/>
      <c r="SN69" s="456"/>
      <c r="SO69" s="456"/>
      <c r="SP69" s="456"/>
      <c r="SQ69" s="456"/>
      <c r="SR69" s="456"/>
      <c r="SS69" s="456"/>
      <c r="ST69" s="456"/>
      <c r="SU69" s="456"/>
      <c r="SV69" s="456"/>
      <c r="SW69" s="456"/>
      <c r="SX69" s="456"/>
      <c r="SY69" s="456"/>
      <c r="SZ69" s="456"/>
      <c r="TA69" s="456"/>
      <c r="TB69" s="456"/>
      <c r="TC69" s="456"/>
      <c r="TD69" s="456"/>
      <c r="TE69" s="456"/>
      <c r="TF69" s="456"/>
      <c r="TG69" s="456"/>
      <c r="TH69" s="456"/>
      <c r="TI69" s="456"/>
      <c r="TJ69" s="456"/>
      <c r="TK69" s="456"/>
      <c r="TL69" s="456"/>
      <c r="TM69" s="456"/>
      <c r="TN69" s="456"/>
      <c r="TO69" s="456"/>
      <c r="TP69" s="456"/>
      <c r="TQ69" s="456"/>
      <c r="TR69" s="456"/>
      <c r="TS69" s="456"/>
      <c r="TT69" s="456"/>
      <c r="TU69" s="456"/>
      <c r="TV69" s="456"/>
      <c r="TW69" s="456"/>
      <c r="TX69" s="456"/>
      <c r="TY69" s="456"/>
      <c r="TZ69" s="456"/>
      <c r="UA69" s="456"/>
      <c r="UB69" s="456"/>
      <c r="UC69" s="456"/>
      <c r="UD69" s="456"/>
      <c r="UE69" s="456"/>
      <c r="UF69" s="456"/>
      <c r="UG69" s="456"/>
      <c r="UH69" s="456"/>
      <c r="UI69" s="456"/>
      <c r="UJ69" s="456"/>
      <c r="UK69" s="456"/>
      <c r="UL69" s="456"/>
      <c r="UM69" s="456"/>
      <c r="UN69" s="456"/>
      <c r="UO69" s="456"/>
      <c r="UP69" s="456"/>
      <c r="UQ69" s="456"/>
      <c r="UR69" s="456"/>
      <c r="US69" s="456"/>
      <c r="UT69" s="456"/>
      <c r="UU69" s="456"/>
      <c r="UV69" s="456"/>
      <c r="UW69" s="456"/>
      <c r="UX69" s="456"/>
      <c r="UY69" s="456"/>
      <c r="UZ69" s="456"/>
      <c r="VA69" s="456"/>
      <c r="VB69" s="456"/>
      <c r="VC69" s="456"/>
      <c r="VD69" s="456"/>
      <c r="VE69" s="456"/>
      <c r="VF69" s="456"/>
      <c r="VG69" s="456"/>
      <c r="VH69" s="456"/>
      <c r="VI69" s="456"/>
      <c r="VJ69" s="456"/>
      <c r="VK69" s="456"/>
      <c r="VL69" s="456"/>
      <c r="VM69" s="456"/>
      <c r="VN69" s="456"/>
      <c r="VO69" s="456"/>
      <c r="VP69" s="456"/>
      <c r="VQ69" s="456"/>
      <c r="VR69" s="456"/>
      <c r="VS69" s="456"/>
      <c r="VT69" s="456"/>
      <c r="VU69" s="456"/>
      <c r="VV69" s="456"/>
      <c r="VW69" s="456"/>
      <c r="VX69" s="456"/>
      <c r="VY69" s="456"/>
      <c r="VZ69" s="456"/>
      <c r="WA69" s="456"/>
      <c r="WB69" s="456"/>
      <c r="WC69" s="456"/>
      <c r="WD69" s="456"/>
      <c r="WE69" s="456"/>
      <c r="WF69" s="456"/>
      <c r="WG69" s="456"/>
      <c r="WH69" s="456"/>
      <c r="WI69" s="456"/>
      <c r="WJ69" s="456"/>
      <c r="WK69" s="456"/>
      <c r="WL69" s="456"/>
      <c r="WM69" s="456"/>
      <c r="WN69" s="456"/>
      <c r="WO69" s="456"/>
      <c r="WP69" s="456"/>
      <c r="WQ69" s="456"/>
      <c r="WR69" s="456"/>
      <c r="WS69" s="456"/>
      <c r="WT69" s="456"/>
      <c r="WU69" s="456"/>
      <c r="WV69" s="456"/>
      <c r="WW69" s="456"/>
      <c r="WX69" s="456"/>
      <c r="WY69" s="456"/>
      <c r="WZ69" s="456"/>
      <c r="XA69" s="456"/>
      <c r="XB69" s="456"/>
      <c r="XC69" s="456"/>
      <c r="XD69" s="456"/>
      <c r="XE69" s="456"/>
      <c r="XF69" s="456"/>
      <c r="XG69" s="456"/>
      <c r="XH69" s="456"/>
      <c r="XI69" s="456"/>
      <c r="XJ69" s="456"/>
      <c r="XK69" s="456"/>
      <c r="XL69" s="456"/>
      <c r="XM69" s="456"/>
      <c r="XN69" s="456"/>
      <c r="XO69" s="456"/>
      <c r="XP69" s="456"/>
      <c r="XQ69" s="456"/>
      <c r="XR69" s="456"/>
      <c r="XS69" s="456"/>
      <c r="XT69" s="456"/>
      <c r="XU69" s="456"/>
      <c r="XV69" s="456"/>
      <c r="XW69" s="456"/>
      <c r="XX69" s="456"/>
      <c r="XY69" s="456"/>
      <c r="XZ69" s="456"/>
      <c r="YA69" s="456"/>
      <c r="YB69" s="456"/>
      <c r="YC69" s="456"/>
      <c r="YD69" s="456"/>
      <c r="YE69" s="456"/>
      <c r="YF69" s="456"/>
      <c r="YG69" s="456"/>
      <c r="YH69" s="456"/>
      <c r="YI69" s="456"/>
      <c r="YJ69" s="456"/>
      <c r="YK69" s="456"/>
      <c r="YL69" s="456"/>
      <c r="YM69" s="456"/>
      <c r="YN69" s="456"/>
      <c r="YO69" s="456"/>
      <c r="YP69" s="456"/>
      <c r="YQ69" s="456"/>
      <c r="YR69" s="456"/>
      <c r="YS69" s="456"/>
      <c r="YT69" s="456"/>
      <c r="YU69" s="456"/>
      <c r="YV69" s="456"/>
      <c r="YW69" s="456"/>
      <c r="YX69" s="456"/>
      <c r="YY69" s="456"/>
      <c r="YZ69" s="456"/>
      <c r="ZA69" s="456"/>
      <c r="ZB69" s="456"/>
      <c r="ZC69" s="456"/>
      <c r="ZD69" s="456"/>
      <c r="ZE69" s="456"/>
      <c r="ZF69" s="456"/>
      <c r="ZG69" s="456"/>
      <c r="ZH69" s="456"/>
      <c r="ZI69" s="456"/>
      <c r="ZJ69" s="456"/>
      <c r="ZK69" s="456"/>
      <c r="ZL69" s="456"/>
      <c r="ZM69" s="456"/>
      <c r="ZN69" s="456"/>
      <c r="ZO69" s="456"/>
      <c r="ZP69" s="456"/>
      <c r="ZQ69" s="456"/>
      <c r="ZR69" s="456"/>
      <c r="ZS69" s="456"/>
      <c r="ZT69" s="456"/>
      <c r="ZU69" s="456"/>
      <c r="ZV69" s="456"/>
      <c r="ZW69" s="456"/>
      <c r="ZX69" s="456"/>
      <c r="ZY69" s="456"/>
      <c r="ZZ69" s="456"/>
      <c r="AAA69" s="456"/>
      <c r="AAB69" s="456"/>
      <c r="AAC69" s="456"/>
      <c r="AAD69" s="456"/>
      <c r="AAE69" s="456"/>
      <c r="AAF69" s="456"/>
      <c r="AAG69" s="456"/>
      <c r="AAH69" s="456"/>
      <c r="AAI69" s="456"/>
      <c r="AAJ69" s="456"/>
      <c r="AAK69" s="456"/>
      <c r="AAL69" s="456"/>
      <c r="AAM69" s="456"/>
      <c r="AAN69" s="456"/>
      <c r="AAO69" s="456"/>
      <c r="AAP69" s="456"/>
      <c r="AAQ69" s="456"/>
      <c r="AAR69" s="456"/>
      <c r="AAS69" s="456"/>
      <c r="AAT69" s="456"/>
      <c r="AAU69" s="456"/>
      <c r="AAV69" s="456"/>
      <c r="AAW69" s="456"/>
      <c r="AAX69" s="456"/>
      <c r="AAY69" s="456"/>
      <c r="AAZ69" s="456"/>
      <c r="ABA69" s="456"/>
      <c r="ABB69" s="456"/>
      <c r="ABC69" s="456"/>
      <c r="ABD69" s="456"/>
      <c r="ABE69" s="456"/>
      <c r="ABF69" s="456"/>
      <c r="ABG69" s="456"/>
      <c r="ABH69" s="456"/>
      <c r="ABI69" s="456"/>
      <c r="ABJ69" s="456"/>
      <c r="ABK69" s="456"/>
      <c r="ABL69" s="456"/>
      <c r="ABM69" s="456"/>
      <c r="ABN69" s="456"/>
      <c r="ABO69" s="456"/>
      <c r="ABP69" s="456"/>
      <c r="ABQ69" s="456"/>
      <c r="ABR69" s="456"/>
      <c r="ABS69" s="456"/>
      <c r="ABT69" s="456"/>
      <c r="ABU69" s="456"/>
      <c r="ABV69" s="456"/>
      <c r="ABW69" s="456"/>
      <c r="ABX69" s="456"/>
      <c r="ABY69" s="456"/>
      <c r="ABZ69" s="456"/>
      <c r="ACA69" s="456"/>
      <c r="ACB69" s="456"/>
      <c r="ACC69" s="456"/>
      <c r="ACD69" s="456"/>
      <c r="ACE69" s="456"/>
      <c r="ACF69" s="456"/>
      <c r="ACG69" s="456"/>
      <c r="ACH69" s="456"/>
      <c r="ACI69" s="456"/>
      <c r="ACJ69" s="456"/>
      <c r="ACK69" s="456"/>
      <c r="ACL69" s="456"/>
      <c r="ACM69" s="456"/>
      <c r="ACN69" s="456"/>
      <c r="ACO69" s="456"/>
      <c r="ACP69" s="456"/>
      <c r="ACQ69" s="456"/>
      <c r="ACR69" s="456"/>
      <c r="ACS69" s="456"/>
      <c r="ACT69" s="456"/>
      <c r="ACU69" s="456"/>
      <c r="ACV69" s="456"/>
      <c r="ACW69" s="456"/>
      <c r="ACX69" s="456"/>
      <c r="ACY69" s="456"/>
      <c r="ACZ69" s="456"/>
      <c r="ADA69" s="456"/>
      <c r="ADB69" s="456"/>
      <c r="ADC69" s="456"/>
      <c r="ADD69" s="456"/>
      <c r="ADE69" s="456"/>
      <c r="ADF69" s="456"/>
      <c r="ADG69" s="456"/>
      <c r="ADH69" s="456"/>
      <c r="ADI69" s="456"/>
      <c r="ADJ69" s="456"/>
      <c r="ADK69" s="456"/>
      <c r="ADL69" s="456"/>
      <c r="ADM69" s="456"/>
      <c r="ADN69" s="456"/>
      <c r="ADO69" s="456"/>
      <c r="ADP69" s="456"/>
      <c r="ADQ69" s="456"/>
      <c r="ADR69" s="456"/>
      <c r="ADS69" s="456"/>
      <c r="ADT69" s="456"/>
      <c r="ADU69" s="456"/>
      <c r="ADV69" s="456"/>
      <c r="ADW69" s="456"/>
      <c r="ADX69" s="456"/>
      <c r="ADY69" s="456"/>
      <c r="ADZ69" s="456"/>
      <c r="AEA69" s="456"/>
      <c r="AEB69" s="456"/>
      <c r="AEC69" s="456"/>
      <c r="AED69" s="456"/>
      <c r="AEE69" s="456"/>
      <c r="AEF69" s="456"/>
      <c r="AEG69" s="456"/>
      <c r="AEH69" s="456"/>
      <c r="AEI69" s="456"/>
      <c r="AEJ69" s="456"/>
      <c r="AEK69" s="456"/>
      <c r="AEL69" s="456"/>
      <c r="AEM69" s="456"/>
      <c r="AEN69" s="456"/>
      <c r="AEO69" s="456"/>
      <c r="AEP69" s="456"/>
      <c r="AEQ69" s="456"/>
      <c r="AER69" s="456"/>
      <c r="AES69" s="456"/>
      <c r="AET69" s="456"/>
      <c r="AEU69" s="456"/>
      <c r="AEV69" s="456"/>
      <c r="AEW69" s="456"/>
      <c r="AEX69" s="456"/>
      <c r="AEY69" s="456"/>
      <c r="AEZ69" s="456"/>
      <c r="AFA69" s="456"/>
      <c r="AFB69" s="456"/>
      <c r="AFC69" s="456"/>
      <c r="AFD69" s="456"/>
      <c r="AFE69" s="456"/>
      <c r="AFF69" s="456"/>
      <c r="AFG69" s="456"/>
      <c r="AFH69" s="456"/>
      <c r="AFI69" s="456"/>
      <c r="AFJ69" s="456"/>
      <c r="AFK69" s="456"/>
      <c r="AFL69" s="456"/>
      <c r="AFM69" s="456"/>
      <c r="AFN69" s="456"/>
      <c r="AFO69" s="456"/>
      <c r="AFP69" s="456"/>
      <c r="AFQ69" s="456"/>
      <c r="AFR69" s="456"/>
      <c r="AFS69" s="456"/>
      <c r="AFT69" s="456"/>
      <c r="AFU69" s="456"/>
      <c r="AFV69" s="456"/>
      <c r="AFW69" s="456"/>
      <c r="AFX69" s="456"/>
      <c r="AFY69" s="456"/>
      <c r="AFZ69" s="456"/>
      <c r="AGA69" s="456"/>
      <c r="AGB69" s="456"/>
      <c r="AGC69" s="456"/>
      <c r="AGD69" s="456"/>
      <c r="AGE69" s="456"/>
      <c r="AGF69" s="456"/>
      <c r="AGG69" s="456"/>
      <c r="AGH69" s="456"/>
      <c r="AGI69" s="456"/>
      <c r="AGJ69" s="456"/>
      <c r="AGK69" s="456"/>
      <c r="AGL69" s="456"/>
      <c r="AGM69" s="456"/>
      <c r="AGN69" s="456"/>
      <c r="AGO69" s="456"/>
      <c r="AGP69" s="456"/>
      <c r="AGQ69" s="456"/>
      <c r="AGR69" s="456"/>
      <c r="AGS69" s="456"/>
      <c r="AGT69" s="456"/>
      <c r="AGU69" s="456"/>
      <c r="AGV69" s="456"/>
      <c r="AGW69" s="456"/>
      <c r="AGX69" s="456"/>
      <c r="AGY69" s="456"/>
      <c r="AGZ69" s="456"/>
      <c r="AHA69" s="456"/>
      <c r="AHB69" s="456"/>
      <c r="AHC69" s="456"/>
      <c r="AHD69" s="456"/>
      <c r="AHE69" s="456"/>
      <c r="AHF69" s="456"/>
      <c r="AHG69" s="456"/>
      <c r="AHH69" s="456"/>
      <c r="AHI69" s="456"/>
      <c r="AHJ69" s="456"/>
      <c r="AHK69" s="456"/>
      <c r="AHL69" s="456"/>
      <c r="AHM69" s="456"/>
      <c r="AHN69" s="456"/>
      <c r="AHO69" s="456"/>
      <c r="AHP69" s="456"/>
      <c r="AHQ69" s="456"/>
      <c r="AHR69" s="456"/>
      <c r="AHS69" s="456"/>
      <c r="AHT69" s="456"/>
      <c r="AHU69" s="456"/>
      <c r="AHV69" s="456"/>
      <c r="AHW69" s="456"/>
      <c r="AHX69" s="456"/>
      <c r="AHY69" s="456"/>
      <c r="AHZ69" s="456"/>
      <c r="AIA69" s="456"/>
      <c r="AIB69" s="456"/>
      <c r="AIC69" s="456"/>
      <c r="AID69" s="456"/>
      <c r="AIE69" s="456"/>
      <c r="AIF69" s="456"/>
      <c r="AIG69" s="456"/>
      <c r="AIH69" s="456"/>
      <c r="AII69" s="456"/>
      <c r="AIJ69" s="456"/>
      <c r="AIK69" s="456"/>
      <c r="AIL69" s="456"/>
      <c r="AIM69" s="456"/>
      <c r="AIN69" s="456"/>
      <c r="AIO69" s="456"/>
      <c r="AIP69" s="456"/>
      <c r="AIQ69" s="456"/>
      <c r="AIR69" s="456"/>
      <c r="AIS69" s="456"/>
      <c r="AIT69" s="456"/>
      <c r="AIU69" s="456"/>
      <c r="AIV69" s="456"/>
      <c r="AIW69" s="456"/>
      <c r="AIX69" s="456"/>
      <c r="AIY69" s="456"/>
      <c r="AIZ69" s="456"/>
      <c r="AJA69" s="456"/>
      <c r="AJB69" s="456"/>
      <c r="AJC69" s="456"/>
      <c r="AJD69" s="456"/>
      <c r="AJE69" s="456"/>
      <c r="AJF69" s="456"/>
      <c r="AJG69" s="456"/>
      <c r="AJH69" s="456"/>
      <c r="AJI69" s="456"/>
      <c r="AJJ69" s="456"/>
      <c r="AJK69" s="456"/>
      <c r="AJL69" s="456"/>
      <c r="AJM69" s="456"/>
      <c r="AJN69" s="456"/>
      <c r="AJO69" s="456"/>
      <c r="AJP69" s="456"/>
      <c r="AJQ69" s="456"/>
      <c r="AJR69" s="456"/>
      <c r="AJS69" s="456"/>
      <c r="AJT69" s="456"/>
      <c r="AJU69" s="456"/>
      <c r="AJV69" s="456"/>
      <c r="AJW69" s="456"/>
      <c r="AJX69" s="456"/>
      <c r="AJY69" s="456"/>
      <c r="AJZ69" s="456"/>
      <c r="AKA69" s="456"/>
      <c r="AKB69" s="456"/>
      <c r="AKC69" s="456"/>
      <c r="AKD69" s="456"/>
      <c r="AKE69" s="456"/>
      <c r="AKF69" s="456"/>
      <c r="AKG69" s="456"/>
      <c r="AKH69" s="456"/>
      <c r="AKI69" s="456"/>
      <c r="AKJ69" s="456"/>
      <c r="AKK69" s="456"/>
      <c r="AKL69" s="456"/>
      <c r="AKM69" s="456"/>
      <c r="AKN69" s="456"/>
      <c r="AKO69" s="456"/>
      <c r="AKP69" s="456"/>
      <c r="AKQ69" s="456"/>
      <c r="AKR69" s="456"/>
      <c r="AKS69" s="456"/>
      <c r="AKT69" s="456"/>
      <c r="AKU69" s="456"/>
      <c r="AKV69" s="456"/>
      <c r="AKW69" s="456"/>
      <c r="AKX69" s="456"/>
      <c r="AKY69" s="456"/>
      <c r="AKZ69" s="456"/>
      <c r="ALA69" s="456"/>
      <c r="ALB69" s="456"/>
      <c r="ALC69" s="456"/>
      <c r="ALD69" s="456"/>
      <c r="ALE69" s="456"/>
      <c r="ALF69" s="456"/>
      <c r="ALG69" s="456"/>
      <c r="ALH69" s="456"/>
      <c r="ALI69" s="456"/>
      <c r="ALJ69" s="456"/>
      <c r="ALK69" s="456"/>
      <c r="ALL69" s="456"/>
      <c r="ALM69" s="456"/>
      <c r="ALN69" s="456"/>
      <c r="ALO69" s="456"/>
      <c r="ALP69" s="456"/>
      <c r="ALQ69" s="456"/>
      <c r="ALR69" s="456"/>
      <c r="ALS69" s="456"/>
      <c r="ALT69" s="456"/>
      <c r="ALU69" s="456"/>
      <c r="ALV69" s="456"/>
      <c r="ALW69" s="456"/>
      <c r="ALX69" s="456"/>
      <c r="ALY69" s="456"/>
      <c r="ALZ69" s="456"/>
      <c r="AMA69" s="456"/>
      <c r="AMB69" s="456"/>
      <c r="AMC69" s="456"/>
      <c r="AMD69" s="456"/>
      <c r="AME69" s="456"/>
      <c r="AMF69" s="456"/>
      <c r="AMG69" s="456"/>
      <c r="AMH69" s="456"/>
      <c r="AMI69" s="456"/>
      <c r="AMJ69" s="456"/>
      <c r="AMK69" s="456"/>
      <c r="AML69" s="456"/>
      <c r="AMM69" s="456"/>
      <c r="AMN69" s="456"/>
      <c r="AMO69" s="456"/>
      <c r="AMP69" s="456"/>
      <c r="AMQ69" s="456"/>
      <c r="AMR69" s="456"/>
      <c r="AMS69" s="456"/>
      <c r="AMT69" s="456"/>
      <c r="AMU69" s="456"/>
      <c r="AMV69" s="456"/>
      <c r="AMW69" s="456"/>
      <c r="AMX69" s="456"/>
      <c r="AMY69" s="456"/>
      <c r="AMZ69" s="456"/>
      <c r="ANA69" s="456"/>
      <c r="ANB69" s="456"/>
      <c r="ANC69" s="456"/>
      <c r="AND69" s="456"/>
      <c r="ANE69" s="456"/>
      <c r="ANF69" s="456"/>
      <c r="ANG69" s="456"/>
      <c r="ANH69" s="456"/>
      <c r="ANI69" s="456"/>
      <c r="ANJ69" s="456"/>
      <c r="ANK69" s="456"/>
      <c r="ANL69" s="456"/>
      <c r="ANM69" s="456"/>
      <c r="ANN69" s="456"/>
      <c r="ANO69" s="456"/>
      <c r="ANP69" s="456"/>
      <c r="ANQ69" s="456"/>
      <c r="ANR69" s="456"/>
      <c r="ANS69" s="456"/>
      <c r="ANT69" s="456"/>
      <c r="ANU69" s="456"/>
      <c r="ANV69" s="456"/>
      <c r="ANW69" s="456"/>
      <c r="ANX69" s="456"/>
      <c r="ANY69" s="456"/>
      <c r="ANZ69" s="456"/>
      <c r="AOA69" s="456"/>
      <c r="AOB69" s="456"/>
      <c r="AOC69" s="456"/>
      <c r="AOD69" s="456"/>
      <c r="AOE69" s="456"/>
      <c r="AOF69" s="456"/>
      <c r="AOG69" s="456"/>
      <c r="AOH69" s="456"/>
      <c r="AOI69" s="456"/>
      <c r="AOJ69" s="456"/>
      <c r="AOK69" s="456"/>
      <c r="AOL69" s="456"/>
      <c r="AOM69" s="456"/>
      <c r="AON69" s="456"/>
      <c r="AOO69" s="456"/>
      <c r="AOP69" s="456"/>
      <c r="AOQ69" s="456"/>
      <c r="AOR69" s="456"/>
      <c r="AOS69" s="456"/>
      <c r="AOT69" s="456"/>
      <c r="AOU69" s="456"/>
      <c r="AOV69" s="456"/>
      <c r="AOW69" s="456"/>
      <c r="AOX69" s="456"/>
      <c r="AOY69" s="456"/>
      <c r="AOZ69" s="456"/>
      <c r="APA69" s="456"/>
      <c r="APB69" s="456"/>
      <c r="APC69" s="456"/>
      <c r="APD69" s="456"/>
      <c r="APE69" s="456"/>
      <c r="APF69" s="456"/>
      <c r="APG69" s="456"/>
      <c r="APH69" s="456"/>
      <c r="API69" s="456"/>
      <c r="APJ69" s="456"/>
      <c r="APK69" s="456"/>
      <c r="APL69" s="456"/>
      <c r="APM69" s="456"/>
      <c r="APN69" s="456"/>
      <c r="APO69" s="456"/>
      <c r="APP69" s="456"/>
      <c r="APQ69" s="456"/>
      <c r="APR69" s="456"/>
      <c r="APS69" s="456"/>
      <c r="APT69" s="456"/>
      <c r="APU69" s="456"/>
      <c r="APV69" s="456"/>
      <c r="APW69" s="456"/>
      <c r="APX69" s="456"/>
      <c r="APY69" s="456"/>
      <c r="APZ69" s="456"/>
      <c r="AQA69" s="456"/>
      <c r="AQB69" s="456"/>
      <c r="AQC69" s="456"/>
      <c r="AQD69" s="456"/>
      <c r="AQE69" s="456"/>
      <c r="AQF69" s="456"/>
      <c r="AQG69" s="456"/>
      <c r="AQH69" s="456"/>
      <c r="AQI69" s="456"/>
      <c r="AQJ69" s="456"/>
      <c r="AQK69" s="456"/>
      <c r="AQL69" s="456"/>
      <c r="AQM69" s="456"/>
      <c r="AQN69" s="456"/>
      <c r="AQO69" s="456"/>
      <c r="AQP69" s="456"/>
      <c r="AQQ69" s="456"/>
      <c r="AQR69" s="456"/>
      <c r="AQS69" s="456"/>
      <c r="AQT69" s="456"/>
      <c r="AQU69" s="456"/>
      <c r="AQV69" s="456"/>
      <c r="AQW69" s="456"/>
      <c r="AQX69" s="456"/>
      <c r="AQY69" s="456"/>
      <c r="AQZ69" s="456"/>
      <c r="ARA69" s="456"/>
      <c r="ARB69" s="456"/>
      <c r="ARC69" s="456"/>
      <c r="ARD69" s="456"/>
      <c r="ARE69" s="456"/>
      <c r="ARF69" s="456"/>
      <c r="ARG69" s="456"/>
      <c r="ARH69" s="456"/>
      <c r="ARI69" s="456"/>
      <c r="ARJ69" s="456"/>
      <c r="ARK69" s="456"/>
      <c r="ARL69" s="456"/>
      <c r="ARM69" s="456"/>
      <c r="ARN69" s="456"/>
      <c r="ARO69" s="456"/>
      <c r="ARP69" s="456"/>
      <c r="ARQ69" s="456"/>
      <c r="ARR69" s="456"/>
      <c r="ARS69" s="456"/>
      <c r="ART69" s="456"/>
      <c r="ARU69" s="456"/>
      <c r="ARV69" s="456"/>
      <c r="ARW69" s="456"/>
      <c r="ARX69" s="456"/>
      <c r="ARY69" s="456"/>
      <c r="ARZ69" s="456"/>
      <c r="ASA69" s="456"/>
      <c r="ASB69" s="456"/>
      <c r="ASC69" s="456"/>
      <c r="ASD69" s="456"/>
      <c r="ASE69" s="456"/>
      <c r="ASF69" s="456"/>
      <c r="ASG69" s="456"/>
      <c r="ASH69" s="456"/>
      <c r="ASI69" s="456"/>
      <c r="ASJ69" s="456"/>
      <c r="ASK69" s="456"/>
      <c r="ASL69" s="456"/>
      <c r="ASM69" s="456"/>
      <c r="ASN69" s="456"/>
      <c r="ASO69" s="456"/>
      <c r="ASP69" s="456"/>
      <c r="ASQ69" s="456"/>
      <c r="ASR69" s="456"/>
      <c r="ASS69" s="456"/>
      <c r="AST69" s="456"/>
      <c r="ASU69" s="456"/>
      <c r="ASV69" s="456"/>
      <c r="ASW69" s="456"/>
      <c r="ASX69" s="456"/>
      <c r="ASY69" s="456"/>
      <c r="ASZ69" s="456"/>
      <c r="ATA69" s="456"/>
      <c r="ATB69" s="456"/>
      <c r="ATC69" s="456"/>
      <c r="ATD69" s="456"/>
      <c r="ATE69" s="456"/>
      <c r="ATF69" s="456"/>
      <c r="ATG69" s="456"/>
      <c r="ATH69" s="456"/>
      <c r="ATI69" s="456"/>
      <c r="ATJ69" s="456"/>
      <c r="ATK69" s="456"/>
      <c r="ATL69" s="456"/>
      <c r="ATM69" s="456"/>
      <c r="ATN69" s="456"/>
      <c r="ATO69" s="456"/>
      <c r="ATP69" s="456"/>
      <c r="ATQ69" s="456"/>
      <c r="ATR69" s="456"/>
      <c r="ATS69" s="456"/>
      <c r="ATT69" s="456"/>
      <c r="ATU69" s="456"/>
      <c r="ATV69" s="456"/>
      <c r="ATW69" s="456"/>
      <c r="ATX69" s="456"/>
      <c r="ATY69" s="456"/>
      <c r="ATZ69" s="456"/>
      <c r="AUA69" s="456"/>
      <c r="AUB69" s="456"/>
      <c r="AUC69" s="456"/>
      <c r="AUD69" s="456"/>
      <c r="AUE69" s="456"/>
      <c r="AUF69" s="456"/>
      <c r="AUG69" s="456"/>
      <c r="AUH69" s="456"/>
      <c r="AUI69" s="456"/>
      <c r="AUJ69" s="456"/>
      <c r="AUK69" s="456"/>
      <c r="AUL69" s="456"/>
      <c r="AUM69" s="456"/>
      <c r="AUN69" s="456"/>
      <c r="AUO69" s="456"/>
      <c r="AUP69" s="456"/>
      <c r="AUQ69" s="456"/>
      <c r="AUR69" s="456"/>
      <c r="AUS69" s="456"/>
      <c r="AUT69" s="456"/>
      <c r="AUU69" s="456"/>
      <c r="AUV69" s="456"/>
      <c r="AUW69" s="456"/>
      <c r="AUX69" s="456"/>
      <c r="AUY69" s="456"/>
      <c r="AUZ69" s="456"/>
      <c r="AVA69" s="456"/>
      <c r="AVB69" s="456"/>
      <c r="AVC69" s="456"/>
      <c r="AVD69" s="456"/>
      <c r="AVE69" s="456"/>
      <c r="AVF69" s="456"/>
      <c r="AVG69" s="456"/>
      <c r="AVH69" s="456"/>
      <c r="AVI69" s="456"/>
      <c r="AVJ69" s="456"/>
      <c r="AVK69" s="456"/>
      <c r="AVL69" s="456"/>
      <c r="AVM69" s="456"/>
      <c r="AVN69" s="456"/>
      <c r="AVO69" s="456"/>
      <c r="AVP69" s="456"/>
      <c r="AVQ69" s="456"/>
      <c r="AVR69" s="456"/>
      <c r="AVS69" s="456"/>
      <c r="AVT69" s="456"/>
      <c r="AVU69" s="456"/>
      <c r="AVV69" s="456"/>
      <c r="AVW69" s="456"/>
      <c r="AVX69" s="456"/>
      <c r="AVY69" s="456"/>
      <c r="AVZ69" s="456"/>
      <c r="AWA69" s="456"/>
      <c r="AWB69" s="456"/>
      <c r="AWC69" s="456"/>
      <c r="AWD69" s="456"/>
      <c r="AWE69" s="456"/>
      <c r="AWF69" s="456"/>
      <c r="AWG69" s="456"/>
      <c r="AWH69" s="456"/>
      <c r="AWI69" s="456"/>
      <c r="AWJ69" s="456"/>
      <c r="AWK69" s="456"/>
      <c r="AWL69" s="456"/>
      <c r="AWM69" s="456"/>
      <c r="AWN69" s="456"/>
      <c r="AWO69" s="456"/>
      <c r="AWP69" s="456"/>
      <c r="AWQ69" s="456"/>
      <c r="AWR69" s="456"/>
      <c r="AWS69" s="456"/>
      <c r="AWT69" s="456"/>
      <c r="AWU69" s="456"/>
      <c r="AWV69" s="456"/>
      <c r="AWW69" s="456"/>
      <c r="AWX69" s="456"/>
      <c r="AWY69" s="456"/>
      <c r="AWZ69" s="456"/>
      <c r="AXA69" s="456"/>
      <c r="AXB69" s="456"/>
      <c r="AXC69" s="456"/>
      <c r="AXD69" s="456"/>
      <c r="AXE69" s="456"/>
      <c r="AXF69" s="456"/>
      <c r="AXG69" s="456"/>
      <c r="AXH69" s="456"/>
      <c r="AXI69" s="456"/>
      <c r="AXJ69" s="456"/>
      <c r="AXK69" s="456"/>
      <c r="AXL69" s="456"/>
      <c r="AXM69" s="456"/>
      <c r="AXN69" s="456"/>
      <c r="AXO69" s="456"/>
      <c r="AXP69" s="456"/>
      <c r="AXQ69" s="456"/>
      <c r="AXR69" s="456"/>
      <c r="AXS69" s="456"/>
      <c r="AXT69" s="456"/>
      <c r="AXU69" s="456"/>
      <c r="AXV69" s="456"/>
      <c r="AXW69" s="456"/>
      <c r="AXX69" s="456"/>
      <c r="AXY69" s="456"/>
      <c r="AXZ69" s="456"/>
      <c r="AYA69" s="456"/>
      <c r="AYB69" s="456"/>
      <c r="AYC69" s="456"/>
      <c r="AYD69" s="456"/>
      <c r="AYE69" s="456"/>
      <c r="AYF69" s="456"/>
      <c r="AYG69" s="456"/>
      <c r="AYH69" s="456"/>
      <c r="AYI69" s="456"/>
      <c r="AYJ69" s="456"/>
      <c r="AYK69" s="456"/>
      <c r="AYL69" s="456"/>
      <c r="AYM69" s="456"/>
      <c r="AYN69" s="456"/>
      <c r="AYO69" s="456"/>
      <c r="AYP69" s="456"/>
      <c r="AYQ69" s="456"/>
      <c r="AYR69" s="456"/>
      <c r="AYS69" s="456"/>
      <c r="AYT69" s="456"/>
      <c r="AYU69" s="456"/>
      <c r="AYV69" s="456"/>
      <c r="AYW69" s="456"/>
      <c r="AYX69" s="456"/>
      <c r="AYY69" s="456"/>
      <c r="AYZ69" s="456"/>
      <c r="AZA69" s="456"/>
      <c r="AZB69" s="456"/>
      <c r="AZC69" s="456"/>
      <c r="AZD69" s="456"/>
      <c r="AZE69" s="456"/>
      <c r="AZF69" s="456"/>
      <c r="AZG69" s="456"/>
      <c r="AZH69" s="456"/>
      <c r="AZI69" s="456"/>
      <c r="AZJ69" s="456"/>
      <c r="AZK69" s="456"/>
      <c r="AZL69" s="456"/>
      <c r="AZM69" s="456"/>
      <c r="AZN69" s="456"/>
      <c r="AZO69" s="456"/>
      <c r="AZP69" s="456"/>
      <c r="AZQ69" s="456"/>
      <c r="AZR69" s="456"/>
      <c r="AZS69" s="456"/>
      <c r="AZT69" s="456"/>
      <c r="AZU69" s="456"/>
      <c r="AZV69" s="456"/>
      <c r="AZW69" s="456"/>
      <c r="AZX69" s="456"/>
      <c r="AZY69" s="456"/>
      <c r="AZZ69" s="456"/>
      <c r="BAA69" s="456"/>
      <c r="BAB69" s="456"/>
      <c r="BAC69" s="456"/>
      <c r="BAD69" s="456"/>
      <c r="BAE69" s="456"/>
      <c r="BAF69" s="456"/>
      <c r="BAG69" s="456"/>
      <c r="BAH69" s="456"/>
      <c r="BAI69" s="456"/>
      <c r="BAJ69" s="456"/>
      <c r="BAK69" s="456"/>
      <c r="BAL69" s="456"/>
      <c r="BAM69" s="456"/>
      <c r="BAN69" s="456"/>
      <c r="BAO69" s="456"/>
      <c r="BAP69" s="456"/>
      <c r="BAQ69" s="456"/>
      <c r="BAR69" s="456"/>
      <c r="BAS69" s="456"/>
      <c r="BAT69" s="456"/>
      <c r="BAU69" s="456"/>
      <c r="BAV69" s="456"/>
      <c r="BAW69" s="456"/>
      <c r="BAX69" s="456"/>
      <c r="BAY69" s="456"/>
      <c r="BAZ69" s="456"/>
      <c r="BBA69" s="456"/>
      <c r="BBB69" s="456"/>
      <c r="BBC69" s="456"/>
      <c r="BBD69" s="456"/>
      <c r="BBE69" s="456"/>
      <c r="BBF69" s="456"/>
      <c r="BBG69" s="456"/>
      <c r="BBH69" s="456"/>
      <c r="BBI69" s="456"/>
      <c r="BBJ69" s="456"/>
      <c r="BBK69" s="456"/>
      <c r="BBL69" s="456"/>
      <c r="BBM69" s="456"/>
      <c r="BBN69" s="456"/>
      <c r="BBO69" s="456"/>
      <c r="BBP69" s="456"/>
      <c r="BBQ69" s="456"/>
      <c r="BBR69" s="456"/>
      <c r="BBS69" s="456"/>
      <c r="BBT69" s="456"/>
      <c r="BBU69" s="456"/>
      <c r="BBV69" s="456"/>
      <c r="BBW69" s="456"/>
      <c r="BBX69" s="456"/>
      <c r="BBY69" s="456"/>
      <c r="BBZ69" s="456"/>
      <c r="BCA69" s="456"/>
      <c r="BCB69" s="456"/>
      <c r="BCC69" s="456"/>
      <c r="BCD69" s="456"/>
      <c r="BCE69" s="456"/>
      <c r="BCF69" s="456"/>
      <c r="BCG69" s="456"/>
      <c r="BCH69" s="456"/>
      <c r="BCI69" s="456"/>
      <c r="BCJ69" s="456"/>
      <c r="BCK69" s="456"/>
      <c r="BCL69" s="456"/>
      <c r="BCM69" s="456"/>
      <c r="BCN69" s="456"/>
      <c r="BCO69" s="456"/>
      <c r="BCP69" s="456"/>
      <c r="BCQ69" s="456"/>
      <c r="BCR69" s="456"/>
      <c r="BCS69" s="456"/>
      <c r="BCT69" s="456"/>
      <c r="BCU69" s="456"/>
      <c r="BCV69" s="456"/>
      <c r="BCW69" s="456"/>
      <c r="BCX69" s="456"/>
      <c r="BCY69" s="456"/>
      <c r="BCZ69" s="456"/>
      <c r="BDA69" s="456"/>
      <c r="BDB69" s="456"/>
      <c r="BDC69" s="456"/>
      <c r="BDD69" s="456"/>
      <c r="BDE69" s="456"/>
      <c r="BDF69" s="456"/>
      <c r="BDG69" s="456"/>
      <c r="BDH69" s="456"/>
      <c r="BDI69" s="456"/>
      <c r="BDJ69" s="456"/>
      <c r="BDK69" s="456"/>
      <c r="BDL69" s="456"/>
      <c r="BDM69" s="456"/>
      <c r="BDN69" s="456"/>
      <c r="BDO69" s="456"/>
      <c r="BDP69" s="456"/>
      <c r="BDQ69" s="456"/>
      <c r="BDR69" s="456"/>
      <c r="BDS69" s="456"/>
      <c r="BDT69" s="456"/>
      <c r="BDU69" s="456"/>
      <c r="BDV69" s="456"/>
      <c r="BDW69" s="456"/>
      <c r="BDX69" s="456"/>
      <c r="BDY69" s="456"/>
      <c r="BDZ69" s="456"/>
      <c r="BEA69" s="456"/>
      <c r="BEB69" s="456"/>
      <c r="BEC69" s="456"/>
      <c r="BED69" s="456"/>
      <c r="BEE69" s="456"/>
      <c r="BEF69" s="456"/>
      <c r="BEG69" s="456"/>
      <c r="BEH69" s="456"/>
      <c r="BEI69" s="456"/>
      <c r="BEJ69" s="456"/>
      <c r="BEK69" s="456"/>
      <c r="BEL69" s="456"/>
      <c r="BEM69" s="456"/>
      <c r="BEN69" s="456"/>
      <c r="BEO69" s="456"/>
      <c r="BEP69" s="456"/>
      <c r="BEQ69" s="456"/>
      <c r="BER69" s="456"/>
      <c r="BES69" s="456"/>
      <c r="BET69" s="456"/>
      <c r="BEU69" s="456"/>
      <c r="BEV69" s="456"/>
      <c r="BEW69" s="456"/>
      <c r="BEX69" s="456"/>
      <c r="BEY69" s="456"/>
      <c r="BEZ69" s="456"/>
      <c r="BFA69" s="456"/>
      <c r="BFB69" s="456"/>
      <c r="BFC69" s="456"/>
      <c r="BFD69" s="456"/>
      <c r="BFE69" s="456"/>
      <c r="BFF69" s="456"/>
      <c r="BFG69" s="456"/>
      <c r="BFH69" s="456"/>
      <c r="BFI69" s="456"/>
      <c r="BFJ69" s="456"/>
      <c r="BFK69" s="456"/>
      <c r="BFL69" s="456"/>
      <c r="BFM69" s="456"/>
      <c r="BFN69" s="456"/>
      <c r="BFO69" s="456"/>
      <c r="BFP69" s="456"/>
      <c r="BFQ69" s="456"/>
      <c r="BFR69" s="456"/>
      <c r="BFS69" s="456"/>
      <c r="BFT69" s="456"/>
      <c r="BFU69" s="456"/>
      <c r="BFV69" s="456"/>
      <c r="BFW69" s="456"/>
      <c r="BFX69" s="456"/>
      <c r="BFY69" s="456"/>
      <c r="BFZ69" s="456"/>
      <c r="BGA69" s="456"/>
      <c r="BGB69" s="456"/>
      <c r="BGC69" s="456"/>
      <c r="BGD69" s="456"/>
      <c r="BGE69" s="456"/>
      <c r="BGF69" s="456"/>
      <c r="BGG69" s="456"/>
      <c r="BGH69" s="456"/>
      <c r="BGI69" s="456"/>
      <c r="BGJ69" s="456"/>
      <c r="BGK69" s="456"/>
      <c r="BGL69" s="456"/>
      <c r="BGM69" s="456"/>
      <c r="BGN69" s="456"/>
      <c r="BGO69" s="456"/>
      <c r="BGP69" s="456"/>
      <c r="BGQ69" s="456"/>
      <c r="BGR69" s="456"/>
      <c r="BGS69" s="456"/>
      <c r="BGT69" s="456"/>
      <c r="BGU69" s="456"/>
      <c r="BGV69" s="456"/>
      <c r="BGW69" s="456"/>
      <c r="BGX69" s="456"/>
      <c r="BGY69" s="456"/>
      <c r="BGZ69" s="456"/>
      <c r="BHA69" s="456"/>
      <c r="BHB69" s="456"/>
      <c r="BHC69" s="456"/>
      <c r="BHD69" s="456"/>
      <c r="BHE69" s="456"/>
      <c r="BHF69" s="456"/>
      <c r="BHG69" s="456"/>
      <c r="BHH69" s="456"/>
      <c r="BHI69" s="456"/>
      <c r="BHJ69" s="456"/>
      <c r="BHK69" s="456"/>
      <c r="BHL69" s="456"/>
      <c r="BHM69" s="456"/>
      <c r="BHN69" s="456"/>
      <c r="BHO69" s="456"/>
      <c r="BHP69" s="456"/>
      <c r="BHQ69" s="456"/>
      <c r="BHR69" s="456"/>
      <c r="BHS69" s="456"/>
      <c r="BHT69" s="456"/>
      <c r="BHU69" s="456"/>
      <c r="BHV69" s="456"/>
      <c r="BHW69" s="456"/>
      <c r="BHX69" s="456"/>
      <c r="BHY69" s="456"/>
      <c r="BHZ69" s="456"/>
      <c r="BIA69" s="456"/>
      <c r="BIB69" s="456"/>
      <c r="BIC69" s="456"/>
      <c r="BID69" s="456"/>
      <c r="BIE69" s="456"/>
      <c r="BIF69" s="456"/>
      <c r="BIG69" s="456"/>
      <c r="BIH69" s="456"/>
      <c r="BII69" s="456"/>
      <c r="BIJ69" s="456"/>
      <c r="BIK69" s="456"/>
      <c r="BIL69" s="456"/>
      <c r="BIM69" s="456"/>
      <c r="BIN69" s="456"/>
      <c r="BIO69" s="456"/>
      <c r="BIP69" s="456"/>
      <c r="BIQ69" s="456"/>
      <c r="BIR69" s="456"/>
      <c r="BIS69" s="456"/>
      <c r="BIT69" s="456"/>
      <c r="BIU69" s="456"/>
      <c r="BIV69" s="456"/>
      <c r="BIW69" s="456"/>
      <c r="BIX69" s="456"/>
      <c r="BIY69" s="456"/>
      <c r="BIZ69" s="456"/>
      <c r="BJA69" s="456"/>
      <c r="BJB69" s="456"/>
      <c r="BJC69" s="456"/>
      <c r="BJD69" s="456"/>
      <c r="BJE69" s="456"/>
      <c r="BJF69" s="456"/>
      <c r="BJG69" s="456"/>
      <c r="BJH69" s="456"/>
      <c r="BJI69" s="456"/>
      <c r="BJJ69" s="456"/>
      <c r="BJK69" s="456"/>
      <c r="BJL69" s="456"/>
      <c r="BJM69" s="456"/>
      <c r="BJN69" s="456"/>
      <c r="BJO69" s="456"/>
      <c r="BJP69" s="456"/>
      <c r="BJQ69" s="456"/>
      <c r="BJR69" s="456"/>
      <c r="BJS69" s="456"/>
      <c r="BJT69" s="456"/>
      <c r="BJU69" s="456"/>
      <c r="BJV69" s="456"/>
      <c r="BJW69" s="456"/>
      <c r="BJX69" s="456"/>
      <c r="BJY69" s="456"/>
      <c r="BJZ69" s="456"/>
      <c r="BKA69" s="456"/>
      <c r="BKB69" s="456"/>
      <c r="BKC69" s="456"/>
      <c r="BKD69" s="456"/>
      <c r="BKE69" s="456"/>
      <c r="BKF69" s="456"/>
      <c r="BKG69" s="456"/>
      <c r="BKH69" s="456"/>
      <c r="BKI69" s="456"/>
      <c r="BKJ69" s="456"/>
      <c r="BKK69" s="456"/>
      <c r="BKL69" s="456"/>
      <c r="BKM69" s="456"/>
      <c r="BKN69" s="456"/>
      <c r="BKO69" s="456"/>
      <c r="BKP69" s="456"/>
      <c r="BKQ69" s="456"/>
      <c r="BKR69" s="456"/>
      <c r="BKS69" s="456"/>
      <c r="BKT69" s="456"/>
      <c r="BKU69" s="456"/>
      <c r="BKV69" s="456"/>
      <c r="BKW69" s="456"/>
      <c r="BKX69" s="456"/>
      <c r="BKY69" s="456"/>
      <c r="BKZ69" s="456"/>
      <c r="BLA69" s="456"/>
      <c r="BLB69" s="456"/>
      <c r="BLC69" s="456"/>
      <c r="BLD69" s="456"/>
      <c r="BLE69" s="456"/>
      <c r="BLF69" s="456"/>
      <c r="BLG69" s="456"/>
      <c r="BLH69" s="456"/>
      <c r="BLI69" s="456"/>
      <c r="BLJ69" s="456"/>
      <c r="BLK69" s="456"/>
      <c r="BLL69" s="456"/>
      <c r="BLM69" s="456"/>
      <c r="BLN69" s="456"/>
      <c r="BLO69" s="456"/>
      <c r="BLP69" s="456"/>
      <c r="BLQ69" s="456"/>
      <c r="BLR69" s="456"/>
      <c r="BLS69" s="456"/>
      <c r="BLT69" s="456"/>
      <c r="BLU69" s="456"/>
      <c r="BLV69" s="456"/>
      <c r="BLW69" s="456"/>
      <c r="BLX69" s="456"/>
      <c r="BLY69" s="456"/>
      <c r="BLZ69" s="456"/>
      <c r="BMA69" s="456"/>
      <c r="BMB69" s="456"/>
      <c r="BMC69" s="456"/>
      <c r="BMD69" s="456"/>
      <c r="BME69" s="456"/>
      <c r="BMF69" s="456"/>
      <c r="BMG69" s="456"/>
      <c r="BMH69" s="456"/>
      <c r="BMI69" s="456"/>
      <c r="BMJ69" s="456"/>
      <c r="BMK69" s="456"/>
      <c r="BML69" s="456"/>
      <c r="BMM69" s="456"/>
      <c r="BMN69" s="456"/>
      <c r="BMO69" s="456"/>
      <c r="BMP69" s="456"/>
      <c r="BMQ69" s="456"/>
      <c r="BMR69" s="456"/>
      <c r="BMS69" s="456"/>
      <c r="BMT69" s="456"/>
      <c r="BMU69" s="456"/>
      <c r="BMV69" s="456"/>
      <c r="BMW69" s="456"/>
      <c r="BMX69" s="456"/>
      <c r="BMY69" s="456"/>
      <c r="BMZ69" s="456"/>
      <c r="BNA69" s="456"/>
      <c r="BNB69" s="456"/>
      <c r="BNC69" s="456"/>
      <c r="BND69" s="456"/>
      <c r="BNE69" s="456"/>
      <c r="BNF69" s="456"/>
      <c r="BNG69" s="456"/>
      <c r="BNH69" s="456"/>
      <c r="BNI69" s="456"/>
      <c r="BNJ69" s="456"/>
      <c r="BNK69" s="456"/>
      <c r="BNL69" s="456"/>
      <c r="BNM69" s="456"/>
      <c r="BNN69" s="456"/>
      <c r="BNO69" s="456"/>
      <c r="BNP69" s="456"/>
      <c r="BNQ69" s="456"/>
      <c r="BNR69" s="456"/>
      <c r="BNS69" s="456"/>
      <c r="BNT69" s="456"/>
      <c r="BNU69" s="456"/>
      <c r="BNV69" s="456"/>
      <c r="BNW69" s="456"/>
      <c r="BNX69" s="456"/>
      <c r="BNY69" s="456"/>
      <c r="BNZ69" s="456"/>
      <c r="BOA69" s="456"/>
      <c r="BOB69" s="456"/>
      <c r="BOC69" s="456"/>
      <c r="BOD69" s="456"/>
      <c r="BOE69" s="456"/>
      <c r="BOF69" s="456"/>
      <c r="BOG69" s="456"/>
      <c r="BOH69" s="456"/>
      <c r="BOI69" s="456"/>
      <c r="BOJ69" s="456"/>
      <c r="BOK69" s="456"/>
      <c r="BOL69" s="456"/>
      <c r="BOM69" s="456"/>
      <c r="BON69" s="456"/>
      <c r="BOO69" s="456"/>
      <c r="BOP69" s="456"/>
      <c r="BOQ69" s="456"/>
      <c r="BOR69" s="456"/>
      <c r="BOS69" s="456"/>
      <c r="BOT69" s="456"/>
      <c r="BOU69" s="456"/>
      <c r="BOV69" s="456"/>
      <c r="BOW69" s="456"/>
      <c r="BOX69" s="456"/>
      <c r="BOY69" s="456"/>
      <c r="BOZ69" s="456"/>
      <c r="BPA69" s="456"/>
      <c r="BPB69" s="456"/>
      <c r="BPC69" s="456"/>
      <c r="BPD69" s="456"/>
      <c r="BPE69" s="456"/>
      <c r="BPF69" s="456"/>
      <c r="BPG69" s="456"/>
      <c r="BPH69" s="456"/>
      <c r="BPI69" s="456"/>
      <c r="BPJ69" s="456"/>
      <c r="BPK69" s="456"/>
      <c r="BPL69" s="456"/>
      <c r="BPM69" s="456"/>
      <c r="BPN69" s="456"/>
      <c r="BPO69" s="456"/>
      <c r="BPP69" s="456"/>
      <c r="BPQ69" s="456"/>
      <c r="BPR69" s="456"/>
      <c r="BPS69" s="456"/>
      <c r="BPT69" s="456"/>
      <c r="BPU69" s="456"/>
      <c r="BPV69" s="456"/>
      <c r="BPW69" s="456"/>
      <c r="BPX69" s="456"/>
      <c r="BPY69" s="456"/>
      <c r="BPZ69" s="456"/>
      <c r="BQA69" s="456"/>
      <c r="BQB69" s="456"/>
      <c r="BQC69" s="456"/>
      <c r="BQD69" s="456"/>
      <c r="BQE69" s="456"/>
      <c r="BQF69" s="456"/>
      <c r="BQG69" s="456"/>
      <c r="BQH69" s="456"/>
      <c r="BQI69" s="456"/>
      <c r="BQJ69" s="456"/>
      <c r="BQK69" s="456"/>
      <c r="BQL69" s="456"/>
      <c r="BQM69" s="456"/>
      <c r="BQN69" s="456"/>
      <c r="BQO69" s="456"/>
      <c r="BQP69" s="456"/>
      <c r="BQQ69" s="456"/>
      <c r="BQR69" s="456"/>
      <c r="BQS69" s="456"/>
      <c r="BQT69" s="456"/>
      <c r="BQU69" s="456"/>
      <c r="BQV69" s="456"/>
      <c r="BQW69" s="456"/>
      <c r="BQX69" s="456"/>
      <c r="BQY69" s="456"/>
      <c r="BQZ69" s="456"/>
      <c r="BRA69" s="456"/>
      <c r="BRB69" s="456"/>
      <c r="BRC69" s="456"/>
      <c r="BRD69" s="456"/>
      <c r="BRE69" s="456"/>
      <c r="BRF69" s="456"/>
      <c r="BRG69" s="456"/>
      <c r="BRH69" s="456"/>
      <c r="BRI69" s="456"/>
      <c r="BRJ69" s="456"/>
      <c r="BRK69" s="456"/>
      <c r="BRL69" s="456"/>
      <c r="BRM69" s="456"/>
      <c r="BRN69" s="456"/>
      <c r="BRO69" s="456"/>
      <c r="BRP69" s="456"/>
      <c r="BRQ69" s="456"/>
      <c r="BRR69" s="456"/>
      <c r="BRS69" s="456"/>
      <c r="BRT69" s="456"/>
      <c r="BRU69" s="456"/>
      <c r="BRV69" s="456"/>
      <c r="BRW69" s="456"/>
      <c r="BRX69" s="456"/>
      <c r="BRY69" s="456"/>
      <c r="BRZ69" s="456"/>
      <c r="BSA69" s="456"/>
      <c r="BSB69" s="456"/>
      <c r="BSC69" s="456"/>
      <c r="BSD69" s="456"/>
      <c r="BSE69" s="456"/>
      <c r="BSF69" s="456"/>
      <c r="BSG69" s="456"/>
      <c r="BSH69" s="456"/>
      <c r="BSI69" s="456"/>
      <c r="BSJ69" s="456"/>
      <c r="BSK69" s="456"/>
      <c r="BSL69" s="456"/>
      <c r="BSM69" s="456"/>
      <c r="BSN69" s="456"/>
      <c r="BSO69" s="456"/>
      <c r="BSP69" s="456"/>
      <c r="BSQ69" s="456"/>
      <c r="BSR69" s="456"/>
      <c r="BSS69" s="456"/>
      <c r="BST69" s="456"/>
      <c r="BSU69" s="456"/>
      <c r="BSV69" s="456"/>
      <c r="BSW69" s="456"/>
      <c r="BSX69" s="456"/>
      <c r="BSY69" s="456"/>
      <c r="BSZ69" s="456"/>
      <c r="BTA69" s="456"/>
      <c r="BTB69" s="456"/>
      <c r="BTC69" s="456"/>
      <c r="BTD69" s="456"/>
      <c r="BTE69" s="456"/>
      <c r="BTF69" s="456"/>
      <c r="BTG69" s="456"/>
      <c r="BTH69" s="456"/>
      <c r="BTI69" s="456"/>
      <c r="BTJ69" s="456"/>
      <c r="BTK69" s="456"/>
      <c r="BTL69" s="456"/>
      <c r="BTM69" s="456"/>
      <c r="BTN69" s="456"/>
      <c r="BTO69" s="456"/>
      <c r="BTP69" s="456"/>
      <c r="BTQ69" s="456"/>
      <c r="BTR69" s="456"/>
      <c r="BTS69" s="456"/>
      <c r="BTT69" s="456"/>
      <c r="BTU69" s="456"/>
      <c r="BTV69" s="456"/>
      <c r="BTW69" s="456"/>
      <c r="BTX69" s="456"/>
      <c r="BTY69" s="456"/>
      <c r="BTZ69" s="456"/>
      <c r="BUA69" s="456"/>
      <c r="BUB69" s="456"/>
      <c r="BUC69" s="456"/>
      <c r="BUD69" s="456"/>
      <c r="BUE69" s="456"/>
      <c r="BUF69" s="456"/>
      <c r="BUG69" s="456"/>
      <c r="BUH69" s="456"/>
      <c r="BUI69" s="456"/>
      <c r="BUJ69" s="456"/>
      <c r="BUK69" s="456"/>
      <c r="BUL69" s="456"/>
      <c r="BUM69" s="456"/>
      <c r="BUN69" s="456"/>
      <c r="BUO69" s="456"/>
      <c r="BUP69" s="456"/>
      <c r="BUQ69" s="456"/>
      <c r="BUR69" s="456"/>
      <c r="BUS69" s="456"/>
      <c r="BUT69" s="456"/>
      <c r="BUU69" s="456"/>
      <c r="BUV69" s="456"/>
      <c r="BUW69" s="456"/>
      <c r="BUX69" s="456"/>
      <c r="BUY69" s="456"/>
      <c r="BUZ69" s="456"/>
      <c r="BVA69" s="456"/>
      <c r="BVB69" s="456"/>
      <c r="BVC69" s="456"/>
      <c r="BVD69" s="456"/>
      <c r="BVE69" s="456"/>
      <c r="BVF69" s="456"/>
      <c r="BVG69" s="456"/>
      <c r="BVH69" s="456"/>
      <c r="BVI69" s="456"/>
      <c r="BVJ69" s="456"/>
      <c r="BVK69" s="456"/>
      <c r="BVL69" s="456"/>
      <c r="BVM69" s="456"/>
      <c r="BVN69" s="456"/>
      <c r="BVO69" s="456"/>
      <c r="BVP69" s="456"/>
      <c r="BVQ69" s="456"/>
      <c r="BVR69" s="456"/>
      <c r="BVS69" s="456"/>
      <c r="BVT69" s="456"/>
      <c r="BVU69" s="456"/>
      <c r="BVV69" s="456"/>
      <c r="BVW69" s="456"/>
      <c r="BVX69" s="456"/>
      <c r="BVY69" s="456"/>
      <c r="BVZ69" s="456"/>
      <c r="BWA69" s="456"/>
      <c r="BWB69" s="456"/>
      <c r="BWC69" s="456"/>
      <c r="BWD69" s="456"/>
      <c r="BWE69" s="456"/>
      <c r="BWF69" s="456"/>
      <c r="BWG69" s="456"/>
      <c r="BWH69" s="456"/>
      <c r="BWI69" s="456"/>
      <c r="BWJ69" s="456"/>
      <c r="BWK69" s="456"/>
      <c r="BWL69" s="456"/>
      <c r="BWM69" s="456"/>
      <c r="BWN69" s="456"/>
      <c r="BWO69" s="456"/>
      <c r="BWP69" s="456"/>
      <c r="BWQ69" s="456"/>
      <c r="BWR69" s="456"/>
      <c r="BWS69" s="456"/>
      <c r="BWT69" s="456"/>
      <c r="BWU69" s="456"/>
      <c r="BWV69" s="456"/>
      <c r="BWW69" s="456"/>
      <c r="BWX69" s="456"/>
      <c r="BWY69" s="456"/>
      <c r="BWZ69" s="456"/>
      <c r="BXA69" s="456"/>
      <c r="BXB69" s="456"/>
      <c r="BXC69" s="456"/>
      <c r="BXD69" s="456"/>
      <c r="BXE69" s="456"/>
      <c r="BXF69" s="456"/>
      <c r="BXG69" s="456"/>
      <c r="BXH69" s="456"/>
      <c r="BXI69" s="456"/>
      <c r="BXJ69" s="456"/>
      <c r="BXK69" s="456"/>
      <c r="BXL69" s="456"/>
      <c r="BXM69" s="456"/>
      <c r="BXN69" s="456"/>
      <c r="BXO69" s="456"/>
      <c r="BXP69" s="456"/>
      <c r="BXQ69" s="456"/>
      <c r="BXR69" s="456"/>
      <c r="BXS69" s="456"/>
      <c r="BXT69" s="456"/>
      <c r="BXU69" s="456"/>
      <c r="BXV69" s="456"/>
      <c r="BXW69" s="456"/>
      <c r="BXX69" s="456"/>
      <c r="BXY69" s="456"/>
      <c r="BXZ69" s="456"/>
    </row>
    <row r="70" s="25" customFormat="1" spans="1:1024 1025:2002">
      <c r="A70" s="473" t="s">
        <v>34</v>
      </c>
      <c r="B70" s="19">
        <v>1119</v>
      </c>
      <c r="C70" s="183">
        <v>46181</v>
      </c>
      <c r="D70" s="17" t="s">
        <v>35</v>
      </c>
      <c r="E70" s="17" t="s">
        <v>71</v>
      </c>
      <c r="F70" s="17" t="s">
        <v>72</v>
      </c>
      <c r="G70" s="17"/>
      <c r="H70" s="19">
        <v>1.2379</v>
      </c>
      <c r="I70" s="19">
        <v>1.2379</v>
      </c>
      <c r="J70" s="17" t="s">
        <v>82</v>
      </c>
      <c r="K70" s="91">
        <v>305</v>
      </c>
      <c r="L70" s="23">
        <v>50</v>
      </c>
      <c r="M70" s="19">
        <v>5800</v>
      </c>
      <c r="N70" s="19" t="s">
        <v>40</v>
      </c>
      <c r="O70" s="19" t="s">
        <v>67</v>
      </c>
      <c r="P70" s="19">
        <v>3000</v>
      </c>
      <c r="Q70" s="19">
        <v>454</v>
      </c>
      <c r="R70" s="19">
        <f t="shared" si="2"/>
        <v>2546</v>
      </c>
      <c r="S70" s="477">
        <f t="shared" si="5"/>
        <v>2433</v>
      </c>
      <c r="T70" s="19" t="s">
        <v>42</v>
      </c>
      <c r="U70" s="102" t="s">
        <v>83</v>
      </c>
      <c r="V70" s="186">
        <v>46181</v>
      </c>
      <c r="W70" s="17" t="s">
        <v>69</v>
      </c>
      <c r="X70" s="17"/>
      <c r="Y70" s="68">
        <v>46327</v>
      </c>
      <c r="Z70" s="17" t="s">
        <v>45</v>
      </c>
      <c r="AA70" s="17" t="s">
        <v>46</v>
      </c>
      <c r="AB70" s="17" t="s">
        <v>75</v>
      </c>
      <c r="AC70" s="217">
        <v>46224</v>
      </c>
      <c r="AD70" s="65">
        <v>1837</v>
      </c>
      <c r="AE70" s="17" t="s">
        <v>48</v>
      </c>
      <c r="AF70" s="17" t="s">
        <v>76</v>
      </c>
      <c r="AG70" s="17"/>
      <c r="AH70" s="456"/>
      <c r="AI70" s="456"/>
      <c r="AJ70" s="456"/>
      <c r="AK70" s="456"/>
      <c r="AL70" s="456"/>
      <c r="AM70" s="456"/>
      <c r="AN70" s="456"/>
      <c r="AO70" s="456"/>
      <c r="AP70" s="456"/>
      <c r="AQ70" s="456"/>
      <c r="AR70" s="456"/>
      <c r="AS70" s="456"/>
      <c r="AT70" s="456"/>
      <c r="AU70" s="456"/>
      <c r="AV70" s="456"/>
      <c r="AW70" s="456"/>
      <c r="AX70" s="456"/>
      <c r="AY70" s="456"/>
      <c r="AZ70" s="456"/>
      <c r="BA70" s="456"/>
      <c r="BB70" s="456"/>
      <c r="BC70" s="456"/>
      <c r="BD70" s="456"/>
      <c r="BE70" s="456"/>
      <c r="BF70" s="456"/>
      <c r="BG70" s="456"/>
      <c r="BH70" s="456"/>
      <c r="BI70" s="456"/>
      <c r="BJ70" s="456"/>
      <c r="BK70" s="456"/>
      <c r="BL70" s="456"/>
      <c r="BM70" s="456"/>
      <c r="BN70" s="456"/>
      <c r="BO70" s="456"/>
      <c r="BP70" s="456"/>
      <c r="BQ70" s="456"/>
      <c r="BR70" s="456"/>
      <c r="BS70" s="456"/>
      <c r="BT70" s="456"/>
      <c r="BU70" s="456"/>
      <c r="BV70" s="456"/>
      <c r="BW70" s="456"/>
      <c r="BX70" s="456"/>
      <c r="BY70" s="456"/>
      <c r="BZ70" s="456"/>
      <c r="CA70" s="456"/>
      <c r="CB70" s="456"/>
      <c r="CC70" s="456"/>
      <c r="CD70" s="456"/>
      <c r="CE70" s="456"/>
      <c r="CF70" s="456"/>
      <c r="CG70" s="456"/>
      <c r="CH70" s="456"/>
      <c r="CI70" s="456"/>
      <c r="CJ70" s="456"/>
      <c r="CK70" s="456"/>
      <c r="CL70" s="456"/>
      <c r="CM70" s="456"/>
      <c r="CN70" s="456"/>
      <c r="CO70" s="456"/>
      <c r="CP70" s="456"/>
      <c r="CQ70" s="456"/>
      <c r="CR70" s="456"/>
      <c r="CS70" s="456"/>
      <c r="CT70" s="456"/>
      <c r="CU70" s="456"/>
      <c r="CV70" s="456"/>
      <c r="CW70" s="456"/>
      <c r="CX70" s="456"/>
      <c r="CY70" s="456"/>
      <c r="CZ70" s="456"/>
      <c r="DA70" s="456"/>
      <c r="DB70" s="456"/>
      <c r="DC70" s="456"/>
      <c r="DD70" s="456"/>
      <c r="DE70" s="456"/>
      <c r="DF70" s="456"/>
      <c r="DG70" s="456"/>
      <c r="DH70" s="456"/>
      <c r="DI70" s="456"/>
      <c r="DJ70" s="456"/>
      <c r="DK70" s="456"/>
      <c r="DL70" s="456"/>
      <c r="DM70" s="456"/>
      <c r="DN70" s="456"/>
      <c r="DO70" s="456"/>
      <c r="DP70" s="456"/>
      <c r="DQ70" s="456"/>
      <c r="DR70" s="456"/>
      <c r="DS70" s="456"/>
      <c r="DT70" s="456"/>
      <c r="DU70" s="456"/>
      <c r="DV70" s="456"/>
      <c r="DW70" s="456"/>
      <c r="DX70" s="456"/>
      <c r="DY70" s="456"/>
      <c r="DZ70" s="456"/>
      <c r="EA70" s="456"/>
      <c r="EB70" s="456"/>
      <c r="EC70" s="456"/>
      <c r="ED70" s="456"/>
      <c r="EE70" s="456"/>
      <c r="EF70" s="456"/>
      <c r="EG70" s="456"/>
      <c r="EH70" s="456"/>
      <c r="EI70" s="456"/>
      <c r="EJ70" s="456"/>
      <c r="EK70" s="456"/>
      <c r="EL70" s="456"/>
      <c r="EM70" s="456"/>
      <c r="EN70" s="456"/>
      <c r="EO70" s="456"/>
      <c r="EP70" s="456"/>
      <c r="EQ70" s="456"/>
      <c r="ER70" s="456"/>
      <c r="ES70" s="456"/>
      <c r="ET70" s="456"/>
      <c r="EU70" s="456"/>
      <c r="EV70" s="456"/>
      <c r="EW70" s="456"/>
      <c r="EX70" s="456"/>
      <c r="EY70" s="456"/>
      <c r="EZ70" s="456"/>
      <c r="FA70" s="456"/>
      <c r="FB70" s="456"/>
      <c r="FC70" s="456"/>
      <c r="FD70" s="456"/>
      <c r="FE70" s="456"/>
      <c r="FF70" s="456"/>
      <c r="FG70" s="456"/>
      <c r="FH70" s="456"/>
      <c r="FI70" s="456"/>
      <c r="FJ70" s="456"/>
      <c r="FK70" s="456"/>
      <c r="FL70" s="456"/>
      <c r="FM70" s="456"/>
      <c r="FN70" s="456"/>
      <c r="FO70" s="456"/>
      <c r="FP70" s="456"/>
      <c r="FQ70" s="456"/>
      <c r="FR70" s="456"/>
      <c r="FS70" s="456"/>
      <c r="FT70" s="456"/>
      <c r="FU70" s="456"/>
      <c r="FV70" s="456"/>
      <c r="FW70" s="456"/>
      <c r="FX70" s="456"/>
      <c r="FY70" s="456"/>
      <c r="FZ70" s="456"/>
      <c r="GA70" s="456"/>
      <c r="GB70" s="456"/>
      <c r="GC70" s="456"/>
      <c r="GD70" s="456"/>
      <c r="GE70" s="456"/>
      <c r="GF70" s="456"/>
      <c r="GG70" s="456"/>
      <c r="GH70" s="456"/>
      <c r="GI70" s="456"/>
      <c r="GJ70" s="456"/>
      <c r="GK70" s="456"/>
      <c r="GL70" s="456"/>
      <c r="GM70" s="456"/>
      <c r="GN70" s="456"/>
      <c r="GO70" s="456"/>
      <c r="GP70" s="456"/>
      <c r="GQ70" s="456"/>
      <c r="GR70" s="456"/>
      <c r="GS70" s="456"/>
      <c r="GT70" s="456"/>
      <c r="GU70" s="456"/>
      <c r="GV70" s="456"/>
      <c r="GW70" s="456"/>
      <c r="GX70" s="456"/>
      <c r="GY70" s="456"/>
      <c r="GZ70" s="456"/>
      <c r="HA70" s="456"/>
      <c r="HB70" s="456"/>
      <c r="HC70" s="456"/>
      <c r="HD70" s="456"/>
      <c r="HE70" s="456"/>
      <c r="HF70" s="456"/>
      <c r="HG70" s="456"/>
      <c r="HH70" s="456"/>
      <c r="HI70" s="456"/>
      <c r="HJ70" s="456"/>
      <c r="HK70" s="456"/>
      <c r="HL70" s="456"/>
      <c r="HM70" s="456"/>
      <c r="HN70" s="456"/>
      <c r="HO70" s="456"/>
      <c r="HP70" s="456"/>
      <c r="HQ70" s="456"/>
      <c r="HR70" s="456"/>
      <c r="HS70" s="456"/>
      <c r="HT70" s="456"/>
      <c r="HU70" s="456"/>
      <c r="HV70" s="456"/>
      <c r="HW70" s="456"/>
      <c r="HX70" s="456"/>
      <c r="HY70" s="456"/>
      <c r="HZ70" s="456"/>
      <c r="IA70" s="456"/>
      <c r="IB70" s="456"/>
      <c r="IC70" s="456"/>
      <c r="ID70" s="456"/>
      <c r="IE70" s="456"/>
      <c r="IF70" s="456"/>
      <c r="IG70" s="456"/>
      <c r="IH70" s="456"/>
      <c r="II70" s="456"/>
      <c r="IJ70" s="456"/>
      <c r="IK70" s="456"/>
      <c r="IL70" s="456"/>
      <c r="IM70" s="456"/>
      <c r="IN70" s="456"/>
      <c r="IO70" s="456"/>
      <c r="IP70" s="456"/>
      <c r="IQ70" s="456"/>
      <c r="IR70" s="456"/>
      <c r="IS70" s="456"/>
      <c r="IT70" s="456"/>
      <c r="IU70" s="456"/>
      <c r="IV70" s="456"/>
      <c r="IW70" s="456"/>
      <c r="IX70" s="456"/>
      <c r="IY70" s="456"/>
      <c r="IZ70" s="456"/>
      <c r="JA70" s="456"/>
      <c r="JB70" s="456"/>
      <c r="JC70" s="456"/>
      <c r="JD70" s="456"/>
      <c r="JE70" s="456"/>
      <c r="JF70" s="456"/>
      <c r="JG70" s="456"/>
      <c r="JH70" s="456"/>
      <c r="JI70" s="456"/>
      <c r="JJ70" s="456"/>
      <c r="JK70" s="456"/>
      <c r="JL70" s="456"/>
      <c r="JM70" s="456"/>
      <c r="JN70" s="456"/>
      <c r="JO70" s="456"/>
      <c r="JP70" s="456"/>
      <c r="JQ70" s="456"/>
      <c r="JR70" s="456"/>
      <c r="JS70" s="456"/>
      <c r="JT70" s="456"/>
      <c r="JU70" s="456"/>
      <c r="JV70" s="456"/>
      <c r="JW70" s="456"/>
      <c r="JX70" s="456"/>
      <c r="JY70" s="456"/>
      <c r="JZ70" s="456"/>
      <c r="KA70" s="456"/>
      <c r="KB70" s="456"/>
      <c r="KC70" s="456"/>
      <c r="KD70" s="456"/>
      <c r="KE70" s="456"/>
      <c r="KF70" s="456"/>
      <c r="KG70" s="456"/>
      <c r="KH70" s="456"/>
      <c r="KI70" s="456"/>
      <c r="KJ70" s="456"/>
      <c r="KK70" s="456"/>
      <c r="KL70" s="456"/>
      <c r="KM70" s="456"/>
      <c r="KN70" s="456"/>
      <c r="KO70" s="456"/>
      <c r="KP70" s="456"/>
      <c r="KQ70" s="456"/>
      <c r="KR70" s="456"/>
      <c r="KS70" s="456"/>
      <c r="KT70" s="456"/>
      <c r="KU70" s="456"/>
      <c r="KV70" s="456"/>
      <c r="KW70" s="456"/>
      <c r="KX70" s="456"/>
      <c r="KY70" s="456"/>
      <c r="KZ70" s="456"/>
      <c r="LA70" s="456"/>
      <c r="LB70" s="456"/>
      <c r="LC70" s="456"/>
      <c r="LD70" s="456"/>
      <c r="LE70" s="456"/>
      <c r="LF70" s="456"/>
      <c r="LG70" s="456"/>
      <c r="LH70" s="456"/>
      <c r="LI70" s="456"/>
      <c r="LJ70" s="456"/>
      <c r="LK70" s="456"/>
      <c r="LL70" s="456"/>
      <c r="LM70" s="456"/>
      <c r="LN70" s="456"/>
      <c r="LO70" s="456"/>
      <c r="LP70" s="456"/>
      <c r="LQ70" s="456"/>
      <c r="LR70" s="456"/>
      <c r="LS70" s="456"/>
      <c r="LT70" s="456"/>
      <c r="LU70" s="456"/>
      <c r="LV70" s="456"/>
      <c r="LW70" s="456"/>
      <c r="LX70" s="456"/>
      <c r="LY70" s="456"/>
      <c r="LZ70" s="456"/>
      <c r="MA70" s="456"/>
      <c r="MB70" s="456"/>
      <c r="MC70" s="456"/>
      <c r="MD70" s="456"/>
      <c r="ME70" s="456"/>
      <c r="MF70" s="456"/>
      <c r="MG70" s="456"/>
      <c r="MH70" s="456"/>
      <c r="MI70" s="456"/>
      <c r="MJ70" s="456"/>
      <c r="MK70" s="456"/>
      <c r="ML70" s="456"/>
      <c r="MM70" s="456"/>
      <c r="MN70" s="456"/>
      <c r="MO70" s="456"/>
      <c r="MP70" s="456"/>
      <c r="MQ70" s="456"/>
      <c r="MR70" s="456"/>
      <c r="MS70" s="456"/>
      <c r="MT70" s="456"/>
      <c r="MU70" s="456"/>
      <c r="MV70" s="456"/>
      <c r="MW70" s="456"/>
      <c r="MX70" s="456"/>
      <c r="MY70" s="456"/>
      <c r="MZ70" s="456"/>
      <c r="NA70" s="456"/>
      <c r="NB70" s="456"/>
      <c r="NC70" s="456"/>
      <c r="ND70" s="456"/>
      <c r="NE70" s="456"/>
      <c r="NF70" s="456"/>
      <c r="NG70" s="456"/>
      <c r="NH70" s="456"/>
      <c r="NI70" s="456"/>
      <c r="NJ70" s="456"/>
      <c r="NK70" s="456"/>
      <c r="NL70" s="456"/>
      <c r="NM70" s="456"/>
      <c r="NN70" s="456"/>
      <c r="NO70" s="456"/>
      <c r="NP70" s="456"/>
      <c r="NQ70" s="456"/>
      <c r="NR70" s="456"/>
      <c r="NS70" s="456"/>
      <c r="NT70" s="456"/>
      <c r="NU70" s="456"/>
      <c r="NV70" s="456"/>
      <c r="NW70" s="456"/>
      <c r="NX70" s="456"/>
      <c r="NY70" s="456"/>
      <c r="NZ70" s="456"/>
      <c r="OA70" s="456"/>
      <c r="OB70" s="456"/>
      <c r="OC70" s="456"/>
      <c r="OD70" s="456"/>
      <c r="OE70" s="456"/>
      <c r="OF70" s="456"/>
      <c r="OG70" s="456"/>
      <c r="OH70" s="456"/>
      <c r="OI70" s="456"/>
      <c r="OJ70" s="456"/>
      <c r="OK70" s="456"/>
      <c r="OL70" s="456"/>
      <c r="OM70" s="456"/>
      <c r="ON70" s="456"/>
      <c r="OO70" s="456"/>
      <c r="OP70" s="456"/>
      <c r="OQ70" s="456"/>
      <c r="OR70" s="456"/>
      <c r="OS70" s="456"/>
      <c r="OT70" s="456"/>
      <c r="OU70" s="456"/>
      <c r="OV70" s="456"/>
      <c r="OW70" s="456"/>
      <c r="OX70" s="456"/>
      <c r="OY70" s="456"/>
      <c r="OZ70" s="456"/>
      <c r="PA70" s="456"/>
      <c r="PB70" s="456"/>
      <c r="PC70" s="456"/>
      <c r="PD70" s="456"/>
      <c r="PE70" s="456"/>
      <c r="PF70" s="456"/>
      <c r="PG70" s="456"/>
      <c r="PH70" s="456"/>
      <c r="PI70" s="456"/>
      <c r="PJ70" s="456"/>
      <c r="PK70" s="456"/>
      <c r="PL70" s="456"/>
      <c r="PM70" s="456"/>
      <c r="PN70" s="456"/>
      <c r="PO70" s="456"/>
      <c r="PP70" s="456"/>
      <c r="PQ70" s="456"/>
      <c r="PR70" s="456"/>
      <c r="PS70" s="456"/>
      <c r="PT70" s="456"/>
      <c r="PU70" s="456"/>
      <c r="PV70" s="456"/>
      <c r="PW70" s="456"/>
      <c r="PX70" s="456"/>
      <c r="PY70" s="456"/>
      <c r="PZ70" s="456"/>
      <c r="QA70" s="456"/>
      <c r="QB70" s="456"/>
      <c r="QC70" s="456"/>
      <c r="QD70" s="456"/>
      <c r="QE70" s="456"/>
      <c r="QF70" s="456"/>
      <c r="QG70" s="456"/>
      <c r="QH70" s="456"/>
      <c r="QI70" s="456"/>
      <c r="QJ70" s="456"/>
      <c r="QK70" s="456"/>
      <c r="QL70" s="456"/>
      <c r="QM70" s="456"/>
      <c r="QN70" s="456"/>
      <c r="QO70" s="456"/>
      <c r="QP70" s="456"/>
      <c r="QQ70" s="456"/>
      <c r="QR70" s="456"/>
      <c r="QS70" s="456"/>
      <c r="QT70" s="456"/>
      <c r="QU70" s="456"/>
      <c r="QV70" s="456"/>
      <c r="QW70" s="456"/>
      <c r="QX70" s="456"/>
      <c r="QY70" s="456"/>
      <c r="QZ70" s="456"/>
      <c r="RA70" s="456"/>
      <c r="RB70" s="456"/>
      <c r="RC70" s="456"/>
      <c r="RD70" s="456"/>
      <c r="RE70" s="456"/>
      <c r="RF70" s="456"/>
      <c r="RG70" s="456"/>
      <c r="RH70" s="456"/>
      <c r="RI70" s="456"/>
      <c r="RJ70" s="456"/>
      <c r="RK70" s="456"/>
      <c r="RL70" s="456"/>
      <c r="RM70" s="456"/>
      <c r="RN70" s="456"/>
      <c r="RO70" s="456"/>
      <c r="RP70" s="456"/>
      <c r="RQ70" s="456"/>
      <c r="RR70" s="456"/>
      <c r="RS70" s="456"/>
      <c r="RT70" s="456"/>
      <c r="RU70" s="456"/>
      <c r="RV70" s="456"/>
      <c r="RW70" s="456"/>
      <c r="RX70" s="456"/>
      <c r="RY70" s="456"/>
      <c r="RZ70" s="456"/>
      <c r="SA70" s="456"/>
      <c r="SB70" s="456"/>
      <c r="SC70" s="456"/>
      <c r="SD70" s="456"/>
      <c r="SE70" s="456"/>
      <c r="SF70" s="456"/>
      <c r="SG70" s="456"/>
      <c r="SH70" s="456"/>
      <c r="SI70" s="456"/>
      <c r="SJ70" s="456"/>
      <c r="SK70" s="456"/>
      <c r="SL70" s="456"/>
      <c r="SM70" s="456"/>
      <c r="SN70" s="456"/>
      <c r="SO70" s="456"/>
      <c r="SP70" s="456"/>
      <c r="SQ70" s="456"/>
      <c r="SR70" s="456"/>
      <c r="SS70" s="456"/>
      <c r="ST70" s="456"/>
      <c r="SU70" s="456"/>
      <c r="SV70" s="456"/>
      <c r="SW70" s="456"/>
      <c r="SX70" s="456"/>
      <c r="SY70" s="456"/>
      <c r="SZ70" s="456"/>
      <c r="TA70" s="456"/>
      <c r="TB70" s="456"/>
      <c r="TC70" s="456"/>
      <c r="TD70" s="456"/>
      <c r="TE70" s="456"/>
      <c r="TF70" s="456"/>
      <c r="TG70" s="456"/>
      <c r="TH70" s="456"/>
      <c r="TI70" s="456"/>
      <c r="TJ70" s="456"/>
      <c r="TK70" s="456"/>
      <c r="TL70" s="456"/>
      <c r="TM70" s="456"/>
      <c r="TN70" s="456"/>
      <c r="TO70" s="456"/>
      <c r="TP70" s="456"/>
      <c r="TQ70" s="456"/>
      <c r="TR70" s="456"/>
      <c r="TS70" s="456"/>
      <c r="TT70" s="456"/>
      <c r="TU70" s="456"/>
      <c r="TV70" s="456"/>
      <c r="TW70" s="456"/>
      <c r="TX70" s="456"/>
      <c r="TY70" s="456"/>
      <c r="TZ70" s="456"/>
      <c r="UA70" s="456"/>
      <c r="UB70" s="456"/>
      <c r="UC70" s="456"/>
      <c r="UD70" s="456"/>
      <c r="UE70" s="456"/>
      <c r="UF70" s="456"/>
      <c r="UG70" s="456"/>
      <c r="UH70" s="456"/>
      <c r="UI70" s="456"/>
      <c r="UJ70" s="456"/>
      <c r="UK70" s="456"/>
      <c r="UL70" s="456"/>
      <c r="UM70" s="456"/>
      <c r="UN70" s="456"/>
      <c r="UO70" s="456"/>
      <c r="UP70" s="456"/>
      <c r="UQ70" s="456"/>
      <c r="UR70" s="456"/>
      <c r="US70" s="456"/>
      <c r="UT70" s="456"/>
      <c r="UU70" s="456"/>
      <c r="UV70" s="456"/>
      <c r="UW70" s="456"/>
      <c r="UX70" s="456"/>
      <c r="UY70" s="456"/>
      <c r="UZ70" s="456"/>
      <c r="VA70" s="456"/>
      <c r="VB70" s="456"/>
      <c r="VC70" s="456"/>
      <c r="VD70" s="456"/>
      <c r="VE70" s="456"/>
      <c r="VF70" s="456"/>
      <c r="VG70" s="456"/>
      <c r="VH70" s="456"/>
      <c r="VI70" s="456"/>
      <c r="VJ70" s="456"/>
      <c r="VK70" s="456"/>
      <c r="VL70" s="456"/>
      <c r="VM70" s="456"/>
      <c r="VN70" s="456"/>
      <c r="VO70" s="456"/>
      <c r="VP70" s="456"/>
      <c r="VQ70" s="456"/>
      <c r="VR70" s="456"/>
      <c r="VS70" s="456"/>
      <c r="VT70" s="456"/>
      <c r="VU70" s="456"/>
      <c r="VV70" s="456"/>
      <c r="VW70" s="456"/>
      <c r="VX70" s="456"/>
      <c r="VY70" s="456"/>
      <c r="VZ70" s="456"/>
      <c r="WA70" s="456"/>
      <c r="WB70" s="456"/>
      <c r="WC70" s="456"/>
      <c r="WD70" s="456"/>
      <c r="WE70" s="456"/>
      <c r="WF70" s="456"/>
      <c r="WG70" s="456"/>
      <c r="WH70" s="456"/>
      <c r="WI70" s="456"/>
      <c r="WJ70" s="456"/>
      <c r="WK70" s="456"/>
      <c r="WL70" s="456"/>
      <c r="WM70" s="456"/>
      <c r="WN70" s="456"/>
      <c r="WO70" s="456"/>
      <c r="WP70" s="456"/>
      <c r="WQ70" s="456"/>
      <c r="WR70" s="456"/>
      <c r="WS70" s="456"/>
      <c r="WT70" s="456"/>
      <c r="WU70" s="456"/>
      <c r="WV70" s="456"/>
      <c r="WW70" s="456"/>
      <c r="WX70" s="456"/>
      <c r="WY70" s="456"/>
      <c r="WZ70" s="456"/>
      <c r="XA70" s="456"/>
      <c r="XB70" s="456"/>
      <c r="XC70" s="456"/>
      <c r="XD70" s="456"/>
      <c r="XE70" s="456"/>
      <c r="XF70" s="456"/>
      <c r="XG70" s="456"/>
      <c r="XH70" s="456"/>
      <c r="XI70" s="456"/>
      <c r="XJ70" s="456"/>
      <c r="XK70" s="456"/>
      <c r="XL70" s="456"/>
      <c r="XM70" s="456"/>
      <c r="XN70" s="456"/>
      <c r="XO70" s="456"/>
      <c r="XP70" s="456"/>
      <c r="XQ70" s="456"/>
      <c r="XR70" s="456"/>
      <c r="XS70" s="456"/>
      <c r="XT70" s="456"/>
      <c r="XU70" s="456"/>
      <c r="XV70" s="456"/>
      <c r="XW70" s="456"/>
      <c r="XX70" s="456"/>
      <c r="XY70" s="456"/>
      <c r="XZ70" s="456"/>
      <c r="YA70" s="456"/>
      <c r="YB70" s="456"/>
      <c r="YC70" s="456"/>
      <c r="YD70" s="456"/>
      <c r="YE70" s="456"/>
      <c r="YF70" s="456"/>
      <c r="YG70" s="456"/>
      <c r="YH70" s="456"/>
      <c r="YI70" s="456"/>
      <c r="YJ70" s="456"/>
      <c r="YK70" s="456"/>
      <c r="YL70" s="456"/>
      <c r="YM70" s="456"/>
      <c r="YN70" s="456"/>
      <c r="YO70" s="456"/>
      <c r="YP70" s="456"/>
      <c r="YQ70" s="456"/>
      <c r="YR70" s="456"/>
      <c r="YS70" s="456"/>
      <c r="YT70" s="456"/>
      <c r="YU70" s="456"/>
      <c r="YV70" s="456"/>
      <c r="YW70" s="456"/>
      <c r="YX70" s="456"/>
      <c r="YY70" s="456"/>
      <c r="YZ70" s="456"/>
      <c r="ZA70" s="456"/>
      <c r="ZB70" s="456"/>
      <c r="ZC70" s="456"/>
      <c r="ZD70" s="456"/>
      <c r="ZE70" s="456"/>
      <c r="ZF70" s="456"/>
      <c r="ZG70" s="456"/>
      <c r="ZH70" s="456"/>
      <c r="ZI70" s="456"/>
      <c r="ZJ70" s="456"/>
      <c r="ZK70" s="456"/>
      <c r="ZL70" s="456"/>
      <c r="ZM70" s="456"/>
      <c r="ZN70" s="456"/>
      <c r="ZO70" s="456"/>
      <c r="ZP70" s="456"/>
      <c r="ZQ70" s="456"/>
      <c r="ZR70" s="456"/>
      <c r="ZS70" s="456"/>
      <c r="ZT70" s="456"/>
      <c r="ZU70" s="456"/>
      <c r="ZV70" s="456"/>
      <c r="ZW70" s="456"/>
      <c r="ZX70" s="456"/>
      <c r="ZY70" s="456"/>
      <c r="ZZ70" s="456"/>
      <c r="AAA70" s="456"/>
      <c r="AAB70" s="456"/>
      <c r="AAC70" s="456"/>
      <c r="AAD70" s="456"/>
      <c r="AAE70" s="456"/>
      <c r="AAF70" s="456"/>
      <c r="AAG70" s="456"/>
      <c r="AAH70" s="456"/>
      <c r="AAI70" s="456"/>
      <c r="AAJ70" s="456"/>
      <c r="AAK70" s="456"/>
      <c r="AAL70" s="456"/>
      <c r="AAM70" s="456"/>
      <c r="AAN70" s="456"/>
      <c r="AAO70" s="456"/>
      <c r="AAP70" s="456"/>
      <c r="AAQ70" s="456"/>
      <c r="AAR70" s="456"/>
      <c r="AAS70" s="456"/>
      <c r="AAT70" s="456"/>
      <c r="AAU70" s="456"/>
      <c r="AAV70" s="456"/>
      <c r="AAW70" s="456"/>
      <c r="AAX70" s="456"/>
      <c r="AAY70" s="456"/>
      <c r="AAZ70" s="456"/>
      <c r="ABA70" s="456"/>
      <c r="ABB70" s="456"/>
      <c r="ABC70" s="456"/>
      <c r="ABD70" s="456"/>
      <c r="ABE70" s="456"/>
      <c r="ABF70" s="456"/>
      <c r="ABG70" s="456"/>
      <c r="ABH70" s="456"/>
      <c r="ABI70" s="456"/>
      <c r="ABJ70" s="456"/>
      <c r="ABK70" s="456"/>
      <c r="ABL70" s="456"/>
      <c r="ABM70" s="456"/>
      <c r="ABN70" s="456"/>
      <c r="ABO70" s="456"/>
      <c r="ABP70" s="456"/>
      <c r="ABQ70" s="456"/>
      <c r="ABR70" s="456"/>
      <c r="ABS70" s="456"/>
      <c r="ABT70" s="456"/>
      <c r="ABU70" s="456"/>
      <c r="ABV70" s="456"/>
      <c r="ABW70" s="456"/>
      <c r="ABX70" s="456"/>
      <c r="ABY70" s="456"/>
      <c r="ABZ70" s="456"/>
      <c r="ACA70" s="456"/>
      <c r="ACB70" s="456"/>
      <c r="ACC70" s="456"/>
      <c r="ACD70" s="456"/>
      <c r="ACE70" s="456"/>
      <c r="ACF70" s="456"/>
      <c r="ACG70" s="456"/>
      <c r="ACH70" s="456"/>
      <c r="ACI70" s="456"/>
      <c r="ACJ70" s="456"/>
      <c r="ACK70" s="456"/>
      <c r="ACL70" s="456"/>
      <c r="ACM70" s="456"/>
      <c r="ACN70" s="456"/>
      <c r="ACO70" s="456"/>
      <c r="ACP70" s="456"/>
      <c r="ACQ70" s="456"/>
      <c r="ACR70" s="456"/>
      <c r="ACS70" s="456"/>
      <c r="ACT70" s="456"/>
      <c r="ACU70" s="456"/>
      <c r="ACV70" s="456"/>
      <c r="ACW70" s="456"/>
      <c r="ACX70" s="456"/>
      <c r="ACY70" s="456"/>
      <c r="ACZ70" s="456"/>
      <c r="ADA70" s="456"/>
      <c r="ADB70" s="456"/>
      <c r="ADC70" s="456"/>
      <c r="ADD70" s="456"/>
      <c r="ADE70" s="456"/>
      <c r="ADF70" s="456"/>
      <c r="ADG70" s="456"/>
      <c r="ADH70" s="456"/>
      <c r="ADI70" s="456"/>
      <c r="ADJ70" s="456"/>
      <c r="ADK70" s="456"/>
      <c r="ADL70" s="456"/>
      <c r="ADM70" s="456"/>
      <c r="ADN70" s="456"/>
      <c r="ADO70" s="456"/>
      <c r="ADP70" s="456"/>
      <c r="ADQ70" s="456"/>
      <c r="ADR70" s="456"/>
      <c r="ADS70" s="456"/>
      <c r="ADT70" s="456"/>
      <c r="ADU70" s="456"/>
      <c r="ADV70" s="456"/>
      <c r="ADW70" s="456"/>
      <c r="ADX70" s="456"/>
      <c r="ADY70" s="456"/>
      <c r="ADZ70" s="456"/>
      <c r="AEA70" s="456"/>
      <c r="AEB70" s="456"/>
      <c r="AEC70" s="456"/>
      <c r="AED70" s="456"/>
      <c r="AEE70" s="456"/>
      <c r="AEF70" s="456"/>
      <c r="AEG70" s="456"/>
      <c r="AEH70" s="456"/>
      <c r="AEI70" s="456"/>
      <c r="AEJ70" s="456"/>
      <c r="AEK70" s="456"/>
      <c r="AEL70" s="456"/>
      <c r="AEM70" s="456"/>
      <c r="AEN70" s="456"/>
      <c r="AEO70" s="456"/>
      <c r="AEP70" s="456"/>
      <c r="AEQ70" s="456"/>
      <c r="AER70" s="456"/>
      <c r="AES70" s="456"/>
      <c r="AET70" s="456"/>
      <c r="AEU70" s="456"/>
      <c r="AEV70" s="456"/>
      <c r="AEW70" s="456"/>
      <c r="AEX70" s="456"/>
      <c r="AEY70" s="456"/>
      <c r="AEZ70" s="456"/>
      <c r="AFA70" s="456"/>
      <c r="AFB70" s="456"/>
      <c r="AFC70" s="456"/>
      <c r="AFD70" s="456"/>
      <c r="AFE70" s="456"/>
      <c r="AFF70" s="456"/>
      <c r="AFG70" s="456"/>
      <c r="AFH70" s="456"/>
      <c r="AFI70" s="456"/>
      <c r="AFJ70" s="456"/>
      <c r="AFK70" s="456"/>
      <c r="AFL70" s="456"/>
      <c r="AFM70" s="456"/>
      <c r="AFN70" s="456"/>
      <c r="AFO70" s="456"/>
      <c r="AFP70" s="456"/>
      <c r="AFQ70" s="456"/>
      <c r="AFR70" s="456"/>
      <c r="AFS70" s="456"/>
      <c r="AFT70" s="456"/>
      <c r="AFU70" s="456"/>
      <c r="AFV70" s="456"/>
      <c r="AFW70" s="456"/>
      <c r="AFX70" s="456"/>
      <c r="AFY70" s="456"/>
      <c r="AFZ70" s="456"/>
      <c r="AGA70" s="456"/>
      <c r="AGB70" s="456"/>
      <c r="AGC70" s="456"/>
      <c r="AGD70" s="456"/>
      <c r="AGE70" s="456"/>
      <c r="AGF70" s="456"/>
      <c r="AGG70" s="456"/>
      <c r="AGH70" s="456"/>
      <c r="AGI70" s="456"/>
      <c r="AGJ70" s="456"/>
      <c r="AGK70" s="456"/>
      <c r="AGL70" s="456"/>
      <c r="AGM70" s="456"/>
      <c r="AGN70" s="456"/>
      <c r="AGO70" s="456"/>
      <c r="AGP70" s="456"/>
      <c r="AGQ70" s="456"/>
      <c r="AGR70" s="456"/>
      <c r="AGS70" s="456"/>
      <c r="AGT70" s="456"/>
      <c r="AGU70" s="456"/>
      <c r="AGV70" s="456"/>
      <c r="AGW70" s="456"/>
      <c r="AGX70" s="456"/>
      <c r="AGY70" s="456"/>
      <c r="AGZ70" s="456"/>
      <c r="AHA70" s="456"/>
      <c r="AHB70" s="456"/>
      <c r="AHC70" s="456"/>
      <c r="AHD70" s="456"/>
      <c r="AHE70" s="456"/>
      <c r="AHF70" s="456"/>
      <c r="AHG70" s="456"/>
      <c r="AHH70" s="456"/>
      <c r="AHI70" s="456"/>
      <c r="AHJ70" s="456"/>
      <c r="AHK70" s="456"/>
      <c r="AHL70" s="456"/>
      <c r="AHM70" s="456"/>
      <c r="AHN70" s="456"/>
      <c r="AHO70" s="456"/>
      <c r="AHP70" s="456"/>
      <c r="AHQ70" s="456"/>
      <c r="AHR70" s="456"/>
      <c r="AHS70" s="456"/>
      <c r="AHT70" s="456"/>
      <c r="AHU70" s="456"/>
      <c r="AHV70" s="456"/>
      <c r="AHW70" s="456"/>
      <c r="AHX70" s="456"/>
      <c r="AHY70" s="456"/>
      <c r="AHZ70" s="456"/>
      <c r="AIA70" s="456"/>
      <c r="AIB70" s="456"/>
      <c r="AIC70" s="456"/>
      <c r="AID70" s="456"/>
      <c r="AIE70" s="456"/>
      <c r="AIF70" s="456"/>
      <c r="AIG70" s="456"/>
      <c r="AIH70" s="456"/>
      <c r="AII70" s="456"/>
      <c r="AIJ70" s="456"/>
      <c r="AIK70" s="456"/>
      <c r="AIL70" s="456"/>
      <c r="AIM70" s="456"/>
      <c r="AIN70" s="456"/>
      <c r="AIO70" s="456"/>
      <c r="AIP70" s="456"/>
      <c r="AIQ70" s="456"/>
      <c r="AIR70" s="456"/>
      <c r="AIS70" s="456"/>
      <c r="AIT70" s="456"/>
      <c r="AIU70" s="456"/>
      <c r="AIV70" s="456"/>
      <c r="AIW70" s="456"/>
      <c r="AIX70" s="456"/>
      <c r="AIY70" s="456"/>
      <c r="AIZ70" s="456"/>
      <c r="AJA70" s="456"/>
      <c r="AJB70" s="456"/>
      <c r="AJC70" s="456"/>
      <c r="AJD70" s="456"/>
      <c r="AJE70" s="456"/>
      <c r="AJF70" s="456"/>
      <c r="AJG70" s="456"/>
      <c r="AJH70" s="456"/>
      <c r="AJI70" s="456"/>
      <c r="AJJ70" s="456"/>
      <c r="AJK70" s="456"/>
      <c r="AJL70" s="456"/>
      <c r="AJM70" s="456"/>
      <c r="AJN70" s="456"/>
      <c r="AJO70" s="456"/>
      <c r="AJP70" s="456"/>
      <c r="AJQ70" s="456"/>
      <c r="AJR70" s="456"/>
      <c r="AJS70" s="456"/>
      <c r="AJT70" s="456"/>
      <c r="AJU70" s="456"/>
      <c r="AJV70" s="456"/>
      <c r="AJW70" s="456"/>
      <c r="AJX70" s="456"/>
      <c r="AJY70" s="456"/>
      <c r="AJZ70" s="456"/>
      <c r="AKA70" s="456"/>
      <c r="AKB70" s="456"/>
      <c r="AKC70" s="456"/>
      <c r="AKD70" s="456"/>
      <c r="AKE70" s="456"/>
      <c r="AKF70" s="456"/>
      <c r="AKG70" s="456"/>
      <c r="AKH70" s="456"/>
      <c r="AKI70" s="456"/>
      <c r="AKJ70" s="456"/>
      <c r="AKK70" s="456"/>
      <c r="AKL70" s="456"/>
      <c r="AKM70" s="456"/>
      <c r="AKN70" s="456"/>
      <c r="AKO70" s="456"/>
      <c r="AKP70" s="456"/>
      <c r="AKQ70" s="456"/>
      <c r="AKR70" s="456"/>
      <c r="AKS70" s="456"/>
      <c r="AKT70" s="456"/>
      <c r="AKU70" s="456"/>
      <c r="AKV70" s="456"/>
      <c r="AKW70" s="456"/>
      <c r="AKX70" s="456"/>
      <c r="AKY70" s="456"/>
      <c r="AKZ70" s="456"/>
      <c r="ALA70" s="456"/>
      <c r="ALB70" s="456"/>
      <c r="ALC70" s="456"/>
      <c r="ALD70" s="456"/>
      <c r="ALE70" s="456"/>
      <c r="ALF70" s="456"/>
      <c r="ALG70" s="456"/>
      <c r="ALH70" s="456"/>
      <c r="ALI70" s="456"/>
      <c r="ALJ70" s="456"/>
      <c r="ALK70" s="456"/>
      <c r="ALL70" s="456"/>
      <c r="ALM70" s="456"/>
      <c r="ALN70" s="456"/>
      <c r="ALO70" s="456"/>
      <c r="ALP70" s="456"/>
      <c r="ALQ70" s="456"/>
      <c r="ALR70" s="456"/>
      <c r="ALS70" s="456"/>
      <c r="ALT70" s="456"/>
      <c r="ALU70" s="456"/>
      <c r="ALV70" s="456"/>
      <c r="ALW70" s="456"/>
      <c r="ALX70" s="456"/>
      <c r="ALY70" s="456"/>
      <c r="ALZ70" s="456"/>
      <c r="AMA70" s="456"/>
      <c r="AMB70" s="456"/>
      <c r="AMC70" s="456"/>
      <c r="AMD70" s="456"/>
      <c r="AME70" s="456"/>
      <c r="AMF70" s="456"/>
      <c r="AMG70" s="456"/>
      <c r="AMH70" s="456"/>
      <c r="AMI70" s="456"/>
      <c r="AMJ70" s="456"/>
      <c r="AMK70" s="456"/>
      <c r="AML70" s="456"/>
      <c r="AMM70" s="456"/>
      <c r="AMN70" s="456"/>
      <c r="AMO70" s="456"/>
      <c r="AMP70" s="456"/>
      <c r="AMQ70" s="456"/>
      <c r="AMR70" s="456"/>
      <c r="AMS70" s="456"/>
      <c r="AMT70" s="456"/>
      <c r="AMU70" s="456"/>
      <c r="AMV70" s="456"/>
      <c r="AMW70" s="456"/>
      <c r="AMX70" s="456"/>
      <c r="AMY70" s="456"/>
      <c r="AMZ70" s="456"/>
      <c r="ANA70" s="456"/>
      <c r="ANB70" s="456"/>
      <c r="ANC70" s="456"/>
      <c r="AND70" s="456"/>
      <c r="ANE70" s="456"/>
      <c r="ANF70" s="456"/>
      <c r="ANG70" s="456"/>
      <c r="ANH70" s="456"/>
      <c r="ANI70" s="456"/>
      <c r="ANJ70" s="456"/>
      <c r="ANK70" s="456"/>
      <c r="ANL70" s="456"/>
      <c r="ANM70" s="456"/>
      <c r="ANN70" s="456"/>
      <c r="ANO70" s="456"/>
      <c r="ANP70" s="456"/>
      <c r="ANQ70" s="456"/>
      <c r="ANR70" s="456"/>
      <c r="ANS70" s="456"/>
      <c r="ANT70" s="456"/>
      <c r="ANU70" s="456"/>
      <c r="ANV70" s="456"/>
      <c r="ANW70" s="456"/>
      <c r="ANX70" s="456"/>
      <c r="ANY70" s="456"/>
      <c r="ANZ70" s="456"/>
      <c r="AOA70" s="456"/>
      <c r="AOB70" s="456"/>
      <c r="AOC70" s="456"/>
      <c r="AOD70" s="456"/>
      <c r="AOE70" s="456"/>
      <c r="AOF70" s="456"/>
      <c r="AOG70" s="456"/>
      <c r="AOH70" s="456"/>
      <c r="AOI70" s="456"/>
      <c r="AOJ70" s="456"/>
      <c r="AOK70" s="456"/>
      <c r="AOL70" s="456"/>
      <c r="AOM70" s="456"/>
      <c r="AON70" s="456"/>
      <c r="AOO70" s="456"/>
      <c r="AOP70" s="456"/>
      <c r="AOQ70" s="456"/>
      <c r="AOR70" s="456"/>
      <c r="AOS70" s="456"/>
      <c r="AOT70" s="456"/>
      <c r="AOU70" s="456"/>
      <c r="AOV70" s="456"/>
      <c r="AOW70" s="456"/>
      <c r="AOX70" s="456"/>
      <c r="AOY70" s="456"/>
      <c r="AOZ70" s="456"/>
      <c r="APA70" s="456"/>
      <c r="APB70" s="456"/>
      <c r="APC70" s="456"/>
      <c r="APD70" s="456"/>
      <c r="APE70" s="456"/>
      <c r="APF70" s="456"/>
      <c r="APG70" s="456"/>
      <c r="APH70" s="456"/>
      <c r="API70" s="456"/>
      <c r="APJ70" s="456"/>
      <c r="APK70" s="456"/>
      <c r="APL70" s="456"/>
      <c r="APM70" s="456"/>
      <c r="APN70" s="456"/>
      <c r="APO70" s="456"/>
      <c r="APP70" s="456"/>
      <c r="APQ70" s="456"/>
      <c r="APR70" s="456"/>
      <c r="APS70" s="456"/>
      <c r="APT70" s="456"/>
      <c r="APU70" s="456"/>
      <c r="APV70" s="456"/>
      <c r="APW70" s="456"/>
      <c r="APX70" s="456"/>
      <c r="APY70" s="456"/>
      <c r="APZ70" s="456"/>
      <c r="AQA70" s="456"/>
      <c r="AQB70" s="456"/>
      <c r="AQC70" s="456"/>
      <c r="AQD70" s="456"/>
      <c r="AQE70" s="456"/>
      <c r="AQF70" s="456"/>
      <c r="AQG70" s="456"/>
      <c r="AQH70" s="456"/>
      <c r="AQI70" s="456"/>
      <c r="AQJ70" s="456"/>
      <c r="AQK70" s="456"/>
      <c r="AQL70" s="456"/>
      <c r="AQM70" s="456"/>
      <c r="AQN70" s="456"/>
      <c r="AQO70" s="456"/>
      <c r="AQP70" s="456"/>
      <c r="AQQ70" s="456"/>
      <c r="AQR70" s="456"/>
      <c r="AQS70" s="456"/>
      <c r="AQT70" s="456"/>
      <c r="AQU70" s="456"/>
      <c r="AQV70" s="456"/>
      <c r="AQW70" s="456"/>
      <c r="AQX70" s="456"/>
      <c r="AQY70" s="456"/>
      <c r="AQZ70" s="456"/>
      <c r="ARA70" s="456"/>
      <c r="ARB70" s="456"/>
      <c r="ARC70" s="456"/>
      <c r="ARD70" s="456"/>
      <c r="ARE70" s="456"/>
      <c r="ARF70" s="456"/>
      <c r="ARG70" s="456"/>
      <c r="ARH70" s="456"/>
      <c r="ARI70" s="456"/>
      <c r="ARJ70" s="456"/>
      <c r="ARK70" s="456"/>
      <c r="ARL70" s="456"/>
      <c r="ARM70" s="456"/>
      <c r="ARN70" s="456"/>
      <c r="ARO70" s="456"/>
      <c r="ARP70" s="456"/>
      <c r="ARQ70" s="456"/>
      <c r="ARR70" s="456"/>
      <c r="ARS70" s="456"/>
      <c r="ART70" s="456"/>
      <c r="ARU70" s="456"/>
      <c r="ARV70" s="456"/>
      <c r="ARW70" s="456"/>
      <c r="ARX70" s="456"/>
      <c r="ARY70" s="456"/>
      <c r="ARZ70" s="456"/>
      <c r="ASA70" s="456"/>
      <c r="ASB70" s="456"/>
      <c r="ASC70" s="456"/>
      <c r="ASD70" s="456"/>
      <c r="ASE70" s="456"/>
      <c r="ASF70" s="456"/>
      <c r="ASG70" s="456"/>
      <c r="ASH70" s="456"/>
      <c r="ASI70" s="456"/>
      <c r="ASJ70" s="456"/>
      <c r="ASK70" s="456"/>
      <c r="ASL70" s="456"/>
      <c r="ASM70" s="456"/>
      <c r="ASN70" s="456"/>
      <c r="ASO70" s="456"/>
      <c r="ASP70" s="456"/>
      <c r="ASQ70" s="456"/>
      <c r="ASR70" s="456"/>
      <c r="ASS70" s="456"/>
      <c r="AST70" s="456"/>
      <c r="ASU70" s="456"/>
      <c r="ASV70" s="456"/>
      <c r="ASW70" s="456"/>
      <c r="ASX70" s="456"/>
      <c r="ASY70" s="456"/>
      <c r="ASZ70" s="456"/>
      <c r="ATA70" s="456"/>
      <c r="ATB70" s="456"/>
      <c r="ATC70" s="456"/>
      <c r="ATD70" s="456"/>
      <c r="ATE70" s="456"/>
      <c r="ATF70" s="456"/>
      <c r="ATG70" s="456"/>
      <c r="ATH70" s="456"/>
      <c r="ATI70" s="456"/>
      <c r="ATJ70" s="456"/>
      <c r="ATK70" s="456"/>
      <c r="ATL70" s="456"/>
      <c r="ATM70" s="456"/>
      <c r="ATN70" s="456"/>
      <c r="ATO70" s="456"/>
      <c r="ATP70" s="456"/>
      <c r="ATQ70" s="456"/>
      <c r="ATR70" s="456"/>
      <c r="ATS70" s="456"/>
      <c r="ATT70" s="456"/>
      <c r="ATU70" s="456"/>
      <c r="ATV70" s="456"/>
      <c r="ATW70" s="456"/>
      <c r="ATX70" s="456"/>
      <c r="ATY70" s="456"/>
      <c r="ATZ70" s="456"/>
      <c r="AUA70" s="456"/>
      <c r="AUB70" s="456"/>
      <c r="AUC70" s="456"/>
      <c r="AUD70" s="456"/>
      <c r="AUE70" s="456"/>
      <c r="AUF70" s="456"/>
      <c r="AUG70" s="456"/>
      <c r="AUH70" s="456"/>
      <c r="AUI70" s="456"/>
      <c r="AUJ70" s="456"/>
      <c r="AUK70" s="456"/>
      <c r="AUL70" s="456"/>
      <c r="AUM70" s="456"/>
      <c r="AUN70" s="456"/>
      <c r="AUO70" s="456"/>
      <c r="AUP70" s="456"/>
      <c r="AUQ70" s="456"/>
      <c r="AUR70" s="456"/>
      <c r="AUS70" s="456"/>
      <c r="AUT70" s="456"/>
      <c r="AUU70" s="456"/>
      <c r="AUV70" s="456"/>
      <c r="AUW70" s="456"/>
      <c r="AUX70" s="456"/>
      <c r="AUY70" s="456"/>
      <c r="AUZ70" s="456"/>
      <c r="AVA70" s="456"/>
      <c r="AVB70" s="456"/>
      <c r="AVC70" s="456"/>
      <c r="AVD70" s="456"/>
      <c r="AVE70" s="456"/>
      <c r="AVF70" s="456"/>
      <c r="AVG70" s="456"/>
      <c r="AVH70" s="456"/>
      <c r="AVI70" s="456"/>
      <c r="AVJ70" s="456"/>
      <c r="AVK70" s="456"/>
      <c r="AVL70" s="456"/>
      <c r="AVM70" s="456"/>
      <c r="AVN70" s="456"/>
      <c r="AVO70" s="456"/>
      <c r="AVP70" s="456"/>
      <c r="AVQ70" s="456"/>
      <c r="AVR70" s="456"/>
      <c r="AVS70" s="456"/>
      <c r="AVT70" s="456"/>
      <c r="AVU70" s="456"/>
      <c r="AVV70" s="456"/>
      <c r="AVW70" s="456"/>
      <c r="AVX70" s="456"/>
      <c r="AVY70" s="456"/>
      <c r="AVZ70" s="456"/>
      <c r="AWA70" s="456"/>
      <c r="AWB70" s="456"/>
      <c r="AWC70" s="456"/>
      <c r="AWD70" s="456"/>
      <c r="AWE70" s="456"/>
      <c r="AWF70" s="456"/>
      <c r="AWG70" s="456"/>
      <c r="AWH70" s="456"/>
      <c r="AWI70" s="456"/>
      <c r="AWJ70" s="456"/>
      <c r="AWK70" s="456"/>
      <c r="AWL70" s="456"/>
      <c r="AWM70" s="456"/>
      <c r="AWN70" s="456"/>
      <c r="AWO70" s="456"/>
      <c r="AWP70" s="456"/>
      <c r="AWQ70" s="456"/>
      <c r="AWR70" s="456"/>
      <c r="AWS70" s="456"/>
      <c r="AWT70" s="456"/>
      <c r="AWU70" s="456"/>
      <c r="AWV70" s="456"/>
      <c r="AWW70" s="456"/>
      <c r="AWX70" s="456"/>
      <c r="AWY70" s="456"/>
      <c r="AWZ70" s="456"/>
      <c r="AXA70" s="456"/>
      <c r="AXB70" s="456"/>
      <c r="AXC70" s="456"/>
      <c r="AXD70" s="456"/>
      <c r="AXE70" s="456"/>
      <c r="AXF70" s="456"/>
      <c r="AXG70" s="456"/>
      <c r="AXH70" s="456"/>
      <c r="AXI70" s="456"/>
      <c r="AXJ70" s="456"/>
      <c r="AXK70" s="456"/>
      <c r="AXL70" s="456"/>
      <c r="AXM70" s="456"/>
      <c r="AXN70" s="456"/>
      <c r="AXO70" s="456"/>
      <c r="AXP70" s="456"/>
      <c r="AXQ70" s="456"/>
      <c r="AXR70" s="456"/>
      <c r="AXS70" s="456"/>
      <c r="AXT70" s="456"/>
      <c r="AXU70" s="456"/>
      <c r="AXV70" s="456"/>
      <c r="AXW70" s="456"/>
      <c r="AXX70" s="456"/>
      <c r="AXY70" s="456"/>
      <c r="AXZ70" s="456"/>
      <c r="AYA70" s="456"/>
      <c r="AYB70" s="456"/>
      <c r="AYC70" s="456"/>
      <c r="AYD70" s="456"/>
      <c r="AYE70" s="456"/>
      <c r="AYF70" s="456"/>
      <c r="AYG70" s="456"/>
      <c r="AYH70" s="456"/>
      <c r="AYI70" s="456"/>
      <c r="AYJ70" s="456"/>
      <c r="AYK70" s="456"/>
      <c r="AYL70" s="456"/>
      <c r="AYM70" s="456"/>
      <c r="AYN70" s="456"/>
      <c r="AYO70" s="456"/>
      <c r="AYP70" s="456"/>
      <c r="AYQ70" s="456"/>
      <c r="AYR70" s="456"/>
      <c r="AYS70" s="456"/>
      <c r="AYT70" s="456"/>
      <c r="AYU70" s="456"/>
      <c r="AYV70" s="456"/>
      <c r="AYW70" s="456"/>
      <c r="AYX70" s="456"/>
      <c r="AYY70" s="456"/>
      <c r="AYZ70" s="456"/>
      <c r="AZA70" s="456"/>
      <c r="AZB70" s="456"/>
      <c r="AZC70" s="456"/>
      <c r="AZD70" s="456"/>
      <c r="AZE70" s="456"/>
      <c r="AZF70" s="456"/>
      <c r="AZG70" s="456"/>
      <c r="AZH70" s="456"/>
      <c r="AZI70" s="456"/>
      <c r="AZJ70" s="456"/>
      <c r="AZK70" s="456"/>
      <c r="AZL70" s="456"/>
      <c r="AZM70" s="456"/>
      <c r="AZN70" s="456"/>
      <c r="AZO70" s="456"/>
      <c r="AZP70" s="456"/>
      <c r="AZQ70" s="456"/>
      <c r="AZR70" s="456"/>
      <c r="AZS70" s="456"/>
      <c r="AZT70" s="456"/>
      <c r="AZU70" s="456"/>
      <c r="AZV70" s="456"/>
      <c r="AZW70" s="456"/>
      <c r="AZX70" s="456"/>
      <c r="AZY70" s="456"/>
      <c r="AZZ70" s="456"/>
      <c r="BAA70" s="456"/>
      <c r="BAB70" s="456"/>
      <c r="BAC70" s="456"/>
      <c r="BAD70" s="456"/>
      <c r="BAE70" s="456"/>
      <c r="BAF70" s="456"/>
      <c r="BAG70" s="456"/>
      <c r="BAH70" s="456"/>
      <c r="BAI70" s="456"/>
      <c r="BAJ70" s="456"/>
      <c r="BAK70" s="456"/>
      <c r="BAL70" s="456"/>
      <c r="BAM70" s="456"/>
      <c r="BAN70" s="456"/>
      <c r="BAO70" s="456"/>
      <c r="BAP70" s="456"/>
      <c r="BAQ70" s="456"/>
      <c r="BAR70" s="456"/>
      <c r="BAS70" s="456"/>
      <c r="BAT70" s="456"/>
      <c r="BAU70" s="456"/>
      <c r="BAV70" s="456"/>
      <c r="BAW70" s="456"/>
      <c r="BAX70" s="456"/>
      <c r="BAY70" s="456"/>
      <c r="BAZ70" s="456"/>
      <c r="BBA70" s="456"/>
      <c r="BBB70" s="456"/>
      <c r="BBC70" s="456"/>
      <c r="BBD70" s="456"/>
      <c r="BBE70" s="456"/>
      <c r="BBF70" s="456"/>
      <c r="BBG70" s="456"/>
      <c r="BBH70" s="456"/>
      <c r="BBI70" s="456"/>
      <c r="BBJ70" s="456"/>
      <c r="BBK70" s="456"/>
      <c r="BBL70" s="456"/>
      <c r="BBM70" s="456"/>
      <c r="BBN70" s="456"/>
      <c r="BBO70" s="456"/>
      <c r="BBP70" s="456"/>
      <c r="BBQ70" s="456"/>
      <c r="BBR70" s="456"/>
      <c r="BBS70" s="456"/>
      <c r="BBT70" s="456"/>
      <c r="BBU70" s="456"/>
      <c r="BBV70" s="456"/>
      <c r="BBW70" s="456"/>
      <c r="BBX70" s="456"/>
      <c r="BBY70" s="456"/>
      <c r="BBZ70" s="456"/>
      <c r="BCA70" s="456"/>
      <c r="BCB70" s="456"/>
      <c r="BCC70" s="456"/>
      <c r="BCD70" s="456"/>
      <c r="BCE70" s="456"/>
      <c r="BCF70" s="456"/>
      <c r="BCG70" s="456"/>
      <c r="BCH70" s="456"/>
      <c r="BCI70" s="456"/>
      <c r="BCJ70" s="456"/>
      <c r="BCK70" s="456"/>
      <c r="BCL70" s="456"/>
      <c r="BCM70" s="456"/>
      <c r="BCN70" s="456"/>
      <c r="BCO70" s="456"/>
      <c r="BCP70" s="456"/>
      <c r="BCQ70" s="456"/>
      <c r="BCR70" s="456"/>
      <c r="BCS70" s="456"/>
      <c r="BCT70" s="456"/>
      <c r="BCU70" s="456"/>
      <c r="BCV70" s="456"/>
      <c r="BCW70" s="456"/>
      <c r="BCX70" s="456"/>
      <c r="BCY70" s="456"/>
      <c r="BCZ70" s="456"/>
      <c r="BDA70" s="456"/>
      <c r="BDB70" s="456"/>
      <c r="BDC70" s="456"/>
      <c r="BDD70" s="456"/>
      <c r="BDE70" s="456"/>
      <c r="BDF70" s="456"/>
      <c r="BDG70" s="456"/>
      <c r="BDH70" s="456"/>
      <c r="BDI70" s="456"/>
      <c r="BDJ70" s="456"/>
      <c r="BDK70" s="456"/>
      <c r="BDL70" s="456"/>
      <c r="BDM70" s="456"/>
      <c r="BDN70" s="456"/>
      <c r="BDO70" s="456"/>
      <c r="BDP70" s="456"/>
      <c r="BDQ70" s="456"/>
      <c r="BDR70" s="456"/>
      <c r="BDS70" s="456"/>
      <c r="BDT70" s="456"/>
      <c r="BDU70" s="456"/>
      <c r="BDV70" s="456"/>
      <c r="BDW70" s="456"/>
      <c r="BDX70" s="456"/>
      <c r="BDY70" s="456"/>
      <c r="BDZ70" s="456"/>
      <c r="BEA70" s="456"/>
      <c r="BEB70" s="456"/>
      <c r="BEC70" s="456"/>
      <c r="BED70" s="456"/>
      <c r="BEE70" s="456"/>
      <c r="BEF70" s="456"/>
      <c r="BEG70" s="456"/>
      <c r="BEH70" s="456"/>
      <c r="BEI70" s="456"/>
      <c r="BEJ70" s="456"/>
      <c r="BEK70" s="456"/>
      <c r="BEL70" s="456"/>
      <c r="BEM70" s="456"/>
      <c r="BEN70" s="456"/>
      <c r="BEO70" s="456"/>
      <c r="BEP70" s="456"/>
      <c r="BEQ70" s="456"/>
      <c r="BER70" s="456"/>
      <c r="BES70" s="456"/>
      <c r="BET70" s="456"/>
      <c r="BEU70" s="456"/>
      <c r="BEV70" s="456"/>
      <c r="BEW70" s="456"/>
      <c r="BEX70" s="456"/>
      <c r="BEY70" s="456"/>
      <c r="BEZ70" s="456"/>
      <c r="BFA70" s="456"/>
      <c r="BFB70" s="456"/>
      <c r="BFC70" s="456"/>
      <c r="BFD70" s="456"/>
      <c r="BFE70" s="456"/>
      <c r="BFF70" s="456"/>
      <c r="BFG70" s="456"/>
      <c r="BFH70" s="456"/>
      <c r="BFI70" s="456"/>
      <c r="BFJ70" s="456"/>
      <c r="BFK70" s="456"/>
      <c r="BFL70" s="456"/>
      <c r="BFM70" s="456"/>
      <c r="BFN70" s="456"/>
      <c r="BFO70" s="456"/>
      <c r="BFP70" s="456"/>
      <c r="BFQ70" s="456"/>
      <c r="BFR70" s="456"/>
      <c r="BFS70" s="456"/>
      <c r="BFT70" s="456"/>
      <c r="BFU70" s="456"/>
      <c r="BFV70" s="456"/>
      <c r="BFW70" s="456"/>
      <c r="BFX70" s="456"/>
      <c r="BFY70" s="456"/>
      <c r="BFZ70" s="456"/>
      <c r="BGA70" s="456"/>
      <c r="BGB70" s="456"/>
      <c r="BGC70" s="456"/>
      <c r="BGD70" s="456"/>
      <c r="BGE70" s="456"/>
      <c r="BGF70" s="456"/>
      <c r="BGG70" s="456"/>
      <c r="BGH70" s="456"/>
      <c r="BGI70" s="456"/>
      <c r="BGJ70" s="456"/>
      <c r="BGK70" s="456"/>
      <c r="BGL70" s="456"/>
      <c r="BGM70" s="456"/>
      <c r="BGN70" s="456"/>
      <c r="BGO70" s="456"/>
      <c r="BGP70" s="456"/>
      <c r="BGQ70" s="456"/>
      <c r="BGR70" s="456"/>
      <c r="BGS70" s="456"/>
      <c r="BGT70" s="456"/>
      <c r="BGU70" s="456"/>
      <c r="BGV70" s="456"/>
      <c r="BGW70" s="456"/>
      <c r="BGX70" s="456"/>
      <c r="BGY70" s="456"/>
      <c r="BGZ70" s="456"/>
      <c r="BHA70" s="456"/>
      <c r="BHB70" s="456"/>
      <c r="BHC70" s="456"/>
      <c r="BHD70" s="456"/>
      <c r="BHE70" s="456"/>
      <c r="BHF70" s="456"/>
      <c r="BHG70" s="456"/>
      <c r="BHH70" s="456"/>
      <c r="BHI70" s="456"/>
      <c r="BHJ70" s="456"/>
      <c r="BHK70" s="456"/>
      <c r="BHL70" s="456"/>
      <c r="BHM70" s="456"/>
      <c r="BHN70" s="456"/>
      <c r="BHO70" s="456"/>
      <c r="BHP70" s="456"/>
      <c r="BHQ70" s="456"/>
      <c r="BHR70" s="456"/>
      <c r="BHS70" s="456"/>
      <c r="BHT70" s="456"/>
      <c r="BHU70" s="456"/>
      <c r="BHV70" s="456"/>
      <c r="BHW70" s="456"/>
      <c r="BHX70" s="456"/>
      <c r="BHY70" s="456"/>
      <c r="BHZ70" s="456"/>
      <c r="BIA70" s="456"/>
      <c r="BIB70" s="456"/>
      <c r="BIC70" s="456"/>
      <c r="BID70" s="456"/>
      <c r="BIE70" s="456"/>
      <c r="BIF70" s="456"/>
      <c r="BIG70" s="456"/>
      <c r="BIH70" s="456"/>
      <c r="BII70" s="456"/>
      <c r="BIJ70" s="456"/>
      <c r="BIK70" s="456"/>
      <c r="BIL70" s="456"/>
      <c r="BIM70" s="456"/>
      <c r="BIN70" s="456"/>
      <c r="BIO70" s="456"/>
      <c r="BIP70" s="456"/>
      <c r="BIQ70" s="456"/>
      <c r="BIR70" s="456"/>
      <c r="BIS70" s="456"/>
      <c r="BIT70" s="456"/>
      <c r="BIU70" s="456"/>
      <c r="BIV70" s="456"/>
      <c r="BIW70" s="456"/>
      <c r="BIX70" s="456"/>
      <c r="BIY70" s="456"/>
      <c r="BIZ70" s="456"/>
      <c r="BJA70" s="456"/>
      <c r="BJB70" s="456"/>
      <c r="BJC70" s="456"/>
      <c r="BJD70" s="456"/>
      <c r="BJE70" s="456"/>
      <c r="BJF70" s="456"/>
      <c r="BJG70" s="456"/>
      <c r="BJH70" s="456"/>
      <c r="BJI70" s="456"/>
      <c r="BJJ70" s="456"/>
      <c r="BJK70" s="456"/>
      <c r="BJL70" s="456"/>
      <c r="BJM70" s="456"/>
      <c r="BJN70" s="456"/>
      <c r="BJO70" s="456"/>
      <c r="BJP70" s="456"/>
      <c r="BJQ70" s="456"/>
      <c r="BJR70" s="456"/>
      <c r="BJS70" s="456"/>
      <c r="BJT70" s="456"/>
      <c r="BJU70" s="456"/>
      <c r="BJV70" s="456"/>
      <c r="BJW70" s="456"/>
      <c r="BJX70" s="456"/>
      <c r="BJY70" s="456"/>
      <c r="BJZ70" s="456"/>
      <c r="BKA70" s="456"/>
      <c r="BKB70" s="456"/>
      <c r="BKC70" s="456"/>
      <c r="BKD70" s="456"/>
      <c r="BKE70" s="456"/>
      <c r="BKF70" s="456"/>
      <c r="BKG70" s="456"/>
      <c r="BKH70" s="456"/>
      <c r="BKI70" s="456"/>
      <c r="BKJ70" s="456"/>
      <c r="BKK70" s="456"/>
      <c r="BKL70" s="456"/>
      <c r="BKM70" s="456"/>
      <c r="BKN70" s="456"/>
      <c r="BKO70" s="456"/>
      <c r="BKP70" s="456"/>
      <c r="BKQ70" s="456"/>
      <c r="BKR70" s="456"/>
      <c r="BKS70" s="456"/>
      <c r="BKT70" s="456"/>
      <c r="BKU70" s="456"/>
      <c r="BKV70" s="456"/>
      <c r="BKW70" s="456"/>
      <c r="BKX70" s="456"/>
      <c r="BKY70" s="456"/>
      <c r="BKZ70" s="456"/>
      <c r="BLA70" s="456"/>
      <c r="BLB70" s="456"/>
      <c r="BLC70" s="456"/>
      <c r="BLD70" s="456"/>
      <c r="BLE70" s="456"/>
      <c r="BLF70" s="456"/>
      <c r="BLG70" s="456"/>
      <c r="BLH70" s="456"/>
      <c r="BLI70" s="456"/>
      <c r="BLJ70" s="456"/>
      <c r="BLK70" s="456"/>
      <c r="BLL70" s="456"/>
      <c r="BLM70" s="456"/>
      <c r="BLN70" s="456"/>
      <c r="BLO70" s="456"/>
      <c r="BLP70" s="456"/>
      <c r="BLQ70" s="456"/>
      <c r="BLR70" s="456"/>
      <c r="BLS70" s="456"/>
      <c r="BLT70" s="456"/>
      <c r="BLU70" s="456"/>
      <c r="BLV70" s="456"/>
      <c r="BLW70" s="456"/>
      <c r="BLX70" s="456"/>
      <c r="BLY70" s="456"/>
      <c r="BLZ70" s="456"/>
      <c r="BMA70" s="456"/>
      <c r="BMB70" s="456"/>
      <c r="BMC70" s="456"/>
      <c r="BMD70" s="456"/>
      <c r="BME70" s="456"/>
      <c r="BMF70" s="456"/>
      <c r="BMG70" s="456"/>
      <c r="BMH70" s="456"/>
      <c r="BMI70" s="456"/>
      <c r="BMJ70" s="456"/>
      <c r="BMK70" s="456"/>
      <c r="BML70" s="456"/>
      <c r="BMM70" s="456"/>
      <c r="BMN70" s="456"/>
      <c r="BMO70" s="456"/>
      <c r="BMP70" s="456"/>
      <c r="BMQ70" s="456"/>
      <c r="BMR70" s="456"/>
      <c r="BMS70" s="456"/>
      <c r="BMT70" s="456"/>
      <c r="BMU70" s="456"/>
      <c r="BMV70" s="456"/>
      <c r="BMW70" s="456"/>
      <c r="BMX70" s="456"/>
      <c r="BMY70" s="456"/>
      <c r="BMZ70" s="456"/>
      <c r="BNA70" s="456"/>
      <c r="BNB70" s="456"/>
      <c r="BNC70" s="456"/>
      <c r="BND70" s="456"/>
      <c r="BNE70" s="456"/>
      <c r="BNF70" s="456"/>
      <c r="BNG70" s="456"/>
      <c r="BNH70" s="456"/>
      <c r="BNI70" s="456"/>
      <c r="BNJ70" s="456"/>
      <c r="BNK70" s="456"/>
      <c r="BNL70" s="456"/>
      <c r="BNM70" s="456"/>
      <c r="BNN70" s="456"/>
      <c r="BNO70" s="456"/>
      <c r="BNP70" s="456"/>
      <c r="BNQ70" s="456"/>
      <c r="BNR70" s="456"/>
      <c r="BNS70" s="456"/>
      <c r="BNT70" s="456"/>
      <c r="BNU70" s="456"/>
      <c r="BNV70" s="456"/>
      <c r="BNW70" s="456"/>
      <c r="BNX70" s="456"/>
      <c r="BNY70" s="456"/>
      <c r="BNZ70" s="456"/>
      <c r="BOA70" s="456"/>
      <c r="BOB70" s="456"/>
      <c r="BOC70" s="456"/>
      <c r="BOD70" s="456"/>
      <c r="BOE70" s="456"/>
      <c r="BOF70" s="456"/>
      <c r="BOG70" s="456"/>
      <c r="BOH70" s="456"/>
      <c r="BOI70" s="456"/>
      <c r="BOJ70" s="456"/>
      <c r="BOK70" s="456"/>
      <c r="BOL70" s="456"/>
      <c r="BOM70" s="456"/>
      <c r="BON70" s="456"/>
      <c r="BOO70" s="456"/>
      <c r="BOP70" s="456"/>
      <c r="BOQ70" s="456"/>
      <c r="BOR70" s="456"/>
      <c r="BOS70" s="456"/>
      <c r="BOT70" s="456"/>
      <c r="BOU70" s="456"/>
      <c r="BOV70" s="456"/>
      <c r="BOW70" s="456"/>
      <c r="BOX70" s="456"/>
      <c r="BOY70" s="456"/>
      <c r="BOZ70" s="456"/>
      <c r="BPA70" s="456"/>
      <c r="BPB70" s="456"/>
      <c r="BPC70" s="456"/>
      <c r="BPD70" s="456"/>
      <c r="BPE70" s="456"/>
      <c r="BPF70" s="456"/>
      <c r="BPG70" s="456"/>
      <c r="BPH70" s="456"/>
      <c r="BPI70" s="456"/>
      <c r="BPJ70" s="456"/>
      <c r="BPK70" s="456"/>
      <c r="BPL70" s="456"/>
      <c r="BPM70" s="456"/>
      <c r="BPN70" s="456"/>
      <c r="BPO70" s="456"/>
      <c r="BPP70" s="456"/>
      <c r="BPQ70" s="456"/>
      <c r="BPR70" s="456"/>
      <c r="BPS70" s="456"/>
      <c r="BPT70" s="456"/>
      <c r="BPU70" s="456"/>
      <c r="BPV70" s="456"/>
      <c r="BPW70" s="456"/>
      <c r="BPX70" s="456"/>
      <c r="BPY70" s="456"/>
      <c r="BPZ70" s="456"/>
      <c r="BQA70" s="456"/>
      <c r="BQB70" s="456"/>
      <c r="BQC70" s="456"/>
      <c r="BQD70" s="456"/>
      <c r="BQE70" s="456"/>
      <c r="BQF70" s="456"/>
      <c r="BQG70" s="456"/>
      <c r="BQH70" s="456"/>
      <c r="BQI70" s="456"/>
      <c r="BQJ70" s="456"/>
      <c r="BQK70" s="456"/>
      <c r="BQL70" s="456"/>
      <c r="BQM70" s="456"/>
      <c r="BQN70" s="456"/>
      <c r="BQO70" s="456"/>
      <c r="BQP70" s="456"/>
      <c r="BQQ70" s="456"/>
      <c r="BQR70" s="456"/>
      <c r="BQS70" s="456"/>
      <c r="BQT70" s="456"/>
      <c r="BQU70" s="456"/>
      <c r="BQV70" s="456"/>
      <c r="BQW70" s="456"/>
      <c r="BQX70" s="456"/>
      <c r="BQY70" s="456"/>
      <c r="BQZ70" s="456"/>
      <c r="BRA70" s="456"/>
      <c r="BRB70" s="456"/>
      <c r="BRC70" s="456"/>
      <c r="BRD70" s="456"/>
      <c r="BRE70" s="456"/>
      <c r="BRF70" s="456"/>
      <c r="BRG70" s="456"/>
      <c r="BRH70" s="456"/>
      <c r="BRI70" s="456"/>
      <c r="BRJ70" s="456"/>
      <c r="BRK70" s="456"/>
      <c r="BRL70" s="456"/>
      <c r="BRM70" s="456"/>
      <c r="BRN70" s="456"/>
      <c r="BRO70" s="456"/>
      <c r="BRP70" s="456"/>
      <c r="BRQ70" s="456"/>
      <c r="BRR70" s="456"/>
      <c r="BRS70" s="456"/>
      <c r="BRT70" s="456"/>
      <c r="BRU70" s="456"/>
      <c r="BRV70" s="456"/>
      <c r="BRW70" s="456"/>
      <c r="BRX70" s="456"/>
      <c r="BRY70" s="456"/>
      <c r="BRZ70" s="456"/>
      <c r="BSA70" s="456"/>
      <c r="BSB70" s="456"/>
      <c r="BSC70" s="456"/>
      <c r="BSD70" s="456"/>
      <c r="BSE70" s="456"/>
      <c r="BSF70" s="456"/>
      <c r="BSG70" s="456"/>
      <c r="BSH70" s="456"/>
      <c r="BSI70" s="456"/>
      <c r="BSJ70" s="456"/>
      <c r="BSK70" s="456"/>
      <c r="BSL70" s="456"/>
      <c r="BSM70" s="456"/>
      <c r="BSN70" s="456"/>
      <c r="BSO70" s="456"/>
      <c r="BSP70" s="456"/>
      <c r="BSQ70" s="456"/>
      <c r="BSR70" s="456"/>
      <c r="BSS70" s="456"/>
      <c r="BST70" s="456"/>
      <c r="BSU70" s="456"/>
      <c r="BSV70" s="456"/>
      <c r="BSW70" s="456"/>
      <c r="BSX70" s="456"/>
      <c r="BSY70" s="456"/>
      <c r="BSZ70" s="456"/>
      <c r="BTA70" s="456"/>
      <c r="BTB70" s="456"/>
      <c r="BTC70" s="456"/>
      <c r="BTD70" s="456"/>
      <c r="BTE70" s="456"/>
      <c r="BTF70" s="456"/>
      <c r="BTG70" s="456"/>
      <c r="BTH70" s="456"/>
      <c r="BTI70" s="456"/>
      <c r="BTJ70" s="456"/>
      <c r="BTK70" s="456"/>
      <c r="BTL70" s="456"/>
      <c r="BTM70" s="456"/>
      <c r="BTN70" s="456"/>
      <c r="BTO70" s="456"/>
      <c r="BTP70" s="456"/>
      <c r="BTQ70" s="456"/>
      <c r="BTR70" s="456"/>
      <c r="BTS70" s="456"/>
      <c r="BTT70" s="456"/>
      <c r="BTU70" s="456"/>
      <c r="BTV70" s="456"/>
      <c r="BTW70" s="456"/>
      <c r="BTX70" s="456"/>
      <c r="BTY70" s="456"/>
      <c r="BTZ70" s="456"/>
      <c r="BUA70" s="456"/>
      <c r="BUB70" s="456"/>
      <c r="BUC70" s="456"/>
      <c r="BUD70" s="456"/>
      <c r="BUE70" s="456"/>
      <c r="BUF70" s="456"/>
      <c r="BUG70" s="456"/>
      <c r="BUH70" s="456"/>
      <c r="BUI70" s="456"/>
      <c r="BUJ70" s="456"/>
      <c r="BUK70" s="456"/>
      <c r="BUL70" s="456"/>
      <c r="BUM70" s="456"/>
      <c r="BUN70" s="456"/>
      <c r="BUO70" s="456"/>
      <c r="BUP70" s="456"/>
      <c r="BUQ70" s="456"/>
      <c r="BUR70" s="456"/>
      <c r="BUS70" s="456"/>
      <c r="BUT70" s="456"/>
      <c r="BUU70" s="456"/>
      <c r="BUV70" s="456"/>
      <c r="BUW70" s="456"/>
      <c r="BUX70" s="456"/>
      <c r="BUY70" s="456"/>
      <c r="BUZ70" s="456"/>
      <c r="BVA70" s="456"/>
      <c r="BVB70" s="456"/>
      <c r="BVC70" s="456"/>
      <c r="BVD70" s="456"/>
      <c r="BVE70" s="456"/>
      <c r="BVF70" s="456"/>
      <c r="BVG70" s="456"/>
      <c r="BVH70" s="456"/>
      <c r="BVI70" s="456"/>
      <c r="BVJ70" s="456"/>
      <c r="BVK70" s="456"/>
      <c r="BVL70" s="456"/>
      <c r="BVM70" s="456"/>
      <c r="BVN70" s="456"/>
      <c r="BVO70" s="456"/>
      <c r="BVP70" s="456"/>
      <c r="BVQ70" s="456"/>
      <c r="BVR70" s="456"/>
      <c r="BVS70" s="456"/>
      <c r="BVT70" s="456"/>
      <c r="BVU70" s="456"/>
      <c r="BVV70" s="456"/>
      <c r="BVW70" s="456"/>
      <c r="BVX70" s="456"/>
      <c r="BVY70" s="456"/>
      <c r="BVZ70" s="456"/>
      <c r="BWA70" s="456"/>
      <c r="BWB70" s="456"/>
      <c r="BWC70" s="456"/>
      <c r="BWD70" s="456"/>
      <c r="BWE70" s="456"/>
      <c r="BWF70" s="456"/>
      <c r="BWG70" s="456"/>
      <c r="BWH70" s="456"/>
      <c r="BWI70" s="456"/>
      <c r="BWJ70" s="456"/>
      <c r="BWK70" s="456"/>
      <c r="BWL70" s="456"/>
      <c r="BWM70" s="456"/>
      <c r="BWN70" s="456"/>
      <c r="BWO70" s="456"/>
      <c r="BWP70" s="456"/>
      <c r="BWQ70" s="456"/>
      <c r="BWR70" s="456"/>
      <c r="BWS70" s="456"/>
      <c r="BWT70" s="456"/>
      <c r="BWU70" s="456"/>
      <c r="BWV70" s="456"/>
      <c r="BWW70" s="456"/>
      <c r="BWX70" s="456"/>
      <c r="BWY70" s="456"/>
      <c r="BWZ70" s="456"/>
      <c r="BXA70" s="456"/>
      <c r="BXB70" s="456"/>
      <c r="BXC70" s="456"/>
      <c r="BXD70" s="456"/>
      <c r="BXE70" s="456"/>
      <c r="BXF70" s="456"/>
      <c r="BXG70" s="456"/>
      <c r="BXH70" s="456"/>
      <c r="BXI70" s="456"/>
      <c r="BXJ70" s="456"/>
      <c r="BXK70" s="456"/>
      <c r="BXL70" s="456"/>
      <c r="BXM70" s="456"/>
      <c r="BXN70" s="456"/>
      <c r="BXO70" s="456"/>
      <c r="BXP70" s="456"/>
      <c r="BXQ70" s="456"/>
      <c r="BXR70" s="456"/>
      <c r="BXS70" s="456"/>
      <c r="BXT70" s="456"/>
      <c r="BXU70" s="456"/>
      <c r="BXV70" s="456"/>
      <c r="BXW70" s="456"/>
      <c r="BXX70" s="456"/>
      <c r="BXY70" s="456"/>
      <c r="BXZ70" s="456"/>
    </row>
    <row r="71" spans="1:1024 1025:2002">
      <c r="A71" s="474"/>
      <c r="B71" s="75">
        <v>1119</v>
      </c>
      <c r="C71" s="213">
        <v>46181</v>
      </c>
      <c r="D71" s="18" t="s">
        <v>35</v>
      </c>
      <c r="E71" s="18" t="s">
        <v>71</v>
      </c>
      <c r="F71" s="18" t="s">
        <v>72</v>
      </c>
      <c r="G71" s="18"/>
      <c r="H71" s="75">
        <v>1.2379</v>
      </c>
      <c r="I71" s="75"/>
      <c r="J71" s="18" t="s">
        <v>82</v>
      </c>
      <c r="K71" s="111">
        <v>405</v>
      </c>
      <c r="L71" s="475">
        <v>50</v>
      </c>
      <c r="M71" s="75">
        <v>5800</v>
      </c>
      <c r="N71" s="75" t="s">
        <v>40</v>
      </c>
      <c r="O71" s="75" t="s">
        <v>67</v>
      </c>
      <c r="P71" s="75">
        <v>2000</v>
      </c>
      <c r="Q71" s="75"/>
      <c r="R71" s="75">
        <f t="shared" si="2"/>
        <v>2000</v>
      </c>
      <c r="S71" s="476">
        <v>2365</v>
      </c>
      <c r="T71" s="342" t="s">
        <v>42</v>
      </c>
      <c r="U71" s="137" t="s">
        <v>83</v>
      </c>
      <c r="V71" s="193">
        <v>46181</v>
      </c>
      <c r="W71" s="24" t="s">
        <v>44</v>
      </c>
      <c r="X71" s="18"/>
      <c r="Y71" s="114">
        <v>46327</v>
      </c>
      <c r="Z71" s="18" t="s">
        <v>45</v>
      </c>
      <c r="AA71" s="24" t="s">
        <v>46</v>
      </c>
      <c r="AB71" s="18"/>
      <c r="AC71" s="137"/>
      <c r="AD71" s="77"/>
      <c r="AE71" s="18" t="s">
        <v>48</v>
      </c>
      <c r="AF71" s="18"/>
      <c r="AG71" s="18"/>
    </row>
    <row r="72" spans="1:1024 1025:2002">
      <c r="A72" s="474"/>
      <c r="B72" s="75">
        <v>1119</v>
      </c>
      <c r="C72" s="213">
        <v>46181</v>
      </c>
      <c r="D72" s="18" t="s">
        <v>35</v>
      </c>
      <c r="E72" s="18" t="s">
        <v>71</v>
      </c>
      <c r="F72" s="18" t="s">
        <v>72</v>
      </c>
      <c r="G72" s="18"/>
      <c r="H72" s="75">
        <v>1.2379</v>
      </c>
      <c r="I72" s="75"/>
      <c r="J72" s="18" t="s">
        <v>82</v>
      </c>
      <c r="K72" s="111">
        <v>505</v>
      </c>
      <c r="L72" s="475">
        <v>50</v>
      </c>
      <c r="M72" s="75">
        <v>5800</v>
      </c>
      <c r="N72" s="75" t="s">
        <v>40</v>
      </c>
      <c r="O72" s="75" t="s">
        <v>67</v>
      </c>
      <c r="P72" s="75">
        <v>2000</v>
      </c>
      <c r="Q72" s="75"/>
      <c r="R72" s="75">
        <f t="shared" si="2"/>
        <v>2000</v>
      </c>
      <c r="S72" s="476">
        <v>2365</v>
      </c>
      <c r="T72" s="342" t="s">
        <v>42</v>
      </c>
      <c r="U72" s="137" t="s">
        <v>83</v>
      </c>
      <c r="V72" s="193">
        <v>46181</v>
      </c>
      <c r="W72" s="24" t="s">
        <v>44</v>
      </c>
      <c r="X72" s="18"/>
      <c r="Y72" s="114">
        <v>46327</v>
      </c>
      <c r="Z72" s="18" t="s">
        <v>45</v>
      </c>
      <c r="AA72" s="24" t="s">
        <v>46</v>
      </c>
      <c r="AB72" s="18"/>
      <c r="AC72" s="137"/>
      <c r="AD72" s="77"/>
      <c r="AE72" s="18" t="s">
        <v>48</v>
      </c>
      <c r="AF72" s="18"/>
      <c r="AG72" s="18"/>
    </row>
    <row r="73" s="25" customFormat="1" spans="1:1024 1025:2002">
      <c r="A73" s="473" t="s">
        <v>34</v>
      </c>
      <c r="B73" s="19">
        <v>1119</v>
      </c>
      <c r="C73" s="183">
        <v>46181</v>
      </c>
      <c r="D73" s="17" t="s">
        <v>35</v>
      </c>
      <c r="E73" s="17" t="s">
        <v>71</v>
      </c>
      <c r="F73" s="17" t="s">
        <v>72</v>
      </c>
      <c r="G73" s="17"/>
      <c r="H73" s="19">
        <v>1.2379</v>
      </c>
      <c r="I73" s="19">
        <v>1.2379</v>
      </c>
      <c r="J73" s="17" t="s">
        <v>82</v>
      </c>
      <c r="K73" s="91">
        <v>610</v>
      </c>
      <c r="L73" s="23">
        <v>50</v>
      </c>
      <c r="M73" s="19">
        <v>5800</v>
      </c>
      <c r="N73" s="19" t="s">
        <v>40</v>
      </c>
      <c r="O73" s="19" t="s">
        <v>67</v>
      </c>
      <c r="P73" s="19">
        <v>2500</v>
      </c>
      <c r="Q73" s="19">
        <f>1422+1356</f>
        <v>2778</v>
      </c>
      <c r="R73" s="19">
        <f t="shared" si="2"/>
        <v>-278</v>
      </c>
      <c r="S73" s="477">
        <f t="shared" ref="S73:S74" si="6">2365+68</f>
        <v>2433</v>
      </c>
      <c r="T73" s="19" t="s">
        <v>42</v>
      </c>
      <c r="U73" s="102" t="s">
        <v>83</v>
      </c>
      <c r="V73" s="186">
        <v>46181</v>
      </c>
      <c r="W73" s="17" t="s">
        <v>69</v>
      </c>
      <c r="X73" s="17"/>
      <c r="Y73" s="68">
        <v>46327</v>
      </c>
      <c r="Z73" s="17" t="s">
        <v>45</v>
      </c>
      <c r="AA73" s="17" t="s">
        <v>46</v>
      </c>
      <c r="AB73" s="17" t="s">
        <v>75</v>
      </c>
      <c r="AC73" s="217">
        <v>46224</v>
      </c>
      <c r="AD73" s="65">
        <v>1837</v>
      </c>
      <c r="AE73" s="17" t="s">
        <v>48</v>
      </c>
      <c r="AF73" s="17" t="s">
        <v>76</v>
      </c>
      <c r="AG73" s="17"/>
      <c r="AH73" s="456"/>
      <c r="AI73" s="456"/>
      <c r="AJ73" s="456"/>
      <c r="AK73" s="456"/>
      <c r="AL73" s="456"/>
      <c r="AM73" s="456"/>
      <c r="AN73" s="456"/>
      <c r="AO73" s="456"/>
      <c r="AP73" s="456"/>
      <c r="AQ73" s="456"/>
      <c r="AR73" s="456"/>
      <c r="AS73" s="456"/>
      <c r="AT73" s="456"/>
      <c r="AU73" s="456"/>
      <c r="AV73" s="456"/>
      <c r="AW73" s="456"/>
      <c r="AX73" s="456"/>
      <c r="AY73" s="456"/>
      <c r="AZ73" s="456"/>
      <c r="BA73" s="456"/>
      <c r="BB73" s="456"/>
      <c r="BC73" s="456"/>
      <c r="BD73" s="456"/>
      <c r="BE73" s="456"/>
      <c r="BF73" s="456"/>
      <c r="BG73" s="456"/>
      <c r="BH73" s="456"/>
      <c r="BI73" s="456"/>
      <c r="BJ73" s="456"/>
      <c r="BK73" s="456"/>
      <c r="BL73" s="456"/>
      <c r="BM73" s="456"/>
      <c r="BN73" s="456"/>
      <c r="BO73" s="456"/>
      <c r="BP73" s="456"/>
      <c r="BQ73" s="456"/>
      <c r="BR73" s="456"/>
      <c r="BS73" s="456"/>
      <c r="BT73" s="456"/>
      <c r="BU73" s="456"/>
      <c r="BV73" s="456"/>
      <c r="BW73" s="456"/>
      <c r="BX73" s="456"/>
      <c r="BY73" s="456"/>
      <c r="BZ73" s="456"/>
      <c r="CA73" s="456"/>
      <c r="CB73" s="456"/>
      <c r="CC73" s="456"/>
      <c r="CD73" s="456"/>
      <c r="CE73" s="456"/>
      <c r="CF73" s="456"/>
      <c r="CG73" s="456"/>
      <c r="CH73" s="456"/>
      <c r="CI73" s="456"/>
      <c r="CJ73" s="456"/>
      <c r="CK73" s="456"/>
      <c r="CL73" s="456"/>
      <c r="CM73" s="456"/>
      <c r="CN73" s="456"/>
      <c r="CO73" s="456"/>
      <c r="CP73" s="456"/>
      <c r="CQ73" s="456"/>
      <c r="CR73" s="456"/>
      <c r="CS73" s="456"/>
      <c r="CT73" s="456"/>
      <c r="CU73" s="456"/>
      <c r="CV73" s="456"/>
      <c r="CW73" s="456"/>
      <c r="CX73" s="456"/>
      <c r="CY73" s="456"/>
      <c r="CZ73" s="456"/>
      <c r="DA73" s="456"/>
      <c r="DB73" s="456"/>
      <c r="DC73" s="456"/>
      <c r="DD73" s="456"/>
      <c r="DE73" s="456"/>
      <c r="DF73" s="456"/>
      <c r="DG73" s="456"/>
      <c r="DH73" s="456"/>
      <c r="DI73" s="456"/>
      <c r="DJ73" s="456"/>
      <c r="DK73" s="456"/>
      <c r="DL73" s="456"/>
      <c r="DM73" s="456"/>
      <c r="DN73" s="456"/>
      <c r="DO73" s="456"/>
      <c r="DP73" s="456"/>
      <c r="DQ73" s="456"/>
      <c r="DR73" s="456"/>
      <c r="DS73" s="456"/>
      <c r="DT73" s="456"/>
      <c r="DU73" s="456"/>
      <c r="DV73" s="456"/>
      <c r="DW73" s="456"/>
      <c r="DX73" s="456"/>
      <c r="DY73" s="456"/>
      <c r="DZ73" s="456"/>
      <c r="EA73" s="456"/>
      <c r="EB73" s="456"/>
      <c r="EC73" s="456"/>
      <c r="ED73" s="456"/>
      <c r="EE73" s="456"/>
      <c r="EF73" s="456"/>
      <c r="EG73" s="456"/>
      <c r="EH73" s="456"/>
      <c r="EI73" s="456"/>
      <c r="EJ73" s="456"/>
      <c r="EK73" s="456"/>
      <c r="EL73" s="456"/>
      <c r="EM73" s="456"/>
      <c r="EN73" s="456"/>
      <c r="EO73" s="456"/>
      <c r="EP73" s="456"/>
      <c r="EQ73" s="456"/>
      <c r="ER73" s="456"/>
      <c r="ES73" s="456"/>
      <c r="ET73" s="456"/>
      <c r="EU73" s="456"/>
      <c r="EV73" s="456"/>
      <c r="EW73" s="456"/>
      <c r="EX73" s="456"/>
      <c r="EY73" s="456"/>
      <c r="EZ73" s="456"/>
      <c r="FA73" s="456"/>
      <c r="FB73" s="456"/>
      <c r="FC73" s="456"/>
      <c r="FD73" s="456"/>
      <c r="FE73" s="456"/>
      <c r="FF73" s="456"/>
      <c r="FG73" s="456"/>
      <c r="FH73" s="456"/>
      <c r="FI73" s="456"/>
      <c r="FJ73" s="456"/>
      <c r="FK73" s="456"/>
      <c r="FL73" s="456"/>
      <c r="FM73" s="456"/>
      <c r="FN73" s="456"/>
      <c r="FO73" s="456"/>
      <c r="FP73" s="456"/>
      <c r="FQ73" s="456"/>
      <c r="FR73" s="456"/>
      <c r="FS73" s="456"/>
      <c r="FT73" s="456"/>
      <c r="FU73" s="456"/>
      <c r="FV73" s="456"/>
      <c r="FW73" s="456"/>
      <c r="FX73" s="456"/>
      <c r="FY73" s="456"/>
      <c r="FZ73" s="456"/>
      <c r="GA73" s="456"/>
      <c r="GB73" s="456"/>
      <c r="GC73" s="456"/>
      <c r="GD73" s="456"/>
      <c r="GE73" s="456"/>
      <c r="GF73" s="456"/>
      <c r="GG73" s="456"/>
      <c r="GH73" s="456"/>
      <c r="GI73" s="456"/>
      <c r="GJ73" s="456"/>
      <c r="GK73" s="456"/>
      <c r="GL73" s="456"/>
      <c r="GM73" s="456"/>
      <c r="GN73" s="456"/>
      <c r="GO73" s="456"/>
      <c r="GP73" s="456"/>
      <c r="GQ73" s="456"/>
      <c r="GR73" s="456"/>
      <c r="GS73" s="456"/>
      <c r="GT73" s="456"/>
      <c r="GU73" s="456"/>
      <c r="GV73" s="456"/>
      <c r="GW73" s="456"/>
      <c r="GX73" s="456"/>
      <c r="GY73" s="456"/>
      <c r="GZ73" s="456"/>
      <c r="HA73" s="456"/>
      <c r="HB73" s="456"/>
      <c r="HC73" s="456"/>
      <c r="HD73" s="456"/>
      <c r="HE73" s="456"/>
      <c r="HF73" s="456"/>
      <c r="HG73" s="456"/>
      <c r="HH73" s="456"/>
      <c r="HI73" s="456"/>
      <c r="HJ73" s="456"/>
      <c r="HK73" s="456"/>
      <c r="HL73" s="456"/>
      <c r="HM73" s="456"/>
      <c r="HN73" s="456"/>
      <c r="HO73" s="456"/>
      <c r="HP73" s="456"/>
      <c r="HQ73" s="456"/>
      <c r="HR73" s="456"/>
      <c r="HS73" s="456"/>
      <c r="HT73" s="456"/>
      <c r="HU73" s="456"/>
      <c r="HV73" s="456"/>
      <c r="HW73" s="456"/>
      <c r="HX73" s="456"/>
      <c r="HY73" s="456"/>
      <c r="HZ73" s="456"/>
      <c r="IA73" s="456"/>
      <c r="IB73" s="456"/>
      <c r="IC73" s="456"/>
      <c r="ID73" s="456"/>
      <c r="IE73" s="456"/>
      <c r="IF73" s="456"/>
      <c r="IG73" s="456"/>
      <c r="IH73" s="456"/>
      <c r="II73" s="456"/>
      <c r="IJ73" s="456"/>
      <c r="IK73" s="456"/>
      <c r="IL73" s="456"/>
      <c r="IM73" s="456"/>
      <c r="IN73" s="456"/>
      <c r="IO73" s="456"/>
      <c r="IP73" s="456"/>
      <c r="IQ73" s="456"/>
      <c r="IR73" s="456"/>
      <c r="IS73" s="456"/>
      <c r="IT73" s="456"/>
      <c r="IU73" s="456"/>
      <c r="IV73" s="456"/>
      <c r="IW73" s="456"/>
      <c r="IX73" s="456"/>
      <c r="IY73" s="456"/>
      <c r="IZ73" s="456"/>
      <c r="JA73" s="456"/>
      <c r="JB73" s="456"/>
      <c r="JC73" s="456"/>
      <c r="JD73" s="456"/>
      <c r="JE73" s="456"/>
      <c r="JF73" s="456"/>
      <c r="JG73" s="456"/>
      <c r="JH73" s="456"/>
      <c r="JI73" s="456"/>
      <c r="JJ73" s="456"/>
      <c r="JK73" s="456"/>
      <c r="JL73" s="456"/>
      <c r="JM73" s="456"/>
      <c r="JN73" s="456"/>
      <c r="JO73" s="456"/>
      <c r="JP73" s="456"/>
      <c r="JQ73" s="456"/>
      <c r="JR73" s="456"/>
      <c r="JS73" s="456"/>
      <c r="JT73" s="456"/>
      <c r="JU73" s="456"/>
      <c r="JV73" s="456"/>
      <c r="JW73" s="456"/>
      <c r="JX73" s="456"/>
      <c r="JY73" s="456"/>
      <c r="JZ73" s="456"/>
      <c r="KA73" s="456"/>
      <c r="KB73" s="456"/>
      <c r="KC73" s="456"/>
      <c r="KD73" s="456"/>
      <c r="KE73" s="456"/>
      <c r="KF73" s="456"/>
      <c r="KG73" s="456"/>
      <c r="KH73" s="456"/>
      <c r="KI73" s="456"/>
      <c r="KJ73" s="456"/>
      <c r="KK73" s="456"/>
      <c r="KL73" s="456"/>
      <c r="KM73" s="456"/>
      <c r="KN73" s="456"/>
      <c r="KO73" s="456"/>
      <c r="KP73" s="456"/>
      <c r="KQ73" s="456"/>
      <c r="KR73" s="456"/>
      <c r="KS73" s="456"/>
      <c r="KT73" s="456"/>
      <c r="KU73" s="456"/>
      <c r="KV73" s="456"/>
      <c r="KW73" s="456"/>
      <c r="KX73" s="456"/>
      <c r="KY73" s="456"/>
      <c r="KZ73" s="456"/>
      <c r="LA73" s="456"/>
      <c r="LB73" s="456"/>
      <c r="LC73" s="456"/>
      <c r="LD73" s="456"/>
      <c r="LE73" s="456"/>
      <c r="LF73" s="456"/>
      <c r="LG73" s="456"/>
      <c r="LH73" s="456"/>
      <c r="LI73" s="456"/>
      <c r="LJ73" s="456"/>
      <c r="LK73" s="456"/>
      <c r="LL73" s="456"/>
      <c r="LM73" s="456"/>
      <c r="LN73" s="456"/>
      <c r="LO73" s="456"/>
      <c r="LP73" s="456"/>
      <c r="LQ73" s="456"/>
      <c r="LR73" s="456"/>
      <c r="LS73" s="456"/>
      <c r="LT73" s="456"/>
      <c r="LU73" s="456"/>
      <c r="LV73" s="456"/>
      <c r="LW73" s="456"/>
      <c r="LX73" s="456"/>
      <c r="LY73" s="456"/>
      <c r="LZ73" s="456"/>
      <c r="MA73" s="456"/>
      <c r="MB73" s="456"/>
      <c r="MC73" s="456"/>
      <c r="MD73" s="456"/>
      <c r="ME73" s="456"/>
      <c r="MF73" s="456"/>
      <c r="MG73" s="456"/>
      <c r="MH73" s="456"/>
      <c r="MI73" s="456"/>
      <c r="MJ73" s="456"/>
      <c r="MK73" s="456"/>
      <c r="ML73" s="456"/>
      <c r="MM73" s="456"/>
      <c r="MN73" s="456"/>
      <c r="MO73" s="456"/>
      <c r="MP73" s="456"/>
      <c r="MQ73" s="456"/>
      <c r="MR73" s="456"/>
      <c r="MS73" s="456"/>
      <c r="MT73" s="456"/>
      <c r="MU73" s="456"/>
      <c r="MV73" s="456"/>
      <c r="MW73" s="456"/>
      <c r="MX73" s="456"/>
      <c r="MY73" s="456"/>
      <c r="MZ73" s="456"/>
      <c r="NA73" s="456"/>
      <c r="NB73" s="456"/>
      <c r="NC73" s="456"/>
      <c r="ND73" s="456"/>
      <c r="NE73" s="456"/>
      <c r="NF73" s="456"/>
      <c r="NG73" s="456"/>
      <c r="NH73" s="456"/>
      <c r="NI73" s="456"/>
      <c r="NJ73" s="456"/>
      <c r="NK73" s="456"/>
      <c r="NL73" s="456"/>
      <c r="NM73" s="456"/>
      <c r="NN73" s="456"/>
      <c r="NO73" s="456"/>
      <c r="NP73" s="456"/>
      <c r="NQ73" s="456"/>
      <c r="NR73" s="456"/>
      <c r="NS73" s="456"/>
      <c r="NT73" s="456"/>
      <c r="NU73" s="456"/>
      <c r="NV73" s="456"/>
      <c r="NW73" s="456"/>
      <c r="NX73" s="456"/>
      <c r="NY73" s="456"/>
      <c r="NZ73" s="456"/>
      <c r="OA73" s="456"/>
      <c r="OB73" s="456"/>
      <c r="OC73" s="456"/>
      <c r="OD73" s="456"/>
      <c r="OE73" s="456"/>
      <c r="OF73" s="456"/>
      <c r="OG73" s="456"/>
      <c r="OH73" s="456"/>
      <c r="OI73" s="456"/>
      <c r="OJ73" s="456"/>
      <c r="OK73" s="456"/>
      <c r="OL73" s="456"/>
      <c r="OM73" s="456"/>
      <c r="ON73" s="456"/>
      <c r="OO73" s="456"/>
      <c r="OP73" s="456"/>
      <c r="OQ73" s="456"/>
      <c r="OR73" s="456"/>
      <c r="OS73" s="456"/>
      <c r="OT73" s="456"/>
      <c r="OU73" s="456"/>
      <c r="OV73" s="456"/>
      <c r="OW73" s="456"/>
      <c r="OX73" s="456"/>
      <c r="OY73" s="456"/>
      <c r="OZ73" s="456"/>
      <c r="PA73" s="456"/>
      <c r="PB73" s="456"/>
      <c r="PC73" s="456"/>
      <c r="PD73" s="456"/>
      <c r="PE73" s="456"/>
      <c r="PF73" s="456"/>
      <c r="PG73" s="456"/>
      <c r="PH73" s="456"/>
      <c r="PI73" s="456"/>
      <c r="PJ73" s="456"/>
      <c r="PK73" s="456"/>
      <c r="PL73" s="456"/>
      <c r="PM73" s="456"/>
      <c r="PN73" s="456"/>
      <c r="PO73" s="456"/>
      <c r="PP73" s="456"/>
      <c r="PQ73" s="456"/>
      <c r="PR73" s="456"/>
      <c r="PS73" s="456"/>
      <c r="PT73" s="456"/>
      <c r="PU73" s="456"/>
      <c r="PV73" s="456"/>
      <c r="PW73" s="456"/>
      <c r="PX73" s="456"/>
      <c r="PY73" s="456"/>
      <c r="PZ73" s="456"/>
      <c r="QA73" s="456"/>
      <c r="QB73" s="456"/>
      <c r="QC73" s="456"/>
      <c r="QD73" s="456"/>
      <c r="QE73" s="456"/>
      <c r="QF73" s="456"/>
      <c r="QG73" s="456"/>
      <c r="QH73" s="456"/>
      <c r="QI73" s="456"/>
      <c r="QJ73" s="456"/>
      <c r="QK73" s="456"/>
      <c r="QL73" s="456"/>
      <c r="QM73" s="456"/>
      <c r="QN73" s="456"/>
      <c r="QO73" s="456"/>
      <c r="QP73" s="456"/>
      <c r="QQ73" s="456"/>
      <c r="QR73" s="456"/>
      <c r="QS73" s="456"/>
      <c r="QT73" s="456"/>
      <c r="QU73" s="456"/>
      <c r="QV73" s="456"/>
      <c r="QW73" s="456"/>
      <c r="QX73" s="456"/>
      <c r="QY73" s="456"/>
      <c r="QZ73" s="456"/>
      <c r="RA73" s="456"/>
      <c r="RB73" s="456"/>
      <c r="RC73" s="456"/>
      <c r="RD73" s="456"/>
      <c r="RE73" s="456"/>
      <c r="RF73" s="456"/>
      <c r="RG73" s="456"/>
      <c r="RH73" s="456"/>
      <c r="RI73" s="456"/>
      <c r="RJ73" s="456"/>
      <c r="RK73" s="456"/>
      <c r="RL73" s="456"/>
      <c r="RM73" s="456"/>
      <c r="RN73" s="456"/>
      <c r="RO73" s="456"/>
      <c r="RP73" s="456"/>
      <c r="RQ73" s="456"/>
      <c r="RR73" s="456"/>
      <c r="RS73" s="456"/>
      <c r="RT73" s="456"/>
      <c r="RU73" s="456"/>
      <c r="RV73" s="456"/>
      <c r="RW73" s="456"/>
      <c r="RX73" s="456"/>
      <c r="RY73" s="456"/>
      <c r="RZ73" s="456"/>
      <c r="SA73" s="456"/>
      <c r="SB73" s="456"/>
      <c r="SC73" s="456"/>
      <c r="SD73" s="456"/>
      <c r="SE73" s="456"/>
      <c r="SF73" s="456"/>
      <c r="SG73" s="456"/>
      <c r="SH73" s="456"/>
      <c r="SI73" s="456"/>
      <c r="SJ73" s="456"/>
      <c r="SK73" s="456"/>
      <c r="SL73" s="456"/>
      <c r="SM73" s="456"/>
      <c r="SN73" s="456"/>
      <c r="SO73" s="456"/>
      <c r="SP73" s="456"/>
      <c r="SQ73" s="456"/>
      <c r="SR73" s="456"/>
      <c r="SS73" s="456"/>
      <c r="ST73" s="456"/>
      <c r="SU73" s="456"/>
      <c r="SV73" s="456"/>
      <c r="SW73" s="456"/>
      <c r="SX73" s="456"/>
      <c r="SY73" s="456"/>
      <c r="SZ73" s="456"/>
      <c r="TA73" s="456"/>
      <c r="TB73" s="456"/>
      <c r="TC73" s="456"/>
      <c r="TD73" s="456"/>
      <c r="TE73" s="456"/>
      <c r="TF73" s="456"/>
      <c r="TG73" s="456"/>
      <c r="TH73" s="456"/>
      <c r="TI73" s="456"/>
      <c r="TJ73" s="456"/>
      <c r="TK73" s="456"/>
      <c r="TL73" s="456"/>
      <c r="TM73" s="456"/>
      <c r="TN73" s="456"/>
      <c r="TO73" s="456"/>
      <c r="TP73" s="456"/>
      <c r="TQ73" s="456"/>
      <c r="TR73" s="456"/>
      <c r="TS73" s="456"/>
      <c r="TT73" s="456"/>
      <c r="TU73" s="456"/>
      <c r="TV73" s="456"/>
      <c r="TW73" s="456"/>
      <c r="TX73" s="456"/>
      <c r="TY73" s="456"/>
      <c r="TZ73" s="456"/>
      <c r="UA73" s="456"/>
      <c r="UB73" s="456"/>
      <c r="UC73" s="456"/>
      <c r="UD73" s="456"/>
      <c r="UE73" s="456"/>
      <c r="UF73" s="456"/>
      <c r="UG73" s="456"/>
      <c r="UH73" s="456"/>
      <c r="UI73" s="456"/>
      <c r="UJ73" s="456"/>
      <c r="UK73" s="456"/>
      <c r="UL73" s="456"/>
      <c r="UM73" s="456"/>
      <c r="UN73" s="456"/>
      <c r="UO73" s="456"/>
      <c r="UP73" s="456"/>
      <c r="UQ73" s="456"/>
      <c r="UR73" s="456"/>
      <c r="US73" s="456"/>
      <c r="UT73" s="456"/>
      <c r="UU73" s="456"/>
      <c r="UV73" s="456"/>
      <c r="UW73" s="456"/>
      <c r="UX73" s="456"/>
      <c r="UY73" s="456"/>
      <c r="UZ73" s="456"/>
      <c r="VA73" s="456"/>
      <c r="VB73" s="456"/>
      <c r="VC73" s="456"/>
      <c r="VD73" s="456"/>
      <c r="VE73" s="456"/>
      <c r="VF73" s="456"/>
      <c r="VG73" s="456"/>
      <c r="VH73" s="456"/>
      <c r="VI73" s="456"/>
      <c r="VJ73" s="456"/>
      <c r="VK73" s="456"/>
      <c r="VL73" s="456"/>
      <c r="VM73" s="456"/>
      <c r="VN73" s="456"/>
      <c r="VO73" s="456"/>
      <c r="VP73" s="456"/>
      <c r="VQ73" s="456"/>
      <c r="VR73" s="456"/>
      <c r="VS73" s="456"/>
      <c r="VT73" s="456"/>
      <c r="VU73" s="456"/>
      <c r="VV73" s="456"/>
      <c r="VW73" s="456"/>
      <c r="VX73" s="456"/>
      <c r="VY73" s="456"/>
      <c r="VZ73" s="456"/>
      <c r="WA73" s="456"/>
      <c r="WB73" s="456"/>
      <c r="WC73" s="456"/>
      <c r="WD73" s="456"/>
      <c r="WE73" s="456"/>
      <c r="WF73" s="456"/>
      <c r="WG73" s="456"/>
      <c r="WH73" s="456"/>
      <c r="WI73" s="456"/>
      <c r="WJ73" s="456"/>
      <c r="WK73" s="456"/>
      <c r="WL73" s="456"/>
      <c r="WM73" s="456"/>
      <c r="WN73" s="456"/>
      <c r="WO73" s="456"/>
      <c r="WP73" s="456"/>
      <c r="WQ73" s="456"/>
      <c r="WR73" s="456"/>
      <c r="WS73" s="456"/>
      <c r="WT73" s="456"/>
      <c r="WU73" s="456"/>
      <c r="WV73" s="456"/>
      <c r="WW73" s="456"/>
      <c r="WX73" s="456"/>
      <c r="WY73" s="456"/>
      <c r="WZ73" s="456"/>
      <c r="XA73" s="456"/>
      <c r="XB73" s="456"/>
      <c r="XC73" s="456"/>
      <c r="XD73" s="456"/>
      <c r="XE73" s="456"/>
      <c r="XF73" s="456"/>
      <c r="XG73" s="456"/>
      <c r="XH73" s="456"/>
      <c r="XI73" s="456"/>
      <c r="XJ73" s="456"/>
      <c r="XK73" s="456"/>
      <c r="XL73" s="456"/>
      <c r="XM73" s="456"/>
      <c r="XN73" s="456"/>
      <c r="XO73" s="456"/>
      <c r="XP73" s="456"/>
      <c r="XQ73" s="456"/>
      <c r="XR73" s="456"/>
      <c r="XS73" s="456"/>
      <c r="XT73" s="456"/>
      <c r="XU73" s="456"/>
      <c r="XV73" s="456"/>
      <c r="XW73" s="456"/>
      <c r="XX73" s="456"/>
      <c r="XY73" s="456"/>
      <c r="XZ73" s="456"/>
      <c r="YA73" s="456"/>
      <c r="YB73" s="456"/>
      <c r="YC73" s="456"/>
      <c r="YD73" s="456"/>
      <c r="YE73" s="456"/>
      <c r="YF73" s="456"/>
      <c r="YG73" s="456"/>
      <c r="YH73" s="456"/>
      <c r="YI73" s="456"/>
      <c r="YJ73" s="456"/>
      <c r="YK73" s="456"/>
      <c r="YL73" s="456"/>
      <c r="YM73" s="456"/>
      <c r="YN73" s="456"/>
      <c r="YO73" s="456"/>
      <c r="YP73" s="456"/>
      <c r="YQ73" s="456"/>
      <c r="YR73" s="456"/>
      <c r="YS73" s="456"/>
      <c r="YT73" s="456"/>
      <c r="YU73" s="456"/>
      <c r="YV73" s="456"/>
      <c r="YW73" s="456"/>
      <c r="YX73" s="456"/>
      <c r="YY73" s="456"/>
      <c r="YZ73" s="456"/>
      <c r="ZA73" s="456"/>
      <c r="ZB73" s="456"/>
      <c r="ZC73" s="456"/>
      <c r="ZD73" s="456"/>
      <c r="ZE73" s="456"/>
      <c r="ZF73" s="456"/>
      <c r="ZG73" s="456"/>
      <c r="ZH73" s="456"/>
      <c r="ZI73" s="456"/>
      <c r="ZJ73" s="456"/>
      <c r="ZK73" s="456"/>
      <c r="ZL73" s="456"/>
      <c r="ZM73" s="456"/>
      <c r="ZN73" s="456"/>
      <c r="ZO73" s="456"/>
      <c r="ZP73" s="456"/>
      <c r="ZQ73" s="456"/>
      <c r="ZR73" s="456"/>
      <c r="ZS73" s="456"/>
      <c r="ZT73" s="456"/>
      <c r="ZU73" s="456"/>
      <c r="ZV73" s="456"/>
      <c r="ZW73" s="456"/>
      <c r="ZX73" s="456"/>
      <c r="ZY73" s="456"/>
      <c r="ZZ73" s="456"/>
      <c r="AAA73" s="456"/>
      <c r="AAB73" s="456"/>
      <c r="AAC73" s="456"/>
      <c r="AAD73" s="456"/>
      <c r="AAE73" s="456"/>
      <c r="AAF73" s="456"/>
      <c r="AAG73" s="456"/>
      <c r="AAH73" s="456"/>
      <c r="AAI73" s="456"/>
      <c r="AAJ73" s="456"/>
      <c r="AAK73" s="456"/>
      <c r="AAL73" s="456"/>
      <c r="AAM73" s="456"/>
      <c r="AAN73" s="456"/>
      <c r="AAO73" s="456"/>
      <c r="AAP73" s="456"/>
      <c r="AAQ73" s="456"/>
      <c r="AAR73" s="456"/>
      <c r="AAS73" s="456"/>
      <c r="AAT73" s="456"/>
      <c r="AAU73" s="456"/>
      <c r="AAV73" s="456"/>
      <c r="AAW73" s="456"/>
      <c r="AAX73" s="456"/>
      <c r="AAY73" s="456"/>
      <c r="AAZ73" s="456"/>
      <c r="ABA73" s="456"/>
      <c r="ABB73" s="456"/>
      <c r="ABC73" s="456"/>
      <c r="ABD73" s="456"/>
      <c r="ABE73" s="456"/>
      <c r="ABF73" s="456"/>
      <c r="ABG73" s="456"/>
      <c r="ABH73" s="456"/>
      <c r="ABI73" s="456"/>
      <c r="ABJ73" s="456"/>
      <c r="ABK73" s="456"/>
      <c r="ABL73" s="456"/>
      <c r="ABM73" s="456"/>
      <c r="ABN73" s="456"/>
      <c r="ABO73" s="456"/>
      <c r="ABP73" s="456"/>
      <c r="ABQ73" s="456"/>
      <c r="ABR73" s="456"/>
      <c r="ABS73" s="456"/>
      <c r="ABT73" s="456"/>
      <c r="ABU73" s="456"/>
      <c r="ABV73" s="456"/>
      <c r="ABW73" s="456"/>
      <c r="ABX73" s="456"/>
      <c r="ABY73" s="456"/>
      <c r="ABZ73" s="456"/>
      <c r="ACA73" s="456"/>
      <c r="ACB73" s="456"/>
      <c r="ACC73" s="456"/>
      <c r="ACD73" s="456"/>
      <c r="ACE73" s="456"/>
      <c r="ACF73" s="456"/>
      <c r="ACG73" s="456"/>
      <c r="ACH73" s="456"/>
      <c r="ACI73" s="456"/>
      <c r="ACJ73" s="456"/>
      <c r="ACK73" s="456"/>
      <c r="ACL73" s="456"/>
      <c r="ACM73" s="456"/>
      <c r="ACN73" s="456"/>
      <c r="ACO73" s="456"/>
      <c r="ACP73" s="456"/>
      <c r="ACQ73" s="456"/>
      <c r="ACR73" s="456"/>
      <c r="ACS73" s="456"/>
      <c r="ACT73" s="456"/>
      <c r="ACU73" s="456"/>
      <c r="ACV73" s="456"/>
      <c r="ACW73" s="456"/>
      <c r="ACX73" s="456"/>
      <c r="ACY73" s="456"/>
      <c r="ACZ73" s="456"/>
      <c r="ADA73" s="456"/>
      <c r="ADB73" s="456"/>
      <c r="ADC73" s="456"/>
      <c r="ADD73" s="456"/>
      <c r="ADE73" s="456"/>
      <c r="ADF73" s="456"/>
      <c r="ADG73" s="456"/>
      <c r="ADH73" s="456"/>
      <c r="ADI73" s="456"/>
      <c r="ADJ73" s="456"/>
      <c r="ADK73" s="456"/>
      <c r="ADL73" s="456"/>
      <c r="ADM73" s="456"/>
      <c r="ADN73" s="456"/>
      <c r="ADO73" s="456"/>
      <c r="ADP73" s="456"/>
      <c r="ADQ73" s="456"/>
      <c r="ADR73" s="456"/>
      <c r="ADS73" s="456"/>
      <c r="ADT73" s="456"/>
      <c r="ADU73" s="456"/>
      <c r="ADV73" s="456"/>
      <c r="ADW73" s="456"/>
      <c r="ADX73" s="456"/>
      <c r="ADY73" s="456"/>
      <c r="ADZ73" s="456"/>
      <c r="AEA73" s="456"/>
      <c r="AEB73" s="456"/>
      <c r="AEC73" s="456"/>
      <c r="AED73" s="456"/>
      <c r="AEE73" s="456"/>
      <c r="AEF73" s="456"/>
      <c r="AEG73" s="456"/>
      <c r="AEH73" s="456"/>
      <c r="AEI73" s="456"/>
      <c r="AEJ73" s="456"/>
      <c r="AEK73" s="456"/>
      <c r="AEL73" s="456"/>
      <c r="AEM73" s="456"/>
      <c r="AEN73" s="456"/>
      <c r="AEO73" s="456"/>
      <c r="AEP73" s="456"/>
      <c r="AEQ73" s="456"/>
      <c r="AER73" s="456"/>
      <c r="AES73" s="456"/>
      <c r="AET73" s="456"/>
      <c r="AEU73" s="456"/>
      <c r="AEV73" s="456"/>
      <c r="AEW73" s="456"/>
      <c r="AEX73" s="456"/>
      <c r="AEY73" s="456"/>
      <c r="AEZ73" s="456"/>
      <c r="AFA73" s="456"/>
      <c r="AFB73" s="456"/>
      <c r="AFC73" s="456"/>
      <c r="AFD73" s="456"/>
      <c r="AFE73" s="456"/>
      <c r="AFF73" s="456"/>
      <c r="AFG73" s="456"/>
      <c r="AFH73" s="456"/>
      <c r="AFI73" s="456"/>
      <c r="AFJ73" s="456"/>
      <c r="AFK73" s="456"/>
      <c r="AFL73" s="456"/>
      <c r="AFM73" s="456"/>
      <c r="AFN73" s="456"/>
      <c r="AFO73" s="456"/>
      <c r="AFP73" s="456"/>
      <c r="AFQ73" s="456"/>
      <c r="AFR73" s="456"/>
      <c r="AFS73" s="456"/>
      <c r="AFT73" s="456"/>
      <c r="AFU73" s="456"/>
      <c r="AFV73" s="456"/>
      <c r="AFW73" s="456"/>
      <c r="AFX73" s="456"/>
      <c r="AFY73" s="456"/>
      <c r="AFZ73" s="456"/>
      <c r="AGA73" s="456"/>
      <c r="AGB73" s="456"/>
      <c r="AGC73" s="456"/>
      <c r="AGD73" s="456"/>
      <c r="AGE73" s="456"/>
      <c r="AGF73" s="456"/>
      <c r="AGG73" s="456"/>
      <c r="AGH73" s="456"/>
      <c r="AGI73" s="456"/>
      <c r="AGJ73" s="456"/>
      <c r="AGK73" s="456"/>
      <c r="AGL73" s="456"/>
      <c r="AGM73" s="456"/>
      <c r="AGN73" s="456"/>
      <c r="AGO73" s="456"/>
      <c r="AGP73" s="456"/>
      <c r="AGQ73" s="456"/>
      <c r="AGR73" s="456"/>
      <c r="AGS73" s="456"/>
      <c r="AGT73" s="456"/>
      <c r="AGU73" s="456"/>
      <c r="AGV73" s="456"/>
      <c r="AGW73" s="456"/>
      <c r="AGX73" s="456"/>
      <c r="AGY73" s="456"/>
      <c r="AGZ73" s="456"/>
      <c r="AHA73" s="456"/>
      <c r="AHB73" s="456"/>
      <c r="AHC73" s="456"/>
      <c r="AHD73" s="456"/>
      <c r="AHE73" s="456"/>
      <c r="AHF73" s="456"/>
      <c r="AHG73" s="456"/>
      <c r="AHH73" s="456"/>
      <c r="AHI73" s="456"/>
      <c r="AHJ73" s="456"/>
      <c r="AHK73" s="456"/>
      <c r="AHL73" s="456"/>
      <c r="AHM73" s="456"/>
      <c r="AHN73" s="456"/>
      <c r="AHO73" s="456"/>
      <c r="AHP73" s="456"/>
      <c r="AHQ73" s="456"/>
      <c r="AHR73" s="456"/>
      <c r="AHS73" s="456"/>
      <c r="AHT73" s="456"/>
      <c r="AHU73" s="456"/>
      <c r="AHV73" s="456"/>
      <c r="AHW73" s="456"/>
      <c r="AHX73" s="456"/>
      <c r="AHY73" s="456"/>
      <c r="AHZ73" s="456"/>
      <c r="AIA73" s="456"/>
      <c r="AIB73" s="456"/>
      <c r="AIC73" s="456"/>
      <c r="AID73" s="456"/>
      <c r="AIE73" s="456"/>
      <c r="AIF73" s="456"/>
      <c r="AIG73" s="456"/>
      <c r="AIH73" s="456"/>
      <c r="AII73" s="456"/>
      <c r="AIJ73" s="456"/>
      <c r="AIK73" s="456"/>
      <c r="AIL73" s="456"/>
      <c r="AIM73" s="456"/>
      <c r="AIN73" s="456"/>
      <c r="AIO73" s="456"/>
      <c r="AIP73" s="456"/>
      <c r="AIQ73" s="456"/>
      <c r="AIR73" s="456"/>
      <c r="AIS73" s="456"/>
      <c r="AIT73" s="456"/>
      <c r="AIU73" s="456"/>
      <c r="AIV73" s="456"/>
      <c r="AIW73" s="456"/>
      <c r="AIX73" s="456"/>
      <c r="AIY73" s="456"/>
      <c r="AIZ73" s="456"/>
      <c r="AJA73" s="456"/>
      <c r="AJB73" s="456"/>
      <c r="AJC73" s="456"/>
      <c r="AJD73" s="456"/>
      <c r="AJE73" s="456"/>
      <c r="AJF73" s="456"/>
      <c r="AJG73" s="456"/>
      <c r="AJH73" s="456"/>
      <c r="AJI73" s="456"/>
      <c r="AJJ73" s="456"/>
      <c r="AJK73" s="456"/>
      <c r="AJL73" s="456"/>
      <c r="AJM73" s="456"/>
      <c r="AJN73" s="456"/>
      <c r="AJO73" s="456"/>
      <c r="AJP73" s="456"/>
      <c r="AJQ73" s="456"/>
      <c r="AJR73" s="456"/>
      <c r="AJS73" s="456"/>
      <c r="AJT73" s="456"/>
      <c r="AJU73" s="456"/>
      <c r="AJV73" s="456"/>
      <c r="AJW73" s="456"/>
      <c r="AJX73" s="456"/>
      <c r="AJY73" s="456"/>
      <c r="AJZ73" s="456"/>
      <c r="AKA73" s="456"/>
      <c r="AKB73" s="456"/>
      <c r="AKC73" s="456"/>
      <c r="AKD73" s="456"/>
      <c r="AKE73" s="456"/>
      <c r="AKF73" s="456"/>
      <c r="AKG73" s="456"/>
      <c r="AKH73" s="456"/>
      <c r="AKI73" s="456"/>
      <c r="AKJ73" s="456"/>
      <c r="AKK73" s="456"/>
      <c r="AKL73" s="456"/>
      <c r="AKM73" s="456"/>
      <c r="AKN73" s="456"/>
      <c r="AKO73" s="456"/>
      <c r="AKP73" s="456"/>
      <c r="AKQ73" s="456"/>
      <c r="AKR73" s="456"/>
      <c r="AKS73" s="456"/>
      <c r="AKT73" s="456"/>
      <c r="AKU73" s="456"/>
      <c r="AKV73" s="456"/>
      <c r="AKW73" s="456"/>
      <c r="AKX73" s="456"/>
      <c r="AKY73" s="456"/>
      <c r="AKZ73" s="456"/>
      <c r="ALA73" s="456"/>
      <c r="ALB73" s="456"/>
      <c r="ALC73" s="456"/>
      <c r="ALD73" s="456"/>
      <c r="ALE73" s="456"/>
      <c r="ALF73" s="456"/>
      <c r="ALG73" s="456"/>
      <c r="ALH73" s="456"/>
      <c r="ALI73" s="456"/>
      <c r="ALJ73" s="456"/>
      <c r="ALK73" s="456"/>
      <c r="ALL73" s="456"/>
      <c r="ALM73" s="456"/>
      <c r="ALN73" s="456"/>
      <c r="ALO73" s="456"/>
      <c r="ALP73" s="456"/>
      <c r="ALQ73" s="456"/>
      <c r="ALR73" s="456"/>
      <c r="ALS73" s="456"/>
      <c r="ALT73" s="456"/>
      <c r="ALU73" s="456"/>
      <c r="ALV73" s="456"/>
      <c r="ALW73" s="456"/>
      <c r="ALX73" s="456"/>
      <c r="ALY73" s="456"/>
      <c r="ALZ73" s="456"/>
      <c r="AMA73" s="456"/>
      <c r="AMB73" s="456"/>
      <c r="AMC73" s="456"/>
      <c r="AMD73" s="456"/>
      <c r="AME73" s="456"/>
      <c r="AMF73" s="456"/>
      <c r="AMG73" s="456"/>
      <c r="AMH73" s="456"/>
      <c r="AMI73" s="456"/>
      <c r="AMJ73" s="456"/>
      <c r="AMK73" s="456"/>
      <c r="AML73" s="456"/>
      <c r="AMM73" s="456"/>
      <c r="AMN73" s="456"/>
      <c r="AMO73" s="456"/>
      <c r="AMP73" s="456"/>
      <c r="AMQ73" s="456"/>
      <c r="AMR73" s="456"/>
      <c r="AMS73" s="456"/>
      <c r="AMT73" s="456"/>
      <c r="AMU73" s="456"/>
      <c r="AMV73" s="456"/>
      <c r="AMW73" s="456"/>
      <c r="AMX73" s="456"/>
      <c r="AMY73" s="456"/>
      <c r="AMZ73" s="456"/>
      <c r="ANA73" s="456"/>
      <c r="ANB73" s="456"/>
      <c r="ANC73" s="456"/>
      <c r="AND73" s="456"/>
      <c r="ANE73" s="456"/>
      <c r="ANF73" s="456"/>
      <c r="ANG73" s="456"/>
      <c r="ANH73" s="456"/>
      <c r="ANI73" s="456"/>
      <c r="ANJ73" s="456"/>
      <c r="ANK73" s="456"/>
      <c r="ANL73" s="456"/>
      <c r="ANM73" s="456"/>
      <c r="ANN73" s="456"/>
      <c r="ANO73" s="456"/>
      <c r="ANP73" s="456"/>
      <c r="ANQ73" s="456"/>
      <c r="ANR73" s="456"/>
      <c r="ANS73" s="456"/>
      <c r="ANT73" s="456"/>
      <c r="ANU73" s="456"/>
      <c r="ANV73" s="456"/>
      <c r="ANW73" s="456"/>
      <c r="ANX73" s="456"/>
      <c r="ANY73" s="456"/>
      <c r="ANZ73" s="456"/>
      <c r="AOA73" s="456"/>
      <c r="AOB73" s="456"/>
      <c r="AOC73" s="456"/>
      <c r="AOD73" s="456"/>
      <c r="AOE73" s="456"/>
      <c r="AOF73" s="456"/>
      <c r="AOG73" s="456"/>
      <c r="AOH73" s="456"/>
      <c r="AOI73" s="456"/>
      <c r="AOJ73" s="456"/>
      <c r="AOK73" s="456"/>
      <c r="AOL73" s="456"/>
      <c r="AOM73" s="456"/>
      <c r="AON73" s="456"/>
      <c r="AOO73" s="456"/>
      <c r="AOP73" s="456"/>
      <c r="AOQ73" s="456"/>
      <c r="AOR73" s="456"/>
      <c r="AOS73" s="456"/>
      <c r="AOT73" s="456"/>
      <c r="AOU73" s="456"/>
      <c r="AOV73" s="456"/>
      <c r="AOW73" s="456"/>
      <c r="AOX73" s="456"/>
      <c r="AOY73" s="456"/>
      <c r="AOZ73" s="456"/>
      <c r="APA73" s="456"/>
      <c r="APB73" s="456"/>
      <c r="APC73" s="456"/>
      <c r="APD73" s="456"/>
      <c r="APE73" s="456"/>
      <c r="APF73" s="456"/>
      <c r="APG73" s="456"/>
      <c r="APH73" s="456"/>
      <c r="API73" s="456"/>
      <c r="APJ73" s="456"/>
      <c r="APK73" s="456"/>
      <c r="APL73" s="456"/>
      <c r="APM73" s="456"/>
      <c r="APN73" s="456"/>
      <c r="APO73" s="456"/>
      <c r="APP73" s="456"/>
      <c r="APQ73" s="456"/>
      <c r="APR73" s="456"/>
      <c r="APS73" s="456"/>
      <c r="APT73" s="456"/>
      <c r="APU73" s="456"/>
      <c r="APV73" s="456"/>
      <c r="APW73" s="456"/>
      <c r="APX73" s="456"/>
      <c r="APY73" s="456"/>
      <c r="APZ73" s="456"/>
      <c r="AQA73" s="456"/>
      <c r="AQB73" s="456"/>
      <c r="AQC73" s="456"/>
      <c r="AQD73" s="456"/>
      <c r="AQE73" s="456"/>
      <c r="AQF73" s="456"/>
      <c r="AQG73" s="456"/>
      <c r="AQH73" s="456"/>
      <c r="AQI73" s="456"/>
      <c r="AQJ73" s="456"/>
      <c r="AQK73" s="456"/>
      <c r="AQL73" s="456"/>
      <c r="AQM73" s="456"/>
      <c r="AQN73" s="456"/>
      <c r="AQO73" s="456"/>
      <c r="AQP73" s="456"/>
      <c r="AQQ73" s="456"/>
      <c r="AQR73" s="456"/>
      <c r="AQS73" s="456"/>
      <c r="AQT73" s="456"/>
      <c r="AQU73" s="456"/>
      <c r="AQV73" s="456"/>
      <c r="AQW73" s="456"/>
      <c r="AQX73" s="456"/>
      <c r="AQY73" s="456"/>
      <c r="AQZ73" s="456"/>
      <c r="ARA73" s="456"/>
      <c r="ARB73" s="456"/>
      <c r="ARC73" s="456"/>
      <c r="ARD73" s="456"/>
      <c r="ARE73" s="456"/>
      <c r="ARF73" s="456"/>
      <c r="ARG73" s="456"/>
      <c r="ARH73" s="456"/>
      <c r="ARI73" s="456"/>
      <c r="ARJ73" s="456"/>
      <c r="ARK73" s="456"/>
      <c r="ARL73" s="456"/>
      <c r="ARM73" s="456"/>
      <c r="ARN73" s="456"/>
      <c r="ARO73" s="456"/>
      <c r="ARP73" s="456"/>
      <c r="ARQ73" s="456"/>
      <c r="ARR73" s="456"/>
      <c r="ARS73" s="456"/>
      <c r="ART73" s="456"/>
      <c r="ARU73" s="456"/>
      <c r="ARV73" s="456"/>
      <c r="ARW73" s="456"/>
      <c r="ARX73" s="456"/>
      <c r="ARY73" s="456"/>
      <c r="ARZ73" s="456"/>
      <c r="ASA73" s="456"/>
      <c r="ASB73" s="456"/>
      <c r="ASC73" s="456"/>
      <c r="ASD73" s="456"/>
      <c r="ASE73" s="456"/>
      <c r="ASF73" s="456"/>
      <c r="ASG73" s="456"/>
      <c r="ASH73" s="456"/>
      <c r="ASI73" s="456"/>
      <c r="ASJ73" s="456"/>
      <c r="ASK73" s="456"/>
      <c r="ASL73" s="456"/>
      <c r="ASM73" s="456"/>
      <c r="ASN73" s="456"/>
      <c r="ASO73" s="456"/>
      <c r="ASP73" s="456"/>
      <c r="ASQ73" s="456"/>
      <c r="ASR73" s="456"/>
      <c r="ASS73" s="456"/>
      <c r="AST73" s="456"/>
      <c r="ASU73" s="456"/>
      <c r="ASV73" s="456"/>
      <c r="ASW73" s="456"/>
      <c r="ASX73" s="456"/>
      <c r="ASY73" s="456"/>
      <c r="ASZ73" s="456"/>
      <c r="ATA73" s="456"/>
      <c r="ATB73" s="456"/>
      <c r="ATC73" s="456"/>
      <c r="ATD73" s="456"/>
      <c r="ATE73" s="456"/>
      <c r="ATF73" s="456"/>
      <c r="ATG73" s="456"/>
      <c r="ATH73" s="456"/>
      <c r="ATI73" s="456"/>
      <c r="ATJ73" s="456"/>
      <c r="ATK73" s="456"/>
      <c r="ATL73" s="456"/>
      <c r="ATM73" s="456"/>
      <c r="ATN73" s="456"/>
      <c r="ATO73" s="456"/>
      <c r="ATP73" s="456"/>
      <c r="ATQ73" s="456"/>
      <c r="ATR73" s="456"/>
      <c r="ATS73" s="456"/>
      <c r="ATT73" s="456"/>
      <c r="ATU73" s="456"/>
      <c r="ATV73" s="456"/>
      <c r="ATW73" s="456"/>
      <c r="ATX73" s="456"/>
      <c r="ATY73" s="456"/>
      <c r="ATZ73" s="456"/>
      <c r="AUA73" s="456"/>
      <c r="AUB73" s="456"/>
      <c r="AUC73" s="456"/>
      <c r="AUD73" s="456"/>
      <c r="AUE73" s="456"/>
      <c r="AUF73" s="456"/>
      <c r="AUG73" s="456"/>
      <c r="AUH73" s="456"/>
      <c r="AUI73" s="456"/>
      <c r="AUJ73" s="456"/>
      <c r="AUK73" s="456"/>
      <c r="AUL73" s="456"/>
      <c r="AUM73" s="456"/>
      <c r="AUN73" s="456"/>
      <c r="AUO73" s="456"/>
      <c r="AUP73" s="456"/>
      <c r="AUQ73" s="456"/>
      <c r="AUR73" s="456"/>
      <c r="AUS73" s="456"/>
      <c r="AUT73" s="456"/>
      <c r="AUU73" s="456"/>
      <c r="AUV73" s="456"/>
      <c r="AUW73" s="456"/>
      <c r="AUX73" s="456"/>
      <c r="AUY73" s="456"/>
      <c r="AUZ73" s="456"/>
      <c r="AVA73" s="456"/>
      <c r="AVB73" s="456"/>
      <c r="AVC73" s="456"/>
      <c r="AVD73" s="456"/>
      <c r="AVE73" s="456"/>
      <c r="AVF73" s="456"/>
      <c r="AVG73" s="456"/>
      <c r="AVH73" s="456"/>
      <c r="AVI73" s="456"/>
      <c r="AVJ73" s="456"/>
      <c r="AVK73" s="456"/>
      <c r="AVL73" s="456"/>
      <c r="AVM73" s="456"/>
      <c r="AVN73" s="456"/>
      <c r="AVO73" s="456"/>
      <c r="AVP73" s="456"/>
      <c r="AVQ73" s="456"/>
      <c r="AVR73" s="456"/>
      <c r="AVS73" s="456"/>
      <c r="AVT73" s="456"/>
      <c r="AVU73" s="456"/>
      <c r="AVV73" s="456"/>
      <c r="AVW73" s="456"/>
      <c r="AVX73" s="456"/>
      <c r="AVY73" s="456"/>
      <c r="AVZ73" s="456"/>
      <c r="AWA73" s="456"/>
      <c r="AWB73" s="456"/>
      <c r="AWC73" s="456"/>
      <c r="AWD73" s="456"/>
      <c r="AWE73" s="456"/>
      <c r="AWF73" s="456"/>
      <c r="AWG73" s="456"/>
      <c r="AWH73" s="456"/>
      <c r="AWI73" s="456"/>
      <c r="AWJ73" s="456"/>
      <c r="AWK73" s="456"/>
      <c r="AWL73" s="456"/>
      <c r="AWM73" s="456"/>
      <c r="AWN73" s="456"/>
      <c r="AWO73" s="456"/>
      <c r="AWP73" s="456"/>
      <c r="AWQ73" s="456"/>
      <c r="AWR73" s="456"/>
      <c r="AWS73" s="456"/>
      <c r="AWT73" s="456"/>
      <c r="AWU73" s="456"/>
      <c r="AWV73" s="456"/>
      <c r="AWW73" s="456"/>
      <c r="AWX73" s="456"/>
      <c r="AWY73" s="456"/>
      <c r="AWZ73" s="456"/>
      <c r="AXA73" s="456"/>
      <c r="AXB73" s="456"/>
      <c r="AXC73" s="456"/>
      <c r="AXD73" s="456"/>
      <c r="AXE73" s="456"/>
      <c r="AXF73" s="456"/>
      <c r="AXG73" s="456"/>
      <c r="AXH73" s="456"/>
      <c r="AXI73" s="456"/>
      <c r="AXJ73" s="456"/>
      <c r="AXK73" s="456"/>
      <c r="AXL73" s="456"/>
      <c r="AXM73" s="456"/>
      <c r="AXN73" s="456"/>
      <c r="AXO73" s="456"/>
      <c r="AXP73" s="456"/>
      <c r="AXQ73" s="456"/>
      <c r="AXR73" s="456"/>
      <c r="AXS73" s="456"/>
      <c r="AXT73" s="456"/>
      <c r="AXU73" s="456"/>
      <c r="AXV73" s="456"/>
      <c r="AXW73" s="456"/>
      <c r="AXX73" s="456"/>
      <c r="AXY73" s="456"/>
      <c r="AXZ73" s="456"/>
      <c r="AYA73" s="456"/>
      <c r="AYB73" s="456"/>
      <c r="AYC73" s="456"/>
      <c r="AYD73" s="456"/>
      <c r="AYE73" s="456"/>
      <c r="AYF73" s="456"/>
      <c r="AYG73" s="456"/>
      <c r="AYH73" s="456"/>
      <c r="AYI73" s="456"/>
      <c r="AYJ73" s="456"/>
      <c r="AYK73" s="456"/>
      <c r="AYL73" s="456"/>
      <c r="AYM73" s="456"/>
      <c r="AYN73" s="456"/>
      <c r="AYO73" s="456"/>
      <c r="AYP73" s="456"/>
      <c r="AYQ73" s="456"/>
      <c r="AYR73" s="456"/>
      <c r="AYS73" s="456"/>
      <c r="AYT73" s="456"/>
      <c r="AYU73" s="456"/>
      <c r="AYV73" s="456"/>
      <c r="AYW73" s="456"/>
      <c r="AYX73" s="456"/>
      <c r="AYY73" s="456"/>
      <c r="AYZ73" s="456"/>
      <c r="AZA73" s="456"/>
      <c r="AZB73" s="456"/>
      <c r="AZC73" s="456"/>
      <c r="AZD73" s="456"/>
      <c r="AZE73" s="456"/>
      <c r="AZF73" s="456"/>
      <c r="AZG73" s="456"/>
      <c r="AZH73" s="456"/>
      <c r="AZI73" s="456"/>
      <c r="AZJ73" s="456"/>
      <c r="AZK73" s="456"/>
      <c r="AZL73" s="456"/>
      <c r="AZM73" s="456"/>
      <c r="AZN73" s="456"/>
      <c r="AZO73" s="456"/>
      <c r="AZP73" s="456"/>
      <c r="AZQ73" s="456"/>
      <c r="AZR73" s="456"/>
      <c r="AZS73" s="456"/>
      <c r="AZT73" s="456"/>
      <c r="AZU73" s="456"/>
      <c r="AZV73" s="456"/>
      <c r="AZW73" s="456"/>
      <c r="AZX73" s="456"/>
      <c r="AZY73" s="456"/>
      <c r="AZZ73" s="456"/>
      <c r="BAA73" s="456"/>
      <c r="BAB73" s="456"/>
      <c r="BAC73" s="456"/>
      <c r="BAD73" s="456"/>
      <c r="BAE73" s="456"/>
      <c r="BAF73" s="456"/>
      <c r="BAG73" s="456"/>
      <c r="BAH73" s="456"/>
      <c r="BAI73" s="456"/>
      <c r="BAJ73" s="456"/>
      <c r="BAK73" s="456"/>
      <c r="BAL73" s="456"/>
      <c r="BAM73" s="456"/>
      <c r="BAN73" s="456"/>
      <c r="BAO73" s="456"/>
      <c r="BAP73" s="456"/>
      <c r="BAQ73" s="456"/>
      <c r="BAR73" s="456"/>
      <c r="BAS73" s="456"/>
      <c r="BAT73" s="456"/>
      <c r="BAU73" s="456"/>
      <c r="BAV73" s="456"/>
      <c r="BAW73" s="456"/>
      <c r="BAX73" s="456"/>
      <c r="BAY73" s="456"/>
      <c r="BAZ73" s="456"/>
      <c r="BBA73" s="456"/>
      <c r="BBB73" s="456"/>
      <c r="BBC73" s="456"/>
      <c r="BBD73" s="456"/>
      <c r="BBE73" s="456"/>
      <c r="BBF73" s="456"/>
      <c r="BBG73" s="456"/>
      <c r="BBH73" s="456"/>
      <c r="BBI73" s="456"/>
      <c r="BBJ73" s="456"/>
      <c r="BBK73" s="456"/>
      <c r="BBL73" s="456"/>
      <c r="BBM73" s="456"/>
      <c r="BBN73" s="456"/>
      <c r="BBO73" s="456"/>
      <c r="BBP73" s="456"/>
      <c r="BBQ73" s="456"/>
      <c r="BBR73" s="456"/>
      <c r="BBS73" s="456"/>
      <c r="BBT73" s="456"/>
      <c r="BBU73" s="456"/>
      <c r="BBV73" s="456"/>
      <c r="BBW73" s="456"/>
      <c r="BBX73" s="456"/>
      <c r="BBY73" s="456"/>
      <c r="BBZ73" s="456"/>
      <c r="BCA73" s="456"/>
      <c r="BCB73" s="456"/>
      <c r="BCC73" s="456"/>
      <c r="BCD73" s="456"/>
      <c r="BCE73" s="456"/>
      <c r="BCF73" s="456"/>
      <c r="BCG73" s="456"/>
      <c r="BCH73" s="456"/>
      <c r="BCI73" s="456"/>
      <c r="BCJ73" s="456"/>
      <c r="BCK73" s="456"/>
      <c r="BCL73" s="456"/>
      <c r="BCM73" s="456"/>
      <c r="BCN73" s="456"/>
      <c r="BCO73" s="456"/>
      <c r="BCP73" s="456"/>
      <c r="BCQ73" s="456"/>
      <c r="BCR73" s="456"/>
      <c r="BCS73" s="456"/>
      <c r="BCT73" s="456"/>
      <c r="BCU73" s="456"/>
      <c r="BCV73" s="456"/>
      <c r="BCW73" s="456"/>
      <c r="BCX73" s="456"/>
      <c r="BCY73" s="456"/>
      <c r="BCZ73" s="456"/>
      <c r="BDA73" s="456"/>
      <c r="BDB73" s="456"/>
      <c r="BDC73" s="456"/>
      <c r="BDD73" s="456"/>
      <c r="BDE73" s="456"/>
      <c r="BDF73" s="456"/>
      <c r="BDG73" s="456"/>
      <c r="BDH73" s="456"/>
      <c r="BDI73" s="456"/>
      <c r="BDJ73" s="456"/>
      <c r="BDK73" s="456"/>
      <c r="BDL73" s="456"/>
      <c r="BDM73" s="456"/>
      <c r="BDN73" s="456"/>
      <c r="BDO73" s="456"/>
      <c r="BDP73" s="456"/>
      <c r="BDQ73" s="456"/>
      <c r="BDR73" s="456"/>
      <c r="BDS73" s="456"/>
      <c r="BDT73" s="456"/>
      <c r="BDU73" s="456"/>
      <c r="BDV73" s="456"/>
      <c r="BDW73" s="456"/>
      <c r="BDX73" s="456"/>
      <c r="BDY73" s="456"/>
      <c r="BDZ73" s="456"/>
      <c r="BEA73" s="456"/>
      <c r="BEB73" s="456"/>
      <c r="BEC73" s="456"/>
      <c r="BED73" s="456"/>
      <c r="BEE73" s="456"/>
      <c r="BEF73" s="456"/>
      <c r="BEG73" s="456"/>
      <c r="BEH73" s="456"/>
      <c r="BEI73" s="456"/>
      <c r="BEJ73" s="456"/>
      <c r="BEK73" s="456"/>
      <c r="BEL73" s="456"/>
      <c r="BEM73" s="456"/>
      <c r="BEN73" s="456"/>
      <c r="BEO73" s="456"/>
      <c r="BEP73" s="456"/>
      <c r="BEQ73" s="456"/>
      <c r="BER73" s="456"/>
      <c r="BES73" s="456"/>
      <c r="BET73" s="456"/>
      <c r="BEU73" s="456"/>
      <c r="BEV73" s="456"/>
      <c r="BEW73" s="456"/>
      <c r="BEX73" s="456"/>
      <c r="BEY73" s="456"/>
      <c r="BEZ73" s="456"/>
      <c r="BFA73" s="456"/>
      <c r="BFB73" s="456"/>
      <c r="BFC73" s="456"/>
      <c r="BFD73" s="456"/>
      <c r="BFE73" s="456"/>
      <c r="BFF73" s="456"/>
      <c r="BFG73" s="456"/>
      <c r="BFH73" s="456"/>
      <c r="BFI73" s="456"/>
      <c r="BFJ73" s="456"/>
      <c r="BFK73" s="456"/>
      <c r="BFL73" s="456"/>
      <c r="BFM73" s="456"/>
      <c r="BFN73" s="456"/>
      <c r="BFO73" s="456"/>
      <c r="BFP73" s="456"/>
      <c r="BFQ73" s="456"/>
      <c r="BFR73" s="456"/>
      <c r="BFS73" s="456"/>
      <c r="BFT73" s="456"/>
      <c r="BFU73" s="456"/>
      <c r="BFV73" s="456"/>
      <c r="BFW73" s="456"/>
      <c r="BFX73" s="456"/>
      <c r="BFY73" s="456"/>
      <c r="BFZ73" s="456"/>
      <c r="BGA73" s="456"/>
      <c r="BGB73" s="456"/>
      <c r="BGC73" s="456"/>
      <c r="BGD73" s="456"/>
      <c r="BGE73" s="456"/>
      <c r="BGF73" s="456"/>
      <c r="BGG73" s="456"/>
      <c r="BGH73" s="456"/>
      <c r="BGI73" s="456"/>
      <c r="BGJ73" s="456"/>
      <c r="BGK73" s="456"/>
      <c r="BGL73" s="456"/>
      <c r="BGM73" s="456"/>
      <c r="BGN73" s="456"/>
      <c r="BGO73" s="456"/>
      <c r="BGP73" s="456"/>
      <c r="BGQ73" s="456"/>
      <c r="BGR73" s="456"/>
      <c r="BGS73" s="456"/>
      <c r="BGT73" s="456"/>
      <c r="BGU73" s="456"/>
      <c r="BGV73" s="456"/>
      <c r="BGW73" s="456"/>
      <c r="BGX73" s="456"/>
      <c r="BGY73" s="456"/>
      <c r="BGZ73" s="456"/>
      <c r="BHA73" s="456"/>
      <c r="BHB73" s="456"/>
      <c r="BHC73" s="456"/>
      <c r="BHD73" s="456"/>
      <c r="BHE73" s="456"/>
      <c r="BHF73" s="456"/>
      <c r="BHG73" s="456"/>
      <c r="BHH73" s="456"/>
      <c r="BHI73" s="456"/>
      <c r="BHJ73" s="456"/>
      <c r="BHK73" s="456"/>
      <c r="BHL73" s="456"/>
      <c r="BHM73" s="456"/>
      <c r="BHN73" s="456"/>
      <c r="BHO73" s="456"/>
      <c r="BHP73" s="456"/>
      <c r="BHQ73" s="456"/>
      <c r="BHR73" s="456"/>
      <c r="BHS73" s="456"/>
      <c r="BHT73" s="456"/>
      <c r="BHU73" s="456"/>
      <c r="BHV73" s="456"/>
      <c r="BHW73" s="456"/>
      <c r="BHX73" s="456"/>
      <c r="BHY73" s="456"/>
      <c r="BHZ73" s="456"/>
      <c r="BIA73" s="456"/>
      <c r="BIB73" s="456"/>
      <c r="BIC73" s="456"/>
      <c r="BID73" s="456"/>
      <c r="BIE73" s="456"/>
      <c r="BIF73" s="456"/>
      <c r="BIG73" s="456"/>
      <c r="BIH73" s="456"/>
      <c r="BII73" s="456"/>
      <c r="BIJ73" s="456"/>
      <c r="BIK73" s="456"/>
      <c r="BIL73" s="456"/>
      <c r="BIM73" s="456"/>
      <c r="BIN73" s="456"/>
      <c r="BIO73" s="456"/>
      <c r="BIP73" s="456"/>
      <c r="BIQ73" s="456"/>
      <c r="BIR73" s="456"/>
      <c r="BIS73" s="456"/>
      <c r="BIT73" s="456"/>
      <c r="BIU73" s="456"/>
      <c r="BIV73" s="456"/>
      <c r="BIW73" s="456"/>
      <c r="BIX73" s="456"/>
      <c r="BIY73" s="456"/>
      <c r="BIZ73" s="456"/>
      <c r="BJA73" s="456"/>
      <c r="BJB73" s="456"/>
      <c r="BJC73" s="456"/>
      <c r="BJD73" s="456"/>
      <c r="BJE73" s="456"/>
      <c r="BJF73" s="456"/>
      <c r="BJG73" s="456"/>
      <c r="BJH73" s="456"/>
      <c r="BJI73" s="456"/>
      <c r="BJJ73" s="456"/>
      <c r="BJK73" s="456"/>
      <c r="BJL73" s="456"/>
      <c r="BJM73" s="456"/>
      <c r="BJN73" s="456"/>
      <c r="BJO73" s="456"/>
      <c r="BJP73" s="456"/>
      <c r="BJQ73" s="456"/>
      <c r="BJR73" s="456"/>
      <c r="BJS73" s="456"/>
      <c r="BJT73" s="456"/>
      <c r="BJU73" s="456"/>
      <c r="BJV73" s="456"/>
      <c r="BJW73" s="456"/>
      <c r="BJX73" s="456"/>
      <c r="BJY73" s="456"/>
      <c r="BJZ73" s="456"/>
      <c r="BKA73" s="456"/>
      <c r="BKB73" s="456"/>
      <c r="BKC73" s="456"/>
      <c r="BKD73" s="456"/>
      <c r="BKE73" s="456"/>
      <c r="BKF73" s="456"/>
      <c r="BKG73" s="456"/>
      <c r="BKH73" s="456"/>
      <c r="BKI73" s="456"/>
      <c r="BKJ73" s="456"/>
      <c r="BKK73" s="456"/>
      <c r="BKL73" s="456"/>
      <c r="BKM73" s="456"/>
      <c r="BKN73" s="456"/>
      <c r="BKO73" s="456"/>
      <c r="BKP73" s="456"/>
      <c r="BKQ73" s="456"/>
      <c r="BKR73" s="456"/>
      <c r="BKS73" s="456"/>
      <c r="BKT73" s="456"/>
      <c r="BKU73" s="456"/>
      <c r="BKV73" s="456"/>
      <c r="BKW73" s="456"/>
      <c r="BKX73" s="456"/>
      <c r="BKY73" s="456"/>
      <c r="BKZ73" s="456"/>
      <c r="BLA73" s="456"/>
      <c r="BLB73" s="456"/>
      <c r="BLC73" s="456"/>
      <c r="BLD73" s="456"/>
      <c r="BLE73" s="456"/>
      <c r="BLF73" s="456"/>
      <c r="BLG73" s="456"/>
      <c r="BLH73" s="456"/>
      <c r="BLI73" s="456"/>
      <c r="BLJ73" s="456"/>
      <c r="BLK73" s="456"/>
      <c r="BLL73" s="456"/>
      <c r="BLM73" s="456"/>
      <c r="BLN73" s="456"/>
      <c r="BLO73" s="456"/>
      <c r="BLP73" s="456"/>
      <c r="BLQ73" s="456"/>
      <c r="BLR73" s="456"/>
      <c r="BLS73" s="456"/>
      <c r="BLT73" s="456"/>
      <c r="BLU73" s="456"/>
      <c r="BLV73" s="456"/>
      <c r="BLW73" s="456"/>
      <c r="BLX73" s="456"/>
      <c r="BLY73" s="456"/>
      <c r="BLZ73" s="456"/>
      <c r="BMA73" s="456"/>
      <c r="BMB73" s="456"/>
      <c r="BMC73" s="456"/>
      <c r="BMD73" s="456"/>
      <c r="BME73" s="456"/>
      <c r="BMF73" s="456"/>
      <c r="BMG73" s="456"/>
      <c r="BMH73" s="456"/>
      <c r="BMI73" s="456"/>
      <c r="BMJ73" s="456"/>
      <c r="BMK73" s="456"/>
      <c r="BML73" s="456"/>
      <c r="BMM73" s="456"/>
      <c r="BMN73" s="456"/>
      <c r="BMO73" s="456"/>
      <c r="BMP73" s="456"/>
      <c r="BMQ73" s="456"/>
      <c r="BMR73" s="456"/>
      <c r="BMS73" s="456"/>
      <c r="BMT73" s="456"/>
      <c r="BMU73" s="456"/>
      <c r="BMV73" s="456"/>
      <c r="BMW73" s="456"/>
      <c r="BMX73" s="456"/>
      <c r="BMY73" s="456"/>
      <c r="BMZ73" s="456"/>
      <c r="BNA73" s="456"/>
      <c r="BNB73" s="456"/>
      <c r="BNC73" s="456"/>
      <c r="BND73" s="456"/>
      <c r="BNE73" s="456"/>
      <c r="BNF73" s="456"/>
      <c r="BNG73" s="456"/>
      <c r="BNH73" s="456"/>
      <c r="BNI73" s="456"/>
      <c r="BNJ73" s="456"/>
      <c r="BNK73" s="456"/>
      <c r="BNL73" s="456"/>
      <c r="BNM73" s="456"/>
      <c r="BNN73" s="456"/>
      <c r="BNO73" s="456"/>
      <c r="BNP73" s="456"/>
      <c r="BNQ73" s="456"/>
      <c r="BNR73" s="456"/>
      <c r="BNS73" s="456"/>
      <c r="BNT73" s="456"/>
      <c r="BNU73" s="456"/>
      <c r="BNV73" s="456"/>
      <c r="BNW73" s="456"/>
      <c r="BNX73" s="456"/>
      <c r="BNY73" s="456"/>
      <c r="BNZ73" s="456"/>
      <c r="BOA73" s="456"/>
      <c r="BOB73" s="456"/>
      <c r="BOC73" s="456"/>
      <c r="BOD73" s="456"/>
      <c r="BOE73" s="456"/>
      <c r="BOF73" s="456"/>
      <c r="BOG73" s="456"/>
      <c r="BOH73" s="456"/>
      <c r="BOI73" s="456"/>
      <c r="BOJ73" s="456"/>
      <c r="BOK73" s="456"/>
      <c r="BOL73" s="456"/>
      <c r="BOM73" s="456"/>
      <c r="BON73" s="456"/>
      <c r="BOO73" s="456"/>
      <c r="BOP73" s="456"/>
      <c r="BOQ73" s="456"/>
      <c r="BOR73" s="456"/>
      <c r="BOS73" s="456"/>
      <c r="BOT73" s="456"/>
      <c r="BOU73" s="456"/>
      <c r="BOV73" s="456"/>
      <c r="BOW73" s="456"/>
      <c r="BOX73" s="456"/>
      <c r="BOY73" s="456"/>
      <c r="BOZ73" s="456"/>
      <c r="BPA73" s="456"/>
      <c r="BPB73" s="456"/>
      <c r="BPC73" s="456"/>
      <c r="BPD73" s="456"/>
      <c r="BPE73" s="456"/>
      <c r="BPF73" s="456"/>
      <c r="BPG73" s="456"/>
      <c r="BPH73" s="456"/>
      <c r="BPI73" s="456"/>
      <c r="BPJ73" s="456"/>
      <c r="BPK73" s="456"/>
      <c r="BPL73" s="456"/>
      <c r="BPM73" s="456"/>
      <c r="BPN73" s="456"/>
      <c r="BPO73" s="456"/>
      <c r="BPP73" s="456"/>
      <c r="BPQ73" s="456"/>
      <c r="BPR73" s="456"/>
      <c r="BPS73" s="456"/>
      <c r="BPT73" s="456"/>
      <c r="BPU73" s="456"/>
      <c r="BPV73" s="456"/>
      <c r="BPW73" s="456"/>
      <c r="BPX73" s="456"/>
      <c r="BPY73" s="456"/>
      <c r="BPZ73" s="456"/>
      <c r="BQA73" s="456"/>
      <c r="BQB73" s="456"/>
      <c r="BQC73" s="456"/>
      <c r="BQD73" s="456"/>
      <c r="BQE73" s="456"/>
      <c r="BQF73" s="456"/>
      <c r="BQG73" s="456"/>
      <c r="BQH73" s="456"/>
      <c r="BQI73" s="456"/>
      <c r="BQJ73" s="456"/>
      <c r="BQK73" s="456"/>
      <c r="BQL73" s="456"/>
      <c r="BQM73" s="456"/>
      <c r="BQN73" s="456"/>
      <c r="BQO73" s="456"/>
      <c r="BQP73" s="456"/>
      <c r="BQQ73" s="456"/>
      <c r="BQR73" s="456"/>
      <c r="BQS73" s="456"/>
      <c r="BQT73" s="456"/>
      <c r="BQU73" s="456"/>
      <c r="BQV73" s="456"/>
      <c r="BQW73" s="456"/>
      <c r="BQX73" s="456"/>
      <c r="BQY73" s="456"/>
      <c r="BQZ73" s="456"/>
      <c r="BRA73" s="456"/>
      <c r="BRB73" s="456"/>
      <c r="BRC73" s="456"/>
      <c r="BRD73" s="456"/>
      <c r="BRE73" s="456"/>
      <c r="BRF73" s="456"/>
      <c r="BRG73" s="456"/>
      <c r="BRH73" s="456"/>
      <c r="BRI73" s="456"/>
      <c r="BRJ73" s="456"/>
      <c r="BRK73" s="456"/>
      <c r="BRL73" s="456"/>
      <c r="BRM73" s="456"/>
      <c r="BRN73" s="456"/>
      <c r="BRO73" s="456"/>
      <c r="BRP73" s="456"/>
      <c r="BRQ73" s="456"/>
      <c r="BRR73" s="456"/>
      <c r="BRS73" s="456"/>
      <c r="BRT73" s="456"/>
      <c r="BRU73" s="456"/>
      <c r="BRV73" s="456"/>
      <c r="BRW73" s="456"/>
      <c r="BRX73" s="456"/>
      <c r="BRY73" s="456"/>
      <c r="BRZ73" s="456"/>
      <c r="BSA73" s="456"/>
      <c r="BSB73" s="456"/>
      <c r="BSC73" s="456"/>
      <c r="BSD73" s="456"/>
      <c r="BSE73" s="456"/>
      <c r="BSF73" s="456"/>
      <c r="BSG73" s="456"/>
      <c r="BSH73" s="456"/>
      <c r="BSI73" s="456"/>
      <c r="BSJ73" s="456"/>
      <c r="BSK73" s="456"/>
      <c r="BSL73" s="456"/>
      <c r="BSM73" s="456"/>
      <c r="BSN73" s="456"/>
      <c r="BSO73" s="456"/>
      <c r="BSP73" s="456"/>
      <c r="BSQ73" s="456"/>
      <c r="BSR73" s="456"/>
      <c r="BSS73" s="456"/>
      <c r="BST73" s="456"/>
      <c r="BSU73" s="456"/>
      <c r="BSV73" s="456"/>
      <c r="BSW73" s="456"/>
      <c r="BSX73" s="456"/>
      <c r="BSY73" s="456"/>
      <c r="BSZ73" s="456"/>
      <c r="BTA73" s="456"/>
      <c r="BTB73" s="456"/>
      <c r="BTC73" s="456"/>
      <c r="BTD73" s="456"/>
      <c r="BTE73" s="456"/>
      <c r="BTF73" s="456"/>
      <c r="BTG73" s="456"/>
      <c r="BTH73" s="456"/>
      <c r="BTI73" s="456"/>
      <c r="BTJ73" s="456"/>
      <c r="BTK73" s="456"/>
      <c r="BTL73" s="456"/>
      <c r="BTM73" s="456"/>
      <c r="BTN73" s="456"/>
      <c r="BTO73" s="456"/>
      <c r="BTP73" s="456"/>
      <c r="BTQ73" s="456"/>
      <c r="BTR73" s="456"/>
      <c r="BTS73" s="456"/>
      <c r="BTT73" s="456"/>
      <c r="BTU73" s="456"/>
      <c r="BTV73" s="456"/>
      <c r="BTW73" s="456"/>
      <c r="BTX73" s="456"/>
      <c r="BTY73" s="456"/>
      <c r="BTZ73" s="456"/>
      <c r="BUA73" s="456"/>
      <c r="BUB73" s="456"/>
      <c r="BUC73" s="456"/>
      <c r="BUD73" s="456"/>
      <c r="BUE73" s="456"/>
      <c r="BUF73" s="456"/>
      <c r="BUG73" s="456"/>
      <c r="BUH73" s="456"/>
      <c r="BUI73" s="456"/>
      <c r="BUJ73" s="456"/>
      <c r="BUK73" s="456"/>
      <c r="BUL73" s="456"/>
      <c r="BUM73" s="456"/>
      <c r="BUN73" s="456"/>
      <c r="BUO73" s="456"/>
      <c r="BUP73" s="456"/>
      <c r="BUQ73" s="456"/>
      <c r="BUR73" s="456"/>
      <c r="BUS73" s="456"/>
      <c r="BUT73" s="456"/>
      <c r="BUU73" s="456"/>
      <c r="BUV73" s="456"/>
      <c r="BUW73" s="456"/>
      <c r="BUX73" s="456"/>
      <c r="BUY73" s="456"/>
      <c r="BUZ73" s="456"/>
      <c r="BVA73" s="456"/>
      <c r="BVB73" s="456"/>
      <c r="BVC73" s="456"/>
      <c r="BVD73" s="456"/>
      <c r="BVE73" s="456"/>
      <c r="BVF73" s="456"/>
      <c r="BVG73" s="456"/>
      <c r="BVH73" s="456"/>
      <c r="BVI73" s="456"/>
      <c r="BVJ73" s="456"/>
      <c r="BVK73" s="456"/>
      <c r="BVL73" s="456"/>
      <c r="BVM73" s="456"/>
      <c r="BVN73" s="456"/>
      <c r="BVO73" s="456"/>
      <c r="BVP73" s="456"/>
      <c r="BVQ73" s="456"/>
      <c r="BVR73" s="456"/>
      <c r="BVS73" s="456"/>
      <c r="BVT73" s="456"/>
      <c r="BVU73" s="456"/>
      <c r="BVV73" s="456"/>
      <c r="BVW73" s="456"/>
      <c r="BVX73" s="456"/>
      <c r="BVY73" s="456"/>
      <c r="BVZ73" s="456"/>
      <c r="BWA73" s="456"/>
      <c r="BWB73" s="456"/>
      <c r="BWC73" s="456"/>
      <c r="BWD73" s="456"/>
      <c r="BWE73" s="456"/>
      <c r="BWF73" s="456"/>
      <c r="BWG73" s="456"/>
      <c r="BWH73" s="456"/>
      <c r="BWI73" s="456"/>
      <c r="BWJ73" s="456"/>
      <c r="BWK73" s="456"/>
      <c r="BWL73" s="456"/>
      <c r="BWM73" s="456"/>
      <c r="BWN73" s="456"/>
      <c r="BWO73" s="456"/>
      <c r="BWP73" s="456"/>
      <c r="BWQ73" s="456"/>
      <c r="BWR73" s="456"/>
      <c r="BWS73" s="456"/>
      <c r="BWT73" s="456"/>
      <c r="BWU73" s="456"/>
      <c r="BWV73" s="456"/>
      <c r="BWW73" s="456"/>
      <c r="BWX73" s="456"/>
      <c r="BWY73" s="456"/>
      <c r="BWZ73" s="456"/>
      <c r="BXA73" s="456"/>
      <c r="BXB73" s="456"/>
      <c r="BXC73" s="456"/>
      <c r="BXD73" s="456"/>
      <c r="BXE73" s="456"/>
      <c r="BXF73" s="456"/>
      <c r="BXG73" s="456"/>
      <c r="BXH73" s="456"/>
      <c r="BXI73" s="456"/>
      <c r="BXJ73" s="456"/>
      <c r="BXK73" s="456"/>
      <c r="BXL73" s="456"/>
      <c r="BXM73" s="456"/>
      <c r="BXN73" s="456"/>
      <c r="BXO73" s="456"/>
      <c r="BXP73" s="456"/>
      <c r="BXQ73" s="456"/>
      <c r="BXR73" s="456"/>
      <c r="BXS73" s="456"/>
      <c r="BXT73" s="456"/>
      <c r="BXU73" s="456"/>
      <c r="BXV73" s="456"/>
      <c r="BXW73" s="456"/>
      <c r="BXX73" s="456"/>
      <c r="BXY73" s="456"/>
      <c r="BXZ73" s="456"/>
    </row>
    <row r="74" s="25" customFormat="1" spans="1:1024 1025:2002">
      <c r="A74" s="473" t="s">
        <v>34</v>
      </c>
      <c r="B74" s="19">
        <v>1119</v>
      </c>
      <c r="C74" s="183">
        <v>46181</v>
      </c>
      <c r="D74" s="17" t="s">
        <v>35</v>
      </c>
      <c r="E74" s="17" t="s">
        <v>71</v>
      </c>
      <c r="F74" s="17" t="s">
        <v>72</v>
      </c>
      <c r="G74" s="17"/>
      <c r="H74" s="19">
        <v>1.2379</v>
      </c>
      <c r="I74" s="19">
        <v>1.2379</v>
      </c>
      <c r="J74" s="17" t="s">
        <v>82</v>
      </c>
      <c r="K74" s="91">
        <v>610</v>
      </c>
      <c r="L74" s="23">
        <v>105</v>
      </c>
      <c r="M74" s="19">
        <v>5800</v>
      </c>
      <c r="N74" s="19" t="s">
        <v>40</v>
      </c>
      <c r="O74" s="19" t="s">
        <v>67</v>
      </c>
      <c r="P74" s="19">
        <v>2500</v>
      </c>
      <c r="Q74" s="19">
        <v>2306</v>
      </c>
      <c r="R74" s="19">
        <f t="shared" si="2"/>
        <v>194</v>
      </c>
      <c r="S74" s="477">
        <f t="shared" si="6"/>
        <v>2433</v>
      </c>
      <c r="T74" s="19" t="s">
        <v>42</v>
      </c>
      <c r="U74" s="102" t="s">
        <v>83</v>
      </c>
      <c r="V74" s="186">
        <v>46181</v>
      </c>
      <c r="W74" s="17" t="s">
        <v>69</v>
      </c>
      <c r="X74" s="17"/>
      <c r="Y74" s="68">
        <v>46327</v>
      </c>
      <c r="Z74" s="17" t="s">
        <v>45</v>
      </c>
      <c r="AA74" s="17" t="s">
        <v>46</v>
      </c>
      <c r="AB74" s="17" t="s">
        <v>75</v>
      </c>
      <c r="AC74" s="217">
        <v>46224</v>
      </c>
      <c r="AD74" s="65">
        <v>1837</v>
      </c>
      <c r="AE74" s="17" t="s">
        <v>48</v>
      </c>
      <c r="AF74" s="17" t="s">
        <v>76</v>
      </c>
      <c r="AG74" s="17"/>
      <c r="AH74" s="456"/>
      <c r="AI74" s="456"/>
      <c r="AJ74" s="456"/>
      <c r="AK74" s="456"/>
      <c r="AL74" s="456"/>
      <c r="AM74" s="456"/>
      <c r="AN74" s="456"/>
      <c r="AO74" s="456"/>
      <c r="AP74" s="456"/>
      <c r="AQ74" s="456"/>
      <c r="AR74" s="456"/>
      <c r="AS74" s="456"/>
      <c r="AT74" s="456"/>
      <c r="AU74" s="456"/>
      <c r="AV74" s="456"/>
      <c r="AW74" s="456"/>
      <c r="AX74" s="456"/>
      <c r="AY74" s="456"/>
      <c r="AZ74" s="456"/>
      <c r="BA74" s="456"/>
      <c r="BB74" s="456"/>
      <c r="BC74" s="456"/>
      <c r="BD74" s="456"/>
      <c r="BE74" s="456"/>
      <c r="BF74" s="456"/>
      <c r="BG74" s="456"/>
      <c r="BH74" s="456"/>
      <c r="BI74" s="456"/>
      <c r="BJ74" s="456"/>
      <c r="BK74" s="456"/>
      <c r="BL74" s="456"/>
      <c r="BM74" s="456"/>
      <c r="BN74" s="456"/>
      <c r="BO74" s="456"/>
      <c r="BP74" s="456"/>
      <c r="BQ74" s="456"/>
      <c r="BR74" s="456"/>
      <c r="BS74" s="456"/>
      <c r="BT74" s="456"/>
      <c r="BU74" s="456"/>
      <c r="BV74" s="456"/>
      <c r="BW74" s="456"/>
      <c r="BX74" s="456"/>
      <c r="BY74" s="456"/>
      <c r="BZ74" s="456"/>
      <c r="CA74" s="456"/>
      <c r="CB74" s="456"/>
      <c r="CC74" s="456"/>
      <c r="CD74" s="456"/>
      <c r="CE74" s="456"/>
      <c r="CF74" s="456"/>
      <c r="CG74" s="456"/>
      <c r="CH74" s="456"/>
      <c r="CI74" s="456"/>
      <c r="CJ74" s="456"/>
      <c r="CK74" s="456"/>
      <c r="CL74" s="456"/>
      <c r="CM74" s="456"/>
      <c r="CN74" s="456"/>
      <c r="CO74" s="456"/>
      <c r="CP74" s="456"/>
      <c r="CQ74" s="456"/>
      <c r="CR74" s="456"/>
      <c r="CS74" s="456"/>
      <c r="CT74" s="456"/>
      <c r="CU74" s="456"/>
      <c r="CV74" s="456"/>
      <c r="CW74" s="456"/>
      <c r="CX74" s="456"/>
      <c r="CY74" s="456"/>
      <c r="CZ74" s="456"/>
      <c r="DA74" s="456"/>
      <c r="DB74" s="456"/>
      <c r="DC74" s="456"/>
      <c r="DD74" s="456"/>
      <c r="DE74" s="456"/>
      <c r="DF74" s="456"/>
      <c r="DG74" s="456"/>
      <c r="DH74" s="456"/>
      <c r="DI74" s="456"/>
      <c r="DJ74" s="456"/>
      <c r="DK74" s="456"/>
      <c r="DL74" s="456"/>
      <c r="DM74" s="456"/>
      <c r="DN74" s="456"/>
      <c r="DO74" s="456"/>
      <c r="DP74" s="456"/>
      <c r="DQ74" s="456"/>
      <c r="DR74" s="456"/>
      <c r="DS74" s="456"/>
      <c r="DT74" s="456"/>
      <c r="DU74" s="456"/>
      <c r="DV74" s="456"/>
      <c r="DW74" s="456"/>
      <c r="DX74" s="456"/>
      <c r="DY74" s="456"/>
      <c r="DZ74" s="456"/>
      <c r="EA74" s="456"/>
      <c r="EB74" s="456"/>
      <c r="EC74" s="456"/>
      <c r="ED74" s="456"/>
      <c r="EE74" s="456"/>
      <c r="EF74" s="456"/>
      <c r="EG74" s="456"/>
      <c r="EH74" s="456"/>
      <c r="EI74" s="456"/>
      <c r="EJ74" s="456"/>
      <c r="EK74" s="456"/>
      <c r="EL74" s="456"/>
      <c r="EM74" s="456"/>
      <c r="EN74" s="456"/>
      <c r="EO74" s="456"/>
      <c r="EP74" s="456"/>
      <c r="EQ74" s="456"/>
      <c r="ER74" s="456"/>
      <c r="ES74" s="456"/>
      <c r="ET74" s="456"/>
      <c r="EU74" s="456"/>
      <c r="EV74" s="456"/>
      <c r="EW74" s="456"/>
      <c r="EX74" s="456"/>
      <c r="EY74" s="456"/>
      <c r="EZ74" s="456"/>
      <c r="FA74" s="456"/>
      <c r="FB74" s="456"/>
      <c r="FC74" s="456"/>
      <c r="FD74" s="456"/>
      <c r="FE74" s="456"/>
      <c r="FF74" s="456"/>
      <c r="FG74" s="456"/>
      <c r="FH74" s="456"/>
      <c r="FI74" s="456"/>
      <c r="FJ74" s="456"/>
      <c r="FK74" s="456"/>
      <c r="FL74" s="456"/>
      <c r="FM74" s="456"/>
      <c r="FN74" s="456"/>
      <c r="FO74" s="456"/>
      <c r="FP74" s="456"/>
      <c r="FQ74" s="456"/>
      <c r="FR74" s="456"/>
      <c r="FS74" s="456"/>
      <c r="FT74" s="456"/>
      <c r="FU74" s="456"/>
      <c r="FV74" s="456"/>
      <c r="FW74" s="456"/>
      <c r="FX74" s="456"/>
      <c r="FY74" s="456"/>
      <c r="FZ74" s="456"/>
      <c r="GA74" s="456"/>
      <c r="GB74" s="456"/>
      <c r="GC74" s="456"/>
      <c r="GD74" s="456"/>
      <c r="GE74" s="456"/>
      <c r="GF74" s="456"/>
      <c r="GG74" s="456"/>
      <c r="GH74" s="456"/>
      <c r="GI74" s="456"/>
      <c r="GJ74" s="456"/>
      <c r="GK74" s="456"/>
      <c r="GL74" s="456"/>
      <c r="GM74" s="456"/>
      <c r="GN74" s="456"/>
      <c r="GO74" s="456"/>
      <c r="GP74" s="456"/>
      <c r="GQ74" s="456"/>
      <c r="GR74" s="456"/>
      <c r="GS74" s="456"/>
      <c r="GT74" s="456"/>
      <c r="GU74" s="456"/>
      <c r="GV74" s="456"/>
      <c r="GW74" s="456"/>
      <c r="GX74" s="456"/>
      <c r="GY74" s="456"/>
      <c r="GZ74" s="456"/>
      <c r="HA74" s="456"/>
      <c r="HB74" s="456"/>
      <c r="HC74" s="456"/>
      <c r="HD74" s="456"/>
      <c r="HE74" s="456"/>
      <c r="HF74" s="456"/>
      <c r="HG74" s="456"/>
      <c r="HH74" s="456"/>
      <c r="HI74" s="456"/>
      <c r="HJ74" s="456"/>
      <c r="HK74" s="456"/>
      <c r="HL74" s="456"/>
      <c r="HM74" s="456"/>
      <c r="HN74" s="456"/>
      <c r="HO74" s="456"/>
      <c r="HP74" s="456"/>
      <c r="HQ74" s="456"/>
      <c r="HR74" s="456"/>
      <c r="HS74" s="456"/>
      <c r="HT74" s="456"/>
      <c r="HU74" s="456"/>
      <c r="HV74" s="456"/>
      <c r="HW74" s="456"/>
      <c r="HX74" s="456"/>
      <c r="HY74" s="456"/>
      <c r="HZ74" s="456"/>
      <c r="IA74" s="456"/>
      <c r="IB74" s="456"/>
      <c r="IC74" s="456"/>
      <c r="ID74" s="456"/>
      <c r="IE74" s="456"/>
      <c r="IF74" s="456"/>
      <c r="IG74" s="456"/>
      <c r="IH74" s="456"/>
      <c r="II74" s="456"/>
      <c r="IJ74" s="456"/>
      <c r="IK74" s="456"/>
      <c r="IL74" s="456"/>
      <c r="IM74" s="456"/>
      <c r="IN74" s="456"/>
      <c r="IO74" s="456"/>
      <c r="IP74" s="456"/>
      <c r="IQ74" s="456"/>
      <c r="IR74" s="456"/>
      <c r="IS74" s="456"/>
      <c r="IT74" s="456"/>
      <c r="IU74" s="456"/>
      <c r="IV74" s="456"/>
      <c r="IW74" s="456"/>
      <c r="IX74" s="456"/>
      <c r="IY74" s="456"/>
      <c r="IZ74" s="456"/>
      <c r="JA74" s="456"/>
      <c r="JB74" s="456"/>
      <c r="JC74" s="456"/>
      <c r="JD74" s="456"/>
      <c r="JE74" s="456"/>
      <c r="JF74" s="456"/>
      <c r="JG74" s="456"/>
      <c r="JH74" s="456"/>
      <c r="JI74" s="456"/>
      <c r="JJ74" s="456"/>
      <c r="JK74" s="456"/>
      <c r="JL74" s="456"/>
      <c r="JM74" s="456"/>
      <c r="JN74" s="456"/>
      <c r="JO74" s="456"/>
      <c r="JP74" s="456"/>
      <c r="JQ74" s="456"/>
      <c r="JR74" s="456"/>
      <c r="JS74" s="456"/>
      <c r="JT74" s="456"/>
      <c r="JU74" s="456"/>
      <c r="JV74" s="456"/>
      <c r="JW74" s="456"/>
      <c r="JX74" s="456"/>
      <c r="JY74" s="456"/>
      <c r="JZ74" s="456"/>
      <c r="KA74" s="456"/>
      <c r="KB74" s="456"/>
      <c r="KC74" s="456"/>
      <c r="KD74" s="456"/>
      <c r="KE74" s="456"/>
      <c r="KF74" s="456"/>
      <c r="KG74" s="456"/>
      <c r="KH74" s="456"/>
      <c r="KI74" s="456"/>
      <c r="KJ74" s="456"/>
      <c r="KK74" s="456"/>
      <c r="KL74" s="456"/>
      <c r="KM74" s="456"/>
      <c r="KN74" s="456"/>
      <c r="KO74" s="456"/>
      <c r="KP74" s="456"/>
      <c r="KQ74" s="456"/>
      <c r="KR74" s="456"/>
      <c r="KS74" s="456"/>
      <c r="KT74" s="456"/>
      <c r="KU74" s="456"/>
      <c r="KV74" s="456"/>
      <c r="KW74" s="456"/>
      <c r="KX74" s="456"/>
      <c r="KY74" s="456"/>
      <c r="KZ74" s="456"/>
      <c r="LA74" s="456"/>
      <c r="LB74" s="456"/>
      <c r="LC74" s="456"/>
      <c r="LD74" s="456"/>
      <c r="LE74" s="456"/>
      <c r="LF74" s="456"/>
      <c r="LG74" s="456"/>
      <c r="LH74" s="456"/>
      <c r="LI74" s="456"/>
      <c r="LJ74" s="456"/>
      <c r="LK74" s="456"/>
      <c r="LL74" s="456"/>
      <c r="LM74" s="456"/>
      <c r="LN74" s="456"/>
      <c r="LO74" s="456"/>
      <c r="LP74" s="456"/>
      <c r="LQ74" s="456"/>
      <c r="LR74" s="456"/>
      <c r="LS74" s="456"/>
      <c r="LT74" s="456"/>
      <c r="LU74" s="456"/>
      <c r="LV74" s="456"/>
      <c r="LW74" s="456"/>
      <c r="LX74" s="456"/>
      <c r="LY74" s="456"/>
      <c r="LZ74" s="456"/>
      <c r="MA74" s="456"/>
      <c r="MB74" s="456"/>
      <c r="MC74" s="456"/>
      <c r="MD74" s="456"/>
      <c r="ME74" s="456"/>
      <c r="MF74" s="456"/>
      <c r="MG74" s="456"/>
      <c r="MH74" s="456"/>
      <c r="MI74" s="456"/>
      <c r="MJ74" s="456"/>
      <c r="MK74" s="456"/>
      <c r="ML74" s="456"/>
      <c r="MM74" s="456"/>
      <c r="MN74" s="456"/>
      <c r="MO74" s="456"/>
      <c r="MP74" s="456"/>
      <c r="MQ74" s="456"/>
      <c r="MR74" s="456"/>
      <c r="MS74" s="456"/>
      <c r="MT74" s="456"/>
      <c r="MU74" s="456"/>
      <c r="MV74" s="456"/>
      <c r="MW74" s="456"/>
      <c r="MX74" s="456"/>
      <c r="MY74" s="456"/>
      <c r="MZ74" s="456"/>
      <c r="NA74" s="456"/>
      <c r="NB74" s="456"/>
      <c r="NC74" s="456"/>
      <c r="ND74" s="456"/>
      <c r="NE74" s="456"/>
      <c r="NF74" s="456"/>
      <c r="NG74" s="456"/>
      <c r="NH74" s="456"/>
      <c r="NI74" s="456"/>
      <c r="NJ74" s="456"/>
      <c r="NK74" s="456"/>
      <c r="NL74" s="456"/>
      <c r="NM74" s="456"/>
      <c r="NN74" s="456"/>
      <c r="NO74" s="456"/>
      <c r="NP74" s="456"/>
      <c r="NQ74" s="456"/>
      <c r="NR74" s="456"/>
      <c r="NS74" s="456"/>
      <c r="NT74" s="456"/>
      <c r="NU74" s="456"/>
      <c r="NV74" s="456"/>
      <c r="NW74" s="456"/>
      <c r="NX74" s="456"/>
      <c r="NY74" s="456"/>
      <c r="NZ74" s="456"/>
      <c r="OA74" s="456"/>
      <c r="OB74" s="456"/>
      <c r="OC74" s="456"/>
      <c r="OD74" s="456"/>
      <c r="OE74" s="456"/>
      <c r="OF74" s="456"/>
      <c r="OG74" s="456"/>
      <c r="OH74" s="456"/>
      <c r="OI74" s="456"/>
      <c r="OJ74" s="456"/>
      <c r="OK74" s="456"/>
      <c r="OL74" s="456"/>
      <c r="OM74" s="456"/>
      <c r="ON74" s="456"/>
      <c r="OO74" s="456"/>
      <c r="OP74" s="456"/>
      <c r="OQ74" s="456"/>
      <c r="OR74" s="456"/>
      <c r="OS74" s="456"/>
      <c r="OT74" s="456"/>
      <c r="OU74" s="456"/>
      <c r="OV74" s="456"/>
      <c r="OW74" s="456"/>
      <c r="OX74" s="456"/>
      <c r="OY74" s="456"/>
      <c r="OZ74" s="456"/>
      <c r="PA74" s="456"/>
      <c r="PB74" s="456"/>
      <c r="PC74" s="456"/>
      <c r="PD74" s="456"/>
      <c r="PE74" s="456"/>
      <c r="PF74" s="456"/>
      <c r="PG74" s="456"/>
      <c r="PH74" s="456"/>
      <c r="PI74" s="456"/>
      <c r="PJ74" s="456"/>
      <c r="PK74" s="456"/>
      <c r="PL74" s="456"/>
      <c r="PM74" s="456"/>
      <c r="PN74" s="456"/>
      <c r="PO74" s="456"/>
      <c r="PP74" s="456"/>
      <c r="PQ74" s="456"/>
      <c r="PR74" s="456"/>
      <c r="PS74" s="456"/>
      <c r="PT74" s="456"/>
      <c r="PU74" s="456"/>
      <c r="PV74" s="456"/>
      <c r="PW74" s="456"/>
      <c r="PX74" s="456"/>
      <c r="PY74" s="456"/>
      <c r="PZ74" s="456"/>
      <c r="QA74" s="456"/>
      <c r="QB74" s="456"/>
      <c r="QC74" s="456"/>
      <c r="QD74" s="456"/>
      <c r="QE74" s="456"/>
      <c r="QF74" s="456"/>
      <c r="QG74" s="456"/>
      <c r="QH74" s="456"/>
      <c r="QI74" s="456"/>
      <c r="QJ74" s="456"/>
      <c r="QK74" s="456"/>
      <c r="QL74" s="456"/>
      <c r="QM74" s="456"/>
      <c r="QN74" s="456"/>
      <c r="QO74" s="456"/>
      <c r="QP74" s="456"/>
      <c r="QQ74" s="456"/>
      <c r="QR74" s="456"/>
      <c r="QS74" s="456"/>
      <c r="QT74" s="456"/>
      <c r="QU74" s="456"/>
      <c r="QV74" s="456"/>
      <c r="QW74" s="456"/>
      <c r="QX74" s="456"/>
      <c r="QY74" s="456"/>
      <c r="QZ74" s="456"/>
      <c r="RA74" s="456"/>
      <c r="RB74" s="456"/>
      <c r="RC74" s="456"/>
      <c r="RD74" s="456"/>
      <c r="RE74" s="456"/>
      <c r="RF74" s="456"/>
      <c r="RG74" s="456"/>
      <c r="RH74" s="456"/>
      <c r="RI74" s="456"/>
      <c r="RJ74" s="456"/>
      <c r="RK74" s="456"/>
      <c r="RL74" s="456"/>
      <c r="RM74" s="456"/>
      <c r="RN74" s="456"/>
      <c r="RO74" s="456"/>
      <c r="RP74" s="456"/>
      <c r="RQ74" s="456"/>
      <c r="RR74" s="456"/>
      <c r="RS74" s="456"/>
      <c r="RT74" s="456"/>
      <c r="RU74" s="456"/>
      <c r="RV74" s="456"/>
      <c r="RW74" s="456"/>
      <c r="RX74" s="456"/>
      <c r="RY74" s="456"/>
      <c r="RZ74" s="456"/>
      <c r="SA74" s="456"/>
      <c r="SB74" s="456"/>
      <c r="SC74" s="456"/>
      <c r="SD74" s="456"/>
      <c r="SE74" s="456"/>
      <c r="SF74" s="456"/>
      <c r="SG74" s="456"/>
      <c r="SH74" s="456"/>
      <c r="SI74" s="456"/>
      <c r="SJ74" s="456"/>
      <c r="SK74" s="456"/>
      <c r="SL74" s="456"/>
      <c r="SM74" s="456"/>
      <c r="SN74" s="456"/>
      <c r="SO74" s="456"/>
      <c r="SP74" s="456"/>
      <c r="SQ74" s="456"/>
      <c r="SR74" s="456"/>
      <c r="SS74" s="456"/>
      <c r="ST74" s="456"/>
      <c r="SU74" s="456"/>
      <c r="SV74" s="456"/>
      <c r="SW74" s="456"/>
      <c r="SX74" s="456"/>
      <c r="SY74" s="456"/>
      <c r="SZ74" s="456"/>
      <c r="TA74" s="456"/>
      <c r="TB74" s="456"/>
      <c r="TC74" s="456"/>
      <c r="TD74" s="456"/>
      <c r="TE74" s="456"/>
      <c r="TF74" s="456"/>
      <c r="TG74" s="456"/>
      <c r="TH74" s="456"/>
      <c r="TI74" s="456"/>
      <c r="TJ74" s="456"/>
      <c r="TK74" s="456"/>
      <c r="TL74" s="456"/>
      <c r="TM74" s="456"/>
      <c r="TN74" s="456"/>
      <c r="TO74" s="456"/>
      <c r="TP74" s="456"/>
      <c r="TQ74" s="456"/>
      <c r="TR74" s="456"/>
      <c r="TS74" s="456"/>
      <c r="TT74" s="456"/>
      <c r="TU74" s="456"/>
      <c r="TV74" s="456"/>
      <c r="TW74" s="456"/>
      <c r="TX74" s="456"/>
      <c r="TY74" s="456"/>
      <c r="TZ74" s="456"/>
      <c r="UA74" s="456"/>
      <c r="UB74" s="456"/>
      <c r="UC74" s="456"/>
      <c r="UD74" s="456"/>
      <c r="UE74" s="456"/>
      <c r="UF74" s="456"/>
      <c r="UG74" s="456"/>
      <c r="UH74" s="456"/>
      <c r="UI74" s="456"/>
      <c r="UJ74" s="456"/>
      <c r="UK74" s="456"/>
      <c r="UL74" s="456"/>
      <c r="UM74" s="456"/>
      <c r="UN74" s="456"/>
      <c r="UO74" s="456"/>
      <c r="UP74" s="456"/>
      <c r="UQ74" s="456"/>
      <c r="UR74" s="456"/>
      <c r="US74" s="456"/>
      <c r="UT74" s="456"/>
      <c r="UU74" s="456"/>
      <c r="UV74" s="456"/>
      <c r="UW74" s="456"/>
      <c r="UX74" s="456"/>
      <c r="UY74" s="456"/>
      <c r="UZ74" s="456"/>
      <c r="VA74" s="456"/>
      <c r="VB74" s="456"/>
      <c r="VC74" s="456"/>
      <c r="VD74" s="456"/>
      <c r="VE74" s="456"/>
      <c r="VF74" s="456"/>
      <c r="VG74" s="456"/>
      <c r="VH74" s="456"/>
      <c r="VI74" s="456"/>
      <c r="VJ74" s="456"/>
      <c r="VK74" s="456"/>
      <c r="VL74" s="456"/>
      <c r="VM74" s="456"/>
      <c r="VN74" s="456"/>
      <c r="VO74" s="456"/>
      <c r="VP74" s="456"/>
      <c r="VQ74" s="456"/>
      <c r="VR74" s="456"/>
      <c r="VS74" s="456"/>
      <c r="VT74" s="456"/>
      <c r="VU74" s="456"/>
      <c r="VV74" s="456"/>
      <c r="VW74" s="456"/>
      <c r="VX74" s="456"/>
      <c r="VY74" s="456"/>
      <c r="VZ74" s="456"/>
      <c r="WA74" s="456"/>
      <c r="WB74" s="456"/>
      <c r="WC74" s="456"/>
      <c r="WD74" s="456"/>
      <c r="WE74" s="456"/>
      <c r="WF74" s="456"/>
      <c r="WG74" s="456"/>
      <c r="WH74" s="456"/>
      <c r="WI74" s="456"/>
      <c r="WJ74" s="456"/>
      <c r="WK74" s="456"/>
      <c r="WL74" s="456"/>
      <c r="WM74" s="456"/>
      <c r="WN74" s="456"/>
      <c r="WO74" s="456"/>
      <c r="WP74" s="456"/>
      <c r="WQ74" s="456"/>
      <c r="WR74" s="456"/>
      <c r="WS74" s="456"/>
      <c r="WT74" s="456"/>
      <c r="WU74" s="456"/>
      <c r="WV74" s="456"/>
      <c r="WW74" s="456"/>
      <c r="WX74" s="456"/>
      <c r="WY74" s="456"/>
      <c r="WZ74" s="456"/>
      <c r="XA74" s="456"/>
      <c r="XB74" s="456"/>
      <c r="XC74" s="456"/>
      <c r="XD74" s="456"/>
      <c r="XE74" s="456"/>
      <c r="XF74" s="456"/>
      <c r="XG74" s="456"/>
      <c r="XH74" s="456"/>
      <c r="XI74" s="456"/>
      <c r="XJ74" s="456"/>
      <c r="XK74" s="456"/>
      <c r="XL74" s="456"/>
      <c r="XM74" s="456"/>
      <c r="XN74" s="456"/>
      <c r="XO74" s="456"/>
      <c r="XP74" s="456"/>
      <c r="XQ74" s="456"/>
      <c r="XR74" s="456"/>
      <c r="XS74" s="456"/>
      <c r="XT74" s="456"/>
      <c r="XU74" s="456"/>
      <c r="XV74" s="456"/>
      <c r="XW74" s="456"/>
      <c r="XX74" s="456"/>
      <c r="XY74" s="456"/>
      <c r="XZ74" s="456"/>
      <c r="YA74" s="456"/>
      <c r="YB74" s="456"/>
      <c r="YC74" s="456"/>
      <c r="YD74" s="456"/>
      <c r="YE74" s="456"/>
      <c r="YF74" s="456"/>
      <c r="YG74" s="456"/>
      <c r="YH74" s="456"/>
      <c r="YI74" s="456"/>
      <c r="YJ74" s="456"/>
      <c r="YK74" s="456"/>
      <c r="YL74" s="456"/>
      <c r="YM74" s="456"/>
      <c r="YN74" s="456"/>
      <c r="YO74" s="456"/>
      <c r="YP74" s="456"/>
      <c r="YQ74" s="456"/>
      <c r="YR74" s="456"/>
      <c r="YS74" s="456"/>
      <c r="YT74" s="456"/>
      <c r="YU74" s="456"/>
      <c r="YV74" s="456"/>
      <c r="YW74" s="456"/>
      <c r="YX74" s="456"/>
      <c r="YY74" s="456"/>
      <c r="YZ74" s="456"/>
      <c r="ZA74" s="456"/>
      <c r="ZB74" s="456"/>
      <c r="ZC74" s="456"/>
      <c r="ZD74" s="456"/>
      <c r="ZE74" s="456"/>
      <c r="ZF74" s="456"/>
      <c r="ZG74" s="456"/>
      <c r="ZH74" s="456"/>
      <c r="ZI74" s="456"/>
      <c r="ZJ74" s="456"/>
      <c r="ZK74" s="456"/>
      <c r="ZL74" s="456"/>
      <c r="ZM74" s="456"/>
      <c r="ZN74" s="456"/>
      <c r="ZO74" s="456"/>
      <c r="ZP74" s="456"/>
      <c r="ZQ74" s="456"/>
      <c r="ZR74" s="456"/>
      <c r="ZS74" s="456"/>
      <c r="ZT74" s="456"/>
      <c r="ZU74" s="456"/>
      <c r="ZV74" s="456"/>
      <c r="ZW74" s="456"/>
      <c r="ZX74" s="456"/>
      <c r="ZY74" s="456"/>
      <c r="ZZ74" s="456"/>
      <c r="AAA74" s="456"/>
      <c r="AAB74" s="456"/>
      <c r="AAC74" s="456"/>
      <c r="AAD74" s="456"/>
      <c r="AAE74" s="456"/>
      <c r="AAF74" s="456"/>
      <c r="AAG74" s="456"/>
      <c r="AAH74" s="456"/>
      <c r="AAI74" s="456"/>
      <c r="AAJ74" s="456"/>
      <c r="AAK74" s="456"/>
      <c r="AAL74" s="456"/>
      <c r="AAM74" s="456"/>
      <c r="AAN74" s="456"/>
      <c r="AAO74" s="456"/>
      <c r="AAP74" s="456"/>
      <c r="AAQ74" s="456"/>
      <c r="AAR74" s="456"/>
      <c r="AAS74" s="456"/>
      <c r="AAT74" s="456"/>
      <c r="AAU74" s="456"/>
      <c r="AAV74" s="456"/>
      <c r="AAW74" s="456"/>
      <c r="AAX74" s="456"/>
      <c r="AAY74" s="456"/>
      <c r="AAZ74" s="456"/>
      <c r="ABA74" s="456"/>
      <c r="ABB74" s="456"/>
      <c r="ABC74" s="456"/>
      <c r="ABD74" s="456"/>
      <c r="ABE74" s="456"/>
      <c r="ABF74" s="456"/>
      <c r="ABG74" s="456"/>
      <c r="ABH74" s="456"/>
      <c r="ABI74" s="456"/>
      <c r="ABJ74" s="456"/>
      <c r="ABK74" s="456"/>
      <c r="ABL74" s="456"/>
      <c r="ABM74" s="456"/>
      <c r="ABN74" s="456"/>
      <c r="ABO74" s="456"/>
      <c r="ABP74" s="456"/>
      <c r="ABQ74" s="456"/>
      <c r="ABR74" s="456"/>
      <c r="ABS74" s="456"/>
      <c r="ABT74" s="456"/>
      <c r="ABU74" s="456"/>
      <c r="ABV74" s="456"/>
      <c r="ABW74" s="456"/>
      <c r="ABX74" s="456"/>
      <c r="ABY74" s="456"/>
      <c r="ABZ74" s="456"/>
      <c r="ACA74" s="456"/>
      <c r="ACB74" s="456"/>
      <c r="ACC74" s="456"/>
      <c r="ACD74" s="456"/>
      <c r="ACE74" s="456"/>
      <c r="ACF74" s="456"/>
      <c r="ACG74" s="456"/>
      <c r="ACH74" s="456"/>
      <c r="ACI74" s="456"/>
      <c r="ACJ74" s="456"/>
      <c r="ACK74" s="456"/>
      <c r="ACL74" s="456"/>
      <c r="ACM74" s="456"/>
      <c r="ACN74" s="456"/>
      <c r="ACO74" s="456"/>
      <c r="ACP74" s="456"/>
      <c r="ACQ74" s="456"/>
      <c r="ACR74" s="456"/>
      <c r="ACS74" s="456"/>
      <c r="ACT74" s="456"/>
      <c r="ACU74" s="456"/>
      <c r="ACV74" s="456"/>
      <c r="ACW74" s="456"/>
      <c r="ACX74" s="456"/>
      <c r="ACY74" s="456"/>
      <c r="ACZ74" s="456"/>
      <c r="ADA74" s="456"/>
      <c r="ADB74" s="456"/>
      <c r="ADC74" s="456"/>
      <c r="ADD74" s="456"/>
      <c r="ADE74" s="456"/>
      <c r="ADF74" s="456"/>
      <c r="ADG74" s="456"/>
      <c r="ADH74" s="456"/>
      <c r="ADI74" s="456"/>
      <c r="ADJ74" s="456"/>
      <c r="ADK74" s="456"/>
      <c r="ADL74" s="456"/>
      <c r="ADM74" s="456"/>
      <c r="ADN74" s="456"/>
      <c r="ADO74" s="456"/>
      <c r="ADP74" s="456"/>
      <c r="ADQ74" s="456"/>
      <c r="ADR74" s="456"/>
      <c r="ADS74" s="456"/>
      <c r="ADT74" s="456"/>
      <c r="ADU74" s="456"/>
      <c r="ADV74" s="456"/>
      <c r="ADW74" s="456"/>
      <c r="ADX74" s="456"/>
      <c r="ADY74" s="456"/>
      <c r="ADZ74" s="456"/>
      <c r="AEA74" s="456"/>
      <c r="AEB74" s="456"/>
      <c r="AEC74" s="456"/>
      <c r="AED74" s="456"/>
      <c r="AEE74" s="456"/>
      <c r="AEF74" s="456"/>
      <c r="AEG74" s="456"/>
      <c r="AEH74" s="456"/>
      <c r="AEI74" s="456"/>
      <c r="AEJ74" s="456"/>
      <c r="AEK74" s="456"/>
      <c r="AEL74" s="456"/>
      <c r="AEM74" s="456"/>
      <c r="AEN74" s="456"/>
      <c r="AEO74" s="456"/>
      <c r="AEP74" s="456"/>
      <c r="AEQ74" s="456"/>
      <c r="AER74" s="456"/>
      <c r="AES74" s="456"/>
      <c r="AET74" s="456"/>
      <c r="AEU74" s="456"/>
      <c r="AEV74" s="456"/>
      <c r="AEW74" s="456"/>
      <c r="AEX74" s="456"/>
      <c r="AEY74" s="456"/>
      <c r="AEZ74" s="456"/>
      <c r="AFA74" s="456"/>
      <c r="AFB74" s="456"/>
      <c r="AFC74" s="456"/>
      <c r="AFD74" s="456"/>
      <c r="AFE74" s="456"/>
      <c r="AFF74" s="456"/>
      <c r="AFG74" s="456"/>
      <c r="AFH74" s="456"/>
      <c r="AFI74" s="456"/>
      <c r="AFJ74" s="456"/>
      <c r="AFK74" s="456"/>
      <c r="AFL74" s="456"/>
      <c r="AFM74" s="456"/>
      <c r="AFN74" s="456"/>
      <c r="AFO74" s="456"/>
      <c r="AFP74" s="456"/>
      <c r="AFQ74" s="456"/>
      <c r="AFR74" s="456"/>
      <c r="AFS74" s="456"/>
      <c r="AFT74" s="456"/>
      <c r="AFU74" s="456"/>
      <c r="AFV74" s="456"/>
      <c r="AFW74" s="456"/>
      <c r="AFX74" s="456"/>
      <c r="AFY74" s="456"/>
      <c r="AFZ74" s="456"/>
      <c r="AGA74" s="456"/>
      <c r="AGB74" s="456"/>
      <c r="AGC74" s="456"/>
      <c r="AGD74" s="456"/>
      <c r="AGE74" s="456"/>
      <c r="AGF74" s="456"/>
      <c r="AGG74" s="456"/>
      <c r="AGH74" s="456"/>
      <c r="AGI74" s="456"/>
      <c r="AGJ74" s="456"/>
      <c r="AGK74" s="456"/>
      <c r="AGL74" s="456"/>
      <c r="AGM74" s="456"/>
      <c r="AGN74" s="456"/>
      <c r="AGO74" s="456"/>
      <c r="AGP74" s="456"/>
      <c r="AGQ74" s="456"/>
      <c r="AGR74" s="456"/>
      <c r="AGS74" s="456"/>
      <c r="AGT74" s="456"/>
      <c r="AGU74" s="456"/>
      <c r="AGV74" s="456"/>
      <c r="AGW74" s="456"/>
      <c r="AGX74" s="456"/>
      <c r="AGY74" s="456"/>
      <c r="AGZ74" s="456"/>
      <c r="AHA74" s="456"/>
      <c r="AHB74" s="456"/>
      <c r="AHC74" s="456"/>
      <c r="AHD74" s="456"/>
      <c r="AHE74" s="456"/>
      <c r="AHF74" s="456"/>
      <c r="AHG74" s="456"/>
      <c r="AHH74" s="456"/>
      <c r="AHI74" s="456"/>
      <c r="AHJ74" s="456"/>
      <c r="AHK74" s="456"/>
      <c r="AHL74" s="456"/>
      <c r="AHM74" s="456"/>
      <c r="AHN74" s="456"/>
      <c r="AHO74" s="456"/>
      <c r="AHP74" s="456"/>
      <c r="AHQ74" s="456"/>
      <c r="AHR74" s="456"/>
      <c r="AHS74" s="456"/>
      <c r="AHT74" s="456"/>
      <c r="AHU74" s="456"/>
      <c r="AHV74" s="456"/>
      <c r="AHW74" s="456"/>
      <c r="AHX74" s="456"/>
      <c r="AHY74" s="456"/>
      <c r="AHZ74" s="456"/>
      <c r="AIA74" s="456"/>
      <c r="AIB74" s="456"/>
      <c r="AIC74" s="456"/>
      <c r="AID74" s="456"/>
      <c r="AIE74" s="456"/>
      <c r="AIF74" s="456"/>
      <c r="AIG74" s="456"/>
      <c r="AIH74" s="456"/>
      <c r="AII74" s="456"/>
      <c r="AIJ74" s="456"/>
      <c r="AIK74" s="456"/>
      <c r="AIL74" s="456"/>
      <c r="AIM74" s="456"/>
      <c r="AIN74" s="456"/>
      <c r="AIO74" s="456"/>
      <c r="AIP74" s="456"/>
      <c r="AIQ74" s="456"/>
      <c r="AIR74" s="456"/>
      <c r="AIS74" s="456"/>
      <c r="AIT74" s="456"/>
      <c r="AIU74" s="456"/>
      <c r="AIV74" s="456"/>
      <c r="AIW74" s="456"/>
      <c r="AIX74" s="456"/>
      <c r="AIY74" s="456"/>
      <c r="AIZ74" s="456"/>
      <c r="AJA74" s="456"/>
      <c r="AJB74" s="456"/>
      <c r="AJC74" s="456"/>
      <c r="AJD74" s="456"/>
      <c r="AJE74" s="456"/>
      <c r="AJF74" s="456"/>
      <c r="AJG74" s="456"/>
      <c r="AJH74" s="456"/>
      <c r="AJI74" s="456"/>
      <c r="AJJ74" s="456"/>
      <c r="AJK74" s="456"/>
      <c r="AJL74" s="456"/>
      <c r="AJM74" s="456"/>
      <c r="AJN74" s="456"/>
      <c r="AJO74" s="456"/>
      <c r="AJP74" s="456"/>
      <c r="AJQ74" s="456"/>
      <c r="AJR74" s="456"/>
      <c r="AJS74" s="456"/>
      <c r="AJT74" s="456"/>
      <c r="AJU74" s="456"/>
      <c r="AJV74" s="456"/>
      <c r="AJW74" s="456"/>
      <c r="AJX74" s="456"/>
      <c r="AJY74" s="456"/>
      <c r="AJZ74" s="456"/>
      <c r="AKA74" s="456"/>
      <c r="AKB74" s="456"/>
      <c r="AKC74" s="456"/>
      <c r="AKD74" s="456"/>
      <c r="AKE74" s="456"/>
      <c r="AKF74" s="456"/>
      <c r="AKG74" s="456"/>
      <c r="AKH74" s="456"/>
      <c r="AKI74" s="456"/>
      <c r="AKJ74" s="456"/>
      <c r="AKK74" s="456"/>
      <c r="AKL74" s="456"/>
      <c r="AKM74" s="456"/>
      <c r="AKN74" s="456"/>
      <c r="AKO74" s="456"/>
      <c r="AKP74" s="456"/>
      <c r="AKQ74" s="456"/>
      <c r="AKR74" s="456"/>
      <c r="AKS74" s="456"/>
      <c r="AKT74" s="456"/>
      <c r="AKU74" s="456"/>
      <c r="AKV74" s="456"/>
      <c r="AKW74" s="456"/>
      <c r="AKX74" s="456"/>
      <c r="AKY74" s="456"/>
      <c r="AKZ74" s="456"/>
      <c r="ALA74" s="456"/>
      <c r="ALB74" s="456"/>
      <c r="ALC74" s="456"/>
      <c r="ALD74" s="456"/>
      <c r="ALE74" s="456"/>
      <c r="ALF74" s="456"/>
      <c r="ALG74" s="456"/>
      <c r="ALH74" s="456"/>
      <c r="ALI74" s="456"/>
      <c r="ALJ74" s="456"/>
      <c r="ALK74" s="456"/>
      <c r="ALL74" s="456"/>
      <c r="ALM74" s="456"/>
      <c r="ALN74" s="456"/>
      <c r="ALO74" s="456"/>
      <c r="ALP74" s="456"/>
      <c r="ALQ74" s="456"/>
      <c r="ALR74" s="456"/>
      <c r="ALS74" s="456"/>
      <c r="ALT74" s="456"/>
      <c r="ALU74" s="456"/>
      <c r="ALV74" s="456"/>
      <c r="ALW74" s="456"/>
      <c r="ALX74" s="456"/>
      <c r="ALY74" s="456"/>
      <c r="ALZ74" s="456"/>
      <c r="AMA74" s="456"/>
      <c r="AMB74" s="456"/>
      <c r="AMC74" s="456"/>
      <c r="AMD74" s="456"/>
      <c r="AME74" s="456"/>
      <c r="AMF74" s="456"/>
      <c r="AMG74" s="456"/>
      <c r="AMH74" s="456"/>
      <c r="AMI74" s="456"/>
      <c r="AMJ74" s="456"/>
      <c r="AMK74" s="456"/>
      <c r="AML74" s="456"/>
      <c r="AMM74" s="456"/>
      <c r="AMN74" s="456"/>
      <c r="AMO74" s="456"/>
      <c r="AMP74" s="456"/>
      <c r="AMQ74" s="456"/>
      <c r="AMR74" s="456"/>
      <c r="AMS74" s="456"/>
      <c r="AMT74" s="456"/>
      <c r="AMU74" s="456"/>
      <c r="AMV74" s="456"/>
      <c r="AMW74" s="456"/>
      <c r="AMX74" s="456"/>
      <c r="AMY74" s="456"/>
      <c r="AMZ74" s="456"/>
      <c r="ANA74" s="456"/>
      <c r="ANB74" s="456"/>
      <c r="ANC74" s="456"/>
      <c r="AND74" s="456"/>
      <c r="ANE74" s="456"/>
      <c r="ANF74" s="456"/>
      <c r="ANG74" s="456"/>
      <c r="ANH74" s="456"/>
      <c r="ANI74" s="456"/>
      <c r="ANJ74" s="456"/>
      <c r="ANK74" s="456"/>
      <c r="ANL74" s="456"/>
      <c r="ANM74" s="456"/>
      <c r="ANN74" s="456"/>
      <c r="ANO74" s="456"/>
      <c r="ANP74" s="456"/>
      <c r="ANQ74" s="456"/>
      <c r="ANR74" s="456"/>
      <c r="ANS74" s="456"/>
      <c r="ANT74" s="456"/>
      <c r="ANU74" s="456"/>
      <c r="ANV74" s="456"/>
      <c r="ANW74" s="456"/>
      <c r="ANX74" s="456"/>
      <c r="ANY74" s="456"/>
      <c r="ANZ74" s="456"/>
      <c r="AOA74" s="456"/>
      <c r="AOB74" s="456"/>
      <c r="AOC74" s="456"/>
      <c r="AOD74" s="456"/>
      <c r="AOE74" s="456"/>
      <c r="AOF74" s="456"/>
      <c r="AOG74" s="456"/>
      <c r="AOH74" s="456"/>
      <c r="AOI74" s="456"/>
      <c r="AOJ74" s="456"/>
      <c r="AOK74" s="456"/>
      <c r="AOL74" s="456"/>
      <c r="AOM74" s="456"/>
      <c r="AON74" s="456"/>
      <c r="AOO74" s="456"/>
      <c r="AOP74" s="456"/>
      <c r="AOQ74" s="456"/>
      <c r="AOR74" s="456"/>
      <c r="AOS74" s="456"/>
      <c r="AOT74" s="456"/>
      <c r="AOU74" s="456"/>
      <c r="AOV74" s="456"/>
      <c r="AOW74" s="456"/>
      <c r="AOX74" s="456"/>
      <c r="AOY74" s="456"/>
      <c r="AOZ74" s="456"/>
      <c r="APA74" s="456"/>
      <c r="APB74" s="456"/>
      <c r="APC74" s="456"/>
      <c r="APD74" s="456"/>
      <c r="APE74" s="456"/>
      <c r="APF74" s="456"/>
      <c r="APG74" s="456"/>
      <c r="APH74" s="456"/>
      <c r="API74" s="456"/>
      <c r="APJ74" s="456"/>
      <c r="APK74" s="456"/>
      <c r="APL74" s="456"/>
      <c r="APM74" s="456"/>
      <c r="APN74" s="456"/>
      <c r="APO74" s="456"/>
      <c r="APP74" s="456"/>
      <c r="APQ74" s="456"/>
      <c r="APR74" s="456"/>
      <c r="APS74" s="456"/>
      <c r="APT74" s="456"/>
      <c r="APU74" s="456"/>
      <c r="APV74" s="456"/>
      <c r="APW74" s="456"/>
      <c r="APX74" s="456"/>
      <c r="APY74" s="456"/>
      <c r="APZ74" s="456"/>
      <c r="AQA74" s="456"/>
      <c r="AQB74" s="456"/>
      <c r="AQC74" s="456"/>
      <c r="AQD74" s="456"/>
      <c r="AQE74" s="456"/>
      <c r="AQF74" s="456"/>
      <c r="AQG74" s="456"/>
      <c r="AQH74" s="456"/>
      <c r="AQI74" s="456"/>
      <c r="AQJ74" s="456"/>
      <c r="AQK74" s="456"/>
      <c r="AQL74" s="456"/>
      <c r="AQM74" s="456"/>
      <c r="AQN74" s="456"/>
      <c r="AQO74" s="456"/>
      <c r="AQP74" s="456"/>
      <c r="AQQ74" s="456"/>
      <c r="AQR74" s="456"/>
      <c r="AQS74" s="456"/>
      <c r="AQT74" s="456"/>
      <c r="AQU74" s="456"/>
      <c r="AQV74" s="456"/>
      <c r="AQW74" s="456"/>
      <c r="AQX74" s="456"/>
      <c r="AQY74" s="456"/>
      <c r="AQZ74" s="456"/>
      <c r="ARA74" s="456"/>
      <c r="ARB74" s="456"/>
      <c r="ARC74" s="456"/>
      <c r="ARD74" s="456"/>
      <c r="ARE74" s="456"/>
      <c r="ARF74" s="456"/>
      <c r="ARG74" s="456"/>
      <c r="ARH74" s="456"/>
      <c r="ARI74" s="456"/>
      <c r="ARJ74" s="456"/>
      <c r="ARK74" s="456"/>
      <c r="ARL74" s="456"/>
      <c r="ARM74" s="456"/>
      <c r="ARN74" s="456"/>
      <c r="ARO74" s="456"/>
      <c r="ARP74" s="456"/>
      <c r="ARQ74" s="456"/>
      <c r="ARR74" s="456"/>
      <c r="ARS74" s="456"/>
      <c r="ART74" s="456"/>
      <c r="ARU74" s="456"/>
      <c r="ARV74" s="456"/>
      <c r="ARW74" s="456"/>
      <c r="ARX74" s="456"/>
      <c r="ARY74" s="456"/>
      <c r="ARZ74" s="456"/>
      <c r="ASA74" s="456"/>
      <c r="ASB74" s="456"/>
      <c r="ASC74" s="456"/>
      <c r="ASD74" s="456"/>
      <c r="ASE74" s="456"/>
      <c r="ASF74" s="456"/>
      <c r="ASG74" s="456"/>
      <c r="ASH74" s="456"/>
      <c r="ASI74" s="456"/>
      <c r="ASJ74" s="456"/>
      <c r="ASK74" s="456"/>
      <c r="ASL74" s="456"/>
      <c r="ASM74" s="456"/>
      <c r="ASN74" s="456"/>
      <c r="ASO74" s="456"/>
      <c r="ASP74" s="456"/>
      <c r="ASQ74" s="456"/>
      <c r="ASR74" s="456"/>
      <c r="ASS74" s="456"/>
      <c r="AST74" s="456"/>
      <c r="ASU74" s="456"/>
      <c r="ASV74" s="456"/>
      <c r="ASW74" s="456"/>
      <c r="ASX74" s="456"/>
      <c r="ASY74" s="456"/>
      <c r="ASZ74" s="456"/>
      <c r="ATA74" s="456"/>
      <c r="ATB74" s="456"/>
      <c r="ATC74" s="456"/>
      <c r="ATD74" s="456"/>
      <c r="ATE74" s="456"/>
      <c r="ATF74" s="456"/>
      <c r="ATG74" s="456"/>
      <c r="ATH74" s="456"/>
      <c r="ATI74" s="456"/>
      <c r="ATJ74" s="456"/>
      <c r="ATK74" s="456"/>
      <c r="ATL74" s="456"/>
      <c r="ATM74" s="456"/>
      <c r="ATN74" s="456"/>
      <c r="ATO74" s="456"/>
      <c r="ATP74" s="456"/>
      <c r="ATQ74" s="456"/>
      <c r="ATR74" s="456"/>
      <c r="ATS74" s="456"/>
      <c r="ATT74" s="456"/>
      <c r="ATU74" s="456"/>
      <c r="ATV74" s="456"/>
      <c r="ATW74" s="456"/>
      <c r="ATX74" s="456"/>
      <c r="ATY74" s="456"/>
      <c r="ATZ74" s="456"/>
      <c r="AUA74" s="456"/>
      <c r="AUB74" s="456"/>
      <c r="AUC74" s="456"/>
      <c r="AUD74" s="456"/>
      <c r="AUE74" s="456"/>
      <c r="AUF74" s="456"/>
      <c r="AUG74" s="456"/>
      <c r="AUH74" s="456"/>
      <c r="AUI74" s="456"/>
      <c r="AUJ74" s="456"/>
      <c r="AUK74" s="456"/>
      <c r="AUL74" s="456"/>
      <c r="AUM74" s="456"/>
      <c r="AUN74" s="456"/>
      <c r="AUO74" s="456"/>
      <c r="AUP74" s="456"/>
      <c r="AUQ74" s="456"/>
      <c r="AUR74" s="456"/>
      <c r="AUS74" s="456"/>
      <c r="AUT74" s="456"/>
      <c r="AUU74" s="456"/>
      <c r="AUV74" s="456"/>
      <c r="AUW74" s="456"/>
      <c r="AUX74" s="456"/>
      <c r="AUY74" s="456"/>
      <c r="AUZ74" s="456"/>
      <c r="AVA74" s="456"/>
      <c r="AVB74" s="456"/>
      <c r="AVC74" s="456"/>
      <c r="AVD74" s="456"/>
      <c r="AVE74" s="456"/>
      <c r="AVF74" s="456"/>
      <c r="AVG74" s="456"/>
      <c r="AVH74" s="456"/>
      <c r="AVI74" s="456"/>
      <c r="AVJ74" s="456"/>
      <c r="AVK74" s="456"/>
      <c r="AVL74" s="456"/>
      <c r="AVM74" s="456"/>
      <c r="AVN74" s="456"/>
      <c r="AVO74" s="456"/>
      <c r="AVP74" s="456"/>
      <c r="AVQ74" s="456"/>
      <c r="AVR74" s="456"/>
      <c r="AVS74" s="456"/>
      <c r="AVT74" s="456"/>
      <c r="AVU74" s="456"/>
      <c r="AVV74" s="456"/>
      <c r="AVW74" s="456"/>
      <c r="AVX74" s="456"/>
      <c r="AVY74" s="456"/>
      <c r="AVZ74" s="456"/>
      <c r="AWA74" s="456"/>
      <c r="AWB74" s="456"/>
      <c r="AWC74" s="456"/>
      <c r="AWD74" s="456"/>
      <c r="AWE74" s="456"/>
      <c r="AWF74" s="456"/>
      <c r="AWG74" s="456"/>
      <c r="AWH74" s="456"/>
      <c r="AWI74" s="456"/>
      <c r="AWJ74" s="456"/>
      <c r="AWK74" s="456"/>
      <c r="AWL74" s="456"/>
      <c r="AWM74" s="456"/>
      <c r="AWN74" s="456"/>
      <c r="AWO74" s="456"/>
      <c r="AWP74" s="456"/>
      <c r="AWQ74" s="456"/>
      <c r="AWR74" s="456"/>
      <c r="AWS74" s="456"/>
      <c r="AWT74" s="456"/>
      <c r="AWU74" s="456"/>
      <c r="AWV74" s="456"/>
      <c r="AWW74" s="456"/>
      <c r="AWX74" s="456"/>
      <c r="AWY74" s="456"/>
      <c r="AWZ74" s="456"/>
      <c r="AXA74" s="456"/>
      <c r="AXB74" s="456"/>
      <c r="AXC74" s="456"/>
      <c r="AXD74" s="456"/>
      <c r="AXE74" s="456"/>
      <c r="AXF74" s="456"/>
      <c r="AXG74" s="456"/>
      <c r="AXH74" s="456"/>
      <c r="AXI74" s="456"/>
      <c r="AXJ74" s="456"/>
      <c r="AXK74" s="456"/>
      <c r="AXL74" s="456"/>
      <c r="AXM74" s="456"/>
      <c r="AXN74" s="456"/>
      <c r="AXO74" s="456"/>
      <c r="AXP74" s="456"/>
      <c r="AXQ74" s="456"/>
      <c r="AXR74" s="456"/>
      <c r="AXS74" s="456"/>
      <c r="AXT74" s="456"/>
      <c r="AXU74" s="456"/>
      <c r="AXV74" s="456"/>
      <c r="AXW74" s="456"/>
      <c r="AXX74" s="456"/>
      <c r="AXY74" s="456"/>
      <c r="AXZ74" s="456"/>
      <c r="AYA74" s="456"/>
      <c r="AYB74" s="456"/>
      <c r="AYC74" s="456"/>
      <c r="AYD74" s="456"/>
      <c r="AYE74" s="456"/>
      <c r="AYF74" s="456"/>
      <c r="AYG74" s="456"/>
      <c r="AYH74" s="456"/>
      <c r="AYI74" s="456"/>
      <c r="AYJ74" s="456"/>
      <c r="AYK74" s="456"/>
      <c r="AYL74" s="456"/>
      <c r="AYM74" s="456"/>
      <c r="AYN74" s="456"/>
      <c r="AYO74" s="456"/>
      <c r="AYP74" s="456"/>
      <c r="AYQ74" s="456"/>
      <c r="AYR74" s="456"/>
      <c r="AYS74" s="456"/>
      <c r="AYT74" s="456"/>
      <c r="AYU74" s="456"/>
      <c r="AYV74" s="456"/>
      <c r="AYW74" s="456"/>
      <c r="AYX74" s="456"/>
      <c r="AYY74" s="456"/>
      <c r="AYZ74" s="456"/>
      <c r="AZA74" s="456"/>
      <c r="AZB74" s="456"/>
      <c r="AZC74" s="456"/>
      <c r="AZD74" s="456"/>
      <c r="AZE74" s="456"/>
      <c r="AZF74" s="456"/>
      <c r="AZG74" s="456"/>
      <c r="AZH74" s="456"/>
      <c r="AZI74" s="456"/>
      <c r="AZJ74" s="456"/>
      <c r="AZK74" s="456"/>
      <c r="AZL74" s="456"/>
      <c r="AZM74" s="456"/>
      <c r="AZN74" s="456"/>
      <c r="AZO74" s="456"/>
      <c r="AZP74" s="456"/>
      <c r="AZQ74" s="456"/>
      <c r="AZR74" s="456"/>
      <c r="AZS74" s="456"/>
      <c r="AZT74" s="456"/>
      <c r="AZU74" s="456"/>
      <c r="AZV74" s="456"/>
      <c r="AZW74" s="456"/>
      <c r="AZX74" s="456"/>
      <c r="AZY74" s="456"/>
      <c r="AZZ74" s="456"/>
      <c r="BAA74" s="456"/>
      <c r="BAB74" s="456"/>
      <c r="BAC74" s="456"/>
      <c r="BAD74" s="456"/>
      <c r="BAE74" s="456"/>
      <c r="BAF74" s="456"/>
      <c r="BAG74" s="456"/>
      <c r="BAH74" s="456"/>
      <c r="BAI74" s="456"/>
      <c r="BAJ74" s="456"/>
      <c r="BAK74" s="456"/>
      <c r="BAL74" s="456"/>
      <c r="BAM74" s="456"/>
      <c r="BAN74" s="456"/>
      <c r="BAO74" s="456"/>
      <c r="BAP74" s="456"/>
      <c r="BAQ74" s="456"/>
      <c r="BAR74" s="456"/>
      <c r="BAS74" s="456"/>
      <c r="BAT74" s="456"/>
      <c r="BAU74" s="456"/>
      <c r="BAV74" s="456"/>
      <c r="BAW74" s="456"/>
      <c r="BAX74" s="456"/>
      <c r="BAY74" s="456"/>
      <c r="BAZ74" s="456"/>
      <c r="BBA74" s="456"/>
      <c r="BBB74" s="456"/>
      <c r="BBC74" s="456"/>
      <c r="BBD74" s="456"/>
      <c r="BBE74" s="456"/>
      <c r="BBF74" s="456"/>
      <c r="BBG74" s="456"/>
      <c r="BBH74" s="456"/>
      <c r="BBI74" s="456"/>
      <c r="BBJ74" s="456"/>
      <c r="BBK74" s="456"/>
      <c r="BBL74" s="456"/>
      <c r="BBM74" s="456"/>
      <c r="BBN74" s="456"/>
      <c r="BBO74" s="456"/>
      <c r="BBP74" s="456"/>
      <c r="BBQ74" s="456"/>
      <c r="BBR74" s="456"/>
      <c r="BBS74" s="456"/>
      <c r="BBT74" s="456"/>
      <c r="BBU74" s="456"/>
      <c r="BBV74" s="456"/>
      <c r="BBW74" s="456"/>
      <c r="BBX74" s="456"/>
      <c r="BBY74" s="456"/>
      <c r="BBZ74" s="456"/>
      <c r="BCA74" s="456"/>
      <c r="BCB74" s="456"/>
      <c r="BCC74" s="456"/>
      <c r="BCD74" s="456"/>
      <c r="BCE74" s="456"/>
      <c r="BCF74" s="456"/>
      <c r="BCG74" s="456"/>
      <c r="BCH74" s="456"/>
      <c r="BCI74" s="456"/>
      <c r="BCJ74" s="456"/>
      <c r="BCK74" s="456"/>
      <c r="BCL74" s="456"/>
      <c r="BCM74" s="456"/>
      <c r="BCN74" s="456"/>
      <c r="BCO74" s="456"/>
      <c r="BCP74" s="456"/>
      <c r="BCQ74" s="456"/>
      <c r="BCR74" s="456"/>
      <c r="BCS74" s="456"/>
      <c r="BCT74" s="456"/>
      <c r="BCU74" s="456"/>
      <c r="BCV74" s="456"/>
      <c r="BCW74" s="456"/>
      <c r="BCX74" s="456"/>
      <c r="BCY74" s="456"/>
      <c r="BCZ74" s="456"/>
      <c r="BDA74" s="456"/>
      <c r="BDB74" s="456"/>
      <c r="BDC74" s="456"/>
      <c r="BDD74" s="456"/>
      <c r="BDE74" s="456"/>
      <c r="BDF74" s="456"/>
      <c r="BDG74" s="456"/>
      <c r="BDH74" s="456"/>
      <c r="BDI74" s="456"/>
      <c r="BDJ74" s="456"/>
      <c r="BDK74" s="456"/>
      <c r="BDL74" s="456"/>
      <c r="BDM74" s="456"/>
      <c r="BDN74" s="456"/>
      <c r="BDO74" s="456"/>
      <c r="BDP74" s="456"/>
      <c r="BDQ74" s="456"/>
      <c r="BDR74" s="456"/>
      <c r="BDS74" s="456"/>
      <c r="BDT74" s="456"/>
      <c r="BDU74" s="456"/>
      <c r="BDV74" s="456"/>
      <c r="BDW74" s="456"/>
      <c r="BDX74" s="456"/>
      <c r="BDY74" s="456"/>
      <c r="BDZ74" s="456"/>
      <c r="BEA74" s="456"/>
      <c r="BEB74" s="456"/>
      <c r="BEC74" s="456"/>
      <c r="BED74" s="456"/>
      <c r="BEE74" s="456"/>
      <c r="BEF74" s="456"/>
      <c r="BEG74" s="456"/>
      <c r="BEH74" s="456"/>
      <c r="BEI74" s="456"/>
      <c r="BEJ74" s="456"/>
      <c r="BEK74" s="456"/>
      <c r="BEL74" s="456"/>
      <c r="BEM74" s="456"/>
      <c r="BEN74" s="456"/>
      <c r="BEO74" s="456"/>
      <c r="BEP74" s="456"/>
      <c r="BEQ74" s="456"/>
      <c r="BER74" s="456"/>
      <c r="BES74" s="456"/>
      <c r="BET74" s="456"/>
      <c r="BEU74" s="456"/>
      <c r="BEV74" s="456"/>
      <c r="BEW74" s="456"/>
      <c r="BEX74" s="456"/>
      <c r="BEY74" s="456"/>
      <c r="BEZ74" s="456"/>
      <c r="BFA74" s="456"/>
      <c r="BFB74" s="456"/>
      <c r="BFC74" s="456"/>
      <c r="BFD74" s="456"/>
      <c r="BFE74" s="456"/>
      <c r="BFF74" s="456"/>
      <c r="BFG74" s="456"/>
      <c r="BFH74" s="456"/>
      <c r="BFI74" s="456"/>
      <c r="BFJ74" s="456"/>
      <c r="BFK74" s="456"/>
      <c r="BFL74" s="456"/>
      <c r="BFM74" s="456"/>
      <c r="BFN74" s="456"/>
      <c r="BFO74" s="456"/>
      <c r="BFP74" s="456"/>
      <c r="BFQ74" s="456"/>
      <c r="BFR74" s="456"/>
      <c r="BFS74" s="456"/>
      <c r="BFT74" s="456"/>
      <c r="BFU74" s="456"/>
      <c r="BFV74" s="456"/>
      <c r="BFW74" s="456"/>
      <c r="BFX74" s="456"/>
      <c r="BFY74" s="456"/>
      <c r="BFZ74" s="456"/>
      <c r="BGA74" s="456"/>
      <c r="BGB74" s="456"/>
      <c r="BGC74" s="456"/>
      <c r="BGD74" s="456"/>
      <c r="BGE74" s="456"/>
      <c r="BGF74" s="456"/>
      <c r="BGG74" s="456"/>
      <c r="BGH74" s="456"/>
      <c r="BGI74" s="456"/>
      <c r="BGJ74" s="456"/>
      <c r="BGK74" s="456"/>
      <c r="BGL74" s="456"/>
      <c r="BGM74" s="456"/>
      <c r="BGN74" s="456"/>
      <c r="BGO74" s="456"/>
      <c r="BGP74" s="456"/>
      <c r="BGQ74" s="456"/>
      <c r="BGR74" s="456"/>
      <c r="BGS74" s="456"/>
      <c r="BGT74" s="456"/>
      <c r="BGU74" s="456"/>
      <c r="BGV74" s="456"/>
      <c r="BGW74" s="456"/>
      <c r="BGX74" s="456"/>
      <c r="BGY74" s="456"/>
      <c r="BGZ74" s="456"/>
      <c r="BHA74" s="456"/>
      <c r="BHB74" s="456"/>
      <c r="BHC74" s="456"/>
      <c r="BHD74" s="456"/>
      <c r="BHE74" s="456"/>
      <c r="BHF74" s="456"/>
      <c r="BHG74" s="456"/>
      <c r="BHH74" s="456"/>
      <c r="BHI74" s="456"/>
      <c r="BHJ74" s="456"/>
      <c r="BHK74" s="456"/>
      <c r="BHL74" s="456"/>
      <c r="BHM74" s="456"/>
      <c r="BHN74" s="456"/>
      <c r="BHO74" s="456"/>
      <c r="BHP74" s="456"/>
      <c r="BHQ74" s="456"/>
      <c r="BHR74" s="456"/>
      <c r="BHS74" s="456"/>
      <c r="BHT74" s="456"/>
      <c r="BHU74" s="456"/>
      <c r="BHV74" s="456"/>
      <c r="BHW74" s="456"/>
      <c r="BHX74" s="456"/>
      <c r="BHY74" s="456"/>
      <c r="BHZ74" s="456"/>
      <c r="BIA74" s="456"/>
      <c r="BIB74" s="456"/>
      <c r="BIC74" s="456"/>
      <c r="BID74" s="456"/>
      <c r="BIE74" s="456"/>
      <c r="BIF74" s="456"/>
      <c r="BIG74" s="456"/>
      <c r="BIH74" s="456"/>
      <c r="BII74" s="456"/>
      <c r="BIJ74" s="456"/>
      <c r="BIK74" s="456"/>
      <c r="BIL74" s="456"/>
      <c r="BIM74" s="456"/>
      <c r="BIN74" s="456"/>
      <c r="BIO74" s="456"/>
      <c r="BIP74" s="456"/>
      <c r="BIQ74" s="456"/>
      <c r="BIR74" s="456"/>
      <c r="BIS74" s="456"/>
      <c r="BIT74" s="456"/>
      <c r="BIU74" s="456"/>
      <c r="BIV74" s="456"/>
      <c r="BIW74" s="456"/>
      <c r="BIX74" s="456"/>
      <c r="BIY74" s="456"/>
      <c r="BIZ74" s="456"/>
      <c r="BJA74" s="456"/>
      <c r="BJB74" s="456"/>
      <c r="BJC74" s="456"/>
      <c r="BJD74" s="456"/>
      <c r="BJE74" s="456"/>
      <c r="BJF74" s="456"/>
      <c r="BJG74" s="456"/>
      <c r="BJH74" s="456"/>
      <c r="BJI74" s="456"/>
      <c r="BJJ74" s="456"/>
      <c r="BJK74" s="456"/>
      <c r="BJL74" s="456"/>
      <c r="BJM74" s="456"/>
      <c r="BJN74" s="456"/>
      <c r="BJO74" s="456"/>
      <c r="BJP74" s="456"/>
      <c r="BJQ74" s="456"/>
      <c r="BJR74" s="456"/>
      <c r="BJS74" s="456"/>
      <c r="BJT74" s="456"/>
      <c r="BJU74" s="456"/>
      <c r="BJV74" s="456"/>
      <c r="BJW74" s="456"/>
      <c r="BJX74" s="456"/>
      <c r="BJY74" s="456"/>
      <c r="BJZ74" s="456"/>
      <c r="BKA74" s="456"/>
      <c r="BKB74" s="456"/>
      <c r="BKC74" s="456"/>
      <c r="BKD74" s="456"/>
      <c r="BKE74" s="456"/>
      <c r="BKF74" s="456"/>
      <c r="BKG74" s="456"/>
      <c r="BKH74" s="456"/>
      <c r="BKI74" s="456"/>
      <c r="BKJ74" s="456"/>
      <c r="BKK74" s="456"/>
      <c r="BKL74" s="456"/>
      <c r="BKM74" s="456"/>
      <c r="BKN74" s="456"/>
      <c r="BKO74" s="456"/>
      <c r="BKP74" s="456"/>
      <c r="BKQ74" s="456"/>
      <c r="BKR74" s="456"/>
      <c r="BKS74" s="456"/>
      <c r="BKT74" s="456"/>
      <c r="BKU74" s="456"/>
      <c r="BKV74" s="456"/>
      <c r="BKW74" s="456"/>
      <c r="BKX74" s="456"/>
      <c r="BKY74" s="456"/>
      <c r="BKZ74" s="456"/>
      <c r="BLA74" s="456"/>
      <c r="BLB74" s="456"/>
      <c r="BLC74" s="456"/>
      <c r="BLD74" s="456"/>
      <c r="BLE74" s="456"/>
      <c r="BLF74" s="456"/>
      <c r="BLG74" s="456"/>
      <c r="BLH74" s="456"/>
      <c r="BLI74" s="456"/>
      <c r="BLJ74" s="456"/>
      <c r="BLK74" s="456"/>
      <c r="BLL74" s="456"/>
      <c r="BLM74" s="456"/>
      <c r="BLN74" s="456"/>
      <c r="BLO74" s="456"/>
      <c r="BLP74" s="456"/>
      <c r="BLQ74" s="456"/>
      <c r="BLR74" s="456"/>
      <c r="BLS74" s="456"/>
      <c r="BLT74" s="456"/>
      <c r="BLU74" s="456"/>
      <c r="BLV74" s="456"/>
      <c r="BLW74" s="456"/>
      <c r="BLX74" s="456"/>
      <c r="BLY74" s="456"/>
      <c r="BLZ74" s="456"/>
      <c r="BMA74" s="456"/>
      <c r="BMB74" s="456"/>
      <c r="BMC74" s="456"/>
      <c r="BMD74" s="456"/>
      <c r="BME74" s="456"/>
      <c r="BMF74" s="456"/>
      <c r="BMG74" s="456"/>
      <c r="BMH74" s="456"/>
      <c r="BMI74" s="456"/>
      <c r="BMJ74" s="456"/>
      <c r="BMK74" s="456"/>
      <c r="BML74" s="456"/>
      <c r="BMM74" s="456"/>
      <c r="BMN74" s="456"/>
      <c r="BMO74" s="456"/>
      <c r="BMP74" s="456"/>
      <c r="BMQ74" s="456"/>
      <c r="BMR74" s="456"/>
      <c r="BMS74" s="456"/>
      <c r="BMT74" s="456"/>
      <c r="BMU74" s="456"/>
      <c r="BMV74" s="456"/>
      <c r="BMW74" s="456"/>
      <c r="BMX74" s="456"/>
      <c r="BMY74" s="456"/>
      <c r="BMZ74" s="456"/>
      <c r="BNA74" s="456"/>
      <c r="BNB74" s="456"/>
      <c r="BNC74" s="456"/>
      <c r="BND74" s="456"/>
      <c r="BNE74" s="456"/>
      <c r="BNF74" s="456"/>
      <c r="BNG74" s="456"/>
      <c r="BNH74" s="456"/>
      <c r="BNI74" s="456"/>
      <c r="BNJ74" s="456"/>
      <c r="BNK74" s="456"/>
      <c r="BNL74" s="456"/>
      <c r="BNM74" s="456"/>
      <c r="BNN74" s="456"/>
      <c r="BNO74" s="456"/>
      <c r="BNP74" s="456"/>
      <c r="BNQ74" s="456"/>
      <c r="BNR74" s="456"/>
      <c r="BNS74" s="456"/>
      <c r="BNT74" s="456"/>
      <c r="BNU74" s="456"/>
      <c r="BNV74" s="456"/>
      <c r="BNW74" s="456"/>
      <c r="BNX74" s="456"/>
      <c r="BNY74" s="456"/>
      <c r="BNZ74" s="456"/>
      <c r="BOA74" s="456"/>
      <c r="BOB74" s="456"/>
      <c r="BOC74" s="456"/>
      <c r="BOD74" s="456"/>
      <c r="BOE74" s="456"/>
      <c r="BOF74" s="456"/>
      <c r="BOG74" s="456"/>
      <c r="BOH74" s="456"/>
      <c r="BOI74" s="456"/>
      <c r="BOJ74" s="456"/>
      <c r="BOK74" s="456"/>
      <c r="BOL74" s="456"/>
      <c r="BOM74" s="456"/>
      <c r="BON74" s="456"/>
      <c r="BOO74" s="456"/>
      <c r="BOP74" s="456"/>
      <c r="BOQ74" s="456"/>
      <c r="BOR74" s="456"/>
      <c r="BOS74" s="456"/>
      <c r="BOT74" s="456"/>
      <c r="BOU74" s="456"/>
      <c r="BOV74" s="456"/>
      <c r="BOW74" s="456"/>
      <c r="BOX74" s="456"/>
      <c r="BOY74" s="456"/>
      <c r="BOZ74" s="456"/>
      <c r="BPA74" s="456"/>
      <c r="BPB74" s="456"/>
      <c r="BPC74" s="456"/>
      <c r="BPD74" s="456"/>
      <c r="BPE74" s="456"/>
      <c r="BPF74" s="456"/>
      <c r="BPG74" s="456"/>
      <c r="BPH74" s="456"/>
      <c r="BPI74" s="456"/>
      <c r="BPJ74" s="456"/>
      <c r="BPK74" s="456"/>
      <c r="BPL74" s="456"/>
      <c r="BPM74" s="456"/>
      <c r="BPN74" s="456"/>
      <c r="BPO74" s="456"/>
      <c r="BPP74" s="456"/>
      <c r="BPQ74" s="456"/>
      <c r="BPR74" s="456"/>
      <c r="BPS74" s="456"/>
      <c r="BPT74" s="456"/>
      <c r="BPU74" s="456"/>
      <c r="BPV74" s="456"/>
      <c r="BPW74" s="456"/>
      <c r="BPX74" s="456"/>
      <c r="BPY74" s="456"/>
      <c r="BPZ74" s="456"/>
      <c r="BQA74" s="456"/>
      <c r="BQB74" s="456"/>
      <c r="BQC74" s="456"/>
      <c r="BQD74" s="456"/>
      <c r="BQE74" s="456"/>
      <c r="BQF74" s="456"/>
      <c r="BQG74" s="456"/>
      <c r="BQH74" s="456"/>
      <c r="BQI74" s="456"/>
      <c r="BQJ74" s="456"/>
      <c r="BQK74" s="456"/>
      <c r="BQL74" s="456"/>
      <c r="BQM74" s="456"/>
      <c r="BQN74" s="456"/>
      <c r="BQO74" s="456"/>
      <c r="BQP74" s="456"/>
      <c r="BQQ74" s="456"/>
      <c r="BQR74" s="456"/>
      <c r="BQS74" s="456"/>
      <c r="BQT74" s="456"/>
      <c r="BQU74" s="456"/>
      <c r="BQV74" s="456"/>
      <c r="BQW74" s="456"/>
      <c r="BQX74" s="456"/>
      <c r="BQY74" s="456"/>
      <c r="BQZ74" s="456"/>
      <c r="BRA74" s="456"/>
      <c r="BRB74" s="456"/>
      <c r="BRC74" s="456"/>
      <c r="BRD74" s="456"/>
      <c r="BRE74" s="456"/>
      <c r="BRF74" s="456"/>
      <c r="BRG74" s="456"/>
      <c r="BRH74" s="456"/>
      <c r="BRI74" s="456"/>
      <c r="BRJ74" s="456"/>
      <c r="BRK74" s="456"/>
      <c r="BRL74" s="456"/>
      <c r="BRM74" s="456"/>
      <c r="BRN74" s="456"/>
      <c r="BRO74" s="456"/>
      <c r="BRP74" s="456"/>
      <c r="BRQ74" s="456"/>
      <c r="BRR74" s="456"/>
      <c r="BRS74" s="456"/>
      <c r="BRT74" s="456"/>
      <c r="BRU74" s="456"/>
      <c r="BRV74" s="456"/>
      <c r="BRW74" s="456"/>
      <c r="BRX74" s="456"/>
      <c r="BRY74" s="456"/>
      <c r="BRZ74" s="456"/>
      <c r="BSA74" s="456"/>
      <c r="BSB74" s="456"/>
      <c r="BSC74" s="456"/>
      <c r="BSD74" s="456"/>
      <c r="BSE74" s="456"/>
      <c r="BSF74" s="456"/>
      <c r="BSG74" s="456"/>
      <c r="BSH74" s="456"/>
      <c r="BSI74" s="456"/>
      <c r="BSJ74" s="456"/>
      <c r="BSK74" s="456"/>
      <c r="BSL74" s="456"/>
      <c r="BSM74" s="456"/>
      <c r="BSN74" s="456"/>
      <c r="BSO74" s="456"/>
      <c r="BSP74" s="456"/>
      <c r="BSQ74" s="456"/>
      <c r="BSR74" s="456"/>
      <c r="BSS74" s="456"/>
      <c r="BST74" s="456"/>
      <c r="BSU74" s="456"/>
      <c r="BSV74" s="456"/>
      <c r="BSW74" s="456"/>
      <c r="BSX74" s="456"/>
      <c r="BSY74" s="456"/>
      <c r="BSZ74" s="456"/>
      <c r="BTA74" s="456"/>
      <c r="BTB74" s="456"/>
      <c r="BTC74" s="456"/>
      <c r="BTD74" s="456"/>
      <c r="BTE74" s="456"/>
      <c r="BTF74" s="456"/>
      <c r="BTG74" s="456"/>
      <c r="BTH74" s="456"/>
      <c r="BTI74" s="456"/>
      <c r="BTJ74" s="456"/>
      <c r="BTK74" s="456"/>
      <c r="BTL74" s="456"/>
      <c r="BTM74" s="456"/>
      <c r="BTN74" s="456"/>
      <c r="BTO74" s="456"/>
      <c r="BTP74" s="456"/>
      <c r="BTQ74" s="456"/>
      <c r="BTR74" s="456"/>
      <c r="BTS74" s="456"/>
      <c r="BTT74" s="456"/>
      <c r="BTU74" s="456"/>
      <c r="BTV74" s="456"/>
      <c r="BTW74" s="456"/>
      <c r="BTX74" s="456"/>
      <c r="BTY74" s="456"/>
      <c r="BTZ74" s="456"/>
      <c r="BUA74" s="456"/>
      <c r="BUB74" s="456"/>
      <c r="BUC74" s="456"/>
      <c r="BUD74" s="456"/>
      <c r="BUE74" s="456"/>
      <c r="BUF74" s="456"/>
      <c r="BUG74" s="456"/>
      <c r="BUH74" s="456"/>
      <c r="BUI74" s="456"/>
      <c r="BUJ74" s="456"/>
      <c r="BUK74" s="456"/>
      <c r="BUL74" s="456"/>
      <c r="BUM74" s="456"/>
      <c r="BUN74" s="456"/>
      <c r="BUO74" s="456"/>
      <c r="BUP74" s="456"/>
      <c r="BUQ74" s="456"/>
      <c r="BUR74" s="456"/>
      <c r="BUS74" s="456"/>
      <c r="BUT74" s="456"/>
      <c r="BUU74" s="456"/>
      <c r="BUV74" s="456"/>
      <c r="BUW74" s="456"/>
      <c r="BUX74" s="456"/>
      <c r="BUY74" s="456"/>
      <c r="BUZ74" s="456"/>
      <c r="BVA74" s="456"/>
      <c r="BVB74" s="456"/>
      <c r="BVC74" s="456"/>
      <c r="BVD74" s="456"/>
      <c r="BVE74" s="456"/>
      <c r="BVF74" s="456"/>
      <c r="BVG74" s="456"/>
      <c r="BVH74" s="456"/>
      <c r="BVI74" s="456"/>
      <c r="BVJ74" s="456"/>
      <c r="BVK74" s="456"/>
      <c r="BVL74" s="456"/>
      <c r="BVM74" s="456"/>
      <c r="BVN74" s="456"/>
      <c r="BVO74" s="456"/>
      <c r="BVP74" s="456"/>
      <c r="BVQ74" s="456"/>
      <c r="BVR74" s="456"/>
      <c r="BVS74" s="456"/>
      <c r="BVT74" s="456"/>
      <c r="BVU74" s="456"/>
      <c r="BVV74" s="456"/>
      <c r="BVW74" s="456"/>
      <c r="BVX74" s="456"/>
      <c r="BVY74" s="456"/>
      <c r="BVZ74" s="456"/>
      <c r="BWA74" s="456"/>
      <c r="BWB74" s="456"/>
      <c r="BWC74" s="456"/>
      <c r="BWD74" s="456"/>
      <c r="BWE74" s="456"/>
      <c r="BWF74" s="456"/>
      <c r="BWG74" s="456"/>
      <c r="BWH74" s="456"/>
      <c r="BWI74" s="456"/>
      <c r="BWJ74" s="456"/>
      <c r="BWK74" s="456"/>
      <c r="BWL74" s="456"/>
      <c r="BWM74" s="456"/>
      <c r="BWN74" s="456"/>
      <c r="BWO74" s="456"/>
      <c r="BWP74" s="456"/>
      <c r="BWQ74" s="456"/>
      <c r="BWR74" s="456"/>
      <c r="BWS74" s="456"/>
      <c r="BWT74" s="456"/>
      <c r="BWU74" s="456"/>
      <c r="BWV74" s="456"/>
      <c r="BWW74" s="456"/>
      <c r="BWX74" s="456"/>
      <c r="BWY74" s="456"/>
      <c r="BWZ74" s="456"/>
      <c r="BXA74" s="456"/>
      <c r="BXB74" s="456"/>
      <c r="BXC74" s="456"/>
      <c r="BXD74" s="456"/>
      <c r="BXE74" s="456"/>
      <c r="BXF74" s="456"/>
      <c r="BXG74" s="456"/>
      <c r="BXH74" s="456"/>
      <c r="BXI74" s="456"/>
      <c r="BXJ74" s="456"/>
      <c r="BXK74" s="456"/>
      <c r="BXL74" s="456"/>
      <c r="BXM74" s="456"/>
      <c r="BXN74" s="456"/>
      <c r="BXO74" s="456"/>
      <c r="BXP74" s="456"/>
      <c r="BXQ74" s="456"/>
      <c r="BXR74" s="456"/>
      <c r="BXS74" s="456"/>
      <c r="BXT74" s="456"/>
      <c r="BXU74" s="456"/>
      <c r="BXV74" s="456"/>
      <c r="BXW74" s="456"/>
      <c r="BXX74" s="456"/>
      <c r="BXY74" s="456"/>
      <c r="BXZ74" s="456"/>
    </row>
    <row r="75" spans="1:1024 1025:2002">
      <c r="A75" s="474"/>
      <c r="B75" s="75">
        <v>1120</v>
      </c>
      <c r="C75" s="213">
        <v>46181</v>
      </c>
      <c r="D75" s="18" t="s">
        <v>35</v>
      </c>
      <c r="E75" s="18" t="s">
        <v>71</v>
      </c>
      <c r="F75" s="18" t="s">
        <v>72</v>
      </c>
      <c r="G75" s="18"/>
      <c r="H75" s="75">
        <v>1.2316</v>
      </c>
      <c r="I75" s="75"/>
      <c r="J75" s="18" t="s">
        <v>39</v>
      </c>
      <c r="K75" s="75">
        <v>20</v>
      </c>
      <c r="L75" s="111"/>
      <c r="M75" s="75"/>
      <c r="N75" s="75" t="s">
        <v>66</v>
      </c>
      <c r="O75" s="75" t="s">
        <v>84</v>
      </c>
      <c r="P75" s="75">
        <v>1500</v>
      </c>
      <c r="Q75" s="75"/>
      <c r="R75" s="75">
        <f t="shared" ref="R75:R106" si="7">+P75-Q75</f>
        <v>1500</v>
      </c>
      <c r="S75" s="75">
        <v>2980</v>
      </c>
      <c r="T75" s="342" t="s">
        <v>42</v>
      </c>
      <c r="U75" s="137" t="s">
        <v>85</v>
      </c>
      <c r="V75" s="193">
        <v>46181</v>
      </c>
      <c r="W75" s="24" t="s">
        <v>44</v>
      </c>
      <c r="X75" s="18"/>
      <c r="Y75" s="114">
        <v>46357</v>
      </c>
      <c r="Z75" s="18" t="s">
        <v>45</v>
      </c>
      <c r="AA75" s="24" t="s">
        <v>46</v>
      </c>
      <c r="AB75" s="18"/>
      <c r="AC75" s="137"/>
      <c r="AD75" s="77"/>
      <c r="AE75" s="18" t="s">
        <v>48</v>
      </c>
      <c r="AF75" s="18"/>
      <c r="AG75" s="18"/>
    </row>
    <row r="76" spans="1:1024 1025:2002">
      <c r="A76" s="474"/>
      <c r="B76" s="75">
        <v>1120</v>
      </c>
      <c r="C76" s="213">
        <v>46181</v>
      </c>
      <c r="D76" s="18" t="s">
        <v>35</v>
      </c>
      <c r="E76" s="18" t="s">
        <v>71</v>
      </c>
      <c r="F76" s="18" t="s">
        <v>72</v>
      </c>
      <c r="G76" s="18"/>
      <c r="H76" s="75">
        <v>1.2316</v>
      </c>
      <c r="I76" s="75"/>
      <c r="J76" s="18" t="s">
        <v>39</v>
      </c>
      <c r="K76" s="75">
        <v>32</v>
      </c>
      <c r="L76" s="111"/>
      <c r="M76" s="75"/>
      <c r="N76" s="75" t="s">
        <v>66</v>
      </c>
      <c r="O76" s="75" t="s">
        <v>84</v>
      </c>
      <c r="P76" s="75">
        <v>1500</v>
      </c>
      <c r="Q76" s="75"/>
      <c r="R76" s="75">
        <f t="shared" si="7"/>
        <v>1500</v>
      </c>
      <c r="S76" s="75">
        <v>2980</v>
      </c>
      <c r="T76" s="342" t="s">
        <v>42</v>
      </c>
      <c r="U76" s="137" t="s">
        <v>85</v>
      </c>
      <c r="V76" s="193">
        <v>46181</v>
      </c>
      <c r="W76" s="24" t="s">
        <v>44</v>
      </c>
      <c r="X76" s="18"/>
      <c r="Y76" s="114">
        <v>46357</v>
      </c>
      <c r="Z76" s="18" t="s">
        <v>45</v>
      </c>
      <c r="AA76" s="24" t="s">
        <v>46</v>
      </c>
      <c r="AB76" s="18"/>
      <c r="AC76" s="137"/>
      <c r="AD76" s="77"/>
      <c r="AE76" s="18" t="s">
        <v>48</v>
      </c>
      <c r="AF76" s="18"/>
      <c r="AG76" s="18"/>
    </row>
    <row r="77" spans="1:1024 1025:2002">
      <c r="A77" s="474"/>
      <c r="B77" s="75">
        <v>1120</v>
      </c>
      <c r="C77" s="213">
        <v>46181</v>
      </c>
      <c r="D77" s="18" t="s">
        <v>35</v>
      </c>
      <c r="E77" s="18" t="s">
        <v>71</v>
      </c>
      <c r="F77" s="18" t="s">
        <v>72</v>
      </c>
      <c r="G77" s="18"/>
      <c r="H77" s="75">
        <v>1.2316</v>
      </c>
      <c r="I77" s="75"/>
      <c r="J77" s="18" t="s">
        <v>39</v>
      </c>
      <c r="K77" s="75">
        <v>36</v>
      </c>
      <c r="L77" s="111"/>
      <c r="M77" s="75"/>
      <c r="N77" s="75" t="s">
        <v>66</v>
      </c>
      <c r="O77" s="75" t="s">
        <v>84</v>
      </c>
      <c r="P77" s="75">
        <v>1500</v>
      </c>
      <c r="Q77" s="75"/>
      <c r="R77" s="75">
        <f t="shared" si="7"/>
        <v>1500</v>
      </c>
      <c r="S77" s="75">
        <v>2980</v>
      </c>
      <c r="T77" s="342" t="s">
        <v>42</v>
      </c>
      <c r="U77" s="137" t="s">
        <v>85</v>
      </c>
      <c r="V77" s="193">
        <v>46181</v>
      </c>
      <c r="W77" s="24" t="s">
        <v>44</v>
      </c>
      <c r="X77" s="18"/>
      <c r="Y77" s="114">
        <v>46357</v>
      </c>
      <c r="Z77" s="18" t="s">
        <v>45</v>
      </c>
      <c r="AA77" s="24" t="s">
        <v>46</v>
      </c>
      <c r="AB77" s="18"/>
      <c r="AC77" s="137"/>
      <c r="AD77" s="77"/>
      <c r="AE77" s="18" t="s">
        <v>48</v>
      </c>
      <c r="AF77" s="18"/>
      <c r="AG77" s="18"/>
    </row>
    <row r="78" spans="1:1024 1025:2002">
      <c r="A78" s="474"/>
      <c r="B78" s="75">
        <v>1120</v>
      </c>
      <c r="C78" s="213">
        <v>46181</v>
      </c>
      <c r="D78" s="18" t="s">
        <v>35</v>
      </c>
      <c r="E78" s="18" t="s">
        <v>71</v>
      </c>
      <c r="F78" s="18" t="s">
        <v>72</v>
      </c>
      <c r="G78" s="18"/>
      <c r="H78" s="75">
        <v>1.2316</v>
      </c>
      <c r="I78" s="75"/>
      <c r="J78" s="18" t="s">
        <v>39</v>
      </c>
      <c r="K78" s="75">
        <v>40</v>
      </c>
      <c r="L78" s="111"/>
      <c r="M78" s="75"/>
      <c r="N78" s="75" t="s">
        <v>66</v>
      </c>
      <c r="O78" s="75" t="s">
        <v>84</v>
      </c>
      <c r="P78" s="75">
        <v>1500</v>
      </c>
      <c r="Q78" s="75"/>
      <c r="R78" s="75">
        <f t="shared" si="7"/>
        <v>1500</v>
      </c>
      <c r="S78" s="75">
        <v>2980</v>
      </c>
      <c r="T78" s="342" t="s">
        <v>42</v>
      </c>
      <c r="U78" s="137" t="s">
        <v>85</v>
      </c>
      <c r="V78" s="193">
        <v>46181</v>
      </c>
      <c r="W78" s="24" t="s">
        <v>44</v>
      </c>
      <c r="X78" s="18"/>
      <c r="Y78" s="114">
        <v>46357</v>
      </c>
      <c r="Z78" s="18" t="s">
        <v>45</v>
      </c>
      <c r="AA78" s="24" t="s">
        <v>46</v>
      </c>
      <c r="AB78" s="18"/>
      <c r="AC78" s="137"/>
      <c r="AD78" s="77"/>
      <c r="AE78" s="18" t="s">
        <v>48</v>
      </c>
      <c r="AF78" s="18"/>
      <c r="AG78" s="18"/>
    </row>
    <row r="79" spans="1:1024 1025:2002">
      <c r="A79" s="474"/>
      <c r="B79" s="75">
        <v>1120</v>
      </c>
      <c r="C79" s="213">
        <v>46181</v>
      </c>
      <c r="D79" s="18" t="s">
        <v>35</v>
      </c>
      <c r="E79" s="18" t="s">
        <v>71</v>
      </c>
      <c r="F79" s="18" t="s">
        <v>72</v>
      </c>
      <c r="G79" s="18"/>
      <c r="H79" s="75">
        <v>1.2316</v>
      </c>
      <c r="I79" s="75"/>
      <c r="J79" s="18" t="s">
        <v>39</v>
      </c>
      <c r="K79" s="75">
        <v>45</v>
      </c>
      <c r="L79" s="111"/>
      <c r="M79" s="75"/>
      <c r="N79" s="75" t="s">
        <v>66</v>
      </c>
      <c r="O79" s="75" t="s">
        <v>84</v>
      </c>
      <c r="P79" s="75">
        <v>1500</v>
      </c>
      <c r="Q79" s="75"/>
      <c r="R79" s="75">
        <f t="shared" si="7"/>
        <v>1500</v>
      </c>
      <c r="S79" s="75">
        <v>2980</v>
      </c>
      <c r="T79" s="342" t="s">
        <v>42</v>
      </c>
      <c r="U79" s="137" t="s">
        <v>85</v>
      </c>
      <c r="V79" s="193">
        <v>46181</v>
      </c>
      <c r="W79" s="24" t="s">
        <v>44</v>
      </c>
      <c r="X79" s="18"/>
      <c r="Y79" s="114">
        <v>46357</v>
      </c>
      <c r="Z79" s="18" t="s">
        <v>45</v>
      </c>
      <c r="AA79" s="24" t="s">
        <v>46</v>
      </c>
      <c r="AB79" s="18"/>
      <c r="AC79" s="137"/>
      <c r="AD79" s="77"/>
      <c r="AE79" s="18" t="s">
        <v>48</v>
      </c>
      <c r="AF79" s="18"/>
      <c r="AG79" s="18"/>
    </row>
    <row r="80" spans="1:1024 1025:2002">
      <c r="A80" s="474"/>
      <c r="B80" s="75">
        <v>1120</v>
      </c>
      <c r="C80" s="213">
        <v>46181</v>
      </c>
      <c r="D80" s="18" t="s">
        <v>35</v>
      </c>
      <c r="E80" s="18" t="s">
        <v>71</v>
      </c>
      <c r="F80" s="18" t="s">
        <v>72</v>
      </c>
      <c r="G80" s="18"/>
      <c r="H80" s="75">
        <v>1.2316</v>
      </c>
      <c r="I80" s="75"/>
      <c r="J80" s="18" t="s">
        <v>39</v>
      </c>
      <c r="K80" s="75">
        <v>50</v>
      </c>
      <c r="L80" s="111"/>
      <c r="M80" s="75"/>
      <c r="N80" s="75" t="s">
        <v>66</v>
      </c>
      <c r="O80" s="75" t="s">
        <v>84</v>
      </c>
      <c r="P80" s="75">
        <v>1500</v>
      </c>
      <c r="Q80" s="75"/>
      <c r="R80" s="75">
        <f t="shared" si="7"/>
        <v>1500</v>
      </c>
      <c r="S80" s="75">
        <v>2980</v>
      </c>
      <c r="T80" s="342" t="s">
        <v>42</v>
      </c>
      <c r="U80" s="137" t="s">
        <v>85</v>
      </c>
      <c r="V80" s="193">
        <v>46181</v>
      </c>
      <c r="W80" s="24" t="s">
        <v>44</v>
      </c>
      <c r="X80" s="18"/>
      <c r="Y80" s="114">
        <v>46357</v>
      </c>
      <c r="Z80" s="18" t="s">
        <v>45</v>
      </c>
      <c r="AA80" s="24" t="s">
        <v>46</v>
      </c>
      <c r="AB80" s="18"/>
      <c r="AC80" s="137"/>
      <c r="AD80" s="77"/>
      <c r="AE80" s="18" t="s">
        <v>48</v>
      </c>
      <c r="AF80" s="18"/>
      <c r="AG80" s="18"/>
    </row>
    <row r="81" spans="1:1024 1025:2002">
      <c r="A81" s="474"/>
      <c r="B81" s="75">
        <v>1120</v>
      </c>
      <c r="C81" s="213">
        <v>46181</v>
      </c>
      <c r="D81" s="18" t="s">
        <v>35</v>
      </c>
      <c r="E81" s="18" t="s">
        <v>71</v>
      </c>
      <c r="F81" s="18" t="s">
        <v>72</v>
      </c>
      <c r="G81" s="18"/>
      <c r="H81" s="75">
        <v>1.2316</v>
      </c>
      <c r="I81" s="75"/>
      <c r="J81" s="18" t="s">
        <v>39</v>
      </c>
      <c r="K81" s="75">
        <v>56</v>
      </c>
      <c r="L81" s="111"/>
      <c r="M81" s="75"/>
      <c r="N81" s="75" t="s">
        <v>66</v>
      </c>
      <c r="O81" s="75" t="s">
        <v>84</v>
      </c>
      <c r="P81" s="75">
        <v>4500</v>
      </c>
      <c r="Q81" s="75"/>
      <c r="R81" s="75">
        <f t="shared" si="7"/>
        <v>4500</v>
      </c>
      <c r="S81" s="75">
        <v>2980</v>
      </c>
      <c r="T81" s="342" t="s">
        <v>42</v>
      </c>
      <c r="U81" s="137" t="s">
        <v>85</v>
      </c>
      <c r="V81" s="193">
        <v>46181</v>
      </c>
      <c r="W81" s="24" t="s">
        <v>44</v>
      </c>
      <c r="X81" s="18"/>
      <c r="Y81" s="114">
        <v>46357</v>
      </c>
      <c r="Z81" s="18" t="s">
        <v>45</v>
      </c>
      <c r="AA81" s="24" t="s">
        <v>46</v>
      </c>
      <c r="AB81" s="18"/>
      <c r="AC81" s="137"/>
      <c r="AD81" s="77"/>
      <c r="AE81" s="18" t="s">
        <v>48</v>
      </c>
      <c r="AF81" s="18"/>
      <c r="AG81" s="18"/>
    </row>
    <row r="82" spans="1:1024 1025:2002">
      <c r="A82" s="474"/>
      <c r="B82" s="75">
        <v>1120</v>
      </c>
      <c r="C82" s="213">
        <v>46181</v>
      </c>
      <c r="D82" s="18" t="s">
        <v>35</v>
      </c>
      <c r="E82" s="18" t="s">
        <v>71</v>
      </c>
      <c r="F82" s="18" t="s">
        <v>72</v>
      </c>
      <c r="G82" s="18"/>
      <c r="H82" s="75">
        <v>1.2316</v>
      </c>
      <c r="I82" s="75"/>
      <c r="J82" s="18" t="s">
        <v>39</v>
      </c>
      <c r="K82" s="75">
        <v>90</v>
      </c>
      <c r="L82" s="111"/>
      <c r="M82" s="75"/>
      <c r="N82" s="75" t="s">
        <v>66</v>
      </c>
      <c r="O82" s="75" t="s">
        <v>84</v>
      </c>
      <c r="P82" s="75">
        <v>2000</v>
      </c>
      <c r="Q82" s="75"/>
      <c r="R82" s="75">
        <f t="shared" si="7"/>
        <v>2000</v>
      </c>
      <c r="S82" s="75">
        <v>2880</v>
      </c>
      <c r="T82" s="342" t="s">
        <v>42</v>
      </c>
      <c r="U82" s="137" t="s">
        <v>85</v>
      </c>
      <c r="V82" s="193">
        <v>46181</v>
      </c>
      <c r="W82" s="24" t="s">
        <v>44</v>
      </c>
      <c r="X82" s="18"/>
      <c r="Y82" s="114">
        <v>46357</v>
      </c>
      <c r="Z82" s="18" t="s">
        <v>45</v>
      </c>
      <c r="AA82" s="24" t="s">
        <v>46</v>
      </c>
      <c r="AB82" s="18"/>
      <c r="AC82" s="137"/>
      <c r="AD82" s="77"/>
      <c r="AE82" s="18" t="s">
        <v>48</v>
      </c>
      <c r="AF82" s="18"/>
      <c r="AG82" s="18"/>
    </row>
    <row r="83" spans="1:1024 1025:2002">
      <c r="A83" s="474"/>
      <c r="B83" s="75">
        <v>1120</v>
      </c>
      <c r="C83" s="213">
        <v>46181</v>
      </c>
      <c r="D83" s="18" t="s">
        <v>35</v>
      </c>
      <c r="E83" s="18" t="s">
        <v>71</v>
      </c>
      <c r="F83" s="18" t="s">
        <v>72</v>
      </c>
      <c r="G83" s="18"/>
      <c r="H83" s="75">
        <v>1.2316</v>
      </c>
      <c r="I83" s="75"/>
      <c r="J83" s="18" t="s">
        <v>39</v>
      </c>
      <c r="K83" s="75">
        <v>110</v>
      </c>
      <c r="L83" s="111"/>
      <c r="M83" s="75"/>
      <c r="N83" s="75" t="s">
        <v>66</v>
      </c>
      <c r="O83" s="75" t="s">
        <v>84</v>
      </c>
      <c r="P83" s="75">
        <v>2000</v>
      </c>
      <c r="Q83" s="75"/>
      <c r="R83" s="75">
        <f t="shared" si="7"/>
        <v>2000</v>
      </c>
      <c r="S83" s="75">
        <v>2880</v>
      </c>
      <c r="T83" s="342" t="s">
        <v>42</v>
      </c>
      <c r="U83" s="137" t="s">
        <v>85</v>
      </c>
      <c r="V83" s="193">
        <v>46181</v>
      </c>
      <c r="W83" s="24" t="s">
        <v>44</v>
      </c>
      <c r="X83" s="18"/>
      <c r="Y83" s="114">
        <v>46357</v>
      </c>
      <c r="Z83" s="18" t="s">
        <v>45</v>
      </c>
      <c r="AA83" s="24" t="s">
        <v>46</v>
      </c>
      <c r="AB83" s="18"/>
      <c r="AC83" s="137"/>
      <c r="AD83" s="77"/>
      <c r="AE83" s="18" t="s">
        <v>48</v>
      </c>
      <c r="AF83" s="18"/>
      <c r="AG83" s="18"/>
    </row>
    <row r="84" spans="1:1024 1025:2002">
      <c r="A84" s="474"/>
      <c r="B84" s="75">
        <v>1120</v>
      </c>
      <c r="C84" s="213">
        <v>46181</v>
      </c>
      <c r="D84" s="18" t="s">
        <v>35</v>
      </c>
      <c r="E84" s="18" t="s">
        <v>71</v>
      </c>
      <c r="F84" s="18" t="s">
        <v>72</v>
      </c>
      <c r="G84" s="18"/>
      <c r="H84" s="75">
        <v>1.2316</v>
      </c>
      <c r="I84" s="75"/>
      <c r="J84" s="18" t="s">
        <v>39</v>
      </c>
      <c r="K84" s="75">
        <v>120</v>
      </c>
      <c r="L84" s="111"/>
      <c r="M84" s="75"/>
      <c r="N84" s="75" t="s">
        <v>66</v>
      </c>
      <c r="O84" s="75" t="s">
        <v>84</v>
      </c>
      <c r="P84" s="75">
        <v>4000</v>
      </c>
      <c r="Q84" s="75"/>
      <c r="R84" s="75">
        <f t="shared" si="7"/>
        <v>4000</v>
      </c>
      <c r="S84" s="75">
        <v>2880</v>
      </c>
      <c r="T84" s="342" t="s">
        <v>42</v>
      </c>
      <c r="U84" s="137" t="s">
        <v>85</v>
      </c>
      <c r="V84" s="193">
        <v>46181</v>
      </c>
      <c r="W84" s="24" t="s">
        <v>44</v>
      </c>
      <c r="X84" s="18"/>
      <c r="Y84" s="114">
        <v>46357</v>
      </c>
      <c r="Z84" s="18" t="s">
        <v>45</v>
      </c>
      <c r="AA84" s="24" t="s">
        <v>46</v>
      </c>
      <c r="AB84" s="18"/>
      <c r="AC84" s="137"/>
      <c r="AD84" s="77"/>
      <c r="AE84" s="18" t="s">
        <v>48</v>
      </c>
      <c r="AF84" s="18"/>
      <c r="AG84" s="18"/>
    </row>
    <row r="85" spans="1:1024 1025:2002">
      <c r="A85" s="474"/>
      <c r="B85" s="75">
        <v>1120</v>
      </c>
      <c r="C85" s="213">
        <v>46181</v>
      </c>
      <c r="D85" s="18" t="s">
        <v>35</v>
      </c>
      <c r="E85" s="18" t="s">
        <v>71</v>
      </c>
      <c r="F85" s="18" t="s">
        <v>72</v>
      </c>
      <c r="G85" s="18"/>
      <c r="H85" s="75">
        <v>1.2316</v>
      </c>
      <c r="I85" s="75"/>
      <c r="J85" s="18" t="s">
        <v>39</v>
      </c>
      <c r="K85" s="75">
        <v>150</v>
      </c>
      <c r="L85" s="111"/>
      <c r="M85" s="75"/>
      <c r="N85" s="75" t="s">
        <v>66</v>
      </c>
      <c r="O85" s="75" t="s">
        <v>84</v>
      </c>
      <c r="P85" s="75">
        <v>3000</v>
      </c>
      <c r="Q85" s="75"/>
      <c r="R85" s="75">
        <f t="shared" si="7"/>
        <v>3000</v>
      </c>
      <c r="S85" s="75">
        <v>2980</v>
      </c>
      <c r="T85" s="342" t="s">
        <v>42</v>
      </c>
      <c r="U85" s="137" t="s">
        <v>85</v>
      </c>
      <c r="V85" s="193">
        <v>46181</v>
      </c>
      <c r="W85" s="24" t="s">
        <v>44</v>
      </c>
      <c r="X85" s="18"/>
      <c r="Y85" s="114">
        <v>46357</v>
      </c>
      <c r="Z85" s="18" t="s">
        <v>45</v>
      </c>
      <c r="AA85" s="24" t="s">
        <v>46</v>
      </c>
      <c r="AB85" s="18"/>
      <c r="AC85" s="137"/>
      <c r="AD85" s="77"/>
      <c r="AE85" s="18" t="s">
        <v>48</v>
      </c>
      <c r="AF85" s="18"/>
      <c r="AG85" s="18"/>
    </row>
    <row r="86" spans="1:1024 1025:2002">
      <c r="A86" s="474"/>
      <c r="B86" s="75">
        <v>1120</v>
      </c>
      <c r="C86" s="213">
        <v>46181</v>
      </c>
      <c r="D86" s="18" t="s">
        <v>35</v>
      </c>
      <c r="E86" s="18" t="s">
        <v>71</v>
      </c>
      <c r="F86" s="18" t="s">
        <v>72</v>
      </c>
      <c r="G86" s="18"/>
      <c r="H86" s="75">
        <v>1.2316</v>
      </c>
      <c r="I86" s="75"/>
      <c r="J86" s="18" t="s">
        <v>39</v>
      </c>
      <c r="K86" s="75">
        <v>202</v>
      </c>
      <c r="L86" s="111"/>
      <c r="M86" s="75"/>
      <c r="N86" s="75" t="s">
        <v>66</v>
      </c>
      <c r="O86" s="75" t="s">
        <v>84</v>
      </c>
      <c r="P86" s="75">
        <v>3000</v>
      </c>
      <c r="Q86" s="75"/>
      <c r="R86" s="75">
        <f t="shared" si="7"/>
        <v>3000</v>
      </c>
      <c r="S86" s="75">
        <v>2980</v>
      </c>
      <c r="T86" s="342" t="s">
        <v>42</v>
      </c>
      <c r="U86" s="137" t="s">
        <v>85</v>
      </c>
      <c r="V86" s="193">
        <v>46181</v>
      </c>
      <c r="W86" s="24" t="s">
        <v>44</v>
      </c>
      <c r="X86" s="18"/>
      <c r="Y86" s="114">
        <v>46357</v>
      </c>
      <c r="Z86" s="18" t="s">
        <v>45</v>
      </c>
      <c r="AA86" s="24" t="s">
        <v>46</v>
      </c>
      <c r="AB86" s="18"/>
      <c r="AC86" s="137"/>
      <c r="AD86" s="77"/>
      <c r="AE86" s="18" t="s">
        <v>48</v>
      </c>
      <c r="AF86" s="18"/>
      <c r="AG86" s="18"/>
    </row>
    <row r="87" spans="1:1024 1025:2002">
      <c r="A87" s="474"/>
      <c r="B87" s="75">
        <v>1120</v>
      </c>
      <c r="C87" s="213">
        <v>46181</v>
      </c>
      <c r="D87" s="18" t="s">
        <v>35</v>
      </c>
      <c r="E87" s="18" t="s">
        <v>71</v>
      </c>
      <c r="F87" s="18" t="s">
        <v>72</v>
      </c>
      <c r="G87" s="18"/>
      <c r="H87" s="75">
        <v>1.2316</v>
      </c>
      <c r="I87" s="75"/>
      <c r="J87" s="18" t="s">
        <v>39</v>
      </c>
      <c r="K87" s="75">
        <v>222</v>
      </c>
      <c r="L87" s="111"/>
      <c r="M87" s="75"/>
      <c r="N87" s="75" t="s">
        <v>66</v>
      </c>
      <c r="O87" s="75" t="s">
        <v>84</v>
      </c>
      <c r="P87" s="75">
        <v>3000</v>
      </c>
      <c r="Q87" s="75"/>
      <c r="R87" s="75">
        <f t="shared" si="7"/>
        <v>3000</v>
      </c>
      <c r="S87" s="75">
        <v>2980</v>
      </c>
      <c r="T87" s="342" t="s">
        <v>42</v>
      </c>
      <c r="U87" s="137" t="s">
        <v>85</v>
      </c>
      <c r="V87" s="193">
        <v>46181</v>
      </c>
      <c r="W87" s="24" t="s">
        <v>44</v>
      </c>
      <c r="X87" s="18"/>
      <c r="Y87" s="114">
        <v>46357</v>
      </c>
      <c r="Z87" s="18" t="s">
        <v>45</v>
      </c>
      <c r="AA87" s="24" t="s">
        <v>46</v>
      </c>
      <c r="AB87" s="18"/>
      <c r="AC87" s="137"/>
      <c r="AD87" s="77"/>
      <c r="AE87" s="18" t="s">
        <v>48</v>
      </c>
      <c r="AF87" s="18"/>
      <c r="AG87" s="18"/>
    </row>
    <row r="88" spans="1:1024 1025:2002">
      <c r="A88" s="474"/>
      <c r="B88" s="75">
        <v>1120</v>
      </c>
      <c r="C88" s="213">
        <v>46181</v>
      </c>
      <c r="D88" s="18" t="s">
        <v>35</v>
      </c>
      <c r="E88" s="18" t="s">
        <v>71</v>
      </c>
      <c r="F88" s="18" t="s">
        <v>72</v>
      </c>
      <c r="G88" s="18"/>
      <c r="H88" s="75">
        <v>1.2316</v>
      </c>
      <c r="I88" s="75"/>
      <c r="J88" s="18" t="s">
        <v>39</v>
      </c>
      <c r="K88" s="75">
        <v>232</v>
      </c>
      <c r="L88" s="111"/>
      <c r="M88" s="75"/>
      <c r="N88" s="75" t="s">
        <v>66</v>
      </c>
      <c r="O88" s="75" t="s">
        <v>84</v>
      </c>
      <c r="P88" s="75">
        <v>3000</v>
      </c>
      <c r="Q88" s="75"/>
      <c r="R88" s="75">
        <f t="shared" si="7"/>
        <v>3000</v>
      </c>
      <c r="S88" s="75">
        <v>2980</v>
      </c>
      <c r="T88" s="342" t="s">
        <v>42</v>
      </c>
      <c r="U88" s="137" t="s">
        <v>85</v>
      </c>
      <c r="V88" s="193">
        <v>46181</v>
      </c>
      <c r="W88" s="24" t="s">
        <v>44</v>
      </c>
      <c r="X88" s="18"/>
      <c r="Y88" s="114">
        <v>46357</v>
      </c>
      <c r="Z88" s="18" t="s">
        <v>45</v>
      </c>
      <c r="AA88" s="24" t="s">
        <v>46</v>
      </c>
      <c r="AB88" s="18"/>
      <c r="AC88" s="137"/>
      <c r="AD88" s="77"/>
      <c r="AE88" s="18" t="s">
        <v>48</v>
      </c>
      <c r="AF88" s="18"/>
      <c r="AG88" s="18"/>
    </row>
    <row r="89" spans="1:1024 1025:2002">
      <c r="A89" s="474"/>
      <c r="B89" s="75">
        <v>1120</v>
      </c>
      <c r="C89" s="213">
        <v>46181</v>
      </c>
      <c r="D89" s="18" t="s">
        <v>35</v>
      </c>
      <c r="E89" s="18" t="s">
        <v>71</v>
      </c>
      <c r="F89" s="18" t="s">
        <v>72</v>
      </c>
      <c r="G89" s="18"/>
      <c r="H89" s="75">
        <v>1.2316</v>
      </c>
      <c r="I89" s="75"/>
      <c r="J89" s="18" t="s">
        <v>39</v>
      </c>
      <c r="K89" s="75">
        <v>250</v>
      </c>
      <c r="L89" s="111"/>
      <c r="M89" s="75"/>
      <c r="N89" s="75" t="s">
        <v>66</v>
      </c>
      <c r="O89" s="75" t="s">
        <v>84</v>
      </c>
      <c r="P89" s="75">
        <v>3000</v>
      </c>
      <c r="Q89" s="75"/>
      <c r="R89" s="75">
        <f t="shared" si="7"/>
        <v>3000</v>
      </c>
      <c r="S89" s="75">
        <v>2980</v>
      </c>
      <c r="T89" s="342" t="s">
        <v>42</v>
      </c>
      <c r="U89" s="137" t="s">
        <v>85</v>
      </c>
      <c r="V89" s="193">
        <v>46181</v>
      </c>
      <c r="W89" s="24" t="s">
        <v>44</v>
      </c>
      <c r="X89" s="18"/>
      <c r="Y89" s="114">
        <v>46357</v>
      </c>
      <c r="Z89" s="18" t="s">
        <v>45</v>
      </c>
      <c r="AA89" s="24" t="s">
        <v>46</v>
      </c>
      <c r="AB89" s="18"/>
      <c r="AC89" s="137"/>
      <c r="AD89" s="77"/>
      <c r="AE89" s="18" t="s">
        <v>48</v>
      </c>
      <c r="AF89" s="18"/>
      <c r="AG89" s="18"/>
    </row>
    <row r="90" s="25" customFormat="1" spans="1:1024 1025:2002">
      <c r="A90" s="473"/>
      <c r="B90" s="19">
        <v>1122</v>
      </c>
      <c r="C90" s="183">
        <v>46182</v>
      </c>
      <c r="D90" s="17" t="s">
        <v>52</v>
      </c>
      <c r="E90" s="17" t="s">
        <v>86</v>
      </c>
      <c r="F90" s="17" t="s">
        <v>54</v>
      </c>
      <c r="G90" s="17"/>
      <c r="H90" s="19" t="s">
        <v>87</v>
      </c>
      <c r="I90" s="19" t="s">
        <v>88</v>
      </c>
      <c r="J90" s="17" t="s">
        <v>39</v>
      </c>
      <c r="K90" s="19">
        <v>150</v>
      </c>
      <c r="L90" s="91"/>
      <c r="M90" s="19">
        <v>5800</v>
      </c>
      <c r="N90" s="19" t="s">
        <v>40</v>
      </c>
      <c r="O90" s="19" t="s">
        <v>50</v>
      </c>
      <c r="P90" s="19">
        <v>3000</v>
      </c>
      <c r="Q90" s="19">
        <v>3061</v>
      </c>
      <c r="R90" s="19">
        <f t="shared" si="7"/>
        <v>-61</v>
      </c>
      <c r="S90" s="19">
        <v>1520</v>
      </c>
      <c r="T90" s="19" t="s">
        <v>42</v>
      </c>
      <c r="U90" s="102" t="s">
        <v>89</v>
      </c>
      <c r="V90" s="186">
        <v>46183</v>
      </c>
      <c r="W90" s="17" t="s">
        <v>69</v>
      </c>
      <c r="X90" s="17"/>
      <c r="Y90" s="68">
        <v>46235</v>
      </c>
      <c r="Z90" s="17" t="s">
        <v>45</v>
      </c>
      <c r="AA90" s="17" t="s">
        <v>46</v>
      </c>
      <c r="AB90" s="17" t="s">
        <v>89</v>
      </c>
      <c r="AC90" s="217">
        <v>46244</v>
      </c>
      <c r="AD90" s="65">
        <v>1849</v>
      </c>
      <c r="AE90" s="17" t="s">
        <v>48</v>
      </c>
      <c r="AF90" s="17" t="s">
        <v>61</v>
      </c>
      <c r="AG90" s="17"/>
      <c r="AH90" s="456"/>
      <c r="AI90" s="456"/>
      <c r="AJ90" s="456"/>
      <c r="AK90" s="456"/>
      <c r="AL90" s="456"/>
      <c r="AM90" s="456"/>
      <c r="AN90" s="456"/>
      <c r="AO90" s="456"/>
      <c r="AP90" s="456"/>
      <c r="AQ90" s="456"/>
      <c r="AR90" s="456"/>
      <c r="AS90" s="456"/>
      <c r="AT90" s="456"/>
      <c r="AU90" s="456"/>
      <c r="AV90" s="456"/>
      <c r="AW90" s="456"/>
      <c r="AX90" s="456"/>
      <c r="AY90" s="456"/>
      <c r="AZ90" s="456"/>
      <c r="BA90" s="456"/>
      <c r="BB90" s="456"/>
      <c r="BC90" s="456"/>
      <c r="BD90" s="456"/>
      <c r="BE90" s="456"/>
      <c r="BF90" s="456"/>
      <c r="BG90" s="456"/>
      <c r="BH90" s="456"/>
      <c r="BI90" s="456"/>
      <c r="BJ90" s="456"/>
      <c r="BK90" s="456"/>
      <c r="BL90" s="456"/>
      <c r="BM90" s="456"/>
      <c r="BN90" s="456"/>
      <c r="BO90" s="456"/>
      <c r="BP90" s="456"/>
      <c r="BQ90" s="456"/>
      <c r="BR90" s="456"/>
      <c r="BS90" s="456"/>
      <c r="BT90" s="456"/>
      <c r="BU90" s="456"/>
      <c r="BV90" s="456"/>
      <c r="BW90" s="456"/>
      <c r="BX90" s="456"/>
      <c r="BY90" s="456"/>
      <c r="BZ90" s="456"/>
      <c r="CA90" s="456"/>
      <c r="CB90" s="456"/>
      <c r="CC90" s="456"/>
      <c r="CD90" s="456"/>
      <c r="CE90" s="456"/>
      <c r="CF90" s="456"/>
      <c r="CG90" s="456"/>
      <c r="CH90" s="456"/>
      <c r="CI90" s="456"/>
      <c r="CJ90" s="456"/>
      <c r="CK90" s="456"/>
      <c r="CL90" s="456"/>
      <c r="CM90" s="456"/>
      <c r="CN90" s="456"/>
      <c r="CO90" s="456"/>
      <c r="CP90" s="456"/>
      <c r="CQ90" s="456"/>
      <c r="CR90" s="456"/>
      <c r="CS90" s="456"/>
      <c r="CT90" s="456"/>
      <c r="CU90" s="456"/>
      <c r="CV90" s="456"/>
      <c r="CW90" s="456"/>
      <c r="CX90" s="456"/>
      <c r="CY90" s="456"/>
      <c r="CZ90" s="456"/>
      <c r="DA90" s="456"/>
      <c r="DB90" s="456"/>
      <c r="DC90" s="456"/>
      <c r="DD90" s="456"/>
      <c r="DE90" s="456"/>
      <c r="DF90" s="456"/>
      <c r="DG90" s="456"/>
      <c r="DH90" s="456"/>
      <c r="DI90" s="456"/>
      <c r="DJ90" s="456"/>
      <c r="DK90" s="456"/>
      <c r="DL90" s="456"/>
      <c r="DM90" s="456"/>
      <c r="DN90" s="456"/>
      <c r="DO90" s="456"/>
      <c r="DP90" s="456"/>
      <c r="DQ90" s="456"/>
      <c r="DR90" s="456"/>
      <c r="DS90" s="456"/>
      <c r="DT90" s="456"/>
      <c r="DU90" s="456"/>
      <c r="DV90" s="456"/>
      <c r="DW90" s="456"/>
      <c r="DX90" s="456"/>
      <c r="DY90" s="456"/>
      <c r="DZ90" s="456"/>
      <c r="EA90" s="456"/>
      <c r="EB90" s="456"/>
      <c r="EC90" s="456"/>
      <c r="ED90" s="456"/>
      <c r="EE90" s="456"/>
      <c r="EF90" s="456"/>
      <c r="EG90" s="456"/>
      <c r="EH90" s="456"/>
      <c r="EI90" s="456"/>
      <c r="EJ90" s="456"/>
      <c r="EK90" s="456"/>
      <c r="EL90" s="456"/>
      <c r="EM90" s="456"/>
      <c r="EN90" s="456"/>
      <c r="EO90" s="456"/>
      <c r="EP90" s="456"/>
      <c r="EQ90" s="456"/>
      <c r="ER90" s="456"/>
      <c r="ES90" s="456"/>
      <c r="ET90" s="456"/>
      <c r="EU90" s="456"/>
      <c r="EV90" s="456"/>
      <c r="EW90" s="456"/>
      <c r="EX90" s="456"/>
      <c r="EY90" s="456"/>
      <c r="EZ90" s="456"/>
      <c r="FA90" s="456"/>
      <c r="FB90" s="456"/>
      <c r="FC90" s="456"/>
      <c r="FD90" s="456"/>
      <c r="FE90" s="456"/>
      <c r="FF90" s="456"/>
      <c r="FG90" s="456"/>
      <c r="FH90" s="456"/>
      <c r="FI90" s="456"/>
      <c r="FJ90" s="456"/>
      <c r="FK90" s="456"/>
      <c r="FL90" s="456"/>
      <c r="FM90" s="456"/>
      <c r="FN90" s="456"/>
      <c r="FO90" s="456"/>
      <c r="FP90" s="456"/>
      <c r="FQ90" s="456"/>
      <c r="FR90" s="456"/>
      <c r="FS90" s="456"/>
      <c r="FT90" s="456"/>
      <c r="FU90" s="456"/>
      <c r="FV90" s="456"/>
      <c r="FW90" s="456"/>
      <c r="FX90" s="456"/>
      <c r="FY90" s="456"/>
      <c r="FZ90" s="456"/>
      <c r="GA90" s="456"/>
      <c r="GB90" s="456"/>
      <c r="GC90" s="456"/>
      <c r="GD90" s="456"/>
      <c r="GE90" s="456"/>
      <c r="GF90" s="456"/>
      <c r="GG90" s="456"/>
      <c r="GH90" s="456"/>
      <c r="GI90" s="456"/>
      <c r="GJ90" s="456"/>
      <c r="GK90" s="456"/>
      <c r="GL90" s="456"/>
      <c r="GM90" s="456"/>
      <c r="GN90" s="456"/>
      <c r="GO90" s="456"/>
      <c r="GP90" s="456"/>
      <c r="GQ90" s="456"/>
      <c r="GR90" s="456"/>
      <c r="GS90" s="456"/>
      <c r="GT90" s="456"/>
      <c r="GU90" s="456"/>
      <c r="GV90" s="456"/>
      <c r="GW90" s="456"/>
      <c r="GX90" s="456"/>
      <c r="GY90" s="456"/>
      <c r="GZ90" s="456"/>
      <c r="HA90" s="456"/>
      <c r="HB90" s="456"/>
      <c r="HC90" s="456"/>
      <c r="HD90" s="456"/>
      <c r="HE90" s="456"/>
      <c r="HF90" s="456"/>
      <c r="HG90" s="456"/>
      <c r="HH90" s="456"/>
      <c r="HI90" s="456"/>
      <c r="HJ90" s="456"/>
      <c r="HK90" s="456"/>
      <c r="HL90" s="456"/>
      <c r="HM90" s="456"/>
      <c r="HN90" s="456"/>
      <c r="HO90" s="456"/>
      <c r="HP90" s="456"/>
      <c r="HQ90" s="456"/>
      <c r="HR90" s="456"/>
      <c r="HS90" s="456"/>
      <c r="HT90" s="456"/>
      <c r="HU90" s="456"/>
      <c r="HV90" s="456"/>
      <c r="HW90" s="456"/>
      <c r="HX90" s="456"/>
      <c r="HY90" s="456"/>
      <c r="HZ90" s="456"/>
      <c r="IA90" s="456"/>
      <c r="IB90" s="456"/>
      <c r="IC90" s="456"/>
      <c r="ID90" s="456"/>
      <c r="IE90" s="456"/>
      <c r="IF90" s="456"/>
      <c r="IG90" s="456"/>
      <c r="IH90" s="456"/>
      <c r="II90" s="456"/>
      <c r="IJ90" s="456"/>
      <c r="IK90" s="456"/>
      <c r="IL90" s="456"/>
      <c r="IM90" s="456"/>
      <c r="IN90" s="456"/>
      <c r="IO90" s="456"/>
      <c r="IP90" s="456"/>
      <c r="IQ90" s="456"/>
      <c r="IR90" s="456"/>
      <c r="IS90" s="456"/>
      <c r="IT90" s="456"/>
      <c r="IU90" s="456"/>
      <c r="IV90" s="456"/>
      <c r="IW90" s="456"/>
      <c r="IX90" s="456"/>
      <c r="IY90" s="456"/>
      <c r="IZ90" s="456"/>
      <c r="JA90" s="456"/>
      <c r="JB90" s="456"/>
      <c r="JC90" s="456"/>
      <c r="JD90" s="456"/>
      <c r="JE90" s="456"/>
      <c r="JF90" s="456"/>
      <c r="JG90" s="456"/>
      <c r="JH90" s="456"/>
      <c r="JI90" s="456"/>
      <c r="JJ90" s="456"/>
      <c r="JK90" s="456"/>
      <c r="JL90" s="456"/>
      <c r="JM90" s="456"/>
      <c r="JN90" s="456"/>
      <c r="JO90" s="456"/>
      <c r="JP90" s="456"/>
      <c r="JQ90" s="456"/>
      <c r="JR90" s="456"/>
      <c r="JS90" s="456"/>
      <c r="JT90" s="456"/>
      <c r="JU90" s="456"/>
      <c r="JV90" s="456"/>
      <c r="JW90" s="456"/>
      <c r="JX90" s="456"/>
      <c r="JY90" s="456"/>
      <c r="JZ90" s="456"/>
      <c r="KA90" s="456"/>
      <c r="KB90" s="456"/>
      <c r="KC90" s="456"/>
      <c r="KD90" s="456"/>
      <c r="KE90" s="456"/>
      <c r="KF90" s="456"/>
      <c r="KG90" s="456"/>
      <c r="KH90" s="456"/>
      <c r="KI90" s="456"/>
      <c r="KJ90" s="456"/>
      <c r="KK90" s="456"/>
      <c r="KL90" s="456"/>
      <c r="KM90" s="456"/>
      <c r="KN90" s="456"/>
      <c r="KO90" s="456"/>
      <c r="KP90" s="456"/>
      <c r="KQ90" s="456"/>
      <c r="KR90" s="456"/>
      <c r="KS90" s="456"/>
      <c r="KT90" s="456"/>
      <c r="KU90" s="456"/>
      <c r="KV90" s="456"/>
      <c r="KW90" s="456"/>
      <c r="KX90" s="456"/>
      <c r="KY90" s="456"/>
      <c r="KZ90" s="456"/>
      <c r="LA90" s="456"/>
      <c r="LB90" s="456"/>
      <c r="LC90" s="456"/>
      <c r="LD90" s="456"/>
      <c r="LE90" s="456"/>
      <c r="LF90" s="456"/>
      <c r="LG90" s="456"/>
      <c r="LH90" s="456"/>
      <c r="LI90" s="456"/>
      <c r="LJ90" s="456"/>
      <c r="LK90" s="456"/>
      <c r="LL90" s="456"/>
      <c r="LM90" s="456"/>
      <c r="LN90" s="456"/>
      <c r="LO90" s="456"/>
      <c r="LP90" s="456"/>
      <c r="LQ90" s="456"/>
      <c r="LR90" s="456"/>
      <c r="LS90" s="456"/>
      <c r="LT90" s="456"/>
      <c r="LU90" s="456"/>
      <c r="LV90" s="456"/>
      <c r="LW90" s="456"/>
      <c r="LX90" s="456"/>
      <c r="LY90" s="456"/>
      <c r="LZ90" s="456"/>
      <c r="MA90" s="456"/>
      <c r="MB90" s="456"/>
      <c r="MC90" s="456"/>
      <c r="MD90" s="456"/>
      <c r="ME90" s="456"/>
      <c r="MF90" s="456"/>
      <c r="MG90" s="456"/>
      <c r="MH90" s="456"/>
      <c r="MI90" s="456"/>
      <c r="MJ90" s="456"/>
      <c r="MK90" s="456"/>
      <c r="ML90" s="456"/>
      <c r="MM90" s="456"/>
      <c r="MN90" s="456"/>
      <c r="MO90" s="456"/>
      <c r="MP90" s="456"/>
      <c r="MQ90" s="456"/>
      <c r="MR90" s="456"/>
      <c r="MS90" s="456"/>
      <c r="MT90" s="456"/>
      <c r="MU90" s="456"/>
      <c r="MV90" s="456"/>
      <c r="MW90" s="456"/>
      <c r="MX90" s="456"/>
      <c r="MY90" s="456"/>
      <c r="MZ90" s="456"/>
      <c r="NA90" s="456"/>
      <c r="NB90" s="456"/>
      <c r="NC90" s="456"/>
      <c r="ND90" s="456"/>
      <c r="NE90" s="456"/>
      <c r="NF90" s="456"/>
      <c r="NG90" s="456"/>
      <c r="NH90" s="456"/>
      <c r="NI90" s="456"/>
      <c r="NJ90" s="456"/>
      <c r="NK90" s="456"/>
      <c r="NL90" s="456"/>
      <c r="NM90" s="456"/>
      <c r="NN90" s="456"/>
      <c r="NO90" s="456"/>
      <c r="NP90" s="456"/>
      <c r="NQ90" s="456"/>
      <c r="NR90" s="456"/>
      <c r="NS90" s="456"/>
      <c r="NT90" s="456"/>
      <c r="NU90" s="456"/>
      <c r="NV90" s="456"/>
      <c r="NW90" s="456"/>
      <c r="NX90" s="456"/>
      <c r="NY90" s="456"/>
      <c r="NZ90" s="456"/>
      <c r="OA90" s="456"/>
      <c r="OB90" s="456"/>
      <c r="OC90" s="456"/>
      <c r="OD90" s="456"/>
      <c r="OE90" s="456"/>
      <c r="OF90" s="456"/>
      <c r="OG90" s="456"/>
      <c r="OH90" s="456"/>
      <c r="OI90" s="456"/>
      <c r="OJ90" s="456"/>
      <c r="OK90" s="456"/>
      <c r="OL90" s="456"/>
      <c r="OM90" s="456"/>
      <c r="ON90" s="456"/>
      <c r="OO90" s="456"/>
      <c r="OP90" s="456"/>
      <c r="OQ90" s="456"/>
      <c r="OR90" s="456"/>
      <c r="OS90" s="456"/>
      <c r="OT90" s="456"/>
      <c r="OU90" s="456"/>
      <c r="OV90" s="456"/>
      <c r="OW90" s="456"/>
      <c r="OX90" s="456"/>
      <c r="OY90" s="456"/>
      <c r="OZ90" s="456"/>
      <c r="PA90" s="456"/>
      <c r="PB90" s="456"/>
      <c r="PC90" s="456"/>
      <c r="PD90" s="456"/>
      <c r="PE90" s="456"/>
      <c r="PF90" s="456"/>
      <c r="PG90" s="456"/>
      <c r="PH90" s="456"/>
      <c r="PI90" s="456"/>
      <c r="PJ90" s="456"/>
      <c r="PK90" s="456"/>
      <c r="PL90" s="456"/>
      <c r="PM90" s="456"/>
      <c r="PN90" s="456"/>
      <c r="PO90" s="456"/>
      <c r="PP90" s="456"/>
      <c r="PQ90" s="456"/>
      <c r="PR90" s="456"/>
      <c r="PS90" s="456"/>
      <c r="PT90" s="456"/>
      <c r="PU90" s="456"/>
      <c r="PV90" s="456"/>
      <c r="PW90" s="456"/>
      <c r="PX90" s="456"/>
      <c r="PY90" s="456"/>
      <c r="PZ90" s="456"/>
      <c r="QA90" s="456"/>
      <c r="QB90" s="456"/>
      <c r="QC90" s="456"/>
      <c r="QD90" s="456"/>
      <c r="QE90" s="456"/>
      <c r="QF90" s="456"/>
      <c r="QG90" s="456"/>
      <c r="QH90" s="456"/>
      <c r="QI90" s="456"/>
      <c r="QJ90" s="456"/>
      <c r="QK90" s="456"/>
      <c r="QL90" s="456"/>
      <c r="QM90" s="456"/>
      <c r="QN90" s="456"/>
      <c r="QO90" s="456"/>
      <c r="QP90" s="456"/>
      <c r="QQ90" s="456"/>
      <c r="QR90" s="456"/>
      <c r="QS90" s="456"/>
      <c r="QT90" s="456"/>
      <c r="QU90" s="456"/>
      <c r="QV90" s="456"/>
      <c r="QW90" s="456"/>
      <c r="QX90" s="456"/>
      <c r="QY90" s="456"/>
      <c r="QZ90" s="456"/>
      <c r="RA90" s="456"/>
      <c r="RB90" s="456"/>
      <c r="RC90" s="456"/>
      <c r="RD90" s="456"/>
      <c r="RE90" s="456"/>
      <c r="RF90" s="456"/>
      <c r="RG90" s="456"/>
      <c r="RH90" s="456"/>
      <c r="RI90" s="456"/>
      <c r="RJ90" s="456"/>
      <c r="RK90" s="456"/>
      <c r="RL90" s="456"/>
      <c r="RM90" s="456"/>
      <c r="RN90" s="456"/>
      <c r="RO90" s="456"/>
      <c r="RP90" s="456"/>
      <c r="RQ90" s="456"/>
      <c r="RR90" s="456"/>
      <c r="RS90" s="456"/>
      <c r="RT90" s="456"/>
      <c r="RU90" s="456"/>
      <c r="RV90" s="456"/>
      <c r="RW90" s="456"/>
      <c r="RX90" s="456"/>
      <c r="RY90" s="456"/>
      <c r="RZ90" s="456"/>
      <c r="SA90" s="456"/>
      <c r="SB90" s="456"/>
      <c r="SC90" s="456"/>
      <c r="SD90" s="456"/>
      <c r="SE90" s="456"/>
      <c r="SF90" s="456"/>
      <c r="SG90" s="456"/>
      <c r="SH90" s="456"/>
      <c r="SI90" s="456"/>
      <c r="SJ90" s="456"/>
      <c r="SK90" s="456"/>
      <c r="SL90" s="456"/>
      <c r="SM90" s="456"/>
      <c r="SN90" s="456"/>
      <c r="SO90" s="456"/>
      <c r="SP90" s="456"/>
      <c r="SQ90" s="456"/>
      <c r="SR90" s="456"/>
      <c r="SS90" s="456"/>
      <c r="ST90" s="456"/>
      <c r="SU90" s="456"/>
      <c r="SV90" s="456"/>
      <c r="SW90" s="456"/>
      <c r="SX90" s="456"/>
      <c r="SY90" s="456"/>
      <c r="SZ90" s="456"/>
      <c r="TA90" s="456"/>
      <c r="TB90" s="456"/>
      <c r="TC90" s="456"/>
      <c r="TD90" s="456"/>
      <c r="TE90" s="456"/>
      <c r="TF90" s="456"/>
      <c r="TG90" s="456"/>
      <c r="TH90" s="456"/>
      <c r="TI90" s="456"/>
      <c r="TJ90" s="456"/>
      <c r="TK90" s="456"/>
      <c r="TL90" s="456"/>
      <c r="TM90" s="456"/>
      <c r="TN90" s="456"/>
      <c r="TO90" s="456"/>
      <c r="TP90" s="456"/>
      <c r="TQ90" s="456"/>
      <c r="TR90" s="456"/>
      <c r="TS90" s="456"/>
      <c r="TT90" s="456"/>
      <c r="TU90" s="456"/>
      <c r="TV90" s="456"/>
      <c r="TW90" s="456"/>
      <c r="TX90" s="456"/>
      <c r="TY90" s="456"/>
      <c r="TZ90" s="456"/>
      <c r="UA90" s="456"/>
      <c r="UB90" s="456"/>
      <c r="UC90" s="456"/>
      <c r="UD90" s="456"/>
      <c r="UE90" s="456"/>
      <c r="UF90" s="456"/>
      <c r="UG90" s="456"/>
      <c r="UH90" s="456"/>
      <c r="UI90" s="456"/>
      <c r="UJ90" s="456"/>
      <c r="UK90" s="456"/>
      <c r="UL90" s="456"/>
      <c r="UM90" s="456"/>
      <c r="UN90" s="456"/>
      <c r="UO90" s="456"/>
      <c r="UP90" s="456"/>
      <c r="UQ90" s="456"/>
      <c r="UR90" s="456"/>
      <c r="US90" s="456"/>
      <c r="UT90" s="456"/>
      <c r="UU90" s="456"/>
      <c r="UV90" s="456"/>
      <c r="UW90" s="456"/>
      <c r="UX90" s="456"/>
      <c r="UY90" s="456"/>
      <c r="UZ90" s="456"/>
      <c r="VA90" s="456"/>
      <c r="VB90" s="456"/>
      <c r="VC90" s="456"/>
      <c r="VD90" s="456"/>
      <c r="VE90" s="456"/>
      <c r="VF90" s="456"/>
      <c r="VG90" s="456"/>
      <c r="VH90" s="456"/>
      <c r="VI90" s="456"/>
      <c r="VJ90" s="456"/>
      <c r="VK90" s="456"/>
      <c r="VL90" s="456"/>
      <c r="VM90" s="456"/>
      <c r="VN90" s="456"/>
      <c r="VO90" s="456"/>
      <c r="VP90" s="456"/>
      <c r="VQ90" s="456"/>
      <c r="VR90" s="456"/>
      <c r="VS90" s="456"/>
      <c r="VT90" s="456"/>
      <c r="VU90" s="456"/>
      <c r="VV90" s="456"/>
      <c r="VW90" s="456"/>
      <c r="VX90" s="456"/>
      <c r="VY90" s="456"/>
      <c r="VZ90" s="456"/>
      <c r="WA90" s="456"/>
      <c r="WB90" s="456"/>
      <c r="WC90" s="456"/>
      <c r="WD90" s="456"/>
      <c r="WE90" s="456"/>
      <c r="WF90" s="456"/>
      <c r="WG90" s="456"/>
      <c r="WH90" s="456"/>
      <c r="WI90" s="456"/>
      <c r="WJ90" s="456"/>
      <c r="WK90" s="456"/>
      <c r="WL90" s="456"/>
      <c r="WM90" s="456"/>
      <c r="WN90" s="456"/>
      <c r="WO90" s="456"/>
      <c r="WP90" s="456"/>
      <c r="WQ90" s="456"/>
      <c r="WR90" s="456"/>
      <c r="WS90" s="456"/>
      <c r="WT90" s="456"/>
      <c r="WU90" s="456"/>
      <c r="WV90" s="456"/>
      <c r="WW90" s="456"/>
      <c r="WX90" s="456"/>
      <c r="WY90" s="456"/>
      <c r="WZ90" s="456"/>
      <c r="XA90" s="456"/>
      <c r="XB90" s="456"/>
      <c r="XC90" s="456"/>
      <c r="XD90" s="456"/>
      <c r="XE90" s="456"/>
      <c r="XF90" s="456"/>
      <c r="XG90" s="456"/>
      <c r="XH90" s="456"/>
      <c r="XI90" s="456"/>
      <c r="XJ90" s="456"/>
      <c r="XK90" s="456"/>
      <c r="XL90" s="456"/>
      <c r="XM90" s="456"/>
      <c r="XN90" s="456"/>
      <c r="XO90" s="456"/>
      <c r="XP90" s="456"/>
      <c r="XQ90" s="456"/>
      <c r="XR90" s="456"/>
      <c r="XS90" s="456"/>
      <c r="XT90" s="456"/>
      <c r="XU90" s="456"/>
      <c r="XV90" s="456"/>
      <c r="XW90" s="456"/>
      <c r="XX90" s="456"/>
      <c r="XY90" s="456"/>
      <c r="XZ90" s="456"/>
      <c r="YA90" s="456"/>
      <c r="YB90" s="456"/>
      <c r="YC90" s="456"/>
      <c r="YD90" s="456"/>
      <c r="YE90" s="456"/>
      <c r="YF90" s="456"/>
      <c r="YG90" s="456"/>
      <c r="YH90" s="456"/>
      <c r="YI90" s="456"/>
      <c r="YJ90" s="456"/>
      <c r="YK90" s="456"/>
      <c r="YL90" s="456"/>
      <c r="YM90" s="456"/>
      <c r="YN90" s="456"/>
      <c r="YO90" s="456"/>
      <c r="YP90" s="456"/>
      <c r="YQ90" s="456"/>
      <c r="YR90" s="456"/>
      <c r="YS90" s="456"/>
      <c r="YT90" s="456"/>
      <c r="YU90" s="456"/>
      <c r="YV90" s="456"/>
      <c r="YW90" s="456"/>
      <c r="YX90" s="456"/>
      <c r="YY90" s="456"/>
      <c r="YZ90" s="456"/>
      <c r="ZA90" s="456"/>
      <c r="ZB90" s="456"/>
      <c r="ZC90" s="456"/>
      <c r="ZD90" s="456"/>
      <c r="ZE90" s="456"/>
      <c r="ZF90" s="456"/>
      <c r="ZG90" s="456"/>
      <c r="ZH90" s="456"/>
      <c r="ZI90" s="456"/>
      <c r="ZJ90" s="456"/>
      <c r="ZK90" s="456"/>
      <c r="ZL90" s="456"/>
      <c r="ZM90" s="456"/>
      <c r="ZN90" s="456"/>
      <c r="ZO90" s="456"/>
      <c r="ZP90" s="456"/>
      <c r="ZQ90" s="456"/>
      <c r="ZR90" s="456"/>
      <c r="ZS90" s="456"/>
      <c r="ZT90" s="456"/>
      <c r="ZU90" s="456"/>
      <c r="ZV90" s="456"/>
      <c r="ZW90" s="456"/>
      <c r="ZX90" s="456"/>
      <c r="ZY90" s="456"/>
      <c r="ZZ90" s="456"/>
      <c r="AAA90" s="456"/>
      <c r="AAB90" s="456"/>
      <c r="AAC90" s="456"/>
      <c r="AAD90" s="456"/>
      <c r="AAE90" s="456"/>
      <c r="AAF90" s="456"/>
      <c r="AAG90" s="456"/>
      <c r="AAH90" s="456"/>
      <c r="AAI90" s="456"/>
      <c r="AAJ90" s="456"/>
      <c r="AAK90" s="456"/>
      <c r="AAL90" s="456"/>
      <c r="AAM90" s="456"/>
      <c r="AAN90" s="456"/>
      <c r="AAO90" s="456"/>
      <c r="AAP90" s="456"/>
      <c r="AAQ90" s="456"/>
      <c r="AAR90" s="456"/>
      <c r="AAS90" s="456"/>
      <c r="AAT90" s="456"/>
      <c r="AAU90" s="456"/>
      <c r="AAV90" s="456"/>
      <c r="AAW90" s="456"/>
      <c r="AAX90" s="456"/>
      <c r="AAY90" s="456"/>
      <c r="AAZ90" s="456"/>
      <c r="ABA90" s="456"/>
      <c r="ABB90" s="456"/>
      <c r="ABC90" s="456"/>
      <c r="ABD90" s="456"/>
      <c r="ABE90" s="456"/>
      <c r="ABF90" s="456"/>
      <c r="ABG90" s="456"/>
      <c r="ABH90" s="456"/>
      <c r="ABI90" s="456"/>
      <c r="ABJ90" s="456"/>
      <c r="ABK90" s="456"/>
      <c r="ABL90" s="456"/>
      <c r="ABM90" s="456"/>
      <c r="ABN90" s="456"/>
      <c r="ABO90" s="456"/>
      <c r="ABP90" s="456"/>
      <c r="ABQ90" s="456"/>
      <c r="ABR90" s="456"/>
      <c r="ABS90" s="456"/>
      <c r="ABT90" s="456"/>
      <c r="ABU90" s="456"/>
      <c r="ABV90" s="456"/>
      <c r="ABW90" s="456"/>
      <c r="ABX90" s="456"/>
      <c r="ABY90" s="456"/>
      <c r="ABZ90" s="456"/>
      <c r="ACA90" s="456"/>
      <c r="ACB90" s="456"/>
      <c r="ACC90" s="456"/>
      <c r="ACD90" s="456"/>
      <c r="ACE90" s="456"/>
      <c r="ACF90" s="456"/>
      <c r="ACG90" s="456"/>
      <c r="ACH90" s="456"/>
      <c r="ACI90" s="456"/>
      <c r="ACJ90" s="456"/>
      <c r="ACK90" s="456"/>
      <c r="ACL90" s="456"/>
      <c r="ACM90" s="456"/>
      <c r="ACN90" s="456"/>
      <c r="ACO90" s="456"/>
      <c r="ACP90" s="456"/>
      <c r="ACQ90" s="456"/>
      <c r="ACR90" s="456"/>
      <c r="ACS90" s="456"/>
      <c r="ACT90" s="456"/>
      <c r="ACU90" s="456"/>
      <c r="ACV90" s="456"/>
      <c r="ACW90" s="456"/>
      <c r="ACX90" s="456"/>
      <c r="ACY90" s="456"/>
      <c r="ACZ90" s="456"/>
      <c r="ADA90" s="456"/>
      <c r="ADB90" s="456"/>
      <c r="ADC90" s="456"/>
      <c r="ADD90" s="456"/>
      <c r="ADE90" s="456"/>
      <c r="ADF90" s="456"/>
      <c r="ADG90" s="456"/>
      <c r="ADH90" s="456"/>
      <c r="ADI90" s="456"/>
      <c r="ADJ90" s="456"/>
      <c r="ADK90" s="456"/>
      <c r="ADL90" s="456"/>
      <c r="ADM90" s="456"/>
      <c r="ADN90" s="456"/>
      <c r="ADO90" s="456"/>
      <c r="ADP90" s="456"/>
      <c r="ADQ90" s="456"/>
      <c r="ADR90" s="456"/>
      <c r="ADS90" s="456"/>
      <c r="ADT90" s="456"/>
      <c r="ADU90" s="456"/>
      <c r="ADV90" s="456"/>
      <c r="ADW90" s="456"/>
      <c r="ADX90" s="456"/>
      <c r="ADY90" s="456"/>
      <c r="ADZ90" s="456"/>
      <c r="AEA90" s="456"/>
      <c r="AEB90" s="456"/>
      <c r="AEC90" s="456"/>
      <c r="AED90" s="456"/>
      <c r="AEE90" s="456"/>
      <c r="AEF90" s="456"/>
      <c r="AEG90" s="456"/>
      <c r="AEH90" s="456"/>
      <c r="AEI90" s="456"/>
      <c r="AEJ90" s="456"/>
      <c r="AEK90" s="456"/>
      <c r="AEL90" s="456"/>
      <c r="AEM90" s="456"/>
      <c r="AEN90" s="456"/>
      <c r="AEO90" s="456"/>
      <c r="AEP90" s="456"/>
      <c r="AEQ90" s="456"/>
      <c r="AER90" s="456"/>
      <c r="AES90" s="456"/>
      <c r="AET90" s="456"/>
      <c r="AEU90" s="456"/>
      <c r="AEV90" s="456"/>
      <c r="AEW90" s="456"/>
      <c r="AEX90" s="456"/>
      <c r="AEY90" s="456"/>
      <c r="AEZ90" s="456"/>
      <c r="AFA90" s="456"/>
      <c r="AFB90" s="456"/>
      <c r="AFC90" s="456"/>
      <c r="AFD90" s="456"/>
      <c r="AFE90" s="456"/>
      <c r="AFF90" s="456"/>
      <c r="AFG90" s="456"/>
      <c r="AFH90" s="456"/>
      <c r="AFI90" s="456"/>
      <c r="AFJ90" s="456"/>
      <c r="AFK90" s="456"/>
      <c r="AFL90" s="456"/>
      <c r="AFM90" s="456"/>
      <c r="AFN90" s="456"/>
      <c r="AFO90" s="456"/>
      <c r="AFP90" s="456"/>
      <c r="AFQ90" s="456"/>
      <c r="AFR90" s="456"/>
      <c r="AFS90" s="456"/>
      <c r="AFT90" s="456"/>
      <c r="AFU90" s="456"/>
      <c r="AFV90" s="456"/>
      <c r="AFW90" s="456"/>
      <c r="AFX90" s="456"/>
      <c r="AFY90" s="456"/>
      <c r="AFZ90" s="456"/>
      <c r="AGA90" s="456"/>
      <c r="AGB90" s="456"/>
      <c r="AGC90" s="456"/>
      <c r="AGD90" s="456"/>
      <c r="AGE90" s="456"/>
      <c r="AGF90" s="456"/>
      <c r="AGG90" s="456"/>
      <c r="AGH90" s="456"/>
      <c r="AGI90" s="456"/>
      <c r="AGJ90" s="456"/>
      <c r="AGK90" s="456"/>
      <c r="AGL90" s="456"/>
      <c r="AGM90" s="456"/>
      <c r="AGN90" s="456"/>
      <c r="AGO90" s="456"/>
      <c r="AGP90" s="456"/>
      <c r="AGQ90" s="456"/>
      <c r="AGR90" s="456"/>
      <c r="AGS90" s="456"/>
      <c r="AGT90" s="456"/>
      <c r="AGU90" s="456"/>
      <c r="AGV90" s="456"/>
      <c r="AGW90" s="456"/>
      <c r="AGX90" s="456"/>
      <c r="AGY90" s="456"/>
      <c r="AGZ90" s="456"/>
      <c r="AHA90" s="456"/>
      <c r="AHB90" s="456"/>
      <c r="AHC90" s="456"/>
      <c r="AHD90" s="456"/>
      <c r="AHE90" s="456"/>
      <c r="AHF90" s="456"/>
      <c r="AHG90" s="456"/>
      <c r="AHH90" s="456"/>
      <c r="AHI90" s="456"/>
      <c r="AHJ90" s="456"/>
      <c r="AHK90" s="456"/>
      <c r="AHL90" s="456"/>
      <c r="AHM90" s="456"/>
      <c r="AHN90" s="456"/>
      <c r="AHO90" s="456"/>
      <c r="AHP90" s="456"/>
      <c r="AHQ90" s="456"/>
      <c r="AHR90" s="456"/>
      <c r="AHS90" s="456"/>
      <c r="AHT90" s="456"/>
      <c r="AHU90" s="456"/>
      <c r="AHV90" s="456"/>
      <c r="AHW90" s="456"/>
      <c r="AHX90" s="456"/>
      <c r="AHY90" s="456"/>
      <c r="AHZ90" s="456"/>
      <c r="AIA90" s="456"/>
      <c r="AIB90" s="456"/>
      <c r="AIC90" s="456"/>
      <c r="AID90" s="456"/>
      <c r="AIE90" s="456"/>
      <c r="AIF90" s="456"/>
      <c r="AIG90" s="456"/>
      <c r="AIH90" s="456"/>
      <c r="AII90" s="456"/>
      <c r="AIJ90" s="456"/>
      <c r="AIK90" s="456"/>
      <c r="AIL90" s="456"/>
      <c r="AIM90" s="456"/>
      <c r="AIN90" s="456"/>
      <c r="AIO90" s="456"/>
      <c r="AIP90" s="456"/>
      <c r="AIQ90" s="456"/>
      <c r="AIR90" s="456"/>
      <c r="AIS90" s="456"/>
      <c r="AIT90" s="456"/>
      <c r="AIU90" s="456"/>
      <c r="AIV90" s="456"/>
      <c r="AIW90" s="456"/>
      <c r="AIX90" s="456"/>
      <c r="AIY90" s="456"/>
      <c r="AIZ90" s="456"/>
      <c r="AJA90" s="456"/>
      <c r="AJB90" s="456"/>
      <c r="AJC90" s="456"/>
      <c r="AJD90" s="456"/>
      <c r="AJE90" s="456"/>
      <c r="AJF90" s="456"/>
      <c r="AJG90" s="456"/>
      <c r="AJH90" s="456"/>
      <c r="AJI90" s="456"/>
      <c r="AJJ90" s="456"/>
      <c r="AJK90" s="456"/>
      <c r="AJL90" s="456"/>
      <c r="AJM90" s="456"/>
      <c r="AJN90" s="456"/>
      <c r="AJO90" s="456"/>
      <c r="AJP90" s="456"/>
      <c r="AJQ90" s="456"/>
      <c r="AJR90" s="456"/>
      <c r="AJS90" s="456"/>
      <c r="AJT90" s="456"/>
      <c r="AJU90" s="456"/>
      <c r="AJV90" s="456"/>
      <c r="AJW90" s="456"/>
      <c r="AJX90" s="456"/>
      <c r="AJY90" s="456"/>
      <c r="AJZ90" s="456"/>
      <c r="AKA90" s="456"/>
      <c r="AKB90" s="456"/>
      <c r="AKC90" s="456"/>
      <c r="AKD90" s="456"/>
      <c r="AKE90" s="456"/>
      <c r="AKF90" s="456"/>
      <c r="AKG90" s="456"/>
      <c r="AKH90" s="456"/>
      <c r="AKI90" s="456"/>
      <c r="AKJ90" s="456"/>
      <c r="AKK90" s="456"/>
      <c r="AKL90" s="456"/>
      <c r="AKM90" s="456"/>
      <c r="AKN90" s="456"/>
      <c r="AKO90" s="456"/>
      <c r="AKP90" s="456"/>
      <c r="AKQ90" s="456"/>
      <c r="AKR90" s="456"/>
      <c r="AKS90" s="456"/>
      <c r="AKT90" s="456"/>
      <c r="AKU90" s="456"/>
      <c r="AKV90" s="456"/>
      <c r="AKW90" s="456"/>
      <c r="AKX90" s="456"/>
      <c r="AKY90" s="456"/>
      <c r="AKZ90" s="456"/>
      <c r="ALA90" s="456"/>
      <c r="ALB90" s="456"/>
      <c r="ALC90" s="456"/>
      <c r="ALD90" s="456"/>
      <c r="ALE90" s="456"/>
      <c r="ALF90" s="456"/>
      <c r="ALG90" s="456"/>
      <c r="ALH90" s="456"/>
      <c r="ALI90" s="456"/>
      <c r="ALJ90" s="456"/>
      <c r="ALK90" s="456"/>
      <c r="ALL90" s="456"/>
      <c r="ALM90" s="456"/>
      <c r="ALN90" s="456"/>
      <c r="ALO90" s="456"/>
      <c r="ALP90" s="456"/>
      <c r="ALQ90" s="456"/>
      <c r="ALR90" s="456"/>
      <c r="ALS90" s="456"/>
      <c r="ALT90" s="456"/>
      <c r="ALU90" s="456"/>
      <c r="ALV90" s="456"/>
      <c r="ALW90" s="456"/>
      <c r="ALX90" s="456"/>
      <c r="ALY90" s="456"/>
      <c r="ALZ90" s="456"/>
      <c r="AMA90" s="456"/>
      <c r="AMB90" s="456"/>
      <c r="AMC90" s="456"/>
      <c r="AMD90" s="456"/>
      <c r="AME90" s="456"/>
      <c r="AMF90" s="456"/>
      <c r="AMG90" s="456"/>
      <c r="AMH90" s="456"/>
      <c r="AMI90" s="456"/>
      <c r="AMJ90" s="456"/>
      <c r="AMK90" s="456"/>
      <c r="AML90" s="456"/>
      <c r="AMM90" s="456"/>
      <c r="AMN90" s="456"/>
      <c r="AMO90" s="456"/>
      <c r="AMP90" s="456"/>
      <c r="AMQ90" s="456"/>
      <c r="AMR90" s="456"/>
      <c r="AMS90" s="456"/>
      <c r="AMT90" s="456"/>
      <c r="AMU90" s="456"/>
      <c r="AMV90" s="456"/>
      <c r="AMW90" s="456"/>
      <c r="AMX90" s="456"/>
      <c r="AMY90" s="456"/>
      <c r="AMZ90" s="456"/>
      <c r="ANA90" s="456"/>
      <c r="ANB90" s="456"/>
      <c r="ANC90" s="456"/>
      <c r="AND90" s="456"/>
      <c r="ANE90" s="456"/>
      <c r="ANF90" s="456"/>
      <c r="ANG90" s="456"/>
      <c r="ANH90" s="456"/>
      <c r="ANI90" s="456"/>
      <c r="ANJ90" s="456"/>
      <c r="ANK90" s="456"/>
      <c r="ANL90" s="456"/>
      <c r="ANM90" s="456"/>
      <c r="ANN90" s="456"/>
      <c r="ANO90" s="456"/>
      <c r="ANP90" s="456"/>
      <c r="ANQ90" s="456"/>
      <c r="ANR90" s="456"/>
      <c r="ANS90" s="456"/>
      <c r="ANT90" s="456"/>
      <c r="ANU90" s="456"/>
      <c r="ANV90" s="456"/>
      <c r="ANW90" s="456"/>
      <c r="ANX90" s="456"/>
      <c r="ANY90" s="456"/>
      <c r="ANZ90" s="456"/>
      <c r="AOA90" s="456"/>
      <c r="AOB90" s="456"/>
      <c r="AOC90" s="456"/>
      <c r="AOD90" s="456"/>
      <c r="AOE90" s="456"/>
      <c r="AOF90" s="456"/>
      <c r="AOG90" s="456"/>
      <c r="AOH90" s="456"/>
      <c r="AOI90" s="456"/>
      <c r="AOJ90" s="456"/>
      <c r="AOK90" s="456"/>
      <c r="AOL90" s="456"/>
      <c r="AOM90" s="456"/>
      <c r="AON90" s="456"/>
      <c r="AOO90" s="456"/>
      <c r="AOP90" s="456"/>
      <c r="AOQ90" s="456"/>
      <c r="AOR90" s="456"/>
      <c r="AOS90" s="456"/>
      <c r="AOT90" s="456"/>
      <c r="AOU90" s="456"/>
      <c r="AOV90" s="456"/>
      <c r="AOW90" s="456"/>
      <c r="AOX90" s="456"/>
      <c r="AOY90" s="456"/>
      <c r="AOZ90" s="456"/>
      <c r="APA90" s="456"/>
      <c r="APB90" s="456"/>
      <c r="APC90" s="456"/>
      <c r="APD90" s="456"/>
      <c r="APE90" s="456"/>
      <c r="APF90" s="456"/>
      <c r="APG90" s="456"/>
      <c r="APH90" s="456"/>
      <c r="API90" s="456"/>
      <c r="APJ90" s="456"/>
      <c r="APK90" s="456"/>
      <c r="APL90" s="456"/>
      <c r="APM90" s="456"/>
      <c r="APN90" s="456"/>
      <c r="APO90" s="456"/>
      <c r="APP90" s="456"/>
      <c r="APQ90" s="456"/>
      <c r="APR90" s="456"/>
      <c r="APS90" s="456"/>
      <c r="APT90" s="456"/>
      <c r="APU90" s="456"/>
      <c r="APV90" s="456"/>
      <c r="APW90" s="456"/>
      <c r="APX90" s="456"/>
      <c r="APY90" s="456"/>
      <c r="APZ90" s="456"/>
      <c r="AQA90" s="456"/>
      <c r="AQB90" s="456"/>
      <c r="AQC90" s="456"/>
      <c r="AQD90" s="456"/>
      <c r="AQE90" s="456"/>
      <c r="AQF90" s="456"/>
      <c r="AQG90" s="456"/>
      <c r="AQH90" s="456"/>
      <c r="AQI90" s="456"/>
      <c r="AQJ90" s="456"/>
      <c r="AQK90" s="456"/>
      <c r="AQL90" s="456"/>
      <c r="AQM90" s="456"/>
      <c r="AQN90" s="456"/>
      <c r="AQO90" s="456"/>
      <c r="AQP90" s="456"/>
      <c r="AQQ90" s="456"/>
      <c r="AQR90" s="456"/>
      <c r="AQS90" s="456"/>
      <c r="AQT90" s="456"/>
      <c r="AQU90" s="456"/>
      <c r="AQV90" s="456"/>
      <c r="AQW90" s="456"/>
      <c r="AQX90" s="456"/>
      <c r="AQY90" s="456"/>
      <c r="AQZ90" s="456"/>
      <c r="ARA90" s="456"/>
      <c r="ARB90" s="456"/>
      <c r="ARC90" s="456"/>
      <c r="ARD90" s="456"/>
      <c r="ARE90" s="456"/>
      <c r="ARF90" s="456"/>
      <c r="ARG90" s="456"/>
      <c r="ARH90" s="456"/>
      <c r="ARI90" s="456"/>
      <c r="ARJ90" s="456"/>
      <c r="ARK90" s="456"/>
      <c r="ARL90" s="456"/>
      <c r="ARM90" s="456"/>
      <c r="ARN90" s="456"/>
      <c r="ARO90" s="456"/>
      <c r="ARP90" s="456"/>
      <c r="ARQ90" s="456"/>
      <c r="ARR90" s="456"/>
      <c r="ARS90" s="456"/>
      <c r="ART90" s="456"/>
      <c r="ARU90" s="456"/>
      <c r="ARV90" s="456"/>
      <c r="ARW90" s="456"/>
      <c r="ARX90" s="456"/>
      <c r="ARY90" s="456"/>
      <c r="ARZ90" s="456"/>
      <c r="ASA90" s="456"/>
      <c r="ASB90" s="456"/>
      <c r="ASC90" s="456"/>
      <c r="ASD90" s="456"/>
      <c r="ASE90" s="456"/>
      <c r="ASF90" s="456"/>
      <c r="ASG90" s="456"/>
      <c r="ASH90" s="456"/>
      <c r="ASI90" s="456"/>
      <c r="ASJ90" s="456"/>
      <c r="ASK90" s="456"/>
      <c r="ASL90" s="456"/>
      <c r="ASM90" s="456"/>
      <c r="ASN90" s="456"/>
      <c r="ASO90" s="456"/>
      <c r="ASP90" s="456"/>
      <c r="ASQ90" s="456"/>
      <c r="ASR90" s="456"/>
      <c r="ASS90" s="456"/>
      <c r="AST90" s="456"/>
      <c r="ASU90" s="456"/>
      <c r="ASV90" s="456"/>
      <c r="ASW90" s="456"/>
      <c r="ASX90" s="456"/>
      <c r="ASY90" s="456"/>
      <c r="ASZ90" s="456"/>
      <c r="ATA90" s="456"/>
      <c r="ATB90" s="456"/>
      <c r="ATC90" s="456"/>
      <c r="ATD90" s="456"/>
      <c r="ATE90" s="456"/>
      <c r="ATF90" s="456"/>
      <c r="ATG90" s="456"/>
      <c r="ATH90" s="456"/>
      <c r="ATI90" s="456"/>
      <c r="ATJ90" s="456"/>
      <c r="ATK90" s="456"/>
      <c r="ATL90" s="456"/>
      <c r="ATM90" s="456"/>
      <c r="ATN90" s="456"/>
      <c r="ATO90" s="456"/>
      <c r="ATP90" s="456"/>
      <c r="ATQ90" s="456"/>
      <c r="ATR90" s="456"/>
      <c r="ATS90" s="456"/>
      <c r="ATT90" s="456"/>
      <c r="ATU90" s="456"/>
      <c r="ATV90" s="456"/>
      <c r="ATW90" s="456"/>
      <c r="ATX90" s="456"/>
      <c r="ATY90" s="456"/>
      <c r="ATZ90" s="456"/>
      <c r="AUA90" s="456"/>
      <c r="AUB90" s="456"/>
      <c r="AUC90" s="456"/>
      <c r="AUD90" s="456"/>
      <c r="AUE90" s="456"/>
      <c r="AUF90" s="456"/>
      <c r="AUG90" s="456"/>
      <c r="AUH90" s="456"/>
      <c r="AUI90" s="456"/>
      <c r="AUJ90" s="456"/>
      <c r="AUK90" s="456"/>
      <c r="AUL90" s="456"/>
      <c r="AUM90" s="456"/>
      <c r="AUN90" s="456"/>
      <c r="AUO90" s="456"/>
      <c r="AUP90" s="456"/>
      <c r="AUQ90" s="456"/>
      <c r="AUR90" s="456"/>
      <c r="AUS90" s="456"/>
      <c r="AUT90" s="456"/>
      <c r="AUU90" s="456"/>
      <c r="AUV90" s="456"/>
      <c r="AUW90" s="456"/>
      <c r="AUX90" s="456"/>
      <c r="AUY90" s="456"/>
      <c r="AUZ90" s="456"/>
      <c r="AVA90" s="456"/>
      <c r="AVB90" s="456"/>
      <c r="AVC90" s="456"/>
      <c r="AVD90" s="456"/>
      <c r="AVE90" s="456"/>
      <c r="AVF90" s="456"/>
      <c r="AVG90" s="456"/>
      <c r="AVH90" s="456"/>
      <c r="AVI90" s="456"/>
      <c r="AVJ90" s="456"/>
      <c r="AVK90" s="456"/>
      <c r="AVL90" s="456"/>
      <c r="AVM90" s="456"/>
      <c r="AVN90" s="456"/>
      <c r="AVO90" s="456"/>
      <c r="AVP90" s="456"/>
      <c r="AVQ90" s="456"/>
      <c r="AVR90" s="456"/>
      <c r="AVS90" s="456"/>
      <c r="AVT90" s="456"/>
      <c r="AVU90" s="456"/>
      <c r="AVV90" s="456"/>
      <c r="AVW90" s="456"/>
      <c r="AVX90" s="456"/>
      <c r="AVY90" s="456"/>
      <c r="AVZ90" s="456"/>
      <c r="AWA90" s="456"/>
      <c r="AWB90" s="456"/>
      <c r="AWC90" s="456"/>
      <c r="AWD90" s="456"/>
      <c r="AWE90" s="456"/>
      <c r="AWF90" s="456"/>
      <c r="AWG90" s="456"/>
      <c r="AWH90" s="456"/>
      <c r="AWI90" s="456"/>
      <c r="AWJ90" s="456"/>
      <c r="AWK90" s="456"/>
      <c r="AWL90" s="456"/>
      <c r="AWM90" s="456"/>
      <c r="AWN90" s="456"/>
      <c r="AWO90" s="456"/>
      <c r="AWP90" s="456"/>
      <c r="AWQ90" s="456"/>
      <c r="AWR90" s="456"/>
      <c r="AWS90" s="456"/>
      <c r="AWT90" s="456"/>
      <c r="AWU90" s="456"/>
      <c r="AWV90" s="456"/>
      <c r="AWW90" s="456"/>
      <c r="AWX90" s="456"/>
      <c r="AWY90" s="456"/>
      <c r="AWZ90" s="456"/>
      <c r="AXA90" s="456"/>
      <c r="AXB90" s="456"/>
      <c r="AXC90" s="456"/>
      <c r="AXD90" s="456"/>
      <c r="AXE90" s="456"/>
      <c r="AXF90" s="456"/>
      <c r="AXG90" s="456"/>
      <c r="AXH90" s="456"/>
      <c r="AXI90" s="456"/>
      <c r="AXJ90" s="456"/>
      <c r="AXK90" s="456"/>
      <c r="AXL90" s="456"/>
      <c r="AXM90" s="456"/>
      <c r="AXN90" s="456"/>
      <c r="AXO90" s="456"/>
      <c r="AXP90" s="456"/>
      <c r="AXQ90" s="456"/>
      <c r="AXR90" s="456"/>
      <c r="AXS90" s="456"/>
      <c r="AXT90" s="456"/>
      <c r="AXU90" s="456"/>
      <c r="AXV90" s="456"/>
      <c r="AXW90" s="456"/>
      <c r="AXX90" s="456"/>
      <c r="AXY90" s="456"/>
      <c r="AXZ90" s="456"/>
      <c r="AYA90" s="456"/>
      <c r="AYB90" s="456"/>
      <c r="AYC90" s="456"/>
      <c r="AYD90" s="456"/>
      <c r="AYE90" s="456"/>
      <c r="AYF90" s="456"/>
      <c r="AYG90" s="456"/>
      <c r="AYH90" s="456"/>
      <c r="AYI90" s="456"/>
      <c r="AYJ90" s="456"/>
      <c r="AYK90" s="456"/>
      <c r="AYL90" s="456"/>
      <c r="AYM90" s="456"/>
      <c r="AYN90" s="456"/>
      <c r="AYO90" s="456"/>
      <c r="AYP90" s="456"/>
      <c r="AYQ90" s="456"/>
      <c r="AYR90" s="456"/>
      <c r="AYS90" s="456"/>
      <c r="AYT90" s="456"/>
      <c r="AYU90" s="456"/>
      <c r="AYV90" s="456"/>
      <c r="AYW90" s="456"/>
      <c r="AYX90" s="456"/>
      <c r="AYY90" s="456"/>
      <c r="AYZ90" s="456"/>
      <c r="AZA90" s="456"/>
      <c r="AZB90" s="456"/>
      <c r="AZC90" s="456"/>
      <c r="AZD90" s="456"/>
      <c r="AZE90" s="456"/>
      <c r="AZF90" s="456"/>
      <c r="AZG90" s="456"/>
      <c r="AZH90" s="456"/>
      <c r="AZI90" s="456"/>
      <c r="AZJ90" s="456"/>
      <c r="AZK90" s="456"/>
      <c r="AZL90" s="456"/>
      <c r="AZM90" s="456"/>
      <c r="AZN90" s="456"/>
      <c r="AZO90" s="456"/>
      <c r="AZP90" s="456"/>
      <c r="AZQ90" s="456"/>
      <c r="AZR90" s="456"/>
      <c r="AZS90" s="456"/>
      <c r="AZT90" s="456"/>
      <c r="AZU90" s="456"/>
      <c r="AZV90" s="456"/>
      <c r="AZW90" s="456"/>
      <c r="AZX90" s="456"/>
      <c r="AZY90" s="456"/>
      <c r="AZZ90" s="456"/>
      <c r="BAA90" s="456"/>
      <c r="BAB90" s="456"/>
      <c r="BAC90" s="456"/>
      <c r="BAD90" s="456"/>
      <c r="BAE90" s="456"/>
      <c r="BAF90" s="456"/>
      <c r="BAG90" s="456"/>
      <c r="BAH90" s="456"/>
      <c r="BAI90" s="456"/>
      <c r="BAJ90" s="456"/>
      <c r="BAK90" s="456"/>
      <c r="BAL90" s="456"/>
      <c r="BAM90" s="456"/>
      <c r="BAN90" s="456"/>
      <c r="BAO90" s="456"/>
      <c r="BAP90" s="456"/>
      <c r="BAQ90" s="456"/>
      <c r="BAR90" s="456"/>
      <c r="BAS90" s="456"/>
      <c r="BAT90" s="456"/>
      <c r="BAU90" s="456"/>
      <c r="BAV90" s="456"/>
      <c r="BAW90" s="456"/>
      <c r="BAX90" s="456"/>
      <c r="BAY90" s="456"/>
      <c r="BAZ90" s="456"/>
      <c r="BBA90" s="456"/>
      <c r="BBB90" s="456"/>
      <c r="BBC90" s="456"/>
      <c r="BBD90" s="456"/>
      <c r="BBE90" s="456"/>
      <c r="BBF90" s="456"/>
      <c r="BBG90" s="456"/>
      <c r="BBH90" s="456"/>
      <c r="BBI90" s="456"/>
      <c r="BBJ90" s="456"/>
      <c r="BBK90" s="456"/>
      <c r="BBL90" s="456"/>
      <c r="BBM90" s="456"/>
      <c r="BBN90" s="456"/>
      <c r="BBO90" s="456"/>
      <c r="BBP90" s="456"/>
      <c r="BBQ90" s="456"/>
      <c r="BBR90" s="456"/>
      <c r="BBS90" s="456"/>
      <c r="BBT90" s="456"/>
      <c r="BBU90" s="456"/>
      <c r="BBV90" s="456"/>
      <c r="BBW90" s="456"/>
      <c r="BBX90" s="456"/>
      <c r="BBY90" s="456"/>
      <c r="BBZ90" s="456"/>
      <c r="BCA90" s="456"/>
      <c r="BCB90" s="456"/>
      <c r="BCC90" s="456"/>
      <c r="BCD90" s="456"/>
      <c r="BCE90" s="456"/>
      <c r="BCF90" s="456"/>
      <c r="BCG90" s="456"/>
      <c r="BCH90" s="456"/>
      <c r="BCI90" s="456"/>
      <c r="BCJ90" s="456"/>
      <c r="BCK90" s="456"/>
      <c r="BCL90" s="456"/>
      <c r="BCM90" s="456"/>
      <c r="BCN90" s="456"/>
      <c r="BCO90" s="456"/>
      <c r="BCP90" s="456"/>
      <c r="BCQ90" s="456"/>
      <c r="BCR90" s="456"/>
      <c r="BCS90" s="456"/>
      <c r="BCT90" s="456"/>
      <c r="BCU90" s="456"/>
      <c r="BCV90" s="456"/>
      <c r="BCW90" s="456"/>
      <c r="BCX90" s="456"/>
      <c r="BCY90" s="456"/>
      <c r="BCZ90" s="456"/>
      <c r="BDA90" s="456"/>
      <c r="BDB90" s="456"/>
      <c r="BDC90" s="456"/>
      <c r="BDD90" s="456"/>
      <c r="BDE90" s="456"/>
      <c r="BDF90" s="456"/>
      <c r="BDG90" s="456"/>
      <c r="BDH90" s="456"/>
      <c r="BDI90" s="456"/>
      <c r="BDJ90" s="456"/>
      <c r="BDK90" s="456"/>
      <c r="BDL90" s="456"/>
      <c r="BDM90" s="456"/>
      <c r="BDN90" s="456"/>
      <c r="BDO90" s="456"/>
      <c r="BDP90" s="456"/>
      <c r="BDQ90" s="456"/>
      <c r="BDR90" s="456"/>
      <c r="BDS90" s="456"/>
      <c r="BDT90" s="456"/>
      <c r="BDU90" s="456"/>
      <c r="BDV90" s="456"/>
      <c r="BDW90" s="456"/>
      <c r="BDX90" s="456"/>
      <c r="BDY90" s="456"/>
      <c r="BDZ90" s="456"/>
      <c r="BEA90" s="456"/>
      <c r="BEB90" s="456"/>
      <c r="BEC90" s="456"/>
      <c r="BED90" s="456"/>
      <c r="BEE90" s="456"/>
      <c r="BEF90" s="456"/>
      <c r="BEG90" s="456"/>
      <c r="BEH90" s="456"/>
      <c r="BEI90" s="456"/>
      <c r="BEJ90" s="456"/>
      <c r="BEK90" s="456"/>
      <c r="BEL90" s="456"/>
      <c r="BEM90" s="456"/>
      <c r="BEN90" s="456"/>
      <c r="BEO90" s="456"/>
      <c r="BEP90" s="456"/>
      <c r="BEQ90" s="456"/>
      <c r="BER90" s="456"/>
      <c r="BES90" s="456"/>
      <c r="BET90" s="456"/>
      <c r="BEU90" s="456"/>
      <c r="BEV90" s="456"/>
      <c r="BEW90" s="456"/>
      <c r="BEX90" s="456"/>
      <c r="BEY90" s="456"/>
      <c r="BEZ90" s="456"/>
      <c r="BFA90" s="456"/>
      <c r="BFB90" s="456"/>
      <c r="BFC90" s="456"/>
      <c r="BFD90" s="456"/>
      <c r="BFE90" s="456"/>
      <c r="BFF90" s="456"/>
      <c r="BFG90" s="456"/>
      <c r="BFH90" s="456"/>
      <c r="BFI90" s="456"/>
      <c r="BFJ90" s="456"/>
      <c r="BFK90" s="456"/>
      <c r="BFL90" s="456"/>
      <c r="BFM90" s="456"/>
      <c r="BFN90" s="456"/>
      <c r="BFO90" s="456"/>
      <c r="BFP90" s="456"/>
      <c r="BFQ90" s="456"/>
      <c r="BFR90" s="456"/>
      <c r="BFS90" s="456"/>
      <c r="BFT90" s="456"/>
      <c r="BFU90" s="456"/>
      <c r="BFV90" s="456"/>
      <c r="BFW90" s="456"/>
      <c r="BFX90" s="456"/>
      <c r="BFY90" s="456"/>
      <c r="BFZ90" s="456"/>
      <c r="BGA90" s="456"/>
      <c r="BGB90" s="456"/>
      <c r="BGC90" s="456"/>
      <c r="BGD90" s="456"/>
      <c r="BGE90" s="456"/>
      <c r="BGF90" s="456"/>
      <c r="BGG90" s="456"/>
      <c r="BGH90" s="456"/>
      <c r="BGI90" s="456"/>
      <c r="BGJ90" s="456"/>
      <c r="BGK90" s="456"/>
      <c r="BGL90" s="456"/>
      <c r="BGM90" s="456"/>
      <c r="BGN90" s="456"/>
      <c r="BGO90" s="456"/>
      <c r="BGP90" s="456"/>
      <c r="BGQ90" s="456"/>
      <c r="BGR90" s="456"/>
      <c r="BGS90" s="456"/>
      <c r="BGT90" s="456"/>
      <c r="BGU90" s="456"/>
      <c r="BGV90" s="456"/>
      <c r="BGW90" s="456"/>
      <c r="BGX90" s="456"/>
      <c r="BGY90" s="456"/>
      <c r="BGZ90" s="456"/>
      <c r="BHA90" s="456"/>
      <c r="BHB90" s="456"/>
      <c r="BHC90" s="456"/>
      <c r="BHD90" s="456"/>
      <c r="BHE90" s="456"/>
      <c r="BHF90" s="456"/>
      <c r="BHG90" s="456"/>
      <c r="BHH90" s="456"/>
      <c r="BHI90" s="456"/>
      <c r="BHJ90" s="456"/>
      <c r="BHK90" s="456"/>
      <c r="BHL90" s="456"/>
      <c r="BHM90" s="456"/>
      <c r="BHN90" s="456"/>
      <c r="BHO90" s="456"/>
      <c r="BHP90" s="456"/>
      <c r="BHQ90" s="456"/>
      <c r="BHR90" s="456"/>
      <c r="BHS90" s="456"/>
      <c r="BHT90" s="456"/>
      <c r="BHU90" s="456"/>
      <c r="BHV90" s="456"/>
      <c r="BHW90" s="456"/>
      <c r="BHX90" s="456"/>
      <c r="BHY90" s="456"/>
      <c r="BHZ90" s="456"/>
      <c r="BIA90" s="456"/>
      <c r="BIB90" s="456"/>
      <c r="BIC90" s="456"/>
      <c r="BID90" s="456"/>
      <c r="BIE90" s="456"/>
      <c r="BIF90" s="456"/>
      <c r="BIG90" s="456"/>
      <c r="BIH90" s="456"/>
      <c r="BII90" s="456"/>
      <c r="BIJ90" s="456"/>
      <c r="BIK90" s="456"/>
      <c r="BIL90" s="456"/>
      <c r="BIM90" s="456"/>
      <c r="BIN90" s="456"/>
      <c r="BIO90" s="456"/>
      <c r="BIP90" s="456"/>
      <c r="BIQ90" s="456"/>
      <c r="BIR90" s="456"/>
      <c r="BIS90" s="456"/>
      <c r="BIT90" s="456"/>
      <c r="BIU90" s="456"/>
      <c r="BIV90" s="456"/>
      <c r="BIW90" s="456"/>
      <c r="BIX90" s="456"/>
      <c r="BIY90" s="456"/>
      <c r="BIZ90" s="456"/>
      <c r="BJA90" s="456"/>
      <c r="BJB90" s="456"/>
      <c r="BJC90" s="456"/>
      <c r="BJD90" s="456"/>
      <c r="BJE90" s="456"/>
      <c r="BJF90" s="456"/>
      <c r="BJG90" s="456"/>
      <c r="BJH90" s="456"/>
      <c r="BJI90" s="456"/>
      <c r="BJJ90" s="456"/>
      <c r="BJK90" s="456"/>
      <c r="BJL90" s="456"/>
      <c r="BJM90" s="456"/>
      <c r="BJN90" s="456"/>
      <c r="BJO90" s="456"/>
      <c r="BJP90" s="456"/>
      <c r="BJQ90" s="456"/>
      <c r="BJR90" s="456"/>
      <c r="BJS90" s="456"/>
      <c r="BJT90" s="456"/>
      <c r="BJU90" s="456"/>
      <c r="BJV90" s="456"/>
      <c r="BJW90" s="456"/>
      <c r="BJX90" s="456"/>
      <c r="BJY90" s="456"/>
      <c r="BJZ90" s="456"/>
      <c r="BKA90" s="456"/>
      <c r="BKB90" s="456"/>
      <c r="BKC90" s="456"/>
      <c r="BKD90" s="456"/>
      <c r="BKE90" s="456"/>
      <c r="BKF90" s="456"/>
      <c r="BKG90" s="456"/>
      <c r="BKH90" s="456"/>
      <c r="BKI90" s="456"/>
      <c r="BKJ90" s="456"/>
      <c r="BKK90" s="456"/>
      <c r="BKL90" s="456"/>
      <c r="BKM90" s="456"/>
      <c r="BKN90" s="456"/>
      <c r="BKO90" s="456"/>
      <c r="BKP90" s="456"/>
      <c r="BKQ90" s="456"/>
      <c r="BKR90" s="456"/>
      <c r="BKS90" s="456"/>
      <c r="BKT90" s="456"/>
      <c r="BKU90" s="456"/>
      <c r="BKV90" s="456"/>
      <c r="BKW90" s="456"/>
      <c r="BKX90" s="456"/>
      <c r="BKY90" s="456"/>
      <c r="BKZ90" s="456"/>
      <c r="BLA90" s="456"/>
      <c r="BLB90" s="456"/>
      <c r="BLC90" s="456"/>
      <c r="BLD90" s="456"/>
      <c r="BLE90" s="456"/>
      <c r="BLF90" s="456"/>
      <c r="BLG90" s="456"/>
      <c r="BLH90" s="456"/>
      <c r="BLI90" s="456"/>
      <c r="BLJ90" s="456"/>
      <c r="BLK90" s="456"/>
      <c r="BLL90" s="456"/>
      <c r="BLM90" s="456"/>
      <c r="BLN90" s="456"/>
      <c r="BLO90" s="456"/>
      <c r="BLP90" s="456"/>
      <c r="BLQ90" s="456"/>
      <c r="BLR90" s="456"/>
      <c r="BLS90" s="456"/>
      <c r="BLT90" s="456"/>
      <c r="BLU90" s="456"/>
      <c r="BLV90" s="456"/>
      <c r="BLW90" s="456"/>
      <c r="BLX90" s="456"/>
      <c r="BLY90" s="456"/>
      <c r="BLZ90" s="456"/>
      <c r="BMA90" s="456"/>
      <c r="BMB90" s="456"/>
      <c r="BMC90" s="456"/>
      <c r="BMD90" s="456"/>
      <c r="BME90" s="456"/>
      <c r="BMF90" s="456"/>
      <c r="BMG90" s="456"/>
      <c r="BMH90" s="456"/>
      <c r="BMI90" s="456"/>
      <c r="BMJ90" s="456"/>
      <c r="BMK90" s="456"/>
      <c r="BML90" s="456"/>
      <c r="BMM90" s="456"/>
      <c r="BMN90" s="456"/>
      <c r="BMO90" s="456"/>
      <c r="BMP90" s="456"/>
      <c r="BMQ90" s="456"/>
      <c r="BMR90" s="456"/>
      <c r="BMS90" s="456"/>
      <c r="BMT90" s="456"/>
      <c r="BMU90" s="456"/>
      <c r="BMV90" s="456"/>
      <c r="BMW90" s="456"/>
      <c r="BMX90" s="456"/>
      <c r="BMY90" s="456"/>
      <c r="BMZ90" s="456"/>
      <c r="BNA90" s="456"/>
      <c r="BNB90" s="456"/>
      <c r="BNC90" s="456"/>
      <c r="BND90" s="456"/>
      <c r="BNE90" s="456"/>
      <c r="BNF90" s="456"/>
      <c r="BNG90" s="456"/>
      <c r="BNH90" s="456"/>
      <c r="BNI90" s="456"/>
      <c r="BNJ90" s="456"/>
      <c r="BNK90" s="456"/>
      <c r="BNL90" s="456"/>
      <c r="BNM90" s="456"/>
      <c r="BNN90" s="456"/>
      <c r="BNO90" s="456"/>
      <c r="BNP90" s="456"/>
      <c r="BNQ90" s="456"/>
      <c r="BNR90" s="456"/>
      <c r="BNS90" s="456"/>
      <c r="BNT90" s="456"/>
      <c r="BNU90" s="456"/>
      <c r="BNV90" s="456"/>
      <c r="BNW90" s="456"/>
      <c r="BNX90" s="456"/>
      <c r="BNY90" s="456"/>
      <c r="BNZ90" s="456"/>
      <c r="BOA90" s="456"/>
      <c r="BOB90" s="456"/>
      <c r="BOC90" s="456"/>
      <c r="BOD90" s="456"/>
      <c r="BOE90" s="456"/>
      <c r="BOF90" s="456"/>
      <c r="BOG90" s="456"/>
      <c r="BOH90" s="456"/>
      <c r="BOI90" s="456"/>
      <c r="BOJ90" s="456"/>
      <c r="BOK90" s="456"/>
      <c r="BOL90" s="456"/>
      <c r="BOM90" s="456"/>
      <c r="BON90" s="456"/>
      <c r="BOO90" s="456"/>
      <c r="BOP90" s="456"/>
      <c r="BOQ90" s="456"/>
      <c r="BOR90" s="456"/>
      <c r="BOS90" s="456"/>
      <c r="BOT90" s="456"/>
      <c r="BOU90" s="456"/>
      <c r="BOV90" s="456"/>
      <c r="BOW90" s="456"/>
      <c r="BOX90" s="456"/>
      <c r="BOY90" s="456"/>
      <c r="BOZ90" s="456"/>
      <c r="BPA90" s="456"/>
      <c r="BPB90" s="456"/>
      <c r="BPC90" s="456"/>
      <c r="BPD90" s="456"/>
      <c r="BPE90" s="456"/>
      <c r="BPF90" s="456"/>
      <c r="BPG90" s="456"/>
      <c r="BPH90" s="456"/>
      <c r="BPI90" s="456"/>
      <c r="BPJ90" s="456"/>
      <c r="BPK90" s="456"/>
      <c r="BPL90" s="456"/>
      <c r="BPM90" s="456"/>
      <c r="BPN90" s="456"/>
      <c r="BPO90" s="456"/>
      <c r="BPP90" s="456"/>
      <c r="BPQ90" s="456"/>
      <c r="BPR90" s="456"/>
      <c r="BPS90" s="456"/>
      <c r="BPT90" s="456"/>
      <c r="BPU90" s="456"/>
      <c r="BPV90" s="456"/>
      <c r="BPW90" s="456"/>
      <c r="BPX90" s="456"/>
      <c r="BPY90" s="456"/>
      <c r="BPZ90" s="456"/>
      <c r="BQA90" s="456"/>
      <c r="BQB90" s="456"/>
      <c r="BQC90" s="456"/>
      <c r="BQD90" s="456"/>
      <c r="BQE90" s="456"/>
      <c r="BQF90" s="456"/>
      <c r="BQG90" s="456"/>
      <c r="BQH90" s="456"/>
      <c r="BQI90" s="456"/>
      <c r="BQJ90" s="456"/>
      <c r="BQK90" s="456"/>
      <c r="BQL90" s="456"/>
      <c r="BQM90" s="456"/>
      <c r="BQN90" s="456"/>
      <c r="BQO90" s="456"/>
      <c r="BQP90" s="456"/>
      <c r="BQQ90" s="456"/>
      <c r="BQR90" s="456"/>
      <c r="BQS90" s="456"/>
      <c r="BQT90" s="456"/>
      <c r="BQU90" s="456"/>
      <c r="BQV90" s="456"/>
      <c r="BQW90" s="456"/>
      <c r="BQX90" s="456"/>
      <c r="BQY90" s="456"/>
      <c r="BQZ90" s="456"/>
      <c r="BRA90" s="456"/>
      <c r="BRB90" s="456"/>
      <c r="BRC90" s="456"/>
      <c r="BRD90" s="456"/>
      <c r="BRE90" s="456"/>
      <c r="BRF90" s="456"/>
      <c r="BRG90" s="456"/>
      <c r="BRH90" s="456"/>
      <c r="BRI90" s="456"/>
      <c r="BRJ90" s="456"/>
      <c r="BRK90" s="456"/>
      <c r="BRL90" s="456"/>
      <c r="BRM90" s="456"/>
      <c r="BRN90" s="456"/>
      <c r="BRO90" s="456"/>
      <c r="BRP90" s="456"/>
      <c r="BRQ90" s="456"/>
      <c r="BRR90" s="456"/>
      <c r="BRS90" s="456"/>
      <c r="BRT90" s="456"/>
      <c r="BRU90" s="456"/>
      <c r="BRV90" s="456"/>
      <c r="BRW90" s="456"/>
      <c r="BRX90" s="456"/>
      <c r="BRY90" s="456"/>
      <c r="BRZ90" s="456"/>
      <c r="BSA90" s="456"/>
      <c r="BSB90" s="456"/>
      <c r="BSC90" s="456"/>
      <c r="BSD90" s="456"/>
      <c r="BSE90" s="456"/>
      <c r="BSF90" s="456"/>
      <c r="BSG90" s="456"/>
      <c r="BSH90" s="456"/>
      <c r="BSI90" s="456"/>
      <c r="BSJ90" s="456"/>
      <c r="BSK90" s="456"/>
      <c r="BSL90" s="456"/>
      <c r="BSM90" s="456"/>
      <c r="BSN90" s="456"/>
      <c r="BSO90" s="456"/>
      <c r="BSP90" s="456"/>
      <c r="BSQ90" s="456"/>
      <c r="BSR90" s="456"/>
      <c r="BSS90" s="456"/>
      <c r="BST90" s="456"/>
      <c r="BSU90" s="456"/>
      <c r="BSV90" s="456"/>
      <c r="BSW90" s="456"/>
      <c r="BSX90" s="456"/>
      <c r="BSY90" s="456"/>
      <c r="BSZ90" s="456"/>
      <c r="BTA90" s="456"/>
      <c r="BTB90" s="456"/>
      <c r="BTC90" s="456"/>
      <c r="BTD90" s="456"/>
      <c r="BTE90" s="456"/>
      <c r="BTF90" s="456"/>
      <c r="BTG90" s="456"/>
      <c r="BTH90" s="456"/>
      <c r="BTI90" s="456"/>
      <c r="BTJ90" s="456"/>
      <c r="BTK90" s="456"/>
      <c r="BTL90" s="456"/>
      <c r="BTM90" s="456"/>
      <c r="BTN90" s="456"/>
      <c r="BTO90" s="456"/>
      <c r="BTP90" s="456"/>
      <c r="BTQ90" s="456"/>
      <c r="BTR90" s="456"/>
      <c r="BTS90" s="456"/>
      <c r="BTT90" s="456"/>
      <c r="BTU90" s="456"/>
      <c r="BTV90" s="456"/>
      <c r="BTW90" s="456"/>
      <c r="BTX90" s="456"/>
      <c r="BTY90" s="456"/>
      <c r="BTZ90" s="456"/>
      <c r="BUA90" s="456"/>
      <c r="BUB90" s="456"/>
      <c r="BUC90" s="456"/>
      <c r="BUD90" s="456"/>
      <c r="BUE90" s="456"/>
      <c r="BUF90" s="456"/>
      <c r="BUG90" s="456"/>
      <c r="BUH90" s="456"/>
      <c r="BUI90" s="456"/>
      <c r="BUJ90" s="456"/>
      <c r="BUK90" s="456"/>
      <c r="BUL90" s="456"/>
      <c r="BUM90" s="456"/>
      <c r="BUN90" s="456"/>
      <c r="BUO90" s="456"/>
      <c r="BUP90" s="456"/>
      <c r="BUQ90" s="456"/>
      <c r="BUR90" s="456"/>
      <c r="BUS90" s="456"/>
      <c r="BUT90" s="456"/>
      <c r="BUU90" s="456"/>
      <c r="BUV90" s="456"/>
      <c r="BUW90" s="456"/>
      <c r="BUX90" s="456"/>
      <c r="BUY90" s="456"/>
      <c r="BUZ90" s="456"/>
      <c r="BVA90" s="456"/>
      <c r="BVB90" s="456"/>
      <c r="BVC90" s="456"/>
      <c r="BVD90" s="456"/>
      <c r="BVE90" s="456"/>
      <c r="BVF90" s="456"/>
      <c r="BVG90" s="456"/>
      <c r="BVH90" s="456"/>
      <c r="BVI90" s="456"/>
      <c r="BVJ90" s="456"/>
      <c r="BVK90" s="456"/>
      <c r="BVL90" s="456"/>
      <c r="BVM90" s="456"/>
      <c r="BVN90" s="456"/>
      <c r="BVO90" s="456"/>
      <c r="BVP90" s="456"/>
      <c r="BVQ90" s="456"/>
      <c r="BVR90" s="456"/>
      <c r="BVS90" s="456"/>
      <c r="BVT90" s="456"/>
      <c r="BVU90" s="456"/>
      <c r="BVV90" s="456"/>
      <c r="BVW90" s="456"/>
      <c r="BVX90" s="456"/>
      <c r="BVY90" s="456"/>
      <c r="BVZ90" s="456"/>
      <c r="BWA90" s="456"/>
      <c r="BWB90" s="456"/>
      <c r="BWC90" s="456"/>
      <c r="BWD90" s="456"/>
      <c r="BWE90" s="456"/>
      <c r="BWF90" s="456"/>
      <c r="BWG90" s="456"/>
      <c r="BWH90" s="456"/>
      <c r="BWI90" s="456"/>
      <c r="BWJ90" s="456"/>
      <c r="BWK90" s="456"/>
      <c r="BWL90" s="456"/>
      <c r="BWM90" s="456"/>
      <c r="BWN90" s="456"/>
      <c r="BWO90" s="456"/>
      <c r="BWP90" s="456"/>
      <c r="BWQ90" s="456"/>
      <c r="BWR90" s="456"/>
      <c r="BWS90" s="456"/>
      <c r="BWT90" s="456"/>
      <c r="BWU90" s="456"/>
      <c r="BWV90" s="456"/>
      <c r="BWW90" s="456"/>
      <c r="BWX90" s="456"/>
      <c r="BWY90" s="456"/>
      <c r="BWZ90" s="456"/>
      <c r="BXA90" s="456"/>
      <c r="BXB90" s="456"/>
      <c r="BXC90" s="456"/>
      <c r="BXD90" s="456"/>
      <c r="BXE90" s="456"/>
      <c r="BXF90" s="456"/>
      <c r="BXG90" s="456"/>
      <c r="BXH90" s="456"/>
      <c r="BXI90" s="456"/>
      <c r="BXJ90" s="456"/>
      <c r="BXK90" s="456"/>
      <c r="BXL90" s="456"/>
      <c r="BXM90" s="456"/>
      <c r="BXN90" s="456"/>
      <c r="BXO90" s="456"/>
      <c r="BXP90" s="456"/>
      <c r="BXQ90" s="456"/>
      <c r="BXR90" s="456"/>
      <c r="BXS90" s="456"/>
      <c r="BXT90" s="456"/>
      <c r="BXU90" s="456"/>
      <c r="BXV90" s="456"/>
      <c r="BXW90" s="456"/>
      <c r="BXX90" s="456"/>
      <c r="BXY90" s="456"/>
      <c r="BXZ90" s="456"/>
    </row>
    <row r="91" s="25" customFormat="1" spans="1:1024 1025:2002">
      <c r="A91" s="473"/>
      <c r="B91" s="19">
        <v>1122</v>
      </c>
      <c r="C91" s="183">
        <v>46182</v>
      </c>
      <c r="D91" s="17" t="s">
        <v>52</v>
      </c>
      <c r="E91" s="17" t="s">
        <v>86</v>
      </c>
      <c r="F91" s="17" t="s">
        <v>54</v>
      </c>
      <c r="G91" s="17"/>
      <c r="H91" s="19" t="s">
        <v>87</v>
      </c>
      <c r="I91" s="19" t="s">
        <v>88</v>
      </c>
      <c r="J91" s="17" t="s">
        <v>39</v>
      </c>
      <c r="K91" s="19">
        <v>152</v>
      </c>
      <c r="L91" s="91"/>
      <c r="M91" s="19">
        <v>5800</v>
      </c>
      <c r="N91" s="19" t="s">
        <v>40</v>
      </c>
      <c r="O91" s="19" t="s">
        <v>50</v>
      </c>
      <c r="P91" s="19">
        <v>10000</v>
      </c>
      <c r="Q91" s="19">
        <f>747+720+673+725+726+712+775+768+845+769</f>
        <v>7460</v>
      </c>
      <c r="R91" s="19">
        <f t="shared" si="7"/>
        <v>2540</v>
      </c>
      <c r="S91" s="19">
        <v>1520</v>
      </c>
      <c r="T91" s="19" t="s">
        <v>42</v>
      </c>
      <c r="U91" s="102" t="s">
        <v>89</v>
      </c>
      <c r="V91" s="186">
        <v>46183</v>
      </c>
      <c r="W91" s="17" t="s">
        <v>69</v>
      </c>
      <c r="X91" s="17"/>
      <c r="Y91" s="68">
        <v>46235</v>
      </c>
      <c r="Z91" s="17" t="s">
        <v>45</v>
      </c>
      <c r="AA91" s="17" t="s">
        <v>46</v>
      </c>
      <c r="AB91" s="17" t="s">
        <v>89</v>
      </c>
      <c r="AC91" s="217">
        <v>46244</v>
      </c>
      <c r="AD91" s="65">
        <v>1849</v>
      </c>
      <c r="AE91" s="17" t="s">
        <v>48</v>
      </c>
      <c r="AF91" s="17" t="s">
        <v>61</v>
      </c>
      <c r="AG91" s="17" t="s">
        <v>90</v>
      </c>
      <c r="AH91" s="456"/>
      <c r="AI91" s="456"/>
      <c r="AJ91" s="456"/>
      <c r="AK91" s="456"/>
      <c r="AL91" s="456"/>
      <c r="AM91" s="456"/>
      <c r="AN91" s="456"/>
      <c r="AO91" s="456"/>
      <c r="AP91" s="456"/>
      <c r="AQ91" s="456"/>
      <c r="AR91" s="456"/>
      <c r="AS91" s="456"/>
      <c r="AT91" s="456"/>
      <c r="AU91" s="456"/>
      <c r="AV91" s="456"/>
      <c r="AW91" s="456"/>
      <c r="AX91" s="456"/>
      <c r="AY91" s="456"/>
      <c r="AZ91" s="456"/>
      <c r="BA91" s="456"/>
      <c r="BB91" s="456"/>
      <c r="BC91" s="456"/>
      <c r="BD91" s="456"/>
      <c r="BE91" s="456"/>
      <c r="BF91" s="456"/>
      <c r="BG91" s="456"/>
      <c r="BH91" s="456"/>
      <c r="BI91" s="456"/>
      <c r="BJ91" s="456"/>
      <c r="BK91" s="456"/>
      <c r="BL91" s="456"/>
      <c r="BM91" s="456"/>
      <c r="BN91" s="456"/>
      <c r="BO91" s="456"/>
      <c r="BP91" s="456"/>
      <c r="BQ91" s="456"/>
      <c r="BR91" s="456"/>
      <c r="BS91" s="456"/>
      <c r="BT91" s="456"/>
      <c r="BU91" s="456"/>
      <c r="BV91" s="456"/>
      <c r="BW91" s="456"/>
      <c r="BX91" s="456"/>
      <c r="BY91" s="456"/>
      <c r="BZ91" s="456"/>
      <c r="CA91" s="456"/>
      <c r="CB91" s="456"/>
      <c r="CC91" s="456"/>
      <c r="CD91" s="456"/>
      <c r="CE91" s="456"/>
      <c r="CF91" s="456"/>
      <c r="CG91" s="456"/>
      <c r="CH91" s="456"/>
      <c r="CI91" s="456"/>
      <c r="CJ91" s="456"/>
      <c r="CK91" s="456"/>
      <c r="CL91" s="456"/>
      <c r="CM91" s="456"/>
      <c r="CN91" s="456"/>
      <c r="CO91" s="456"/>
      <c r="CP91" s="456"/>
      <c r="CQ91" s="456"/>
      <c r="CR91" s="456"/>
      <c r="CS91" s="456"/>
      <c r="CT91" s="456"/>
      <c r="CU91" s="456"/>
      <c r="CV91" s="456"/>
      <c r="CW91" s="456"/>
      <c r="CX91" s="456"/>
      <c r="CY91" s="456"/>
      <c r="CZ91" s="456"/>
      <c r="DA91" s="456"/>
      <c r="DB91" s="456"/>
      <c r="DC91" s="456"/>
      <c r="DD91" s="456"/>
      <c r="DE91" s="456"/>
      <c r="DF91" s="456"/>
      <c r="DG91" s="456"/>
      <c r="DH91" s="456"/>
      <c r="DI91" s="456"/>
      <c r="DJ91" s="456"/>
      <c r="DK91" s="456"/>
      <c r="DL91" s="456"/>
      <c r="DM91" s="456"/>
      <c r="DN91" s="456"/>
      <c r="DO91" s="456"/>
      <c r="DP91" s="456"/>
      <c r="DQ91" s="456"/>
      <c r="DR91" s="456"/>
      <c r="DS91" s="456"/>
      <c r="DT91" s="456"/>
      <c r="DU91" s="456"/>
      <c r="DV91" s="456"/>
      <c r="DW91" s="456"/>
      <c r="DX91" s="456"/>
      <c r="DY91" s="456"/>
      <c r="DZ91" s="456"/>
      <c r="EA91" s="456"/>
      <c r="EB91" s="456"/>
      <c r="EC91" s="456"/>
      <c r="ED91" s="456"/>
      <c r="EE91" s="456"/>
      <c r="EF91" s="456"/>
      <c r="EG91" s="456"/>
      <c r="EH91" s="456"/>
      <c r="EI91" s="456"/>
      <c r="EJ91" s="456"/>
      <c r="EK91" s="456"/>
      <c r="EL91" s="456"/>
      <c r="EM91" s="456"/>
      <c r="EN91" s="456"/>
      <c r="EO91" s="456"/>
      <c r="EP91" s="456"/>
      <c r="EQ91" s="456"/>
      <c r="ER91" s="456"/>
      <c r="ES91" s="456"/>
      <c r="ET91" s="456"/>
      <c r="EU91" s="456"/>
      <c r="EV91" s="456"/>
      <c r="EW91" s="456"/>
      <c r="EX91" s="456"/>
      <c r="EY91" s="456"/>
      <c r="EZ91" s="456"/>
      <c r="FA91" s="456"/>
      <c r="FB91" s="456"/>
      <c r="FC91" s="456"/>
      <c r="FD91" s="456"/>
      <c r="FE91" s="456"/>
      <c r="FF91" s="456"/>
      <c r="FG91" s="456"/>
      <c r="FH91" s="456"/>
      <c r="FI91" s="456"/>
      <c r="FJ91" s="456"/>
      <c r="FK91" s="456"/>
      <c r="FL91" s="456"/>
      <c r="FM91" s="456"/>
      <c r="FN91" s="456"/>
      <c r="FO91" s="456"/>
      <c r="FP91" s="456"/>
      <c r="FQ91" s="456"/>
      <c r="FR91" s="456"/>
      <c r="FS91" s="456"/>
      <c r="FT91" s="456"/>
      <c r="FU91" s="456"/>
      <c r="FV91" s="456"/>
      <c r="FW91" s="456"/>
      <c r="FX91" s="456"/>
      <c r="FY91" s="456"/>
      <c r="FZ91" s="456"/>
      <c r="GA91" s="456"/>
      <c r="GB91" s="456"/>
      <c r="GC91" s="456"/>
      <c r="GD91" s="456"/>
      <c r="GE91" s="456"/>
      <c r="GF91" s="456"/>
      <c r="GG91" s="456"/>
      <c r="GH91" s="456"/>
      <c r="GI91" s="456"/>
      <c r="GJ91" s="456"/>
      <c r="GK91" s="456"/>
      <c r="GL91" s="456"/>
      <c r="GM91" s="456"/>
      <c r="GN91" s="456"/>
      <c r="GO91" s="456"/>
      <c r="GP91" s="456"/>
      <c r="GQ91" s="456"/>
      <c r="GR91" s="456"/>
      <c r="GS91" s="456"/>
      <c r="GT91" s="456"/>
      <c r="GU91" s="456"/>
      <c r="GV91" s="456"/>
      <c r="GW91" s="456"/>
      <c r="GX91" s="456"/>
      <c r="GY91" s="456"/>
      <c r="GZ91" s="456"/>
      <c r="HA91" s="456"/>
      <c r="HB91" s="456"/>
      <c r="HC91" s="456"/>
      <c r="HD91" s="456"/>
      <c r="HE91" s="456"/>
      <c r="HF91" s="456"/>
      <c r="HG91" s="456"/>
      <c r="HH91" s="456"/>
      <c r="HI91" s="456"/>
      <c r="HJ91" s="456"/>
      <c r="HK91" s="456"/>
      <c r="HL91" s="456"/>
      <c r="HM91" s="456"/>
      <c r="HN91" s="456"/>
      <c r="HO91" s="456"/>
      <c r="HP91" s="456"/>
      <c r="HQ91" s="456"/>
      <c r="HR91" s="456"/>
      <c r="HS91" s="456"/>
      <c r="HT91" s="456"/>
      <c r="HU91" s="456"/>
      <c r="HV91" s="456"/>
      <c r="HW91" s="456"/>
      <c r="HX91" s="456"/>
      <c r="HY91" s="456"/>
      <c r="HZ91" s="456"/>
      <c r="IA91" s="456"/>
      <c r="IB91" s="456"/>
      <c r="IC91" s="456"/>
      <c r="ID91" s="456"/>
      <c r="IE91" s="456"/>
      <c r="IF91" s="456"/>
      <c r="IG91" s="456"/>
      <c r="IH91" s="456"/>
      <c r="II91" s="456"/>
      <c r="IJ91" s="456"/>
      <c r="IK91" s="456"/>
      <c r="IL91" s="456"/>
      <c r="IM91" s="456"/>
      <c r="IN91" s="456"/>
      <c r="IO91" s="456"/>
      <c r="IP91" s="456"/>
      <c r="IQ91" s="456"/>
      <c r="IR91" s="456"/>
      <c r="IS91" s="456"/>
      <c r="IT91" s="456"/>
      <c r="IU91" s="456"/>
      <c r="IV91" s="456"/>
      <c r="IW91" s="456"/>
      <c r="IX91" s="456"/>
      <c r="IY91" s="456"/>
      <c r="IZ91" s="456"/>
      <c r="JA91" s="456"/>
      <c r="JB91" s="456"/>
      <c r="JC91" s="456"/>
      <c r="JD91" s="456"/>
      <c r="JE91" s="456"/>
      <c r="JF91" s="456"/>
      <c r="JG91" s="456"/>
      <c r="JH91" s="456"/>
      <c r="JI91" s="456"/>
      <c r="JJ91" s="456"/>
      <c r="JK91" s="456"/>
      <c r="JL91" s="456"/>
      <c r="JM91" s="456"/>
      <c r="JN91" s="456"/>
      <c r="JO91" s="456"/>
      <c r="JP91" s="456"/>
      <c r="JQ91" s="456"/>
      <c r="JR91" s="456"/>
      <c r="JS91" s="456"/>
      <c r="JT91" s="456"/>
      <c r="JU91" s="456"/>
      <c r="JV91" s="456"/>
      <c r="JW91" s="456"/>
      <c r="JX91" s="456"/>
      <c r="JY91" s="456"/>
      <c r="JZ91" s="456"/>
      <c r="KA91" s="456"/>
      <c r="KB91" s="456"/>
      <c r="KC91" s="456"/>
      <c r="KD91" s="456"/>
      <c r="KE91" s="456"/>
      <c r="KF91" s="456"/>
      <c r="KG91" s="456"/>
      <c r="KH91" s="456"/>
      <c r="KI91" s="456"/>
      <c r="KJ91" s="456"/>
      <c r="KK91" s="456"/>
      <c r="KL91" s="456"/>
      <c r="KM91" s="456"/>
      <c r="KN91" s="456"/>
      <c r="KO91" s="456"/>
      <c r="KP91" s="456"/>
      <c r="KQ91" s="456"/>
      <c r="KR91" s="456"/>
      <c r="KS91" s="456"/>
      <c r="KT91" s="456"/>
      <c r="KU91" s="456"/>
      <c r="KV91" s="456"/>
      <c r="KW91" s="456"/>
      <c r="KX91" s="456"/>
      <c r="KY91" s="456"/>
      <c r="KZ91" s="456"/>
      <c r="LA91" s="456"/>
      <c r="LB91" s="456"/>
      <c r="LC91" s="456"/>
      <c r="LD91" s="456"/>
      <c r="LE91" s="456"/>
      <c r="LF91" s="456"/>
      <c r="LG91" s="456"/>
      <c r="LH91" s="456"/>
      <c r="LI91" s="456"/>
      <c r="LJ91" s="456"/>
      <c r="LK91" s="456"/>
      <c r="LL91" s="456"/>
      <c r="LM91" s="456"/>
      <c r="LN91" s="456"/>
      <c r="LO91" s="456"/>
      <c r="LP91" s="456"/>
      <c r="LQ91" s="456"/>
      <c r="LR91" s="456"/>
      <c r="LS91" s="456"/>
      <c r="LT91" s="456"/>
      <c r="LU91" s="456"/>
      <c r="LV91" s="456"/>
      <c r="LW91" s="456"/>
      <c r="LX91" s="456"/>
      <c r="LY91" s="456"/>
      <c r="LZ91" s="456"/>
      <c r="MA91" s="456"/>
      <c r="MB91" s="456"/>
      <c r="MC91" s="456"/>
      <c r="MD91" s="456"/>
      <c r="ME91" s="456"/>
      <c r="MF91" s="456"/>
      <c r="MG91" s="456"/>
      <c r="MH91" s="456"/>
      <c r="MI91" s="456"/>
      <c r="MJ91" s="456"/>
      <c r="MK91" s="456"/>
      <c r="ML91" s="456"/>
      <c r="MM91" s="456"/>
      <c r="MN91" s="456"/>
      <c r="MO91" s="456"/>
      <c r="MP91" s="456"/>
      <c r="MQ91" s="456"/>
      <c r="MR91" s="456"/>
      <c r="MS91" s="456"/>
      <c r="MT91" s="456"/>
      <c r="MU91" s="456"/>
      <c r="MV91" s="456"/>
      <c r="MW91" s="456"/>
      <c r="MX91" s="456"/>
      <c r="MY91" s="456"/>
      <c r="MZ91" s="456"/>
      <c r="NA91" s="456"/>
      <c r="NB91" s="456"/>
      <c r="NC91" s="456"/>
      <c r="ND91" s="456"/>
      <c r="NE91" s="456"/>
      <c r="NF91" s="456"/>
      <c r="NG91" s="456"/>
      <c r="NH91" s="456"/>
      <c r="NI91" s="456"/>
      <c r="NJ91" s="456"/>
      <c r="NK91" s="456"/>
      <c r="NL91" s="456"/>
      <c r="NM91" s="456"/>
      <c r="NN91" s="456"/>
      <c r="NO91" s="456"/>
      <c r="NP91" s="456"/>
      <c r="NQ91" s="456"/>
      <c r="NR91" s="456"/>
      <c r="NS91" s="456"/>
      <c r="NT91" s="456"/>
      <c r="NU91" s="456"/>
      <c r="NV91" s="456"/>
      <c r="NW91" s="456"/>
      <c r="NX91" s="456"/>
      <c r="NY91" s="456"/>
      <c r="NZ91" s="456"/>
      <c r="OA91" s="456"/>
      <c r="OB91" s="456"/>
      <c r="OC91" s="456"/>
      <c r="OD91" s="456"/>
      <c r="OE91" s="456"/>
      <c r="OF91" s="456"/>
      <c r="OG91" s="456"/>
      <c r="OH91" s="456"/>
      <c r="OI91" s="456"/>
      <c r="OJ91" s="456"/>
      <c r="OK91" s="456"/>
      <c r="OL91" s="456"/>
      <c r="OM91" s="456"/>
      <c r="ON91" s="456"/>
      <c r="OO91" s="456"/>
      <c r="OP91" s="456"/>
      <c r="OQ91" s="456"/>
      <c r="OR91" s="456"/>
      <c r="OS91" s="456"/>
      <c r="OT91" s="456"/>
      <c r="OU91" s="456"/>
      <c r="OV91" s="456"/>
      <c r="OW91" s="456"/>
      <c r="OX91" s="456"/>
      <c r="OY91" s="456"/>
      <c r="OZ91" s="456"/>
      <c r="PA91" s="456"/>
      <c r="PB91" s="456"/>
      <c r="PC91" s="456"/>
      <c r="PD91" s="456"/>
      <c r="PE91" s="456"/>
      <c r="PF91" s="456"/>
      <c r="PG91" s="456"/>
      <c r="PH91" s="456"/>
      <c r="PI91" s="456"/>
      <c r="PJ91" s="456"/>
      <c r="PK91" s="456"/>
      <c r="PL91" s="456"/>
      <c r="PM91" s="456"/>
      <c r="PN91" s="456"/>
      <c r="PO91" s="456"/>
      <c r="PP91" s="456"/>
      <c r="PQ91" s="456"/>
      <c r="PR91" s="456"/>
      <c r="PS91" s="456"/>
      <c r="PT91" s="456"/>
      <c r="PU91" s="456"/>
      <c r="PV91" s="456"/>
      <c r="PW91" s="456"/>
      <c r="PX91" s="456"/>
      <c r="PY91" s="456"/>
      <c r="PZ91" s="456"/>
      <c r="QA91" s="456"/>
      <c r="QB91" s="456"/>
      <c r="QC91" s="456"/>
      <c r="QD91" s="456"/>
      <c r="QE91" s="456"/>
      <c r="QF91" s="456"/>
      <c r="QG91" s="456"/>
      <c r="QH91" s="456"/>
      <c r="QI91" s="456"/>
      <c r="QJ91" s="456"/>
      <c r="QK91" s="456"/>
      <c r="QL91" s="456"/>
      <c r="QM91" s="456"/>
      <c r="QN91" s="456"/>
      <c r="QO91" s="456"/>
      <c r="QP91" s="456"/>
      <c r="QQ91" s="456"/>
      <c r="QR91" s="456"/>
      <c r="QS91" s="456"/>
      <c r="QT91" s="456"/>
      <c r="QU91" s="456"/>
      <c r="QV91" s="456"/>
      <c r="QW91" s="456"/>
      <c r="QX91" s="456"/>
      <c r="QY91" s="456"/>
      <c r="QZ91" s="456"/>
      <c r="RA91" s="456"/>
      <c r="RB91" s="456"/>
      <c r="RC91" s="456"/>
      <c r="RD91" s="456"/>
      <c r="RE91" s="456"/>
      <c r="RF91" s="456"/>
      <c r="RG91" s="456"/>
      <c r="RH91" s="456"/>
      <c r="RI91" s="456"/>
      <c r="RJ91" s="456"/>
      <c r="RK91" s="456"/>
      <c r="RL91" s="456"/>
      <c r="RM91" s="456"/>
      <c r="RN91" s="456"/>
      <c r="RO91" s="456"/>
      <c r="RP91" s="456"/>
      <c r="RQ91" s="456"/>
      <c r="RR91" s="456"/>
      <c r="RS91" s="456"/>
      <c r="RT91" s="456"/>
      <c r="RU91" s="456"/>
      <c r="RV91" s="456"/>
      <c r="RW91" s="456"/>
      <c r="RX91" s="456"/>
      <c r="RY91" s="456"/>
      <c r="RZ91" s="456"/>
      <c r="SA91" s="456"/>
      <c r="SB91" s="456"/>
      <c r="SC91" s="456"/>
      <c r="SD91" s="456"/>
      <c r="SE91" s="456"/>
      <c r="SF91" s="456"/>
      <c r="SG91" s="456"/>
      <c r="SH91" s="456"/>
      <c r="SI91" s="456"/>
      <c r="SJ91" s="456"/>
      <c r="SK91" s="456"/>
      <c r="SL91" s="456"/>
      <c r="SM91" s="456"/>
      <c r="SN91" s="456"/>
      <c r="SO91" s="456"/>
      <c r="SP91" s="456"/>
      <c r="SQ91" s="456"/>
      <c r="SR91" s="456"/>
      <c r="SS91" s="456"/>
      <c r="ST91" s="456"/>
      <c r="SU91" s="456"/>
      <c r="SV91" s="456"/>
      <c r="SW91" s="456"/>
      <c r="SX91" s="456"/>
      <c r="SY91" s="456"/>
      <c r="SZ91" s="456"/>
      <c r="TA91" s="456"/>
      <c r="TB91" s="456"/>
      <c r="TC91" s="456"/>
      <c r="TD91" s="456"/>
      <c r="TE91" s="456"/>
      <c r="TF91" s="456"/>
      <c r="TG91" s="456"/>
      <c r="TH91" s="456"/>
      <c r="TI91" s="456"/>
      <c r="TJ91" s="456"/>
      <c r="TK91" s="456"/>
      <c r="TL91" s="456"/>
      <c r="TM91" s="456"/>
      <c r="TN91" s="456"/>
      <c r="TO91" s="456"/>
      <c r="TP91" s="456"/>
      <c r="TQ91" s="456"/>
      <c r="TR91" s="456"/>
      <c r="TS91" s="456"/>
      <c r="TT91" s="456"/>
      <c r="TU91" s="456"/>
      <c r="TV91" s="456"/>
      <c r="TW91" s="456"/>
      <c r="TX91" s="456"/>
      <c r="TY91" s="456"/>
      <c r="TZ91" s="456"/>
      <c r="UA91" s="456"/>
      <c r="UB91" s="456"/>
      <c r="UC91" s="456"/>
      <c r="UD91" s="456"/>
      <c r="UE91" s="456"/>
      <c r="UF91" s="456"/>
      <c r="UG91" s="456"/>
      <c r="UH91" s="456"/>
      <c r="UI91" s="456"/>
      <c r="UJ91" s="456"/>
      <c r="UK91" s="456"/>
      <c r="UL91" s="456"/>
      <c r="UM91" s="456"/>
      <c r="UN91" s="456"/>
      <c r="UO91" s="456"/>
      <c r="UP91" s="456"/>
      <c r="UQ91" s="456"/>
      <c r="UR91" s="456"/>
      <c r="US91" s="456"/>
      <c r="UT91" s="456"/>
      <c r="UU91" s="456"/>
      <c r="UV91" s="456"/>
      <c r="UW91" s="456"/>
      <c r="UX91" s="456"/>
      <c r="UY91" s="456"/>
      <c r="UZ91" s="456"/>
      <c r="VA91" s="456"/>
      <c r="VB91" s="456"/>
      <c r="VC91" s="456"/>
      <c r="VD91" s="456"/>
      <c r="VE91" s="456"/>
      <c r="VF91" s="456"/>
      <c r="VG91" s="456"/>
      <c r="VH91" s="456"/>
      <c r="VI91" s="456"/>
      <c r="VJ91" s="456"/>
      <c r="VK91" s="456"/>
      <c r="VL91" s="456"/>
      <c r="VM91" s="456"/>
      <c r="VN91" s="456"/>
      <c r="VO91" s="456"/>
      <c r="VP91" s="456"/>
      <c r="VQ91" s="456"/>
      <c r="VR91" s="456"/>
      <c r="VS91" s="456"/>
      <c r="VT91" s="456"/>
      <c r="VU91" s="456"/>
      <c r="VV91" s="456"/>
      <c r="VW91" s="456"/>
      <c r="VX91" s="456"/>
      <c r="VY91" s="456"/>
      <c r="VZ91" s="456"/>
      <c r="WA91" s="456"/>
      <c r="WB91" s="456"/>
      <c r="WC91" s="456"/>
      <c r="WD91" s="456"/>
      <c r="WE91" s="456"/>
      <c r="WF91" s="456"/>
      <c r="WG91" s="456"/>
      <c r="WH91" s="456"/>
      <c r="WI91" s="456"/>
      <c r="WJ91" s="456"/>
      <c r="WK91" s="456"/>
      <c r="WL91" s="456"/>
      <c r="WM91" s="456"/>
      <c r="WN91" s="456"/>
      <c r="WO91" s="456"/>
      <c r="WP91" s="456"/>
      <c r="WQ91" s="456"/>
      <c r="WR91" s="456"/>
      <c r="WS91" s="456"/>
      <c r="WT91" s="456"/>
      <c r="WU91" s="456"/>
      <c r="WV91" s="456"/>
      <c r="WW91" s="456"/>
      <c r="WX91" s="456"/>
      <c r="WY91" s="456"/>
      <c r="WZ91" s="456"/>
      <c r="XA91" s="456"/>
      <c r="XB91" s="456"/>
      <c r="XC91" s="456"/>
      <c r="XD91" s="456"/>
      <c r="XE91" s="456"/>
      <c r="XF91" s="456"/>
      <c r="XG91" s="456"/>
      <c r="XH91" s="456"/>
      <c r="XI91" s="456"/>
      <c r="XJ91" s="456"/>
      <c r="XK91" s="456"/>
      <c r="XL91" s="456"/>
      <c r="XM91" s="456"/>
      <c r="XN91" s="456"/>
      <c r="XO91" s="456"/>
      <c r="XP91" s="456"/>
      <c r="XQ91" s="456"/>
      <c r="XR91" s="456"/>
      <c r="XS91" s="456"/>
      <c r="XT91" s="456"/>
      <c r="XU91" s="456"/>
      <c r="XV91" s="456"/>
      <c r="XW91" s="456"/>
      <c r="XX91" s="456"/>
      <c r="XY91" s="456"/>
      <c r="XZ91" s="456"/>
      <c r="YA91" s="456"/>
      <c r="YB91" s="456"/>
      <c r="YC91" s="456"/>
      <c r="YD91" s="456"/>
      <c r="YE91" s="456"/>
      <c r="YF91" s="456"/>
      <c r="YG91" s="456"/>
      <c r="YH91" s="456"/>
      <c r="YI91" s="456"/>
      <c r="YJ91" s="456"/>
      <c r="YK91" s="456"/>
      <c r="YL91" s="456"/>
      <c r="YM91" s="456"/>
      <c r="YN91" s="456"/>
      <c r="YO91" s="456"/>
      <c r="YP91" s="456"/>
      <c r="YQ91" s="456"/>
      <c r="YR91" s="456"/>
      <c r="YS91" s="456"/>
      <c r="YT91" s="456"/>
      <c r="YU91" s="456"/>
      <c r="YV91" s="456"/>
      <c r="YW91" s="456"/>
      <c r="YX91" s="456"/>
      <c r="YY91" s="456"/>
      <c r="YZ91" s="456"/>
      <c r="ZA91" s="456"/>
      <c r="ZB91" s="456"/>
      <c r="ZC91" s="456"/>
      <c r="ZD91" s="456"/>
      <c r="ZE91" s="456"/>
      <c r="ZF91" s="456"/>
      <c r="ZG91" s="456"/>
      <c r="ZH91" s="456"/>
      <c r="ZI91" s="456"/>
      <c r="ZJ91" s="456"/>
      <c r="ZK91" s="456"/>
      <c r="ZL91" s="456"/>
      <c r="ZM91" s="456"/>
      <c r="ZN91" s="456"/>
      <c r="ZO91" s="456"/>
      <c r="ZP91" s="456"/>
      <c r="ZQ91" s="456"/>
      <c r="ZR91" s="456"/>
      <c r="ZS91" s="456"/>
      <c r="ZT91" s="456"/>
      <c r="ZU91" s="456"/>
      <c r="ZV91" s="456"/>
      <c r="ZW91" s="456"/>
      <c r="ZX91" s="456"/>
      <c r="ZY91" s="456"/>
      <c r="ZZ91" s="456"/>
      <c r="AAA91" s="456"/>
      <c r="AAB91" s="456"/>
      <c r="AAC91" s="456"/>
      <c r="AAD91" s="456"/>
      <c r="AAE91" s="456"/>
      <c r="AAF91" s="456"/>
      <c r="AAG91" s="456"/>
      <c r="AAH91" s="456"/>
      <c r="AAI91" s="456"/>
      <c r="AAJ91" s="456"/>
      <c r="AAK91" s="456"/>
      <c r="AAL91" s="456"/>
      <c r="AAM91" s="456"/>
      <c r="AAN91" s="456"/>
      <c r="AAO91" s="456"/>
      <c r="AAP91" s="456"/>
      <c r="AAQ91" s="456"/>
      <c r="AAR91" s="456"/>
      <c r="AAS91" s="456"/>
      <c r="AAT91" s="456"/>
      <c r="AAU91" s="456"/>
      <c r="AAV91" s="456"/>
      <c r="AAW91" s="456"/>
      <c r="AAX91" s="456"/>
      <c r="AAY91" s="456"/>
      <c r="AAZ91" s="456"/>
      <c r="ABA91" s="456"/>
      <c r="ABB91" s="456"/>
      <c r="ABC91" s="456"/>
      <c r="ABD91" s="456"/>
      <c r="ABE91" s="456"/>
      <c r="ABF91" s="456"/>
      <c r="ABG91" s="456"/>
      <c r="ABH91" s="456"/>
      <c r="ABI91" s="456"/>
      <c r="ABJ91" s="456"/>
      <c r="ABK91" s="456"/>
      <c r="ABL91" s="456"/>
      <c r="ABM91" s="456"/>
      <c r="ABN91" s="456"/>
      <c r="ABO91" s="456"/>
      <c r="ABP91" s="456"/>
      <c r="ABQ91" s="456"/>
      <c r="ABR91" s="456"/>
      <c r="ABS91" s="456"/>
      <c r="ABT91" s="456"/>
      <c r="ABU91" s="456"/>
      <c r="ABV91" s="456"/>
      <c r="ABW91" s="456"/>
      <c r="ABX91" s="456"/>
      <c r="ABY91" s="456"/>
      <c r="ABZ91" s="456"/>
      <c r="ACA91" s="456"/>
      <c r="ACB91" s="456"/>
      <c r="ACC91" s="456"/>
      <c r="ACD91" s="456"/>
      <c r="ACE91" s="456"/>
      <c r="ACF91" s="456"/>
      <c r="ACG91" s="456"/>
      <c r="ACH91" s="456"/>
      <c r="ACI91" s="456"/>
      <c r="ACJ91" s="456"/>
      <c r="ACK91" s="456"/>
      <c r="ACL91" s="456"/>
      <c r="ACM91" s="456"/>
      <c r="ACN91" s="456"/>
      <c r="ACO91" s="456"/>
      <c r="ACP91" s="456"/>
      <c r="ACQ91" s="456"/>
      <c r="ACR91" s="456"/>
      <c r="ACS91" s="456"/>
      <c r="ACT91" s="456"/>
      <c r="ACU91" s="456"/>
      <c r="ACV91" s="456"/>
      <c r="ACW91" s="456"/>
      <c r="ACX91" s="456"/>
      <c r="ACY91" s="456"/>
      <c r="ACZ91" s="456"/>
      <c r="ADA91" s="456"/>
      <c r="ADB91" s="456"/>
      <c r="ADC91" s="456"/>
      <c r="ADD91" s="456"/>
      <c r="ADE91" s="456"/>
      <c r="ADF91" s="456"/>
      <c r="ADG91" s="456"/>
      <c r="ADH91" s="456"/>
      <c r="ADI91" s="456"/>
      <c r="ADJ91" s="456"/>
      <c r="ADK91" s="456"/>
      <c r="ADL91" s="456"/>
      <c r="ADM91" s="456"/>
      <c r="ADN91" s="456"/>
      <c r="ADO91" s="456"/>
      <c r="ADP91" s="456"/>
      <c r="ADQ91" s="456"/>
      <c r="ADR91" s="456"/>
      <c r="ADS91" s="456"/>
      <c r="ADT91" s="456"/>
      <c r="ADU91" s="456"/>
      <c r="ADV91" s="456"/>
      <c r="ADW91" s="456"/>
      <c r="ADX91" s="456"/>
      <c r="ADY91" s="456"/>
      <c r="ADZ91" s="456"/>
      <c r="AEA91" s="456"/>
      <c r="AEB91" s="456"/>
      <c r="AEC91" s="456"/>
      <c r="AED91" s="456"/>
      <c r="AEE91" s="456"/>
      <c r="AEF91" s="456"/>
      <c r="AEG91" s="456"/>
      <c r="AEH91" s="456"/>
      <c r="AEI91" s="456"/>
      <c r="AEJ91" s="456"/>
      <c r="AEK91" s="456"/>
      <c r="AEL91" s="456"/>
      <c r="AEM91" s="456"/>
      <c r="AEN91" s="456"/>
      <c r="AEO91" s="456"/>
      <c r="AEP91" s="456"/>
      <c r="AEQ91" s="456"/>
      <c r="AER91" s="456"/>
      <c r="AES91" s="456"/>
      <c r="AET91" s="456"/>
      <c r="AEU91" s="456"/>
      <c r="AEV91" s="456"/>
      <c r="AEW91" s="456"/>
      <c r="AEX91" s="456"/>
      <c r="AEY91" s="456"/>
      <c r="AEZ91" s="456"/>
      <c r="AFA91" s="456"/>
      <c r="AFB91" s="456"/>
      <c r="AFC91" s="456"/>
      <c r="AFD91" s="456"/>
      <c r="AFE91" s="456"/>
      <c r="AFF91" s="456"/>
      <c r="AFG91" s="456"/>
      <c r="AFH91" s="456"/>
      <c r="AFI91" s="456"/>
      <c r="AFJ91" s="456"/>
      <c r="AFK91" s="456"/>
      <c r="AFL91" s="456"/>
      <c r="AFM91" s="456"/>
      <c r="AFN91" s="456"/>
      <c r="AFO91" s="456"/>
      <c r="AFP91" s="456"/>
      <c r="AFQ91" s="456"/>
      <c r="AFR91" s="456"/>
      <c r="AFS91" s="456"/>
      <c r="AFT91" s="456"/>
      <c r="AFU91" s="456"/>
      <c r="AFV91" s="456"/>
      <c r="AFW91" s="456"/>
      <c r="AFX91" s="456"/>
      <c r="AFY91" s="456"/>
      <c r="AFZ91" s="456"/>
      <c r="AGA91" s="456"/>
      <c r="AGB91" s="456"/>
      <c r="AGC91" s="456"/>
      <c r="AGD91" s="456"/>
      <c r="AGE91" s="456"/>
      <c r="AGF91" s="456"/>
      <c r="AGG91" s="456"/>
      <c r="AGH91" s="456"/>
      <c r="AGI91" s="456"/>
      <c r="AGJ91" s="456"/>
      <c r="AGK91" s="456"/>
      <c r="AGL91" s="456"/>
      <c r="AGM91" s="456"/>
      <c r="AGN91" s="456"/>
      <c r="AGO91" s="456"/>
      <c r="AGP91" s="456"/>
      <c r="AGQ91" s="456"/>
      <c r="AGR91" s="456"/>
      <c r="AGS91" s="456"/>
      <c r="AGT91" s="456"/>
      <c r="AGU91" s="456"/>
      <c r="AGV91" s="456"/>
      <c r="AGW91" s="456"/>
      <c r="AGX91" s="456"/>
      <c r="AGY91" s="456"/>
      <c r="AGZ91" s="456"/>
      <c r="AHA91" s="456"/>
      <c r="AHB91" s="456"/>
      <c r="AHC91" s="456"/>
      <c r="AHD91" s="456"/>
      <c r="AHE91" s="456"/>
      <c r="AHF91" s="456"/>
      <c r="AHG91" s="456"/>
      <c r="AHH91" s="456"/>
      <c r="AHI91" s="456"/>
      <c r="AHJ91" s="456"/>
      <c r="AHK91" s="456"/>
      <c r="AHL91" s="456"/>
      <c r="AHM91" s="456"/>
      <c r="AHN91" s="456"/>
      <c r="AHO91" s="456"/>
      <c r="AHP91" s="456"/>
      <c r="AHQ91" s="456"/>
      <c r="AHR91" s="456"/>
      <c r="AHS91" s="456"/>
      <c r="AHT91" s="456"/>
      <c r="AHU91" s="456"/>
      <c r="AHV91" s="456"/>
      <c r="AHW91" s="456"/>
      <c r="AHX91" s="456"/>
      <c r="AHY91" s="456"/>
      <c r="AHZ91" s="456"/>
      <c r="AIA91" s="456"/>
      <c r="AIB91" s="456"/>
      <c r="AIC91" s="456"/>
      <c r="AID91" s="456"/>
      <c r="AIE91" s="456"/>
      <c r="AIF91" s="456"/>
      <c r="AIG91" s="456"/>
      <c r="AIH91" s="456"/>
      <c r="AII91" s="456"/>
      <c r="AIJ91" s="456"/>
      <c r="AIK91" s="456"/>
      <c r="AIL91" s="456"/>
      <c r="AIM91" s="456"/>
      <c r="AIN91" s="456"/>
      <c r="AIO91" s="456"/>
      <c r="AIP91" s="456"/>
      <c r="AIQ91" s="456"/>
      <c r="AIR91" s="456"/>
      <c r="AIS91" s="456"/>
      <c r="AIT91" s="456"/>
      <c r="AIU91" s="456"/>
      <c r="AIV91" s="456"/>
      <c r="AIW91" s="456"/>
      <c r="AIX91" s="456"/>
      <c r="AIY91" s="456"/>
      <c r="AIZ91" s="456"/>
      <c r="AJA91" s="456"/>
      <c r="AJB91" s="456"/>
      <c r="AJC91" s="456"/>
      <c r="AJD91" s="456"/>
      <c r="AJE91" s="456"/>
      <c r="AJF91" s="456"/>
      <c r="AJG91" s="456"/>
      <c r="AJH91" s="456"/>
      <c r="AJI91" s="456"/>
      <c r="AJJ91" s="456"/>
      <c r="AJK91" s="456"/>
      <c r="AJL91" s="456"/>
      <c r="AJM91" s="456"/>
      <c r="AJN91" s="456"/>
      <c r="AJO91" s="456"/>
      <c r="AJP91" s="456"/>
      <c r="AJQ91" s="456"/>
      <c r="AJR91" s="456"/>
      <c r="AJS91" s="456"/>
      <c r="AJT91" s="456"/>
      <c r="AJU91" s="456"/>
      <c r="AJV91" s="456"/>
      <c r="AJW91" s="456"/>
      <c r="AJX91" s="456"/>
      <c r="AJY91" s="456"/>
      <c r="AJZ91" s="456"/>
      <c r="AKA91" s="456"/>
      <c r="AKB91" s="456"/>
      <c r="AKC91" s="456"/>
      <c r="AKD91" s="456"/>
      <c r="AKE91" s="456"/>
      <c r="AKF91" s="456"/>
      <c r="AKG91" s="456"/>
      <c r="AKH91" s="456"/>
      <c r="AKI91" s="456"/>
      <c r="AKJ91" s="456"/>
      <c r="AKK91" s="456"/>
      <c r="AKL91" s="456"/>
      <c r="AKM91" s="456"/>
      <c r="AKN91" s="456"/>
      <c r="AKO91" s="456"/>
      <c r="AKP91" s="456"/>
      <c r="AKQ91" s="456"/>
      <c r="AKR91" s="456"/>
      <c r="AKS91" s="456"/>
      <c r="AKT91" s="456"/>
      <c r="AKU91" s="456"/>
      <c r="AKV91" s="456"/>
      <c r="AKW91" s="456"/>
      <c r="AKX91" s="456"/>
      <c r="AKY91" s="456"/>
      <c r="AKZ91" s="456"/>
      <c r="ALA91" s="456"/>
      <c r="ALB91" s="456"/>
      <c r="ALC91" s="456"/>
      <c r="ALD91" s="456"/>
      <c r="ALE91" s="456"/>
      <c r="ALF91" s="456"/>
      <c r="ALG91" s="456"/>
      <c r="ALH91" s="456"/>
      <c r="ALI91" s="456"/>
      <c r="ALJ91" s="456"/>
      <c r="ALK91" s="456"/>
      <c r="ALL91" s="456"/>
      <c r="ALM91" s="456"/>
      <c r="ALN91" s="456"/>
      <c r="ALO91" s="456"/>
      <c r="ALP91" s="456"/>
      <c r="ALQ91" s="456"/>
      <c r="ALR91" s="456"/>
      <c r="ALS91" s="456"/>
      <c r="ALT91" s="456"/>
      <c r="ALU91" s="456"/>
      <c r="ALV91" s="456"/>
      <c r="ALW91" s="456"/>
      <c r="ALX91" s="456"/>
      <c r="ALY91" s="456"/>
      <c r="ALZ91" s="456"/>
      <c r="AMA91" s="456"/>
      <c r="AMB91" s="456"/>
      <c r="AMC91" s="456"/>
      <c r="AMD91" s="456"/>
      <c r="AME91" s="456"/>
      <c r="AMF91" s="456"/>
      <c r="AMG91" s="456"/>
      <c r="AMH91" s="456"/>
      <c r="AMI91" s="456"/>
      <c r="AMJ91" s="456"/>
      <c r="AMK91" s="456"/>
      <c r="AML91" s="456"/>
      <c r="AMM91" s="456"/>
      <c r="AMN91" s="456"/>
      <c r="AMO91" s="456"/>
      <c r="AMP91" s="456"/>
      <c r="AMQ91" s="456"/>
      <c r="AMR91" s="456"/>
      <c r="AMS91" s="456"/>
      <c r="AMT91" s="456"/>
      <c r="AMU91" s="456"/>
      <c r="AMV91" s="456"/>
      <c r="AMW91" s="456"/>
      <c r="AMX91" s="456"/>
      <c r="AMY91" s="456"/>
      <c r="AMZ91" s="456"/>
      <c r="ANA91" s="456"/>
      <c r="ANB91" s="456"/>
      <c r="ANC91" s="456"/>
      <c r="AND91" s="456"/>
      <c r="ANE91" s="456"/>
      <c r="ANF91" s="456"/>
      <c r="ANG91" s="456"/>
      <c r="ANH91" s="456"/>
      <c r="ANI91" s="456"/>
      <c r="ANJ91" s="456"/>
      <c r="ANK91" s="456"/>
      <c r="ANL91" s="456"/>
      <c r="ANM91" s="456"/>
      <c r="ANN91" s="456"/>
      <c r="ANO91" s="456"/>
      <c r="ANP91" s="456"/>
      <c r="ANQ91" s="456"/>
      <c r="ANR91" s="456"/>
      <c r="ANS91" s="456"/>
      <c r="ANT91" s="456"/>
      <c r="ANU91" s="456"/>
      <c r="ANV91" s="456"/>
      <c r="ANW91" s="456"/>
      <c r="ANX91" s="456"/>
      <c r="ANY91" s="456"/>
      <c r="ANZ91" s="456"/>
      <c r="AOA91" s="456"/>
      <c r="AOB91" s="456"/>
      <c r="AOC91" s="456"/>
      <c r="AOD91" s="456"/>
      <c r="AOE91" s="456"/>
      <c r="AOF91" s="456"/>
      <c r="AOG91" s="456"/>
      <c r="AOH91" s="456"/>
      <c r="AOI91" s="456"/>
      <c r="AOJ91" s="456"/>
      <c r="AOK91" s="456"/>
      <c r="AOL91" s="456"/>
      <c r="AOM91" s="456"/>
      <c r="AON91" s="456"/>
      <c r="AOO91" s="456"/>
      <c r="AOP91" s="456"/>
      <c r="AOQ91" s="456"/>
      <c r="AOR91" s="456"/>
      <c r="AOS91" s="456"/>
      <c r="AOT91" s="456"/>
      <c r="AOU91" s="456"/>
      <c r="AOV91" s="456"/>
      <c r="AOW91" s="456"/>
      <c r="AOX91" s="456"/>
      <c r="AOY91" s="456"/>
      <c r="AOZ91" s="456"/>
      <c r="APA91" s="456"/>
      <c r="APB91" s="456"/>
      <c r="APC91" s="456"/>
      <c r="APD91" s="456"/>
      <c r="APE91" s="456"/>
      <c r="APF91" s="456"/>
      <c r="APG91" s="456"/>
      <c r="APH91" s="456"/>
      <c r="API91" s="456"/>
      <c r="APJ91" s="456"/>
      <c r="APK91" s="456"/>
      <c r="APL91" s="456"/>
      <c r="APM91" s="456"/>
      <c r="APN91" s="456"/>
      <c r="APO91" s="456"/>
      <c r="APP91" s="456"/>
      <c r="APQ91" s="456"/>
      <c r="APR91" s="456"/>
      <c r="APS91" s="456"/>
      <c r="APT91" s="456"/>
      <c r="APU91" s="456"/>
      <c r="APV91" s="456"/>
      <c r="APW91" s="456"/>
      <c r="APX91" s="456"/>
      <c r="APY91" s="456"/>
      <c r="APZ91" s="456"/>
      <c r="AQA91" s="456"/>
      <c r="AQB91" s="456"/>
      <c r="AQC91" s="456"/>
      <c r="AQD91" s="456"/>
      <c r="AQE91" s="456"/>
      <c r="AQF91" s="456"/>
      <c r="AQG91" s="456"/>
      <c r="AQH91" s="456"/>
      <c r="AQI91" s="456"/>
      <c r="AQJ91" s="456"/>
      <c r="AQK91" s="456"/>
      <c r="AQL91" s="456"/>
      <c r="AQM91" s="456"/>
      <c r="AQN91" s="456"/>
      <c r="AQO91" s="456"/>
      <c r="AQP91" s="456"/>
      <c r="AQQ91" s="456"/>
      <c r="AQR91" s="456"/>
      <c r="AQS91" s="456"/>
      <c r="AQT91" s="456"/>
      <c r="AQU91" s="456"/>
      <c r="AQV91" s="456"/>
      <c r="AQW91" s="456"/>
      <c r="AQX91" s="456"/>
      <c r="AQY91" s="456"/>
      <c r="AQZ91" s="456"/>
      <c r="ARA91" s="456"/>
      <c r="ARB91" s="456"/>
      <c r="ARC91" s="456"/>
      <c r="ARD91" s="456"/>
      <c r="ARE91" s="456"/>
      <c r="ARF91" s="456"/>
      <c r="ARG91" s="456"/>
      <c r="ARH91" s="456"/>
      <c r="ARI91" s="456"/>
      <c r="ARJ91" s="456"/>
      <c r="ARK91" s="456"/>
      <c r="ARL91" s="456"/>
      <c r="ARM91" s="456"/>
      <c r="ARN91" s="456"/>
      <c r="ARO91" s="456"/>
      <c r="ARP91" s="456"/>
      <c r="ARQ91" s="456"/>
      <c r="ARR91" s="456"/>
      <c r="ARS91" s="456"/>
      <c r="ART91" s="456"/>
      <c r="ARU91" s="456"/>
      <c r="ARV91" s="456"/>
      <c r="ARW91" s="456"/>
      <c r="ARX91" s="456"/>
      <c r="ARY91" s="456"/>
      <c r="ARZ91" s="456"/>
      <c r="ASA91" s="456"/>
      <c r="ASB91" s="456"/>
      <c r="ASC91" s="456"/>
      <c r="ASD91" s="456"/>
      <c r="ASE91" s="456"/>
      <c r="ASF91" s="456"/>
      <c r="ASG91" s="456"/>
      <c r="ASH91" s="456"/>
      <c r="ASI91" s="456"/>
      <c r="ASJ91" s="456"/>
      <c r="ASK91" s="456"/>
      <c r="ASL91" s="456"/>
      <c r="ASM91" s="456"/>
      <c r="ASN91" s="456"/>
      <c r="ASO91" s="456"/>
      <c r="ASP91" s="456"/>
      <c r="ASQ91" s="456"/>
      <c r="ASR91" s="456"/>
      <c r="ASS91" s="456"/>
      <c r="AST91" s="456"/>
      <c r="ASU91" s="456"/>
      <c r="ASV91" s="456"/>
      <c r="ASW91" s="456"/>
      <c r="ASX91" s="456"/>
      <c r="ASY91" s="456"/>
      <c r="ASZ91" s="456"/>
      <c r="ATA91" s="456"/>
      <c r="ATB91" s="456"/>
      <c r="ATC91" s="456"/>
      <c r="ATD91" s="456"/>
      <c r="ATE91" s="456"/>
      <c r="ATF91" s="456"/>
      <c r="ATG91" s="456"/>
      <c r="ATH91" s="456"/>
      <c r="ATI91" s="456"/>
      <c r="ATJ91" s="456"/>
      <c r="ATK91" s="456"/>
      <c r="ATL91" s="456"/>
      <c r="ATM91" s="456"/>
      <c r="ATN91" s="456"/>
      <c r="ATO91" s="456"/>
      <c r="ATP91" s="456"/>
      <c r="ATQ91" s="456"/>
      <c r="ATR91" s="456"/>
      <c r="ATS91" s="456"/>
      <c r="ATT91" s="456"/>
      <c r="ATU91" s="456"/>
      <c r="ATV91" s="456"/>
      <c r="ATW91" s="456"/>
      <c r="ATX91" s="456"/>
      <c r="ATY91" s="456"/>
      <c r="ATZ91" s="456"/>
      <c r="AUA91" s="456"/>
      <c r="AUB91" s="456"/>
      <c r="AUC91" s="456"/>
      <c r="AUD91" s="456"/>
      <c r="AUE91" s="456"/>
      <c r="AUF91" s="456"/>
      <c r="AUG91" s="456"/>
      <c r="AUH91" s="456"/>
      <c r="AUI91" s="456"/>
      <c r="AUJ91" s="456"/>
      <c r="AUK91" s="456"/>
      <c r="AUL91" s="456"/>
      <c r="AUM91" s="456"/>
      <c r="AUN91" s="456"/>
      <c r="AUO91" s="456"/>
      <c r="AUP91" s="456"/>
      <c r="AUQ91" s="456"/>
      <c r="AUR91" s="456"/>
      <c r="AUS91" s="456"/>
      <c r="AUT91" s="456"/>
      <c r="AUU91" s="456"/>
      <c r="AUV91" s="456"/>
      <c r="AUW91" s="456"/>
      <c r="AUX91" s="456"/>
      <c r="AUY91" s="456"/>
      <c r="AUZ91" s="456"/>
      <c r="AVA91" s="456"/>
      <c r="AVB91" s="456"/>
      <c r="AVC91" s="456"/>
      <c r="AVD91" s="456"/>
      <c r="AVE91" s="456"/>
      <c r="AVF91" s="456"/>
      <c r="AVG91" s="456"/>
      <c r="AVH91" s="456"/>
      <c r="AVI91" s="456"/>
      <c r="AVJ91" s="456"/>
      <c r="AVK91" s="456"/>
      <c r="AVL91" s="456"/>
      <c r="AVM91" s="456"/>
      <c r="AVN91" s="456"/>
      <c r="AVO91" s="456"/>
      <c r="AVP91" s="456"/>
      <c r="AVQ91" s="456"/>
      <c r="AVR91" s="456"/>
      <c r="AVS91" s="456"/>
      <c r="AVT91" s="456"/>
      <c r="AVU91" s="456"/>
      <c r="AVV91" s="456"/>
      <c r="AVW91" s="456"/>
      <c r="AVX91" s="456"/>
      <c r="AVY91" s="456"/>
      <c r="AVZ91" s="456"/>
      <c r="AWA91" s="456"/>
      <c r="AWB91" s="456"/>
      <c r="AWC91" s="456"/>
      <c r="AWD91" s="456"/>
      <c r="AWE91" s="456"/>
      <c r="AWF91" s="456"/>
      <c r="AWG91" s="456"/>
      <c r="AWH91" s="456"/>
      <c r="AWI91" s="456"/>
      <c r="AWJ91" s="456"/>
      <c r="AWK91" s="456"/>
      <c r="AWL91" s="456"/>
      <c r="AWM91" s="456"/>
      <c r="AWN91" s="456"/>
      <c r="AWO91" s="456"/>
      <c r="AWP91" s="456"/>
      <c r="AWQ91" s="456"/>
      <c r="AWR91" s="456"/>
      <c r="AWS91" s="456"/>
      <c r="AWT91" s="456"/>
      <c r="AWU91" s="456"/>
      <c r="AWV91" s="456"/>
      <c r="AWW91" s="456"/>
      <c r="AWX91" s="456"/>
      <c r="AWY91" s="456"/>
      <c r="AWZ91" s="456"/>
      <c r="AXA91" s="456"/>
      <c r="AXB91" s="456"/>
      <c r="AXC91" s="456"/>
      <c r="AXD91" s="456"/>
      <c r="AXE91" s="456"/>
      <c r="AXF91" s="456"/>
      <c r="AXG91" s="456"/>
      <c r="AXH91" s="456"/>
      <c r="AXI91" s="456"/>
      <c r="AXJ91" s="456"/>
      <c r="AXK91" s="456"/>
      <c r="AXL91" s="456"/>
      <c r="AXM91" s="456"/>
      <c r="AXN91" s="456"/>
      <c r="AXO91" s="456"/>
      <c r="AXP91" s="456"/>
      <c r="AXQ91" s="456"/>
      <c r="AXR91" s="456"/>
      <c r="AXS91" s="456"/>
      <c r="AXT91" s="456"/>
      <c r="AXU91" s="456"/>
      <c r="AXV91" s="456"/>
      <c r="AXW91" s="456"/>
      <c r="AXX91" s="456"/>
      <c r="AXY91" s="456"/>
      <c r="AXZ91" s="456"/>
      <c r="AYA91" s="456"/>
      <c r="AYB91" s="456"/>
      <c r="AYC91" s="456"/>
      <c r="AYD91" s="456"/>
      <c r="AYE91" s="456"/>
      <c r="AYF91" s="456"/>
      <c r="AYG91" s="456"/>
      <c r="AYH91" s="456"/>
      <c r="AYI91" s="456"/>
      <c r="AYJ91" s="456"/>
      <c r="AYK91" s="456"/>
      <c r="AYL91" s="456"/>
      <c r="AYM91" s="456"/>
      <c r="AYN91" s="456"/>
      <c r="AYO91" s="456"/>
      <c r="AYP91" s="456"/>
      <c r="AYQ91" s="456"/>
      <c r="AYR91" s="456"/>
      <c r="AYS91" s="456"/>
      <c r="AYT91" s="456"/>
      <c r="AYU91" s="456"/>
      <c r="AYV91" s="456"/>
      <c r="AYW91" s="456"/>
      <c r="AYX91" s="456"/>
      <c r="AYY91" s="456"/>
      <c r="AYZ91" s="456"/>
      <c r="AZA91" s="456"/>
      <c r="AZB91" s="456"/>
      <c r="AZC91" s="456"/>
      <c r="AZD91" s="456"/>
      <c r="AZE91" s="456"/>
      <c r="AZF91" s="456"/>
      <c r="AZG91" s="456"/>
      <c r="AZH91" s="456"/>
      <c r="AZI91" s="456"/>
      <c r="AZJ91" s="456"/>
      <c r="AZK91" s="456"/>
      <c r="AZL91" s="456"/>
      <c r="AZM91" s="456"/>
      <c r="AZN91" s="456"/>
      <c r="AZO91" s="456"/>
      <c r="AZP91" s="456"/>
      <c r="AZQ91" s="456"/>
      <c r="AZR91" s="456"/>
      <c r="AZS91" s="456"/>
      <c r="AZT91" s="456"/>
      <c r="AZU91" s="456"/>
      <c r="AZV91" s="456"/>
      <c r="AZW91" s="456"/>
      <c r="AZX91" s="456"/>
      <c r="AZY91" s="456"/>
      <c r="AZZ91" s="456"/>
      <c r="BAA91" s="456"/>
      <c r="BAB91" s="456"/>
      <c r="BAC91" s="456"/>
      <c r="BAD91" s="456"/>
      <c r="BAE91" s="456"/>
      <c r="BAF91" s="456"/>
      <c r="BAG91" s="456"/>
      <c r="BAH91" s="456"/>
      <c r="BAI91" s="456"/>
      <c r="BAJ91" s="456"/>
      <c r="BAK91" s="456"/>
      <c r="BAL91" s="456"/>
      <c r="BAM91" s="456"/>
      <c r="BAN91" s="456"/>
      <c r="BAO91" s="456"/>
      <c r="BAP91" s="456"/>
      <c r="BAQ91" s="456"/>
      <c r="BAR91" s="456"/>
      <c r="BAS91" s="456"/>
      <c r="BAT91" s="456"/>
      <c r="BAU91" s="456"/>
      <c r="BAV91" s="456"/>
      <c r="BAW91" s="456"/>
      <c r="BAX91" s="456"/>
      <c r="BAY91" s="456"/>
      <c r="BAZ91" s="456"/>
      <c r="BBA91" s="456"/>
      <c r="BBB91" s="456"/>
      <c r="BBC91" s="456"/>
      <c r="BBD91" s="456"/>
      <c r="BBE91" s="456"/>
      <c r="BBF91" s="456"/>
      <c r="BBG91" s="456"/>
      <c r="BBH91" s="456"/>
      <c r="BBI91" s="456"/>
      <c r="BBJ91" s="456"/>
      <c r="BBK91" s="456"/>
      <c r="BBL91" s="456"/>
      <c r="BBM91" s="456"/>
      <c r="BBN91" s="456"/>
      <c r="BBO91" s="456"/>
      <c r="BBP91" s="456"/>
      <c r="BBQ91" s="456"/>
      <c r="BBR91" s="456"/>
      <c r="BBS91" s="456"/>
      <c r="BBT91" s="456"/>
      <c r="BBU91" s="456"/>
      <c r="BBV91" s="456"/>
      <c r="BBW91" s="456"/>
      <c r="BBX91" s="456"/>
      <c r="BBY91" s="456"/>
      <c r="BBZ91" s="456"/>
      <c r="BCA91" s="456"/>
      <c r="BCB91" s="456"/>
      <c r="BCC91" s="456"/>
      <c r="BCD91" s="456"/>
      <c r="BCE91" s="456"/>
      <c r="BCF91" s="456"/>
      <c r="BCG91" s="456"/>
      <c r="BCH91" s="456"/>
      <c r="BCI91" s="456"/>
      <c r="BCJ91" s="456"/>
      <c r="BCK91" s="456"/>
      <c r="BCL91" s="456"/>
      <c r="BCM91" s="456"/>
      <c r="BCN91" s="456"/>
      <c r="BCO91" s="456"/>
      <c r="BCP91" s="456"/>
      <c r="BCQ91" s="456"/>
      <c r="BCR91" s="456"/>
      <c r="BCS91" s="456"/>
      <c r="BCT91" s="456"/>
      <c r="BCU91" s="456"/>
      <c r="BCV91" s="456"/>
      <c r="BCW91" s="456"/>
      <c r="BCX91" s="456"/>
      <c r="BCY91" s="456"/>
      <c r="BCZ91" s="456"/>
      <c r="BDA91" s="456"/>
      <c r="BDB91" s="456"/>
      <c r="BDC91" s="456"/>
      <c r="BDD91" s="456"/>
      <c r="BDE91" s="456"/>
      <c r="BDF91" s="456"/>
      <c r="BDG91" s="456"/>
      <c r="BDH91" s="456"/>
      <c r="BDI91" s="456"/>
      <c r="BDJ91" s="456"/>
      <c r="BDK91" s="456"/>
      <c r="BDL91" s="456"/>
      <c r="BDM91" s="456"/>
      <c r="BDN91" s="456"/>
      <c r="BDO91" s="456"/>
      <c r="BDP91" s="456"/>
      <c r="BDQ91" s="456"/>
      <c r="BDR91" s="456"/>
      <c r="BDS91" s="456"/>
      <c r="BDT91" s="456"/>
      <c r="BDU91" s="456"/>
      <c r="BDV91" s="456"/>
      <c r="BDW91" s="456"/>
      <c r="BDX91" s="456"/>
      <c r="BDY91" s="456"/>
      <c r="BDZ91" s="456"/>
      <c r="BEA91" s="456"/>
      <c r="BEB91" s="456"/>
      <c r="BEC91" s="456"/>
      <c r="BED91" s="456"/>
      <c r="BEE91" s="456"/>
      <c r="BEF91" s="456"/>
      <c r="BEG91" s="456"/>
      <c r="BEH91" s="456"/>
      <c r="BEI91" s="456"/>
      <c r="BEJ91" s="456"/>
      <c r="BEK91" s="456"/>
      <c r="BEL91" s="456"/>
      <c r="BEM91" s="456"/>
      <c r="BEN91" s="456"/>
      <c r="BEO91" s="456"/>
      <c r="BEP91" s="456"/>
      <c r="BEQ91" s="456"/>
      <c r="BER91" s="456"/>
      <c r="BES91" s="456"/>
      <c r="BET91" s="456"/>
      <c r="BEU91" s="456"/>
      <c r="BEV91" s="456"/>
      <c r="BEW91" s="456"/>
      <c r="BEX91" s="456"/>
      <c r="BEY91" s="456"/>
      <c r="BEZ91" s="456"/>
      <c r="BFA91" s="456"/>
      <c r="BFB91" s="456"/>
      <c r="BFC91" s="456"/>
      <c r="BFD91" s="456"/>
      <c r="BFE91" s="456"/>
      <c r="BFF91" s="456"/>
      <c r="BFG91" s="456"/>
      <c r="BFH91" s="456"/>
      <c r="BFI91" s="456"/>
      <c r="BFJ91" s="456"/>
      <c r="BFK91" s="456"/>
      <c r="BFL91" s="456"/>
      <c r="BFM91" s="456"/>
      <c r="BFN91" s="456"/>
      <c r="BFO91" s="456"/>
      <c r="BFP91" s="456"/>
      <c r="BFQ91" s="456"/>
      <c r="BFR91" s="456"/>
      <c r="BFS91" s="456"/>
      <c r="BFT91" s="456"/>
      <c r="BFU91" s="456"/>
      <c r="BFV91" s="456"/>
      <c r="BFW91" s="456"/>
      <c r="BFX91" s="456"/>
      <c r="BFY91" s="456"/>
      <c r="BFZ91" s="456"/>
      <c r="BGA91" s="456"/>
      <c r="BGB91" s="456"/>
      <c r="BGC91" s="456"/>
      <c r="BGD91" s="456"/>
      <c r="BGE91" s="456"/>
      <c r="BGF91" s="456"/>
      <c r="BGG91" s="456"/>
      <c r="BGH91" s="456"/>
      <c r="BGI91" s="456"/>
      <c r="BGJ91" s="456"/>
      <c r="BGK91" s="456"/>
      <c r="BGL91" s="456"/>
      <c r="BGM91" s="456"/>
      <c r="BGN91" s="456"/>
      <c r="BGO91" s="456"/>
      <c r="BGP91" s="456"/>
      <c r="BGQ91" s="456"/>
      <c r="BGR91" s="456"/>
      <c r="BGS91" s="456"/>
      <c r="BGT91" s="456"/>
      <c r="BGU91" s="456"/>
      <c r="BGV91" s="456"/>
      <c r="BGW91" s="456"/>
      <c r="BGX91" s="456"/>
      <c r="BGY91" s="456"/>
      <c r="BGZ91" s="456"/>
      <c r="BHA91" s="456"/>
      <c r="BHB91" s="456"/>
      <c r="BHC91" s="456"/>
      <c r="BHD91" s="456"/>
      <c r="BHE91" s="456"/>
      <c r="BHF91" s="456"/>
      <c r="BHG91" s="456"/>
      <c r="BHH91" s="456"/>
      <c r="BHI91" s="456"/>
      <c r="BHJ91" s="456"/>
      <c r="BHK91" s="456"/>
      <c r="BHL91" s="456"/>
      <c r="BHM91" s="456"/>
      <c r="BHN91" s="456"/>
      <c r="BHO91" s="456"/>
      <c r="BHP91" s="456"/>
      <c r="BHQ91" s="456"/>
      <c r="BHR91" s="456"/>
      <c r="BHS91" s="456"/>
      <c r="BHT91" s="456"/>
      <c r="BHU91" s="456"/>
      <c r="BHV91" s="456"/>
      <c r="BHW91" s="456"/>
      <c r="BHX91" s="456"/>
      <c r="BHY91" s="456"/>
      <c r="BHZ91" s="456"/>
      <c r="BIA91" s="456"/>
      <c r="BIB91" s="456"/>
      <c r="BIC91" s="456"/>
      <c r="BID91" s="456"/>
      <c r="BIE91" s="456"/>
      <c r="BIF91" s="456"/>
      <c r="BIG91" s="456"/>
      <c r="BIH91" s="456"/>
      <c r="BII91" s="456"/>
      <c r="BIJ91" s="456"/>
      <c r="BIK91" s="456"/>
      <c r="BIL91" s="456"/>
      <c r="BIM91" s="456"/>
      <c r="BIN91" s="456"/>
      <c r="BIO91" s="456"/>
      <c r="BIP91" s="456"/>
      <c r="BIQ91" s="456"/>
      <c r="BIR91" s="456"/>
      <c r="BIS91" s="456"/>
      <c r="BIT91" s="456"/>
      <c r="BIU91" s="456"/>
      <c r="BIV91" s="456"/>
      <c r="BIW91" s="456"/>
      <c r="BIX91" s="456"/>
      <c r="BIY91" s="456"/>
      <c r="BIZ91" s="456"/>
      <c r="BJA91" s="456"/>
      <c r="BJB91" s="456"/>
      <c r="BJC91" s="456"/>
      <c r="BJD91" s="456"/>
      <c r="BJE91" s="456"/>
      <c r="BJF91" s="456"/>
      <c r="BJG91" s="456"/>
      <c r="BJH91" s="456"/>
      <c r="BJI91" s="456"/>
      <c r="BJJ91" s="456"/>
      <c r="BJK91" s="456"/>
      <c r="BJL91" s="456"/>
      <c r="BJM91" s="456"/>
      <c r="BJN91" s="456"/>
      <c r="BJO91" s="456"/>
      <c r="BJP91" s="456"/>
      <c r="BJQ91" s="456"/>
      <c r="BJR91" s="456"/>
      <c r="BJS91" s="456"/>
      <c r="BJT91" s="456"/>
      <c r="BJU91" s="456"/>
      <c r="BJV91" s="456"/>
      <c r="BJW91" s="456"/>
      <c r="BJX91" s="456"/>
      <c r="BJY91" s="456"/>
      <c r="BJZ91" s="456"/>
      <c r="BKA91" s="456"/>
      <c r="BKB91" s="456"/>
      <c r="BKC91" s="456"/>
      <c r="BKD91" s="456"/>
      <c r="BKE91" s="456"/>
      <c r="BKF91" s="456"/>
      <c r="BKG91" s="456"/>
      <c r="BKH91" s="456"/>
      <c r="BKI91" s="456"/>
      <c r="BKJ91" s="456"/>
      <c r="BKK91" s="456"/>
      <c r="BKL91" s="456"/>
      <c r="BKM91" s="456"/>
      <c r="BKN91" s="456"/>
      <c r="BKO91" s="456"/>
      <c r="BKP91" s="456"/>
      <c r="BKQ91" s="456"/>
      <c r="BKR91" s="456"/>
      <c r="BKS91" s="456"/>
      <c r="BKT91" s="456"/>
      <c r="BKU91" s="456"/>
      <c r="BKV91" s="456"/>
      <c r="BKW91" s="456"/>
      <c r="BKX91" s="456"/>
      <c r="BKY91" s="456"/>
      <c r="BKZ91" s="456"/>
      <c r="BLA91" s="456"/>
      <c r="BLB91" s="456"/>
      <c r="BLC91" s="456"/>
      <c r="BLD91" s="456"/>
      <c r="BLE91" s="456"/>
      <c r="BLF91" s="456"/>
      <c r="BLG91" s="456"/>
      <c r="BLH91" s="456"/>
      <c r="BLI91" s="456"/>
      <c r="BLJ91" s="456"/>
      <c r="BLK91" s="456"/>
      <c r="BLL91" s="456"/>
      <c r="BLM91" s="456"/>
      <c r="BLN91" s="456"/>
      <c r="BLO91" s="456"/>
      <c r="BLP91" s="456"/>
      <c r="BLQ91" s="456"/>
      <c r="BLR91" s="456"/>
      <c r="BLS91" s="456"/>
      <c r="BLT91" s="456"/>
      <c r="BLU91" s="456"/>
      <c r="BLV91" s="456"/>
      <c r="BLW91" s="456"/>
      <c r="BLX91" s="456"/>
      <c r="BLY91" s="456"/>
      <c r="BLZ91" s="456"/>
      <c r="BMA91" s="456"/>
      <c r="BMB91" s="456"/>
      <c r="BMC91" s="456"/>
      <c r="BMD91" s="456"/>
      <c r="BME91" s="456"/>
      <c r="BMF91" s="456"/>
      <c r="BMG91" s="456"/>
      <c r="BMH91" s="456"/>
      <c r="BMI91" s="456"/>
      <c r="BMJ91" s="456"/>
      <c r="BMK91" s="456"/>
      <c r="BML91" s="456"/>
      <c r="BMM91" s="456"/>
      <c r="BMN91" s="456"/>
      <c r="BMO91" s="456"/>
      <c r="BMP91" s="456"/>
      <c r="BMQ91" s="456"/>
      <c r="BMR91" s="456"/>
      <c r="BMS91" s="456"/>
      <c r="BMT91" s="456"/>
      <c r="BMU91" s="456"/>
      <c r="BMV91" s="456"/>
      <c r="BMW91" s="456"/>
      <c r="BMX91" s="456"/>
      <c r="BMY91" s="456"/>
      <c r="BMZ91" s="456"/>
      <c r="BNA91" s="456"/>
      <c r="BNB91" s="456"/>
      <c r="BNC91" s="456"/>
      <c r="BND91" s="456"/>
      <c r="BNE91" s="456"/>
      <c r="BNF91" s="456"/>
      <c r="BNG91" s="456"/>
      <c r="BNH91" s="456"/>
      <c r="BNI91" s="456"/>
      <c r="BNJ91" s="456"/>
      <c r="BNK91" s="456"/>
      <c r="BNL91" s="456"/>
      <c r="BNM91" s="456"/>
      <c r="BNN91" s="456"/>
      <c r="BNO91" s="456"/>
      <c r="BNP91" s="456"/>
      <c r="BNQ91" s="456"/>
      <c r="BNR91" s="456"/>
      <c r="BNS91" s="456"/>
      <c r="BNT91" s="456"/>
      <c r="BNU91" s="456"/>
      <c r="BNV91" s="456"/>
      <c r="BNW91" s="456"/>
      <c r="BNX91" s="456"/>
      <c r="BNY91" s="456"/>
      <c r="BNZ91" s="456"/>
      <c r="BOA91" s="456"/>
      <c r="BOB91" s="456"/>
      <c r="BOC91" s="456"/>
      <c r="BOD91" s="456"/>
      <c r="BOE91" s="456"/>
      <c r="BOF91" s="456"/>
      <c r="BOG91" s="456"/>
      <c r="BOH91" s="456"/>
      <c r="BOI91" s="456"/>
      <c r="BOJ91" s="456"/>
      <c r="BOK91" s="456"/>
      <c r="BOL91" s="456"/>
      <c r="BOM91" s="456"/>
      <c r="BON91" s="456"/>
      <c r="BOO91" s="456"/>
      <c r="BOP91" s="456"/>
      <c r="BOQ91" s="456"/>
      <c r="BOR91" s="456"/>
      <c r="BOS91" s="456"/>
      <c r="BOT91" s="456"/>
      <c r="BOU91" s="456"/>
      <c r="BOV91" s="456"/>
      <c r="BOW91" s="456"/>
      <c r="BOX91" s="456"/>
      <c r="BOY91" s="456"/>
      <c r="BOZ91" s="456"/>
      <c r="BPA91" s="456"/>
      <c r="BPB91" s="456"/>
      <c r="BPC91" s="456"/>
      <c r="BPD91" s="456"/>
      <c r="BPE91" s="456"/>
      <c r="BPF91" s="456"/>
      <c r="BPG91" s="456"/>
      <c r="BPH91" s="456"/>
      <c r="BPI91" s="456"/>
      <c r="BPJ91" s="456"/>
      <c r="BPK91" s="456"/>
      <c r="BPL91" s="456"/>
      <c r="BPM91" s="456"/>
      <c r="BPN91" s="456"/>
      <c r="BPO91" s="456"/>
      <c r="BPP91" s="456"/>
      <c r="BPQ91" s="456"/>
      <c r="BPR91" s="456"/>
      <c r="BPS91" s="456"/>
      <c r="BPT91" s="456"/>
      <c r="BPU91" s="456"/>
      <c r="BPV91" s="456"/>
      <c r="BPW91" s="456"/>
      <c r="BPX91" s="456"/>
      <c r="BPY91" s="456"/>
      <c r="BPZ91" s="456"/>
      <c r="BQA91" s="456"/>
      <c r="BQB91" s="456"/>
      <c r="BQC91" s="456"/>
      <c r="BQD91" s="456"/>
      <c r="BQE91" s="456"/>
      <c r="BQF91" s="456"/>
      <c r="BQG91" s="456"/>
      <c r="BQH91" s="456"/>
      <c r="BQI91" s="456"/>
      <c r="BQJ91" s="456"/>
      <c r="BQK91" s="456"/>
      <c r="BQL91" s="456"/>
      <c r="BQM91" s="456"/>
      <c r="BQN91" s="456"/>
      <c r="BQO91" s="456"/>
      <c r="BQP91" s="456"/>
      <c r="BQQ91" s="456"/>
      <c r="BQR91" s="456"/>
      <c r="BQS91" s="456"/>
      <c r="BQT91" s="456"/>
      <c r="BQU91" s="456"/>
      <c r="BQV91" s="456"/>
      <c r="BQW91" s="456"/>
      <c r="BQX91" s="456"/>
      <c r="BQY91" s="456"/>
      <c r="BQZ91" s="456"/>
      <c r="BRA91" s="456"/>
      <c r="BRB91" s="456"/>
      <c r="BRC91" s="456"/>
      <c r="BRD91" s="456"/>
      <c r="BRE91" s="456"/>
      <c r="BRF91" s="456"/>
      <c r="BRG91" s="456"/>
      <c r="BRH91" s="456"/>
      <c r="BRI91" s="456"/>
      <c r="BRJ91" s="456"/>
      <c r="BRK91" s="456"/>
      <c r="BRL91" s="456"/>
      <c r="BRM91" s="456"/>
      <c r="BRN91" s="456"/>
      <c r="BRO91" s="456"/>
      <c r="BRP91" s="456"/>
      <c r="BRQ91" s="456"/>
      <c r="BRR91" s="456"/>
      <c r="BRS91" s="456"/>
      <c r="BRT91" s="456"/>
      <c r="BRU91" s="456"/>
      <c r="BRV91" s="456"/>
      <c r="BRW91" s="456"/>
      <c r="BRX91" s="456"/>
      <c r="BRY91" s="456"/>
      <c r="BRZ91" s="456"/>
      <c r="BSA91" s="456"/>
      <c r="BSB91" s="456"/>
      <c r="BSC91" s="456"/>
      <c r="BSD91" s="456"/>
      <c r="BSE91" s="456"/>
      <c r="BSF91" s="456"/>
      <c r="BSG91" s="456"/>
      <c r="BSH91" s="456"/>
      <c r="BSI91" s="456"/>
      <c r="BSJ91" s="456"/>
      <c r="BSK91" s="456"/>
      <c r="BSL91" s="456"/>
      <c r="BSM91" s="456"/>
      <c r="BSN91" s="456"/>
      <c r="BSO91" s="456"/>
      <c r="BSP91" s="456"/>
      <c r="BSQ91" s="456"/>
      <c r="BSR91" s="456"/>
      <c r="BSS91" s="456"/>
      <c r="BST91" s="456"/>
      <c r="BSU91" s="456"/>
      <c r="BSV91" s="456"/>
      <c r="BSW91" s="456"/>
      <c r="BSX91" s="456"/>
      <c r="BSY91" s="456"/>
      <c r="BSZ91" s="456"/>
      <c r="BTA91" s="456"/>
      <c r="BTB91" s="456"/>
      <c r="BTC91" s="456"/>
      <c r="BTD91" s="456"/>
      <c r="BTE91" s="456"/>
      <c r="BTF91" s="456"/>
      <c r="BTG91" s="456"/>
      <c r="BTH91" s="456"/>
      <c r="BTI91" s="456"/>
      <c r="BTJ91" s="456"/>
      <c r="BTK91" s="456"/>
      <c r="BTL91" s="456"/>
      <c r="BTM91" s="456"/>
      <c r="BTN91" s="456"/>
      <c r="BTO91" s="456"/>
      <c r="BTP91" s="456"/>
      <c r="BTQ91" s="456"/>
      <c r="BTR91" s="456"/>
      <c r="BTS91" s="456"/>
      <c r="BTT91" s="456"/>
      <c r="BTU91" s="456"/>
      <c r="BTV91" s="456"/>
      <c r="BTW91" s="456"/>
      <c r="BTX91" s="456"/>
      <c r="BTY91" s="456"/>
      <c r="BTZ91" s="456"/>
      <c r="BUA91" s="456"/>
      <c r="BUB91" s="456"/>
      <c r="BUC91" s="456"/>
      <c r="BUD91" s="456"/>
      <c r="BUE91" s="456"/>
      <c r="BUF91" s="456"/>
      <c r="BUG91" s="456"/>
      <c r="BUH91" s="456"/>
      <c r="BUI91" s="456"/>
      <c r="BUJ91" s="456"/>
      <c r="BUK91" s="456"/>
      <c r="BUL91" s="456"/>
      <c r="BUM91" s="456"/>
      <c r="BUN91" s="456"/>
      <c r="BUO91" s="456"/>
      <c r="BUP91" s="456"/>
      <c r="BUQ91" s="456"/>
      <c r="BUR91" s="456"/>
      <c r="BUS91" s="456"/>
      <c r="BUT91" s="456"/>
      <c r="BUU91" s="456"/>
      <c r="BUV91" s="456"/>
      <c r="BUW91" s="456"/>
      <c r="BUX91" s="456"/>
      <c r="BUY91" s="456"/>
      <c r="BUZ91" s="456"/>
      <c r="BVA91" s="456"/>
      <c r="BVB91" s="456"/>
      <c r="BVC91" s="456"/>
      <c r="BVD91" s="456"/>
      <c r="BVE91" s="456"/>
      <c r="BVF91" s="456"/>
      <c r="BVG91" s="456"/>
      <c r="BVH91" s="456"/>
      <c r="BVI91" s="456"/>
      <c r="BVJ91" s="456"/>
      <c r="BVK91" s="456"/>
      <c r="BVL91" s="456"/>
      <c r="BVM91" s="456"/>
      <c r="BVN91" s="456"/>
      <c r="BVO91" s="456"/>
      <c r="BVP91" s="456"/>
      <c r="BVQ91" s="456"/>
      <c r="BVR91" s="456"/>
      <c r="BVS91" s="456"/>
      <c r="BVT91" s="456"/>
      <c r="BVU91" s="456"/>
      <c r="BVV91" s="456"/>
      <c r="BVW91" s="456"/>
      <c r="BVX91" s="456"/>
      <c r="BVY91" s="456"/>
      <c r="BVZ91" s="456"/>
      <c r="BWA91" s="456"/>
      <c r="BWB91" s="456"/>
      <c r="BWC91" s="456"/>
      <c r="BWD91" s="456"/>
      <c r="BWE91" s="456"/>
      <c r="BWF91" s="456"/>
      <c r="BWG91" s="456"/>
      <c r="BWH91" s="456"/>
      <c r="BWI91" s="456"/>
      <c r="BWJ91" s="456"/>
      <c r="BWK91" s="456"/>
      <c r="BWL91" s="456"/>
      <c r="BWM91" s="456"/>
      <c r="BWN91" s="456"/>
      <c r="BWO91" s="456"/>
      <c r="BWP91" s="456"/>
      <c r="BWQ91" s="456"/>
      <c r="BWR91" s="456"/>
      <c r="BWS91" s="456"/>
      <c r="BWT91" s="456"/>
      <c r="BWU91" s="456"/>
      <c r="BWV91" s="456"/>
      <c r="BWW91" s="456"/>
      <c r="BWX91" s="456"/>
      <c r="BWY91" s="456"/>
      <c r="BWZ91" s="456"/>
      <c r="BXA91" s="456"/>
      <c r="BXB91" s="456"/>
      <c r="BXC91" s="456"/>
      <c r="BXD91" s="456"/>
      <c r="BXE91" s="456"/>
      <c r="BXF91" s="456"/>
      <c r="BXG91" s="456"/>
      <c r="BXH91" s="456"/>
      <c r="BXI91" s="456"/>
      <c r="BXJ91" s="456"/>
      <c r="BXK91" s="456"/>
      <c r="BXL91" s="456"/>
      <c r="BXM91" s="456"/>
      <c r="BXN91" s="456"/>
      <c r="BXO91" s="456"/>
      <c r="BXP91" s="456"/>
      <c r="BXQ91" s="456"/>
      <c r="BXR91" s="456"/>
      <c r="BXS91" s="456"/>
      <c r="BXT91" s="456"/>
      <c r="BXU91" s="456"/>
      <c r="BXV91" s="456"/>
      <c r="BXW91" s="456"/>
      <c r="BXX91" s="456"/>
      <c r="BXY91" s="456"/>
      <c r="BXZ91" s="456"/>
    </row>
    <row r="92" s="25" customFormat="1" spans="1:1024 1025:2002">
      <c r="A92" s="473"/>
      <c r="B92" s="19">
        <v>1122</v>
      </c>
      <c r="C92" s="183">
        <v>46182</v>
      </c>
      <c r="D92" s="17" t="s">
        <v>52</v>
      </c>
      <c r="E92" s="17" t="s">
        <v>86</v>
      </c>
      <c r="F92" s="17" t="s">
        <v>54</v>
      </c>
      <c r="G92" s="17"/>
      <c r="H92" s="19" t="s">
        <v>87</v>
      </c>
      <c r="I92" s="19" t="s">
        <v>88</v>
      </c>
      <c r="J92" s="17" t="s">
        <v>39</v>
      </c>
      <c r="K92" s="19">
        <v>164</v>
      </c>
      <c r="L92" s="91"/>
      <c r="M92" s="19">
        <v>5800</v>
      </c>
      <c r="N92" s="19" t="s">
        <v>40</v>
      </c>
      <c r="O92" s="19" t="s">
        <v>50</v>
      </c>
      <c r="P92" s="19">
        <v>12000</v>
      </c>
      <c r="Q92" s="19">
        <f>953+952+975+975+973+973+973+953+971+962+958+953</f>
        <v>11571</v>
      </c>
      <c r="R92" s="19">
        <f t="shared" si="7"/>
        <v>429</v>
      </c>
      <c r="S92" s="19">
        <v>1520</v>
      </c>
      <c r="T92" s="19" t="s">
        <v>42</v>
      </c>
      <c r="U92" s="102" t="s">
        <v>89</v>
      </c>
      <c r="V92" s="186">
        <v>46183</v>
      </c>
      <c r="W92" s="17" t="s">
        <v>69</v>
      </c>
      <c r="X92" s="17"/>
      <c r="Y92" s="68">
        <v>46235</v>
      </c>
      <c r="Z92" s="17" t="s">
        <v>45</v>
      </c>
      <c r="AA92" s="17" t="s">
        <v>46</v>
      </c>
      <c r="AB92" s="17" t="s">
        <v>89</v>
      </c>
      <c r="AC92" s="217">
        <v>46244</v>
      </c>
      <c r="AD92" s="65">
        <v>1849</v>
      </c>
      <c r="AE92" s="17" t="s">
        <v>48</v>
      </c>
      <c r="AF92" s="17" t="s">
        <v>61</v>
      </c>
      <c r="AG92" s="17"/>
      <c r="AH92" s="456"/>
      <c r="AI92" s="456"/>
      <c r="AJ92" s="456"/>
      <c r="AK92" s="456"/>
      <c r="AL92" s="456"/>
      <c r="AM92" s="456"/>
      <c r="AN92" s="456"/>
      <c r="AO92" s="456"/>
      <c r="AP92" s="456"/>
      <c r="AQ92" s="456"/>
      <c r="AR92" s="456"/>
      <c r="AS92" s="456"/>
      <c r="AT92" s="456"/>
      <c r="AU92" s="456"/>
      <c r="AV92" s="456"/>
      <c r="AW92" s="456"/>
      <c r="AX92" s="456"/>
      <c r="AY92" s="456"/>
      <c r="AZ92" s="456"/>
      <c r="BA92" s="456"/>
      <c r="BB92" s="456"/>
      <c r="BC92" s="456"/>
      <c r="BD92" s="456"/>
      <c r="BE92" s="456"/>
      <c r="BF92" s="456"/>
      <c r="BG92" s="456"/>
      <c r="BH92" s="456"/>
      <c r="BI92" s="456"/>
      <c r="BJ92" s="456"/>
      <c r="BK92" s="456"/>
      <c r="BL92" s="456"/>
      <c r="BM92" s="456"/>
      <c r="BN92" s="456"/>
      <c r="BO92" s="456"/>
      <c r="BP92" s="456"/>
      <c r="BQ92" s="456"/>
      <c r="BR92" s="456"/>
      <c r="BS92" s="456"/>
      <c r="BT92" s="456"/>
      <c r="BU92" s="456"/>
      <c r="BV92" s="456"/>
      <c r="BW92" s="456"/>
      <c r="BX92" s="456"/>
      <c r="BY92" s="456"/>
      <c r="BZ92" s="456"/>
      <c r="CA92" s="456"/>
      <c r="CB92" s="456"/>
      <c r="CC92" s="456"/>
      <c r="CD92" s="456"/>
      <c r="CE92" s="456"/>
      <c r="CF92" s="456"/>
      <c r="CG92" s="456"/>
      <c r="CH92" s="456"/>
      <c r="CI92" s="456"/>
      <c r="CJ92" s="456"/>
      <c r="CK92" s="456"/>
      <c r="CL92" s="456"/>
      <c r="CM92" s="456"/>
      <c r="CN92" s="456"/>
      <c r="CO92" s="456"/>
      <c r="CP92" s="456"/>
      <c r="CQ92" s="456"/>
      <c r="CR92" s="456"/>
      <c r="CS92" s="456"/>
      <c r="CT92" s="456"/>
      <c r="CU92" s="456"/>
      <c r="CV92" s="456"/>
      <c r="CW92" s="456"/>
      <c r="CX92" s="456"/>
      <c r="CY92" s="456"/>
      <c r="CZ92" s="456"/>
      <c r="DA92" s="456"/>
      <c r="DB92" s="456"/>
      <c r="DC92" s="456"/>
      <c r="DD92" s="456"/>
      <c r="DE92" s="456"/>
      <c r="DF92" s="456"/>
      <c r="DG92" s="456"/>
      <c r="DH92" s="456"/>
      <c r="DI92" s="456"/>
      <c r="DJ92" s="456"/>
      <c r="DK92" s="456"/>
      <c r="DL92" s="456"/>
      <c r="DM92" s="456"/>
      <c r="DN92" s="456"/>
      <c r="DO92" s="456"/>
      <c r="DP92" s="456"/>
      <c r="DQ92" s="456"/>
      <c r="DR92" s="456"/>
      <c r="DS92" s="456"/>
      <c r="DT92" s="456"/>
      <c r="DU92" s="456"/>
      <c r="DV92" s="456"/>
      <c r="DW92" s="456"/>
      <c r="DX92" s="456"/>
      <c r="DY92" s="456"/>
      <c r="DZ92" s="456"/>
      <c r="EA92" s="456"/>
      <c r="EB92" s="456"/>
      <c r="EC92" s="456"/>
      <c r="ED92" s="456"/>
      <c r="EE92" s="456"/>
      <c r="EF92" s="456"/>
      <c r="EG92" s="456"/>
      <c r="EH92" s="456"/>
      <c r="EI92" s="456"/>
      <c r="EJ92" s="456"/>
      <c r="EK92" s="456"/>
      <c r="EL92" s="456"/>
      <c r="EM92" s="456"/>
      <c r="EN92" s="456"/>
      <c r="EO92" s="456"/>
      <c r="EP92" s="456"/>
      <c r="EQ92" s="456"/>
      <c r="ER92" s="456"/>
      <c r="ES92" s="456"/>
      <c r="ET92" s="456"/>
      <c r="EU92" s="456"/>
      <c r="EV92" s="456"/>
      <c r="EW92" s="456"/>
      <c r="EX92" s="456"/>
      <c r="EY92" s="456"/>
      <c r="EZ92" s="456"/>
      <c r="FA92" s="456"/>
      <c r="FB92" s="456"/>
      <c r="FC92" s="456"/>
      <c r="FD92" s="456"/>
      <c r="FE92" s="456"/>
      <c r="FF92" s="456"/>
      <c r="FG92" s="456"/>
      <c r="FH92" s="456"/>
      <c r="FI92" s="456"/>
      <c r="FJ92" s="456"/>
      <c r="FK92" s="456"/>
      <c r="FL92" s="456"/>
      <c r="FM92" s="456"/>
      <c r="FN92" s="456"/>
      <c r="FO92" s="456"/>
      <c r="FP92" s="456"/>
      <c r="FQ92" s="456"/>
      <c r="FR92" s="456"/>
      <c r="FS92" s="456"/>
      <c r="FT92" s="456"/>
      <c r="FU92" s="456"/>
      <c r="FV92" s="456"/>
      <c r="FW92" s="456"/>
      <c r="FX92" s="456"/>
      <c r="FY92" s="456"/>
      <c r="FZ92" s="456"/>
      <c r="GA92" s="456"/>
      <c r="GB92" s="456"/>
      <c r="GC92" s="456"/>
      <c r="GD92" s="456"/>
      <c r="GE92" s="456"/>
      <c r="GF92" s="456"/>
      <c r="GG92" s="456"/>
      <c r="GH92" s="456"/>
      <c r="GI92" s="456"/>
      <c r="GJ92" s="456"/>
      <c r="GK92" s="456"/>
      <c r="GL92" s="456"/>
      <c r="GM92" s="456"/>
      <c r="GN92" s="456"/>
      <c r="GO92" s="456"/>
      <c r="GP92" s="456"/>
      <c r="GQ92" s="456"/>
      <c r="GR92" s="456"/>
      <c r="GS92" s="456"/>
      <c r="GT92" s="456"/>
      <c r="GU92" s="456"/>
      <c r="GV92" s="456"/>
      <c r="GW92" s="456"/>
      <c r="GX92" s="456"/>
      <c r="GY92" s="456"/>
      <c r="GZ92" s="456"/>
      <c r="HA92" s="456"/>
      <c r="HB92" s="456"/>
      <c r="HC92" s="456"/>
      <c r="HD92" s="456"/>
      <c r="HE92" s="456"/>
      <c r="HF92" s="456"/>
      <c r="HG92" s="456"/>
      <c r="HH92" s="456"/>
      <c r="HI92" s="456"/>
      <c r="HJ92" s="456"/>
      <c r="HK92" s="456"/>
      <c r="HL92" s="456"/>
      <c r="HM92" s="456"/>
      <c r="HN92" s="456"/>
      <c r="HO92" s="456"/>
      <c r="HP92" s="456"/>
      <c r="HQ92" s="456"/>
      <c r="HR92" s="456"/>
      <c r="HS92" s="456"/>
      <c r="HT92" s="456"/>
      <c r="HU92" s="456"/>
      <c r="HV92" s="456"/>
      <c r="HW92" s="456"/>
      <c r="HX92" s="456"/>
      <c r="HY92" s="456"/>
      <c r="HZ92" s="456"/>
      <c r="IA92" s="456"/>
      <c r="IB92" s="456"/>
      <c r="IC92" s="456"/>
      <c r="ID92" s="456"/>
      <c r="IE92" s="456"/>
      <c r="IF92" s="456"/>
      <c r="IG92" s="456"/>
      <c r="IH92" s="456"/>
      <c r="II92" s="456"/>
      <c r="IJ92" s="456"/>
      <c r="IK92" s="456"/>
      <c r="IL92" s="456"/>
      <c r="IM92" s="456"/>
      <c r="IN92" s="456"/>
      <c r="IO92" s="456"/>
      <c r="IP92" s="456"/>
      <c r="IQ92" s="456"/>
      <c r="IR92" s="456"/>
      <c r="IS92" s="456"/>
      <c r="IT92" s="456"/>
      <c r="IU92" s="456"/>
      <c r="IV92" s="456"/>
      <c r="IW92" s="456"/>
      <c r="IX92" s="456"/>
      <c r="IY92" s="456"/>
      <c r="IZ92" s="456"/>
      <c r="JA92" s="456"/>
      <c r="JB92" s="456"/>
      <c r="JC92" s="456"/>
      <c r="JD92" s="456"/>
      <c r="JE92" s="456"/>
      <c r="JF92" s="456"/>
      <c r="JG92" s="456"/>
      <c r="JH92" s="456"/>
      <c r="JI92" s="456"/>
      <c r="JJ92" s="456"/>
      <c r="JK92" s="456"/>
      <c r="JL92" s="456"/>
      <c r="JM92" s="456"/>
      <c r="JN92" s="456"/>
      <c r="JO92" s="456"/>
      <c r="JP92" s="456"/>
      <c r="JQ92" s="456"/>
      <c r="JR92" s="456"/>
      <c r="JS92" s="456"/>
      <c r="JT92" s="456"/>
      <c r="JU92" s="456"/>
      <c r="JV92" s="456"/>
      <c r="JW92" s="456"/>
      <c r="JX92" s="456"/>
      <c r="JY92" s="456"/>
      <c r="JZ92" s="456"/>
      <c r="KA92" s="456"/>
      <c r="KB92" s="456"/>
      <c r="KC92" s="456"/>
      <c r="KD92" s="456"/>
      <c r="KE92" s="456"/>
      <c r="KF92" s="456"/>
      <c r="KG92" s="456"/>
      <c r="KH92" s="456"/>
      <c r="KI92" s="456"/>
      <c r="KJ92" s="456"/>
      <c r="KK92" s="456"/>
      <c r="KL92" s="456"/>
      <c r="KM92" s="456"/>
      <c r="KN92" s="456"/>
      <c r="KO92" s="456"/>
      <c r="KP92" s="456"/>
      <c r="KQ92" s="456"/>
      <c r="KR92" s="456"/>
      <c r="KS92" s="456"/>
      <c r="KT92" s="456"/>
      <c r="KU92" s="456"/>
      <c r="KV92" s="456"/>
      <c r="KW92" s="456"/>
      <c r="KX92" s="456"/>
      <c r="KY92" s="456"/>
      <c r="KZ92" s="456"/>
      <c r="LA92" s="456"/>
      <c r="LB92" s="456"/>
      <c r="LC92" s="456"/>
      <c r="LD92" s="456"/>
      <c r="LE92" s="456"/>
      <c r="LF92" s="456"/>
      <c r="LG92" s="456"/>
      <c r="LH92" s="456"/>
      <c r="LI92" s="456"/>
      <c r="LJ92" s="456"/>
      <c r="LK92" s="456"/>
      <c r="LL92" s="456"/>
      <c r="LM92" s="456"/>
      <c r="LN92" s="456"/>
      <c r="LO92" s="456"/>
      <c r="LP92" s="456"/>
      <c r="LQ92" s="456"/>
      <c r="LR92" s="456"/>
      <c r="LS92" s="456"/>
      <c r="LT92" s="456"/>
      <c r="LU92" s="456"/>
      <c r="LV92" s="456"/>
      <c r="LW92" s="456"/>
      <c r="LX92" s="456"/>
      <c r="LY92" s="456"/>
      <c r="LZ92" s="456"/>
      <c r="MA92" s="456"/>
      <c r="MB92" s="456"/>
      <c r="MC92" s="456"/>
      <c r="MD92" s="456"/>
      <c r="ME92" s="456"/>
      <c r="MF92" s="456"/>
      <c r="MG92" s="456"/>
      <c r="MH92" s="456"/>
      <c r="MI92" s="456"/>
      <c r="MJ92" s="456"/>
      <c r="MK92" s="456"/>
      <c r="ML92" s="456"/>
      <c r="MM92" s="456"/>
      <c r="MN92" s="456"/>
      <c r="MO92" s="456"/>
      <c r="MP92" s="456"/>
      <c r="MQ92" s="456"/>
      <c r="MR92" s="456"/>
      <c r="MS92" s="456"/>
      <c r="MT92" s="456"/>
      <c r="MU92" s="456"/>
      <c r="MV92" s="456"/>
      <c r="MW92" s="456"/>
      <c r="MX92" s="456"/>
      <c r="MY92" s="456"/>
      <c r="MZ92" s="456"/>
      <c r="NA92" s="456"/>
      <c r="NB92" s="456"/>
      <c r="NC92" s="456"/>
      <c r="ND92" s="456"/>
      <c r="NE92" s="456"/>
      <c r="NF92" s="456"/>
      <c r="NG92" s="456"/>
      <c r="NH92" s="456"/>
      <c r="NI92" s="456"/>
      <c r="NJ92" s="456"/>
      <c r="NK92" s="456"/>
      <c r="NL92" s="456"/>
      <c r="NM92" s="456"/>
      <c r="NN92" s="456"/>
      <c r="NO92" s="456"/>
      <c r="NP92" s="456"/>
      <c r="NQ92" s="456"/>
      <c r="NR92" s="456"/>
      <c r="NS92" s="456"/>
      <c r="NT92" s="456"/>
      <c r="NU92" s="456"/>
      <c r="NV92" s="456"/>
      <c r="NW92" s="456"/>
      <c r="NX92" s="456"/>
      <c r="NY92" s="456"/>
      <c r="NZ92" s="456"/>
      <c r="OA92" s="456"/>
      <c r="OB92" s="456"/>
      <c r="OC92" s="456"/>
      <c r="OD92" s="456"/>
      <c r="OE92" s="456"/>
      <c r="OF92" s="456"/>
      <c r="OG92" s="456"/>
      <c r="OH92" s="456"/>
      <c r="OI92" s="456"/>
      <c r="OJ92" s="456"/>
      <c r="OK92" s="456"/>
      <c r="OL92" s="456"/>
      <c r="OM92" s="456"/>
      <c r="ON92" s="456"/>
      <c r="OO92" s="456"/>
      <c r="OP92" s="456"/>
      <c r="OQ92" s="456"/>
      <c r="OR92" s="456"/>
      <c r="OS92" s="456"/>
      <c r="OT92" s="456"/>
      <c r="OU92" s="456"/>
      <c r="OV92" s="456"/>
      <c r="OW92" s="456"/>
      <c r="OX92" s="456"/>
      <c r="OY92" s="456"/>
      <c r="OZ92" s="456"/>
      <c r="PA92" s="456"/>
      <c r="PB92" s="456"/>
      <c r="PC92" s="456"/>
      <c r="PD92" s="456"/>
      <c r="PE92" s="456"/>
      <c r="PF92" s="456"/>
      <c r="PG92" s="456"/>
      <c r="PH92" s="456"/>
      <c r="PI92" s="456"/>
      <c r="PJ92" s="456"/>
      <c r="PK92" s="456"/>
      <c r="PL92" s="456"/>
      <c r="PM92" s="456"/>
      <c r="PN92" s="456"/>
      <c r="PO92" s="456"/>
      <c r="PP92" s="456"/>
      <c r="PQ92" s="456"/>
      <c r="PR92" s="456"/>
      <c r="PS92" s="456"/>
      <c r="PT92" s="456"/>
      <c r="PU92" s="456"/>
      <c r="PV92" s="456"/>
      <c r="PW92" s="456"/>
      <c r="PX92" s="456"/>
      <c r="PY92" s="456"/>
      <c r="PZ92" s="456"/>
      <c r="QA92" s="456"/>
      <c r="QB92" s="456"/>
      <c r="QC92" s="456"/>
      <c r="QD92" s="456"/>
      <c r="QE92" s="456"/>
      <c r="QF92" s="456"/>
      <c r="QG92" s="456"/>
      <c r="QH92" s="456"/>
      <c r="QI92" s="456"/>
      <c r="QJ92" s="456"/>
      <c r="QK92" s="456"/>
      <c r="QL92" s="456"/>
      <c r="QM92" s="456"/>
      <c r="QN92" s="456"/>
      <c r="QO92" s="456"/>
      <c r="QP92" s="456"/>
      <c r="QQ92" s="456"/>
      <c r="QR92" s="456"/>
      <c r="QS92" s="456"/>
      <c r="QT92" s="456"/>
      <c r="QU92" s="456"/>
      <c r="QV92" s="456"/>
      <c r="QW92" s="456"/>
      <c r="QX92" s="456"/>
      <c r="QY92" s="456"/>
      <c r="QZ92" s="456"/>
      <c r="RA92" s="456"/>
      <c r="RB92" s="456"/>
      <c r="RC92" s="456"/>
      <c r="RD92" s="456"/>
      <c r="RE92" s="456"/>
      <c r="RF92" s="456"/>
      <c r="RG92" s="456"/>
      <c r="RH92" s="456"/>
      <c r="RI92" s="456"/>
      <c r="RJ92" s="456"/>
      <c r="RK92" s="456"/>
      <c r="RL92" s="456"/>
      <c r="RM92" s="456"/>
      <c r="RN92" s="456"/>
      <c r="RO92" s="456"/>
      <c r="RP92" s="456"/>
      <c r="RQ92" s="456"/>
      <c r="RR92" s="456"/>
      <c r="RS92" s="456"/>
      <c r="RT92" s="456"/>
      <c r="RU92" s="456"/>
      <c r="RV92" s="456"/>
      <c r="RW92" s="456"/>
      <c r="RX92" s="456"/>
      <c r="RY92" s="456"/>
      <c r="RZ92" s="456"/>
      <c r="SA92" s="456"/>
      <c r="SB92" s="456"/>
      <c r="SC92" s="456"/>
      <c r="SD92" s="456"/>
      <c r="SE92" s="456"/>
      <c r="SF92" s="456"/>
      <c r="SG92" s="456"/>
      <c r="SH92" s="456"/>
      <c r="SI92" s="456"/>
      <c r="SJ92" s="456"/>
      <c r="SK92" s="456"/>
      <c r="SL92" s="456"/>
      <c r="SM92" s="456"/>
      <c r="SN92" s="456"/>
      <c r="SO92" s="456"/>
      <c r="SP92" s="456"/>
      <c r="SQ92" s="456"/>
      <c r="SR92" s="456"/>
      <c r="SS92" s="456"/>
      <c r="ST92" s="456"/>
      <c r="SU92" s="456"/>
      <c r="SV92" s="456"/>
      <c r="SW92" s="456"/>
      <c r="SX92" s="456"/>
      <c r="SY92" s="456"/>
      <c r="SZ92" s="456"/>
      <c r="TA92" s="456"/>
      <c r="TB92" s="456"/>
      <c r="TC92" s="456"/>
      <c r="TD92" s="456"/>
      <c r="TE92" s="456"/>
      <c r="TF92" s="456"/>
      <c r="TG92" s="456"/>
      <c r="TH92" s="456"/>
      <c r="TI92" s="456"/>
      <c r="TJ92" s="456"/>
      <c r="TK92" s="456"/>
      <c r="TL92" s="456"/>
      <c r="TM92" s="456"/>
      <c r="TN92" s="456"/>
      <c r="TO92" s="456"/>
      <c r="TP92" s="456"/>
      <c r="TQ92" s="456"/>
      <c r="TR92" s="456"/>
      <c r="TS92" s="456"/>
      <c r="TT92" s="456"/>
      <c r="TU92" s="456"/>
      <c r="TV92" s="456"/>
      <c r="TW92" s="456"/>
      <c r="TX92" s="456"/>
      <c r="TY92" s="456"/>
      <c r="TZ92" s="456"/>
      <c r="UA92" s="456"/>
      <c r="UB92" s="456"/>
      <c r="UC92" s="456"/>
      <c r="UD92" s="456"/>
      <c r="UE92" s="456"/>
      <c r="UF92" s="456"/>
      <c r="UG92" s="456"/>
      <c r="UH92" s="456"/>
      <c r="UI92" s="456"/>
      <c r="UJ92" s="456"/>
      <c r="UK92" s="456"/>
      <c r="UL92" s="456"/>
      <c r="UM92" s="456"/>
      <c r="UN92" s="456"/>
      <c r="UO92" s="456"/>
      <c r="UP92" s="456"/>
      <c r="UQ92" s="456"/>
      <c r="UR92" s="456"/>
      <c r="US92" s="456"/>
      <c r="UT92" s="456"/>
      <c r="UU92" s="456"/>
      <c r="UV92" s="456"/>
      <c r="UW92" s="456"/>
      <c r="UX92" s="456"/>
      <c r="UY92" s="456"/>
      <c r="UZ92" s="456"/>
      <c r="VA92" s="456"/>
      <c r="VB92" s="456"/>
      <c r="VC92" s="456"/>
      <c r="VD92" s="456"/>
      <c r="VE92" s="456"/>
      <c r="VF92" s="456"/>
      <c r="VG92" s="456"/>
      <c r="VH92" s="456"/>
      <c r="VI92" s="456"/>
      <c r="VJ92" s="456"/>
      <c r="VK92" s="456"/>
      <c r="VL92" s="456"/>
      <c r="VM92" s="456"/>
      <c r="VN92" s="456"/>
      <c r="VO92" s="456"/>
      <c r="VP92" s="456"/>
      <c r="VQ92" s="456"/>
      <c r="VR92" s="456"/>
      <c r="VS92" s="456"/>
      <c r="VT92" s="456"/>
      <c r="VU92" s="456"/>
      <c r="VV92" s="456"/>
      <c r="VW92" s="456"/>
      <c r="VX92" s="456"/>
      <c r="VY92" s="456"/>
      <c r="VZ92" s="456"/>
      <c r="WA92" s="456"/>
      <c r="WB92" s="456"/>
      <c r="WC92" s="456"/>
      <c r="WD92" s="456"/>
      <c r="WE92" s="456"/>
      <c r="WF92" s="456"/>
      <c r="WG92" s="456"/>
      <c r="WH92" s="456"/>
      <c r="WI92" s="456"/>
      <c r="WJ92" s="456"/>
      <c r="WK92" s="456"/>
      <c r="WL92" s="456"/>
      <c r="WM92" s="456"/>
      <c r="WN92" s="456"/>
      <c r="WO92" s="456"/>
      <c r="WP92" s="456"/>
      <c r="WQ92" s="456"/>
      <c r="WR92" s="456"/>
      <c r="WS92" s="456"/>
      <c r="WT92" s="456"/>
      <c r="WU92" s="456"/>
      <c r="WV92" s="456"/>
      <c r="WW92" s="456"/>
      <c r="WX92" s="456"/>
      <c r="WY92" s="456"/>
      <c r="WZ92" s="456"/>
      <c r="XA92" s="456"/>
      <c r="XB92" s="456"/>
      <c r="XC92" s="456"/>
      <c r="XD92" s="456"/>
      <c r="XE92" s="456"/>
      <c r="XF92" s="456"/>
      <c r="XG92" s="456"/>
      <c r="XH92" s="456"/>
      <c r="XI92" s="456"/>
      <c r="XJ92" s="456"/>
      <c r="XK92" s="456"/>
      <c r="XL92" s="456"/>
      <c r="XM92" s="456"/>
      <c r="XN92" s="456"/>
      <c r="XO92" s="456"/>
      <c r="XP92" s="456"/>
      <c r="XQ92" s="456"/>
      <c r="XR92" s="456"/>
      <c r="XS92" s="456"/>
      <c r="XT92" s="456"/>
      <c r="XU92" s="456"/>
      <c r="XV92" s="456"/>
      <c r="XW92" s="456"/>
      <c r="XX92" s="456"/>
      <c r="XY92" s="456"/>
      <c r="XZ92" s="456"/>
      <c r="YA92" s="456"/>
      <c r="YB92" s="456"/>
      <c r="YC92" s="456"/>
      <c r="YD92" s="456"/>
      <c r="YE92" s="456"/>
      <c r="YF92" s="456"/>
      <c r="YG92" s="456"/>
      <c r="YH92" s="456"/>
      <c r="YI92" s="456"/>
      <c r="YJ92" s="456"/>
      <c r="YK92" s="456"/>
      <c r="YL92" s="456"/>
      <c r="YM92" s="456"/>
      <c r="YN92" s="456"/>
      <c r="YO92" s="456"/>
      <c r="YP92" s="456"/>
      <c r="YQ92" s="456"/>
      <c r="YR92" s="456"/>
      <c r="YS92" s="456"/>
      <c r="YT92" s="456"/>
      <c r="YU92" s="456"/>
      <c r="YV92" s="456"/>
      <c r="YW92" s="456"/>
      <c r="YX92" s="456"/>
      <c r="YY92" s="456"/>
      <c r="YZ92" s="456"/>
      <c r="ZA92" s="456"/>
      <c r="ZB92" s="456"/>
      <c r="ZC92" s="456"/>
      <c r="ZD92" s="456"/>
      <c r="ZE92" s="456"/>
      <c r="ZF92" s="456"/>
      <c r="ZG92" s="456"/>
      <c r="ZH92" s="456"/>
      <c r="ZI92" s="456"/>
      <c r="ZJ92" s="456"/>
      <c r="ZK92" s="456"/>
      <c r="ZL92" s="456"/>
      <c r="ZM92" s="456"/>
      <c r="ZN92" s="456"/>
      <c r="ZO92" s="456"/>
      <c r="ZP92" s="456"/>
      <c r="ZQ92" s="456"/>
      <c r="ZR92" s="456"/>
      <c r="ZS92" s="456"/>
      <c r="ZT92" s="456"/>
      <c r="ZU92" s="456"/>
      <c r="ZV92" s="456"/>
      <c r="ZW92" s="456"/>
      <c r="ZX92" s="456"/>
      <c r="ZY92" s="456"/>
      <c r="ZZ92" s="456"/>
      <c r="AAA92" s="456"/>
      <c r="AAB92" s="456"/>
      <c r="AAC92" s="456"/>
      <c r="AAD92" s="456"/>
      <c r="AAE92" s="456"/>
      <c r="AAF92" s="456"/>
      <c r="AAG92" s="456"/>
      <c r="AAH92" s="456"/>
      <c r="AAI92" s="456"/>
      <c r="AAJ92" s="456"/>
      <c r="AAK92" s="456"/>
      <c r="AAL92" s="456"/>
      <c r="AAM92" s="456"/>
      <c r="AAN92" s="456"/>
      <c r="AAO92" s="456"/>
      <c r="AAP92" s="456"/>
      <c r="AAQ92" s="456"/>
      <c r="AAR92" s="456"/>
      <c r="AAS92" s="456"/>
      <c r="AAT92" s="456"/>
      <c r="AAU92" s="456"/>
      <c r="AAV92" s="456"/>
      <c r="AAW92" s="456"/>
      <c r="AAX92" s="456"/>
      <c r="AAY92" s="456"/>
      <c r="AAZ92" s="456"/>
      <c r="ABA92" s="456"/>
      <c r="ABB92" s="456"/>
      <c r="ABC92" s="456"/>
      <c r="ABD92" s="456"/>
      <c r="ABE92" s="456"/>
      <c r="ABF92" s="456"/>
      <c r="ABG92" s="456"/>
      <c r="ABH92" s="456"/>
      <c r="ABI92" s="456"/>
      <c r="ABJ92" s="456"/>
      <c r="ABK92" s="456"/>
      <c r="ABL92" s="456"/>
      <c r="ABM92" s="456"/>
      <c r="ABN92" s="456"/>
      <c r="ABO92" s="456"/>
      <c r="ABP92" s="456"/>
      <c r="ABQ92" s="456"/>
      <c r="ABR92" s="456"/>
      <c r="ABS92" s="456"/>
      <c r="ABT92" s="456"/>
      <c r="ABU92" s="456"/>
      <c r="ABV92" s="456"/>
      <c r="ABW92" s="456"/>
      <c r="ABX92" s="456"/>
      <c r="ABY92" s="456"/>
      <c r="ABZ92" s="456"/>
      <c r="ACA92" s="456"/>
      <c r="ACB92" s="456"/>
      <c r="ACC92" s="456"/>
      <c r="ACD92" s="456"/>
      <c r="ACE92" s="456"/>
      <c r="ACF92" s="456"/>
      <c r="ACG92" s="456"/>
      <c r="ACH92" s="456"/>
      <c r="ACI92" s="456"/>
      <c r="ACJ92" s="456"/>
      <c r="ACK92" s="456"/>
      <c r="ACL92" s="456"/>
      <c r="ACM92" s="456"/>
      <c r="ACN92" s="456"/>
      <c r="ACO92" s="456"/>
      <c r="ACP92" s="456"/>
      <c r="ACQ92" s="456"/>
      <c r="ACR92" s="456"/>
      <c r="ACS92" s="456"/>
      <c r="ACT92" s="456"/>
      <c r="ACU92" s="456"/>
      <c r="ACV92" s="456"/>
      <c r="ACW92" s="456"/>
      <c r="ACX92" s="456"/>
      <c r="ACY92" s="456"/>
      <c r="ACZ92" s="456"/>
      <c r="ADA92" s="456"/>
      <c r="ADB92" s="456"/>
      <c r="ADC92" s="456"/>
      <c r="ADD92" s="456"/>
      <c r="ADE92" s="456"/>
      <c r="ADF92" s="456"/>
      <c r="ADG92" s="456"/>
      <c r="ADH92" s="456"/>
      <c r="ADI92" s="456"/>
      <c r="ADJ92" s="456"/>
      <c r="ADK92" s="456"/>
      <c r="ADL92" s="456"/>
      <c r="ADM92" s="456"/>
      <c r="ADN92" s="456"/>
      <c r="ADO92" s="456"/>
      <c r="ADP92" s="456"/>
      <c r="ADQ92" s="456"/>
      <c r="ADR92" s="456"/>
      <c r="ADS92" s="456"/>
      <c r="ADT92" s="456"/>
      <c r="ADU92" s="456"/>
      <c r="ADV92" s="456"/>
      <c r="ADW92" s="456"/>
      <c r="ADX92" s="456"/>
      <c r="ADY92" s="456"/>
      <c r="ADZ92" s="456"/>
      <c r="AEA92" s="456"/>
      <c r="AEB92" s="456"/>
      <c r="AEC92" s="456"/>
      <c r="AED92" s="456"/>
      <c r="AEE92" s="456"/>
      <c r="AEF92" s="456"/>
      <c r="AEG92" s="456"/>
      <c r="AEH92" s="456"/>
      <c r="AEI92" s="456"/>
      <c r="AEJ92" s="456"/>
      <c r="AEK92" s="456"/>
      <c r="AEL92" s="456"/>
      <c r="AEM92" s="456"/>
      <c r="AEN92" s="456"/>
      <c r="AEO92" s="456"/>
      <c r="AEP92" s="456"/>
      <c r="AEQ92" s="456"/>
      <c r="AER92" s="456"/>
      <c r="AES92" s="456"/>
      <c r="AET92" s="456"/>
      <c r="AEU92" s="456"/>
      <c r="AEV92" s="456"/>
      <c r="AEW92" s="456"/>
      <c r="AEX92" s="456"/>
      <c r="AEY92" s="456"/>
      <c r="AEZ92" s="456"/>
      <c r="AFA92" s="456"/>
      <c r="AFB92" s="456"/>
      <c r="AFC92" s="456"/>
      <c r="AFD92" s="456"/>
      <c r="AFE92" s="456"/>
      <c r="AFF92" s="456"/>
      <c r="AFG92" s="456"/>
      <c r="AFH92" s="456"/>
      <c r="AFI92" s="456"/>
      <c r="AFJ92" s="456"/>
      <c r="AFK92" s="456"/>
      <c r="AFL92" s="456"/>
      <c r="AFM92" s="456"/>
      <c r="AFN92" s="456"/>
      <c r="AFO92" s="456"/>
      <c r="AFP92" s="456"/>
      <c r="AFQ92" s="456"/>
      <c r="AFR92" s="456"/>
      <c r="AFS92" s="456"/>
      <c r="AFT92" s="456"/>
      <c r="AFU92" s="456"/>
      <c r="AFV92" s="456"/>
      <c r="AFW92" s="456"/>
      <c r="AFX92" s="456"/>
      <c r="AFY92" s="456"/>
      <c r="AFZ92" s="456"/>
      <c r="AGA92" s="456"/>
      <c r="AGB92" s="456"/>
      <c r="AGC92" s="456"/>
      <c r="AGD92" s="456"/>
      <c r="AGE92" s="456"/>
      <c r="AGF92" s="456"/>
      <c r="AGG92" s="456"/>
      <c r="AGH92" s="456"/>
      <c r="AGI92" s="456"/>
      <c r="AGJ92" s="456"/>
      <c r="AGK92" s="456"/>
      <c r="AGL92" s="456"/>
      <c r="AGM92" s="456"/>
      <c r="AGN92" s="456"/>
      <c r="AGO92" s="456"/>
      <c r="AGP92" s="456"/>
      <c r="AGQ92" s="456"/>
      <c r="AGR92" s="456"/>
      <c r="AGS92" s="456"/>
      <c r="AGT92" s="456"/>
      <c r="AGU92" s="456"/>
      <c r="AGV92" s="456"/>
      <c r="AGW92" s="456"/>
      <c r="AGX92" s="456"/>
      <c r="AGY92" s="456"/>
      <c r="AGZ92" s="456"/>
      <c r="AHA92" s="456"/>
      <c r="AHB92" s="456"/>
      <c r="AHC92" s="456"/>
      <c r="AHD92" s="456"/>
      <c r="AHE92" s="456"/>
      <c r="AHF92" s="456"/>
      <c r="AHG92" s="456"/>
      <c r="AHH92" s="456"/>
      <c r="AHI92" s="456"/>
      <c r="AHJ92" s="456"/>
      <c r="AHK92" s="456"/>
      <c r="AHL92" s="456"/>
      <c r="AHM92" s="456"/>
      <c r="AHN92" s="456"/>
      <c r="AHO92" s="456"/>
      <c r="AHP92" s="456"/>
      <c r="AHQ92" s="456"/>
      <c r="AHR92" s="456"/>
      <c r="AHS92" s="456"/>
      <c r="AHT92" s="456"/>
      <c r="AHU92" s="456"/>
      <c r="AHV92" s="456"/>
      <c r="AHW92" s="456"/>
      <c r="AHX92" s="456"/>
      <c r="AHY92" s="456"/>
      <c r="AHZ92" s="456"/>
      <c r="AIA92" s="456"/>
      <c r="AIB92" s="456"/>
      <c r="AIC92" s="456"/>
      <c r="AID92" s="456"/>
      <c r="AIE92" s="456"/>
      <c r="AIF92" s="456"/>
      <c r="AIG92" s="456"/>
      <c r="AIH92" s="456"/>
      <c r="AII92" s="456"/>
      <c r="AIJ92" s="456"/>
      <c r="AIK92" s="456"/>
      <c r="AIL92" s="456"/>
      <c r="AIM92" s="456"/>
      <c r="AIN92" s="456"/>
      <c r="AIO92" s="456"/>
      <c r="AIP92" s="456"/>
      <c r="AIQ92" s="456"/>
      <c r="AIR92" s="456"/>
      <c r="AIS92" s="456"/>
      <c r="AIT92" s="456"/>
      <c r="AIU92" s="456"/>
      <c r="AIV92" s="456"/>
      <c r="AIW92" s="456"/>
      <c r="AIX92" s="456"/>
      <c r="AIY92" s="456"/>
      <c r="AIZ92" s="456"/>
      <c r="AJA92" s="456"/>
      <c r="AJB92" s="456"/>
      <c r="AJC92" s="456"/>
      <c r="AJD92" s="456"/>
      <c r="AJE92" s="456"/>
      <c r="AJF92" s="456"/>
      <c r="AJG92" s="456"/>
      <c r="AJH92" s="456"/>
      <c r="AJI92" s="456"/>
      <c r="AJJ92" s="456"/>
      <c r="AJK92" s="456"/>
      <c r="AJL92" s="456"/>
      <c r="AJM92" s="456"/>
      <c r="AJN92" s="456"/>
      <c r="AJO92" s="456"/>
      <c r="AJP92" s="456"/>
      <c r="AJQ92" s="456"/>
      <c r="AJR92" s="456"/>
      <c r="AJS92" s="456"/>
      <c r="AJT92" s="456"/>
      <c r="AJU92" s="456"/>
      <c r="AJV92" s="456"/>
      <c r="AJW92" s="456"/>
      <c r="AJX92" s="456"/>
      <c r="AJY92" s="456"/>
      <c r="AJZ92" s="456"/>
      <c r="AKA92" s="456"/>
      <c r="AKB92" s="456"/>
      <c r="AKC92" s="456"/>
      <c r="AKD92" s="456"/>
      <c r="AKE92" s="456"/>
      <c r="AKF92" s="456"/>
      <c r="AKG92" s="456"/>
      <c r="AKH92" s="456"/>
      <c r="AKI92" s="456"/>
      <c r="AKJ92" s="456"/>
      <c r="AKK92" s="456"/>
      <c r="AKL92" s="456"/>
      <c r="AKM92" s="456"/>
      <c r="AKN92" s="456"/>
      <c r="AKO92" s="456"/>
      <c r="AKP92" s="456"/>
      <c r="AKQ92" s="456"/>
      <c r="AKR92" s="456"/>
      <c r="AKS92" s="456"/>
      <c r="AKT92" s="456"/>
      <c r="AKU92" s="456"/>
      <c r="AKV92" s="456"/>
      <c r="AKW92" s="456"/>
      <c r="AKX92" s="456"/>
      <c r="AKY92" s="456"/>
      <c r="AKZ92" s="456"/>
      <c r="ALA92" s="456"/>
      <c r="ALB92" s="456"/>
      <c r="ALC92" s="456"/>
      <c r="ALD92" s="456"/>
      <c r="ALE92" s="456"/>
      <c r="ALF92" s="456"/>
      <c r="ALG92" s="456"/>
      <c r="ALH92" s="456"/>
      <c r="ALI92" s="456"/>
      <c r="ALJ92" s="456"/>
      <c r="ALK92" s="456"/>
      <c r="ALL92" s="456"/>
      <c r="ALM92" s="456"/>
      <c r="ALN92" s="456"/>
      <c r="ALO92" s="456"/>
      <c r="ALP92" s="456"/>
      <c r="ALQ92" s="456"/>
      <c r="ALR92" s="456"/>
      <c r="ALS92" s="456"/>
      <c r="ALT92" s="456"/>
      <c r="ALU92" s="456"/>
      <c r="ALV92" s="456"/>
      <c r="ALW92" s="456"/>
      <c r="ALX92" s="456"/>
      <c r="ALY92" s="456"/>
      <c r="ALZ92" s="456"/>
      <c r="AMA92" s="456"/>
      <c r="AMB92" s="456"/>
      <c r="AMC92" s="456"/>
      <c r="AMD92" s="456"/>
      <c r="AME92" s="456"/>
      <c r="AMF92" s="456"/>
      <c r="AMG92" s="456"/>
      <c r="AMH92" s="456"/>
      <c r="AMI92" s="456"/>
      <c r="AMJ92" s="456"/>
      <c r="AMK92" s="456"/>
      <c r="AML92" s="456"/>
      <c r="AMM92" s="456"/>
      <c r="AMN92" s="456"/>
      <c r="AMO92" s="456"/>
      <c r="AMP92" s="456"/>
      <c r="AMQ92" s="456"/>
      <c r="AMR92" s="456"/>
      <c r="AMS92" s="456"/>
      <c r="AMT92" s="456"/>
      <c r="AMU92" s="456"/>
      <c r="AMV92" s="456"/>
      <c r="AMW92" s="456"/>
      <c r="AMX92" s="456"/>
      <c r="AMY92" s="456"/>
      <c r="AMZ92" s="456"/>
      <c r="ANA92" s="456"/>
      <c r="ANB92" s="456"/>
      <c r="ANC92" s="456"/>
      <c r="AND92" s="456"/>
      <c r="ANE92" s="456"/>
      <c r="ANF92" s="456"/>
      <c r="ANG92" s="456"/>
      <c r="ANH92" s="456"/>
      <c r="ANI92" s="456"/>
      <c r="ANJ92" s="456"/>
      <c r="ANK92" s="456"/>
      <c r="ANL92" s="456"/>
      <c r="ANM92" s="456"/>
      <c r="ANN92" s="456"/>
      <c r="ANO92" s="456"/>
      <c r="ANP92" s="456"/>
      <c r="ANQ92" s="456"/>
      <c r="ANR92" s="456"/>
      <c r="ANS92" s="456"/>
      <c r="ANT92" s="456"/>
      <c r="ANU92" s="456"/>
      <c r="ANV92" s="456"/>
      <c r="ANW92" s="456"/>
      <c r="ANX92" s="456"/>
      <c r="ANY92" s="456"/>
      <c r="ANZ92" s="456"/>
      <c r="AOA92" s="456"/>
      <c r="AOB92" s="456"/>
      <c r="AOC92" s="456"/>
      <c r="AOD92" s="456"/>
      <c r="AOE92" s="456"/>
      <c r="AOF92" s="456"/>
      <c r="AOG92" s="456"/>
      <c r="AOH92" s="456"/>
      <c r="AOI92" s="456"/>
      <c r="AOJ92" s="456"/>
      <c r="AOK92" s="456"/>
      <c r="AOL92" s="456"/>
      <c r="AOM92" s="456"/>
      <c r="AON92" s="456"/>
      <c r="AOO92" s="456"/>
      <c r="AOP92" s="456"/>
      <c r="AOQ92" s="456"/>
      <c r="AOR92" s="456"/>
      <c r="AOS92" s="456"/>
      <c r="AOT92" s="456"/>
      <c r="AOU92" s="456"/>
      <c r="AOV92" s="456"/>
      <c r="AOW92" s="456"/>
      <c r="AOX92" s="456"/>
      <c r="AOY92" s="456"/>
      <c r="AOZ92" s="456"/>
      <c r="APA92" s="456"/>
      <c r="APB92" s="456"/>
      <c r="APC92" s="456"/>
      <c r="APD92" s="456"/>
      <c r="APE92" s="456"/>
      <c r="APF92" s="456"/>
      <c r="APG92" s="456"/>
      <c r="APH92" s="456"/>
      <c r="API92" s="456"/>
      <c r="APJ92" s="456"/>
      <c r="APK92" s="456"/>
      <c r="APL92" s="456"/>
      <c r="APM92" s="456"/>
      <c r="APN92" s="456"/>
      <c r="APO92" s="456"/>
      <c r="APP92" s="456"/>
      <c r="APQ92" s="456"/>
      <c r="APR92" s="456"/>
      <c r="APS92" s="456"/>
      <c r="APT92" s="456"/>
      <c r="APU92" s="456"/>
      <c r="APV92" s="456"/>
      <c r="APW92" s="456"/>
      <c r="APX92" s="456"/>
      <c r="APY92" s="456"/>
      <c r="APZ92" s="456"/>
      <c r="AQA92" s="456"/>
      <c r="AQB92" s="456"/>
      <c r="AQC92" s="456"/>
      <c r="AQD92" s="456"/>
      <c r="AQE92" s="456"/>
      <c r="AQF92" s="456"/>
      <c r="AQG92" s="456"/>
      <c r="AQH92" s="456"/>
      <c r="AQI92" s="456"/>
      <c r="AQJ92" s="456"/>
      <c r="AQK92" s="456"/>
      <c r="AQL92" s="456"/>
      <c r="AQM92" s="456"/>
      <c r="AQN92" s="456"/>
      <c r="AQO92" s="456"/>
      <c r="AQP92" s="456"/>
      <c r="AQQ92" s="456"/>
      <c r="AQR92" s="456"/>
      <c r="AQS92" s="456"/>
      <c r="AQT92" s="456"/>
      <c r="AQU92" s="456"/>
      <c r="AQV92" s="456"/>
      <c r="AQW92" s="456"/>
      <c r="AQX92" s="456"/>
      <c r="AQY92" s="456"/>
      <c r="AQZ92" s="456"/>
      <c r="ARA92" s="456"/>
      <c r="ARB92" s="456"/>
      <c r="ARC92" s="456"/>
      <c r="ARD92" s="456"/>
      <c r="ARE92" s="456"/>
      <c r="ARF92" s="456"/>
      <c r="ARG92" s="456"/>
      <c r="ARH92" s="456"/>
      <c r="ARI92" s="456"/>
      <c r="ARJ92" s="456"/>
      <c r="ARK92" s="456"/>
      <c r="ARL92" s="456"/>
      <c r="ARM92" s="456"/>
      <c r="ARN92" s="456"/>
      <c r="ARO92" s="456"/>
      <c r="ARP92" s="456"/>
      <c r="ARQ92" s="456"/>
      <c r="ARR92" s="456"/>
      <c r="ARS92" s="456"/>
      <c r="ART92" s="456"/>
      <c r="ARU92" s="456"/>
      <c r="ARV92" s="456"/>
      <c r="ARW92" s="456"/>
      <c r="ARX92" s="456"/>
      <c r="ARY92" s="456"/>
      <c r="ARZ92" s="456"/>
      <c r="ASA92" s="456"/>
      <c r="ASB92" s="456"/>
      <c r="ASC92" s="456"/>
      <c r="ASD92" s="456"/>
      <c r="ASE92" s="456"/>
      <c r="ASF92" s="456"/>
      <c r="ASG92" s="456"/>
      <c r="ASH92" s="456"/>
      <c r="ASI92" s="456"/>
      <c r="ASJ92" s="456"/>
      <c r="ASK92" s="456"/>
      <c r="ASL92" s="456"/>
      <c r="ASM92" s="456"/>
      <c r="ASN92" s="456"/>
      <c r="ASO92" s="456"/>
      <c r="ASP92" s="456"/>
      <c r="ASQ92" s="456"/>
      <c r="ASR92" s="456"/>
      <c r="ASS92" s="456"/>
      <c r="AST92" s="456"/>
      <c r="ASU92" s="456"/>
      <c r="ASV92" s="456"/>
      <c r="ASW92" s="456"/>
      <c r="ASX92" s="456"/>
      <c r="ASY92" s="456"/>
      <c r="ASZ92" s="456"/>
      <c r="ATA92" s="456"/>
      <c r="ATB92" s="456"/>
      <c r="ATC92" s="456"/>
      <c r="ATD92" s="456"/>
      <c r="ATE92" s="456"/>
      <c r="ATF92" s="456"/>
      <c r="ATG92" s="456"/>
      <c r="ATH92" s="456"/>
      <c r="ATI92" s="456"/>
      <c r="ATJ92" s="456"/>
      <c r="ATK92" s="456"/>
      <c r="ATL92" s="456"/>
      <c r="ATM92" s="456"/>
      <c r="ATN92" s="456"/>
      <c r="ATO92" s="456"/>
      <c r="ATP92" s="456"/>
      <c r="ATQ92" s="456"/>
      <c r="ATR92" s="456"/>
      <c r="ATS92" s="456"/>
      <c r="ATT92" s="456"/>
      <c r="ATU92" s="456"/>
      <c r="ATV92" s="456"/>
      <c r="ATW92" s="456"/>
      <c r="ATX92" s="456"/>
      <c r="ATY92" s="456"/>
      <c r="ATZ92" s="456"/>
      <c r="AUA92" s="456"/>
      <c r="AUB92" s="456"/>
      <c r="AUC92" s="456"/>
      <c r="AUD92" s="456"/>
      <c r="AUE92" s="456"/>
      <c r="AUF92" s="456"/>
      <c r="AUG92" s="456"/>
      <c r="AUH92" s="456"/>
      <c r="AUI92" s="456"/>
      <c r="AUJ92" s="456"/>
      <c r="AUK92" s="456"/>
      <c r="AUL92" s="456"/>
      <c r="AUM92" s="456"/>
      <c r="AUN92" s="456"/>
      <c r="AUO92" s="456"/>
      <c r="AUP92" s="456"/>
      <c r="AUQ92" s="456"/>
      <c r="AUR92" s="456"/>
      <c r="AUS92" s="456"/>
      <c r="AUT92" s="456"/>
      <c r="AUU92" s="456"/>
      <c r="AUV92" s="456"/>
      <c r="AUW92" s="456"/>
      <c r="AUX92" s="456"/>
      <c r="AUY92" s="456"/>
      <c r="AUZ92" s="456"/>
      <c r="AVA92" s="456"/>
      <c r="AVB92" s="456"/>
      <c r="AVC92" s="456"/>
      <c r="AVD92" s="456"/>
      <c r="AVE92" s="456"/>
      <c r="AVF92" s="456"/>
      <c r="AVG92" s="456"/>
      <c r="AVH92" s="456"/>
      <c r="AVI92" s="456"/>
      <c r="AVJ92" s="456"/>
      <c r="AVK92" s="456"/>
      <c r="AVL92" s="456"/>
      <c r="AVM92" s="456"/>
      <c r="AVN92" s="456"/>
      <c r="AVO92" s="456"/>
      <c r="AVP92" s="456"/>
      <c r="AVQ92" s="456"/>
      <c r="AVR92" s="456"/>
      <c r="AVS92" s="456"/>
      <c r="AVT92" s="456"/>
      <c r="AVU92" s="456"/>
      <c r="AVV92" s="456"/>
      <c r="AVW92" s="456"/>
      <c r="AVX92" s="456"/>
      <c r="AVY92" s="456"/>
      <c r="AVZ92" s="456"/>
      <c r="AWA92" s="456"/>
      <c r="AWB92" s="456"/>
      <c r="AWC92" s="456"/>
      <c r="AWD92" s="456"/>
      <c r="AWE92" s="456"/>
      <c r="AWF92" s="456"/>
      <c r="AWG92" s="456"/>
      <c r="AWH92" s="456"/>
      <c r="AWI92" s="456"/>
      <c r="AWJ92" s="456"/>
      <c r="AWK92" s="456"/>
      <c r="AWL92" s="456"/>
      <c r="AWM92" s="456"/>
      <c r="AWN92" s="456"/>
      <c r="AWO92" s="456"/>
      <c r="AWP92" s="456"/>
      <c r="AWQ92" s="456"/>
      <c r="AWR92" s="456"/>
      <c r="AWS92" s="456"/>
      <c r="AWT92" s="456"/>
      <c r="AWU92" s="456"/>
      <c r="AWV92" s="456"/>
      <c r="AWW92" s="456"/>
      <c r="AWX92" s="456"/>
      <c r="AWY92" s="456"/>
      <c r="AWZ92" s="456"/>
      <c r="AXA92" s="456"/>
      <c r="AXB92" s="456"/>
      <c r="AXC92" s="456"/>
      <c r="AXD92" s="456"/>
      <c r="AXE92" s="456"/>
      <c r="AXF92" s="456"/>
      <c r="AXG92" s="456"/>
      <c r="AXH92" s="456"/>
      <c r="AXI92" s="456"/>
      <c r="AXJ92" s="456"/>
      <c r="AXK92" s="456"/>
      <c r="AXL92" s="456"/>
      <c r="AXM92" s="456"/>
      <c r="AXN92" s="456"/>
      <c r="AXO92" s="456"/>
      <c r="AXP92" s="456"/>
      <c r="AXQ92" s="456"/>
      <c r="AXR92" s="456"/>
      <c r="AXS92" s="456"/>
      <c r="AXT92" s="456"/>
      <c r="AXU92" s="456"/>
      <c r="AXV92" s="456"/>
      <c r="AXW92" s="456"/>
      <c r="AXX92" s="456"/>
      <c r="AXY92" s="456"/>
      <c r="AXZ92" s="456"/>
      <c r="AYA92" s="456"/>
      <c r="AYB92" s="456"/>
      <c r="AYC92" s="456"/>
      <c r="AYD92" s="456"/>
      <c r="AYE92" s="456"/>
      <c r="AYF92" s="456"/>
      <c r="AYG92" s="456"/>
      <c r="AYH92" s="456"/>
      <c r="AYI92" s="456"/>
      <c r="AYJ92" s="456"/>
      <c r="AYK92" s="456"/>
      <c r="AYL92" s="456"/>
      <c r="AYM92" s="456"/>
      <c r="AYN92" s="456"/>
      <c r="AYO92" s="456"/>
      <c r="AYP92" s="456"/>
      <c r="AYQ92" s="456"/>
      <c r="AYR92" s="456"/>
      <c r="AYS92" s="456"/>
      <c r="AYT92" s="456"/>
      <c r="AYU92" s="456"/>
      <c r="AYV92" s="456"/>
      <c r="AYW92" s="456"/>
      <c r="AYX92" s="456"/>
      <c r="AYY92" s="456"/>
      <c r="AYZ92" s="456"/>
      <c r="AZA92" s="456"/>
      <c r="AZB92" s="456"/>
      <c r="AZC92" s="456"/>
      <c r="AZD92" s="456"/>
      <c r="AZE92" s="456"/>
      <c r="AZF92" s="456"/>
      <c r="AZG92" s="456"/>
      <c r="AZH92" s="456"/>
      <c r="AZI92" s="456"/>
      <c r="AZJ92" s="456"/>
      <c r="AZK92" s="456"/>
      <c r="AZL92" s="456"/>
      <c r="AZM92" s="456"/>
      <c r="AZN92" s="456"/>
      <c r="AZO92" s="456"/>
      <c r="AZP92" s="456"/>
      <c r="AZQ92" s="456"/>
      <c r="AZR92" s="456"/>
      <c r="AZS92" s="456"/>
      <c r="AZT92" s="456"/>
      <c r="AZU92" s="456"/>
      <c r="AZV92" s="456"/>
      <c r="AZW92" s="456"/>
      <c r="AZX92" s="456"/>
      <c r="AZY92" s="456"/>
      <c r="AZZ92" s="456"/>
      <c r="BAA92" s="456"/>
      <c r="BAB92" s="456"/>
      <c r="BAC92" s="456"/>
      <c r="BAD92" s="456"/>
      <c r="BAE92" s="456"/>
      <c r="BAF92" s="456"/>
      <c r="BAG92" s="456"/>
      <c r="BAH92" s="456"/>
      <c r="BAI92" s="456"/>
      <c r="BAJ92" s="456"/>
      <c r="BAK92" s="456"/>
      <c r="BAL92" s="456"/>
      <c r="BAM92" s="456"/>
      <c r="BAN92" s="456"/>
      <c r="BAO92" s="456"/>
      <c r="BAP92" s="456"/>
      <c r="BAQ92" s="456"/>
      <c r="BAR92" s="456"/>
      <c r="BAS92" s="456"/>
      <c r="BAT92" s="456"/>
      <c r="BAU92" s="456"/>
      <c r="BAV92" s="456"/>
      <c r="BAW92" s="456"/>
      <c r="BAX92" s="456"/>
      <c r="BAY92" s="456"/>
      <c r="BAZ92" s="456"/>
      <c r="BBA92" s="456"/>
      <c r="BBB92" s="456"/>
      <c r="BBC92" s="456"/>
      <c r="BBD92" s="456"/>
      <c r="BBE92" s="456"/>
      <c r="BBF92" s="456"/>
      <c r="BBG92" s="456"/>
      <c r="BBH92" s="456"/>
      <c r="BBI92" s="456"/>
      <c r="BBJ92" s="456"/>
      <c r="BBK92" s="456"/>
      <c r="BBL92" s="456"/>
      <c r="BBM92" s="456"/>
      <c r="BBN92" s="456"/>
      <c r="BBO92" s="456"/>
      <c r="BBP92" s="456"/>
      <c r="BBQ92" s="456"/>
      <c r="BBR92" s="456"/>
      <c r="BBS92" s="456"/>
      <c r="BBT92" s="456"/>
      <c r="BBU92" s="456"/>
      <c r="BBV92" s="456"/>
      <c r="BBW92" s="456"/>
      <c r="BBX92" s="456"/>
      <c r="BBY92" s="456"/>
      <c r="BBZ92" s="456"/>
      <c r="BCA92" s="456"/>
      <c r="BCB92" s="456"/>
      <c r="BCC92" s="456"/>
      <c r="BCD92" s="456"/>
      <c r="BCE92" s="456"/>
      <c r="BCF92" s="456"/>
      <c r="BCG92" s="456"/>
      <c r="BCH92" s="456"/>
      <c r="BCI92" s="456"/>
      <c r="BCJ92" s="456"/>
      <c r="BCK92" s="456"/>
      <c r="BCL92" s="456"/>
      <c r="BCM92" s="456"/>
      <c r="BCN92" s="456"/>
      <c r="BCO92" s="456"/>
      <c r="BCP92" s="456"/>
      <c r="BCQ92" s="456"/>
      <c r="BCR92" s="456"/>
      <c r="BCS92" s="456"/>
      <c r="BCT92" s="456"/>
      <c r="BCU92" s="456"/>
      <c r="BCV92" s="456"/>
      <c r="BCW92" s="456"/>
      <c r="BCX92" s="456"/>
      <c r="BCY92" s="456"/>
      <c r="BCZ92" s="456"/>
      <c r="BDA92" s="456"/>
      <c r="BDB92" s="456"/>
      <c r="BDC92" s="456"/>
      <c r="BDD92" s="456"/>
      <c r="BDE92" s="456"/>
      <c r="BDF92" s="456"/>
      <c r="BDG92" s="456"/>
      <c r="BDH92" s="456"/>
      <c r="BDI92" s="456"/>
      <c r="BDJ92" s="456"/>
      <c r="BDK92" s="456"/>
      <c r="BDL92" s="456"/>
      <c r="BDM92" s="456"/>
      <c r="BDN92" s="456"/>
      <c r="BDO92" s="456"/>
      <c r="BDP92" s="456"/>
      <c r="BDQ92" s="456"/>
      <c r="BDR92" s="456"/>
      <c r="BDS92" s="456"/>
      <c r="BDT92" s="456"/>
      <c r="BDU92" s="456"/>
      <c r="BDV92" s="456"/>
      <c r="BDW92" s="456"/>
      <c r="BDX92" s="456"/>
      <c r="BDY92" s="456"/>
      <c r="BDZ92" s="456"/>
      <c r="BEA92" s="456"/>
      <c r="BEB92" s="456"/>
      <c r="BEC92" s="456"/>
      <c r="BED92" s="456"/>
      <c r="BEE92" s="456"/>
      <c r="BEF92" s="456"/>
      <c r="BEG92" s="456"/>
      <c r="BEH92" s="456"/>
      <c r="BEI92" s="456"/>
      <c r="BEJ92" s="456"/>
      <c r="BEK92" s="456"/>
      <c r="BEL92" s="456"/>
      <c r="BEM92" s="456"/>
      <c r="BEN92" s="456"/>
      <c r="BEO92" s="456"/>
      <c r="BEP92" s="456"/>
      <c r="BEQ92" s="456"/>
      <c r="BER92" s="456"/>
      <c r="BES92" s="456"/>
      <c r="BET92" s="456"/>
      <c r="BEU92" s="456"/>
      <c r="BEV92" s="456"/>
      <c r="BEW92" s="456"/>
      <c r="BEX92" s="456"/>
      <c r="BEY92" s="456"/>
      <c r="BEZ92" s="456"/>
      <c r="BFA92" s="456"/>
      <c r="BFB92" s="456"/>
      <c r="BFC92" s="456"/>
      <c r="BFD92" s="456"/>
      <c r="BFE92" s="456"/>
      <c r="BFF92" s="456"/>
      <c r="BFG92" s="456"/>
      <c r="BFH92" s="456"/>
      <c r="BFI92" s="456"/>
      <c r="BFJ92" s="456"/>
      <c r="BFK92" s="456"/>
      <c r="BFL92" s="456"/>
      <c r="BFM92" s="456"/>
      <c r="BFN92" s="456"/>
      <c r="BFO92" s="456"/>
      <c r="BFP92" s="456"/>
      <c r="BFQ92" s="456"/>
      <c r="BFR92" s="456"/>
      <c r="BFS92" s="456"/>
      <c r="BFT92" s="456"/>
      <c r="BFU92" s="456"/>
      <c r="BFV92" s="456"/>
      <c r="BFW92" s="456"/>
      <c r="BFX92" s="456"/>
      <c r="BFY92" s="456"/>
      <c r="BFZ92" s="456"/>
      <c r="BGA92" s="456"/>
      <c r="BGB92" s="456"/>
      <c r="BGC92" s="456"/>
      <c r="BGD92" s="456"/>
      <c r="BGE92" s="456"/>
      <c r="BGF92" s="456"/>
      <c r="BGG92" s="456"/>
      <c r="BGH92" s="456"/>
      <c r="BGI92" s="456"/>
      <c r="BGJ92" s="456"/>
      <c r="BGK92" s="456"/>
      <c r="BGL92" s="456"/>
      <c r="BGM92" s="456"/>
      <c r="BGN92" s="456"/>
      <c r="BGO92" s="456"/>
      <c r="BGP92" s="456"/>
      <c r="BGQ92" s="456"/>
      <c r="BGR92" s="456"/>
      <c r="BGS92" s="456"/>
      <c r="BGT92" s="456"/>
      <c r="BGU92" s="456"/>
      <c r="BGV92" s="456"/>
      <c r="BGW92" s="456"/>
      <c r="BGX92" s="456"/>
      <c r="BGY92" s="456"/>
      <c r="BGZ92" s="456"/>
      <c r="BHA92" s="456"/>
      <c r="BHB92" s="456"/>
      <c r="BHC92" s="456"/>
      <c r="BHD92" s="456"/>
      <c r="BHE92" s="456"/>
      <c r="BHF92" s="456"/>
      <c r="BHG92" s="456"/>
      <c r="BHH92" s="456"/>
      <c r="BHI92" s="456"/>
      <c r="BHJ92" s="456"/>
      <c r="BHK92" s="456"/>
      <c r="BHL92" s="456"/>
      <c r="BHM92" s="456"/>
      <c r="BHN92" s="456"/>
      <c r="BHO92" s="456"/>
      <c r="BHP92" s="456"/>
      <c r="BHQ92" s="456"/>
      <c r="BHR92" s="456"/>
      <c r="BHS92" s="456"/>
      <c r="BHT92" s="456"/>
      <c r="BHU92" s="456"/>
      <c r="BHV92" s="456"/>
      <c r="BHW92" s="456"/>
      <c r="BHX92" s="456"/>
      <c r="BHY92" s="456"/>
      <c r="BHZ92" s="456"/>
      <c r="BIA92" s="456"/>
      <c r="BIB92" s="456"/>
      <c r="BIC92" s="456"/>
      <c r="BID92" s="456"/>
      <c r="BIE92" s="456"/>
      <c r="BIF92" s="456"/>
      <c r="BIG92" s="456"/>
      <c r="BIH92" s="456"/>
      <c r="BII92" s="456"/>
      <c r="BIJ92" s="456"/>
      <c r="BIK92" s="456"/>
      <c r="BIL92" s="456"/>
      <c r="BIM92" s="456"/>
      <c r="BIN92" s="456"/>
      <c r="BIO92" s="456"/>
      <c r="BIP92" s="456"/>
      <c r="BIQ92" s="456"/>
      <c r="BIR92" s="456"/>
      <c r="BIS92" s="456"/>
      <c r="BIT92" s="456"/>
      <c r="BIU92" s="456"/>
      <c r="BIV92" s="456"/>
      <c r="BIW92" s="456"/>
      <c r="BIX92" s="456"/>
      <c r="BIY92" s="456"/>
      <c r="BIZ92" s="456"/>
      <c r="BJA92" s="456"/>
      <c r="BJB92" s="456"/>
      <c r="BJC92" s="456"/>
      <c r="BJD92" s="456"/>
      <c r="BJE92" s="456"/>
      <c r="BJF92" s="456"/>
      <c r="BJG92" s="456"/>
      <c r="BJH92" s="456"/>
      <c r="BJI92" s="456"/>
      <c r="BJJ92" s="456"/>
      <c r="BJK92" s="456"/>
      <c r="BJL92" s="456"/>
      <c r="BJM92" s="456"/>
      <c r="BJN92" s="456"/>
      <c r="BJO92" s="456"/>
      <c r="BJP92" s="456"/>
      <c r="BJQ92" s="456"/>
      <c r="BJR92" s="456"/>
      <c r="BJS92" s="456"/>
      <c r="BJT92" s="456"/>
      <c r="BJU92" s="456"/>
      <c r="BJV92" s="456"/>
      <c r="BJW92" s="456"/>
      <c r="BJX92" s="456"/>
      <c r="BJY92" s="456"/>
      <c r="BJZ92" s="456"/>
      <c r="BKA92" s="456"/>
      <c r="BKB92" s="456"/>
      <c r="BKC92" s="456"/>
      <c r="BKD92" s="456"/>
      <c r="BKE92" s="456"/>
      <c r="BKF92" s="456"/>
      <c r="BKG92" s="456"/>
      <c r="BKH92" s="456"/>
      <c r="BKI92" s="456"/>
      <c r="BKJ92" s="456"/>
      <c r="BKK92" s="456"/>
      <c r="BKL92" s="456"/>
      <c r="BKM92" s="456"/>
      <c r="BKN92" s="456"/>
      <c r="BKO92" s="456"/>
      <c r="BKP92" s="456"/>
      <c r="BKQ92" s="456"/>
      <c r="BKR92" s="456"/>
      <c r="BKS92" s="456"/>
      <c r="BKT92" s="456"/>
      <c r="BKU92" s="456"/>
      <c r="BKV92" s="456"/>
      <c r="BKW92" s="456"/>
      <c r="BKX92" s="456"/>
      <c r="BKY92" s="456"/>
      <c r="BKZ92" s="456"/>
      <c r="BLA92" s="456"/>
      <c r="BLB92" s="456"/>
      <c r="BLC92" s="456"/>
      <c r="BLD92" s="456"/>
      <c r="BLE92" s="456"/>
      <c r="BLF92" s="456"/>
      <c r="BLG92" s="456"/>
      <c r="BLH92" s="456"/>
      <c r="BLI92" s="456"/>
      <c r="BLJ92" s="456"/>
      <c r="BLK92" s="456"/>
      <c r="BLL92" s="456"/>
      <c r="BLM92" s="456"/>
      <c r="BLN92" s="456"/>
      <c r="BLO92" s="456"/>
      <c r="BLP92" s="456"/>
      <c r="BLQ92" s="456"/>
      <c r="BLR92" s="456"/>
      <c r="BLS92" s="456"/>
      <c r="BLT92" s="456"/>
      <c r="BLU92" s="456"/>
      <c r="BLV92" s="456"/>
      <c r="BLW92" s="456"/>
      <c r="BLX92" s="456"/>
      <c r="BLY92" s="456"/>
      <c r="BLZ92" s="456"/>
      <c r="BMA92" s="456"/>
      <c r="BMB92" s="456"/>
      <c r="BMC92" s="456"/>
      <c r="BMD92" s="456"/>
      <c r="BME92" s="456"/>
      <c r="BMF92" s="456"/>
      <c r="BMG92" s="456"/>
      <c r="BMH92" s="456"/>
      <c r="BMI92" s="456"/>
      <c r="BMJ92" s="456"/>
      <c r="BMK92" s="456"/>
      <c r="BML92" s="456"/>
      <c r="BMM92" s="456"/>
      <c r="BMN92" s="456"/>
      <c r="BMO92" s="456"/>
      <c r="BMP92" s="456"/>
      <c r="BMQ92" s="456"/>
      <c r="BMR92" s="456"/>
      <c r="BMS92" s="456"/>
      <c r="BMT92" s="456"/>
      <c r="BMU92" s="456"/>
      <c r="BMV92" s="456"/>
      <c r="BMW92" s="456"/>
      <c r="BMX92" s="456"/>
      <c r="BMY92" s="456"/>
      <c r="BMZ92" s="456"/>
      <c r="BNA92" s="456"/>
      <c r="BNB92" s="456"/>
      <c r="BNC92" s="456"/>
      <c r="BND92" s="456"/>
      <c r="BNE92" s="456"/>
      <c r="BNF92" s="456"/>
      <c r="BNG92" s="456"/>
      <c r="BNH92" s="456"/>
      <c r="BNI92" s="456"/>
      <c r="BNJ92" s="456"/>
      <c r="BNK92" s="456"/>
      <c r="BNL92" s="456"/>
      <c r="BNM92" s="456"/>
      <c r="BNN92" s="456"/>
      <c r="BNO92" s="456"/>
      <c r="BNP92" s="456"/>
      <c r="BNQ92" s="456"/>
      <c r="BNR92" s="456"/>
      <c r="BNS92" s="456"/>
      <c r="BNT92" s="456"/>
      <c r="BNU92" s="456"/>
      <c r="BNV92" s="456"/>
      <c r="BNW92" s="456"/>
      <c r="BNX92" s="456"/>
      <c r="BNY92" s="456"/>
      <c r="BNZ92" s="456"/>
      <c r="BOA92" s="456"/>
      <c r="BOB92" s="456"/>
      <c r="BOC92" s="456"/>
      <c r="BOD92" s="456"/>
      <c r="BOE92" s="456"/>
      <c r="BOF92" s="456"/>
      <c r="BOG92" s="456"/>
      <c r="BOH92" s="456"/>
      <c r="BOI92" s="456"/>
      <c r="BOJ92" s="456"/>
      <c r="BOK92" s="456"/>
      <c r="BOL92" s="456"/>
      <c r="BOM92" s="456"/>
      <c r="BON92" s="456"/>
      <c r="BOO92" s="456"/>
      <c r="BOP92" s="456"/>
      <c r="BOQ92" s="456"/>
      <c r="BOR92" s="456"/>
      <c r="BOS92" s="456"/>
      <c r="BOT92" s="456"/>
      <c r="BOU92" s="456"/>
      <c r="BOV92" s="456"/>
      <c r="BOW92" s="456"/>
      <c r="BOX92" s="456"/>
      <c r="BOY92" s="456"/>
      <c r="BOZ92" s="456"/>
      <c r="BPA92" s="456"/>
      <c r="BPB92" s="456"/>
      <c r="BPC92" s="456"/>
      <c r="BPD92" s="456"/>
      <c r="BPE92" s="456"/>
      <c r="BPF92" s="456"/>
      <c r="BPG92" s="456"/>
      <c r="BPH92" s="456"/>
      <c r="BPI92" s="456"/>
      <c r="BPJ92" s="456"/>
      <c r="BPK92" s="456"/>
      <c r="BPL92" s="456"/>
      <c r="BPM92" s="456"/>
      <c r="BPN92" s="456"/>
      <c r="BPO92" s="456"/>
      <c r="BPP92" s="456"/>
      <c r="BPQ92" s="456"/>
      <c r="BPR92" s="456"/>
      <c r="BPS92" s="456"/>
      <c r="BPT92" s="456"/>
      <c r="BPU92" s="456"/>
      <c r="BPV92" s="456"/>
      <c r="BPW92" s="456"/>
      <c r="BPX92" s="456"/>
      <c r="BPY92" s="456"/>
      <c r="BPZ92" s="456"/>
      <c r="BQA92" s="456"/>
      <c r="BQB92" s="456"/>
      <c r="BQC92" s="456"/>
      <c r="BQD92" s="456"/>
      <c r="BQE92" s="456"/>
      <c r="BQF92" s="456"/>
      <c r="BQG92" s="456"/>
      <c r="BQH92" s="456"/>
      <c r="BQI92" s="456"/>
      <c r="BQJ92" s="456"/>
      <c r="BQK92" s="456"/>
      <c r="BQL92" s="456"/>
      <c r="BQM92" s="456"/>
      <c r="BQN92" s="456"/>
      <c r="BQO92" s="456"/>
      <c r="BQP92" s="456"/>
      <c r="BQQ92" s="456"/>
      <c r="BQR92" s="456"/>
      <c r="BQS92" s="456"/>
      <c r="BQT92" s="456"/>
      <c r="BQU92" s="456"/>
      <c r="BQV92" s="456"/>
      <c r="BQW92" s="456"/>
      <c r="BQX92" s="456"/>
      <c r="BQY92" s="456"/>
      <c r="BQZ92" s="456"/>
      <c r="BRA92" s="456"/>
      <c r="BRB92" s="456"/>
      <c r="BRC92" s="456"/>
      <c r="BRD92" s="456"/>
      <c r="BRE92" s="456"/>
      <c r="BRF92" s="456"/>
      <c r="BRG92" s="456"/>
      <c r="BRH92" s="456"/>
      <c r="BRI92" s="456"/>
      <c r="BRJ92" s="456"/>
      <c r="BRK92" s="456"/>
      <c r="BRL92" s="456"/>
      <c r="BRM92" s="456"/>
      <c r="BRN92" s="456"/>
      <c r="BRO92" s="456"/>
      <c r="BRP92" s="456"/>
      <c r="BRQ92" s="456"/>
      <c r="BRR92" s="456"/>
      <c r="BRS92" s="456"/>
      <c r="BRT92" s="456"/>
      <c r="BRU92" s="456"/>
      <c r="BRV92" s="456"/>
      <c r="BRW92" s="456"/>
      <c r="BRX92" s="456"/>
      <c r="BRY92" s="456"/>
      <c r="BRZ92" s="456"/>
      <c r="BSA92" s="456"/>
      <c r="BSB92" s="456"/>
      <c r="BSC92" s="456"/>
      <c r="BSD92" s="456"/>
      <c r="BSE92" s="456"/>
      <c r="BSF92" s="456"/>
      <c r="BSG92" s="456"/>
      <c r="BSH92" s="456"/>
      <c r="BSI92" s="456"/>
      <c r="BSJ92" s="456"/>
      <c r="BSK92" s="456"/>
      <c r="BSL92" s="456"/>
      <c r="BSM92" s="456"/>
      <c r="BSN92" s="456"/>
      <c r="BSO92" s="456"/>
      <c r="BSP92" s="456"/>
      <c r="BSQ92" s="456"/>
      <c r="BSR92" s="456"/>
      <c r="BSS92" s="456"/>
      <c r="BST92" s="456"/>
      <c r="BSU92" s="456"/>
      <c r="BSV92" s="456"/>
      <c r="BSW92" s="456"/>
      <c r="BSX92" s="456"/>
      <c r="BSY92" s="456"/>
      <c r="BSZ92" s="456"/>
      <c r="BTA92" s="456"/>
      <c r="BTB92" s="456"/>
      <c r="BTC92" s="456"/>
      <c r="BTD92" s="456"/>
      <c r="BTE92" s="456"/>
      <c r="BTF92" s="456"/>
      <c r="BTG92" s="456"/>
      <c r="BTH92" s="456"/>
      <c r="BTI92" s="456"/>
      <c r="BTJ92" s="456"/>
      <c r="BTK92" s="456"/>
      <c r="BTL92" s="456"/>
      <c r="BTM92" s="456"/>
      <c r="BTN92" s="456"/>
      <c r="BTO92" s="456"/>
      <c r="BTP92" s="456"/>
      <c r="BTQ92" s="456"/>
      <c r="BTR92" s="456"/>
      <c r="BTS92" s="456"/>
      <c r="BTT92" s="456"/>
      <c r="BTU92" s="456"/>
      <c r="BTV92" s="456"/>
      <c r="BTW92" s="456"/>
      <c r="BTX92" s="456"/>
      <c r="BTY92" s="456"/>
      <c r="BTZ92" s="456"/>
      <c r="BUA92" s="456"/>
      <c r="BUB92" s="456"/>
      <c r="BUC92" s="456"/>
      <c r="BUD92" s="456"/>
      <c r="BUE92" s="456"/>
      <c r="BUF92" s="456"/>
      <c r="BUG92" s="456"/>
      <c r="BUH92" s="456"/>
      <c r="BUI92" s="456"/>
      <c r="BUJ92" s="456"/>
      <c r="BUK92" s="456"/>
      <c r="BUL92" s="456"/>
      <c r="BUM92" s="456"/>
      <c r="BUN92" s="456"/>
      <c r="BUO92" s="456"/>
      <c r="BUP92" s="456"/>
      <c r="BUQ92" s="456"/>
      <c r="BUR92" s="456"/>
      <c r="BUS92" s="456"/>
      <c r="BUT92" s="456"/>
      <c r="BUU92" s="456"/>
      <c r="BUV92" s="456"/>
      <c r="BUW92" s="456"/>
      <c r="BUX92" s="456"/>
      <c r="BUY92" s="456"/>
      <c r="BUZ92" s="456"/>
      <c r="BVA92" s="456"/>
      <c r="BVB92" s="456"/>
      <c r="BVC92" s="456"/>
      <c r="BVD92" s="456"/>
      <c r="BVE92" s="456"/>
      <c r="BVF92" s="456"/>
      <c r="BVG92" s="456"/>
      <c r="BVH92" s="456"/>
      <c r="BVI92" s="456"/>
      <c r="BVJ92" s="456"/>
      <c r="BVK92" s="456"/>
      <c r="BVL92" s="456"/>
      <c r="BVM92" s="456"/>
      <c r="BVN92" s="456"/>
      <c r="BVO92" s="456"/>
      <c r="BVP92" s="456"/>
      <c r="BVQ92" s="456"/>
      <c r="BVR92" s="456"/>
      <c r="BVS92" s="456"/>
      <c r="BVT92" s="456"/>
      <c r="BVU92" s="456"/>
      <c r="BVV92" s="456"/>
      <c r="BVW92" s="456"/>
      <c r="BVX92" s="456"/>
      <c r="BVY92" s="456"/>
      <c r="BVZ92" s="456"/>
      <c r="BWA92" s="456"/>
      <c r="BWB92" s="456"/>
      <c r="BWC92" s="456"/>
      <c r="BWD92" s="456"/>
      <c r="BWE92" s="456"/>
      <c r="BWF92" s="456"/>
      <c r="BWG92" s="456"/>
      <c r="BWH92" s="456"/>
      <c r="BWI92" s="456"/>
      <c r="BWJ92" s="456"/>
      <c r="BWK92" s="456"/>
      <c r="BWL92" s="456"/>
      <c r="BWM92" s="456"/>
      <c r="BWN92" s="456"/>
      <c r="BWO92" s="456"/>
      <c r="BWP92" s="456"/>
      <c r="BWQ92" s="456"/>
      <c r="BWR92" s="456"/>
      <c r="BWS92" s="456"/>
      <c r="BWT92" s="456"/>
      <c r="BWU92" s="456"/>
      <c r="BWV92" s="456"/>
      <c r="BWW92" s="456"/>
      <c r="BWX92" s="456"/>
      <c r="BWY92" s="456"/>
      <c r="BWZ92" s="456"/>
      <c r="BXA92" s="456"/>
      <c r="BXB92" s="456"/>
      <c r="BXC92" s="456"/>
      <c r="BXD92" s="456"/>
      <c r="BXE92" s="456"/>
      <c r="BXF92" s="456"/>
      <c r="BXG92" s="456"/>
      <c r="BXH92" s="456"/>
      <c r="BXI92" s="456"/>
      <c r="BXJ92" s="456"/>
      <c r="BXK92" s="456"/>
      <c r="BXL92" s="456"/>
      <c r="BXM92" s="456"/>
      <c r="BXN92" s="456"/>
      <c r="BXO92" s="456"/>
      <c r="BXP92" s="456"/>
      <c r="BXQ92" s="456"/>
      <c r="BXR92" s="456"/>
      <c r="BXS92" s="456"/>
      <c r="BXT92" s="456"/>
      <c r="BXU92" s="456"/>
      <c r="BXV92" s="456"/>
      <c r="BXW92" s="456"/>
      <c r="BXX92" s="456"/>
      <c r="BXY92" s="456"/>
      <c r="BXZ92" s="456"/>
    </row>
    <row r="93" s="25" customFormat="1" spans="1:1024 1025:2002">
      <c r="A93" s="473"/>
      <c r="B93" s="19">
        <v>1123</v>
      </c>
      <c r="C93" s="183">
        <v>46189</v>
      </c>
      <c r="D93" s="17" t="s">
        <v>91</v>
      </c>
      <c r="E93" s="17" t="s">
        <v>92</v>
      </c>
      <c r="F93" s="17" t="s">
        <v>93</v>
      </c>
      <c r="G93" s="17"/>
      <c r="H93" s="19">
        <v>1.2085</v>
      </c>
      <c r="I93" s="19">
        <v>1.2085</v>
      </c>
      <c r="J93" s="17" t="s">
        <v>49</v>
      </c>
      <c r="K93" s="19">
        <v>2090</v>
      </c>
      <c r="L93" s="91">
        <v>42</v>
      </c>
      <c r="M93" s="19">
        <v>3650</v>
      </c>
      <c r="N93" s="19" t="s">
        <v>66</v>
      </c>
      <c r="O93" s="19" t="s">
        <v>67</v>
      </c>
      <c r="P93" s="19">
        <v>2601</v>
      </c>
      <c r="Q93" s="19">
        <v>2440</v>
      </c>
      <c r="R93" s="19">
        <f t="shared" si="7"/>
        <v>161</v>
      </c>
      <c r="S93" s="19">
        <v>2400</v>
      </c>
      <c r="T93" s="19" t="s">
        <v>94</v>
      </c>
      <c r="U93" s="102">
        <v>51001791</v>
      </c>
      <c r="V93" s="186">
        <v>46189</v>
      </c>
      <c r="W93" s="17" t="s">
        <v>44</v>
      </c>
      <c r="X93" s="17"/>
      <c r="Y93" s="68">
        <v>46204</v>
      </c>
      <c r="Z93" s="17" t="s">
        <v>95</v>
      </c>
      <c r="AA93" s="17" t="s">
        <v>46</v>
      </c>
      <c r="AB93" s="102">
        <v>26201115940</v>
      </c>
      <c r="AC93" s="217">
        <v>46239</v>
      </c>
      <c r="AD93" s="65">
        <v>1844</v>
      </c>
      <c r="AE93" s="17" t="s">
        <v>48</v>
      </c>
      <c r="AF93" s="17"/>
      <c r="AG93" s="17"/>
      <c r="AH93" s="456"/>
      <c r="AI93" s="456"/>
      <c r="AJ93" s="456"/>
      <c r="AK93" s="456"/>
      <c r="AL93" s="456"/>
      <c r="AM93" s="456"/>
      <c r="AN93" s="456"/>
      <c r="AO93" s="456"/>
      <c r="AP93" s="456"/>
      <c r="AQ93" s="456"/>
      <c r="AR93" s="456"/>
      <c r="AS93" s="456"/>
      <c r="AT93" s="456"/>
      <c r="AU93" s="456"/>
      <c r="AV93" s="456"/>
      <c r="AW93" s="456"/>
      <c r="AX93" s="456"/>
      <c r="AY93" s="456"/>
      <c r="AZ93" s="456"/>
      <c r="BA93" s="456"/>
      <c r="BB93" s="456"/>
      <c r="BC93" s="456"/>
      <c r="BD93" s="456"/>
      <c r="BE93" s="456"/>
      <c r="BF93" s="456"/>
      <c r="BG93" s="456"/>
      <c r="BH93" s="456"/>
      <c r="BI93" s="456"/>
      <c r="BJ93" s="456"/>
      <c r="BK93" s="456"/>
      <c r="BL93" s="456"/>
      <c r="BM93" s="456"/>
      <c r="BN93" s="456"/>
      <c r="BO93" s="456"/>
      <c r="BP93" s="456"/>
      <c r="BQ93" s="456"/>
      <c r="BR93" s="456"/>
      <c r="BS93" s="456"/>
      <c r="BT93" s="456"/>
      <c r="BU93" s="456"/>
      <c r="BV93" s="456"/>
      <c r="BW93" s="456"/>
      <c r="BX93" s="456"/>
      <c r="BY93" s="456"/>
      <c r="BZ93" s="456"/>
      <c r="CA93" s="456"/>
      <c r="CB93" s="456"/>
      <c r="CC93" s="456"/>
      <c r="CD93" s="456"/>
      <c r="CE93" s="456"/>
      <c r="CF93" s="456"/>
      <c r="CG93" s="456"/>
      <c r="CH93" s="456"/>
      <c r="CI93" s="456"/>
      <c r="CJ93" s="456"/>
      <c r="CK93" s="456"/>
      <c r="CL93" s="456"/>
      <c r="CM93" s="456"/>
      <c r="CN93" s="456"/>
      <c r="CO93" s="456"/>
      <c r="CP93" s="456"/>
      <c r="CQ93" s="456"/>
      <c r="CR93" s="456"/>
      <c r="CS93" s="456"/>
      <c r="CT93" s="456"/>
      <c r="CU93" s="456"/>
      <c r="CV93" s="456"/>
      <c r="CW93" s="456"/>
      <c r="CX93" s="456"/>
      <c r="CY93" s="456"/>
      <c r="CZ93" s="456"/>
      <c r="DA93" s="456"/>
      <c r="DB93" s="456"/>
      <c r="DC93" s="456"/>
      <c r="DD93" s="456"/>
      <c r="DE93" s="456"/>
      <c r="DF93" s="456"/>
      <c r="DG93" s="456"/>
      <c r="DH93" s="456"/>
      <c r="DI93" s="456"/>
      <c r="DJ93" s="456"/>
      <c r="DK93" s="456"/>
      <c r="DL93" s="456"/>
      <c r="DM93" s="456"/>
      <c r="DN93" s="456"/>
      <c r="DO93" s="456"/>
      <c r="DP93" s="456"/>
      <c r="DQ93" s="456"/>
      <c r="DR93" s="456"/>
      <c r="DS93" s="456"/>
      <c r="DT93" s="456"/>
      <c r="DU93" s="456"/>
      <c r="DV93" s="456"/>
      <c r="DW93" s="456"/>
      <c r="DX93" s="456"/>
      <c r="DY93" s="456"/>
      <c r="DZ93" s="456"/>
      <c r="EA93" s="456"/>
      <c r="EB93" s="456"/>
      <c r="EC93" s="456"/>
      <c r="ED93" s="456"/>
      <c r="EE93" s="456"/>
      <c r="EF93" s="456"/>
      <c r="EG93" s="456"/>
      <c r="EH93" s="456"/>
      <c r="EI93" s="456"/>
      <c r="EJ93" s="456"/>
      <c r="EK93" s="456"/>
      <c r="EL93" s="456"/>
      <c r="EM93" s="456"/>
      <c r="EN93" s="456"/>
      <c r="EO93" s="456"/>
      <c r="EP93" s="456"/>
      <c r="EQ93" s="456"/>
      <c r="ER93" s="456"/>
      <c r="ES93" s="456"/>
      <c r="ET93" s="456"/>
      <c r="EU93" s="456"/>
      <c r="EV93" s="456"/>
      <c r="EW93" s="456"/>
      <c r="EX93" s="456"/>
      <c r="EY93" s="456"/>
      <c r="EZ93" s="456"/>
      <c r="FA93" s="456"/>
      <c r="FB93" s="456"/>
      <c r="FC93" s="456"/>
      <c r="FD93" s="456"/>
      <c r="FE93" s="456"/>
      <c r="FF93" s="456"/>
      <c r="FG93" s="456"/>
      <c r="FH93" s="456"/>
      <c r="FI93" s="456"/>
      <c r="FJ93" s="456"/>
      <c r="FK93" s="456"/>
      <c r="FL93" s="456"/>
      <c r="FM93" s="456"/>
      <c r="FN93" s="456"/>
      <c r="FO93" s="456"/>
      <c r="FP93" s="456"/>
      <c r="FQ93" s="456"/>
      <c r="FR93" s="456"/>
      <c r="FS93" s="456"/>
      <c r="FT93" s="456"/>
      <c r="FU93" s="456"/>
      <c r="FV93" s="456"/>
      <c r="FW93" s="456"/>
      <c r="FX93" s="456"/>
      <c r="FY93" s="456"/>
      <c r="FZ93" s="456"/>
      <c r="GA93" s="456"/>
      <c r="GB93" s="456"/>
      <c r="GC93" s="456"/>
      <c r="GD93" s="456"/>
      <c r="GE93" s="456"/>
      <c r="GF93" s="456"/>
      <c r="GG93" s="456"/>
      <c r="GH93" s="456"/>
      <c r="GI93" s="456"/>
      <c r="GJ93" s="456"/>
      <c r="GK93" s="456"/>
      <c r="GL93" s="456"/>
      <c r="GM93" s="456"/>
      <c r="GN93" s="456"/>
      <c r="GO93" s="456"/>
      <c r="GP93" s="456"/>
      <c r="GQ93" s="456"/>
      <c r="GR93" s="456"/>
      <c r="GS93" s="456"/>
      <c r="GT93" s="456"/>
      <c r="GU93" s="456"/>
      <c r="GV93" s="456"/>
      <c r="GW93" s="456"/>
      <c r="GX93" s="456"/>
      <c r="GY93" s="456"/>
      <c r="GZ93" s="456"/>
      <c r="HA93" s="456"/>
      <c r="HB93" s="456"/>
      <c r="HC93" s="456"/>
      <c r="HD93" s="456"/>
      <c r="HE93" s="456"/>
      <c r="HF93" s="456"/>
      <c r="HG93" s="456"/>
      <c r="HH93" s="456"/>
      <c r="HI93" s="456"/>
      <c r="HJ93" s="456"/>
      <c r="HK93" s="456"/>
      <c r="HL93" s="456"/>
      <c r="HM93" s="456"/>
      <c r="HN93" s="456"/>
      <c r="HO93" s="456"/>
      <c r="HP93" s="456"/>
      <c r="HQ93" s="456"/>
      <c r="HR93" s="456"/>
      <c r="HS93" s="456"/>
      <c r="HT93" s="456"/>
      <c r="HU93" s="456"/>
      <c r="HV93" s="456"/>
      <c r="HW93" s="456"/>
      <c r="HX93" s="456"/>
      <c r="HY93" s="456"/>
      <c r="HZ93" s="456"/>
      <c r="IA93" s="456"/>
      <c r="IB93" s="456"/>
      <c r="IC93" s="456"/>
      <c r="ID93" s="456"/>
      <c r="IE93" s="456"/>
      <c r="IF93" s="456"/>
      <c r="IG93" s="456"/>
      <c r="IH93" s="456"/>
      <c r="II93" s="456"/>
      <c r="IJ93" s="456"/>
      <c r="IK93" s="456"/>
      <c r="IL93" s="456"/>
      <c r="IM93" s="456"/>
      <c r="IN93" s="456"/>
      <c r="IO93" s="456"/>
      <c r="IP93" s="456"/>
      <c r="IQ93" s="456"/>
      <c r="IR93" s="456"/>
      <c r="IS93" s="456"/>
      <c r="IT93" s="456"/>
      <c r="IU93" s="456"/>
      <c r="IV93" s="456"/>
      <c r="IW93" s="456"/>
      <c r="IX93" s="456"/>
      <c r="IY93" s="456"/>
      <c r="IZ93" s="456"/>
      <c r="JA93" s="456"/>
      <c r="JB93" s="456"/>
      <c r="JC93" s="456"/>
      <c r="JD93" s="456"/>
      <c r="JE93" s="456"/>
      <c r="JF93" s="456"/>
      <c r="JG93" s="456"/>
      <c r="JH93" s="456"/>
      <c r="JI93" s="456"/>
      <c r="JJ93" s="456"/>
      <c r="JK93" s="456"/>
      <c r="JL93" s="456"/>
      <c r="JM93" s="456"/>
      <c r="JN93" s="456"/>
      <c r="JO93" s="456"/>
      <c r="JP93" s="456"/>
      <c r="JQ93" s="456"/>
      <c r="JR93" s="456"/>
      <c r="JS93" s="456"/>
      <c r="JT93" s="456"/>
      <c r="JU93" s="456"/>
      <c r="JV93" s="456"/>
      <c r="JW93" s="456"/>
      <c r="JX93" s="456"/>
      <c r="JY93" s="456"/>
      <c r="JZ93" s="456"/>
      <c r="KA93" s="456"/>
      <c r="KB93" s="456"/>
      <c r="KC93" s="456"/>
      <c r="KD93" s="456"/>
      <c r="KE93" s="456"/>
      <c r="KF93" s="456"/>
      <c r="KG93" s="456"/>
      <c r="KH93" s="456"/>
      <c r="KI93" s="456"/>
      <c r="KJ93" s="456"/>
      <c r="KK93" s="456"/>
      <c r="KL93" s="456"/>
      <c r="KM93" s="456"/>
      <c r="KN93" s="456"/>
      <c r="KO93" s="456"/>
      <c r="KP93" s="456"/>
      <c r="KQ93" s="456"/>
      <c r="KR93" s="456"/>
      <c r="KS93" s="456"/>
      <c r="KT93" s="456"/>
      <c r="KU93" s="456"/>
      <c r="KV93" s="456"/>
      <c r="KW93" s="456"/>
      <c r="KX93" s="456"/>
      <c r="KY93" s="456"/>
      <c r="KZ93" s="456"/>
      <c r="LA93" s="456"/>
      <c r="LB93" s="456"/>
      <c r="LC93" s="456"/>
      <c r="LD93" s="456"/>
      <c r="LE93" s="456"/>
      <c r="LF93" s="456"/>
      <c r="LG93" s="456"/>
      <c r="LH93" s="456"/>
      <c r="LI93" s="456"/>
      <c r="LJ93" s="456"/>
      <c r="LK93" s="456"/>
      <c r="LL93" s="456"/>
      <c r="LM93" s="456"/>
      <c r="LN93" s="456"/>
      <c r="LO93" s="456"/>
      <c r="LP93" s="456"/>
      <c r="LQ93" s="456"/>
      <c r="LR93" s="456"/>
      <c r="LS93" s="456"/>
      <c r="LT93" s="456"/>
      <c r="LU93" s="456"/>
      <c r="LV93" s="456"/>
      <c r="LW93" s="456"/>
      <c r="LX93" s="456"/>
      <c r="LY93" s="456"/>
      <c r="LZ93" s="456"/>
      <c r="MA93" s="456"/>
      <c r="MB93" s="456"/>
      <c r="MC93" s="456"/>
      <c r="MD93" s="456"/>
      <c r="ME93" s="456"/>
      <c r="MF93" s="456"/>
      <c r="MG93" s="456"/>
      <c r="MH93" s="456"/>
      <c r="MI93" s="456"/>
      <c r="MJ93" s="456"/>
      <c r="MK93" s="456"/>
      <c r="ML93" s="456"/>
      <c r="MM93" s="456"/>
      <c r="MN93" s="456"/>
      <c r="MO93" s="456"/>
      <c r="MP93" s="456"/>
      <c r="MQ93" s="456"/>
      <c r="MR93" s="456"/>
      <c r="MS93" s="456"/>
      <c r="MT93" s="456"/>
      <c r="MU93" s="456"/>
      <c r="MV93" s="456"/>
      <c r="MW93" s="456"/>
      <c r="MX93" s="456"/>
      <c r="MY93" s="456"/>
      <c r="MZ93" s="456"/>
      <c r="NA93" s="456"/>
      <c r="NB93" s="456"/>
      <c r="NC93" s="456"/>
      <c r="ND93" s="456"/>
      <c r="NE93" s="456"/>
      <c r="NF93" s="456"/>
      <c r="NG93" s="456"/>
      <c r="NH93" s="456"/>
      <c r="NI93" s="456"/>
      <c r="NJ93" s="456"/>
      <c r="NK93" s="456"/>
      <c r="NL93" s="456"/>
      <c r="NM93" s="456"/>
      <c r="NN93" s="456"/>
      <c r="NO93" s="456"/>
      <c r="NP93" s="456"/>
      <c r="NQ93" s="456"/>
      <c r="NR93" s="456"/>
      <c r="NS93" s="456"/>
      <c r="NT93" s="456"/>
      <c r="NU93" s="456"/>
      <c r="NV93" s="456"/>
      <c r="NW93" s="456"/>
      <c r="NX93" s="456"/>
      <c r="NY93" s="456"/>
      <c r="NZ93" s="456"/>
      <c r="OA93" s="456"/>
      <c r="OB93" s="456"/>
      <c r="OC93" s="456"/>
      <c r="OD93" s="456"/>
      <c r="OE93" s="456"/>
      <c r="OF93" s="456"/>
      <c r="OG93" s="456"/>
      <c r="OH93" s="456"/>
      <c r="OI93" s="456"/>
      <c r="OJ93" s="456"/>
      <c r="OK93" s="456"/>
      <c r="OL93" s="456"/>
      <c r="OM93" s="456"/>
      <c r="ON93" s="456"/>
      <c r="OO93" s="456"/>
      <c r="OP93" s="456"/>
      <c r="OQ93" s="456"/>
      <c r="OR93" s="456"/>
      <c r="OS93" s="456"/>
      <c r="OT93" s="456"/>
      <c r="OU93" s="456"/>
      <c r="OV93" s="456"/>
      <c r="OW93" s="456"/>
      <c r="OX93" s="456"/>
      <c r="OY93" s="456"/>
      <c r="OZ93" s="456"/>
      <c r="PA93" s="456"/>
      <c r="PB93" s="456"/>
      <c r="PC93" s="456"/>
      <c r="PD93" s="456"/>
      <c r="PE93" s="456"/>
      <c r="PF93" s="456"/>
      <c r="PG93" s="456"/>
      <c r="PH93" s="456"/>
      <c r="PI93" s="456"/>
      <c r="PJ93" s="456"/>
      <c r="PK93" s="456"/>
      <c r="PL93" s="456"/>
      <c r="PM93" s="456"/>
      <c r="PN93" s="456"/>
      <c r="PO93" s="456"/>
      <c r="PP93" s="456"/>
      <c r="PQ93" s="456"/>
      <c r="PR93" s="456"/>
      <c r="PS93" s="456"/>
      <c r="PT93" s="456"/>
      <c r="PU93" s="456"/>
      <c r="PV93" s="456"/>
      <c r="PW93" s="456"/>
      <c r="PX93" s="456"/>
      <c r="PY93" s="456"/>
      <c r="PZ93" s="456"/>
      <c r="QA93" s="456"/>
      <c r="QB93" s="456"/>
      <c r="QC93" s="456"/>
      <c r="QD93" s="456"/>
      <c r="QE93" s="456"/>
      <c r="QF93" s="456"/>
      <c r="QG93" s="456"/>
      <c r="QH93" s="456"/>
      <c r="QI93" s="456"/>
      <c r="QJ93" s="456"/>
      <c r="QK93" s="456"/>
      <c r="QL93" s="456"/>
      <c r="QM93" s="456"/>
      <c r="QN93" s="456"/>
      <c r="QO93" s="456"/>
      <c r="QP93" s="456"/>
      <c r="QQ93" s="456"/>
      <c r="QR93" s="456"/>
      <c r="QS93" s="456"/>
      <c r="QT93" s="456"/>
      <c r="QU93" s="456"/>
      <c r="QV93" s="456"/>
      <c r="QW93" s="456"/>
      <c r="QX93" s="456"/>
      <c r="QY93" s="456"/>
      <c r="QZ93" s="456"/>
      <c r="RA93" s="456"/>
      <c r="RB93" s="456"/>
      <c r="RC93" s="456"/>
      <c r="RD93" s="456"/>
      <c r="RE93" s="456"/>
      <c r="RF93" s="456"/>
      <c r="RG93" s="456"/>
      <c r="RH93" s="456"/>
      <c r="RI93" s="456"/>
      <c r="RJ93" s="456"/>
      <c r="RK93" s="456"/>
      <c r="RL93" s="456"/>
      <c r="RM93" s="456"/>
      <c r="RN93" s="456"/>
      <c r="RO93" s="456"/>
      <c r="RP93" s="456"/>
      <c r="RQ93" s="456"/>
      <c r="RR93" s="456"/>
      <c r="RS93" s="456"/>
      <c r="RT93" s="456"/>
      <c r="RU93" s="456"/>
      <c r="RV93" s="456"/>
      <c r="RW93" s="456"/>
      <c r="RX93" s="456"/>
      <c r="RY93" s="456"/>
      <c r="RZ93" s="456"/>
      <c r="SA93" s="456"/>
      <c r="SB93" s="456"/>
      <c r="SC93" s="456"/>
      <c r="SD93" s="456"/>
      <c r="SE93" s="456"/>
      <c r="SF93" s="456"/>
      <c r="SG93" s="456"/>
      <c r="SH93" s="456"/>
      <c r="SI93" s="456"/>
      <c r="SJ93" s="456"/>
      <c r="SK93" s="456"/>
      <c r="SL93" s="456"/>
      <c r="SM93" s="456"/>
      <c r="SN93" s="456"/>
      <c r="SO93" s="456"/>
      <c r="SP93" s="456"/>
      <c r="SQ93" s="456"/>
      <c r="SR93" s="456"/>
      <c r="SS93" s="456"/>
      <c r="ST93" s="456"/>
      <c r="SU93" s="456"/>
      <c r="SV93" s="456"/>
      <c r="SW93" s="456"/>
      <c r="SX93" s="456"/>
      <c r="SY93" s="456"/>
      <c r="SZ93" s="456"/>
      <c r="TA93" s="456"/>
      <c r="TB93" s="456"/>
      <c r="TC93" s="456"/>
      <c r="TD93" s="456"/>
      <c r="TE93" s="456"/>
      <c r="TF93" s="456"/>
      <c r="TG93" s="456"/>
      <c r="TH93" s="456"/>
      <c r="TI93" s="456"/>
      <c r="TJ93" s="456"/>
      <c r="TK93" s="456"/>
      <c r="TL93" s="456"/>
      <c r="TM93" s="456"/>
      <c r="TN93" s="456"/>
      <c r="TO93" s="456"/>
      <c r="TP93" s="456"/>
      <c r="TQ93" s="456"/>
      <c r="TR93" s="456"/>
      <c r="TS93" s="456"/>
      <c r="TT93" s="456"/>
      <c r="TU93" s="456"/>
      <c r="TV93" s="456"/>
      <c r="TW93" s="456"/>
      <c r="TX93" s="456"/>
      <c r="TY93" s="456"/>
      <c r="TZ93" s="456"/>
      <c r="UA93" s="456"/>
      <c r="UB93" s="456"/>
      <c r="UC93" s="456"/>
      <c r="UD93" s="456"/>
      <c r="UE93" s="456"/>
      <c r="UF93" s="456"/>
      <c r="UG93" s="456"/>
      <c r="UH93" s="456"/>
      <c r="UI93" s="456"/>
      <c r="UJ93" s="456"/>
      <c r="UK93" s="456"/>
      <c r="UL93" s="456"/>
      <c r="UM93" s="456"/>
      <c r="UN93" s="456"/>
      <c r="UO93" s="456"/>
      <c r="UP93" s="456"/>
      <c r="UQ93" s="456"/>
      <c r="UR93" s="456"/>
      <c r="US93" s="456"/>
      <c r="UT93" s="456"/>
      <c r="UU93" s="456"/>
      <c r="UV93" s="456"/>
      <c r="UW93" s="456"/>
      <c r="UX93" s="456"/>
      <c r="UY93" s="456"/>
      <c r="UZ93" s="456"/>
      <c r="VA93" s="456"/>
      <c r="VB93" s="456"/>
      <c r="VC93" s="456"/>
      <c r="VD93" s="456"/>
      <c r="VE93" s="456"/>
      <c r="VF93" s="456"/>
      <c r="VG93" s="456"/>
      <c r="VH93" s="456"/>
      <c r="VI93" s="456"/>
      <c r="VJ93" s="456"/>
      <c r="VK93" s="456"/>
      <c r="VL93" s="456"/>
      <c r="VM93" s="456"/>
      <c r="VN93" s="456"/>
      <c r="VO93" s="456"/>
      <c r="VP93" s="456"/>
      <c r="VQ93" s="456"/>
      <c r="VR93" s="456"/>
      <c r="VS93" s="456"/>
      <c r="VT93" s="456"/>
      <c r="VU93" s="456"/>
      <c r="VV93" s="456"/>
      <c r="VW93" s="456"/>
      <c r="VX93" s="456"/>
      <c r="VY93" s="456"/>
      <c r="VZ93" s="456"/>
      <c r="WA93" s="456"/>
      <c r="WB93" s="456"/>
      <c r="WC93" s="456"/>
      <c r="WD93" s="456"/>
      <c r="WE93" s="456"/>
      <c r="WF93" s="456"/>
      <c r="WG93" s="456"/>
      <c r="WH93" s="456"/>
      <c r="WI93" s="456"/>
      <c r="WJ93" s="456"/>
      <c r="WK93" s="456"/>
      <c r="WL93" s="456"/>
      <c r="WM93" s="456"/>
      <c r="WN93" s="456"/>
      <c r="WO93" s="456"/>
      <c r="WP93" s="456"/>
      <c r="WQ93" s="456"/>
      <c r="WR93" s="456"/>
      <c r="WS93" s="456"/>
      <c r="WT93" s="456"/>
      <c r="WU93" s="456"/>
      <c r="WV93" s="456"/>
      <c r="WW93" s="456"/>
      <c r="WX93" s="456"/>
      <c r="WY93" s="456"/>
      <c r="WZ93" s="456"/>
      <c r="XA93" s="456"/>
      <c r="XB93" s="456"/>
      <c r="XC93" s="456"/>
      <c r="XD93" s="456"/>
      <c r="XE93" s="456"/>
      <c r="XF93" s="456"/>
      <c r="XG93" s="456"/>
      <c r="XH93" s="456"/>
      <c r="XI93" s="456"/>
      <c r="XJ93" s="456"/>
      <c r="XK93" s="456"/>
      <c r="XL93" s="456"/>
      <c r="XM93" s="456"/>
      <c r="XN93" s="456"/>
      <c r="XO93" s="456"/>
      <c r="XP93" s="456"/>
      <c r="XQ93" s="456"/>
      <c r="XR93" s="456"/>
      <c r="XS93" s="456"/>
      <c r="XT93" s="456"/>
      <c r="XU93" s="456"/>
      <c r="XV93" s="456"/>
      <c r="XW93" s="456"/>
      <c r="XX93" s="456"/>
      <c r="XY93" s="456"/>
      <c r="XZ93" s="456"/>
      <c r="YA93" s="456"/>
      <c r="YB93" s="456"/>
      <c r="YC93" s="456"/>
      <c r="YD93" s="456"/>
      <c r="YE93" s="456"/>
      <c r="YF93" s="456"/>
      <c r="YG93" s="456"/>
      <c r="YH93" s="456"/>
      <c r="YI93" s="456"/>
      <c r="YJ93" s="456"/>
      <c r="YK93" s="456"/>
      <c r="YL93" s="456"/>
      <c r="YM93" s="456"/>
      <c r="YN93" s="456"/>
      <c r="YO93" s="456"/>
      <c r="YP93" s="456"/>
      <c r="YQ93" s="456"/>
      <c r="YR93" s="456"/>
      <c r="YS93" s="456"/>
      <c r="YT93" s="456"/>
      <c r="YU93" s="456"/>
      <c r="YV93" s="456"/>
      <c r="YW93" s="456"/>
      <c r="YX93" s="456"/>
      <c r="YY93" s="456"/>
      <c r="YZ93" s="456"/>
      <c r="ZA93" s="456"/>
      <c r="ZB93" s="456"/>
      <c r="ZC93" s="456"/>
      <c r="ZD93" s="456"/>
      <c r="ZE93" s="456"/>
      <c r="ZF93" s="456"/>
      <c r="ZG93" s="456"/>
      <c r="ZH93" s="456"/>
      <c r="ZI93" s="456"/>
      <c r="ZJ93" s="456"/>
      <c r="ZK93" s="456"/>
      <c r="ZL93" s="456"/>
      <c r="ZM93" s="456"/>
      <c r="ZN93" s="456"/>
      <c r="ZO93" s="456"/>
      <c r="ZP93" s="456"/>
      <c r="ZQ93" s="456"/>
      <c r="ZR93" s="456"/>
      <c r="ZS93" s="456"/>
      <c r="ZT93" s="456"/>
      <c r="ZU93" s="456"/>
      <c r="ZV93" s="456"/>
      <c r="ZW93" s="456"/>
      <c r="ZX93" s="456"/>
      <c r="ZY93" s="456"/>
      <c r="ZZ93" s="456"/>
      <c r="AAA93" s="456"/>
      <c r="AAB93" s="456"/>
      <c r="AAC93" s="456"/>
      <c r="AAD93" s="456"/>
      <c r="AAE93" s="456"/>
      <c r="AAF93" s="456"/>
      <c r="AAG93" s="456"/>
      <c r="AAH93" s="456"/>
      <c r="AAI93" s="456"/>
      <c r="AAJ93" s="456"/>
      <c r="AAK93" s="456"/>
      <c r="AAL93" s="456"/>
      <c r="AAM93" s="456"/>
      <c r="AAN93" s="456"/>
      <c r="AAO93" s="456"/>
      <c r="AAP93" s="456"/>
      <c r="AAQ93" s="456"/>
      <c r="AAR93" s="456"/>
      <c r="AAS93" s="456"/>
      <c r="AAT93" s="456"/>
      <c r="AAU93" s="456"/>
      <c r="AAV93" s="456"/>
      <c r="AAW93" s="456"/>
      <c r="AAX93" s="456"/>
      <c r="AAY93" s="456"/>
      <c r="AAZ93" s="456"/>
      <c r="ABA93" s="456"/>
      <c r="ABB93" s="456"/>
      <c r="ABC93" s="456"/>
      <c r="ABD93" s="456"/>
      <c r="ABE93" s="456"/>
      <c r="ABF93" s="456"/>
      <c r="ABG93" s="456"/>
      <c r="ABH93" s="456"/>
      <c r="ABI93" s="456"/>
      <c r="ABJ93" s="456"/>
      <c r="ABK93" s="456"/>
      <c r="ABL93" s="456"/>
      <c r="ABM93" s="456"/>
      <c r="ABN93" s="456"/>
      <c r="ABO93" s="456"/>
      <c r="ABP93" s="456"/>
      <c r="ABQ93" s="456"/>
      <c r="ABR93" s="456"/>
      <c r="ABS93" s="456"/>
      <c r="ABT93" s="456"/>
      <c r="ABU93" s="456"/>
      <c r="ABV93" s="456"/>
      <c r="ABW93" s="456"/>
      <c r="ABX93" s="456"/>
      <c r="ABY93" s="456"/>
      <c r="ABZ93" s="456"/>
      <c r="ACA93" s="456"/>
      <c r="ACB93" s="456"/>
      <c r="ACC93" s="456"/>
      <c r="ACD93" s="456"/>
      <c r="ACE93" s="456"/>
      <c r="ACF93" s="456"/>
      <c r="ACG93" s="456"/>
      <c r="ACH93" s="456"/>
      <c r="ACI93" s="456"/>
      <c r="ACJ93" s="456"/>
      <c r="ACK93" s="456"/>
      <c r="ACL93" s="456"/>
      <c r="ACM93" s="456"/>
      <c r="ACN93" s="456"/>
      <c r="ACO93" s="456"/>
      <c r="ACP93" s="456"/>
      <c r="ACQ93" s="456"/>
      <c r="ACR93" s="456"/>
      <c r="ACS93" s="456"/>
      <c r="ACT93" s="456"/>
      <c r="ACU93" s="456"/>
      <c r="ACV93" s="456"/>
      <c r="ACW93" s="456"/>
      <c r="ACX93" s="456"/>
      <c r="ACY93" s="456"/>
      <c r="ACZ93" s="456"/>
      <c r="ADA93" s="456"/>
      <c r="ADB93" s="456"/>
      <c r="ADC93" s="456"/>
      <c r="ADD93" s="456"/>
      <c r="ADE93" s="456"/>
      <c r="ADF93" s="456"/>
      <c r="ADG93" s="456"/>
      <c r="ADH93" s="456"/>
      <c r="ADI93" s="456"/>
      <c r="ADJ93" s="456"/>
      <c r="ADK93" s="456"/>
      <c r="ADL93" s="456"/>
      <c r="ADM93" s="456"/>
      <c r="ADN93" s="456"/>
      <c r="ADO93" s="456"/>
      <c r="ADP93" s="456"/>
      <c r="ADQ93" s="456"/>
      <c r="ADR93" s="456"/>
      <c r="ADS93" s="456"/>
      <c r="ADT93" s="456"/>
      <c r="ADU93" s="456"/>
      <c r="ADV93" s="456"/>
      <c r="ADW93" s="456"/>
      <c r="ADX93" s="456"/>
      <c r="ADY93" s="456"/>
      <c r="ADZ93" s="456"/>
      <c r="AEA93" s="456"/>
      <c r="AEB93" s="456"/>
      <c r="AEC93" s="456"/>
      <c r="AED93" s="456"/>
      <c r="AEE93" s="456"/>
      <c r="AEF93" s="456"/>
      <c r="AEG93" s="456"/>
      <c r="AEH93" s="456"/>
      <c r="AEI93" s="456"/>
      <c r="AEJ93" s="456"/>
      <c r="AEK93" s="456"/>
      <c r="AEL93" s="456"/>
      <c r="AEM93" s="456"/>
      <c r="AEN93" s="456"/>
      <c r="AEO93" s="456"/>
      <c r="AEP93" s="456"/>
      <c r="AEQ93" s="456"/>
      <c r="AER93" s="456"/>
      <c r="AES93" s="456"/>
      <c r="AET93" s="456"/>
      <c r="AEU93" s="456"/>
      <c r="AEV93" s="456"/>
      <c r="AEW93" s="456"/>
      <c r="AEX93" s="456"/>
      <c r="AEY93" s="456"/>
      <c r="AEZ93" s="456"/>
      <c r="AFA93" s="456"/>
      <c r="AFB93" s="456"/>
      <c r="AFC93" s="456"/>
      <c r="AFD93" s="456"/>
      <c r="AFE93" s="456"/>
      <c r="AFF93" s="456"/>
      <c r="AFG93" s="456"/>
      <c r="AFH93" s="456"/>
      <c r="AFI93" s="456"/>
      <c r="AFJ93" s="456"/>
      <c r="AFK93" s="456"/>
      <c r="AFL93" s="456"/>
      <c r="AFM93" s="456"/>
      <c r="AFN93" s="456"/>
      <c r="AFO93" s="456"/>
      <c r="AFP93" s="456"/>
      <c r="AFQ93" s="456"/>
      <c r="AFR93" s="456"/>
      <c r="AFS93" s="456"/>
      <c r="AFT93" s="456"/>
      <c r="AFU93" s="456"/>
      <c r="AFV93" s="456"/>
      <c r="AFW93" s="456"/>
      <c r="AFX93" s="456"/>
      <c r="AFY93" s="456"/>
      <c r="AFZ93" s="456"/>
      <c r="AGA93" s="456"/>
      <c r="AGB93" s="456"/>
      <c r="AGC93" s="456"/>
      <c r="AGD93" s="456"/>
      <c r="AGE93" s="456"/>
      <c r="AGF93" s="456"/>
      <c r="AGG93" s="456"/>
      <c r="AGH93" s="456"/>
      <c r="AGI93" s="456"/>
      <c r="AGJ93" s="456"/>
      <c r="AGK93" s="456"/>
      <c r="AGL93" s="456"/>
      <c r="AGM93" s="456"/>
      <c r="AGN93" s="456"/>
      <c r="AGO93" s="456"/>
      <c r="AGP93" s="456"/>
      <c r="AGQ93" s="456"/>
      <c r="AGR93" s="456"/>
      <c r="AGS93" s="456"/>
      <c r="AGT93" s="456"/>
      <c r="AGU93" s="456"/>
      <c r="AGV93" s="456"/>
      <c r="AGW93" s="456"/>
      <c r="AGX93" s="456"/>
      <c r="AGY93" s="456"/>
      <c r="AGZ93" s="456"/>
      <c r="AHA93" s="456"/>
      <c r="AHB93" s="456"/>
      <c r="AHC93" s="456"/>
      <c r="AHD93" s="456"/>
      <c r="AHE93" s="456"/>
      <c r="AHF93" s="456"/>
      <c r="AHG93" s="456"/>
      <c r="AHH93" s="456"/>
      <c r="AHI93" s="456"/>
      <c r="AHJ93" s="456"/>
      <c r="AHK93" s="456"/>
      <c r="AHL93" s="456"/>
      <c r="AHM93" s="456"/>
      <c r="AHN93" s="456"/>
      <c r="AHO93" s="456"/>
      <c r="AHP93" s="456"/>
      <c r="AHQ93" s="456"/>
      <c r="AHR93" s="456"/>
      <c r="AHS93" s="456"/>
      <c r="AHT93" s="456"/>
      <c r="AHU93" s="456"/>
      <c r="AHV93" s="456"/>
      <c r="AHW93" s="456"/>
      <c r="AHX93" s="456"/>
      <c r="AHY93" s="456"/>
      <c r="AHZ93" s="456"/>
      <c r="AIA93" s="456"/>
      <c r="AIB93" s="456"/>
      <c r="AIC93" s="456"/>
      <c r="AID93" s="456"/>
      <c r="AIE93" s="456"/>
      <c r="AIF93" s="456"/>
      <c r="AIG93" s="456"/>
      <c r="AIH93" s="456"/>
      <c r="AII93" s="456"/>
      <c r="AIJ93" s="456"/>
      <c r="AIK93" s="456"/>
      <c r="AIL93" s="456"/>
      <c r="AIM93" s="456"/>
      <c r="AIN93" s="456"/>
      <c r="AIO93" s="456"/>
      <c r="AIP93" s="456"/>
      <c r="AIQ93" s="456"/>
      <c r="AIR93" s="456"/>
      <c r="AIS93" s="456"/>
      <c r="AIT93" s="456"/>
      <c r="AIU93" s="456"/>
      <c r="AIV93" s="456"/>
      <c r="AIW93" s="456"/>
      <c r="AIX93" s="456"/>
      <c r="AIY93" s="456"/>
      <c r="AIZ93" s="456"/>
      <c r="AJA93" s="456"/>
      <c r="AJB93" s="456"/>
      <c r="AJC93" s="456"/>
      <c r="AJD93" s="456"/>
      <c r="AJE93" s="456"/>
      <c r="AJF93" s="456"/>
      <c r="AJG93" s="456"/>
      <c r="AJH93" s="456"/>
      <c r="AJI93" s="456"/>
      <c r="AJJ93" s="456"/>
      <c r="AJK93" s="456"/>
      <c r="AJL93" s="456"/>
      <c r="AJM93" s="456"/>
      <c r="AJN93" s="456"/>
      <c r="AJO93" s="456"/>
      <c r="AJP93" s="456"/>
      <c r="AJQ93" s="456"/>
      <c r="AJR93" s="456"/>
      <c r="AJS93" s="456"/>
      <c r="AJT93" s="456"/>
      <c r="AJU93" s="456"/>
      <c r="AJV93" s="456"/>
      <c r="AJW93" s="456"/>
      <c r="AJX93" s="456"/>
      <c r="AJY93" s="456"/>
      <c r="AJZ93" s="456"/>
      <c r="AKA93" s="456"/>
      <c r="AKB93" s="456"/>
      <c r="AKC93" s="456"/>
      <c r="AKD93" s="456"/>
      <c r="AKE93" s="456"/>
      <c r="AKF93" s="456"/>
      <c r="AKG93" s="456"/>
      <c r="AKH93" s="456"/>
      <c r="AKI93" s="456"/>
      <c r="AKJ93" s="456"/>
      <c r="AKK93" s="456"/>
      <c r="AKL93" s="456"/>
      <c r="AKM93" s="456"/>
      <c r="AKN93" s="456"/>
      <c r="AKO93" s="456"/>
      <c r="AKP93" s="456"/>
      <c r="AKQ93" s="456"/>
      <c r="AKR93" s="456"/>
      <c r="AKS93" s="456"/>
      <c r="AKT93" s="456"/>
      <c r="AKU93" s="456"/>
      <c r="AKV93" s="456"/>
      <c r="AKW93" s="456"/>
      <c r="AKX93" s="456"/>
      <c r="AKY93" s="456"/>
      <c r="AKZ93" s="456"/>
      <c r="ALA93" s="456"/>
      <c r="ALB93" s="456"/>
      <c r="ALC93" s="456"/>
      <c r="ALD93" s="456"/>
      <c r="ALE93" s="456"/>
      <c r="ALF93" s="456"/>
      <c r="ALG93" s="456"/>
      <c r="ALH93" s="456"/>
      <c r="ALI93" s="456"/>
      <c r="ALJ93" s="456"/>
      <c r="ALK93" s="456"/>
      <c r="ALL93" s="456"/>
      <c r="ALM93" s="456"/>
      <c r="ALN93" s="456"/>
      <c r="ALO93" s="456"/>
      <c r="ALP93" s="456"/>
      <c r="ALQ93" s="456"/>
      <c r="ALR93" s="456"/>
      <c r="ALS93" s="456"/>
      <c r="ALT93" s="456"/>
      <c r="ALU93" s="456"/>
      <c r="ALV93" s="456"/>
      <c r="ALW93" s="456"/>
      <c r="ALX93" s="456"/>
      <c r="ALY93" s="456"/>
      <c r="ALZ93" s="456"/>
      <c r="AMA93" s="456"/>
      <c r="AMB93" s="456"/>
      <c r="AMC93" s="456"/>
      <c r="AMD93" s="456"/>
      <c r="AME93" s="456"/>
      <c r="AMF93" s="456"/>
      <c r="AMG93" s="456"/>
      <c r="AMH93" s="456"/>
      <c r="AMI93" s="456"/>
      <c r="AMJ93" s="456"/>
      <c r="AMK93" s="456"/>
      <c r="AML93" s="456"/>
      <c r="AMM93" s="456"/>
      <c r="AMN93" s="456"/>
      <c r="AMO93" s="456"/>
      <c r="AMP93" s="456"/>
      <c r="AMQ93" s="456"/>
      <c r="AMR93" s="456"/>
      <c r="AMS93" s="456"/>
      <c r="AMT93" s="456"/>
      <c r="AMU93" s="456"/>
      <c r="AMV93" s="456"/>
      <c r="AMW93" s="456"/>
      <c r="AMX93" s="456"/>
      <c r="AMY93" s="456"/>
      <c r="AMZ93" s="456"/>
      <c r="ANA93" s="456"/>
      <c r="ANB93" s="456"/>
      <c r="ANC93" s="456"/>
      <c r="AND93" s="456"/>
      <c r="ANE93" s="456"/>
      <c r="ANF93" s="456"/>
      <c r="ANG93" s="456"/>
      <c r="ANH93" s="456"/>
      <c r="ANI93" s="456"/>
      <c r="ANJ93" s="456"/>
      <c r="ANK93" s="456"/>
      <c r="ANL93" s="456"/>
      <c r="ANM93" s="456"/>
      <c r="ANN93" s="456"/>
      <c r="ANO93" s="456"/>
      <c r="ANP93" s="456"/>
      <c r="ANQ93" s="456"/>
      <c r="ANR93" s="456"/>
      <c r="ANS93" s="456"/>
      <c r="ANT93" s="456"/>
      <c r="ANU93" s="456"/>
      <c r="ANV93" s="456"/>
      <c r="ANW93" s="456"/>
      <c r="ANX93" s="456"/>
      <c r="ANY93" s="456"/>
      <c r="ANZ93" s="456"/>
      <c r="AOA93" s="456"/>
      <c r="AOB93" s="456"/>
      <c r="AOC93" s="456"/>
      <c r="AOD93" s="456"/>
      <c r="AOE93" s="456"/>
      <c r="AOF93" s="456"/>
      <c r="AOG93" s="456"/>
      <c r="AOH93" s="456"/>
      <c r="AOI93" s="456"/>
      <c r="AOJ93" s="456"/>
      <c r="AOK93" s="456"/>
      <c r="AOL93" s="456"/>
      <c r="AOM93" s="456"/>
      <c r="AON93" s="456"/>
      <c r="AOO93" s="456"/>
      <c r="AOP93" s="456"/>
      <c r="AOQ93" s="456"/>
      <c r="AOR93" s="456"/>
      <c r="AOS93" s="456"/>
      <c r="AOT93" s="456"/>
      <c r="AOU93" s="456"/>
      <c r="AOV93" s="456"/>
      <c r="AOW93" s="456"/>
      <c r="AOX93" s="456"/>
      <c r="AOY93" s="456"/>
      <c r="AOZ93" s="456"/>
      <c r="APA93" s="456"/>
      <c r="APB93" s="456"/>
      <c r="APC93" s="456"/>
      <c r="APD93" s="456"/>
      <c r="APE93" s="456"/>
      <c r="APF93" s="456"/>
      <c r="APG93" s="456"/>
      <c r="APH93" s="456"/>
      <c r="API93" s="456"/>
      <c r="APJ93" s="456"/>
      <c r="APK93" s="456"/>
      <c r="APL93" s="456"/>
      <c r="APM93" s="456"/>
      <c r="APN93" s="456"/>
      <c r="APO93" s="456"/>
      <c r="APP93" s="456"/>
      <c r="APQ93" s="456"/>
      <c r="APR93" s="456"/>
      <c r="APS93" s="456"/>
      <c r="APT93" s="456"/>
      <c r="APU93" s="456"/>
      <c r="APV93" s="456"/>
      <c r="APW93" s="456"/>
      <c r="APX93" s="456"/>
      <c r="APY93" s="456"/>
      <c r="APZ93" s="456"/>
      <c r="AQA93" s="456"/>
      <c r="AQB93" s="456"/>
      <c r="AQC93" s="456"/>
      <c r="AQD93" s="456"/>
      <c r="AQE93" s="456"/>
      <c r="AQF93" s="456"/>
      <c r="AQG93" s="456"/>
      <c r="AQH93" s="456"/>
      <c r="AQI93" s="456"/>
      <c r="AQJ93" s="456"/>
      <c r="AQK93" s="456"/>
      <c r="AQL93" s="456"/>
      <c r="AQM93" s="456"/>
      <c r="AQN93" s="456"/>
      <c r="AQO93" s="456"/>
      <c r="AQP93" s="456"/>
      <c r="AQQ93" s="456"/>
      <c r="AQR93" s="456"/>
      <c r="AQS93" s="456"/>
      <c r="AQT93" s="456"/>
      <c r="AQU93" s="456"/>
      <c r="AQV93" s="456"/>
      <c r="AQW93" s="456"/>
      <c r="AQX93" s="456"/>
      <c r="AQY93" s="456"/>
      <c r="AQZ93" s="456"/>
      <c r="ARA93" s="456"/>
      <c r="ARB93" s="456"/>
      <c r="ARC93" s="456"/>
      <c r="ARD93" s="456"/>
      <c r="ARE93" s="456"/>
      <c r="ARF93" s="456"/>
      <c r="ARG93" s="456"/>
      <c r="ARH93" s="456"/>
      <c r="ARI93" s="456"/>
      <c r="ARJ93" s="456"/>
      <c r="ARK93" s="456"/>
      <c r="ARL93" s="456"/>
      <c r="ARM93" s="456"/>
      <c r="ARN93" s="456"/>
      <c r="ARO93" s="456"/>
      <c r="ARP93" s="456"/>
      <c r="ARQ93" s="456"/>
      <c r="ARR93" s="456"/>
      <c r="ARS93" s="456"/>
      <c r="ART93" s="456"/>
      <c r="ARU93" s="456"/>
      <c r="ARV93" s="456"/>
      <c r="ARW93" s="456"/>
      <c r="ARX93" s="456"/>
      <c r="ARY93" s="456"/>
      <c r="ARZ93" s="456"/>
      <c r="ASA93" s="456"/>
      <c r="ASB93" s="456"/>
      <c r="ASC93" s="456"/>
      <c r="ASD93" s="456"/>
      <c r="ASE93" s="456"/>
      <c r="ASF93" s="456"/>
      <c r="ASG93" s="456"/>
      <c r="ASH93" s="456"/>
      <c r="ASI93" s="456"/>
      <c r="ASJ93" s="456"/>
      <c r="ASK93" s="456"/>
      <c r="ASL93" s="456"/>
      <c r="ASM93" s="456"/>
      <c r="ASN93" s="456"/>
      <c r="ASO93" s="456"/>
      <c r="ASP93" s="456"/>
      <c r="ASQ93" s="456"/>
      <c r="ASR93" s="456"/>
      <c r="ASS93" s="456"/>
      <c r="AST93" s="456"/>
      <c r="ASU93" s="456"/>
      <c r="ASV93" s="456"/>
      <c r="ASW93" s="456"/>
      <c r="ASX93" s="456"/>
      <c r="ASY93" s="456"/>
      <c r="ASZ93" s="456"/>
      <c r="ATA93" s="456"/>
      <c r="ATB93" s="456"/>
      <c r="ATC93" s="456"/>
      <c r="ATD93" s="456"/>
      <c r="ATE93" s="456"/>
      <c r="ATF93" s="456"/>
      <c r="ATG93" s="456"/>
      <c r="ATH93" s="456"/>
      <c r="ATI93" s="456"/>
      <c r="ATJ93" s="456"/>
      <c r="ATK93" s="456"/>
      <c r="ATL93" s="456"/>
      <c r="ATM93" s="456"/>
      <c r="ATN93" s="456"/>
      <c r="ATO93" s="456"/>
      <c r="ATP93" s="456"/>
      <c r="ATQ93" s="456"/>
      <c r="ATR93" s="456"/>
      <c r="ATS93" s="456"/>
      <c r="ATT93" s="456"/>
      <c r="ATU93" s="456"/>
      <c r="ATV93" s="456"/>
      <c r="ATW93" s="456"/>
      <c r="ATX93" s="456"/>
      <c r="ATY93" s="456"/>
      <c r="ATZ93" s="456"/>
      <c r="AUA93" s="456"/>
      <c r="AUB93" s="456"/>
      <c r="AUC93" s="456"/>
      <c r="AUD93" s="456"/>
      <c r="AUE93" s="456"/>
      <c r="AUF93" s="456"/>
      <c r="AUG93" s="456"/>
      <c r="AUH93" s="456"/>
      <c r="AUI93" s="456"/>
      <c r="AUJ93" s="456"/>
      <c r="AUK93" s="456"/>
      <c r="AUL93" s="456"/>
      <c r="AUM93" s="456"/>
      <c r="AUN93" s="456"/>
      <c r="AUO93" s="456"/>
      <c r="AUP93" s="456"/>
      <c r="AUQ93" s="456"/>
      <c r="AUR93" s="456"/>
      <c r="AUS93" s="456"/>
      <c r="AUT93" s="456"/>
      <c r="AUU93" s="456"/>
      <c r="AUV93" s="456"/>
      <c r="AUW93" s="456"/>
      <c r="AUX93" s="456"/>
      <c r="AUY93" s="456"/>
      <c r="AUZ93" s="456"/>
      <c r="AVA93" s="456"/>
      <c r="AVB93" s="456"/>
      <c r="AVC93" s="456"/>
      <c r="AVD93" s="456"/>
      <c r="AVE93" s="456"/>
      <c r="AVF93" s="456"/>
      <c r="AVG93" s="456"/>
      <c r="AVH93" s="456"/>
      <c r="AVI93" s="456"/>
      <c r="AVJ93" s="456"/>
      <c r="AVK93" s="456"/>
      <c r="AVL93" s="456"/>
      <c r="AVM93" s="456"/>
      <c r="AVN93" s="456"/>
      <c r="AVO93" s="456"/>
      <c r="AVP93" s="456"/>
      <c r="AVQ93" s="456"/>
      <c r="AVR93" s="456"/>
      <c r="AVS93" s="456"/>
      <c r="AVT93" s="456"/>
      <c r="AVU93" s="456"/>
      <c r="AVV93" s="456"/>
      <c r="AVW93" s="456"/>
      <c r="AVX93" s="456"/>
      <c r="AVY93" s="456"/>
      <c r="AVZ93" s="456"/>
      <c r="AWA93" s="456"/>
      <c r="AWB93" s="456"/>
      <c r="AWC93" s="456"/>
      <c r="AWD93" s="456"/>
      <c r="AWE93" s="456"/>
      <c r="AWF93" s="456"/>
      <c r="AWG93" s="456"/>
      <c r="AWH93" s="456"/>
      <c r="AWI93" s="456"/>
      <c r="AWJ93" s="456"/>
      <c r="AWK93" s="456"/>
      <c r="AWL93" s="456"/>
      <c r="AWM93" s="456"/>
      <c r="AWN93" s="456"/>
      <c r="AWO93" s="456"/>
      <c r="AWP93" s="456"/>
      <c r="AWQ93" s="456"/>
      <c r="AWR93" s="456"/>
      <c r="AWS93" s="456"/>
      <c r="AWT93" s="456"/>
      <c r="AWU93" s="456"/>
      <c r="AWV93" s="456"/>
      <c r="AWW93" s="456"/>
      <c r="AWX93" s="456"/>
      <c r="AWY93" s="456"/>
      <c r="AWZ93" s="456"/>
      <c r="AXA93" s="456"/>
      <c r="AXB93" s="456"/>
      <c r="AXC93" s="456"/>
      <c r="AXD93" s="456"/>
      <c r="AXE93" s="456"/>
      <c r="AXF93" s="456"/>
      <c r="AXG93" s="456"/>
      <c r="AXH93" s="456"/>
      <c r="AXI93" s="456"/>
      <c r="AXJ93" s="456"/>
      <c r="AXK93" s="456"/>
      <c r="AXL93" s="456"/>
      <c r="AXM93" s="456"/>
      <c r="AXN93" s="456"/>
      <c r="AXO93" s="456"/>
      <c r="AXP93" s="456"/>
      <c r="AXQ93" s="456"/>
      <c r="AXR93" s="456"/>
      <c r="AXS93" s="456"/>
      <c r="AXT93" s="456"/>
      <c r="AXU93" s="456"/>
      <c r="AXV93" s="456"/>
      <c r="AXW93" s="456"/>
      <c r="AXX93" s="456"/>
      <c r="AXY93" s="456"/>
      <c r="AXZ93" s="456"/>
      <c r="AYA93" s="456"/>
      <c r="AYB93" s="456"/>
      <c r="AYC93" s="456"/>
      <c r="AYD93" s="456"/>
      <c r="AYE93" s="456"/>
      <c r="AYF93" s="456"/>
      <c r="AYG93" s="456"/>
      <c r="AYH93" s="456"/>
      <c r="AYI93" s="456"/>
      <c r="AYJ93" s="456"/>
      <c r="AYK93" s="456"/>
      <c r="AYL93" s="456"/>
      <c r="AYM93" s="456"/>
      <c r="AYN93" s="456"/>
      <c r="AYO93" s="456"/>
      <c r="AYP93" s="456"/>
      <c r="AYQ93" s="456"/>
      <c r="AYR93" s="456"/>
      <c r="AYS93" s="456"/>
      <c r="AYT93" s="456"/>
      <c r="AYU93" s="456"/>
      <c r="AYV93" s="456"/>
      <c r="AYW93" s="456"/>
      <c r="AYX93" s="456"/>
      <c r="AYY93" s="456"/>
      <c r="AYZ93" s="456"/>
      <c r="AZA93" s="456"/>
      <c r="AZB93" s="456"/>
      <c r="AZC93" s="456"/>
      <c r="AZD93" s="456"/>
      <c r="AZE93" s="456"/>
      <c r="AZF93" s="456"/>
      <c r="AZG93" s="456"/>
      <c r="AZH93" s="456"/>
      <c r="AZI93" s="456"/>
      <c r="AZJ93" s="456"/>
      <c r="AZK93" s="456"/>
      <c r="AZL93" s="456"/>
      <c r="AZM93" s="456"/>
      <c r="AZN93" s="456"/>
      <c r="AZO93" s="456"/>
      <c r="AZP93" s="456"/>
      <c r="AZQ93" s="456"/>
      <c r="AZR93" s="456"/>
      <c r="AZS93" s="456"/>
      <c r="AZT93" s="456"/>
      <c r="AZU93" s="456"/>
      <c r="AZV93" s="456"/>
      <c r="AZW93" s="456"/>
      <c r="AZX93" s="456"/>
      <c r="AZY93" s="456"/>
      <c r="AZZ93" s="456"/>
      <c r="BAA93" s="456"/>
      <c r="BAB93" s="456"/>
      <c r="BAC93" s="456"/>
      <c r="BAD93" s="456"/>
      <c r="BAE93" s="456"/>
      <c r="BAF93" s="456"/>
      <c r="BAG93" s="456"/>
      <c r="BAH93" s="456"/>
      <c r="BAI93" s="456"/>
      <c r="BAJ93" s="456"/>
      <c r="BAK93" s="456"/>
      <c r="BAL93" s="456"/>
      <c r="BAM93" s="456"/>
      <c r="BAN93" s="456"/>
      <c r="BAO93" s="456"/>
      <c r="BAP93" s="456"/>
      <c r="BAQ93" s="456"/>
      <c r="BAR93" s="456"/>
      <c r="BAS93" s="456"/>
      <c r="BAT93" s="456"/>
      <c r="BAU93" s="456"/>
      <c r="BAV93" s="456"/>
      <c r="BAW93" s="456"/>
      <c r="BAX93" s="456"/>
      <c r="BAY93" s="456"/>
      <c r="BAZ93" s="456"/>
      <c r="BBA93" s="456"/>
      <c r="BBB93" s="456"/>
      <c r="BBC93" s="456"/>
      <c r="BBD93" s="456"/>
      <c r="BBE93" s="456"/>
      <c r="BBF93" s="456"/>
      <c r="BBG93" s="456"/>
      <c r="BBH93" s="456"/>
      <c r="BBI93" s="456"/>
      <c r="BBJ93" s="456"/>
      <c r="BBK93" s="456"/>
      <c r="BBL93" s="456"/>
      <c r="BBM93" s="456"/>
      <c r="BBN93" s="456"/>
      <c r="BBO93" s="456"/>
      <c r="BBP93" s="456"/>
      <c r="BBQ93" s="456"/>
      <c r="BBR93" s="456"/>
      <c r="BBS93" s="456"/>
      <c r="BBT93" s="456"/>
      <c r="BBU93" s="456"/>
      <c r="BBV93" s="456"/>
      <c r="BBW93" s="456"/>
      <c r="BBX93" s="456"/>
      <c r="BBY93" s="456"/>
      <c r="BBZ93" s="456"/>
      <c r="BCA93" s="456"/>
      <c r="BCB93" s="456"/>
      <c r="BCC93" s="456"/>
      <c r="BCD93" s="456"/>
      <c r="BCE93" s="456"/>
      <c r="BCF93" s="456"/>
      <c r="BCG93" s="456"/>
      <c r="BCH93" s="456"/>
      <c r="BCI93" s="456"/>
      <c r="BCJ93" s="456"/>
      <c r="BCK93" s="456"/>
      <c r="BCL93" s="456"/>
      <c r="BCM93" s="456"/>
      <c r="BCN93" s="456"/>
      <c r="BCO93" s="456"/>
      <c r="BCP93" s="456"/>
      <c r="BCQ93" s="456"/>
      <c r="BCR93" s="456"/>
      <c r="BCS93" s="456"/>
      <c r="BCT93" s="456"/>
      <c r="BCU93" s="456"/>
      <c r="BCV93" s="456"/>
      <c r="BCW93" s="456"/>
      <c r="BCX93" s="456"/>
      <c r="BCY93" s="456"/>
      <c r="BCZ93" s="456"/>
      <c r="BDA93" s="456"/>
      <c r="BDB93" s="456"/>
      <c r="BDC93" s="456"/>
      <c r="BDD93" s="456"/>
      <c r="BDE93" s="456"/>
      <c r="BDF93" s="456"/>
      <c r="BDG93" s="456"/>
      <c r="BDH93" s="456"/>
      <c r="BDI93" s="456"/>
      <c r="BDJ93" s="456"/>
      <c r="BDK93" s="456"/>
      <c r="BDL93" s="456"/>
      <c r="BDM93" s="456"/>
      <c r="BDN93" s="456"/>
      <c r="BDO93" s="456"/>
      <c r="BDP93" s="456"/>
      <c r="BDQ93" s="456"/>
      <c r="BDR93" s="456"/>
      <c r="BDS93" s="456"/>
      <c r="BDT93" s="456"/>
      <c r="BDU93" s="456"/>
      <c r="BDV93" s="456"/>
      <c r="BDW93" s="456"/>
      <c r="BDX93" s="456"/>
      <c r="BDY93" s="456"/>
      <c r="BDZ93" s="456"/>
      <c r="BEA93" s="456"/>
      <c r="BEB93" s="456"/>
      <c r="BEC93" s="456"/>
      <c r="BED93" s="456"/>
      <c r="BEE93" s="456"/>
      <c r="BEF93" s="456"/>
      <c r="BEG93" s="456"/>
      <c r="BEH93" s="456"/>
      <c r="BEI93" s="456"/>
      <c r="BEJ93" s="456"/>
      <c r="BEK93" s="456"/>
      <c r="BEL93" s="456"/>
      <c r="BEM93" s="456"/>
      <c r="BEN93" s="456"/>
      <c r="BEO93" s="456"/>
      <c r="BEP93" s="456"/>
      <c r="BEQ93" s="456"/>
      <c r="BER93" s="456"/>
      <c r="BES93" s="456"/>
      <c r="BET93" s="456"/>
      <c r="BEU93" s="456"/>
      <c r="BEV93" s="456"/>
      <c r="BEW93" s="456"/>
      <c r="BEX93" s="456"/>
      <c r="BEY93" s="456"/>
      <c r="BEZ93" s="456"/>
      <c r="BFA93" s="456"/>
      <c r="BFB93" s="456"/>
      <c r="BFC93" s="456"/>
      <c r="BFD93" s="456"/>
      <c r="BFE93" s="456"/>
      <c r="BFF93" s="456"/>
      <c r="BFG93" s="456"/>
      <c r="BFH93" s="456"/>
      <c r="BFI93" s="456"/>
      <c r="BFJ93" s="456"/>
      <c r="BFK93" s="456"/>
      <c r="BFL93" s="456"/>
      <c r="BFM93" s="456"/>
      <c r="BFN93" s="456"/>
      <c r="BFO93" s="456"/>
      <c r="BFP93" s="456"/>
      <c r="BFQ93" s="456"/>
      <c r="BFR93" s="456"/>
      <c r="BFS93" s="456"/>
      <c r="BFT93" s="456"/>
      <c r="BFU93" s="456"/>
      <c r="BFV93" s="456"/>
      <c r="BFW93" s="456"/>
      <c r="BFX93" s="456"/>
      <c r="BFY93" s="456"/>
      <c r="BFZ93" s="456"/>
      <c r="BGA93" s="456"/>
      <c r="BGB93" s="456"/>
      <c r="BGC93" s="456"/>
      <c r="BGD93" s="456"/>
      <c r="BGE93" s="456"/>
      <c r="BGF93" s="456"/>
      <c r="BGG93" s="456"/>
      <c r="BGH93" s="456"/>
      <c r="BGI93" s="456"/>
      <c r="BGJ93" s="456"/>
      <c r="BGK93" s="456"/>
      <c r="BGL93" s="456"/>
      <c r="BGM93" s="456"/>
      <c r="BGN93" s="456"/>
      <c r="BGO93" s="456"/>
      <c r="BGP93" s="456"/>
      <c r="BGQ93" s="456"/>
      <c r="BGR93" s="456"/>
      <c r="BGS93" s="456"/>
      <c r="BGT93" s="456"/>
      <c r="BGU93" s="456"/>
      <c r="BGV93" s="456"/>
      <c r="BGW93" s="456"/>
      <c r="BGX93" s="456"/>
      <c r="BGY93" s="456"/>
      <c r="BGZ93" s="456"/>
      <c r="BHA93" s="456"/>
      <c r="BHB93" s="456"/>
      <c r="BHC93" s="456"/>
      <c r="BHD93" s="456"/>
      <c r="BHE93" s="456"/>
      <c r="BHF93" s="456"/>
      <c r="BHG93" s="456"/>
      <c r="BHH93" s="456"/>
      <c r="BHI93" s="456"/>
      <c r="BHJ93" s="456"/>
      <c r="BHK93" s="456"/>
      <c r="BHL93" s="456"/>
      <c r="BHM93" s="456"/>
      <c r="BHN93" s="456"/>
      <c r="BHO93" s="456"/>
      <c r="BHP93" s="456"/>
      <c r="BHQ93" s="456"/>
      <c r="BHR93" s="456"/>
      <c r="BHS93" s="456"/>
      <c r="BHT93" s="456"/>
      <c r="BHU93" s="456"/>
      <c r="BHV93" s="456"/>
      <c r="BHW93" s="456"/>
      <c r="BHX93" s="456"/>
      <c r="BHY93" s="456"/>
      <c r="BHZ93" s="456"/>
      <c r="BIA93" s="456"/>
      <c r="BIB93" s="456"/>
      <c r="BIC93" s="456"/>
      <c r="BID93" s="456"/>
      <c r="BIE93" s="456"/>
      <c r="BIF93" s="456"/>
      <c r="BIG93" s="456"/>
      <c r="BIH93" s="456"/>
      <c r="BII93" s="456"/>
      <c r="BIJ93" s="456"/>
      <c r="BIK93" s="456"/>
      <c r="BIL93" s="456"/>
      <c r="BIM93" s="456"/>
      <c r="BIN93" s="456"/>
      <c r="BIO93" s="456"/>
      <c r="BIP93" s="456"/>
      <c r="BIQ93" s="456"/>
      <c r="BIR93" s="456"/>
      <c r="BIS93" s="456"/>
      <c r="BIT93" s="456"/>
      <c r="BIU93" s="456"/>
      <c r="BIV93" s="456"/>
      <c r="BIW93" s="456"/>
      <c r="BIX93" s="456"/>
      <c r="BIY93" s="456"/>
      <c r="BIZ93" s="456"/>
      <c r="BJA93" s="456"/>
      <c r="BJB93" s="456"/>
      <c r="BJC93" s="456"/>
      <c r="BJD93" s="456"/>
      <c r="BJE93" s="456"/>
      <c r="BJF93" s="456"/>
      <c r="BJG93" s="456"/>
      <c r="BJH93" s="456"/>
      <c r="BJI93" s="456"/>
      <c r="BJJ93" s="456"/>
      <c r="BJK93" s="456"/>
      <c r="BJL93" s="456"/>
      <c r="BJM93" s="456"/>
      <c r="BJN93" s="456"/>
      <c r="BJO93" s="456"/>
      <c r="BJP93" s="456"/>
      <c r="BJQ93" s="456"/>
      <c r="BJR93" s="456"/>
      <c r="BJS93" s="456"/>
      <c r="BJT93" s="456"/>
      <c r="BJU93" s="456"/>
      <c r="BJV93" s="456"/>
      <c r="BJW93" s="456"/>
      <c r="BJX93" s="456"/>
      <c r="BJY93" s="456"/>
      <c r="BJZ93" s="456"/>
      <c r="BKA93" s="456"/>
      <c r="BKB93" s="456"/>
      <c r="BKC93" s="456"/>
      <c r="BKD93" s="456"/>
      <c r="BKE93" s="456"/>
      <c r="BKF93" s="456"/>
      <c r="BKG93" s="456"/>
      <c r="BKH93" s="456"/>
      <c r="BKI93" s="456"/>
      <c r="BKJ93" s="456"/>
      <c r="BKK93" s="456"/>
      <c r="BKL93" s="456"/>
      <c r="BKM93" s="456"/>
      <c r="BKN93" s="456"/>
      <c r="BKO93" s="456"/>
      <c r="BKP93" s="456"/>
      <c r="BKQ93" s="456"/>
      <c r="BKR93" s="456"/>
      <c r="BKS93" s="456"/>
      <c r="BKT93" s="456"/>
      <c r="BKU93" s="456"/>
      <c r="BKV93" s="456"/>
      <c r="BKW93" s="456"/>
      <c r="BKX93" s="456"/>
      <c r="BKY93" s="456"/>
      <c r="BKZ93" s="456"/>
      <c r="BLA93" s="456"/>
      <c r="BLB93" s="456"/>
      <c r="BLC93" s="456"/>
      <c r="BLD93" s="456"/>
      <c r="BLE93" s="456"/>
      <c r="BLF93" s="456"/>
      <c r="BLG93" s="456"/>
      <c r="BLH93" s="456"/>
      <c r="BLI93" s="456"/>
      <c r="BLJ93" s="456"/>
      <c r="BLK93" s="456"/>
      <c r="BLL93" s="456"/>
      <c r="BLM93" s="456"/>
      <c r="BLN93" s="456"/>
      <c r="BLO93" s="456"/>
      <c r="BLP93" s="456"/>
      <c r="BLQ93" s="456"/>
      <c r="BLR93" s="456"/>
      <c r="BLS93" s="456"/>
      <c r="BLT93" s="456"/>
      <c r="BLU93" s="456"/>
      <c r="BLV93" s="456"/>
      <c r="BLW93" s="456"/>
      <c r="BLX93" s="456"/>
      <c r="BLY93" s="456"/>
      <c r="BLZ93" s="456"/>
      <c r="BMA93" s="456"/>
      <c r="BMB93" s="456"/>
      <c r="BMC93" s="456"/>
      <c r="BMD93" s="456"/>
      <c r="BME93" s="456"/>
      <c r="BMF93" s="456"/>
      <c r="BMG93" s="456"/>
      <c r="BMH93" s="456"/>
      <c r="BMI93" s="456"/>
      <c r="BMJ93" s="456"/>
      <c r="BMK93" s="456"/>
      <c r="BML93" s="456"/>
      <c r="BMM93" s="456"/>
      <c r="BMN93" s="456"/>
      <c r="BMO93" s="456"/>
      <c r="BMP93" s="456"/>
      <c r="BMQ93" s="456"/>
      <c r="BMR93" s="456"/>
      <c r="BMS93" s="456"/>
      <c r="BMT93" s="456"/>
      <c r="BMU93" s="456"/>
      <c r="BMV93" s="456"/>
      <c r="BMW93" s="456"/>
      <c r="BMX93" s="456"/>
      <c r="BMY93" s="456"/>
      <c r="BMZ93" s="456"/>
      <c r="BNA93" s="456"/>
      <c r="BNB93" s="456"/>
      <c r="BNC93" s="456"/>
      <c r="BND93" s="456"/>
      <c r="BNE93" s="456"/>
      <c r="BNF93" s="456"/>
      <c r="BNG93" s="456"/>
      <c r="BNH93" s="456"/>
      <c r="BNI93" s="456"/>
      <c r="BNJ93" s="456"/>
      <c r="BNK93" s="456"/>
      <c r="BNL93" s="456"/>
      <c r="BNM93" s="456"/>
      <c r="BNN93" s="456"/>
      <c r="BNO93" s="456"/>
      <c r="BNP93" s="456"/>
      <c r="BNQ93" s="456"/>
      <c r="BNR93" s="456"/>
      <c r="BNS93" s="456"/>
      <c r="BNT93" s="456"/>
      <c r="BNU93" s="456"/>
      <c r="BNV93" s="456"/>
      <c r="BNW93" s="456"/>
      <c r="BNX93" s="456"/>
      <c r="BNY93" s="456"/>
      <c r="BNZ93" s="456"/>
      <c r="BOA93" s="456"/>
      <c r="BOB93" s="456"/>
      <c r="BOC93" s="456"/>
      <c r="BOD93" s="456"/>
      <c r="BOE93" s="456"/>
      <c r="BOF93" s="456"/>
      <c r="BOG93" s="456"/>
      <c r="BOH93" s="456"/>
      <c r="BOI93" s="456"/>
      <c r="BOJ93" s="456"/>
      <c r="BOK93" s="456"/>
      <c r="BOL93" s="456"/>
      <c r="BOM93" s="456"/>
      <c r="BON93" s="456"/>
      <c r="BOO93" s="456"/>
      <c r="BOP93" s="456"/>
      <c r="BOQ93" s="456"/>
      <c r="BOR93" s="456"/>
      <c r="BOS93" s="456"/>
      <c r="BOT93" s="456"/>
      <c r="BOU93" s="456"/>
      <c r="BOV93" s="456"/>
      <c r="BOW93" s="456"/>
      <c r="BOX93" s="456"/>
      <c r="BOY93" s="456"/>
      <c r="BOZ93" s="456"/>
      <c r="BPA93" s="456"/>
      <c r="BPB93" s="456"/>
      <c r="BPC93" s="456"/>
      <c r="BPD93" s="456"/>
      <c r="BPE93" s="456"/>
      <c r="BPF93" s="456"/>
      <c r="BPG93" s="456"/>
      <c r="BPH93" s="456"/>
      <c r="BPI93" s="456"/>
      <c r="BPJ93" s="456"/>
      <c r="BPK93" s="456"/>
      <c r="BPL93" s="456"/>
      <c r="BPM93" s="456"/>
      <c r="BPN93" s="456"/>
      <c r="BPO93" s="456"/>
      <c r="BPP93" s="456"/>
      <c r="BPQ93" s="456"/>
      <c r="BPR93" s="456"/>
      <c r="BPS93" s="456"/>
      <c r="BPT93" s="456"/>
      <c r="BPU93" s="456"/>
      <c r="BPV93" s="456"/>
      <c r="BPW93" s="456"/>
      <c r="BPX93" s="456"/>
      <c r="BPY93" s="456"/>
      <c r="BPZ93" s="456"/>
      <c r="BQA93" s="456"/>
      <c r="BQB93" s="456"/>
      <c r="BQC93" s="456"/>
      <c r="BQD93" s="456"/>
      <c r="BQE93" s="456"/>
      <c r="BQF93" s="456"/>
      <c r="BQG93" s="456"/>
      <c r="BQH93" s="456"/>
      <c r="BQI93" s="456"/>
      <c r="BQJ93" s="456"/>
      <c r="BQK93" s="456"/>
      <c r="BQL93" s="456"/>
      <c r="BQM93" s="456"/>
      <c r="BQN93" s="456"/>
      <c r="BQO93" s="456"/>
      <c r="BQP93" s="456"/>
      <c r="BQQ93" s="456"/>
      <c r="BQR93" s="456"/>
      <c r="BQS93" s="456"/>
      <c r="BQT93" s="456"/>
      <c r="BQU93" s="456"/>
      <c r="BQV93" s="456"/>
      <c r="BQW93" s="456"/>
      <c r="BQX93" s="456"/>
      <c r="BQY93" s="456"/>
      <c r="BQZ93" s="456"/>
      <c r="BRA93" s="456"/>
      <c r="BRB93" s="456"/>
      <c r="BRC93" s="456"/>
      <c r="BRD93" s="456"/>
      <c r="BRE93" s="456"/>
      <c r="BRF93" s="456"/>
      <c r="BRG93" s="456"/>
      <c r="BRH93" s="456"/>
      <c r="BRI93" s="456"/>
      <c r="BRJ93" s="456"/>
      <c r="BRK93" s="456"/>
      <c r="BRL93" s="456"/>
      <c r="BRM93" s="456"/>
      <c r="BRN93" s="456"/>
      <c r="BRO93" s="456"/>
      <c r="BRP93" s="456"/>
      <c r="BRQ93" s="456"/>
      <c r="BRR93" s="456"/>
      <c r="BRS93" s="456"/>
      <c r="BRT93" s="456"/>
      <c r="BRU93" s="456"/>
      <c r="BRV93" s="456"/>
      <c r="BRW93" s="456"/>
      <c r="BRX93" s="456"/>
      <c r="BRY93" s="456"/>
      <c r="BRZ93" s="456"/>
      <c r="BSA93" s="456"/>
      <c r="BSB93" s="456"/>
      <c r="BSC93" s="456"/>
      <c r="BSD93" s="456"/>
      <c r="BSE93" s="456"/>
      <c r="BSF93" s="456"/>
      <c r="BSG93" s="456"/>
      <c r="BSH93" s="456"/>
      <c r="BSI93" s="456"/>
      <c r="BSJ93" s="456"/>
      <c r="BSK93" s="456"/>
      <c r="BSL93" s="456"/>
      <c r="BSM93" s="456"/>
      <c r="BSN93" s="456"/>
      <c r="BSO93" s="456"/>
      <c r="BSP93" s="456"/>
      <c r="BSQ93" s="456"/>
      <c r="BSR93" s="456"/>
      <c r="BSS93" s="456"/>
      <c r="BST93" s="456"/>
      <c r="BSU93" s="456"/>
      <c r="BSV93" s="456"/>
      <c r="BSW93" s="456"/>
      <c r="BSX93" s="456"/>
      <c r="BSY93" s="456"/>
      <c r="BSZ93" s="456"/>
      <c r="BTA93" s="456"/>
      <c r="BTB93" s="456"/>
      <c r="BTC93" s="456"/>
      <c r="BTD93" s="456"/>
      <c r="BTE93" s="456"/>
      <c r="BTF93" s="456"/>
      <c r="BTG93" s="456"/>
      <c r="BTH93" s="456"/>
      <c r="BTI93" s="456"/>
      <c r="BTJ93" s="456"/>
      <c r="BTK93" s="456"/>
      <c r="BTL93" s="456"/>
      <c r="BTM93" s="456"/>
      <c r="BTN93" s="456"/>
      <c r="BTO93" s="456"/>
      <c r="BTP93" s="456"/>
      <c r="BTQ93" s="456"/>
      <c r="BTR93" s="456"/>
      <c r="BTS93" s="456"/>
      <c r="BTT93" s="456"/>
      <c r="BTU93" s="456"/>
      <c r="BTV93" s="456"/>
      <c r="BTW93" s="456"/>
      <c r="BTX93" s="456"/>
      <c r="BTY93" s="456"/>
      <c r="BTZ93" s="456"/>
      <c r="BUA93" s="456"/>
      <c r="BUB93" s="456"/>
      <c r="BUC93" s="456"/>
      <c r="BUD93" s="456"/>
      <c r="BUE93" s="456"/>
      <c r="BUF93" s="456"/>
      <c r="BUG93" s="456"/>
      <c r="BUH93" s="456"/>
      <c r="BUI93" s="456"/>
      <c r="BUJ93" s="456"/>
      <c r="BUK93" s="456"/>
      <c r="BUL93" s="456"/>
      <c r="BUM93" s="456"/>
      <c r="BUN93" s="456"/>
      <c r="BUO93" s="456"/>
      <c r="BUP93" s="456"/>
      <c r="BUQ93" s="456"/>
      <c r="BUR93" s="456"/>
      <c r="BUS93" s="456"/>
      <c r="BUT93" s="456"/>
      <c r="BUU93" s="456"/>
      <c r="BUV93" s="456"/>
      <c r="BUW93" s="456"/>
      <c r="BUX93" s="456"/>
      <c r="BUY93" s="456"/>
      <c r="BUZ93" s="456"/>
      <c r="BVA93" s="456"/>
      <c r="BVB93" s="456"/>
      <c r="BVC93" s="456"/>
      <c r="BVD93" s="456"/>
      <c r="BVE93" s="456"/>
      <c r="BVF93" s="456"/>
      <c r="BVG93" s="456"/>
      <c r="BVH93" s="456"/>
      <c r="BVI93" s="456"/>
      <c r="BVJ93" s="456"/>
      <c r="BVK93" s="456"/>
      <c r="BVL93" s="456"/>
      <c r="BVM93" s="456"/>
      <c r="BVN93" s="456"/>
      <c r="BVO93" s="456"/>
      <c r="BVP93" s="456"/>
      <c r="BVQ93" s="456"/>
      <c r="BVR93" s="456"/>
      <c r="BVS93" s="456"/>
      <c r="BVT93" s="456"/>
      <c r="BVU93" s="456"/>
      <c r="BVV93" s="456"/>
      <c r="BVW93" s="456"/>
      <c r="BVX93" s="456"/>
      <c r="BVY93" s="456"/>
      <c r="BVZ93" s="456"/>
      <c r="BWA93" s="456"/>
      <c r="BWB93" s="456"/>
      <c r="BWC93" s="456"/>
      <c r="BWD93" s="456"/>
      <c r="BWE93" s="456"/>
      <c r="BWF93" s="456"/>
      <c r="BWG93" s="456"/>
      <c r="BWH93" s="456"/>
      <c r="BWI93" s="456"/>
      <c r="BWJ93" s="456"/>
      <c r="BWK93" s="456"/>
      <c r="BWL93" s="456"/>
      <c r="BWM93" s="456"/>
      <c r="BWN93" s="456"/>
      <c r="BWO93" s="456"/>
      <c r="BWP93" s="456"/>
      <c r="BWQ93" s="456"/>
      <c r="BWR93" s="456"/>
      <c r="BWS93" s="456"/>
      <c r="BWT93" s="456"/>
      <c r="BWU93" s="456"/>
      <c r="BWV93" s="456"/>
      <c r="BWW93" s="456"/>
      <c r="BWX93" s="456"/>
      <c r="BWY93" s="456"/>
      <c r="BWZ93" s="456"/>
      <c r="BXA93" s="456"/>
      <c r="BXB93" s="456"/>
      <c r="BXC93" s="456"/>
      <c r="BXD93" s="456"/>
      <c r="BXE93" s="456"/>
      <c r="BXF93" s="456"/>
      <c r="BXG93" s="456"/>
      <c r="BXH93" s="456"/>
      <c r="BXI93" s="456"/>
      <c r="BXJ93" s="456"/>
      <c r="BXK93" s="456"/>
      <c r="BXL93" s="456"/>
      <c r="BXM93" s="456"/>
      <c r="BXN93" s="456"/>
      <c r="BXO93" s="456"/>
      <c r="BXP93" s="456"/>
      <c r="BXQ93" s="456"/>
      <c r="BXR93" s="456"/>
      <c r="BXS93" s="456"/>
      <c r="BXT93" s="456"/>
      <c r="BXU93" s="456"/>
      <c r="BXV93" s="456"/>
      <c r="BXW93" s="456"/>
      <c r="BXX93" s="456"/>
      <c r="BXY93" s="456"/>
      <c r="BXZ93" s="456"/>
    </row>
    <row r="94" s="25" customFormat="1" spans="1:1024 1025:2002">
      <c r="A94" s="473"/>
      <c r="B94" s="19">
        <v>1123</v>
      </c>
      <c r="C94" s="183">
        <v>46189</v>
      </c>
      <c r="D94" s="17" t="s">
        <v>91</v>
      </c>
      <c r="E94" s="17" t="s">
        <v>92</v>
      </c>
      <c r="F94" s="17" t="s">
        <v>93</v>
      </c>
      <c r="G94" s="17"/>
      <c r="H94" s="19">
        <v>1.2085</v>
      </c>
      <c r="I94" s="19">
        <v>1.2085</v>
      </c>
      <c r="J94" s="17" t="s">
        <v>49</v>
      </c>
      <c r="K94" s="19">
        <v>2080</v>
      </c>
      <c r="L94" s="91">
        <v>50</v>
      </c>
      <c r="M94" s="19">
        <v>2115</v>
      </c>
      <c r="N94" s="19" t="s">
        <v>66</v>
      </c>
      <c r="O94" s="19" t="s">
        <v>67</v>
      </c>
      <c r="P94" s="19">
        <v>1784</v>
      </c>
      <c r="Q94" s="19">
        <v>1700</v>
      </c>
      <c r="R94" s="19">
        <f t="shared" si="7"/>
        <v>84</v>
      </c>
      <c r="S94" s="19">
        <v>2400</v>
      </c>
      <c r="T94" s="19" t="s">
        <v>94</v>
      </c>
      <c r="U94" s="102">
        <v>51001791</v>
      </c>
      <c r="V94" s="186">
        <v>46189</v>
      </c>
      <c r="W94" s="17" t="s">
        <v>44</v>
      </c>
      <c r="X94" s="17"/>
      <c r="Y94" s="68">
        <v>46204</v>
      </c>
      <c r="Z94" s="17" t="s">
        <v>95</v>
      </c>
      <c r="AA94" s="17" t="s">
        <v>46</v>
      </c>
      <c r="AB94" s="102">
        <v>26201115940</v>
      </c>
      <c r="AC94" s="217">
        <v>46239</v>
      </c>
      <c r="AD94" s="65">
        <v>1844</v>
      </c>
      <c r="AE94" s="17" t="s">
        <v>48</v>
      </c>
      <c r="AF94" s="17"/>
      <c r="AG94" s="17"/>
      <c r="AH94" s="456"/>
      <c r="AI94" s="456"/>
      <c r="AJ94" s="456"/>
      <c r="AK94" s="456"/>
      <c r="AL94" s="456"/>
      <c r="AM94" s="456"/>
      <c r="AN94" s="456"/>
      <c r="AO94" s="456"/>
      <c r="AP94" s="456"/>
      <c r="AQ94" s="456"/>
      <c r="AR94" s="456"/>
      <c r="AS94" s="456"/>
      <c r="AT94" s="456"/>
      <c r="AU94" s="456"/>
      <c r="AV94" s="456"/>
      <c r="AW94" s="456"/>
      <c r="AX94" s="456"/>
      <c r="AY94" s="456"/>
      <c r="AZ94" s="456"/>
      <c r="BA94" s="456"/>
      <c r="BB94" s="456"/>
      <c r="BC94" s="456"/>
      <c r="BD94" s="456"/>
      <c r="BE94" s="456"/>
      <c r="BF94" s="456"/>
      <c r="BG94" s="456"/>
      <c r="BH94" s="456"/>
      <c r="BI94" s="456"/>
      <c r="BJ94" s="456"/>
      <c r="BK94" s="456"/>
      <c r="BL94" s="456"/>
      <c r="BM94" s="456"/>
      <c r="BN94" s="456"/>
      <c r="BO94" s="456"/>
      <c r="BP94" s="456"/>
      <c r="BQ94" s="456"/>
      <c r="BR94" s="456"/>
      <c r="BS94" s="456"/>
      <c r="BT94" s="456"/>
      <c r="BU94" s="456"/>
      <c r="BV94" s="456"/>
      <c r="BW94" s="456"/>
      <c r="BX94" s="456"/>
      <c r="BY94" s="456"/>
      <c r="BZ94" s="456"/>
      <c r="CA94" s="456"/>
      <c r="CB94" s="456"/>
      <c r="CC94" s="456"/>
      <c r="CD94" s="456"/>
      <c r="CE94" s="456"/>
      <c r="CF94" s="456"/>
      <c r="CG94" s="456"/>
      <c r="CH94" s="456"/>
      <c r="CI94" s="456"/>
      <c r="CJ94" s="456"/>
      <c r="CK94" s="456"/>
      <c r="CL94" s="456"/>
      <c r="CM94" s="456"/>
      <c r="CN94" s="456"/>
      <c r="CO94" s="456"/>
      <c r="CP94" s="456"/>
      <c r="CQ94" s="456"/>
      <c r="CR94" s="456"/>
      <c r="CS94" s="456"/>
      <c r="CT94" s="456"/>
      <c r="CU94" s="456"/>
      <c r="CV94" s="456"/>
      <c r="CW94" s="456"/>
      <c r="CX94" s="456"/>
      <c r="CY94" s="456"/>
      <c r="CZ94" s="456"/>
      <c r="DA94" s="456"/>
      <c r="DB94" s="456"/>
      <c r="DC94" s="456"/>
      <c r="DD94" s="456"/>
      <c r="DE94" s="456"/>
      <c r="DF94" s="456"/>
      <c r="DG94" s="456"/>
      <c r="DH94" s="456"/>
      <c r="DI94" s="456"/>
      <c r="DJ94" s="456"/>
      <c r="DK94" s="456"/>
      <c r="DL94" s="456"/>
      <c r="DM94" s="456"/>
      <c r="DN94" s="456"/>
      <c r="DO94" s="456"/>
      <c r="DP94" s="456"/>
      <c r="DQ94" s="456"/>
      <c r="DR94" s="456"/>
      <c r="DS94" s="456"/>
      <c r="DT94" s="456"/>
      <c r="DU94" s="456"/>
      <c r="DV94" s="456"/>
      <c r="DW94" s="456"/>
      <c r="DX94" s="456"/>
      <c r="DY94" s="456"/>
      <c r="DZ94" s="456"/>
      <c r="EA94" s="456"/>
      <c r="EB94" s="456"/>
      <c r="EC94" s="456"/>
      <c r="ED94" s="456"/>
      <c r="EE94" s="456"/>
      <c r="EF94" s="456"/>
      <c r="EG94" s="456"/>
      <c r="EH94" s="456"/>
      <c r="EI94" s="456"/>
      <c r="EJ94" s="456"/>
      <c r="EK94" s="456"/>
      <c r="EL94" s="456"/>
      <c r="EM94" s="456"/>
      <c r="EN94" s="456"/>
      <c r="EO94" s="456"/>
      <c r="EP94" s="456"/>
      <c r="EQ94" s="456"/>
      <c r="ER94" s="456"/>
      <c r="ES94" s="456"/>
      <c r="ET94" s="456"/>
      <c r="EU94" s="456"/>
      <c r="EV94" s="456"/>
      <c r="EW94" s="456"/>
      <c r="EX94" s="456"/>
      <c r="EY94" s="456"/>
      <c r="EZ94" s="456"/>
      <c r="FA94" s="456"/>
      <c r="FB94" s="456"/>
      <c r="FC94" s="456"/>
      <c r="FD94" s="456"/>
      <c r="FE94" s="456"/>
      <c r="FF94" s="456"/>
      <c r="FG94" s="456"/>
      <c r="FH94" s="456"/>
      <c r="FI94" s="456"/>
      <c r="FJ94" s="456"/>
      <c r="FK94" s="456"/>
      <c r="FL94" s="456"/>
      <c r="FM94" s="456"/>
      <c r="FN94" s="456"/>
      <c r="FO94" s="456"/>
      <c r="FP94" s="456"/>
      <c r="FQ94" s="456"/>
      <c r="FR94" s="456"/>
      <c r="FS94" s="456"/>
      <c r="FT94" s="456"/>
      <c r="FU94" s="456"/>
      <c r="FV94" s="456"/>
      <c r="FW94" s="456"/>
      <c r="FX94" s="456"/>
      <c r="FY94" s="456"/>
      <c r="FZ94" s="456"/>
      <c r="GA94" s="456"/>
      <c r="GB94" s="456"/>
      <c r="GC94" s="456"/>
      <c r="GD94" s="456"/>
      <c r="GE94" s="456"/>
      <c r="GF94" s="456"/>
      <c r="GG94" s="456"/>
      <c r="GH94" s="456"/>
      <c r="GI94" s="456"/>
      <c r="GJ94" s="456"/>
      <c r="GK94" s="456"/>
      <c r="GL94" s="456"/>
      <c r="GM94" s="456"/>
      <c r="GN94" s="456"/>
      <c r="GO94" s="456"/>
      <c r="GP94" s="456"/>
      <c r="GQ94" s="456"/>
      <c r="GR94" s="456"/>
      <c r="GS94" s="456"/>
      <c r="GT94" s="456"/>
      <c r="GU94" s="456"/>
      <c r="GV94" s="456"/>
      <c r="GW94" s="456"/>
      <c r="GX94" s="456"/>
      <c r="GY94" s="456"/>
      <c r="GZ94" s="456"/>
      <c r="HA94" s="456"/>
      <c r="HB94" s="456"/>
      <c r="HC94" s="456"/>
      <c r="HD94" s="456"/>
      <c r="HE94" s="456"/>
      <c r="HF94" s="456"/>
      <c r="HG94" s="456"/>
      <c r="HH94" s="456"/>
      <c r="HI94" s="456"/>
      <c r="HJ94" s="456"/>
      <c r="HK94" s="456"/>
      <c r="HL94" s="456"/>
      <c r="HM94" s="456"/>
      <c r="HN94" s="456"/>
      <c r="HO94" s="456"/>
      <c r="HP94" s="456"/>
      <c r="HQ94" s="456"/>
      <c r="HR94" s="456"/>
      <c r="HS94" s="456"/>
      <c r="HT94" s="456"/>
      <c r="HU94" s="456"/>
      <c r="HV94" s="456"/>
      <c r="HW94" s="456"/>
      <c r="HX94" s="456"/>
      <c r="HY94" s="456"/>
      <c r="HZ94" s="456"/>
      <c r="IA94" s="456"/>
      <c r="IB94" s="456"/>
      <c r="IC94" s="456"/>
      <c r="ID94" s="456"/>
      <c r="IE94" s="456"/>
      <c r="IF94" s="456"/>
      <c r="IG94" s="456"/>
      <c r="IH94" s="456"/>
      <c r="II94" s="456"/>
      <c r="IJ94" s="456"/>
      <c r="IK94" s="456"/>
      <c r="IL94" s="456"/>
      <c r="IM94" s="456"/>
      <c r="IN94" s="456"/>
      <c r="IO94" s="456"/>
      <c r="IP94" s="456"/>
      <c r="IQ94" s="456"/>
      <c r="IR94" s="456"/>
      <c r="IS94" s="456"/>
      <c r="IT94" s="456"/>
      <c r="IU94" s="456"/>
      <c r="IV94" s="456"/>
      <c r="IW94" s="456"/>
      <c r="IX94" s="456"/>
      <c r="IY94" s="456"/>
      <c r="IZ94" s="456"/>
      <c r="JA94" s="456"/>
      <c r="JB94" s="456"/>
      <c r="JC94" s="456"/>
      <c r="JD94" s="456"/>
      <c r="JE94" s="456"/>
      <c r="JF94" s="456"/>
      <c r="JG94" s="456"/>
      <c r="JH94" s="456"/>
      <c r="JI94" s="456"/>
      <c r="JJ94" s="456"/>
      <c r="JK94" s="456"/>
      <c r="JL94" s="456"/>
      <c r="JM94" s="456"/>
      <c r="JN94" s="456"/>
      <c r="JO94" s="456"/>
      <c r="JP94" s="456"/>
      <c r="JQ94" s="456"/>
      <c r="JR94" s="456"/>
      <c r="JS94" s="456"/>
      <c r="JT94" s="456"/>
      <c r="JU94" s="456"/>
      <c r="JV94" s="456"/>
      <c r="JW94" s="456"/>
      <c r="JX94" s="456"/>
      <c r="JY94" s="456"/>
      <c r="JZ94" s="456"/>
      <c r="KA94" s="456"/>
      <c r="KB94" s="456"/>
      <c r="KC94" s="456"/>
      <c r="KD94" s="456"/>
      <c r="KE94" s="456"/>
      <c r="KF94" s="456"/>
      <c r="KG94" s="456"/>
      <c r="KH94" s="456"/>
      <c r="KI94" s="456"/>
      <c r="KJ94" s="456"/>
      <c r="KK94" s="456"/>
      <c r="KL94" s="456"/>
      <c r="KM94" s="456"/>
      <c r="KN94" s="456"/>
      <c r="KO94" s="456"/>
      <c r="KP94" s="456"/>
      <c r="KQ94" s="456"/>
      <c r="KR94" s="456"/>
      <c r="KS94" s="456"/>
      <c r="KT94" s="456"/>
      <c r="KU94" s="456"/>
      <c r="KV94" s="456"/>
      <c r="KW94" s="456"/>
      <c r="KX94" s="456"/>
      <c r="KY94" s="456"/>
      <c r="KZ94" s="456"/>
      <c r="LA94" s="456"/>
      <c r="LB94" s="456"/>
      <c r="LC94" s="456"/>
      <c r="LD94" s="456"/>
      <c r="LE94" s="456"/>
      <c r="LF94" s="456"/>
      <c r="LG94" s="456"/>
      <c r="LH94" s="456"/>
      <c r="LI94" s="456"/>
      <c r="LJ94" s="456"/>
      <c r="LK94" s="456"/>
      <c r="LL94" s="456"/>
      <c r="LM94" s="456"/>
      <c r="LN94" s="456"/>
      <c r="LO94" s="456"/>
      <c r="LP94" s="456"/>
      <c r="LQ94" s="456"/>
      <c r="LR94" s="456"/>
      <c r="LS94" s="456"/>
      <c r="LT94" s="456"/>
      <c r="LU94" s="456"/>
      <c r="LV94" s="456"/>
      <c r="LW94" s="456"/>
      <c r="LX94" s="456"/>
      <c r="LY94" s="456"/>
      <c r="LZ94" s="456"/>
      <c r="MA94" s="456"/>
      <c r="MB94" s="456"/>
      <c r="MC94" s="456"/>
      <c r="MD94" s="456"/>
      <c r="ME94" s="456"/>
      <c r="MF94" s="456"/>
      <c r="MG94" s="456"/>
      <c r="MH94" s="456"/>
      <c r="MI94" s="456"/>
      <c r="MJ94" s="456"/>
      <c r="MK94" s="456"/>
      <c r="ML94" s="456"/>
      <c r="MM94" s="456"/>
      <c r="MN94" s="456"/>
      <c r="MO94" s="456"/>
      <c r="MP94" s="456"/>
      <c r="MQ94" s="456"/>
      <c r="MR94" s="456"/>
      <c r="MS94" s="456"/>
      <c r="MT94" s="456"/>
      <c r="MU94" s="456"/>
      <c r="MV94" s="456"/>
      <c r="MW94" s="456"/>
      <c r="MX94" s="456"/>
      <c r="MY94" s="456"/>
      <c r="MZ94" s="456"/>
      <c r="NA94" s="456"/>
      <c r="NB94" s="456"/>
      <c r="NC94" s="456"/>
      <c r="ND94" s="456"/>
      <c r="NE94" s="456"/>
      <c r="NF94" s="456"/>
      <c r="NG94" s="456"/>
      <c r="NH94" s="456"/>
      <c r="NI94" s="456"/>
      <c r="NJ94" s="456"/>
      <c r="NK94" s="456"/>
      <c r="NL94" s="456"/>
      <c r="NM94" s="456"/>
      <c r="NN94" s="456"/>
      <c r="NO94" s="456"/>
      <c r="NP94" s="456"/>
      <c r="NQ94" s="456"/>
      <c r="NR94" s="456"/>
      <c r="NS94" s="456"/>
      <c r="NT94" s="456"/>
      <c r="NU94" s="456"/>
      <c r="NV94" s="456"/>
      <c r="NW94" s="456"/>
      <c r="NX94" s="456"/>
      <c r="NY94" s="456"/>
      <c r="NZ94" s="456"/>
      <c r="OA94" s="456"/>
      <c r="OB94" s="456"/>
      <c r="OC94" s="456"/>
      <c r="OD94" s="456"/>
      <c r="OE94" s="456"/>
      <c r="OF94" s="456"/>
      <c r="OG94" s="456"/>
      <c r="OH94" s="456"/>
      <c r="OI94" s="456"/>
      <c r="OJ94" s="456"/>
      <c r="OK94" s="456"/>
      <c r="OL94" s="456"/>
      <c r="OM94" s="456"/>
      <c r="ON94" s="456"/>
      <c r="OO94" s="456"/>
      <c r="OP94" s="456"/>
      <c r="OQ94" s="456"/>
      <c r="OR94" s="456"/>
      <c r="OS94" s="456"/>
      <c r="OT94" s="456"/>
      <c r="OU94" s="456"/>
      <c r="OV94" s="456"/>
      <c r="OW94" s="456"/>
      <c r="OX94" s="456"/>
      <c r="OY94" s="456"/>
      <c r="OZ94" s="456"/>
      <c r="PA94" s="456"/>
      <c r="PB94" s="456"/>
      <c r="PC94" s="456"/>
      <c r="PD94" s="456"/>
      <c r="PE94" s="456"/>
      <c r="PF94" s="456"/>
      <c r="PG94" s="456"/>
      <c r="PH94" s="456"/>
      <c r="PI94" s="456"/>
      <c r="PJ94" s="456"/>
      <c r="PK94" s="456"/>
      <c r="PL94" s="456"/>
      <c r="PM94" s="456"/>
      <c r="PN94" s="456"/>
      <c r="PO94" s="456"/>
      <c r="PP94" s="456"/>
      <c r="PQ94" s="456"/>
      <c r="PR94" s="456"/>
      <c r="PS94" s="456"/>
      <c r="PT94" s="456"/>
      <c r="PU94" s="456"/>
      <c r="PV94" s="456"/>
      <c r="PW94" s="456"/>
      <c r="PX94" s="456"/>
      <c r="PY94" s="456"/>
      <c r="PZ94" s="456"/>
      <c r="QA94" s="456"/>
      <c r="QB94" s="456"/>
      <c r="QC94" s="456"/>
      <c r="QD94" s="456"/>
      <c r="QE94" s="456"/>
      <c r="QF94" s="456"/>
      <c r="QG94" s="456"/>
      <c r="QH94" s="456"/>
      <c r="QI94" s="456"/>
      <c r="QJ94" s="456"/>
      <c r="QK94" s="456"/>
      <c r="QL94" s="456"/>
      <c r="QM94" s="456"/>
      <c r="QN94" s="456"/>
      <c r="QO94" s="456"/>
      <c r="QP94" s="456"/>
      <c r="QQ94" s="456"/>
      <c r="QR94" s="456"/>
      <c r="QS94" s="456"/>
      <c r="QT94" s="456"/>
      <c r="QU94" s="456"/>
      <c r="QV94" s="456"/>
      <c r="QW94" s="456"/>
      <c r="QX94" s="456"/>
      <c r="QY94" s="456"/>
      <c r="QZ94" s="456"/>
      <c r="RA94" s="456"/>
      <c r="RB94" s="456"/>
      <c r="RC94" s="456"/>
      <c r="RD94" s="456"/>
      <c r="RE94" s="456"/>
      <c r="RF94" s="456"/>
      <c r="RG94" s="456"/>
      <c r="RH94" s="456"/>
      <c r="RI94" s="456"/>
      <c r="RJ94" s="456"/>
      <c r="RK94" s="456"/>
      <c r="RL94" s="456"/>
      <c r="RM94" s="456"/>
      <c r="RN94" s="456"/>
      <c r="RO94" s="456"/>
      <c r="RP94" s="456"/>
      <c r="RQ94" s="456"/>
      <c r="RR94" s="456"/>
      <c r="RS94" s="456"/>
      <c r="RT94" s="456"/>
      <c r="RU94" s="456"/>
      <c r="RV94" s="456"/>
      <c r="RW94" s="456"/>
      <c r="RX94" s="456"/>
      <c r="RY94" s="456"/>
      <c r="RZ94" s="456"/>
      <c r="SA94" s="456"/>
      <c r="SB94" s="456"/>
      <c r="SC94" s="456"/>
      <c r="SD94" s="456"/>
      <c r="SE94" s="456"/>
      <c r="SF94" s="456"/>
      <c r="SG94" s="456"/>
      <c r="SH94" s="456"/>
      <c r="SI94" s="456"/>
      <c r="SJ94" s="456"/>
      <c r="SK94" s="456"/>
      <c r="SL94" s="456"/>
      <c r="SM94" s="456"/>
      <c r="SN94" s="456"/>
      <c r="SO94" s="456"/>
      <c r="SP94" s="456"/>
      <c r="SQ94" s="456"/>
      <c r="SR94" s="456"/>
      <c r="SS94" s="456"/>
      <c r="ST94" s="456"/>
      <c r="SU94" s="456"/>
      <c r="SV94" s="456"/>
      <c r="SW94" s="456"/>
      <c r="SX94" s="456"/>
      <c r="SY94" s="456"/>
      <c r="SZ94" s="456"/>
      <c r="TA94" s="456"/>
      <c r="TB94" s="456"/>
      <c r="TC94" s="456"/>
      <c r="TD94" s="456"/>
      <c r="TE94" s="456"/>
      <c r="TF94" s="456"/>
      <c r="TG94" s="456"/>
      <c r="TH94" s="456"/>
      <c r="TI94" s="456"/>
      <c r="TJ94" s="456"/>
      <c r="TK94" s="456"/>
      <c r="TL94" s="456"/>
      <c r="TM94" s="456"/>
      <c r="TN94" s="456"/>
      <c r="TO94" s="456"/>
      <c r="TP94" s="456"/>
      <c r="TQ94" s="456"/>
      <c r="TR94" s="456"/>
      <c r="TS94" s="456"/>
      <c r="TT94" s="456"/>
      <c r="TU94" s="456"/>
      <c r="TV94" s="456"/>
      <c r="TW94" s="456"/>
      <c r="TX94" s="456"/>
      <c r="TY94" s="456"/>
      <c r="TZ94" s="456"/>
      <c r="UA94" s="456"/>
      <c r="UB94" s="456"/>
      <c r="UC94" s="456"/>
      <c r="UD94" s="456"/>
      <c r="UE94" s="456"/>
      <c r="UF94" s="456"/>
      <c r="UG94" s="456"/>
      <c r="UH94" s="456"/>
      <c r="UI94" s="456"/>
      <c r="UJ94" s="456"/>
      <c r="UK94" s="456"/>
      <c r="UL94" s="456"/>
      <c r="UM94" s="456"/>
      <c r="UN94" s="456"/>
      <c r="UO94" s="456"/>
      <c r="UP94" s="456"/>
      <c r="UQ94" s="456"/>
      <c r="UR94" s="456"/>
      <c r="US94" s="456"/>
      <c r="UT94" s="456"/>
      <c r="UU94" s="456"/>
      <c r="UV94" s="456"/>
      <c r="UW94" s="456"/>
      <c r="UX94" s="456"/>
      <c r="UY94" s="456"/>
      <c r="UZ94" s="456"/>
      <c r="VA94" s="456"/>
      <c r="VB94" s="456"/>
      <c r="VC94" s="456"/>
      <c r="VD94" s="456"/>
      <c r="VE94" s="456"/>
      <c r="VF94" s="456"/>
      <c r="VG94" s="456"/>
      <c r="VH94" s="456"/>
      <c r="VI94" s="456"/>
      <c r="VJ94" s="456"/>
      <c r="VK94" s="456"/>
      <c r="VL94" s="456"/>
      <c r="VM94" s="456"/>
      <c r="VN94" s="456"/>
      <c r="VO94" s="456"/>
      <c r="VP94" s="456"/>
      <c r="VQ94" s="456"/>
      <c r="VR94" s="456"/>
      <c r="VS94" s="456"/>
      <c r="VT94" s="456"/>
      <c r="VU94" s="456"/>
      <c r="VV94" s="456"/>
      <c r="VW94" s="456"/>
      <c r="VX94" s="456"/>
      <c r="VY94" s="456"/>
      <c r="VZ94" s="456"/>
      <c r="WA94" s="456"/>
      <c r="WB94" s="456"/>
      <c r="WC94" s="456"/>
      <c r="WD94" s="456"/>
      <c r="WE94" s="456"/>
      <c r="WF94" s="456"/>
      <c r="WG94" s="456"/>
      <c r="WH94" s="456"/>
      <c r="WI94" s="456"/>
      <c r="WJ94" s="456"/>
      <c r="WK94" s="456"/>
      <c r="WL94" s="456"/>
      <c r="WM94" s="456"/>
      <c r="WN94" s="456"/>
      <c r="WO94" s="456"/>
      <c r="WP94" s="456"/>
      <c r="WQ94" s="456"/>
      <c r="WR94" s="456"/>
      <c r="WS94" s="456"/>
      <c r="WT94" s="456"/>
      <c r="WU94" s="456"/>
      <c r="WV94" s="456"/>
      <c r="WW94" s="456"/>
      <c r="WX94" s="456"/>
      <c r="WY94" s="456"/>
      <c r="WZ94" s="456"/>
      <c r="XA94" s="456"/>
      <c r="XB94" s="456"/>
      <c r="XC94" s="456"/>
      <c r="XD94" s="456"/>
      <c r="XE94" s="456"/>
      <c r="XF94" s="456"/>
      <c r="XG94" s="456"/>
      <c r="XH94" s="456"/>
      <c r="XI94" s="456"/>
      <c r="XJ94" s="456"/>
      <c r="XK94" s="456"/>
      <c r="XL94" s="456"/>
      <c r="XM94" s="456"/>
      <c r="XN94" s="456"/>
      <c r="XO94" s="456"/>
      <c r="XP94" s="456"/>
      <c r="XQ94" s="456"/>
      <c r="XR94" s="456"/>
      <c r="XS94" s="456"/>
      <c r="XT94" s="456"/>
      <c r="XU94" s="456"/>
      <c r="XV94" s="456"/>
      <c r="XW94" s="456"/>
      <c r="XX94" s="456"/>
      <c r="XY94" s="456"/>
      <c r="XZ94" s="456"/>
      <c r="YA94" s="456"/>
      <c r="YB94" s="456"/>
      <c r="YC94" s="456"/>
      <c r="YD94" s="456"/>
      <c r="YE94" s="456"/>
      <c r="YF94" s="456"/>
      <c r="YG94" s="456"/>
      <c r="YH94" s="456"/>
      <c r="YI94" s="456"/>
      <c r="YJ94" s="456"/>
      <c r="YK94" s="456"/>
      <c r="YL94" s="456"/>
      <c r="YM94" s="456"/>
      <c r="YN94" s="456"/>
      <c r="YO94" s="456"/>
      <c r="YP94" s="456"/>
      <c r="YQ94" s="456"/>
      <c r="YR94" s="456"/>
      <c r="YS94" s="456"/>
      <c r="YT94" s="456"/>
      <c r="YU94" s="456"/>
      <c r="YV94" s="456"/>
      <c r="YW94" s="456"/>
      <c r="YX94" s="456"/>
      <c r="YY94" s="456"/>
      <c r="YZ94" s="456"/>
      <c r="ZA94" s="456"/>
      <c r="ZB94" s="456"/>
      <c r="ZC94" s="456"/>
      <c r="ZD94" s="456"/>
      <c r="ZE94" s="456"/>
      <c r="ZF94" s="456"/>
      <c r="ZG94" s="456"/>
      <c r="ZH94" s="456"/>
      <c r="ZI94" s="456"/>
      <c r="ZJ94" s="456"/>
      <c r="ZK94" s="456"/>
      <c r="ZL94" s="456"/>
      <c r="ZM94" s="456"/>
      <c r="ZN94" s="456"/>
      <c r="ZO94" s="456"/>
      <c r="ZP94" s="456"/>
      <c r="ZQ94" s="456"/>
      <c r="ZR94" s="456"/>
      <c r="ZS94" s="456"/>
      <c r="ZT94" s="456"/>
      <c r="ZU94" s="456"/>
      <c r="ZV94" s="456"/>
      <c r="ZW94" s="456"/>
      <c r="ZX94" s="456"/>
      <c r="ZY94" s="456"/>
      <c r="ZZ94" s="456"/>
      <c r="AAA94" s="456"/>
      <c r="AAB94" s="456"/>
      <c r="AAC94" s="456"/>
      <c r="AAD94" s="456"/>
      <c r="AAE94" s="456"/>
      <c r="AAF94" s="456"/>
      <c r="AAG94" s="456"/>
      <c r="AAH94" s="456"/>
      <c r="AAI94" s="456"/>
      <c r="AAJ94" s="456"/>
      <c r="AAK94" s="456"/>
      <c r="AAL94" s="456"/>
      <c r="AAM94" s="456"/>
      <c r="AAN94" s="456"/>
      <c r="AAO94" s="456"/>
      <c r="AAP94" s="456"/>
      <c r="AAQ94" s="456"/>
      <c r="AAR94" s="456"/>
      <c r="AAS94" s="456"/>
      <c r="AAT94" s="456"/>
      <c r="AAU94" s="456"/>
      <c r="AAV94" s="456"/>
      <c r="AAW94" s="456"/>
      <c r="AAX94" s="456"/>
      <c r="AAY94" s="456"/>
      <c r="AAZ94" s="456"/>
      <c r="ABA94" s="456"/>
      <c r="ABB94" s="456"/>
      <c r="ABC94" s="456"/>
      <c r="ABD94" s="456"/>
      <c r="ABE94" s="456"/>
      <c r="ABF94" s="456"/>
      <c r="ABG94" s="456"/>
      <c r="ABH94" s="456"/>
      <c r="ABI94" s="456"/>
      <c r="ABJ94" s="456"/>
      <c r="ABK94" s="456"/>
      <c r="ABL94" s="456"/>
      <c r="ABM94" s="456"/>
      <c r="ABN94" s="456"/>
      <c r="ABO94" s="456"/>
      <c r="ABP94" s="456"/>
      <c r="ABQ94" s="456"/>
      <c r="ABR94" s="456"/>
      <c r="ABS94" s="456"/>
      <c r="ABT94" s="456"/>
      <c r="ABU94" s="456"/>
      <c r="ABV94" s="456"/>
      <c r="ABW94" s="456"/>
      <c r="ABX94" s="456"/>
      <c r="ABY94" s="456"/>
      <c r="ABZ94" s="456"/>
      <c r="ACA94" s="456"/>
      <c r="ACB94" s="456"/>
      <c r="ACC94" s="456"/>
      <c r="ACD94" s="456"/>
      <c r="ACE94" s="456"/>
      <c r="ACF94" s="456"/>
      <c r="ACG94" s="456"/>
      <c r="ACH94" s="456"/>
      <c r="ACI94" s="456"/>
      <c r="ACJ94" s="456"/>
      <c r="ACK94" s="456"/>
      <c r="ACL94" s="456"/>
      <c r="ACM94" s="456"/>
      <c r="ACN94" s="456"/>
      <c r="ACO94" s="456"/>
      <c r="ACP94" s="456"/>
      <c r="ACQ94" s="456"/>
      <c r="ACR94" s="456"/>
      <c r="ACS94" s="456"/>
      <c r="ACT94" s="456"/>
      <c r="ACU94" s="456"/>
      <c r="ACV94" s="456"/>
      <c r="ACW94" s="456"/>
      <c r="ACX94" s="456"/>
      <c r="ACY94" s="456"/>
      <c r="ACZ94" s="456"/>
      <c r="ADA94" s="456"/>
      <c r="ADB94" s="456"/>
      <c r="ADC94" s="456"/>
      <c r="ADD94" s="456"/>
      <c r="ADE94" s="456"/>
      <c r="ADF94" s="456"/>
      <c r="ADG94" s="456"/>
      <c r="ADH94" s="456"/>
      <c r="ADI94" s="456"/>
      <c r="ADJ94" s="456"/>
      <c r="ADK94" s="456"/>
      <c r="ADL94" s="456"/>
      <c r="ADM94" s="456"/>
      <c r="ADN94" s="456"/>
      <c r="ADO94" s="456"/>
      <c r="ADP94" s="456"/>
      <c r="ADQ94" s="456"/>
      <c r="ADR94" s="456"/>
      <c r="ADS94" s="456"/>
      <c r="ADT94" s="456"/>
      <c r="ADU94" s="456"/>
      <c r="ADV94" s="456"/>
      <c r="ADW94" s="456"/>
      <c r="ADX94" s="456"/>
      <c r="ADY94" s="456"/>
      <c r="ADZ94" s="456"/>
      <c r="AEA94" s="456"/>
      <c r="AEB94" s="456"/>
      <c r="AEC94" s="456"/>
      <c r="AED94" s="456"/>
      <c r="AEE94" s="456"/>
      <c r="AEF94" s="456"/>
      <c r="AEG94" s="456"/>
      <c r="AEH94" s="456"/>
      <c r="AEI94" s="456"/>
      <c r="AEJ94" s="456"/>
      <c r="AEK94" s="456"/>
      <c r="AEL94" s="456"/>
      <c r="AEM94" s="456"/>
      <c r="AEN94" s="456"/>
      <c r="AEO94" s="456"/>
      <c r="AEP94" s="456"/>
      <c r="AEQ94" s="456"/>
      <c r="AER94" s="456"/>
      <c r="AES94" s="456"/>
      <c r="AET94" s="456"/>
      <c r="AEU94" s="456"/>
      <c r="AEV94" s="456"/>
      <c r="AEW94" s="456"/>
      <c r="AEX94" s="456"/>
      <c r="AEY94" s="456"/>
      <c r="AEZ94" s="456"/>
      <c r="AFA94" s="456"/>
      <c r="AFB94" s="456"/>
      <c r="AFC94" s="456"/>
      <c r="AFD94" s="456"/>
      <c r="AFE94" s="456"/>
      <c r="AFF94" s="456"/>
      <c r="AFG94" s="456"/>
      <c r="AFH94" s="456"/>
      <c r="AFI94" s="456"/>
      <c r="AFJ94" s="456"/>
      <c r="AFK94" s="456"/>
      <c r="AFL94" s="456"/>
      <c r="AFM94" s="456"/>
      <c r="AFN94" s="456"/>
      <c r="AFO94" s="456"/>
      <c r="AFP94" s="456"/>
      <c r="AFQ94" s="456"/>
      <c r="AFR94" s="456"/>
      <c r="AFS94" s="456"/>
      <c r="AFT94" s="456"/>
      <c r="AFU94" s="456"/>
      <c r="AFV94" s="456"/>
      <c r="AFW94" s="456"/>
      <c r="AFX94" s="456"/>
      <c r="AFY94" s="456"/>
      <c r="AFZ94" s="456"/>
      <c r="AGA94" s="456"/>
      <c r="AGB94" s="456"/>
      <c r="AGC94" s="456"/>
      <c r="AGD94" s="456"/>
      <c r="AGE94" s="456"/>
      <c r="AGF94" s="456"/>
      <c r="AGG94" s="456"/>
      <c r="AGH94" s="456"/>
      <c r="AGI94" s="456"/>
      <c r="AGJ94" s="456"/>
      <c r="AGK94" s="456"/>
      <c r="AGL94" s="456"/>
      <c r="AGM94" s="456"/>
      <c r="AGN94" s="456"/>
      <c r="AGO94" s="456"/>
      <c r="AGP94" s="456"/>
      <c r="AGQ94" s="456"/>
      <c r="AGR94" s="456"/>
      <c r="AGS94" s="456"/>
      <c r="AGT94" s="456"/>
      <c r="AGU94" s="456"/>
      <c r="AGV94" s="456"/>
      <c r="AGW94" s="456"/>
      <c r="AGX94" s="456"/>
      <c r="AGY94" s="456"/>
      <c r="AGZ94" s="456"/>
      <c r="AHA94" s="456"/>
      <c r="AHB94" s="456"/>
      <c r="AHC94" s="456"/>
      <c r="AHD94" s="456"/>
      <c r="AHE94" s="456"/>
      <c r="AHF94" s="456"/>
      <c r="AHG94" s="456"/>
      <c r="AHH94" s="456"/>
      <c r="AHI94" s="456"/>
      <c r="AHJ94" s="456"/>
      <c r="AHK94" s="456"/>
      <c r="AHL94" s="456"/>
      <c r="AHM94" s="456"/>
      <c r="AHN94" s="456"/>
      <c r="AHO94" s="456"/>
      <c r="AHP94" s="456"/>
      <c r="AHQ94" s="456"/>
      <c r="AHR94" s="456"/>
      <c r="AHS94" s="456"/>
      <c r="AHT94" s="456"/>
      <c r="AHU94" s="456"/>
      <c r="AHV94" s="456"/>
      <c r="AHW94" s="456"/>
      <c r="AHX94" s="456"/>
      <c r="AHY94" s="456"/>
      <c r="AHZ94" s="456"/>
      <c r="AIA94" s="456"/>
      <c r="AIB94" s="456"/>
      <c r="AIC94" s="456"/>
      <c r="AID94" s="456"/>
      <c r="AIE94" s="456"/>
      <c r="AIF94" s="456"/>
      <c r="AIG94" s="456"/>
      <c r="AIH94" s="456"/>
      <c r="AII94" s="456"/>
      <c r="AIJ94" s="456"/>
      <c r="AIK94" s="456"/>
      <c r="AIL94" s="456"/>
      <c r="AIM94" s="456"/>
      <c r="AIN94" s="456"/>
      <c r="AIO94" s="456"/>
      <c r="AIP94" s="456"/>
      <c r="AIQ94" s="456"/>
      <c r="AIR94" s="456"/>
      <c r="AIS94" s="456"/>
      <c r="AIT94" s="456"/>
      <c r="AIU94" s="456"/>
      <c r="AIV94" s="456"/>
      <c r="AIW94" s="456"/>
      <c r="AIX94" s="456"/>
      <c r="AIY94" s="456"/>
      <c r="AIZ94" s="456"/>
      <c r="AJA94" s="456"/>
      <c r="AJB94" s="456"/>
      <c r="AJC94" s="456"/>
      <c r="AJD94" s="456"/>
      <c r="AJE94" s="456"/>
      <c r="AJF94" s="456"/>
      <c r="AJG94" s="456"/>
      <c r="AJH94" s="456"/>
      <c r="AJI94" s="456"/>
      <c r="AJJ94" s="456"/>
      <c r="AJK94" s="456"/>
      <c r="AJL94" s="456"/>
      <c r="AJM94" s="456"/>
      <c r="AJN94" s="456"/>
      <c r="AJO94" s="456"/>
      <c r="AJP94" s="456"/>
      <c r="AJQ94" s="456"/>
      <c r="AJR94" s="456"/>
      <c r="AJS94" s="456"/>
      <c r="AJT94" s="456"/>
      <c r="AJU94" s="456"/>
      <c r="AJV94" s="456"/>
      <c r="AJW94" s="456"/>
      <c r="AJX94" s="456"/>
      <c r="AJY94" s="456"/>
      <c r="AJZ94" s="456"/>
      <c r="AKA94" s="456"/>
      <c r="AKB94" s="456"/>
      <c r="AKC94" s="456"/>
      <c r="AKD94" s="456"/>
      <c r="AKE94" s="456"/>
      <c r="AKF94" s="456"/>
      <c r="AKG94" s="456"/>
      <c r="AKH94" s="456"/>
      <c r="AKI94" s="456"/>
      <c r="AKJ94" s="456"/>
      <c r="AKK94" s="456"/>
      <c r="AKL94" s="456"/>
      <c r="AKM94" s="456"/>
      <c r="AKN94" s="456"/>
      <c r="AKO94" s="456"/>
      <c r="AKP94" s="456"/>
      <c r="AKQ94" s="456"/>
      <c r="AKR94" s="456"/>
      <c r="AKS94" s="456"/>
      <c r="AKT94" s="456"/>
      <c r="AKU94" s="456"/>
      <c r="AKV94" s="456"/>
      <c r="AKW94" s="456"/>
      <c r="AKX94" s="456"/>
      <c r="AKY94" s="456"/>
      <c r="AKZ94" s="456"/>
      <c r="ALA94" s="456"/>
      <c r="ALB94" s="456"/>
      <c r="ALC94" s="456"/>
      <c r="ALD94" s="456"/>
      <c r="ALE94" s="456"/>
      <c r="ALF94" s="456"/>
      <c r="ALG94" s="456"/>
      <c r="ALH94" s="456"/>
      <c r="ALI94" s="456"/>
      <c r="ALJ94" s="456"/>
      <c r="ALK94" s="456"/>
      <c r="ALL94" s="456"/>
      <c r="ALM94" s="456"/>
      <c r="ALN94" s="456"/>
      <c r="ALO94" s="456"/>
      <c r="ALP94" s="456"/>
      <c r="ALQ94" s="456"/>
      <c r="ALR94" s="456"/>
      <c r="ALS94" s="456"/>
      <c r="ALT94" s="456"/>
      <c r="ALU94" s="456"/>
      <c r="ALV94" s="456"/>
      <c r="ALW94" s="456"/>
      <c r="ALX94" s="456"/>
      <c r="ALY94" s="456"/>
      <c r="ALZ94" s="456"/>
      <c r="AMA94" s="456"/>
      <c r="AMB94" s="456"/>
      <c r="AMC94" s="456"/>
      <c r="AMD94" s="456"/>
      <c r="AME94" s="456"/>
      <c r="AMF94" s="456"/>
      <c r="AMG94" s="456"/>
      <c r="AMH94" s="456"/>
      <c r="AMI94" s="456"/>
      <c r="AMJ94" s="456"/>
      <c r="AMK94" s="456"/>
      <c r="AML94" s="456"/>
      <c r="AMM94" s="456"/>
      <c r="AMN94" s="456"/>
      <c r="AMO94" s="456"/>
      <c r="AMP94" s="456"/>
      <c r="AMQ94" s="456"/>
      <c r="AMR94" s="456"/>
      <c r="AMS94" s="456"/>
      <c r="AMT94" s="456"/>
      <c r="AMU94" s="456"/>
      <c r="AMV94" s="456"/>
      <c r="AMW94" s="456"/>
      <c r="AMX94" s="456"/>
      <c r="AMY94" s="456"/>
      <c r="AMZ94" s="456"/>
      <c r="ANA94" s="456"/>
      <c r="ANB94" s="456"/>
      <c r="ANC94" s="456"/>
      <c r="AND94" s="456"/>
      <c r="ANE94" s="456"/>
      <c r="ANF94" s="456"/>
      <c r="ANG94" s="456"/>
      <c r="ANH94" s="456"/>
      <c r="ANI94" s="456"/>
      <c r="ANJ94" s="456"/>
      <c r="ANK94" s="456"/>
      <c r="ANL94" s="456"/>
      <c r="ANM94" s="456"/>
      <c r="ANN94" s="456"/>
      <c r="ANO94" s="456"/>
      <c r="ANP94" s="456"/>
      <c r="ANQ94" s="456"/>
      <c r="ANR94" s="456"/>
      <c r="ANS94" s="456"/>
      <c r="ANT94" s="456"/>
      <c r="ANU94" s="456"/>
      <c r="ANV94" s="456"/>
      <c r="ANW94" s="456"/>
      <c r="ANX94" s="456"/>
      <c r="ANY94" s="456"/>
      <c r="ANZ94" s="456"/>
      <c r="AOA94" s="456"/>
      <c r="AOB94" s="456"/>
      <c r="AOC94" s="456"/>
      <c r="AOD94" s="456"/>
      <c r="AOE94" s="456"/>
      <c r="AOF94" s="456"/>
      <c r="AOG94" s="456"/>
      <c r="AOH94" s="456"/>
      <c r="AOI94" s="456"/>
      <c r="AOJ94" s="456"/>
      <c r="AOK94" s="456"/>
      <c r="AOL94" s="456"/>
      <c r="AOM94" s="456"/>
      <c r="AON94" s="456"/>
      <c r="AOO94" s="456"/>
      <c r="AOP94" s="456"/>
      <c r="AOQ94" s="456"/>
      <c r="AOR94" s="456"/>
      <c r="AOS94" s="456"/>
      <c r="AOT94" s="456"/>
      <c r="AOU94" s="456"/>
      <c r="AOV94" s="456"/>
      <c r="AOW94" s="456"/>
      <c r="AOX94" s="456"/>
      <c r="AOY94" s="456"/>
      <c r="AOZ94" s="456"/>
      <c r="APA94" s="456"/>
      <c r="APB94" s="456"/>
      <c r="APC94" s="456"/>
      <c r="APD94" s="456"/>
      <c r="APE94" s="456"/>
      <c r="APF94" s="456"/>
      <c r="APG94" s="456"/>
      <c r="APH94" s="456"/>
      <c r="API94" s="456"/>
      <c r="APJ94" s="456"/>
      <c r="APK94" s="456"/>
      <c r="APL94" s="456"/>
      <c r="APM94" s="456"/>
      <c r="APN94" s="456"/>
      <c r="APO94" s="456"/>
      <c r="APP94" s="456"/>
      <c r="APQ94" s="456"/>
      <c r="APR94" s="456"/>
      <c r="APS94" s="456"/>
      <c r="APT94" s="456"/>
      <c r="APU94" s="456"/>
      <c r="APV94" s="456"/>
      <c r="APW94" s="456"/>
      <c r="APX94" s="456"/>
      <c r="APY94" s="456"/>
      <c r="APZ94" s="456"/>
      <c r="AQA94" s="456"/>
      <c r="AQB94" s="456"/>
      <c r="AQC94" s="456"/>
      <c r="AQD94" s="456"/>
      <c r="AQE94" s="456"/>
      <c r="AQF94" s="456"/>
      <c r="AQG94" s="456"/>
      <c r="AQH94" s="456"/>
      <c r="AQI94" s="456"/>
      <c r="AQJ94" s="456"/>
      <c r="AQK94" s="456"/>
      <c r="AQL94" s="456"/>
      <c r="AQM94" s="456"/>
      <c r="AQN94" s="456"/>
      <c r="AQO94" s="456"/>
      <c r="AQP94" s="456"/>
      <c r="AQQ94" s="456"/>
      <c r="AQR94" s="456"/>
      <c r="AQS94" s="456"/>
      <c r="AQT94" s="456"/>
      <c r="AQU94" s="456"/>
      <c r="AQV94" s="456"/>
      <c r="AQW94" s="456"/>
      <c r="AQX94" s="456"/>
      <c r="AQY94" s="456"/>
      <c r="AQZ94" s="456"/>
      <c r="ARA94" s="456"/>
      <c r="ARB94" s="456"/>
      <c r="ARC94" s="456"/>
      <c r="ARD94" s="456"/>
      <c r="ARE94" s="456"/>
      <c r="ARF94" s="456"/>
      <c r="ARG94" s="456"/>
      <c r="ARH94" s="456"/>
      <c r="ARI94" s="456"/>
      <c r="ARJ94" s="456"/>
      <c r="ARK94" s="456"/>
      <c r="ARL94" s="456"/>
      <c r="ARM94" s="456"/>
      <c r="ARN94" s="456"/>
      <c r="ARO94" s="456"/>
      <c r="ARP94" s="456"/>
      <c r="ARQ94" s="456"/>
      <c r="ARR94" s="456"/>
      <c r="ARS94" s="456"/>
      <c r="ART94" s="456"/>
      <c r="ARU94" s="456"/>
      <c r="ARV94" s="456"/>
      <c r="ARW94" s="456"/>
      <c r="ARX94" s="456"/>
      <c r="ARY94" s="456"/>
      <c r="ARZ94" s="456"/>
      <c r="ASA94" s="456"/>
      <c r="ASB94" s="456"/>
      <c r="ASC94" s="456"/>
      <c r="ASD94" s="456"/>
      <c r="ASE94" s="456"/>
      <c r="ASF94" s="456"/>
      <c r="ASG94" s="456"/>
      <c r="ASH94" s="456"/>
      <c r="ASI94" s="456"/>
      <c r="ASJ94" s="456"/>
      <c r="ASK94" s="456"/>
      <c r="ASL94" s="456"/>
      <c r="ASM94" s="456"/>
      <c r="ASN94" s="456"/>
      <c r="ASO94" s="456"/>
      <c r="ASP94" s="456"/>
      <c r="ASQ94" s="456"/>
      <c r="ASR94" s="456"/>
      <c r="ASS94" s="456"/>
      <c r="AST94" s="456"/>
      <c r="ASU94" s="456"/>
      <c r="ASV94" s="456"/>
      <c r="ASW94" s="456"/>
      <c r="ASX94" s="456"/>
      <c r="ASY94" s="456"/>
      <c r="ASZ94" s="456"/>
      <c r="ATA94" s="456"/>
      <c r="ATB94" s="456"/>
      <c r="ATC94" s="456"/>
      <c r="ATD94" s="456"/>
      <c r="ATE94" s="456"/>
      <c r="ATF94" s="456"/>
      <c r="ATG94" s="456"/>
      <c r="ATH94" s="456"/>
      <c r="ATI94" s="456"/>
      <c r="ATJ94" s="456"/>
      <c r="ATK94" s="456"/>
      <c r="ATL94" s="456"/>
      <c r="ATM94" s="456"/>
      <c r="ATN94" s="456"/>
      <c r="ATO94" s="456"/>
      <c r="ATP94" s="456"/>
      <c r="ATQ94" s="456"/>
      <c r="ATR94" s="456"/>
      <c r="ATS94" s="456"/>
      <c r="ATT94" s="456"/>
      <c r="ATU94" s="456"/>
      <c r="ATV94" s="456"/>
      <c r="ATW94" s="456"/>
      <c r="ATX94" s="456"/>
      <c r="ATY94" s="456"/>
      <c r="ATZ94" s="456"/>
      <c r="AUA94" s="456"/>
      <c r="AUB94" s="456"/>
      <c r="AUC94" s="456"/>
      <c r="AUD94" s="456"/>
      <c r="AUE94" s="456"/>
      <c r="AUF94" s="456"/>
      <c r="AUG94" s="456"/>
      <c r="AUH94" s="456"/>
      <c r="AUI94" s="456"/>
      <c r="AUJ94" s="456"/>
      <c r="AUK94" s="456"/>
      <c r="AUL94" s="456"/>
      <c r="AUM94" s="456"/>
      <c r="AUN94" s="456"/>
      <c r="AUO94" s="456"/>
      <c r="AUP94" s="456"/>
      <c r="AUQ94" s="456"/>
      <c r="AUR94" s="456"/>
      <c r="AUS94" s="456"/>
      <c r="AUT94" s="456"/>
      <c r="AUU94" s="456"/>
      <c r="AUV94" s="456"/>
      <c r="AUW94" s="456"/>
      <c r="AUX94" s="456"/>
      <c r="AUY94" s="456"/>
      <c r="AUZ94" s="456"/>
      <c r="AVA94" s="456"/>
      <c r="AVB94" s="456"/>
      <c r="AVC94" s="456"/>
      <c r="AVD94" s="456"/>
      <c r="AVE94" s="456"/>
      <c r="AVF94" s="456"/>
      <c r="AVG94" s="456"/>
      <c r="AVH94" s="456"/>
      <c r="AVI94" s="456"/>
      <c r="AVJ94" s="456"/>
      <c r="AVK94" s="456"/>
      <c r="AVL94" s="456"/>
      <c r="AVM94" s="456"/>
      <c r="AVN94" s="456"/>
      <c r="AVO94" s="456"/>
      <c r="AVP94" s="456"/>
      <c r="AVQ94" s="456"/>
      <c r="AVR94" s="456"/>
      <c r="AVS94" s="456"/>
      <c r="AVT94" s="456"/>
      <c r="AVU94" s="456"/>
      <c r="AVV94" s="456"/>
      <c r="AVW94" s="456"/>
      <c r="AVX94" s="456"/>
      <c r="AVY94" s="456"/>
      <c r="AVZ94" s="456"/>
      <c r="AWA94" s="456"/>
      <c r="AWB94" s="456"/>
      <c r="AWC94" s="456"/>
      <c r="AWD94" s="456"/>
      <c r="AWE94" s="456"/>
      <c r="AWF94" s="456"/>
      <c r="AWG94" s="456"/>
      <c r="AWH94" s="456"/>
      <c r="AWI94" s="456"/>
      <c r="AWJ94" s="456"/>
      <c r="AWK94" s="456"/>
      <c r="AWL94" s="456"/>
      <c r="AWM94" s="456"/>
      <c r="AWN94" s="456"/>
      <c r="AWO94" s="456"/>
      <c r="AWP94" s="456"/>
      <c r="AWQ94" s="456"/>
      <c r="AWR94" s="456"/>
      <c r="AWS94" s="456"/>
      <c r="AWT94" s="456"/>
      <c r="AWU94" s="456"/>
      <c r="AWV94" s="456"/>
      <c r="AWW94" s="456"/>
      <c r="AWX94" s="456"/>
      <c r="AWY94" s="456"/>
      <c r="AWZ94" s="456"/>
      <c r="AXA94" s="456"/>
      <c r="AXB94" s="456"/>
      <c r="AXC94" s="456"/>
      <c r="AXD94" s="456"/>
      <c r="AXE94" s="456"/>
      <c r="AXF94" s="456"/>
      <c r="AXG94" s="456"/>
      <c r="AXH94" s="456"/>
      <c r="AXI94" s="456"/>
      <c r="AXJ94" s="456"/>
      <c r="AXK94" s="456"/>
      <c r="AXL94" s="456"/>
      <c r="AXM94" s="456"/>
      <c r="AXN94" s="456"/>
      <c r="AXO94" s="456"/>
      <c r="AXP94" s="456"/>
      <c r="AXQ94" s="456"/>
      <c r="AXR94" s="456"/>
      <c r="AXS94" s="456"/>
      <c r="AXT94" s="456"/>
      <c r="AXU94" s="456"/>
      <c r="AXV94" s="456"/>
      <c r="AXW94" s="456"/>
      <c r="AXX94" s="456"/>
      <c r="AXY94" s="456"/>
      <c r="AXZ94" s="456"/>
      <c r="AYA94" s="456"/>
      <c r="AYB94" s="456"/>
      <c r="AYC94" s="456"/>
      <c r="AYD94" s="456"/>
      <c r="AYE94" s="456"/>
      <c r="AYF94" s="456"/>
      <c r="AYG94" s="456"/>
      <c r="AYH94" s="456"/>
      <c r="AYI94" s="456"/>
      <c r="AYJ94" s="456"/>
      <c r="AYK94" s="456"/>
      <c r="AYL94" s="456"/>
      <c r="AYM94" s="456"/>
      <c r="AYN94" s="456"/>
      <c r="AYO94" s="456"/>
      <c r="AYP94" s="456"/>
      <c r="AYQ94" s="456"/>
      <c r="AYR94" s="456"/>
      <c r="AYS94" s="456"/>
      <c r="AYT94" s="456"/>
      <c r="AYU94" s="456"/>
      <c r="AYV94" s="456"/>
      <c r="AYW94" s="456"/>
      <c r="AYX94" s="456"/>
      <c r="AYY94" s="456"/>
      <c r="AYZ94" s="456"/>
      <c r="AZA94" s="456"/>
      <c r="AZB94" s="456"/>
      <c r="AZC94" s="456"/>
      <c r="AZD94" s="456"/>
      <c r="AZE94" s="456"/>
      <c r="AZF94" s="456"/>
      <c r="AZG94" s="456"/>
      <c r="AZH94" s="456"/>
      <c r="AZI94" s="456"/>
      <c r="AZJ94" s="456"/>
      <c r="AZK94" s="456"/>
      <c r="AZL94" s="456"/>
      <c r="AZM94" s="456"/>
      <c r="AZN94" s="456"/>
      <c r="AZO94" s="456"/>
      <c r="AZP94" s="456"/>
      <c r="AZQ94" s="456"/>
      <c r="AZR94" s="456"/>
      <c r="AZS94" s="456"/>
      <c r="AZT94" s="456"/>
      <c r="AZU94" s="456"/>
      <c r="AZV94" s="456"/>
      <c r="AZW94" s="456"/>
      <c r="AZX94" s="456"/>
      <c r="AZY94" s="456"/>
      <c r="AZZ94" s="456"/>
      <c r="BAA94" s="456"/>
      <c r="BAB94" s="456"/>
      <c r="BAC94" s="456"/>
      <c r="BAD94" s="456"/>
      <c r="BAE94" s="456"/>
      <c r="BAF94" s="456"/>
      <c r="BAG94" s="456"/>
      <c r="BAH94" s="456"/>
      <c r="BAI94" s="456"/>
      <c r="BAJ94" s="456"/>
      <c r="BAK94" s="456"/>
      <c r="BAL94" s="456"/>
      <c r="BAM94" s="456"/>
      <c r="BAN94" s="456"/>
      <c r="BAO94" s="456"/>
      <c r="BAP94" s="456"/>
      <c r="BAQ94" s="456"/>
      <c r="BAR94" s="456"/>
      <c r="BAS94" s="456"/>
      <c r="BAT94" s="456"/>
      <c r="BAU94" s="456"/>
      <c r="BAV94" s="456"/>
      <c r="BAW94" s="456"/>
      <c r="BAX94" s="456"/>
      <c r="BAY94" s="456"/>
      <c r="BAZ94" s="456"/>
      <c r="BBA94" s="456"/>
      <c r="BBB94" s="456"/>
      <c r="BBC94" s="456"/>
      <c r="BBD94" s="456"/>
      <c r="BBE94" s="456"/>
      <c r="BBF94" s="456"/>
      <c r="BBG94" s="456"/>
      <c r="BBH94" s="456"/>
      <c r="BBI94" s="456"/>
      <c r="BBJ94" s="456"/>
      <c r="BBK94" s="456"/>
      <c r="BBL94" s="456"/>
      <c r="BBM94" s="456"/>
      <c r="BBN94" s="456"/>
      <c r="BBO94" s="456"/>
      <c r="BBP94" s="456"/>
      <c r="BBQ94" s="456"/>
      <c r="BBR94" s="456"/>
      <c r="BBS94" s="456"/>
      <c r="BBT94" s="456"/>
      <c r="BBU94" s="456"/>
      <c r="BBV94" s="456"/>
      <c r="BBW94" s="456"/>
      <c r="BBX94" s="456"/>
      <c r="BBY94" s="456"/>
      <c r="BBZ94" s="456"/>
      <c r="BCA94" s="456"/>
      <c r="BCB94" s="456"/>
      <c r="BCC94" s="456"/>
      <c r="BCD94" s="456"/>
      <c r="BCE94" s="456"/>
      <c r="BCF94" s="456"/>
      <c r="BCG94" s="456"/>
      <c r="BCH94" s="456"/>
      <c r="BCI94" s="456"/>
      <c r="BCJ94" s="456"/>
      <c r="BCK94" s="456"/>
      <c r="BCL94" s="456"/>
      <c r="BCM94" s="456"/>
      <c r="BCN94" s="456"/>
      <c r="BCO94" s="456"/>
      <c r="BCP94" s="456"/>
      <c r="BCQ94" s="456"/>
      <c r="BCR94" s="456"/>
      <c r="BCS94" s="456"/>
      <c r="BCT94" s="456"/>
      <c r="BCU94" s="456"/>
      <c r="BCV94" s="456"/>
      <c r="BCW94" s="456"/>
      <c r="BCX94" s="456"/>
      <c r="BCY94" s="456"/>
      <c r="BCZ94" s="456"/>
      <c r="BDA94" s="456"/>
      <c r="BDB94" s="456"/>
      <c r="BDC94" s="456"/>
      <c r="BDD94" s="456"/>
      <c r="BDE94" s="456"/>
      <c r="BDF94" s="456"/>
      <c r="BDG94" s="456"/>
      <c r="BDH94" s="456"/>
      <c r="BDI94" s="456"/>
      <c r="BDJ94" s="456"/>
      <c r="BDK94" s="456"/>
      <c r="BDL94" s="456"/>
      <c r="BDM94" s="456"/>
      <c r="BDN94" s="456"/>
      <c r="BDO94" s="456"/>
      <c r="BDP94" s="456"/>
      <c r="BDQ94" s="456"/>
      <c r="BDR94" s="456"/>
      <c r="BDS94" s="456"/>
      <c r="BDT94" s="456"/>
      <c r="BDU94" s="456"/>
      <c r="BDV94" s="456"/>
      <c r="BDW94" s="456"/>
      <c r="BDX94" s="456"/>
      <c r="BDY94" s="456"/>
      <c r="BDZ94" s="456"/>
      <c r="BEA94" s="456"/>
      <c r="BEB94" s="456"/>
      <c r="BEC94" s="456"/>
      <c r="BED94" s="456"/>
      <c r="BEE94" s="456"/>
      <c r="BEF94" s="456"/>
      <c r="BEG94" s="456"/>
      <c r="BEH94" s="456"/>
      <c r="BEI94" s="456"/>
      <c r="BEJ94" s="456"/>
      <c r="BEK94" s="456"/>
      <c r="BEL94" s="456"/>
      <c r="BEM94" s="456"/>
      <c r="BEN94" s="456"/>
      <c r="BEO94" s="456"/>
      <c r="BEP94" s="456"/>
      <c r="BEQ94" s="456"/>
      <c r="BER94" s="456"/>
      <c r="BES94" s="456"/>
      <c r="BET94" s="456"/>
      <c r="BEU94" s="456"/>
      <c r="BEV94" s="456"/>
      <c r="BEW94" s="456"/>
      <c r="BEX94" s="456"/>
      <c r="BEY94" s="456"/>
      <c r="BEZ94" s="456"/>
      <c r="BFA94" s="456"/>
      <c r="BFB94" s="456"/>
      <c r="BFC94" s="456"/>
      <c r="BFD94" s="456"/>
      <c r="BFE94" s="456"/>
      <c r="BFF94" s="456"/>
      <c r="BFG94" s="456"/>
      <c r="BFH94" s="456"/>
      <c r="BFI94" s="456"/>
      <c r="BFJ94" s="456"/>
      <c r="BFK94" s="456"/>
      <c r="BFL94" s="456"/>
      <c r="BFM94" s="456"/>
      <c r="BFN94" s="456"/>
      <c r="BFO94" s="456"/>
      <c r="BFP94" s="456"/>
      <c r="BFQ94" s="456"/>
      <c r="BFR94" s="456"/>
      <c r="BFS94" s="456"/>
      <c r="BFT94" s="456"/>
      <c r="BFU94" s="456"/>
      <c r="BFV94" s="456"/>
      <c r="BFW94" s="456"/>
      <c r="BFX94" s="456"/>
      <c r="BFY94" s="456"/>
      <c r="BFZ94" s="456"/>
      <c r="BGA94" s="456"/>
      <c r="BGB94" s="456"/>
      <c r="BGC94" s="456"/>
      <c r="BGD94" s="456"/>
      <c r="BGE94" s="456"/>
      <c r="BGF94" s="456"/>
      <c r="BGG94" s="456"/>
      <c r="BGH94" s="456"/>
      <c r="BGI94" s="456"/>
      <c r="BGJ94" s="456"/>
      <c r="BGK94" s="456"/>
      <c r="BGL94" s="456"/>
      <c r="BGM94" s="456"/>
      <c r="BGN94" s="456"/>
      <c r="BGO94" s="456"/>
      <c r="BGP94" s="456"/>
      <c r="BGQ94" s="456"/>
      <c r="BGR94" s="456"/>
      <c r="BGS94" s="456"/>
      <c r="BGT94" s="456"/>
      <c r="BGU94" s="456"/>
      <c r="BGV94" s="456"/>
      <c r="BGW94" s="456"/>
      <c r="BGX94" s="456"/>
      <c r="BGY94" s="456"/>
      <c r="BGZ94" s="456"/>
      <c r="BHA94" s="456"/>
      <c r="BHB94" s="456"/>
      <c r="BHC94" s="456"/>
      <c r="BHD94" s="456"/>
      <c r="BHE94" s="456"/>
      <c r="BHF94" s="456"/>
      <c r="BHG94" s="456"/>
      <c r="BHH94" s="456"/>
      <c r="BHI94" s="456"/>
      <c r="BHJ94" s="456"/>
      <c r="BHK94" s="456"/>
      <c r="BHL94" s="456"/>
      <c r="BHM94" s="456"/>
      <c r="BHN94" s="456"/>
      <c r="BHO94" s="456"/>
      <c r="BHP94" s="456"/>
      <c r="BHQ94" s="456"/>
      <c r="BHR94" s="456"/>
      <c r="BHS94" s="456"/>
      <c r="BHT94" s="456"/>
      <c r="BHU94" s="456"/>
      <c r="BHV94" s="456"/>
      <c r="BHW94" s="456"/>
      <c r="BHX94" s="456"/>
      <c r="BHY94" s="456"/>
      <c r="BHZ94" s="456"/>
      <c r="BIA94" s="456"/>
      <c r="BIB94" s="456"/>
      <c r="BIC94" s="456"/>
      <c r="BID94" s="456"/>
      <c r="BIE94" s="456"/>
      <c r="BIF94" s="456"/>
      <c r="BIG94" s="456"/>
      <c r="BIH94" s="456"/>
      <c r="BII94" s="456"/>
      <c r="BIJ94" s="456"/>
      <c r="BIK94" s="456"/>
      <c r="BIL94" s="456"/>
      <c r="BIM94" s="456"/>
      <c r="BIN94" s="456"/>
      <c r="BIO94" s="456"/>
      <c r="BIP94" s="456"/>
      <c r="BIQ94" s="456"/>
      <c r="BIR94" s="456"/>
      <c r="BIS94" s="456"/>
      <c r="BIT94" s="456"/>
      <c r="BIU94" s="456"/>
      <c r="BIV94" s="456"/>
      <c r="BIW94" s="456"/>
      <c r="BIX94" s="456"/>
      <c r="BIY94" s="456"/>
      <c r="BIZ94" s="456"/>
      <c r="BJA94" s="456"/>
      <c r="BJB94" s="456"/>
      <c r="BJC94" s="456"/>
      <c r="BJD94" s="456"/>
      <c r="BJE94" s="456"/>
      <c r="BJF94" s="456"/>
      <c r="BJG94" s="456"/>
      <c r="BJH94" s="456"/>
      <c r="BJI94" s="456"/>
      <c r="BJJ94" s="456"/>
      <c r="BJK94" s="456"/>
      <c r="BJL94" s="456"/>
      <c r="BJM94" s="456"/>
      <c r="BJN94" s="456"/>
      <c r="BJO94" s="456"/>
      <c r="BJP94" s="456"/>
      <c r="BJQ94" s="456"/>
      <c r="BJR94" s="456"/>
      <c r="BJS94" s="456"/>
      <c r="BJT94" s="456"/>
      <c r="BJU94" s="456"/>
      <c r="BJV94" s="456"/>
      <c r="BJW94" s="456"/>
      <c r="BJX94" s="456"/>
      <c r="BJY94" s="456"/>
      <c r="BJZ94" s="456"/>
      <c r="BKA94" s="456"/>
      <c r="BKB94" s="456"/>
      <c r="BKC94" s="456"/>
      <c r="BKD94" s="456"/>
      <c r="BKE94" s="456"/>
      <c r="BKF94" s="456"/>
      <c r="BKG94" s="456"/>
      <c r="BKH94" s="456"/>
      <c r="BKI94" s="456"/>
      <c r="BKJ94" s="456"/>
      <c r="BKK94" s="456"/>
      <c r="BKL94" s="456"/>
      <c r="BKM94" s="456"/>
      <c r="BKN94" s="456"/>
      <c r="BKO94" s="456"/>
      <c r="BKP94" s="456"/>
      <c r="BKQ94" s="456"/>
      <c r="BKR94" s="456"/>
      <c r="BKS94" s="456"/>
      <c r="BKT94" s="456"/>
      <c r="BKU94" s="456"/>
      <c r="BKV94" s="456"/>
      <c r="BKW94" s="456"/>
      <c r="BKX94" s="456"/>
      <c r="BKY94" s="456"/>
      <c r="BKZ94" s="456"/>
      <c r="BLA94" s="456"/>
      <c r="BLB94" s="456"/>
      <c r="BLC94" s="456"/>
      <c r="BLD94" s="456"/>
      <c r="BLE94" s="456"/>
      <c r="BLF94" s="456"/>
      <c r="BLG94" s="456"/>
      <c r="BLH94" s="456"/>
      <c r="BLI94" s="456"/>
      <c r="BLJ94" s="456"/>
      <c r="BLK94" s="456"/>
      <c r="BLL94" s="456"/>
      <c r="BLM94" s="456"/>
      <c r="BLN94" s="456"/>
      <c r="BLO94" s="456"/>
      <c r="BLP94" s="456"/>
      <c r="BLQ94" s="456"/>
      <c r="BLR94" s="456"/>
      <c r="BLS94" s="456"/>
      <c r="BLT94" s="456"/>
      <c r="BLU94" s="456"/>
      <c r="BLV94" s="456"/>
      <c r="BLW94" s="456"/>
      <c r="BLX94" s="456"/>
      <c r="BLY94" s="456"/>
      <c r="BLZ94" s="456"/>
      <c r="BMA94" s="456"/>
      <c r="BMB94" s="456"/>
      <c r="BMC94" s="456"/>
      <c r="BMD94" s="456"/>
      <c r="BME94" s="456"/>
      <c r="BMF94" s="456"/>
      <c r="BMG94" s="456"/>
      <c r="BMH94" s="456"/>
      <c r="BMI94" s="456"/>
      <c r="BMJ94" s="456"/>
      <c r="BMK94" s="456"/>
      <c r="BML94" s="456"/>
      <c r="BMM94" s="456"/>
      <c r="BMN94" s="456"/>
      <c r="BMO94" s="456"/>
      <c r="BMP94" s="456"/>
      <c r="BMQ94" s="456"/>
      <c r="BMR94" s="456"/>
      <c r="BMS94" s="456"/>
      <c r="BMT94" s="456"/>
      <c r="BMU94" s="456"/>
      <c r="BMV94" s="456"/>
      <c r="BMW94" s="456"/>
      <c r="BMX94" s="456"/>
      <c r="BMY94" s="456"/>
      <c r="BMZ94" s="456"/>
      <c r="BNA94" s="456"/>
      <c r="BNB94" s="456"/>
      <c r="BNC94" s="456"/>
      <c r="BND94" s="456"/>
      <c r="BNE94" s="456"/>
      <c r="BNF94" s="456"/>
      <c r="BNG94" s="456"/>
      <c r="BNH94" s="456"/>
      <c r="BNI94" s="456"/>
      <c r="BNJ94" s="456"/>
      <c r="BNK94" s="456"/>
      <c r="BNL94" s="456"/>
      <c r="BNM94" s="456"/>
      <c r="BNN94" s="456"/>
      <c r="BNO94" s="456"/>
      <c r="BNP94" s="456"/>
      <c r="BNQ94" s="456"/>
      <c r="BNR94" s="456"/>
      <c r="BNS94" s="456"/>
      <c r="BNT94" s="456"/>
      <c r="BNU94" s="456"/>
      <c r="BNV94" s="456"/>
      <c r="BNW94" s="456"/>
      <c r="BNX94" s="456"/>
      <c r="BNY94" s="456"/>
      <c r="BNZ94" s="456"/>
      <c r="BOA94" s="456"/>
      <c r="BOB94" s="456"/>
      <c r="BOC94" s="456"/>
      <c r="BOD94" s="456"/>
      <c r="BOE94" s="456"/>
      <c r="BOF94" s="456"/>
      <c r="BOG94" s="456"/>
      <c r="BOH94" s="456"/>
      <c r="BOI94" s="456"/>
      <c r="BOJ94" s="456"/>
      <c r="BOK94" s="456"/>
      <c r="BOL94" s="456"/>
      <c r="BOM94" s="456"/>
      <c r="BON94" s="456"/>
      <c r="BOO94" s="456"/>
      <c r="BOP94" s="456"/>
      <c r="BOQ94" s="456"/>
      <c r="BOR94" s="456"/>
      <c r="BOS94" s="456"/>
      <c r="BOT94" s="456"/>
      <c r="BOU94" s="456"/>
      <c r="BOV94" s="456"/>
      <c r="BOW94" s="456"/>
      <c r="BOX94" s="456"/>
      <c r="BOY94" s="456"/>
      <c r="BOZ94" s="456"/>
      <c r="BPA94" s="456"/>
      <c r="BPB94" s="456"/>
      <c r="BPC94" s="456"/>
      <c r="BPD94" s="456"/>
      <c r="BPE94" s="456"/>
      <c r="BPF94" s="456"/>
      <c r="BPG94" s="456"/>
      <c r="BPH94" s="456"/>
      <c r="BPI94" s="456"/>
      <c r="BPJ94" s="456"/>
      <c r="BPK94" s="456"/>
      <c r="BPL94" s="456"/>
      <c r="BPM94" s="456"/>
      <c r="BPN94" s="456"/>
      <c r="BPO94" s="456"/>
      <c r="BPP94" s="456"/>
      <c r="BPQ94" s="456"/>
      <c r="BPR94" s="456"/>
      <c r="BPS94" s="456"/>
      <c r="BPT94" s="456"/>
      <c r="BPU94" s="456"/>
      <c r="BPV94" s="456"/>
      <c r="BPW94" s="456"/>
      <c r="BPX94" s="456"/>
      <c r="BPY94" s="456"/>
      <c r="BPZ94" s="456"/>
      <c r="BQA94" s="456"/>
      <c r="BQB94" s="456"/>
      <c r="BQC94" s="456"/>
      <c r="BQD94" s="456"/>
      <c r="BQE94" s="456"/>
      <c r="BQF94" s="456"/>
      <c r="BQG94" s="456"/>
      <c r="BQH94" s="456"/>
      <c r="BQI94" s="456"/>
      <c r="BQJ94" s="456"/>
      <c r="BQK94" s="456"/>
      <c r="BQL94" s="456"/>
      <c r="BQM94" s="456"/>
      <c r="BQN94" s="456"/>
      <c r="BQO94" s="456"/>
      <c r="BQP94" s="456"/>
      <c r="BQQ94" s="456"/>
      <c r="BQR94" s="456"/>
      <c r="BQS94" s="456"/>
      <c r="BQT94" s="456"/>
      <c r="BQU94" s="456"/>
      <c r="BQV94" s="456"/>
      <c r="BQW94" s="456"/>
      <c r="BQX94" s="456"/>
      <c r="BQY94" s="456"/>
      <c r="BQZ94" s="456"/>
      <c r="BRA94" s="456"/>
      <c r="BRB94" s="456"/>
      <c r="BRC94" s="456"/>
      <c r="BRD94" s="456"/>
      <c r="BRE94" s="456"/>
      <c r="BRF94" s="456"/>
      <c r="BRG94" s="456"/>
      <c r="BRH94" s="456"/>
      <c r="BRI94" s="456"/>
      <c r="BRJ94" s="456"/>
      <c r="BRK94" s="456"/>
      <c r="BRL94" s="456"/>
      <c r="BRM94" s="456"/>
      <c r="BRN94" s="456"/>
      <c r="BRO94" s="456"/>
      <c r="BRP94" s="456"/>
      <c r="BRQ94" s="456"/>
      <c r="BRR94" s="456"/>
      <c r="BRS94" s="456"/>
      <c r="BRT94" s="456"/>
      <c r="BRU94" s="456"/>
      <c r="BRV94" s="456"/>
      <c r="BRW94" s="456"/>
      <c r="BRX94" s="456"/>
      <c r="BRY94" s="456"/>
      <c r="BRZ94" s="456"/>
      <c r="BSA94" s="456"/>
      <c r="BSB94" s="456"/>
      <c r="BSC94" s="456"/>
      <c r="BSD94" s="456"/>
      <c r="BSE94" s="456"/>
      <c r="BSF94" s="456"/>
      <c r="BSG94" s="456"/>
      <c r="BSH94" s="456"/>
      <c r="BSI94" s="456"/>
      <c r="BSJ94" s="456"/>
      <c r="BSK94" s="456"/>
      <c r="BSL94" s="456"/>
      <c r="BSM94" s="456"/>
      <c r="BSN94" s="456"/>
      <c r="BSO94" s="456"/>
      <c r="BSP94" s="456"/>
      <c r="BSQ94" s="456"/>
      <c r="BSR94" s="456"/>
      <c r="BSS94" s="456"/>
      <c r="BST94" s="456"/>
      <c r="BSU94" s="456"/>
      <c r="BSV94" s="456"/>
      <c r="BSW94" s="456"/>
      <c r="BSX94" s="456"/>
      <c r="BSY94" s="456"/>
      <c r="BSZ94" s="456"/>
      <c r="BTA94" s="456"/>
      <c r="BTB94" s="456"/>
      <c r="BTC94" s="456"/>
      <c r="BTD94" s="456"/>
      <c r="BTE94" s="456"/>
      <c r="BTF94" s="456"/>
      <c r="BTG94" s="456"/>
      <c r="BTH94" s="456"/>
      <c r="BTI94" s="456"/>
      <c r="BTJ94" s="456"/>
      <c r="BTK94" s="456"/>
      <c r="BTL94" s="456"/>
      <c r="BTM94" s="456"/>
      <c r="BTN94" s="456"/>
      <c r="BTO94" s="456"/>
      <c r="BTP94" s="456"/>
      <c r="BTQ94" s="456"/>
      <c r="BTR94" s="456"/>
      <c r="BTS94" s="456"/>
      <c r="BTT94" s="456"/>
      <c r="BTU94" s="456"/>
      <c r="BTV94" s="456"/>
      <c r="BTW94" s="456"/>
      <c r="BTX94" s="456"/>
      <c r="BTY94" s="456"/>
      <c r="BTZ94" s="456"/>
      <c r="BUA94" s="456"/>
      <c r="BUB94" s="456"/>
      <c r="BUC94" s="456"/>
      <c r="BUD94" s="456"/>
      <c r="BUE94" s="456"/>
      <c r="BUF94" s="456"/>
      <c r="BUG94" s="456"/>
      <c r="BUH94" s="456"/>
      <c r="BUI94" s="456"/>
      <c r="BUJ94" s="456"/>
      <c r="BUK94" s="456"/>
      <c r="BUL94" s="456"/>
      <c r="BUM94" s="456"/>
      <c r="BUN94" s="456"/>
      <c r="BUO94" s="456"/>
      <c r="BUP94" s="456"/>
      <c r="BUQ94" s="456"/>
      <c r="BUR94" s="456"/>
      <c r="BUS94" s="456"/>
      <c r="BUT94" s="456"/>
      <c r="BUU94" s="456"/>
      <c r="BUV94" s="456"/>
      <c r="BUW94" s="456"/>
      <c r="BUX94" s="456"/>
      <c r="BUY94" s="456"/>
      <c r="BUZ94" s="456"/>
      <c r="BVA94" s="456"/>
      <c r="BVB94" s="456"/>
      <c r="BVC94" s="456"/>
      <c r="BVD94" s="456"/>
      <c r="BVE94" s="456"/>
      <c r="BVF94" s="456"/>
      <c r="BVG94" s="456"/>
      <c r="BVH94" s="456"/>
      <c r="BVI94" s="456"/>
      <c r="BVJ94" s="456"/>
      <c r="BVK94" s="456"/>
      <c r="BVL94" s="456"/>
      <c r="BVM94" s="456"/>
      <c r="BVN94" s="456"/>
      <c r="BVO94" s="456"/>
      <c r="BVP94" s="456"/>
      <c r="BVQ94" s="456"/>
      <c r="BVR94" s="456"/>
      <c r="BVS94" s="456"/>
      <c r="BVT94" s="456"/>
      <c r="BVU94" s="456"/>
      <c r="BVV94" s="456"/>
      <c r="BVW94" s="456"/>
      <c r="BVX94" s="456"/>
      <c r="BVY94" s="456"/>
      <c r="BVZ94" s="456"/>
      <c r="BWA94" s="456"/>
      <c r="BWB94" s="456"/>
      <c r="BWC94" s="456"/>
      <c r="BWD94" s="456"/>
      <c r="BWE94" s="456"/>
      <c r="BWF94" s="456"/>
      <c r="BWG94" s="456"/>
      <c r="BWH94" s="456"/>
      <c r="BWI94" s="456"/>
      <c r="BWJ94" s="456"/>
      <c r="BWK94" s="456"/>
      <c r="BWL94" s="456"/>
      <c r="BWM94" s="456"/>
      <c r="BWN94" s="456"/>
      <c r="BWO94" s="456"/>
      <c r="BWP94" s="456"/>
      <c r="BWQ94" s="456"/>
      <c r="BWR94" s="456"/>
      <c r="BWS94" s="456"/>
      <c r="BWT94" s="456"/>
      <c r="BWU94" s="456"/>
      <c r="BWV94" s="456"/>
      <c r="BWW94" s="456"/>
      <c r="BWX94" s="456"/>
      <c r="BWY94" s="456"/>
      <c r="BWZ94" s="456"/>
      <c r="BXA94" s="456"/>
      <c r="BXB94" s="456"/>
      <c r="BXC94" s="456"/>
      <c r="BXD94" s="456"/>
      <c r="BXE94" s="456"/>
      <c r="BXF94" s="456"/>
      <c r="BXG94" s="456"/>
      <c r="BXH94" s="456"/>
      <c r="BXI94" s="456"/>
      <c r="BXJ94" s="456"/>
      <c r="BXK94" s="456"/>
      <c r="BXL94" s="456"/>
      <c r="BXM94" s="456"/>
      <c r="BXN94" s="456"/>
      <c r="BXO94" s="456"/>
      <c r="BXP94" s="456"/>
      <c r="BXQ94" s="456"/>
      <c r="BXR94" s="456"/>
      <c r="BXS94" s="456"/>
      <c r="BXT94" s="456"/>
      <c r="BXU94" s="456"/>
      <c r="BXV94" s="456"/>
      <c r="BXW94" s="456"/>
      <c r="BXX94" s="456"/>
      <c r="BXY94" s="456"/>
      <c r="BXZ94" s="456"/>
    </row>
    <row r="95" spans="1:1024 1025:2002">
      <c r="A95" s="474"/>
      <c r="B95" s="75">
        <v>1123</v>
      </c>
      <c r="C95" s="213">
        <v>46189</v>
      </c>
      <c r="D95" s="18" t="s">
        <v>91</v>
      </c>
      <c r="E95" s="18" t="s">
        <v>92</v>
      </c>
      <c r="F95" s="18" t="s">
        <v>93</v>
      </c>
      <c r="G95" s="18"/>
      <c r="H95" s="75">
        <v>1.2085</v>
      </c>
      <c r="I95" s="75">
        <v>1.2085</v>
      </c>
      <c r="J95" s="18" t="s">
        <v>49</v>
      </c>
      <c r="K95" s="75">
        <v>2000</v>
      </c>
      <c r="L95" s="111">
        <v>56</v>
      </c>
      <c r="M95" s="75">
        <v>3400</v>
      </c>
      <c r="N95" s="75" t="s">
        <v>66</v>
      </c>
      <c r="O95" s="75" t="s">
        <v>67</v>
      </c>
      <c r="P95" s="75">
        <v>3065</v>
      </c>
      <c r="Q95" s="75">
        <v>2995</v>
      </c>
      <c r="R95" s="75">
        <f t="shared" si="7"/>
        <v>70</v>
      </c>
      <c r="S95" s="75">
        <v>2400</v>
      </c>
      <c r="T95" s="75" t="s">
        <v>94</v>
      </c>
      <c r="U95" s="137">
        <v>51001791</v>
      </c>
      <c r="V95" s="193">
        <v>46189</v>
      </c>
      <c r="W95" s="18" t="s">
        <v>44</v>
      </c>
      <c r="X95" s="18"/>
      <c r="Y95" s="114">
        <v>46204</v>
      </c>
      <c r="Z95" s="18" t="s">
        <v>95</v>
      </c>
      <c r="AA95" s="24" t="s">
        <v>46</v>
      </c>
      <c r="AB95" s="18"/>
      <c r="AC95" s="137"/>
      <c r="AD95" s="77"/>
      <c r="AE95" s="18" t="s">
        <v>48</v>
      </c>
      <c r="AF95" s="18"/>
      <c r="AG95" s="18"/>
    </row>
    <row r="96" s="25" customFormat="1" spans="1:1024 1025:2002">
      <c r="A96" s="473"/>
      <c r="B96" s="19">
        <v>1123</v>
      </c>
      <c r="C96" s="183">
        <v>46189</v>
      </c>
      <c r="D96" s="17" t="s">
        <v>91</v>
      </c>
      <c r="E96" s="17" t="s">
        <v>92</v>
      </c>
      <c r="F96" s="17" t="s">
        <v>93</v>
      </c>
      <c r="G96" s="17"/>
      <c r="H96" s="19">
        <v>1.2085</v>
      </c>
      <c r="I96" s="19">
        <v>1.2085</v>
      </c>
      <c r="J96" s="17" t="s">
        <v>49</v>
      </c>
      <c r="K96" s="19">
        <v>2060</v>
      </c>
      <c r="L96" s="91">
        <v>80</v>
      </c>
      <c r="M96" s="19">
        <v>3800</v>
      </c>
      <c r="N96" s="19" t="s">
        <v>66</v>
      </c>
      <c r="O96" s="19" t="s">
        <v>67</v>
      </c>
      <c r="P96" s="19">
        <v>5071</v>
      </c>
      <c r="Q96" s="19">
        <v>4950</v>
      </c>
      <c r="R96" s="19">
        <f t="shared" si="7"/>
        <v>121</v>
      </c>
      <c r="S96" s="19">
        <v>2400</v>
      </c>
      <c r="T96" s="19" t="s">
        <v>94</v>
      </c>
      <c r="U96" s="102">
        <v>51001791</v>
      </c>
      <c r="V96" s="186">
        <v>46189</v>
      </c>
      <c r="W96" s="17" t="s">
        <v>44</v>
      </c>
      <c r="X96" s="17"/>
      <c r="Y96" s="68">
        <v>46204</v>
      </c>
      <c r="Z96" s="17" t="s">
        <v>95</v>
      </c>
      <c r="AA96" s="17" t="s">
        <v>46</v>
      </c>
      <c r="AB96" s="102">
        <v>26201115940</v>
      </c>
      <c r="AC96" s="217">
        <v>46239</v>
      </c>
      <c r="AD96" s="65">
        <v>1844</v>
      </c>
      <c r="AE96" s="17" t="s">
        <v>48</v>
      </c>
      <c r="AF96" s="17"/>
      <c r="AG96" s="17"/>
      <c r="AH96" s="456"/>
      <c r="AI96" s="456"/>
      <c r="AJ96" s="456"/>
      <c r="AK96" s="456"/>
      <c r="AL96" s="456"/>
      <c r="AM96" s="456"/>
      <c r="AN96" s="456"/>
      <c r="AO96" s="456"/>
      <c r="AP96" s="456"/>
      <c r="AQ96" s="456"/>
      <c r="AR96" s="456"/>
      <c r="AS96" s="456"/>
      <c r="AT96" s="456"/>
      <c r="AU96" s="456"/>
      <c r="AV96" s="456"/>
      <c r="AW96" s="456"/>
      <c r="AX96" s="456"/>
      <c r="AY96" s="456"/>
      <c r="AZ96" s="456"/>
      <c r="BA96" s="456"/>
      <c r="BB96" s="456"/>
      <c r="BC96" s="456"/>
      <c r="BD96" s="456"/>
      <c r="BE96" s="456"/>
      <c r="BF96" s="456"/>
      <c r="BG96" s="456"/>
      <c r="BH96" s="456"/>
      <c r="BI96" s="456"/>
      <c r="BJ96" s="456"/>
      <c r="BK96" s="456"/>
      <c r="BL96" s="456"/>
      <c r="BM96" s="456"/>
      <c r="BN96" s="456"/>
      <c r="BO96" s="456"/>
      <c r="BP96" s="456"/>
      <c r="BQ96" s="456"/>
      <c r="BR96" s="456"/>
      <c r="BS96" s="456"/>
      <c r="BT96" s="456"/>
      <c r="BU96" s="456"/>
      <c r="BV96" s="456"/>
      <c r="BW96" s="456"/>
      <c r="BX96" s="456"/>
      <c r="BY96" s="456"/>
      <c r="BZ96" s="456"/>
      <c r="CA96" s="456"/>
      <c r="CB96" s="456"/>
      <c r="CC96" s="456"/>
      <c r="CD96" s="456"/>
      <c r="CE96" s="456"/>
      <c r="CF96" s="456"/>
      <c r="CG96" s="456"/>
      <c r="CH96" s="456"/>
      <c r="CI96" s="456"/>
      <c r="CJ96" s="456"/>
      <c r="CK96" s="456"/>
      <c r="CL96" s="456"/>
      <c r="CM96" s="456"/>
      <c r="CN96" s="456"/>
      <c r="CO96" s="456"/>
      <c r="CP96" s="456"/>
      <c r="CQ96" s="456"/>
      <c r="CR96" s="456"/>
      <c r="CS96" s="456"/>
      <c r="CT96" s="456"/>
      <c r="CU96" s="456"/>
      <c r="CV96" s="456"/>
      <c r="CW96" s="456"/>
      <c r="CX96" s="456"/>
      <c r="CY96" s="456"/>
      <c r="CZ96" s="456"/>
      <c r="DA96" s="456"/>
      <c r="DB96" s="456"/>
      <c r="DC96" s="456"/>
      <c r="DD96" s="456"/>
      <c r="DE96" s="456"/>
      <c r="DF96" s="456"/>
      <c r="DG96" s="456"/>
      <c r="DH96" s="456"/>
      <c r="DI96" s="456"/>
      <c r="DJ96" s="456"/>
      <c r="DK96" s="456"/>
      <c r="DL96" s="456"/>
      <c r="DM96" s="456"/>
      <c r="DN96" s="456"/>
      <c r="DO96" s="456"/>
      <c r="DP96" s="456"/>
      <c r="DQ96" s="456"/>
      <c r="DR96" s="456"/>
      <c r="DS96" s="456"/>
      <c r="DT96" s="456"/>
      <c r="DU96" s="456"/>
      <c r="DV96" s="456"/>
      <c r="DW96" s="456"/>
      <c r="DX96" s="456"/>
      <c r="DY96" s="456"/>
      <c r="DZ96" s="456"/>
      <c r="EA96" s="456"/>
      <c r="EB96" s="456"/>
      <c r="EC96" s="456"/>
      <c r="ED96" s="456"/>
      <c r="EE96" s="456"/>
      <c r="EF96" s="456"/>
      <c r="EG96" s="456"/>
      <c r="EH96" s="456"/>
      <c r="EI96" s="456"/>
      <c r="EJ96" s="456"/>
      <c r="EK96" s="456"/>
      <c r="EL96" s="456"/>
      <c r="EM96" s="456"/>
      <c r="EN96" s="456"/>
      <c r="EO96" s="456"/>
      <c r="EP96" s="456"/>
      <c r="EQ96" s="456"/>
      <c r="ER96" s="456"/>
      <c r="ES96" s="456"/>
      <c r="ET96" s="456"/>
      <c r="EU96" s="456"/>
      <c r="EV96" s="456"/>
      <c r="EW96" s="456"/>
      <c r="EX96" s="456"/>
      <c r="EY96" s="456"/>
      <c r="EZ96" s="456"/>
      <c r="FA96" s="456"/>
      <c r="FB96" s="456"/>
      <c r="FC96" s="456"/>
      <c r="FD96" s="456"/>
      <c r="FE96" s="456"/>
      <c r="FF96" s="456"/>
      <c r="FG96" s="456"/>
      <c r="FH96" s="456"/>
      <c r="FI96" s="456"/>
      <c r="FJ96" s="456"/>
      <c r="FK96" s="456"/>
      <c r="FL96" s="456"/>
      <c r="FM96" s="456"/>
      <c r="FN96" s="456"/>
      <c r="FO96" s="456"/>
      <c r="FP96" s="456"/>
      <c r="FQ96" s="456"/>
      <c r="FR96" s="456"/>
      <c r="FS96" s="456"/>
      <c r="FT96" s="456"/>
      <c r="FU96" s="456"/>
      <c r="FV96" s="456"/>
      <c r="FW96" s="456"/>
      <c r="FX96" s="456"/>
      <c r="FY96" s="456"/>
      <c r="FZ96" s="456"/>
      <c r="GA96" s="456"/>
      <c r="GB96" s="456"/>
      <c r="GC96" s="456"/>
      <c r="GD96" s="456"/>
      <c r="GE96" s="456"/>
      <c r="GF96" s="456"/>
      <c r="GG96" s="456"/>
      <c r="GH96" s="456"/>
      <c r="GI96" s="456"/>
      <c r="GJ96" s="456"/>
      <c r="GK96" s="456"/>
      <c r="GL96" s="456"/>
      <c r="GM96" s="456"/>
      <c r="GN96" s="456"/>
      <c r="GO96" s="456"/>
      <c r="GP96" s="456"/>
      <c r="GQ96" s="456"/>
      <c r="GR96" s="456"/>
      <c r="GS96" s="456"/>
      <c r="GT96" s="456"/>
      <c r="GU96" s="456"/>
      <c r="GV96" s="456"/>
      <c r="GW96" s="456"/>
      <c r="GX96" s="456"/>
      <c r="GY96" s="456"/>
      <c r="GZ96" s="456"/>
      <c r="HA96" s="456"/>
      <c r="HB96" s="456"/>
      <c r="HC96" s="456"/>
      <c r="HD96" s="456"/>
      <c r="HE96" s="456"/>
      <c r="HF96" s="456"/>
      <c r="HG96" s="456"/>
      <c r="HH96" s="456"/>
      <c r="HI96" s="456"/>
      <c r="HJ96" s="456"/>
      <c r="HK96" s="456"/>
      <c r="HL96" s="456"/>
      <c r="HM96" s="456"/>
      <c r="HN96" s="456"/>
      <c r="HO96" s="456"/>
      <c r="HP96" s="456"/>
      <c r="HQ96" s="456"/>
      <c r="HR96" s="456"/>
      <c r="HS96" s="456"/>
      <c r="HT96" s="456"/>
      <c r="HU96" s="456"/>
      <c r="HV96" s="456"/>
      <c r="HW96" s="456"/>
      <c r="HX96" s="456"/>
      <c r="HY96" s="456"/>
      <c r="HZ96" s="456"/>
      <c r="IA96" s="456"/>
      <c r="IB96" s="456"/>
      <c r="IC96" s="456"/>
      <c r="ID96" s="456"/>
      <c r="IE96" s="456"/>
      <c r="IF96" s="456"/>
      <c r="IG96" s="456"/>
      <c r="IH96" s="456"/>
      <c r="II96" s="456"/>
      <c r="IJ96" s="456"/>
      <c r="IK96" s="456"/>
      <c r="IL96" s="456"/>
      <c r="IM96" s="456"/>
      <c r="IN96" s="456"/>
      <c r="IO96" s="456"/>
      <c r="IP96" s="456"/>
      <c r="IQ96" s="456"/>
      <c r="IR96" s="456"/>
      <c r="IS96" s="456"/>
      <c r="IT96" s="456"/>
      <c r="IU96" s="456"/>
      <c r="IV96" s="456"/>
      <c r="IW96" s="456"/>
      <c r="IX96" s="456"/>
      <c r="IY96" s="456"/>
      <c r="IZ96" s="456"/>
      <c r="JA96" s="456"/>
      <c r="JB96" s="456"/>
      <c r="JC96" s="456"/>
      <c r="JD96" s="456"/>
      <c r="JE96" s="456"/>
      <c r="JF96" s="456"/>
      <c r="JG96" s="456"/>
      <c r="JH96" s="456"/>
      <c r="JI96" s="456"/>
      <c r="JJ96" s="456"/>
      <c r="JK96" s="456"/>
      <c r="JL96" s="456"/>
      <c r="JM96" s="456"/>
      <c r="JN96" s="456"/>
      <c r="JO96" s="456"/>
      <c r="JP96" s="456"/>
      <c r="JQ96" s="456"/>
      <c r="JR96" s="456"/>
      <c r="JS96" s="456"/>
      <c r="JT96" s="456"/>
      <c r="JU96" s="456"/>
      <c r="JV96" s="456"/>
      <c r="JW96" s="456"/>
      <c r="JX96" s="456"/>
      <c r="JY96" s="456"/>
      <c r="JZ96" s="456"/>
      <c r="KA96" s="456"/>
      <c r="KB96" s="456"/>
      <c r="KC96" s="456"/>
      <c r="KD96" s="456"/>
      <c r="KE96" s="456"/>
      <c r="KF96" s="456"/>
      <c r="KG96" s="456"/>
      <c r="KH96" s="456"/>
      <c r="KI96" s="456"/>
      <c r="KJ96" s="456"/>
      <c r="KK96" s="456"/>
      <c r="KL96" s="456"/>
      <c r="KM96" s="456"/>
      <c r="KN96" s="456"/>
      <c r="KO96" s="456"/>
      <c r="KP96" s="456"/>
      <c r="KQ96" s="456"/>
      <c r="KR96" s="456"/>
      <c r="KS96" s="456"/>
      <c r="KT96" s="456"/>
      <c r="KU96" s="456"/>
      <c r="KV96" s="456"/>
      <c r="KW96" s="456"/>
      <c r="KX96" s="456"/>
      <c r="KY96" s="456"/>
      <c r="KZ96" s="456"/>
      <c r="LA96" s="456"/>
      <c r="LB96" s="456"/>
      <c r="LC96" s="456"/>
      <c r="LD96" s="456"/>
      <c r="LE96" s="456"/>
      <c r="LF96" s="456"/>
      <c r="LG96" s="456"/>
      <c r="LH96" s="456"/>
      <c r="LI96" s="456"/>
      <c r="LJ96" s="456"/>
      <c r="LK96" s="456"/>
      <c r="LL96" s="456"/>
      <c r="LM96" s="456"/>
      <c r="LN96" s="456"/>
      <c r="LO96" s="456"/>
      <c r="LP96" s="456"/>
      <c r="LQ96" s="456"/>
      <c r="LR96" s="456"/>
      <c r="LS96" s="456"/>
      <c r="LT96" s="456"/>
      <c r="LU96" s="456"/>
      <c r="LV96" s="456"/>
      <c r="LW96" s="456"/>
      <c r="LX96" s="456"/>
      <c r="LY96" s="456"/>
      <c r="LZ96" s="456"/>
      <c r="MA96" s="456"/>
      <c r="MB96" s="456"/>
      <c r="MC96" s="456"/>
      <c r="MD96" s="456"/>
      <c r="ME96" s="456"/>
      <c r="MF96" s="456"/>
      <c r="MG96" s="456"/>
      <c r="MH96" s="456"/>
      <c r="MI96" s="456"/>
      <c r="MJ96" s="456"/>
      <c r="MK96" s="456"/>
      <c r="ML96" s="456"/>
      <c r="MM96" s="456"/>
      <c r="MN96" s="456"/>
      <c r="MO96" s="456"/>
      <c r="MP96" s="456"/>
      <c r="MQ96" s="456"/>
      <c r="MR96" s="456"/>
      <c r="MS96" s="456"/>
      <c r="MT96" s="456"/>
      <c r="MU96" s="456"/>
      <c r="MV96" s="456"/>
      <c r="MW96" s="456"/>
      <c r="MX96" s="456"/>
      <c r="MY96" s="456"/>
      <c r="MZ96" s="456"/>
      <c r="NA96" s="456"/>
      <c r="NB96" s="456"/>
      <c r="NC96" s="456"/>
      <c r="ND96" s="456"/>
      <c r="NE96" s="456"/>
      <c r="NF96" s="456"/>
      <c r="NG96" s="456"/>
      <c r="NH96" s="456"/>
      <c r="NI96" s="456"/>
      <c r="NJ96" s="456"/>
      <c r="NK96" s="456"/>
      <c r="NL96" s="456"/>
      <c r="NM96" s="456"/>
      <c r="NN96" s="456"/>
      <c r="NO96" s="456"/>
      <c r="NP96" s="456"/>
      <c r="NQ96" s="456"/>
      <c r="NR96" s="456"/>
      <c r="NS96" s="456"/>
      <c r="NT96" s="456"/>
      <c r="NU96" s="456"/>
      <c r="NV96" s="456"/>
      <c r="NW96" s="456"/>
      <c r="NX96" s="456"/>
      <c r="NY96" s="456"/>
      <c r="NZ96" s="456"/>
      <c r="OA96" s="456"/>
      <c r="OB96" s="456"/>
      <c r="OC96" s="456"/>
      <c r="OD96" s="456"/>
      <c r="OE96" s="456"/>
      <c r="OF96" s="456"/>
      <c r="OG96" s="456"/>
      <c r="OH96" s="456"/>
      <c r="OI96" s="456"/>
      <c r="OJ96" s="456"/>
      <c r="OK96" s="456"/>
      <c r="OL96" s="456"/>
      <c r="OM96" s="456"/>
      <c r="ON96" s="456"/>
      <c r="OO96" s="456"/>
      <c r="OP96" s="456"/>
      <c r="OQ96" s="456"/>
      <c r="OR96" s="456"/>
      <c r="OS96" s="456"/>
      <c r="OT96" s="456"/>
      <c r="OU96" s="456"/>
      <c r="OV96" s="456"/>
      <c r="OW96" s="456"/>
      <c r="OX96" s="456"/>
      <c r="OY96" s="456"/>
      <c r="OZ96" s="456"/>
      <c r="PA96" s="456"/>
      <c r="PB96" s="456"/>
      <c r="PC96" s="456"/>
      <c r="PD96" s="456"/>
      <c r="PE96" s="456"/>
      <c r="PF96" s="456"/>
      <c r="PG96" s="456"/>
      <c r="PH96" s="456"/>
      <c r="PI96" s="456"/>
      <c r="PJ96" s="456"/>
      <c r="PK96" s="456"/>
      <c r="PL96" s="456"/>
      <c r="PM96" s="456"/>
      <c r="PN96" s="456"/>
      <c r="PO96" s="456"/>
      <c r="PP96" s="456"/>
      <c r="PQ96" s="456"/>
      <c r="PR96" s="456"/>
      <c r="PS96" s="456"/>
      <c r="PT96" s="456"/>
      <c r="PU96" s="456"/>
      <c r="PV96" s="456"/>
      <c r="PW96" s="456"/>
      <c r="PX96" s="456"/>
      <c r="PY96" s="456"/>
      <c r="PZ96" s="456"/>
      <c r="QA96" s="456"/>
      <c r="QB96" s="456"/>
      <c r="QC96" s="456"/>
      <c r="QD96" s="456"/>
      <c r="QE96" s="456"/>
      <c r="QF96" s="456"/>
      <c r="QG96" s="456"/>
      <c r="QH96" s="456"/>
      <c r="QI96" s="456"/>
      <c r="QJ96" s="456"/>
      <c r="QK96" s="456"/>
      <c r="QL96" s="456"/>
      <c r="QM96" s="456"/>
      <c r="QN96" s="456"/>
      <c r="QO96" s="456"/>
      <c r="QP96" s="456"/>
      <c r="QQ96" s="456"/>
      <c r="QR96" s="456"/>
      <c r="QS96" s="456"/>
      <c r="QT96" s="456"/>
      <c r="QU96" s="456"/>
      <c r="QV96" s="456"/>
      <c r="QW96" s="456"/>
      <c r="QX96" s="456"/>
      <c r="QY96" s="456"/>
      <c r="QZ96" s="456"/>
      <c r="RA96" s="456"/>
      <c r="RB96" s="456"/>
      <c r="RC96" s="456"/>
      <c r="RD96" s="456"/>
      <c r="RE96" s="456"/>
      <c r="RF96" s="456"/>
      <c r="RG96" s="456"/>
      <c r="RH96" s="456"/>
      <c r="RI96" s="456"/>
      <c r="RJ96" s="456"/>
      <c r="RK96" s="456"/>
      <c r="RL96" s="456"/>
      <c r="RM96" s="456"/>
      <c r="RN96" s="456"/>
      <c r="RO96" s="456"/>
      <c r="RP96" s="456"/>
      <c r="RQ96" s="456"/>
      <c r="RR96" s="456"/>
      <c r="RS96" s="456"/>
      <c r="RT96" s="456"/>
      <c r="RU96" s="456"/>
      <c r="RV96" s="456"/>
      <c r="RW96" s="456"/>
      <c r="RX96" s="456"/>
      <c r="RY96" s="456"/>
      <c r="RZ96" s="456"/>
      <c r="SA96" s="456"/>
      <c r="SB96" s="456"/>
      <c r="SC96" s="456"/>
      <c r="SD96" s="456"/>
      <c r="SE96" s="456"/>
      <c r="SF96" s="456"/>
      <c r="SG96" s="456"/>
      <c r="SH96" s="456"/>
      <c r="SI96" s="456"/>
      <c r="SJ96" s="456"/>
      <c r="SK96" s="456"/>
      <c r="SL96" s="456"/>
      <c r="SM96" s="456"/>
      <c r="SN96" s="456"/>
      <c r="SO96" s="456"/>
      <c r="SP96" s="456"/>
      <c r="SQ96" s="456"/>
      <c r="SR96" s="456"/>
      <c r="SS96" s="456"/>
      <c r="ST96" s="456"/>
      <c r="SU96" s="456"/>
      <c r="SV96" s="456"/>
      <c r="SW96" s="456"/>
      <c r="SX96" s="456"/>
      <c r="SY96" s="456"/>
      <c r="SZ96" s="456"/>
      <c r="TA96" s="456"/>
      <c r="TB96" s="456"/>
      <c r="TC96" s="456"/>
      <c r="TD96" s="456"/>
      <c r="TE96" s="456"/>
      <c r="TF96" s="456"/>
      <c r="TG96" s="456"/>
      <c r="TH96" s="456"/>
      <c r="TI96" s="456"/>
      <c r="TJ96" s="456"/>
      <c r="TK96" s="456"/>
      <c r="TL96" s="456"/>
      <c r="TM96" s="456"/>
      <c r="TN96" s="456"/>
      <c r="TO96" s="456"/>
      <c r="TP96" s="456"/>
      <c r="TQ96" s="456"/>
      <c r="TR96" s="456"/>
      <c r="TS96" s="456"/>
      <c r="TT96" s="456"/>
      <c r="TU96" s="456"/>
      <c r="TV96" s="456"/>
      <c r="TW96" s="456"/>
      <c r="TX96" s="456"/>
      <c r="TY96" s="456"/>
      <c r="TZ96" s="456"/>
      <c r="UA96" s="456"/>
      <c r="UB96" s="456"/>
      <c r="UC96" s="456"/>
      <c r="UD96" s="456"/>
      <c r="UE96" s="456"/>
      <c r="UF96" s="456"/>
      <c r="UG96" s="456"/>
      <c r="UH96" s="456"/>
      <c r="UI96" s="456"/>
      <c r="UJ96" s="456"/>
      <c r="UK96" s="456"/>
      <c r="UL96" s="456"/>
      <c r="UM96" s="456"/>
      <c r="UN96" s="456"/>
      <c r="UO96" s="456"/>
      <c r="UP96" s="456"/>
      <c r="UQ96" s="456"/>
      <c r="UR96" s="456"/>
      <c r="US96" s="456"/>
      <c r="UT96" s="456"/>
      <c r="UU96" s="456"/>
      <c r="UV96" s="456"/>
      <c r="UW96" s="456"/>
      <c r="UX96" s="456"/>
      <c r="UY96" s="456"/>
      <c r="UZ96" s="456"/>
      <c r="VA96" s="456"/>
      <c r="VB96" s="456"/>
      <c r="VC96" s="456"/>
      <c r="VD96" s="456"/>
      <c r="VE96" s="456"/>
      <c r="VF96" s="456"/>
      <c r="VG96" s="456"/>
      <c r="VH96" s="456"/>
      <c r="VI96" s="456"/>
      <c r="VJ96" s="456"/>
      <c r="VK96" s="456"/>
      <c r="VL96" s="456"/>
      <c r="VM96" s="456"/>
      <c r="VN96" s="456"/>
      <c r="VO96" s="456"/>
      <c r="VP96" s="456"/>
      <c r="VQ96" s="456"/>
      <c r="VR96" s="456"/>
      <c r="VS96" s="456"/>
      <c r="VT96" s="456"/>
      <c r="VU96" s="456"/>
      <c r="VV96" s="456"/>
      <c r="VW96" s="456"/>
      <c r="VX96" s="456"/>
      <c r="VY96" s="456"/>
      <c r="VZ96" s="456"/>
      <c r="WA96" s="456"/>
      <c r="WB96" s="456"/>
      <c r="WC96" s="456"/>
      <c r="WD96" s="456"/>
      <c r="WE96" s="456"/>
      <c r="WF96" s="456"/>
      <c r="WG96" s="456"/>
      <c r="WH96" s="456"/>
      <c r="WI96" s="456"/>
      <c r="WJ96" s="456"/>
      <c r="WK96" s="456"/>
      <c r="WL96" s="456"/>
      <c r="WM96" s="456"/>
      <c r="WN96" s="456"/>
      <c r="WO96" s="456"/>
      <c r="WP96" s="456"/>
      <c r="WQ96" s="456"/>
      <c r="WR96" s="456"/>
      <c r="WS96" s="456"/>
      <c r="WT96" s="456"/>
      <c r="WU96" s="456"/>
      <c r="WV96" s="456"/>
      <c r="WW96" s="456"/>
      <c r="WX96" s="456"/>
      <c r="WY96" s="456"/>
      <c r="WZ96" s="456"/>
      <c r="XA96" s="456"/>
      <c r="XB96" s="456"/>
      <c r="XC96" s="456"/>
      <c r="XD96" s="456"/>
      <c r="XE96" s="456"/>
      <c r="XF96" s="456"/>
      <c r="XG96" s="456"/>
      <c r="XH96" s="456"/>
      <c r="XI96" s="456"/>
      <c r="XJ96" s="456"/>
      <c r="XK96" s="456"/>
      <c r="XL96" s="456"/>
      <c r="XM96" s="456"/>
      <c r="XN96" s="456"/>
      <c r="XO96" s="456"/>
      <c r="XP96" s="456"/>
      <c r="XQ96" s="456"/>
      <c r="XR96" s="456"/>
      <c r="XS96" s="456"/>
      <c r="XT96" s="456"/>
      <c r="XU96" s="456"/>
      <c r="XV96" s="456"/>
      <c r="XW96" s="456"/>
      <c r="XX96" s="456"/>
      <c r="XY96" s="456"/>
      <c r="XZ96" s="456"/>
      <c r="YA96" s="456"/>
      <c r="YB96" s="456"/>
      <c r="YC96" s="456"/>
      <c r="YD96" s="456"/>
      <c r="YE96" s="456"/>
      <c r="YF96" s="456"/>
      <c r="YG96" s="456"/>
      <c r="YH96" s="456"/>
      <c r="YI96" s="456"/>
      <c r="YJ96" s="456"/>
      <c r="YK96" s="456"/>
      <c r="YL96" s="456"/>
      <c r="YM96" s="456"/>
      <c r="YN96" s="456"/>
      <c r="YO96" s="456"/>
      <c r="YP96" s="456"/>
      <c r="YQ96" s="456"/>
      <c r="YR96" s="456"/>
      <c r="YS96" s="456"/>
      <c r="YT96" s="456"/>
      <c r="YU96" s="456"/>
      <c r="YV96" s="456"/>
      <c r="YW96" s="456"/>
      <c r="YX96" s="456"/>
      <c r="YY96" s="456"/>
      <c r="YZ96" s="456"/>
      <c r="ZA96" s="456"/>
      <c r="ZB96" s="456"/>
      <c r="ZC96" s="456"/>
      <c r="ZD96" s="456"/>
      <c r="ZE96" s="456"/>
      <c r="ZF96" s="456"/>
      <c r="ZG96" s="456"/>
      <c r="ZH96" s="456"/>
      <c r="ZI96" s="456"/>
      <c r="ZJ96" s="456"/>
      <c r="ZK96" s="456"/>
      <c r="ZL96" s="456"/>
      <c r="ZM96" s="456"/>
      <c r="ZN96" s="456"/>
      <c r="ZO96" s="456"/>
      <c r="ZP96" s="456"/>
      <c r="ZQ96" s="456"/>
      <c r="ZR96" s="456"/>
      <c r="ZS96" s="456"/>
      <c r="ZT96" s="456"/>
      <c r="ZU96" s="456"/>
      <c r="ZV96" s="456"/>
      <c r="ZW96" s="456"/>
      <c r="ZX96" s="456"/>
      <c r="ZY96" s="456"/>
      <c r="ZZ96" s="456"/>
      <c r="AAA96" s="456"/>
      <c r="AAB96" s="456"/>
      <c r="AAC96" s="456"/>
      <c r="AAD96" s="456"/>
      <c r="AAE96" s="456"/>
      <c r="AAF96" s="456"/>
      <c r="AAG96" s="456"/>
      <c r="AAH96" s="456"/>
      <c r="AAI96" s="456"/>
      <c r="AAJ96" s="456"/>
      <c r="AAK96" s="456"/>
      <c r="AAL96" s="456"/>
      <c r="AAM96" s="456"/>
      <c r="AAN96" s="456"/>
      <c r="AAO96" s="456"/>
      <c r="AAP96" s="456"/>
      <c r="AAQ96" s="456"/>
      <c r="AAR96" s="456"/>
      <c r="AAS96" s="456"/>
      <c r="AAT96" s="456"/>
      <c r="AAU96" s="456"/>
      <c r="AAV96" s="456"/>
      <c r="AAW96" s="456"/>
      <c r="AAX96" s="456"/>
      <c r="AAY96" s="456"/>
      <c r="AAZ96" s="456"/>
      <c r="ABA96" s="456"/>
      <c r="ABB96" s="456"/>
      <c r="ABC96" s="456"/>
      <c r="ABD96" s="456"/>
      <c r="ABE96" s="456"/>
      <c r="ABF96" s="456"/>
      <c r="ABG96" s="456"/>
      <c r="ABH96" s="456"/>
      <c r="ABI96" s="456"/>
      <c r="ABJ96" s="456"/>
      <c r="ABK96" s="456"/>
      <c r="ABL96" s="456"/>
      <c r="ABM96" s="456"/>
      <c r="ABN96" s="456"/>
      <c r="ABO96" s="456"/>
      <c r="ABP96" s="456"/>
      <c r="ABQ96" s="456"/>
      <c r="ABR96" s="456"/>
      <c r="ABS96" s="456"/>
      <c r="ABT96" s="456"/>
      <c r="ABU96" s="456"/>
      <c r="ABV96" s="456"/>
      <c r="ABW96" s="456"/>
      <c r="ABX96" s="456"/>
      <c r="ABY96" s="456"/>
      <c r="ABZ96" s="456"/>
      <c r="ACA96" s="456"/>
      <c r="ACB96" s="456"/>
      <c r="ACC96" s="456"/>
      <c r="ACD96" s="456"/>
      <c r="ACE96" s="456"/>
      <c r="ACF96" s="456"/>
      <c r="ACG96" s="456"/>
      <c r="ACH96" s="456"/>
      <c r="ACI96" s="456"/>
      <c r="ACJ96" s="456"/>
      <c r="ACK96" s="456"/>
      <c r="ACL96" s="456"/>
      <c r="ACM96" s="456"/>
      <c r="ACN96" s="456"/>
      <c r="ACO96" s="456"/>
      <c r="ACP96" s="456"/>
      <c r="ACQ96" s="456"/>
      <c r="ACR96" s="456"/>
      <c r="ACS96" s="456"/>
      <c r="ACT96" s="456"/>
      <c r="ACU96" s="456"/>
      <c r="ACV96" s="456"/>
      <c r="ACW96" s="456"/>
      <c r="ACX96" s="456"/>
      <c r="ACY96" s="456"/>
      <c r="ACZ96" s="456"/>
      <c r="ADA96" s="456"/>
      <c r="ADB96" s="456"/>
      <c r="ADC96" s="456"/>
      <c r="ADD96" s="456"/>
      <c r="ADE96" s="456"/>
      <c r="ADF96" s="456"/>
      <c r="ADG96" s="456"/>
      <c r="ADH96" s="456"/>
      <c r="ADI96" s="456"/>
      <c r="ADJ96" s="456"/>
      <c r="ADK96" s="456"/>
      <c r="ADL96" s="456"/>
      <c r="ADM96" s="456"/>
      <c r="ADN96" s="456"/>
      <c r="ADO96" s="456"/>
      <c r="ADP96" s="456"/>
      <c r="ADQ96" s="456"/>
      <c r="ADR96" s="456"/>
      <c r="ADS96" s="456"/>
      <c r="ADT96" s="456"/>
      <c r="ADU96" s="456"/>
      <c r="ADV96" s="456"/>
      <c r="ADW96" s="456"/>
      <c r="ADX96" s="456"/>
      <c r="ADY96" s="456"/>
      <c r="ADZ96" s="456"/>
      <c r="AEA96" s="456"/>
      <c r="AEB96" s="456"/>
      <c r="AEC96" s="456"/>
      <c r="AED96" s="456"/>
      <c r="AEE96" s="456"/>
      <c r="AEF96" s="456"/>
      <c r="AEG96" s="456"/>
      <c r="AEH96" s="456"/>
      <c r="AEI96" s="456"/>
      <c r="AEJ96" s="456"/>
      <c r="AEK96" s="456"/>
      <c r="AEL96" s="456"/>
      <c r="AEM96" s="456"/>
      <c r="AEN96" s="456"/>
      <c r="AEO96" s="456"/>
      <c r="AEP96" s="456"/>
      <c r="AEQ96" s="456"/>
      <c r="AER96" s="456"/>
      <c r="AES96" s="456"/>
      <c r="AET96" s="456"/>
      <c r="AEU96" s="456"/>
      <c r="AEV96" s="456"/>
      <c r="AEW96" s="456"/>
      <c r="AEX96" s="456"/>
      <c r="AEY96" s="456"/>
      <c r="AEZ96" s="456"/>
      <c r="AFA96" s="456"/>
      <c r="AFB96" s="456"/>
      <c r="AFC96" s="456"/>
      <c r="AFD96" s="456"/>
      <c r="AFE96" s="456"/>
      <c r="AFF96" s="456"/>
      <c r="AFG96" s="456"/>
      <c r="AFH96" s="456"/>
      <c r="AFI96" s="456"/>
      <c r="AFJ96" s="456"/>
      <c r="AFK96" s="456"/>
      <c r="AFL96" s="456"/>
      <c r="AFM96" s="456"/>
      <c r="AFN96" s="456"/>
      <c r="AFO96" s="456"/>
      <c r="AFP96" s="456"/>
      <c r="AFQ96" s="456"/>
      <c r="AFR96" s="456"/>
      <c r="AFS96" s="456"/>
      <c r="AFT96" s="456"/>
      <c r="AFU96" s="456"/>
      <c r="AFV96" s="456"/>
      <c r="AFW96" s="456"/>
      <c r="AFX96" s="456"/>
      <c r="AFY96" s="456"/>
      <c r="AFZ96" s="456"/>
      <c r="AGA96" s="456"/>
      <c r="AGB96" s="456"/>
      <c r="AGC96" s="456"/>
      <c r="AGD96" s="456"/>
      <c r="AGE96" s="456"/>
      <c r="AGF96" s="456"/>
      <c r="AGG96" s="456"/>
      <c r="AGH96" s="456"/>
      <c r="AGI96" s="456"/>
      <c r="AGJ96" s="456"/>
      <c r="AGK96" s="456"/>
      <c r="AGL96" s="456"/>
      <c r="AGM96" s="456"/>
      <c r="AGN96" s="456"/>
      <c r="AGO96" s="456"/>
      <c r="AGP96" s="456"/>
      <c r="AGQ96" s="456"/>
      <c r="AGR96" s="456"/>
      <c r="AGS96" s="456"/>
      <c r="AGT96" s="456"/>
      <c r="AGU96" s="456"/>
      <c r="AGV96" s="456"/>
      <c r="AGW96" s="456"/>
      <c r="AGX96" s="456"/>
      <c r="AGY96" s="456"/>
      <c r="AGZ96" s="456"/>
      <c r="AHA96" s="456"/>
      <c r="AHB96" s="456"/>
      <c r="AHC96" s="456"/>
      <c r="AHD96" s="456"/>
      <c r="AHE96" s="456"/>
      <c r="AHF96" s="456"/>
      <c r="AHG96" s="456"/>
      <c r="AHH96" s="456"/>
      <c r="AHI96" s="456"/>
      <c r="AHJ96" s="456"/>
      <c r="AHK96" s="456"/>
      <c r="AHL96" s="456"/>
      <c r="AHM96" s="456"/>
      <c r="AHN96" s="456"/>
      <c r="AHO96" s="456"/>
      <c r="AHP96" s="456"/>
      <c r="AHQ96" s="456"/>
      <c r="AHR96" s="456"/>
      <c r="AHS96" s="456"/>
      <c r="AHT96" s="456"/>
      <c r="AHU96" s="456"/>
      <c r="AHV96" s="456"/>
      <c r="AHW96" s="456"/>
      <c r="AHX96" s="456"/>
      <c r="AHY96" s="456"/>
      <c r="AHZ96" s="456"/>
      <c r="AIA96" s="456"/>
      <c r="AIB96" s="456"/>
      <c r="AIC96" s="456"/>
      <c r="AID96" s="456"/>
      <c r="AIE96" s="456"/>
      <c r="AIF96" s="456"/>
      <c r="AIG96" s="456"/>
      <c r="AIH96" s="456"/>
      <c r="AII96" s="456"/>
      <c r="AIJ96" s="456"/>
      <c r="AIK96" s="456"/>
      <c r="AIL96" s="456"/>
      <c r="AIM96" s="456"/>
      <c r="AIN96" s="456"/>
      <c r="AIO96" s="456"/>
      <c r="AIP96" s="456"/>
      <c r="AIQ96" s="456"/>
      <c r="AIR96" s="456"/>
      <c r="AIS96" s="456"/>
      <c r="AIT96" s="456"/>
      <c r="AIU96" s="456"/>
      <c r="AIV96" s="456"/>
      <c r="AIW96" s="456"/>
      <c r="AIX96" s="456"/>
      <c r="AIY96" s="456"/>
      <c r="AIZ96" s="456"/>
      <c r="AJA96" s="456"/>
      <c r="AJB96" s="456"/>
      <c r="AJC96" s="456"/>
      <c r="AJD96" s="456"/>
      <c r="AJE96" s="456"/>
      <c r="AJF96" s="456"/>
      <c r="AJG96" s="456"/>
      <c r="AJH96" s="456"/>
      <c r="AJI96" s="456"/>
      <c r="AJJ96" s="456"/>
      <c r="AJK96" s="456"/>
      <c r="AJL96" s="456"/>
      <c r="AJM96" s="456"/>
      <c r="AJN96" s="456"/>
      <c r="AJO96" s="456"/>
      <c r="AJP96" s="456"/>
      <c r="AJQ96" s="456"/>
      <c r="AJR96" s="456"/>
      <c r="AJS96" s="456"/>
      <c r="AJT96" s="456"/>
      <c r="AJU96" s="456"/>
      <c r="AJV96" s="456"/>
      <c r="AJW96" s="456"/>
      <c r="AJX96" s="456"/>
      <c r="AJY96" s="456"/>
      <c r="AJZ96" s="456"/>
      <c r="AKA96" s="456"/>
      <c r="AKB96" s="456"/>
      <c r="AKC96" s="456"/>
      <c r="AKD96" s="456"/>
      <c r="AKE96" s="456"/>
      <c r="AKF96" s="456"/>
      <c r="AKG96" s="456"/>
      <c r="AKH96" s="456"/>
      <c r="AKI96" s="456"/>
      <c r="AKJ96" s="456"/>
      <c r="AKK96" s="456"/>
      <c r="AKL96" s="456"/>
      <c r="AKM96" s="456"/>
      <c r="AKN96" s="456"/>
      <c r="AKO96" s="456"/>
      <c r="AKP96" s="456"/>
      <c r="AKQ96" s="456"/>
      <c r="AKR96" s="456"/>
      <c r="AKS96" s="456"/>
      <c r="AKT96" s="456"/>
      <c r="AKU96" s="456"/>
      <c r="AKV96" s="456"/>
      <c r="AKW96" s="456"/>
      <c r="AKX96" s="456"/>
      <c r="AKY96" s="456"/>
      <c r="AKZ96" s="456"/>
      <c r="ALA96" s="456"/>
      <c r="ALB96" s="456"/>
      <c r="ALC96" s="456"/>
      <c r="ALD96" s="456"/>
      <c r="ALE96" s="456"/>
      <c r="ALF96" s="456"/>
      <c r="ALG96" s="456"/>
      <c r="ALH96" s="456"/>
      <c r="ALI96" s="456"/>
      <c r="ALJ96" s="456"/>
      <c r="ALK96" s="456"/>
      <c r="ALL96" s="456"/>
      <c r="ALM96" s="456"/>
      <c r="ALN96" s="456"/>
      <c r="ALO96" s="456"/>
      <c r="ALP96" s="456"/>
      <c r="ALQ96" s="456"/>
      <c r="ALR96" s="456"/>
      <c r="ALS96" s="456"/>
      <c r="ALT96" s="456"/>
      <c r="ALU96" s="456"/>
      <c r="ALV96" s="456"/>
      <c r="ALW96" s="456"/>
      <c r="ALX96" s="456"/>
      <c r="ALY96" s="456"/>
      <c r="ALZ96" s="456"/>
      <c r="AMA96" s="456"/>
      <c r="AMB96" s="456"/>
      <c r="AMC96" s="456"/>
      <c r="AMD96" s="456"/>
      <c r="AME96" s="456"/>
      <c r="AMF96" s="456"/>
      <c r="AMG96" s="456"/>
      <c r="AMH96" s="456"/>
      <c r="AMI96" s="456"/>
      <c r="AMJ96" s="456"/>
      <c r="AMK96" s="456"/>
      <c r="AML96" s="456"/>
      <c r="AMM96" s="456"/>
      <c r="AMN96" s="456"/>
      <c r="AMO96" s="456"/>
      <c r="AMP96" s="456"/>
      <c r="AMQ96" s="456"/>
      <c r="AMR96" s="456"/>
      <c r="AMS96" s="456"/>
      <c r="AMT96" s="456"/>
      <c r="AMU96" s="456"/>
      <c r="AMV96" s="456"/>
      <c r="AMW96" s="456"/>
      <c r="AMX96" s="456"/>
      <c r="AMY96" s="456"/>
      <c r="AMZ96" s="456"/>
      <c r="ANA96" s="456"/>
      <c r="ANB96" s="456"/>
      <c r="ANC96" s="456"/>
      <c r="AND96" s="456"/>
      <c r="ANE96" s="456"/>
      <c r="ANF96" s="456"/>
      <c r="ANG96" s="456"/>
      <c r="ANH96" s="456"/>
      <c r="ANI96" s="456"/>
      <c r="ANJ96" s="456"/>
      <c r="ANK96" s="456"/>
      <c r="ANL96" s="456"/>
      <c r="ANM96" s="456"/>
      <c r="ANN96" s="456"/>
      <c r="ANO96" s="456"/>
      <c r="ANP96" s="456"/>
      <c r="ANQ96" s="456"/>
      <c r="ANR96" s="456"/>
      <c r="ANS96" s="456"/>
      <c r="ANT96" s="456"/>
      <c r="ANU96" s="456"/>
      <c r="ANV96" s="456"/>
      <c r="ANW96" s="456"/>
      <c r="ANX96" s="456"/>
      <c r="ANY96" s="456"/>
      <c r="ANZ96" s="456"/>
      <c r="AOA96" s="456"/>
      <c r="AOB96" s="456"/>
      <c r="AOC96" s="456"/>
      <c r="AOD96" s="456"/>
      <c r="AOE96" s="456"/>
      <c r="AOF96" s="456"/>
      <c r="AOG96" s="456"/>
      <c r="AOH96" s="456"/>
      <c r="AOI96" s="456"/>
      <c r="AOJ96" s="456"/>
      <c r="AOK96" s="456"/>
      <c r="AOL96" s="456"/>
      <c r="AOM96" s="456"/>
      <c r="AON96" s="456"/>
      <c r="AOO96" s="456"/>
      <c r="AOP96" s="456"/>
      <c r="AOQ96" s="456"/>
      <c r="AOR96" s="456"/>
      <c r="AOS96" s="456"/>
      <c r="AOT96" s="456"/>
      <c r="AOU96" s="456"/>
      <c r="AOV96" s="456"/>
      <c r="AOW96" s="456"/>
      <c r="AOX96" s="456"/>
      <c r="AOY96" s="456"/>
      <c r="AOZ96" s="456"/>
      <c r="APA96" s="456"/>
      <c r="APB96" s="456"/>
      <c r="APC96" s="456"/>
      <c r="APD96" s="456"/>
      <c r="APE96" s="456"/>
      <c r="APF96" s="456"/>
      <c r="APG96" s="456"/>
      <c r="APH96" s="456"/>
      <c r="API96" s="456"/>
      <c r="APJ96" s="456"/>
      <c r="APK96" s="456"/>
      <c r="APL96" s="456"/>
      <c r="APM96" s="456"/>
      <c r="APN96" s="456"/>
      <c r="APO96" s="456"/>
      <c r="APP96" s="456"/>
      <c r="APQ96" s="456"/>
      <c r="APR96" s="456"/>
      <c r="APS96" s="456"/>
      <c r="APT96" s="456"/>
      <c r="APU96" s="456"/>
      <c r="APV96" s="456"/>
      <c r="APW96" s="456"/>
      <c r="APX96" s="456"/>
      <c r="APY96" s="456"/>
      <c r="APZ96" s="456"/>
      <c r="AQA96" s="456"/>
      <c r="AQB96" s="456"/>
      <c r="AQC96" s="456"/>
      <c r="AQD96" s="456"/>
      <c r="AQE96" s="456"/>
      <c r="AQF96" s="456"/>
      <c r="AQG96" s="456"/>
      <c r="AQH96" s="456"/>
      <c r="AQI96" s="456"/>
      <c r="AQJ96" s="456"/>
      <c r="AQK96" s="456"/>
      <c r="AQL96" s="456"/>
      <c r="AQM96" s="456"/>
      <c r="AQN96" s="456"/>
      <c r="AQO96" s="456"/>
      <c r="AQP96" s="456"/>
      <c r="AQQ96" s="456"/>
      <c r="AQR96" s="456"/>
      <c r="AQS96" s="456"/>
      <c r="AQT96" s="456"/>
      <c r="AQU96" s="456"/>
      <c r="AQV96" s="456"/>
      <c r="AQW96" s="456"/>
      <c r="AQX96" s="456"/>
      <c r="AQY96" s="456"/>
      <c r="AQZ96" s="456"/>
      <c r="ARA96" s="456"/>
      <c r="ARB96" s="456"/>
      <c r="ARC96" s="456"/>
      <c r="ARD96" s="456"/>
      <c r="ARE96" s="456"/>
      <c r="ARF96" s="456"/>
      <c r="ARG96" s="456"/>
      <c r="ARH96" s="456"/>
      <c r="ARI96" s="456"/>
      <c r="ARJ96" s="456"/>
      <c r="ARK96" s="456"/>
      <c r="ARL96" s="456"/>
      <c r="ARM96" s="456"/>
      <c r="ARN96" s="456"/>
      <c r="ARO96" s="456"/>
      <c r="ARP96" s="456"/>
      <c r="ARQ96" s="456"/>
      <c r="ARR96" s="456"/>
      <c r="ARS96" s="456"/>
      <c r="ART96" s="456"/>
      <c r="ARU96" s="456"/>
      <c r="ARV96" s="456"/>
      <c r="ARW96" s="456"/>
      <c r="ARX96" s="456"/>
      <c r="ARY96" s="456"/>
      <c r="ARZ96" s="456"/>
      <c r="ASA96" s="456"/>
      <c r="ASB96" s="456"/>
      <c r="ASC96" s="456"/>
      <c r="ASD96" s="456"/>
      <c r="ASE96" s="456"/>
      <c r="ASF96" s="456"/>
      <c r="ASG96" s="456"/>
      <c r="ASH96" s="456"/>
      <c r="ASI96" s="456"/>
      <c r="ASJ96" s="456"/>
      <c r="ASK96" s="456"/>
      <c r="ASL96" s="456"/>
      <c r="ASM96" s="456"/>
      <c r="ASN96" s="456"/>
      <c r="ASO96" s="456"/>
      <c r="ASP96" s="456"/>
      <c r="ASQ96" s="456"/>
      <c r="ASR96" s="456"/>
      <c r="ASS96" s="456"/>
      <c r="AST96" s="456"/>
      <c r="ASU96" s="456"/>
      <c r="ASV96" s="456"/>
      <c r="ASW96" s="456"/>
      <c r="ASX96" s="456"/>
      <c r="ASY96" s="456"/>
      <c r="ASZ96" s="456"/>
      <c r="ATA96" s="456"/>
      <c r="ATB96" s="456"/>
      <c r="ATC96" s="456"/>
      <c r="ATD96" s="456"/>
      <c r="ATE96" s="456"/>
      <c r="ATF96" s="456"/>
      <c r="ATG96" s="456"/>
      <c r="ATH96" s="456"/>
      <c r="ATI96" s="456"/>
      <c r="ATJ96" s="456"/>
      <c r="ATK96" s="456"/>
      <c r="ATL96" s="456"/>
      <c r="ATM96" s="456"/>
      <c r="ATN96" s="456"/>
      <c r="ATO96" s="456"/>
      <c r="ATP96" s="456"/>
      <c r="ATQ96" s="456"/>
      <c r="ATR96" s="456"/>
      <c r="ATS96" s="456"/>
      <c r="ATT96" s="456"/>
      <c r="ATU96" s="456"/>
      <c r="ATV96" s="456"/>
      <c r="ATW96" s="456"/>
      <c r="ATX96" s="456"/>
      <c r="ATY96" s="456"/>
      <c r="ATZ96" s="456"/>
      <c r="AUA96" s="456"/>
      <c r="AUB96" s="456"/>
      <c r="AUC96" s="456"/>
      <c r="AUD96" s="456"/>
      <c r="AUE96" s="456"/>
      <c r="AUF96" s="456"/>
      <c r="AUG96" s="456"/>
      <c r="AUH96" s="456"/>
      <c r="AUI96" s="456"/>
      <c r="AUJ96" s="456"/>
      <c r="AUK96" s="456"/>
      <c r="AUL96" s="456"/>
      <c r="AUM96" s="456"/>
      <c r="AUN96" s="456"/>
      <c r="AUO96" s="456"/>
      <c r="AUP96" s="456"/>
      <c r="AUQ96" s="456"/>
      <c r="AUR96" s="456"/>
      <c r="AUS96" s="456"/>
      <c r="AUT96" s="456"/>
      <c r="AUU96" s="456"/>
      <c r="AUV96" s="456"/>
      <c r="AUW96" s="456"/>
      <c r="AUX96" s="456"/>
      <c r="AUY96" s="456"/>
      <c r="AUZ96" s="456"/>
      <c r="AVA96" s="456"/>
      <c r="AVB96" s="456"/>
      <c r="AVC96" s="456"/>
      <c r="AVD96" s="456"/>
      <c r="AVE96" s="456"/>
      <c r="AVF96" s="456"/>
      <c r="AVG96" s="456"/>
      <c r="AVH96" s="456"/>
      <c r="AVI96" s="456"/>
      <c r="AVJ96" s="456"/>
      <c r="AVK96" s="456"/>
      <c r="AVL96" s="456"/>
      <c r="AVM96" s="456"/>
      <c r="AVN96" s="456"/>
      <c r="AVO96" s="456"/>
      <c r="AVP96" s="456"/>
      <c r="AVQ96" s="456"/>
      <c r="AVR96" s="456"/>
      <c r="AVS96" s="456"/>
      <c r="AVT96" s="456"/>
      <c r="AVU96" s="456"/>
      <c r="AVV96" s="456"/>
      <c r="AVW96" s="456"/>
      <c r="AVX96" s="456"/>
      <c r="AVY96" s="456"/>
      <c r="AVZ96" s="456"/>
      <c r="AWA96" s="456"/>
      <c r="AWB96" s="456"/>
      <c r="AWC96" s="456"/>
      <c r="AWD96" s="456"/>
      <c r="AWE96" s="456"/>
      <c r="AWF96" s="456"/>
      <c r="AWG96" s="456"/>
      <c r="AWH96" s="456"/>
      <c r="AWI96" s="456"/>
      <c r="AWJ96" s="456"/>
      <c r="AWK96" s="456"/>
      <c r="AWL96" s="456"/>
      <c r="AWM96" s="456"/>
      <c r="AWN96" s="456"/>
      <c r="AWO96" s="456"/>
      <c r="AWP96" s="456"/>
      <c r="AWQ96" s="456"/>
      <c r="AWR96" s="456"/>
      <c r="AWS96" s="456"/>
      <c r="AWT96" s="456"/>
      <c r="AWU96" s="456"/>
      <c r="AWV96" s="456"/>
      <c r="AWW96" s="456"/>
      <c r="AWX96" s="456"/>
      <c r="AWY96" s="456"/>
      <c r="AWZ96" s="456"/>
      <c r="AXA96" s="456"/>
      <c r="AXB96" s="456"/>
      <c r="AXC96" s="456"/>
      <c r="AXD96" s="456"/>
      <c r="AXE96" s="456"/>
      <c r="AXF96" s="456"/>
      <c r="AXG96" s="456"/>
      <c r="AXH96" s="456"/>
      <c r="AXI96" s="456"/>
      <c r="AXJ96" s="456"/>
      <c r="AXK96" s="456"/>
      <c r="AXL96" s="456"/>
      <c r="AXM96" s="456"/>
      <c r="AXN96" s="456"/>
      <c r="AXO96" s="456"/>
      <c r="AXP96" s="456"/>
      <c r="AXQ96" s="456"/>
      <c r="AXR96" s="456"/>
      <c r="AXS96" s="456"/>
      <c r="AXT96" s="456"/>
      <c r="AXU96" s="456"/>
      <c r="AXV96" s="456"/>
      <c r="AXW96" s="456"/>
      <c r="AXX96" s="456"/>
      <c r="AXY96" s="456"/>
      <c r="AXZ96" s="456"/>
      <c r="AYA96" s="456"/>
      <c r="AYB96" s="456"/>
      <c r="AYC96" s="456"/>
      <c r="AYD96" s="456"/>
      <c r="AYE96" s="456"/>
      <c r="AYF96" s="456"/>
      <c r="AYG96" s="456"/>
      <c r="AYH96" s="456"/>
      <c r="AYI96" s="456"/>
      <c r="AYJ96" s="456"/>
      <c r="AYK96" s="456"/>
      <c r="AYL96" s="456"/>
      <c r="AYM96" s="456"/>
      <c r="AYN96" s="456"/>
      <c r="AYO96" s="456"/>
      <c r="AYP96" s="456"/>
      <c r="AYQ96" s="456"/>
      <c r="AYR96" s="456"/>
      <c r="AYS96" s="456"/>
      <c r="AYT96" s="456"/>
      <c r="AYU96" s="456"/>
      <c r="AYV96" s="456"/>
      <c r="AYW96" s="456"/>
      <c r="AYX96" s="456"/>
      <c r="AYY96" s="456"/>
      <c r="AYZ96" s="456"/>
      <c r="AZA96" s="456"/>
      <c r="AZB96" s="456"/>
      <c r="AZC96" s="456"/>
      <c r="AZD96" s="456"/>
      <c r="AZE96" s="456"/>
      <c r="AZF96" s="456"/>
      <c r="AZG96" s="456"/>
      <c r="AZH96" s="456"/>
      <c r="AZI96" s="456"/>
      <c r="AZJ96" s="456"/>
      <c r="AZK96" s="456"/>
      <c r="AZL96" s="456"/>
      <c r="AZM96" s="456"/>
      <c r="AZN96" s="456"/>
      <c r="AZO96" s="456"/>
      <c r="AZP96" s="456"/>
      <c r="AZQ96" s="456"/>
      <c r="AZR96" s="456"/>
      <c r="AZS96" s="456"/>
      <c r="AZT96" s="456"/>
      <c r="AZU96" s="456"/>
      <c r="AZV96" s="456"/>
      <c r="AZW96" s="456"/>
      <c r="AZX96" s="456"/>
      <c r="AZY96" s="456"/>
      <c r="AZZ96" s="456"/>
      <c r="BAA96" s="456"/>
      <c r="BAB96" s="456"/>
      <c r="BAC96" s="456"/>
      <c r="BAD96" s="456"/>
      <c r="BAE96" s="456"/>
      <c r="BAF96" s="456"/>
      <c r="BAG96" s="456"/>
      <c r="BAH96" s="456"/>
      <c r="BAI96" s="456"/>
      <c r="BAJ96" s="456"/>
      <c r="BAK96" s="456"/>
      <c r="BAL96" s="456"/>
      <c r="BAM96" s="456"/>
      <c r="BAN96" s="456"/>
      <c r="BAO96" s="456"/>
      <c r="BAP96" s="456"/>
      <c r="BAQ96" s="456"/>
      <c r="BAR96" s="456"/>
      <c r="BAS96" s="456"/>
      <c r="BAT96" s="456"/>
      <c r="BAU96" s="456"/>
      <c r="BAV96" s="456"/>
      <c r="BAW96" s="456"/>
      <c r="BAX96" s="456"/>
      <c r="BAY96" s="456"/>
      <c r="BAZ96" s="456"/>
      <c r="BBA96" s="456"/>
      <c r="BBB96" s="456"/>
      <c r="BBC96" s="456"/>
      <c r="BBD96" s="456"/>
      <c r="BBE96" s="456"/>
      <c r="BBF96" s="456"/>
      <c r="BBG96" s="456"/>
      <c r="BBH96" s="456"/>
      <c r="BBI96" s="456"/>
      <c r="BBJ96" s="456"/>
      <c r="BBK96" s="456"/>
      <c r="BBL96" s="456"/>
      <c r="BBM96" s="456"/>
      <c r="BBN96" s="456"/>
      <c r="BBO96" s="456"/>
      <c r="BBP96" s="456"/>
      <c r="BBQ96" s="456"/>
      <c r="BBR96" s="456"/>
      <c r="BBS96" s="456"/>
      <c r="BBT96" s="456"/>
      <c r="BBU96" s="456"/>
      <c r="BBV96" s="456"/>
      <c r="BBW96" s="456"/>
      <c r="BBX96" s="456"/>
      <c r="BBY96" s="456"/>
      <c r="BBZ96" s="456"/>
      <c r="BCA96" s="456"/>
      <c r="BCB96" s="456"/>
      <c r="BCC96" s="456"/>
      <c r="BCD96" s="456"/>
      <c r="BCE96" s="456"/>
      <c r="BCF96" s="456"/>
      <c r="BCG96" s="456"/>
      <c r="BCH96" s="456"/>
      <c r="BCI96" s="456"/>
      <c r="BCJ96" s="456"/>
      <c r="BCK96" s="456"/>
      <c r="BCL96" s="456"/>
      <c r="BCM96" s="456"/>
      <c r="BCN96" s="456"/>
      <c r="BCO96" s="456"/>
      <c r="BCP96" s="456"/>
      <c r="BCQ96" s="456"/>
      <c r="BCR96" s="456"/>
      <c r="BCS96" s="456"/>
      <c r="BCT96" s="456"/>
      <c r="BCU96" s="456"/>
      <c r="BCV96" s="456"/>
      <c r="BCW96" s="456"/>
      <c r="BCX96" s="456"/>
      <c r="BCY96" s="456"/>
      <c r="BCZ96" s="456"/>
      <c r="BDA96" s="456"/>
      <c r="BDB96" s="456"/>
      <c r="BDC96" s="456"/>
      <c r="BDD96" s="456"/>
      <c r="BDE96" s="456"/>
      <c r="BDF96" s="456"/>
      <c r="BDG96" s="456"/>
      <c r="BDH96" s="456"/>
      <c r="BDI96" s="456"/>
      <c r="BDJ96" s="456"/>
      <c r="BDK96" s="456"/>
      <c r="BDL96" s="456"/>
      <c r="BDM96" s="456"/>
      <c r="BDN96" s="456"/>
      <c r="BDO96" s="456"/>
      <c r="BDP96" s="456"/>
      <c r="BDQ96" s="456"/>
      <c r="BDR96" s="456"/>
      <c r="BDS96" s="456"/>
      <c r="BDT96" s="456"/>
      <c r="BDU96" s="456"/>
      <c r="BDV96" s="456"/>
      <c r="BDW96" s="456"/>
      <c r="BDX96" s="456"/>
      <c r="BDY96" s="456"/>
      <c r="BDZ96" s="456"/>
      <c r="BEA96" s="456"/>
      <c r="BEB96" s="456"/>
      <c r="BEC96" s="456"/>
      <c r="BED96" s="456"/>
      <c r="BEE96" s="456"/>
      <c r="BEF96" s="456"/>
      <c r="BEG96" s="456"/>
      <c r="BEH96" s="456"/>
      <c r="BEI96" s="456"/>
      <c r="BEJ96" s="456"/>
      <c r="BEK96" s="456"/>
      <c r="BEL96" s="456"/>
      <c r="BEM96" s="456"/>
      <c r="BEN96" s="456"/>
      <c r="BEO96" s="456"/>
      <c r="BEP96" s="456"/>
      <c r="BEQ96" s="456"/>
      <c r="BER96" s="456"/>
      <c r="BES96" s="456"/>
      <c r="BET96" s="456"/>
      <c r="BEU96" s="456"/>
      <c r="BEV96" s="456"/>
      <c r="BEW96" s="456"/>
      <c r="BEX96" s="456"/>
      <c r="BEY96" s="456"/>
      <c r="BEZ96" s="456"/>
      <c r="BFA96" s="456"/>
      <c r="BFB96" s="456"/>
      <c r="BFC96" s="456"/>
      <c r="BFD96" s="456"/>
      <c r="BFE96" s="456"/>
      <c r="BFF96" s="456"/>
      <c r="BFG96" s="456"/>
      <c r="BFH96" s="456"/>
      <c r="BFI96" s="456"/>
      <c r="BFJ96" s="456"/>
      <c r="BFK96" s="456"/>
      <c r="BFL96" s="456"/>
      <c r="BFM96" s="456"/>
      <c r="BFN96" s="456"/>
      <c r="BFO96" s="456"/>
      <c r="BFP96" s="456"/>
      <c r="BFQ96" s="456"/>
      <c r="BFR96" s="456"/>
      <c r="BFS96" s="456"/>
      <c r="BFT96" s="456"/>
      <c r="BFU96" s="456"/>
      <c r="BFV96" s="456"/>
      <c r="BFW96" s="456"/>
      <c r="BFX96" s="456"/>
      <c r="BFY96" s="456"/>
      <c r="BFZ96" s="456"/>
      <c r="BGA96" s="456"/>
      <c r="BGB96" s="456"/>
      <c r="BGC96" s="456"/>
      <c r="BGD96" s="456"/>
      <c r="BGE96" s="456"/>
      <c r="BGF96" s="456"/>
      <c r="BGG96" s="456"/>
      <c r="BGH96" s="456"/>
      <c r="BGI96" s="456"/>
      <c r="BGJ96" s="456"/>
      <c r="BGK96" s="456"/>
      <c r="BGL96" s="456"/>
      <c r="BGM96" s="456"/>
      <c r="BGN96" s="456"/>
      <c r="BGO96" s="456"/>
      <c r="BGP96" s="456"/>
      <c r="BGQ96" s="456"/>
      <c r="BGR96" s="456"/>
      <c r="BGS96" s="456"/>
      <c r="BGT96" s="456"/>
      <c r="BGU96" s="456"/>
      <c r="BGV96" s="456"/>
      <c r="BGW96" s="456"/>
      <c r="BGX96" s="456"/>
      <c r="BGY96" s="456"/>
      <c r="BGZ96" s="456"/>
      <c r="BHA96" s="456"/>
      <c r="BHB96" s="456"/>
      <c r="BHC96" s="456"/>
      <c r="BHD96" s="456"/>
      <c r="BHE96" s="456"/>
      <c r="BHF96" s="456"/>
      <c r="BHG96" s="456"/>
      <c r="BHH96" s="456"/>
      <c r="BHI96" s="456"/>
      <c r="BHJ96" s="456"/>
      <c r="BHK96" s="456"/>
      <c r="BHL96" s="456"/>
      <c r="BHM96" s="456"/>
      <c r="BHN96" s="456"/>
      <c r="BHO96" s="456"/>
      <c r="BHP96" s="456"/>
      <c r="BHQ96" s="456"/>
      <c r="BHR96" s="456"/>
      <c r="BHS96" s="456"/>
      <c r="BHT96" s="456"/>
      <c r="BHU96" s="456"/>
      <c r="BHV96" s="456"/>
      <c r="BHW96" s="456"/>
      <c r="BHX96" s="456"/>
      <c r="BHY96" s="456"/>
      <c r="BHZ96" s="456"/>
      <c r="BIA96" s="456"/>
      <c r="BIB96" s="456"/>
      <c r="BIC96" s="456"/>
      <c r="BID96" s="456"/>
      <c r="BIE96" s="456"/>
      <c r="BIF96" s="456"/>
      <c r="BIG96" s="456"/>
      <c r="BIH96" s="456"/>
      <c r="BII96" s="456"/>
      <c r="BIJ96" s="456"/>
      <c r="BIK96" s="456"/>
      <c r="BIL96" s="456"/>
      <c r="BIM96" s="456"/>
      <c r="BIN96" s="456"/>
      <c r="BIO96" s="456"/>
      <c r="BIP96" s="456"/>
      <c r="BIQ96" s="456"/>
      <c r="BIR96" s="456"/>
      <c r="BIS96" s="456"/>
      <c r="BIT96" s="456"/>
      <c r="BIU96" s="456"/>
      <c r="BIV96" s="456"/>
      <c r="BIW96" s="456"/>
      <c r="BIX96" s="456"/>
      <c r="BIY96" s="456"/>
      <c r="BIZ96" s="456"/>
      <c r="BJA96" s="456"/>
      <c r="BJB96" s="456"/>
      <c r="BJC96" s="456"/>
      <c r="BJD96" s="456"/>
      <c r="BJE96" s="456"/>
      <c r="BJF96" s="456"/>
      <c r="BJG96" s="456"/>
      <c r="BJH96" s="456"/>
      <c r="BJI96" s="456"/>
      <c r="BJJ96" s="456"/>
      <c r="BJK96" s="456"/>
      <c r="BJL96" s="456"/>
      <c r="BJM96" s="456"/>
      <c r="BJN96" s="456"/>
      <c r="BJO96" s="456"/>
      <c r="BJP96" s="456"/>
      <c r="BJQ96" s="456"/>
      <c r="BJR96" s="456"/>
      <c r="BJS96" s="456"/>
      <c r="BJT96" s="456"/>
      <c r="BJU96" s="456"/>
      <c r="BJV96" s="456"/>
      <c r="BJW96" s="456"/>
      <c r="BJX96" s="456"/>
      <c r="BJY96" s="456"/>
      <c r="BJZ96" s="456"/>
      <c r="BKA96" s="456"/>
      <c r="BKB96" s="456"/>
      <c r="BKC96" s="456"/>
      <c r="BKD96" s="456"/>
      <c r="BKE96" s="456"/>
      <c r="BKF96" s="456"/>
      <c r="BKG96" s="456"/>
      <c r="BKH96" s="456"/>
      <c r="BKI96" s="456"/>
      <c r="BKJ96" s="456"/>
      <c r="BKK96" s="456"/>
      <c r="BKL96" s="456"/>
      <c r="BKM96" s="456"/>
      <c r="BKN96" s="456"/>
      <c r="BKO96" s="456"/>
      <c r="BKP96" s="456"/>
      <c r="BKQ96" s="456"/>
      <c r="BKR96" s="456"/>
      <c r="BKS96" s="456"/>
      <c r="BKT96" s="456"/>
      <c r="BKU96" s="456"/>
      <c r="BKV96" s="456"/>
      <c r="BKW96" s="456"/>
      <c r="BKX96" s="456"/>
      <c r="BKY96" s="456"/>
      <c r="BKZ96" s="456"/>
      <c r="BLA96" s="456"/>
      <c r="BLB96" s="456"/>
      <c r="BLC96" s="456"/>
      <c r="BLD96" s="456"/>
      <c r="BLE96" s="456"/>
      <c r="BLF96" s="456"/>
      <c r="BLG96" s="456"/>
      <c r="BLH96" s="456"/>
      <c r="BLI96" s="456"/>
      <c r="BLJ96" s="456"/>
      <c r="BLK96" s="456"/>
      <c r="BLL96" s="456"/>
      <c r="BLM96" s="456"/>
      <c r="BLN96" s="456"/>
      <c r="BLO96" s="456"/>
      <c r="BLP96" s="456"/>
      <c r="BLQ96" s="456"/>
      <c r="BLR96" s="456"/>
      <c r="BLS96" s="456"/>
      <c r="BLT96" s="456"/>
      <c r="BLU96" s="456"/>
      <c r="BLV96" s="456"/>
      <c r="BLW96" s="456"/>
      <c r="BLX96" s="456"/>
      <c r="BLY96" s="456"/>
      <c r="BLZ96" s="456"/>
      <c r="BMA96" s="456"/>
      <c r="BMB96" s="456"/>
      <c r="BMC96" s="456"/>
      <c r="BMD96" s="456"/>
      <c r="BME96" s="456"/>
      <c r="BMF96" s="456"/>
      <c r="BMG96" s="456"/>
      <c r="BMH96" s="456"/>
      <c r="BMI96" s="456"/>
      <c r="BMJ96" s="456"/>
      <c r="BMK96" s="456"/>
      <c r="BML96" s="456"/>
      <c r="BMM96" s="456"/>
      <c r="BMN96" s="456"/>
      <c r="BMO96" s="456"/>
      <c r="BMP96" s="456"/>
      <c r="BMQ96" s="456"/>
      <c r="BMR96" s="456"/>
      <c r="BMS96" s="456"/>
      <c r="BMT96" s="456"/>
      <c r="BMU96" s="456"/>
      <c r="BMV96" s="456"/>
      <c r="BMW96" s="456"/>
      <c r="BMX96" s="456"/>
      <c r="BMY96" s="456"/>
      <c r="BMZ96" s="456"/>
      <c r="BNA96" s="456"/>
      <c r="BNB96" s="456"/>
      <c r="BNC96" s="456"/>
      <c r="BND96" s="456"/>
      <c r="BNE96" s="456"/>
      <c r="BNF96" s="456"/>
      <c r="BNG96" s="456"/>
      <c r="BNH96" s="456"/>
      <c r="BNI96" s="456"/>
      <c r="BNJ96" s="456"/>
      <c r="BNK96" s="456"/>
      <c r="BNL96" s="456"/>
      <c r="BNM96" s="456"/>
      <c r="BNN96" s="456"/>
      <c r="BNO96" s="456"/>
      <c r="BNP96" s="456"/>
      <c r="BNQ96" s="456"/>
      <c r="BNR96" s="456"/>
      <c r="BNS96" s="456"/>
      <c r="BNT96" s="456"/>
      <c r="BNU96" s="456"/>
      <c r="BNV96" s="456"/>
      <c r="BNW96" s="456"/>
      <c r="BNX96" s="456"/>
      <c r="BNY96" s="456"/>
      <c r="BNZ96" s="456"/>
      <c r="BOA96" s="456"/>
      <c r="BOB96" s="456"/>
      <c r="BOC96" s="456"/>
      <c r="BOD96" s="456"/>
      <c r="BOE96" s="456"/>
      <c r="BOF96" s="456"/>
      <c r="BOG96" s="456"/>
      <c r="BOH96" s="456"/>
      <c r="BOI96" s="456"/>
      <c r="BOJ96" s="456"/>
      <c r="BOK96" s="456"/>
      <c r="BOL96" s="456"/>
      <c r="BOM96" s="456"/>
      <c r="BON96" s="456"/>
      <c r="BOO96" s="456"/>
      <c r="BOP96" s="456"/>
      <c r="BOQ96" s="456"/>
      <c r="BOR96" s="456"/>
      <c r="BOS96" s="456"/>
      <c r="BOT96" s="456"/>
      <c r="BOU96" s="456"/>
      <c r="BOV96" s="456"/>
      <c r="BOW96" s="456"/>
      <c r="BOX96" s="456"/>
      <c r="BOY96" s="456"/>
      <c r="BOZ96" s="456"/>
      <c r="BPA96" s="456"/>
      <c r="BPB96" s="456"/>
      <c r="BPC96" s="456"/>
      <c r="BPD96" s="456"/>
      <c r="BPE96" s="456"/>
      <c r="BPF96" s="456"/>
      <c r="BPG96" s="456"/>
      <c r="BPH96" s="456"/>
      <c r="BPI96" s="456"/>
      <c r="BPJ96" s="456"/>
      <c r="BPK96" s="456"/>
      <c r="BPL96" s="456"/>
      <c r="BPM96" s="456"/>
      <c r="BPN96" s="456"/>
      <c r="BPO96" s="456"/>
      <c r="BPP96" s="456"/>
      <c r="BPQ96" s="456"/>
      <c r="BPR96" s="456"/>
      <c r="BPS96" s="456"/>
      <c r="BPT96" s="456"/>
      <c r="BPU96" s="456"/>
      <c r="BPV96" s="456"/>
      <c r="BPW96" s="456"/>
      <c r="BPX96" s="456"/>
      <c r="BPY96" s="456"/>
      <c r="BPZ96" s="456"/>
      <c r="BQA96" s="456"/>
      <c r="BQB96" s="456"/>
      <c r="BQC96" s="456"/>
      <c r="BQD96" s="456"/>
      <c r="BQE96" s="456"/>
      <c r="BQF96" s="456"/>
      <c r="BQG96" s="456"/>
      <c r="BQH96" s="456"/>
      <c r="BQI96" s="456"/>
      <c r="BQJ96" s="456"/>
      <c r="BQK96" s="456"/>
      <c r="BQL96" s="456"/>
      <c r="BQM96" s="456"/>
      <c r="BQN96" s="456"/>
      <c r="BQO96" s="456"/>
      <c r="BQP96" s="456"/>
      <c r="BQQ96" s="456"/>
      <c r="BQR96" s="456"/>
      <c r="BQS96" s="456"/>
      <c r="BQT96" s="456"/>
      <c r="BQU96" s="456"/>
      <c r="BQV96" s="456"/>
      <c r="BQW96" s="456"/>
      <c r="BQX96" s="456"/>
      <c r="BQY96" s="456"/>
      <c r="BQZ96" s="456"/>
      <c r="BRA96" s="456"/>
      <c r="BRB96" s="456"/>
      <c r="BRC96" s="456"/>
      <c r="BRD96" s="456"/>
      <c r="BRE96" s="456"/>
      <c r="BRF96" s="456"/>
      <c r="BRG96" s="456"/>
      <c r="BRH96" s="456"/>
      <c r="BRI96" s="456"/>
      <c r="BRJ96" s="456"/>
      <c r="BRK96" s="456"/>
      <c r="BRL96" s="456"/>
      <c r="BRM96" s="456"/>
      <c r="BRN96" s="456"/>
      <c r="BRO96" s="456"/>
      <c r="BRP96" s="456"/>
      <c r="BRQ96" s="456"/>
      <c r="BRR96" s="456"/>
      <c r="BRS96" s="456"/>
      <c r="BRT96" s="456"/>
      <c r="BRU96" s="456"/>
      <c r="BRV96" s="456"/>
      <c r="BRW96" s="456"/>
      <c r="BRX96" s="456"/>
      <c r="BRY96" s="456"/>
      <c r="BRZ96" s="456"/>
      <c r="BSA96" s="456"/>
      <c r="BSB96" s="456"/>
      <c r="BSC96" s="456"/>
      <c r="BSD96" s="456"/>
      <c r="BSE96" s="456"/>
      <c r="BSF96" s="456"/>
      <c r="BSG96" s="456"/>
      <c r="BSH96" s="456"/>
      <c r="BSI96" s="456"/>
      <c r="BSJ96" s="456"/>
      <c r="BSK96" s="456"/>
      <c r="BSL96" s="456"/>
      <c r="BSM96" s="456"/>
      <c r="BSN96" s="456"/>
      <c r="BSO96" s="456"/>
      <c r="BSP96" s="456"/>
      <c r="BSQ96" s="456"/>
      <c r="BSR96" s="456"/>
      <c r="BSS96" s="456"/>
      <c r="BST96" s="456"/>
      <c r="BSU96" s="456"/>
      <c r="BSV96" s="456"/>
      <c r="BSW96" s="456"/>
      <c r="BSX96" s="456"/>
      <c r="BSY96" s="456"/>
      <c r="BSZ96" s="456"/>
      <c r="BTA96" s="456"/>
      <c r="BTB96" s="456"/>
      <c r="BTC96" s="456"/>
      <c r="BTD96" s="456"/>
      <c r="BTE96" s="456"/>
      <c r="BTF96" s="456"/>
      <c r="BTG96" s="456"/>
      <c r="BTH96" s="456"/>
      <c r="BTI96" s="456"/>
      <c r="BTJ96" s="456"/>
      <c r="BTK96" s="456"/>
      <c r="BTL96" s="456"/>
      <c r="BTM96" s="456"/>
      <c r="BTN96" s="456"/>
      <c r="BTO96" s="456"/>
      <c r="BTP96" s="456"/>
      <c r="BTQ96" s="456"/>
      <c r="BTR96" s="456"/>
      <c r="BTS96" s="456"/>
      <c r="BTT96" s="456"/>
      <c r="BTU96" s="456"/>
      <c r="BTV96" s="456"/>
      <c r="BTW96" s="456"/>
      <c r="BTX96" s="456"/>
      <c r="BTY96" s="456"/>
      <c r="BTZ96" s="456"/>
      <c r="BUA96" s="456"/>
      <c r="BUB96" s="456"/>
      <c r="BUC96" s="456"/>
      <c r="BUD96" s="456"/>
      <c r="BUE96" s="456"/>
      <c r="BUF96" s="456"/>
      <c r="BUG96" s="456"/>
      <c r="BUH96" s="456"/>
      <c r="BUI96" s="456"/>
      <c r="BUJ96" s="456"/>
      <c r="BUK96" s="456"/>
      <c r="BUL96" s="456"/>
      <c r="BUM96" s="456"/>
      <c r="BUN96" s="456"/>
      <c r="BUO96" s="456"/>
      <c r="BUP96" s="456"/>
      <c r="BUQ96" s="456"/>
      <c r="BUR96" s="456"/>
      <c r="BUS96" s="456"/>
      <c r="BUT96" s="456"/>
      <c r="BUU96" s="456"/>
      <c r="BUV96" s="456"/>
      <c r="BUW96" s="456"/>
      <c r="BUX96" s="456"/>
      <c r="BUY96" s="456"/>
      <c r="BUZ96" s="456"/>
      <c r="BVA96" s="456"/>
      <c r="BVB96" s="456"/>
      <c r="BVC96" s="456"/>
      <c r="BVD96" s="456"/>
      <c r="BVE96" s="456"/>
      <c r="BVF96" s="456"/>
      <c r="BVG96" s="456"/>
      <c r="BVH96" s="456"/>
      <c r="BVI96" s="456"/>
      <c r="BVJ96" s="456"/>
      <c r="BVK96" s="456"/>
      <c r="BVL96" s="456"/>
      <c r="BVM96" s="456"/>
      <c r="BVN96" s="456"/>
      <c r="BVO96" s="456"/>
      <c r="BVP96" s="456"/>
      <c r="BVQ96" s="456"/>
      <c r="BVR96" s="456"/>
      <c r="BVS96" s="456"/>
      <c r="BVT96" s="456"/>
      <c r="BVU96" s="456"/>
      <c r="BVV96" s="456"/>
      <c r="BVW96" s="456"/>
      <c r="BVX96" s="456"/>
      <c r="BVY96" s="456"/>
      <c r="BVZ96" s="456"/>
      <c r="BWA96" s="456"/>
      <c r="BWB96" s="456"/>
      <c r="BWC96" s="456"/>
      <c r="BWD96" s="456"/>
      <c r="BWE96" s="456"/>
      <c r="BWF96" s="456"/>
      <c r="BWG96" s="456"/>
      <c r="BWH96" s="456"/>
      <c r="BWI96" s="456"/>
      <c r="BWJ96" s="456"/>
      <c r="BWK96" s="456"/>
      <c r="BWL96" s="456"/>
      <c r="BWM96" s="456"/>
      <c r="BWN96" s="456"/>
      <c r="BWO96" s="456"/>
      <c r="BWP96" s="456"/>
      <c r="BWQ96" s="456"/>
      <c r="BWR96" s="456"/>
      <c r="BWS96" s="456"/>
      <c r="BWT96" s="456"/>
      <c r="BWU96" s="456"/>
      <c r="BWV96" s="456"/>
      <c r="BWW96" s="456"/>
      <c r="BWX96" s="456"/>
      <c r="BWY96" s="456"/>
      <c r="BWZ96" s="456"/>
      <c r="BXA96" s="456"/>
      <c r="BXB96" s="456"/>
      <c r="BXC96" s="456"/>
      <c r="BXD96" s="456"/>
      <c r="BXE96" s="456"/>
      <c r="BXF96" s="456"/>
      <c r="BXG96" s="456"/>
      <c r="BXH96" s="456"/>
      <c r="BXI96" s="456"/>
      <c r="BXJ96" s="456"/>
      <c r="BXK96" s="456"/>
      <c r="BXL96" s="456"/>
      <c r="BXM96" s="456"/>
      <c r="BXN96" s="456"/>
      <c r="BXO96" s="456"/>
      <c r="BXP96" s="456"/>
      <c r="BXQ96" s="456"/>
      <c r="BXR96" s="456"/>
      <c r="BXS96" s="456"/>
      <c r="BXT96" s="456"/>
      <c r="BXU96" s="456"/>
      <c r="BXV96" s="456"/>
      <c r="BXW96" s="456"/>
      <c r="BXX96" s="456"/>
      <c r="BXY96" s="456"/>
      <c r="BXZ96" s="456"/>
    </row>
    <row r="97" s="25" customFormat="1" spans="1:1024 1025:2002">
      <c r="A97" s="473"/>
      <c r="B97" s="19">
        <v>1123</v>
      </c>
      <c r="C97" s="183">
        <v>46189</v>
      </c>
      <c r="D97" s="17" t="s">
        <v>91</v>
      </c>
      <c r="E97" s="17" t="s">
        <v>92</v>
      </c>
      <c r="F97" s="17" t="s">
        <v>93</v>
      </c>
      <c r="G97" s="17"/>
      <c r="H97" s="19">
        <v>1.2085</v>
      </c>
      <c r="I97" s="19">
        <v>1.2085</v>
      </c>
      <c r="J97" s="17" t="s">
        <v>49</v>
      </c>
      <c r="K97" s="19">
        <v>2070</v>
      </c>
      <c r="L97" s="91">
        <v>101</v>
      </c>
      <c r="M97" s="19">
        <v>2220</v>
      </c>
      <c r="N97" s="19" t="s">
        <v>66</v>
      </c>
      <c r="O97" s="19" t="s">
        <v>67</v>
      </c>
      <c r="P97" s="19">
        <v>3727</v>
      </c>
      <c r="Q97" s="19">
        <v>3400</v>
      </c>
      <c r="R97" s="19">
        <f t="shared" si="7"/>
        <v>327</v>
      </c>
      <c r="S97" s="19">
        <v>2400</v>
      </c>
      <c r="T97" s="19" t="s">
        <v>94</v>
      </c>
      <c r="U97" s="102">
        <v>51001791</v>
      </c>
      <c r="V97" s="186">
        <v>46189</v>
      </c>
      <c r="W97" s="17" t="s">
        <v>44</v>
      </c>
      <c r="X97" s="17"/>
      <c r="Y97" s="68">
        <v>46204</v>
      </c>
      <c r="Z97" s="17" t="s">
        <v>95</v>
      </c>
      <c r="AA97" s="17" t="s">
        <v>46</v>
      </c>
      <c r="AB97" s="17"/>
      <c r="AC97" s="102"/>
      <c r="AD97" s="65">
        <v>1868</v>
      </c>
      <c r="AE97" s="17" t="s">
        <v>48</v>
      </c>
      <c r="AF97" s="17"/>
      <c r="AG97" s="17"/>
      <c r="AH97" s="456"/>
      <c r="AI97" s="456"/>
      <c r="AJ97" s="456"/>
      <c r="AK97" s="456"/>
      <c r="AL97" s="456"/>
      <c r="AM97" s="456"/>
      <c r="AN97" s="456"/>
      <c r="AO97" s="456"/>
      <c r="AP97" s="456"/>
      <c r="AQ97" s="456"/>
      <c r="AR97" s="456"/>
      <c r="AS97" s="456"/>
      <c r="AT97" s="456"/>
      <c r="AU97" s="456"/>
      <c r="AV97" s="456"/>
      <c r="AW97" s="456"/>
      <c r="AX97" s="456"/>
      <c r="AY97" s="456"/>
      <c r="AZ97" s="456"/>
      <c r="BA97" s="456"/>
      <c r="BB97" s="456"/>
      <c r="BC97" s="456"/>
      <c r="BD97" s="456"/>
      <c r="BE97" s="456"/>
      <c r="BF97" s="456"/>
      <c r="BG97" s="456"/>
      <c r="BH97" s="456"/>
      <c r="BI97" s="456"/>
      <c r="BJ97" s="456"/>
      <c r="BK97" s="456"/>
      <c r="BL97" s="456"/>
      <c r="BM97" s="456"/>
      <c r="BN97" s="456"/>
      <c r="BO97" s="456"/>
      <c r="BP97" s="456"/>
      <c r="BQ97" s="456"/>
      <c r="BR97" s="456"/>
      <c r="BS97" s="456"/>
      <c r="BT97" s="456"/>
      <c r="BU97" s="456"/>
      <c r="BV97" s="456"/>
      <c r="BW97" s="456"/>
      <c r="BX97" s="456"/>
      <c r="BY97" s="456"/>
      <c r="BZ97" s="456"/>
      <c r="CA97" s="456"/>
      <c r="CB97" s="456"/>
      <c r="CC97" s="456"/>
      <c r="CD97" s="456"/>
      <c r="CE97" s="456"/>
      <c r="CF97" s="456"/>
      <c r="CG97" s="456"/>
      <c r="CH97" s="456"/>
      <c r="CI97" s="456"/>
      <c r="CJ97" s="456"/>
      <c r="CK97" s="456"/>
      <c r="CL97" s="456"/>
      <c r="CM97" s="456"/>
      <c r="CN97" s="456"/>
      <c r="CO97" s="456"/>
      <c r="CP97" s="456"/>
      <c r="CQ97" s="456"/>
      <c r="CR97" s="456"/>
      <c r="CS97" s="456"/>
      <c r="CT97" s="456"/>
      <c r="CU97" s="456"/>
      <c r="CV97" s="456"/>
      <c r="CW97" s="456"/>
      <c r="CX97" s="456"/>
      <c r="CY97" s="456"/>
      <c r="CZ97" s="456"/>
      <c r="DA97" s="456"/>
      <c r="DB97" s="456"/>
      <c r="DC97" s="456"/>
      <c r="DD97" s="456"/>
      <c r="DE97" s="456"/>
      <c r="DF97" s="456"/>
      <c r="DG97" s="456"/>
      <c r="DH97" s="456"/>
      <c r="DI97" s="456"/>
      <c r="DJ97" s="456"/>
      <c r="DK97" s="456"/>
      <c r="DL97" s="456"/>
      <c r="DM97" s="456"/>
      <c r="DN97" s="456"/>
      <c r="DO97" s="456"/>
      <c r="DP97" s="456"/>
      <c r="DQ97" s="456"/>
      <c r="DR97" s="456"/>
      <c r="DS97" s="456"/>
      <c r="DT97" s="456"/>
      <c r="DU97" s="456"/>
      <c r="DV97" s="456"/>
      <c r="DW97" s="456"/>
      <c r="DX97" s="456"/>
      <c r="DY97" s="456"/>
      <c r="DZ97" s="456"/>
      <c r="EA97" s="456"/>
      <c r="EB97" s="456"/>
      <c r="EC97" s="456"/>
      <c r="ED97" s="456"/>
      <c r="EE97" s="456"/>
      <c r="EF97" s="456"/>
      <c r="EG97" s="456"/>
      <c r="EH97" s="456"/>
      <c r="EI97" s="456"/>
      <c r="EJ97" s="456"/>
      <c r="EK97" s="456"/>
      <c r="EL97" s="456"/>
      <c r="EM97" s="456"/>
      <c r="EN97" s="456"/>
      <c r="EO97" s="456"/>
      <c r="EP97" s="456"/>
      <c r="EQ97" s="456"/>
      <c r="ER97" s="456"/>
      <c r="ES97" s="456"/>
      <c r="ET97" s="456"/>
      <c r="EU97" s="456"/>
      <c r="EV97" s="456"/>
      <c r="EW97" s="456"/>
      <c r="EX97" s="456"/>
      <c r="EY97" s="456"/>
      <c r="EZ97" s="456"/>
      <c r="FA97" s="456"/>
      <c r="FB97" s="456"/>
      <c r="FC97" s="456"/>
      <c r="FD97" s="456"/>
      <c r="FE97" s="456"/>
      <c r="FF97" s="456"/>
      <c r="FG97" s="456"/>
      <c r="FH97" s="456"/>
      <c r="FI97" s="456"/>
      <c r="FJ97" s="456"/>
      <c r="FK97" s="456"/>
      <c r="FL97" s="456"/>
      <c r="FM97" s="456"/>
      <c r="FN97" s="456"/>
      <c r="FO97" s="456"/>
      <c r="FP97" s="456"/>
      <c r="FQ97" s="456"/>
      <c r="FR97" s="456"/>
      <c r="FS97" s="456"/>
      <c r="FT97" s="456"/>
      <c r="FU97" s="456"/>
      <c r="FV97" s="456"/>
      <c r="FW97" s="456"/>
      <c r="FX97" s="456"/>
      <c r="FY97" s="456"/>
      <c r="FZ97" s="456"/>
      <c r="GA97" s="456"/>
      <c r="GB97" s="456"/>
      <c r="GC97" s="456"/>
      <c r="GD97" s="456"/>
      <c r="GE97" s="456"/>
      <c r="GF97" s="456"/>
      <c r="GG97" s="456"/>
      <c r="GH97" s="456"/>
      <c r="GI97" s="456"/>
      <c r="GJ97" s="456"/>
      <c r="GK97" s="456"/>
      <c r="GL97" s="456"/>
      <c r="GM97" s="456"/>
      <c r="GN97" s="456"/>
      <c r="GO97" s="456"/>
      <c r="GP97" s="456"/>
      <c r="GQ97" s="456"/>
      <c r="GR97" s="456"/>
      <c r="GS97" s="456"/>
      <c r="GT97" s="456"/>
      <c r="GU97" s="456"/>
      <c r="GV97" s="456"/>
      <c r="GW97" s="456"/>
      <c r="GX97" s="456"/>
      <c r="GY97" s="456"/>
      <c r="GZ97" s="456"/>
      <c r="HA97" s="456"/>
      <c r="HB97" s="456"/>
      <c r="HC97" s="456"/>
      <c r="HD97" s="456"/>
      <c r="HE97" s="456"/>
      <c r="HF97" s="456"/>
      <c r="HG97" s="456"/>
      <c r="HH97" s="456"/>
      <c r="HI97" s="456"/>
      <c r="HJ97" s="456"/>
      <c r="HK97" s="456"/>
      <c r="HL97" s="456"/>
      <c r="HM97" s="456"/>
      <c r="HN97" s="456"/>
      <c r="HO97" s="456"/>
      <c r="HP97" s="456"/>
      <c r="HQ97" s="456"/>
      <c r="HR97" s="456"/>
      <c r="HS97" s="456"/>
      <c r="HT97" s="456"/>
      <c r="HU97" s="456"/>
      <c r="HV97" s="456"/>
      <c r="HW97" s="456"/>
      <c r="HX97" s="456"/>
      <c r="HY97" s="456"/>
      <c r="HZ97" s="456"/>
      <c r="IA97" s="456"/>
      <c r="IB97" s="456"/>
      <c r="IC97" s="456"/>
      <c r="ID97" s="456"/>
      <c r="IE97" s="456"/>
      <c r="IF97" s="456"/>
      <c r="IG97" s="456"/>
      <c r="IH97" s="456"/>
      <c r="II97" s="456"/>
      <c r="IJ97" s="456"/>
      <c r="IK97" s="456"/>
      <c r="IL97" s="456"/>
      <c r="IM97" s="456"/>
      <c r="IN97" s="456"/>
      <c r="IO97" s="456"/>
      <c r="IP97" s="456"/>
      <c r="IQ97" s="456"/>
      <c r="IR97" s="456"/>
      <c r="IS97" s="456"/>
      <c r="IT97" s="456"/>
      <c r="IU97" s="456"/>
      <c r="IV97" s="456"/>
      <c r="IW97" s="456"/>
      <c r="IX97" s="456"/>
      <c r="IY97" s="456"/>
      <c r="IZ97" s="456"/>
      <c r="JA97" s="456"/>
      <c r="JB97" s="456"/>
      <c r="JC97" s="456"/>
      <c r="JD97" s="456"/>
      <c r="JE97" s="456"/>
      <c r="JF97" s="456"/>
      <c r="JG97" s="456"/>
      <c r="JH97" s="456"/>
      <c r="JI97" s="456"/>
      <c r="JJ97" s="456"/>
      <c r="JK97" s="456"/>
      <c r="JL97" s="456"/>
      <c r="JM97" s="456"/>
      <c r="JN97" s="456"/>
      <c r="JO97" s="456"/>
      <c r="JP97" s="456"/>
      <c r="JQ97" s="456"/>
      <c r="JR97" s="456"/>
      <c r="JS97" s="456"/>
      <c r="JT97" s="456"/>
      <c r="JU97" s="456"/>
      <c r="JV97" s="456"/>
      <c r="JW97" s="456"/>
      <c r="JX97" s="456"/>
      <c r="JY97" s="456"/>
      <c r="JZ97" s="456"/>
      <c r="KA97" s="456"/>
      <c r="KB97" s="456"/>
      <c r="KC97" s="456"/>
      <c r="KD97" s="456"/>
      <c r="KE97" s="456"/>
      <c r="KF97" s="456"/>
      <c r="KG97" s="456"/>
      <c r="KH97" s="456"/>
      <c r="KI97" s="456"/>
      <c r="KJ97" s="456"/>
      <c r="KK97" s="456"/>
      <c r="KL97" s="456"/>
      <c r="KM97" s="456"/>
      <c r="KN97" s="456"/>
      <c r="KO97" s="456"/>
      <c r="KP97" s="456"/>
      <c r="KQ97" s="456"/>
      <c r="KR97" s="456"/>
      <c r="KS97" s="456"/>
      <c r="KT97" s="456"/>
      <c r="KU97" s="456"/>
      <c r="KV97" s="456"/>
      <c r="KW97" s="456"/>
      <c r="KX97" s="456"/>
      <c r="KY97" s="456"/>
      <c r="KZ97" s="456"/>
      <c r="LA97" s="456"/>
      <c r="LB97" s="456"/>
      <c r="LC97" s="456"/>
      <c r="LD97" s="456"/>
      <c r="LE97" s="456"/>
      <c r="LF97" s="456"/>
      <c r="LG97" s="456"/>
      <c r="LH97" s="456"/>
      <c r="LI97" s="456"/>
      <c r="LJ97" s="456"/>
      <c r="LK97" s="456"/>
      <c r="LL97" s="456"/>
      <c r="LM97" s="456"/>
      <c r="LN97" s="456"/>
      <c r="LO97" s="456"/>
      <c r="LP97" s="456"/>
      <c r="LQ97" s="456"/>
      <c r="LR97" s="456"/>
      <c r="LS97" s="456"/>
      <c r="LT97" s="456"/>
      <c r="LU97" s="456"/>
      <c r="LV97" s="456"/>
      <c r="LW97" s="456"/>
      <c r="LX97" s="456"/>
      <c r="LY97" s="456"/>
      <c r="LZ97" s="456"/>
      <c r="MA97" s="456"/>
      <c r="MB97" s="456"/>
      <c r="MC97" s="456"/>
      <c r="MD97" s="456"/>
      <c r="ME97" s="456"/>
      <c r="MF97" s="456"/>
      <c r="MG97" s="456"/>
      <c r="MH97" s="456"/>
      <c r="MI97" s="456"/>
      <c r="MJ97" s="456"/>
      <c r="MK97" s="456"/>
      <c r="ML97" s="456"/>
      <c r="MM97" s="456"/>
      <c r="MN97" s="456"/>
      <c r="MO97" s="456"/>
      <c r="MP97" s="456"/>
      <c r="MQ97" s="456"/>
      <c r="MR97" s="456"/>
      <c r="MS97" s="456"/>
      <c r="MT97" s="456"/>
      <c r="MU97" s="456"/>
      <c r="MV97" s="456"/>
      <c r="MW97" s="456"/>
      <c r="MX97" s="456"/>
      <c r="MY97" s="456"/>
      <c r="MZ97" s="456"/>
      <c r="NA97" s="456"/>
      <c r="NB97" s="456"/>
      <c r="NC97" s="456"/>
      <c r="ND97" s="456"/>
      <c r="NE97" s="456"/>
      <c r="NF97" s="456"/>
      <c r="NG97" s="456"/>
      <c r="NH97" s="456"/>
      <c r="NI97" s="456"/>
      <c r="NJ97" s="456"/>
      <c r="NK97" s="456"/>
      <c r="NL97" s="456"/>
      <c r="NM97" s="456"/>
      <c r="NN97" s="456"/>
      <c r="NO97" s="456"/>
      <c r="NP97" s="456"/>
      <c r="NQ97" s="456"/>
      <c r="NR97" s="456"/>
      <c r="NS97" s="456"/>
      <c r="NT97" s="456"/>
      <c r="NU97" s="456"/>
      <c r="NV97" s="456"/>
      <c r="NW97" s="456"/>
      <c r="NX97" s="456"/>
      <c r="NY97" s="456"/>
      <c r="NZ97" s="456"/>
      <c r="OA97" s="456"/>
      <c r="OB97" s="456"/>
      <c r="OC97" s="456"/>
      <c r="OD97" s="456"/>
      <c r="OE97" s="456"/>
      <c r="OF97" s="456"/>
      <c r="OG97" s="456"/>
      <c r="OH97" s="456"/>
      <c r="OI97" s="456"/>
      <c r="OJ97" s="456"/>
      <c r="OK97" s="456"/>
      <c r="OL97" s="456"/>
      <c r="OM97" s="456"/>
      <c r="ON97" s="456"/>
      <c r="OO97" s="456"/>
      <c r="OP97" s="456"/>
      <c r="OQ97" s="456"/>
      <c r="OR97" s="456"/>
      <c r="OS97" s="456"/>
      <c r="OT97" s="456"/>
      <c r="OU97" s="456"/>
      <c r="OV97" s="456"/>
      <c r="OW97" s="456"/>
      <c r="OX97" s="456"/>
      <c r="OY97" s="456"/>
      <c r="OZ97" s="456"/>
      <c r="PA97" s="456"/>
      <c r="PB97" s="456"/>
      <c r="PC97" s="456"/>
      <c r="PD97" s="456"/>
      <c r="PE97" s="456"/>
      <c r="PF97" s="456"/>
      <c r="PG97" s="456"/>
      <c r="PH97" s="456"/>
      <c r="PI97" s="456"/>
      <c r="PJ97" s="456"/>
      <c r="PK97" s="456"/>
      <c r="PL97" s="456"/>
      <c r="PM97" s="456"/>
      <c r="PN97" s="456"/>
      <c r="PO97" s="456"/>
      <c r="PP97" s="456"/>
      <c r="PQ97" s="456"/>
      <c r="PR97" s="456"/>
      <c r="PS97" s="456"/>
      <c r="PT97" s="456"/>
      <c r="PU97" s="456"/>
      <c r="PV97" s="456"/>
      <c r="PW97" s="456"/>
      <c r="PX97" s="456"/>
      <c r="PY97" s="456"/>
      <c r="PZ97" s="456"/>
      <c r="QA97" s="456"/>
      <c r="QB97" s="456"/>
      <c r="QC97" s="456"/>
      <c r="QD97" s="456"/>
      <c r="QE97" s="456"/>
      <c r="QF97" s="456"/>
      <c r="QG97" s="456"/>
      <c r="QH97" s="456"/>
      <c r="QI97" s="456"/>
      <c r="QJ97" s="456"/>
      <c r="QK97" s="456"/>
      <c r="QL97" s="456"/>
      <c r="QM97" s="456"/>
      <c r="QN97" s="456"/>
      <c r="QO97" s="456"/>
      <c r="QP97" s="456"/>
      <c r="QQ97" s="456"/>
      <c r="QR97" s="456"/>
      <c r="QS97" s="456"/>
      <c r="QT97" s="456"/>
      <c r="QU97" s="456"/>
      <c r="QV97" s="456"/>
      <c r="QW97" s="456"/>
      <c r="QX97" s="456"/>
      <c r="QY97" s="456"/>
      <c r="QZ97" s="456"/>
      <c r="RA97" s="456"/>
      <c r="RB97" s="456"/>
      <c r="RC97" s="456"/>
      <c r="RD97" s="456"/>
      <c r="RE97" s="456"/>
      <c r="RF97" s="456"/>
      <c r="RG97" s="456"/>
      <c r="RH97" s="456"/>
      <c r="RI97" s="456"/>
      <c r="RJ97" s="456"/>
      <c r="RK97" s="456"/>
      <c r="RL97" s="456"/>
      <c r="RM97" s="456"/>
      <c r="RN97" s="456"/>
      <c r="RO97" s="456"/>
      <c r="RP97" s="456"/>
      <c r="RQ97" s="456"/>
      <c r="RR97" s="456"/>
      <c r="RS97" s="456"/>
      <c r="RT97" s="456"/>
      <c r="RU97" s="456"/>
      <c r="RV97" s="456"/>
      <c r="RW97" s="456"/>
      <c r="RX97" s="456"/>
      <c r="RY97" s="456"/>
      <c r="RZ97" s="456"/>
      <c r="SA97" s="456"/>
      <c r="SB97" s="456"/>
      <c r="SC97" s="456"/>
      <c r="SD97" s="456"/>
      <c r="SE97" s="456"/>
      <c r="SF97" s="456"/>
      <c r="SG97" s="456"/>
      <c r="SH97" s="456"/>
      <c r="SI97" s="456"/>
      <c r="SJ97" s="456"/>
      <c r="SK97" s="456"/>
      <c r="SL97" s="456"/>
      <c r="SM97" s="456"/>
      <c r="SN97" s="456"/>
      <c r="SO97" s="456"/>
      <c r="SP97" s="456"/>
      <c r="SQ97" s="456"/>
      <c r="SR97" s="456"/>
      <c r="SS97" s="456"/>
      <c r="ST97" s="456"/>
      <c r="SU97" s="456"/>
      <c r="SV97" s="456"/>
      <c r="SW97" s="456"/>
      <c r="SX97" s="456"/>
      <c r="SY97" s="456"/>
      <c r="SZ97" s="456"/>
      <c r="TA97" s="456"/>
      <c r="TB97" s="456"/>
      <c r="TC97" s="456"/>
      <c r="TD97" s="456"/>
      <c r="TE97" s="456"/>
      <c r="TF97" s="456"/>
      <c r="TG97" s="456"/>
      <c r="TH97" s="456"/>
      <c r="TI97" s="456"/>
      <c r="TJ97" s="456"/>
      <c r="TK97" s="456"/>
      <c r="TL97" s="456"/>
      <c r="TM97" s="456"/>
      <c r="TN97" s="456"/>
      <c r="TO97" s="456"/>
      <c r="TP97" s="456"/>
      <c r="TQ97" s="456"/>
      <c r="TR97" s="456"/>
      <c r="TS97" s="456"/>
      <c r="TT97" s="456"/>
      <c r="TU97" s="456"/>
      <c r="TV97" s="456"/>
      <c r="TW97" s="456"/>
      <c r="TX97" s="456"/>
      <c r="TY97" s="456"/>
      <c r="TZ97" s="456"/>
      <c r="UA97" s="456"/>
      <c r="UB97" s="456"/>
      <c r="UC97" s="456"/>
      <c r="UD97" s="456"/>
      <c r="UE97" s="456"/>
      <c r="UF97" s="456"/>
      <c r="UG97" s="456"/>
      <c r="UH97" s="456"/>
      <c r="UI97" s="456"/>
      <c r="UJ97" s="456"/>
      <c r="UK97" s="456"/>
      <c r="UL97" s="456"/>
      <c r="UM97" s="456"/>
      <c r="UN97" s="456"/>
      <c r="UO97" s="456"/>
      <c r="UP97" s="456"/>
      <c r="UQ97" s="456"/>
      <c r="UR97" s="456"/>
      <c r="US97" s="456"/>
      <c r="UT97" s="456"/>
      <c r="UU97" s="456"/>
      <c r="UV97" s="456"/>
      <c r="UW97" s="456"/>
      <c r="UX97" s="456"/>
      <c r="UY97" s="456"/>
      <c r="UZ97" s="456"/>
      <c r="VA97" s="456"/>
      <c r="VB97" s="456"/>
      <c r="VC97" s="456"/>
      <c r="VD97" s="456"/>
      <c r="VE97" s="456"/>
      <c r="VF97" s="456"/>
      <c r="VG97" s="456"/>
      <c r="VH97" s="456"/>
      <c r="VI97" s="456"/>
      <c r="VJ97" s="456"/>
      <c r="VK97" s="456"/>
      <c r="VL97" s="456"/>
      <c r="VM97" s="456"/>
      <c r="VN97" s="456"/>
      <c r="VO97" s="456"/>
      <c r="VP97" s="456"/>
      <c r="VQ97" s="456"/>
      <c r="VR97" s="456"/>
      <c r="VS97" s="456"/>
      <c r="VT97" s="456"/>
      <c r="VU97" s="456"/>
      <c r="VV97" s="456"/>
      <c r="VW97" s="456"/>
      <c r="VX97" s="456"/>
      <c r="VY97" s="456"/>
      <c r="VZ97" s="456"/>
      <c r="WA97" s="456"/>
      <c r="WB97" s="456"/>
      <c r="WC97" s="456"/>
      <c r="WD97" s="456"/>
      <c r="WE97" s="456"/>
      <c r="WF97" s="456"/>
      <c r="WG97" s="456"/>
      <c r="WH97" s="456"/>
      <c r="WI97" s="456"/>
      <c r="WJ97" s="456"/>
      <c r="WK97" s="456"/>
      <c r="WL97" s="456"/>
      <c r="WM97" s="456"/>
      <c r="WN97" s="456"/>
      <c r="WO97" s="456"/>
      <c r="WP97" s="456"/>
      <c r="WQ97" s="456"/>
      <c r="WR97" s="456"/>
      <c r="WS97" s="456"/>
      <c r="WT97" s="456"/>
      <c r="WU97" s="456"/>
      <c r="WV97" s="456"/>
      <c r="WW97" s="456"/>
      <c r="WX97" s="456"/>
      <c r="WY97" s="456"/>
      <c r="WZ97" s="456"/>
      <c r="XA97" s="456"/>
      <c r="XB97" s="456"/>
      <c r="XC97" s="456"/>
      <c r="XD97" s="456"/>
      <c r="XE97" s="456"/>
      <c r="XF97" s="456"/>
      <c r="XG97" s="456"/>
      <c r="XH97" s="456"/>
      <c r="XI97" s="456"/>
      <c r="XJ97" s="456"/>
      <c r="XK97" s="456"/>
      <c r="XL97" s="456"/>
      <c r="XM97" s="456"/>
      <c r="XN97" s="456"/>
      <c r="XO97" s="456"/>
      <c r="XP97" s="456"/>
      <c r="XQ97" s="456"/>
      <c r="XR97" s="456"/>
      <c r="XS97" s="456"/>
      <c r="XT97" s="456"/>
      <c r="XU97" s="456"/>
      <c r="XV97" s="456"/>
      <c r="XW97" s="456"/>
      <c r="XX97" s="456"/>
      <c r="XY97" s="456"/>
      <c r="XZ97" s="456"/>
      <c r="YA97" s="456"/>
      <c r="YB97" s="456"/>
      <c r="YC97" s="456"/>
      <c r="YD97" s="456"/>
      <c r="YE97" s="456"/>
      <c r="YF97" s="456"/>
      <c r="YG97" s="456"/>
      <c r="YH97" s="456"/>
      <c r="YI97" s="456"/>
      <c r="YJ97" s="456"/>
      <c r="YK97" s="456"/>
      <c r="YL97" s="456"/>
      <c r="YM97" s="456"/>
      <c r="YN97" s="456"/>
      <c r="YO97" s="456"/>
      <c r="YP97" s="456"/>
      <c r="YQ97" s="456"/>
      <c r="YR97" s="456"/>
      <c r="YS97" s="456"/>
      <c r="YT97" s="456"/>
      <c r="YU97" s="456"/>
      <c r="YV97" s="456"/>
      <c r="YW97" s="456"/>
      <c r="YX97" s="456"/>
      <c r="YY97" s="456"/>
      <c r="YZ97" s="456"/>
      <c r="ZA97" s="456"/>
      <c r="ZB97" s="456"/>
      <c r="ZC97" s="456"/>
      <c r="ZD97" s="456"/>
      <c r="ZE97" s="456"/>
      <c r="ZF97" s="456"/>
      <c r="ZG97" s="456"/>
      <c r="ZH97" s="456"/>
      <c r="ZI97" s="456"/>
      <c r="ZJ97" s="456"/>
      <c r="ZK97" s="456"/>
      <c r="ZL97" s="456"/>
      <c r="ZM97" s="456"/>
      <c r="ZN97" s="456"/>
      <c r="ZO97" s="456"/>
      <c r="ZP97" s="456"/>
      <c r="ZQ97" s="456"/>
      <c r="ZR97" s="456"/>
      <c r="ZS97" s="456"/>
      <c r="ZT97" s="456"/>
      <c r="ZU97" s="456"/>
      <c r="ZV97" s="456"/>
      <c r="ZW97" s="456"/>
      <c r="ZX97" s="456"/>
      <c r="ZY97" s="456"/>
      <c r="ZZ97" s="456"/>
      <c r="AAA97" s="456"/>
      <c r="AAB97" s="456"/>
      <c r="AAC97" s="456"/>
      <c r="AAD97" s="456"/>
      <c r="AAE97" s="456"/>
      <c r="AAF97" s="456"/>
      <c r="AAG97" s="456"/>
      <c r="AAH97" s="456"/>
      <c r="AAI97" s="456"/>
      <c r="AAJ97" s="456"/>
      <c r="AAK97" s="456"/>
      <c r="AAL97" s="456"/>
      <c r="AAM97" s="456"/>
      <c r="AAN97" s="456"/>
      <c r="AAO97" s="456"/>
      <c r="AAP97" s="456"/>
      <c r="AAQ97" s="456"/>
      <c r="AAR97" s="456"/>
      <c r="AAS97" s="456"/>
      <c r="AAT97" s="456"/>
      <c r="AAU97" s="456"/>
      <c r="AAV97" s="456"/>
      <c r="AAW97" s="456"/>
      <c r="AAX97" s="456"/>
      <c r="AAY97" s="456"/>
      <c r="AAZ97" s="456"/>
      <c r="ABA97" s="456"/>
      <c r="ABB97" s="456"/>
      <c r="ABC97" s="456"/>
      <c r="ABD97" s="456"/>
      <c r="ABE97" s="456"/>
      <c r="ABF97" s="456"/>
      <c r="ABG97" s="456"/>
      <c r="ABH97" s="456"/>
      <c r="ABI97" s="456"/>
      <c r="ABJ97" s="456"/>
      <c r="ABK97" s="456"/>
      <c r="ABL97" s="456"/>
      <c r="ABM97" s="456"/>
      <c r="ABN97" s="456"/>
      <c r="ABO97" s="456"/>
      <c r="ABP97" s="456"/>
      <c r="ABQ97" s="456"/>
      <c r="ABR97" s="456"/>
      <c r="ABS97" s="456"/>
      <c r="ABT97" s="456"/>
      <c r="ABU97" s="456"/>
      <c r="ABV97" s="456"/>
      <c r="ABW97" s="456"/>
      <c r="ABX97" s="456"/>
      <c r="ABY97" s="456"/>
      <c r="ABZ97" s="456"/>
      <c r="ACA97" s="456"/>
      <c r="ACB97" s="456"/>
      <c r="ACC97" s="456"/>
      <c r="ACD97" s="456"/>
      <c r="ACE97" s="456"/>
      <c r="ACF97" s="456"/>
      <c r="ACG97" s="456"/>
      <c r="ACH97" s="456"/>
      <c r="ACI97" s="456"/>
      <c r="ACJ97" s="456"/>
      <c r="ACK97" s="456"/>
      <c r="ACL97" s="456"/>
      <c r="ACM97" s="456"/>
      <c r="ACN97" s="456"/>
      <c r="ACO97" s="456"/>
      <c r="ACP97" s="456"/>
      <c r="ACQ97" s="456"/>
      <c r="ACR97" s="456"/>
      <c r="ACS97" s="456"/>
      <c r="ACT97" s="456"/>
      <c r="ACU97" s="456"/>
      <c r="ACV97" s="456"/>
      <c r="ACW97" s="456"/>
      <c r="ACX97" s="456"/>
      <c r="ACY97" s="456"/>
      <c r="ACZ97" s="456"/>
      <c r="ADA97" s="456"/>
      <c r="ADB97" s="456"/>
      <c r="ADC97" s="456"/>
      <c r="ADD97" s="456"/>
      <c r="ADE97" s="456"/>
      <c r="ADF97" s="456"/>
      <c r="ADG97" s="456"/>
      <c r="ADH97" s="456"/>
      <c r="ADI97" s="456"/>
      <c r="ADJ97" s="456"/>
      <c r="ADK97" s="456"/>
      <c r="ADL97" s="456"/>
      <c r="ADM97" s="456"/>
      <c r="ADN97" s="456"/>
      <c r="ADO97" s="456"/>
      <c r="ADP97" s="456"/>
      <c r="ADQ97" s="456"/>
      <c r="ADR97" s="456"/>
      <c r="ADS97" s="456"/>
      <c r="ADT97" s="456"/>
      <c r="ADU97" s="456"/>
      <c r="ADV97" s="456"/>
      <c r="ADW97" s="456"/>
      <c r="ADX97" s="456"/>
      <c r="ADY97" s="456"/>
      <c r="ADZ97" s="456"/>
      <c r="AEA97" s="456"/>
      <c r="AEB97" s="456"/>
      <c r="AEC97" s="456"/>
      <c r="AED97" s="456"/>
      <c r="AEE97" s="456"/>
      <c r="AEF97" s="456"/>
      <c r="AEG97" s="456"/>
      <c r="AEH97" s="456"/>
      <c r="AEI97" s="456"/>
      <c r="AEJ97" s="456"/>
      <c r="AEK97" s="456"/>
      <c r="AEL97" s="456"/>
      <c r="AEM97" s="456"/>
      <c r="AEN97" s="456"/>
      <c r="AEO97" s="456"/>
      <c r="AEP97" s="456"/>
      <c r="AEQ97" s="456"/>
      <c r="AER97" s="456"/>
      <c r="AES97" s="456"/>
      <c r="AET97" s="456"/>
      <c r="AEU97" s="456"/>
      <c r="AEV97" s="456"/>
      <c r="AEW97" s="456"/>
      <c r="AEX97" s="456"/>
      <c r="AEY97" s="456"/>
      <c r="AEZ97" s="456"/>
      <c r="AFA97" s="456"/>
      <c r="AFB97" s="456"/>
      <c r="AFC97" s="456"/>
      <c r="AFD97" s="456"/>
      <c r="AFE97" s="456"/>
      <c r="AFF97" s="456"/>
      <c r="AFG97" s="456"/>
      <c r="AFH97" s="456"/>
      <c r="AFI97" s="456"/>
      <c r="AFJ97" s="456"/>
      <c r="AFK97" s="456"/>
      <c r="AFL97" s="456"/>
      <c r="AFM97" s="456"/>
      <c r="AFN97" s="456"/>
      <c r="AFO97" s="456"/>
      <c r="AFP97" s="456"/>
      <c r="AFQ97" s="456"/>
      <c r="AFR97" s="456"/>
      <c r="AFS97" s="456"/>
      <c r="AFT97" s="456"/>
      <c r="AFU97" s="456"/>
      <c r="AFV97" s="456"/>
      <c r="AFW97" s="456"/>
      <c r="AFX97" s="456"/>
      <c r="AFY97" s="456"/>
      <c r="AFZ97" s="456"/>
      <c r="AGA97" s="456"/>
      <c r="AGB97" s="456"/>
      <c r="AGC97" s="456"/>
      <c r="AGD97" s="456"/>
      <c r="AGE97" s="456"/>
      <c r="AGF97" s="456"/>
      <c r="AGG97" s="456"/>
      <c r="AGH97" s="456"/>
      <c r="AGI97" s="456"/>
      <c r="AGJ97" s="456"/>
      <c r="AGK97" s="456"/>
      <c r="AGL97" s="456"/>
      <c r="AGM97" s="456"/>
      <c r="AGN97" s="456"/>
      <c r="AGO97" s="456"/>
      <c r="AGP97" s="456"/>
      <c r="AGQ97" s="456"/>
      <c r="AGR97" s="456"/>
      <c r="AGS97" s="456"/>
      <c r="AGT97" s="456"/>
      <c r="AGU97" s="456"/>
      <c r="AGV97" s="456"/>
      <c r="AGW97" s="456"/>
      <c r="AGX97" s="456"/>
      <c r="AGY97" s="456"/>
      <c r="AGZ97" s="456"/>
      <c r="AHA97" s="456"/>
      <c r="AHB97" s="456"/>
      <c r="AHC97" s="456"/>
      <c r="AHD97" s="456"/>
      <c r="AHE97" s="456"/>
      <c r="AHF97" s="456"/>
      <c r="AHG97" s="456"/>
      <c r="AHH97" s="456"/>
      <c r="AHI97" s="456"/>
      <c r="AHJ97" s="456"/>
      <c r="AHK97" s="456"/>
      <c r="AHL97" s="456"/>
      <c r="AHM97" s="456"/>
      <c r="AHN97" s="456"/>
      <c r="AHO97" s="456"/>
      <c r="AHP97" s="456"/>
      <c r="AHQ97" s="456"/>
      <c r="AHR97" s="456"/>
      <c r="AHS97" s="456"/>
      <c r="AHT97" s="456"/>
      <c r="AHU97" s="456"/>
      <c r="AHV97" s="456"/>
      <c r="AHW97" s="456"/>
      <c r="AHX97" s="456"/>
      <c r="AHY97" s="456"/>
      <c r="AHZ97" s="456"/>
      <c r="AIA97" s="456"/>
      <c r="AIB97" s="456"/>
      <c r="AIC97" s="456"/>
      <c r="AID97" s="456"/>
      <c r="AIE97" s="456"/>
      <c r="AIF97" s="456"/>
      <c r="AIG97" s="456"/>
      <c r="AIH97" s="456"/>
      <c r="AII97" s="456"/>
      <c r="AIJ97" s="456"/>
      <c r="AIK97" s="456"/>
      <c r="AIL97" s="456"/>
      <c r="AIM97" s="456"/>
      <c r="AIN97" s="456"/>
      <c r="AIO97" s="456"/>
      <c r="AIP97" s="456"/>
      <c r="AIQ97" s="456"/>
      <c r="AIR97" s="456"/>
      <c r="AIS97" s="456"/>
      <c r="AIT97" s="456"/>
      <c r="AIU97" s="456"/>
      <c r="AIV97" s="456"/>
      <c r="AIW97" s="456"/>
      <c r="AIX97" s="456"/>
      <c r="AIY97" s="456"/>
      <c r="AIZ97" s="456"/>
      <c r="AJA97" s="456"/>
      <c r="AJB97" s="456"/>
      <c r="AJC97" s="456"/>
      <c r="AJD97" s="456"/>
      <c r="AJE97" s="456"/>
      <c r="AJF97" s="456"/>
      <c r="AJG97" s="456"/>
      <c r="AJH97" s="456"/>
      <c r="AJI97" s="456"/>
      <c r="AJJ97" s="456"/>
      <c r="AJK97" s="456"/>
      <c r="AJL97" s="456"/>
      <c r="AJM97" s="456"/>
      <c r="AJN97" s="456"/>
      <c r="AJO97" s="456"/>
      <c r="AJP97" s="456"/>
      <c r="AJQ97" s="456"/>
      <c r="AJR97" s="456"/>
      <c r="AJS97" s="456"/>
      <c r="AJT97" s="456"/>
      <c r="AJU97" s="456"/>
      <c r="AJV97" s="456"/>
      <c r="AJW97" s="456"/>
      <c r="AJX97" s="456"/>
      <c r="AJY97" s="456"/>
      <c r="AJZ97" s="456"/>
      <c r="AKA97" s="456"/>
      <c r="AKB97" s="456"/>
      <c r="AKC97" s="456"/>
      <c r="AKD97" s="456"/>
      <c r="AKE97" s="456"/>
      <c r="AKF97" s="456"/>
      <c r="AKG97" s="456"/>
      <c r="AKH97" s="456"/>
      <c r="AKI97" s="456"/>
      <c r="AKJ97" s="456"/>
      <c r="AKK97" s="456"/>
      <c r="AKL97" s="456"/>
      <c r="AKM97" s="456"/>
      <c r="AKN97" s="456"/>
      <c r="AKO97" s="456"/>
      <c r="AKP97" s="456"/>
      <c r="AKQ97" s="456"/>
      <c r="AKR97" s="456"/>
      <c r="AKS97" s="456"/>
      <c r="AKT97" s="456"/>
      <c r="AKU97" s="456"/>
      <c r="AKV97" s="456"/>
      <c r="AKW97" s="456"/>
      <c r="AKX97" s="456"/>
      <c r="AKY97" s="456"/>
      <c r="AKZ97" s="456"/>
      <c r="ALA97" s="456"/>
      <c r="ALB97" s="456"/>
      <c r="ALC97" s="456"/>
      <c r="ALD97" s="456"/>
      <c r="ALE97" s="456"/>
      <c r="ALF97" s="456"/>
      <c r="ALG97" s="456"/>
      <c r="ALH97" s="456"/>
      <c r="ALI97" s="456"/>
      <c r="ALJ97" s="456"/>
      <c r="ALK97" s="456"/>
      <c r="ALL97" s="456"/>
      <c r="ALM97" s="456"/>
      <c r="ALN97" s="456"/>
      <c r="ALO97" s="456"/>
      <c r="ALP97" s="456"/>
      <c r="ALQ97" s="456"/>
      <c r="ALR97" s="456"/>
      <c r="ALS97" s="456"/>
      <c r="ALT97" s="456"/>
      <c r="ALU97" s="456"/>
      <c r="ALV97" s="456"/>
      <c r="ALW97" s="456"/>
      <c r="ALX97" s="456"/>
      <c r="ALY97" s="456"/>
      <c r="ALZ97" s="456"/>
      <c r="AMA97" s="456"/>
      <c r="AMB97" s="456"/>
      <c r="AMC97" s="456"/>
      <c r="AMD97" s="456"/>
      <c r="AME97" s="456"/>
      <c r="AMF97" s="456"/>
      <c r="AMG97" s="456"/>
      <c r="AMH97" s="456"/>
      <c r="AMI97" s="456"/>
      <c r="AMJ97" s="456"/>
      <c r="AMK97" s="456"/>
      <c r="AML97" s="456"/>
      <c r="AMM97" s="456"/>
      <c r="AMN97" s="456"/>
      <c r="AMO97" s="456"/>
      <c r="AMP97" s="456"/>
      <c r="AMQ97" s="456"/>
      <c r="AMR97" s="456"/>
      <c r="AMS97" s="456"/>
      <c r="AMT97" s="456"/>
      <c r="AMU97" s="456"/>
      <c r="AMV97" s="456"/>
      <c r="AMW97" s="456"/>
      <c r="AMX97" s="456"/>
      <c r="AMY97" s="456"/>
      <c r="AMZ97" s="456"/>
      <c r="ANA97" s="456"/>
      <c r="ANB97" s="456"/>
      <c r="ANC97" s="456"/>
      <c r="AND97" s="456"/>
      <c r="ANE97" s="456"/>
      <c r="ANF97" s="456"/>
      <c r="ANG97" s="456"/>
      <c r="ANH97" s="456"/>
      <c r="ANI97" s="456"/>
      <c r="ANJ97" s="456"/>
      <c r="ANK97" s="456"/>
      <c r="ANL97" s="456"/>
      <c r="ANM97" s="456"/>
      <c r="ANN97" s="456"/>
      <c r="ANO97" s="456"/>
      <c r="ANP97" s="456"/>
      <c r="ANQ97" s="456"/>
      <c r="ANR97" s="456"/>
      <c r="ANS97" s="456"/>
      <c r="ANT97" s="456"/>
      <c r="ANU97" s="456"/>
      <c r="ANV97" s="456"/>
      <c r="ANW97" s="456"/>
      <c r="ANX97" s="456"/>
      <c r="ANY97" s="456"/>
      <c r="ANZ97" s="456"/>
      <c r="AOA97" s="456"/>
      <c r="AOB97" s="456"/>
      <c r="AOC97" s="456"/>
      <c r="AOD97" s="456"/>
      <c r="AOE97" s="456"/>
      <c r="AOF97" s="456"/>
      <c r="AOG97" s="456"/>
      <c r="AOH97" s="456"/>
      <c r="AOI97" s="456"/>
      <c r="AOJ97" s="456"/>
      <c r="AOK97" s="456"/>
      <c r="AOL97" s="456"/>
      <c r="AOM97" s="456"/>
      <c r="AON97" s="456"/>
      <c r="AOO97" s="456"/>
      <c r="AOP97" s="456"/>
      <c r="AOQ97" s="456"/>
      <c r="AOR97" s="456"/>
      <c r="AOS97" s="456"/>
      <c r="AOT97" s="456"/>
      <c r="AOU97" s="456"/>
      <c r="AOV97" s="456"/>
      <c r="AOW97" s="456"/>
      <c r="AOX97" s="456"/>
      <c r="AOY97" s="456"/>
      <c r="AOZ97" s="456"/>
      <c r="APA97" s="456"/>
      <c r="APB97" s="456"/>
      <c r="APC97" s="456"/>
      <c r="APD97" s="456"/>
      <c r="APE97" s="456"/>
      <c r="APF97" s="456"/>
      <c r="APG97" s="456"/>
      <c r="APH97" s="456"/>
      <c r="API97" s="456"/>
      <c r="APJ97" s="456"/>
      <c r="APK97" s="456"/>
      <c r="APL97" s="456"/>
      <c r="APM97" s="456"/>
      <c r="APN97" s="456"/>
      <c r="APO97" s="456"/>
      <c r="APP97" s="456"/>
      <c r="APQ97" s="456"/>
      <c r="APR97" s="456"/>
      <c r="APS97" s="456"/>
      <c r="APT97" s="456"/>
      <c r="APU97" s="456"/>
      <c r="APV97" s="456"/>
      <c r="APW97" s="456"/>
      <c r="APX97" s="456"/>
      <c r="APY97" s="456"/>
      <c r="APZ97" s="456"/>
      <c r="AQA97" s="456"/>
      <c r="AQB97" s="456"/>
      <c r="AQC97" s="456"/>
      <c r="AQD97" s="456"/>
      <c r="AQE97" s="456"/>
      <c r="AQF97" s="456"/>
      <c r="AQG97" s="456"/>
      <c r="AQH97" s="456"/>
      <c r="AQI97" s="456"/>
      <c r="AQJ97" s="456"/>
      <c r="AQK97" s="456"/>
      <c r="AQL97" s="456"/>
      <c r="AQM97" s="456"/>
      <c r="AQN97" s="456"/>
      <c r="AQO97" s="456"/>
      <c r="AQP97" s="456"/>
      <c r="AQQ97" s="456"/>
      <c r="AQR97" s="456"/>
      <c r="AQS97" s="456"/>
      <c r="AQT97" s="456"/>
      <c r="AQU97" s="456"/>
      <c r="AQV97" s="456"/>
      <c r="AQW97" s="456"/>
      <c r="AQX97" s="456"/>
      <c r="AQY97" s="456"/>
      <c r="AQZ97" s="456"/>
      <c r="ARA97" s="456"/>
      <c r="ARB97" s="456"/>
      <c r="ARC97" s="456"/>
      <c r="ARD97" s="456"/>
      <c r="ARE97" s="456"/>
      <c r="ARF97" s="456"/>
      <c r="ARG97" s="456"/>
      <c r="ARH97" s="456"/>
      <c r="ARI97" s="456"/>
      <c r="ARJ97" s="456"/>
      <c r="ARK97" s="456"/>
      <c r="ARL97" s="456"/>
      <c r="ARM97" s="456"/>
      <c r="ARN97" s="456"/>
      <c r="ARO97" s="456"/>
      <c r="ARP97" s="456"/>
      <c r="ARQ97" s="456"/>
      <c r="ARR97" s="456"/>
      <c r="ARS97" s="456"/>
      <c r="ART97" s="456"/>
      <c r="ARU97" s="456"/>
      <c r="ARV97" s="456"/>
      <c r="ARW97" s="456"/>
      <c r="ARX97" s="456"/>
      <c r="ARY97" s="456"/>
      <c r="ARZ97" s="456"/>
      <c r="ASA97" s="456"/>
      <c r="ASB97" s="456"/>
      <c r="ASC97" s="456"/>
      <c r="ASD97" s="456"/>
      <c r="ASE97" s="456"/>
      <c r="ASF97" s="456"/>
      <c r="ASG97" s="456"/>
      <c r="ASH97" s="456"/>
      <c r="ASI97" s="456"/>
      <c r="ASJ97" s="456"/>
      <c r="ASK97" s="456"/>
      <c r="ASL97" s="456"/>
      <c r="ASM97" s="456"/>
      <c r="ASN97" s="456"/>
      <c r="ASO97" s="456"/>
      <c r="ASP97" s="456"/>
      <c r="ASQ97" s="456"/>
      <c r="ASR97" s="456"/>
      <c r="ASS97" s="456"/>
      <c r="AST97" s="456"/>
      <c r="ASU97" s="456"/>
      <c r="ASV97" s="456"/>
      <c r="ASW97" s="456"/>
      <c r="ASX97" s="456"/>
      <c r="ASY97" s="456"/>
      <c r="ASZ97" s="456"/>
      <c r="ATA97" s="456"/>
      <c r="ATB97" s="456"/>
      <c r="ATC97" s="456"/>
      <c r="ATD97" s="456"/>
      <c r="ATE97" s="456"/>
      <c r="ATF97" s="456"/>
      <c r="ATG97" s="456"/>
      <c r="ATH97" s="456"/>
      <c r="ATI97" s="456"/>
      <c r="ATJ97" s="456"/>
      <c r="ATK97" s="456"/>
      <c r="ATL97" s="456"/>
      <c r="ATM97" s="456"/>
      <c r="ATN97" s="456"/>
      <c r="ATO97" s="456"/>
      <c r="ATP97" s="456"/>
      <c r="ATQ97" s="456"/>
      <c r="ATR97" s="456"/>
      <c r="ATS97" s="456"/>
      <c r="ATT97" s="456"/>
      <c r="ATU97" s="456"/>
      <c r="ATV97" s="456"/>
      <c r="ATW97" s="456"/>
      <c r="ATX97" s="456"/>
      <c r="ATY97" s="456"/>
      <c r="ATZ97" s="456"/>
      <c r="AUA97" s="456"/>
      <c r="AUB97" s="456"/>
      <c r="AUC97" s="456"/>
      <c r="AUD97" s="456"/>
      <c r="AUE97" s="456"/>
      <c r="AUF97" s="456"/>
      <c r="AUG97" s="456"/>
      <c r="AUH97" s="456"/>
      <c r="AUI97" s="456"/>
      <c r="AUJ97" s="456"/>
      <c r="AUK97" s="456"/>
      <c r="AUL97" s="456"/>
      <c r="AUM97" s="456"/>
      <c r="AUN97" s="456"/>
      <c r="AUO97" s="456"/>
      <c r="AUP97" s="456"/>
      <c r="AUQ97" s="456"/>
      <c r="AUR97" s="456"/>
      <c r="AUS97" s="456"/>
      <c r="AUT97" s="456"/>
      <c r="AUU97" s="456"/>
      <c r="AUV97" s="456"/>
      <c r="AUW97" s="456"/>
      <c r="AUX97" s="456"/>
      <c r="AUY97" s="456"/>
      <c r="AUZ97" s="456"/>
      <c r="AVA97" s="456"/>
      <c r="AVB97" s="456"/>
      <c r="AVC97" s="456"/>
      <c r="AVD97" s="456"/>
      <c r="AVE97" s="456"/>
      <c r="AVF97" s="456"/>
      <c r="AVG97" s="456"/>
      <c r="AVH97" s="456"/>
      <c r="AVI97" s="456"/>
      <c r="AVJ97" s="456"/>
      <c r="AVK97" s="456"/>
      <c r="AVL97" s="456"/>
      <c r="AVM97" s="456"/>
      <c r="AVN97" s="456"/>
      <c r="AVO97" s="456"/>
      <c r="AVP97" s="456"/>
      <c r="AVQ97" s="456"/>
      <c r="AVR97" s="456"/>
      <c r="AVS97" s="456"/>
      <c r="AVT97" s="456"/>
      <c r="AVU97" s="456"/>
      <c r="AVV97" s="456"/>
      <c r="AVW97" s="456"/>
      <c r="AVX97" s="456"/>
      <c r="AVY97" s="456"/>
      <c r="AVZ97" s="456"/>
      <c r="AWA97" s="456"/>
      <c r="AWB97" s="456"/>
      <c r="AWC97" s="456"/>
      <c r="AWD97" s="456"/>
      <c r="AWE97" s="456"/>
      <c r="AWF97" s="456"/>
      <c r="AWG97" s="456"/>
      <c r="AWH97" s="456"/>
      <c r="AWI97" s="456"/>
      <c r="AWJ97" s="456"/>
      <c r="AWK97" s="456"/>
      <c r="AWL97" s="456"/>
      <c r="AWM97" s="456"/>
      <c r="AWN97" s="456"/>
      <c r="AWO97" s="456"/>
      <c r="AWP97" s="456"/>
      <c r="AWQ97" s="456"/>
      <c r="AWR97" s="456"/>
      <c r="AWS97" s="456"/>
      <c r="AWT97" s="456"/>
      <c r="AWU97" s="456"/>
      <c r="AWV97" s="456"/>
      <c r="AWW97" s="456"/>
      <c r="AWX97" s="456"/>
      <c r="AWY97" s="456"/>
      <c r="AWZ97" s="456"/>
      <c r="AXA97" s="456"/>
      <c r="AXB97" s="456"/>
      <c r="AXC97" s="456"/>
      <c r="AXD97" s="456"/>
      <c r="AXE97" s="456"/>
      <c r="AXF97" s="456"/>
      <c r="AXG97" s="456"/>
      <c r="AXH97" s="456"/>
      <c r="AXI97" s="456"/>
      <c r="AXJ97" s="456"/>
      <c r="AXK97" s="456"/>
      <c r="AXL97" s="456"/>
      <c r="AXM97" s="456"/>
      <c r="AXN97" s="456"/>
      <c r="AXO97" s="456"/>
      <c r="AXP97" s="456"/>
      <c r="AXQ97" s="456"/>
      <c r="AXR97" s="456"/>
      <c r="AXS97" s="456"/>
      <c r="AXT97" s="456"/>
      <c r="AXU97" s="456"/>
      <c r="AXV97" s="456"/>
      <c r="AXW97" s="456"/>
      <c r="AXX97" s="456"/>
      <c r="AXY97" s="456"/>
      <c r="AXZ97" s="456"/>
      <c r="AYA97" s="456"/>
      <c r="AYB97" s="456"/>
      <c r="AYC97" s="456"/>
      <c r="AYD97" s="456"/>
      <c r="AYE97" s="456"/>
      <c r="AYF97" s="456"/>
      <c r="AYG97" s="456"/>
      <c r="AYH97" s="456"/>
      <c r="AYI97" s="456"/>
      <c r="AYJ97" s="456"/>
      <c r="AYK97" s="456"/>
      <c r="AYL97" s="456"/>
      <c r="AYM97" s="456"/>
      <c r="AYN97" s="456"/>
      <c r="AYO97" s="456"/>
      <c r="AYP97" s="456"/>
      <c r="AYQ97" s="456"/>
      <c r="AYR97" s="456"/>
      <c r="AYS97" s="456"/>
      <c r="AYT97" s="456"/>
      <c r="AYU97" s="456"/>
      <c r="AYV97" s="456"/>
      <c r="AYW97" s="456"/>
      <c r="AYX97" s="456"/>
      <c r="AYY97" s="456"/>
      <c r="AYZ97" s="456"/>
      <c r="AZA97" s="456"/>
      <c r="AZB97" s="456"/>
      <c r="AZC97" s="456"/>
      <c r="AZD97" s="456"/>
      <c r="AZE97" s="456"/>
      <c r="AZF97" s="456"/>
      <c r="AZG97" s="456"/>
      <c r="AZH97" s="456"/>
      <c r="AZI97" s="456"/>
      <c r="AZJ97" s="456"/>
      <c r="AZK97" s="456"/>
      <c r="AZL97" s="456"/>
      <c r="AZM97" s="456"/>
      <c r="AZN97" s="456"/>
      <c r="AZO97" s="456"/>
      <c r="AZP97" s="456"/>
      <c r="AZQ97" s="456"/>
      <c r="AZR97" s="456"/>
      <c r="AZS97" s="456"/>
      <c r="AZT97" s="456"/>
      <c r="AZU97" s="456"/>
      <c r="AZV97" s="456"/>
      <c r="AZW97" s="456"/>
      <c r="AZX97" s="456"/>
      <c r="AZY97" s="456"/>
      <c r="AZZ97" s="456"/>
      <c r="BAA97" s="456"/>
      <c r="BAB97" s="456"/>
      <c r="BAC97" s="456"/>
      <c r="BAD97" s="456"/>
      <c r="BAE97" s="456"/>
      <c r="BAF97" s="456"/>
      <c r="BAG97" s="456"/>
      <c r="BAH97" s="456"/>
      <c r="BAI97" s="456"/>
      <c r="BAJ97" s="456"/>
      <c r="BAK97" s="456"/>
      <c r="BAL97" s="456"/>
      <c r="BAM97" s="456"/>
      <c r="BAN97" s="456"/>
      <c r="BAO97" s="456"/>
      <c r="BAP97" s="456"/>
      <c r="BAQ97" s="456"/>
      <c r="BAR97" s="456"/>
      <c r="BAS97" s="456"/>
      <c r="BAT97" s="456"/>
      <c r="BAU97" s="456"/>
      <c r="BAV97" s="456"/>
      <c r="BAW97" s="456"/>
      <c r="BAX97" s="456"/>
      <c r="BAY97" s="456"/>
      <c r="BAZ97" s="456"/>
      <c r="BBA97" s="456"/>
      <c r="BBB97" s="456"/>
      <c r="BBC97" s="456"/>
      <c r="BBD97" s="456"/>
      <c r="BBE97" s="456"/>
      <c r="BBF97" s="456"/>
      <c r="BBG97" s="456"/>
      <c r="BBH97" s="456"/>
      <c r="BBI97" s="456"/>
      <c r="BBJ97" s="456"/>
      <c r="BBK97" s="456"/>
      <c r="BBL97" s="456"/>
      <c r="BBM97" s="456"/>
      <c r="BBN97" s="456"/>
      <c r="BBO97" s="456"/>
      <c r="BBP97" s="456"/>
      <c r="BBQ97" s="456"/>
      <c r="BBR97" s="456"/>
      <c r="BBS97" s="456"/>
      <c r="BBT97" s="456"/>
      <c r="BBU97" s="456"/>
      <c r="BBV97" s="456"/>
      <c r="BBW97" s="456"/>
      <c r="BBX97" s="456"/>
      <c r="BBY97" s="456"/>
      <c r="BBZ97" s="456"/>
      <c r="BCA97" s="456"/>
      <c r="BCB97" s="456"/>
      <c r="BCC97" s="456"/>
      <c r="BCD97" s="456"/>
      <c r="BCE97" s="456"/>
      <c r="BCF97" s="456"/>
      <c r="BCG97" s="456"/>
      <c r="BCH97" s="456"/>
      <c r="BCI97" s="456"/>
      <c r="BCJ97" s="456"/>
      <c r="BCK97" s="456"/>
      <c r="BCL97" s="456"/>
      <c r="BCM97" s="456"/>
      <c r="BCN97" s="456"/>
      <c r="BCO97" s="456"/>
      <c r="BCP97" s="456"/>
      <c r="BCQ97" s="456"/>
      <c r="BCR97" s="456"/>
      <c r="BCS97" s="456"/>
      <c r="BCT97" s="456"/>
      <c r="BCU97" s="456"/>
      <c r="BCV97" s="456"/>
      <c r="BCW97" s="456"/>
      <c r="BCX97" s="456"/>
      <c r="BCY97" s="456"/>
      <c r="BCZ97" s="456"/>
      <c r="BDA97" s="456"/>
      <c r="BDB97" s="456"/>
      <c r="BDC97" s="456"/>
      <c r="BDD97" s="456"/>
      <c r="BDE97" s="456"/>
      <c r="BDF97" s="456"/>
      <c r="BDG97" s="456"/>
      <c r="BDH97" s="456"/>
      <c r="BDI97" s="456"/>
      <c r="BDJ97" s="456"/>
      <c r="BDK97" s="456"/>
      <c r="BDL97" s="456"/>
      <c r="BDM97" s="456"/>
      <c r="BDN97" s="456"/>
      <c r="BDO97" s="456"/>
      <c r="BDP97" s="456"/>
      <c r="BDQ97" s="456"/>
      <c r="BDR97" s="456"/>
      <c r="BDS97" s="456"/>
      <c r="BDT97" s="456"/>
      <c r="BDU97" s="456"/>
      <c r="BDV97" s="456"/>
      <c r="BDW97" s="456"/>
      <c r="BDX97" s="456"/>
      <c r="BDY97" s="456"/>
      <c r="BDZ97" s="456"/>
      <c r="BEA97" s="456"/>
      <c r="BEB97" s="456"/>
      <c r="BEC97" s="456"/>
      <c r="BED97" s="456"/>
      <c r="BEE97" s="456"/>
      <c r="BEF97" s="456"/>
      <c r="BEG97" s="456"/>
      <c r="BEH97" s="456"/>
      <c r="BEI97" s="456"/>
      <c r="BEJ97" s="456"/>
      <c r="BEK97" s="456"/>
      <c r="BEL97" s="456"/>
      <c r="BEM97" s="456"/>
      <c r="BEN97" s="456"/>
      <c r="BEO97" s="456"/>
      <c r="BEP97" s="456"/>
      <c r="BEQ97" s="456"/>
      <c r="BER97" s="456"/>
      <c r="BES97" s="456"/>
      <c r="BET97" s="456"/>
      <c r="BEU97" s="456"/>
      <c r="BEV97" s="456"/>
      <c r="BEW97" s="456"/>
      <c r="BEX97" s="456"/>
      <c r="BEY97" s="456"/>
      <c r="BEZ97" s="456"/>
      <c r="BFA97" s="456"/>
      <c r="BFB97" s="456"/>
      <c r="BFC97" s="456"/>
      <c r="BFD97" s="456"/>
      <c r="BFE97" s="456"/>
      <c r="BFF97" s="456"/>
      <c r="BFG97" s="456"/>
      <c r="BFH97" s="456"/>
      <c r="BFI97" s="456"/>
      <c r="BFJ97" s="456"/>
      <c r="BFK97" s="456"/>
      <c r="BFL97" s="456"/>
      <c r="BFM97" s="456"/>
      <c r="BFN97" s="456"/>
      <c r="BFO97" s="456"/>
      <c r="BFP97" s="456"/>
      <c r="BFQ97" s="456"/>
      <c r="BFR97" s="456"/>
      <c r="BFS97" s="456"/>
      <c r="BFT97" s="456"/>
      <c r="BFU97" s="456"/>
      <c r="BFV97" s="456"/>
      <c r="BFW97" s="456"/>
      <c r="BFX97" s="456"/>
      <c r="BFY97" s="456"/>
      <c r="BFZ97" s="456"/>
      <c r="BGA97" s="456"/>
      <c r="BGB97" s="456"/>
      <c r="BGC97" s="456"/>
      <c r="BGD97" s="456"/>
      <c r="BGE97" s="456"/>
      <c r="BGF97" s="456"/>
      <c r="BGG97" s="456"/>
      <c r="BGH97" s="456"/>
      <c r="BGI97" s="456"/>
      <c r="BGJ97" s="456"/>
      <c r="BGK97" s="456"/>
      <c r="BGL97" s="456"/>
      <c r="BGM97" s="456"/>
      <c r="BGN97" s="456"/>
      <c r="BGO97" s="456"/>
      <c r="BGP97" s="456"/>
      <c r="BGQ97" s="456"/>
      <c r="BGR97" s="456"/>
      <c r="BGS97" s="456"/>
      <c r="BGT97" s="456"/>
      <c r="BGU97" s="456"/>
      <c r="BGV97" s="456"/>
      <c r="BGW97" s="456"/>
      <c r="BGX97" s="456"/>
      <c r="BGY97" s="456"/>
      <c r="BGZ97" s="456"/>
      <c r="BHA97" s="456"/>
      <c r="BHB97" s="456"/>
      <c r="BHC97" s="456"/>
      <c r="BHD97" s="456"/>
      <c r="BHE97" s="456"/>
      <c r="BHF97" s="456"/>
      <c r="BHG97" s="456"/>
      <c r="BHH97" s="456"/>
      <c r="BHI97" s="456"/>
      <c r="BHJ97" s="456"/>
      <c r="BHK97" s="456"/>
      <c r="BHL97" s="456"/>
      <c r="BHM97" s="456"/>
      <c r="BHN97" s="456"/>
      <c r="BHO97" s="456"/>
      <c r="BHP97" s="456"/>
      <c r="BHQ97" s="456"/>
      <c r="BHR97" s="456"/>
      <c r="BHS97" s="456"/>
      <c r="BHT97" s="456"/>
      <c r="BHU97" s="456"/>
      <c r="BHV97" s="456"/>
      <c r="BHW97" s="456"/>
      <c r="BHX97" s="456"/>
      <c r="BHY97" s="456"/>
      <c r="BHZ97" s="456"/>
      <c r="BIA97" s="456"/>
      <c r="BIB97" s="456"/>
      <c r="BIC97" s="456"/>
      <c r="BID97" s="456"/>
      <c r="BIE97" s="456"/>
      <c r="BIF97" s="456"/>
      <c r="BIG97" s="456"/>
      <c r="BIH97" s="456"/>
      <c r="BII97" s="456"/>
      <c r="BIJ97" s="456"/>
      <c r="BIK97" s="456"/>
      <c r="BIL97" s="456"/>
      <c r="BIM97" s="456"/>
      <c r="BIN97" s="456"/>
      <c r="BIO97" s="456"/>
      <c r="BIP97" s="456"/>
      <c r="BIQ97" s="456"/>
      <c r="BIR97" s="456"/>
      <c r="BIS97" s="456"/>
      <c r="BIT97" s="456"/>
      <c r="BIU97" s="456"/>
      <c r="BIV97" s="456"/>
      <c r="BIW97" s="456"/>
      <c r="BIX97" s="456"/>
      <c r="BIY97" s="456"/>
      <c r="BIZ97" s="456"/>
      <c r="BJA97" s="456"/>
      <c r="BJB97" s="456"/>
      <c r="BJC97" s="456"/>
      <c r="BJD97" s="456"/>
      <c r="BJE97" s="456"/>
      <c r="BJF97" s="456"/>
      <c r="BJG97" s="456"/>
      <c r="BJH97" s="456"/>
      <c r="BJI97" s="456"/>
      <c r="BJJ97" s="456"/>
      <c r="BJK97" s="456"/>
      <c r="BJL97" s="456"/>
      <c r="BJM97" s="456"/>
      <c r="BJN97" s="456"/>
      <c r="BJO97" s="456"/>
      <c r="BJP97" s="456"/>
      <c r="BJQ97" s="456"/>
      <c r="BJR97" s="456"/>
      <c r="BJS97" s="456"/>
      <c r="BJT97" s="456"/>
      <c r="BJU97" s="456"/>
      <c r="BJV97" s="456"/>
      <c r="BJW97" s="456"/>
      <c r="BJX97" s="456"/>
      <c r="BJY97" s="456"/>
      <c r="BJZ97" s="456"/>
      <c r="BKA97" s="456"/>
      <c r="BKB97" s="456"/>
      <c r="BKC97" s="456"/>
      <c r="BKD97" s="456"/>
      <c r="BKE97" s="456"/>
      <c r="BKF97" s="456"/>
      <c r="BKG97" s="456"/>
      <c r="BKH97" s="456"/>
      <c r="BKI97" s="456"/>
      <c r="BKJ97" s="456"/>
      <c r="BKK97" s="456"/>
      <c r="BKL97" s="456"/>
      <c r="BKM97" s="456"/>
      <c r="BKN97" s="456"/>
      <c r="BKO97" s="456"/>
      <c r="BKP97" s="456"/>
      <c r="BKQ97" s="456"/>
      <c r="BKR97" s="456"/>
      <c r="BKS97" s="456"/>
      <c r="BKT97" s="456"/>
      <c r="BKU97" s="456"/>
      <c r="BKV97" s="456"/>
      <c r="BKW97" s="456"/>
      <c r="BKX97" s="456"/>
      <c r="BKY97" s="456"/>
      <c r="BKZ97" s="456"/>
      <c r="BLA97" s="456"/>
      <c r="BLB97" s="456"/>
      <c r="BLC97" s="456"/>
      <c r="BLD97" s="456"/>
      <c r="BLE97" s="456"/>
      <c r="BLF97" s="456"/>
      <c r="BLG97" s="456"/>
      <c r="BLH97" s="456"/>
      <c r="BLI97" s="456"/>
      <c r="BLJ97" s="456"/>
      <c r="BLK97" s="456"/>
      <c r="BLL97" s="456"/>
      <c r="BLM97" s="456"/>
      <c r="BLN97" s="456"/>
      <c r="BLO97" s="456"/>
      <c r="BLP97" s="456"/>
      <c r="BLQ97" s="456"/>
      <c r="BLR97" s="456"/>
      <c r="BLS97" s="456"/>
      <c r="BLT97" s="456"/>
      <c r="BLU97" s="456"/>
      <c r="BLV97" s="456"/>
      <c r="BLW97" s="456"/>
      <c r="BLX97" s="456"/>
      <c r="BLY97" s="456"/>
      <c r="BLZ97" s="456"/>
      <c r="BMA97" s="456"/>
      <c r="BMB97" s="456"/>
      <c r="BMC97" s="456"/>
      <c r="BMD97" s="456"/>
      <c r="BME97" s="456"/>
      <c r="BMF97" s="456"/>
      <c r="BMG97" s="456"/>
      <c r="BMH97" s="456"/>
      <c r="BMI97" s="456"/>
      <c r="BMJ97" s="456"/>
      <c r="BMK97" s="456"/>
      <c r="BML97" s="456"/>
      <c r="BMM97" s="456"/>
      <c r="BMN97" s="456"/>
      <c r="BMO97" s="456"/>
      <c r="BMP97" s="456"/>
      <c r="BMQ97" s="456"/>
      <c r="BMR97" s="456"/>
      <c r="BMS97" s="456"/>
      <c r="BMT97" s="456"/>
      <c r="BMU97" s="456"/>
      <c r="BMV97" s="456"/>
      <c r="BMW97" s="456"/>
      <c r="BMX97" s="456"/>
      <c r="BMY97" s="456"/>
      <c r="BMZ97" s="456"/>
      <c r="BNA97" s="456"/>
      <c r="BNB97" s="456"/>
      <c r="BNC97" s="456"/>
      <c r="BND97" s="456"/>
      <c r="BNE97" s="456"/>
      <c r="BNF97" s="456"/>
      <c r="BNG97" s="456"/>
      <c r="BNH97" s="456"/>
      <c r="BNI97" s="456"/>
      <c r="BNJ97" s="456"/>
      <c r="BNK97" s="456"/>
      <c r="BNL97" s="456"/>
      <c r="BNM97" s="456"/>
      <c r="BNN97" s="456"/>
      <c r="BNO97" s="456"/>
      <c r="BNP97" s="456"/>
      <c r="BNQ97" s="456"/>
      <c r="BNR97" s="456"/>
      <c r="BNS97" s="456"/>
      <c r="BNT97" s="456"/>
      <c r="BNU97" s="456"/>
      <c r="BNV97" s="456"/>
      <c r="BNW97" s="456"/>
      <c r="BNX97" s="456"/>
      <c r="BNY97" s="456"/>
      <c r="BNZ97" s="456"/>
      <c r="BOA97" s="456"/>
      <c r="BOB97" s="456"/>
      <c r="BOC97" s="456"/>
      <c r="BOD97" s="456"/>
      <c r="BOE97" s="456"/>
      <c r="BOF97" s="456"/>
      <c r="BOG97" s="456"/>
      <c r="BOH97" s="456"/>
      <c r="BOI97" s="456"/>
      <c r="BOJ97" s="456"/>
      <c r="BOK97" s="456"/>
      <c r="BOL97" s="456"/>
      <c r="BOM97" s="456"/>
      <c r="BON97" s="456"/>
      <c r="BOO97" s="456"/>
      <c r="BOP97" s="456"/>
      <c r="BOQ97" s="456"/>
      <c r="BOR97" s="456"/>
      <c r="BOS97" s="456"/>
      <c r="BOT97" s="456"/>
      <c r="BOU97" s="456"/>
      <c r="BOV97" s="456"/>
      <c r="BOW97" s="456"/>
      <c r="BOX97" s="456"/>
      <c r="BOY97" s="456"/>
      <c r="BOZ97" s="456"/>
      <c r="BPA97" s="456"/>
      <c r="BPB97" s="456"/>
      <c r="BPC97" s="456"/>
      <c r="BPD97" s="456"/>
      <c r="BPE97" s="456"/>
      <c r="BPF97" s="456"/>
      <c r="BPG97" s="456"/>
      <c r="BPH97" s="456"/>
      <c r="BPI97" s="456"/>
      <c r="BPJ97" s="456"/>
      <c r="BPK97" s="456"/>
      <c r="BPL97" s="456"/>
      <c r="BPM97" s="456"/>
      <c r="BPN97" s="456"/>
      <c r="BPO97" s="456"/>
      <c r="BPP97" s="456"/>
      <c r="BPQ97" s="456"/>
      <c r="BPR97" s="456"/>
      <c r="BPS97" s="456"/>
      <c r="BPT97" s="456"/>
      <c r="BPU97" s="456"/>
      <c r="BPV97" s="456"/>
      <c r="BPW97" s="456"/>
      <c r="BPX97" s="456"/>
      <c r="BPY97" s="456"/>
      <c r="BPZ97" s="456"/>
      <c r="BQA97" s="456"/>
      <c r="BQB97" s="456"/>
      <c r="BQC97" s="456"/>
      <c r="BQD97" s="456"/>
      <c r="BQE97" s="456"/>
      <c r="BQF97" s="456"/>
      <c r="BQG97" s="456"/>
      <c r="BQH97" s="456"/>
      <c r="BQI97" s="456"/>
      <c r="BQJ97" s="456"/>
      <c r="BQK97" s="456"/>
      <c r="BQL97" s="456"/>
      <c r="BQM97" s="456"/>
      <c r="BQN97" s="456"/>
      <c r="BQO97" s="456"/>
      <c r="BQP97" s="456"/>
      <c r="BQQ97" s="456"/>
      <c r="BQR97" s="456"/>
      <c r="BQS97" s="456"/>
      <c r="BQT97" s="456"/>
      <c r="BQU97" s="456"/>
      <c r="BQV97" s="456"/>
      <c r="BQW97" s="456"/>
      <c r="BQX97" s="456"/>
      <c r="BQY97" s="456"/>
      <c r="BQZ97" s="456"/>
      <c r="BRA97" s="456"/>
      <c r="BRB97" s="456"/>
      <c r="BRC97" s="456"/>
      <c r="BRD97" s="456"/>
      <c r="BRE97" s="456"/>
      <c r="BRF97" s="456"/>
      <c r="BRG97" s="456"/>
      <c r="BRH97" s="456"/>
      <c r="BRI97" s="456"/>
      <c r="BRJ97" s="456"/>
      <c r="BRK97" s="456"/>
      <c r="BRL97" s="456"/>
      <c r="BRM97" s="456"/>
      <c r="BRN97" s="456"/>
      <c r="BRO97" s="456"/>
      <c r="BRP97" s="456"/>
      <c r="BRQ97" s="456"/>
      <c r="BRR97" s="456"/>
      <c r="BRS97" s="456"/>
      <c r="BRT97" s="456"/>
      <c r="BRU97" s="456"/>
      <c r="BRV97" s="456"/>
      <c r="BRW97" s="456"/>
      <c r="BRX97" s="456"/>
      <c r="BRY97" s="456"/>
      <c r="BRZ97" s="456"/>
      <c r="BSA97" s="456"/>
      <c r="BSB97" s="456"/>
      <c r="BSC97" s="456"/>
      <c r="BSD97" s="456"/>
      <c r="BSE97" s="456"/>
      <c r="BSF97" s="456"/>
      <c r="BSG97" s="456"/>
      <c r="BSH97" s="456"/>
      <c r="BSI97" s="456"/>
      <c r="BSJ97" s="456"/>
      <c r="BSK97" s="456"/>
      <c r="BSL97" s="456"/>
      <c r="BSM97" s="456"/>
      <c r="BSN97" s="456"/>
      <c r="BSO97" s="456"/>
      <c r="BSP97" s="456"/>
      <c r="BSQ97" s="456"/>
      <c r="BSR97" s="456"/>
      <c r="BSS97" s="456"/>
      <c r="BST97" s="456"/>
      <c r="BSU97" s="456"/>
      <c r="BSV97" s="456"/>
      <c r="BSW97" s="456"/>
      <c r="BSX97" s="456"/>
      <c r="BSY97" s="456"/>
      <c r="BSZ97" s="456"/>
      <c r="BTA97" s="456"/>
      <c r="BTB97" s="456"/>
      <c r="BTC97" s="456"/>
      <c r="BTD97" s="456"/>
      <c r="BTE97" s="456"/>
      <c r="BTF97" s="456"/>
      <c r="BTG97" s="456"/>
      <c r="BTH97" s="456"/>
      <c r="BTI97" s="456"/>
      <c r="BTJ97" s="456"/>
      <c r="BTK97" s="456"/>
      <c r="BTL97" s="456"/>
      <c r="BTM97" s="456"/>
      <c r="BTN97" s="456"/>
      <c r="BTO97" s="456"/>
      <c r="BTP97" s="456"/>
      <c r="BTQ97" s="456"/>
      <c r="BTR97" s="456"/>
      <c r="BTS97" s="456"/>
      <c r="BTT97" s="456"/>
      <c r="BTU97" s="456"/>
      <c r="BTV97" s="456"/>
      <c r="BTW97" s="456"/>
      <c r="BTX97" s="456"/>
      <c r="BTY97" s="456"/>
      <c r="BTZ97" s="456"/>
      <c r="BUA97" s="456"/>
      <c r="BUB97" s="456"/>
      <c r="BUC97" s="456"/>
      <c r="BUD97" s="456"/>
      <c r="BUE97" s="456"/>
      <c r="BUF97" s="456"/>
      <c r="BUG97" s="456"/>
      <c r="BUH97" s="456"/>
      <c r="BUI97" s="456"/>
      <c r="BUJ97" s="456"/>
      <c r="BUK97" s="456"/>
      <c r="BUL97" s="456"/>
      <c r="BUM97" s="456"/>
      <c r="BUN97" s="456"/>
      <c r="BUO97" s="456"/>
      <c r="BUP97" s="456"/>
      <c r="BUQ97" s="456"/>
      <c r="BUR97" s="456"/>
      <c r="BUS97" s="456"/>
      <c r="BUT97" s="456"/>
      <c r="BUU97" s="456"/>
      <c r="BUV97" s="456"/>
      <c r="BUW97" s="456"/>
      <c r="BUX97" s="456"/>
      <c r="BUY97" s="456"/>
      <c r="BUZ97" s="456"/>
      <c r="BVA97" s="456"/>
      <c r="BVB97" s="456"/>
      <c r="BVC97" s="456"/>
      <c r="BVD97" s="456"/>
      <c r="BVE97" s="456"/>
      <c r="BVF97" s="456"/>
      <c r="BVG97" s="456"/>
      <c r="BVH97" s="456"/>
      <c r="BVI97" s="456"/>
      <c r="BVJ97" s="456"/>
      <c r="BVK97" s="456"/>
      <c r="BVL97" s="456"/>
      <c r="BVM97" s="456"/>
      <c r="BVN97" s="456"/>
      <c r="BVO97" s="456"/>
      <c r="BVP97" s="456"/>
      <c r="BVQ97" s="456"/>
      <c r="BVR97" s="456"/>
      <c r="BVS97" s="456"/>
      <c r="BVT97" s="456"/>
      <c r="BVU97" s="456"/>
      <c r="BVV97" s="456"/>
      <c r="BVW97" s="456"/>
      <c r="BVX97" s="456"/>
      <c r="BVY97" s="456"/>
      <c r="BVZ97" s="456"/>
      <c r="BWA97" s="456"/>
      <c r="BWB97" s="456"/>
      <c r="BWC97" s="456"/>
      <c r="BWD97" s="456"/>
      <c r="BWE97" s="456"/>
      <c r="BWF97" s="456"/>
      <c r="BWG97" s="456"/>
      <c r="BWH97" s="456"/>
      <c r="BWI97" s="456"/>
      <c r="BWJ97" s="456"/>
      <c r="BWK97" s="456"/>
      <c r="BWL97" s="456"/>
      <c r="BWM97" s="456"/>
      <c r="BWN97" s="456"/>
      <c r="BWO97" s="456"/>
      <c r="BWP97" s="456"/>
      <c r="BWQ97" s="456"/>
      <c r="BWR97" s="456"/>
      <c r="BWS97" s="456"/>
      <c r="BWT97" s="456"/>
      <c r="BWU97" s="456"/>
      <c r="BWV97" s="456"/>
      <c r="BWW97" s="456"/>
      <c r="BWX97" s="456"/>
      <c r="BWY97" s="456"/>
      <c r="BWZ97" s="456"/>
      <c r="BXA97" s="456"/>
      <c r="BXB97" s="456"/>
      <c r="BXC97" s="456"/>
      <c r="BXD97" s="456"/>
      <c r="BXE97" s="456"/>
      <c r="BXF97" s="456"/>
      <c r="BXG97" s="456"/>
      <c r="BXH97" s="456"/>
      <c r="BXI97" s="456"/>
      <c r="BXJ97" s="456"/>
      <c r="BXK97" s="456"/>
      <c r="BXL97" s="456"/>
      <c r="BXM97" s="456"/>
      <c r="BXN97" s="456"/>
      <c r="BXO97" s="456"/>
      <c r="BXP97" s="456"/>
      <c r="BXQ97" s="456"/>
      <c r="BXR97" s="456"/>
      <c r="BXS97" s="456"/>
      <c r="BXT97" s="456"/>
      <c r="BXU97" s="456"/>
      <c r="BXV97" s="456"/>
      <c r="BXW97" s="456"/>
      <c r="BXX97" s="456"/>
      <c r="BXY97" s="456"/>
      <c r="BXZ97" s="456"/>
    </row>
    <row r="98" s="25" customFormat="1" spans="1:1024 1025:2002">
      <c r="A98" s="473"/>
      <c r="B98" s="19">
        <v>1123</v>
      </c>
      <c r="C98" s="183">
        <v>46189</v>
      </c>
      <c r="D98" s="17" t="s">
        <v>91</v>
      </c>
      <c r="E98" s="17" t="s">
        <v>92</v>
      </c>
      <c r="F98" s="17" t="s">
        <v>93</v>
      </c>
      <c r="G98" s="17"/>
      <c r="H98" s="19">
        <v>1.2085</v>
      </c>
      <c r="I98" s="19">
        <v>1.2085</v>
      </c>
      <c r="J98" s="17" t="s">
        <v>49</v>
      </c>
      <c r="K98" s="19">
        <v>2020</v>
      </c>
      <c r="L98" s="91">
        <v>111</v>
      </c>
      <c r="M98" s="19">
        <v>5025</v>
      </c>
      <c r="N98" s="19" t="s">
        <v>66</v>
      </c>
      <c r="O98" s="19" t="s">
        <v>67</v>
      </c>
      <c r="P98" s="19">
        <v>9072</v>
      </c>
      <c r="Q98" s="19">
        <v>8715</v>
      </c>
      <c r="R98" s="19">
        <f t="shared" si="7"/>
        <v>357</v>
      </c>
      <c r="S98" s="19">
        <v>2400</v>
      </c>
      <c r="T98" s="19" t="s">
        <v>94</v>
      </c>
      <c r="U98" s="102">
        <v>51001791</v>
      </c>
      <c r="V98" s="186">
        <v>46189</v>
      </c>
      <c r="W98" s="17" t="s">
        <v>44</v>
      </c>
      <c r="X98" s="17"/>
      <c r="Y98" s="68">
        <v>46204</v>
      </c>
      <c r="Z98" s="17" t="s">
        <v>95</v>
      </c>
      <c r="AA98" s="17" t="s">
        <v>46</v>
      </c>
      <c r="AB98" s="17"/>
      <c r="AC98" s="102"/>
      <c r="AD98" s="65">
        <v>1868</v>
      </c>
      <c r="AE98" s="17" t="s">
        <v>48</v>
      </c>
      <c r="AF98" s="17"/>
      <c r="AG98" s="17"/>
      <c r="AH98" s="456"/>
      <c r="AI98" s="456"/>
      <c r="AJ98" s="456"/>
      <c r="AK98" s="456"/>
      <c r="AL98" s="456"/>
      <c r="AM98" s="456"/>
      <c r="AN98" s="456"/>
      <c r="AO98" s="456"/>
      <c r="AP98" s="456"/>
      <c r="AQ98" s="456"/>
      <c r="AR98" s="456"/>
      <c r="AS98" s="456"/>
      <c r="AT98" s="456"/>
      <c r="AU98" s="456"/>
      <c r="AV98" s="456"/>
      <c r="AW98" s="456"/>
      <c r="AX98" s="456"/>
      <c r="AY98" s="456"/>
      <c r="AZ98" s="456"/>
      <c r="BA98" s="456"/>
      <c r="BB98" s="456"/>
      <c r="BC98" s="456"/>
      <c r="BD98" s="456"/>
      <c r="BE98" s="456"/>
      <c r="BF98" s="456"/>
      <c r="BG98" s="456"/>
      <c r="BH98" s="456"/>
      <c r="BI98" s="456"/>
      <c r="BJ98" s="456"/>
      <c r="BK98" s="456"/>
      <c r="BL98" s="456"/>
      <c r="BM98" s="456"/>
      <c r="BN98" s="456"/>
      <c r="BO98" s="456"/>
      <c r="BP98" s="456"/>
      <c r="BQ98" s="456"/>
      <c r="BR98" s="456"/>
      <c r="BS98" s="456"/>
      <c r="BT98" s="456"/>
      <c r="BU98" s="456"/>
      <c r="BV98" s="456"/>
      <c r="BW98" s="456"/>
      <c r="BX98" s="456"/>
      <c r="BY98" s="456"/>
      <c r="BZ98" s="456"/>
      <c r="CA98" s="456"/>
      <c r="CB98" s="456"/>
      <c r="CC98" s="456"/>
      <c r="CD98" s="456"/>
      <c r="CE98" s="456"/>
      <c r="CF98" s="456"/>
      <c r="CG98" s="456"/>
      <c r="CH98" s="456"/>
      <c r="CI98" s="456"/>
      <c r="CJ98" s="456"/>
      <c r="CK98" s="456"/>
      <c r="CL98" s="456"/>
      <c r="CM98" s="456"/>
      <c r="CN98" s="456"/>
      <c r="CO98" s="456"/>
      <c r="CP98" s="456"/>
      <c r="CQ98" s="456"/>
      <c r="CR98" s="456"/>
      <c r="CS98" s="456"/>
      <c r="CT98" s="456"/>
      <c r="CU98" s="456"/>
      <c r="CV98" s="456"/>
      <c r="CW98" s="456"/>
      <c r="CX98" s="456"/>
      <c r="CY98" s="456"/>
      <c r="CZ98" s="456"/>
      <c r="DA98" s="456"/>
      <c r="DB98" s="456"/>
      <c r="DC98" s="456"/>
      <c r="DD98" s="456"/>
      <c r="DE98" s="456"/>
      <c r="DF98" s="456"/>
      <c r="DG98" s="456"/>
      <c r="DH98" s="456"/>
      <c r="DI98" s="456"/>
      <c r="DJ98" s="456"/>
      <c r="DK98" s="456"/>
      <c r="DL98" s="456"/>
      <c r="DM98" s="456"/>
      <c r="DN98" s="456"/>
      <c r="DO98" s="456"/>
      <c r="DP98" s="456"/>
      <c r="DQ98" s="456"/>
      <c r="DR98" s="456"/>
      <c r="DS98" s="456"/>
      <c r="DT98" s="456"/>
      <c r="DU98" s="456"/>
      <c r="DV98" s="456"/>
      <c r="DW98" s="456"/>
      <c r="DX98" s="456"/>
      <c r="DY98" s="456"/>
      <c r="DZ98" s="456"/>
      <c r="EA98" s="456"/>
      <c r="EB98" s="456"/>
      <c r="EC98" s="456"/>
      <c r="ED98" s="456"/>
      <c r="EE98" s="456"/>
      <c r="EF98" s="456"/>
      <c r="EG98" s="456"/>
      <c r="EH98" s="456"/>
      <c r="EI98" s="456"/>
      <c r="EJ98" s="456"/>
      <c r="EK98" s="456"/>
      <c r="EL98" s="456"/>
      <c r="EM98" s="456"/>
      <c r="EN98" s="456"/>
      <c r="EO98" s="456"/>
      <c r="EP98" s="456"/>
      <c r="EQ98" s="456"/>
      <c r="ER98" s="456"/>
      <c r="ES98" s="456"/>
      <c r="ET98" s="456"/>
      <c r="EU98" s="456"/>
      <c r="EV98" s="456"/>
      <c r="EW98" s="456"/>
      <c r="EX98" s="456"/>
      <c r="EY98" s="456"/>
      <c r="EZ98" s="456"/>
      <c r="FA98" s="456"/>
      <c r="FB98" s="456"/>
      <c r="FC98" s="456"/>
      <c r="FD98" s="456"/>
      <c r="FE98" s="456"/>
      <c r="FF98" s="456"/>
      <c r="FG98" s="456"/>
      <c r="FH98" s="456"/>
      <c r="FI98" s="456"/>
      <c r="FJ98" s="456"/>
      <c r="FK98" s="456"/>
      <c r="FL98" s="456"/>
      <c r="FM98" s="456"/>
      <c r="FN98" s="456"/>
      <c r="FO98" s="456"/>
      <c r="FP98" s="456"/>
      <c r="FQ98" s="456"/>
      <c r="FR98" s="456"/>
      <c r="FS98" s="456"/>
      <c r="FT98" s="456"/>
      <c r="FU98" s="456"/>
      <c r="FV98" s="456"/>
      <c r="FW98" s="456"/>
      <c r="FX98" s="456"/>
      <c r="FY98" s="456"/>
      <c r="FZ98" s="456"/>
      <c r="GA98" s="456"/>
      <c r="GB98" s="456"/>
      <c r="GC98" s="456"/>
      <c r="GD98" s="456"/>
      <c r="GE98" s="456"/>
      <c r="GF98" s="456"/>
      <c r="GG98" s="456"/>
      <c r="GH98" s="456"/>
      <c r="GI98" s="456"/>
      <c r="GJ98" s="456"/>
      <c r="GK98" s="456"/>
      <c r="GL98" s="456"/>
      <c r="GM98" s="456"/>
      <c r="GN98" s="456"/>
      <c r="GO98" s="456"/>
      <c r="GP98" s="456"/>
      <c r="GQ98" s="456"/>
      <c r="GR98" s="456"/>
      <c r="GS98" s="456"/>
      <c r="GT98" s="456"/>
      <c r="GU98" s="456"/>
      <c r="GV98" s="456"/>
      <c r="GW98" s="456"/>
      <c r="GX98" s="456"/>
      <c r="GY98" s="456"/>
      <c r="GZ98" s="456"/>
      <c r="HA98" s="456"/>
      <c r="HB98" s="456"/>
      <c r="HC98" s="456"/>
      <c r="HD98" s="456"/>
      <c r="HE98" s="456"/>
      <c r="HF98" s="456"/>
      <c r="HG98" s="456"/>
      <c r="HH98" s="456"/>
      <c r="HI98" s="456"/>
      <c r="HJ98" s="456"/>
      <c r="HK98" s="456"/>
      <c r="HL98" s="456"/>
      <c r="HM98" s="456"/>
      <c r="HN98" s="456"/>
      <c r="HO98" s="456"/>
      <c r="HP98" s="456"/>
      <c r="HQ98" s="456"/>
      <c r="HR98" s="456"/>
      <c r="HS98" s="456"/>
      <c r="HT98" s="456"/>
      <c r="HU98" s="456"/>
      <c r="HV98" s="456"/>
      <c r="HW98" s="456"/>
      <c r="HX98" s="456"/>
      <c r="HY98" s="456"/>
      <c r="HZ98" s="456"/>
      <c r="IA98" s="456"/>
      <c r="IB98" s="456"/>
      <c r="IC98" s="456"/>
      <c r="ID98" s="456"/>
      <c r="IE98" s="456"/>
      <c r="IF98" s="456"/>
      <c r="IG98" s="456"/>
      <c r="IH98" s="456"/>
      <c r="II98" s="456"/>
      <c r="IJ98" s="456"/>
      <c r="IK98" s="456"/>
      <c r="IL98" s="456"/>
      <c r="IM98" s="456"/>
      <c r="IN98" s="456"/>
      <c r="IO98" s="456"/>
      <c r="IP98" s="456"/>
      <c r="IQ98" s="456"/>
      <c r="IR98" s="456"/>
      <c r="IS98" s="456"/>
      <c r="IT98" s="456"/>
      <c r="IU98" s="456"/>
      <c r="IV98" s="456"/>
      <c r="IW98" s="456"/>
      <c r="IX98" s="456"/>
      <c r="IY98" s="456"/>
      <c r="IZ98" s="456"/>
      <c r="JA98" s="456"/>
      <c r="JB98" s="456"/>
      <c r="JC98" s="456"/>
      <c r="JD98" s="456"/>
      <c r="JE98" s="456"/>
      <c r="JF98" s="456"/>
      <c r="JG98" s="456"/>
      <c r="JH98" s="456"/>
      <c r="JI98" s="456"/>
      <c r="JJ98" s="456"/>
      <c r="JK98" s="456"/>
      <c r="JL98" s="456"/>
      <c r="JM98" s="456"/>
      <c r="JN98" s="456"/>
      <c r="JO98" s="456"/>
      <c r="JP98" s="456"/>
      <c r="JQ98" s="456"/>
      <c r="JR98" s="456"/>
      <c r="JS98" s="456"/>
      <c r="JT98" s="456"/>
      <c r="JU98" s="456"/>
      <c r="JV98" s="456"/>
      <c r="JW98" s="456"/>
      <c r="JX98" s="456"/>
      <c r="JY98" s="456"/>
      <c r="JZ98" s="456"/>
      <c r="KA98" s="456"/>
      <c r="KB98" s="456"/>
      <c r="KC98" s="456"/>
      <c r="KD98" s="456"/>
      <c r="KE98" s="456"/>
      <c r="KF98" s="456"/>
      <c r="KG98" s="456"/>
      <c r="KH98" s="456"/>
      <c r="KI98" s="456"/>
      <c r="KJ98" s="456"/>
      <c r="KK98" s="456"/>
      <c r="KL98" s="456"/>
      <c r="KM98" s="456"/>
      <c r="KN98" s="456"/>
      <c r="KO98" s="456"/>
      <c r="KP98" s="456"/>
      <c r="KQ98" s="456"/>
      <c r="KR98" s="456"/>
      <c r="KS98" s="456"/>
      <c r="KT98" s="456"/>
      <c r="KU98" s="456"/>
      <c r="KV98" s="456"/>
      <c r="KW98" s="456"/>
      <c r="KX98" s="456"/>
      <c r="KY98" s="456"/>
      <c r="KZ98" s="456"/>
      <c r="LA98" s="456"/>
      <c r="LB98" s="456"/>
      <c r="LC98" s="456"/>
      <c r="LD98" s="456"/>
      <c r="LE98" s="456"/>
      <c r="LF98" s="456"/>
      <c r="LG98" s="456"/>
      <c r="LH98" s="456"/>
      <c r="LI98" s="456"/>
      <c r="LJ98" s="456"/>
      <c r="LK98" s="456"/>
      <c r="LL98" s="456"/>
      <c r="LM98" s="456"/>
      <c r="LN98" s="456"/>
      <c r="LO98" s="456"/>
      <c r="LP98" s="456"/>
      <c r="LQ98" s="456"/>
      <c r="LR98" s="456"/>
      <c r="LS98" s="456"/>
      <c r="LT98" s="456"/>
      <c r="LU98" s="456"/>
      <c r="LV98" s="456"/>
      <c r="LW98" s="456"/>
      <c r="LX98" s="456"/>
      <c r="LY98" s="456"/>
      <c r="LZ98" s="456"/>
      <c r="MA98" s="456"/>
      <c r="MB98" s="456"/>
      <c r="MC98" s="456"/>
      <c r="MD98" s="456"/>
      <c r="ME98" s="456"/>
      <c r="MF98" s="456"/>
      <c r="MG98" s="456"/>
      <c r="MH98" s="456"/>
      <c r="MI98" s="456"/>
      <c r="MJ98" s="456"/>
      <c r="MK98" s="456"/>
      <c r="ML98" s="456"/>
      <c r="MM98" s="456"/>
      <c r="MN98" s="456"/>
      <c r="MO98" s="456"/>
      <c r="MP98" s="456"/>
      <c r="MQ98" s="456"/>
      <c r="MR98" s="456"/>
      <c r="MS98" s="456"/>
      <c r="MT98" s="456"/>
      <c r="MU98" s="456"/>
      <c r="MV98" s="456"/>
      <c r="MW98" s="456"/>
      <c r="MX98" s="456"/>
      <c r="MY98" s="456"/>
      <c r="MZ98" s="456"/>
      <c r="NA98" s="456"/>
      <c r="NB98" s="456"/>
      <c r="NC98" s="456"/>
      <c r="ND98" s="456"/>
      <c r="NE98" s="456"/>
      <c r="NF98" s="456"/>
      <c r="NG98" s="456"/>
      <c r="NH98" s="456"/>
      <c r="NI98" s="456"/>
      <c r="NJ98" s="456"/>
      <c r="NK98" s="456"/>
      <c r="NL98" s="456"/>
      <c r="NM98" s="456"/>
      <c r="NN98" s="456"/>
      <c r="NO98" s="456"/>
      <c r="NP98" s="456"/>
      <c r="NQ98" s="456"/>
      <c r="NR98" s="456"/>
      <c r="NS98" s="456"/>
      <c r="NT98" s="456"/>
      <c r="NU98" s="456"/>
      <c r="NV98" s="456"/>
      <c r="NW98" s="456"/>
      <c r="NX98" s="456"/>
      <c r="NY98" s="456"/>
      <c r="NZ98" s="456"/>
      <c r="OA98" s="456"/>
      <c r="OB98" s="456"/>
      <c r="OC98" s="456"/>
      <c r="OD98" s="456"/>
      <c r="OE98" s="456"/>
      <c r="OF98" s="456"/>
      <c r="OG98" s="456"/>
      <c r="OH98" s="456"/>
      <c r="OI98" s="456"/>
      <c r="OJ98" s="456"/>
      <c r="OK98" s="456"/>
      <c r="OL98" s="456"/>
      <c r="OM98" s="456"/>
      <c r="ON98" s="456"/>
      <c r="OO98" s="456"/>
      <c r="OP98" s="456"/>
      <c r="OQ98" s="456"/>
      <c r="OR98" s="456"/>
      <c r="OS98" s="456"/>
      <c r="OT98" s="456"/>
      <c r="OU98" s="456"/>
      <c r="OV98" s="456"/>
      <c r="OW98" s="456"/>
      <c r="OX98" s="456"/>
      <c r="OY98" s="456"/>
      <c r="OZ98" s="456"/>
      <c r="PA98" s="456"/>
      <c r="PB98" s="456"/>
      <c r="PC98" s="456"/>
      <c r="PD98" s="456"/>
      <c r="PE98" s="456"/>
      <c r="PF98" s="456"/>
      <c r="PG98" s="456"/>
      <c r="PH98" s="456"/>
      <c r="PI98" s="456"/>
      <c r="PJ98" s="456"/>
      <c r="PK98" s="456"/>
      <c r="PL98" s="456"/>
      <c r="PM98" s="456"/>
      <c r="PN98" s="456"/>
      <c r="PO98" s="456"/>
      <c r="PP98" s="456"/>
      <c r="PQ98" s="456"/>
      <c r="PR98" s="456"/>
      <c r="PS98" s="456"/>
      <c r="PT98" s="456"/>
      <c r="PU98" s="456"/>
      <c r="PV98" s="456"/>
      <c r="PW98" s="456"/>
      <c r="PX98" s="456"/>
      <c r="PY98" s="456"/>
      <c r="PZ98" s="456"/>
      <c r="QA98" s="456"/>
      <c r="QB98" s="456"/>
      <c r="QC98" s="456"/>
      <c r="QD98" s="456"/>
      <c r="QE98" s="456"/>
      <c r="QF98" s="456"/>
      <c r="QG98" s="456"/>
      <c r="QH98" s="456"/>
      <c r="QI98" s="456"/>
      <c r="QJ98" s="456"/>
      <c r="QK98" s="456"/>
      <c r="QL98" s="456"/>
      <c r="QM98" s="456"/>
      <c r="QN98" s="456"/>
      <c r="QO98" s="456"/>
      <c r="QP98" s="456"/>
      <c r="QQ98" s="456"/>
      <c r="QR98" s="456"/>
      <c r="QS98" s="456"/>
      <c r="QT98" s="456"/>
      <c r="QU98" s="456"/>
      <c r="QV98" s="456"/>
      <c r="QW98" s="456"/>
      <c r="QX98" s="456"/>
      <c r="QY98" s="456"/>
      <c r="QZ98" s="456"/>
      <c r="RA98" s="456"/>
      <c r="RB98" s="456"/>
      <c r="RC98" s="456"/>
      <c r="RD98" s="456"/>
      <c r="RE98" s="456"/>
      <c r="RF98" s="456"/>
      <c r="RG98" s="456"/>
      <c r="RH98" s="456"/>
      <c r="RI98" s="456"/>
      <c r="RJ98" s="456"/>
      <c r="RK98" s="456"/>
      <c r="RL98" s="456"/>
      <c r="RM98" s="456"/>
      <c r="RN98" s="456"/>
      <c r="RO98" s="456"/>
      <c r="RP98" s="456"/>
      <c r="RQ98" s="456"/>
      <c r="RR98" s="456"/>
      <c r="RS98" s="456"/>
      <c r="RT98" s="456"/>
      <c r="RU98" s="456"/>
      <c r="RV98" s="456"/>
      <c r="RW98" s="456"/>
      <c r="RX98" s="456"/>
      <c r="RY98" s="456"/>
      <c r="RZ98" s="456"/>
      <c r="SA98" s="456"/>
      <c r="SB98" s="456"/>
      <c r="SC98" s="456"/>
      <c r="SD98" s="456"/>
      <c r="SE98" s="456"/>
      <c r="SF98" s="456"/>
      <c r="SG98" s="456"/>
      <c r="SH98" s="456"/>
      <c r="SI98" s="456"/>
      <c r="SJ98" s="456"/>
      <c r="SK98" s="456"/>
      <c r="SL98" s="456"/>
      <c r="SM98" s="456"/>
      <c r="SN98" s="456"/>
      <c r="SO98" s="456"/>
      <c r="SP98" s="456"/>
      <c r="SQ98" s="456"/>
      <c r="SR98" s="456"/>
      <c r="SS98" s="456"/>
      <c r="ST98" s="456"/>
      <c r="SU98" s="456"/>
      <c r="SV98" s="456"/>
      <c r="SW98" s="456"/>
      <c r="SX98" s="456"/>
      <c r="SY98" s="456"/>
      <c r="SZ98" s="456"/>
      <c r="TA98" s="456"/>
      <c r="TB98" s="456"/>
      <c r="TC98" s="456"/>
      <c r="TD98" s="456"/>
      <c r="TE98" s="456"/>
      <c r="TF98" s="456"/>
      <c r="TG98" s="456"/>
      <c r="TH98" s="456"/>
      <c r="TI98" s="456"/>
      <c r="TJ98" s="456"/>
      <c r="TK98" s="456"/>
      <c r="TL98" s="456"/>
      <c r="TM98" s="456"/>
      <c r="TN98" s="456"/>
      <c r="TO98" s="456"/>
      <c r="TP98" s="456"/>
      <c r="TQ98" s="456"/>
      <c r="TR98" s="456"/>
      <c r="TS98" s="456"/>
      <c r="TT98" s="456"/>
      <c r="TU98" s="456"/>
      <c r="TV98" s="456"/>
      <c r="TW98" s="456"/>
      <c r="TX98" s="456"/>
      <c r="TY98" s="456"/>
      <c r="TZ98" s="456"/>
      <c r="UA98" s="456"/>
      <c r="UB98" s="456"/>
      <c r="UC98" s="456"/>
      <c r="UD98" s="456"/>
      <c r="UE98" s="456"/>
      <c r="UF98" s="456"/>
      <c r="UG98" s="456"/>
      <c r="UH98" s="456"/>
      <c r="UI98" s="456"/>
      <c r="UJ98" s="456"/>
      <c r="UK98" s="456"/>
      <c r="UL98" s="456"/>
      <c r="UM98" s="456"/>
      <c r="UN98" s="456"/>
      <c r="UO98" s="456"/>
      <c r="UP98" s="456"/>
      <c r="UQ98" s="456"/>
      <c r="UR98" s="456"/>
      <c r="US98" s="456"/>
      <c r="UT98" s="456"/>
      <c r="UU98" s="456"/>
      <c r="UV98" s="456"/>
      <c r="UW98" s="456"/>
      <c r="UX98" s="456"/>
      <c r="UY98" s="456"/>
      <c r="UZ98" s="456"/>
      <c r="VA98" s="456"/>
      <c r="VB98" s="456"/>
      <c r="VC98" s="456"/>
      <c r="VD98" s="456"/>
      <c r="VE98" s="456"/>
      <c r="VF98" s="456"/>
      <c r="VG98" s="456"/>
      <c r="VH98" s="456"/>
      <c r="VI98" s="456"/>
      <c r="VJ98" s="456"/>
      <c r="VK98" s="456"/>
      <c r="VL98" s="456"/>
      <c r="VM98" s="456"/>
      <c r="VN98" s="456"/>
      <c r="VO98" s="456"/>
      <c r="VP98" s="456"/>
      <c r="VQ98" s="456"/>
      <c r="VR98" s="456"/>
      <c r="VS98" s="456"/>
      <c r="VT98" s="456"/>
      <c r="VU98" s="456"/>
      <c r="VV98" s="456"/>
      <c r="VW98" s="456"/>
      <c r="VX98" s="456"/>
      <c r="VY98" s="456"/>
      <c r="VZ98" s="456"/>
      <c r="WA98" s="456"/>
      <c r="WB98" s="456"/>
      <c r="WC98" s="456"/>
      <c r="WD98" s="456"/>
      <c r="WE98" s="456"/>
      <c r="WF98" s="456"/>
      <c r="WG98" s="456"/>
      <c r="WH98" s="456"/>
      <c r="WI98" s="456"/>
      <c r="WJ98" s="456"/>
      <c r="WK98" s="456"/>
      <c r="WL98" s="456"/>
      <c r="WM98" s="456"/>
      <c r="WN98" s="456"/>
      <c r="WO98" s="456"/>
      <c r="WP98" s="456"/>
      <c r="WQ98" s="456"/>
      <c r="WR98" s="456"/>
      <c r="WS98" s="456"/>
      <c r="WT98" s="456"/>
      <c r="WU98" s="456"/>
      <c r="WV98" s="456"/>
      <c r="WW98" s="456"/>
      <c r="WX98" s="456"/>
      <c r="WY98" s="456"/>
      <c r="WZ98" s="456"/>
      <c r="XA98" s="456"/>
      <c r="XB98" s="456"/>
      <c r="XC98" s="456"/>
      <c r="XD98" s="456"/>
      <c r="XE98" s="456"/>
      <c r="XF98" s="456"/>
      <c r="XG98" s="456"/>
      <c r="XH98" s="456"/>
      <c r="XI98" s="456"/>
      <c r="XJ98" s="456"/>
      <c r="XK98" s="456"/>
      <c r="XL98" s="456"/>
      <c r="XM98" s="456"/>
      <c r="XN98" s="456"/>
      <c r="XO98" s="456"/>
      <c r="XP98" s="456"/>
      <c r="XQ98" s="456"/>
      <c r="XR98" s="456"/>
      <c r="XS98" s="456"/>
      <c r="XT98" s="456"/>
      <c r="XU98" s="456"/>
      <c r="XV98" s="456"/>
      <c r="XW98" s="456"/>
      <c r="XX98" s="456"/>
      <c r="XY98" s="456"/>
      <c r="XZ98" s="456"/>
      <c r="YA98" s="456"/>
      <c r="YB98" s="456"/>
      <c r="YC98" s="456"/>
      <c r="YD98" s="456"/>
      <c r="YE98" s="456"/>
      <c r="YF98" s="456"/>
      <c r="YG98" s="456"/>
      <c r="YH98" s="456"/>
      <c r="YI98" s="456"/>
      <c r="YJ98" s="456"/>
      <c r="YK98" s="456"/>
      <c r="YL98" s="456"/>
      <c r="YM98" s="456"/>
      <c r="YN98" s="456"/>
      <c r="YO98" s="456"/>
      <c r="YP98" s="456"/>
      <c r="YQ98" s="456"/>
      <c r="YR98" s="456"/>
      <c r="YS98" s="456"/>
      <c r="YT98" s="456"/>
      <c r="YU98" s="456"/>
      <c r="YV98" s="456"/>
      <c r="YW98" s="456"/>
      <c r="YX98" s="456"/>
      <c r="YY98" s="456"/>
      <c r="YZ98" s="456"/>
      <c r="ZA98" s="456"/>
      <c r="ZB98" s="456"/>
      <c r="ZC98" s="456"/>
      <c r="ZD98" s="456"/>
      <c r="ZE98" s="456"/>
      <c r="ZF98" s="456"/>
      <c r="ZG98" s="456"/>
      <c r="ZH98" s="456"/>
      <c r="ZI98" s="456"/>
      <c r="ZJ98" s="456"/>
      <c r="ZK98" s="456"/>
      <c r="ZL98" s="456"/>
      <c r="ZM98" s="456"/>
      <c r="ZN98" s="456"/>
      <c r="ZO98" s="456"/>
      <c r="ZP98" s="456"/>
      <c r="ZQ98" s="456"/>
      <c r="ZR98" s="456"/>
      <c r="ZS98" s="456"/>
      <c r="ZT98" s="456"/>
      <c r="ZU98" s="456"/>
      <c r="ZV98" s="456"/>
      <c r="ZW98" s="456"/>
      <c r="ZX98" s="456"/>
      <c r="ZY98" s="456"/>
      <c r="ZZ98" s="456"/>
      <c r="AAA98" s="456"/>
      <c r="AAB98" s="456"/>
      <c r="AAC98" s="456"/>
      <c r="AAD98" s="456"/>
      <c r="AAE98" s="456"/>
      <c r="AAF98" s="456"/>
      <c r="AAG98" s="456"/>
      <c r="AAH98" s="456"/>
      <c r="AAI98" s="456"/>
      <c r="AAJ98" s="456"/>
      <c r="AAK98" s="456"/>
      <c r="AAL98" s="456"/>
      <c r="AAM98" s="456"/>
      <c r="AAN98" s="456"/>
      <c r="AAO98" s="456"/>
      <c r="AAP98" s="456"/>
      <c r="AAQ98" s="456"/>
      <c r="AAR98" s="456"/>
      <c r="AAS98" s="456"/>
      <c r="AAT98" s="456"/>
      <c r="AAU98" s="456"/>
      <c r="AAV98" s="456"/>
      <c r="AAW98" s="456"/>
      <c r="AAX98" s="456"/>
      <c r="AAY98" s="456"/>
      <c r="AAZ98" s="456"/>
      <c r="ABA98" s="456"/>
      <c r="ABB98" s="456"/>
      <c r="ABC98" s="456"/>
      <c r="ABD98" s="456"/>
      <c r="ABE98" s="456"/>
      <c r="ABF98" s="456"/>
      <c r="ABG98" s="456"/>
      <c r="ABH98" s="456"/>
      <c r="ABI98" s="456"/>
      <c r="ABJ98" s="456"/>
      <c r="ABK98" s="456"/>
      <c r="ABL98" s="456"/>
      <c r="ABM98" s="456"/>
      <c r="ABN98" s="456"/>
      <c r="ABO98" s="456"/>
      <c r="ABP98" s="456"/>
      <c r="ABQ98" s="456"/>
      <c r="ABR98" s="456"/>
      <c r="ABS98" s="456"/>
      <c r="ABT98" s="456"/>
      <c r="ABU98" s="456"/>
      <c r="ABV98" s="456"/>
      <c r="ABW98" s="456"/>
      <c r="ABX98" s="456"/>
      <c r="ABY98" s="456"/>
      <c r="ABZ98" s="456"/>
      <c r="ACA98" s="456"/>
      <c r="ACB98" s="456"/>
      <c r="ACC98" s="456"/>
      <c r="ACD98" s="456"/>
      <c r="ACE98" s="456"/>
      <c r="ACF98" s="456"/>
      <c r="ACG98" s="456"/>
      <c r="ACH98" s="456"/>
      <c r="ACI98" s="456"/>
      <c r="ACJ98" s="456"/>
      <c r="ACK98" s="456"/>
      <c r="ACL98" s="456"/>
      <c r="ACM98" s="456"/>
      <c r="ACN98" s="456"/>
      <c r="ACO98" s="456"/>
      <c r="ACP98" s="456"/>
      <c r="ACQ98" s="456"/>
      <c r="ACR98" s="456"/>
      <c r="ACS98" s="456"/>
      <c r="ACT98" s="456"/>
      <c r="ACU98" s="456"/>
      <c r="ACV98" s="456"/>
      <c r="ACW98" s="456"/>
      <c r="ACX98" s="456"/>
      <c r="ACY98" s="456"/>
      <c r="ACZ98" s="456"/>
      <c r="ADA98" s="456"/>
      <c r="ADB98" s="456"/>
      <c r="ADC98" s="456"/>
      <c r="ADD98" s="456"/>
      <c r="ADE98" s="456"/>
      <c r="ADF98" s="456"/>
      <c r="ADG98" s="456"/>
      <c r="ADH98" s="456"/>
      <c r="ADI98" s="456"/>
      <c r="ADJ98" s="456"/>
      <c r="ADK98" s="456"/>
      <c r="ADL98" s="456"/>
      <c r="ADM98" s="456"/>
      <c r="ADN98" s="456"/>
      <c r="ADO98" s="456"/>
      <c r="ADP98" s="456"/>
      <c r="ADQ98" s="456"/>
      <c r="ADR98" s="456"/>
      <c r="ADS98" s="456"/>
      <c r="ADT98" s="456"/>
      <c r="ADU98" s="456"/>
      <c r="ADV98" s="456"/>
      <c r="ADW98" s="456"/>
      <c r="ADX98" s="456"/>
      <c r="ADY98" s="456"/>
      <c r="ADZ98" s="456"/>
      <c r="AEA98" s="456"/>
      <c r="AEB98" s="456"/>
      <c r="AEC98" s="456"/>
      <c r="AED98" s="456"/>
      <c r="AEE98" s="456"/>
      <c r="AEF98" s="456"/>
      <c r="AEG98" s="456"/>
      <c r="AEH98" s="456"/>
      <c r="AEI98" s="456"/>
      <c r="AEJ98" s="456"/>
      <c r="AEK98" s="456"/>
      <c r="AEL98" s="456"/>
      <c r="AEM98" s="456"/>
      <c r="AEN98" s="456"/>
      <c r="AEO98" s="456"/>
      <c r="AEP98" s="456"/>
      <c r="AEQ98" s="456"/>
      <c r="AER98" s="456"/>
      <c r="AES98" s="456"/>
      <c r="AET98" s="456"/>
      <c r="AEU98" s="456"/>
      <c r="AEV98" s="456"/>
      <c r="AEW98" s="456"/>
      <c r="AEX98" s="456"/>
      <c r="AEY98" s="456"/>
      <c r="AEZ98" s="456"/>
      <c r="AFA98" s="456"/>
      <c r="AFB98" s="456"/>
      <c r="AFC98" s="456"/>
      <c r="AFD98" s="456"/>
      <c r="AFE98" s="456"/>
      <c r="AFF98" s="456"/>
      <c r="AFG98" s="456"/>
      <c r="AFH98" s="456"/>
      <c r="AFI98" s="456"/>
      <c r="AFJ98" s="456"/>
      <c r="AFK98" s="456"/>
      <c r="AFL98" s="456"/>
      <c r="AFM98" s="456"/>
      <c r="AFN98" s="456"/>
      <c r="AFO98" s="456"/>
      <c r="AFP98" s="456"/>
      <c r="AFQ98" s="456"/>
      <c r="AFR98" s="456"/>
      <c r="AFS98" s="456"/>
      <c r="AFT98" s="456"/>
      <c r="AFU98" s="456"/>
      <c r="AFV98" s="456"/>
      <c r="AFW98" s="456"/>
      <c r="AFX98" s="456"/>
      <c r="AFY98" s="456"/>
      <c r="AFZ98" s="456"/>
      <c r="AGA98" s="456"/>
      <c r="AGB98" s="456"/>
      <c r="AGC98" s="456"/>
      <c r="AGD98" s="456"/>
      <c r="AGE98" s="456"/>
      <c r="AGF98" s="456"/>
      <c r="AGG98" s="456"/>
      <c r="AGH98" s="456"/>
      <c r="AGI98" s="456"/>
      <c r="AGJ98" s="456"/>
      <c r="AGK98" s="456"/>
      <c r="AGL98" s="456"/>
      <c r="AGM98" s="456"/>
      <c r="AGN98" s="456"/>
      <c r="AGO98" s="456"/>
      <c r="AGP98" s="456"/>
      <c r="AGQ98" s="456"/>
      <c r="AGR98" s="456"/>
      <c r="AGS98" s="456"/>
      <c r="AGT98" s="456"/>
      <c r="AGU98" s="456"/>
      <c r="AGV98" s="456"/>
      <c r="AGW98" s="456"/>
      <c r="AGX98" s="456"/>
      <c r="AGY98" s="456"/>
      <c r="AGZ98" s="456"/>
      <c r="AHA98" s="456"/>
      <c r="AHB98" s="456"/>
      <c r="AHC98" s="456"/>
      <c r="AHD98" s="456"/>
      <c r="AHE98" s="456"/>
      <c r="AHF98" s="456"/>
      <c r="AHG98" s="456"/>
      <c r="AHH98" s="456"/>
      <c r="AHI98" s="456"/>
      <c r="AHJ98" s="456"/>
      <c r="AHK98" s="456"/>
      <c r="AHL98" s="456"/>
      <c r="AHM98" s="456"/>
      <c r="AHN98" s="456"/>
      <c r="AHO98" s="456"/>
      <c r="AHP98" s="456"/>
      <c r="AHQ98" s="456"/>
      <c r="AHR98" s="456"/>
      <c r="AHS98" s="456"/>
      <c r="AHT98" s="456"/>
      <c r="AHU98" s="456"/>
      <c r="AHV98" s="456"/>
      <c r="AHW98" s="456"/>
      <c r="AHX98" s="456"/>
      <c r="AHY98" s="456"/>
      <c r="AHZ98" s="456"/>
      <c r="AIA98" s="456"/>
      <c r="AIB98" s="456"/>
      <c r="AIC98" s="456"/>
      <c r="AID98" s="456"/>
      <c r="AIE98" s="456"/>
      <c r="AIF98" s="456"/>
      <c r="AIG98" s="456"/>
      <c r="AIH98" s="456"/>
      <c r="AII98" s="456"/>
      <c r="AIJ98" s="456"/>
      <c r="AIK98" s="456"/>
      <c r="AIL98" s="456"/>
      <c r="AIM98" s="456"/>
      <c r="AIN98" s="456"/>
      <c r="AIO98" s="456"/>
      <c r="AIP98" s="456"/>
      <c r="AIQ98" s="456"/>
      <c r="AIR98" s="456"/>
      <c r="AIS98" s="456"/>
      <c r="AIT98" s="456"/>
      <c r="AIU98" s="456"/>
      <c r="AIV98" s="456"/>
      <c r="AIW98" s="456"/>
      <c r="AIX98" s="456"/>
      <c r="AIY98" s="456"/>
      <c r="AIZ98" s="456"/>
      <c r="AJA98" s="456"/>
      <c r="AJB98" s="456"/>
      <c r="AJC98" s="456"/>
      <c r="AJD98" s="456"/>
      <c r="AJE98" s="456"/>
      <c r="AJF98" s="456"/>
      <c r="AJG98" s="456"/>
      <c r="AJH98" s="456"/>
      <c r="AJI98" s="456"/>
      <c r="AJJ98" s="456"/>
      <c r="AJK98" s="456"/>
      <c r="AJL98" s="456"/>
      <c r="AJM98" s="456"/>
      <c r="AJN98" s="456"/>
      <c r="AJO98" s="456"/>
      <c r="AJP98" s="456"/>
      <c r="AJQ98" s="456"/>
      <c r="AJR98" s="456"/>
      <c r="AJS98" s="456"/>
      <c r="AJT98" s="456"/>
      <c r="AJU98" s="456"/>
      <c r="AJV98" s="456"/>
      <c r="AJW98" s="456"/>
      <c r="AJX98" s="456"/>
      <c r="AJY98" s="456"/>
      <c r="AJZ98" s="456"/>
      <c r="AKA98" s="456"/>
      <c r="AKB98" s="456"/>
      <c r="AKC98" s="456"/>
      <c r="AKD98" s="456"/>
      <c r="AKE98" s="456"/>
      <c r="AKF98" s="456"/>
      <c r="AKG98" s="456"/>
      <c r="AKH98" s="456"/>
      <c r="AKI98" s="456"/>
      <c r="AKJ98" s="456"/>
      <c r="AKK98" s="456"/>
      <c r="AKL98" s="456"/>
      <c r="AKM98" s="456"/>
      <c r="AKN98" s="456"/>
      <c r="AKO98" s="456"/>
      <c r="AKP98" s="456"/>
      <c r="AKQ98" s="456"/>
      <c r="AKR98" s="456"/>
      <c r="AKS98" s="456"/>
      <c r="AKT98" s="456"/>
      <c r="AKU98" s="456"/>
      <c r="AKV98" s="456"/>
      <c r="AKW98" s="456"/>
      <c r="AKX98" s="456"/>
      <c r="AKY98" s="456"/>
      <c r="AKZ98" s="456"/>
      <c r="ALA98" s="456"/>
      <c r="ALB98" s="456"/>
      <c r="ALC98" s="456"/>
      <c r="ALD98" s="456"/>
      <c r="ALE98" s="456"/>
      <c r="ALF98" s="456"/>
      <c r="ALG98" s="456"/>
      <c r="ALH98" s="456"/>
      <c r="ALI98" s="456"/>
      <c r="ALJ98" s="456"/>
      <c r="ALK98" s="456"/>
      <c r="ALL98" s="456"/>
      <c r="ALM98" s="456"/>
      <c r="ALN98" s="456"/>
      <c r="ALO98" s="456"/>
      <c r="ALP98" s="456"/>
      <c r="ALQ98" s="456"/>
      <c r="ALR98" s="456"/>
      <c r="ALS98" s="456"/>
      <c r="ALT98" s="456"/>
      <c r="ALU98" s="456"/>
      <c r="ALV98" s="456"/>
      <c r="ALW98" s="456"/>
      <c r="ALX98" s="456"/>
      <c r="ALY98" s="456"/>
      <c r="ALZ98" s="456"/>
      <c r="AMA98" s="456"/>
      <c r="AMB98" s="456"/>
      <c r="AMC98" s="456"/>
      <c r="AMD98" s="456"/>
      <c r="AME98" s="456"/>
      <c r="AMF98" s="456"/>
      <c r="AMG98" s="456"/>
      <c r="AMH98" s="456"/>
      <c r="AMI98" s="456"/>
      <c r="AMJ98" s="456"/>
      <c r="AMK98" s="456"/>
      <c r="AML98" s="456"/>
      <c r="AMM98" s="456"/>
      <c r="AMN98" s="456"/>
      <c r="AMO98" s="456"/>
      <c r="AMP98" s="456"/>
      <c r="AMQ98" s="456"/>
      <c r="AMR98" s="456"/>
      <c r="AMS98" s="456"/>
      <c r="AMT98" s="456"/>
      <c r="AMU98" s="456"/>
      <c r="AMV98" s="456"/>
      <c r="AMW98" s="456"/>
      <c r="AMX98" s="456"/>
      <c r="AMY98" s="456"/>
      <c r="AMZ98" s="456"/>
      <c r="ANA98" s="456"/>
      <c r="ANB98" s="456"/>
      <c r="ANC98" s="456"/>
      <c r="AND98" s="456"/>
      <c r="ANE98" s="456"/>
      <c r="ANF98" s="456"/>
      <c r="ANG98" s="456"/>
      <c r="ANH98" s="456"/>
      <c r="ANI98" s="456"/>
      <c r="ANJ98" s="456"/>
      <c r="ANK98" s="456"/>
      <c r="ANL98" s="456"/>
      <c r="ANM98" s="456"/>
      <c r="ANN98" s="456"/>
      <c r="ANO98" s="456"/>
      <c r="ANP98" s="456"/>
      <c r="ANQ98" s="456"/>
      <c r="ANR98" s="456"/>
      <c r="ANS98" s="456"/>
      <c r="ANT98" s="456"/>
      <c r="ANU98" s="456"/>
      <c r="ANV98" s="456"/>
      <c r="ANW98" s="456"/>
      <c r="ANX98" s="456"/>
      <c r="ANY98" s="456"/>
      <c r="ANZ98" s="456"/>
      <c r="AOA98" s="456"/>
      <c r="AOB98" s="456"/>
      <c r="AOC98" s="456"/>
      <c r="AOD98" s="456"/>
      <c r="AOE98" s="456"/>
      <c r="AOF98" s="456"/>
      <c r="AOG98" s="456"/>
      <c r="AOH98" s="456"/>
      <c r="AOI98" s="456"/>
      <c r="AOJ98" s="456"/>
      <c r="AOK98" s="456"/>
      <c r="AOL98" s="456"/>
      <c r="AOM98" s="456"/>
      <c r="AON98" s="456"/>
      <c r="AOO98" s="456"/>
      <c r="AOP98" s="456"/>
      <c r="AOQ98" s="456"/>
      <c r="AOR98" s="456"/>
      <c r="AOS98" s="456"/>
      <c r="AOT98" s="456"/>
      <c r="AOU98" s="456"/>
      <c r="AOV98" s="456"/>
      <c r="AOW98" s="456"/>
      <c r="AOX98" s="456"/>
      <c r="AOY98" s="456"/>
      <c r="AOZ98" s="456"/>
      <c r="APA98" s="456"/>
      <c r="APB98" s="456"/>
      <c r="APC98" s="456"/>
      <c r="APD98" s="456"/>
      <c r="APE98" s="456"/>
      <c r="APF98" s="456"/>
      <c r="APG98" s="456"/>
      <c r="APH98" s="456"/>
      <c r="API98" s="456"/>
      <c r="APJ98" s="456"/>
      <c r="APK98" s="456"/>
      <c r="APL98" s="456"/>
      <c r="APM98" s="456"/>
      <c r="APN98" s="456"/>
      <c r="APO98" s="456"/>
      <c r="APP98" s="456"/>
      <c r="APQ98" s="456"/>
      <c r="APR98" s="456"/>
      <c r="APS98" s="456"/>
      <c r="APT98" s="456"/>
      <c r="APU98" s="456"/>
      <c r="APV98" s="456"/>
      <c r="APW98" s="456"/>
      <c r="APX98" s="456"/>
      <c r="APY98" s="456"/>
      <c r="APZ98" s="456"/>
      <c r="AQA98" s="456"/>
      <c r="AQB98" s="456"/>
      <c r="AQC98" s="456"/>
      <c r="AQD98" s="456"/>
      <c r="AQE98" s="456"/>
      <c r="AQF98" s="456"/>
      <c r="AQG98" s="456"/>
      <c r="AQH98" s="456"/>
      <c r="AQI98" s="456"/>
      <c r="AQJ98" s="456"/>
      <c r="AQK98" s="456"/>
      <c r="AQL98" s="456"/>
      <c r="AQM98" s="456"/>
      <c r="AQN98" s="456"/>
      <c r="AQO98" s="456"/>
      <c r="AQP98" s="456"/>
      <c r="AQQ98" s="456"/>
      <c r="AQR98" s="456"/>
      <c r="AQS98" s="456"/>
      <c r="AQT98" s="456"/>
      <c r="AQU98" s="456"/>
      <c r="AQV98" s="456"/>
      <c r="AQW98" s="456"/>
      <c r="AQX98" s="456"/>
      <c r="AQY98" s="456"/>
      <c r="AQZ98" s="456"/>
      <c r="ARA98" s="456"/>
      <c r="ARB98" s="456"/>
      <c r="ARC98" s="456"/>
      <c r="ARD98" s="456"/>
      <c r="ARE98" s="456"/>
      <c r="ARF98" s="456"/>
      <c r="ARG98" s="456"/>
      <c r="ARH98" s="456"/>
      <c r="ARI98" s="456"/>
      <c r="ARJ98" s="456"/>
      <c r="ARK98" s="456"/>
      <c r="ARL98" s="456"/>
      <c r="ARM98" s="456"/>
      <c r="ARN98" s="456"/>
      <c r="ARO98" s="456"/>
      <c r="ARP98" s="456"/>
      <c r="ARQ98" s="456"/>
      <c r="ARR98" s="456"/>
      <c r="ARS98" s="456"/>
      <c r="ART98" s="456"/>
      <c r="ARU98" s="456"/>
      <c r="ARV98" s="456"/>
      <c r="ARW98" s="456"/>
      <c r="ARX98" s="456"/>
      <c r="ARY98" s="456"/>
      <c r="ARZ98" s="456"/>
      <c r="ASA98" s="456"/>
      <c r="ASB98" s="456"/>
      <c r="ASC98" s="456"/>
      <c r="ASD98" s="456"/>
      <c r="ASE98" s="456"/>
      <c r="ASF98" s="456"/>
      <c r="ASG98" s="456"/>
      <c r="ASH98" s="456"/>
      <c r="ASI98" s="456"/>
      <c r="ASJ98" s="456"/>
      <c r="ASK98" s="456"/>
      <c r="ASL98" s="456"/>
      <c r="ASM98" s="456"/>
      <c r="ASN98" s="456"/>
      <c r="ASO98" s="456"/>
      <c r="ASP98" s="456"/>
      <c r="ASQ98" s="456"/>
      <c r="ASR98" s="456"/>
      <c r="ASS98" s="456"/>
      <c r="AST98" s="456"/>
      <c r="ASU98" s="456"/>
      <c r="ASV98" s="456"/>
      <c r="ASW98" s="456"/>
      <c r="ASX98" s="456"/>
      <c r="ASY98" s="456"/>
      <c r="ASZ98" s="456"/>
      <c r="ATA98" s="456"/>
      <c r="ATB98" s="456"/>
      <c r="ATC98" s="456"/>
      <c r="ATD98" s="456"/>
      <c r="ATE98" s="456"/>
      <c r="ATF98" s="456"/>
      <c r="ATG98" s="456"/>
      <c r="ATH98" s="456"/>
      <c r="ATI98" s="456"/>
      <c r="ATJ98" s="456"/>
      <c r="ATK98" s="456"/>
      <c r="ATL98" s="456"/>
      <c r="ATM98" s="456"/>
      <c r="ATN98" s="456"/>
      <c r="ATO98" s="456"/>
      <c r="ATP98" s="456"/>
      <c r="ATQ98" s="456"/>
      <c r="ATR98" s="456"/>
      <c r="ATS98" s="456"/>
      <c r="ATT98" s="456"/>
      <c r="ATU98" s="456"/>
      <c r="ATV98" s="456"/>
      <c r="ATW98" s="456"/>
      <c r="ATX98" s="456"/>
      <c r="ATY98" s="456"/>
      <c r="ATZ98" s="456"/>
      <c r="AUA98" s="456"/>
      <c r="AUB98" s="456"/>
      <c r="AUC98" s="456"/>
      <c r="AUD98" s="456"/>
      <c r="AUE98" s="456"/>
      <c r="AUF98" s="456"/>
      <c r="AUG98" s="456"/>
      <c r="AUH98" s="456"/>
      <c r="AUI98" s="456"/>
      <c r="AUJ98" s="456"/>
      <c r="AUK98" s="456"/>
      <c r="AUL98" s="456"/>
      <c r="AUM98" s="456"/>
      <c r="AUN98" s="456"/>
      <c r="AUO98" s="456"/>
      <c r="AUP98" s="456"/>
      <c r="AUQ98" s="456"/>
      <c r="AUR98" s="456"/>
      <c r="AUS98" s="456"/>
      <c r="AUT98" s="456"/>
      <c r="AUU98" s="456"/>
      <c r="AUV98" s="456"/>
      <c r="AUW98" s="456"/>
      <c r="AUX98" s="456"/>
      <c r="AUY98" s="456"/>
      <c r="AUZ98" s="456"/>
      <c r="AVA98" s="456"/>
      <c r="AVB98" s="456"/>
      <c r="AVC98" s="456"/>
      <c r="AVD98" s="456"/>
      <c r="AVE98" s="456"/>
      <c r="AVF98" s="456"/>
      <c r="AVG98" s="456"/>
      <c r="AVH98" s="456"/>
      <c r="AVI98" s="456"/>
      <c r="AVJ98" s="456"/>
      <c r="AVK98" s="456"/>
      <c r="AVL98" s="456"/>
      <c r="AVM98" s="456"/>
      <c r="AVN98" s="456"/>
      <c r="AVO98" s="456"/>
      <c r="AVP98" s="456"/>
      <c r="AVQ98" s="456"/>
      <c r="AVR98" s="456"/>
      <c r="AVS98" s="456"/>
      <c r="AVT98" s="456"/>
      <c r="AVU98" s="456"/>
      <c r="AVV98" s="456"/>
      <c r="AVW98" s="456"/>
      <c r="AVX98" s="456"/>
      <c r="AVY98" s="456"/>
      <c r="AVZ98" s="456"/>
      <c r="AWA98" s="456"/>
      <c r="AWB98" s="456"/>
      <c r="AWC98" s="456"/>
      <c r="AWD98" s="456"/>
      <c r="AWE98" s="456"/>
      <c r="AWF98" s="456"/>
      <c r="AWG98" s="456"/>
      <c r="AWH98" s="456"/>
      <c r="AWI98" s="456"/>
      <c r="AWJ98" s="456"/>
      <c r="AWK98" s="456"/>
      <c r="AWL98" s="456"/>
      <c r="AWM98" s="456"/>
      <c r="AWN98" s="456"/>
      <c r="AWO98" s="456"/>
      <c r="AWP98" s="456"/>
      <c r="AWQ98" s="456"/>
      <c r="AWR98" s="456"/>
      <c r="AWS98" s="456"/>
      <c r="AWT98" s="456"/>
      <c r="AWU98" s="456"/>
      <c r="AWV98" s="456"/>
      <c r="AWW98" s="456"/>
      <c r="AWX98" s="456"/>
      <c r="AWY98" s="456"/>
      <c r="AWZ98" s="456"/>
      <c r="AXA98" s="456"/>
      <c r="AXB98" s="456"/>
      <c r="AXC98" s="456"/>
      <c r="AXD98" s="456"/>
      <c r="AXE98" s="456"/>
      <c r="AXF98" s="456"/>
      <c r="AXG98" s="456"/>
      <c r="AXH98" s="456"/>
      <c r="AXI98" s="456"/>
      <c r="AXJ98" s="456"/>
      <c r="AXK98" s="456"/>
      <c r="AXL98" s="456"/>
      <c r="AXM98" s="456"/>
      <c r="AXN98" s="456"/>
      <c r="AXO98" s="456"/>
      <c r="AXP98" s="456"/>
      <c r="AXQ98" s="456"/>
      <c r="AXR98" s="456"/>
      <c r="AXS98" s="456"/>
      <c r="AXT98" s="456"/>
      <c r="AXU98" s="456"/>
      <c r="AXV98" s="456"/>
      <c r="AXW98" s="456"/>
      <c r="AXX98" s="456"/>
      <c r="AXY98" s="456"/>
      <c r="AXZ98" s="456"/>
      <c r="AYA98" s="456"/>
      <c r="AYB98" s="456"/>
      <c r="AYC98" s="456"/>
      <c r="AYD98" s="456"/>
      <c r="AYE98" s="456"/>
      <c r="AYF98" s="456"/>
      <c r="AYG98" s="456"/>
      <c r="AYH98" s="456"/>
      <c r="AYI98" s="456"/>
      <c r="AYJ98" s="456"/>
      <c r="AYK98" s="456"/>
      <c r="AYL98" s="456"/>
      <c r="AYM98" s="456"/>
      <c r="AYN98" s="456"/>
      <c r="AYO98" s="456"/>
      <c r="AYP98" s="456"/>
      <c r="AYQ98" s="456"/>
      <c r="AYR98" s="456"/>
      <c r="AYS98" s="456"/>
      <c r="AYT98" s="456"/>
      <c r="AYU98" s="456"/>
      <c r="AYV98" s="456"/>
      <c r="AYW98" s="456"/>
      <c r="AYX98" s="456"/>
      <c r="AYY98" s="456"/>
      <c r="AYZ98" s="456"/>
      <c r="AZA98" s="456"/>
      <c r="AZB98" s="456"/>
      <c r="AZC98" s="456"/>
      <c r="AZD98" s="456"/>
      <c r="AZE98" s="456"/>
      <c r="AZF98" s="456"/>
      <c r="AZG98" s="456"/>
      <c r="AZH98" s="456"/>
      <c r="AZI98" s="456"/>
      <c r="AZJ98" s="456"/>
      <c r="AZK98" s="456"/>
      <c r="AZL98" s="456"/>
      <c r="AZM98" s="456"/>
      <c r="AZN98" s="456"/>
      <c r="AZO98" s="456"/>
      <c r="AZP98" s="456"/>
      <c r="AZQ98" s="456"/>
      <c r="AZR98" s="456"/>
      <c r="AZS98" s="456"/>
      <c r="AZT98" s="456"/>
      <c r="AZU98" s="456"/>
      <c r="AZV98" s="456"/>
      <c r="AZW98" s="456"/>
      <c r="AZX98" s="456"/>
      <c r="AZY98" s="456"/>
      <c r="AZZ98" s="456"/>
      <c r="BAA98" s="456"/>
      <c r="BAB98" s="456"/>
      <c r="BAC98" s="456"/>
      <c r="BAD98" s="456"/>
      <c r="BAE98" s="456"/>
      <c r="BAF98" s="456"/>
      <c r="BAG98" s="456"/>
      <c r="BAH98" s="456"/>
      <c r="BAI98" s="456"/>
      <c r="BAJ98" s="456"/>
      <c r="BAK98" s="456"/>
      <c r="BAL98" s="456"/>
      <c r="BAM98" s="456"/>
      <c r="BAN98" s="456"/>
      <c r="BAO98" s="456"/>
      <c r="BAP98" s="456"/>
      <c r="BAQ98" s="456"/>
      <c r="BAR98" s="456"/>
      <c r="BAS98" s="456"/>
      <c r="BAT98" s="456"/>
      <c r="BAU98" s="456"/>
      <c r="BAV98" s="456"/>
      <c r="BAW98" s="456"/>
      <c r="BAX98" s="456"/>
      <c r="BAY98" s="456"/>
      <c r="BAZ98" s="456"/>
      <c r="BBA98" s="456"/>
      <c r="BBB98" s="456"/>
      <c r="BBC98" s="456"/>
      <c r="BBD98" s="456"/>
      <c r="BBE98" s="456"/>
      <c r="BBF98" s="456"/>
      <c r="BBG98" s="456"/>
      <c r="BBH98" s="456"/>
      <c r="BBI98" s="456"/>
      <c r="BBJ98" s="456"/>
      <c r="BBK98" s="456"/>
      <c r="BBL98" s="456"/>
      <c r="BBM98" s="456"/>
      <c r="BBN98" s="456"/>
      <c r="BBO98" s="456"/>
      <c r="BBP98" s="456"/>
      <c r="BBQ98" s="456"/>
      <c r="BBR98" s="456"/>
      <c r="BBS98" s="456"/>
      <c r="BBT98" s="456"/>
      <c r="BBU98" s="456"/>
      <c r="BBV98" s="456"/>
      <c r="BBW98" s="456"/>
      <c r="BBX98" s="456"/>
      <c r="BBY98" s="456"/>
      <c r="BBZ98" s="456"/>
      <c r="BCA98" s="456"/>
      <c r="BCB98" s="456"/>
      <c r="BCC98" s="456"/>
      <c r="BCD98" s="456"/>
      <c r="BCE98" s="456"/>
      <c r="BCF98" s="456"/>
      <c r="BCG98" s="456"/>
      <c r="BCH98" s="456"/>
      <c r="BCI98" s="456"/>
      <c r="BCJ98" s="456"/>
      <c r="BCK98" s="456"/>
      <c r="BCL98" s="456"/>
      <c r="BCM98" s="456"/>
      <c r="BCN98" s="456"/>
      <c r="BCO98" s="456"/>
      <c r="BCP98" s="456"/>
      <c r="BCQ98" s="456"/>
      <c r="BCR98" s="456"/>
      <c r="BCS98" s="456"/>
      <c r="BCT98" s="456"/>
      <c r="BCU98" s="456"/>
      <c r="BCV98" s="456"/>
      <c r="BCW98" s="456"/>
      <c r="BCX98" s="456"/>
      <c r="BCY98" s="456"/>
      <c r="BCZ98" s="456"/>
      <c r="BDA98" s="456"/>
      <c r="BDB98" s="456"/>
      <c r="BDC98" s="456"/>
      <c r="BDD98" s="456"/>
      <c r="BDE98" s="456"/>
      <c r="BDF98" s="456"/>
      <c r="BDG98" s="456"/>
      <c r="BDH98" s="456"/>
      <c r="BDI98" s="456"/>
      <c r="BDJ98" s="456"/>
      <c r="BDK98" s="456"/>
      <c r="BDL98" s="456"/>
      <c r="BDM98" s="456"/>
      <c r="BDN98" s="456"/>
      <c r="BDO98" s="456"/>
      <c r="BDP98" s="456"/>
      <c r="BDQ98" s="456"/>
      <c r="BDR98" s="456"/>
      <c r="BDS98" s="456"/>
      <c r="BDT98" s="456"/>
      <c r="BDU98" s="456"/>
      <c r="BDV98" s="456"/>
      <c r="BDW98" s="456"/>
      <c r="BDX98" s="456"/>
      <c r="BDY98" s="456"/>
      <c r="BDZ98" s="456"/>
      <c r="BEA98" s="456"/>
      <c r="BEB98" s="456"/>
      <c r="BEC98" s="456"/>
      <c r="BED98" s="456"/>
      <c r="BEE98" s="456"/>
      <c r="BEF98" s="456"/>
      <c r="BEG98" s="456"/>
      <c r="BEH98" s="456"/>
      <c r="BEI98" s="456"/>
      <c r="BEJ98" s="456"/>
      <c r="BEK98" s="456"/>
      <c r="BEL98" s="456"/>
      <c r="BEM98" s="456"/>
      <c r="BEN98" s="456"/>
      <c r="BEO98" s="456"/>
      <c r="BEP98" s="456"/>
      <c r="BEQ98" s="456"/>
      <c r="BER98" s="456"/>
      <c r="BES98" s="456"/>
      <c r="BET98" s="456"/>
      <c r="BEU98" s="456"/>
      <c r="BEV98" s="456"/>
      <c r="BEW98" s="456"/>
      <c r="BEX98" s="456"/>
      <c r="BEY98" s="456"/>
      <c r="BEZ98" s="456"/>
      <c r="BFA98" s="456"/>
      <c r="BFB98" s="456"/>
      <c r="BFC98" s="456"/>
      <c r="BFD98" s="456"/>
      <c r="BFE98" s="456"/>
      <c r="BFF98" s="456"/>
      <c r="BFG98" s="456"/>
      <c r="BFH98" s="456"/>
      <c r="BFI98" s="456"/>
      <c r="BFJ98" s="456"/>
      <c r="BFK98" s="456"/>
      <c r="BFL98" s="456"/>
      <c r="BFM98" s="456"/>
      <c r="BFN98" s="456"/>
      <c r="BFO98" s="456"/>
      <c r="BFP98" s="456"/>
      <c r="BFQ98" s="456"/>
      <c r="BFR98" s="456"/>
      <c r="BFS98" s="456"/>
      <c r="BFT98" s="456"/>
      <c r="BFU98" s="456"/>
      <c r="BFV98" s="456"/>
      <c r="BFW98" s="456"/>
      <c r="BFX98" s="456"/>
      <c r="BFY98" s="456"/>
      <c r="BFZ98" s="456"/>
      <c r="BGA98" s="456"/>
      <c r="BGB98" s="456"/>
      <c r="BGC98" s="456"/>
      <c r="BGD98" s="456"/>
      <c r="BGE98" s="456"/>
      <c r="BGF98" s="456"/>
      <c r="BGG98" s="456"/>
      <c r="BGH98" s="456"/>
      <c r="BGI98" s="456"/>
      <c r="BGJ98" s="456"/>
      <c r="BGK98" s="456"/>
      <c r="BGL98" s="456"/>
      <c r="BGM98" s="456"/>
      <c r="BGN98" s="456"/>
      <c r="BGO98" s="456"/>
      <c r="BGP98" s="456"/>
      <c r="BGQ98" s="456"/>
      <c r="BGR98" s="456"/>
      <c r="BGS98" s="456"/>
      <c r="BGT98" s="456"/>
      <c r="BGU98" s="456"/>
      <c r="BGV98" s="456"/>
      <c r="BGW98" s="456"/>
      <c r="BGX98" s="456"/>
      <c r="BGY98" s="456"/>
      <c r="BGZ98" s="456"/>
      <c r="BHA98" s="456"/>
      <c r="BHB98" s="456"/>
      <c r="BHC98" s="456"/>
      <c r="BHD98" s="456"/>
      <c r="BHE98" s="456"/>
      <c r="BHF98" s="456"/>
      <c r="BHG98" s="456"/>
      <c r="BHH98" s="456"/>
      <c r="BHI98" s="456"/>
      <c r="BHJ98" s="456"/>
      <c r="BHK98" s="456"/>
      <c r="BHL98" s="456"/>
      <c r="BHM98" s="456"/>
      <c r="BHN98" s="456"/>
      <c r="BHO98" s="456"/>
      <c r="BHP98" s="456"/>
      <c r="BHQ98" s="456"/>
      <c r="BHR98" s="456"/>
      <c r="BHS98" s="456"/>
      <c r="BHT98" s="456"/>
      <c r="BHU98" s="456"/>
      <c r="BHV98" s="456"/>
      <c r="BHW98" s="456"/>
      <c r="BHX98" s="456"/>
      <c r="BHY98" s="456"/>
      <c r="BHZ98" s="456"/>
      <c r="BIA98" s="456"/>
      <c r="BIB98" s="456"/>
      <c r="BIC98" s="456"/>
      <c r="BID98" s="456"/>
      <c r="BIE98" s="456"/>
      <c r="BIF98" s="456"/>
      <c r="BIG98" s="456"/>
      <c r="BIH98" s="456"/>
      <c r="BII98" s="456"/>
      <c r="BIJ98" s="456"/>
      <c r="BIK98" s="456"/>
      <c r="BIL98" s="456"/>
      <c r="BIM98" s="456"/>
      <c r="BIN98" s="456"/>
      <c r="BIO98" s="456"/>
      <c r="BIP98" s="456"/>
      <c r="BIQ98" s="456"/>
      <c r="BIR98" s="456"/>
      <c r="BIS98" s="456"/>
      <c r="BIT98" s="456"/>
      <c r="BIU98" s="456"/>
      <c r="BIV98" s="456"/>
      <c r="BIW98" s="456"/>
      <c r="BIX98" s="456"/>
      <c r="BIY98" s="456"/>
      <c r="BIZ98" s="456"/>
      <c r="BJA98" s="456"/>
      <c r="BJB98" s="456"/>
      <c r="BJC98" s="456"/>
      <c r="BJD98" s="456"/>
      <c r="BJE98" s="456"/>
      <c r="BJF98" s="456"/>
      <c r="BJG98" s="456"/>
      <c r="BJH98" s="456"/>
      <c r="BJI98" s="456"/>
      <c r="BJJ98" s="456"/>
      <c r="BJK98" s="456"/>
      <c r="BJL98" s="456"/>
      <c r="BJM98" s="456"/>
      <c r="BJN98" s="456"/>
      <c r="BJO98" s="456"/>
      <c r="BJP98" s="456"/>
      <c r="BJQ98" s="456"/>
      <c r="BJR98" s="456"/>
      <c r="BJS98" s="456"/>
      <c r="BJT98" s="456"/>
      <c r="BJU98" s="456"/>
      <c r="BJV98" s="456"/>
      <c r="BJW98" s="456"/>
      <c r="BJX98" s="456"/>
      <c r="BJY98" s="456"/>
      <c r="BJZ98" s="456"/>
      <c r="BKA98" s="456"/>
      <c r="BKB98" s="456"/>
      <c r="BKC98" s="456"/>
      <c r="BKD98" s="456"/>
      <c r="BKE98" s="456"/>
      <c r="BKF98" s="456"/>
      <c r="BKG98" s="456"/>
      <c r="BKH98" s="456"/>
      <c r="BKI98" s="456"/>
      <c r="BKJ98" s="456"/>
      <c r="BKK98" s="456"/>
      <c r="BKL98" s="456"/>
      <c r="BKM98" s="456"/>
      <c r="BKN98" s="456"/>
      <c r="BKO98" s="456"/>
      <c r="BKP98" s="456"/>
      <c r="BKQ98" s="456"/>
      <c r="BKR98" s="456"/>
      <c r="BKS98" s="456"/>
      <c r="BKT98" s="456"/>
      <c r="BKU98" s="456"/>
      <c r="BKV98" s="456"/>
      <c r="BKW98" s="456"/>
      <c r="BKX98" s="456"/>
      <c r="BKY98" s="456"/>
      <c r="BKZ98" s="456"/>
      <c r="BLA98" s="456"/>
      <c r="BLB98" s="456"/>
      <c r="BLC98" s="456"/>
      <c r="BLD98" s="456"/>
      <c r="BLE98" s="456"/>
      <c r="BLF98" s="456"/>
      <c r="BLG98" s="456"/>
      <c r="BLH98" s="456"/>
      <c r="BLI98" s="456"/>
      <c r="BLJ98" s="456"/>
      <c r="BLK98" s="456"/>
      <c r="BLL98" s="456"/>
      <c r="BLM98" s="456"/>
      <c r="BLN98" s="456"/>
      <c r="BLO98" s="456"/>
      <c r="BLP98" s="456"/>
      <c r="BLQ98" s="456"/>
      <c r="BLR98" s="456"/>
      <c r="BLS98" s="456"/>
      <c r="BLT98" s="456"/>
      <c r="BLU98" s="456"/>
      <c r="BLV98" s="456"/>
      <c r="BLW98" s="456"/>
      <c r="BLX98" s="456"/>
      <c r="BLY98" s="456"/>
      <c r="BLZ98" s="456"/>
      <c r="BMA98" s="456"/>
      <c r="BMB98" s="456"/>
      <c r="BMC98" s="456"/>
      <c r="BMD98" s="456"/>
      <c r="BME98" s="456"/>
      <c r="BMF98" s="456"/>
      <c r="BMG98" s="456"/>
      <c r="BMH98" s="456"/>
      <c r="BMI98" s="456"/>
      <c r="BMJ98" s="456"/>
      <c r="BMK98" s="456"/>
      <c r="BML98" s="456"/>
      <c r="BMM98" s="456"/>
      <c r="BMN98" s="456"/>
      <c r="BMO98" s="456"/>
      <c r="BMP98" s="456"/>
      <c r="BMQ98" s="456"/>
      <c r="BMR98" s="456"/>
      <c r="BMS98" s="456"/>
      <c r="BMT98" s="456"/>
      <c r="BMU98" s="456"/>
      <c r="BMV98" s="456"/>
      <c r="BMW98" s="456"/>
      <c r="BMX98" s="456"/>
      <c r="BMY98" s="456"/>
      <c r="BMZ98" s="456"/>
      <c r="BNA98" s="456"/>
      <c r="BNB98" s="456"/>
      <c r="BNC98" s="456"/>
      <c r="BND98" s="456"/>
      <c r="BNE98" s="456"/>
      <c r="BNF98" s="456"/>
      <c r="BNG98" s="456"/>
      <c r="BNH98" s="456"/>
      <c r="BNI98" s="456"/>
      <c r="BNJ98" s="456"/>
      <c r="BNK98" s="456"/>
      <c r="BNL98" s="456"/>
      <c r="BNM98" s="456"/>
      <c r="BNN98" s="456"/>
      <c r="BNO98" s="456"/>
      <c r="BNP98" s="456"/>
      <c r="BNQ98" s="456"/>
      <c r="BNR98" s="456"/>
      <c r="BNS98" s="456"/>
      <c r="BNT98" s="456"/>
      <c r="BNU98" s="456"/>
      <c r="BNV98" s="456"/>
      <c r="BNW98" s="456"/>
      <c r="BNX98" s="456"/>
      <c r="BNY98" s="456"/>
      <c r="BNZ98" s="456"/>
      <c r="BOA98" s="456"/>
      <c r="BOB98" s="456"/>
      <c r="BOC98" s="456"/>
      <c r="BOD98" s="456"/>
      <c r="BOE98" s="456"/>
      <c r="BOF98" s="456"/>
      <c r="BOG98" s="456"/>
      <c r="BOH98" s="456"/>
      <c r="BOI98" s="456"/>
      <c r="BOJ98" s="456"/>
      <c r="BOK98" s="456"/>
      <c r="BOL98" s="456"/>
      <c r="BOM98" s="456"/>
      <c r="BON98" s="456"/>
      <c r="BOO98" s="456"/>
      <c r="BOP98" s="456"/>
      <c r="BOQ98" s="456"/>
      <c r="BOR98" s="456"/>
      <c r="BOS98" s="456"/>
      <c r="BOT98" s="456"/>
      <c r="BOU98" s="456"/>
      <c r="BOV98" s="456"/>
      <c r="BOW98" s="456"/>
      <c r="BOX98" s="456"/>
      <c r="BOY98" s="456"/>
      <c r="BOZ98" s="456"/>
      <c r="BPA98" s="456"/>
      <c r="BPB98" s="456"/>
      <c r="BPC98" s="456"/>
      <c r="BPD98" s="456"/>
      <c r="BPE98" s="456"/>
      <c r="BPF98" s="456"/>
      <c r="BPG98" s="456"/>
      <c r="BPH98" s="456"/>
      <c r="BPI98" s="456"/>
      <c r="BPJ98" s="456"/>
      <c r="BPK98" s="456"/>
      <c r="BPL98" s="456"/>
      <c r="BPM98" s="456"/>
      <c r="BPN98" s="456"/>
      <c r="BPO98" s="456"/>
      <c r="BPP98" s="456"/>
      <c r="BPQ98" s="456"/>
      <c r="BPR98" s="456"/>
      <c r="BPS98" s="456"/>
      <c r="BPT98" s="456"/>
      <c r="BPU98" s="456"/>
      <c r="BPV98" s="456"/>
      <c r="BPW98" s="456"/>
      <c r="BPX98" s="456"/>
      <c r="BPY98" s="456"/>
      <c r="BPZ98" s="456"/>
      <c r="BQA98" s="456"/>
      <c r="BQB98" s="456"/>
      <c r="BQC98" s="456"/>
      <c r="BQD98" s="456"/>
      <c r="BQE98" s="456"/>
      <c r="BQF98" s="456"/>
      <c r="BQG98" s="456"/>
      <c r="BQH98" s="456"/>
      <c r="BQI98" s="456"/>
      <c r="BQJ98" s="456"/>
      <c r="BQK98" s="456"/>
      <c r="BQL98" s="456"/>
      <c r="BQM98" s="456"/>
      <c r="BQN98" s="456"/>
      <c r="BQO98" s="456"/>
      <c r="BQP98" s="456"/>
      <c r="BQQ98" s="456"/>
      <c r="BQR98" s="456"/>
      <c r="BQS98" s="456"/>
      <c r="BQT98" s="456"/>
      <c r="BQU98" s="456"/>
      <c r="BQV98" s="456"/>
      <c r="BQW98" s="456"/>
      <c r="BQX98" s="456"/>
      <c r="BQY98" s="456"/>
      <c r="BQZ98" s="456"/>
      <c r="BRA98" s="456"/>
      <c r="BRB98" s="456"/>
      <c r="BRC98" s="456"/>
      <c r="BRD98" s="456"/>
      <c r="BRE98" s="456"/>
      <c r="BRF98" s="456"/>
      <c r="BRG98" s="456"/>
      <c r="BRH98" s="456"/>
      <c r="BRI98" s="456"/>
      <c r="BRJ98" s="456"/>
      <c r="BRK98" s="456"/>
      <c r="BRL98" s="456"/>
      <c r="BRM98" s="456"/>
      <c r="BRN98" s="456"/>
      <c r="BRO98" s="456"/>
      <c r="BRP98" s="456"/>
      <c r="BRQ98" s="456"/>
      <c r="BRR98" s="456"/>
      <c r="BRS98" s="456"/>
      <c r="BRT98" s="456"/>
      <c r="BRU98" s="456"/>
      <c r="BRV98" s="456"/>
      <c r="BRW98" s="456"/>
      <c r="BRX98" s="456"/>
      <c r="BRY98" s="456"/>
      <c r="BRZ98" s="456"/>
      <c r="BSA98" s="456"/>
      <c r="BSB98" s="456"/>
      <c r="BSC98" s="456"/>
      <c r="BSD98" s="456"/>
      <c r="BSE98" s="456"/>
      <c r="BSF98" s="456"/>
      <c r="BSG98" s="456"/>
      <c r="BSH98" s="456"/>
      <c r="BSI98" s="456"/>
      <c r="BSJ98" s="456"/>
      <c r="BSK98" s="456"/>
      <c r="BSL98" s="456"/>
      <c r="BSM98" s="456"/>
      <c r="BSN98" s="456"/>
      <c r="BSO98" s="456"/>
      <c r="BSP98" s="456"/>
      <c r="BSQ98" s="456"/>
      <c r="BSR98" s="456"/>
      <c r="BSS98" s="456"/>
      <c r="BST98" s="456"/>
      <c r="BSU98" s="456"/>
      <c r="BSV98" s="456"/>
      <c r="BSW98" s="456"/>
      <c r="BSX98" s="456"/>
      <c r="BSY98" s="456"/>
      <c r="BSZ98" s="456"/>
      <c r="BTA98" s="456"/>
      <c r="BTB98" s="456"/>
      <c r="BTC98" s="456"/>
      <c r="BTD98" s="456"/>
      <c r="BTE98" s="456"/>
      <c r="BTF98" s="456"/>
      <c r="BTG98" s="456"/>
      <c r="BTH98" s="456"/>
      <c r="BTI98" s="456"/>
      <c r="BTJ98" s="456"/>
      <c r="BTK98" s="456"/>
      <c r="BTL98" s="456"/>
      <c r="BTM98" s="456"/>
      <c r="BTN98" s="456"/>
      <c r="BTO98" s="456"/>
      <c r="BTP98" s="456"/>
      <c r="BTQ98" s="456"/>
      <c r="BTR98" s="456"/>
      <c r="BTS98" s="456"/>
      <c r="BTT98" s="456"/>
      <c r="BTU98" s="456"/>
      <c r="BTV98" s="456"/>
      <c r="BTW98" s="456"/>
      <c r="BTX98" s="456"/>
      <c r="BTY98" s="456"/>
      <c r="BTZ98" s="456"/>
      <c r="BUA98" s="456"/>
      <c r="BUB98" s="456"/>
      <c r="BUC98" s="456"/>
      <c r="BUD98" s="456"/>
      <c r="BUE98" s="456"/>
      <c r="BUF98" s="456"/>
      <c r="BUG98" s="456"/>
      <c r="BUH98" s="456"/>
      <c r="BUI98" s="456"/>
      <c r="BUJ98" s="456"/>
      <c r="BUK98" s="456"/>
      <c r="BUL98" s="456"/>
      <c r="BUM98" s="456"/>
      <c r="BUN98" s="456"/>
      <c r="BUO98" s="456"/>
      <c r="BUP98" s="456"/>
      <c r="BUQ98" s="456"/>
      <c r="BUR98" s="456"/>
      <c r="BUS98" s="456"/>
      <c r="BUT98" s="456"/>
      <c r="BUU98" s="456"/>
      <c r="BUV98" s="456"/>
      <c r="BUW98" s="456"/>
      <c r="BUX98" s="456"/>
      <c r="BUY98" s="456"/>
      <c r="BUZ98" s="456"/>
      <c r="BVA98" s="456"/>
      <c r="BVB98" s="456"/>
      <c r="BVC98" s="456"/>
      <c r="BVD98" s="456"/>
      <c r="BVE98" s="456"/>
      <c r="BVF98" s="456"/>
      <c r="BVG98" s="456"/>
      <c r="BVH98" s="456"/>
      <c r="BVI98" s="456"/>
      <c r="BVJ98" s="456"/>
      <c r="BVK98" s="456"/>
      <c r="BVL98" s="456"/>
      <c r="BVM98" s="456"/>
      <c r="BVN98" s="456"/>
      <c r="BVO98" s="456"/>
      <c r="BVP98" s="456"/>
      <c r="BVQ98" s="456"/>
      <c r="BVR98" s="456"/>
      <c r="BVS98" s="456"/>
      <c r="BVT98" s="456"/>
      <c r="BVU98" s="456"/>
      <c r="BVV98" s="456"/>
      <c r="BVW98" s="456"/>
      <c r="BVX98" s="456"/>
      <c r="BVY98" s="456"/>
      <c r="BVZ98" s="456"/>
      <c r="BWA98" s="456"/>
      <c r="BWB98" s="456"/>
      <c r="BWC98" s="456"/>
      <c r="BWD98" s="456"/>
      <c r="BWE98" s="456"/>
      <c r="BWF98" s="456"/>
      <c r="BWG98" s="456"/>
      <c r="BWH98" s="456"/>
      <c r="BWI98" s="456"/>
      <c r="BWJ98" s="456"/>
      <c r="BWK98" s="456"/>
      <c r="BWL98" s="456"/>
      <c r="BWM98" s="456"/>
      <c r="BWN98" s="456"/>
      <c r="BWO98" s="456"/>
      <c r="BWP98" s="456"/>
      <c r="BWQ98" s="456"/>
      <c r="BWR98" s="456"/>
      <c r="BWS98" s="456"/>
      <c r="BWT98" s="456"/>
      <c r="BWU98" s="456"/>
      <c r="BWV98" s="456"/>
      <c r="BWW98" s="456"/>
      <c r="BWX98" s="456"/>
      <c r="BWY98" s="456"/>
      <c r="BWZ98" s="456"/>
      <c r="BXA98" s="456"/>
      <c r="BXB98" s="456"/>
      <c r="BXC98" s="456"/>
      <c r="BXD98" s="456"/>
      <c r="BXE98" s="456"/>
      <c r="BXF98" s="456"/>
      <c r="BXG98" s="456"/>
      <c r="BXH98" s="456"/>
      <c r="BXI98" s="456"/>
      <c r="BXJ98" s="456"/>
      <c r="BXK98" s="456"/>
      <c r="BXL98" s="456"/>
      <c r="BXM98" s="456"/>
      <c r="BXN98" s="456"/>
      <c r="BXO98" s="456"/>
      <c r="BXP98" s="456"/>
      <c r="BXQ98" s="456"/>
      <c r="BXR98" s="456"/>
      <c r="BXS98" s="456"/>
      <c r="BXT98" s="456"/>
      <c r="BXU98" s="456"/>
      <c r="BXV98" s="456"/>
      <c r="BXW98" s="456"/>
      <c r="BXX98" s="456"/>
      <c r="BXY98" s="456"/>
      <c r="BXZ98" s="456"/>
    </row>
    <row r="99" spans="1:1024 1025:2002">
      <c r="A99" s="474"/>
      <c r="B99" s="75">
        <v>1124</v>
      </c>
      <c r="C99" s="213">
        <v>46189</v>
      </c>
      <c r="D99" s="18" t="s">
        <v>35</v>
      </c>
      <c r="E99" s="18" t="s">
        <v>36</v>
      </c>
      <c r="F99" s="18" t="s">
        <v>96</v>
      </c>
      <c r="G99" s="18"/>
      <c r="H99" s="75" t="s">
        <v>97</v>
      </c>
      <c r="I99" s="75"/>
      <c r="J99" s="18" t="s">
        <v>82</v>
      </c>
      <c r="K99" s="111">
        <v>410</v>
      </c>
      <c r="L99" s="111">
        <v>55</v>
      </c>
      <c r="M99" s="75">
        <v>4500</v>
      </c>
      <c r="N99" s="75" t="s">
        <v>40</v>
      </c>
      <c r="O99" s="75" t="s">
        <v>98</v>
      </c>
      <c r="P99" s="75">
        <v>1000</v>
      </c>
      <c r="Q99" s="75"/>
      <c r="R99" s="75">
        <f t="shared" si="7"/>
        <v>1000</v>
      </c>
      <c r="S99" s="75">
        <v>453</v>
      </c>
      <c r="T99" s="75" t="s">
        <v>99</v>
      </c>
      <c r="U99" s="137" t="s">
        <v>100</v>
      </c>
      <c r="V99" s="193">
        <v>46197</v>
      </c>
      <c r="W99" s="18" t="s">
        <v>44</v>
      </c>
      <c r="X99" s="18"/>
      <c r="Y99" s="114">
        <v>46388</v>
      </c>
      <c r="Z99" s="18" t="s">
        <v>45</v>
      </c>
      <c r="AA99" s="24" t="s">
        <v>46</v>
      </c>
      <c r="AB99" s="18"/>
      <c r="AC99" s="137"/>
      <c r="AD99" s="77"/>
      <c r="AE99" s="18" t="s">
        <v>48</v>
      </c>
      <c r="AF99" s="18"/>
      <c r="AG99" s="18"/>
    </row>
    <row r="100" spans="1:1024 1025:2002">
      <c r="A100" s="474"/>
      <c r="B100" s="75">
        <v>1124</v>
      </c>
      <c r="C100" s="213">
        <v>46189</v>
      </c>
      <c r="D100" s="18" t="s">
        <v>35</v>
      </c>
      <c r="E100" s="18" t="s">
        <v>36</v>
      </c>
      <c r="F100" s="18" t="s">
        <v>96</v>
      </c>
      <c r="G100" s="18"/>
      <c r="H100" s="75" t="s">
        <v>97</v>
      </c>
      <c r="I100" s="75"/>
      <c r="J100" s="18" t="s">
        <v>82</v>
      </c>
      <c r="K100" s="111">
        <v>410</v>
      </c>
      <c r="L100" s="111">
        <v>75</v>
      </c>
      <c r="M100" s="75">
        <v>4500</v>
      </c>
      <c r="N100" s="75" t="s">
        <v>40</v>
      </c>
      <c r="O100" s="75" t="s">
        <v>98</v>
      </c>
      <c r="P100" s="75">
        <v>1000</v>
      </c>
      <c r="Q100" s="75"/>
      <c r="R100" s="75">
        <f t="shared" si="7"/>
        <v>1000</v>
      </c>
      <c r="S100" s="75">
        <v>453</v>
      </c>
      <c r="T100" s="75" t="s">
        <v>99</v>
      </c>
      <c r="U100" s="137" t="s">
        <v>100</v>
      </c>
      <c r="V100" s="193">
        <v>46197</v>
      </c>
      <c r="W100" s="18" t="s">
        <v>44</v>
      </c>
      <c r="X100" s="18"/>
      <c r="Y100" s="114">
        <v>46388</v>
      </c>
      <c r="Z100" s="18" t="s">
        <v>45</v>
      </c>
      <c r="AA100" s="24" t="s">
        <v>46</v>
      </c>
      <c r="AB100" s="18"/>
      <c r="AC100" s="137"/>
      <c r="AD100" s="77"/>
      <c r="AE100" s="18" t="s">
        <v>48</v>
      </c>
      <c r="AF100" s="18"/>
      <c r="AG100" s="18"/>
    </row>
    <row r="101" spans="1:1024 1025:2002">
      <c r="A101" s="474"/>
      <c r="B101" s="75">
        <v>1124</v>
      </c>
      <c r="C101" s="213">
        <v>46189</v>
      </c>
      <c r="D101" s="18" t="s">
        <v>35</v>
      </c>
      <c r="E101" s="18" t="s">
        <v>36</v>
      </c>
      <c r="F101" s="18" t="s">
        <v>96</v>
      </c>
      <c r="G101" s="18"/>
      <c r="H101" s="75" t="s">
        <v>97</v>
      </c>
      <c r="I101" s="75"/>
      <c r="J101" s="18" t="s">
        <v>82</v>
      </c>
      <c r="K101" s="111">
        <v>510</v>
      </c>
      <c r="L101" s="111">
        <v>95</v>
      </c>
      <c r="M101" s="75">
        <v>4500</v>
      </c>
      <c r="N101" s="75" t="s">
        <v>40</v>
      </c>
      <c r="O101" s="75" t="s">
        <v>98</v>
      </c>
      <c r="P101" s="75">
        <v>1000</v>
      </c>
      <c r="Q101" s="75"/>
      <c r="R101" s="75">
        <f t="shared" si="7"/>
        <v>1000</v>
      </c>
      <c r="S101" s="75">
        <v>453</v>
      </c>
      <c r="T101" s="75" t="s">
        <v>99</v>
      </c>
      <c r="U101" s="137" t="s">
        <v>100</v>
      </c>
      <c r="V101" s="193">
        <v>46197</v>
      </c>
      <c r="W101" s="18" t="s">
        <v>44</v>
      </c>
      <c r="X101" s="18"/>
      <c r="Y101" s="114">
        <v>46388</v>
      </c>
      <c r="Z101" s="18" t="s">
        <v>45</v>
      </c>
      <c r="AA101" s="24" t="s">
        <v>46</v>
      </c>
      <c r="AB101" s="18"/>
      <c r="AC101" s="137"/>
      <c r="AD101" s="77"/>
      <c r="AE101" s="18" t="s">
        <v>48</v>
      </c>
      <c r="AF101" s="18"/>
      <c r="AG101" s="18"/>
    </row>
    <row r="102" spans="1:1024 1025:2002">
      <c r="A102" s="474"/>
      <c r="B102" s="75">
        <v>1124</v>
      </c>
      <c r="C102" s="213">
        <v>46189</v>
      </c>
      <c r="D102" s="18" t="s">
        <v>35</v>
      </c>
      <c r="E102" s="18" t="s">
        <v>36</v>
      </c>
      <c r="F102" s="18" t="s">
        <v>96</v>
      </c>
      <c r="G102" s="18"/>
      <c r="H102" s="75" t="s">
        <v>97</v>
      </c>
      <c r="I102" s="75"/>
      <c r="J102" s="18" t="s">
        <v>82</v>
      </c>
      <c r="K102" s="111">
        <v>510</v>
      </c>
      <c r="L102" s="111">
        <v>100</v>
      </c>
      <c r="M102" s="75">
        <v>4500</v>
      </c>
      <c r="N102" s="75" t="s">
        <v>40</v>
      </c>
      <c r="O102" s="75" t="s">
        <v>98</v>
      </c>
      <c r="P102" s="75">
        <v>1000</v>
      </c>
      <c r="Q102" s="75"/>
      <c r="R102" s="75">
        <f t="shared" si="7"/>
        <v>1000</v>
      </c>
      <c r="S102" s="75">
        <v>453</v>
      </c>
      <c r="T102" s="75" t="s">
        <v>99</v>
      </c>
      <c r="U102" s="137" t="s">
        <v>100</v>
      </c>
      <c r="V102" s="193">
        <v>46197</v>
      </c>
      <c r="W102" s="18" t="s">
        <v>44</v>
      </c>
      <c r="X102" s="18"/>
      <c r="Y102" s="114">
        <v>46388</v>
      </c>
      <c r="Z102" s="18" t="s">
        <v>45</v>
      </c>
      <c r="AA102" s="24" t="s">
        <v>46</v>
      </c>
      <c r="AB102" s="18"/>
      <c r="AC102" s="137"/>
      <c r="AD102" s="77"/>
      <c r="AE102" s="18" t="s">
        <v>48</v>
      </c>
      <c r="AF102" s="18"/>
      <c r="AG102" s="18"/>
    </row>
    <row r="103" spans="1:1024 1025:2002">
      <c r="A103" s="474"/>
      <c r="B103" s="75">
        <v>1124</v>
      </c>
      <c r="C103" s="213">
        <v>46189</v>
      </c>
      <c r="D103" s="18" t="s">
        <v>35</v>
      </c>
      <c r="E103" s="18" t="s">
        <v>36</v>
      </c>
      <c r="F103" s="18" t="s">
        <v>96</v>
      </c>
      <c r="G103" s="18"/>
      <c r="H103" s="75" t="s">
        <v>97</v>
      </c>
      <c r="I103" s="75"/>
      <c r="J103" s="18" t="s">
        <v>82</v>
      </c>
      <c r="K103" s="111">
        <v>510</v>
      </c>
      <c r="L103" s="111">
        <v>120</v>
      </c>
      <c r="M103" s="75">
        <v>4500</v>
      </c>
      <c r="N103" s="75" t="s">
        <v>40</v>
      </c>
      <c r="O103" s="75" t="s">
        <v>98</v>
      </c>
      <c r="P103" s="75">
        <v>1000</v>
      </c>
      <c r="Q103" s="75"/>
      <c r="R103" s="75">
        <f t="shared" si="7"/>
        <v>1000</v>
      </c>
      <c r="S103" s="75">
        <v>453</v>
      </c>
      <c r="T103" s="75" t="s">
        <v>99</v>
      </c>
      <c r="U103" s="137" t="s">
        <v>100</v>
      </c>
      <c r="V103" s="193">
        <v>46197</v>
      </c>
      <c r="W103" s="18" t="s">
        <v>44</v>
      </c>
      <c r="X103" s="18"/>
      <c r="Y103" s="114">
        <v>46388</v>
      </c>
      <c r="Z103" s="18" t="s">
        <v>45</v>
      </c>
      <c r="AA103" s="24" t="s">
        <v>46</v>
      </c>
      <c r="AB103" s="18"/>
      <c r="AC103" s="137"/>
      <c r="AD103" s="77"/>
      <c r="AE103" s="18" t="s">
        <v>48</v>
      </c>
      <c r="AF103" s="18"/>
      <c r="AG103" s="18"/>
    </row>
    <row r="104" spans="1:1024 1025:2002">
      <c r="A104" s="474"/>
      <c r="B104" s="75">
        <v>1124</v>
      </c>
      <c r="C104" s="213">
        <v>46189</v>
      </c>
      <c r="D104" s="18" t="s">
        <v>35</v>
      </c>
      <c r="E104" s="18" t="s">
        <v>36</v>
      </c>
      <c r="F104" s="18" t="s">
        <v>96</v>
      </c>
      <c r="G104" s="18"/>
      <c r="H104" s="75" t="s">
        <v>97</v>
      </c>
      <c r="I104" s="75"/>
      <c r="J104" s="18" t="s">
        <v>82</v>
      </c>
      <c r="K104" s="111">
        <v>510</v>
      </c>
      <c r="L104" s="111">
        <v>130</v>
      </c>
      <c r="M104" s="75">
        <v>4500</v>
      </c>
      <c r="N104" s="75" t="s">
        <v>40</v>
      </c>
      <c r="O104" s="75" t="s">
        <v>98</v>
      </c>
      <c r="P104" s="75">
        <v>1000</v>
      </c>
      <c r="Q104" s="75"/>
      <c r="R104" s="75">
        <f t="shared" si="7"/>
        <v>1000</v>
      </c>
      <c r="S104" s="75">
        <v>453</v>
      </c>
      <c r="T104" s="75" t="s">
        <v>99</v>
      </c>
      <c r="U104" s="137" t="s">
        <v>100</v>
      </c>
      <c r="V104" s="193">
        <v>46197</v>
      </c>
      <c r="W104" s="18" t="s">
        <v>44</v>
      </c>
      <c r="X104" s="18"/>
      <c r="Y104" s="114">
        <v>46388</v>
      </c>
      <c r="Z104" s="18" t="s">
        <v>45</v>
      </c>
      <c r="AA104" s="24" t="s">
        <v>46</v>
      </c>
      <c r="AB104" s="18"/>
      <c r="AC104" s="137"/>
      <c r="AD104" s="77"/>
      <c r="AE104" s="18" t="s">
        <v>48</v>
      </c>
      <c r="AF104" s="18"/>
      <c r="AG104" s="18"/>
    </row>
    <row r="105" spans="1:1024 1025:2002">
      <c r="A105" s="474"/>
      <c r="B105" s="75">
        <v>1124</v>
      </c>
      <c r="C105" s="213">
        <v>46189</v>
      </c>
      <c r="D105" s="18" t="s">
        <v>35</v>
      </c>
      <c r="E105" s="18" t="s">
        <v>36</v>
      </c>
      <c r="F105" s="18" t="s">
        <v>96</v>
      </c>
      <c r="G105" s="18"/>
      <c r="H105" s="75" t="s">
        <v>97</v>
      </c>
      <c r="I105" s="75"/>
      <c r="J105" s="18" t="s">
        <v>82</v>
      </c>
      <c r="K105" s="111">
        <v>510</v>
      </c>
      <c r="L105" s="111">
        <v>160</v>
      </c>
      <c r="M105" s="75">
        <v>4500</v>
      </c>
      <c r="N105" s="75" t="s">
        <v>40</v>
      </c>
      <c r="O105" s="75" t="s">
        <v>98</v>
      </c>
      <c r="P105" s="75">
        <v>2000</v>
      </c>
      <c r="Q105" s="75"/>
      <c r="R105" s="75">
        <f t="shared" si="7"/>
        <v>2000</v>
      </c>
      <c r="S105" s="75">
        <v>453</v>
      </c>
      <c r="T105" s="75" t="s">
        <v>99</v>
      </c>
      <c r="U105" s="137" t="s">
        <v>100</v>
      </c>
      <c r="V105" s="193">
        <v>46197</v>
      </c>
      <c r="W105" s="18" t="s">
        <v>44</v>
      </c>
      <c r="X105" s="18"/>
      <c r="Y105" s="114">
        <v>46388</v>
      </c>
      <c r="Z105" s="18" t="s">
        <v>45</v>
      </c>
      <c r="AA105" s="24" t="s">
        <v>46</v>
      </c>
      <c r="AB105" s="18"/>
      <c r="AC105" s="137"/>
      <c r="AD105" s="77"/>
      <c r="AE105" s="18" t="s">
        <v>48</v>
      </c>
      <c r="AF105" s="18"/>
      <c r="AG105" s="18"/>
    </row>
    <row r="106" spans="1:1024 1025:2002">
      <c r="A106" s="474"/>
      <c r="B106" s="75">
        <v>1124</v>
      </c>
      <c r="C106" s="213">
        <v>46189</v>
      </c>
      <c r="D106" s="18" t="s">
        <v>35</v>
      </c>
      <c r="E106" s="18" t="s">
        <v>36</v>
      </c>
      <c r="F106" s="18" t="s">
        <v>96</v>
      </c>
      <c r="G106" s="18"/>
      <c r="H106" s="75" t="s">
        <v>97</v>
      </c>
      <c r="I106" s="75"/>
      <c r="J106" s="18" t="s">
        <v>82</v>
      </c>
      <c r="K106" s="111">
        <v>510</v>
      </c>
      <c r="L106" s="111">
        <v>180</v>
      </c>
      <c r="M106" s="75">
        <v>4500</v>
      </c>
      <c r="N106" s="75" t="s">
        <v>40</v>
      </c>
      <c r="O106" s="75" t="s">
        <v>98</v>
      </c>
      <c r="P106" s="75">
        <v>2000</v>
      </c>
      <c r="Q106" s="75"/>
      <c r="R106" s="75">
        <f t="shared" si="7"/>
        <v>2000</v>
      </c>
      <c r="S106" s="75">
        <v>453</v>
      </c>
      <c r="T106" s="75" t="s">
        <v>99</v>
      </c>
      <c r="U106" s="137" t="s">
        <v>100</v>
      </c>
      <c r="V106" s="193">
        <v>46197</v>
      </c>
      <c r="W106" s="18" t="s">
        <v>44</v>
      </c>
      <c r="X106" s="18"/>
      <c r="Y106" s="114">
        <v>46388</v>
      </c>
      <c r="Z106" s="18" t="s">
        <v>45</v>
      </c>
      <c r="AA106" s="24" t="s">
        <v>46</v>
      </c>
      <c r="AB106" s="18"/>
      <c r="AC106" s="137"/>
      <c r="AD106" s="77"/>
      <c r="AE106" s="18" t="s">
        <v>48</v>
      </c>
      <c r="AF106" s="18"/>
      <c r="AG106" s="18"/>
    </row>
    <row r="107" spans="1:1024 1025:2002">
      <c r="A107" s="474"/>
      <c r="B107" s="75">
        <v>1124</v>
      </c>
      <c r="C107" s="213">
        <v>46189</v>
      </c>
      <c r="D107" s="18" t="s">
        <v>35</v>
      </c>
      <c r="E107" s="18" t="s">
        <v>36</v>
      </c>
      <c r="F107" s="18" t="s">
        <v>96</v>
      </c>
      <c r="G107" s="18"/>
      <c r="H107" s="75" t="s">
        <v>97</v>
      </c>
      <c r="I107" s="75"/>
      <c r="J107" s="18" t="s">
        <v>82</v>
      </c>
      <c r="K107" s="111">
        <v>510</v>
      </c>
      <c r="L107" s="111">
        <v>190</v>
      </c>
      <c r="M107" s="75">
        <v>4500</v>
      </c>
      <c r="N107" s="75" t="s">
        <v>40</v>
      </c>
      <c r="O107" s="75" t="s">
        <v>98</v>
      </c>
      <c r="P107" s="75">
        <v>2000</v>
      </c>
      <c r="Q107" s="75"/>
      <c r="R107" s="75">
        <f t="shared" ref="R107:R111" si="8">+P107-Q107</f>
        <v>2000</v>
      </c>
      <c r="S107" s="75">
        <v>453</v>
      </c>
      <c r="T107" s="75" t="s">
        <v>99</v>
      </c>
      <c r="U107" s="137" t="s">
        <v>100</v>
      </c>
      <c r="V107" s="193">
        <v>46197</v>
      </c>
      <c r="W107" s="18" t="s">
        <v>44</v>
      </c>
      <c r="X107" s="18"/>
      <c r="Y107" s="114">
        <v>46388</v>
      </c>
      <c r="Z107" s="18" t="s">
        <v>45</v>
      </c>
      <c r="AA107" s="24" t="s">
        <v>46</v>
      </c>
      <c r="AB107" s="18"/>
      <c r="AC107" s="137"/>
      <c r="AD107" s="77"/>
      <c r="AE107" s="18" t="s">
        <v>48</v>
      </c>
      <c r="AF107" s="18"/>
      <c r="AG107" s="18"/>
    </row>
    <row r="108" spans="1:1024 1025:2002">
      <c r="A108" s="474"/>
      <c r="B108" s="75">
        <v>1124</v>
      </c>
      <c r="C108" s="213">
        <v>46189</v>
      </c>
      <c r="D108" s="18" t="s">
        <v>35</v>
      </c>
      <c r="E108" s="18" t="s">
        <v>36</v>
      </c>
      <c r="F108" s="18" t="s">
        <v>96</v>
      </c>
      <c r="G108" s="18"/>
      <c r="H108" s="75" t="s">
        <v>97</v>
      </c>
      <c r="I108" s="75"/>
      <c r="J108" s="18" t="s">
        <v>82</v>
      </c>
      <c r="K108" s="111">
        <v>510</v>
      </c>
      <c r="L108" s="111">
        <v>210</v>
      </c>
      <c r="M108" s="75">
        <v>4500</v>
      </c>
      <c r="N108" s="75" t="s">
        <v>40</v>
      </c>
      <c r="O108" s="75" t="s">
        <v>98</v>
      </c>
      <c r="P108" s="75">
        <v>2000</v>
      </c>
      <c r="Q108" s="75"/>
      <c r="R108" s="75">
        <f t="shared" si="8"/>
        <v>2000</v>
      </c>
      <c r="S108" s="75">
        <v>453</v>
      </c>
      <c r="T108" s="75" t="s">
        <v>99</v>
      </c>
      <c r="U108" s="137" t="s">
        <v>100</v>
      </c>
      <c r="V108" s="193">
        <v>46197</v>
      </c>
      <c r="W108" s="18" t="s">
        <v>44</v>
      </c>
      <c r="X108" s="18"/>
      <c r="Y108" s="114">
        <v>46388</v>
      </c>
      <c r="Z108" s="18" t="s">
        <v>45</v>
      </c>
      <c r="AA108" s="24" t="s">
        <v>46</v>
      </c>
      <c r="AB108" s="18"/>
      <c r="AC108" s="137"/>
      <c r="AD108" s="77"/>
      <c r="AE108" s="18" t="s">
        <v>48</v>
      </c>
      <c r="AF108" s="18"/>
      <c r="AG108" s="18"/>
    </row>
    <row r="109" spans="1:1024 1025:2002">
      <c r="A109" s="474"/>
      <c r="B109" s="75">
        <v>1124</v>
      </c>
      <c r="C109" s="213">
        <v>46189</v>
      </c>
      <c r="D109" s="18" t="s">
        <v>35</v>
      </c>
      <c r="E109" s="18" t="s">
        <v>36</v>
      </c>
      <c r="F109" s="18" t="s">
        <v>96</v>
      </c>
      <c r="G109" s="18"/>
      <c r="H109" s="75" t="s">
        <v>97</v>
      </c>
      <c r="I109" s="75"/>
      <c r="J109" s="18" t="s">
        <v>82</v>
      </c>
      <c r="K109" s="111">
        <v>510</v>
      </c>
      <c r="L109" s="111">
        <v>255</v>
      </c>
      <c r="M109" s="75">
        <v>4500</v>
      </c>
      <c r="N109" s="75" t="s">
        <v>40</v>
      </c>
      <c r="O109" s="75" t="s">
        <v>98</v>
      </c>
      <c r="P109" s="75">
        <v>3000</v>
      </c>
      <c r="Q109" s="75"/>
      <c r="R109" s="75">
        <f t="shared" si="8"/>
        <v>3000</v>
      </c>
      <c r="S109" s="75">
        <v>453</v>
      </c>
      <c r="T109" s="75" t="s">
        <v>99</v>
      </c>
      <c r="U109" s="137" t="s">
        <v>100</v>
      </c>
      <c r="V109" s="193">
        <v>46197</v>
      </c>
      <c r="W109" s="18" t="s">
        <v>44</v>
      </c>
      <c r="X109" s="18"/>
      <c r="Y109" s="114">
        <v>46388</v>
      </c>
      <c r="Z109" s="18" t="s">
        <v>45</v>
      </c>
      <c r="AA109" s="24" t="s">
        <v>46</v>
      </c>
      <c r="AB109" s="18"/>
      <c r="AC109" s="137"/>
      <c r="AD109" s="77"/>
      <c r="AE109" s="18" t="s">
        <v>48</v>
      </c>
      <c r="AF109" s="18"/>
      <c r="AG109" s="18"/>
    </row>
    <row r="110" spans="1:1024 1025:2002">
      <c r="A110" s="474"/>
      <c r="B110" s="75">
        <v>1124</v>
      </c>
      <c r="C110" s="213">
        <v>46189</v>
      </c>
      <c r="D110" s="18" t="s">
        <v>35</v>
      </c>
      <c r="E110" s="18" t="s">
        <v>36</v>
      </c>
      <c r="F110" s="18" t="s">
        <v>96</v>
      </c>
      <c r="G110" s="18"/>
      <c r="H110" s="75" t="s">
        <v>97</v>
      </c>
      <c r="I110" s="75"/>
      <c r="J110" s="18" t="s">
        <v>82</v>
      </c>
      <c r="K110" s="111">
        <v>610</v>
      </c>
      <c r="L110" s="111">
        <v>305</v>
      </c>
      <c r="M110" s="75">
        <v>4500</v>
      </c>
      <c r="N110" s="75" t="s">
        <v>40</v>
      </c>
      <c r="O110" s="75" t="s">
        <v>98</v>
      </c>
      <c r="P110" s="75">
        <v>3000</v>
      </c>
      <c r="Q110" s="75"/>
      <c r="R110" s="75">
        <f t="shared" si="8"/>
        <v>3000</v>
      </c>
      <c r="S110" s="75">
        <v>453</v>
      </c>
      <c r="T110" s="75" t="s">
        <v>99</v>
      </c>
      <c r="U110" s="137" t="s">
        <v>100</v>
      </c>
      <c r="V110" s="193">
        <v>46197</v>
      </c>
      <c r="W110" s="18" t="s">
        <v>44</v>
      </c>
      <c r="X110" s="18"/>
      <c r="Y110" s="114">
        <v>46388</v>
      </c>
      <c r="Z110" s="18" t="s">
        <v>45</v>
      </c>
      <c r="AA110" s="24" t="s">
        <v>46</v>
      </c>
      <c r="AB110" s="18"/>
      <c r="AC110" s="137"/>
      <c r="AD110" s="77"/>
      <c r="AE110" s="18" t="s">
        <v>48</v>
      </c>
      <c r="AF110" s="18"/>
      <c r="AG110" s="18"/>
    </row>
    <row r="111" s="25" customFormat="1" ht="15.6" spans="1:1024 1025:2002">
      <c r="A111" s="473"/>
      <c r="B111" s="19">
        <v>1125</v>
      </c>
      <c r="C111" s="183">
        <v>46196</v>
      </c>
      <c r="D111" s="17" t="s">
        <v>52</v>
      </c>
      <c r="E111" s="17" t="s">
        <v>53</v>
      </c>
      <c r="F111" s="17" t="s">
        <v>54</v>
      </c>
      <c r="G111" s="17"/>
      <c r="H111" s="19" t="s">
        <v>55</v>
      </c>
      <c r="I111" s="102" t="s">
        <v>56</v>
      </c>
      <c r="J111" s="17" t="s">
        <v>49</v>
      </c>
      <c r="K111" s="19">
        <v>610</v>
      </c>
      <c r="L111" s="19">
        <v>42</v>
      </c>
      <c r="M111" s="19">
        <v>5800</v>
      </c>
      <c r="N111" s="19" t="s">
        <v>40</v>
      </c>
      <c r="O111" s="19" t="s">
        <v>84</v>
      </c>
      <c r="P111" s="93">
        <f>840*2</f>
        <v>1680</v>
      </c>
      <c r="Q111" s="19">
        <f>750+762</f>
        <v>1512</v>
      </c>
      <c r="R111" s="19">
        <f t="shared" si="8"/>
        <v>168</v>
      </c>
      <c r="S111" s="481">
        <v>2040</v>
      </c>
      <c r="T111" s="19" t="s">
        <v>42</v>
      </c>
      <c r="U111" s="102" t="s">
        <v>101</v>
      </c>
      <c r="V111" s="186">
        <v>46197</v>
      </c>
      <c r="W111" s="17" t="s">
        <v>58</v>
      </c>
      <c r="X111" s="17"/>
      <c r="Y111" s="68">
        <v>46204</v>
      </c>
      <c r="Z111" s="17" t="s">
        <v>45</v>
      </c>
      <c r="AA111" s="17" t="s">
        <v>59</v>
      </c>
      <c r="AB111" s="17" t="s">
        <v>102</v>
      </c>
      <c r="AC111" s="217">
        <v>46274</v>
      </c>
      <c r="AD111" s="65">
        <v>1861</v>
      </c>
      <c r="AE111" s="17" t="s">
        <v>48</v>
      </c>
      <c r="AF111" s="17" t="s">
        <v>61</v>
      </c>
      <c r="AG111" s="17" t="s">
        <v>103</v>
      </c>
      <c r="AH111" s="456"/>
      <c r="AI111" s="456"/>
      <c r="AJ111" s="456"/>
      <c r="AK111" s="456"/>
      <c r="AL111" s="456"/>
      <c r="AM111" s="456"/>
      <c r="AN111" s="456"/>
      <c r="AO111" s="456"/>
      <c r="AP111" s="456"/>
      <c r="AQ111" s="456"/>
      <c r="AR111" s="456"/>
      <c r="AS111" s="456"/>
      <c r="AT111" s="456"/>
      <c r="AU111" s="456"/>
      <c r="AV111" s="456"/>
      <c r="AW111" s="456"/>
      <c r="AX111" s="456"/>
      <c r="AY111" s="456"/>
      <c r="AZ111" s="456"/>
      <c r="BA111" s="456"/>
      <c r="BB111" s="456"/>
      <c r="BC111" s="456"/>
      <c r="BD111" s="456"/>
      <c r="BE111" s="456"/>
      <c r="BF111" s="456"/>
      <c r="BG111" s="456"/>
      <c r="BH111" s="456"/>
      <c r="BI111" s="456"/>
      <c r="BJ111" s="456"/>
      <c r="BK111" s="456"/>
      <c r="BL111" s="456"/>
      <c r="BM111" s="456"/>
      <c r="BN111" s="456"/>
      <c r="BO111" s="456"/>
      <c r="BP111" s="456"/>
      <c r="BQ111" s="456"/>
      <c r="BR111" s="456"/>
      <c r="BS111" s="456"/>
      <c r="BT111" s="456"/>
      <c r="BU111" s="456"/>
      <c r="BV111" s="456"/>
      <c r="BW111" s="456"/>
      <c r="BX111" s="456"/>
      <c r="BY111" s="456"/>
      <c r="BZ111" s="456"/>
      <c r="CA111" s="456"/>
      <c r="CB111" s="456"/>
      <c r="CC111" s="456"/>
      <c r="CD111" s="456"/>
      <c r="CE111" s="456"/>
      <c r="CF111" s="456"/>
      <c r="CG111" s="456"/>
      <c r="CH111" s="456"/>
      <c r="CI111" s="456"/>
      <c r="CJ111" s="456"/>
      <c r="CK111" s="456"/>
      <c r="CL111" s="456"/>
      <c r="CM111" s="456"/>
      <c r="CN111" s="456"/>
      <c r="CO111" s="456"/>
      <c r="CP111" s="456"/>
      <c r="CQ111" s="456"/>
      <c r="CR111" s="456"/>
      <c r="CS111" s="456"/>
      <c r="CT111" s="456"/>
      <c r="CU111" s="456"/>
      <c r="CV111" s="456"/>
      <c r="CW111" s="456"/>
      <c r="CX111" s="456"/>
      <c r="CY111" s="456"/>
      <c r="CZ111" s="456"/>
      <c r="DA111" s="456"/>
      <c r="DB111" s="456"/>
      <c r="DC111" s="456"/>
      <c r="DD111" s="456"/>
      <c r="DE111" s="456"/>
      <c r="DF111" s="456"/>
      <c r="DG111" s="456"/>
      <c r="DH111" s="456"/>
      <c r="DI111" s="456"/>
      <c r="DJ111" s="456"/>
      <c r="DK111" s="456"/>
      <c r="DL111" s="456"/>
      <c r="DM111" s="456"/>
      <c r="DN111" s="456"/>
      <c r="DO111" s="456"/>
      <c r="DP111" s="456"/>
      <c r="DQ111" s="456"/>
      <c r="DR111" s="456"/>
      <c r="DS111" s="456"/>
      <c r="DT111" s="456"/>
      <c r="DU111" s="456"/>
      <c r="DV111" s="456"/>
      <c r="DW111" s="456"/>
      <c r="DX111" s="456"/>
      <c r="DY111" s="456"/>
      <c r="DZ111" s="456"/>
      <c r="EA111" s="456"/>
      <c r="EB111" s="456"/>
      <c r="EC111" s="456"/>
      <c r="ED111" s="456"/>
      <c r="EE111" s="456"/>
      <c r="EF111" s="456"/>
      <c r="EG111" s="456"/>
      <c r="EH111" s="456"/>
      <c r="EI111" s="456"/>
      <c r="EJ111" s="456"/>
      <c r="EK111" s="456"/>
      <c r="EL111" s="456"/>
      <c r="EM111" s="456"/>
      <c r="EN111" s="456"/>
      <c r="EO111" s="456"/>
      <c r="EP111" s="456"/>
      <c r="EQ111" s="456"/>
      <c r="ER111" s="456"/>
      <c r="ES111" s="456"/>
      <c r="ET111" s="456"/>
      <c r="EU111" s="456"/>
      <c r="EV111" s="456"/>
      <c r="EW111" s="456"/>
      <c r="EX111" s="456"/>
      <c r="EY111" s="456"/>
      <c r="EZ111" s="456"/>
      <c r="FA111" s="456"/>
      <c r="FB111" s="456"/>
      <c r="FC111" s="456"/>
      <c r="FD111" s="456"/>
      <c r="FE111" s="456"/>
      <c r="FF111" s="456"/>
      <c r="FG111" s="456"/>
      <c r="FH111" s="456"/>
      <c r="FI111" s="456"/>
      <c r="FJ111" s="456"/>
      <c r="FK111" s="456"/>
      <c r="FL111" s="456"/>
      <c r="FM111" s="456"/>
      <c r="FN111" s="456"/>
      <c r="FO111" s="456"/>
      <c r="FP111" s="456"/>
      <c r="FQ111" s="456"/>
      <c r="FR111" s="456"/>
      <c r="FS111" s="456"/>
      <c r="FT111" s="456"/>
      <c r="FU111" s="456"/>
      <c r="FV111" s="456"/>
      <c r="FW111" s="456"/>
      <c r="FX111" s="456"/>
      <c r="FY111" s="456"/>
      <c r="FZ111" s="456"/>
      <c r="GA111" s="456"/>
      <c r="GB111" s="456"/>
      <c r="GC111" s="456"/>
      <c r="GD111" s="456"/>
      <c r="GE111" s="456"/>
      <c r="GF111" s="456"/>
      <c r="GG111" s="456"/>
      <c r="GH111" s="456"/>
      <c r="GI111" s="456"/>
      <c r="GJ111" s="456"/>
      <c r="GK111" s="456"/>
      <c r="GL111" s="456"/>
      <c r="GM111" s="456"/>
      <c r="GN111" s="456"/>
      <c r="GO111" s="456"/>
      <c r="GP111" s="456"/>
      <c r="GQ111" s="456"/>
      <c r="GR111" s="456"/>
      <c r="GS111" s="456"/>
      <c r="GT111" s="456"/>
      <c r="GU111" s="456"/>
      <c r="GV111" s="456"/>
      <c r="GW111" s="456"/>
      <c r="GX111" s="456"/>
      <c r="GY111" s="456"/>
      <c r="GZ111" s="456"/>
      <c r="HA111" s="456"/>
      <c r="HB111" s="456"/>
      <c r="HC111" s="456"/>
      <c r="HD111" s="456"/>
      <c r="HE111" s="456"/>
      <c r="HF111" s="456"/>
      <c r="HG111" s="456"/>
      <c r="HH111" s="456"/>
      <c r="HI111" s="456"/>
      <c r="HJ111" s="456"/>
      <c r="HK111" s="456"/>
      <c r="HL111" s="456"/>
      <c r="HM111" s="456"/>
      <c r="HN111" s="456"/>
      <c r="HO111" s="456"/>
      <c r="HP111" s="456"/>
      <c r="HQ111" s="456"/>
      <c r="HR111" s="456"/>
      <c r="HS111" s="456"/>
      <c r="HT111" s="456"/>
      <c r="HU111" s="456"/>
      <c r="HV111" s="456"/>
      <c r="HW111" s="456"/>
      <c r="HX111" s="456"/>
      <c r="HY111" s="456"/>
      <c r="HZ111" s="456"/>
      <c r="IA111" s="456"/>
      <c r="IB111" s="456"/>
      <c r="IC111" s="456"/>
      <c r="ID111" s="456"/>
      <c r="IE111" s="456"/>
      <c r="IF111" s="456"/>
      <c r="IG111" s="456"/>
      <c r="IH111" s="456"/>
      <c r="II111" s="456"/>
      <c r="IJ111" s="456"/>
      <c r="IK111" s="456"/>
      <c r="IL111" s="456"/>
      <c r="IM111" s="456"/>
      <c r="IN111" s="456"/>
      <c r="IO111" s="456"/>
      <c r="IP111" s="456"/>
      <c r="IQ111" s="456"/>
      <c r="IR111" s="456"/>
      <c r="IS111" s="456"/>
      <c r="IT111" s="456"/>
      <c r="IU111" s="456"/>
      <c r="IV111" s="456"/>
      <c r="IW111" s="456"/>
      <c r="IX111" s="456"/>
      <c r="IY111" s="456"/>
      <c r="IZ111" s="456"/>
      <c r="JA111" s="456"/>
      <c r="JB111" s="456"/>
      <c r="JC111" s="456"/>
      <c r="JD111" s="456"/>
      <c r="JE111" s="456"/>
      <c r="JF111" s="456"/>
      <c r="JG111" s="456"/>
      <c r="JH111" s="456"/>
      <c r="JI111" s="456"/>
      <c r="JJ111" s="456"/>
      <c r="JK111" s="456"/>
      <c r="JL111" s="456"/>
      <c r="JM111" s="456"/>
      <c r="JN111" s="456"/>
      <c r="JO111" s="456"/>
      <c r="JP111" s="456"/>
      <c r="JQ111" s="456"/>
      <c r="JR111" s="456"/>
      <c r="JS111" s="456"/>
      <c r="JT111" s="456"/>
      <c r="JU111" s="456"/>
      <c r="JV111" s="456"/>
      <c r="JW111" s="456"/>
      <c r="JX111" s="456"/>
      <c r="JY111" s="456"/>
      <c r="JZ111" s="456"/>
      <c r="KA111" s="456"/>
      <c r="KB111" s="456"/>
      <c r="KC111" s="456"/>
      <c r="KD111" s="456"/>
      <c r="KE111" s="456"/>
      <c r="KF111" s="456"/>
      <c r="KG111" s="456"/>
      <c r="KH111" s="456"/>
      <c r="KI111" s="456"/>
      <c r="KJ111" s="456"/>
      <c r="KK111" s="456"/>
      <c r="KL111" s="456"/>
      <c r="KM111" s="456"/>
      <c r="KN111" s="456"/>
      <c r="KO111" s="456"/>
      <c r="KP111" s="456"/>
      <c r="KQ111" s="456"/>
      <c r="KR111" s="456"/>
      <c r="KS111" s="456"/>
      <c r="KT111" s="456"/>
      <c r="KU111" s="456"/>
      <c r="KV111" s="456"/>
      <c r="KW111" s="456"/>
      <c r="KX111" s="456"/>
      <c r="KY111" s="456"/>
      <c r="KZ111" s="456"/>
      <c r="LA111" s="456"/>
      <c r="LB111" s="456"/>
      <c r="LC111" s="456"/>
      <c r="LD111" s="456"/>
      <c r="LE111" s="456"/>
      <c r="LF111" s="456"/>
      <c r="LG111" s="456"/>
      <c r="LH111" s="456"/>
      <c r="LI111" s="456"/>
      <c r="LJ111" s="456"/>
      <c r="LK111" s="456"/>
      <c r="LL111" s="456"/>
      <c r="LM111" s="456"/>
      <c r="LN111" s="456"/>
      <c r="LO111" s="456"/>
      <c r="LP111" s="456"/>
      <c r="LQ111" s="456"/>
      <c r="LR111" s="456"/>
      <c r="LS111" s="456"/>
      <c r="LT111" s="456"/>
      <c r="LU111" s="456"/>
      <c r="LV111" s="456"/>
      <c r="LW111" s="456"/>
      <c r="LX111" s="456"/>
      <c r="LY111" s="456"/>
      <c r="LZ111" s="456"/>
      <c r="MA111" s="456"/>
      <c r="MB111" s="456"/>
      <c r="MC111" s="456"/>
      <c r="MD111" s="456"/>
      <c r="ME111" s="456"/>
      <c r="MF111" s="456"/>
      <c r="MG111" s="456"/>
      <c r="MH111" s="456"/>
      <c r="MI111" s="456"/>
      <c r="MJ111" s="456"/>
      <c r="MK111" s="456"/>
      <c r="ML111" s="456"/>
      <c r="MM111" s="456"/>
      <c r="MN111" s="456"/>
      <c r="MO111" s="456"/>
      <c r="MP111" s="456"/>
      <c r="MQ111" s="456"/>
      <c r="MR111" s="456"/>
      <c r="MS111" s="456"/>
      <c r="MT111" s="456"/>
      <c r="MU111" s="456"/>
      <c r="MV111" s="456"/>
      <c r="MW111" s="456"/>
      <c r="MX111" s="456"/>
      <c r="MY111" s="456"/>
      <c r="MZ111" s="456"/>
      <c r="NA111" s="456"/>
      <c r="NB111" s="456"/>
      <c r="NC111" s="456"/>
      <c r="ND111" s="456"/>
      <c r="NE111" s="456"/>
      <c r="NF111" s="456"/>
      <c r="NG111" s="456"/>
      <c r="NH111" s="456"/>
      <c r="NI111" s="456"/>
      <c r="NJ111" s="456"/>
      <c r="NK111" s="456"/>
      <c r="NL111" s="456"/>
      <c r="NM111" s="456"/>
      <c r="NN111" s="456"/>
      <c r="NO111" s="456"/>
      <c r="NP111" s="456"/>
      <c r="NQ111" s="456"/>
      <c r="NR111" s="456"/>
      <c r="NS111" s="456"/>
      <c r="NT111" s="456"/>
      <c r="NU111" s="456"/>
      <c r="NV111" s="456"/>
      <c r="NW111" s="456"/>
      <c r="NX111" s="456"/>
      <c r="NY111" s="456"/>
      <c r="NZ111" s="456"/>
      <c r="OA111" s="456"/>
      <c r="OB111" s="456"/>
      <c r="OC111" s="456"/>
      <c r="OD111" s="456"/>
      <c r="OE111" s="456"/>
      <c r="OF111" s="456"/>
      <c r="OG111" s="456"/>
      <c r="OH111" s="456"/>
      <c r="OI111" s="456"/>
      <c r="OJ111" s="456"/>
      <c r="OK111" s="456"/>
      <c r="OL111" s="456"/>
      <c r="OM111" s="456"/>
      <c r="ON111" s="456"/>
      <c r="OO111" s="456"/>
      <c r="OP111" s="456"/>
      <c r="OQ111" s="456"/>
      <c r="OR111" s="456"/>
      <c r="OS111" s="456"/>
      <c r="OT111" s="456"/>
      <c r="OU111" s="456"/>
      <c r="OV111" s="456"/>
      <c r="OW111" s="456"/>
      <c r="OX111" s="456"/>
      <c r="OY111" s="456"/>
      <c r="OZ111" s="456"/>
      <c r="PA111" s="456"/>
      <c r="PB111" s="456"/>
      <c r="PC111" s="456"/>
      <c r="PD111" s="456"/>
      <c r="PE111" s="456"/>
      <c r="PF111" s="456"/>
      <c r="PG111" s="456"/>
      <c r="PH111" s="456"/>
      <c r="PI111" s="456"/>
      <c r="PJ111" s="456"/>
      <c r="PK111" s="456"/>
      <c r="PL111" s="456"/>
      <c r="PM111" s="456"/>
      <c r="PN111" s="456"/>
      <c r="PO111" s="456"/>
      <c r="PP111" s="456"/>
      <c r="PQ111" s="456"/>
      <c r="PR111" s="456"/>
      <c r="PS111" s="456"/>
      <c r="PT111" s="456"/>
      <c r="PU111" s="456"/>
      <c r="PV111" s="456"/>
      <c r="PW111" s="456"/>
      <c r="PX111" s="456"/>
      <c r="PY111" s="456"/>
      <c r="PZ111" s="456"/>
      <c r="QA111" s="456"/>
      <c r="QB111" s="456"/>
      <c r="QC111" s="456"/>
      <c r="QD111" s="456"/>
      <c r="QE111" s="456"/>
      <c r="QF111" s="456"/>
      <c r="QG111" s="456"/>
      <c r="QH111" s="456"/>
      <c r="QI111" s="456"/>
      <c r="QJ111" s="456"/>
      <c r="QK111" s="456"/>
      <c r="QL111" s="456"/>
      <c r="QM111" s="456"/>
      <c r="QN111" s="456"/>
      <c r="QO111" s="456"/>
      <c r="QP111" s="456"/>
      <c r="QQ111" s="456"/>
      <c r="QR111" s="456"/>
      <c r="QS111" s="456"/>
      <c r="QT111" s="456"/>
      <c r="QU111" s="456"/>
      <c r="QV111" s="456"/>
      <c r="QW111" s="456"/>
      <c r="QX111" s="456"/>
      <c r="QY111" s="456"/>
      <c r="QZ111" s="456"/>
      <c r="RA111" s="456"/>
      <c r="RB111" s="456"/>
      <c r="RC111" s="456"/>
      <c r="RD111" s="456"/>
      <c r="RE111" s="456"/>
      <c r="RF111" s="456"/>
      <c r="RG111" s="456"/>
      <c r="RH111" s="456"/>
      <c r="RI111" s="456"/>
      <c r="RJ111" s="456"/>
      <c r="RK111" s="456"/>
      <c r="RL111" s="456"/>
      <c r="RM111" s="456"/>
      <c r="RN111" s="456"/>
      <c r="RO111" s="456"/>
      <c r="RP111" s="456"/>
      <c r="RQ111" s="456"/>
      <c r="RR111" s="456"/>
      <c r="RS111" s="456"/>
      <c r="RT111" s="456"/>
      <c r="RU111" s="456"/>
      <c r="RV111" s="456"/>
      <c r="RW111" s="456"/>
      <c r="RX111" s="456"/>
      <c r="RY111" s="456"/>
      <c r="RZ111" s="456"/>
      <c r="SA111" s="456"/>
      <c r="SB111" s="456"/>
      <c r="SC111" s="456"/>
      <c r="SD111" s="456"/>
      <c r="SE111" s="456"/>
      <c r="SF111" s="456"/>
      <c r="SG111" s="456"/>
      <c r="SH111" s="456"/>
      <c r="SI111" s="456"/>
      <c r="SJ111" s="456"/>
      <c r="SK111" s="456"/>
      <c r="SL111" s="456"/>
      <c r="SM111" s="456"/>
      <c r="SN111" s="456"/>
      <c r="SO111" s="456"/>
      <c r="SP111" s="456"/>
      <c r="SQ111" s="456"/>
      <c r="SR111" s="456"/>
      <c r="SS111" s="456"/>
      <c r="ST111" s="456"/>
      <c r="SU111" s="456"/>
      <c r="SV111" s="456"/>
      <c r="SW111" s="456"/>
      <c r="SX111" s="456"/>
      <c r="SY111" s="456"/>
      <c r="SZ111" s="456"/>
      <c r="TA111" s="456"/>
      <c r="TB111" s="456"/>
      <c r="TC111" s="456"/>
      <c r="TD111" s="456"/>
      <c r="TE111" s="456"/>
      <c r="TF111" s="456"/>
      <c r="TG111" s="456"/>
      <c r="TH111" s="456"/>
      <c r="TI111" s="456"/>
      <c r="TJ111" s="456"/>
      <c r="TK111" s="456"/>
      <c r="TL111" s="456"/>
      <c r="TM111" s="456"/>
      <c r="TN111" s="456"/>
      <c r="TO111" s="456"/>
      <c r="TP111" s="456"/>
      <c r="TQ111" s="456"/>
      <c r="TR111" s="456"/>
      <c r="TS111" s="456"/>
      <c r="TT111" s="456"/>
      <c r="TU111" s="456"/>
      <c r="TV111" s="456"/>
      <c r="TW111" s="456"/>
      <c r="TX111" s="456"/>
      <c r="TY111" s="456"/>
      <c r="TZ111" s="456"/>
      <c r="UA111" s="456"/>
      <c r="UB111" s="456"/>
      <c r="UC111" s="456"/>
      <c r="UD111" s="456"/>
      <c r="UE111" s="456"/>
      <c r="UF111" s="456"/>
      <c r="UG111" s="456"/>
      <c r="UH111" s="456"/>
      <c r="UI111" s="456"/>
      <c r="UJ111" s="456"/>
      <c r="UK111" s="456"/>
      <c r="UL111" s="456"/>
      <c r="UM111" s="456"/>
      <c r="UN111" s="456"/>
      <c r="UO111" s="456"/>
      <c r="UP111" s="456"/>
      <c r="UQ111" s="456"/>
      <c r="UR111" s="456"/>
      <c r="US111" s="456"/>
      <c r="UT111" s="456"/>
      <c r="UU111" s="456"/>
      <c r="UV111" s="456"/>
      <c r="UW111" s="456"/>
      <c r="UX111" s="456"/>
      <c r="UY111" s="456"/>
      <c r="UZ111" s="456"/>
      <c r="VA111" s="456"/>
      <c r="VB111" s="456"/>
      <c r="VC111" s="456"/>
      <c r="VD111" s="456"/>
      <c r="VE111" s="456"/>
      <c r="VF111" s="456"/>
      <c r="VG111" s="456"/>
      <c r="VH111" s="456"/>
      <c r="VI111" s="456"/>
      <c r="VJ111" s="456"/>
      <c r="VK111" s="456"/>
      <c r="VL111" s="456"/>
      <c r="VM111" s="456"/>
      <c r="VN111" s="456"/>
      <c r="VO111" s="456"/>
      <c r="VP111" s="456"/>
      <c r="VQ111" s="456"/>
      <c r="VR111" s="456"/>
      <c r="VS111" s="456"/>
      <c r="VT111" s="456"/>
      <c r="VU111" s="456"/>
      <c r="VV111" s="456"/>
      <c r="VW111" s="456"/>
      <c r="VX111" s="456"/>
      <c r="VY111" s="456"/>
      <c r="VZ111" s="456"/>
      <c r="WA111" s="456"/>
      <c r="WB111" s="456"/>
      <c r="WC111" s="456"/>
      <c r="WD111" s="456"/>
      <c r="WE111" s="456"/>
      <c r="WF111" s="456"/>
      <c r="WG111" s="456"/>
      <c r="WH111" s="456"/>
      <c r="WI111" s="456"/>
      <c r="WJ111" s="456"/>
      <c r="WK111" s="456"/>
      <c r="WL111" s="456"/>
      <c r="WM111" s="456"/>
      <c r="WN111" s="456"/>
      <c r="WO111" s="456"/>
      <c r="WP111" s="456"/>
      <c r="WQ111" s="456"/>
      <c r="WR111" s="456"/>
      <c r="WS111" s="456"/>
      <c r="WT111" s="456"/>
      <c r="WU111" s="456"/>
      <c r="WV111" s="456"/>
      <c r="WW111" s="456"/>
      <c r="WX111" s="456"/>
      <c r="WY111" s="456"/>
      <c r="WZ111" s="456"/>
      <c r="XA111" s="456"/>
      <c r="XB111" s="456"/>
      <c r="XC111" s="456"/>
      <c r="XD111" s="456"/>
      <c r="XE111" s="456"/>
      <c r="XF111" s="456"/>
      <c r="XG111" s="456"/>
      <c r="XH111" s="456"/>
      <c r="XI111" s="456"/>
      <c r="XJ111" s="456"/>
      <c r="XK111" s="456"/>
      <c r="XL111" s="456"/>
      <c r="XM111" s="456"/>
      <c r="XN111" s="456"/>
      <c r="XO111" s="456"/>
      <c r="XP111" s="456"/>
      <c r="XQ111" s="456"/>
      <c r="XR111" s="456"/>
      <c r="XS111" s="456"/>
      <c r="XT111" s="456"/>
      <c r="XU111" s="456"/>
      <c r="XV111" s="456"/>
      <c r="XW111" s="456"/>
      <c r="XX111" s="456"/>
      <c r="XY111" s="456"/>
      <c r="XZ111" s="456"/>
      <c r="YA111" s="456"/>
      <c r="YB111" s="456"/>
      <c r="YC111" s="456"/>
      <c r="YD111" s="456"/>
      <c r="YE111" s="456"/>
      <c r="YF111" s="456"/>
      <c r="YG111" s="456"/>
      <c r="YH111" s="456"/>
      <c r="YI111" s="456"/>
      <c r="YJ111" s="456"/>
      <c r="YK111" s="456"/>
      <c r="YL111" s="456"/>
      <c r="YM111" s="456"/>
      <c r="YN111" s="456"/>
      <c r="YO111" s="456"/>
      <c r="YP111" s="456"/>
      <c r="YQ111" s="456"/>
      <c r="YR111" s="456"/>
      <c r="YS111" s="456"/>
      <c r="YT111" s="456"/>
      <c r="YU111" s="456"/>
      <c r="YV111" s="456"/>
      <c r="YW111" s="456"/>
      <c r="YX111" s="456"/>
      <c r="YY111" s="456"/>
      <c r="YZ111" s="456"/>
      <c r="ZA111" s="456"/>
      <c r="ZB111" s="456"/>
      <c r="ZC111" s="456"/>
      <c r="ZD111" s="456"/>
      <c r="ZE111" s="456"/>
      <c r="ZF111" s="456"/>
      <c r="ZG111" s="456"/>
      <c r="ZH111" s="456"/>
      <c r="ZI111" s="456"/>
      <c r="ZJ111" s="456"/>
      <c r="ZK111" s="456"/>
      <c r="ZL111" s="456"/>
      <c r="ZM111" s="456"/>
      <c r="ZN111" s="456"/>
      <c r="ZO111" s="456"/>
      <c r="ZP111" s="456"/>
      <c r="ZQ111" s="456"/>
      <c r="ZR111" s="456"/>
      <c r="ZS111" s="456"/>
      <c r="ZT111" s="456"/>
      <c r="ZU111" s="456"/>
      <c r="ZV111" s="456"/>
      <c r="ZW111" s="456"/>
      <c r="ZX111" s="456"/>
      <c r="ZY111" s="456"/>
      <c r="ZZ111" s="456"/>
      <c r="AAA111" s="456"/>
      <c r="AAB111" s="456"/>
      <c r="AAC111" s="456"/>
      <c r="AAD111" s="456"/>
      <c r="AAE111" s="456"/>
      <c r="AAF111" s="456"/>
      <c r="AAG111" s="456"/>
      <c r="AAH111" s="456"/>
      <c r="AAI111" s="456"/>
      <c r="AAJ111" s="456"/>
      <c r="AAK111" s="456"/>
      <c r="AAL111" s="456"/>
      <c r="AAM111" s="456"/>
      <c r="AAN111" s="456"/>
      <c r="AAO111" s="456"/>
      <c r="AAP111" s="456"/>
      <c r="AAQ111" s="456"/>
      <c r="AAR111" s="456"/>
      <c r="AAS111" s="456"/>
      <c r="AAT111" s="456"/>
      <c r="AAU111" s="456"/>
      <c r="AAV111" s="456"/>
      <c r="AAW111" s="456"/>
      <c r="AAX111" s="456"/>
      <c r="AAY111" s="456"/>
      <c r="AAZ111" s="456"/>
      <c r="ABA111" s="456"/>
      <c r="ABB111" s="456"/>
      <c r="ABC111" s="456"/>
      <c r="ABD111" s="456"/>
      <c r="ABE111" s="456"/>
      <c r="ABF111" s="456"/>
      <c r="ABG111" s="456"/>
      <c r="ABH111" s="456"/>
      <c r="ABI111" s="456"/>
      <c r="ABJ111" s="456"/>
      <c r="ABK111" s="456"/>
      <c r="ABL111" s="456"/>
      <c r="ABM111" s="456"/>
      <c r="ABN111" s="456"/>
      <c r="ABO111" s="456"/>
      <c r="ABP111" s="456"/>
      <c r="ABQ111" s="456"/>
      <c r="ABR111" s="456"/>
      <c r="ABS111" s="456"/>
      <c r="ABT111" s="456"/>
      <c r="ABU111" s="456"/>
      <c r="ABV111" s="456"/>
      <c r="ABW111" s="456"/>
      <c r="ABX111" s="456"/>
      <c r="ABY111" s="456"/>
      <c r="ABZ111" s="456"/>
      <c r="ACA111" s="456"/>
      <c r="ACB111" s="456"/>
      <c r="ACC111" s="456"/>
      <c r="ACD111" s="456"/>
      <c r="ACE111" s="456"/>
      <c r="ACF111" s="456"/>
      <c r="ACG111" s="456"/>
      <c r="ACH111" s="456"/>
      <c r="ACI111" s="456"/>
      <c r="ACJ111" s="456"/>
      <c r="ACK111" s="456"/>
      <c r="ACL111" s="456"/>
      <c r="ACM111" s="456"/>
      <c r="ACN111" s="456"/>
      <c r="ACO111" s="456"/>
      <c r="ACP111" s="456"/>
      <c r="ACQ111" s="456"/>
      <c r="ACR111" s="456"/>
      <c r="ACS111" s="456"/>
      <c r="ACT111" s="456"/>
      <c r="ACU111" s="456"/>
      <c r="ACV111" s="456"/>
      <c r="ACW111" s="456"/>
      <c r="ACX111" s="456"/>
      <c r="ACY111" s="456"/>
      <c r="ACZ111" s="456"/>
      <c r="ADA111" s="456"/>
      <c r="ADB111" s="456"/>
      <c r="ADC111" s="456"/>
      <c r="ADD111" s="456"/>
      <c r="ADE111" s="456"/>
      <c r="ADF111" s="456"/>
      <c r="ADG111" s="456"/>
      <c r="ADH111" s="456"/>
      <c r="ADI111" s="456"/>
      <c r="ADJ111" s="456"/>
      <c r="ADK111" s="456"/>
      <c r="ADL111" s="456"/>
      <c r="ADM111" s="456"/>
      <c r="ADN111" s="456"/>
      <c r="ADO111" s="456"/>
      <c r="ADP111" s="456"/>
      <c r="ADQ111" s="456"/>
      <c r="ADR111" s="456"/>
      <c r="ADS111" s="456"/>
      <c r="ADT111" s="456"/>
      <c r="ADU111" s="456"/>
      <c r="ADV111" s="456"/>
      <c r="ADW111" s="456"/>
      <c r="ADX111" s="456"/>
      <c r="ADY111" s="456"/>
      <c r="ADZ111" s="456"/>
      <c r="AEA111" s="456"/>
      <c r="AEB111" s="456"/>
      <c r="AEC111" s="456"/>
      <c r="AED111" s="456"/>
      <c r="AEE111" s="456"/>
      <c r="AEF111" s="456"/>
      <c r="AEG111" s="456"/>
      <c r="AEH111" s="456"/>
      <c r="AEI111" s="456"/>
      <c r="AEJ111" s="456"/>
      <c r="AEK111" s="456"/>
      <c r="AEL111" s="456"/>
      <c r="AEM111" s="456"/>
      <c r="AEN111" s="456"/>
      <c r="AEO111" s="456"/>
      <c r="AEP111" s="456"/>
      <c r="AEQ111" s="456"/>
      <c r="AER111" s="456"/>
      <c r="AES111" s="456"/>
      <c r="AET111" s="456"/>
      <c r="AEU111" s="456"/>
      <c r="AEV111" s="456"/>
      <c r="AEW111" s="456"/>
      <c r="AEX111" s="456"/>
      <c r="AEY111" s="456"/>
      <c r="AEZ111" s="456"/>
      <c r="AFA111" s="456"/>
      <c r="AFB111" s="456"/>
      <c r="AFC111" s="456"/>
      <c r="AFD111" s="456"/>
      <c r="AFE111" s="456"/>
      <c r="AFF111" s="456"/>
      <c r="AFG111" s="456"/>
      <c r="AFH111" s="456"/>
      <c r="AFI111" s="456"/>
      <c r="AFJ111" s="456"/>
      <c r="AFK111" s="456"/>
      <c r="AFL111" s="456"/>
      <c r="AFM111" s="456"/>
      <c r="AFN111" s="456"/>
      <c r="AFO111" s="456"/>
      <c r="AFP111" s="456"/>
      <c r="AFQ111" s="456"/>
      <c r="AFR111" s="456"/>
      <c r="AFS111" s="456"/>
      <c r="AFT111" s="456"/>
      <c r="AFU111" s="456"/>
      <c r="AFV111" s="456"/>
      <c r="AFW111" s="456"/>
      <c r="AFX111" s="456"/>
      <c r="AFY111" s="456"/>
      <c r="AFZ111" s="456"/>
      <c r="AGA111" s="456"/>
      <c r="AGB111" s="456"/>
      <c r="AGC111" s="456"/>
      <c r="AGD111" s="456"/>
      <c r="AGE111" s="456"/>
      <c r="AGF111" s="456"/>
      <c r="AGG111" s="456"/>
      <c r="AGH111" s="456"/>
      <c r="AGI111" s="456"/>
      <c r="AGJ111" s="456"/>
      <c r="AGK111" s="456"/>
      <c r="AGL111" s="456"/>
      <c r="AGM111" s="456"/>
      <c r="AGN111" s="456"/>
      <c r="AGO111" s="456"/>
      <c r="AGP111" s="456"/>
      <c r="AGQ111" s="456"/>
      <c r="AGR111" s="456"/>
      <c r="AGS111" s="456"/>
      <c r="AGT111" s="456"/>
      <c r="AGU111" s="456"/>
      <c r="AGV111" s="456"/>
      <c r="AGW111" s="456"/>
      <c r="AGX111" s="456"/>
      <c r="AGY111" s="456"/>
      <c r="AGZ111" s="456"/>
      <c r="AHA111" s="456"/>
      <c r="AHB111" s="456"/>
      <c r="AHC111" s="456"/>
      <c r="AHD111" s="456"/>
      <c r="AHE111" s="456"/>
      <c r="AHF111" s="456"/>
      <c r="AHG111" s="456"/>
      <c r="AHH111" s="456"/>
      <c r="AHI111" s="456"/>
      <c r="AHJ111" s="456"/>
      <c r="AHK111" s="456"/>
      <c r="AHL111" s="456"/>
      <c r="AHM111" s="456"/>
      <c r="AHN111" s="456"/>
      <c r="AHO111" s="456"/>
      <c r="AHP111" s="456"/>
      <c r="AHQ111" s="456"/>
      <c r="AHR111" s="456"/>
      <c r="AHS111" s="456"/>
      <c r="AHT111" s="456"/>
      <c r="AHU111" s="456"/>
      <c r="AHV111" s="456"/>
      <c r="AHW111" s="456"/>
      <c r="AHX111" s="456"/>
      <c r="AHY111" s="456"/>
      <c r="AHZ111" s="456"/>
      <c r="AIA111" s="456"/>
      <c r="AIB111" s="456"/>
      <c r="AIC111" s="456"/>
      <c r="AID111" s="456"/>
      <c r="AIE111" s="456"/>
      <c r="AIF111" s="456"/>
      <c r="AIG111" s="456"/>
      <c r="AIH111" s="456"/>
      <c r="AII111" s="456"/>
      <c r="AIJ111" s="456"/>
      <c r="AIK111" s="456"/>
      <c r="AIL111" s="456"/>
      <c r="AIM111" s="456"/>
      <c r="AIN111" s="456"/>
      <c r="AIO111" s="456"/>
      <c r="AIP111" s="456"/>
      <c r="AIQ111" s="456"/>
      <c r="AIR111" s="456"/>
      <c r="AIS111" s="456"/>
      <c r="AIT111" s="456"/>
      <c r="AIU111" s="456"/>
      <c r="AIV111" s="456"/>
      <c r="AIW111" s="456"/>
      <c r="AIX111" s="456"/>
      <c r="AIY111" s="456"/>
      <c r="AIZ111" s="456"/>
      <c r="AJA111" s="456"/>
      <c r="AJB111" s="456"/>
      <c r="AJC111" s="456"/>
      <c r="AJD111" s="456"/>
      <c r="AJE111" s="456"/>
      <c r="AJF111" s="456"/>
      <c r="AJG111" s="456"/>
      <c r="AJH111" s="456"/>
      <c r="AJI111" s="456"/>
      <c r="AJJ111" s="456"/>
      <c r="AJK111" s="456"/>
      <c r="AJL111" s="456"/>
      <c r="AJM111" s="456"/>
      <c r="AJN111" s="456"/>
      <c r="AJO111" s="456"/>
      <c r="AJP111" s="456"/>
      <c r="AJQ111" s="456"/>
      <c r="AJR111" s="456"/>
      <c r="AJS111" s="456"/>
      <c r="AJT111" s="456"/>
      <c r="AJU111" s="456"/>
      <c r="AJV111" s="456"/>
      <c r="AJW111" s="456"/>
      <c r="AJX111" s="456"/>
      <c r="AJY111" s="456"/>
      <c r="AJZ111" s="456"/>
      <c r="AKA111" s="456"/>
      <c r="AKB111" s="456"/>
      <c r="AKC111" s="456"/>
      <c r="AKD111" s="456"/>
      <c r="AKE111" s="456"/>
      <c r="AKF111" s="456"/>
      <c r="AKG111" s="456"/>
      <c r="AKH111" s="456"/>
      <c r="AKI111" s="456"/>
      <c r="AKJ111" s="456"/>
      <c r="AKK111" s="456"/>
      <c r="AKL111" s="456"/>
      <c r="AKM111" s="456"/>
      <c r="AKN111" s="456"/>
      <c r="AKO111" s="456"/>
      <c r="AKP111" s="456"/>
      <c r="AKQ111" s="456"/>
      <c r="AKR111" s="456"/>
      <c r="AKS111" s="456"/>
      <c r="AKT111" s="456"/>
      <c r="AKU111" s="456"/>
      <c r="AKV111" s="456"/>
      <c r="AKW111" s="456"/>
      <c r="AKX111" s="456"/>
      <c r="AKY111" s="456"/>
      <c r="AKZ111" s="456"/>
      <c r="ALA111" s="456"/>
      <c r="ALB111" s="456"/>
      <c r="ALC111" s="456"/>
      <c r="ALD111" s="456"/>
      <c r="ALE111" s="456"/>
      <c r="ALF111" s="456"/>
      <c r="ALG111" s="456"/>
      <c r="ALH111" s="456"/>
      <c r="ALI111" s="456"/>
      <c r="ALJ111" s="456"/>
      <c r="ALK111" s="456"/>
      <c r="ALL111" s="456"/>
      <c r="ALM111" s="456"/>
      <c r="ALN111" s="456"/>
      <c r="ALO111" s="456"/>
      <c r="ALP111" s="456"/>
      <c r="ALQ111" s="456"/>
      <c r="ALR111" s="456"/>
      <c r="ALS111" s="456"/>
      <c r="ALT111" s="456"/>
      <c r="ALU111" s="456"/>
      <c r="ALV111" s="456"/>
      <c r="ALW111" s="456"/>
      <c r="ALX111" s="456"/>
      <c r="ALY111" s="456"/>
      <c r="ALZ111" s="456"/>
      <c r="AMA111" s="456"/>
      <c r="AMB111" s="456"/>
      <c r="AMC111" s="456"/>
      <c r="AMD111" s="456"/>
      <c r="AME111" s="456"/>
      <c r="AMF111" s="456"/>
      <c r="AMG111" s="456"/>
      <c r="AMH111" s="456"/>
      <c r="AMI111" s="456"/>
      <c r="AMJ111" s="456"/>
      <c r="AMK111" s="456"/>
      <c r="AML111" s="456"/>
      <c r="AMM111" s="456"/>
      <c r="AMN111" s="456"/>
      <c r="AMO111" s="456"/>
      <c r="AMP111" s="456"/>
      <c r="AMQ111" s="456"/>
      <c r="AMR111" s="456"/>
      <c r="AMS111" s="456"/>
      <c r="AMT111" s="456"/>
      <c r="AMU111" s="456"/>
      <c r="AMV111" s="456"/>
      <c r="AMW111" s="456"/>
      <c r="AMX111" s="456"/>
      <c r="AMY111" s="456"/>
      <c r="AMZ111" s="456"/>
      <c r="ANA111" s="456"/>
      <c r="ANB111" s="456"/>
      <c r="ANC111" s="456"/>
      <c r="AND111" s="456"/>
      <c r="ANE111" s="456"/>
      <c r="ANF111" s="456"/>
      <c r="ANG111" s="456"/>
      <c r="ANH111" s="456"/>
      <c r="ANI111" s="456"/>
      <c r="ANJ111" s="456"/>
      <c r="ANK111" s="456"/>
      <c r="ANL111" s="456"/>
      <c r="ANM111" s="456"/>
      <c r="ANN111" s="456"/>
      <c r="ANO111" s="456"/>
      <c r="ANP111" s="456"/>
      <c r="ANQ111" s="456"/>
      <c r="ANR111" s="456"/>
      <c r="ANS111" s="456"/>
      <c r="ANT111" s="456"/>
      <c r="ANU111" s="456"/>
      <c r="ANV111" s="456"/>
      <c r="ANW111" s="456"/>
      <c r="ANX111" s="456"/>
      <c r="ANY111" s="456"/>
      <c r="ANZ111" s="456"/>
      <c r="AOA111" s="456"/>
      <c r="AOB111" s="456"/>
      <c r="AOC111" s="456"/>
      <c r="AOD111" s="456"/>
      <c r="AOE111" s="456"/>
      <c r="AOF111" s="456"/>
      <c r="AOG111" s="456"/>
      <c r="AOH111" s="456"/>
      <c r="AOI111" s="456"/>
      <c r="AOJ111" s="456"/>
      <c r="AOK111" s="456"/>
      <c r="AOL111" s="456"/>
      <c r="AOM111" s="456"/>
      <c r="AON111" s="456"/>
      <c r="AOO111" s="456"/>
      <c r="AOP111" s="456"/>
      <c r="AOQ111" s="456"/>
      <c r="AOR111" s="456"/>
      <c r="AOS111" s="456"/>
      <c r="AOT111" s="456"/>
      <c r="AOU111" s="456"/>
      <c r="AOV111" s="456"/>
      <c r="AOW111" s="456"/>
      <c r="AOX111" s="456"/>
      <c r="AOY111" s="456"/>
      <c r="AOZ111" s="456"/>
      <c r="APA111" s="456"/>
      <c r="APB111" s="456"/>
      <c r="APC111" s="456"/>
      <c r="APD111" s="456"/>
      <c r="APE111" s="456"/>
      <c r="APF111" s="456"/>
      <c r="APG111" s="456"/>
      <c r="APH111" s="456"/>
      <c r="API111" s="456"/>
      <c r="APJ111" s="456"/>
      <c r="APK111" s="456"/>
      <c r="APL111" s="456"/>
      <c r="APM111" s="456"/>
      <c r="APN111" s="456"/>
      <c r="APO111" s="456"/>
      <c r="APP111" s="456"/>
      <c r="APQ111" s="456"/>
      <c r="APR111" s="456"/>
      <c r="APS111" s="456"/>
      <c r="APT111" s="456"/>
      <c r="APU111" s="456"/>
      <c r="APV111" s="456"/>
      <c r="APW111" s="456"/>
      <c r="APX111" s="456"/>
      <c r="APY111" s="456"/>
      <c r="APZ111" s="456"/>
      <c r="AQA111" s="456"/>
      <c r="AQB111" s="456"/>
      <c r="AQC111" s="456"/>
      <c r="AQD111" s="456"/>
      <c r="AQE111" s="456"/>
      <c r="AQF111" s="456"/>
      <c r="AQG111" s="456"/>
      <c r="AQH111" s="456"/>
      <c r="AQI111" s="456"/>
      <c r="AQJ111" s="456"/>
      <c r="AQK111" s="456"/>
      <c r="AQL111" s="456"/>
      <c r="AQM111" s="456"/>
      <c r="AQN111" s="456"/>
      <c r="AQO111" s="456"/>
      <c r="AQP111" s="456"/>
      <c r="AQQ111" s="456"/>
      <c r="AQR111" s="456"/>
      <c r="AQS111" s="456"/>
      <c r="AQT111" s="456"/>
      <c r="AQU111" s="456"/>
      <c r="AQV111" s="456"/>
      <c r="AQW111" s="456"/>
      <c r="AQX111" s="456"/>
      <c r="AQY111" s="456"/>
      <c r="AQZ111" s="456"/>
      <c r="ARA111" s="456"/>
      <c r="ARB111" s="456"/>
      <c r="ARC111" s="456"/>
      <c r="ARD111" s="456"/>
      <c r="ARE111" s="456"/>
      <c r="ARF111" s="456"/>
      <c r="ARG111" s="456"/>
      <c r="ARH111" s="456"/>
      <c r="ARI111" s="456"/>
      <c r="ARJ111" s="456"/>
      <c r="ARK111" s="456"/>
      <c r="ARL111" s="456"/>
      <c r="ARM111" s="456"/>
      <c r="ARN111" s="456"/>
      <c r="ARO111" s="456"/>
      <c r="ARP111" s="456"/>
      <c r="ARQ111" s="456"/>
      <c r="ARR111" s="456"/>
      <c r="ARS111" s="456"/>
      <c r="ART111" s="456"/>
      <c r="ARU111" s="456"/>
      <c r="ARV111" s="456"/>
      <c r="ARW111" s="456"/>
      <c r="ARX111" s="456"/>
      <c r="ARY111" s="456"/>
      <c r="ARZ111" s="456"/>
      <c r="ASA111" s="456"/>
      <c r="ASB111" s="456"/>
      <c r="ASC111" s="456"/>
      <c r="ASD111" s="456"/>
      <c r="ASE111" s="456"/>
      <c r="ASF111" s="456"/>
      <c r="ASG111" s="456"/>
      <c r="ASH111" s="456"/>
      <c r="ASI111" s="456"/>
      <c r="ASJ111" s="456"/>
      <c r="ASK111" s="456"/>
      <c r="ASL111" s="456"/>
      <c r="ASM111" s="456"/>
      <c r="ASN111" s="456"/>
      <c r="ASO111" s="456"/>
      <c r="ASP111" s="456"/>
      <c r="ASQ111" s="456"/>
      <c r="ASR111" s="456"/>
      <c r="ASS111" s="456"/>
      <c r="AST111" s="456"/>
      <c r="ASU111" s="456"/>
      <c r="ASV111" s="456"/>
      <c r="ASW111" s="456"/>
      <c r="ASX111" s="456"/>
      <c r="ASY111" s="456"/>
      <c r="ASZ111" s="456"/>
      <c r="ATA111" s="456"/>
      <c r="ATB111" s="456"/>
      <c r="ATC111" s="456"/>
      <c r="ATD111" s="456"/>
      <c r="ATE111" s="456"/>
      <c r="ATF111" s="456"/>
      <c r="ATG111" s="456"/>
      <c r="ATH111" s="456"/>
      <c r="ATI111" s="456"/>
      <c r="ATJ111" s="456"/>
      <c r="ATK111" s="456"/>
      <c r="ATL111" s="456"/>
      <c r="ATM111" s="456"/>
      <c r="ATN111" s="456"/>
      <c r="ATO111" s="456"/>
      <c r="ATP111" s="456"/>
      <c r="ATQ111" s="456"/>
      <c r="ATR111" s="456"/>
      <c r="ATS111" s="456"/>
      <c r="ATT111" s="456"/>
      <c r="ATU111" s="456"/>
      <c r="ATV111" s="456"/>
      <c r="ATW111" s="456"/>
      <c r="ATX111" s="456"/>
      <c r="ATY111" s="456"/>
      <c r="ATZ111" s="456"/>
      <c r="AUA111" s="456"/>
      <c r="AUB111" s="456"/>
      <c r="AUC111" s="456"/>
      <c r="AUD111" s="456"/>
      <c r="AUE111" s="456"/>
      <c r="AUF111" s="456"/>
      <c r="AUG111" s="456"/>
      <c r="AUH111" s="456"/>
      <c r="AUI111" s="456"/>
      <c r="AUJ111" s="456"/>
      <c r="AUK111" s="456"/>
      <c r="AUL111" s="456"/>
      <c r="AUM111" s="456"/>
      <c r="AUN111" s="456"/>
      <c r="AUO111" s="456"/>
      <c r="AUP111" s="456"/>
      <c r="AUQ111" s="456"/>
      <c r="AUR111" s="456"/>
      <c r="AUS111" s="456"/>
      <c r="AUT111" s="456"/>
      <c r="AUU111" s="456"/>
      <c r="AUV111" s="456"/>
      <c r="AUW111" s="456"/>
      <c r="AUX111" s="456"/>
      <c r="AUY111" s="456"/>
      <c r="AUZ111" s="456"/>
      <c r="AVA111" s="456"/>
      <c r="AVB111" s="456"/>
      <c r="AVC111" s="456"/>
      <c r="AVD111" s="456"/>
      <c r="AVE111" s="456"/>
      <c r="AVF111" s="456"/>
      <c r="AVG111" s="456"/>
      <c r="AVH111" s="456"/>
      <c r="AVI111" s="456"/>
      <c r="AVJ111" s="456"/>
      <c r="AVK111" s="456"/>
      <c r="AVL111" s="456"/>
      <c r="AVM111" s="456"/>
      <c r="AVN111" s="456"/>
      <c r="AVO111" s="456"/>
      <c r="AVP111" s="456"/>
      <c r="AVQ111" s="456"/>
      <c r="AVR111" s="456"/>
      <c r="AVS111" s="456"/>
      <c r="AVT111" s="456"/>
      <c r="AVU111" s="456"/>
      <c r="AVV111" s="456"/>
      <c r="AVW111" s="456"/>
      <c r="AVX111" s="456"/>
      <c r="AVY111" s="456"/>
      <c r="AVZ111" s="456"/>
      <c r="AWA111" s="456"/>
      <c r="AWB111" s="456"/>
      <c r="AWC111" s="456"/>
      <c r="AWD111" s="456"/>
      <c r="AWE111" s="456"/>
      <c r="AWF111" s="456"/>
      <c r="AWG111" s="456"/>
      <c r="AWH111" s="456"/>
      <c r="AWI111" s="456"/>
      <c r="AWJ111" s="456"/>
      <c r="AWK111" s="456"/>
      <c r="AWL111" s="456"/>
      <c r="AWM111" s="456"/>
      <c r="AWN111" s="456"/>
      <c r="AWO111" s="456"/>
      <c r="AWP111" s="456"/>
      <c r="AWQ111" s="456"/>
      <c r="AWR111" s="456"/>
      <c r="AWS111" s="456"/>
      <c r="AWT111" s="456"/>
      <c r="AWU111" s="456"/>
      <c r="AWV111" s="456"/>
      <c r="AWW111" s="456"/>
      <c r="AWX111" s="456"/>
      <c r="AWY111" s="456"/>
      <c r="AWZ111" s="456"/>
      <c r="AXA111" s="456"/>
      <c r="AXB111" s="456"/>
      <c r="AXC111" s="456"/>
      <c r="AXD111" s="456"/>
      <c r="AXE111" s="456"/>
      <c r="AXF111" s="456"/>
      <c r="AXG111" s="456"/>
      <c r="AXH111" s="456"/>
      <c r="AXI111" s="456"/>
      <c r="AXJ111" s="456"/>
      <c r="AXK111" s="456"/>
      <c r="AXL111" s="456"/>
      <c r="AXM111" s="456"/>
      <c r="AXN111" s="456"/>
      <c r="AXO111" s="456"/>
      <c r="AXP111" s="456"/>
      <c r="AXQ111" s="456"/>
      <c r="AXR111" s="456"/>
      <c r="AXS111" s="456"/>
      <c r="AXT111" s="456"/>
      <c r="AXU111" s="456"/>
      <c r="AXV111" s="456"/>
      <c r="AXW111" s="456"/>
      <c r="AXX111" s="456"/>
      <c r="AXY111" s="456"/>
      <c r="AXZ111" s="456"/>
      <c r="AYA111" s="456"/>
      <c r="AYB111" s="456"/>
      <c r="AYC111" s="456"/>
      <c r="AYD111" s="456"/>
      <c r="AYE111" s="456"/>
      <c r="AYF111" s="456"/>
      <c r="AYG111" s="456"/>
      <c r="AYH111" s="456"/>
      <c r="AYI111" s="456"/>
      <c r="AYJ111" s="456"/>
      <c r="AYK111" s="456"/>
      <c r="AYL111" s="456"/>
      <c r="AYM111" s="456"/>
      <c r="AYN111" s="456"/>
      <c r="AYO111" s="456"/>
      <c r="AYP111" s="456"/>
      <c r="AYQ111" s="456"/>
      <c r="AYR111" s="456"/>
      <c r="AYS111" s="456"/>
      <c r="AYT111" s="456"/>
      <c r="AYU111" s="456"/>
      <c r="AYV111" s="456"/>
      <c r="AYW111" s="456"/>
      <c r="AYX111" s="456"/>
      <c r="AYY111" s="456"/>
      <c r="AYZ111" s="456"/>
      <c r="AZA111" s="456"/>
      <c r="AZB111" s="456"/>
      <c r="AZC111" s="456"/>
      <c r="AZD111" s="456"/>
      <c r="AZE111" s="456"/>
      <c r="AZF111" s="456"/>
      <c r="AZG111" s="456"/>
      <c r="AZH111" s="456"/>
      <c r="AZI111" s="456"/>
      <c r="AZJ111" s="456"/>
      <c r="AZK111" s="456"/>
      <c r="AZL111" s="456"/>
      <c r="AZM111" s="456"/>
      <c r="AZN111" s="456"/>
      <c r="AZO111" s="456"/>
      <c r="AZP111" s="456"/>
      <c r="AZQ111" s="456"/>
      <c r="AZR111" s="456"/>
      <c r="AZS111" s="456"/>
      <c r="AZT111" s="456"/>
      <c r="AZU111" s="456"/>
      <c r="AZV111" s="456"/>
      <c r="AZW111" s="456"/>
      <c r="AZX111" s="456"/>
      <c r="AZY111" s="456"/>
      <c r="AZZ111" s="456"/>
      <c r="BAA111" s="456"/>
      <c r="BAB111" s="456"/>
      <c r="BAC111" s="456"/>
      <c r="BAD111" s="456"/>
      <c r="BAE111" s="456"/>
      <c r="BAF111" s="456"/>
      <c r="BAG111" s="456"/>
      <c r="BAH111" s="456"/>
      <c r="BAI111" s="456"/>
      <c r="BAJ111" s="456"/>
      <c r="BAK111" s="456"/>
      <c r="BAL111" s="456"/>
      <c r="BAM111" s="456"/>
      <c r="BAN111" s="456"/>
      <c r="BAO111" s="456"/>
      <c r="BAP111" s="456"/>
      <c r="BAQ111" s="456"/>
      <c r="BAR111" s="456"/>
      <c r="BAS111" s="456"/>
      <c r="BAT111" s="456"/>
      <c r="BAU111" s="456"/>
      <c r="BAV111" s="456"/>
      <c r="BAW111" s="456"/>
      <c r="BAX111" s="456"/>
      <c r="BAY111" s="456"/>
      <c r="BAZ111" s="456"/>
      <c r="BBA111" s="456"/>
      <c r="BBB111" s="456"/>
      <c r="BBC111" s="456"/>
      <c r="BBD111" s="456"/>
      <c r="BBE111" s="456"/>
      <c r="BBF111" s="456"/>
      <c r="BBG111" s="456"/>
      <c r="BBH111" s="456"/>
      <c r="BBI111" s="456"/>
      <c r="BBJ111" s="456"/>
      <c r="BBK111" s="456"/>
      <c r="BBL111" s="456"/>
      <c r="BBM111" s="456"/>
      <c r="BBN111" s="456"/>
      <c r="BBO111" s="456"/>
      <c r="BBP111" s="456"/>
      <c r="BBQ111" s="456"/>
      <c r="BBR111" s="456"/>
      <c r="BBS111" s="456"/>
      <c r="BBT111" s="456"/>
      <c r="BBU111" s="456"/>
      <c r="BBV111" s="456"/>
      <c r="BBW111" s="456"/>
      <c r="BBX111" s="456"/>
      <c r="BBY111" s="456"/>
      <c r="BBZ111" s="456"/>
      <c r="BCA111" s="456"/>
      <c r="BCB111" s="456"/>
      <c r="BCC111" s="456"/>
      <c r="BCD111" s="456"/>
      <c r="BCE111" s="456"/>
      <c r="BCF111" s="456"/>
      <c r="BCG111" s="456"/>
      <c r="BCH111" s="456"/>
      <c r="BCI111" s="456"/>
      <c r="BCJ111" s="456"/>
      <c r="BCK111" s="456"/>
      <c r="BCL111" s="456"/>
      <c r="BCM111" s="456"/>
      <c r="BCN111" s="456"/>
      <c r="BCO111" s="456"/>
      <c r="BCP111" s="456"/>
      <c r="BCQ111" s="456"/>
      <c r="BCR111" s="456"/>
      <c r="BCS111" s="456"/>
      <c r="BCT111" s="456"/>
      <c r="BCU111" s="456"/>
      <c r="BCV111" s="456"/>
      <c r="BCW111" s="456"/>
      <c r="BCX111" s="456"/>
      <c r="BCY111" s="456"/>
      <c r="BCZ111" s="456"/>
      <c r="BDA111" s="456"/>
      <c r="BDB111" s="456"/>
      <c r="BDC111" s="456"/>
      <c r="BDD111" s="456"/>
      <c r="BDE111" s="456"/>
      <c r="BDF111" s="456"/>
      <c r="BDG111" s="456"/>
      <c r="BDH111" s="456"/>
      <c r="BDI111" s="456"/>
      <c r="BDJ111" s="456"/>
      <c r="BDK111" s="456"/>
      <c r="BDL111" s="456"/>
      <c r="BDM111" s="456"/>
      <c r="BDN111" s="456"/>
      <c r="BDO111" s="456"/>
      <c r="BDP111" s="456"/>
      <c r="BDQ111" s="456"/>
      <c r="BDR111" s="456"/>
      <c r="BDS111" s="456"/>
      <c r="BDT111" s="456"/>
      <c r="BDU111" s="456"/>
      <c r="BDV111" s="456"/>
      <c r="BDW111" s="456"/>
      <c r="BDX111" s="456"/>
      <c r="BDY111" s="456"/>
      <c r="BDZ111" s="456"/>
      <c r="BEA111" s="456"/>
      <c r="BEB111" s="456"/>
      <c r="BEC111" s="456"/>
      <c r="BED111" s="456"/>
      <c r="BEE111" s="456"/>
      <c r="BEF111" s="456"/>
      <c r="BEG111" s="456"/>
      <c r="BEH111" s="456"/>
      <c r="BEI111" s="456"/>
      <c r="BEJ111" s="456"/>
      <c r="BEK111" s="456"/>
      <c r="BEL111" s="456"/>
      <c r="BEM111" s="456"/>
      <c r="BEN111" s="456"/>
      <c r="BEO111" s="456"/>
      <c r="BEP111" s="456"/>
      <c r="BEQ111" s="456"/>
      <c r="BER111" s="456"/>
      <c r="BES111" s="456"/>
      <c r="BET111" s="456"/>
      <c r="BEU111" s="456"/>
      <c r="BEV111" s="456"/>
      <c r="BEW111" s="456"/>
      <c r="BEX111" s="456"/>
      <c r="BEY111" s="456"/>
      <c r="BEZ111" s="456"/>
      <c r="BFA111" s="456"/>
      <c r="BFB111" s="456"/>
      <c r="BFC111" s="456"/>
      <c r="BFD111" s="456"/>
      <c r="BFE111" s="456"/>
      <c r="BFF111" s="456"/>
      <c r="BFG111" s="456"/>
      <c r="BFH111" s="456"/>
      <c r="BFI111" s="456"/>
      <c r="BFJ111" s="456"/>
      <c r="BFK111" s="456"/>
      <c r="BFL111" s="456"/>
      <c r="BFM111" s="456"/>
      <c r="BFN111" s="456"/>
      <c r="BFO111" s="456"/>
      <c r="BFP111" s="456"/>
      <c r="BFQ111" s="456"/>
      <c r="BFR111" s="456"/>
      <c r="BFS111" s="456"/>
      <c r="BFT111" s="456"/>
      <c r="BFU111" s="456"/>
      <c r="BFV111" s="456"/>
      <c r="BFW111" s="456"/>
      <c r="BFX111" s="456"/>
      <c r="BFY111" s="456"/>
      <c r="BFZ111" s="456"/>
      <c r="BGA111" s="456"/>
      <c r="BGB111" s="456"/>
      <c r="BGC111" s="456"/>
      <c r="BGD111" s="456"/>
      <c r="BGE111" s="456"/>
      <c r="BGF111" s="456"/>
      <c r="BGG111" s="456"/>
      <c r="BGH111" s="456"/>
      <c r="BGI111" s="456"/>
      <c r="BGJ111" s="456"/>
      <c r="BGK111" s="456"/>
      <c r="BGL111" s="456"/>
      <c r="BGM111" s="456"/>
      <c r="BGN111" s="456"/>
      <c r="BGO111" s="456"/>
      <c r="BGP111" s="456"/>
      <c r="BGQ111" s="456"/>
      <c r="BGR111" s="456"/>
      <c r="BGS111" s="456"/>
      <c r="BGT111" s="456"/>
      <c r="BGU111" s="456"/>
      <c r="BGV111" s="456"/>
      <c r="BGW111" s="456"/>
      <c r="BGX111" s="456"/>
      <c r="BGY111" s="456"/>
      <c r="BGZ111" s="456"/>
      <c r="BHA111" s="456"/>
      <c r="BHB111" s="456"/>
      <c r="BHC111" s="456"/>
      <c r="BHD111" s="456"/>
      <c r="BHE111" s="456"/>
      <c r="BHF111" s="456"/>
      <c r="BHG111" s="456"/>
      <c r="BHH111" s="456"/>
      <c r="BHI111" s="456"/>
      <c r="BHJ111" s="456"/>
      <c r="BHK111" s="456"/>
      <c r="BHL111" s="456"/>
      <c r="BHM111" s="456"/>
      <c r="BHN111" s="456"/>
      <c r="BHO111" s="456"/>
      <c r="BHP111" s="456"/>
      <c r="BHQ111" s="456"/>
      <c r="BHR111" s="456"/>
      <c r="BHS111" s="456"/>
      <c r="BHT111" s="456"/>
      <c r="BHU111" s="456"/>
      <c r="BHV111" s="456"/>
      <c r="BHW111" s="456"/>
      <c r="BHX111" s="456"/>
      <c r="BHY111" s="456"/>
      <c r="BHZ111" s="456"/>
      <c r="BIA111" s="456"/>
      <c r="BIB111" s="456"/>
      <c r="BIC111" s="456"/>
      <c r="BID111" s="456"/>
      <c r="BIE111" s="456"/>
      <c r="BIF111" s="456"/>
      <c r="BIG111" s="456"/>
      <c r="BIH111" s="456"/>
      <c r="BII111" s="456"/>
      <c r="BIJ111" s="456"/>
      <c r="BIK111" s="456"/>
      <c r="BIL111" s="456"/>
      <c r="BIM111" s="456"/>
      <c r="BIN111" s="456"/>
      <c r="BIO111" s="456"/>
      <c r="BIP111" s="456"/>
      <c r="BIQ111" s="456"/>
      <c r="BIR111" s="456"/>
      <c r="BIS111" s="456"/>
      <c r="BIT111" s="456"/>
      <c r="BIU111" s="456"/>
      <c r="BIV111" s="456"/>
      <c r="BIW111" s="456"/>
      <c r="BIX111" s="456"/>
      <c r="BIY111" s="456"/>
      <c r="BIZ111" s="456"/>
      <c r="BJA111" s="456"/>
      <c r="BJB111" s="456"/>
      <c r="BJC111" s="456"/>
      <c r="BJD111" s="456"/>
      <c r="BJE111" s="456"/>
      <c r="BJF111" s="456"/>
      <c r="BJG111" s="456"/>
      <c r="BJH111" s="456"/>
      <c r="BJI111" s="456"/>
      <c r="BJJ111" s="456"/>
      <c r="BJK111" s="456"/>
      <c r="BJL111" s="456"/>
      <c r="BJM111" s="456"/>
      <c r="BJN111" s="456"/>
      <c r="BJO111" s="456"/>
      <c r="BJP111" s="456"/>
      <c r="BJQ111" s="456"/>
      <c r="BJR111" s="456"/>
      <c r="BJS111" s="456"/>
      <c r="BJT111" s="456"/>
      <c r="BJU111" s="456"/>
      <c r="BJV111" s="456"/>
      <c r="BJW111" s="456"/>
      <c r="BJX111" s="456"/>
      <c r="BJY111" s="456"/>
      <c r="BJZ111" s="456"/>
      <c r="BKA111" s="456"/>
      <c r="BKB111" s="456"/>
      <c r="BKC111" s="456"/>
      <c r="BKD111" s="456"/>
      <c r="BKE111" s="456"/>
      <c r="BKF111" s="456"/>
      <c r="BKG111" s="456"/>
      <c r="BKH111" s="456"/>
      <c r="BKI111" s="456"/>
      <c r="BKJ111" s="456"/>
      <c r="BKK111" s="456"/>
      <c r="BKL111" s="456"/>
      <c r="BKM111" s="456"/>
      <c r="BKN111" s="456"/>
      <c r="BKO111" s="456"/>
      <c r="BKP111" s="456"/>
      <c r="BKQ111" s="456"/>
      <c r="BKR111" s="456"/>
      <c r="BKS111" s="456"/>
      <c r="BKT111" s="456"/>
      <c r="BKU111" s="456"/>
      <c r="BKV111" s="456"/>
      <c r="BKW111" s="456"/>
      <c r="BKX111" s="456"/>
      <c r="BKY111" s="456"/>
      <c r="BKZ111" s="456"/>
      <c r="BLA111" s="456"/>
      <c r="BLB111" s="456"/>
      <c r="BLC111" s="456"/>
      <c r="BLD111" s="456"/>
      <c r="BLE111" s="456"/>
      <c r="BLF111" s="456"/>
      <c r="BLG111" s="456"/>
      <c r="BLH111" s="456"/>
      <c r="BLI111" s="456"/>
      <c r="BLJ111" s="456"/>
      <c r="BLK111" s="456"/>
      <c r="BLL111" s="456"/>
      <c r="BLM111" s="456"/>
      <c r="BLN111" s="456"/>
      <c r="BLO111" s="456"/>
      <c r="BLP111" s="456"/>
      <c r="BLQ111" s="456"/>
      <c r="BLR111" s="456"/>
      <c r="BLS111" s="456"/>
      <c r="BLT111" s="456"/>
      <c r="BLU111" s="456"/>
      <c r="BLV111" s="456"/>
      <c r="BLW111" s="456"/>
      <c r="BLX111" s="456"/>
      <c r="BLY111" s="456"/>
      <c r="BLZ111" s="456"/>
      <c r="BMA111" s="456"/>
      <c r="BMB111" s="456"/>
      <c r="BMC111" s="456"/>
      <c r="BMD111" s="456"/>
      <c r="BME111" s="456"/>
      <c r="BMF111" s="456"/>
      <c r="BMG111" s="456"/>
      <c r="BMH111" s="456"/>
      <c r="BMI111" s="456"/>
      <c r="BMJ111" s="456"/>
      <c r="BMK111" s="456"/>
      <c r="BML111" s="456"/>
      <c r="BMM111" s="456"/>
      <c r="BMN111" s="456"/>
      <c r="BMO111" s="456"/>
      <c r="BMP111" s="456"/>
      <c r="BMQ111" s="456"/>
      <c r="BMR111" s="456"/>
      <c r="BMS111" s="456"/>
      <c r="BMT111" s="456"/>
      <c r="BMU111" s="456"/>
      <c r="BMV111" s="456"/>
      <c r="BMW111" s="456"/>
      <c r="BMX111" s="456"/>
      <c r="BMY111" s="456"/>
      <c r="BMZ111" s="456"/>
      <c r="BNA111" s="456"/>
      <c r="BNB111" s="456"/>
      <c r="BNC111" s="456"/>
      <c r="BND111" s="456"/>
      <c r="BNE111" s="456"/>
      <c r="BNF111" s="456"/>
      <c r="BNG111" s="456"/>
      <c r="BNH111" s="456"/>
      <c r="BNI111" s="456"/>
      <c r="BNJ111" s="456"/>
      <c r="BNK111" s="456"/>
      <c r="BNL111" s="456"/>
      <c r="BNM111" s="456"/>
      <c r="BNN111" s="456"/>
      <c r="BNO111" s="456"/>
      <c r="BNP111" s="456"/>
      <c r="BNQ111" s="456"/>
      <c r="BNR111" s="456"/>
      <c r="BNS111" s="456"/>
      <c r="BNT111" s="456"/>
      <c r="BNU111" s="456"/>
      <c r="BNV111" s="456"/>
      <c r="BNW111" s="456"/>
      <c r="BNX111" s="456"/>
      <c r="BNY111" s="456"/>
      <c r="BNZ111" s="456"/>
      <c r="BOA111" s="456"/>
      <c r="BOB111" s="456"/>
      <c r="BOC111" s="456"/>
      <c r="BOD111" s="456"/>
      <c r="BOE111" s="456"/>
      <c r="BOF111" s="456"/>
      <c r="BOG111" s="456"/>
      <c r="BOH111" s="456"/>
      <c r="BOI111" s="456"/>
      <c r="BOJ111" s="456"/>
      <c r="BOK111" s="456"/>
      <c r="BOL111" s="456"/>
      <c r="BOM111" s="456"/>
      <c r="BON111" s="456"/>
      <c r="BOO111" s="456"/>
      <c r="BOP111" s="456"/>
      <c r="BOQ111" s="456"/>
      <c r="BOR111" s="456"/>
      <c r="BOS111" s="456"/>
      <c r="BOT111" s="456"/>
      <c r="BOU111" s="456"/>
      <c r="BOV111" s="456"/>
      <c r="BOW111" s="456"/>
      <c r="BOX111" s="456"/>
      <c r="BOY111" s="456"/>
      <c r="BOZ111" s="456"/>
      <c r="BPA111" s="456"/>
      <c r="BPB111" s="456"/>
      <c r="BPC111" s="456"/>
      <c r="BPD111" s="456"/>
      <c r="BPE111" s="456"/>
      <c r="BPF111" s="456"/>
      <c r="BPG111" s="456"/>
      <c r="BPH111" s="456"/>
      <c r="BPI111" s="456"/>
      <c r="BPJ111" s="456"/>
      <c r="BPK111" s="456"/>
      <c r="BPL111" s="456"/>
      <c r="BPM111" s="456"/>
      <c r="BPN111" s="456"/>
      <c r="BPO111" s="456"/>
      <c r="BPP111" s="456"/>
      <c r="BPQ111" s="456"/>
      <c r="BPR111" s="456"/>
      <c r="BPS111" s="456"/>
      <c r="BPT111" s="456"/>
      <c r="BPU111" s="456"/>
      <c r="BPV111" s="456"/>
      <c r="BPW111" s="456"/>
      <c r="BPX111" s="456"/>
      <c r="BPY111" s="456"/>
      <c r="BPZ111" s="456"/>
      <c r="BQA111" s="456"/>
      <c r="BQB111" s="456"/>
      <c r="BQC111" s="456"/>
      <c r="BQD111" s="456"/>
      <c r="BQE111" s="456"/>
      <c r="BQF111" s="456"/>
      <c r="BQG111" s="456"/>
      <c r="BQH111" s="456"/>
      <c r="BQI111" s="456"/>
      <c r="BQJ111" s="456"/>
      <c r="BQK111" s="456"/>
      <c r="BQL111" s="456"/>
      <c r="BQM111" s="456"/>
      <c r="BQN111" s="456"/>
      <c r="BQO111" s="456"/>
      <c r="BQP111" s="456"/>
      <c r="BQQ111" s="456"/>
      <c r="BQR111" s="456"/>
      <c r="BQS111" s="456"/>
      <c r="BQT111" s="456"/>
      <c r="BQU111" s="456"/>
      <c r="BQV111" s="456"/>
      <c r="BQW111" s="456"/>
      <c r="BQX111" s="456"/>
      <c r="BQY111" s="456"/>
      <c r="BQZ111" s="456"/>
      <c r="BRA111" s="456"/>
      <c r="BRB111" s="456"/>
      <c r="BRC111" s="456"/>
      <c r="BRD111" s="456"/>
      <c r="BRE111" s="456"/>
      <c r="BRF111" s="456"/>
      <c r="BRG111" s="456"/>
      <c r="BRH111" s="456"/>
      <c r="BRI111" s="456"/>
      <c r="BRJ111" s="456"/>
      <c r="BRK111" s="456"/>
      <c r="BRL111" s="456"/>
      <c r="BRM111" s="456"/>
      <c r="BRN111" s="456"/>
      <c r="BRO111" s="456"/>
      <c r="BRP111" s="456"/>
      <c r="BRQ111" s="456"/>
      <c r="BRR111" s="456"/>
      <c r="BRS111" s="456"/>
      <c r="BRT111" s="456"/>
      <c r="BRU111" s="456"/>
      <c r="BRV111" s="456"/>
      <c r="BRW111" s="456"/>
      <c r="BRX111" s="456"/>
      <c r="BRY111" s="456"/>
      <c r="BRZ111" s="456"/>
      <c r="BSA111" s="456"/>
      <c r="BSB111" s="456"/>
      <c r="BSC111" s="456"/>
      <c r="BSD111" s="456"/>
      <c r="BSE111" s="456"/>
      <c r="BSF111" s="456"/>
      <c r="BSG111" s="456"/>
      <c r="BSH111" s="456"/>
      <c r="BSI111" s="456"/>
      <c r="BSJ111" s="456"/>
      <c r="BSK111" s="456"/>
      <c r="BSL111" s="456"/>
      <c r="BSM111" s="456"/>
      <c r="BSN111" s="456"/>
      <c r="BSO111" s="456"/>
      <c r="BSP111" s="456"/>
      <c r="BSQ111" s="456"/>
      <c r="BSR111" s="456"/>
      <c r="BSS111" s="456"/>
      <c r="BST111" s="456"/>
      <c r="BSU111" s="456"/>
      <c r="BSV111" s="456"/>
      <c r="BSW111" s="456"/>
      <c r="BSX111" s="456"/>
      <c r="BSY111" s="456"/>
      <c r="BSZ111" s="456"/>
      <c r="BTA111" s="456"/>
      <c r="BTB111" s="456"/>
      <c r="BTC111" s="456"/>
      <c r="BTD111" s="456"/>
      <c r="BTE111" s="456"/>
      <c r="BTF111" s="456"/>
      <c r="BTG111" s="456"/>
      <c r="BTH111" s="456"/>
      <c r="BTI111" s="456"/>
      <c r="BTJ111" s="456"/>
      <c r="BTK111" s="456"/>
      <c r="BTL111" s="456"/>
      <c r="BTM111" s="456"/>
      <c r="BTN111" s="456"/>
      <c r="BTO111" s="456"/>
      <c r="BTP111" s="456"/>
      <c r="BTQ111" s="456"/>
      <c r="BTR111" s="456"/>
      <c r="BTS111" s="456"/>
      <c r="BTT111" s="456"/>
      <c r="BTU111" s="456"/>
      <c r="BTV111" s="456"/>
      <c r="BTW111" s="456"/>
      <c r="BTX111" s="456"/>
      <c r="BTY111" s="456"/>
      <c r="BTZ111" s="456"/>
      <c r="BUA111" s="456"/>
      <c r="BUB111" s="456"/>
      <c r="BUC111" s="456"/>
      <c r="BUD111" s="456"/>
      <c r="BUE111" s="456"/>
      <c r="BUF111" s="456"/>
      <c r="BUG111" s="456"/>
      <c r="BUH111" s="456"/>
      <c r="BUI111" s="456"/>
      <c r="BUJ111" s="456"/>
      <c r="BUK111" s="456"/>
      <c r="BUL111" s="456"/>
      <c r="BUM111" s="456"/>
      <c r="BUN111" s="456"/>
      <c r="BUO111" s="456"/>
      <c r="BUP111" s="456"/>
      <c r="BUQ111" s="456"/>
      <c r="BUR111" s="456"/>
      <c r="BUS111" s="456"/>
      <c r="BUT111" s="456"/>
      <c r="BUU111" s="456"/>
      <c r="BUV111" s="456"/>
      <c r="BUW111" s="456"/>
      <c r="BUX111" s="456"/>
      <c r="BUY111" s="456"/>
      <c r="BUZ111" s="456"/>
      <c r="BVA111" s="456"/>
      <c r="BVB111" s="456"/>
      <c r="BVC111" s="456"/>
      <c r="BVD111" s="456"/>
      <c r="BVE111" s="456"/>
      <c r="BVF111" s="456"/>
      <c r="BVG111" s="456"/>
      <c r="BVH111" s="456"/>
      <c r="BVI111" s="456"/>
      <c r="BVJ111" s="456"/>
      <c r="BVK111" s="456"/>
      <c r="BVL111" s="456"/>
      <c r="BVM111" s="456"/>
      <c r="BVN111" s="456"/>
      <c r="BVO111" s="456"/>
      <c r="BVP111" s="456"/>
      <c r="BVQ111" s="456"/>
      <c r="BVR111" s="456"/>
      <c r="BVS111" s="456"/>
      <c r="BVT111" s="456"/>
      <c r="BVU111" s="456"/>
      <c r="BVV111" s="456"/>
      <c r="BVW111" s="456"/>
      <c r="BVX111" s="456"/>
      <c r="BVY111" s="456"/>
      <c r="BVZ111" s="456"/>
      <c r="BWA111" s="456"/>
      <c r="BWB111" s="456"/>
      <c r="BWC111" s="456"/>
      <c r="BWD111" s="456"/>
      <c r="BWE111" s="456"/>
      <c r="BWF111" s="456"/>
      <c r="BWG111" s="456"/>
      <c r="BWH111" s="456"/>
      <c r="BWI111" s="456"/>
      <c r="BWJ111" s="456"/>
      <c r="BWK111" s="456"/>
      <c r="BWL111" s="456"/>
      <c r="BWM111" s="456"/>
      <c r="BWN111" s="456"/>
      <c r="BWO111" s="456"/>
      <c r="BWP111" s="456"/>
      <c r="BWQ111" s="456"/>
      <c r="BWR111" s="456"/>
      <c r="BWS111" s="456"/>
      <c r="BWT111" s="456"/>
      <c r="BWU111" s="456"/>
      <c r="BWV111" s="456"/>
      <c r="BWW111" s="456"/>
      <c r="BWX111" s="456"/>
      <c r="BWY111" s="456"/>
      <c r="BWZ111" s="456"/>
      <c r="BXA111" s="456"/>
      <c r="BXB111" s="456"/>
      <c r="BXC111" s="456"/>
      <c r="BXD111" s="456"/>
      <c r="BXE111" s="456"/>
      <c r="BXF111" s="456"/>
      <c r="BXG111" s="456"/>
      <c r="BXH111" s="456"/>
      <c r="BXI111" s="456"/>
      <c r="BXJ111" s="456"/>
      <c r="BXK111" s="456"/>
      <c r="BXL111" s="456"/>
      <c r="BXM111" s="456"/>
      <c r="BXN111" s="456"/>
      <c r="BXO111" s="456"/>
      <c r="BXP111" s="456"/>
      <c r="BXQ111" s="456"/>
      <c r="BXR111" s="456"/>
      <c r="BXS111" s="456"/>
      <c r="BXT111" s="456"/>
      <c r="BXU111" s="456"/>
      <c r="BXV111" s="456"/>
      <c r="BXW111" s="456"/>
      <c r="BXX111" s="456"/>
      <c r="BXY111" s="456"/>
      <c r="BXZ111" s="456"/>
    </row>
    <row r="112" s="25" customFormat="1" ht="15.6" spans="1:1024 1025:2002">
      <c r="A112" s="473"/>
      <c r="B112" s="19">
        <v>1125</v>
      </c>
      <c r="C112" s="183">
        <v>46196</v>
      </c>
      <c r="D112" s="17" t="s">
        <v>52</v>
      </c>
      <c r="E112" s="17" t="s">
        <v>53</v>
      </c>
      <c r="F112" s="17" t="s">
        <v>54</v>
      </c>
      <c r="G112" s="17"/>
      <c r="H112" s="19" t="s">
        <v>55</v>
      </c>
      <c r="I112" s="102" t="s">
        <v>56</v>
      </c>
      <c r="J112" s="17" t="s">
        <v>49</v>
      </c>
      <c r="K112" s="19">
        <v>610</v>
      </c>
      <c r="L112" s="19">
        <v>45</v>
      </c>
      <c r="M112" s="19">
        <v>5800</v>
      </c>
      <c r="N112" s="19" t="s">
        <v>40</v>
      </c>
      <c r="O112" s="19" t="s">
        <v>84</v>
      </c>
      <c r="P112" s="19">
        <f>840*2</f>
        <v>1680</v>
      </c>
      <c r="Q112" s="19">
        <f>792+782</f>
        <v>1574</v>
      </c>
      <c r="R112" s="19">
        <f t="shared" ref="R112:R177" si="9">+P112-Q112</f>
        <v>106</v>
      </c>
      <c r="S112" s="311">
        <v>2040</v>
      </c>
      <c r="T112" s="19" t="s">
        <v>42</v>
      </c>
      <c r="U112" s="102" t="s">
        <v>101</v>
      </c>
      <c r="V112" s="186">
        <v>46197</v>
      </c>
      <c r="W112" s="17" t="s">
        <v>58</v>
      </c>
      <c r="X112" s="17"/>
      <c r="Y112" s="68">
        <v>46204</v>
      </c>
      <c r="Z112" s="17" t="s">
        <v>45</v>
      </c>
      <c r="AA112" s="17" t="s">
        <v>59</v>
      </c>
      <c r="AB112" s="17" t="s">
        <v>102</v>
      </c>
      <c r="AC112" s="217">
        <v>46274</v>
      </c>
      <c r="AD112" s="65">
        <v>1861</v>
      </c>
      <c r="AE112" s="17" t="s">
        <v>48</v>
      </c>
      <c r="AF112" s="17" t="s">
        <v>61</v>
      </c>
      <c r="AG112" s="17" t="s">
        <v>103</v>
      </c>
      <c r="AH112" s="456"/>
      <c r="AI112" s="456"/>
      <c r="AJ112" s="456"/>
      <c r="AK112" s="456"/>
      <c r="AL112" s="456"/>
      <c r="AM112" s="456"/>
      <c r="AN112" s="456"/>
      <c r="AO112" s="456"/>
      <c r="AP112" s="456"/>
      <c r="AQ112" s="456"/>
      <c r="AR112" s="456"/>
      <c r="AS112" s="456"/>
      <c r="AT112" s="456"/>
      <c r="AU112" s="456"/>
      <c r="AV112" s="456"/>
      <c r="AW112" s="456"/>
      <c r="AX112" s="456"/>
      <c r="AY112" s="456"/>
      <c r="AZ112" s="456"/>
      <c r="BA112" s="456"/>
      <c r="BB112" s="456"/>
      <c r="BC112" s="456"/>
      <c r="BD112" s="456"/>
      <c r="BE112" s="456"/>
      <c r="BF112" s="456"/>
      <c r="BG112" s="456"/>
      <c r="BH112" s="456"/>
      <c r="BI112" s="456"/>
      <c r="BJ112" s="456"/>
      <c r="BK112" s="456"/>
      <c r="BL112" s="456"/>
      <c r="BM112" s="456"/>
      <c r="BN112" s="456"/>
      <c r="BO112" s="456"/>
      <c r="BP112" s="456"/>
      <c r="BQ112" s="456"/>
      <c r="BR112" s="456"/>
      <c r="BS112" s="456"/>
      <c r="BT112" s="456"/>
      <c r="BU112" s="456"/>
      <c r="BV112" s="456"/>
      <c r="BW112" s="456"/>
      <c r="BX112" s="456"/>
      <c r="BY112" s="456"/>
      <c r="BZ112" s="456"/>
      <c r="CA112" s="456"/>
      <c r="CB112" s="456"/>
      <c r="CC112" s="456"/>
      <c r="CD112" s="456"/>
      <c r="CE112" s="456"/>
      <c r="CF112" s="456"/>
      <c r="CG112" s="456"/>
      <c r="CH112" s="456"/>
      <c r="CI112" s="456"/>
      <c r="CJ112" s="456"/>
      <c r="CK112" s="456"/>
      <c r="CL112" s="456"/>
      <c r="CM112" s="456"/>
      <c r="CN112" s="456"/>
      <c r="CO112" s="456"/>
      <c r="CP112" s="456"/>
      <c r="CQ112" s="456"/>
      <c r="CR112" s="456"/>
      <c r="CS112" s="456"/>
      <c r="CT112" s="456"/>
      <c r="CU112" s="456"/>
      <c r="CV112" s="456"/>
      <c r="CW112" s="456"/>
      <c r="CX112" s="456"/>
      <c r="CY112" s="456"/>
      <c r="CZ112" s="456"/>
      <c r="DA112" s="456"/>
      <c r="DB112" s="456"/>
      <c r="DC112" s="456"/>
      <c r="DD112" s="456"/>
      <c r="DE112" s="456"/>
      <c r="DF112" s="456"/>
      <c r="DG112" s="456"/>
      <c r="DH112" s="456"/>
      <c r="DI112" s="456"/>
      <c r="DJ112" s="456"/>
      <c r="DK112" s="456"/>
      <c r="DL112" s="456"/>
      <c r="DM112" s="456"/>
      <c r="DN112" s="456"/>
      <c r="DO112" s="456"/>
      <c r="DP112" s="456"/>
      <c r="DQ112" s="456"/>
      <c r="DR112" s="456"/>
      <c r="DS112" s="456"/>
      <c r="DT112" s="456"/>
      <c r="DU112" s="456"/>
      <c r="DV112" s="456"/>
      <c r="DW112" s="456"/>
      <c r="DX112" s="456"/>
      <c r="DY112" s="456"/>
      <c r="DZ112" s="456"/>
      <c r="EA112" s="456"/>
      <c r="EB112" s="456"/>
      <c r="EC112" s="456"/>
      <c r="ED112" s="456"/>
      <c r="EE112" s="456"/>
      <c r="EF112" s="456"/>
      <c r="EG112" s="456"/>
      <c r="EH112" s="456"/>
      <c r="EI112" s="456"/>
      <c r="EJ112" s="456"/>
      <c r="EK112" s="456"/>
      <c r="EL112" s="456"/>
      <c r="EM112" s="456"/>
      <c r="EN112" s="456"/>
      <c r="EO112" s="456"/>
      <c r="EP112" s="456"/>
      <c r="EQ112" s="456"/>
      <c r="ER112" s="456"/>
      <c r="ES112" s="456"/>
      <c r="ET112" s="456"/>
      <c r="EU112" s="456"/>
      <c r="EV112" s="456"/>
      <c r="EW112" s="456"/>
      <c r="EX112" s="456"/>
      <c r="EY112" s="456"/>
      <c r="EZ112" s="456"/>
      <c r="FA112" s="456"/>
      <c r="FB112" s="456"/>
      <c r="FC112" s="456"/>
      <c r="FD112" s="456"/>
      <c r="FE112" s="456"/>
      <c r="FF112" s="456"/>
      <c r="FG112" s="456"/>
      <c r="FH112" s="456"/>
      <c r="FI112" s="456"/>
      <c r="FJ112" s="456"/>
      <c r="FK112" s="456"/>
      <c r="FL112" s="456"/>
      <c r="FM112" s="456"/>
      <c r="FN112" s="456"/>
      <c r="FO112" s="456"/>
      <c r="FP112" s="456"/>
      <c r="FQ112" s="456"/>
      <c r="FR112" s="456"/>
      <c r="FS112" s="456"/>
      <c r="FT112" s="456"/>
      <c r="FU112" s="456"/>
      <c r="FV112" s="456"/>
      <c r="FW112" s="456"/>
      <c r="FX112" s="456"/>
      <c r="FY112" s="456"/>
      <c r="FZ112" s="456"/>
      <c r="GA112" s="456"/>
      <c r="GB112" s="456"/>
      <c r="GC112" s="456"/>
      <c r="GD112" s="456"/>
      <c r="GE112" s="456"/>
      <c r="GF112" s="456"/>
      <c r="GG112" s="456"/>
      <c r="GH112" s="456"/>
      <c r="GI112" s="456"/>
      <c r="GJ112" s="456"/>
      <c r="GK112" s="456"/>
      <c r="GL112" s="456"/>
      <c r="GM112" s="456"/>
      <c r="GN112" s="456"/>
      <c r="GO112" s="456"/>
      <c r="GP112" s="456"/>
      <c r="GQ112" s="456"/>
      <c r="GR112" s="456"/>
      <c r="GS112" s="456"/>
      <c r="GT112" s="456"/>
      <c r="GU112" s="456"/>
      <c r="GV112" s="456"/>
      <c r="GW112" s="456"/>
      <c r="GX112" s="456"/>
      <c r="GY112" s="456"/>
      <c r="GZ112" s="456"/>
      <c r="HA112" s="456"/>
      <c r="HB112" s="456"/>
      <c r="HC112" s="456"/>
      <c r="HD112" s="456"/>
      <c r="HE112" s="456"/>
      <c r="HF112" s="456"/>
      <c r="HG112" s="456"/>
      <c r="HH112" s="456"/>
      <c r="HI112" s="456"/>
      <c r="HJ112" s="456"/>
      <c r="HK112" s="456"/>
      <c r="HL112" s="456"/>
      <c r="HM112" s="456"/>
      <c r="HN112" s="456"/>
      <c r="HO112" s="456"/>
      <c r="HP112" s="456"/>
      <c r="HQ112" s="456"/>
      <c r="HR112" s="456"/>
      <c r="HS112" s="456"/>
      <c r="HT112" s="456"/>
      <c r="HU112" s="456"/>
      <c r="HV112" s="456"/>
      <c r="HW112" s="456"/>
      <c r="HX112" s="456"/>
      <c r="HY112" s="456"/>
      <c r="HZ112" s="456"/>
      <c r="IA112" s="456"/>
      <c r="IB112" s="456"/>
      <c r="IC112" s="456"/>
      <c r="ID112" s="456"/>
      <c r="IE112" s="456"/>
      <c r="IF112" s="456"/>
      <c r="IG112" s="456"/>
      <c r="IH112" s="456"/>
      <c r="II112" s="456"/>
      <c r="IJ112" s="456"/>
      <c r="IK112" s="456"/>
      <c r="IL112" s="456"/>
      <c r="IM112" s="456"/>
      <c r="IN112" s="456"/>
      <c r="IO112" s="456"/>
      <c r="IP112" s="456"/>
      <c r="IQ112" s="456"/>
      <c r="IR112" s="456"/>
      <c r="IS112" s="456"/>
      <c r="IT112" s="456"/>
      <c r="IU112" s="456"/>
      <c r="IV112" s="456"/>
      <c r="IW112" s="456"/>
      <c r="IX112" s="456"/>
      <c r="IY112" s="456"/>
      <c r="IZ112" s="456"/>
      <c r="JA112" s="456"/>
      <c r="JB112" s="456"/>
      <c r="JC112" s="456"/>
      <c r="JD112" s="456"/>
      <c r="JE112" s="456"/>
      <c r="JF112" s="456"/>
      <c r="JG112" s="456"/>
      <c r="JH112" s="456"/>
      <c r="JI112" s="456"/>
      <c r="JJ112" s="456"/>
      <c r="JK112" s="456"/>
      <c r="JL112" s="456"/>
      <c r="JM112" s="456"/>
      <c r="JN112" s="456"/>
      <c r="JO112" s="456"/>
      <c r="JP112" s="456"/>
      <c r="JQ112" s="456"/>
      <c r="JR112" s="456"/>
      <c r="JS112" s="456"/>
      <c r="JT112" s="456"/>
      <c r="JU112" s="456"/>
      <c r="JV112" s="456"/>
      <c r="JW112" s="456"/>
      <c r="JX112" s="456"/>
      <c r="JY112" s="456"/>
      <c r="JZ112" s="456"/>
      <c r="KA112" s="456"/>
      <c r="KB112" s="456"/>
      <c r="KC112" s="456"/>
      <c r="KD112" s="456"/>
      <c r="KE112" s="456"/>
      <c r="KF112" s="456"/>
      <c r="KG112" s="456"/>
      <c r="KH112" s="456"/>
      <c r="KI112" s="456"/>
      <c r="KJ112" s="456"/>
      <c r="KK112" s="456"/>
      <c r="KL112" s="456"/>
      <c r="KM112" s="456"/>
      <c r="KN112" s="456"/>
      <c r="KO112" s="456"/>
      <c r="KP112" s="456"/>
      <c r="KQ112" s="456"/>
      <c r="KR112" s="456"/>
      <c r="KS112" s="456"/>
      <c r="KT112" s="456"/>
      <c r="KU112" s="456"/>
      <c r="KV112" s="456"/>
      <c r="KW112" s="456"/>
      <c r="KX112" s="456"/>
      <c r="KY112" s="456"/>
      <c r="KZ112" s="456"/>
      <c r="LA112" s="456"/>
      <c r="LB112" s="456"/>
      <c r="LC112" s="456"/>
      <c r="LD112" s="456"/>
      <c r="LE112" s="456"/>
      <c r="LF112" s="456"/>
      <c r="LG112" s="456"/>
      <c r="LH112" s="456"/>
      <c r="LI112" s="456"/>
      <c r="LJ112" s="456"/>
      <c r="LK112" s="456"/>
      <c r="LL112" s="456"/>
      <c r="LM112" s="456"/>
      <c r="LN112" s="456"/>
      <c r="LO112" s="456"/>
      <c r="LP112" s="456"/>
      <c r="LQ112" s="456"/>
      <c r="LR112" s="456"/>
      <c r="LS112" s="456"/>
      <c r="LT112" s="456"/>
      <c r="LU112" s="456"/>
      <c r="LV112" s="456"/>
      <c r="LW112" s="456"/>
      <c r="LX112" s="456"/>
      <c r="LY112" s="456"/>
      <c r="LZ112" s="456"/>
      <c r="MA112" s="456"/>
      <c r="MB112" s="456"/>
      <c r="MC112" s="456"/>
      <c r="MD112" s="456"/>
      <c r="ME112" s="456"/>
      <c r="MF112" s="456"/>
      <c r="MG112" s="456"/>
      <c r="MH112" s="456"/>
      <c r="MI112" s="456"/>
      <c r="MJ112" s="456"/>
      <c r="MK112" s="456"/>
      <c r="ML112" s="456"/>
      <c r="MM112" s="456"/>
      <c r="MN112" s="456"/>
      <c r="MO112" s="456"/>
      <c r="MP112" s="456"/>
      <c r="MQ112" s="456"/>
      <c r="MR112" s="456"/>
      <c r="MS112" s="456"/>
      <c r="MT112" s="456"/>
      <c r="MU112" s="456"/>
      <c r="MV112" s="456"/>
      <c r="MW112" s="456"/>
      <c r="MX112" s="456"/>
      <c r="MY112" s="456"/>
      <c r="MZ112" s="456"/>
      <c r="NA112" s="456"/>
      <c r="NB112" s="456"/>
      <c r="NC112" s="456"/>
      <c r="ND112" s="456"/>
      <c r="NE112" s="456"/>
      <c r="NF112" s="456"/>
      <c r="NG112" s="456"/>
      <c r="NH112" s="456"/>
      <c r="NI112" s="456"/>
      <c r="NJ112" s="456"/>
      <c r="NK112" s="456"/>
      <c r="NL112" s="456"/>
      <c r="NM112" s="456"/>
      <c r="NN112" s="456"/>
      <c r="NO112" s="456"/>
      <c r="NP112" s="456"/>
      <c r="NQ112" s="456"/>
      <c r="NR112" s="456"/>
      <c r="NS112" s="456"/>
      <c r="NT112" s="456"/>
      <c r="NU112" s="456"/>
      <c r="NV112" s="456"/>
      <c r="NW112" s="456"/>
      <c r="NX112" s="456"/>
      <c r="NY112" s="456"/>
      <c r="NZ112" s="456"/>
      <c r="OA112" s="456"/>
      <c r="OB112" s="456"/>
      <c r="OC112" s="456"/>
      <c r="OD112" s="456"/>
      <c r="OE112" s="456"/>
      <c r="OF112" s="456"/>
      <c r="OG112" s="456"/>
      <c r="OH112" s="456"/>
      <c r="OI112" s="456"/>
      <c r="OJ112" s="456"/>
      <c r="OK112" s="456"/>
      <c r="OL112" s="456"/>
      <c r="OM112" s="456"/>
      <c r="ON112" s="456"/>
      <c r="OO112" s="456"/>
      <c r="OP112" s="456"/>
      <c r="OQ112" s="456"/>
      <c r="OR112" s="456"/>
      <c r="OS112" s="456"/>
      <c r="OT112" s="456"/>
      <c r="OU112" s="456"/>
      <c r="OV112" s="456"/>
      <c r="OW112" s="456"/>
      <c r="OX112" s="456"/>
      <c r="OY112" s="456"/>
      <c r="OZ112" s="456"/>
      <c r="PA112" s="456"/>
      <c r="PB112" s="456"/>
      <c r="PC112" s="456"/>
      <c r="PD112" s="456"/>
      <c r="PE112" s="456"/>
      <c r="PF112" s="456"/>
      <c r="PG112" s="456"/>
      <c r="PH112" s="456"/>
      <c r="PI112" s="456"/>
      <c r="PJ112" s="456"/>
      <c r="PK112" s="456"/>
      <c r="PL112" s="456"/>
      <c r="PM112" s="456"/>
      <c r="PN112" s="456"/>
      <c r="PO112" s="456"/>
      <c r="PP112" s="456"/>
      <c r="PQ112" s="456"/>
      <c r="PR112" s="456"/>
      <c r="PS112" s="456"/>
      <c r="PT112" s="456"/>
      <c r="PU112" s="456"/>
      <c r="PV112" s="456"/>
      <c r="PW112" s="456"/>
      <c r="PX112" s="456"/>
      <c r="PY112" s="456"/>
      <c r="PZ112" s="456"/>
      <c r="QA112" s="456"/>
      <c r="QB112" s="456"/>
      <c r="QC112" s="456"/>
      <c r="QD112" s="456"/>
      <c r="QE112" s="456"/>
      <c r="QF112" s="456"/>
      <c r="QG112" s="456"/>
      <c r="QH112" s="456"/>
      <c r="QI112" s="456"/>
      <c r="QJ112" s="456"/>
      <c r="QK112" s="456"/>
      <c r="QL112" s="456"/>
      <c r="QM112" s="456"/>
      <c r="QN112" s="456"/>
      <c r="QO112" s="456"/>
      <c r="QP112" s="456"/>
      <c r="QQ112" s="456"/>
      <c r="QR112" s="456"/>
      <c r="QS112" s="456"/>
      <c r="QT112" s="456"/>
      <c r="QU112" s="456"/>
      <c r="QV112" s="456"/>
      <c r="QW112" s="456"/>
      <c r="QX112" s="456"/>
      <c r="QY112" s="456"/>
      <c r="QZ112" s="456"/>
      <c r="RA112" s="456"/>
      <c r="RB112" s="456"/>
      <c r="RC112" s="456"/>
      <c r="RD112" s="456"/>
      <c r="RE112" s="456"/>
      <c r="RF112" s="456"/>
      <c r="RG112" s="456"/>
      <c r="RH112" s="456"/>
      <c r="RI112" s="456"/>
      <c r="RJ112" s="456"/>
      <c r="RK112" s="456"/>
      <c r="RL112" s="456"/>
      <c r="RM112" s="456"/>
      <c r="RN112" s="456"/>
      <c r="RO112" s="456"/>
      <c r="RP112" s="456"/>
      <c r="RQ112" s="456"/>
      <c r="RR112" s="456"/>
      <c r="RS112" s="456"/>
      <c r="RT112" s="456"/>
      <c r="RU112" s="456"/>
      <c r="RV112" s="456"/>
      <c r="RW112" s="456"/>
      <c r="RX112" s="456"/>
      <c r="RY112" s="456"/>
      <c r="RZ112" s="456"/>
      <c r="SA112" s="456"/>
      <c r="SB112" s="456"/>
      <c r="SC112" s="456"/>
      <c r="SD112" s="456"/>
      <c r="SE112" s="456"/>
      <c r="SF112" s="456"/>
      <c r="SG112" s="456"/>
      <c r="SH112" s="456"/>
      <c r="SI112" s="456"/>
      <c r="SJ112" s="456"/>
      <c r="SK112" s="456"/>
      <c r="SL112" s="456"/>
      <c r="SM112" s="456"/>
      <c r="SN112" s="456"/>
      <c r="SO112" s="456"/>
      <c r="SP112" s="456"/>
      <c r="SQ112" s="456"/>
      <c r="SR112" s="456"/>
      <c r="SS112" s="456"/>
      <c r="ST112" s="456"/>
      <c r="SU112" s="456"/>
      <c r="SV112" s="456"/>
      <c r="SW112" s="456"/>
      <c r="SX112" s="456"/>
      <c r="SY112" s="456"/>
      <c r="SZ112" s="456"/>
      <c r="TA112" s="456"/>
      <c r="TB112" s="456"/>
      <c r="TC112" s="456"/>
      <c r="TD112" s="456"/>
      <c r="TE112" s="456"/>
      <c r="TF112" s="456"/>
      <c r="TG112" s="456"/>
      <c r="TH112" s="456"/>
      <c r="TI112" s="456"/>
      <c r="TJ112" s="456"/>
      <c r="TK112" s="456"/>
      <c r="TL112" s="456"/>
      <c r="TM112" s="456"/>
      <c r="TN112" s="456"/>
      <c r="TO112" s="456"/>
      <c r="TP112" s="456"/>
      <c r="TQ112" s="456"/>
      <c r="TR112" s="456"/>
      <c r="TS112" s="456"/>
      <c r="TT112" s="456"/>
      <c r="TU112" s="456"/>
      <c r="TV112" s="456"/>
      <c r="TW112" s="456"/>
      <c r="TX112" s="456"/>
      <c r="TY112" s="456"/>
      <c r="TZ112" s="456"/>
      <c r="UA112" s="456"/>
      <c r="UB112" s="456"/>
      <c r="UC112" s="456"/>
      <c r="UD112" s="456"/>
      <c r="UE112" s="456"/>
      <c r="UF112" s="456"/>
      <c r="UG112" s="456"/>
      <c r="UH112" s="456"/>
      <c r="UI112" s="456"/>
      <c r="UJ112" s="456"/>
      <c r="UK112" s="456"/>
      <c r="UL112" s="456"/>
      <c r="UM112" s="456"/>
      <c r="UN112" s="456"/>
      <c r="UO112" s="456"/>
      <c r="UP112" s="456"/>
      <c r="UQ112" s="456"/>
      <c r="UR112" s="456"/>
      <c r="US112" s="456"/>
      <c r="UT112" s="456"/>
      <c r="UU112" s="456"/>
      <c r="UV112" s="456"/>
      <c r="UW112" s="456"/>
      <c r="UX112" s="456"/>
      <c r="UY112" s="456"/>
      <c r="UZ112" s="456"/>
      <c r="VA112" s="456"/>
      <c r="VB112" s="456"/>
      <c r="VC112" s="456"/>
      <c r="VD112" s="456"/>
      <c r="VE112" s="456"/>
      <c r="VF112" s="456"/>
      <c r="VG112" s="456"/>
      <c r="VH112" s="456"/>
      <c r="VI112" s="456"/>
      <c r="VJ112" s="456"/>
      <c r="VK112" s="456"/>
      <c r="VL112" s="456"/>
      <c r="VM112" s="456"/>
      <c r="VN112" s="456"/>
      <c r="VO112" s="456"/>
      <c r="VP112" s="456"/>
      <c r="VQ112" s="456"/>
      <c r="VR112" s="456"/>
      <c r="VS112" s="456"/>
      <c r="VT112" s="456"/>
      <c r="VU112" s="456"/>
      <c r="VV112" s="456"/>
      <c r="VW112" s="456"/>
      <c r="VX112" s="456"/>
      <c r="VY112" s="456"/>
      <c r="VZ112" s="456"/>
      <c r="WA112" s="456"/>
      <c r="WB112" s="456"/>
      <c r="WC112" s="456"/>
      <c r="WD112" s="456"/>
      <c r="WE112" s="456"/>
      <c r="WF112" s="456"/>
      <c r="WG112" s="456"/>
      <c r="WH112" s="456"/>
      <c r="WI112" s="456"/>
      <c r="WJ112" s="456"/>
      <c r="WK112" s="456"/>
      <c r="WL112" s="456"/>
      <c r="WM112" s="456"/>
      <c r="WN112" s="456"/>
      <c r="WO112" s="456"/>
      <c r="WP112" s="456"/>
      <c r="WQ112" s="456"/>
      <c r="WR112" s="456"/>
      <c r="WS112" s="456"/>
      <c r="WT112" s="456"/>
      <c r="WU112" s="456"/>
      <c r="WV112" s="456"/>
      <c r="WW112" s="456"/>
      <c r="WX112" s="456"/>
      <c r="WY112" s="456"/>
      <c r="WZ112" s="456"/>
      <c r="XA112" s="456"/>
      <c r="XB112" s="456"/>
      <c r="XC112" s="456"/>
      <c r="XD112" s="456"/>
      <c r="XE112" s="456"/>
      <c r="XF112" s="456"/>
      <c r="XG112" s="456"/>
      <c r="XH112" s="456"/>
      <c r="XI112" s="456"/>
      <c r="XJ112" s="456"/>
      <c r="XK112" s="456"/>
      <c r="XL112" s="456"/>
      <c r="XM112" s="456"/>
      <c r="XN112" s="456"/>
      <c r="XO112" s="456"/>
      <c r="XP112" s="456"/>
      <c r="XQ112" s="456"/>
      <c r="XR112" s="456"/>
      <c r="XS112" s="456"/>
      <c r="XT112" s="456"/>
      <c r="XU112" s="456"/>
      <c r="XV112" s="456"/>
      <c r="XW112" s="456"/>
      <c r="XX112" s="456"/>
      <c r="XY112" s="456"/>
      <c r="XZ112" s="456"/>
      <c r="YA112" s="456"/>
      <c r="YB112" s="456"/>
      <c r="YC112" s="456"/>
      <c r="YD112" s="456"/>
      <c r="YE112" s="456"/>
      <c r="YF112" s="456"/>
      <c r="YG112" s="456"/>
      <c r="YH112" s="456"/>
      <c r="YI112" s="456"/>
      <c r="YJ112" s="456"/>
      <c r="YK112" s="456"/>
      <c r="YL112" s="456"/>
      <c r="YM112" s="456"/>
      <c r="YN112" s="456"/>
      <c r="YO112" s="456"/>
      <c r="YP112" s="456"/>
      <c r="YQ112" s="456"/>
      <c r="YR112" s="456"/>
      <c r="YS112" s="456"/>
      <c r="YT112" s="456"/>
      <c r="YU112" s="456"/>
      <c r="YV112" s="456"/>
      <c r="YW112" s="456"/>
      <c r="YX112" s="456"/>
      <c r="YY112" s="456"/>
      <c r="YZ112" s="456"/>
      <c r="ZA112" s="456"/>
      <c r="ZB112" s="456"/>
      <c r="ZC112" s="456"/>
      <c r="ZD112" s="456"/>
      <c r="ZE112" s="456"/>
      <c r="ZF112" s="456"/>
      <c r="ZG112" s="456"/>
      <c r="ZH112" s="456"/>
      <c r="ZI112" s="456"/>
      <c r="ZJ112" s="456"/>
      <c r="ZK112" s="456"/>
      <c r="ZL112" s="456"/>
      <c r="ZM112" s="456"/>
      <c r="ZN112" s="456"/>
      <c r="ZO112" s="456"/>
      <c r="ZP112" s="456"/>
      <c r="ZQ112" s="456"/>
      <c r="ZR112" s="456"/>
      <c r="ZS112" s="456"/>
      <c r="ZT112" s="456"/>
      <c r="ZU112" s="456"/>
      <c r="ZV112" s="456"/>
      <c r="ZW112" s="456"/>
      <c r="ZX112" s="456"/>
      <c r="ZY112" s="456"/>
      <c r="ZZ112" s="456"/>
      <c r="AAA112" s="456"/>
      <c r="AAB112" s="456"/>
      <c r="AAC112" s="456"/>
      <c r="AAD112" s="456"/>
      <c r="AAE112" s="456"/>
      <c r="AAF112" s="456"/>
      <c r="AAG112" s="456"/>
      <c r="AAH112" s="456"/>
      <c r="AAI112" s="456"/>
      <c r="AAJ112" s="456"/>
      <c r="AAK112" s="456"/>
      <c r="AAL112" s="456"/>
      <c r="AAM112" s="456"/>
      <c r="AAN112" s="456"/>
      <c r="AAO112" s="456"/>
      <c r="AAP112" s="456"/>
      <c r="AAQ112" s="456"/>
      <c r="AAR112" s="456"/>
      <c r="AAS112" s="456"/>
      <c r="AAT112" s="456"/>
      <c r="AAU112" s="456"/>
      <c r="AAV112" s="456"/>
      <c r="AAW112" s="456"/>
      <c r="AAX112" s="456"/>
      <c r="AAY112" s="456"/>
      <c r="AAZ112" s="456"/>
      <c r="ABA112" s="456"/>
      <c r="ABB112" s="456"/>
      <c r="ABC112" s="456"/>
      <c r="ABD112" s="456"/>
      <c r="ABE112" s="456"/>
      <c r="ABF112" s="456"/>
      <c r="ABG112" s="456"/>
      <c r="ABH112" s="456"/>
      <c r="ABI112" s="456"/>
      <c r="ABJ112" s="456"/>
      <c r="ABK112" s="456"/>
      <c r="ABL112" s="456"/>
      <c r="ABM112" s="456"/>
      <c r="ABN112" s="456"/>
      <c r="ABO112" s="456"/>
      <c r="ABP112" s="456"/>
      <c r="ABQ112" s="456"/>
      <c r="ABR112" s="456"/>
      <c r="ABS112" s="456"/>
      <c r="ABT112" s="456"/>
      <c r="ABU112" s="456"/>
      <c r="ABV112" s="456"/>
      <c r="ABW112" s="456"/>
      <c r="ABX112" s="456"/>
      <c r="ABY112" s="456"/>
      <c r="ABZ112" s="456"/>
      <c r="ACA112" s="456"/>
      <c r="ACB112" s="456"/>
      <c r="ACC112" s="456"/>
      <c r="ACD112" s="456"/>
      <c r="ACE112" s="456"/>
      <c r="ACF112" s="456"/>
      <c r="ACG112" s="456"/>
      <c r="ACH112" s="456"/>
      <c r="ACI112" s="456"/>
      <c r="ACJ112" s="456"/>
      <c r="ACK112" s="456"/>
      <c r="ACL112" s="456"/>
      <c r="ACM112" s="456"/>
      <c r="ACN112" s="456"/>
      <c r="ACO112" s="456"/>
      <c r="ACP112" s="456"/>
      <c r="ACQ112" s="456"/>
      <c r="ACR112" s="456"/>
      <c r="ACS112" s="456"/>
      <c r="ACT112" s="456"/>
      <c r="ACU112" s="456"/>
      <c r="ACV112" s="456"/>
      <c r="ACW112" s="456"/>
      <c r="ACX112" s="456"/>
      <c r="ACY112" s="456"/>
      <c r="ACZ112" s="456"/>
      <c r="ADA112" s="456"/>
      <c r="ADB112" s="456"/>
      <c r="ADC112" s="456"/>
      <c r="ADD112" s="456"/>
      <c r="ADE112" s="456"/>
      <c r="ADF112" s="456"/>
      <c r="ADG112" s="456"/>
      <c r="ADH112" s="456"/>
      <c r="ADI112" s="456"/>
      <c r="ADJ112" s="456"/>
      <c r="ADK112" s="456"/>
      <c r="ADL112" s="456"/>
      <c r="ADM112" s="456"/>
      <c r="ADN112" s="456"/>
      <c r="ADO112" s="456"/>
      <c r="ADP112" s="456"/>
      <c r="ADQ112" s="456"/>
      <c r="ADR112" s="456"/>
      <c r="ADS112" s="456"/>
      <c r="ADT112" s="456"/>
      <c r="ADU112" s="456"/>
      <c r="ADV112" s="456"/>
      <c r="ADW112" s="456"/>
      <c r="ADX112" s="456"/>
      <c r="ADY112" s="456"/>
      <c r="ADZ112" s="456"/>
      <c r="AEA112" s="456"/>
      <c r="AEB112" s="456"/>
      <c r="AEC112" s="456"/>
      <c r="AED112" s="456"/>
      <c r="AEE112" s="456"/>
      <c r="AEF112" s="456"/>
      <c r="AEG112" s="456"/>
      <c r="AEH112" s="456"/>
      <c r="AEI112" s="456"/>
      <c r="AEJ112" s="456"/>
      <c r="AEK112" s="456"/>
      <c r="AEL112" s="456"/>
      <c r="AEM112" s="456"/>
      <c r="AEN112" s="456"/>
      <c r="AEO112" s="456"/>
      <c r="AEP112" s="456"/>
      <c r="AEQ112" s="456"/>
      <c r="AER112" s="456"/>
      <c r="AES112" s="456"/>
      <c r="AET112" s="456"/>
      <c r="AEU112" s="456"/>
      <c r="AEV112" s="456"/>
      <c r="AEW112" s="456"/>
      <c r="AEX112" s="456"/>
      <c r="AEY112" s="456"/>
      <c r="AEZ112" s="456"/>
      <c r="AFA112" s="456"/>
      <c r="AFB112" s="456"/>
      <c r="AFC112" s="456"/>
      <c r="AFD112" s="456"/>
      <c r="AFE112" s="456"/>
      <c r="AFF112" s="456"/>
      <c r="AFG112" s="456"/>
      <c r="AFH112" s="456"/>
      <c r="AFI112" s="456"/>
      <c r="AFJ112" s="456"/>
      <c r="AFK112" s="456"/>
      <c r="AFL112" s="456"/>
      <c r="AFM112" s="456"/>
      <c r="AFN112" s="456"/>
      <c r="AFO112" s="456"/>
      <c r="AFP112" s="456"/>
      <c r="AFQ112" s="456"/>
      <c r="AFR112" s="456"/>
      <c r="AFS112" s="456"/>
      <c r="AFT112" s="456"/>
      <c r="AFU112" s="456"/>
      <c r="AFV112" s="456"/>
      <c r="AFW112" s="456"/>
      <c r="AFX112" s="456"/>
      <c r="AFY112" s="456"/>
      <c r="AFZ112" s="456"/>
      <c r="AGA112" s="456"/>
      <c r="AGB112" s="456"/>
      <c r="AGC112" s="456"/>
      <c r="AGD112" s="456"/>
      <c r="AGE112" s="456"/>
      <c r="AGF112" s="456"/>
      <c r="AGG112" s="456"/>
      <c r="AGH112" s="456"/>
      <c r="AGI112" s="456"/>
      <c r="AGJ112" s="456"/>
      <c r="AGK112" s="456"/>
      <c r="AGL112" s="456"/>
      <c r="AGM112" s="456"/>
      <c r="AGN112" s="456"/>
      <c r="AGO112" s="456"/>
      <c r="AGP112" s="456"/>
      <c r="AGQ112" s="456"/>
      <c r="AGR112" s="456"/>
      <c r="AGS112" s="456"/>
      <c r="AGT112" s="456"/>
      <c r="AGU112" s="456"/>
      <c r="AGV112" s="456"/>
      <c r="AGW112" s="456"/>
      <c r="AGX112" s="456"/>
      <c r="AGY112" s="456"/>
      <c r="AGZ112" s="456"/>
      <c r="AHA112" s="456"/>
      <c r="AHB112" s="456"/>
      <c r="AHC112" s="456"/>
      <c r="AHD112" s="456"/>
      <c r="AHE112" s="456"/>
      <c r="AHF112" s="456"/>
      <c r="AHG112" s="456"/>
      <c r="AHH112" s="456"/>
      <c r="AHI112" s="456"/>
      <c r="AHJ112" s="456"/>
      <c r="AHK112" s="456"/>
      <c r="AHL112" s="456"/>
      <c r="AHM112" s="456"/>
      <c r="AHN112" s="456"/>
      <c r="AHO112" s="456"/>
      <c r="AHP112" s="456"/>
      <c r="AHQ112" s="456"/>
      <c r="AHR112" s="456"/>
      <c r="AHS112" s="456"/>
      <c r="AHT112" s="456"/>
      <c r="AHU112" s="456"/>
      <c r="AHV112" s="456"/>
      <c r="AHW112" s="456"/>
      <c r="AHX112" s="456"/>
      <c r="AHY112" s="456"/>
      <c r="AHZ112" s="456"/>
      <c r="AIA112" s="456"/>
      <c r="AIB112" s="456"/>
      <c r="AIC112" s="456"/>
      <c r="AID112" s="456"/>
      <c r="AIE112" s="456"/>
      <c r="AIF112" s="456"/>
      <c r="AIG112" s="456"/>
      <c r="AIH112" s="456"/>
      <c r="AII112" s="456"/>
      <c r="AIJ112" s="456"/>
      <c r="AIK112" s="456"/>
      <c r="AIL112" s="456"/>
      <c r="AIM112" s="456"/>
      <c r="AIN112" s="456"/>
      <c r="AIO112" s="456"/>
      <c r="AIP112" s="456"/>
      <c r="AIQ112" s="456"/>
      <c r="AIR112" s="456"/>
      <c r="AIS112" s="456"/>
      <c r="AIT112" s="456"/>
      <c r="AIU112" s="456"/>
      <c r="AIV112" s="456"/>
      <c r="AIW112" s="456"/>
      <c r="AIX112" s="456"/>
      <c r="AIY112" s="456"/>
      <c r="AIZ112" s="456"/>
      <c r="AJA112" s="456"/>
      <c r="AJB112" s="456"/>
      <c r="AJC112" s="456"/>
      <c r="AJD112" s="456"/>
      <c r="AJE112" s="456"/>
      <c r="AJF112" s="456"/>
      <c r="AJG112" s="456"/>
      <c r="AJH112" s="456"/>
      <c r="AJI112" s="456"/>
      <c r="AJJ112" s="456"/>
      <c r="AJK112" s="456"/>
      <c r="AJL112" s="456"/>
      <c r="AJM112" s="456"/>
      <c r="AJN112" s="456"/>
      <c r="AJO112" s="456"/>
      <c r="AJP112" s="456"/>
      <c r="AJQ112" s="456"/>
      <c r="AJR112" s="456"/>
      <c r="AJS112" s="456"/>
      <c r="AJT112" s="456"/>
      <c r="AJU112" s="456"/>
      <c r="AJV112" s="456"/>
      <c r="AJW112" s="456"/>
      <c r="AJX112" s="456"/>
      <c r="AJY112" s="456"/>
      <c r="AJZ112" s="456"/>
      <c r="AKA112" s="456"/>
      <c r="AKB112" s="456"/>
      <c r="AKC112" s="456"/>
      <c r="AKD112" s="456"/>
      <c r="AKE112" s="456"/>
      <c r="AKF112" s="456"/>
      <c r="AKG112" s="456"/>
      <c r="AKH112" s="456"/>
      <c r="AKI112" s="456"/>
      <c r="AKJ112" s="456"/>
      <c r="AKK112" s="456"/>
      <c r="AKL112" s="456"/>
      <c r="AKM112" s="456"/>
      <c r="AKN112" s="456"/>
      <c r="AKO112" s="456"/>
      <c r="AKP112" s="456"/>
      <c r="AKQ112" s="456"/>
      <c r="AKR112" s="456"/>
      <c r="AKS112" s="456"/>
      <c r="AKT112" s="456"/>
      <c r="AKU112" s="456"/>
      <c r="AKV112" s="456"/>
      <c r="AKW112" s="456"/>
      <c r="AKX112" s="456"/>
      <c r="AKY112" s="456"/>
      <c r="AKZ112" s="456"/>
      <c r="ALA112" s="456"/>
      <c r="ALB112" s="456"/>
      <c r="ALC112" s="456"/>
      <c r="ALD112" s="456"/>
      <c r="ALE112" s="456"/>
      <c r="ALF112" s="456"/>
      <c r="ALG112" s="456"/>
      <c r="ALH112" s="456"/>
      <c r="ALI112" s="456"/>
      <c r="ALJ112" s="456"/>
      <c r="ALK112" s="456"/>
      <c r="ALL112" s="456"/>
      <c r="ALM112" s="456"/>
      <c r="ALN112" s="456"/>
      <c r="ALO112" s="456"/>
      <c r="ALP112" s="456"/>
      <c r="ALQ112" s="456"/>
      <c r="ALR112" s="456"/>
      <c r="ALS112" s="456"/>
      <c r="ALT112" s="456"/>
      <c r="ALU112" s="456"/>
      <c r="ALV112" s="456"/>
      <c r="ALW112" s="456"/>
      <c r="ALX112" s="456"/>
      <c r="ALY112" s="456"/>
      <c r="ALZ112" s="456"/>
      <c r="AMA112" s="456"/>
      <c r="AMB112" s="456"/>
      <c r="AMC112" s="456"/>
      <c r="AMD112" s="456"/>
      <c r="AME112" s="456"/>
      <c r="AMF112" s="456"/>
      <c r="AMG112" s="456"/>
      <c r="AMH112" s="456"/>
      <c r="AMI112" s="456"/>
      <c r="AMJ112" s="456"/>
      <c r="AMK112" s="456"/>
      <c r="AML112" s="456"/>
      <c r="AMM112" s="456"/>
      <c r="AMN112" s="456"/>
      <c r="AMO112" s="456"/>
      <c r="AMP112" s="456"/>
      <c r="AMQ112" s="456"/>
      <c r="AMR112" s="456"/>
      <c r="AMS112" s="456"/>
      <c r="AMT112" s="456"/>
      <c r="AMU112" s="456"/>
      <c r="AMV112" s="456"/>
      <c r="AMW112" s="456"/>
      <c r="AMX112" s="456"/>
      <c r="AMY112" s="456"/>
      <c r="AMZ112" s="456"/>
      <c r="ANA112" s="456"/>
      <c r="ANB112" s="456"/>
      <c r="ANC112" s="456"/>
      <c r="AND112" s="456"/>
      <c r="ANE112" s="456"/>
      <c r="ANF112" s="456"/>
      <c r="ANG112" s="456"/>
      <c r="ANH112" s="456"/>
      <c r="ANI112" s="456"/>
      <c r="ANJ112" s="456"/>
      <c r="ANK112" s="456"/>
      <c r="ANL112" s="456"/>
      <c r="ANM112" s="456"/>
      <c r="ANN112" s="456"/>
      <c r="ANO112" s="456"/>
      <c r="ANP112" s="456"/>
      <c r="ANQ112" s="456"/>
      <c r="ANR112" s="456"/>
      <c r="ANS112" s="456"/>
      <c r="ANT112" s="456"/>
      <c r="ANU112" s="456"/>
      <c r="ANV112" s="456"/>
      <c r="ANW112" s="456"/>
      <c r="ANX112" s="456"/>
      <c r="ANY112" s="456"/>
      <c r="ANZ112" s="456"/>
      <c r="AOA112" s="456"/>
      <c r="AOB112" s="456"/>
      <c r="AOC112" s="456"/>
      <c r="AOD112" s="456"/>
      <c r="AOE112" s="456"/>
      <c r="AOF112" s="456"/>
      <c r="AOG112" s="456"/>
      <c r="AOH112" s="456"/>
      <c r="AOI112" s="456"/>
      <c r="AOJ112" s="456"/>
      <c r="AOK112" s="456"/>
      <c r="AOL112" s="456"/>
      <c r="AOM112" s="456"/>
      <c r="AON112" s="456"/>
      <c r="AOO112" s="456"/>
      <c r="AOP112" s="456"/>
      <c r="AOQ112" s="456"/>
      <c r="AOR112" s="456"/>
      <c r="AOS112" s="456"/>
      <c r="AOT112" s="456"/>
      <c r="AOU112" s="456"/>
      <c r="AOV112" s="456"/>
      <c r="AOW112" s="456"/>
      <c r="AOX112" s="456"/>
      <c r="AOY112" s="456"/>
      <c r="AOZ112" s="456"/>
      <c r="APA112" s="456"/>
      <c r="APB112" s="456"/>
      <c r="APC112" s="456"/>
      <c r="APD112" s="456"/>
      <c r="APE112" s="456"/>
      <c r="APF112" s="456"/>
      <c r="APG112" s="456"/>
      <c r="APH112" s="456"/>
      <c r="API112" s="456"/>
      <c r="APJ112" s="456"/>
      <c r="APK112" s="456"/>
      <c r="APL112" s="456"/>
      <c r="APM112" s="456"/>
      <c r="APN112" s="456"/>
      <c r="APO112" s="456"/>
      <c r="APP112" s="456"/>
      <c r="APQ112" s="456"/>
      <c r="APR112" s="456"/>
      <c r="APS112" s="456"/>
      <c r="APT112" s="456"/>
      <c r="APU112" s="456"/>
      <c r="APV112" s="456"/>
      <c r="APW112" s="456"/>
      <c r="APX112" s="456"/>
      <c r="APY112" s="456"/>
      <c r="APZ112" s="456"/>
      <c r="AQA112" s="456"/>
      <c r="AQB112" s="456"/>
      <c r="AQC112" s="456"/>
      <c r="AQD112" s="456"/>
      <c r="AQE112" s="456"/>
      <c r="AQF112" s="456"/>
      <c r="AQG112" s="456"/>
      <c r="AQH112" s="456"/>
      <c r="AQI112" s="456"/>
      <c r="AQJ112" s="456"/>
      <c r="AQK112" s="456"/>
      <c r="AQL112" s="456"/>
      <c r="AQM112" s="456"/>
      <c r="AQN112" s="456"/>
      <c r="AQO112" s="456"/>
      <c r="AQP112" s="456"/>
      <c r="AQQ112" s="456"/>
      <c r="AQR112" s="456"/>
      <c r="AQS112" s="456"/>
      <c r="AQT112" s="456"/>
      <c r="AQU112" s="456"/>
      <c r="AQV112" s="456"/>
      <c r="AQW112" s="456"/>
      <c r="AQX112" s="456"/>
      <c r="AQY112" s="456"/>
      <c r="AQZ112" s="456"/>
      <c r="ARA112" s="456"/>
      <c r="ARB112" s="456"/>
      <c r="ARC112" s="456"/>
      <c r="ARD112" s="456"/>
      <c r="ARE112" s="456"/>
      <c r="ARF112" s="456"/>
      <c r="ARG112" s="456"/>
      <c r="ARH112" s="456"/>
      <c r="ARI112" s="456"/>
      <c r="ARJ112" s="456"/>
      <c r="ARK112" s="456"/>
      <c r="ARL112" s="456"/>
      <c r="ARM112" s="456"/>
      <c r="ARN112" s="456"/>
      <c r="ARO112" s="456"/>
      <c r="ARP112" s="456"/>
      <c r="ARQ112" s="456"/>
      <c r="ARR112" s="456"/>
      <c r="ARS112" s="456"/>
      <c r="ART112" s="456"/>
      <c r="ARU112" s="456"/>
      <c r="ARV112" s="456"/>
      <c r="ARW112" s="456"/>
      <c r="ARX112" s="456"/>
      <c r="ARY112" s="456"/>
      <c r="ARZ112" s="456"/>
      <c r="ASA112" s="456"/>
      <c r="ASB112" s="456"/>
      <c r="ASC112" s="456"/>
      <c r="ASD112" s="456"/>
      <c r="ASE112" s="456"/>
      <c r="ASF112" s="456"/>
      <c r="ASG112" s="456"/>
      <c r="ASH112" s="456"/>
      <c r="ASI112" s="456"/>
      <c r="ASJ112" s="456"/>
      <c r="ASK112" s="456"/>
      <c r="ASL112" s="456"/>
      <c r="ASM112" s="456"/>
      <c r="ASN112" s="456"/>
      <c r="ASO112" s="456"/>
      <c r="ASP112" s="456"/>
      <c r="ASQ112" s="456"/>
      <c r="ASR112" s="456"/>
      <c r="ASS112" s="456"/>
      <c r="AST112" s="456"/>
      <c r="ASU112" s="456"/>
      <c r="ASV112" s="456"/>
      <c r="ASW112" s="456"/>
      <c r="ASX112" s="456"/>
      <c r="ASY112" s="456"/>
      <c r="ASZ112" s="456"/>
      <c r="ATA112" s="456"/>
      <c r="ATB112" s="456"/>
      <c r="ATC112" s="456"/>
      <c r="ATD112" s="456"/>
      <c r="ATE112" s="456"/>
      <c r="ATF112" s="456"/>
      <c r="ATG112" s="456"/>
      <c r="ATH112" s="456"/>
      <c r="ATI112" s="456"/>
      <c r="ATJ112" s="456"/>
      <c r="ATK112" s="456"/>
      <c r="ATL112" s="456"/>
      <c r="ATM112" s="456"/>
      <c r="ATN112" s="456"/>
      <c r="ATO112" s="456"/>
      <c r="ATP112" s="456"/>
      <c r="ATQ112" s="456"/>
      <c r="ATR112" s="456"/>
      <c r="ATS112" s="456"/>
      <c r="ATT112" s="456"/>
      <c r="ATU112" s="456"/>
      <c r="ATV112" s="456"/>
      <c r="ATW112" s="456"/>
      <c r="ATX112" s="456"/>
      <c r="ATY112" s="456"/>
      <c r="ATZ112" s="456"/>
      <c r="AUA112" s="456"/>
      <c r="AUB112" s="456"/>
      <c r="AUC112" s="456"/>
      <c r="AUD112" s="456"/>
      <c r="AUE112" s="456"/>
      <c r="AUF112" s="456"/>
      <c r="AUG112" s="456"/>
      <c r="AUH112" s="456"/>
      <c r="AUI112" s="456"/>
      <c r="AUJ112" s="456"/>
      <c r="AUK112" s="456"/>
      <c r="AUL112" s="456"/>
      <c r="AUM112" s="456"/>
      <c r="AUN112" s="456"/>
      <c r="AUO112" s="456"/>
      <c r="AUP112" s="456"/>
      <c r="AUQ112" s="456"/>
      <c r="AUR112" s="456"/>
      <c r="AUS112" s="456"/>
      <c r="AUT112" s="456"/>
      <c r="AUU112" s="456"/>
      <c r="AUV112" s="456"/>
      <c r="AUW112" s="456"/>
      <c r="AUX112" s="456"/>
      <c r="AUY112" s="456"/>
      <c r="AUZ112" s="456"/>
      <c r="AVA112" s="456"/>
      <c r="AVB112" s="456"/>
      <c r="AVC112" s="456"/>
      <c r="AVD112" s="456"/>
      <c r="AVE112" s="456"/>
      <c r="AVF112" s="456"/>
      <c r="AVG112" s="456"/>
      <c r="AVH112" s="456"/>
      <c r="AVI112" s="456"/>
      <c r="AVJ112" s="456"/>
      <c r="AVK112" s="456"/>
      <c r="AVL112" s="456"/>
      <c r="AVM112" s="456"/>
      <c r="AVN112" s="456"/>
      <c r="AVO112" s="456"/>
      <c r="AVP112" s="456"/>
      <c r="AVQ112" s="456"/>
      <c r="AVR112" s="456"/>
      <c r="AVS112" s="456"/>
      <c r="AVT112" s="456"/>
      <c r="AVU112" s="456"/>
      <c r="AVV112" s="456"/>
      <c r="AVW112" s="456"/>
      <c r="AVX112" s="456"/>
      <c r="AVY112" s="456"/>
      <c r="AVZ112" s="456"/>
      <c r="AWA112" s="456"/>
      <c r="AWB112" s="456"/>
      <c r="AWC112" s="456"/>
      <c r="AWD112" s="456"/>
      <c r="AWE112" s="456"/>
      <c r="AWF112" s="456"/>
      <c r="AWG112" s="456"/>
      <c r="AWH112" s="456"/>
      <c r="AWI112" s="456"/>
      <c r="AWJ112" s="456"/>
      <c r="AWK112" s="456"/>
      <c r="AWL112" s="456"/>
      <c r="AWM112" s="456"/>
      <c r="AWN112" s="456"/>
      <c r="AWO112" s="456"/>
      <c r="AWP112" s="456"/>
      <c r="AWQ112" s="456"/>
      <c r="AWR112" s="456"/>
      <c r="AWS112" s="456"/>
      <c r="AWT112" s="456"/>
      <c r="AWU112" s="456"/>
      <c r="AWV112" s="456"/>
      <c r="AWW112" s="456"/>
      <c r="AWX112" s="456"/>
      <c r="AWY112" s="456"/>
      <c r="AWZ112" s="456"/>
      <c r="AXA112" s="456"/>
      <c r="AXB112" s="456"/>
      <c r="AXC112" s="456"/>
      <c r="AXD112" s="456"/>
      <c r="AXE112" s="456"/>
      <c r="AXF112" s="456"/>
      <c r="AXG112" s="456"/>
      <c r="AXH112" s="456"/>
      <c r="AXI112" s="456"/>
      <c r="AXJ112" s="456"/>
      <c r="AXK112" s="456"/>
      <c r="AXL112" s="456"/>
      <c r="AXM112" s="456"/>
      <c r="AXN112" s="456"/>
      <c r="AXO112" s="456"/>
      <c r="AXP112" s="456"/>
      <c r="AXQ112" s="456"/>
      <c r="AXR112" s="456"/>
      <c r="AXS112" s="456"/>
      <c r="AXT112" s="456"/>
      <c r="AXU112" s="456"/>
      <c r="AXV112" s="456"/>
      <c r="AXW112" s="456"/>
      <c r="AXX112" s="456"/>
      <c r="AXY112" s="456"/>
      <c r="AXZ112" s="456"/>
      <c r="AYA112" s="456"/>
      <c r="AYB112" s="456"/>
      <c r="AYC112" s="456"/>
      <c r="AYD112" s="456"/>
      <c r="AYE112" s="456"/>
      <c r="AYF112" s="456"/>
      <c r="AYG112" s="456"/>
      <c r="AYH112" s="456"/>
      <c r="AYI112" s="456"/>
      <c r="AYJ112" s="456"/>
      <c r="AYK112" s="456"/>
      <c r="AYL112" s="456"/>
      <c r="AYM112" s="456"/>
      <c r="AYN112" s="456"/>
      <c r="AYO112" s="456"/>
      <c r="AYP112" s="456"/>
      <c r="AYQ112" s="456"/>
      <c r="AYR112" s="456"/>
      <c r="AYS112" s="456"/>
      <c r="AYT112" s="456"/>
      <c r="AYU112" s="456"/>
      <c r="AYV112" s="456"/>
      <c r="AYW112" s="456"/>
      <c r="AYX112" s="456"/>
      <c r="AYY112" s="456"/>
      <c r="AYZ112" s="456"/>
      <c r="AZA112" s="456"/>
      <c r="AZB112" s="456"/>
      <c r="AZC112" s="456"/>
      <c r="AZD112" s="456"/>
      <c r="AZE112" s="456"/>
      <c r="AZF112" s="456"/>
      <c r="AZG112" s="456"/>
      <c r="AZH112" s="456"/>
      <c r="AZI112" s="456"/>
      <c r="AZJ112" s="456"/>
      <c r="AZK112" s="456"/>
      <c r="AZL112" s="456"/>
      <c r="AZM112" s="456"/>
      <c r="AZN112" s="456"/>
      <c r="AZO112" s="456"/>
      <c r="AZP112" s="456"/>
      <c r="AZQ112" s="456"/>
      <c r="AZR112" s="456"/>
      <c r="AZS112" s="456"/>
      <c r="AZT112" s="456"/>
      <c r="AZU112" s="456"/>
      <c r="AZV112" s="456"/>
      <c r="AZW112" s="456"/>
      <c r="AZX112" s="456"/>
      <c r="AZY112" s="456"/>
      <c r="AZZ112" s="456"/>
      <c r="BAA112" s="456"/>
      <c r="BAB112" s="456"/>
      <c r="BAC112" s="456"/>
      <c r="BAD112" s="456"/>
      <c r="BAE112" s="456"/>
      <c r="BAF112" s="456"/>
      <c r="BAG112" s="456"/>
      <c r="BAH112" s="456"/>
      <c r="BAI112" s="456"/>
      <c r="BAJ112" s="456"/>
      <c r="BAK112" s="456"/>
      <c r="BAL112" s="456"/>
      <c r="BAM112" s="456"/>
      <c r="BAN112" s="456"/>
      <c r="BAO112" s="456"/>
      <c r="BAP112" s="456"/>
      <c r="BAQ112" s="456"/>
      <c r="BAR112" s="456"/>
      <c r="BAS112" s="456"/>
      <c r="BAT112" s="456"/>
      <c r="BAU112" s="456"/>
      <c r="BAV112" s="456"/>
      <c r="BAW112" s="456"/>
      <c r="BAX112" s="456"/>
      <c r="BAY112" s="456"/>
      <c r="BAZ112" s="456"/>
      <c r="BBA112" s="456"/>
      <c r="BBB112" s="456"/>
      <c r="BBC112" s="456"/>
      <c r="BBD112" s="456"/>
      <c r="BBE112" s="456"/>
      <c r="BBF112" s="456"/>
      <c r="BBG112" s="456"/>
      <c r="BBH112" s="456"/>
      <c r="BBI112" s="456"/>
      <c r="BBJ112" s="456"/>
      <c r="BBK112" s="456"/>
      <c r="BBL112" s="456"/>
      <c r="BBM112" s="456"/>
      <c r="BBN112" s="456"/>
      <c r="BBO112" s="456"/>
      <c r="BBP112" s="456"/>
      <c r="BBQ112" s="456"/>
      <c r="BBR112" s="456"/>
      <c r="BBS112" s="456"/>
      <c r="BBT112" s="456"/>
      <c r="BBU112" s="456"/>
      <c r="BBV112" s="456"/>
      <c r="BBW112" s="456"/>
      <c r="BBX112" s="456"/>
      <c r="BBY112" s="456"/>
      <c r="BBZ112" s="456"/>
      <c r="BCA112" s="456"/>
      <c r="BCB112" s="456"/>
      <c r="BCC112" s="456"/>
      <c r="BCD112" s="456"/>
      <c r="BCE112" s="456"/>
      <c r="BCF112" s="456"/>
      <c r="BCG112" s="456"/>
      <c r="BCH112" s="456"/>
      <c r="BCI112" s="456"/>
      <c r="BCJ112" s="456"/>
      <c r="BCK112" s="456"/>
      <c r="BCL112" s="456"/>
      <c r="BCM112" s="456"/>
      <c r="BCN112" s="456"/>
      <c r="BCO112" s="456"/>
      <c r="BCP112" s="456"/>
      <c r="BCQ112" s="456"/>
      <c r="BCR112" s="456"/>
      <c r="BCS112" s="456"/>
      <c r="BCT112" s="456"/>
      <c r="BCU112" s="456"/>
      <c r="BCV112" s="456"/>
      <c r="BCW112" s="456"/>
      <c r="BCX112" s="456"/>
      <c r="BCY112" s="456"/>
      <c r="BCZ112" s="456"/>
      <c r="BDA112" s="456"/>
      <c r="BDB112" s="456"/>
      <c r="BDC112" s="456"/>
      <c r="BDD112" s="456"/>
      <c r="BDE112" s="456"/>
      <c r="BDF112" s="456"/>
      <c r="BDG112" s="456"/>
      <c r="BDH112" s="456"/>
      <c r="BDI112" s="456"/>
      <c r="BDJ112" s="456"/>
      <c r="BDK112" s="456"/>
      <c r="BDL112" s="456"/>
      <c r="BDM112" s="456"/>
      <c r="BDN112" s="456"/>
      <c r="BDO112" s="456"/>
      <c r="BDP112" s="456"/>
      <c r="BDQ112" s="456"/>
      <c r="BDR112" s="456"/>
      <c r="BDS112" s="456"/>
      <c r="BDT112" s="456"/>
      <c r="BDU112" s="456"/>
      <c r="BDV112" s="456"/>
      <c r="BDW112" s="456"/>
      <c r="BDX112" s="456"/>
      <c r="BDY112" s="456"/>
      <c r="BDZ112" s="456"/>
      <c r="BEA112" s="456"/>
      <c r="BEB112" s="456"/>
      <c r="BEC112" s="456"/>
      <c r="BED112" s="456"/>
      <c r="BEE112" s="456"/>
      <c r="BEF112" s="456"/>
      <c r="BEG112" s="456"/>
      <c r="BEH112" s="456"/>
      <c r="BEI112" s="456"/>
      <c r="BEJ112" s="456"/>
      <c r="BEK112" s="456"/>
      <c r="BEL112" s="456"/>
      <c r="BEM112" s="456"/>
      <c r="BEN112" s="456"/>
      <c r="BEO112" s="456"/>
      <c r="BEP112" s="456"/>
      <c r="BEQ112" s="456"/>
      <c r="BER112" s="456"/>
      <c r="BES112" s="456"/>
      <c r="BET112" s="456"/>
      <c r="BEU112" s="456"/>
      <c r="BEV112" s="456"/>
      <c r="BEW112" s="456"/>
      <c r="BEX112" s="456"/>
      <c r="BEY112" s="456"/>
      <c r="BEZ112" s="456"/>
      <c r="BFA112" s="456"/>
      <c r="BFB112" s="456"/>
      <c r="BFC112" s="456"/>
      <c r="BFD112" s="456"/>
      <c r="BFE112" s="456"/>
      <c r="BFF112" s="456"/>
      <c r="BFG112" s="456"/>
      <c r="BFH112" s="456"/>
      <c r="BFI112" s="456"/>
      <c r="BFJ112" s="456"/>
      <c r="BFK112" s="456"/>
      <c r="BFL112" s="456"/>
      <c r="BFM112" s="456"/>
      <c r="BFN112" s="456"/>
      <c r="BFO112" s="456"/>
      <c r="BFP112" s="456"/>
      <c r="BFQ112" s="456"/>
      <c r="BFR112" s="456"/>
      <c r="BFS112" s="456"/>
      <c r="BFT112" s="456"/>
      <c r="BFU112" s="456"/>
      <c r="BFV112" s="456"/>
      <c r="BFW112" s="456"/>
      <c r="BFX112" s="456"/>
      <c r="BFY112" s="456"/>
      <c r="BFZ112" s="456"/>
      <c r="BGA112" s="456"/>
      <c r="BGB112" s="456"/>
      <c r="BGC112" s="456"/>
      <c r="BGD112" s="456"/>
      <c r="BGE112" s="456"/>
      <c r="BGF112" s="456"/>
      <c r="BGG112" s="456"/>
      <c r="BGH112" s="456"/>
      <c r="BGI112" s="456"/>
      <c r="BGJ112" s="456"/>
      <c r="BGK112" s="456"/>
      <c r="BGL112" s="456"/>
      <c r="BGM112" s="456"/>
      <c r="BGN112" s="456"/>
      <c r="BGO112" s="456"/>
      <c r="BGP112" s="456"/>
      <c r="BGQ112" s="456"/>
      <c r="BGR112" s="456"/>
      <c r="BGS112" s="456"/>
      <c r="BGT112" s="456"/>
      <c r="BGU112" s="456"/>
      <c r="BGV112" s="456"/>
      <c r="BGW112" s="456"/>
      <c r="BGX112" s="456"/>
      <c r="BGY112" s="456"/>
      <c r="BGZ112" s="456"/>
      <c r="BHA112" s="456"/>
      <c r="BHB112" s="456"/>
      <c r="BHC112" s="456"/>
      <c r="BHD112" s="456"/>
      <c r="BHE112" s="456"/>
      <c r="BHF112" s="456"/>
      <c r="BHG112" s="456"/>
      <c r="BHH112" s="456"/>
      <c r="BHI112" s="456"/>
      <c r="BHJ112" s="456"/>
      <c r="BHK112" s="456"/>
      <c r="BHL112" s="456"/>
      <c r="BHM112" s="456"/>
      <c r="BHN112" s="456"/>
      <c r="BHO112" s="456"/>
      <c r="BHP112" s="456"/>
      <c r="BHQ112" s="456"/>
      <c r="BHR112" s="456"/>
      <c r="BHS112" s="456"/>
      <c r="BHT112" s="456"/>
      <c r="BHU112" s="456"/>
      <c r="BHV112" s="456"/>
      <c r="BHW112" s="456"/>
      <c r="BHX112" s="456"/>
      <c r="BHY112" s="456"/>
      <c r="BHZ112" s="456"/>
      <c r="BIA112" s="456"/>
      <c r="BIB112" s="456"/>
      <c r="BIC112" s="456"/>
      <c r="BID112" s="456"/>
      <c r="BIE112" s="456"/>
      <c r="BIF112" s="456"/>
      <c r="BIG112" s="456"/>
      <c r="BIH112" s="456"/>
      <c r="BII112" s="456"/>
      <c r="BIJ112" s="456"/>
      <c r="BIK112" s="456"/>
      <c r="BIL112" s="456"/>
      <c r="BIM112" s="456"/>
      <c r="BIN112" s="456"/>
      <c r="BIO112" s="456"/>
      <c r="BIP112" s="456"/>
      <c r="BIQ112" s="456"/>
      <c r="BIR112" s="456"/>
      <c r="BIS112" s="456"/>
      <c r="BIT112" s="456"/>
      <c r="BIU112" s="456"/>
      <c r="BIV112" s="456"/>
      <c r="BIW112" s="456"/>
      <c r="BIX112" s="456"/>
      <c r="BIY112" s="456"/>
      <c r="BIZ112" s="456"/>
      <c r="BJA112" s="456"/>
      <c r="BJB112" s="456"/>
      <c r="BJC112" s="456"/>
      <c r="BJD112" s="456"/>
      <c r="BJE112" s="456"/>
      <c r="BJF112" s="456"/>
      <c r="BJG112" s="456"/>
      <c r="BJH112" s="456"/>
      <c r="BJI112" s="456"/>
      <c r="BJJ112" s="456"/>
      <c r="BJK112" s="456"/>
      <c r="BJL112" s="456"/>
      <c r="BJM112" s="456"/>
      <c r="BJN112" s="456"/>
      <c r="BJO112" s="456"/>
      <c r="BJP112" s="456"/>
      <c r="BJQ112" s="456"/>
      <c r="BJR112" s="456"/>
      <c r="BJS112" s="456"/>
      <c r="BJT112" s="456"/>
      <c r="BJU112" s="456"/>
      <c r="BJV112" s="456"/>
      <c r="BJW112" s="456"/>
      <c r="BJX112" s="456"/>
      <c r="BJY112" s="456"/>
      <c r="BJZ112" s="456"/>
      <c r="BKA112" s="456"/>
      <c r="BKB112" s="456"/>
      <c r="BKC112" s="456"/>
      <c r="BKD112" s="456"/>
      <c r="BKE112" s="456"/>
      <c r="BKF112" s="456"/>
      <c r="BKG112" s="456"/>
      <c r="BKH112" s="456"/>
      <c r="BKI112" s="456"/>
      <c r="BKJ112" s="456"/>
      <c r="BKK112" s="456"/>
      <c r="BKL112" s="456"/>
      <c r="BKM112" s="456"/>
      <c r="BKN112" s="456"/>
      <c r="BKO112" s="456"/>
      <c r="BKP112" s="456"/>
      <c r="BKQ112" s="456"/>
      <c r="BKR112" s="456"/>
      <c r="BKS112" s="456"/>
      <c r="BKT112" s="456"/>
      <c r="BKU112" s="456"/>
      <c r="BKV112" s="456"/>
      <c r="BKW112" s="456"/>
      <c r="BKX112" s="456"/>
      <c r="BKY112" s="456"/>
      <c r="BKZ112" s="456"/>
      <c r="BLA112" s="456"/>
      <c r="BLB112" s="456"/>
      <c r="BLC112" s="456"/>
      <c r="BLD112" s="456"/>
      <c r="BLE112" s="456"/>
      <c r="BLF112" s="456"/>
      <c r="BLG112" s="456"/>
      <c r="BLH112" s="456"/>
      <c r="BLI112" s="456"/>
      <c r="BLJ112" s="456"/>
      <c r="BLK112" s="456"/>
      <c r="BLL112" s="456"/>
      <c r="BLM112" s="456"/>
      <c r="BLN112" s="456"/>
      <c r="BLO112" s="456"/>
      <c r="BLP112" s="456"/>
      <c r="BLQ112" s="456"/>
      <c r="BLR112" s="456"/>
      <c r="BLS112" s="456"/>
      <c r="BLT112" s="456"/>
      <c r="BLU112" s="456"/>
      <c r="BLV112" s="456"/>
      <c r="BLW112" s="456"/>
      <c r="BLX112" s="456"/>
      <c r="BLY112" s="456"/>
      <c r="BLZ112" s="456"/>
      <c r="BMA112" s="456"/>
      <c r="BMB112" s="456"/>
      <c r="BMC112" s="456"/>
      <c r="BMD112" s="456"/>
      <c r="BME112" s="456"/>
      <c r="BMF112" s="456"/>
      <c r="BMG112" s="456"/>
      <c r="BMH112" s="456"/>
      <c r="BMI112" s="456"/>
      <c r="BMJ112" s="456"/>
      <c r="BMK112" s="456"/>
      <c r="BML112" s="456"/>
      <c r="BMM112" s="456"/>
      <c r="BMN112" s="456"/>
      <c r="BMO112" s="456"/>
      <c r="BMP112" s="456"/>
      <c r="BMQ112" s="456"/>
      <c r="BMR112" s="456"/>
      <c r="BMS112" s="456"/>
      <c r="BMT112" s="456"/>
      <c r="BMU112" s="456"/>
      <c r="BMV112" s="456"/>
      <c r="BMW112" s="456"/>
      <c r="BMX112" s="456"/>
      <c r="BMY112" s="456"/>
      <c r="BMZ112" s="456"/>
      <c r="BNA112" s="456"/>
      <c r="BNB112" s="456"/>
      <c r="BNC112" s="456"/>
      <c r="BND112" s="456"/>
      <c r="BNE112" s="456"/>
      <c r="BNF112" s="456"/>
      <c r="BNG112" s="456"/>
      <c r="BNH112" s="456"/>
      <c r="BNI112" s="456"/>
      <c r="BNJ112" s="456"/>
      <c r="BNK112" s="456"/>
      <c r="BNL112" s="456"/>
      <c r="BNM112" s="456"/>
      <c r="BNN112" s="456"/>
      <c r="BNO112" s="456"/>
      <c r="BNP112" s="456"/>
      <c r="BNQ112" s="456"/>
      <c r="BNR112" s="456"/>
      <c r="BNS112" s="456"/>
      <c r="BNT112" s="456"/>
      <c r="BNU112" s="456"/>
      <c r="BNV112" s="456"/>
      <c r="BNW112" s="456"/>
      <c r="BNX112" s="456"/>
      <c r="BNY112" s="456"/>
      <c r="BNZ112" s="456"/>
      <c r="BOA112" s="456"/>
      <c r="BOB112" s="456"/>
      <c r="BOC112" s="456"/>
      <c r="BOD112" s="456"/>
      <c r="BOE112" s="456"/>
      <c r="BOF112" s="456"/>
      <c r="BOG112" s="456"/>
      <c r="BOH112" s="456"/>
      <c r="BOI112" s="456"/>
      <c r="BOJ112" s="456"/>
      <c r="BOK112" s="456"/>
      <c r="BOL112" s="456"/>
      <c r="BOM112" s="456"/>
      <c r="BON112" s="456"/>
      <c r="BOO112" s="456"/>
      <c r="BOP112" s="456"/>
      <c r="BOQ112" s="456"/>
      <c r="BOR112" s="456"/>
      <c r="BOS112" s="456"/>
      <c r="BOT112" s="456"/>
      <c r="BOU112" s="456"/>
      <c r="BOV112" s="456"/>
      <c r="BOW112" s="456"/>
      <c r="BOX112" s="456"/>
      <c r="BOY112" s="456"/>
      <c r="BOZ112" s="456"/>
      <c r="BPA112" s="456"/>
      <c r="BPB112" s="456"/>
      <c r="BPC112" s="456"/>
      <c r="BPD112" s="456"/>
      <c r="BPE112" s="456"/>
      <c r="BPF112" s="456"/>
      <c r="BPG112" s="456"/>
      <c r="BPH112" s="456"/>
      <c r="BPI112" s="456"/>
      <c r="BPJ112" s="456"/>
      <c r="BPK112" s="456"/>
      <c r="BPL112" s="456"/>
      <c r="BPM112" s="456"/>
      <c r="BPN112" s="456"/>
      <c r="BPO112" s="456"/>
      <c r="BPP112" s="456"/>
      <c r="BPQ112" s="456"/>
      <c r="BPR112" s="456"/>
      <c r="BPS112" s="456"/>
      <c r="BPT112" s="456"/>
      <c r="BPU112" s="456"/>
      <c r="BPV112" s="456"/>
      <c r="BPW112" s="456"/>
      <c r="BPX112" s="456"/>
      <c r="BPY112" s="456"/>
      <c r="BPZ112" s="456"/>
      <c r="BQA112" s="456"/>
      <c r="BQB112" s="456"/>
      <c r="BQC112" s="456"/>
      <c r="BQD112" s="456"/>
      <c r="BQE112" s="456"/>
      <c r="BQF112" s="456"/>
      <c r="BQG112" s="456"/>
      <c r="BQH112" s="456"/>
      <c r="BQI112" s="456"/>
      <c r="BQJ112" s="456"/>
      <c r="BQK112" s="456"/>
      <c r="BQL112" s="456"/>
      <c r="BQM112" s="456"/>
      <c r="BQN112" s="456"/>
      <c r="BQO112" s="456"/>
      <c r="BQP112" s="456"/>
      <c r="BQQ112" s="456"/>
      <c r="BQR112" s="456"/>
      <c r="BQS112" s="456"/>
      <c r="BQT112" s="456"/>
      <c r="BQU112" s="456"/>
      <c r="BQV112" s="456"/>
      <c r="BQW112" s="456"/>
      <c r="BQX112" s="456"/>
      <c r="BQY112" s="456"/>
      <c r="BQZ112" s="456"/>
      <c r="BRA112" s="456"/>
      <c r="BRB112" s="456"/>
      <c r="BRC112" s="456"/>
      <c r="BRD112" s="456"/>
      <c r="BRE112" s="456"/>
      <c r="BRF112" s="456"/>
      <c r="BRG112" s="456"/>
      <c r="BRH112" s="456"/>
      <c r="BRI112" s="456"/>
      <c r="BRJ112" s="456"/>
      <c r="BRK112" s="456"/>
      <c r="BRL112" s="456"/>
      <c r="BRM112" s="456"/>
      <c r="BRN112" s="456"/>
      <c r="BRO112" s="456"/>
      <c r="BRP112" s="456"/>
      <c r="BRQ112" s="456"/>
      <c r="BRR112" s="456"/>
      <c r="BRS112" s="456"/>
      <c r="BRT112" s="456"/>
      <c r="BRU112" s="456"/>
      <c r="BRV112" s="456"/>
      <c r="BRW112" s="456"/>
      <c r="BRX112" s="456"/>
      <c r="BRY112" s="456"/>
      <c r="BRZ112" s="456"/>
      <c r="BSA112" s="456"/>
      <c r="BSB112" s="456"/>
      <c r="BSC112" s="456"/>
      <c r="BSD112" s="456"/>
      <c r="BSE112" s="456"/>
      <c r="BSF112" s="456"/>
      <c r="BSG112" s="456"/>
      <c r="BSH112" s="456"/>
      <c r="BSI112" s="456"/>
      <c r="BSJ112" s="456"/>
      <c r="BSK112" s="456"/>
      <c r="BSL112" s="456"/>
      <c r="BSM112" s="456"/>
      <c r="BSN112" s="456"/>
      <c r="BSO112" s="456"/>
      <c r="BSP112" s="456"/>
      <c r="BSQ112" s="456"/>
      <c r="BSR112" s="456"/>
      <c r="BSS112" s="456"/>
      <c r="BST112" s="456"/>
      <c r="BSU112" s="456"/>
      <c r="BSV112" s="456"/>
      <c r="BSW112" s="456"/>
      <c r="BSX112" s="456"/>
      <c r="BSY112" s="456"/>
      <c r="BSZ112" s="456"/>
      <c r="BTA112" s="456"/>
      <c r="BTB112" s="456"/>
      <c r="BTC112" s="456"/>
      <c r="BTD112" s="456"/>
      <c r="BTE112" s="456"/>
      <c r="BTF112" s="456"/>
      <c r="BTG112" s="456"/>
      <c r="BTH112" s="456"/>
      <c r="BTI112" s="456"/>
      <c r="BTJ112" s="456"/>
      <c r="BTK112" s="456"/>
      <c r="BTL112" s="456"/>
      <c r="BTM112" s="456"/>
      <c r="BTN112" s="456"/>
      <c r="BTO112" s="456"/>
      <c r="BTP112" s="456"/>
      <c r="BTQ112" s="456"/>
      <c r="BTR112" s="456"/>
      <c r="BTS112" s="456"/>
      <c r="BTT112" s="456"/>
      <c r="BTU112" s="456"/>
      <c r="BTV112" s="456"/>
      <c r="BTW112" s="456"/>
      <c r="BTX112" s="456"/>
      <c r="BTY112" s="456"/>
      <c r="BTZ112" s="456"/>
      <c r="BUA112" s="456"/>
      <c r="BUB112" s="456"/>
      <c r="BUC112" s="456"/>
      <c r="BUD112" s="456"/>
      <c r="BUE112" s="456"/>
      <c r="BUF112" s="456"/>
      <c r="BUG112" s="456"/>
      <c r="BUH112" s="456"/>
      <c r="BUI112" s="456"/>
      <c r="BUJ112" s="456"/>
      <c r="BUK112" s="456"/>
      <c r="BUL112" s="456"/>
      <c r="BUM112" s="456"/>
      <c r="BUN112" s="456"/>
      <c r="BUO112" s="456"/>
      <c r="BUP112" s="456"/>
      <c r="BUQ112" s="456"/>
      <c r="BUR112" s="456"/>
      <c r="BUS112" s="456"/>
      <c r="BUT112" s="456"/>
      <c r="BUU112" s="456"/>
      <c r="BUV112" s="456"/>
      <c r="BUW112" s="456"/>
      <c r="BUX112" s="456"/>
      <c r="BUY112" s="456"/>
      <c r="BUZ112" s="456"/>
      <c r="BVA112" s="456"/>
      <c r="BVB112" s="456"/>
      <c r="BVC112" s="456"/>
      <c r="BVD112" s="456"/>
      <c r="BVE112" s="456"/>
      <c r="BVF112" s="456"/>
      <c r="BVG112" s="456"/>
      <c r="BVH112" s="456"/>
      <c r="BVI112" s="456"/>
      <c r="BVJ112" s="456"/>
      <c r="BVK112" s="456"/>
      <c r="BVL112" s="456"/>
      <c r="BVM112" s="456"/>
      <c r="BVN112" s="456"/>
      <c r="BVO112" s="456"/>
      <c r="BVP112" s="456"/>
      <c r="BVQ112" s="456"/>
      <c r="BVR112" s="456"/>
      <c r="BVS112" s="456"/>
      <c r="BVT112" s="456"/>
      <c r="BVU112" s="456"/>
      <c r="BVV112" s="456"/>
      <c r="BVW112" s="456"/>
      <c r="BVX112" s="456"/>
      <c r="BVY112" s="456"/>
      <c r="BVZ112" s="456"/>
      <c r="BWA112" s="456"/>
      <c r="BWB112" s="456"/>
      <c r="BWC112" s="456"/>
      <c r="BWD112" s="456"/>
      <c r="BWE112" s="456"/>
      <c r="BWF112" s="456"/>
      <c r="BWG112" s="456"/>
      <c r="BWH112" s="456"/>
      <c r="BWI112" s="456"/>
      <c r="BWJ112" s="456"/>
      <c r="BWK112" s="456"/>
      <c r="BWL112" s="456"/>
      <c r="BWM112" s="456"/>
      <c r="BWN112" s="456"/>
      <c r="BWO112" s="456"/>
      <c r="BWP112" s="456"/>
      <c r="BWQ112" s="456"/>
      <c r="BWR112" s="456"/>
      <c r="BWS112" s="456"/>
      <c r="BWT112" s="456"/>
      <c r="BWU112" s="456"/>
      <c r="BWV112" s="456"/>
      <c r="BWW112" s="456"/>
      <c r="BWX112" s="456"/>
      <c r="BWY112" s="456"/>
      <c r="BWZ112" s="456"/>
      <c r="BXA112" s="456"/>
      <c r="BXB112" s="456"/>
      <c r="BXC112" s="456"/>
      <c r="BXD112" s="456"/>
      <c r="BXE112" s="456"/>
      <c r="BXF112" s="456"/>
      <c r="BXG112" s="456"/>
      <c r="BXH112" s="456"/>
      <c r="BXI112" s="456"/>
      <c r="BXJ112" s="456"/>
      <c r="BXK112" s="456"/>
      <c r="BXL112" s="456"/>
      <c r="BXM112" s="456"/>
      <c r="BXN112" s="456"/>
      <c r="BXO112" s="456"/>
      <c r="BXP112" s="456"/>
      <c r="BXQ112" s="456"/>
      <c r="BXR112" s="456"/>
      <c r="BXS112" s="456"/>
      <c r="BXT112" s="456"/>
      <c r="BXU112" s="456"/>
      <c r="BXV112" s="456"/>
      <c r="BXW112" s="456"/>
      <c r="BXX112" s="456"/>
      <c r="BXY112" s="456"/>
      <c r="BXZ112" s="456"/>
    </row>
    <row r="113" s="25" customFormat="1" ht="15.6" spans="1:1024 1025:2002">
      <c r="A113" s="473"/>
      <c r="B113" s="19">
        <v>1125</v>
      </c>
      <c r="C113" s="183">
        <v>46196</v>
      </c>
      <c r="D113" s="17" t="s">
        <v>52</v>
      </c>
      <c r="E113" s="17" t="s">
        <v>53</v>
      </c>
      <c r="F113" s="17" t="s">
        <v>54</v>
      </c>
      <c r="G113" s="17"/>
      <c r="H113" s="19" t="s">
        <v>55</v>
      </c>
      <c r="I113" s="102" t="s">
        <v>56</v>
      </c>
      <c r="J113" s="17" t="s">
        <v>49</v>
      </c>
      <c r="K113" s="19">
        <v>610</v>
      </c>
      <c r="L113" s="19">
        <v>50</v>
      </c>
      <c r="M113" s="19">
        <v>5800</v>
      </c>
      <c r="N113" s="19" t="s">
        <v>40</v>
      </c>
      <c r="O113" s="19" t="s">
        <v>84</v>
      </c>
      <c r="P113" s="19">
        <f>840*2</f>
        <v>1680</v>
      </c>
      <c r="Q113" s="19">
        <v>796</v>
      </c>
      <c r="R113" s="17"/>
      <c r="S113" s="311">
        <v>2040</v>
      </c>
      <c r="T113" s="19" t="s">
        <v>42</v>
      </c>
      <c r="U113" s="102" t="s">
        <v>101</v>
      </c>
      <c r="V113" s="186">
        <v>46197</v>
      </c>
      <c r="W113" s="17" t="s">
        <v>58</v>
      </c>
      <c r="X113" s="17"/>
      <c r="Y113" s="68">
        <v>46204</v>
      </c>
      <c r="Z113" s="17" t="s">
        <v>45</v>
      </c>
      <c r="AA113" s="17" t="s">
        <v>59</v>
      </c>
      <c r="AB113" s="17" t="s">
        <v>102</v>
      </c>
      <c r="AC113" s="217">
        <v>46274</v>
      </c>
      <c r="AD113" s="65">
        <v>1861</v>
      </c>
      <c r="AE113" s="17" t="s">
        <v>48</v>
      </c>
      <c r="AF113" s="17" t="s">
        <v>61</v>
      </c>
      <c r="AG113" s="17" t="s">
        <v>103</v>
      </c>
      <c r="AH113" s="456"/>
      <c r="AI113" s="456"/>
      <c r="AJ113" s="456"/>
      <c r="AK113" s="456"/>
      <c r="AL113" s="456"/>
      <c r="AM113" s="456"/>
      <c r="AN113" s="456"/>
      <c r="AO113" s="456"/>
      <c r="AP113" s="456"/>
      <c r="AQ113" s="456"/>
      <c r="AR113" s="456"/>
      <c r="AS113" s="456"/>
      <c r="AT113" s="456"/>
      <c r="AU113" s="456"/>
      <c r="AV113" s="456"/>
      <c r="AW113" s="456"/>
      <c r="AX113" s="456"/>
      <c r="AY113" s="456"/>
      <c r="AZ113" s="456"/>
      <c r="BA113" s="456"/>
      <c r="BB113" s="456"/>
      <c r="BC113" s="456"/>
      <c r="BD113" s="456"/>
      <c r="BE113" s="456"/>
      <c r="BF113" s="456"/>
      <c r="BG113" s="456"/>
      <c r="BH113" s="456"/>
      <c r="BI113" s="456"/>
      <c r="BJ113" s="456"/>
      <c r="BK113" s="456"/>
      <c r="BL113" s="456"/>
      <c r="BM113" s="456"/>
      <c r="BN113" s="456"/>
      <c r="BO113" s="456"/>
      <c r="BP113" s="456"/>
      <c r="BQ113" s="456"/>
      <c r="BR113" s="456"/>
      <c r="BS113" s="456"/>
      <c r="BT113" s="456"/>
      <c r="BU113" s="456"/>
      <c r="BV113" s="456"/>
      <c r="BW113" s="456"/>
      <c r="BX113" s="456"/>
      <c r="BY113" s="456"/>
      <c r="BZ113" s="456"/>
      <c r="CA113" s="456"/>
      <c r="CB113" s="456"/>
      <c r="CC113" s="456"/>
      <c r="CD113" s="456"/>
      <c r="CE113" s="456"/>
      <c r="CF113" s="456"/>
      <c r="CG113" s="456"/>
      <c r="CH113" s="456"/>
      <c r="CI113" s="456"/>
      <c r="CJ113" s="456"/>
      <c r="CK113" s="456"/>
      <c r="CL113" s="456"/>
      <c r="CM113" s="456"/>
      <c r="CN113" s="456"/>
      <c r="CO113" s="456"/>
      <c r="CP113" s="456"/>
      <c r="CQ113" s="456"/>
      <c r="CR113" s="456"/>
      <c r="CS113" s="456"/>
      <c r="CT113" s="456"/>
      <c r="CU113" s="456"/>
      <c r="CV113" s="456"/>
      <c r="CW113" s="456"/>
      <c r="CX113" s="456"/>
      <c r="CY113" s="456"/>
      <c r="CZ113" s="456"/>
      <c r="DA113" s="456"/>
      <c r="DB113" s="456"/>
      <c r="DC113" s="456"/>
      <c r="DD113" s="456"/>
      <c r="DE113" s="456"/>
      <c r="DF113" s="456"/>
      <c r="DG113" s="456"/>
      <c r="DH113" s="456"/>
      <c r="DI113" s="456"/>
      <c r="DJ113" s="456"/>
      <c r="DK113" s="456"/>
      <c r="DL113" s="456"/>
      <c r="DM113" s="456"/>
      <c r="DN113" s="456"/>
      <c r="DO113" s="456"/>
      <c r="DP113" s="456"/>
      <c r="DQ113" s="456"/>
      <c r="DR113" s="456"/>
      <c r="DS113" s="456"/>
      <c r="DT113" s="456"/>
      <c r="DU113" s="456"/>
      <c r="DV113" s="456"/>
      <c r="DW113" s="456"/>
      <c r="DX113" s="456"/>
      <c r="DY113" s="456"/>
      <c r="DZ113" s="456"/>
      <c r="EA113" s="456"/>
      <c r="EB113" s="456"/>
      <c r="EC113" s="456"/>
      <c r="ED113" s="456"/>
      <c r="EE113" s="456"/>
      <c r="EF113" s="456"/>
      <c r="EG113" s="456"/>
      <c r="EH113" s="456"/>
      <c r="EI113" s="456"/>
      <c r="EJ113" s="456"/>
      <c r="EK113" s="456"/>
      <c r="EL113" s="456"/>
      <c r="EM113" s="456"/>
      <c r="EN113" s="456"/>
      <c r="EO113" s="456"/>
      <c r="EP113" s="456"/>
      <c r="EQ113" s="456"/>
      <c r="ER113" s="456"/>
      <c r="ES113" s="456"/>
      <c r="ET113" s="456"/>
      <c r="EU113" s="456"/>
      <c r="EV113" s="456"/>
      <c r="EW113" s="456"/>
      <c r="EX113" s="456"/>
      <c r="EY113" s="456"/>
      <c r="EZ113" s="456"/>
      <c r="FA113" s="456"/>
      <c r="FB113" s="456"/>
      <c r="FC113" s="456"/>
      <c r="FD113" s="456"/>
      <c r="FE113" s="456"/>
      <c r="FF113" s="456"/>
      <c r="FG113" s="456"/>
      <c r="FH113" s="456"/>
      <c r="FI113" s="456"/>
      <c r="FJ113" s="456"/>
      <c r="FK113" s="456"/>
      <c r="FL113" s="456"/>
      <c r="FM113" s="456"/>
      <c r="FN113" s="456"/>
      <c r="FO113" s="456"/>
      <c r="FP113" s="456"/>
      <c r="FQ113" s="456"/>
      <c r="FR113" s="456"/>
      <c r="FS113" s="456"/>
      <c r="FT113" s="456"/>
      <c r="FU113" s="456"/>
      <c r="FV113" s="456"/>
      <c r="FW113" s="456"/>
      <c r="FX113" s="456"/>
      <c r="FY113" s="456"/>
      <c r="FZ113" s="456"/>
      <c r="GA113" s="456"/>
      <c r="GB113" s="456"/>
      <c r="GC113" s="456"/>
      <c r="GD113" s="456"/>
      <c r="GE113" s="456"/>
      <c r="GF113" s="456"/>
      <c r="GG113" s="456"/>
      <c r="GH113" s="456"/>
      <c r="GI113" s="456"/>
      <c r="GJ113" s="456"/>
      <c r="GK113" s="456"/>
      <c r="GL113" s="456"/>
      <c r="GM113" s="456"/>
      <c r="GN113" s="456"/>
      <c r="GO113" s="456"/>
      <c r="GP113" s="456"/>
      <c r="GQ113" s="456"/>
      <c r="GR113" s="456"/>
      <c r="GS113" s="456"/>
      <c r="GT113" s="456"/>
      <c r="GU113" s="456"/>
      <c r="GV113" s="456"/>
      <c r="GW113" s="456"/>
      <c r="GX113" s="456"/>
      <c r="GY113" s="456"/>
      <c r="GZ113" s="456"/>
      <c r="HA113" s="456"/>
      <c r="HB113" s="456"/>
      <c r="HC113" s="456"/>
      <c r="HD113" s="456"/>
      <c r="HE113" s="456"/>
      <c r="HF113" s="456"/>
      <c r="HG113" s="456"/>
      <c r="HH113" s="456"/>
      <c r="HI113" s="456"/>
      <c r="HJ113" s="456"/>
      <c r="HK113" s="456"/>
      <c r="HL113" s="456"/>
      <c r="HM113" s="456"/>
      <c r="HN113" s="456"/>
      <c r="HO113" s="456"/>
      <c r="HP113" s="456"/>
      <c r="HQ113" s="456"/>
      <c r="HR113" s="456"/>
      <c r="HS113" s="456"/>
      <c r="HT113" s="456"/>
      <c r="HU113" s="456"/>
      <c r="HV113" s="456"/>
      <c r="HW113" s="456"/>
      <c r="HX113" s="456"/>
      <c r="HY113" s="456"/>
      <c r="HZ113" s="456"/>
      <c r="IA113" s="456"/>
      <c r="IB113" s="456"/>
      <c r="IC113" s="456"/>
      <c r="ID113" s="456"/>
      <c r="IE113" s="456"/>
      <c r="IF113" s="456"/>
      <c r="IG113" s="456"/>
      <c r="IH113" s="456"/>
      <c r="II113" s="456"/>
      <c r="IJ113" s="456"/>
      <c r="IK113" s="456"/>
      <c r="IL113" s="456"/>
      <c r="IM113" s="456"/>
      <c r="IN113" s="456"/>
      <c r="IO113" s="456"/>
      <c r="IP113" s="456"/>
      <c r="IQ113" s="456"/>
      <c r="IR113" s="456"/>
      <c r="IS113" s="456"/>
      <c r="IT113" s="456"/>
      <c r="IU113" s="456"/>
      <c r="IV113" s="456"/>
      <c r="IW113" s="456"/>
      <c r="IX113" s="456"/>
      <c r="IY113" s="456"/>
      <c r="IZ113" s="456"/>
      <c r="JA113" s="456"/>
      <c r="JB113" s="456"/>
      <c r="JC113" s="456"/>
      <c r="JD113" s="456"/>
      <c r="JE113" s="456"/>
      <c r="JF113" s="456"/>
      <c r="JG113" s="456"/>
      <c r="JH113" s="456"/>
      <c r="JI113" s="456"/>
      <c r="JJ113" s="456"/>
      <c r="JK113" s="456"/>
      <c r="JL113" s="456"/>
      <c r="JM113" s="456"/>
      <c r="JN113" s="456"/>
      <c r="JO113" s="456"/>
      <c r="JP113" s="456"/>
      <c r="JQ113" s="456"/>
      <c r="JR113" s="456"/>
      <c r="JS113" s="456"/>
      <c r="JT113" s="456"/>
      <c r="JU113" s="456"/>
      <c r="JV113" s="456"/>
      <c r="JW113" s="456"/>
      <c r="JX113" s="456"/>
      <c r="JY113" s="456"/>
      <c r="JZ113" s="456"/>
      <c r="KA113" s="456"/>
      <c r="KB113" s="456"/>
      <c r="KC113" s="456"/>
      <c r="KD113" s="456"/>
      <c r="KE113" s="456"/>
      <c r="KF113" s="456"/>
      <c r="KG113" s="456"/>
      <c r="KH113" s="456"/>
      <c r="KI113" s="456"/>
      <c r="KJ113" s="456"/>
      <c r="KK113" s="456"/>
      <c r="KL113" s="456"/>
      <c r="KM113" s="456"/>
      <c r="KN113" s="456"/>
      <c r="KO113" s="456"/>
      <c r="KP113" s="456"/>
      <c r="KQ113" s="456"/>
      <c r="KR113" s="456"/>
      <c r="KS113" s="456"/>
      <c r="KT113" s="456"/>
      <c r="KU113" s="456"/>
      <c r="KV113" s="456"/>
      <c r="KW113" s="456"/>
      <c r="KX113" s="456"/>
      <c r="KY113" s="456"/>
      <c r="KZ113" s="456"/>
      <c r="LA113" s="456"/>
      <c r="LB113" s="456"/>
      <c r="LC113" s="456"/>
      <c r="LD113" s="456"/>
      <c r="LE113" s="456"/>
      <c r="LF113" s="456"/>
      <c r="LG113" s="456"/>
      <c r="LH113" s="456"/>
      <c r="LI113" s="456"/>
      <c r="LJ113" s="456"/>
      <c r="LK113" s="456"/>
      <c r="LL113" s="456"/>
      <c r="LM113" s="456"/>
      <c r="LN113" s="456"/>
      <c r="LO113" s="456"/>
      <c r="LP113" s="456"/>
      <c r="LQ113" s="456"/>
      <c r="LR113" s="456"/>
      <c r="LS113" s="456"/>
      <c r="LT113" s="456"/>
      <c r="LU113" s="456"/>
      <c r="LV113" s="456"/>
      <c r="LW113" s="456"/>
      <c r="LX113" s="456"/>
      <c r="LY113" s="456"/>
      <c r="LZ113" s="456"/>
      <c r="MA113" s="456"/>
      <c r="MB113" s="456"/>
      <c r="MC113" s="456"/>
      <c r="MD113" s="456"/>
      <c r="ME113" s="456"/>
      <c r="MF113" s="456"/>
      <c r="MG113" s="456"/>
      <c r="MH113" s="456"/>
      <c r="MI113" s="456"/>
      <c r="MJ113" s="456"/>
      <c r="MK113" s="456"/>
      <c r="ML113" s="456"/>
      <c r="MM113" s="456"/>
      <c r="MN113" s="456"/>
      <c r="MO113" s="456"/>
      <c r="MP113" s="456"/>
      <c r="MQ113" s="456"/>
      <c r="MR113" s="456"/>
      <c r="MS113" s="456"/>
      <c r="MT113" s="456"/>
      <c r="MU113" s="456"/>
      <c r="MV113" s="456"/>
      <c r="MW113" s="456"/>
      <c r="MX113" s="456"/>
      <c r="MY113" s="456"/>
      <c r="MZ113" s="456"/>
      <c r="NA113" s="456"/>
      <c r="NB113" s="456"/>
      <c r="NC113" s="456"/>
      <c r="ND113" s="456"/>
      <c r="NE113" s="456"/>
      <c r="NF113" s="456"/>
      <c r="NG113" s="456"/>
      <c r="NH113" s="456"/>
      <c r="NI113" s="456"/>
      <c r="NJ113" s="456"/>
      <c r="NK113" s="456"/>
      <c r="NL113" s="456"/>
      <c r="NM113" s="456"/>
      <c r="NN113" s="456"/>
      <c r="NO113" s="456"/>
      <c r="NP113" s="456"/>
      <c r="NQ113" s="456"/>
      <c r="NR113" s="456"/>
      <c r="NS113" s="456"/>
      <c r="NT113" s="456"/>
      <c r="NU113" s="456"/>
      <c r="NV113" s="456"/>
      <c r="NW113" s="456"/>
      <c r="NX113" s="456"/>
      <c r="NY113" s="456"/>
      <c r="NZ113" s="456"/>
      <c r="OA113" s="456"/>
      <c r="OB113" s="456"/>
      <c r="OC113" s="456"/>
      <c r="OD113" s="456"/>
      <c r="OE113" s="456"/>
      <c r="OF113" s="456"/>
      <c r="OG113" s="456"/>
      <c r="OH113" s="456"/>
      <c r="OI113" s="456"/>
      <c r="OJ113" s="456"/>
      <c r="OK113" s="456"/>
      <c r="OL113" s="456"/>
      <c r="OM113" s="456"/>
      <c r="ON113" s="456"/>
      <c r="OO113" s="456"/>
      <c r="OP113" s="456"/>
      <c r="OQ113" s="456"/>
      <c r="OR113" s="456"/>
      <c r="OS113" s="456"/>
      <c r="OT113" s="456"/>
      <c r="OU113" s="456"/>
      <c r="OV113" s="456"/>
      <c r="OW113" s="456"/>
      <c r="OX113" s="456"/>
      <c r="OY113" s="456"/>
      <c r="OZ113" s="456"/>
      <c r="PA113" s="456"/>
      <c r="PB113" s="456"/>
      <c r="PC113" s="456"/>
      <c r="PD113" s="456"/>
      <c r="PE113" s="456"/>
      <c r="PF113" s="456"/>
      <c r="PG113" s="456"/>
      <c r="PH113" s="456"/>
      <c r="PI113" s="456"/>
      <c r="PJ113" s="456"/>
      <c r="PK113" s="456"/>
      <c r="PL113" s="456"/>
      <c r="PM113" s="456"/>
      <c r="PN113" s="456"/>
      <c r="PO113" s="456"/>
      <c r="PP113" s="456"/>
      <c r="PQ113" s="456"/>
      <c r="PR113" s="456"/>
      <c r="PS113" s="456"/>
      <c r="PT113" s="456"/>
      <c r="PU113" s="456"/>
      <c r="PV113" s="456"/>
      <c r="PW113" s="456"/>
      <c r="PX113" s="456"/>
      <c r="PY113" s="456"/>
      <c r="PZ113" s="456"/>
      <c r="QA113" s="456"/>
      <c r="QB113" s="456"/>
      <c r="QC113" s="456"/>
      <c r="QD113" s="456"/>
      <c r="QE113" s="456"/>
      <c r="QF113" s="456"/>
      <c r="QG113" s="456"/>
      <c r="QH113" s="456"/>
      <c r="QI113" s="456"/>
      <c r="QJ113" s="456"/>
      <c r="QK113" s="456"/>
      <c r="QL113" s="456"/>
      <c r="QM113" s="456"/>
      <c r="QN113" s="456"/>
      <c r="QO113" s="456"/>
      <c r="QP113" s="456"/>
      <c r="QQ113" s="456"/>
      <c r="QR113" s="456"/>
      <c r="QS113" s="456"/>
      <c r="QT113" s="456"/>
      <c r="QU113" s="456"/>
      <c r="QV113" s="456"/>
      <c r="QW113" s="456"/>
      <c r="QX113" s="456"/>
      <c r="QY113" s="456"/>
      <c r="QZ113" s="456"/>
      <c r="RA113" s="456"/>
      <c r="RB113" s="456"/>
      <c r="RC113" s="456"/>
      <c r="RD113" s="456"/>
      <c r="RE113" s="456"/>
      <c r="RF113" s="456"/>
      <c r="RG113" s="456"/>
      <c r="RH113" s="456"/>
      <c r="RI113" s="456"/>
      <c r="RJ113" s="456"/>
      <c r="RK113" s="456"/>
      <c r="RL113" s="456"/>
      <c r="RM113" s="456"/>
      <c r="RN113" s="456"/>
      <c r="RO113" s="456"/>
      <c r="RP113" s="456"/>
      <c r="RQ113" s="456"/>
      <c r="RR113" s="456"/>
      <c r="RS113" s="456"/>
      <c r="RT113" s="456"/>
      <c r="RU113" s="456"/>
      <c r="RV113" s="456"/>
      <c r="RW113" s="456"/>
      <c r="RX113" s="456"/>
      <c r="RY113" s="456"/>
      <c r="RZ113" s="456"/>
      <c r="SA113" s="456"/>
      <c r="SB113" s="456"/>
      <c r="SC113" s="456"/>
      <c r="SD113" s="456"/>
      <c r="SE113" s="456"/>
      <c r="SF113" s="456"/>
      <c r="SG113" s="456"/>
      <c r="SH113" s="456"/>
      <c r="SI113" s="456"/>
      <c r="SJ113" s="456"/>
      <c r="SK113" s="456"/>
      <c r="SL113" s="456"/>
      <c r="SM113" s="456"/>
      <c r="SN113" s="456"/>
      <c r="SO113" s="456"/>
      <c r="SP113" s="456"/>
      <c r="SQ113" s="456"/>
      <c r="SR113" s="456"/>
      <c r="SS113" s="456"/>
      <c r="ST113" s="456"/>
      <c r="SU113" s="456"/>
      <c r="SV113" s="456"/>
      <c r="SW113" s="456"/>
      <c r="SX113" s="456"/>
      <c r="SY113" s="456"/>
      <c r="SZ113" s="456"/>
      <c r="TA113" s="456"/>
      <c r="TB113" s="456"/>
      <c r="TC113" s="456"/>
      <c r="TD113" s="456"/>
      <c r="TE113" s="456"/>
      <c r="TF113" s="456"/>
      <c r="TG113" s="456"/>
      <c r="TH113" s="456"/>
      <c r="TI113" s="456"/>
      <c r="TJ113" s="456"/>
      <c r="TK113" s="456"/>
      <c r="TL113" s="456"/>
      <c r="TM113" s="456"/>
      <c r="TN113" s="456"/>
      <c r="TO113" s="456"/>
      <c r="TP113" s="456"/>
      <c r="TQ113" s="456"/>
      <c r="TR113" s="456"/>
      <c r="TS113" s="456"/>
      <c r="TT113" s="456"/>
      <c r="TU113" s="456"/>
      <c r="TV113" s="456"/>
      <c r="TW113" s="456"/>
      <c r="TX113" s="456"/>
      <c r="TY113" s="456"/>
      <c r="TZ113" s="456"/>
      <c r="UA113" s="456"/>
      <c r="UB113" s="456"/>
      <c r="UC113" s="456"/>
      <c r="UD113" s="456"/>
      <c r="UE113" s="456"/>
      <c r="UF113" s="456"/>
      <c r="UG113" s="456"/>
      <c r="UH113" s="456"/>
      <c r="UI113" s="456"/>
      <c r="UJ113" s="456"/>
      <c r="UK113" s="456"/>
      <c r="UL113" s="456"/>
      <c r="UM113" s="456"/>
      <c r="UN113" s="456"/>
      <c r="UO113" s="456"/>
      <c r="UP113" s="456"/>
      <c r="UQ113" s="456"/>
      <c r="UR113" s="456"/>
      <c r="US113" s="456"/>
      <c r="UT113" s="456"/>
      <c r="UU113" s="456"/>
      <c r="UV113" s="456"/>
      <c r="UW113" s="456"/>
      <c r="UX113" s="456"/>
      <c r="UY113" s="456"/>
      <c r="UZ113" s="456"/>
      <c r="VA113" s="456"/>
      <c r="VB113" s="456"/>
      <c r="VC113" s="456"/>
      <c r="VD113" s="456"/>
      <c r="VE113" s="456"/>
      <c r="VF113" s="456"/>
      <c r="VG113" s="456"/>
      <c r="VH113" s="456"/>
      <c r="VI113" s="456"/>
      <c r="VJ113" s="456"/>
      <c r="VK113" s="456"/>
      <c r="VL113" s="456"/>
      <c r="VM113" s="456"/>
      <c r="VN113" s="456"/>
      <c r="VO113" s="456"/>
      <c r="VP113" s="456"/>
      <c r="VQ113" s="456"/>
      <c r="VR113" s="456"/>
      <c r="VS113" s="456"/>
      <c r="VT113" s="456"/>
      <c r="VU113" s="456"/>
      <c r="VV113" s="456"/>
      <c r="VW113" s="456"/>
      <c r="VX113" s="456"/>
      <c r="VY113" s="456"/>
      <c r="VZ113" s="456"/>
      <c r="WA113" s="456"/>
      <c r="WB113" s="456"/>
      <c r="WC113" s="456"/>
      <c r="WD113" s="456"/>
      <c r="WE113" s="456"/>
      <c r="WF113" s="456"/>
      <c r="WG113" s="456"/>
      <c r="WH113" s="456"/>
      <c r="WI113" s="456"/>
      <c r="WJ113" s="456"/>
      <c r="WK113" s="456"/>
      <c r="WL113" s="456"/>
      <c r="WM113" s="456"/>
      <c r="WN113" s="456"/>
      <c r="WO113" s="456"/>
      <c r="WP113" s="456"/>
      <c r="WQ113" s="456"/>
      <c r="WR113" s="456"/>
      <c r="WS113" s="456"/>
      <c r="WT113" s="456"/>
      <c r="WU113" s="456"/>
      <c r="WV113" s="456"/>
      <c r="WW113" s="456"/>
      <c r="WX113" s="456"/>
      <c r="WY113" s="456"/>
      <c r="WZ113" s="456"/>
      <c r="XA113" s="456"/>
      <c r="XB113" s="456"/>
      <c r="XC113" s="456"/>
      <c r="XD113" s="456"/>
      <c r="XE113" s="456"/>
      <c r="XF113" s="456"/>
      <c r="XG113" s="456"/>
      <c r="XH113" s="456"/>
      <c r="XI113" s="456"/>
      <c r="XJ113" s="456"/>
      <c r="XK113" s="456"/>
      <c r="XL113" s="456"/>
      <c r="XM113" s="456"/>
      <c r="XN113" s="456"/>
      <c r="XO113" s="456"/>
      <c r="XP113" s="456"/>
      <c r="XQ113" s="456"/>
      <c r="XR113" s="456"/>
      <c r="XS113" s="456"/>
      <c r="XT113" s="456"/>
      <c r="XU113" s="456"/>
      <c r="XV113" s="456"/>
      <c r="XW113" s="456"/>
      <c r="XX113" s="456"/>
      <c r="XY113" s="456"/>
      <c r="XZ113" s="456"/>
      <c r="YA113" s="456"/>
      <c r="YB113" s="456"/>
      <c r="YC113" s="456"/>
      <c r="YD113" s="456"/>
      <c r="YE113" s="456"/>
      <c r="YF113" s="456"/>
      <c r="YG113" s="456"/>
      <c r="YH113" s="456"/>
      <c r="YI113" s="456"/>
      <c r="YJ113" s="456"/>
      <c r="YK113" s="456"/>
      <c r="YL113" s="456"/>
      <c r="YM113" s="456"/>
      <c r="YN113" s="456"/>
      <c r="YO113" s="456"/>
      <c r="YP113" s="456"/>
      <c r="YQ113" s="456"/>
      <c r="YR113" s="456"/>
      <c r="YS113" s="456"/>
      <c r="YT113" s="456"/>
      <c r="YU113" s="456"/>
      <c r="YV113" s="456"/>
      <c r="YW113" s="456"/>
      <c r="YX113" s="456"/>
      <c r="YY113" s="456"/>
      <c r="YZ113" s="456"/>
      <c r="ZA113" s="456"/>
      <c r="ZB113" s="456"/>
      <c r="ZC113" s="456"/>
      <c r="ZD113" s="456"/>
      <c r="ZE113" s="456"/>
      <c r="ZF113" s="456"/>
      <c r="ZG113" s="456"/>
      <c r="ZH113" s="456"/>
      <c r="ZI113" s="456"/>
      <c r="ZJ113" s="456"/>
      <c r="ZK113" s="456"/>
      <c r="ZL113" s="456"/>
      <c r="ZM113" s="456"/>
      <c r="ZN113" s="456"/>
      <c r="ZO113" s="456"/>
      <c r="ZP113" s="456"/>
      <c r="ZQ113" s="456"/>
      <c r="ZR113" s="456"/>
      <c r="ZS113" s="456"/>
      <c r="ZT113" s="456"/>
      <c r="ZU113" s="456"/>
      <c r="ZV113" s="456"/>
      <c r="ZW113" s="456"/>
      <c r="ZX113" s="456"/>
      <c r="ZY113" s="456"/>
      <c r="ZZ113" s="456"/>
      <c r="AAA113" s="456"/>
      <c r="AAB113" s="456"/>
      <c r="AAC113" s="456"/>
      <c r="AAD113" s="456"/>
      <c r="AAE113" s="456"/>
      <c r="AAF113" s="456"/>
      <c r="AAG113" s="456"/>
      <c r="AAH113" s="456"/>
      <c r="AAI113" s="456"/>
      <c r="AAJ113" s="456"/>
      <c r="AAK113" s="456"/>
      <c r="AAL113" s="456"/>
      <c r="AAM113" s="456"/>
      <c r="AAN113" s="456"/>
      <c r="AAO113" s="456"/>
      <c r="AAP113" s="456"/>
      <c r="AAQ113" s="456"/>
      <c r="AAR113" s="456"/>
      <c r="AAS113" s="456"/>
      <c r="AAT113" s="456"/>
      <c r="AAU113" s="456"/>
      <c r="AAV113" s="456"/>
      <c r="AAW113" s="456"/>
      <c r="AAX113" s="456"/>
      <c r="AAY113" s="456"/>
      <c r="AAZ113" s="456"/>
      <c r="ABA113" s="456"/>
      <c r="ABB113" s="456"/>
      <c r="ABC113" s="456"/>
      <c r="ABD113" s="456"/>
      <c r="ABE113" s="456"/>
      <c r="ABF113" s="456"/>
      <c r="ABG113" s="456"/>
      <c r="ABH113" s="456"/>
      <c r="ABI113" s="456"/>
      <c r="ABJ113" s="456"/>
      <c r="ABK113" s="456"/>
      <c r="ABL113" s="456"/>
      <c r="ABM113" s="456"/>
      <c r="ABN113" s="456"/>
      <c r="ABO113" s="456"/>
      <c r="ABP113" s="456"/>
      <c r="ABQ113" s="456"/>
      <c r="ABR113" s="456"/>
      <c r="ABS113" s="456"/>
      <c r="ABT113" s="456"/>
      <c r="ABU113" s="456"/>
      <c r="ABV113" s="456"/>
      <c r="ABW113" s="456"/>
      <c r="ABX113" s="456"/>
      <c r="ABY113" s="456"/>
      <c r="ABZ113" s="456"/>
      <c r="ACA113" s="456"/>
      <c r="ACB113" s="456"/>
      <c r="ACC113" s="456"/>
      <c r="ACD113" s="456"/>
      <c r="ACE113" s="456"/>
      <c r="ACF113" s="456"/>
      <c r="ACG113" s="456"/>
      <c r="ACH113" s="456"/>
      <c r="ACI113" s="456"/>
      <c r="ACJ113" s="456"/>
      <c r="ACK113" s="456"/>
      <c r="ACL113" s="456"/>
      <c r="ACM113" s="456"/>
      <c r="ACN113" s="456"/>
      <c r="ACO113" s="456"/>
      <c r="ACP113" s="456"/>
      <c r="ACQ113" s="456"/>
      <c r="ACR113" s="456"/>
      <c r="ACS113" s="456"/>
      <c r="ACT113" s="456"/>
      <c r="ACU113" s="456"/>
      <c r="ACV113" s="456"/>
      <c r="ACW113" s="456"/>
      <c r="ACX113" s="456"/>
      <c r="ACY113" s="456"/>
      <c r="ACZ113" s="456"/>
      <c r="ADA113" s="456"/>
      <c r="ADB113" s="456"/>
      <c r="ADC113" s="456"/>
      <c r="ADD113" s="456"/>
      <c r="ADE113" s="456"/>
      <c r="ADF113" s="456"/>
      <c r="ADG113" s="456"/>
      <c r="ADH113" s="456"/>
      <c r="ADI113" s="456"/>
      <c r="ADJ113" s="456"/>
      <c r="ADK113" s="456"/>
      <c r="ADL113" s="456"/>
      <c r="ADM113" s="456"/>
      <c r="ADN113" s="456"/>
      <c r="ADO113" s="456"/>
      <c r="ADP113" s="456"/>
      <c r="ADQ113" s="456"/>
      <c r="ADR113" s="456"/>
      <c r="ADS113" s="456"/>
      <c r="ADT113" s="456"/>
      <c r="ADU113" s="456"/>
      <c r="ADV113" s="456"/>
      <c r="ADW113" s="456"/>
      <c r="ADX113" s="456"/>
      <c r="ADY113" s="456"/>
      <c r="ADZ113" s="456"/>
      <c r="AEA113" s="456"/>
      <c r="AEB113" s="456"/>
      <c r="AEC113" s="456"/>
      <c r="AED113" s="456"/>
      <c r="AEE113" s="456"/>
      <c r="AEF113" s="456"/>
      <c r="AEG113" s="456"/>
      <c r="AEH113" s="456"/>
      <c r="AEI113" s="456"/>
      <c r="AEJ113" s="456"/>
      <c r="AEK113" s="456"/>
      <c r="AEL113" s="456"/>
      <c r="AEM113" s="456"/>
      <c r="AEN113" s="456"/>
      <c r="AEO113" s="456"/>
      <c r="AEP113" s="456"/>
      <c r="AEQ113" s="456"/>
      <c r="AER113" s="456"/>
      <c r="AES113" s="456"/>
      <c r="AET113" s="456"/>
      <c r="AEU113" s="456"/>
      <c r="AEV113" s="456"/>
      <c r="AEW113" s="456"/>
      <c r="AEX113" s="456"/>
      <c r="AEY113" s="456"/>
      <c r="AEZ113" s="456"/>
      <c r="AFA113" s="456"/>
      <c r="AFB113" s="456"/>
      <c r="AFC113" s="456"/>
      <c r="AFD113" s="456"/>
      <c r="AFE113" s="456"/>
      <c r="AFF113" s="456"/>
      <c r="AFG113" s="456"/>
      <c r="AFH113" s="456"/>
      <c r="AFI113" s="456"/>
      <c r="AFJ113" s="456"/>
      <c r="AFK113" s="456"/>
      <c r="AFL113" s="456"/>
      <c r="AFM113" s="456"/>
      <c r="AFN113" s="456"/>
      <c r="AFO113" s="456"/>
      <c r="AFP113" s="456"/>
      <c r="AFQ113" s="456"/>
      <c r="AFR113" s="456"/>
      <c r="AFS113" s="456"/>
      <c r="AFT113" s="456"/>
      <c r="AFU113" s="456"/>
      <c r="AFV113" s="456"/>
      <c r="AFW113" s="456"/>
      <c r="AFX113" s="456"/>
      <c r="AFY113" s="456"/>
      <c r="AFZ113" s="456"/>
      <c r="AGA113" s="456"/>
      <c r="AGB113" s="456"/>
      <c r="AGC113" s="456"/>
      <c r="AGD113" s="456"/>
      <c r="AGE113" s="456"/>
      <c r="AGF113" s="456"/>
      <c r="AGG113" s="456"/>
      <c r="AGH113" s="456"/>
      <c r="AGI113" s="456"/>
      <c r="AGJ113" s="456"/>
      <c r="AGK113" s="456"/>
      <c r="AGL113" s="456"/>
      <c r="AGM113" s="456"/>
      <c r="AGN113" s="456"/>
      <c r="AGO113" s="456"/>
      <c r="AGP113" s="456"/>
      <c r="AGQ113" s="456"/>
      <c r="AGR113" s="456"/>
      <c r="AGS113" s="456"/>
      <c r="AGT113" s="456"/>
      <c r="AGU113" s="456"/>
      <c r="AGV113" s="456"/>
      <c r="AGW113" s="456"/>
      <c r="AGX113" s="456"/>
      <c r="AGY113" s="456"/>
      <c r="AGZ113" s="456"/>
      <c r="AHA113" s="456"/>
      <c r="AHB113" s="456"/>
      <c r="AHC113" s="456"/>
      <c r="AHD113" s="456"/>
      <c r="AHE113" s="456"/>
      <c r="AHF113" s="456"/>
      <c r="AHG113" s="456"/>
      <c r="AHH113" s="456"/>
      <c r="AHI113" s="456"/>
      <c r="AHJ113" s="456"/>
      <c r="AHK113" s="456"/>
      <c r="AHL113" s="456"/>
      <c r="AHM113" s="456"/>
      <c r="AHN113" s="456"/>
      <c r="AHO113" s="456"/>
      <c r="AHP113" s="456"/>
      <c r="AHQ113" s="456"/>
      <c r="AHR113" s="456"/>
      <c r="AHS113" s="456"/>
      <c r="AHT113" s="456"/>
      <c r="AHU113" s="456"/>
      <c r="AHV113" s="456"/>
      <c r="AHW113" s="456"/>
      <c r="AHX113" s="456"/>
      <c r="AHY113" s="456"/>
      <c r="AHZ113" s="456"/>
      <c r="AIA113" s="456"/>
      <c r="AIB113" s="456"/>
      <c r="AIC113" s="456"/>
      <c r="AID113" s="456"/>
      <c r="AIE113" s="456"/>
      <c r="AIF113" s="456"/>
      <c r="AIG113" s="456"/>
      <c r="AIH113" s="456"/>
      <c r="AII113" s="456"/>
      <c r="AIJ113" s="456"/>
      <c r="AIK113" s="456"/>
      <c r="AIL113" s="456"/>
      <c r="AIM113" s="456"/>
      <c r="AIN113" s="456"/>
      <c r="AIO113" s="456"/>
      <c r="AIP113" s="456"/>
      <c r="AIQ113" s="456"/>
      <c r="AIR113" s="456"/>
      <c r="AIS113" s="456"/>
      <c r="AIT113" s="456"/>
      <c r="AIU113" s="456"/>
      <c r="AIV113" s="456"/>
      <c r="AIW113" s="456"/>
      <c r="AIX113" s="456"/>
      <c r="AIY113" s="456"/>
      <c r="AIZ113" s="456"/>
      <c r="AJA113" s="456"/>
      <c r="AJB113" s="456"/>
      <c r="AJC113" s="456"/>
      <c r="AJD113" s="456"/>
      <c r="AJE113" s="456"/>
      <c r="AJF113" s="456"/>
      <c r="AJG113" s="456"/>
      <c r="AJH113" s="456"/>
      <c r="AJI113" s="456"/>
      <c r="AJJ113" s="456"/>
      <c r="AJK113" s="456"/>
      <c r="AJL113" s="456"/>
      <c r="AJM113" s="456"/>
      <c r="AJN113" s="456"/>
      <c r="AJO113" s="456"/>
      <c r="AJP113" s="456"/>
      <c r="AJQ113" s="456"/>
      <c r="AJR113" s="456"/>
      <c r="AJS113" s="456"/>
      <c r="AJT113" s="456"/>
      <c r="AJU113" s="456"/>
      <c r="AJV113" s="456"/>
      <c r="AJW113" s="456"/>
      <c r="AJX113" s="456"/>
      <c r="AJY113" s="456"/>
      <c r="AJZ113" s="456"/>
      <c r="AKA113" s="456"/>
      <c r="AKB113" s="456"/>
      <c r="AKC113" s="456"/>
      <c r="AKD113" s="456"/>
      <c r="AKE113" s="456"/>
      <c r="AKF113" s="456"/>
      <c r="AKG113" s="456"/>
      <c r="AKH113" s="456"/>
      <c r="AKI113" s="456"/>
      <c r="AKJ113" s="456"/>
      <c r="AKK113" s="456"/>
      <c r="AKL113" s="456"/>
      <c r="AKM113" s="456"/>
      <c r="AKN113" s="456"/>
      <c r="AKO113" s="456"/>
      <c r="AKP113" s="456"/>
      <c r="AKQ113" s="456"/>
      <c r="AKR113" s="456"/>
      <c r="AKS113" s="456"/>
      <c r="AKT113" s="456"/>
      <c r="AKU113" s="456"/>
      <c r="AKV113" s="456"/>
      <c r="AKW113" s="456"/>
      <c r="AKX113" s="456"/>
      <c r="AKY113" s="456"/>
      <c r="AKZ113" s="456"/>
      <c r="ALA113" s="456"/>
      <c r="ALB113" s="456"/>
      <c r="ALC113" s="456"/>
      <c r="ALD113" s="456"/>
      <c r="ALE113" s="456"/>
      <c r="ALF113" s="456"/>
      <c r="ALG113" s="456"/>
      <c r="ALH113" s="456"/>
      <c r="ALI113" s="456"/>
      <c r="ALJ113" s="456"/>
      <c r="ALK113" s="456"/>
      <c r="ALL113" s="456"/>
      <c r="ALM113" s="456"/>
      <c r="ALN113" s="456"/>
      <c r="ALO113" s="456"/>
      <c r="ALP113" s="456"/>
      <c r="ALQ113" s="456"/>
      <c r="ALR113" s="456"/>
      <c r="ALS113" s="456"/>
      <c r="ALT113" s="456"/>
      <c r="ALU113" s="456"/>
      <c r="ALV113" s="456"/>
      <c r="ALW113" s="456"/>
      <c r="ALX113" s="456"/>
      <c r="ALY113" s="456"/>
      <c r="ALZ113" s="456"/>
      <c r="AMA113" s="456"/>
      <c r="AMB113" s="456"/>
      <c r="AMC113" s="456"/>
      <c r="AMD113" s="456"/>
      <c r="AME113" s="456"/>
      <c r="AMF113" s="456"/>
      <c r="AMG113" s="456"/>
      <c r="AMH113" s="456"/>
      <c r="AMI113" s="456"/>
      <c r="AMJ113" s="456"/>
      <c r="AMK113" s="456"/>
      <c r="AML113" s="456"/>
      <c r="AMM113" s="456"/>
      <c r="AMN113" s="456"/>
      <c r="AMO113" s="456"/>
      <c r="AMP113" s="456"/>
      <c r="AMQ113" s="456"/>
      <c r="AMR113" s="456"/>
      <c r="AMS113" s="456"/>
      <c r="AMT113" s="456"/>
      <c r="AMU113" s="456"/>
      <c r="AMV113" s="456"/>
      <c r="AMW113" s="456"/>
      <c r="AMX113" s="456"/>
      <c r="AMY113" s="456"/>
      <c r="AMZ113" s="456"/>
      <c r="ANA113" s="456"/>
      <c r="ANB113" s="456"/>
      <c r="ANC113" s="456"/>
      <c r="AND113" s="456"/>
      <c r="ANE113" s="456"/>
      <c r="ANF113" s="456"/>
      <c r="ANG113" s="456"/>
      <c r="ANH113" s="456"/>
      <c r="ANI113" s="456"/>
      <c r="ANJ113" s="456"/>
      <c r="ANK113" s="456"/>
      <c r="ANL113" s="456"/>
      <c r="ANM113" s="456"/>
      <c r="ANN113" s="456"/>
      <c r="ANO113" s="456"/>
      <c r="ANP113" s="456"/>
      <c r="ANQ113" s="456"/>
      <c r="ANR113" s="456"/>
      <c r="ANS113" s="456"/>
      <c r="ANT113" s="456"/>
      <c r="ANU113" s="456"/>
      <c r="ANV113" s="456"/>
      <c r="ANW113" s="456"/>
      <c r="ANX113" s="456"/>
      <c r="ANY113" s="456"/>
      <c r="ANZ113" s="456"/>
      <c r="AOA113" s="456"/>
      <c r="AOB113" s="456"/>
      <c r="AOC113" s="456"/>
      <c r="AOD113" s="456"/>
      <c r="AOE113" s="456"/>
      <c r="AOF113" s="456"/>
      <c r="AOG113" s="456"/>
      <c r="AOH113" s="456"/>
      <c r="AOI113" s="456"/>
      <c r="AOJ113" s="456"/>
      <c r="AOK113" s="456"/>
      <c r="AOL113" s="456"/>
      <c r="AOM113" s="456"/>
      <c r="AON113" s="456"/>
      <c r="AOO113" s="456"/>
      <c r="AOP113" s="456"/>
      <c r="AOQ113" s="456"/>
      <c r="AOR113" s="456"/>
      <c r="AOS113" s="456"/>
      <c r="AOT113" s="456"/>
      <c r="AOU113" s="456"/>
      <c r="AOV113" s="456"/>
      <c r="AOW113" s="456"/>
      <c r="AOX113" s="456"/>
      <c r="AOY113" s="456"/>
      <c r="AOZ113" s="456"/>
      <c r="APA113" s="456"/>
      <c r="APB113" s="456"/>
      <c r="APC113" s="456"/>
      <c r="APD113" s="456"/>
      <c r="APE113" s="456"/>
      <c r="APF113" s="456"/>
      <c r="APG113" s="456"/>
      <c r="APH113" s="456"/>
      <c r="API113" s="456"/>
      <c r="APJ113" s="456"/>
      <c r="APK113" s="456"/>
      <c r="APL113" s="456"/>
      <c r="APM113" s="456"/>
      <c r="APN113" s="456"/>
      <c r="APO113" s="456"/>
      <c r="APP113" s="456"/>
      <c r="APQ113" s="456"/>
      <c r="APR113" s="456"/>
      <c r="APS113" s="456"/>
      <c r="APT113" s="456"/>
      <c r="APU113" s="456"/>
      <c r="APV113" s="456"/>
      <c r="APW113" s="456"/>
      <c r="APX113" s="456"/>
      <c r="APY113" s="456"/>
      <c r="APZ113" s="456"/>
      <c r="AQA113" s="456"/>
      <c r="AQB113" s="456"/>
      <c r="AQC113" s="456"/>
      <c r="AQD113" s="456"/>
      <c r="AQE113" s="456"/>
      <c r="AQF113" s="456"/>
      <c r="AQG113" s="456"/>
      <c r="AQH113" s="456"/>
      <c r="AQI113" s="456"/>
      <c r="AQJ113" s="456"/>
      <c r="AQK113" s="456"/>
      <c r="AQL113" s="456"/>
      <c r="AQM113" s="456"/>
      <c r="AQN113" s="456"/>
      <c r="AQO113" s="456"/>
      <c r="AQP113" s="456"/>
      <c r="AQQ113" s="456"/>
      <c r="AQR113" s="456"/>
      <c r="AQS113" s="456"/>
      <c r="AQT113" s="456"/>
      <c r="AQU113" s="456"/>
      <c r="AQV113" s="456"/>
      <c r="AQW113" s="456"/>
      <c r="AQX113" s="456"/>
      <c r="AQY113" s="456"/>
      <c r="AQZ113" s="456"/>
      <c r="ARA113" s="456"/>
      <c r="ARB113" s="456"/>
      <c r="ARC113" s="456"/>
      <c r="ARD113" s="456"/>
      <c r="ARE113" s="456"/>
      <c r="ARF113" s="456"/>
      <c r="ARG113" s="456"/>
      <c r="ARH113" s="456"/>
      <c r="ARI113" s="456"/>
      <c r="ARJ113" s="456"/>
      <c r="ARK113" s="456"/>
      <c r="ARL113" s="456"/>
      <c r="ARM113" s="456"/>
      <c r="ARN113" s="456"/>
      <c r="ARO113" s="456"/>
      <c r="ARP113" s="456"/>
      <c r="ARQ113" s="456"/>
      <c r="ARR113" s="456"/>
      <c r="ARS113" s="456"/>
      <c r="ART113" s="456"/>
      <c r="ARU113" s="456"/>
      <c r="ARV113" s="456"/>
      <c r="ARW113" s="456"/>
      <c r="ARX113" s="456"/>
      <c r="ARY113" s="456"/>
      <c r="ARZ113" s="456"/>
      <c r="ASA113" s="456"/>
      <c r="ASB113" s="456"/>
      <c r="ASC113" s="456"/>
      <c r="ASD113" s="456"/>
      <c r="ASE113" s="456"/>
      <c r="ASF113" s="456"/>
      <c r="ASG113" s="456"/>
      <c r="ASH113" s="456"/>
      <c r="ASI113" s="456"/>
      <c r="ASJ113" s="456"/>
      <c r="ASK113" s="456"/>
      <c r="ASL113" s="456"/>
      <c r="ASM113" s="456"/>
      <c r="ASN113" s="456"/>
      <c r="ASO113" s="456"/>
      <c r="ASP113" s="456"/>
      <c r="ASQ113" s="456"/>
      <c r="ASR113" s="456"/>
      <c r="ASS113" s="456"/>
      <c r="AST113" s="456"/>
      <c r="ASU113" s="456"/>
      <c r="ASV113" s="456"/>
      <c r="ASW113" s="456"/>
      <c r="ASX113" s="456"/>
      <c r="ASY113" s="456"/>
      <c r="ASZ113" s="456"/>
      <c r="ATA113" s="456"/>
      <c r="ATB113" s="456"/>
      <c r="ATC113" s="456"/>
      <c r="ATD113" s="456"/>
      <c r="ATE113" s="456"/>
      <c r="ATF113" s="456"/>
      <c r="ATG113" s="456"/>
      <c r="ATH113" s="456"/>
      <c r="ATI113" s="456"/>
      <c r="ATJ113" s="456"/>
      <c r="ATK113" s="456"/>
      <c r="ATL113" s="456"/>
      <c r="ATM113" s="456"/>
      <c r="ATN113" s="456"/>
      <c r="ATO113" s="456"/>
      <c r="ATP113" s="456"/>
      <c r="ATQ113" s="456"/>
      <c r="ATR113" s="456"/>
      <c r="ATS113" s="456"/>
      <c r="ATT113" s="456"/>
      <c r="ATU113" s="456"/>
      <c r="ATV113" s="456"/>
      <c r="ATW113" s="456"/>
      <c r="ATX113" s="456"/>
      <c r="ATY113" s="456"/>
      <c r="ATZ113" s="456"/>
      <c r="AUA113" s="456"/>
      <c r="AUB113" s="456"/>
      <c r="AUC113" s="456"/>
      <c r="AUD113" s="456"/>
      <c r="AUE113" s="456"/>
      <c r="AUF113" s="456"/>
      <c r="AUG113" s="456"/>
      <c r="AUH113" s="456"/>
      <c r="AUI113" s="456"/>
      <c r="AUJ113" s="456"/>
      <c r="AUK113" s="456"/>
      <c r="AUL113" s="456"/>
      <c r="AUM113" s="456"/>
      <c r="AUN113" s="456"/>
      <c r="AUO113" s="456"/>
      <c r="AUP113" s="456"/>
      <c r="AUQ113" s="456"/>
      <c r="AUR113" s="456"/>
      <c r="AUS113" s="456"/>
      <c r="AUT113" s="456"/>
      <c r="AUU113" s="456"/>
      <c r="AUV113" s="456"/>
      <c r="AUW113" s="456"/>
      <c r="AUX113" s="456"/>
      <c r="AUY113" s="456"/>
      <c r="AUZ113" s="456"/>
      <c r="AVA113" s="456"/>
      <c r="AVB113" s="456"/>
      <c r="AVC113" s="456"/>
      <c r="AVD113" s="456"/>
      <c r="AVE113" s="456"/>
      <c r="AVF113" s="456"/>
      <c r="AVG113" s="456"/>
      <c r="AVH113" s="456"/>
      <c r="AVI113" s="456"/>
      <c r="AVJ113" s="456"/>
      <c r="AVK113" s="456"/>
      <c r="AVL113" s="456"/>
      <c r="AVM113" s="456"/>
      <c r="AVN113" s="456"/>
      <c r="AVO113" s="456"/>
      <c r="AVP113" s="456"/>
      <c r="AVQ113" s="456"/>
      <c r="AVR113" s="456"/>
      <c r="AVS113" s="456"/>
      <c r="AVT113" s="456"/>
      <c r="AVU113" s="456"/>
      <c r="AVV113" s="456"/>
      <c r="AVW113" s="456"/>
      <c r="AVX113" s="456"/>
      <c r="AVY113" s="456"/>
      <c r="AVZ113" s="456"/>
      <c r="AWA113" s="456"/>
      <c r="AWB113" s="456"/>
      <c r="AWC113" s="456"/>
      <c r="AWD113" s="456"/>
      <c r="AWE113" s="456"/>
      <c r="AWF113" s="456"/>
      <c r="AWG113" s="456"/>
      <c r="AWH113" s="456"/>
      <c r="AWI113" s="456"/>
      <c r="AWJ113" s="456"/>
      <c r="AWK113" s="456"/>
      <c r="AWL113" s="456"/>
      <c r="AWM113" s="456"/>
      <c r="AWN113" s="456"/>
      <c r="AWO113" s="456"/>
      <c r="AWP113" s="456"/>
      <c r="AWQ113" s="456"/>
      <c r="AWR113" s="456"/>
      <c r="AWS113" s="456"/>
      <c r="AWT113" s="456"/>
      <c r="AWU113" s="456"/>
      <c r="AWV113" s="456"/>
      <c r="AWW113" s="456"/>
      <c r="AWX113" s="456"/>
      <c r="AWY113" s="456"/>
      <c r="AWZ113" s="456"/>
      <c r="AXA113" s="456"/>
      <c r="AXB113" s="456"/>
      <c r="AXC113" s="456"/>
      <c r="AXD113" s="456"/>
      <c r="AXE113" s="456"/>
      <c r="AXF113" s="456"/>
      <c r="AXG113" s="456"/>
      <c r="AXH113" s="456"/>
      <c r="AXI113" s="456"/>
      <c r="AXJ113" s="456"/>
      <c r="AXK113" s="456"/>
      <c r="AXL113" s="456"/>
      <c r="AXM113" s="456"/>
      <c r="AXN113" s="456"/>
      <c r="AXO113" s="456"/>
      <c r="AXP113" s="456"/>
      <c r="AXQ113" s="456"/>
      <c r="AXR113" s="456"/>
      <c r="AXS113" s="456"/>
      <c r="AXT113" s="456"/>
      <c r="AXU113" s="456"/>
      <c r="AXV113" s="456"/>
      <c r="AXW113" s="456"/>
      <c r="AXX113" s="456"/>
      <c r="AXY113" s="456"/>
      <c r="AXZ113" s="456"/>
      <c r="AYA113" s="456"/>
      <c r="AYB113" s="456"/>
      <c r="AYC113" s="456"/>
      <c r="AYD113" s="456"/>
      <c r="AYE113" s="456"/>
      <c r="AYF113" s="456"/>
      <c r="AYG113" s="456"/>
      <c r="AYH113" s="456"/>
      <c r="AYI113" s="456"/>
      <c r="AYJ113" s="456"/>
      <c r="AYK113" s="456"/>
      <c r="AYL113" s="456"/>
      <c r="AYM113" s="456"/>
      <c r="AYN113" s="456"/>
      <c r="AYO113" s="456"/>
      <c r="AYP113" s="456"/>
      <c r="AYQ113" s="456"/>
      <c r="AYR113" s="456"/>
      <c r="AYS113" s="456"/>
      <c r="AYT113" s="456"/>
      <c r="AYU113" s="456"/>
      <c r="AYV113" s="456"/>
      <c r="AYW113" s="456"/>
      <c r="AYX113" s="456"/>
      <c r="AYY113" s="456"/>
      <c r="AYZ113" s="456"/>
      <c r="AZA113" s="456"/>
      <c r="AZB113" s="456"/>
      <c r="AZC113" s="456"/>
      <c r="AZD113" s="456"/>
      <c r="AZE113" s="456"/>
      <c r="AZF113" s="456"/>
      <c r="AZG113" s="456"/>
      <c r="AZH113" s="456"/>
      <c r="AZI113" s="456"/>
      <c r="AZJ113" s="456"/>
      <c r="AZK113" s="456"/>
      <c r="AZL113" s="456"/>
      <c r="AZM113" s="456"/>
      <c r="AZN113" s="456"/>
      <c r="AZO113" s="456"/>
      <c r="AZP113" s="456"/>
      <c r="AZQ113" s="456"/>
      <c r="AZR113" s="456"/>
      <c r="AZS113" s="456"/>
      <c r="AZT113" s="456"/>
      <c r="AZU113" s="456"/>
      <c r="AZV113" s="456"/>
      <c r="AZW113" s="456"/>
      <c r="AZX113" s="456"/>
      <c r="AZY113" s="456"/>
      <c r="AZZ113" s="456"/>
      <c r="BAA113" s="456"/>
      <c r="BAB113" s="456"/>
      <c r="BAC113" s="456"/>
      <c r="BAD113" s="456"/>
      <c r="BAE113" s="456"/>
      <c r="BAF113" s="456"/>
      <c r="BAG113" s="456"/>
      <c r="BAH113" s="456"/>
      <c r="BAI113" s="456"/>
      <c r="BAJ113" s="456"/>
      <c r="BAK113" s="456"/>
      <c r="BAL113" s="456"/>
      <c r="BAM113" s="456"/>
      <c r="BAN113" s="456"/>
      <c r="BAO113" s="456"/>
      <c r="BAP113" s="456"/>
      <c r="BAQ113" s="456"/>
      <c r="BAR113" s="456"/>
      <c r="BAS113" s="456"/>
      <c r="BAT113" s="456"/>
      <c r="BAU113" s="456"/>
      <c r="BAV113" s="456"/>
      <c r="BAW113" s="456"/>
      <c r="BAX113" s="456"/>
      <c r="BAY113" s="456"/>
      <c r="BAZ113" s="456"/>
      <c r="BBA113" s="456"/>
      <c r="BBB113" s="456"/>
      <c r="BBC113" s="456"/>
      <c r="BBD113" s="456"/>
      <c r="BBE113" s="456"/>
      <c r="BBF113" s="456"/>
      <c r="BBG113" s="456"/>
      <c r="BBH113" s="456"/>
      <c r="BBI113" s="456"/>
      <c r="BBJ113" s="456"/>
      <c r="BBK113" s="456"/>
      <c r="BBL113" s="456"/>
      <c r="BBM113" s="456"/>
      <c r="BBN113" s="456"/>
      <c r="BBO113" s="456"/>
      <c r="BBP113" s="456"/>
      <c r="BBQ113" s="456"/>
      <c r="BBR113" s="456"/>
      <c r="BBS113" s="456"/>
      <c r="BBT113" s="456"/>
      <c r="BBU113" s="456"/>
      <c r="BBV113" s="456"/>
      <c r="BBW113" s="456"/>
      <c r="BBX113" s="456"/>
      <c r="BBY113" s="456"/>
      <c r="BBZ113" s="456"/>
      <c r="BCA113" s="456"/>
      <c r="BCB113" s="456"/>
      <c r="BCC113" s="456"/>
      <c r="BCD113" s="456"/>
      <c r="BCE113" s="456"/>
      <c r="BCF113" s="456"/>
      <c r="BCG113" s="456"/>
      <c r="BCH113" s="456"/>
      <c r="BCI113" s="456"/>
      <c r="BCJ113" s="456"/>
      <c r="BCK113" s="456"/>
      <c r="BCL113" s="456"/>
      <c r="BCM113" s="456"/>
      <c r="BCN113" s="456"/>
      <c r="BCO113" s="456"/>
      <c r="BCP113" s="456"/>
      <c r="BCQ113" s="456"/>
      <c r="BCR113" s="456"/>
      <c r="BCS113" s="456"/>
      <c r="BCT113" s="456"/>
      <c r="BCU113" s="456"/>
      <c r="BCV113" s="456"/>
      <c r="BCW113" s="456"/>
      <c r="BCX113" s="456"/>
      <c r="BCY113" s="456"/>
      <c r="BCZ113" s="456"/>
      <c r="BDA113" s="456"/>
      <c r="BDB113" s="456"/>
      <c r="BDC113" s="456"/>
      <c r="BDD113" s="456"/>
      <c r="BDE113" s="456"/>
      <c r="BDF113" s="456"/>
      <c r="BDG113" s="456"/>
      <c r="BDH113" s="456"/>
      <c r="BDI113" s="456"/>
      <c r="BDJ113" s="456"/>
      <c r="BDK113" s="456"/>
      <c r="BDL113" s="456"/>
      <c r="BDM113" s="456"/>
      <c r="BDN113" s="456"/>
      <c r="BDO113" s="456"/>
      <c r="BDP113" s="456"/>
      <c r="BDQ113" s="456"/>
      <c r="BDR113" s="456"/>
      <c r="BDS113" s="456"/>
      <c r="BDT113" s="456"/>
      <c r="BDU113" s="456"/>
      <c r="BDV113" s="456"/>
      <c r="BDW113" s="456"/>
      <c r="BDX113" s="456"/>
      <c r="BDY113" s="456"/>
      <c r="BDZ113" s="456"/>
      <c r="BEA113" s="456"/>
      <c r="BEB113" s="456"/>
      <c r="BEC113" s="456"/>
      <c r="BED113" s="456"/>
      <c r="BEE113" s="456"/>
      <c r="BEF113" s="456"/>
      <c r="BEG113" s="456"/>
      <c r="BEH113" s="456"/>
      <c r="BEI113" s="456"/>
      <c r="BEJ113" s="456"/>
      <c r="BEK113" s="456"/>
      <c r="BEL113" s="456"/>
      <c r="BEM113" s="456"/>
      <c r="BEN113" s="456"/>
      <c r="BEO113" s="456"/>
      <c r="BEP113" s="456"/>
      <c r="BEQ113" s="456"/>
      <c r="BER113" s="456"/>
      <c r="BES113" s="456"/>
      <c r="BET113" s="456"/>
      <c r="BEU113" s="456"/>
      <c r="BEV113" s="456"/>
      <c r="BEW113" s="456"/>
      <c r="BEX113" s="456"/>
      <c r="BEY113" s="456"/>
      <c r="BEZ113" s="456"/>
      <c r="BFA113" s="456"/>
      <c r="BFB113" s="456"/>
      <c r="BFC113" s="456"/>
      <c r="BFD113" s="456"/>
      <c r="BFE113" s="456"/>
      <c r="BFF113" s="456"/>
      <c r="BFG113" s="456"/>
      <c r="BFH113" s="456"/>
      <c r="BFI113" s="456"/>
      <c r="BFJ113" s="456"/>
      <c r="BFK113" s="456"/>
      <c r="BFL113" s="456"/>
      <c r="BFM113" s="456"/>
      <c r="BFN113" s="456"/>
      <c r="BFO113" s="456"/>
      <c r="BFP113" s="456"/>
      <c r="BFQ113" s="456"/>
      <c r="BFR113" s="456"/>
      <c r="BFS113" s="456"/>
      <c r="BFT113" s="456"/>
      <c r="BFU113" s="456"/>
      <c r="BFV113" s="456"/>
      <c r="BFW113" s="456"/>
      <c r="BFX113" s="456"/>
      <c r="BFY113" s="456"/>
      <c r="BFZ113" s="456"/>
      <c r="BGA113" s="456"/>
      <c r="BGB113" s="456"/>
      <c r="BGC113" s="456"/>
      <c r="BGD113" s="456"/>
      <c r="BGE113" s="456"/>
      <c r="BGF113" s="456"/>
      <c r="BGG113" s="456"/>
      <c r="BGH113" s="456"/>
      <c r="BGI113" s="456"/>
      <c r="BGJ113" s="456"/>
      <c r="BGK113" s="456"/>
      <c r="BGL113" s="456"/>
      <c r="BGM113" s="456"/>
      <c r="BGN113" s="456"/>
      <c r="BGO113" s="456"/>
      <c r="BGP113" s="456"/>
      <c r="BGQ113" s="456"/>
      <c r="BGR113" s="456"/>
      <c r="BGS113" s="456"/>
      <c r="BGT113" s="456"/>
      <c r="BGU113" s="456"/>
      <c r="BGV113" s="456"/>
      <c r="BGW113" s="456"/>
      <c r="BGX113" s="456"/>
      <c r="BGY113" s="456"/>
      <c r="BGZ113" s="456"/>
      <c r="BHA113" s="456"/>
      <c r="BHB113" s="456"/>
      <c r="BHC113" s="456"/>
      <c r="BHD113" s="456"/>
      <c r="BHE113" s="456"/>
      <c r="BHF113" s="456"/>
      <c r="BHG113" s="456"/>
      <c r="BHH113" s="456"/>
      <c r="BHI113" s="456"/>
      <c r="BHJ113" s="456"/>
      <c r="BHK113" s="456"/>
      <c r="BHL113" s="456"/>
      <c r="BHM113" s="456"/>
      <c r="BHN113" s="456"/>
      <c r="BHO113" s="456"/>
      <c r="BHP113" s="456"/>
      <c r="BHQ113" s="456"/>
      <c r="BHR113" s="456"/>
      <c r="BHS113" s="456"/>
      <c r="BHT113" s="456"/>
      <c r="BHU113" s="456"/>
      <c r="BHV113" s="456"/>
      <c r="BHW113" s="456"/>
      <c r="BHX113" s="456"/>
      <c r="BHY113" s="456"/>
      <c r="BHZ113" s="456"/>
      <c r="BIA113" s="456"/>
      <c r="BIB113" s="456"/>
      <c r="BIC113" s="456"/>
      <c r="BID113" s="456"/>
      <c r="BIE113" s="456"/>
      <c r="BIF113" s="456"/>
      <c r="BIG113" s="456"/>
      <c r="BIH113" s="456"/>
      <c r="BII113" s="456"/>
      <c r="BIJ113" s="456"/>
      <c r="BIK113" s="456"/>
      <c r="BIL113" s="456"/>
      <c r="BIM113" s="456"/>
      <c r="BIN113" s="456"/>
      <c r="BIO113" s="456"/>
      <c r="BIP113" s="456"/>
      <c r="BIQ113" s="456"/>
      <c r="BIR113" s="456"/>
      <c r="BIS113" s="456"/>
      <c r="BIT113" s="456"/>
      <c r="BIU113" s="456"/>
      <c r="BIV113" s="456"/>
      <c r="BIW113" s="456"/>
      <c r="BIX113" s="456"/>
      <c r="BIY113" s="456"/>
      <c r="BIZ113" s="456"/>
      <c r="BJA113" s="456"/>
      <c r="BJB113" s="456"/>
      <c r="BJC113" s="456"/>
      <c r="BJD113" s="456"/>
      <c r="BJE113" s="456"/>
      <c r="BJF113" s="456"/>
      <c r="BJG113" s="456"/>
      <c r="BJH113" s="456"/>
      <c r="BJI113" s="456"/>
      <c r="BJJ113" s="456"/>
      <c r="BJK113" s="456"/>
      <c r="BJL113" s="456"/>
      <c r="BJM113" s="456"/>
      <c r="BJN113" s="456"/>
      <c r="BJO113" s="456"/>
      <c r="BJP113" s="456"/>
      <c r="BJQ113" s="456"/>
      <c r="BJR113" s="456"/>
      <c r="BJS113" s="456"/>
      <c r="BJT113" s="456"/>
      <c r="BJU113" s="456"/>
      <c r="BJV113" s="456"/>
      <c r="BJW113" s="456"/>
      <c r="BJX113" s="456"/>
      <c r="BJY113" s="456"/>
      <c r="BJZ113" s="456"/>
      <c r="BKA113" s="456"/>
      <c r="BKB113" s="456"/>
      <c r="BKC113" s="456"/>
      <c r="BKD113" s="456"/>
      <c r="BKE113" s="456"/>
      <c r="BKF113" s="456"/>
      <c r="BKG113" s="456"/>
      <c r="BKH113" s="456"/>
      <c r="BKI113" s="456"/>
      <c r="BKJ113" s="456"/>
      <c r="BKK113" s="456"/>
      <c r="BKL113" s="456"/>
      <c r="BKM113" s="456"/>
      <c r="BKN113" s="456"/>
      <c r="BKO113" s="456"/>
      <c r="BKP113" s="456"/>
      <c r="BKQ113" s="456"/>
      <c r="BKR113" s="456"/>
      <c r="BKS113" s="456"/>
      <c r="BKT113" s="456"/>
      <c r="BKU113" s="456"/>
      <c r="BKV113" s="456"/>
      <c r="BKW113" s="456"/>
      <c r="BKX113" s="456"/>
      <c r="BKY113" s="456"/>
      <c r="BKZ113" s="456"/>
      <c r="BLA113" s="456"/>
      <c r="BLB113" s="456"/>
      <c r="BLC113" s="456"/>
      <c r="BLD113" s="456"/>
      <c r="BLE113" s="456"/>
      <c r="BLF113" s="456"/>
      <c r="BLG113" s="456"/>
      <c r="BLH113" s="456"/>
      <c r="BLI113" s="456"/>
      <c r="BLJ113" s="456"/>
      <c r="BLK113" s="456"/>
      <c r="BLL113" s="456"/>
      <c r="BLM113" s="456"/>
      <c r="BLN113" s="456"/>
      <c r="BLO113" s="456"/>
      <c r="BLP113" s="456"/>
      <c r="BLQ113" s="456"/>
      <c r="BLR113" s="456"/>
      <c r="BLS113" s="456"/>
      <c r="BLT113" s="456"/>
      <c r="BLU113" s="456"/>
      <c r="BLV113" s="456"/>
      <c r="BLW113" s="456"/>
      <c r="BLX113" s="456"/>
      <c r="BLY113" s="456"/>
      <c r="BLZ113" s="456"/>
      <c r="BMA113" s="456"/>
      <c r="BMB113" s="456"/>
      <c r="BMC113" s="456"/>
      <c r="BMD113" s="456"/>
      <c r="BME113" s="456"/>
      <c r="BMF113" s="456"/>
      <c r="BMG113" s="456"/>
      <c r="BMH113" s="456"/>
      <c r="BMI113" s="456"/>
      <c r="BMJ113" s="456"/>
      <c r="BMK113" s="456"/>
      <c r="BML113" s="456"/>
      <c r="BMM113" s="456"/>
      <c r="BMN113" s="456"/>
      <c r="BMO113" s="456"/>
      <c r="BMP113" s="456"/>
      <c r="BMQ113" s="456"/>
      <c r="BMR113" s="456"/>
      <c r="BMS113" s="456"/>
      <c r="BMT113" s="456"/>
      <c r="BMU113" s="456"/>
      <c r="BMV113" s="456"/>
      <c r="BMW113" s="456"/>
      <c r="BMX113" s="456"/>
      <c r="BMY113" s="456"/>
      <c r="BMZ113" s="456"/>
      <c r="BNA113" s="456"/>
      <c r="BNB113" s="456"/>
      <c r="BNC113" s="456"/>
      <c r="BND113" s="456"/>
      <c r="BNE113" s="456"/>
      <c r="BNF113" s="456"/>
      <c r="BNG113" s="456"/>
      <c r="BNH113" s="456"/>
      <c r="BNI113" s="456"/>
      <c r="BNJ113" s="456"/>
      <c r="BNK113" s="456"/>
      <c r="BNL113" s="456"/>
      <c r="BNM113" s="456"/>
      <c r="BNN113" s="456"/>
      <c r="BNO113" s="456"/>
      <c r="BNP113" s="456"/>
      <c r="BNQ113" s="456"/>
      <c r="BNR113" s="456"/>
      <c r="BNS113" s="456"/>
      <c r="BNT113" s="456"/>
      <c r="BNU113" s="456"/>
      <c r="BNV113" s="456"/>
      <c r="BNW113" s="456"/>
      <c r="BNX113" s="456"/>
      <c r="BNY113" s="456"/>
      <c r="BNZ113" s="456"/>
      <c r="BOA113" s="456"/>
      <c r="BOB113" s="456"/>
      <c r="BOC113" s="456"/>
      <c r="BOD113" s="456"/>
      <c r="BOE113" s="456"/>
      <c r="BOF113" s="456"/>
      <c r="BOG113" s="456"/>
      <c r="BOH113" s="456"/>
      <c r="BOI113" s="456"/>
      <c r="BOJ113" s="456"/>
      <c r="BOK113" s="456"/>
      <c r="BOL113" s="456"/>
      <c r="BOM113" s="456"/>
      <c r="BON113" s="456"/>
      <c r="BOO113" s="456"/>
      <c r="BOP113" s="456"/>
      <c r="BOQ113" s="456"/>
      <c r="BOR113" s="456"/>
      <c r="BOS113" s="456"/>
      <c r="BOT113" s="456"/>
      <c r="BOU113" s="456"/>
      <c r="BOV113" s="456"/>
      <c r="BOW113" s="456"/>
      <c r="BOX113" s="456"/>
      <c r="BOY113" s="456"/>
      <c r="BOZ113" s="456"/>
      <c r="BPA113" s="456"/>
      <c r="BPB113" s="456"/>
      <c r="BPC113" s="456"/>
      <c r="BPD113" s="456"/>
      <c r="BPE113" s="456"/>
      <c r="BPF113" s="456"/>
      <c r="BPG113" s="456"/>
      <c r="BPH113" s="456"/>
      <c r="BPI113" s="456"/>
      <c r="BPJ113" s="456"/>
      <c r="BPK113" s="456"/>
      <c r="BPL113" s="456"/>
      <c r="BPM113" s="456"/>
      <c r="BPN113" s="456"/>
      <c r="BPO113" s="456"/>
      <c r="BPP113" s="456"/>
      <c r="BPQ113" s="456"/>
      <c r="BPR113" s="456"/>
      <c r="BPS113" s="456"/>
      <c r="BPT113" s="456"/>
      <c r="BPU113" s="456"/>
      <c r="BPV113" s="456"/>
      <c r="BPW113" s="456"/>
      <c r="BPX113" s="456"/>
      <c r="BPY113" s="456"/>
      <c r="BPZ113" s="456"/>
      <c r="BQA113" s="456"/>
      <c r="BQB113" s="456"/>
      <c r="BQC113" s="456"/>
      <c r="BQD113" s="456"/>
      <c r="BQE113" s="456"/>
      <c r="BQF113" s="456"/>
      <c r="BQG113" s="456"/>
      <c r="BQH113" s="456"/>
      <c r="BQI113" s="456"/>
      <c r="BQJ113" s="456"/>
      <c r="BQK113" s="456"/>
      <c r="BQL113" s="456"/>
      <c r="BQM113" s="456"/>
      <c r="BQN113" s="456"/>
      <c r="BQO113" s="456"/>
      <c r="BQP113" s="456"/>
      <c r="BQQ113" s="456"/>
      <c r="BQR113" s="456"/>
      <c r="BQS113" s="456"/>
      <c r="BQT113" s="456"/>
      <c r="BQU113" s="456"/>
      <c r="BQV113" s="456"/>
      <c r="BQW113" s="456"/>
      <c r="BQX113" s="456"/>
      <c r="BQY113" s="456"/>
      <c r="BQZ113" s="456"/>
      <c r="BRA113" s="456"/>
      <c r="BRB113" s="456"/>
      <c r="BRC113" s="456"/>
      <c r="BRD113" s="456"/>
      <c r="BRE113" s="456"/>
      <c r="BRF113" s="456"/>
      <c r="BRG113" s="456"/>
      <c r="BRH113" s="456"/>
      <c r="BRI113" s="456"/>
      <c r="BRJ113" s="456"/>
      <c r="BRK113" s="456"/>
      <c r="BRL113" s="456"/>
      <c r="BRM113" s="456"/>
      <c r="BRN113" s="456"/>
      <c r="BRO113" s="456"/>
      <c r="BRP113" s="456"/>
      <c r="BRQ113" s="456"/>
      <c r="BRR113" s="456"/>
      <c r="BRS113" s="456"/>
      <c r="BRT113" s="456"/>
      <c r="BRU113" s="456"/>
      <c r="BRV113" s="456"/>
      <c r="BRW113" s="456"/>
      <c r="BRX113" s="456"/>
      <c r="BRY113" s="456"/>
      <c r="BRZ113" s="456"/>
      <c r="BSA113" s="456"/>
      <c r="BSB113" s="456"/>
      <c r="BSC113" s="456"/>
      <c r="BSD113" s="456"/>
      <c r="BSE113" s="456"/>
      <c r="BSF113" s="456"/>
      <c r="BSG113" s="456"/>
      <c r="BSH113" s="456"/>
      <c r="BSI113" s="456"/>
      <c r="BSJ113" s="456"/>
      <c r="BSK113" s="456"/>
      <c r="BSL113" s="456"/>
      <c r="BSM113" s="456"/>
      <c r="BSN113" s="456"/>
      <c r="BSO113" s="456"/>
      <c r="BSP113" s="456"/>
      <c r="BSQ113" s="456"/>
      <c r="BSR113" s="456"/>
      <c r="BSS113" s="456"/>
      <c r="BST113" s="456"/>
      <c r="BSU113" s="456"/>
      <c r="BSV113" s="456"/>
      <c r="BSW113" s="456"/>
      <c r="BSX113" s="456"/>
      <c r="BSY113" s="456"/>
      <c r="BSZ113" s="456"/>
      <c r="BTA113" s="456"/>
      <c r="BTB113" s="456"/>
      <c r="BTC113" s="456"/>
      <c r="BTD113" s="456"/>
      <c r="BTE113" s="456"/>
      <c r="BTF113" s="456"/>
      <c r="BTG113" s="456"/>
      <c r="BTH113" s="456"/>
      <c r="BTI113" s="456"/>
      <c r="BTJ113" s="456"/>
      <c r="BTK113" s="456"/>
      <c r="BTL113" s="456"/>
      <c r="BTM113" s="456"/>
      <c r="BTN113" s="456"/>
      <c r="BTO113" s="456"/>
      <c r="BTP113" s="456"/>
      <c r="BTQ113" s="456"/>
      <c r="BTR113" s="456"/>
      <c r="BTS113" s="456"/>
      <c r="BTT113" s="456"/>
      <c r="BTU113" s="456"/>
      <c r="BTV113" s="456"/>
      <c r="BTW113" s="456"/>
      <c r="BTX113" s="456"/>
      <c r="BTY113" s="456"/>
      <c r="BTZ113" s="456"/>
      <c r="BUA113" s="456"/>
      <c r="BUB113" s="456"/>
      <c r="BUC113" s="456"/>
      <c r="BUD113" s="456"/>
      <c r="BUE113" s="456"/>
      <c r="BUF113" s="456"/>
      <c r="BUG113" s="456"/>
      <c r="BUH113" s="456"/>
      <c r="BUI113" s="456"/>
      <c r="BUJ113" s="456"/>
      <c r="BUK113" s="456"/>
      <c r="BUL113" s="456"/>
      <c r="BUM113" s="456"/>
      <c r="BUN113" s="456"/>
      <c r="BUO113" s="456"/>
      <c r="BUP113" s="456"/>
      <c r="BUQ113" s="456"/>
      <c r="BUR113" s="456"/>
      <c r="BUS113" s="456"/>
      <c r="BUT113" s="456"/>
      <c r="BUU113" s="456"/>
      <c r="BUV113" s="456"/>
      <c r="BUW113" s="456"/>
      <c r="BUX113" s="456"/>
      <c r="BUY113" s="456"/>
      <c r="BUZ113" s="456"/>
      <c r="BVA113" s="456"/>
      <c r="BVB113" s="456"/>
      <c r="BVC113" s="456"/>
      <c r="BVD113" s="456"/>
      <c r="BVE113" s="456"/>
      <c r="BVF113" s="456"/>
      <c r="BVG113" s="456"/>
      <c r="BVH113" s="456"/>
      <c r="BVI113" s="456"/>
      <c r="BVJ113" s="456"/>
      <c r="BVK113" s="456"/>
      <c r="BVL113" s="456"/>
      <c r="BVM113" s="456"/>
      <c r="BVN113" s="456"/>
      <c r="BVO113" s="456"/>
      <c r="BVP113" s="456"/>
      <c r="BVQ113" s="456"/>
      <c r="BVR113" s="456"/>
      <c r="BVS113" s="456"/>
      <c r="BVT113" s="456"/>
      <c r="BVU113" s="456"/>
      <c r="BVV113" s="456"/>
      <c r="BVW113" s="456"/>
      <c r="BVX113" s="456"/>
      <c r="BVY113" s="456"/>
      <c r="BVZ113" s="456"/>
      <c r="BWA113" s="456"/>
      <c r="BWB113" s="456"/>
      <c r="BWC113" s="456"/>
      <c r="BWD113" s="456"/>
      <c r="BWE113" s="456"/>
      <c r="BWF113" s="456"/>
      <c r="BWG113" s="456"/>
      <c r="BWH113" s="456"/>
      <c r="BWI113" s="456"/>
      <c r="BWJ113" s="456"/>
      <c r="BWK113" s="456"/>
      <c r="BWL113" s="456"/>
      <c r="BWM113" s="456"/>
      <c r="BWN113" s="456"/>
      <c r="BWO113" s="456"/>
      <c r="BWP113" s="456"/>
      <c r="BWQ113" s="456"/>
      <c r="BWR113" s="456"/>
      <c r="BWS113" s="456"/>
      <c r="BWT113" s="456"/>
      <c r="BWU113" s="456"/>
      <c r="BWV113" s="456"/>
      <c r="BWW113" s="456"/>
      <c r="BWX113" s="456"/>
      <c r="BWY113" s="456"/>
      <c r="BWZ113" s="456"/>
      <c r="BXA113" s="456"/>
      <c r="BXB113" s="456"/>
      <c r="BXC113" s="456"/>
      <c r="BXD113" s="456"/>
      <c r="BXE113" s="456"/>
      <c r="BXF113" s="456"/>
      <c r="BXG113" s="456"/>
      <c r="BXH113" s="456"/>
      <c r="BXI113" s="456"/>
      <c r="BXJ113" s="456"/>
      <c r="BXK113" s="456"/>
      <c r="BXL113" s="456"/>
      <c r="BXM113" s="456"/>
      <c r="BXN113" s="456"/>
      <c r="BXO113" s="456"/>
      <c r="BXP113" s="456"/>
      <c r="BXQ113" s="456"/>
      <c r="BXR113" s="456"/>
      <c r="BXS113" s="456"/>
      <c r="BXT113" s="456"/>
      <c r="BXU113" s="456"/>
      <c r="BXV113" s="456"/>
      <c r="BXW113" s="456"/>
      <c r="BXX113" s="456"/>
      <c r="BXY113" s="456"/>
      <c r="BXZ113" s="456"/>
    </row>
    <row r="114" s="25" customFormat="1" ht="15.6" spans="1:1024 1025:2002">
      <c r="A114" s="473"/>
      <c r="B114" s="19">
        <v>1125</v>
      </c>
      <c r="C114" s="183">
        <v>46196</v>
      </c>
      <c r="D114" s="17" t="s">
        <v>52</v>
      </c>
      <c r="E114" s="17" t="s">
        <v>53</v>
      </c>
      <c r="F114" s="17" t="s">
        <v>54</v>
      </c>
      <c r="G114" s="17"/>
      <c r="H114" s="19" t="s">
        <v>55</v>
      </c>
      <c r="I114" s="102" t="s">
        <v>56</v>
      </c>
      <c r="J114" s="17" t="s">
        <v>49</v>
      </c>
      <c r="K114" s="19">
        <v>610</v>
      </c>
      <c r="L114" s="19">
        <v>50</v>
      </c>
      <c r="M114" s="19">
        <v>5800</v>
      </c>
      <c r="N114" s="19" t="s">
        <v>40</v>
      </c>
      <c r="O114" s="19" t="s">
        <v>84</v>
      </c>
      <c r="P114" s="19"/>
      <c r="Q114" s="19">
        <v>792</v>
      </c>
      <c r="R114" s="19">
        <f>+P113-Q113-Q114</f>
        <v>92</v>
      </c>
      <c r="S114" s="311">
        <v>2040</v>
      </c>
      <c r="T114" s="19" t="s">
        <v>42</v>
      </c>
      <c r="U114" s="102" t="s">
        <v>101</v>
      </c>
      <c r="V114" s="186">
        <v>46197</v>
      </c>
      <c r="W114" s="17" t="s">
        <v>58</v>
      </c>
      <c r="X114" s="17"/>
      <c r="Y114" s="68">
        <v>46204</v>
      </c>
      <c r="Z114" s="17" t="s">
        <v>45</v>
      </c>
      <c r="AA114" s="17" t="s">
        <v>59</v>
      </c>
      <c r="AB114" s="17" t="s">
        <v>60</v>
      </c>
      <c r="AC114" s="217">
        <v>46281</v>
      </c>
      <c r="AD114" s="65">
        <v>1862</v>
      </c>
      <c r="AE114" s="17" t="s">
        <v>48</v>
      </c>
      <c r="AF114" s="17" t="s">
        <v>61</v>
      </c>
      <c r="AG114" s="17" t="s">
        <v>103</v>
      </c>
      <c r="AH114" s="456"/>
      <c r="AI114" s="456"/>
      <c r="AJ114" s="456"/>
      <c r="AK114" s="456"/>
      <c r="AL114" s="456"/>
      <c r="AM114" s="456"/>
      <c r="AN114" s="456"/>
      <c r="AO114" s="456"/>
      <c r="AP114" s="456"/>
      <c r="AQ114" s="456"/>
      <c r="AR114" s="456"/>
      <c r="AS114" s="456"/>
      <c r="AT114" s="456"/>
      <c r="AU114" s="456"/>
      <c r="AV114" s="456"/>
      <c r="AW114" s="456"/>
      <c r="AX114" s="456"/>
      <c r="AY114" s="456"/>
      <c r="AZ114" s="456"/>
      <c r="BA114" s="456"/>
      <c r="BB114" s="456"/>
      <c r="BC114" s="456"/>
      <c r="BD114" s="456"/>
      <c r="BE114" s="456"/>
      <c r="BF114" s="456"/>
      <c r="BG114" s="456"/>
      <c r="BH114" s="456"/>
      <c r="BI114" s="456"/>
      <c r="BJ114" s="456"/>
      <c r="BK114" s="456"/>
      <c r="BL114" s="456"/>
      <c r="BM114" s="456"/>
      <c r="BN114" s="456"/>
      <c r="BO114" s="456"/>
      <c r="BP114" s="456"/>
      <c r="BQ114" s="456"/>
      <c r="BR114" s="456"/>
      <c r="BS114" s="456"/>
      <c r="BT114" s="456"/>
      <c r="BU114" s="456"/>
      <c r="BV114" s="456"/>
      <c r="BW114" s="456"/>
      <c r="BX114" s="456"/>
      <c r="BY114" s="456"/>
      <c r="BZ114" s="456"/>
      <c r="CA114" s="456"/>
      <c r="CB114" s="456"/>
      <c r="CC114" s="456"/>
      <c r="CD114" s="456"/>
      <c r="CE114" s="456"/>
      <c r="CF114" s="456"/>
      <c r="CG114" s="456"/>
      <c r="CH114" s="456"/>
      <c r="CI114" s="456"/>
      <c r="CJ114" s="456"/>
      <c r="CK114" s="456"/>
      <c r="CL114" s="456"/>
      <c r="CM114" s="456"/>
      <c r="CN114" s="456"/>
      <c r="CO114" s="456"/>
      <c r="CP114" s="456"/>
      <c r="CQ114" s="456"/>
      <c r="CR114" s="456"/>
      <c r="CS114" s="456"/>
      <c r="CT114" s="456"/>
      <c r="CU114" s="456"/>
      <c r="CV114" s="456"/>
      <c r="CW114" s="456"/>
      <c r="CX114" s="456"/>
      <c r="CY114" s="456"/>
      <c r="CZ114" s="456"/>
      <c r="DA114" s="456"/>
      <c r="DB114" s="456"/>
      <c r="DC114" s="456"/>
      <c r="DD114" s="456"/>
      <c r="DE114" s="456"/>
      <c r="DF114" s="456"/>
      <c r="DG114" s="456"/>
      <c r="DH114" s="456"/>
      <c r="DI114" s="456"/>
      <c r="DJ114" s="456"/>
      <c r="DK114" s="456"/>
      <c r="DL114" s="456"/>
      <c r="DM114" s="456"/>
      <c r="DN114" s="456"/>
      <c r="DO114" s="456"/>
      <c r="DP114" s="456"/>
      <c r="DQ114" s="456"/>
      <c r="DR114" s="456"/>
      <c r="DS114" s="456"/>
      <c r="DT114" s="456"/>
      <c r="DU114" s="456"/>
      <c r="DV114" s="456"/>
      <c r="DW114" s="456"/>
      <c r="DX114" s="456"/>
      <c r="DY114" s="456"/>
      <c r="DZ114" s="456"/>
      <c r="EA114" s="456"/>
      <c r="EB114" s="456"/>
      <c r="EC114" s="456"/>
      <c r="ED114" s="456"/>
      <c r="EE114" s="456"/>
      <c r="EF114" s="456"/>
      <c r="EG114" s="456"/>
      <c r="EH114" s="456"/>
      <c r="EI114" s="456"/>
      <c r="EJ114" s="456"/>
      <c r="EK114" s="456"/>
      <c r="EL114" s="456"/>
      <c r="EM114" s="456"/>
      <c r="EN114" s="456"/>
      <c r="EO114" s="456"/>
      <c r="EP114" s="456"/>
      <c r="EQ114" s="456"/>
      <c r="ER114" s="456"/>
      <c r="ES114" s="456"/>
      <c r="ET114" s="456"/>
      <c r="EU114" s="456"/>
      <c r="EV114" s="456"/>
      <c r="EW114" s="456"/>
      <c r="EX114" s="456"/>
      <c r="EY114" s="456"/>
      <c r="EZ114" s="456"/>
      <c r="FA114" s="456"/>
      <c r="FB114" s="456"/>
      <c r="FC114" s="456"/>
      <c r="FD114" s="456"/>
      <c r="FE114" s="456"/>
      <c r="FF114" s="456"/>
      <c r="FG114" s="456"/>
      <c r="FH114" s="456"/>
      <c r="FI114" s="456"/>
      <c r="FJ114" s="456"/>
      <c r="FK114" s="456"/>
      <c r="FL114" s="456"/>
      <c r="FM114" s="456"/>
      <c r="FN114" s="456"/>
      <c r="FO114" s="456"/>
      <c r="FP114" s="456"/>
      <c r="FQ114" s="456"/>
      <c r="FR114" s="456"/>
      <c r="FS114" s="456"/>
      <c r="FT114" s="456"/>
      <c r="FU114" s="456"/>
      <c r="FV114" s="456"/>
      <c r="FW114" s="456"/>
      <c r="FX114" s="456"/>
      <c r="FY114" s="456"/>
      <c r="FZ114" s="456"/>
      <c r="GA114" s="456"/>
      <c r="GB114" s="456"/>
      <c r="GC114" s="456"/>
      <c r="GD114" s="456"/>
      <c r="GE114" s="456"/>
      <c r="GF114" s="456"/>
      <c r="GG114" s="456"/>
      <c r="GH114" s="456"/>
      <c r="GI114" s="456"/>
      <c r="GJ114" s="456"/>
      <c r="GK114" s="456"/>
      <c r="GL114" s="456"/>
      <c r="GM114" s="456"/>
      <c r="GN114" s="456"/>
      <c r="GO114" s="456"/>
      <c r="GP114" s="456"/>
      <c r="GQ114" s="456"/>
      <c r="GR114" s="456"/>
      <c r="GS114" s="456"/>
      <c r="GT114" s="456"/>
      <c r="GU114" s="456"/>
      <c r="GV114" s="456"/>
      <c r="GW114" s="456"/>
      <c r="GX114" s="456"/>
      <c r="GY114" s="456"/>
      <c r="GZ114" s="456"/>
      <c r="HA114" s="456"/>
      <c r="HB114" s="456"/>
      <c r="HC114" s="456"/>
      <c r="HD114" s="456"/>
      <c r="HE114" s="456"/>
      <c r="HF114" s="456"/>
      <c r="HG114" s="456"/>
      <c r="HH114" s="456"/>
      <c r="HI114" s="456"/>
      <c r="HJ114" s="456"/>
      <c r="HK114" s="456"/>
      <c r="HL114" s="456"/>
      <c r="HM114" s="456"/>
      <c r="HN114" s="456"/>
      <c r="HO114" s="456"/>
      <c r="HP114" s="456"/>
      <c r="HQ114" s="456"/>
      <c r="HR114" s="456"/>
      <c r="HS114" s="456"/>
      <c r="HT114" s="456"/>
      <c r="HU114" s="456"/>
      <c r="HV114" s="456"/>
      <c r="HW114" s="456"/>
      <c r="HX114" s="456"/>
      <c r="HY114" s="456"/>
      <c r="HZ114" s="456"/>
      <c r="IA114" s="456"/>
      <c r="IB114" s="456"/>
      <c r="IC114" s="456"/>
      <c r="ID114" s="456"/>
      <c r="IE114" s="456"/>
      <c r="IF114" s="456"/>
      <c r="IG114" s="456"/>
      <c r="IH114" s="456"/>
      <c r="II114" s="456"/>
      <c r="IJ114" s="456"/>
      <c r="IK114" s="456"/>
      <c r="IL114" s="456"/>
      <c r="IM114" s="456"/>
      <c r="IN114" s="456"/>
      <c r="IO114" s="456"/>
      <c r="IP114" s="456"/>
      <c r="IQ114" s="456"/>
      <c r="IR114" s="456"/>
      <c r="IS114" s="456"/>
      <c r="IT114" s="456"/>
      <c r="IU114" s="456"/>
      <c r="IV114" s="456"/>
      <c r="IW114" s="456"/>
      <c r="IX114" s="456"/>
      <c r="IY114" s="456"/>
      <c r="IZ114" s="456"/>
      <c r="JA114" s="456"/>
      <c r="JB114" s="456"/>
      <c r="JC114" s="456"/>
      <c r="JD114" s="456"/>
      <c r="JE114" s="456"/>
      <c r="JF114" s="456"/>
      <c r="JG114" s="456"/>
      <c r="JH114" s="456"/>
      <c r="JI114" s="456"/>
      <c r="JJ114" s="456"/>
      <c r="JK114" s="456"/>
      <c r="JL114" s="456"/>
      <c r="JM114" s="456"/>
      <c r="JN114" s="456"/>
      <c r="JO114" s="456"/>
      <c r="JP114" s="456"/>
      <c r="JQ114" s="456"/>
      <c r="JR114" s="456"/>
      <c r="JS114" s="456"/>
      <c r="JT114" s="456"/>
      <c r="JU114" s="456"/>
      <c r="JV114" s="456"/>
      <c r="JW114" s="456"/>
      <c r="JX114" s="456"/>
      <c r="JY114" s="456"/>
      <c r="JZ114" s="456"/>
      <c r="KA114" s="456"/>
      <c r="KB114" s="456"/>
      <c r="KC114" s="456"/>
      <c r="KD114" s="456"/>
      <c r="KE114" s="456"/>
      <c r="KF114" s="456"/>
      <c r="KG114" s="456"/>
      <c r="KH114" s="456"/>
      <c r="KI114" s="456"/>
      <c r="KJ114" s="456"/>
      <c r="KK114" s="456"/>
      <c r="KL114" s="456"/>
      <c r="KM114" s="456"/>
      <c r="KN114" s="456"/>
      <c r="KO114" s="456"/>
      <c r="KP114" s="456"/>
      <c r="KQ114" s="456"/>
      <c r="KR114" s="456"/>
      <c r="KS114" s="456"/>
      <c r="KT114" s="456"/>
      <c r="KU114" s="456"/>
      <c r="KV114" s="456"/>
      <c r="KW114" s="456"/>
      <c r="KX114" s="456"/>
      <c r="KY114" s="456"/>
      <c r="KZ114" s="456"/>
      <c r="LA114" s="456"/>
      <c r="LB114" s="456"/>
      <c r="LC114" s="456"/>
      <c r="LD114" s="456"/>
      <c r="LE114" s="456"/>
      <c r="LF114" s="456"/>
      <c r="LG114" s="456"/>
      <c r="LH114" s="456"/>
      <c r="LI114" s="456"/>
      <c r="LJ114" s="456"/>
      <c r="LK114" s="456"/>
      <c r="LL114" s="456"/>
      <c r="LM114" s="456"/>
      <c r="LN114" s="456"/>
      <c r="LO114" s="456"/>
      <c r="LP114" s="456"/>
      <c r="LQ114" s="456"/>
      <c r="LR114" s="456"/>
      <c r="LS114" s="456"/>
      <c r="LT114" s="456"/>
      <c r="LU114" s="456"/>
      <c r="LV114" s="456"/>
      <c r="LW114" s="456"/>
      <c r="LX114" s="456"/>
      <c r="LY114" s="456"/>
      <c r="LZ114" s="456"/>
      <c r="MA114" s="456"/>
      <c r="MB114" s="456"/>
      <c r="MC114" s="456"/>
      <c r="MD114" s="456"/>
      <c r="ME114" s="456"/>
      <c r="MF114" s="456"/>
      <c r="MG114" s="456"/>
      <c r="MH114" s="456"/>
      <c r="MI114" s="456"/>
      <c r="MJ114" s="456"/>
      <c r="MK114" s="456"/>
      <c r="ML114" s="456"/>
      <c r="MM114" s="456"/>
      <c r="MN114" s="456"/>
      <c r="MO114" s="456"/>
      <c r="MP114" s="456"/>
      <c r="MQ114" s="456"/>
      <c r="MR114" s="456"/>
      <c r="MS114" s="456"/>
      <c r="MT114" s="456"/>
      <c r="MU114" s="456"/>
      <c r="MV114" s="456"/>
      <c r="MW114" s="456"/>
      <c r="MX114" s="456"/>
      <c r="MY114" s="456"/>
      <c r="MZ114" s="456"/>
      <c r="NA114" s="456"/>
      <c r="NB114" s="456"/>
      <c r="NC114" s="456"/>
      <c r="ND114" s="456"/>
      <c r="NE114" s="456"/>
      <c r="NF114" s="456"/>
      <c r="NG114" s="456"/>
      <c r="NH114" s="456"/>
      <c r="NI114" s="456"/>
      <c r="NJ114" s="456"/>
      <c r="NK114" s="456"/>
      <c r="NL114" s="456"/>
      <c r="NM114" s="456"/>
      <c r="NN114" s="456"/>
      <c r="NO114" s="456"/>
      <c r="NP114" s="456"/>
      <c r="NQ114" s="456"/>
      <c r="NR114" s="456"/>
      <c r="NS114" s="456"/>
      <c r="NT114" s="456"/>
      <c r="NU114" s="456"/>
      <c r="NV114" s="456"/>
      <c r="NW114" s="456"/>
      <c r="NX114" s="456"/>
      <c r="NY114" s="456"/>
      <c r="NZ114" s="456"/>
      <c r="OA114" s="456"/>
      <c r="OB114" s="456"/>
      <c r="OC114" s="456"/>
      <c r="OD114" s="456"/>
      <c r="OE114" s="456"/>
      <c r="OF114" s="456"/>
      <c r="OG114" s="456"/>
      <c r="OH114" s="456"/>
      <c r="OI114" s="456"/>
      <c r="OJ114" s="456"/>
      <c r="OK114" s="456"/>
      <c r="OL114" s="456"/>
      <c r="OM114" s="456"/>
      <c r="ON114" s="456"/>
      <c r="OO114" s="456"/>
      <c r="OP114" s="456"/>
      <c r="OQ114" s="456"/>
      <c r="OR114" s="456"/>
      <c r="OS114" s="456"/>
      <c r="OT114" s="456"/>
      <c r="OU114" s="456"/>
      <c r="OV114" s="456"/>
      <c r="OW114" s="456"/>
      <c r="OX114" s="456"/>
      <c r="OY114" s="456"/>
      <c r="OZ114" s="456"/>
      <c r="PA114" s="456"/>
      <c r="PB114" s="456"/>
      <c r="PC114" s="456"/>
      <c r="PD114" s="456"/>
      <c r="PE114" s="456"/>
      <c r="PF114" s="456"/>
      <c r="PG114" s="456"/>
      <c r="PH114" s="456"/>
      <c r="PI114" s="456"/>
      <c r="PJ114" s="456"/>
      <c r="PK114" s="456"/>
      <c r="PL114" s="456"/>
      <c r="PM114" s="456"/>
      <c r="PN114" s="456"/>
      <c r="PO114" s="456"/>
      <c r="PP114" s="456"/>
      <c r="PQ114" s="456"/>
      <c r="PR114" s="456"/>
      <c r="PS114" s="456"/>
      <c r="PT114" s="456"/>
      <c r="PU114" s="456"/>
      <c r="PV114" s="456"/>
      <c r="PW114" s="456"/>
      <c r="PX114" s="456"/>
      <c r="PY114" s="456"/>
      <c r="PZ114" s="456"/>
      <c r="QA114" s="456"/>
      <c r="QB114" s="456"/>
      <c r="QC114" s="456"/>
      <c r="QD114" s="456"/>
      <c r="QE114" s="456"/>
      <c r="QF114" s="456"/>
      <c r="QG114" s="456"/>
      <c r="QH114" s="456"/>
      <c r="QI114" s="456"/>
      <c r="QJ114" s="456"/>
      <c r="QK114" s="456"/>
      <c r="QL114" s="456"/>
      <c r="QM114" s="456"/>
      <c r="QN114" s="456"/>
      <c r="QO114" s="456"/>
      <c r="QP114" s="456"/>
      <c r="QQ114" s="456"/>
      <c r="QR114" s="456"/>
      <c r="QS114" s="456"/>
      <c r="QT114" s="456"/>
      <c r="QU114" s="456"/>
      <c r="QV114" s="456"/>
      <c r="QW114" s="456"/>
      <c r="QX114" s="456"/>
      <c r="QY114" s="456"/>
      <c r="QZ114" s="456"/>
      <c r="RA114" s="456"/>
      <c r="RB114" s="456"/>
      <c r="RC114" s="456"/>
      <c r="RD114" s="456"/>
      <c r="RE114" s="456"/>
      <c r="RF114" s="456"/>
      <c r="RG114" s="456"/>
      <c r="RH114" s="456"/>
      <c r="RI114" s="456"/>
      <c r="RJ114" s="456"/>
      <c r="RK114" s="456"/>
      <c r="RL114" s="456"/>
      <c r="RM114" s="456"/>
      <c r="RN114" s="456"/>
      <c r="RO114" s="456"/>
      <c r="RP114" s="456"/>
      <c r="RQ114" s="456"/>
      <c r="RR114" s="456"/>
      <c r="RS114" s="456"/>
      <c r="RT114" s="456"/>
      <c r="RU114" s="456"/>
      <c r="RV114" s="456"/>
      <c r="RW114" s="456"/>
      <c r="RX114" s="456"/>
      <c r="RY114" s="456"/>
      <c r="RZ114" s="456"/>
      <c r="SA114" s="456"/>
      <c r="SB114" s="456"/>
      <c r="SC114" s="456"/>
      <c r="SD114" s="456"/>
      <c r="SE114" s="456"/>
      <c r="SF114" s="456"/>
      <c r="SG114" s="456"/>
      <c r="SH114" s="456"/>
      <c r="SI114" s="456"/>
      <c r="SJ114" s="456"/>
      <c r="SK114" s="456"/>
      <c r="SL114" s="456"/>
      <c r="SM114" s="456"/>
      <c r="SN114" s="456"/>
      <c r="SO114" s="456"/>
      <c r="SP114" s="456"/>
      <c r="SQ114" s="456"/>
      <c r="SR114" s="456"/>
      <c r="SS114" s="456"/>
      <c r="ST114" s="456"/>
      <c r="SU114" s="456"/>
      <c r="SV114" s="456"/>
      <c r="SW114" s="456"/>
      <c r="SX114" s="456"/>
      <c r="SY114" s="456"/>
      <c r="SZ114" s="456"/>
      <c r="TA114" s="456"/>
      <c r="TB114" s="456"/>
      <c r="TC114" s="456"/>
      <c r="TD114" s="456"/>
      <c r="TE114" s="456"/>
      <c r="TF114" s="456"/>
      <c r="TG114" s="456"/>
      <c r="TH114" s="456"/>
      <c r="TI114" s="456"/>
      <c r="TJ114" s="456"/>
      <c r="TK114" s="456"/>
      <c r="TL114" s="456"/>
      <c r="TM114" s="456"/>
      <c r="TN114" s="456"/>
      <c r="TO114" s="456"/>
      <c r="TP114" s="456"/>
      <c r="TQ114" s="456"/>
      <c r="TR114" s="456"/>
      <c r="TS114" s="456"/>
      <c r="TT114" s="456"/>
      <c r="TU114" s="456"/>
      <c r="TV114" s="456"/>
      <c r="TW114" s="456"/>
      <c r="TX114" s="456"/>
      <c r="TY114" s="456"/>
      <c r="TZ114" s="456"/>
      <c r="UA114" s="456"/>
      <c r="UB114" s="456"/>
      <c r="UC114" s="456"/>
      <c r="UD114" s="456"/>
      <c r="UE114" s="456"/>
      <c r="UF114" s="456"/>
      <c r="UG114" s="456"/>
      <c r="UH114" s="456"/>
      <c r="UI114" s="456"/>
      <c r="UJ114" s="456"/>
      <c r="UK114" s="456"/>
      <c r="UL114" s="456"/>
      <c r="UM114" s="456"/>
      <c r="UN114" s="456"/>
      <c r="UO114" s="456"/>
      <c r="UP114" s="456"/>
      <c r="UQ114" s="456"/>
      <c r="UR114" s="456"/>
      <c r="US114" s="456"/>
      <c r="UT114" s="456"/>
      <c r="UU114" s="456"/>
      <c r="UV114" s="456"/>
      <c r="UW114" s="456"/>
      <c r="UX114" s="456"/>
      <c r="UY114" s="456"/>
      <c r="UZ114" s="456"/>
      <c r="VA114" s="456"/>
      <c r="VB114" s="456"/>
      <c r="VC114" s="456"/>
      <c r="VD114" s="456"/>
      <c r="VE114" s="456"/>
      <c r="VF114" s="456"/>
      <c r="VG114" s="456"/>
      <c r="VH114" s="456"/>
      <c r="VI114" s="456"/>
      <c r="VJ114" s="456"/>
      <c r="VK114" s="456"/>
      <c r="VL114" s="456"/>
      <c r="VM114" s="456"/>
      <c r="VN114" s="456"/>
      <c r="VO114" s="456"/>
      <c r="VP114" s="456"/>
      <c r="VQ114" s="456"/>
      <c r="VR114" s="456"/>
      <c r="VS114" s="456"/>
      <c r="VT114" s="456"/>
      <c r="VU114" s="456"/>
      <c r="VV114" s="456"/>
      <c r="VW114" s="456"/>
      <c r="VX114" s="456"/>
      <c r="VY114" s="456"/>
      <c r="VZ114" s="456"/>
      <c r="WA114" s="456"/>
      <c r="WB114" s="456"/>
      <c r="WC114" s="456"/>
      <c r="WD114" s="456"/>
      <c r="WE114" s="456"/>
      <c r="WF114" s="456"/>
      <c r="WG114" s="456"/>
      <c r="WH114" s="456"/>
      <c r="WI114" s="456"/>
      <c r="WJ114" s="456"/>
      <c r="WK114" s="456"/>
      <c r="WL114" s="456"/>
      <c r="WM114" s="456"/>
      <c r="WN114" s="456"/>
      <c r="WO114" s="456"/>
      <c r="WP114" s="456"/>
      <c r="WQ114" s="456"/>
      <c r="WR114" s="456"/>
      <c r="WS114" s="456"/>
      <c r="WT114" s="456"/>
      <c r="WU114" s="456"/>
      <c r="WV114" s="456"/>
      <c r="WW114" s="456"/>
      <c r="WX114" s="456"/>
      <c r="WY114" s="456"/>
      <c r="WZ114" s="456"/>
      <c r="XA114" s="456"/>
      <c r="XB114" s="456"/>
      <c r="XC114" s="456"/>
      <c r="XD114" s="456"/>
      <c r="XE114" s="456"/>
      <c r="XF114" s="456"/>
      <c r="XG114" s="456"/>
      <c r="XH114" s="456"/>
      <c r="XI114" s="456"/>
      <c r="XJ114" s="456"/>
      <c r="XK114" s="456"/>
      <c r="XL114" s="456"/>
      <c r="XM114" s="456"/>
      <c r="XN114" s="456"/>
      <c r="XO114" s="456"/>
      <c r="XP114" s="456"/>
      <c r="XQ114" s="456"/>
      <c r="XR114" s="456"/>
      <c r="XS114" s="456"/>
      <c r="XT114" s="456"/>
      <c r="XU114" s="456"/>
      <c r="XV114" s="456"/>
      <c r="XW114" s="456"/>
      <c r="XX114" s="456"/>
      <c r="XY114" s="456"/>
      <c r="XZ114" s="456"/>
      <c r="YA114" s="456"/>
      <c r="YB114" s="456"/>
      <c r="YC114" s="456"/>
      <c r="YD114" s="456"/>
      <c r="YE114" s="456"/>
      <c r="YF114" s="456"/>
      <c r="YG114" s="456"/>
      <c r="YH114" s="456"/>
      <c r="YI114" s="456"/>
      <c r="YJ114" s="456"/>
      <c r="YK114" s="456"/>
      <c r="YL114" s="456"/>
      <c r="YM114" s="456"/>
      <c r="YN114" s="456"/>
      <c r="YO114" s="456"/>
      <c r="YP114" s="456"/>
      <c r="YQ114" s="456"/>
      <c r="YR114" s="456"/>
      <c r="YS114" s="456"/>
      <c r="YT114" s="456"/>
      <c r="YU114" s="456"/>
      <c r="YV114" s="456"/>
      <c r="YW114" s="456"/>
      <c r="YX114" s="456"/>
      <c r="YY114" s="456"/>
      <c r="YZ114" s="456"/>
      <c r="ZA114" s="456"/>
      <c r="ZB114" s="456"/>
      <c r="ZC114" s="456"/>
      <c r="ZD114" s="456"/>
      <c r="ZE114" s="456"/>
      <c r="ZF114" s="456"/>
      <c r="ZG114" s="456"/>
      <c r="ZH114" s="456"/>
      <c r="ZI114" s="456"/>
      <c r="ZJ114" s="456"/>
      <c r="ZK114" s="456"/>
      <c r="ZL114" s="456"/>
      <c r="ZM114" s="456"/>
      <c r="ZN114" s="456"/>
      <c r="ZO114" s="456"/>
      <c r="ZP114" s="456"/>
      <c r="ZQ114" s="456"/>
      <c r="ZR114" s="456"/>
      <c r="ZS114" s="456"/>
      <c r="ZT114" s="456"/>
      <c r="ZU114" s="456"/>
      <c r="ZV114" s="456"/>
      <c r="ZW114" s="456"/>
      <c r="ZX114" s="456"/>
      <c r="ZY114" s="456"/>
      <c r="ZZ114" s="456"/>
      <c r="AAA114" s="456"/>
      <c r="AAB114" s="456"/>
      <c r="AAC114" s="456"/>
      <c r="AAD114" s="456"/>
      <c r="AAE114" s="456"/>
      <c r="AAF114" s="456"/>
      <c r="AAG114" s="456"/>
      <c r="AAH114" s="456"/>
      <c r="AAI114" s="456"/>
      <c r="AAJ114" s="456"/>
      <c r="AAK114" s="456"/>
      <c r="AAL114" s="456"/>
      <c r="AAM114" s="456"/>
      <c r="AAN114" s="456"/>
      <c r="AAO114" s="456"/>
      <c r="AAP114" s="456"/>
      <c r="AAQ114" s="456"/>
      <c r="AAR114" s="456"/>
      <c r="AAS114" s="456"/>
      <c r="AAT114" s="456"/>
      <c r="AAU114" s="456"/>
      <c r="AAV114" s="456"/>
      <c r="AAW114" s="456"/>
      <c r="AAX114" s="456"/>
      <c r="AAY114" s="456"/>
      <c r="AAZ114" s="456"/>
      <c r="ABA114" s="456"/>
      <c r="ABB114" s="456"/>
      <c r="ABC114" s="456"/>
      <c r="ABD114" s="456"/>
      <c r="ABE114" s="456"/>
      <c r="ABF114" s="456"/>
      <c r="ABG114" s="456"/>
      <c r="ABH114" s="456"/>
      <c r="ABI114" s="456"/>
      <c r="ABJ114" s="456"/>
      <c r="ABK114" s="456"/>
      <c r="ABL114" s="456"/>
      <c r="ABM114" s="456"/>
      <c r="ABN114" s="456"/>
      <c r="ABO114" s="456"/>
      <c r="ABP114" s="456"/>
      <c r="ABQ114" s="456"/>
      <c r="ABR114" s="456"/>
      <c r="ABS114" s="456"/>
      <c r="ABT114" s="456"/>
      <c r="ABU114" s="456"/>
      <c r="ABV114" s="456"/>
      <c r="ABW114" s="456"/>
      <c r="ABX114" s="456"/>
      <c r="ABY114" s="456"/>
      <c r="ABZ114" s="456"/>
      <c r="ACA114" s="456"/>
      <c r="ACB114" s="456"/>
      <c r="ACC114" s="456"/>
      <c r="ACD114" s="456"/>
      <c r="ACE114" s="456"/>
      <c r="ACF114" s="456"/>
      <c r="ACG114" s="456"/>
      <c r="ACH114" s="456"/>
      <c r="ACI114" s="456"/>
      <c r="ACJ114" s="456"/>
      <c r="ACK114" s="456"/>
      <c r="ACL114" s="456"/>
      <c r="ACM114" s="456"/>
      <c r="ACN114" s="456"/>
      <c r="ACO114" s="456"/>
      <c r="ACP114" s="456"/>
      <c r="ACQ114" s="456"/>
      <c r="ACR114" s="456"/>
      <c r="ACS114" s="456"/>
      <c r="ACT114" s="456"/>
      <c r="ACU114" s="456"/>
      <c r="ACV114" s="456"/>
      <c r="ACW114" s="456"/>
      <c r="ACX114" s="456"/>
      <c r="ACY114" s="456"/>
      <c r="ACZ114" s="456"/>
      <c r="ADA114" s="456"/>
      <c r="ADB114" s="456"/>
      <c r="ADC114" s="456"/>
      <c r="ADD114" s="456"/>
      <c r="ADE114" s="456"/>
      <c r="ADF114" s="456"/>
      <c r="ADG114" s="456"/>
      <c r="ADH114" s="456"/>
      <c r="ADI114" s="456"/>
      <c r="ADJ114" s="456"/>
      <c r="ADK114" s="456"/>
      <c r="ADL114" s="456"/>
      <c r="ADM114" s="456"/>
      <c r="ADN114" s="456"/>
      <c r="ADO114" s="456"/>
      <c r="ADP114" s="456"/>
      <c r="ADQ114" s="456"/>
      <c r="ADR114" s="456"/>
      <c r="ADS114" s="456"/>
      <c r="ADT114" s="456"/>
      <c r="ADU114" s="456"/>
      <c r="ADV114" s="456"/>
      <c r="ADW114" s="456"/>
      <c r="ADX114" s="456"/>
      <c r="ADY114" s="456"/>
      <c r="ADZ114" s="456"/>
      <c r="AEA114" s="456"/>
      <c r="AEB114" s="456"/>
      <c r="AEC114" s="456"/>
      <c r="AED114" s="456"/>
      <c r="AEE114" s="456"/>
      <c r="AEF114" s="456"/>
      <c r="AEG114" s="456"/>
      <c r="AEH114" s="456"/>
      <c r="AEI114" s="456"/>
      <c r="AEJ114" s="456"/>
      <c r="AEK114" s="456"/>
      <c r="AEL114" s="456"/>
      <c r="AEM114" s="456"/>
      <c r="AEN114" s="456"/>
      <c r="AEO114" s="456"/>
      <c r="AEP114" s="456"/>
      <c r="AEQ114" s="456"/>
      <c r="AER114" s="456"/>
      <c r="AES114" s="456"/>
      <c r="AET114" s="456"/>
      <c r="AEU114" s="456"/>
      <c r="AEV114" s="456"/>
      <c r="AEW114" s="456"/>
      <c r="AEX114" s="456"/>
      <c r="AEY114" s="456"/>
      <c r="AEZ114" s="456"/>
      <c r="AFA114" s="456"/>
      <c r="AFB114" s="456"/>
      <c r="AFC114" s="456"/>
      <c r="AFD114" s="456"/>
      <c r="AFE114" s="456"/>
      <c r="AFF114" s="456"/>
      <c r="AFG114" s="456"/>
      <c r="AFH114" s="456"/>
      <c r="AFI114" s="456"/>
      <c r="AFJ114" s="456"/>
      <c r="AFK114" s="456"/>
      <c r="AFL114" s="456"/>
      <c r="AFM114" s="456"/>
      <c r="AFN114" s="456"/>
      <c r="AFO114" s="456"/>
      <c r="AFP114" s="456"/>
      <c r="AFQ114" s="456"/>
      <c r="AFR114" s="456"/>
      <c r="AFS114" s="456"/>
      <c r="AFT114" s="456"/>
      <c r="AFU114" s="456"/>
      <c r="AFV114" s="456"/>
      <c r="AFW114" s="456"/>
      <c r="AFX114" s="456"/>
      <c r="AFY114" s="456"/>
      <c r="AFZ114" s="456"/>
      <c r="AGA114" s="456"/>
      <c r="AGB114" s="456"/>
      <c r="AGC114" s="456"/>
      <c r="AGD114" s="456"/>
      <c r="AGE114" s="456"/>
      <c r="AGF114" s="456"/>
      <c r="AGG114" s="456"/>
      <c r="AGH114" s="456"/>
      <c r="AGI114" s="456"/>
      <c r="AGJ114" s="456"/>
      <c r="AGK114" s="456"/>
      <c r="AGL114" s="456"/>
      <c r="AGM114" s="456"/>
      <c r="AGN114" s="456"/>
      <c r="AGO114" s="456"/>
      <c r="AGP114" s="456"/>
      <c r="AGQ114" s="456"/>
      <c r="AGR114" s="456"/>
      <c r="AGS114" s="456"/>
      <c r="AGT114" s="456"/>
      <c r="AGU114" s="456"/>
      <c r="AGV114" s="456"/>
      <c r="AGW114" s="456"/>
      <c r="AGX114" s="456"/>
      <c r="AGY114" s="456"/>
      <c r="AGZ114" s="456"/>
      <c r="AHA114" s="456"/>
      <c r="AHB114" s="456"/>
      <c r="AHC114" s="456"/>
      <c r="AHD114" s="456"/>
      <c r="AHE114" s="456"/>
      <c r="AHF114" s="456"/>
      <c r="AHG114" s="456"/>
      <c r="AHH114" s="456"/>
      <c r="AHI114" s="456"/>
      <c r="AHJ114" s="456"/>
      <c r="AHK114" s="456"/>
      <c r="AHL114" s="456"/>
      <c r="AHM114" s="456"/>
      <c r="AHN114" s="456"/>
      <c r="AHO114" s="456"/>
      <c r="AHP114" s="456"/>
      <c r="AHQ114" s="456"/>
      <c r="AHR114" s="456"/>
      <c r="AHS114" s="456"/>
      <c r="AHT114" s="456"/>
      <c r="AHU114" s="456"/>
      <c r="AHV114" s="456"/>
      <c r="AHW114" s="456"/>
      <c r="AHX114" s="456"/>
      <c r="AHY114" s="456"/>
      <c r="AHZ114" s="456"/>
      <c r="AIA114" s="456"/>
      <c r="AIB114" s="456"/>
      <c r="AIC114" s="456"/>
      <c r="AID114" s="456"/>
      <c r="AIE114" s="456"/>
      <c r="AIF114" s="456"/>
      <c r="AIG114" s="456"/>
      <c r="AIH114" s="456"/>
      <c r="AII114" s="456"/>
      <c r="AIJ114" s="456"/>
      <c r="AIK114" s="456"/>
      <c r="AIL114" s="456"/>
      <c r="AIM114" s="456"/>
      <c r="AIN114" s="456"/>
      <c r="AIO114" s="456"/>
      <c r="AIP114" s="456"/>
      <c r="AIQ114" s="456"/>
      <c r="AIR114" s="456"/>
      <c r="AIS114" s="456"/>
      <c r="AIT114" s="456"/>
      <c r="AIU114" s="456"/>
      <c r="AIV114" s="456"/>
      <c r="AIW114" s="456"/>
      <c r="AIX114" s="456"/>
      <c r="AIY114" s="456"/>
      <c r="AIZ114" s="456"/>
      <c r="AJA114" s="456"/>
      <c r="AJB114" s="456"/>
      <c r="AJC114" s="456"/>
      <c r="AJD114" s="456"/>
      <c r="AJE114" s="456"/>
      <c r="AJF114" s="456"/>
      <c r="AJG114" s="456"/>
      <c r="AJH114" s="456"/>
      <c r="AJI114" s="456"/>
      <c r="AJJ114" s="456"/>
      <c r="AJK114" s="456"/>
      <c r="AJL114" s="456"/>
      <c r="AJM114" s="456"/>
      <c r="AJN114" s="456"/>
      <c r="AJO114" s="456"/>
      <c r="AJP114" s="456"/>
      <c r="AJQ114" s="456"/>
      <c r="AJR114" s="456"/>
      <c r="AJS114" s="456"/>
      <c r="AJT114" s="456"/>
      <c r="AJU114" s="456"/>
      <c r="AJV114" s="456"/>
      <c r="AJW114" s="456"/>
      <c r="AJX114" s="456"/>
      <c r="AJY114" s="456"/>
      <c r="AJZ114" s="456"/>
      <c r="AKA114" s="456"/>
      <c r="AKB114" s="456"/>
      <c r="AKC114" s="456"/>
      <c r="AKD114" s="456"/>
      <c r="AKE114" s="456"/>
      <c r="AKF114" s="456"/>
      <c r="AKG114" s="456"/>
      <c r="AKH114" s="456"/>
      <c r="AKI114" s="456"/>
      <c r="AKJ114" s="456"/>
      <c r="AKK114" s="456"/>
      <c r="AKL114" s="456"/>
      <c r="AKM114" s="456"/>
      <c r="AKN114" s="456"/>
      <c r="AKO114" s="456"/>
      <c r="AKP114" s="456"/>
      <c r="AKQ114" s="456"/>
      <c r="AKR114" s="456"/>
      <c r="AKS114" s="456"/>
      <c r="AKT114" s="456"/>
      <c r="AKU114" s="456"/>
      <c r="AKV114" s="456"/>
      <c r="AKW114" s="456"/>
      <c r="AKX114" s="456"/>
      <c r="AKY114" s="456"/>
      <c r="AKZ114" s="456"/>
      <c r="ALA114" s="456"/>
      <c r="ALB114" s="456"/>
      <c r="ALC114" s="456"/>
      <c r="ALD114" s="456"/>
      <c r="ALE114" s="456"/>
      <c r="ALF114" s="456"/>
      <c r="ALG114" s="456"/>
      <c r="ALH114" s="456"/>
      <c r="ALI114" s="456"/>
      <c r="ALJ114" s="456"/>
      <c r="ALK114" s="456"/>
      <c r="ALL114" s="456"/>
      <c r="ALM114" s="456"/>
      <c r="ALN114" s="456"/>
      <c r="ALO114" s="456"/>
      <c r="ALP114" s="456"/>
      <c r="ALQ114" s="456"/>
      <c r="ALR114" s="456"/>
      <c r="ALS114" s="456"/>
      <c r="ALT114" s="456"/>
      <c r="ALU114" s="456"/>
      <c r="ALV114" s="456"/>
      <c r="ALW114" s="456"/>
      <c r="ALX114" s="456"/>
      <c r="ALY114" s="456"/>
      <c r="ALZ114" s="456"/>
      <c r="AMA114" s="456"/>
      <c r="AMB114" s="456"/>
      <c r="AMC114" s="456"/>
      <c r="AMD114" s="456"/>
      <c r="AME114" s="456"/>
      <c r="AMF114" s="456"/>
      <c r="AMG114" s="456"/>
      <c r="AMH114" s="456"/>
      <c r="AMI114" s="456"/>
      <c r="AMJ114" s="456"/>
      <c r="AMK114" s="456"/>
      <c r="AML114" s="456"/>
      <c r="AMM114" s="456"/>
      <c r="AMN114" s="456"/>
      <c r="AMO114" s="456"/>
      <c r="AMP114" s="456"/>
      <c r="AMQ114" s="456"/>
      <c r="AMR114" s="456"/>
      <c r="AMS114" s="456"/>
      <c r="AMT114" s="456"/>
      <c r="AMU114" s="456"/>
      <c r="AMV114" s="456"/>
      <c r="AMW114" s="456"/>
      <c r="AMX114" s="456"/>
      <c r="AMY114" s="456"/>
      <c r="AMZ114" s="456"/>
      <c r="ANA114" s="456"/>
      <c r="ANB114" s="456"/>
      <c r="ANC114" s="456"/>
      <c r="AND114" s="456"/>
      <c r="ANE114" s="456"/>
      <c r="ANF114" s="456"/>
      <c r="ANG114" s="456"/>
      <c r="ANH114" s="456"/>
      <c r="ANI114" s="456"/>
      <c r="ANJ114" s="456"/>
      <c r="ANK114" s="456"/>
      <c r="ANL114" s="456"/>
      <c r="ANM114" s="456"/>
      <c r="ANN114" s="456"/>
      <c r="ANO114" s="456"/>
      <c r="ANP114" s="456"/>
      <c r="ANQ114" s="456"/>
      <c r="ANR114" s="456"/>
      <c r="ANS114" s="456"/>
      <c r="ANT114" s="456"/>
      <c r="ANU114" s="456"/>
      <c r="ANV114" s="456"/>
      <c r="ANW114" s="456"/>
      <c r="ANX114" s="456"/>
      <c r="ANY114" s="456"/>
      <c r="ANZ114" s="456"/>
      <c r="AOA114" s="456"/>
      <c r="AOB114" s="456"/>
      <c r="AOC114" s="456"/>
      <c r="AOD114" s="456"/>
      <c r="AOE114" s="456"/>
      <c r="AOF114" s="456"/>
      <c r="AOG114" s="456"/>
      <c r="AOH114" s="456"/>
      <c r="AOI114" s="456"/>
      <c r="AOJ114" s="456"/>
      <c r="AOK114" s="456"/>
      <c r="AOL114" s="456"/>
      <c r="AOM114" s="456"/>
      <c r="AON114" s="456"/>
      <c r="AOO114" s="456"/>
      <c r="AOP114" s="456"/>
      <c r="AOQ114" s="456"/>
      <c r="AOR114" s="456"/>
      <c r="AOS114" s="456"/>
      <c r="AOT114" s="456"/>
      <c r="AOU114" s="456"/>
      <c r="AOV114" s="456"/>
      <c r="AOW114" s="456"/>
      <c r="AOX114" s="456"/>
      <c r="AOY114" s="456"/>
      <c r="AOZ114" s="456"/>
      <c r="APA114" s="456"/>
      <c r="APB114" s="456"/>
      <c r="APC114" s="456"/>
      <c r="APD114" s="456"/>
      <c r="APE114" s="456"/>
      <c r="APF114" s="456"/>
      <c r="APG114" s="456"/>
      <c r="APH114" s="456"/>
      <c r="API114" s="456"/>
      <c r="APJ114" s="456"/>
      <c r="APK114" s="456"/>
      <c r="APL114" s="456"/>
      <c r="APM114" s="456"/>
      <c r="APN114" s="456"/>
      <c r="APO114" s="456"/>
      <c r="APP114" s="456"/>
      <c r="APQ114" s="456"/>
      <c r="APR114" s="456"/>
      <c r="APS114" s="456"/>
      <c r="APT114" s="456"/>
      <c r="APU114" s="456"/>
      <c r="APV114" s="456"/>
      <c r="APW114" s="456"/>
      <c r="APX114" s="456"/>
      <c r="APY114" s="456"/>
      <c r="APZ114" s="456"/>
      <c r="AQA114" s="456"/>
      <c r="AQB114" s="456"/>
      <c r="AQC114" s="456"/>
      <c r="AQD114" s="456"/>
      <c r="AQE114" s="456"/>
      <c r="AQF114" s="456"/>
      <c r="AQG114" s="456"/>
      <c r="AQH114" s="456"/>
      <c r="AQI114" s="456"/>
      <c r="AQJ114" s="456"/>
      <c r="AQK114" s="456"/>
      <c r="AQL114" s="456"/>
      <c r="AQM114" s="456"/>
      <c r="AQN114" s="456"/>
      <c r="AQO114" s="456"/>
      <c r="AQP114" s="456"/>
      <c r="AQQ114" s="456"/>
      <c r="AQR114" s="456"/>
      <c r="AQS114" s="456"/>
      <c r="AQT114" s="456"/>
      <c r="AQU114" s="456"/>
      <c r="AQV114" s="456"/>
      <c r="AQW114" s="456"/>
      <c r="AQX114" s="456"/>
      <c r="AQY114" s="456"/>
      <c r="AQZ114" s="456"/>
      <c r="ARA114" s="456"/>
      <c r="ARB114" s="456"/>
      <c r="ARC114" s="456"/>
      <c r="ARD114" s="456"/>
      <c r="ARE114" s="456"/>
      <c r="ARF114" s="456"/>
      <c r="ARG114" s="456"/>
      <c r="ARH114" s="456"/>
      <c r="ARI114" s="456"/>
      <c r="ARJ114" s="456"/>
      <c r="ARK114" s="456"/>
      <c r="ARL114" s="456"/>
      <c r="ARM114" s="456"/>
      <c r="ARN114" s="456"/>
      <c r="ARO114" s="456"/>
      <c r="ARP114" s="456"/>
      <c r="ARQ114" s="456"/>
      <c r="ARR114" s="456"/>
      <c r="ARS114" s="456"/>
      <c r="ART114" s="456"/>
      <c r="ARU114" s="456"/>
      <c r="ARV114" s="456"/>
      <c r="ARW114" s="456"/>
      <c r="ARX114" s="456"/>
      <c r="ARY114" s="456"/>
      <c r="ARZ114" s="456"/>
      <c r="ASA114" s="456"/>
      <c r="ASB114" s="456"/>
      <c r="ASC114" s="456"/>
      <c r="ASD114" s="456"/>
      <c r="ASE114" s="456"/>
      <c r="ASF114" s="456"/>
      <c r="ASG114" s="456"/>
      <c r="ASH114" s="456"/>
      <c r="ASI114" s="456"/>
      <c r="ASJ114" s="456"/>
      <c r="ASK114" s="456"/>
      <c r="ASL114" s="456"/>
      <c r="ASM114" s="456"/>
      <c r="ASN114" s="456"/>
      <c r="ASO114" s="456"/>
      <c r="ASP114" s="456"/>
      <c r="ASQ114" s="456"/>
      <c r="ASR114" s="456"/>
      <c r="ASS114" s="456"/>
      <c r="AST114" s="456"/>
      <c r="ASU114" s="456"/>
      <c r="ASV114" s="456"/>
      <c r="ASW114" s="456"/>
      <c r="ASX114" s="456"/>
      <c r="ASY114" s="456"/>
      <c r="ASZ114" s="456"/>
      <c r="ATA114" s="456"/>
      <c r="ATB114" s="456"/>
      <c r="ATC114" s="456"/>
      <c r="ATD114" s="456"/>
      <c r="ATE114" s="456"/>
      <c r="ATF114" s="456"/>
      <c r="ATG114" s="456"/>
      <c r="ATH114" s="456"/>
      <c r="ATI114" s="456"/>
      <c r="ATJ114" s="456"/>
      <c r="ATK114" s="456"/>
      <c r="ATL114" s="456"/>
      <c r="ATM114" s="456"/>
      <c r="ATN114" s="456"/>
      <c r="ATO114" s="456"/>
      <c r="ATP114" s="456"/>
      <c r="ATQ114" s="456"/>
      <c r="ATR114" s="456"/>
      <c r="ATS114" s="456"/>
      <c r="ATT114" s="456"/>
      <c r="ATU114" s="456"/>
      <c r="ATV114" s="456"/>
      <c r="ATW114" s="456"/>
      <c r="ATX114" s="456"/>
      <c r="ATY114" s="456"/>
      <c r="ATZ114" s="456"/>
      <c r="AUA114" s="456"/>
      <c r="AUB114" s="456"/>
      <c r="AUC114" s="456"/>
      <c r="AUD114" s="456"/>
      <c r="AUE114" s="456"/>
      <c r="AUF114" s="456"/>
      <c r="AUG114" s="456"/>
      <c r="AUH114" s="456"/>
      <c r="AUI114" s="456"/>
      <c r="AUJ114" s="456"/>
      <c r="AUK114" s="456"/>
      <c r="AUL114" s="456"/>
      <c r="AUM114" s="456"/>
      <c r="AUN114" s="456"/>
      <c r="AUO114" s="456"/>
      <c r="AUP114" s="456"/>
      <c r="AUQ114" s="456"/>
      <c r="AUR114" s="456"/>
      <c r="AUS114" s="456"/>
      <c r="AUT114" s="456"/>
      <c r="AUU114" s="456"/>
      <c r="AUV114" s="456"/>
      <c r="AUW114" s="456"/>
      <c r="AUX114" s="456"/>
      <c r="AUY114" s="456"/>
      <c r="AUZ114" s="456"/>
      <c r="AVA114" s="456"/>
      <c r="AVB114" s="456"/>
      <c r="AVC114" s="456"/>
      <c r="AVD114" s="456"/>
      <c r="AVE114" s="456"/>
      <c r="AVF114" s="456"/>
      <c r="AVG114" s="456"/>
      <c r="AVH114" s="456"/>
      <c r="AVI114" s="456"/>
      <c r="AVJ114" s="456"/>
      <c r="AVK114" s="456"/>
      <c r="AVL114" s="456"/>
      <c r="AVM114" s="456"/>
      <c r="AVN114" s="456"/>
      <c r="AVO114" s="456"/>
      <c r="AVP114" s="456"/>
      <c r="AVQ114" s="456"/>
      <c r="AVR114" s="456"/>
      <c r="AVS114" s="456"/>
      <c r="AVT114" s="456"/>
      <c r="AVU114" s="456"/>
      <c r="AVV114" s="456"/>
      <c r="AVW114" s="456"/>
      <c r="AVX114" s="456"/>
      <c r="AVY114" s="456"/>
      <c r="AVZ114" s="456"/>
      <c r="AWA114" s="456"/>
      <c r="AWB114" s="456"/>
      <c r="AWC114" s="456"/>
      <c r="AWD114" s="456"/>
      <c r="AWE114" s="456"/>
      <c r="AWF114" s="456"/>
      <c r="AWG114" s="456"/>
      <c r="AWH114" s="456"/>
      <c r="AWI114" s="456"/>
      <c r="AWJ114" s="456"/>
      <c r="AWK114" s="456"/>
      <c r="AWL114" s="456"/>
      <c r="AWM114" s="456"/>
      <c r="AWN114" s="456"/>
      <c r="AWO114" s="456"/>
      <c r="AWP114" s="456"/>
      <c r="AWQ114" s="456"/>
      <c r="AWR114" s="456"/>
      <c r="AWS114" s="456"/>
      <c r="AWT114" s="456"/>
      <c r="AWU114" s="456"/>
      <c r="AWV114" s="456"/>
      <c r="AWW114" s="456"/>
      <c r="AWX114" s="456"/>
      <c r="AWY114" s="456"/>
      <c r="AWZ114" s="456"/>
      <c r="AXA114" s="456"/>
      <c r="AXB114" s="456"/>
      <c r="AXC114" s="456"/>
      <c r="AXD114" s="456"/>
      <c r="AXE114" s="456"/>
      <c r="AXF114" s="456"/>
      <c r="AXG114" s="456"/>
      <c r="AXH114" s="456"/>
      <c r="AXI114" s="456"/>
      <c r="AXJ114" s="456"/>
      <c r="AXK114" s="456"/>
      <c r="AXL114" s="456"/>
      <c r="AXM114" s="456"/>
      <c r="AXN114" s="456"/>
      <c r="AXO114" s="456"/>
      <c r="AXP114" s="456"/>
      <c r="AXQ114" s="456"/>
      <c r="AXR114" s="456"/>
      <c r="AXS114" s="456"/>
      <c r="AXT114" s="456"/>
      <c r="AXU114" s="456"/>
      <c r="AXV114" s="456"/>
      <c r="AXW114" s="456"/>
      <c r="AXX114" s="456"/>
      <c r="AXY114" s="456"/>
      <c r="AXZ114" s="456"/>
      <c r="AYA114" s="456"/>
      <c r="AYB114" s="456"/>
      <c r="AYC114" s="456"/>
      <c r="AYD114" s="456"/>
      <c r="AYE114" s="456"/>
      <c r="AYF114" s="456"/>
      <c r="AYG114" s="456"/>
      <c r="AYH114" s="456"/>
      <c r="AYI114" s="456"/>
      <c r="AYJ114" s="456"/>
      <c r="AYK114" s="456"/>
      <c r="AYL114" s="456"/>
      <c r="AYM114" s="456"/>
      <c r="AYN114" s="456"/>
      <c r="AYO114" s="456"/>
      <c r="AYP114" s="456"/>
      <c r="AYQ114" s="456"/>
      <c r="AYR114" s="456"/>
      <c r="AYS114" s="456"/>
      <c r="AYT114" s="456"/>
      <c r="AYU114" s="456"/>
      <c r="AYV114" s="456"/>
      <c r="AYW114" s="456"/>
      <c r="AYX114" s="456"/>
      <c r="AYY114" s="456"/>
      <c r="AYZ114" s="456"/>
      <c r="AZA114" s="456"/>
      <c r="AZB114" s="456"/>
      <c r="AZC114" s="456"/>
      <c r="AZD114" s="456"/>
      <c r="AZE114" s="456"/>
      <c r="AZF114" s="456"/>
      <c r="AZG114" s="456"/>
      <c r="AZH114" s="456"/>
      <c r="AZI114" s="456"/>
      <c r="AZJ114" s="456"/>
      <c r="AZK114" s="456"/>
      <c r="AZL114" s="456"/>
      <c r="AZM114" s="456"/>
      <c r="AZN114" s="456"/>
      <c r="AZO114" s="456"/>
      <c r="AZP114" s="456"/>
      <c r="AZQ114" s="456"/>
      <c r="AZR114" s="456"/>
      <c r="AZS114" s="456"/>
      <c r="AZT114" s="456"/>
      <c r="AZU114" s="456"/>
      <c r="AZV114" s="456"/>
      <c r="AZW114" s="456"/>
      <c r="AZX114" s="456"/>
      <c r="AZY114" s="456"/>
      <c r="AZZ114" s="456"/>
      <c r="BAA114" s="456"/>
      <c r="BAB114" s="456"/>
      <c r="BAC114" s="456"/>
      <c r="BAD114" s="456"/>
      <c r="BAE114" s="456"/>
      <c r="BAF114" s="456"/>
      <c r="BAG114" s="456"/>
      <c r="BAH114" s="456"/>
      <c r="BAI114" s="456"/>
      <c r="BAJ114" s="456"/>
      <c r="BAK114" s="456"/>
      <c r="BAL114" s="456"/>
      <c r="BAM114" s="456"/>
      <c r="BAN114" s="456"/>
      <c r="BAO114" s="456"/>
      <c r="BAP114" s="456"/>
      <c r="BAQ114" s="456"/>
      <c r="BAR114" s="456"/>
      <c r="BAS114" s="456"/>
      <c r="BAT114" s="456"/>
      <c r="BAU114" s="456"/>
      <c r="BAV114" s="456"/>
      <c r="BAW114" s="456"/>
      <c r="BAX114" s="456"/>
      <c r="BAY114" s="456"/>
      <c r="BAZ114" s="456"/>
      <c r="BBA114" s="456"/>
      <c r="BBB114" s="456"/>
      <c r="BBC114" s="456"/>
      <c r="BBD114" s="456"/>
      <c r="BBE114" s="456"/>
      <c r="BBF114" s="456"/>
      <c r="BBG114" s="456"/>
      <c r="BBH114" s="456"/>
      <c r="BBI114" s="456"/>
      <c r="BBJ114" s="456"/>
      <c r="BBK114" s="456"/>
      <c r="BBL114" s="456"/>
      <c r="BBM114" s="456"/>
      <c r="BBN114" s="456"/>
      <c r="BBO114" s="456"/>
      <c r="BBP114" s="456"/>
      <c r="BBQ114" s="456"/>
      <c r="BBR114" s="456"/>
      <c r="BBS114" s="456"/>
      <c r="BBT114" s="456"/>
      <c r="BBU114" s="456"/>
      <c r="BBV114" s="456"/>
      <c r="BBW114" s="456"/>
      <c r="BBX114" s="456"/>
      <c r="BBY114" s="456"/>
      <c r="BBZ114" s="456"/>
      <c r="BCA114" s="456"/>
      <c r="BCB114" s="456"/>
      <c r="BCC114" s="456"/>
      <c r="BCD114" s="456"/>
      <c r="BCE114" s="456"/>
      <c r="BCF114" s="456"/>
      <c r="BCG114" s="456"/>
      <c r="BCH114" s="456"/>
      <c r="BCI114" s="456"/>
      <c r="BCJ114" s="456"/>
      <c r="BCK114" s="456"/>
      <c r="BCL114" s="456"/>
      <c r="BCM114" s="456"/>
      <c r="BCN114" s="456"/>
      <c r="BCO114" s="456"/>
      <c r="BCP114" s="456"/>
      <c r="BCQ114" s="456"/>
      <c r="BCR114" s="456"/>
      <c r="BCS114" s="456"/>
      <c r="BCT114" s="456"/>
      <c r="BCU114" s="456"/>
      <c r="BCV114" s="456"/>
      <c r="BCW114" s="456"/>
      <c r="BCX114" s="456"/>
      <c r="BCY114" s="456"/>
      <c r="BCZ114" s="456"/>
      <c r="BDA114" s="456"/>
      <c r="BDB114" s="456"/>
      <c r="BDC114" s="456"/>
      <c r="BDD114" s="456"/>
      <c r="BDE114" s="456"/>
      <c r="BDF114" s="456"/>
      <c r="BDG114" s="456"/>
      <c r="BDH114" s="456"/>
      <c r="BDI114" s="456"/>
      <c r="BDJ114" s="456"/>
      <c r="BDK114" s="456"/>
      <c r="BDL114" s="456"/>
      <c r="BDM114" s="456"/>
      <c r="BDN114" s="456"/>
      <c r="BDO114" s="456"/>
      <c r="BDP114" s="456"/>
      <c r="BDQ114" s="456"/>
      <c r="BDR114" s="456"/>
      <c r="BDS114" s="456"/>
      <c r="BDT114" s="456"/>
      <c r="BDU114" s="456"/>
      <c r="BDV114" s="456"/>
      <c r="BDW114" s="456"/>
      <c r="BDX114" s="456"/>
      <c r="BDY114" s="456"/>
      <c r="BDZ114" s="456"/>
      <c r="BEA114" s="456"/>
      <c r="BEB114" s="456"/>
      <c r="BEC114" s="456"/>
      <c r="BED114" s="456"/>
      <c r="BEE114" s="456"/>
      <c r="BEF114" s="456"/>
      <c r="BEG114" s="456"/>
      <c r="BEH114" s="456"/>
      <c r="BEI114" s="456"/>
      <c r="BEJ114" s="456"/>
      <c r="BEK114" s="456"/>
      <c r="BEL114" s="456"/>
      <c r="BEM114" s="456"/>
      <c r="BEN114" s="456"/>
      <c r="BEO114" s="456"/>
      <c r="BEP114" s="456"/>
      <c r="BEQ114" s="456"/>
      <c r="BER114" s="456"/>
      <c r="BES114" s="456"/>
      <c r="BET114" s="456"/>
      <c r="BEU114" s="456"/>
      <c r="BEV114" s="456"/>
      <c r="BEW114" s="456"/>
      <c r="BEX114" s="456"/>
      <c r="BEY114" s="456"/>
      <c r="BEZ114" s="456"/>
      <c r="BFA114" s="456"/>
      <c r="BFB114" s="456"/>
      <c r="BFC114" s="456"/>
      <c r="BFD114" s="456"/>
      <c r="BFE114" s="456"/>
      <c r="BFF114" s="456"/>
      <c r="BFG114" s="456"/>
      <c r="BFH114" s="456"/>
      <c r="BFI114" s="456"/>
      <c r="BFJ114" s="456"/>
      <c r="BFK114" s="456"/>
      <c r="BFL114" s="456"/>
      <c r="BFM114" s="456"/>
      <c r="BFN114" s="456"/>
      <c r="BFO114" s="456"/>
      <c r="BFP114" s="456"/>
      <c r="BFQ114" s="456"/>
      <c r="BFR114" s="456"/>
      <c r="BFS114" s="456"/>
      <c r="BFT114" s="456"/>
      <c r="BFU114" s="456"/>
      <c r="BFV114" s="456"/>
      <c r="BFW114" s="456"/>
      <c r="BFX114" s="456"/>
      <c r="BFY114" s="456"/>
      <c r="BFZ114" s="456"/>
      <c r="BGA114" s="456"/>
      <c r="BGB114" s="456"/>
      <c r="BGC114" s="456"/>
      <c r="BGD114" s="456"/>
      <c r="BGE114" s="456"/>
      <c r="BGF114" s="456"/>
      <c r="BGG114" s="456"/>
      <c r="BGH114" s="456"/>
      <c r="BGI114" s="456"/>
      <c r="BGJ114" s="456"/>
      <c r="BGK114" s="456"/>
      <c r="BGL114" s="456"/>
      <c r="BGM114" s="456"/>
      <c r="BGN114" s="456"/>
      <c r="BGO114" s="456"/>
      <c r="BGP114" s="456"/>
      <c r="BGQ114" s="456"/>
      <c r="BGR114" s="456"/>
      <c r="BGS114" s="456"/>
      <c r="BGT114" s="456"/>
      <c r="BGU114" s="456"/>
      <c r="BGV114" s="456"/>
      <c r="BGW114" s="456"/>
      <c r="BGX114" s="456"/>
      <c r="BGY114" s="456"/>
      <c r="BGZ114" s="456"/>
      <c r="BHA114" s="456"/>
      <c r="BHB114" s="456"/>
      <c r="BHC114" s="456"/>
      <c r="BHD114" s="456"/>
      <c r="BHE114" s="456"/>
      <c r="BHF114" s="456"/>
      <c r="BHG114" s="456"/>
      <c r="BHH114" s="456"/>
      <c r="BHI114" s="456"/>
      <c r="BHJ114" s="456"/>
      <c r="BHK114" s="456"/>
      <c r="BHL114" s="456"/>
      <c r="BHM114" s="456"/>
      <c r="BHN114" s="456"/>
      <c r="BHO114" s="456"/>
      <c r="BHP114" s="456"/>
      <c r="BHQ114" s="456"/>
      <c r="BHR114" s="456"/>
      <c r="BHS114" s="456"/>
      <c r="BHT114" s="456"/>
      <c r="BHU114" s="456"/>
      <c r="BHV114" s="456"/>
      <c r="BHW114" s="456"/>
      <c r="BHX114" s="456"/>
      <c r="BHY114" s="456"/>
      <c r="BHZ114" s="456"/>
      <c r="BIA114" s="456"/>
      <c r="BIB114" s="456"/>
      <c r="BIC114" s="456"/>
      <c r="BID114" s="456"/>
      <c r="BIE114" s="456"/>
      <c r="BIF114" s="456"/>
      <c r="BIG114" s="456"/>
      <c r="BIH114" s="456"/>
      <c r="BII114" s="456"/>
      <c r="BIJ114" s="456"/>
      <c r="BIK114" s="456"/>
      <c r="BIL114" s="456"/>
      <c r="BIM114" s="456"/>
      <c r="BIN114" s="456"/>
      <c r="BIO114" s="456"/>
      <c r="BIP114" s="456"/>
      <c r="BIQ114" s="456"/>
      <c r="BIR114" s="456"/>
      <c r="BIS114" s="456"/>
      <c r="BIT114" s="456"/>
      <c r="BIU114" s="456"/>
      <c r="BIV114" s="456"/>
      <c r="BIW114" s="456"/>
      <c r="BIX114" s="456"/>
      <c r="BIY114" s="456"/>
      <c r="BIZ114" s="456"/>
      <c r="BJA114" s="456"/>
      <c r="BJB114" s="456"/>
      <c r="BJC114" s="456"/>
      <c r="BJD114" s="456"/>
      <c r="BJE114" s="456"/>
      <c r="BJF114" s="456"/>
      <c r="BJG114" s="456"/>
      <c r="BJH114" s="456"/>
      <c r="BJI114" s="456"/>
      <c r="BJJ114" s="456"/>
      <c r="BJK114" s="456"/>
      <c r="BJL114" s="456"/>
      <c r="BJM114" s="456"/>
      <c r="BJN114" s="456"/>
      <c r="BJO114" s="456"/>
      <c r="BJP114" s="456"/>
      <c r="BJQ114" s="456"/>
      <c r="BJR114" s="456"/>
      <c r="BJS114" s="456"/>
      <c r="BJT114" s="456"/>
      <c r="BJU114" s="456"/>
      <c r="BJV114" s="456"/>
      <c r="BJW114" s="456"/>
      <c r="BJX114" s="456"/>
      <c r="BJY114" s="456"/>
      <c r="BJZ114" s="456"/>
      <c r="BKA114" s="456"/>
      <c r="BKB114" s="456"/>
      <c r="BKC114" s="456"/>
      <c r="BKD114" s="456"/>
      <c r="BKE114" s="456"/>
      <c r="BKF114" s="456"/>
      <c r="BKG114" s="456"/>
      <c r="BKH114" s="456"/>
      <c r="BKI114" s="456"/>
      <c r="BKJ114" s="456"/>
      <c r="BKK114" s="456"/>
      <c r="BKL114" s="456"/>
      <c r="BKM114" s="456"/>
      <c r="BKN114" s="456"/>
      <c r="BKO114" s="456"/>
      <c r="BKP114" s="456"/>
      <c r="BKQ114" s="456"/>
      <c r="BKR114" s="456"/>
      <c r="BKS114" s="456"/>
      <c r="BKT114" s="456"/>
      <c r="BKU114" s="456"/>
      <c r="BKV114" s="456"/>
      <c r="BKW114" s="456"/>
      <c r="BKX114" s="456"/>
      <c r="BKY114" s="456"/>
      <c r="BKZ114" s="456"/>
      <c r="BLA114" s="456"/>
      <c r="BLB114" s="456"/>
      <c r="BLC114" s="456"/>
      <c r="BLD114" s="456"/>
      <c r="BLE114" s="456"/>
      <c r="BLF114" s="456"/>
      <c r="BLG114" s="456"/>
      <c r="BLH114" s="456"/>
      <c r="BLI114" s="456"/>
      <c r="BLJ114" s="456"/>
      <c r="BLK114" s="456"/>
      <c r="BLL114" s="456"/>
      <c r="BLM114" s="456"/>
      <c r="BLN114" s="456"/>
      <c r="BLO114" s="456"/>
      <c r="BLP114" s="456"/>
      <c r="BLQ114" s="456"/>
      <c r="BLR114" s="456"/>
      <c r="BLS114" s="456"/>
      <c r="BLT114" s="456"/>
      <c r="BLU114" s="456"/>
      <c r="BLV114" s="456"/>
      <c r="BLW114" s="456"/>
      <c r="BLX114" s="456"/>
      <c r="BLY114" s="456"/>
      <c r="BLZ114" s="456"/>
      <c r="BMA114" s="456"/>
      <c r="BMB114" s="456"/>
      <c r="BMC114" s="456"/>
      <c r="BMD114" s="456"/>
      <c r="BME114" s="456"/>
      <c r="BMF114" s="456"/>
      <c r="BMG114" s="456"/>
      <c r="BMH114" s="456"/>
      <c r="BMI114" s="456"/>
      <c r="BMJ114" s="456"/>
      <c r="BMK114" s="456"/>
      <c r="BML114" s="456"/>
      <c r="BMM114" s="456"/>
      <c r="BMN114" s="456"/>
      <c r="BMO114" s="456"/>
      <c r="BMP114" s="456"/>
      <c r="BMQ114" s="456"/>
      <c r="BMR114" s="456"/>
      <c r="BMS114" s="456"/>
      <c r="BMT114" s="456"/>
      <c r="BMU114" s="456"/>
      <c r="BMV114" s="456"/>
      <c r="BMW114" s="456"/>
      <c r="BMX114" s="456"/>
      <c r="BMY114" s="456"/>
      <c r="BMZ114" s="456"/>
      <c r="BNA114" s="456"/>
      <c r="BNB114" s="456"/>
      <c r="BNC114" s="456"/>
      <c r="BND114" s="456"/>
      <c r="BNE114" s="456"/>
      <c r="BNF114" s="456"/>
      <c r="BNG114" s="456"/>
      <c r="BNH114" s="456"/>
      <c r="BNI114" s="456"/>
      <c r="BNJ114" s="456"/>
      <c r="BNK114" s="456"/>
      <c r="BNL114" s="456"/>
      <c r="BNM114" s="456"/>
      <c r="BNN114" s="456"/>
      <c r="BNO114" s="456"/>
      <c r="BNP114" s="456"/>
      <c r="BNQ114" s="456"/>
      <c r="BNR114" s="456"/>
      <c r="BNS114" s="456"/>
      <c r="BNT114" s="456"/>
      <c r="BNU114" s="456"/>
      <c r="BNV114" s="456"/>
      <c r="BNW114" s="456"/>
      <c r="BNX114" s="456"/>
      <c r="BNY114" s="456"/>
      <c r="BNZ114" s="456"/>
      <c r="BOA114" s="456"/>
      <c r="BOB114" s="456"/>
      <c r="BOC114" s="456"/>
      <c r="BOD114" s="456"/>
      <c r="BOE114" s="456"/>
      <c r="BOF114" s="456"/>
      <c r="BOG114" s="456"/>
      <c r="BOH114" s="456"/>
      <c r="BOI114" s="456"/>
      <c r="BOJ114" s="456"/>
      <c r="BOK114" s="456"/>
      <c r="BOL114" s="456"/>
      <c r="BOM114" s="456"/>
      <c r="BON114" s="456"/>
      <c r="BOO114" s="456"/>
      <c r="BOP114" s="456"/>
      <c r="BOQ114" s="456"/>
      <c r="BOR114" s="456"/>
      <c r="BOS114" s="456"/>
      <c r="BOT114" s="456"/>
      <c r="BOU114" s="456"/>
      <c r="BOV114" s="456"/>
      <c r="BOW114" s="456"/>
      <c r="BOX114" s="456"/>
      <c r="BOY114" s="456"/>
      <c r="BOZ114" s="456"/>
      <c r="BPA114" s="456"/>
      <c r="BPB114" s="456"/>
      <c r="BPC114" s="456"/>
      <c r="BPD114" s="456"/>
      <c r="BPE114" s="456"/>
      <c r="BPF114" s="456"/>
      <c r="BPG114" s="456"/>
      <c r="BPH114" s="456"/>
      <c r="BPI114" s="456"/>
      <c r="BPJ114" s="456"/>
      <c r="BPK114" s="456"/>
      <c r="BPL114" s="456"/>
      <c r="BPM114" s="456"/>
      <c r="BPN114" s="456"/>
      <c r="BPO114" s="456"/>
      <c r="BPP114" s="456"/>
      <c r="BPQ114" s="456"/>
      <c r="BPR114" s="456"/>
      <c r="BPS114" s="456"/>
      <c r="BPT114" s="456"/>
      <c r="BPU114" s="456"/>
      <c r="BPV114" s="456"/>
      <c r="BPW114" s="456"/>
      <c r="BPX114" s="456"/>
      <c r="BPY114" s="456"/>
      <c r="BPZ114" s="456"/>
      <c r="BQA114" s="456"/>
      <c r="BQB114" s="456"/>
      <c r="BQC114" s="456"/>
      <c r="BQD114" s="456"/>
      <c r="BQE114" s="456"/>
      <c r="BQF114" s="456"/>
      <c r="BQG114" s="456"/>
      <c r="BQH114" s="456"/>
      <c r="BQI114" s="456"/>
      <c r="BQJ114" s="456"/>
      <c r="BQK114" s="456"/>
      <c r="BQL114" s="456"/>
      <c r="BQM114" s="456"/>
      <c r="BQN114" s="456"/>
      <c r="BQO114" s="456"/>
      <c r="BQP114" s="456"/>
      <c r="BQQ114" s="456"/>
      <c r="BQR114" s="456"/>
      <c r="BQS114" s="456"/>
      <c r="BQT114" s="456"/>
      <c r="BQU114" s="456"/>
      <c r="BQV114" s="456"/>
      <c r="BQW114" s="456"/>
      <c r="BQX114" s="456"/>
      <c r="BQY114" s="456"/>
      <c r="BQZ114" s="456"/>
      <c r="BRA114" s="456"/>
      <c r="BRB114" s="456"/>
      <c r="BRC114" s="456"/>
      <c r="BRD114" s="456"/>
      <c r="BRE114" s="456"/>
      <c r="BRF114" s="456"/>
      <c r="BRG114" s="456"/>
      <c r="BRH114" s="456"/>
      <c r="BRI114" s="456"/>
      <c r="BRJ114" s="456"/>
      <c r="BRK114" s="456"/>
      <c r="BRL114" s="456"/>
      <c r="BRM114" s="456"/>
      <c r="BRN114" s="456"/>
      <c r="BRO114" s="456"/>
      <c r="BRP114" s="456"/>
      <c r="BRQ114" s="456"/>
      <c r="BRR114" s="456"/>
      <c r="BRS114" s="456"/>
      <c r="BRT114" s="456"/>
      <c r="BRU114" s="456"/>
      <c r="BRV114" s="456"/>
      <c r="BRW114" s="456"/>
      <c r="BRX114" s="456"/>
      <c r="BRY114" s="456"/>
      <c r="BRZ114" s="456"/>
      <c r="BSA114" s="456"/>
      <c r="BSB114" s="456"/>
      <c r="BSC114" s="456"/>
      <c r="BSD114" s="456"/>
      <c r="BSE114" s="456"/>
      <c r="BSF114" s="456"/>
      <c r="BSG114" s="456"/>
      <c r="BSH114" s="456"/>
      <c r="BSI114" s="456"/>
      <c r="BSJ114" s="456"/>
      <c r="BSK114" s="456"/>
      <c r="BSL114" s="456"/>
      <c r="BSM114" s="456"/>
      <c r="BSN114" s="456"/>
      <c r="BSO114" s="456"/>
      <c r="BSP114" s="456"/>
      <c r="BSQ114" s="456"/>
      <c r="BSR114" s="456"/>
      <c r="BSS114" s="456"/>
      <c r="BST114" s="456"/>
      <c r="BSU114" s="456"/>
      <c r="BSV114" s="456"/>
      <c r="BSW114" s="456"/>
      <c r="BSX114" s="456"/>
      <c r="BSY114" s="456"/>
      <c r="BSZ114" s="456"/>
      <c r="BTA114" s="456"/>
      <c r="BTB114" s="456"/>
      <c r="BTC114" s="456"/>
      <c r="BTD114" s="456"/>
      <c r="BTE114" s="456"/>
      <c r="BTF114" s="456"/>
      <c r="BTG114" s="456"/>
      <c r="BTH114" s="456"/>
      <c r="BTI114" s="456"/>
      <c r="BTJ114" s="456"/>
      <c r="BTK114" s="456"/>
      <c r="BTL114" s="456"/>
      <c r="BTM114" s="456"/>
      <c r="BTN114" s="456"/>
      <c r="BTO114" s="456"/>
      <c r="BTP114" s="456"/>
      <c r="BTQ114" s="456"/>
      <c r="BTR114" s="456"/>
      <c r="BTS114" s="456"/>
      <c r="BTT114" s="456"/>
      <c r="BTU114" s="456"/>
      <c r="BTV114" s="456"/>
      <c r="BTW114" s="456"/>
      <c r="BTX114" s="456"/>
      <c r="BTY114" s="456"/>
      <c r="BTZ114" s="456"/>
      <c r="BUA114" s="456"/>
      <c r="BUB114" s="456"/>
      <c r="BUC114" s="456"/>
      <c r="BUD114" s="456"/>
      <c r="BUE114" s="456"/>
      <c r="BUF114" s="456"/>
      <c r="BUG114" s="456"/>
      <c r="BUH114" s="456"/>
      <c r="BUI114" s="456"/>
      <c r="BUJ114" s="456"/>
      <c r="BUK114" s="456"/>
      <c r="BUL114" s="456"/>
      <c r="BUM114" s="456"/>
      <c r="BUN114" s="456"/>
      <c r="BUO114" s="456"/>
      <c r="BUP114" s="456"/>
      <c r="BUQ114" s="456"/>
      <c r="BUR114" s="456"/>
      <c r="BUS114" s="456"/>
      <c r="BUT114" s="456"/>
      <c r="BUU114" s="456"/>
      <c r="BUV114" s="456"/>
      <c r="BUW114" s="456"/>
      <c r="BUX114" s="456"/>
      <c r="BUY114" s="456"/>
      <c r="BUZ114" s="456"/>
      <c r="BVA114" s="456"/>
      <c r="BVB114" s="456"/>
      <c r="BVC114" s="456"/>
      <c r="BVD114" s="456"/>
      <c r="BVE114" s="456"/>
      <c r="BVF114" s="456"/>
      <c r="BVG114" s="456"/>
      <c r="BVH114" s="456"/>
      <c r="BVI114" s="456"/>
      <c r="BVJ114" s="456"/>
      <c r="BVK114" s="456"/>
      <c r="BVL114" s="456"/>
      <c r="BVM114" s="456"/>
      <c r="BVN114" s="456"/>
      <c r="BVO114" s="456"/>
      <c r="BVP114" s="456"/>
      <c r="BVQ114" s="456"/>
      <c r="BVR114" s="456"/>
      <c r="BVS114" s="456"/>
      <c r="BVT114" s="456"/>
      <c r="BVU114" s="456"/>
      <c r="BVV114" s="456"/>
      <c r="BVW114" s="456"/>
      <c r="BVX114" s="456"/>
      <c r="BVY114" s="456"/>
      <c r="BVZ114" s="456"/>
      <c r="BWA114" s="456"/>
      <c r="BWB114" s="456"/>
      <c r="BWC114" s="456"/>
      <c r="BWD114" s="456"/>
      <c r="BWE114" s="456"/>
      <c r="BWF114" s="456"/>
      <c r="BWG114" s="456"/>
      <c r="BWH114" s="456"/>
      <c r="BWI114" s="456"/>
      <c r="BWJ114" s="456"/>
      <c r="BWK114" s="456"/>
      <c r="BWL114" s="456"/>
      <c r="BWM114" s="456"/>
      <c r="BWN114" s="456"/>
      <c r="BWO114" s="456"/>
      <c r="BWP114" s="456"/>
      <c r="BWQ114" s="456"/>
      <c r="BWR114" s="456"/>
      <c r="BWS114" s="456"/>
      <c r="BWT114" s="456"/>
      <c r="BWU114" s="456"/>
      <c r="BWV114" s="456"/>
      <c r="BWW114" s="456"/>
      <c r="BWX114" s="456"/>
      <c r="BWY114" s="456"/>
      <c r="BWZ114" s="456"/>
      <c r="BXA114" s="456"/>
      <c r="BXB114" s="456"/>
      <c r="BXC114" s="456"/>
      <c r="BXD114" s="456"/>
      <c r="BXE114" s="456"/>
      <c r="BXF114" s="456"/>
      <c r="BXG114" s="456"/>
      <c r="BXH114" s="456"/>
      <c r="BXI114" s="456"/>
      <c r="BXJ114" s="456"/>
      <c r="BXK114" s="456"/>
      <c r="BXL114" s="456"/>
      <c r="BXM114" s="456"/>
      <c r="BXN114" s="456"/>
      <c r="BXO114" s="456"/>
      <c r="BXP114" s="456"/>
      <c r="BXQ114" s="456"/>
      <c r="BXR114" s="456"/>
      <c r="BXS114" s="456"/>
      <c r="BXT114" s="456"/>
      <c r="BXU114" s="456"/>
      <c r="BXV114" s="456"/>
      <c r="BXW114" s="456"/>
      <c r="BXX114" s="456"/>
      <c r="BXY114" s="456"/>
      <c r="BXZ114" s="456"/>
    </row>
    <row r="115" s="25" customFormat="1" ht="15.6" spans="1:1024 1025:2002">
      <c r="A115" s="473"/>
      <c r="B115" s="19">
        <v>1125</v>
      </c>
      <c r="C115" s="183">
        <v>46196</v>
      </c>
      <c r="D115" s="17" t="s">
        <v>52</v>
      </c>
      <c r="E115" s="17" t="s">
        <v>53</v>
      </c>
      <c r="F115" s="17" t="s">
        <v>54</v>
      </c>
      <c r="G115" s="17"/>
      <c r="H115" s="19" t="s">
        <v>55</v>
      </c>
      <c r="I115" s="102" t="s">
        <v>56</v>
      </c>
      <c r="J115" s="17" t="s">
        <v>49</v>
      </c>
      <c r="K115" s="19">
        <v>610</v>
      </c>
      <c r="L115" s="19">
        <v>56</v>
      </c>
      <c r="M115" s="19">
        <v>5800</v>
      </c>
      <c r="N115" s="19" t="s">
        <v>40</v>
      </c>
      <c r="O115" s="19" t="s">
        <v>84</v>
      </c>
      <c r="P115" s="19">
        <f>1050*2</f>
        <v>2100</v>
      </c>
      <c r="Q115" s="19">
        <v>984</v>
      </c>
      <c r="S115" s="311">
        <v>2040</v>
      </c>
      <c r="T115" s="19" t="s">
        <v>42</v>
      </c>
      <c r="U115" s="102" t="s">
        <v>101</v>
      </c>
      <c r="V115" s="186">
        <v>46197</v>
      </c>
      <c r="W115" s="17" t="s">
        <v>58</v>
      </c>
      <c r="X115" s="17"/>
      <c r="Y115" s="68">
        <v>46204</v>
      </c>
      <c r="Z115" s="17" t="s">
        <v>45</v>
      </c>
      <c r="AA115" s="17" t="s">
        <v>59</v>
      </c>
      <c r="AB115" s="17" t="s">
        <v>102</v>
      </c>
      <c r="AC115" s="217">
        <v>46274</v>
      </c>
      <c r="AD115" s="65">
        <v>1861</v>
      </c>
      <c r="AE115" s="17" t="s">
        <v>48</v>
      </c>
      <c r="AF115" s="17" t="s">
        <v>61</v>
      </c>
      <c r="AG115" s="17" t="s">
        <v>103</v>
      </c>
      <c r="AH115" s="456"/>
      <c r="AI115" s="456"/>
      <c r="AJ115" s="456"/>
      <c r="AK115" s="456"/>
      <c r="AL115" s="456"/>
      <c r="AM115" s="456"/>
      <c r="AN115" s="456"/>
      <c r="AO115" s="456"/>
      <c r="AP115" s="456"/>
      <c r="AQ115" s="456"/>
      <c r="AR115" s="456"/>
      <c r="AS115" s="456"/>
      <c r="AT115" s="456"/>
      <c r="AU115" s="456"/>
      <c r="AV115" s="456"/>
      <c r="AW115" s="456"/>
      <c r="AX115" s="456"/>
      <c r="AY115" s="456"/>
      <c r="AZ115" s="456"/>
      <c r="BA115" s="456"/>
      <c r="BB115" s="456"/>
      <c r="BC115" s="456"/>
      <c r="BD115" s="456"/>
      <c r="BE115" s="456"/>
      <c r="BF115" s="456"/>
      <c r="BG115" s="456"/>
      <c r="BH115" s="456"/>
      <c r="BI115" s="456"/>
      <c r="BJ115" s="456"/>
      <c r="BK115" s="456"/>
      <c r="BL115" s="456"/>
      <c r="BM115" s="456"/>
      <c r="BN115" s="456"/>
      <c r="BO115" s="456"/>
      <c r="BP115" s="456"/>
      <c r="BQ115" s="456"/>
      <c r="BR115" s="456"/>
      <c r="BS115" s="456"/>
      <c r="BT115" s="456"/>
      <c r="BU115" s="456"/>
      <c r="BV115" s="456"/>
      <c r="BW115" s="456"/>
      <c r="BX115" s="456"/>
      <c r="BY115" s="456"/>
      <c r="BZ115" s="456"/>
      <c r="CA115" s="456"/>
      <c r="CB115" s="456"/>
      <c r="CC115" s="456"/>
      <c r="CD115" s="456"/>
      <c r="CE115" s="456"/>
      <c r="CF115" s="456"/>
      <c r="CG115" s="456"/>
      <c r="CH115" s="456"/>
      <c r="CI115" s="456"/>
      <c r="CJ115" s="456"/>
      <c r="CK115" s="456"/>
      <c r="CL115" s="456"/>
      <c r="CM115" s="456"/>
      <c r="CN115" s="456"/>
      <c r="CO115" s="456"/>
      <c r="CP115" s="456"/>
      <c r="CQ115" s="456"/>
      <c r="CR115" s="456"/>
      <c r="CS115" s="456"/>
      <c r="CT115" s="456"/>
      <c r="CU115" s="456"/>
      <c r="CV115" s="456"/>
      <c r="CW115" s="456"/>
      <c r="CX115" s="456"/>
      <c r="CY115" s="456"/>
      <c r="CZ115" s="456"/>
      <c r="DA115" s="456"/>
      <c r="DB115" s="456"/>
      <c r="DC115" s="456"/>
      <c r="DD115" s="456"/>
      <c r="DE115" s="456"/>
      <c r="DF115" s="456"/>
      <c r="DG115" s="456"/>
      <c r="DH115" s="456"/>
      <c r="DI115" s="456"/>
      <c r="DJ115" s="456"/>
      <c r="DK115" s="456"/>
      <c r="DL115" s="456"/>
      <c r="DM115" s="456"/>
      <c r="DN115" s="456"/>
      <c r="DO115" s="456"/>
      <c r="DP115" s="456"/>
      <c r="DQ115" s="456"/>
      <c r="DR115" s="456"/>
      <c r="DS115" s="456"/>
      <c r="DT115" s="456"/>
      <c r="DU115" s="456"/>
      <c r="DV115" s="456"/>
      <c r="DW115" s="456"/>
      <c r="DX115" s="456"/>
      <c r="DY115" s="456"/>
      <c r="DZ115" s="456"/>
      <c r="EA115" s="456"/>
      <c r="EB115" s="456"/>
      <c r="EC115" s="456"/>
      <c r="ED115" s="456"/>
      <c r="EE115" s="456"/>
      <c r="EF115" s="456"/>
      <c r="EG115" s="456"/>
      <c r="EH115" s="456"/>
      <c r="EI115" s="456"/>
      <c r="EJ115" s="456"/>
      <c r="EK115" s="456"/>
      <c r="EL115" s="456"/>
      <c r="EM115" s="456"/>
      <c r="EN115" s="456"/>
      <c r="EO115" s="456"/>
      <c r="EP115" s="456"/>
      <c r="EQ115" s="456"/>
      <c r="ER115" s="456"/>
      <c r="ES115" s="456"/>
      <c r="ET115" s="456"/>
      <c r="EU115" s="456"/>
      <c r="EV115" s="456"/>
      <c r="EW115" s="456"/>
      <c r="EX115" s="456"/>
      <c r="EY115" s="456"/>
      <c r="EZ115" s="456"/>
      <c r="FA115" s="456"/>
      <c r="FB115" s="456"/>
      <c r="FC115" s="456"/>
      <c r="FD115" s="456"/>
      <c r="FE115" s="456"/>
      <c r="FF115" s="456"/>
      <c r="FG115" s="456"/>
      <c r="FH115" s="456"/>
      <c r="FI115" s="456"/>
      <c r="FJ115" s="456"/>
      <c r="FK115" s="456"/>
      <c r="FL115" s="456"/>
      <c r="FM115" s="456"/>
      <c r="FN115" s="456"/>
      <c r="FO115" s="456"/>
      <c r="FP115" s="456"/>
      <c r="FQ115" s="456"/>
      <c r="FR115" s="456"/>
      <c r="FS115" s="456"/>
      <c r="FT115" s="456"/>
      <c r="FU115" s="456"/>
      <c r="FV115" s="456"/>
      <c r="FW115" s="456"/>
      <c r="FX115" s="456"/>
      <c r="FY115" s="456"/>
      <c r="FZ115" s="456"/>
      <c r="GA115" s="456"/>
      <c r="GB115" s="456"/>
      <c r="GC115" s="456"/>
      <c r="GD115" s="456"/>
      <c r="GE115" s="456"/>
      <c r="GF115" s="456"/>
      <c r="GG115" s="456"/>
      <c r="GH115" s="456"/>
      <c r="GI115" s="456"/>
      <c r="GJ115" s="456"/>
      <c r="GK115" s="456"/>
      <c r="GL115" s="456"/>
      <c r="GM115" s="456"/>
      <c r="GN115" s="456"/>
      <c r="GO115" s="456"/>
      <c r="GP115" s="456"/>
      <c r="GQ115" s="456"/>
      <c r="GR115" s="456"/>
      <c r="GS115" s="456"/>
      <c r="GT115" s="456"/>
      <c r="GU115" s="456"/>
      <c r="GV115" s="456"/>
      <c r="GW115" s="456"/>
      <c r="GX115" s="456"/>
      <c r="GY115" s="456"/>
      <c r="GZ115" s="456"/>
      <c r="HA115" s="456"/>
      <c r="HB115" s="456"/>
      <c r="HC115" s="456"/>
      <c r="HD115" s="456"/>
      <c r="HE115" s="456"/>
      <c r="HF115" s="456"/>
      <c r="HG115" s="456"/>
      <c r="HH115" s="456"/>
      <c r="HI115" s="456"/>
      <c r="HJ115" s="456"/>
      <c r="HK115" s="456"/>
      <c r="HL115" s="456"/>
      <c r="HM115" s="456"/>
      <c r="HN115" s="456"/>
      <c r="HO115" s="456"/>
      <c r="HP115" s="456"/>
      <c r="HQ115" s="456"/>
      <c r="HR115" s="456"/>
      <c r="HS115" s="456"/>
      <c r="HT115" s="456"/>
      <c r="HU115" s="456"/>
      <c r="HV115" s="456"/>
      <c r="HW115" s="456"/>
      <c r="HX115" s="456"/>
      <c r="HY115" s="456"/>
      <c r="HZ115" s="456"/>
      <c r="IA115" s="456"/>
      <c r="IB115" s="456"/>
      <c r="IC115" s="456"/>
      <c r="ID115" s="456"/>
      <c r="IE115" s="456"/>
      <c r="IF115" s="456"/>
      <c r="IG115" s="456"/>
      <c r="IH115" s="456"/>
      <c r="II115" s="456"/>
      <c r="IJ115" s="456"/>
      <c r="IK115" s="456"/>
      <c r="IL115" s="456"/>
      <c r="IM115" s="456"/>
      <c r="IN115" s="456"/>
      <c r="IO115" s="456"/>
      <c r="IP115" s="456"/>
      <c r="IQ115" s="456"/>
      <c r="IR115" s="456"/>
      <c r="IS115" s="456"/>
      <c r="IT115" s="456"/>
      <c r="IU115" s="456"/>
      <c r="IV115" s="456"/>
      <c r="IW115" s="456"/>
      <c r="IX115" s="456"/>
      <c r="IY115" s="456"/>
      <c r="IZ115" s="456"/>
      <c r="JA115" s="456"/>
      <c r="JB115" s="456"/>
      <c r="JC115" s="456"/>
      <c r="JD115" s="456"/>
      <c r="JE115" s="456"/>
      <c r="JF115" s="456"/>
      <c r="JG115" s="456"/>
      <c r="JH115" s="456"/>
      <c r="JI115" s="456"/>
      <c r="JJ115" s="456"/>
      <c r="JK115" s="456"/>
      <c r="JL115" s="456"/>
      <c r="JM115" s="456"/>
      <c r="JN115" s="456"/>
      <c r="JO115" s="456"/>
      <c r="JP115" s="456"/>
      <c r="JQ115" s="456"/>
      <c r="JR115" s="456"/>
      <c r="JS115" s="456"/>
      <c r="JT115" s="456"/>
      <c r="JU115" s="456"/>
      <c r="JV115" s="456"/>
      <c r="JW115" s="456"/>
      <c r="JX115" s="456"/>
      <c r="JY115" s="456"/>
      <c r="JZ115" s="456"/>
      <c r="KA115" s="456"/>
      <c r="KB115" s="456"/>
      <c r="KC115" s="456"/>
      <c r="KD115" s="456"/>
      <c r="KE115" s="456"/>
      <c r="KF115" s="456"/>
      <c r="KG115" s="456"/>
      <c r="KH115" s="456"/>
      <c r="KI115" s="456"/>
      <c r="KJ115" s="456"/>
      <c r="KK115" s="456"/>
      <c r="KL115" s="456"/>
      <c r="KM115" s="456"/>
      <c r="KN115" s="456"/>
      <c r="KO115" s="456"/>
      <c r="KP115" s="456"/>
      <c r="KQ115" s="456"/>
      <c r="KR115" s="456"/>
      <c r="KS115" s="456"/>
      <c r="KT115" s="456"/>
      <c r="KU115" s="456"/>
      <c r="KV115" s="456"/>
      <c r="KW115" s="456"/>
      <c r="KX115" s="456"/>
      <c r="KY115" s="456"/>
      <c r="KZ115" s="456"/>
      <c r="LA115" s="456"/>
      <c r="LB115" s="456"/>
      <c r="LC115" s="456"/>
      <c r="LD115" s="456"/>
      <c r="LE115" s="456"/>
      <c r="LF115" s="456"/>
      <c r="LG115" s="456"/>
      <c r="LH115" s="456"/>
      <c r="LI115" s="456"/>
      <c r="LJ115" s="456"/>
      <c r="LK115" s="456"/>
      <c r="LL115" s="456"/>
      <c r="LM115" s="456"/>
      <c r="LN115" s="456"/>
      <c r="LO115" s="456"/>
      <c r="LP115" s="456"/>
      <c r="LQ115" s="456"/>
      <c r="LR115" s="456"/>
      <c r="LS115" s="456"/>
      <c r="LT115" s="456"/>
      <c r="LU115" s="456"/>
      <c r="LV115" s="456"/>
      <c r="LW115" s="456"/>
      <c r="LX115" s="456"/>
      <c r="LY115" s="456"/>
      <c r="LZ115" s="456"/>
      <c r="MA115" s="456"/>
      <c r="MB115" s="456"/>
      <c r="MC115" s="456"/>
      <c r="MD115" s="456"/>
      <c r="ME115" s="456"/>
      <c r="MF115" s="456"/>
      <c r="MG115" s="456"/>
      <c r="MH115" s="456"/>
      <c r="MI115" s="456"/>
      <c r="MJ115" s="456"/>
      <c r="MK115" s="456"/>
      <c r="ML115" s="456"/>
      <c r="MM115" s="456"/>
      <c r="MN115" s="456"/>
      <c r="MO115" s="456"/>
      <c r="MP115" s="456"/>
      <c r="MQ115" s="456"/>
      <c r="MR115" s="456"/>
      <c r="MS115" s="456"/>
      <c r="MT115" s="456"/>
      <c r="MU115" s="456"/>
      <c r="MV115" s="456"/>
      <c r="MW115" s="456"/>
      <c r="MX115" s="456"/>
      <c r="MY115" s="456"/>
      <c r="MZ115" s="456"/>
      <c r="NA115" s="456"/>
      <c r="NB115" s="456"/>
      <c r="NC115" s="456"/>
      <c r="ND115" s="456"/>
      <c r="NE115" s="456"/>
      <c r="NF115" s="456"/>
      <c r="NG115" s="456"/>
      <c r="NH115" s="456"/>
      <c r="NI115" s="456"/>
      <c r="NJ115" s="456"/>
      <c r="NK115" s="456"/>
      <c r="NL115" s="456"/>
      <c r="NM115" s="456"/>
      <c r="NN115" s="456"/>
      <c r="NO115" s="456"/>
      <c r="NP115" s="456"/>
      <c r="NQ115" s="456"/>
      <c r="NR115" s="456"/>
      <c r="NS115" s="456"/>
      <c r="NT115" s="456"/>
      <c r="NU115" s="456"/>
      <c r="NV115" s="456"/>
      <c r="NW115" s="456"/>
      <c r="NX115" s="456"/>
      <c r="NY115" s="456"/>
      <c r="NZ115" s="456"/>
      <c r="OA115" s="456"/>
      <c r="OB115" s="456"/>
      <c r="OC115" s="456"/>
      <c r="OD115" s="456"/>
      <c r="OE115" s="456"/>
      <c r="OF115" s="456"/>
      <c r="OG115" s="456"/>
      <c r="OH115" s="456"/>
      <c r="OI115" s="456"/>
      <c r="OJ115" s="456"/>
      <c r="OK115" s="456"/>
      <c r="OL115" s="456"/>
      <c r="OM115" s="456"/>
      <c r="ON115" s="456"/>
      <c r="OO115" s="456"/>
      <c r="OP115" s="456"/>
      <c r="OQ115" s="456"/>
      <c r="OR115" s="456"/>
      <c r="OS115" s="456"/>
      <c r="OT115" s="456"/>
      <c r="OU115" s="456"/>
      <c r="OV115" s="456"/>
      <c r="OW115" s="456"/>
      <c r="OX115" s="456"/>
      <c r="OY115" s="456"/>
      <c r="OZ115" s="456"/>
      <c r="PA115" s="456"/>
      <c r="PB115" s="456"/>
      <c r="PC115" s="456"/>
      <c r="PD115" s="456"/>
      <c r="PE115" s="456"/>
      <c r="PF115" s="456"/>
      <c r="PG115" s="456"/>
      <c r="PH115" s="456"/>
      <c r="PI115" s="456"/>
      <c r="PJ115" s="456"/>
      <c r="PK115" s="456"/>
      <c r="PL115" s="456"/>
      <c r="PM115" s="456"/>
      <c r="PN115" s="456"/>
      <c r="PO115" s="456"/>
      <c r="PP115" s="456"/>
      <c r="PQ115" s="456"/>
      <c r="PR115" s="456"/>
      <c r="PS115" s="456"/>
      <c r="PT115" s="456"/>
      <c r="PU115" s="456"/>
      <c r="PV115" s="456"/>
      <c r="PW115" s="456"/>
      <c r="PX115" s="456"/>
      <c r="PY115" s="456"/>
      <c r="PZ115" s="456"/>
      <c r="QA115" s="456"/>
      <c r="QB115" s="456"/>
      <c r="QC115" s="456"/>
      <c r="QD115" s="456"/>
      <c r="QE115" s="456"/>
      <c r="QF115" s="456"/>
      <c r="QG115" s="456"/>
      <c r="QH115" s="456"/>
      <c r="QI115" s="456"/>
      <c r="QJ115" s="456"/>
      <c r="QK115" s="456"/>
      <c r="QL115" s="456"/>
      <c r="QM115" s="456"/>
      <c r="QN115" s="456"/>
      <c r="QO115" s="456"/>
      <c r="QP115" s="456"/>
      <c r="QQ115" s="456"/>
      <c r="QR115" s="456"/>
      <c r="QS115" s="456"/>
      <c r="QT115" s="456"/>
      <c r="QU115" s="456"/>
      <c r="QV115" s="456"/>
      <c r="QW115" s="456"/>
      <c r="QX115" s="456"/>
      <c r="QY115" s="456"/>
      <c r="QZ115" s="456"/>
      <c r="RA115" s="456"/>
      <c r="RB115" s="456"/>
      <c r="RC115" s="456"/>
      <c r="RD115" s="456"/>
      <c r="RE115" s="456"/>
      <c r="RF115" s="456"/>
      <c r="RG115" s="456"/>
      <c r="RH115" s="456"/>
      <c r="RI115" s="456"/>
      <c r="RJ115" s="456"/>
      <c r="RK115" s="456"/>
      <c r="RL115" s="456"/>
      <c r="RM115" s="456"/>
      <c r="RN115" s="456"/>
      <c r="RO115" s="456"/>
      <c r="RP115" s="456"/>
      <c r="RQ115" s="456"/>
      <c r="RR115" s="456"/>
      <c r="RS115" s="456"/>
      <c r="RT115" s="456"/>
      <c r="RU115" s="456"/>
      <c r="RV115" s="456"/>
      <c r="RW115" s="456"/>
      <c r="RX115" s="456"/>
      <c r="RY115" s="456"/>
      <c r="RZ115" s="456"/>
      <c r="SA115" s="456"/>
      <c r="SB115" s="456"/>
      <c r="SC115" s="456"/>
      <c r="SD115" s="456"/>
      <c r="SE115" s="456"/>
      <c r="SF115" s="456"/>
      <c r="SG115" s="456"/>
      <c r="SH115" s="456"/>
      <c r="SI115" s="456"/>
      <c r="SJ115" s="456"/>
      <c r="SK115" s="456"/>
      <c r="SL115" s="456"/>
      <c r="SM115" s="456"/>
      <c r="SN115" s="456"/>
      <c r="SO115" s="456"/>
      <c r="SP115" s="456"/>
      <c r="SQ115" s="456"/>
      <c r="SR115" s="456"/>
      <c r="SS115" s="456"/>
      <c r="ST115" s="456"/>
      <c r="SU115" s="456"/>
      <c r="SV115" s="456"/>
      <c r="SW115" s="456"/>
      <c r="SX115" s="456"/>
      <c r="SY115" s="456"/>
      <c r="SZ115" s="456"/>
      <c r="TA115" s="456"/>
      <c r="TB115" s="456"/>
      <c r="TC115" s="456"/>
      <c r="TD115" s="456"/>
      <c r="TE115" s="456"/>
      <c r="TF115" s="456"/>
      <c r="TG115" s="456"/>
      <c r="TH115" s="456"/>
      <c r="TI115" s="456"/>
      <c r="TJ115" s="456"/>
      <c r="TK115" s="456"/>
      <c r="TL115" s="456"/>
      <c r="TM115" s="456"/>
      <c r="TN115" s="456"/>
      <c r="TO115" s="456"/>
      <c r="TP115" s="456"/>
      <c r="TQ115" s="456"/>
      <c r="TR115" s="456"/>
      <c r="TS115" s="456"/>
      <c r="TT115" s="456"/>
      <c r="TU115" s="456"/>
      <c r="TV115" s="456"/>
      <c r="TW115" s="456"/>
      <c r="TX115" s="456"/>
      <c r="TY115" s="456"/>
      <c r="TZ115" s="456"/>
      <c r="UA115" s="456"/>
      <c r="UB115" s="456"/>
      <c r="UC115" s="456"/>
      <c r="UD115" s="456"/>
      <c r="UE115" s="456"/>
      <c r="UF115" s="456"/>
      <c r="UG115" s="456"/>
      <c r="UH115" s="456"/>
      <c r="UI115" s="456"/>
      <c r="UJ115" s="456"/>
      <c r="UK115" s="456"/>
      <c r="UL115" s="456"/>
      <c r="UM115" s="456"/>
      <c r="UN115" s="456"/>
      <c r="UO115" s="456"/>
      <c r="UP115" s="456"/>
      <c r="UQ115" s="456"/>
      <c r="UR115" s="456"/>
      <c r="US115" s="456"/>
      <c r="UT115" s="456"/>
      <c r="UU115" s="456"/>
      <c r="UV115" s="456"/>
      <c r="UW115" s="456"/>
      <c r="UX115" s="456"/>
      <c r="UY115" s="456"/>
      <c r="UZ115" s="456"/>
      <c r="VA115" s="456"/>
      <c r="VB115" s="456"/>
      <c r="VC115" s="456"/>
      <c r="VD115" s="456"/>
      <c r="VE115" s="456"/>
      <c r="VF115" s="456"/>
      <c r="VG115" s="456"/>
      <c r="VH115" s="456"/>
      <c r="VI115" s="456"/>
      <c r="VJ115" s="456"/>
      <c r="VK115" s="456"/>
      <c r="VL115" s="456"/>
      <c r="VM115" s="456"/>
      <c r="VN115" s="456"/>
      <c r="VO115" s="456"/>
      <c r="VP115" s="456"/>
      <c r="VQ115" s="456"/>
      <c r="VR115" s="456"/>
      <c r="VS115" s="456"/>
      <c r="VT115" s="456"/>
      <c r="VU115" s="456"/>
      <c r="VV115" s="456"/>
      <c r="VW115" s="456"/>
      <c r="VX115" s="456"/>
      <c r="VY115" s="456"/>
      <c r="VZ115" s="456"/>
      <c r="WA115" s="456"/>
      <c r="WB115" s="456"/>
      <c r="WC115" s="456"/>
      <c r="WD115" s="456"/>
      <c r="WE115" s="456"/>
      <c r="WF115" s="456"/>
      <c r="WG115" s="456"/>
      <c r="WH115" s="456"/>
      <c r="WI115" s="456"/>
      <c r="WJ115" s="456"/>
      <c r="WK115" s="456"/>
      <c r="WL115" s="456"/>
      <c r="WM115" s="456"/>
      <c r="WN115" s="456"/>
      <c r="WO115" s="456"/>
      <c r="WP115" s="456"/>
      <c r="WQ115" s="456"/>
      <c r="WR115" s="456"/>
      <c r="WS115" s="456"/>
      <c r="WT115" s="456"/>
      <c r="WU115" s="456"/>
      <c r="WV115" s="456"/>
      <c r="WW115" s="456"/>
      <c r="WX115" s="456"/>
      <c r="WY115" s="456"/>
      <c r="WZ115" s="456"/>
      <c r="XA115" s="456"/>
      <c r="XB115" s="456"/>
      <c r="XC115" s="456"/>
      <c r="XD115" s="456"/>
      <c r="XE115" s="456"/>
      <c r="XF115" s="456"/>
      <c r="XG115" s="456"/>
      <c r="XH115" s="456"/>
      <c r="XI115" s="456"/>
      <c r="XJ115" s="456"/>
      <c r="XK115" s="456"/>
      <c r="XL115" s="456"/>
      <c r="XM115" s="456"/>
      <c r="XN115" s="456"/>
      <c r="XO115" s="456"/>
      <c r="XP115" s="456"/>
      <c r="XQ115" s="456"/>
      <c r="XR115" s="456"/>
      <c r="XS115" s="456"/>
      <c r="XT115" s="456"/>
      <c r="XU115" s="456"/>
      <c r="XV115" s="456"/>
      <c r="XW115" s="456"/>
      <c r="XX115" s="456"/>
      <c r="XY115" s="456"/>
      <c r="XZ115" s="456"/>
      <c r="YA115" s="456"/>
      <c r="YB115" s="456"/>
      <c r="YC115" s="456"/>
      <c r="YD115" s="456"/>
      <c r="YE115" s="456"/>
      <c r="YF115" s="456"/>
      <c r="YG115" s="456"/>
      <c r="YH115" s="456"/>
      <c r="YI115" s="456"/>
      <c r="YJ115" s="456"/>
      <c r="YK115" s="456"/>
      <c r="YL115" s="456"/>
      <c r="YM115" s="456"/>
      <c r="YN115" s="456"/>
      <c r="YO115" s="456"/>
      <c r="YP115" s="456"/>
      <c r="YQ115" s="456"/>
      <c r="YR115" s="456"/>
      <c r="YS115" s="456"/>
      <c r="YT115" s="456"/>
      <c r="YU115" s="456"/>
      <c r="YV115" s="456"/>
      <c r="YW115" s="456"/>
      <c r="YX115" s="456"/>
      <c r="YY115" s="456"/>
      <c r="YZ115" s="456"/>
      <c r="ZA115" s="456"/>
      <c r="ZB115" s="456"/>
      <c r="ZC115" s="456"/>
      <c r="ZD115" s="456"/>
      <c r="ZE115" s="456"/>
      <c r="ZF115" s="456"/>
      <c r="ZG115" s="456"/>
      <c r="ZH115" s="456"/>
      <c r="ZI115" s="456"/>
      <c r="ZJ115" s="456"/>
      <c r="ZK115" s="456"/>
      <c r="ZL115" s="456"/>
      <c r="ZM115" s="456"/>
      <c r="ZN115" s="456"/>
      <c r="ZO115" s="456"/>
      <c r="ZP115" s="456"/>
      <c r="ZQ115" s="456"/>
      <c r="ZR115" s="456"/>
      <c r="ZS115" s="456"/>
      <c r="ZT115" s="456"/>
      <c r="ZU115" s="456"/>
      <c r="ZV115" s="456"/>
      <c r="ZW115" s="456"/>
      <c r="ZX115" s="456"/>
      <c r="ZY115" s="456"/>
      <c r="ZZ115" s="456"/>
      <c r="AAA115" s="456"/>
      <c r="AAB115" s="456"/>
      <c r="AAC115" s="456"/>
      <c r="AAD115" s="456"/>
      <c r="AAE115" s="456"/>
      <c r="AAF115" s="456"/>
      <c r="AAG115" s="456"/>
      <c r="AAH115" s="456"/>
      <c r="AAI115" s="456"/>
      <c r="AAJ115" s="456"/>
      <c r="AAK115" s="456"/>
      <c r="AAL115" s="456"/>
      <c r="AAM115" s="456"/>
      <c r="AAN115" s="456"/>
      <c r="AAO115" s="456"/>
      <c r="AAP115" s="456"/>
      <c r="AAQ115" s="456"/>
      <c r="AAR115" s="456"/>
      <c r="AAS115" s="456"/>
      <c r="AAT115" s="456"/>
      <c r="AAU115" s="456"/>
      <c r="AAV115" s="456"/>
      <c r="AAW115" s="456"/>
      <c r="AAX115" s="456"/>
      <c r="AAY115" s="456"/>
      <c r="AAZ115" s="456"/>
      <c r="ABA115" s="456"/>
      <c r="ABB115" s="456"/>
      <c r="ABC115" s="456"/>
      <c r="ABD115" s="456"/>
      <c r="ABE115" s="456"/>
      <c r="ABF115" s="456"/>
      <c r="ABG115" s="456"/>
      <c r="ABH115" s="456"/>
      <c r="ABI115" s="456"/>
      <c r="ABJ115" s="456"/>
      <c r="ABK115" s="456"/>
      <c r="ABL115" s="456"/>
      <c r="ABM115" s="456"/>
      <c r="ABN115" s="456"/>
      <c r="ABO115" s="456"/>
      <c r="ABP115" s="456"/>
      <c r="ABQ115" s="456"/>
      <c r="ABR115" s="456"/>
      <c r="ABS115" s="456"/>
      <c r="ABT115" s="456"/>
      <c r="ABU115" s="456"/>
      <c r="ABV115" s="456"/>
      <c r="ABW115" s="456"/>
      <c r="ABX115" s="456"/>
      <c r="ABY115" s="456"/>
      <c r="ABZ115" s="456"/>
      <c r="ACA115" s="456"/>
      <c r="ACB115" s="456"/>
      <c r="ACC115" s="456"/>
      <c r="ACD115" s="456"/>
      <c r="ACE115" s="456"/>
      <c r="ACF115" s="456"/>
      <c r="ACG115" s="456"/>
      <c r="ACH115" s="456"/>
      <c r="ACI115" s="456"/>
      <c r="ACJ115" s="456"/>
      <c r="ACK115" s="456"/>
      <c r="ACL115" s="456"/>
      <c r="ACM115" s="456"/>
      <c r="ACN115" s="456"/>
      <c r="ACO115" s="456"/>
      <c r="ACP115" s="456"/>
      <c r="ACQ115" s="456"/>
      <c r="ACR115" s="456"/>
      <c r="ACS115" s="456"/>
      <c r="ACT115" s="456"/>
      <c r="ACU115" s="456"/>
      <c r="ACV115" s="456"/>
      <c r="ACW115" s="456"/>
      <c r="ACX115" s="456"/>
      <c r="ACY115" s="456"/>
      <c r="ACZ115" s="456"/>
      <c r="ADA115" s="456"/>
      <c r="ADB115" s="456"/>
      <c r="ADC115" s="456"/>
      <c r="ADD115" s="456"/>
      <c r="ADE115" s="456"/>
      <c r="ADF115" s="456"/>
      <c r="ADG115" s="456"/>
      <c r="ADH115" s="456"/>
      <c r="ADI115" s="456"/>
      <c r="ADJ115" s="456"/>
      <c r="ADK115" s="456"/>
      <c r="ADL115" s="456"/>
      <c r="ADM115" s="456"/>
      <c r="ADN115" s="456"/>
      <c r="ADO115" s="456"/>
      <c r="ADP115" s="456"/>
      <c r="ADQ115" s="456"/>
      <c r="ADR115" s="456"/>
      <c r="ADS115" s="456"/>
      <c r="ADT115" s="456"/>
      <c r="ADU115" s="456"/>
      <c r="ADV115" s="456"/>
      <c r="ADW115" s="456"/>
      <c r="ADX115" s="456"/>
      <c r="ADY115" s="456"/>
      <c r="ADZ115" s="456"/>
      <c r="AEA115" s="456"/>
      <c r="AEB115" s="456"/>
      <c r="AEC115" s="456"/>
      <c r="AED115" s="456"/>
      <c r="AEE115" s="456"/>
      <c r="AEF115" s="456"/>
      <c r="AEG115" s="456"/>
      <c r="AEH115" s="456"/>
      <c r="AEI115" s="456"/>
      <c r="AEJ115" s="456"/>
      <c r="AEK115" s="456"/>
      <c r="AEL115" s="456"/>
      <c r="AEM115" s="456"/>
      <c r="AEN115" s="456"/>
      <c r="AEO115" s="456"/>
      <c r="AEP115" s="456"/>
      <c r="AEQ115" s="456"/>
      <c r="AER115" s="456"/>
      <c r="AES115" s="456"/>
      <c r="AET115" s="456"/>
      <c r="AEU115" s="456"/>
      <c r="AEV115" s="456"/>
      <c r="AEW115" s="456"/>
      <c r="AEX115" s="456"/>
      <c r="AEY115" s="456"/>
      <c r="AEZ115" s="456"/>
      <c r="AFA115" s="456"/>
      <c r="AFB115" s="456"/>
      <c r="AFC115" s="456"/>
      <c r="AFD115" s="456"/>
      <c r="AFE115" s="456"/>
      <c r="AFF115" s="456"/>
      <c r="AFG115" s="456"/>
      <c r="AFH115" s="456"/>
      <c r="AFI115" s="456"/>
      <c r="AFJ115" s="456"/>
      <c r="AFK115" s="456"/>
      <c r="AFL115" s="456"/>
      <c r="AFM115" s="456"/>
      <c r="AFN115" s="456"/>
      <c r="AFO115" s="456"/>
      <c r="AFP115" s="456"/>
      <c r="AFQ115" s="456"/>
      <c r="AFR115" s="456"/>
      <c r="AFS115" s="456"/>
      <c r="AFT115" s="456"/>
      <c r="AFU115" s="456"/>
      <c r="AFV115" s="456"/>
      <c r="AFW115" s="456"/>
      <c r="AFX115" s="456"/>
      <c r="AFY115" s="456"/>
      <c r="AFZ115" s="456"/>
      <c r="AGA115" s="456"/>
      <c r="AGB115" s="456"/>
      <c r="AGC115" s="456"/>
      <c r="AGD115" s="456"/>
      <c r="AGE115" s="456"/>
      <c r="AGF115" s="456"/>
      <c r="AGG115" s="456"/>
      <c r="AGH115" s="456"/>
      <c r="AGI115" s="456"/>
      <c r="AGJ115" s="456"/>
      <c r="AGK115" s="456"/>
      <c r="AGL115" s="456"/>
      <c r="AGM115" s="456"/>
      <c r="AGN115" s="456"/>
      <c r="AGO115" s="456"/>
      <c r="AGP115" s="456"/>
      <c r="AGQ115" s="456"/>
      <c r="AGR115" s="456"/>
      <c r="AGS115" s="456"/>
      <c r="AGT115" s="456"/>
      <c r="AGU115" s="456"/>
      <c r="AGV115" s="456"/>
      <c r="AGW115" s="456"/>
      <c r="AGX115" s="456"/>
      <c r="AGY115" s="456"/>
      <c r="AGZ115" s="456"/>
      <c r="AHA115" s="456"/>
      <c r="AHB115" s="456"/>
      <c r="AHC115" s="456"/>
      <c r="AHD115" s="456"/>
      <c r="AHE115" s="456"/>
      <c r="AHF115" s="456"/>
      <c r="AHG115" s="456"/>
      <c r="AHH115" s="456"/>
      <c r="AHI115" s="456"/>
      <c r="AHJ115" s="456"/>
      <c r="AHK115" s="456"/>
      <c r="AHL115" s="456"/>
      <c r="AHM115" s="456"/>
      <c r="AHN115" s="456"/>
      <c r="AHO115" s="456"/>
      <c r="AHP115" s="456"/>
      <c r="AHQ115" s="456"/>
      <c r="AHR115" s="456"/>
      <c r="AHS115" s="456"/>
      <c r="AHT115" s="456"/>
      <c r="AHU115" s="456"/>
      <c r="AHV115" s="456"/>
      <c r="AHW115" s="456"/>
      <c r="AHX115" s="456"/>
      <c r="AHY115" s="456"/>
      <c r="AHZ115" s="456"/>
      <c r="AIA115" s="456"/>
      <c r="AIB115" s="456"/>
      <c r="AIC115" s="456"/>
      <c r="AID115" s="456"/>
      <c r="AIE115" s="456"/>
      <c r="AIF115" s="456"/>
      <c r="AIG115" s="456"/>
      <c r="AIH115" s="456"/>
      <c r="AII115" s="456"/>
      <c r="AIJ115" s="456"/>
      <c r="AIK115" s="456"/>
      <c r="AIL115" s="456"/>
      <c r="AIM115" s="456"/>
      <c r="AIN115" s="456"/>
      <c r="AIO115" s="456"/>
      <c r="AIP115" s="456"/>
      <c r="AIQ115" s="456"/>
      <c r="AIR115" s="456"/>
      <c r="AIS115" s="456"/>
      <c r="AIT115" s="456"/>
      <c r="AIU115" s="456"/>
      <c r="AIV115" s="456"/>
      <c r="AIW115" s="456"/>
      <c r="AIX115" s="456"/>
      <c r="AIY115" s="456"/>
      <c r="AIZ115" s="456"/>
      <c r="AJA115" s="456"/>
      <c r="AJB115" s="456"/>
      <c r="AJC115" s="456"/>
      <c r="AJD115" s="456"/>
      <c r="AJE115" s="456"/>
      <c r="AJF115" s="456"/>
      <c r="AJG115" s="456"/>
      <c r="AJH115" s="456"/>
      <c r="AJI115" s="456"/>
      <c r="AJJ115" s="456"/>
      <c r="AJK115" s="456"/>
      <c r="AJL115" s="456"/>
      <c r="AJM115" s="456"/>
      <c r="AJN115" s="456"/>
      <c r="AJO115" s="456"/>
      <c r="AJP115" s="456"/>
      <c r="AJQ115" s="456"/>
      <c r="AJR115" s="456"/>
      <c r="AJS115" s="456"/>
      <c r="AJT115" s="456"/>
      <c r="AJU115" s="456"/>
      <c r="AJV115" s="456"/>
      <c r="AJW115" s="456"/>
      <c r="AJX115" s="456"/>
      <c r="AJY115" s="456"/>
      <c r="AJZ115" s="456"/>
      <c r="AKA115" s="456"/>
      <c r="AKB115" s="456"/>
      <c r="AKC115" s="456"/>
      <c r="AKD115" s="456"/>
      <c r="AKE115" s="456"/>
      <c r="AKF115" s="456"/>
      <c r="AKG115" s="456"/>
      <c r="AKH115" s="456"/>
      <c r="AKI115" s="456"/>
      <c r="AKJ115" s="456"/>
      <c r="AKK115" s="456"/>
      <c r="AKL115" s="456"/>
      <c r="AKM115" s="456"/>
      <c r="AKN115" s="456"/>
      <c r="AKO115" s="456"/>
      <c r="AKP115" s="456"/>
      <c r="AKQ115" s="456"/>
      <c r="AKR115" s="456"/>
      <c r="AKS115" s="456"/>
      <c r="AKT115" s="456"/>
      <c r="AKU115" s="456"/>
      <c r="AKV115" s="456"/>
      <c r="AKW115" s="456"/>
      <c r="AKX115" s="456"/>
      <c r="AKY115" s="456"/>
      <c r="AKZ115" s="456"/>
      <c r="ALA115" s="456"/>
      <c r="ALB115" s="456"/>
      <c r="ALC115" s="456"/>
      <c r="ALD115" s="456"/>
      <c r="ALE115" s="456"/>
      <c r="ALF115" s="456"/>
      <c r="ALG115" s="456"/>
      <c r="ALH115" s="456"/>
      <c r="ALI115" s="456"/>
      <c r="ALJ115" s="456"/>
      <c r="ALK115" s="456"/>
      <c r="ALL115" s="456"/>
      <c r="ALM115" s="456"/>
      <c r="ALN115" s="456"/>
      <c r="ALO115" s="456"/>
      <c r="ALP115" s="456"/>
      <c r="ALQ115" s="456"/>
      <c r="ALR115" s="456"/>
      <c r="ALS115" s="456"/>
      <c r="ALT115" s="456"/>
      <c r="ALU115" s="456"/>
      <c r="ALV115" s="456"/>
      <c r="ALW115" s="456"/>
      <c r="ALX115" s="456"/>
      <c r="ALY115" s="456"/>
      <c r="ALZ115" s="456"/>
      <c r="AMA115" s="456"/>
      <c r="AMB115" s="456"/>
      <c r="AMC115" s="456"/>
      <c r="AMD115" s="456"/>
      <c r="AME115" s="456"/>
      <c r="AMF115" s="456"/>
      <c r="AMG115" s="456"/>
      <c r="AMH115" s="456"/>
      <c r="AMI115" s="456"/>
      <c r="AMJ115" s="456"/>
      <c r="AMK115" s="456"/>
      <c r="AML115" s="456"/>
      <c r="AMM115" s="456"/>
      <c r="AMN115" s="456"/>
      <c r="AMO115" s="456"/>
      <c r="AMP115" s="456"/>
      <c r="AMQ115" s="456"/>
      <c r="AMR115" s="456"/>
      <c r="AMS115" s="456"/>
      <c r="AMT115" s="456"/>
      <c r="AMU115" s="456"/>
      <c r="AMV115" s="456"/>
      <c r="AMW115" s="456"/>
      <c r="AMX115" s="456"/>
      <c r="AMY115" s="456"/>
      <c r="AMZ115" s="456"/>
      <c r="ANA115" s="456"/>
      <c r="ANB115" s="456"/>
      <c r="ANC115" s="456"/>
      <c r="AND115" s="456"/>
      <c r="ANE115" s="456"/>
      <c r="ANF115" s="456"/>
      <c r="ANG115" s="456"/>
      <c r="ANH115" s="456"/>
      <c r="ANI115" s="456"/>
      <c r="ANJ115" s="456"/>
      <c r="ANK115" s="456"/>
      <c r="ANL115" s="456"/>
      <c r="ANM115" s="456"/>
      <c r="ANN115" s="456"/>
      <c r="ANO115" s="456"/>
      <c r="ANP115" s="456"/>
      <c r="ANQ115" s="456"/>
      <c r="ANR115" s="456"/>
      <c r="ANS115" s="456"/>
      <c r="ANT115" s="456"/>
      <c r="ANU115" s="456"/>
      <c r="ANV115" s="456"/>
      <c r="ANW115" s="456"/>
      <c r="ANX115" s="456"/>
      <c r="ANY115" s="456"/>
      <c r="ANZ115" s="456"/>
      <c r="AOA115" s="456"/>
      <c r="AOB115" s="456"/>
      <c r="AOC115" s="456"/>
      <c r="AOD115" s="456"/>
      <c r="AOE115" s="456"/>
      <c r="AOF115" s="456"/>
      <c r="AOG115" s="456"/>
      <c r="AOH115" s="456"/>
      <c r="AOI115" s="456"/>
      <c r="AOJ115" s="456"/>
      <c r="AOK115" s="456"/>
      <c r="AOL115" s="456"/>
      <c r="AOM115" s="456"/>
      <c r="AON115" s="456"/>
      <c r="AOO115" s="456"/>
      <c r="AOP115" s="456"/>
      <c r="AOQ115" s="456"/>
      <c r="AOR115" s="456"/>
      <c r="AOS115" s="456"/>
      <c r="AOT115" s="456"/>
      <c r="AOU115" s="456"/>
      <c r="AOV115" s="456"/>
      <c r="AOW115" s="456"/>
      <c r="AOX115" s="456"/>
      <c r="AOY115" s="456"/>
      <c r="AOZ115" s="456"/>
      <c r="APA115" s="456"/>
      <c r="APB115" s="456"/>
      <c r="APC115" s="456"/>
      <c r="APD115" s="456"/>
      <c r="APE115" s="456"/>
      <c r="APF115" s="456"/>
      <c r="APG115" s="456"/>
      <c r="APH115" s="456"/>
      <c r="API115" s="456"/>
      <c r="APJ115" s="456"/>
      <c r="APK115" s="456"/>
      <c r="APL115" s="456"/>
      <c r="APM115" s="456"/>
      <c r="APN115" s="456"/>
      <c r="APO115" s="456"/>
      <c r="APP115" s="456"/>
      <c r="APQ115" s="456"/>
      <c r="APR115" s="456"/>
      <c r="APS115" s="456"/>
      <c r="APT115" s="456"/>
      <c r="APU115" s="456"/>
      <c r="APV115" s="456"/>
      <c r="APW115" s="456"/>
      <c r="APX115" s="456"/>
      <c r="APY115" s="456"/>
      <c r="APZ115" s="456"/>
      <c r="AQA115" s="456"/>
      <c r="AQB115" s="456"/>
      <c r="AQC115" s="456"/>
      <c r="AQD115" s="456"/>
      <c r="AQE115" s="456"/>
      <c r="AQF115" s="456"/>
      <c r="AQG115" s="456"/>
      <c r="AQH115" s="456"/>
      <c r="AQI115" s="456"/>
      <c r="AQJ115" s="456"/>
      <c r="AQK115" s="456"/>
      <c r="AQL115" s="456"/>
      <c r="AQM115" s="456"/>
      <c r="AQN115" s="456"/>
      <c r="AQO115" s="456"/>
      <c r="AQP115" s="456"/>
      <c r="AQQ115" s="456"/>
      <c r="AQR115" s="456"/>
      <c r="AQS115" s="456"/>
      <c r="AQT115" s="456"/>
      <c r="AQU115" s="456"/>
      <c r="AQV115" s="456"/>
      <c r="AQW115" s="456"/>
      <c r="AQX115" s="456"/>
      <c r="AQY115" s="456"/>
      <c r="AQZ115" s="456"/>
      <c r="ARA115" s="456"/>
      <c r="ARB115" s="456"/>
      <c r="ARC115" s="456"/>
      <c r="ARD115" s="456"/>
      <c r="ARE115" s="456"/>
      <c r="ARF115" s="456"/>
      <c r="ARG115" s="456"/>
      <c r="ARH115" s="456"/>
      <c r="ARI115" s="456"/>
      <c r="ARJ115" s="456"/>
      <c r="ARK115" s="456"/>
      <c r="ARL115" s="456"/>
      <c r="ARM115" s="456"/>
      <c r="ARN115" s="456"/>
      <c r="ARO115" s="456"/>
      <c r="ARP115" s="456"/>
      <c r="ARQ115" s="456"/>
      <c r="ARR115" s="456"/>
      <c r="ARS115" s="456"/>
      <c r="ART115" s="456"/>
      <c r="ARU115" s="456"/>
      <c r="ARV115" s="456"/>
      <c r="ARW115" s="456"/>
      <c r="ARX115" s="456"/>
      <c r="ARY115" s="456"/>
      <c r="ARZ115" s="456"/>
      <c r="ASA115" s="456"/>
      <c r="ASB115" s="456"/>
      <c r="ASC115" s="456"/>
      <c r="ASD115" s="456"/>
      <c r="ASE115" s="456"/>
      <c r="ASF115" s="456"/>
      <c r="ASG115" s="456"/>
      <c r="ASH115" s="456"/>
      <c r="ASI115" s="456"/>
      <c r="ASJ115" s="456"/>
      <c r="ASK115" s="456"/>
      <c r="ASL115" s="456"/>
      <c r="ASM115" s="456"/>
      <c r="ASN115" s="456"/>
      <c r="ASO115" s="456"/>
      <c r="ASP115" s="456"/>
      <c r="ASQ115" s="456"/>
      <c r="ASR115" s="456"/>
      <c r="ASS115" s="456"/>
      <c r="AST115" s="456"/>
      <c r="ASU115" s="456"/>
      <c r="ASV115" s="456"/>
      <c r="ASW115" s="456"/>
      <c r="ASX115" s="456"/>
      <c r="ASY115" s="456"/>
      <c r="ASZ115" s="456"/>
      <c r="ATA115" s="456"/>
      <c r="ATB115" s="456"/>
      <c r="ATC115" s="456"/>
      <c r="ATD115" s="456"/>
      <c r="ATE115" s="456"/>
      <c r="ATF115" s="456"/>
      <c r="ATG115" s="456"/>
      <c r="ATH115" s="456"/>
      <c r="ATI115" s="456"/>
      <c r="ATJ115" s="456"/>
      <c r="ATK115" s="456"/>
      <c r="ATL115" s="456"/>
      <c r="ATM115" s="456"/>
      <c r="ATN115" s="456"/>
      <c r="ATO115" s="456"/>
      <c r="ATP115" s="456"/>
      <c r="ATQ115" s="456"/>
      <c r="ATR115" s="456"/>
      <c r="ATS115" s="456"/>
      <c r="ATT115" s="456"/>
      <c r="ATU115" s="456"/>
      <c r="ATV115" s="456"/>
      <c r="ATW115" s="456"/>
      <c r="ATX115" s="456"/>
      <c r="ATY115" s="456"/>
      <c r="ATZ115" s="456"/>
      <c r="AUA115" s="456"/>
      <c r="AUB115" s="456"/>
      <c r="AUC115" s="456"/>
      <c r="AUD115" s="456"/>
      <c r="AUE115" s="456"/>
      <c r="AUF115" s="456"/>
      <c r="AUG115" s="456"/>
      <c r="AUH115" s="456"/>
      <c r="AUI115" s="456"/>
      <c r="AUJ115" s="456"/>
      <c r="AUK115" s="456"/>
      <c r="AUL115" s="456"/>
      <c r="AUM115" s="456"/>
      <c r="AUN115" s="456"/>
      <c r="AUO115" s="456"/>
      <c r="AUP115" s="456"/>
      <c r="AUQ115" s="456"/>
      <c r="AUR115" s="456"/>
      <c r="AUS115" s="456"/>
      <c r="AUT115" s="456"/>
      <c r="AUU115" s="456"/>
      <c r="AUV115" s="456"/>
      <c r="AUW115" s="456"/>
      <c r="AUX115" s="456"/>
      <c r="AUY115" s="456"/>
      <c r="AUZ115" s="456"/>
      <c r="AVA115" s="456"/>
      <c r="AVB115" s="456"/>
      <c r="AVC115" s="456"/>
      <c r="AVD115" s="456"/>
      <c r="AVE115" s="456"/>
      <c r="AVF115" s="456"/>
      <c r="AVG115" s="456"/>
      <c r="AVH115" s="456"/>
      <c r="AVI115" s="456"/>
      <c r="AVJ115" s="456"/>
      <c r="AVK115" s="456"/>
      <c r="AVL115" s="456"/>
      <c r="AVM115" s="456"/>
      <c r="AVN115" s="456"/>
      <c r="AVO115" s="456"/>
      <c r="AVP115" s="456"/>
      <c r="AVQ115" s="456"/>
      <c r="AVR115" s="456"/>
      <c r="AVS115" s="456"/>
      <c r="AVT115" s="456"/>
      <c r="AVU115" s="456"/>
      <c r="AVV115" s="456"/>
      <c r="AVW115" s="456"/>
      <c r="AVX115" s="456"/>
      <c r="AVY115" s="456"/>
      <c r="AVZ115" s="456"/>
      <c r="AWA115" s="456"/>
      <c r="AWB115" s="456"/>
      <c r="AWC115" s="456"/>
      <c r="AWD115" s="456"/>
      <c r="AWE115" s="456"/>
      <c r="AWF115" s="456"/>
      <c r="AWG115" s="456"/>
      <c r="AWH115" s="456"/>
      <c r="AWI115" s="456"/>
      <c r="AWJ115" s="456"/>
      <c r="AWK115" s="456"/>
      <c r="AWL115" s="456"/>
      <c r="AWM115" s="456"/>
      <c r="AWN115" s="456"/>
      <c r="AWO115" s="456"/>
      <c r="AWP115" s="456"/>
      <c r="AWQ115" s="456"/>
      <c r="AWR115" s="456"/>
      <c r="AWS115" s="456"/>
      <c r="AWT115" s="456"/>
      <c r="AWU115" s="456"/>
      <c r="AWV115" s="456"/>
      <c r="AWW115" s="456"/>
      <c r="AWX115" s="456"/>
      <c r="AWY115" s="456"/>
      <c r="AWZ115" s="456"/>
      <c r="AXA115" s="456"/>
      <c r="AXB115" s="456"/>
      <c r="AXC115" s="456"/>
      <c r="AXD115" s="456"/>
      <c r="AXE115" s="456"/>
      <c r="AXF115" s="456"/>
      <c r="AXG115" s="456"/>
      <c r="AXH115" s="456"/>
      <c r="AXI115" s="456"/>
      <c r="AXJ115" s="456"/>
      <c r="AXK115" s="456"/>
      <c r="AXL115" s="456"/>
      <c r="AXM115" s="456"/>
      <c r="AXN115" s="456"/>
      <c r="AXO115" s="456"/>
      <c r="AXP115" s="456"/>
      <c r="AXQ115" s="456"/>
      <c r="AXR115" s="456"/>
      <c r="AXS115" s="456"/>
      <c r="AXT115" s="456"/>
      <c r="AXU115" s="456"/>
      <c r="AXV115" s="456"/>
      <c r="AXW115" s="456"/>
      <c r="AXX115" s="456"/>
      <c r="AXY115" s="456"/>
      <c r="AXZ115" s="456"/>
      <c r="AYA115" s="456"/>
      <c r="AYB115" s="456"/>
      <c r="AYC115" s="456"/>
      <c r="AYD115" s="456"/>
      <c r="AYE115" s="456"/>
      <c r="AYF115" s="456"/>
      <c r="AYG115" s="456"/>
      <c r="AYH115" s="456"/>
      <c r="AYI115" s="456"/>
      <c r="AYJ115" s="456"/>
      <c r="AYK115" s="456"/>
      <c r="AYL115" s="456"/>
      <c r="AYM115" s="456"/>
      <c r="AYN115" s="456"/>
      <c r="AYO115" s="456"/>
      <c r="AYP115" s="456"/>
      <c r="AYQ115" s="456"/>
      <c r="AYR115" s="456"/>
      <c r="AYS115" s="456"/>
      <c r="AYT115" s="456"/>
      <c r="AYU115" s="456"/>
      <c r="AYV115" s="456"/>
      <c r="AYW115" s="456"/>
      <c r="AYX115" s="456"/>
      <c r="AYY115" s="456"/>
      <c r="AYZ115" s="456"/>
      <c r="AZA115" s="456"/>
      <c r="AZB115" s="456"/>
      <c r="AZC115" s="456"/>
      <c r="AZD115" s="456"/>
      <c r="AZE115" s="456"/>
      <c r="AZF115" s="456"/>
      <c r="AZG115" s="456"/>
      <c r="AZH115" s="456"/>
      <c r="AZI115" s="456"/>
      <c r="AZJ115" s="456"/>
      <c r="AZK115" s="456"/>
      <c r="AZL115" s="456"/>
      <c r="AZM115" s="456"/>
      <c r="AZN115" s="456"/>
      <c r="AZO115" s="456"/>
      <c r="AZP115" s="456"/>
      <c r="AZQ115" s="456"/>
      <c r="AZR115" s="456"/>
      <c r="AZS115" s="456"/>
      <c r="AZT115" s="456"/>
      <c r="AZU115" s="456"/>
      <c r="AZV115" s="456"/>
      <c r="AZW115" s="456"/>
      <c r="AZX115" s="456"/>
      <c r="AZY115" s="456"/>
      <c r="AZZ115" s="456"/>
      <c r="BAA115" s="456"/>
      <c r="BAB115" s="456"/>
      <c r="BAC115" s="456"/>
      <c r="BAD115" s="456"/>
      <c r="BAE115" s="456"/>
      <c r="BAF115" s="456"/>
      <c r="BAG115" s="456"/>
      <c r="BAH115" s="456"/>
      <c r="BAI115" s="456"/>
      <c r="BAJ115" s="456"/>
      <c r="BAK115" s="456"/>
      <c r="BAL115" s="456"/>
      <c r="BAM115" s="456"/>
      <c r="BAN115" s="456"/>
      <c r="BAO115" s="456"/>
      <c r="BAP115" s="456"/>
      <c r="BAQ115" s="456"/>
      <c r="BAR115" s="456"/>
      <c r="BAS115" s="456"/>
      <c r="BAT115" s="456"/>
      <c r="BAU115" s="456"/>
      <c r="BAV115" s="456"/>
      <c r="BAW115" s="456"/>
      <c r="BAX115" s="456"/>
      <c r="BAY115" s="456"/>
      <c r="BAZ115" s="456"/>
      <c r="BBA115" s="456"/>
      <c r="BBB115" s="456"/>
      <c r="BBC115" s="456"/>
      <c r="BBD115" s="456"/>
      <c r="BBE115" s="456"/>
      <c r="BBF115" s="456"/>
      <c r="BBG115" s="456"/>
      <c r="BBH115" s="456"/>
      <c r="BBI115" s="456"/>
      <c r="BBJ115" s="456"/>
      <c r="BBK115" s="456"/>
      <c r="BBL115" s="456"/>
      <c r="BBM115" s="456"/>
      <c r="BBN115" s="456"/>
      <c r="BBO115" s="456"/>
      <c r="BBP115" s="456"/>
      <c r="BBQ115" s="456"/>
      <c r="BBR115" s="456"/>
      <c r="BBS115" s="456"/>
      <c r="BBT115" s="456"/>
      <c r="BBU115" s="456"/>
      <c r="BBV115" s="456"/>
      <c r="BBW115" s="456"/>
      <c r="BBX115" s="456"/>
      <c r="BBY115" s="456"/>
      <c r="BBZ115" s="456"/>
      <c r="BCA115" s="456"/>
      <c r="BCB115" s="456"/>
      <c r="BCC115" s="456"/>
      <c r="BCD115" s="456"/>
      <c r="BCE115" s="456"/>
      <c r="BCF115" s="456"/>
      <c r="BCG115" s="456"/>
      <c r="BCH115" s="456"/>
      <c r="BCI115" s="456"/>
      <c r="BCJ115" s="456"/>
      <c r="BCK115" s="456"/>
      <c r="BCL115" s="456"/>
      <c r="BCM115" s="456"/>
      <c r="BCN115" s="456"/>
      <c r="BCO115" s="456"/>
      <c r="BCP115" s="456"/>
      <c r="BCQ115" s="456"/>
      <c r="BCR115" s="456"/>
      <c r="BCS115" s="456"/>
      <c r="BCT115" s="456"/>
      <c r="BCU115" s="456"/>
      <c r="BCV115" s="456"/>
      <c r="BCW115" s="456"/>
      <c r="BCX115" s="456"/>
      <c r="BCY115" s="456"/>
      <c r="BCZ115" s="456"/>
      <c r="BDA115" s="456"/>
      <c r="BDB115" s="456"/>
      <c r="BDC115" s="456"/>
      <c r="BDD115" s="456"/>
      <c r="BDE115" s="456"/>
      <c r="BDF115" s="456"/>
      <c r="BDG115" s="456"/>
      <c r="BDH115" s="456"/>
      <c r="BDI115" s="456"/>
      <c r="BDJ115" s="456"/>
      <c r="BDK115" s="456"/>
      <c r="BDL115" s="456"/>
      <c r="BDM115" s="456"/>
      <c r="BDN115" s="456"/>
      <c r="BDO115" s="456"/>
      <c r="BDP115" s="456"/>
      <c r="BDQ115" s="456"/>
      <c r="BDR115" s="456"/>
      <c r="BDS115" s="456"/>
      <c r="BDT115" s="456"/>
      <c r="BDU115" s="456"/>
      <c r="BDV115" s="456"/>
      <c r="BDW115" s="456"/>
      <c r="BDX115" s="456"/>
      <c r="BDY115" s="456"/>
      <c r="BDZ115" s="456"/>
      <c r="BEA115" s="456"/>
      <c r="BEB115" s="456"/>
      <c r="BEC115" s="456"/>
      <c r="BED115" s="456"/>
      <c r="BEE115" s="456"/>
      <c r="BEF115" s="456"/>
      <c r="BEG115" s="456"/>
      <c r="BEH115" s="456"/>
      <c r="BEI115" s="456"/>
      <c r="BEJ115" s="456"/>
      <c r="BEK115" s="456"/>
      <c r="BEL115" s="456"/>
      <c r="BEM115" s="456"/>
      <c r="BEN115" s="456"/>
      <c r="BEO115" s="456"/>
      <c r="BEP115" s="456"/>
      <c r="BEQ115" s="456"/>
      <c r="BER115" s="456"/>
      <c r="BES115" s="456"/>
      <c r="BET115" s="456"/>
      <c r="BEU115" s="456"/>
      <c r="BEV115" s="456"/>
      <c r="BEW115" s="456"/>
      <c r="BEX115" s="456"/>
      <c r="BEY115" s="456"/>
      <c r="BEZ115" s="456"/>
      <c r="BFA115" s="456"/>
      <c r="BFB115" s="456"/>
      <c r="BFC115" s="456"/>
      <c r="BFD115" s="456"/>
      <c r="BFE115" s="456"/>
      <c r="BFF115" s="456"/>
      <c r="BFG115" s="456"/>
      <c r="BFH115" s="456"/>
      <c r="BFI115" s="456"/>
      <c r="BFJ115" s="456"/>
      <c r="BFK115" s="456"/>
      <c r="BFL115" s="456"/>
      <c r="BFM115" s="456"/>
      <c r="BFN115" s="456"/>
      <c r="BFO115" s="456"/>
      <c r="BFP115" s="456"/>
      <c r="BFQ115" s="456"/>
      <c r="BFR115" s="456"/>
      <c r="BFS115" s="456"/>
      <c r="BFT115" s="456"/>
      <c r="BFU115" s="456"/>
      <c r="BFV115" s="456"/>
      <c r="BFW115" s="456"/>
      <c r="BFX115" s="456"/>
      <c r="BFY115" s="456"/>
      <c r="BFZ115" s="456"/>
      <c r="BGA115" s="456"/>
      <c r="BGB115" s="456"/>
      <c r="BGC115" s="456"/>
      <c r="BGD115" s="456"/>
      <c r="BGE115" s="456"/>
      <c r="BGF115" s="456"/>
      <c r="BGG115" s="456"/>
      <c r="BGH115" s="456"/>
      <c r="BGI115" s="456"/>
      <c r="BGJ115" s="456"/>
      <c r="BGK115" s="456"/>
      <c r="BGL115" s="456"/>
      <c r="BGM115" s="456"/>
      <c r="BGN115" s="456"/>
      <c r="BGO115" s="456"/>
      <c r="BGP115" s="456"/>
      <c r="BGQ115" s="456"/>
      <c r="BGR115" s="456"/>
      <c r="BGS115" s="456"/>
      <c r="BGT115" s="456"/>
      <c r="BGU115" s="456"/>
      <c r="BGV115" s="456"/>
      <c r="BGW115" s="456"/>
      <c r="BGX115" s="456"/>
      <c r="BGY115" s="456"/>
      <c r="BGZ115" s="456"/>
      <c r="BHA115" s="456"/>
      <c r="BHB115" s="456"/>
      <c r="BHC115" s="456"/>
      <c r="BHD115" s="456"/>
      <c r="BHE115" s="456"/>
      <c r="BHF115" s="456"/>
      <c r="BHG115" s="456"/>
      <c r="BHH115" s="456"/>
      <c r="BHI115" s="456"/>
      <c r="BHJ115" s="456"/>
      <c r="BHK115" s="456"/>
      <c r="BHL115" s="456"/>
      <c r="BHM115" s="456"/>
      <c r="BHN115" s="456"/>
      <c r="BHO115" s="456"/>
      <c r="BHP115" s="456"/>
      <c r="BHQ115" s="456"/>
      <c r="BHR115" s="456"/>
      <c r="BHS115" s="456"/>
      <c r="BHT115" s="456"/>
      <c r="BHU115" s="456"/>
      <c r="BHV115" s="456"/>
      <c r="BHW115" s="456"/>
      <c r="BHX115" s="456"/>
      <c r="BHY115" s="456"/>
      <c r="BHZ115" s="456"/>
      <c r="BIA115" s="456"/>
      <c r="BIB115" s="456"/>
      <c r="BIC115" s="456"/>
      <c r="BID115" s="456"/>
      <c r="BIE115" s="456"/>
      <c r="BIF115" s="456"/>
      <c r="BIG115" s="456"/>
      <c r="BIH115" s="456"/>
      <c r="BII115" s="456"/>
      <c r="BIJ115" s="456"/>
      <c r="BIK115" s="456"/>
      <c r="BIL115" s="456"/>
      <c r="BIM115" s="456"/>
      <c r="BIN115" s="456"/>
      <c r="BIO115" s="456"/>
      <c r="BIP115" s="456"/>
      <c r="BIQ115" s="456"/>
      <c r="BIR115" s="456"/>
      <c r="BIS115" s="456"/>
      <c r="BIT115" s="456"/>
      <c r="BIU115" s="456"/>
      <c r="BIV115" s="456"/>
      <c r="BIW115" s="456"/>
      <c r="BIX115" s="456"/>
      <c r="BIY115" s="456"/>
      <c r="BIZ115" s="456"/>
      <c r="BJA115" s="456"/>
      <c r="BJB115" s="456"/>
      <c r="BJC115" s="456"/>
      <c r="BJD115" s="456"/>
      <c r="BJE115" s="456"/>
      <c r="BJF115" s="456"/>
      <c r="BJG115" s="456"/>
      <c r="BJH115" s="456"/>
      <c r="BJI115" s="456"/>
      <c r="BJJ115" s="456"/>
      <c r="BJK115" s="456"/>
      <c r="BJL115" s="456"/>
      <c r="BJM115" s="456"/>
      <c r="BJN115" s="456"/>
      <c r="BJO115" s="456"/>
      <c r="BJP115" s="456"/>
      <c r="BJQ115" s="456"/>
      <c r="BJR115" s="456"/>
      <c r="BJS115" s="456"/>
      <c r="BJT115" s="456"/>
      <c r="BJU115" s="456"/>
      <c r="BJV115" s="456"/>
      <c r="BJW115" s="456"/>
      <c r="BJX115" s="456"/>
      <c r="BJY115" s="456"/>
      <c r="BJZ115" s="456"/>
      <c r="BKA115" s="456"/>
      <c r="BKB115" s="456"/>
      <c r="BKC115" s="456"/>
      <c r="BKD115" s="456"/>
      <c r="BKE115" s="456"/>
      <c r="BKF115" s="456"/>
      <c r="BKG115" s="456"/>
      <c r="BKH115" s="456"/>
      <c r="BKI115" s="456"/>
      <c r="BKJ115" s="456"/>
      <c r="BKK115" s="456"/>
      <c r="BKL115" s="456"/>
      <c r="BKM115" s="456"/>
      <c r="BKN115" s="456"/>
      <c r="BKO115" s="456"/>
      <c r="BKP115" s="456"/>
      <c r="BKQ115" s="456"/>
      <c r="BKR115" s="456"/>
      <c r="BKS115" s="456"/>
      <c r="BKT115" s="456"/>
      <c r="BKU115" s="456"/>
      <c r="BKV115" s="456"/>
      <c r="BKW115" s="456"/>
      <c r="BKX115" s="456"/>
      <c r="BKY115" s="456"/>
      <c r="BKZ115" s="456"/>
      <c r="BLA115" s="456"/>
      <c r="BLB115" s="456"/>
      <c r="BLC115" s="456"/>
      <c r="BLD115" s="456"/>
      <c r="BLE115" s="456"/>
      <c r="BLF115" s="456"/>
      <c r="BLG115" s="456"/>
      <c r="BLH115" s="456"/>
      <c r="BLI115" s="456"/>
      <c r="BLJ115" s="456"/>
      <c r="BLK115" s="456"/>
      <c r="BLL115" s="456"/>
      <c r="BLM115" s="456"/>
      <c r="BLN115" s="456"/>
      <c r="BLO115" s="456"/>
      <c r="BLP115" s="456"/>
      <c r="BLQ115" s="456"/>
      <c r="BLR115" s="456"/>
      <c r="BLS115" s="456"/>
      <c r="BLT115" s="456"/>
      <c r="BLU115" s="456"/>
      <c r="BLV115" s="456"/>
      <c r="BLW115" s="456"/>
      <c r="BLX115" s="456"/>
      <c r="BLY115" s="456"/>
      <c r="BLZ115" s="456"/>
      <c r="BMA115" s="456"/>
      <c r="BMB115" s="456"/>
      <c r="BMC115" s="456"/>
      <c r="BMD115" s="456"/>
      <c r="BME115" s="456"/>
      <c r="BMF115" s="456"/>
      <c r="BMG115" s="456"/>
      <c r="BMH115" s="456"/>
      <c r="BMI115" s="456"/>
      <c r="BMJ115" s="456"/>
      <c r="BMK115" s="456"/>
      <c r="BML115" s="456"/>
      <c r="BMM115" s="456"/>
      <c r="BMN115" s="456"/>
      <c r="BMO115" s="456"/>
      <c r="BMP115" s="456"/>
      <c r="BMQ115" s="456"/>
      <c r="BMR115" s="456"/>
      <c r="BMS115" s="456"/>
      <c r="BMT115" s="456"/>
      <c r="BMU115" s="456"/>
      <c r="BMV115" s="456"/>
      <c r="BMW115" s="456"/>
      <c r="BMX115" s="456"/>
      <c r="BMY115" s="456"/>
      <c r="BMZ115" s="456"/>
      <c r="BNA115" s="456"/>
      <c r="BNB115" s="456"/>
      <c r="BNC115" s="456"/>
      <c r="BND115" s="456"/>
      <c r="BNE115" s="456"/>
      <c r="BNF115" s="456"/>
      <c r="BNG115" s="456"/>
      <c r="BNH115" s="456"/>
      <c r="BNI115" s="456"/>
      <c r="BNJ115" s="456"/>
      <c r="BNK115" s="456"/>
      <c r="BNL115" s="456"/>
      <c r="BNM115" s="456"/>
      <c r="BNN115" s="456"/>
      <c r="BNO115" s="456"/>
      <c r="BNP115" s="456"/>
      <c r="BNQ115" s="456"/>
      <c r="BNR115" s="456"/>
      <c r="BNS115" s="456"/>
      <c r="BNT115" s="456"/>
      <c r="BNU115" s="456"/>
      <c r="BNV115" s="456"/>
      <c r="BNW115" s="456"/>
      <c r="BNX115" s="456"/>
      <c r="BNY115" s="456"/>
      <c r="BNZ115" s="456"/>
      <c r="BOA115" s="456"/>
      <c r="BOB115" s="456"/>
      <c r="BOC115" s="456"/>
      <c r="BOD115" s="456"/>
      <c r="BOE115" s="456"/>
      <c r="BOF115" s="456"/>
      <c r="BOG115" s="456"/>
      <c r="BOH115" s="456"/>
      <c r="BOI115" s="456"/>
      <c r="BOJ115" s="456"/>
      <c r="BOK115" s="456"/>
      <c r="BOL115" s="456"/>
      <c r="BOM115" s="456"/>
      <c r="BON115" s="456"/>
      <c r="BOO115" s="456"/>
      <c r="BOP115" s="456"/>
      <c r="BOQ115" s="456"/>
      <c r="BOR115" s="456"/>
      <c r="BOS115" s="456"/>
      <c r="BOT115" s="456"/>
      <c r="BOU115" s="456"/>
      <c r="BOV115" s="456"/>
      <c r="BOW115" s="456"/>
      <c r="BOX115" s="456"/>
      <c r="BOY115" s="456"/>
      <c r="BOZ115" s="456"/>
      <c r="BPA115" s="456"/>
      <c r="BPB115" s="456"/>
      <c r="BPC115" s="456"/>
      <c r="BPD115" s="456"/>
      <c r="BPE115" s="456"/>
      <c r="BPF115" s="456"/>
      <c r="BPG115" s="456"/>
      <c r="BPH115" s="456"/>
      <c r="BPI115" s="456"/>
      <c r="BPJ115" s="456"/>
      <c r="BPK115" s="456"/>
      <c r="BPL115" s="456"/>
      <c r="BPM115" s="456"/>
      <c r="BPN115" s="456"/>
      <c r="BPO115" s="456"/>
      <c r="BPP115" s="456"/>
      <c r="BPQ115" s="456"/>
      <c r="BPR115" s="456"/>
      <c r="BPS115" s="456"/>
      <c r="BPT115" s="456"/>
      <c r="BPU115" s="456"/>
      <c r="BPV115" s="456"/>
      <c r="BPW115" s="456"/>
      <c r="BPX115" s="456"/>
      <c r="BPY115" s="456"/>
      <c r="BPZ115" s="456"/>
      <c r="BQA115" s="456"/>
      <c r="BQB115" s="456"/>
      <c r="BQC115" s="456"/>
      <c r="BQD115" s="456"/>
      <c r="BQE115" s="456"/>
      <c r="BQF115" s="456"/>
      <c r="BQG115" s="456"/>
      <c r="BQH115" s="456"/>
      <c r="BQI115" s="456"/>
      <c r="BQJ115" s="456"/>
      <c r="BQK115" s="456"/>
      <c r="BQL115" s="456"/>
      <c r="BQM115" s="456"/>
      <c r="BQN115" s="456"/>
      <c r="BQO115" s="456"/>
      <c r="BQP115" s="456"/>
      <c r="BQQ115" s="456"/>
      <c r="BQR115" s="456"/>
      <c r="BQS115" s="456"/>
      <c r="BQT115" s="456"/>
      <c r="BQU115" s="456"/>
      <c r="BQV115" s="456"/>
      <c r="BQW115" s="456"/>
      <c r="BQX115" s="456"/>
      <c r="BQY115" s="456"/>
      <c r="BQZ115" s="456"/>
      <c r="BRA115" s="456"/>
      <c r="BRB115" s="456"/>
      <c r="BRC115" s="456"/>
      <c r="BRD115" s="456"/>
      <c r="BRE115" s="456"/>
      <c r="BRF115" s="456"/>
      <c r="BRG115" s="456"/>
      <c r="BRH115" s="456"/>
      <c r="BRI115" s="456"/>
      <c r="BRJ115" s="456"/>
      <c r="BRK115" s="456"/>
      <c r="BRL115" s="456"/>
      <c r="BRM115" s="456"/>
      <c r="BRN115" s="456"/>
      <c r="BRO115" s="456"/>
      <c r="BRP115" s="456"/>
      <c r="BRQ115" s="456"/>
      <c r="BRR115" s="456"/>
      <c r="BRS115" s="456"/>
      <c r="BRT115" s="456"/>
      <c r="BRU115" s="456"/>
      <c r="BRV115" s="456"/>
      <c r="BRW115" s="456"/>
      <c r="BRX115" s="456"/>
      <c r="BRY115" s="456"/>
      <c r="BRZ115" s="456"/>
      <c r="BSA115" s="456"/>
      <c r="BSB115" s="456"/>
      <c r="BSC115" s="456"/>
      <c r="BSD115" s="456"/>
      <c r="BSE115" s="456"/>
      <c r="BSF115" s="456"/>
      <c r="BSG115" s="456"/>
      <c r="BSH115" s="456"/>
      <c r="BSI115" s="456"/>
      <c r="BSJ115" s="456"/>
      <c r="BSK115" s="456"/>
      <c r="BSL115" s="456"/>
      <c r="BSM115" s="456"/>
      <c r="BSN115" s="456"/>
      <c r="BSO115" s="456"/>
      <c r="BSP115" s="456"/>
      <c r="BSQ115" s="456"/>
      <c r="BSR115" s="456"/>
      <c r="BSS115" s="456"/>
      <c r="BST115" s="456"/>
      <c r="BSU115" s="456"/>
      <c r="BSV115" s="456"/>
      <c r="BSW115" s="456"/>
      <c r="BSX115" s="456"/>
      <c r="BSY115" s="456"/>
      <c r="BSZ115" s="456"/>
      <c r="BTA115" s="456"/>
      <c r="BTB115" s="456"/>
      <c r="BTC115" s="456"/>
      <c r="BTD115" s="456"/>
      <c r="BTE115" s="456"/>
      <c r="BTF115" s="456"/>
      <c r="BTG115" s="456"/>
      <c r="BTH115" s="456"/>
      <c r="BTI115" s="456"/>
      <c r="BTJ115" s="456"/>
      <c r="BTK115" s="456"/>
      <c r="BTL115" s="456"/>
      <c r="BTM115" s="456"/>
      <c r="BTN115" s="456"/>
      <c r="BTO115" s="456"/>
      <c r="BTP115" s="456"/>
      <c r="BTQ115" s="456"/>
      <c r="BTR115" s="456"/>
      <c r="BTS115" s="456"/>
      <c r="BTT115" s="456"/>
      <c r="BTU115" s="456"/>
      <c r="BTV115" s="456"/>
      <c r="BTW115" s="456"/>
      <c r="BTX115" s="456"/>
      <c r="BTY115" s="456"/>
      <c r="BTZ115" s="456"/>
      <c r="BUA115" s="456"/>
      <c r="BUB115" s="456"/>
      <c r="BUC115" s="456"/>
      <c r="BUD115" s="456"/>
      <c r="BUE115" s="456"/>
      <c r="BUF115" s="456"/>
      <c r="BUG115" s="456"/>
      <c r="BUH115" s="456"/>
      <c r="BUI115" s="456"/>
      <c r="BUJ115" s="456"/>
      <c r="BUK115" s="456"/>
      <c r="BUL115" s="456"/>
      <c r="BUM115" s="456"/>
      <c r="BUN115" s="456"/>
      <c r="BUO115" s="456"/>
      <c r="BUP115" s="456"/>
      <c r="BUQ115" s="456"/>
      <c r="BUR115" s="456"/>
      <c r="BUS115" s="456"/>
      <c r="BUT115" s="456"/>
      <c r="BUU115" s="456"/>
      <c r="BUV115" s="456"/>
      <c r="BUW115" s="456"/>
      <c r="BUX115" s="456"/>
      <c r="BUY115" s="456"/>
      <c r="BUZ115" s="456"/>
      <c r="BVA115" s="456"/>
      <c r="BVB115" s="456"/>
      <c r="BVC115" s="456"/>
      <c r="BVD115" s="456"/>
      <c r="BVE115" s="456"/>
      <c r="BVF115" s="456"/>
      <c r="BVG115" s="456"/>
      <c r="BVH115" s="456"/>
      <c r="BVI115" s="456"/>
      <c r="BVJ115" s="456"/>
      <c r="BVK115" s="456"/>
      <c r="BVL115" s="456"/>
      <c r="BVM115" s="456"/>
      <c r="BVN115" s="456"/>
      <c r="BVO115" s="456"/>
      <c r="BVP115" s="456"/>
      <c r="BVQ115" s="456"/>
      <c r="BVR115" s="456"/>
      <c r="BVS115" s="456"/>
      <c r="BVT115" s="456"/>
      <c r="BVU115" s="456"/>
      <c r="BVV115" s="456"/>
      <c r="BVW115" s="456"/>
      <c r="BVX115" s="456"/>
      <c r="BVY115" s="456"/>
      <c r="BVZ115" s="456"/>
      <c r="BWA115" s="456"/>
      <c r="BWB115" s="456"/>
      <c r="BWC115" s="456"/>
      <c r="BWD115" s="456"/>
      <c r="BWE115" s="456"/>
      <c r="BWF115" s="456"/>
      <c r="BWG115" s="456"/>
      <c r="BWH115" s="456"/>
      <c r="BWI115" s="456"/>
      <c r="BWJ115" s="456"/>
      <c r="BWK115" s="456"/>
      <c r="BWL115" s="456"/>
      <c r="BWM115" s="456"/>
      <c r="BWN115" s="456"/>
      <c r="BWO115" s="456"/>
      <c r="BWP115" s="456"/>
      <c r="BWQ115" s="456"/>
      <c r="BWR115" s="456"/>
      <c r="BWS115" s="456"/>
      <c r="BWT115" s="456"/>
      <c r="BWU115" s="456"/>
      <c r="BWV115" s="456"/>
      <c r="BWW115" s="456"/>
      <c r="BWX115" s="456"/>
      <c r="BWY115" s="456"/>
      <c r="BWZ115" s="456"/>
      <c r="BXA115" s="456"/>
      <c r="BXB115" s="456"/>
      <c r="BXC115" s="456"/>
      <c r="BXD115" s="456"/>
      <c r="BXE115" s="456"/>
      <c r="BXF115" s="456"/>
      <c r="BXG115" s="456"/>
      <c r="BXH115" s="456"/>
      <c r="BXI115" s="456"/>
      <c r="BXJ115" s="456"/>
      <c r="BXK115" s="456"/>
      <c r="BXL115" s="456"/>
      <c r="BXM115" s="456"/>
      <c r="BXN115" s="456"/>
      <c r="BXO115" s="456"/>
      <c r="BXP115" s="456"/>
      <c r="BXQ115" s="456"/>
      <c r="BXR115" s="456"/>
      <c r="BXS115" s="456"/>
      <c r="BXT115" s="456"/>
      <c r="BXU115" s="456"/>
      <c r="BXV115" s="456"/>
      <c r="BXW115" s="456"/>
      <c r="BXX115" s="456"/>
      <c r="BXY115" s="456"/>
      <c r="BXZ115" s="456"/>
    </row>
    <row r="116" s="25" customFormat="1" ht="15.6" spans="1:1024 1025:2002">
      <c r="A116" s="473"/>
      <c r="B116" s="19">
        <v>1125</v>
      </c>
      <c r="C116" s="183">
        <v>46196</v>
      </c>
      <c r="D116" s="17" t="s">
        <v>52</v>
      </c>
      <c r="E116" s="17" t="s">
        <v>53</v>
      </c>
      <c r="F116" s="17" t="s">
        <v>54</v>
      </c>
      <c r="G116" s="17"/>
      <c r="H116" s="19" t="s">
        <v>55</v>
      </c>
      <c r="I116" s="102" t="s">
        <v>56</v>
      </c>
      <c r="J116" s="17" t="s">
        <v>49</v>
      </c>
      <c r="K116" s="19">
        <v>610</v>
      </c>
      <c r="L116" s="19">
        <v>56</v>
      </c>
      <c r="M116" s="19">
        <v>5800</v>
      </c>
      <c r="N116" s="19" t="s">
        <v>40</v>
      </c>
      <c r="O116" s="19" t="s">
        <v>84</v>
      </c>
      <c r="P116" s="19"/>
      <c r="Q116" s="19">
        <v>1026</v>
      </c>
      <c r="R116" s="19">
        <f>+P115-Q115-Q116</f>
        <v>90</v>
      </c>
      <c r="S116" s="311">
        <v>2040</v>
      </c>
      <c r="T116" s="19" t="s">
        <v>42</v>
      </c>
      <c r="U116" s="102" t="s">
        <v>101</v>
      </c>
      <c r="V116" s="186">
        <v>46197</v>
      </c>
      <c r="W116" s="17" t="s">
        <v>58</v>
      </c>
      <c r="X116" s="17"/>
      <c r="Y116" s="68">
        <v>46204</v>
      </c>
      <c r="Z116" s="17" t="s">
        <v>45</v>
      </c>
      <c r="AA116" s="17" t="s">
        <v>59</v>
      </c>
      <c r="AB116" s="17" t="s">
        <v>60</v>
      </c>
      <c r="AC116" s="217">
        <v>46281</v>
      </c>
      <c r="AD116" s="65">
        <v>1862</v>
      </c>
      <c r="AE116" s="17" t="s">
        <v>48</v>
      </c>
      <c r="AF116" s="17" t="s">
        <v>61</v>
      </c>
      <c r="AG116" s="17" t="s">
        <v>103</v>
      </c>
      <c r="AH116" s="456"/>
      <c r="AI116" s="456"/>
      <c r="AJ116" s="456"/>
      <c r="AK116" s="456"/>
      <c r="AL116" s="456"/>
      <c r="AM116" s="456"/>
      <c r="AN116" s="456"/>
      <c r="AO116" s="456"/>
      <c r="AP116" s="456"/>
      <c r="AQ116" s="456"/>
      <c r="AR116" s="456"/>
      <c r="AS116" s="456"/>
      <c r="AT116" s="456"/>
      <c r="AU116" s="456"/>
      <c r="AV116" s="456"/>
      <c r="AW116" s="456"/>
      <c r="AX116" s="456"/>
      <c r="AY116" s="456"/>
      <c r="AZ116" s="456"/>
      <c r="BA116" s="456"/>
      <c r="BB116" s="456"/>
      <c r="BC116" s="456"/>
      <c r="BD116" s="456"/>
      <c r="BE116" s="456"/>
      <c r="BF116" s="456"/>
      <c r="BG116" s="456"/>
      <c r="BH116" s="456"/>
      <c r="BI116" s="456"/>
      <c r="BJ116" s="456"/>
      <c r="BK116" s="456"/>
      <c r="BL116" s="456"/>
      <c r="BM116" s="456"/>
      <c r="BN116" s="456"/>
      <c r="BO116" s="456"/>
      <c r="BP116" s="456"/>
      <c r="BQ116" s="456"/>
      <c r="BR116" s="456"/>
      <c r="BS116" s="456"/>
      <c r="BT116" s="456"/>
      <c r="BU116" s="456"/>
      <c r="BV116" s="456"/>
      <c r="BW116" s="456"/>
      <c r="BX116" s="456"/>
      <c r="BY116" s="456"/>
      <c r="BZ116" s="456"/>
      <c r="CA116" s="456"/>
      <c r="CB116" s="456"/>
      <c r="CC116" s="456"/>
      <c r="CD116" s="456"/>
      <c r="CE116" s="456"/>
      <c r="CF116" s="456"/>
      <c r="CG116" s="456"/>
      <c r="CH116" s="456"/>
      <c r="CI116" s="456"/>
      <c r="CJ116" s="456"/>
      <c r="CK116" s="456"/>
      <c r="CL116" s="456"/>
      <c r="CM116" s="456"/>
      <c r="CN116" s="456"/>
      <c r="CO116" s="456"/>
      <c r="CP116" s="456"/>
      <c r="CQ116" s="456"/>
      <c r="CR116" s="456"/>
      <c r="CS116" s="456"/>
      <c r="CT116" s="456"/>
      <c r="CU116" s="456"/>
      <c r="CV116" s="456"/>
      <c r="CW116" s="456"/>
      <c r="CX116" s="456"/>
      <c r="CY116" s="456"/>
      <c r="CZ116" s="456"/>
      <c r="DA116" s="456"/>
      <c r="DB116" s="456"/>
      <c r="DC116" s="456"/>
      <c r="DD116" s="456"/>
      <c r="DE116" s="456"/>
      <c r="DF116" s="456"/>
      <c r="DG116" s="456"/>
      <c r="DH116" s="456"/>
      <c r="DI116" s="456"/>
      <c r="DJ116" s="456"/>
      <c r="DK116" s="456"/>
      <c r="DL116" s="456"/>
      <c r="DM116" s="456"/>
      <c r="DN116" s="456"/>
      <c r="DO116" s="456"/>
      <c r="DP116" s="456"/>
      <c r="DQ116" s="456"/>
      <c r="DR116" s="456"/>
      <c r="DS116" s="456"/>
      <c r="DT116" s="456"/>
      <c r="DU116" s="456"/>
      <c r="DV116" s="456"/>
      <c r="DW116" s="456"/>
      <c r="DX116" s="456"/>
      <c r="DY116" s="456"/>
      <c r="DZ116" s="456"/>
      <c r="EA116" s="456"/>
      <c r="EB116" s="456"/>
      <c r="EC116" s="456"/>
      <c r="ED116" s="456"/>
      <c r="EE116" s="456"/>
      <c r="EF116" s="456"/>
      <c r="EG116" s="456"/>
      <c r="EH116" s="456"/>
      <c r="EI116" s="456"/>
      <c r="EJ116" s="456"/>
      <c r="EK116" s="456"/>
      <c r="EL116" s="456"/>
      <c r="EM116" s="456"/>
      <c r="EN116" s="456"/>
      <c r="EO116" s="456"/>
      <c r="EP116" s="456"/>
      <c r="EQ116" s="456"/>
      <c r="ER116" s="456"/>
      <c r="ES116" s="456"/>
      <c r="ET116" s="456"/>
      <c r="EU116" s="456"/>
      <c r="EV116" s="456"/>
      <c r="EW116" s="456"/>
      <c r="EX116" s="456"/>
      <c r="EY116" s="456"/>
      <c r="EZ116" s="456"/>
      <c r="FA116" s="456"/>
      <c r="FB116" s="456"/>
      <c r="FC116" s="456"/>
      <c r="FD116" s="456"/>
      <c r="FE116" s="456"/>
      <c r="FF116" s="456"/>
      <c r="FG116" s="456"/>
      <c r="FH116" s="456"/>
      <c r="FI116" s="456"/>
      <c r="FJ116" s="456"/>
      <c r="FK116" s="456"/>
      <c r="FL116" s="456"/>
      <c r="FM116" s="456"/>
      <c r="FN116" s="456"/>
      <c r="FO116" s="456"/>
      <c r="FP116" s="456"/>
      <c r="FQ116" s="456"/>
      <c r="FR116" s="456"/>
      <c r="FS116" s="456"/>
      <c r="FT116" s="456"/>
      <c r="FU116" s="456"/>
      <c r="FV116" s="456"/>
      <c r="FW116" s="456"/>
      <c r="FX116" s="456"/>
      <c r="FY116" s="456"/>
      <c r="FZ116" s="456"/>
      <c r="GA116" s="456"/>
      <c r="GB116" s="456"/>
      <c r="GC116" s="456"/>
      <c r="GD116" s="456"/>
      <c r="GE116" s="456"/>
      <c r="GF116" s="456"/>
      <c r="GG116" s="456"/>
      <c r="GH116" s="456"/>
      <c r="GI116" s="456"/>
      <c r="GJ116" s="456"/>
      <c r="GK116" s="456"/>
      <c r="GL116" s="456"/>
      <c r="GM116" s="456"/>
      <c r="GN116" s="456"/>
      <c r="GO116" s="456"/>
      <c r="GP116" s="456"/>
      <c r="GQ116" s="456"/>
      <c r="GR116" s="456"/>
      <c r="GS116" s="456"/>
      <c r="GT116" s="456"/>
      <c r="GU116" s="456"/>
      <c r="GV116" s="456"/>
      <c r="GW116" s="456"/>
      <c r="GX116" s="456"/>
      <c r="GY116" s="456"/>
      <c r="GZ116" s="456"/>
      <c r="HA116" s="456"/>
      <c r="HB116" s="456"/>
      <c r="HC116" s="456"/>
      <c r="HD116" s="456"/>
      <c r="HE116" s="456"/>
      <c r="HF116" s="456"/>
      <c r="HG116" s="456"/>
      <c r="HH116" s="456"/>
      <c r="HI116" s="456"/>
      <c r="HJ116" s="456"/>
      <c r="HK116" s="456"/>
      <c r="HL116" s="456"/>
      <c r="HM116" s="456"/>
      <c r="HN116" s="456"/>
      <c r="HO116" s="456"/>
      <c r="HP116" s="456"/>
      <c r="HQ116" s="456"/>
      <c r="HR116" s="456"/>
      <c r="HS116" s="456"/>
      <c r="HT116" s="456"/>
      <c r="HU116" s="456"/>
      <c r="HV116" s="456"/>
      <c r="HW116" s="456"/>
      <c r="HX116" s="456"/>
      <c r="HY116" s="456"/>
      <c r="HZ116" s="456"/>
      <c r="IA116" s="456"/>
      <c r="IB116" s="456"/>
      <c r="IC116" s="456"/>
      <c r="ID116" s="456"/>
      <c r="IE116" s="456"/>
      <c r="IF116" s="456"/>
      <c r="IG116" s="456"/>
      <c r="IH116" s="456"/>
      <c r="II116" s="456"/>
      <c r="IJ116" s="456"/>
      <c r="IK116" s="456"/>
      <c r="IL116" s="456"/>
      <c r="IM116" s="456"/>
      <c r="IN116" s="456"/>
      <c r="IO116" s="456"/>
      <c r="IP116" s="456"/>
      <c r="IQ116" s="456"/>
      <c r="IR116" s="456"/>
      <c r="IS116" s="456"/>
      <c r="IT116" s="456"/>
      <c r="IU116" s="456"/>
      <c r="IV116" s="456"/>
      <c r="IW116" s="456"/>
      <c r="IX116" s="456"/>
      <c r="IY116" s="456"/>
      <c r="IZ116" s="456"/>
      <c r="JA116" s="456"/>
      <c r="JB116" s="456"/>
      <c r="JC116" s="456"/>
      <c r="JD116" s="456"/>
      <c r="JE116" s="456"/>
      <c r="JF116" s="456"/>
      <c r="JG116" s="456"/>
      <c r="JH116" s="456"/>
      <c r="JI116" s="456"/>
      <c r="JJ116" s="456"/>
      <c r="JK116" s="456"/>
      <c r="JL116" s="456"/>
      <c r="JM116" s="456"/>
      <c r="JN116" s="456"/>
      <c r="JO116" s="456"/>
      <c r="JP116" s="456"/>
      <c r="JQ116" s="456"/>
      <c r="JR116" s="456"/>
      <c r="JS116" s="456"/>
      <c r="JT116" s="456"/>
      <c r="JU116" s="456"/>
      <c r="JV116" s="456"/>
      <c r="JW116" s="456"/>
      <c r="JX116" s="456"/>
      <c r="JY116" s="456"/>
      <c r="JZ116" s="456"/>
      <c r="KA116" s="456"/>
      <c r="KB116" s="456"/>
      <c r="KC116" s="456"/>
      <c r="KD116" s="456"/>
      <c r="KE116" s="456"/>
      <c r="KF116" s="456"/>
      <c r="KG116" s="456"/>
      <c r="KH116" s="456"/>
      <c r="KI116" s="456"/>
      <c r="KJ116" s="456"/>
      <c r="KK116" s="456"/>
      <c r="KL116" s="456"/>
      <c r="KM116" s="456"/>
      <c r="KN116" s="456"/>
      <c r="KO116" s="456"/>
      <c r="KP116" s="456"/>
      <c r="KQ116" s="456"/>
      <c r="KR116" s="456"/>
      <c r="KS116" s="456"/>
      <c r="KT116" s="456"/>
      <c r="KU116" s="456"/>
      <c r="KV116" s="456"/>
      <c r="KW116" s="456"/>
      <c r="KX116" s="456"/>
      <c r="KY116" s="456"/>
      <c r="KZ116" s="456"/>
      <c r="LA116" s="456"/>
      <c r="LB116" s="456"/>
      <c r="LC116" s="456"/>
      <c r="LD116" s="456"/>
      <c r="LE116" s="456"/>
      <c r="LF116" s="456"/>
      <c r="LG116" s="456"/>
      <c r="LH116" s="456"/>
      <c r="LI116" s="456"/>
      <c r="LJ116" s="456"/>
      <c r="LK116" s="456"/>
      <c r="LL116" s="456"/>
      <c r="LM116" s="456"/>
      <c r="LN116" s="456"/>
      <c r="LO116" s="456"/>
      <c r="LP116" s="456"/>
      <c r="LQ116" s="456"/>
      <c r="LR116" s="456"/>
      <c r="LS116" s="456"/>
      <c r="LT116" s="456"/>
      <c r="LU116" s="456"/>
      <c r="LV116" s="456"/>
      <c r="LW116" s="456"/>
      <c r="LX116" s="456"/>
      <c r="LY116" s="456"/>
      <c r="LZ116" s="456"/>
      <c r="MA116" s="456"/>
      <c r="MB116" s="456"/>
      <c r="MC116" s="456"/>
      <c r="MD116" s="456"/>
      <c r="ME116" s="456"/>
      <c r="MF116" s="456"/>
      <c r="MG116" s="456"/>
      <c r="MH116" s="456"/>
      <c r="MI116" s="456"/>
      <c r="MJ116" s="456"/>
      <c r="MK116" s="456"/>
      <c r="ML116" s="456"/>
      <c r="MM116" s="456"/>
      <c r="MN116" s="456"/>
      <c r="MO116" s="456"/>
      <c r="MP116" s="456"/>
      <c r="MQ116" s="456"/>
      <c r="MR116" s="456"/>
      <c r="MS116" s="456"/>
      <c r="MT116" s="456"/>
      <c r="MU116" s="456"/>
      <c r="MV116" s="456"/>
      <c r="MW116" s="456"/>
      <c r="MX116" s="456"/>
      <c r="MY116" s="456"/>
      <c r="MZ116" s="456"/>
      <c r="NA116" s="456"/>
      <c r="NB116" s="456"/>
      <c r="NC116" s="456"/>
      <c r="ND116" s="456"/>
      <c r="NE116" s="456"/>
      <c r="NF116" s="456"/>
      <c r="NG116" s="456"/>
      <c r="NH116" s="456"/>
      <c r="NI116" s="456"/>
      <c r="NJ116" s="456"/>
      <c r="NK116" s="456"/>
      <c r="NL116" s="456"/>
      <c r="NM116" s="456"/>
      <c r="NN116" s="456"/>
      <c r="NO116" s="456"/>
      <c r="NP116" s="456"/>
      <c r="NQ116" s="456"/>
      <c r="NR116" s="456"/>
      <c r="NS116" s="456"/>
      <c r="NT116" s="456"/>
      <c r="NU116" s="456"/>
      <c r="NV116" s="456"/>
      <c r="NW116" s="456"/>
      <c r="NX116" s="456"/>
      <c r="NY116" s="456"/>
      <c r="NZ116" s="456"/>
      <c r="OA116" s="456"/>
      <c r="OB116" s="456"/>
      <c r="OC116" s="456"/>
      <c r="OD116" s="456"/>
      <c r="OE116" s="456"/>
      <c r="OF116" s="456"/>
      <c r="OG116" s="456"/>
      <c r="OH116" s="456"/>
      <c r="OI116" s="456"/>
      <c r="OJ116" s="456"/>
      <c r="OK116" s="456"/>
      <c r="OL116" s="456"/>
      <c r="OM116" s="456"/>
      <c r="ON116" s="456"/>
      <c r="OO116" s="456"/>
      <c r="OP116" s="456"/>
      <c r="OQ116" s="456"/>
      <c r="OR116" s="456"/>
      <c r="OS116" s="456"/>
      <c r="OT116" s="456"/>
      <c r="OU116" s="456"/>
      <c r="OV116" s="456"/>
      <c r="OW116" s="456"/>
      <c r="OX116" s="456"/>
      <c r="OY116" s="456"/>
      <c r="OZ116" s="456"/>
      <c r="PA116" s="456"/>
      <c r="PB116" s="456"/>
      <c r="PC116" s="456"/>
      <c r="PD116" s="456"/>
      <c r="PE116" s="456"/>
      <c r="PF116" s="456"/>
      <c r="PG116" s="456"/>
      <c r="PH116" s="456"/>
      <c r="PI116" s="456"/>
      <c r="PJ116" s="456"/>
      <c r="PK116" s="456"/>
      <c r="PL116" s="456"/>
      <c r="PM116" s="456"/>
      <c r="PN116" s="456"/>
      <c r="PO116" s="456"/>
      <c r="PP116" s="456"/>
      <c r="PQ116" s="456"/>
      <c r="PR116" s="456"/>
      <c r="PS116" s="456"/>
      <c r="PT116" s="456"/>
      <c r="PU116" s="456"/>
      <c r="PV116" s="456"/>
      <c r="PW116" s="456"/>
      <c r="PX116" s="456"/>
      <c r="PY116" s="456"/>
      <c r="PZ116" s="456"/>
      <c r="QA116" s="456"/>
      <c r="QB116" s="456"/>
      <c r="QC116" s="456"/>
      <c r="QD116" s="456"/>
      <c r="QE116" s="456"/>
      <c r="QF116" s="456"/>
      <c r="QG116" s="456"/>
      <c r="QH116" s="456"/>
      <c r="QI116" s="456"/>
      <c r="QJ116" s="456"/>
      <c r="QK116" s="456"/>
      <c r="QL116" s="456"/>
      <c r="QM116" s="456"/>
      <c r="QN116" s="456"/>
      <c r="QO116" s="456"/>
      <c r="QP116" s="456"/>
      <c r="QQ116" s="456"/>
      <c r="QR116" s="456"/>
      <c r="QS116" s="456"/>
      <c r="QT116" s="456"/>
      <c r="QU116" s="456"/>
      <c r="QV116" s="456"/>
      <c r="QW116" s="456"/>
      <c r="QX116" s="456"/>
      <c r="QY116" s="456"/>
      <c r="QZ116" s="456"/>
      <c r="RA116" s="456"/>
      <c r="RB116" s="456"/>
      <c r="RC116" s="456"/>
      <c r="RD116" s="456"/>
      <c r="RE116" s="456"/>
      <c r="RF116" s="456"/>
      <c r="RG116" s="456"/>
      <c r="RH116" s="456"/>
      <c r="RI116" s="456"/>
      <c r="RJ116" s="456"/>
      <c r="RK116" s="456"/>
      <c r="RL116" s="456"/>
      <c r="RM116" s="456"/>
      <c r="RN116" s="456"/>
      <c r="RO116" s="456"/>
      <c r="RP116" s="456"/>
      <c r="RQ116" s="456"/>
      <c r="RR116" s="456"/>
      <c r="RS116" s="456"/>
      <c r="RT116" s="456"/>
      <c r="RU116" s="456"/>
      <c r="RV116" s="456"/>
      <c r="RW116" s="456"/>
      <c r="RX116" s="456"/>
      <c r="RY116" s="456"/>
      <c r="RZ116" s="456"/>
      <c r="SA116" s="456"/>
      <c r="SB116" s="456"/>
      <c r="SC116" s="456"/>
      <c r="SD116" s="456"/>
      <c r="SE116" s="456"/>
      <c r="SF116" s="456"/>
      <c r="SG116" s="456"/>
      <c r="SH116" s="456"/>
      <c r="SI116" s="456"/>
      <c r="SJ116" s="456"/>
      <c r="SK116" s="456"/>
      <c r="SL116" s="456"/>
      <c r="SM116" s="456"/>
      <c r="SN116" s="456"/>
      <c r="SO116" s="456"/>
      <c r="SP116" s="456"/>
      <c r="SQ116" s="456"/>
      <c r="SR116" s="456"/>
      <c r="SS116" s="456"/>
      <c r="ST116" s="456"/>
      <c r="SU116" s="456"/>
      <c r="SV116" s="456"/>
      <c r="SW116" s="456"/>
      <c r="SX116" s="456"/>
      <c r="SY116" s="456"/>
      <c r="SZ116" s="456"/>
      <c r="TA116" s="456"/>
      <c r="TB116" s="456"/>
      <c r="TC116" s="456"/>
      <c r="TD116" s="456"/>
      <c r="TE116" s="456"/>
      <c r="TF116" s="456"/>
      <c r="TG116" s="456"/>
      <c r="TH116" s="456"/>
      <c r="TI116" s="456"/>
      <c r="TJ116" s="456"/>
      <c r="TK116" s="456"/>
      <c r="TL116" s="456"/>
      <c r="TM116" s="456"/>
      <c r="TN116" s="456"/>
      <c r="TO116" s="456"/>
      <c r="TP116" s="456"/>
      <c r="TQ116" s="456"/>
      <c r="TR116" s="456"/>
      <c r="TS116" s="456"/>
      <c r="TT116" s="456"/>
      <c r="TU116" s="456"/>
      <c r="TV116" s="456"/>
      <c r="TW116" s="456"/>
      <c r="TX116" s="456"/>
      <c r="TY116" s="456"/>
      <c r="TZ116" s="456"/>
      <c r="UA116" s="456"/>
      <c r="UB116" s="456"/>
      <c r="UC116" s="456"/>
      <c r="UD116" s="456"/>
      <c r="UE116" s="456"/>
      <c r="UF116" s="456"/>
      <c r="UG116" s="456"/>
      <c r="UH116" s="456"/>
      <c r="UI116" s="456"/>
      <c r="UJ116" s="456"/>
      <c r="UK116" s="456"/>
      <c r="UL116" s="456"/>
      <c r="UM116" s="456"/>
      <c r="UN116" s="456"/>
      <c r="UO116" s="456"/>
      <c r="UP116" s="456"/>
      <c r="UQ116" s="456"/>
      <c r="UR116" s="456"/>
      <c r="US116" s="456"/>
      <c r="UT116" s="456"/>
      <c r="UU116" s="456"/>
      <c r="UV116" s="456"/>
      <c r="UW116" s="456"/>
      <c r="UX116" s="456"/>
      <c r="UY116" s="456"/>
      <c r="UZ116" s="456"/>
      <c r="VA116" s="456"/>
      <c r="VB116" s="456"/>
      <c r="VC116" s="456"/>
      <c r="VD116" s="456"/>
      <c r="VE116" s="456"/>
      <c r="VF116" s="456"/>
      <c r="VG116" s="456"/>
      <c r="VH116" s="456"/>
      <c r="VI116" s="456"/>
      <c r="VJ116" s="456"/>
      <c r="VK116" s="456"/>
      <c r="VL116" s="456"/>
      <c r="VM116" s="456"/>
      <c r="VN116" s="456"/>
      <c r="VO116" s="456"/>
      <c r="VP116" s="456"/>
      <c r="VQ116" s="456"/>
      <c r="VR116" s="456"/>
      <c r="VS116" s="456"/>
      <c r="VT116" s="456"/>
      <c r="VU116" s="456"/>
      <c r="VV116" s="456"/>
      <c r="VW116" s="456"/>
      <c r="VX116" s="456"/>
      <c r="VY116" s="456"/>
      <c r="VZ116" s="456"/>
      <c r="WA116" s="456"/>
      <c r="WB116" s="456"/>
      <c r="WC116" s="456"/>
      <c r="WD116" s="456"/>
      <c r="WE116" s="456"/>
      <c r="WF116" s="456"/>
      <c r="WG116" s="456"/>
      <c r="WH116" s="456"/>
      <c r="WI116" s="456"/>
      <c r="WJ116" s="456"/>
      <c r="WK116" s="456"/>
      <c r="WL116" s="456"/>
      <c r="WM116" s="456"/>
      <c r="WN116" s="456"/>
      <c r="WO116" s="456"/>
      <c r="WP116" s="456"/>
      <c r="WQ116" s="456"/>
      <c r="WR116" s="456"/>
      <c r="WS116" s="456"/>
      <c r="WT116" s="456"/>
      <c r="WU116" s="456"/>
      <c r="WV116" s="456"/>
      <c r="WW116" s="456"/>
      <c r="WX116" s="456"/>
      <c r="WY116" s="456"/>
      <c r="WZ116" s="456"/>
      <c r="XA116" s="456"/>
      <c r="XB116" s="456"/>
      <c r="XC116" s="456"/>
      <c r="XD116" s="456"/>
      <c r="XE116" s="456"/>
      <c r="XF116" s="456"/>
      <c r="XG116" s="456"/>
      <c r="XH116" s="456"/>
      <c r="XI116" s="456"/>
      <c r="XJ116" s="456"/>
      <c r="XK116" s="456"/>
      <c r="XL116" s="456"/>
      <c r="XM116" s="456"/>
      <c r="XN116" s="456"/>
      <c r="XO116" s="456"/>
      <c r="XP116" s="456"/>
      <c r="XQ116" s="456"/>
      <c r="XR116" s="456"/>
      <c r="XS116" s="456"/>
      <c r="XT116" s="456"/>
      <c r="XU116" s="456"/>
      <c r="XV116" s="456"/>
      <c r="XW116" s="456"/>
      <c r="XX116" s="456"/>
      <c r="XY116" s="456"/>
      <c r="XZ116" s="456"/>
      <c r="YA116" s="456"/>
      <c r="YB116" s="456"/>
      <c r="YC116" s="456"/>
      <c r="YD116" s="456"/>
      <c r="YE116" s="456"/>
      <c r="YF116" s="456"/>
      <c r="YG116" s="456"/>
      <c r="YH116" s="456"/>
      <c r="YI116" s="456"/>
      <c r="YJ116" s="456"/>
      <c r="YK116" s="456"/>
      <c r="YL116" s="456"/>
      <c r="YM116" s="456"/>
      <c r="YN116" s="456"/>
      <c r="YO116" s="456"/>
      <c r="YP116" s="456"/>
      <c r="YQ116" s="456"/>
      <c r="YR116" s="456"/>
      <c r="YS116" s="456"/>
      <c r="YT116" s="456"/>
      <c r="YU116" s="456"/>
      <c r="YV116" s="456"/>
      <c r="YW116" s="456"/>
      <c r="YX116" s="456"/>
      <c r="YY116" s="456"/>
      <c r="YZ116" s="456"/>
      <c r="ZA116" s="456"/>
      <c r="ZB116" s="456"/>
      <c r="ZC116" s="456"/>
      <c r="ZD116" s="456"/>
      <c r="ZE116" s="456"/>
      <c r="ZF116" s="456"/>
      <c r="ZG116" s="456"/>
      <c r="ZH116" s="456"/>
      <c r="ZI116" s="456"/>
      <c r="ZJ116" s="456"/>
      <c r="ZK116" s="456"/>
      <c r="ZL116" s="456"/>
      <c r="ZM116" s="456"/>
      <c r="ZN116" s="456"/>
      <c r="ZO116" s="456"/>
      <c r="ZP116" s="456"/>
      <c r="ZQ116" s="456"/>
      <c r="ZR116" s="456"/>
      <c r="ZS116" s="456"/>
      <c r="ZT116" s="456"/>
      <c r="ZU116" s="456"/>
      <c r="ZV116" s="456"/>
      <c r="ZW116" s="456"/>
      <c r="ZX116" s="456"/>
      <c r="ZY116" s="456"/>
      <c r="ZZ116" s="456"/>
      <c r="AAA116" s="456"/>
      <c r="AAB116" s="456"/>
      <c r="AAC116" s="456"/>
      <c r="AAD116" s="456"/>
      <c r="AAE116" s="456"/>
      <c r="AAF116" s="456"/>
      <c r="AAG116" s="456"/>
      <c r="AAH116" s="456"/>
      <c r="AAI116" s="456"/>
      <c r="AAJ116" s="456"/>
      <c r="AAK116" s="456"/>
      <c r="AAL116" s="456"/>
      <c r="AAM116" s="456"/>
      <c r="AAN116" s="456"/>
      <c r="AAO116" s="456"/>
      <c r="AAP116" s="456"/>
      <c r="AAQ116" s="456"/>
      <c r="AAR116" s="456"/>
      <c r="AAS116" s="456"/>
      <c r="AAT116" s="456"/>
      <c r="AAU116" s="456"/>
      <c r="AAV116" s="456"/>
      <c r="AAW116" s="456"/>
      <c r="AAX116" s="456"/>
      <c r="AAY116" s="456"/>
      <c r="AAZ116" s="456"/>
      <c r="ABA116" s="456"/>
      <c r="ABB116" s="456"/>
      <c r="ABC116" s="456"/>
      <c r="ABD116" s="456"/>
      <c r="ABE116" s="456"/>
      <c r="ABF116" s="456"/>
      <c r="ABG116" s="456"/>
      <c r="ABH116" s="456"/>
      <c r="ABI116" s="456"/>
      <c r="ABJ116" s="456"/>
      <c r="ABK116" s="456"/>
      <c r="ABL116" s="456"/>
      <c r="ABM116" s="456"/>
      <c r="ABN116" s="456"/>
      <c r="ABO116" s="456"/>
      <c r="ABP116" s="456"/>
      <c r="ABQ116" s="456"/>
      <c r="ABR116" s="456"/>
      <c r="ABS116" s="456"/>
      <c r="ABT116" s="456"/>
      <c r="ABU116" s="456"/>
      <c r="ABV116" s="456"/>
      <c r="ABW116" s="456"/>
      <c r="ABX116" s="456"/>
      <c r="ABY116" s="456"/>
      <c r="ABZ116" s="456"/>
      <c r="ACA116" s="456"/>
      <c r="ACB116" s="456"/>
      <c r="ACC116" s="456"/>
      <c r="ACD116" s="456"/>
      <c r="ACE116" s="456"/>
      <c r="ACF116" s="456"/>
      <c r="ACG116" s="456"/>
      <c r="ACH116" s="456"/>
      <c r="ACI116" s="456"/>
      <c r="ACJ116" s="456"/>
      <c r="ACK116" s="456"/>
      <c r="ACL116" s="456"/>
      <c r="ACM116" s="456"/>
      <c r="ACN116" s="456"/>
      <c r="ACO116" s="456"/>
      <c r="ACP116" s="456"/>
      <c r="ACQ116" s="456"/>
      <c r="ACR116" s="456"/>
      <c r="ACS116" s="456"/>
      <c r="ACT116" s="456"/>
      <c r="ACU116" s="456"/>
      <c r="ACV116" s="456"/>
      <c r="ACW116" s="456"/>
      <c r="ACX116" s="456"/>
      <c r="ACY116" s="456"/>
      <c r="ACZ116" s="456"/>
      <c r="ADA116" s="456"/>
      <c r="ADB116" s="456"/>
      <c r="ADC116" s="456"/>
      <c r="ADD116" s="456"/>
      <c r="ADE116" s="456"/>
      <c r="ADF116" s="456"/>
      <c r="ADG116" s="456"/>
      <c r="ADH116" s="456"/>
      <c r="ADI116" s="456"/>
      <c r="ADJ116" s="456"/>
      <c r="ADK116" s="456"/>
      <c r="ADL116" s="456"/>
      <c r="ADM116" s="456"/>
      <c r="ADN116" s="456"/>
      <c r="ADO116" s="456"/>
      <c r="ADP116" s="456"/>
      <c r="ADQ116" s="456"/>
      <c r="ADR116" s="456"/>
      <c r="ADS116" s="456"/>
      <c r="ADT116" s="456"/>
      <c r="ADU116" s="456"/>
      <c r="ADV116" s="456"/>
      <c r="ADW116" s="456"/>
      <c r="ADX116" s="456"/>
      <c r="ADY116" s="456"/>
      <c r="ADZ116" s="456"/>
      <c r="AEA116" s="456"/>
      <c r="AEB116" s="456"/>
      <c r="AEC116" s="456"/>
      <c r="AED116" s="456"/>
      <c r="AEE116" s="456"/>
      <c r="AEF116" s="456"/>
      <c r="AEG116" s="456"/>
      <c r="AEH116" s="456"/>
      <c r="AEI116" s="456"/>
      <c r="AEJ116" s="456"/>
      <c r="AEK116" s="456"/>
      <c r="AEL116" s="456"/>
      <c r="AEM116" s="456"/>
      <c r="AEN116" s="456"/>
      <c r="AEO116" s="456"/>
      <c r="AEP116" s="456"/>
      <c r="AEQ116" s="456"/>
      <c r="AER116" s="456"/>
      <c r="AES116" s="456"/>
      <c r="AET116" s="456"/>
      <c r="AEU116" s="456"/>
      <c r="AEV116" s="456"/>
      <c r="AEW116" s="456"/>
      <c r="AEX116" s="456"/>
      <c r="AEY116" s="456"/>
      <c r="AEZ116" s="456"/>
      <c r="AFA116" s="456"/>
      <c r="AFB116" s="456"/>
      <c r="AFC116" s="456"/>
      <c r="AFD116" s="456"/>
      <c r="AFE116" s="456"/>
      <c r="AFF116" s="456"/>
      <c r="AFG116" s="456"/>
      <c r="AFH116" s="456"/>
      <c r="AFI116" s="456"/>
      <c r="AFJ116" s="456"/>
      <c r="AFK116" s="456"/>
      <c r="AFL116" s="456"/>
      <c r="AFM116" s="456"/>
      <c r="AFN116" s="456"/>
      <c r="AFO116" s="456"/>
      <c r="AFP116" s="456"/>
      <c r="AFQ116" s="456"/>
      <c r="AFR116" s="456"/>
      <c r="AFS116" s="456"/>
      <c r="AFT116" s="456"/>
      <c r="AFU116" s="456"/>
      <c r="AFV116" s="456"/>
      <c r="AFW116" s="456"/>
      <c r="AFX116" s="456"/>
      <c r="AFY116" s="456"/>
      <c r="AFZ116" s="456"/>
      <c r="AGA116" s="456"/>
      <c r="AGB116" s="456"/>
      <c r="AGC116" s="456"/>
      <c r="AGD116" s="456"/>
      <c r="AGE116" s="456"/>
      <c r="AGF116" s="456"/>
      <c r="AGG116" s="456"/>
      <c r="AGH116" s="456"/>
      <c r="AGI116" s="456"/>
      <c r="AGJ116" s="456"/>
      <c r="AGK116" s="456"/>
      <c r="AGL116" s="456"/>
      <c r="AGM116" s="456"/>
      <c r="AGN116" s="456"/>
      <c r="AGO116" s="456"/>
      <c r="AGP116" s="456"/>
      <c r="AGQ116" s="456"/>
      <c r="AGR116" s="456"/>
      <c r="AGS116" s="456"/>
      <c r="AGT116" s="456"/>
      <c r="AGU116" s="456"/>
      <c r="AGV116" s="456"/>
      <c r="AGW116" s="456"/>
      <c r="AGX116" s="456"/>
      <c r="AGY116" s="456"/>
      <c r="AGZ116" s="456"/>
      <c r="AHA116" s="456"/>
      <c r="AHB116" s="456"/>
      <c r="AHC116" s="456"/>
      <c r="AHD116" s="456"/>
      <c r="AHE116" s="456"/>
      <c r="AHF116" s="456"/>
      <c r="AHG116" s="456"/>
      <c r="AHH116" s="456"/>
      <c r="AHI116" s="456"/>
      <c r="AHJ116" s="456"/>
      <c r="AHK116" s="456"/>
      <c r="AHL116" s="456"/>
      <c r="AHM116" s="456"/>
      <c r="AHN116" s="456"/>
      <c r="AHO116" s="456"/>
      <c r="AHP116" s="456"/>
      <c r="AHQ116" s="456"/>
      <c r="AHR116" s="456"/>
      <c r="AHS116" s="456"/>
      <c r="AHT116" s="456"/>
      <c r="AHU116" s="456"/>
      <c r="AHV116" s="456"/>
      <c r="AHW116" s="456"/>
      <c r="AHX116" s="456"/>
      <c r="AHY116" s="456"/>
      <c r="AHZ116" s="456"/>
      <c r="AIA116" s="456"/>
      <c r="AIB116" s="456"/>
      <c r="AIC116" s="456"/>
      <c r="AID116" s="456"/>
      <c r="AIE116" s="456"/>
      <c r="AIF116" s="456"/>
      <c r="AIG116" s="456"/>
      <c r="AIH116" s="456"/>
      <c r="AII116" s="456"/>
      <c r="AIJ116" s="456"/>
      <c r="AIK116" s="456"/>
      <c r="AIL116" s="456"/>
      <c r="AIM116" s="456"/>
      <c r="AIN116" s="456"/>
      <c r="AIO116" s="456"/>
      <c r="AIP116" s="456"/>
      <c r="AIQ116" s="456"/>
      <c r="AIR116" s="456"/>
      <c r="AIS116" s="456"/>
      <c r="AIT116" s="456"/>
      <c r="AIU116" s="456"/>
      <c r="AIV116" s="456"/>
      <c r="AIW116" s="456"/>
      <c r="AIX116" s="456"/>
      <c r="AIY116" s="456"/>
      <c r="AIZ116" s="456"/>
      <c r="AJA116" s="456"/>
      <c r="AJB116" s="456"/>
      <c r="AJC116" s="456"/>
      <c r="AJD116" s="456"/>
      <c r="AJE116" s="456"/>
      <c r="AJF116" s="456"/>
      <c r="AJG116" s="456"/>
      <c r="AJH116" s="456"/>
      <c r="AJI116" s="456"/>
      <c r="AJJ116" s="456"/>
      <c r="AJK116" s="456"/>
      <c r="AJL116" s="456"/>
      <c r="AJM116" s="456"/>
      <c r="AJN116" s="456"/>
      <c r="AJO116" s="456"/>
      <c r="AJP116" s="456"/>
      <c r="AJQ116" s="456"/>
      <c r="AJR116" s="456"/>
      <c r="AJS116" s="456"/>
      <c r="AJT116" s="456"/>
      <c r="AJU116" s="456"/>
      <c r="AJV116" s="456"/>
      <c r="AJW116" s="456"/>
      <c r="AJX116" s="456"/>
      <c r="AJY116" s="456"/>
      <c r="AJZ116" s="456"/>
      <c r="AKA116" s="456"/>
      <c r="AKB116" s="456"/>
      <c r="AKC116" s="456"/>
      <c r="AKD116" s="456"/>
      <c r="AKE116" s="456"/>
      <c r="AKF116" s="456"/>
      <c r="AKG116" s="456"/>
      <c r="AKH116" s="456"/>
      <c r="AKI116" s="456"/>
      <c r="AKJ116" s="456"/>
      <c r="AKK116" s="456"/>
      <c r="AKL116" s="456"/>
      <c r="AKM116" s="456"/>
      <c r="AKN116" s="456"/>
      <c r="AKO116" s="456"/>
      <c r="AKP116" s="456"/>
      <c r="AKQ116" s="456"/>
      <c r="AKR116" s="456"/>
      <c r="AKS116" s="456"/>
      <c r="AKT116" s="456"/>
      <c r="AKU116" s="456"/>
      <c r="AKV116" s="456"/>
      <c r="AKW116" s="456"/>
      <c r="AKX116" s="456"/>
      <c r="AKY116" s="456"/>
      <c r="AKZ116" s="456"/>
      <c r="ALA116" s="456"/>
      <c r="ALB116" s="456"/>
      <c r="ALC116" s="456"/>
      <c r="ALD116" s="456"/>
      <c r="ALE116" s="456"/>
      <c r="ALF116" s="456"/>
      <c r="ALG116" s="456"/>
      <c r="ALH116" s="456"/>
      <c r="ALI116" s="456"/>
      <c r="ALJ116" s="456"/>
      <c r="ALK116" s="456"/>
      <c r="ALL116" s="456"/>
      <c r="ALM116" s="456"/>
      <c r="ALN116" s="456"/>
      <c r="ALO116" s="456"/>
      <c r="ALP116" s="456"/>
      <c r="ALQ116" s="456"/>
      <c r="ALR116" s="456"/>
      <c r="ALS116" s="456"/>
      <c r="ALT116" s="456"/>
      <c r="ALU116" s="456"/>
      <c r="ALV116" s="456"/>
      <c r="ALW116" s="456"/>
      <c r="ALX116" s="456"/>
      <c r="ALY116" s="456"/>
      <c r="ALZ116" s="456"/>
      <c r="AMA116" s="456"/>
      <c r="AMB116" s="456"/>
      <c r="AMC116" s="456"/>
      <c r="AMD116" s="456"/>
      <c r="AME116" s="456"/>
      <c r="AMF116" s="456"/>
      <c r="AMG116" s="456"/>
      <c r="AMH116" s="456"/>
      <c r="AMI116" s="456"/>
      <c r="AMJ116" s="456"/>
      <c r="AMK116" s="456"/>
      <c r="AML116" s="456"/>
      <c r="AMM116" s="456"/>
      <c r="AMN116" s="456"/>
      <c r="AMO116" s="456"/>
      <c r="AMP116" s="456"/>
      <c r="AMQ116" s="456"/>
      <c r="AMR116" s="456"/>
      <c r="AMS116" s="456"/>
      <c r="AMT116" s="456"/>
      <c r="AMU116" s="456"/>
      <c r="AMV116" s="456"/>
      <c r="AMW116" s="456"/>
      <c r="AMX116" s="456"/>
      <c r="AMY116" s="456"/>
      <c r="AMZ116" s="456"/>
      <c r="ANA116" s="456"/>
      <c r="ANB116" s="456"/>
      <c r="ANC116" s="456"/>
      <c r="AND116" s="456"/>
      <c r="ANE116" s="456"/>
      <c r="ANF116" s="456"/>
      <c r="ANG116" s="456"/>
      <c r="ANH116" s="456"/>
      <c r="ANI116" s="456"/>
      <c r="ANJ116" s="456"/>
      <c r="ANK116" s="456"/>
      <c r="ANL116" s="456"/>
      <c r="ANM116" s="456"/>
      <c r="ANN116" s="456"/>
      <c r="ANO116" s="456"/>
      <c r="ANP116" s="456"/>
      <c r="ANQ116" s="456"/>
      <c r="ANR116" s="456"/>
      <c r="ANS116" s="456"/>
      <c r="ANT116" s="456"/>
      <c r="ANU116" s="456"/>
      <c r="ANV116" s="456"/>
      <c r="ANW116" s="456"/>
      <c r="ANX116" s="456"/>
      <c r="ANY116" s="456"/>
      <c r="ANZ116" s="456"/>
      <c r="AOA116" s="456"/>
      <c r="AOB116" s="456"/>
      <c r="AOC116" s="456"/>
      <c r="AOD116" s="456"/>
      <c r="AOE116" s="456"/>
      <c r="AOF116" s="456"/>
      <c r="AOG116" s="456"/>
      <c r="AOH116" s="456"/>
      <c r="AOI116" s="456"/>
      <c r="AOJ116" s="456"/>
      <c r="AOK116" s="456"/>
      <c r="AOL116" s="456"/>
      <c r="AOM116" s="456"/>
      <c r="AON116" s="456"/>
      <c r="AOO116" s="456"/>
      <c r="AOP116" s="456"/>
      <c r="AOQ116" s="456"/>
      <c r="AOR116" s="456"/>
      <c r="AOS116" s="456"/>
      <c r="AOT116" s="456"/>
      <c r="AOU116" s="456"/>
      <c r="AOV116" s="456"/>
      <c r="AOW116" s="456"/>
      <c r="AOX116" s="456"/>
      <c r="AOY116" s="456"/>
      <c r="AOZ116" s="456"/>
      <c r="APA116" s="456"/>
      <c r="APB116" s="456"/>
      <c r="APC116" s="456"/>
      <c r="APD116" s="456"/>
      <c r="APE116" s="456"/>
      <c r="APF116" s="456"/>
      <c r="APG116" s="456"/>
      <c r="APH116" s="456"/>
      <c r="API116" s="456"/>
      <c r="APJ116" s="456"/>
      <c r="APK116" s="456"/>
      <c r="APL116" s="456"/>
      <c r="APM116" s="456"/>
      <c r="APN116" s="456"/>
      <c r="APO116" s="456"/>
      <c r="APP116" s="456"/>
      <c r="APQ116" s="456"/>
      <c r="APR116" s="456"/>
      <c r="APS116" s="456"/>
      <c r="APT116" s="456"/>
      <c r="APU116" s="456"/>
      <c r="APV116" s="456"/>
      <c r="APW116" s="456"/>
      <c r="APX116" s="456"/>
      <c r="APY116" s="456"/>
      <c r="APZ116" s="456"/>
      <c r="AQA116" s="456"/>
      <c r="AQB116" s="456"/>
      <c r="AQC116" s="456"/>
      <c r="AQD116" s="456"/>
      <c r="AQE116" s="456"/>
      <c r="AQF116" s="456"/>
      <c r="AQG116" s="456"/>
      <c r="AQH116" s="456"/>
      <c r="AQI116" s="456"/>
      <c r="AQJ116" s="456"/>
      <c r="AQK116" s="456"/>
      <c r="AQL116" s="456"/>
      <c r="AQM116" s="456"/>
      <c r="AQN116" s="456"/>
      <c r="AQO116" s="456"/>
      <c r="AQP116" s="456"/>
      <c r="AQQ116" s="456"/>
      <c r="AQR116" s="456"/>
      <c r="AQS116" s="456"/>
      <c r="AQT116" s="456"/>
      <c r="AQU116" s="456"/>
      <c r="AQV116" s="456"/>
      <c r="AQW116" s="456"/>
      <c r="AQX116" s="456"/>
      <c r="AQY116" s="456"/>
      <c r="AQZ116" s="456"/>
      <c r="ARA116" s="456"/>
      <c r="ARB116" s="456"/>
      <c r="ARC116" s="456"/>
      <c r="ARD116" s="456"/>
      <c r="ARE116" s="456"/>
      <c r="ARF116" s="456"/>
      <c r="ARG116" s="456"/>
      <c r="ARH116" s="456"/>
      <c r="ARI116" s="456"/>
      <c r="ARJ116" s="456"/>
      <c r="ARK116" s="456"/>
      <c r="ARL116" s="456"/>
      <c r="ARM116" s="456"/>
      <c r="ARN116" s="456"/>
      <c r="ARO116" s="456"/>
      <c r="ARP116" s="456"/>
      <c r="ARQ116" s="456"/>
      <c r="ARR116" s="456"/>
      <c r="ARS116" s="456"/>
      <c r="ART116" s="456"/>
      <c r="ARU116" s="456"/>
      <c r="ARV116" s="456"/>
      <c r="ARW116" s="456"/>
      <c r="ARX116" s="456"/>
      <c r="ARY116" s="456"/>
      <c r="ARZ116" s="456"/>
      <c r="ASA116" s="456"/>
      <c r="ASB116" s="456"/>
      <c r="ASC116" s="456"/>
      <c r="ASD116" s="456"/>
      <c r="ASE116" s="456"/>
      <c r="ASF116" s="456"/>
      <c r="ASG116" s="456"/>
      <c r="ASH116" s="456"/>
      <c r="ASI116" s="456"/>
      <c r="ASJ116" s="456"/>
      <c r="ASK116" s="456"/>
      <c r="ASL116" s="456"/>
      <c r="ASM116" s="456"/>
      <c r="ASN116" s="456"/>
      <c r="ASO116" s="456"/>
      <c r="ASP116" s="456"/>
      <c r="ASQ116" s="456"/>
      <c r="ASR116" s="456"/>
      <c r="ASS116" s="456"/>
      <c r="AST116" s="456"/>
      <c r="ASU116" s="456"/>
      <c r="ASV116" s="456"/>
      <c r="ASW116" s="456"/>
      <c r="ASX116" s="456"/>
      <c r="ASY116" s="456"/>
      <c r="ASZ116" s="456"/>
      <c r="ATA116" s="456"/>
      <c r="ATB116" s="456"/>
      <c r="ATC116" s="456"/>
      <c r="ATD116" s="456"/>
      <c r="ATE116" s="456"/>
      <c r="ATF116" s="456"/>
      <c r="ATG116" s="456"/>
      <c r="ATH116" s="456"/>
      <c r="ATI116" s="456"/>
      <c r="ATJ116" s="456"/>
      <c r="ATK116" s="456"/>
      <c r="ATL116" s="456"/>
      <c r="ATM116" s="456"/>
      <c r="ATN116" s="456"/>
      <c r="ATO116" s="456"/>
      <c r="ATP116" s="456"/>
      <c r="ATQ116" s="456"/>
      <c r="ATR116" s="456"/>
      <c r="ATS116" s="456"/>
      <c r="ATT116" s="456"/>
      <c r="ATU116" s="456"/>
      <c r="ATV116" s="456"/>
      <c r="ATW116" s="456"/>
      <c r="ATX116" s="456"/>
      <c r="ATY116" s="456"/>
      <c r="ATZ116" s="456"/>
      <c r="AUA116" s="456"/>
      <c r="AUB116" s="456"/>
      <c r="AUC116" s="456"/>
      <c r="AUD116" s="456"/>
      <c r="AUE116" s="456"/>
      <c r="AUF116" s="456"/>
      <c r="AUG116" s="456"/>
      <c r="AUH116" s="456"/>
      <c r="AUI116" s="456"/>
      <c r="AUJ116" s="456"/>
      <c r="AUK116" s="456"/>
      <c r="AUL116" s="456"/>
      <c r="AUM116" s="456"/>
      <c r="AUN116" s="456"/>
      <c r="AUO116" s="456"/>
      <c r="AUP116" s="456"/>
      <c r="AUQ116" s="456"/>
      <c r="AUR116" s="456"/>
      <c r="AUS116" s="456"/>
      <c r="AUT116" s="456"/>
      <c r="AUU116" s="456"/>
      <c r="AUV116" s="456"/>
      <c r="AUW116" s="456"/>
      <c r="AUX116" s="456"/>
      <c r="AUY116" s="456"/>
      <c r="AUZ116" s="456"/>
      <c r="AVA116" s="456"/>
      <c r="AVB116" s="456"/>
      <c r="AVC116" s="456"/>
      <c r="AVD116" s="456"/>
      <c r="AVE116" s="456"/>
      <c r="AVF116" s="456"/>
      <c r="AVG116" s="456"/>
      <c r="AVH116" s="456"/>
      <c r="AVI116" s="456"/>
      <c r="AVJ116" s="456"/>
      <c r="AVK116" s="456"/>
      <c r="AVL116" s="456"/>
      <c r="AVM116" s="456"/>
      <c r="AVN116" s="456"/>
      <c r="AVO116" s="456"/>
      <c r="AVP116" s="456"/>
      <c r="AVQ116" s="456"/>
      <c r="AVR116" s="456"/>
      <c r="AVS116" s="456"/>
      <c r="AVT116" s="456"/>
      <c r="AVU116" s="456"/>
      <c r="AVV116" s="456"/>
      <c r="AVW116" s="456"/>
      <c r="AVX116" s="456"/>
      <c r="AVY116" s="456"/>
      <c r="AVZ116" s="456"/>
      <c r="AWA116" s="456"/>
      <c r="AWB116" s="456"/>
      <c r="AWC116" s="456"/>
      <c r="AWD116" s="456"/>
      <c r="AWE116" s="456"/>
      <c r="AWF116" s="456"/>
      <c r="AWG116" s="456"/>
      <c r="AWH116" s="456"/>
      <c r="AWI116" s="456"/>
      <c r="AWJ116" s="456"/>
      <c r="AWK116" s="456"/>
      <c r="AWL116" s="456"/>
      <c r="AWM116" s="456"/>
      <c r="AWN116" s="456"/>
      <c r="AWO116" s="456"/>
      <c r="AWP116" s="456"/>
      <c r="AWQ116" s="456"/>
      <c r="AWR116" s="456"/>
      <c r="AWS116" s="456"/>
      <c r="AWT116" s="456"/>
      <c r="AWU116" s="456"/>
      <c r="AWV116" s="456"/>
      <c r="AWW116" s="456"/>
      <c r="AWX116" s="456"/>
      <c r="AWY116" s="456"/>
      <c r="AWZ116" s="456"/>
      <c r="AXA116" s="456"/>
      <c r="AXB116" s="456"/>
      <c r="AXC116" s="456"/>
      <c r="AXD116" s="456"/>
      <c r="AXE116" s="456"/>
      <c r="AXF116" s="456"/>
      <c r="AXG116" s="456"/>
      <c r="AXH116" s="456"/>
      <c r="AXI116" s="456"/>
      <c r="AXJ116" s="456"/>
      <c r="AXK116" s="456"/>
      <c r="AXL116" s="456"/>
      <c r="AXM116" s="456"/>
      <c r="AXN116" s="456"/>
      <c r="AXO116" s="456"/>
      <c r="AXP116" s="456"/>
      <c r="AXQ116" s="456"/>
      <c r="AXR116" s="456"/>
      <c r="AXS116" s="456"/>
      <c r="AXT116" s="456"/>
      <c r="AXU116" s="456"/>
      <c r="AXV116" s="456"/>
      <c r="AXW116" s="456"/>
      <c r="AXX116" s="456"/>
      <c r="AXY116" s="456"/>
      <c r="AXZ116" s="456"/>
      <c r="AYA116" s="456"/>
      <c r="AYB116" s="456"/>
      <c r="AYC116" s="456"/>
      <c r="AYD116" s="456"/>
      <c r="AYE116" s="456"/>
      <c r="AYF116" s="456"/>
      <c r="AYG116" s="456"/>
      <c r="AYH116" s="456"/>
      <c r="AYI116" s="456"/>
      <c r="AYJ116" s="456"/>
      <c r="AYK116" s="456"/>
      <c r="AYL116" s="456"/>
      <c r="AYM116" s="456"/>
      <c r="AYN116" s="456"/>
      <c r="AYO116" s="456"/>
      <c r="AYP116" s="456"/>
      <c r="AYQ116" s="456"/>
      <c r="AYR116" s="456"/>
      <c r="AYS116" s="456"/>
      <c r="AYT116" s="456"/>
      <c r="AYU116" s="456"/>
      <c r="AYV116" s="456"/>
      <c r="AYW116" s="456"/>
      <c r="AYX116" s="456"/>
      <c r="AYY116" s="456"/>
      <c r="AYZ116" s="456"/>
      <c r="AZA116" s="456"/>
      <c r="AZB116" s="456"/>
      <c r="AZC116" s="456"/>
      <c r="AZD116" s="456"/>
      <c r="AZE116" s="456"/>
      <c r="AZF116" s="456"/>
      <c r="AZG116" s="456"/>
      <c r="AZH116" s="456"/>
      <c r="AZI116" s="456"/>
      <c r="AZJ116" s="456"/>
      <c r="AZK116" s="456"/>
      <c r="AZL116" s="456"/>
      <c r="AZM116" s="456"/>
      <c r="AZN116" s="456"/>
      <c r="AZO116" s="456"/>
      <c r="AZP116" s="456"/>
      <c r="AZQ116" s="456"/>
      <c r="AZR116" s="456"/>
      <c r="AZS116" s="456"/>
      <c r="AZT116" s="456"/>
      <c r="AZU116" s="456"/>
      <c r="AZV116" s="456"/>
      <c r="AZW116" s="456"/>
      <c r="AZX116" s="456"/>
      <c r="AZY116" s="456"/>
      <c r="AZZ116" s="456"/>
      <c r="BAA116" s="456"/>
      <c r="BAB116" s="456"/>
      <c r="BAC116" s="456"/>
      <c r="BAD116" s="456"/>
      <c r="BAE116" s="456"/>
      <c r="BAF116" s="456"/>
      <c r="BAG116" s="456"/>
      <c r="BAH116" s="456"/>
      <c r="BAI116" s="456"/>
      <c r="BAJ116" s="456"/>
      <c r="BAK116" s="456"/>
      <c r="BAL116" s="456"/>
      <c r="BAM116" s="456"/>
      <c r="BAN116" s="456"/>
      <c r="BAO116" s="456"/>
      <c r="BAP116" s="456"/>
      <c r="BAQ116" s="456"/>
      <c r="BAR116" s="456"/>
      <c r="BAS116" s="456"/>
      <c r="BAT116" s="456"/>
      <c r="BAU116" s="456"/>
      <c r="BAV116" s="456"/>
      <c r="BAW116" s="456"/>
      <c r="BAX116" s="456"/>
      <c r="BAY116" s="456"/>
      <c r="BAZ116" s="456"/>
      <c r="BBA116" s="456"/>
      <c r="BBB116" s="456"/>
      <c r="BBC116" s="456"/>
      <c r="BBD116" s="456"/>
      <c r="BBE116" s="456"/>
      <c r="BBF116" s="456"/>
      <c r="BBG116" s="456"/>
      <c r="BBH116" s="456"/>
      <c r="BBI116" s="456"/>
      <c r="BBJ116" s="456"/>
      <c r="BBK116" s="456"/>
      <c r="BBL116" s="456"/>
      <c r="BBM116" s="456"/>
      <c r="BBN116" s="456"/>
      <c r="BBO116" s="456"/>
      <c r="BBP116" s="456"/>
      <c r="BBQ116" s="456"/>
      <c r="BBR116" s="456"/>
      <c r="BBS116" s="456"/>
      <c r="BBT116" s="456"/>
      <c r="BBU116" s="456"/>
      <c r="BBV116" s="456"/>
      <c r="BBW116" s="456"/>
      <c r="BBX116" s="456"/>
      <c r="BBY116" s="456"/>
      <c r="BBZ116" s="456"/>
      <c r="BCA116" s="456"/>
      <c r="BCB116" s="456"/>
      <c r="BCC116" s="456"/>
      <c r="BCD116" s="456"/>
      <c r="BCE116" s="456"/>
      <c r="BCF116" s="456"/>
      <c r="BCG116" s="456"/>
      <c r="BCH116" s="456"/>
      <c r="BCI116" s="456"/>
      <c r="BCJ116" s="456"/>
      <c r="BCK116" s="456"/>
      <c r="BCL116" s="456"/>
      <c r="BCM116" s="456"/>
      <c r="BCN116" s="456"/>
      <c r="BCO116" s="456"/>
      <c r="BCP116" s="456"/>
      <c r="BCQ116" s="456"/>
      <c r="BCR116" s="456"/>
      <c r="BCS116" s="456"/>
      <c r="BCT116" s="456"/>
      <c r="BCU116" s="456"/>
      <c r="BCV116" s="456"/>
      <c r="BCW116" s="456"/>
      <c r="BCX116" s="456"/>
      <c r="BCY116" s="456"/>
      <c r="BCZ116" s="456"/>
      <c r="BDA116" s="456"/>
      <c r="BDB116" s="456"/>
      <c r="BDC116" s="456"/>
      <c r="BDD116" s="456"/>
      <c r="BDE116" s="456"/>
      <c r="BDF116" s="456"/>
      <c r="BDG116" s="456"/>
      <c r="BDH116" s="456"/>
      <c r="BDI116" s="456"/>
      <c r="BDJ116" s="456"/>
      <c r="BDK116" s="456"/>
      <c r="BDL116" s="456"/>
      <c r="BDM116" s="456"/>
      <c r="BDN116" s="456"/>
      <c r="BDO116" s="456"/>
      <c r="BDP116" s="456"/>
      <c r="BDQ116" s="456"/>
      <c r="BDR116" s="456"/>
      <c r="BDS116" s="456"/>
      <c r="BDT116" s="456"/>
      <c r="BDU116" s="456"/>
      <c r="BDV116" s="456"/>
      <c r="BDW116" s="456"/>
      <c r="BDX116" s="456"/>
      <c r="BDY116" s="456"/>
      <c r="BDZ116" s="456"/>
      <c r="BEA116" s="456"/>
      <c r="BEB116" s="456"/>
      <c r="BEC116" s="456"/>
      <c r="BED116" s="456"/>
      <c r="BEE116" s="456"/>
      <c r="BEF116" s="456"/>
      <c r="BEG116" s="456"/>
      <c r="BEH116" s="456"/>
      <c r="BEI116" s="456"/>
      <c r="BEJ116" s="456"/>
      <c r="BEK116" s="456"/>
      <c r="BEL116" s="456"/>
      <c r="BEM116" s="456"/>
      <c r="BEN116" s="456"/>
      <c r="BEO116" s="456"/>
      <c r="BEP116" s="456"/>
      <c r="BEQ116" s="456"/>
      <c r="BER116" s="456"/>
      <c r="BES116" s="456"/>
      <c r="BET116" s="456"/>
      <c r="BEU116" s="456"/>
      <c r="BEV116" s="456"/>
      <c r="BEW116" s="456"/>
      <c r="BEX116" s="456"/>
      <c r="BEY116" s="456"/>
      <c r="BEZ116" s="456"/>
      <c r="BFA116" s="456"/>
      <c r="BFB116" s="456"/>
      <c r="BFC116" s="456"/>
      <c r="BFD116" s="456"/>
      <c r="BFE116" s="456"/>
      <c r="BFF116" s="456"/>
      <c r="BFG116" s="456"/>
      <c r="BFH116" s="456"/>
      <c r="BFI116" s="456"/>
      <c r="BFJ116" s="456"/>
      <c r="BFK116" s="456"/>
      <c r="BFL116" s="456"/>
      <c r="BFM116" s="456"/>
      <c r="BFN116" s="456"/>
      <c r="BFO116" s="456"/>
      <c r="BFP116" s="456"/>
      <c r="BFQ116" s="456"/>
      <c r="BFR116" s="456"/>
      <c r="BFS116" s="456"/>
      <c r="BFT116" s="456"/>
      <c r="BFU116" s="456"/>
      <c r="BFV116" s="456"/>
      <c r="BFW116" s="456"/>
      <c r="BFX116" s="456"/>
      <c r="BFY116" s="456"/>
      <c r="BFZ116" s="456"/>
      <c r="BGA116" s="456"/>
      <c r="BGB116" s="456"/>
      <c r="BGC116" s="456"/>
      <c r="BGD116" s="456"/>
      <c r="BGE116" s="456"/>
      <c r="BGF116" s="456"/>
      <c r="BGG116" s="456"/>
      <c r="BGH116" s="456"/>
      <c r="BGI116" s="456"/>
      <c r="BGJ116" s="456"/>
      <c r="BGK116" s="456"/>
      <c r="BGL116" s="456"/>
      <c r="BGM116" s="456"/>
      <c r="BGN116" s="456"/>
      <c r="BGO116" s="456"/>
      <c r="BGP116" s="456"/>
      <c r="BGQ116" s="456"/>
      <c r="BGR116" s="456"/>
      <c r="BGS116" s="456"/>
      <c r="BGT116" s="456"/>
      <c r="BGU116" s="456"/>
      <c r="BGV116" s="456"/>
      <c r="BGW116" s="456"/>
      <c r="BGX116" s="456"/>
      <c r="BGY116" s="456"/>
      <c r="BGZ116" s="456"/>
      <c r="BHA116" s="456"/>
      <c r="BHB116" s="456"/>
      <c r="BHC116" s="456"/>
      <c r="BHD116" s="456"/>
      <c r="BHE116" s="456"/>
      <c r="BHF116" s="456"/>
      <c r="BHG116" s="456"/>
      <c r="BHH116" s="456"/>
      <c r="BHI116" s="456"/>
      <c r="BHJ116" s="456"/>
      <c r="BHK116" s="456"/>
      <c r="BHL116" s="456"/>
      <c r="BHM116" s="456"/>
      <c r="BHN116" s="456"/>
      <c r="BHO116" s="456"/>
      <c r="BHP116" s="456"/>
      <c r="BHQ116" s="456"/>
      <c r="BHR116" s="456"/>
      <c r="BHS116" s="456"/>
      <c r="BHT116" s="456"/>
      <c r="BHU116" s="456"/>
      <c r="BHV116" s="456"/>
      <c r="BHW116" s="456"/>
      <c r="BHX116" s="456"/>
      <c r="BHY116" s="456"/>
      <c r="BHZ116" s="456"/>
      <c r="BIA116" s="456"/>
      <c r="BIB116" s="456"/>
      <c r="BIC116" s="456"/>
      <c r="BID116" s="456"/>
      <c r="BIE116" s="456"/>
      <c r="BIF116" s="456"/>
      <c r="BIG116" s="456"/>
      <c r="BIH116" s="456"/>
      <c r="BII116" s="456"/>
      <c r="BIJ116" s="456"/>
      <c r="BIK116" s="456"/>
      <c r="BIL116" s="456"/>
      <c r="BIM116" s="456"/>
      <c r="BIN116" s="456"/>
      <c r="BIO116" s="456"/>
      <c r="BIP116" s="456"/>
      <c r="BIQ116" s="456"/>
      <c r="BIR116" s="456"/>
      <c r="BIS116" s="456"/>
      <c r="BIT116" s="456"/>
      <c r="BIU116" s="456"/>
      <c r="BIV116" s="456"/>
      <c r="BIW116" s="456"/>
      <c r="BIX116" s="456"/>
      <c r="BIY116" s="456"/>
      <c r="BIZ116" s="456"/>
      <c r="BJA116" s="456"/>
      <c r="BJB116" s="456"/>
      <c r="BJC116" s="456"/>
      <c r="BJD116" s="456"/>
      <c r="BJE116" s="456"/>
      <c r="BJF116" s="456"/>
      <c r="BJG116" s="456"/>
      <c r="BJH116" s="456"/>
      <c r="BJI116" s="456"/>
      <c r="BJJ116" s="456"/>
      <c r="BJK116" s="456"/>
      <c r="BJL116" s="456"/>
      <c r="BJM116" s="456"/>
      <c r="BJN116" s="456"/>
      <c r="BJO116" s="456"/>
      <c r="BJP116" s="456"/>
      <c r="BJQ116" s="456"/>
      <c r="BJR116" s="456"/>
      <c r="BJS116" s="456"/>
      <c r="BJT116" s="456"/>
      <c r="BJU116" s="456"/>
      <c r="BJV116" s="456"/>
      <c r="BJW116" s="456"/>
      <c r="BJX116" s="456"/>
      <c r="BJY116" s="456"/>
      <c r="BJZ116" s="456"/>
      <c r="BKA116" s="456"/>
      <c r="BKB116" s="456"/>
      <c r="BKC116" s="456"/>
      <c r="BKD116" s="456"/>
      <c r="BKE116" s="456"/>
      <c r="BKF116" s="456"/>
      <c r="BKG116" s="456"/>
      <c r="BKH116" s="456"/>
      <c r="BKI116" s="456"/>
      <c r="BKJ116" s="456"/>
      <c r="BKK116" s="456"/>
      <c r="BKL116" s="456"/>
      <c r="BKM116" s="456"/>
      <c r="BKN116" s="456"/>
      <c r="BKO116" s="456"/>
      <c r="BKP116" s="456"/>
      <c r="BKQ116" s="456"/>
      <c r="BKR116" s="456"/>
      <c r="BKS116" s="456"/>
      <c r="BKT116" s="456"/>
      <c r="BKU116" s="456"/>
      <c r="BKV116" s="456"/>
      <c r="BKW116" s="456"/>
      <c r="BKX116" s="456"/>
      <c r="BKY116" s="456"/>
      <c r="BKZ116" s="456"/>
      <c r="BLA116" s="456"/>
      <c r="BLB116" s="456"/>
      <c r="BLC116" s="456"/>
      <c r="BLD116" s="456"/>
      <c r="BLE116" s="456"/>
      <c r="BLF116" s="456"/>
      <c r="BLG116" s="456"/>
      <c r="BLH116" s="456"/>
      <c r="BLI116" s="456"/>
      <c r="BLJ116" s="456"/>
      <c r="BLK116" s="456"/>
      <c r="BLL116" s="456"/>
      <c r="BLM116" s="456"/>
      <c r="BLN116" s="456"/>
      <c r="BLO116" s="456"/>
      <c r="BLP116" s="456"/>
      <c r="BLQ116" s="456"/>
      <c r="BLR116" s="456"/>
      <c r="BLS116" s="456"/>
      <c r="BLT116" s="456"/>
      <c r="BLU116" s="456"/>
      <c r="BLV116" s="456"/>
      <c r="BLW116" s="456"/>
      <c r="BLX116" s="456"/>
      <c r="BLY116" s="456"/>
      <c r="BLZ116" s="456"/>
      <c r="BMA116" s="456"/>
      <c r="BMB116" s="456"/>
      <c r="BMC116" s="456"/>
      <c r="BMD116" s="456"/>
      <c r="BME116" s="456"/>
      <c r="BMF116" s="456"/>
      <c r="BMG116" s="456"/>
      <c r="BMH116" s="456"/>
      <c r="BMI116" s="456"/>
      <c r="BMJ116" s="456"/>
      <c r="BMK116" s="456"/>
      <c r="BML116" s="456"/>
      <c r="BMM116" s="456"/>
      <c r="BMN116" s="456"/>
      <c r="BMO116" s="456"/>
      <c r="BMP116" s="456"/>
      <c r="BMQ116" s="456"/>
      <c r="BMR116" s="456"/>
      <c r="BMS116" s="456"/>
      <c r="BMT116" s="456"/>
      <c r="BMU116" s="456"/>
      <c r="BMV116" s="456"/>
      <c r="BMW116" s="456"/>
      <c r="BMX116" s="456"/>
      <c r="BMY116" s="456"/>
      <c r="BMZ116" s="456"/>
      <c r="BNA116" s="456"/>
      <c r="BNB116" s="456"/>
      <c r="BNC116" s="456"/>
      <c r="BND116" s="456"/>
      <c r="BNE116" s="456"/>
      <c r="BNF116" s="456"/>
      <c r="BNG116" s="456"/>
      <c r="BNH116" s="456"/>
      <c r="BNI116" s="456"/>
      <c r="BNJ116" s="456"/>
      <c r="BNK116" s="456"/>
      <c r="BNL116" s="456"/>
      <c r="BNM116" s="456"/>
      <c r="BNN116" s="456"/>
      <c r="BNO116" s="456"/>
      <c r="BNP116" s="456"/>
      <c r="BNQ116" s="456"/>
      <c r="BNR116" s="456"/>
      <c r="BNS116" s="456"/>
      <c r="BNT116" s="456"/>
      <c r="BNU116" s="456"/>
      <c r="BNV116" s="456"/>
      <c r="BNW116" s="456"/>
      <c r="BNX116" s="456"/>
      <c r="BNY116" s="456"/>
      <c r="BNZ116" s="456"/>
      <c r="BOA116" s="456"/>
      <c r="BOB116" s="456"/>
      <c r="BOC116" s="456"/>
      <c r="BOD116" s="456"/>
      <c r="BOE116" s="456"/>
      <c r="BOF116" s="456"/>
      <c r="BOG116" s="456"/>
      <c r="BOH116" s="456"/>
      <c r="BOI116" s="456"/>
      <c r="BOJ116" s="456"/>
      <c r="BOK116" s="456"/>
      <c r="BOL116" s="456"/>
      <c r="BOM116" s="456"/>
      <c r="BON116" s="456"/>
      <c r="BOO116" s="456"/>
      <c r="BOP116" s="456"/>
      <c r="BOQ116" s="456"/>
      <c r="BOR116" s="456"/>
      <c r="BOS116" s="456"/>
      <c r="BOT116" s="456"/>
      <c r="BOU116" s="456"/>
      <c r="BOV116" s="456"/>
      <c r="BOW116" s="456"/>
      <c r="BOX116" s="456"/>
      <c r="BOY116" s="456"/>
      <c r="BOZ116" s="456"/>
      <c r="BPA116" s="456"/>
      <c r="BPB116" s="456"/>
      <c r="BPC116" s="456"/>
      <c r="BPD116" s="456"/>
      <c r="BPE116" s="456"/>
      <c r="BPF116" s="456"/>
      <c r="BPG116" s="456"/>
      <c r="BPH116" s="456"/>
      <c r="BPI116" s="456"/>
      <c r="BPJ116" s="456"/>
      <c r="BPK116" s="456"/>
      <c r="BPL116" s="456"/>
      <c r="BPM116" s="456"/>
      <c r="BPN116" s="456"/>
      <c r="BPO116" s="456"/>
      <c r="BPP116" s="456"/>
      <c r="BPQ116" s="456"/>
      <c r="BPR116" s="456"/>
      <c r="BPS116" s="456"/>
      <c r="BPT116" s="456"/>
      <c r="BPU116" s="456"/>
      <c r="BPV116" s="456"/>
      <c r="BPW116" s="456"/>
      <c r="BPX116" s="456"/>
      <c r="BPY116" s="456"/>
      <c r="BPZ116" s="456"/>
      <c r="BQA116" s="456"/>
      <c r="BQB116" s="456"/>
      <c r="BQC116" s="456"/>
      <c r="BQD116" s="456"/>
      <c r="BQE116" s="456"/>
      <c r="BQF116" s="456"/>
      <c r="BQG116" s="456"/>
      <c r="BQH116" s="456"/>
      <c r="BQI116" s="456"/>
      <c r="BQJ116" s="456"/>
      <c r="BQK116" s="456"/>
      <c r="BQL116" s="456"/>
      <c r="BQM116" s="456"/>
      <c r="BQN116" s="456"/>
      <c r="BQO116" s="456"/>
      <c r="BQP116" s="456"/>
      <c r="BQQ116" s="456"/>
      <c r="BQR116" s="456"/>
      <c r="BQS116" s="456"/>
      <c r="BQT116" s="456"/>
      <c r="BQU116" s="456"/>
      <c r="BQV116" s="456"/>
      <c r="BQW116" s="456"/>
      <c r="BQX116" s="456"/>
      <c r="BQY116" s="456"/>
      <c r="BQZ116" s="456"/>
      <c r="BRA116" s="456"/>
      <c r="BRB116" s="456"/>
      <c r="BRC116" s="456"/>
      <c r="BRD116" s="456"/>
      <c r="BRE116" s="456"/>
      <c r="BRF116" s="456"/>
      <c r="BRG116" s="456"/>
      <c r="BRH116" s="456"/>
      <c r="BRI116" s="456"/>
      <c r="BRJ116" s="456"/>
      <c r="BRK116" s="456"/>
      <c r="BRL116" s="456"/>
      <c r="BRM116" s="456"/>
      <c r="BRN116" s="456"/>
      <c r="BRO116" s="456"/>
      <c r="BRP116" s="456"/>
      <c r="BRQ116" s="456"/>
      <c r="BRR116" s="456"/>
      <c r="BRS116" s="456"/>
      <c r="BRT116" s="456"/>
      <c r="BRU116" s="456"/>
      <c r="BRV116" s="456"/>
      <c r="BRW116" s="456"/>
      <c r="BRX116" s="456"/>
      <c r="BRY116" s="456"/>
      <c r="BRZ116" s="456"/>
      <c r="BSA116" s="456"/>
      <c r="BSB116" s="456"/>
      <c r="BSC116" s="456"/>
      <c r="BSD116" s="456"/>
      <c r="BSE116" s="456"/>
      <c r="BSF116" s="456"/>
      <c r="BSG116" s="456"/>
      <c r="BSH116" s="456"/>
      <c r="BSI116" s="456"/>
      <c r="BSJ116" s="456"/>
      <c r="BSK116" s="456"/>
      <c r="BSL116" s="456"/>
      <c r="BSM116" s="456"/>
      <c r="BSN116" s="456"/>
      <c r="BSO116" s="456"/>
      <c r="BSP116" s="456"/>
      <c r="BSQ116" s="456"/>
      <c r="BSR116" s="456"/>
      <c r="BSS116" s="456"/>
      <c r="BST116" s="456"/>
      <c r="BSU116" s="456"/>
      <c r="BSV116" s="456"/>
      <c r="BSW116" s="456"/>
      <c r="BSX116" s="456"/>
      <c r="BSY116" s="456"/>
      <c r="BSZ116" s="456"/>
      <c r="BTA116" s="456"/>
      <c r="BTB116" s="456"/>
      <c r="BTC116" s="456"/>
      <c r="BTD116" s="456"/>
      <c r="BTE116" s="456"/>
      <c r="BTF116" s="456"/>
      <c r="BTG116" s="456"/>
      <c r="BTH116" s="456"/>
      <c r="BTI116" s="456"/>
      <c r="BTJ116" s="456"/>
      <c r="BTK116" s="456"/>
      <c r="BTL116" s="456"/>
      <c r="BTM116" s="456"/>
      <c r="BTN116" s="456"/>
      <c r="BTO116" s="456"/>
      <c r="BTP116" s="456"/>
      <c r="BTQ116" s="456"/>
      <c r="BTR116" s="456"/>
      <c r="BTS116" s="456"/>
      <c r="BTT116" s="456"/>
      <c r="BTU116" s="456"/>
      <c r="BTV116" s="456"/>
      <c r="BTW116" s="456"/>
      <c r="BTX116" s="456"/>
      <c r="BTY116" s="456"/>
      <c r="BTZ116" s="456"/>
      <c r="BUA116" s="456"/>
      <c r="BUB116" s="456"/>
      <c r="BUC116" s="456"/>
      <c r="BUD116" s="456"/>
      <c r="BUE116" s="456"/>
      <c r="BUF116" s="456"/>
      <c r="BUG116" s="456"/>
      <c r="BUH116" s="456"/>
      <c r="BUI116" s="456"/>
      <c r="BUJ116" s="456"/>
      <c r="BUK116" s="456"/>
      <c r="BUL116" s="456"/>
      <c r="BUM116" s="456"/>
      <c r="BUN116" s="456"/>
      <c r="BUO116" s="456"/>
      <c r="BUP116" s="456"/>
      <c r="BUQ116" s="456"/>
      <c r="BUR116" s="456"/>
      <c r="BUS116" s="456"/>
      <c r="BUT116" s="456"/>
      <c r="BUU116" s="456"/>
      <c r="BUV116" s="456"/>
      <c r="BUW116" s="456"/>
      <c r="BUX116" s="456"/>
      <c r="BUY116" s="456"/>
      <c r="BUZ116" s="456"/>
      <c r="BVA116" s="456"/>
      <c r="BVB116" s="456"/>
      <c r="BVC116" s="456"/>
      <c r="BVD116" s="456"/>
      <c r="BVE116" s="456"/>
      <c r="BVF116" s="456"/>
      <c r="BVG116" s="456"/>
      <c r="BVH116" s="456"/>
      <c r="BVI116" s="456"/>
      <c r="BVJ116" s="456"/>
      <c r="BVK116" s="456"/>
      <c r="BVL116" s="456"/>
      <c r="BVM116" s="456"/>
      <c r="BVN116" s="456"/>
      <c r="BVO116" s="456"/>
      <c r="BVP116" s="456"/>
      <c r="BVQ116" s="456"/>
      <c r="BVR116" s="456"/>
      <c r="BVS116" s="456"/>
      <c r="BVT116" s="456"/>
      <c r="BVU116" s="456"/>
      <c r="BVV116" s="456"/>
      <c r="BVW116" s="456"/>
      <c r="BVX116" s="456"/>
      <c r="BVY116" s="456"/>
      <c r="BVZ116" s="456"/>
      <c r="BWA116" s="456"/>
      <c r="BWB116" s="456"/>
      <c r="BWC116" s="456"/>
      <c r="BWD116" s="456"/>
      <c r="BWE116" s="456"/>
      <c r="BWF116" s="456"/>
      <c r="BWG116" s="456"/>
      <c r="BWH116" s="456"/>
      <c r="BWI116" s="456"/>
      <c r="BWJ116" s="456"/>
      <c r="BWK116" s="456"/>
      <c r="BWL116" s="456"/>
      <c r="BWM116" s="456"/>
      <c r="BWN116" s="456"/>
      <c r="BWO116" s="456"/>
      <c r="BWP116" s="456"/>
      <c r="BWQ116" s="456"/>
      <c r="BWR116" s="456"/>
      <c r="BWS116" s="456"/>
      <c r="BWT116" s="456"/>
      <c r="BWU116" s="456"/>
      <c r="BWV116" s="456"/>
      <c r="BWW116" s="456"/>
      <c r="BWX116" s="456"/>
      <c r="BWY116" s="456"/>
      <c r="BWZ116" s="456"/>
      <c r="BXA116" s="456"/>
      <c r="BXB116" s="456"/>
      <c r="BXC116" s="456"/>
      <c r="BXD116" s="456"/>
      <c r="BXE116" s="456"/>
      <c r="BXF116" s="456"/>
      <c r="BXG116" s="456"/>
      <c r="BXH116" s="456"/>
      <c r="BXI116" s="456"/>
      <c r="BXJ116" s="456"/>
      <c r="BXK116" s="456"/>
      <c r="BXL116" s="456"/>
      <c r="BXM116" s="456"/>
      <c r="BXN116" s="456"/>
      <c r="BXO116" s="456"/>
      <c r="BXP116" s="456"/>
      <c r="BXQ116" s="456"/>
      <c r="BXR116" s="456"/>
      <c r="BXS116" s="456"/>
      <c r="BXT116" s="456"/>
      <c r="BXU116" s="456"/>
      <c r="BXV116" s="456"/>
      <c r="BXW116" s="456"/>
      <c r="BXX116" s="456"/>
      <c r="BXY116" s="456"/>
      <c r="BXZ116" s="456"/>
    </row>
    <row r="117" s="25" customFormat="1" ht="15.6" spans="1:1024 1025:2002">
      <c r="A117" s="473"/>
      <c r="B117" s="19">
        <v>1125</v>
      </c>
      <c r="C117" s="183">
        <v>46196</v>
      </c>
      <c r="D117" s="17" t="s">
        <v>52</v>
      </c>
      <c r="E117" s="17" t="s">
        <v>53</v>
      </c>
      <c r="F117" s="17" t="s">
        <v>54</v>
      </c>
      <c r="G117" s="17"/>
      <c r="H117" s="19" t="s">
        <v>55</v>
      </c>
      <c r="I117" s="102" t="s">
        <v>56</v>
      </c>
      <c r="J117" s="17" t="s">
        <v>49</v>
      </c>
      <c r="K117" s="19">
        <v>610</v>
      </c>
      <c r="L117" s="19">
        <v>61</v>
      </c>
      <c r="M117" s="19">
        <v>5800</v>
      </c>
      <c r="N117" s="19" t="s">
        <v>40</v>
      </c>
      <c r="O117" s="19" t="s">
        <v>84</v>
      </c>
      <c r="P117" s="19">
        <f t="shared" ref="P117:P118" si="10">1050*2</f>
        <v>2100</v>
      </c>
      <c r="Q117" s="19">
        <f>1020+1036</f>
        <v>2056</v>
      </c>
      <c r="R117" s="19">
        <f t="shared" si="9"/>
        <v>44</v>
      </c>
      <c r="S117" s="311">
        <v>2040</v>
      </c>
      <c r="T117" s="19" t="s">
        <v>42</v>
      </c>
      <c r="U117" s="102" t="s">
        <v>101</v>
      </c>
      <c r="V117" s="186">
        <v>46197</v>
      </c>
      <c r="W117" s="17" t="s">
        <v>58</v>
      </c>
      <c r="X117" s="17"/>
      <c r="Y117" s="68">
        <v>46204</v>
      </c>
      <c r="Z117" s="17" t="s">
        <v>45</v>
      </c>
      <c r="AA117" s="17" t="s">
        <v>59</v>
      </c>
      <c r="AB117" s="17" t="s">
        <v>102</v>
      </c>
      <c r="AC117" s="217">
        <v>46274</v>
      </c>
      <c r="AD117" s="65">
        <v>1861</v>
      </c>
      <c r="AE117" s="17" t="s">
        <v>48</v>
      </c>
      <c r="AF117" s="17" t="s">
        <v>61</v>
      </c>
      <c r="AG117" s="17" t="s">
        <v>103</v>
      </c>
      <c r="AH117" s="456"/>
      <c r="AI117" s="456"/>
      <c r="AJ117" s="456"/>
      <c r="AK117" s="456"/>
      <c r="AL117" s="456"/>
      <c r="AM117" s="456"/>
      <c r="AN117" s="456"/>
      <c r="AO117" s="456"/>
      <c r="AP117" s="456"/>
      <c r="AQ117" s="456"/>
      <c r="AR117" s="456"/>
      <c r="AS117" s="456"/>
      <c r="AT117" s="456"/>
      <c r="AU117" s="456"/>
      <c r="AV117" s="456"/>
      <c r="AW117" s="456"/>
      <c r="AX117" s="456"/>
      <c r="AY117" s="456"/>
      <c r="AZ117" s="456"/>
      <c r="BA117" s="456"/>
      <c r="BB117" s="456"/>
      <c r="BC117" s="456"/>
      <c r="BD117" s="456"/>
      <c r="BE117" s="456"/>
      <c r="BF117" s="456"/>
      <c r="BG117" s="456"/>
      <c r="BH117" s="456"/>
      <c r="BI117" s="456"/>
      <c r="BJ117" s="456"/>
      <c r="BK117" s="456"/>
      <c r="BL117" s="456"/>
      <c r="BM117" s="456"/>
      <c r="BN117" s="456"/>
      <c r="BO117" s="456"/>
      <c r="BP117" s="456"/>
      <c r="BQ117" s="456"/>
      <c r="BR117" s="456"/>
      <c r="BS117" s="456"/>
      <c r="BT117" s="456"/>
      <c r="BU117" s="456"/>
      <c r="BV117" s="456"/>
      <c r="BW117" s="456"/>
      <c r="BX117" s="456"/>
      <c r="BY117" s="456"/>
      <c r="BZ117" s="456"/>
      <c r="CA117" s="456"/>
      <c r="CB117" s="456"/>
      <c r="CC117" s="456"/>
      <c r="CD117" s="456"/>
      <c r="CE117" s="456"/>
      <c r="CF117" s="456"/>
      <c r="CG117" s="456"/>
      <c r="CH117" s="456"/>
      <c r="CI117" s="456"/>
      <c r="CJ117" s="456"/>
      <c r="CK117" s="456"/>
      <c r="CL117" s="456"/>
      <c r="CM117" s="456"/>
      <c r="CN117" s="456"/>
      <c r="CO117" s="456"/>
      <c r="CP117" s="456"/>
      <c r="CQ117" s="456"/>
      <c r="CR117" s="456"/>
      <c r="CS117" s="456"/>
      <c r="CT117" s="456"/>
      <c r="CU117" s="456"/>
      <c r="CV117" s="456"/>
      <c r="CW117" s="456"/>
      <c r="CX117" s="456"/>
      <c r="CY117" s="456"/>
      <c r="CZ117" s="456"/>
      <c r="DA117" s="456"/>
      <c r="DB117" s="456"/>
      <c r="DC117" s="456"/>
      <c r="DD117" s="456"/>
      <c r="DE117" s="456"/>
      <c r="DF117" s="456"/>
      <c r="DG117" s="456"/>
      <c r="DH117" s="456"/>
      <c r="DI117" s="456"/>
      <c r="DJ117" s="456"/>
      <c r="DK117" s="456"/>
      <c r="DL117" s="456"/>
      <c r="DM117" s="456"/>
      <c r="DN117" s="456"/>
      <c r="DO117" s="456"/>
      <c r="DP117" s="456"/>
      <c r="DQ117" s="456"/>
      <c r="DR117" s="456"/>
      <c r="DS117" s="456"/>
      <c r="DT117" s="456"/>
      <c r="DU117" s="456"/>
      <c r="DV117" s="456"/>
      <c r="DW117" s="456"/>
      <c r="DX117" s="456"/>
      <c r="DY117" s="456"/>
      <c r="DZ117" s="456"/>
      <c r="EA117" s="456"/>
      <c r="EB117" s="456"/>
      <c r="EC117" s="456"/>
      <c r="ED117" s="456"/>
      <c r="EE117" s="456"/>
      <c r="EF117" s="456"/>
      <c r="EG117" s="456"/>
      <c r="EH117" s="456"/>
      <c r="EI117" s="456"/>
      <c r="EJ117" s="456"/>
      <c r="EK117" s="456"/>
      <c r="EL117" s="456"/>
      <c r="EM117" s="456"/>
      <c r="EN117" s="456"/>
      <c r="EO117" s="456"/>
      <c r="EP117" s="456"/>
      <c r="EQ117" s="456"/>
      <c r="ER117" s="456"/>
      <c r="ES117" s="456"/>
      <c r="ET117" s="456"/>
      <c r="EU117" s="456"/>
      <c r="EV117" s="456"/>
      <c r="EW117" s="456"/>
      <c r="EX117" s="456"/>
      <c r="EY117" s="456"/>
      <c r="EZ117" s="456"/>
      <c r="FA117" s="456"/>
      <c r="FB117" s="456"/>
      <c r="FC117" s="456"/>
      <c r="FD117" s="456"/>
      <c r="FE117" s="456"/>
      <c r="FF117" s="456"/>
      <c r="FG117" s="456"/>
      <c r="FH117" s="456"/>
      <c r="FI117" s="456"/>
      <c r="FJ117" s="456"/>
      <c r="FK117" s="456"/>
      <c r="FL117" s="456"/>
      <c r="FM117" s="456"/>
      <c r="FN117" s="456"/>
      <c r="FO117" s="456"/>
      <c r="FP117" s="456"/>
      <c r="FQ117" s="456"/>
      <c r="FR117" s="456"/>
      <c r="FS117" s="456"/>
      <c r="FT117" s="456"/>
      <c r="FU117" s="456"/>
      <c r="FV117" s="456"/>
      <c r="FW117" s="456"/>
      <c r="FX117" s="456"/>
      <c r="FY117" s="456"/>
      <c r="FZ117" s="456"/>
      <c r="GA117" s="456"/>
      <c r="GB117" s="456"/>
      <c r="GC117" s="456"/>
      <c r="GD117" s="456"/>
      <c r="GE117" s="456"/>
      <c r="GF117" s="456"/>
      <c r="GG117" s="456"/>
      <c r="GH117" s="456"/>
      <c r="GI117" s="456"/>
      <c r="GJ117" s="456"/>
      <c r="GK117" s="456"/>
      <c r="GL117" s="456"/>
      <c r="GM117" s="456"/>
      <c r="GN117" s="456"/>
      <c r="GO117" s="456"/>
      <c r="GP117" s="456"/>
      <c r="GQ117" s="456"/>
      <c r="GR117" s="456"/>
      <c r="GS117" s="456"/>
      <c r="GT117" s="456"/>
      <c r="GU117" s="456"/>
      <c r="GV117" s="456"/>
      <c r="GW117" s="456"/>
      <c r="GX117" s="456"/>
      <c r="GY117" s="456"/>
      <c r="GZ117" s="456"/>
      <c r="HA117" s="456"/>
      <c r="HB117" s="456"/>
      <c r="HC117" s="456"/>
      <c r="HD117" s="456"/>
      <c r="HE117" s="456"/>
      <c r="HF117" s="456"/>
      <c r="HG117" s="456"/>
      <c r="HH117" s="456"/>
      <c r="HI117" s="456"/>
      <c r="HJ117" s="456"/>
      <c r="HK117" s="456"/>
      <c r="HL117" s="456"/>
      <c r="HM117" s="456"/>
      <c r="HN117" s="456"/>
      <c r="HO117" s="456"/>
      <c r="HP117" s="456"/>
      <c r="HQ117" s="456"/>
      <c r="HR117" s="456"/>
      <c r="HS117" s="456"/>
      <c r="HT117" s="456"/>
      <c r="HU117" s="456"/>
      <c r="HV117" s="456"/>
      <c r="HW117" s="456"/>
      <c r="HX117" s="456"/>
      <c r="HY117" s="456"/>
      <c r="HZ117" s="456"/>
      <c r="IA117" s="456"/>
      <c r="IB117" s="456"/>
      <c r="IC117" s="456"/>
      <c r="ID117" s="456"/>
      <c r="IE117" s="456"/>
      <c r="IF117" s="456"/>
      <c r="IG117" s="456"/>
      <c r="IH117" s="456"/>
      <c r="II117" s="456"/>
      <c r="IJ117" s="456"/>
      <c r="IK117" s="456"/>
      <c r="IL117" s="456"/>
      <c r="IM117" s="456"/>
      <c r="IN117" s="456"/>
      <c r="IO117" s="456"/>
      <c r="IP117" s="456"/>
      <c r="IQ117" s="456"/>
      <c r="IR117" s="456"/>
      <c r="IS117" s="456"/>
      <c r="IT117" s="456"/>
      <c r="IU117" s="456"/>
      <c r="IV117" s="456"/>
      <c r="IW117" s="456"/>
      <c r="IX117" s="456"/>
      <c r="IY117" s="456"/>
      <c r="IZ117" s="456"/>
      <c r="JA117" s="456"/>
      <c r="JB117" s="456"/>
      <c r="JC117" s="456"/>
      <c r="JD117" s="456"/>
      <c r="JE117" s="456"/>
      <c r="JF117" s="456"/>
      <c r="JG117" s="456"/>
      <c r="JH117" s="456"/>
      <c r="JI117" s="456"/>
      <c r="JJ117" s="456"/>
      <c r="JK117" s="456"/>
      <c r="JL117" s="456"/>
      <c r="JM117" s="456"/>
      <c r="JN117" s="456"/>
      <c r="JO117" s="456"/>
      <c r="JP117" s="456"/>
      <c r="JQ117" s="456"/>
      <c r="JR117" s="456"/>
      <c r="JS117" s="456"/>
      <c r="JT117" s="456"/>
      <c r="JU117" s="456"/>
      <c r="JV117" s="456"/>
      <c r="JW117" s="456"/>
      <c r="JX117" s="456"/>
      <c r="JY117" s="456"/>
      <c r="JZ117" s="456"/>
      <c r="KA117" s="456"/>
      <c r="KB117" s="456"/>
      <c r="KC117" s="456"/>
      <c r="KD117" s="456"/>
      <c r="KE117" s="456"/>
      <c r="KF117" s="456"/>
      <c r="KG117" s="456"/>
      <c r="KH117" s="456"/>
      <c r="KI117" s="456"/>
      <c r="KJ117" s="456"/>
      <c r="KK117" s="456"/>
      <c r="KL117" s="456"/>
      <c r="KM117" s="456"/>
      <c r="KN117" s="456"/>
      <c r="KO117" s="456"/>
      <c r="KP117" s="456"/>
      <c r="KQ117" s="456"/>
      <c r="KR117" s="456"/>
      <c r="KS117" s="456"/>
      <c r="KT117" s="456"/>
      <c r="KU117" s="456"/>
      <c r="KV117" s="456"/>
      <c r="KW117" s="456"/>
      <c r="KX117" s="456"/>
      <c r="KY117" s="456"/>
      <c r="KZ117" s="456"/>
      <c r="LA117" s="456"/>
      <c r="LB117" s="456"/>
      <c r="LC117" s="456"/>
      <c r="LD117" s="456"/>
      <c r="LE117" s="456"/>
      <c r="LF117" s="456"/>
      <c r="LG117" s="456"/>
      <c r="LH117" s="456"/>
      <c r="LI117" s="456"/>
      <c r="LJ117" s="456"/>
      <c r="LK117" s="456"/>
      <c r="LL117" s="456"/>
      <c r="LM117" s="456"/>
      <c r="LN117" s="456"/>
      <c r="LO117" s="456"/>
      <c r="LP117" s="456"/>
      <c r="LQ117" s="456"/>
      <c r="LR117" s="456"/>
      <c r="LS117" s="456"/>
      <c r="LT117" s="456"/>
      <c r="LU117" s="456"/>
      <c r="LV117" s="456"/>
      <c r="LW117" s="456"/>
      <c r="LX117" s="456"/>
      <c r="LY117" s="456"/>
      <c r="LZ117" s="456"/>
      <c r="MA117" s="456"/>
      <c r="MB117" s="456"/>
      <c r="MC117" s="456"/>
      <c r="MD117" s="456"/>
      <c r="ME117" s="456"/>
      <c r="MF117" s="456"/>
      <c r="MG117" s="456"/>
      <c r="MH117" s="456"/>
      <c r="MI117" s="456"/>
      <c r="MJ117" s="456"/>
      <c r="MK117" s="456"/>
      <c r="ML117" s="456"/>
      <c r="MM117" s="456"/>
      <c r="MN117" s="456"/>
      <c r="MO117" s="456"/>
      <c r="MP117" s="456"/>
      <c r="MQ117" s="456"/>
      <c r="MR117" s="456"/>
      <c r="MS117" s="456"/>
      <c r="MT117" s="456"/>
      <c r="MU117" s="456"/>
      <c r="MV117" s="456"/>
      <c r="MW117" s="456"/>
      <c r="MX117" s="456"/>
      <c r="MY117" s="456"/>
      <c r="MZ117" s="456"/>
      <c r="NA117" s="456"/>
      <c r="NB117" s="456"/>
      <c r="NC117" s="456"/>
      <c r="ND117" s="456"/>
      <c r="NE117" s="456"/>
      <c r="NF117" s="456"/>
      <c r="NG117" s="456"/>
      <c r="NH117" s="456"/>
      <c r="NI117" s="456"/>
      <c r="NJ117" s="456"/>
      <c r="NK117" s="456"/>
      <c r="NL117" s="456"/>
      <c r="NM117" s="456"/>
      <c r="NN117" s="456"/>
      <c r="NO117" s="456"/>
      <c r="NP117" s="456"/>
      <c r="NQ117" s="456"/>
      <c r="NR117" s="456"/>
      <c r="NS117" s="456"/>
      <c r="NT117" s="456"/>
      <c r="NU117" s="456"/>
      <c r="NV117" s="456"/>
      <c r="NW117" s="456"/>
      <c r="NX117" s="456"/>
      <c r="NY117" s="456"/>
      <c r="NZ117" s="456"/>
      <c r="OA117" s="456"/>
      <c r="OB117" s="456"/>
      <c r="OC117" s="456"/>
      <c r="OD117" s="456"/>
      <c r="OE117" s="456"/>
      <c r="OF117" s="456"/>
      <c r="OG117" s="456"/>
      <c r="OH117" s="456"/>
      <c r="OI117" s="456"/>
      <c r="OJ117" s="456"/>
      <c r="OK117" s="456"/>
      <c r="OL117" s="456"/>
      <c r="OM117" s="456"/>
      <c r="ON117" s="456"/>
      <c r="OO117" s="456"/>
      <c r="OP117" s="456"/>
      <c r="OQ117" s="456"/>
      <c r="OR117" s="456"/>
      <c r="OS117" s="456"/>
      <c r="OT117" s="456"/>
      <c r="OU117" s="456"/>
      <c r="OV117" s="456"/>
      <c r="OW117" s="456"/>
      <c r="OX117" s="456"/>
      <c r="OY117" s="456"/>
      <c r="OZ117" s="456"/>
      <c r="PA117" s="456"/>
      <c r="PB117" s="456"/>
      <c r="PC117" s="456"/>
      <c r="PD117" s="456"/>
      <c r="PE117" s="456"/>
      <c r="PF117" s="456"/>
      <c r="PG117" s="456"/>
      <c r="PH117" s="456"/>
      <c r="PI117" s="456"/>
      <c r="PJ117" s="456"/>
      <c r="PK117" s="456"/>
      <c r="PL117" s="456"/>
      <c r="PM117" s="456"/>
      <c r="PN117" s="456"/>
      <c r="PO117" s="456"/>
      <c r="PP117" s="456"/>
      <c r="PQ117" s="456"/>
      <c r="PR117" s="456"/>
      <c r="PS117" s="456"/>
      <c r="PT117" s="456"/>
      <c r="PU117" s="456"/>
      <c r="PV117" s="456"/>
      <c r="PW117" s="456"/>
      <c r="PX117" s="456"/>
      <c r="PY117" s="456"/>
      <c r="PZ117" s="456"/>
      <c r="QA117" s="456"/>
      <c r="QB117" s="456"/>
      <c r="QC117" s="456"/>
      <c r="QD117" s="456"/>
      <c r="QE117" s="456"/>
      <c r="QF117" s="456"/>
      <c r="QG117" s="456"/>
      <c r="QH117" s="456"/>
      <c r="QI117" s="456"/>
      <c r="QJ117" s="456"/>
      <c r="QK117" s="456"/>
      <c r="QL117" s="456"/>
      <c r="QM117" s="456"/>
      <c r="QN117" s="456"/>
      <c r="QO117" s="456"/>
      <c r="QP117" s="456"/>
      <c r="QQ117" s="456"/>
      <c r="QR117" s="456"/>
      <c r="QS117" s="456"/>
      <c r="QT117" s="456"/>
      <c r="QU117" s="456"/>
      <c r="QV117" s="456"/>
      <c r="QW117" s="456"/>
      <c r="QX117" s="456"/>
      <c r="QY117" s="456"/>
      <c r="QZ117" s="456"/>
      <c r="RA117" s="456"/>
      <c r="RB117" s="456"/>
      <c r="RC117" s="456"/>
      <c r="RD117" s="456"/>
      <c r="RE117" s="456"/>
      <c r="RF117" s="456"/>
      <c r="RG117" s="456"/>
      <c r="RH117" s="456"/>
      <c r="RI117" s="456"/>
      <c r="RJ117" s="456"/>
      <c r="RK117" s="456"/>
      <c r="RL117" s="456"/>
      <c r="RM117" s="456"/>
      <c r="RN117" s="456"/>
      <c r="RO117" s="456"/>
      <c r="RP117" s="456"/>
      <c r="RQ117" s="456"/>
      <c r="RR117" s="456"/>
      <c r="RS117" s="456"/>
      <c r="RT117" s="456"/>
      <c r="RU117" s="456"/>
      <c r="RV117" s="456"/>
      <c r="RW117" s="456"/>
      <c r="RX117" s="456"/>
      <c r="RY117" s="456"/>
      <c r="RZ117" s="456"/>
      <c r="SA117" s="456"/>
      <c r="SB117" s="456"/>
      <c r="SC117" s="456"/>
      <c r="SD117" s="456"/>
      <c r="SE117" s="456"/>
      <c r="SF117" s="456"/>
      <c r="SG117" s="456"/>
      <c r="SH117" s="456"/>
      <c r="SI117" s="456"/>
      <c r="SJ117" s="456"/>
      <c r="SK117" s="456"/>
      <c r="SL117" s="456"/>
      <c r="SM117" s="456"/>
      <c r="SN117" s="456"/>
      <c r="SO117" s="456"/>
      <c r="SP117" s="456"/>
      <c r="SQ117" s="456"/>
      <c r="SR117" s="456"/>
      <c r="SS117" s="456"/>
      <c r="ST117" s="456"/>
      <c r="SU117" s="456"/>
      <c r="SV117" s="456"/>
      <c r="SW117" s="456"/>
      <c r="SX117" s="456"/>
      <c r="SY117" s="456"/>
      <c r="SZ117" s="456"/>
      <c r="TA117" s="456"/>
      <c r="TB117" s="456"/>
      <c r="TC117" s="456"/>
      <c r="TD117" s="456"/>
      <c r="TE117" s="456"/>
      <c r="TF117" s="456"/>
      <c r="TG117" s="456"/>
      <c r="TH117" s="456"/>
      <c r="TI117" s="456"/>
      <c r="TJ117" s="456"/>
      <c r="TK117" s="456"/>
      <c r="TL117" s="456"/>
      <c r="TM117" s="456"/>
      <c r="TN117" s="456"/>
      <c r="TO117" s="456"/>
      <c r="TP117" s="456"/>
      <c r="TQ117" s="456"/>
      <c r="TR117" s="456"/>
      <c r="TS117" s="456"/>
      <c r="TT117" s="456"/>
      <c r="TU117" s="456"/>
      <c r="TV117" s="456"/>
      <c r="TW117" s="456"/>
      <c r="TX117" s="456"/>
      <c r="TY117" s="456"/>
      <c r="TZ117" s="456"/>
      <c r="UA117" s="456"/>
      <c r="UB117" s="456"/>
      <c r="UC117" s="456"/>
      <c r="UD117" s="456"/>
      <c r="UE117" s="456"/>
      <c r="UF117" s="456"/>
      <c r="UG117" s="456"/>
      <c r="UH117" s="456"/>
      <c r="UI117" s="456"/>
      <c r="UJ117" s="456"/>
      <c r="UK117" s="456"/>
      <c r="UL117" s="456"/>
      <c r="UM117" s="456"/>
      <c r="UN117" s="456"/>
      <c r="UO117" s="456"/>
      <c r="UP117" s="456"/>
      <c r="UQ117" s="456"/>
      <c r="UR117" s="456"/>
      <c r="US117" s="456"/>
      <c r="UT117" s="456"/>
      <c r="UU117" s="456"/>
      <c r="UV117" s="456"/>
      <c r="UW117" s="456"/>
      <c r="UX117" s="456"/>
      <c r="UY117" s="456"/>
      <c r="UZ117" s="456"/>
      <c r="VA117" s="456"/>
      <c r="VB117" s="456"/>
      <c r="VC117" s="456"/>
      <c r="VD117" s="456"/>
      <c r="VE117" s="456"/>
      <c r="VF117" s="456"/>
      <c r="VG117" s="456"/>
      <c r="VH117" s="456"/>
      <c r="VI117" s="456"/>
      <c r="VJ117" s="456"/>
      <c r="VK117" s="456"/>
      <c r="VL117" s="456"/>
      <c r="VM117" s="456"/>
      <c r="VN117" s="456"/>
      <c r="VO117" s="456"/>
      <c r="VP117" s="456"/>
      <c r="VQ117" s="456"/>
      <c r="VR117" s="456"/>
      <c r="VS117" s="456"/>
      <c r="VT117" s="456"/>
      <c r="VU117" s="456"/>
      <c r="VV117" s="456"/>
      <c r="VW117" s="456"/>
      <c r="VX117" s="456"/>
      <c r="VY117" s="456"/>
      <c r="VZ117" s="456"/>
      <c r="WA117" s="456"/>
      <c r="WB117" s="456"/>
      <c r="WC117" s="456"/>
      <c r="WD117" s="456"/>
      <c r="WE117" s="456"/>
      <c r="WF117" s="456"/>
      <c r="WG117" s="456"/>
      <c r="WH117" s="456"/>
      <c r="WI117" s="456"/>
      <c r="WJ117" s="456"/>
      <c r="WK117" s="456"/>
      <c r="WL117" s="456"/>
      <c r="WM117" s="456"/>
      <c r="WN117" s="456"/>
      <c r="WO117" s="456"/>
      <c r="WP117" s="456"/>
      <c r="WQ117" s="456"/>
      <c r="WR117" s="456"/>
      <c r="WS117" s="456"/>
      <c r="WT117" s="456"/>
      <c r="WU117" s="456"/>
      <c r="WV117" s="456"/>
      <c r="WW117" s="456"/>
      <c r="WX117" s="456"/>
      <c r="WY117" s="456"/>
      <c r="WZ117" s="456"/>
      <c r="XA117" s="456"/>
      <c r="XB117" s="456"/>
      <c r="XC117" s="456"/>
      <c r="XD117" s="456"/>
      <c r="XE117" s="456"/>
      <c r="XF117" s="456"/>
      <c r="XG117" s="456"/>
      <c r="XH117" s="456"/>
      <c r="XI117" s="456"/>
      <c r="XJ117" s="456"/>
      <c r="XK117" s="456"/>
      <c r="XL117" s="456"/>
      <c r="XM117" s="456"/>
      <c r="XN117" s="456"/>
      <c r="XO117" s="456"/>
      <c r="XP117" s="456"/>
      <c r="XQ117" s="456"/>
      <c r="XR117" s="456"/>
      <c r="XS117" s="456"/>
      <c r="XT117" s="456"/>
      <c r="XU117" s="456"/>
      <c r="XV117" s="456"/>
      <c r="XW117" s="456"/>
      <c r="XX117" s="456"/>
      <c r="XY117" s="456"/>
      <c r="XZ117" s="456"/>
      <c r="YA117" s="456"/>
      <c r="YB117" s="456"/>
      <c r="YC117" s="456"/>
      <c r="YD117" s="456"/>
      <c r="YE117" s="456"/>
      <c r="YF117" s="456"/>
      <c r="YG117" s="456"/>
      <c r="YH117" s="456"/>
      <c r="YI117" s="456"/>
      <c r="YJ117" s="456"/>
      <c r="YK117" s="456"/>
      <c r="YL117" s="456"/>
      <c r="YM117" s="456"/>
      <c r="YN117" s="456"/>
      <c r="YO117" s="456"/>
      <c r="YP117" s="456"/>
      <c r="YQ117" s="456"/>
      <c r="YR117" s="456"/>
      <c r="YS117" s="456"/>
      <c r="YT117" s="456"/>
      <c r="YU117" s="456"/>
      <c r="YV117" s="456"/>
      <c r="YW117" s="456"/>
      <c r="YX117" s="456"/>
      <c r="YY117" s="456"/>
      <c r="YZ117" s="456"/>
      <c r="ZA117" s="456"/>
      <c r="ZB117" s="456"/>
      <c r="ZC117" s="456"/>
      <c r="ZD117" s="456"/>
      <c r="ZE117" s="456"/>
      <c r="ZF117" s="456"/>
      <c r="ZG117" s="456"/>
      <c r="ZH117" s="456"/>
      <c r="ZI117" s="456"/>
      <c r="ZJ117" s="456"/>
      <c r="ZK117" s="456"/>
      <c r="ZL117" s="456"/>
      <c r="ZM117" s="456"/>
      <c r="ZN117" s="456"/>
      <c r="ZO117" s="456"/>
      <c r="ZP117" s="456"/>
      <c r="ZQ117" s="456"/>
      <c r="ZR117" s="456"/>
      <c r="ZS117" s="456"/>
      <c r="ZT117" s="456"/>
      <c r="ZU117" s="456"/>
      <c r="ZV117" s="456"/>
      <c r="ZW117" s="456"/>
      <c r="ZX117" s="456"/>
      <c r="ZY117" s="456"/>
      <c r="ZZ117" s="456"/>
      <c r="AAA117" s="456"/>
      <c r="AAB117" s="456"/>
      <c r="AAC117" s="456"/>
      <c r="AAD117" s="456"/>
      <c r="AAE117" s="456"/>
      <c r="AAF117" s="456"/>
      <c r="AAG117" s="456"/>
      <c r="AAH117" s="456"/>
      <c r="AAI117" s="456"/>
      <c r="AAJ117" s="456"/>
      <c r="AAK117" s="456"/>
      <c r="AAL117" s="456"/>
      <c r="AAM117" s="456"/>
      <c r="AAN117" s="456"/>
      <c r="AAO117" s="456"/>
      <c r="AAP117" s="456"/>
      <c r="AAQ117" s="456"/>
      <c r="AAR117" s="456"/>
      <c r="AAS117" s="456"/>
      <c r="AAT117" s="456"/>
      <c r="AAU117" s="456"/>
      <c r="AAV117" s="456"/>
      <c r="AAW117" s="456"/>
      <c r="AAX117" s="456"/>
      <c r="AAY117" s="456"/>
      <c r="AAZ117" s="456"/>
      <c r="ABA117" s="456"/>
      <c r="ABB117" s="456"/>
      <c r="ABC117" s="456"/>
      <c r="ABD117" s="456"/>
      <c r="ABE117" s="456"/>
      <c r="ABF117" s="456"/>
      <c r="ABG117" s="456"/>
      <c r="ABH117" s="456"/>
      <c r="ABI117" s="456"/>
      <c r="ABJ117" s="456"/>
      <c r="ABK117" s="456"/>
      <c r="ABL117" s="456"/>
      <c r="ABM117" s="456"/>
      <c r="ABN117" s="456"/>
      <c r="ABO117" s="456"/>
      <c r="ABP117" s="456"/>
      <c r="ABQ117" s="456"/>
      <c r="ABR117" s="456"/>
      <c r="ABS117" s="456"/>
      <c r="ABT117" s="456"/>
      <c r="ABU117" s="456"/>
      <c r="ABV117" s="456"/>
      <c r="ABW117" s="456"/>
      <c r="ABX117" s="456"/>
      <c r="ABY117" s="456"/>
      <c r="ABZ117" s="456"/>
      <c r="ACA117" s="456"/>
      <c r="ACB117" s="456"/>
      <c r="ACC117" s="456"/>
      <c r="ACD117" s="456"/>
      <c r="ACE117" s="456"/>
      <c r="ACF117" s="456"/>
      <c r="ACG117" s="456"/>
      <c r="ACH117" s="456"/>
      <c r="ACI117" s="456"/>
      <c r="ACJ117" s="456"/>
      <c r="ACK117" s="456"/>
      <c r="ACL117" s="456"/>
      <c r="ACM117" s="456"/>
      <c r="ACN117" s="456"/>
      <c r="ACO117" s="456"/>
      <c r="ACP117" s="456"/>
      <c r="ACQ117" s="456"/>
      <c r="ACR117" s="456"/>
      <c r="ACS117" s="456"/>
      <c r="ACT117" s="456"/>
      <c r="ACU117" s="456"/>
      <c r="ACV117" s="456"/>
      <c r="ACW117" s="456"/>
      <c r="ACX117" s="456"/>
      <c r="ACY117" s="456"/>
      <c r="ACZ117" s="456"/>
      <c r="ADA117" s="456"/>
      <c r="ADB117" s="456"/>
      <c r="ADC117" s="456"/>
      <c r="ADD117" s="456"/>
      <c r="ADE117" s="456"/>
      <c r="ADF117" s="456"/>
      <c r="ADG117" s="456"/>
      <c r="ADH117" s="456"/>
      <c r="ADI117" s="456"/>
      <c r="ADJ117" s="456"/>
      <c r="ADK117" s="456"/>
      <c r="ADL117" s="456"/>
      <c r="ADM117" s="456"/>
      <c r="ADN117" s="456"/>
      <c r="ADO117" s="456"/>
      <c r="ADP117" s="456"/>
      <c r="ADQ117" s="456"/>
      <c r="ADR117" s="456"/>
      <c r="ADS117" s="456"/>
      <c r="ADT117" s="456"/>
      <c r="ADU117" s="456"/>
      <c r="ADV117" s="456"/>
      <c r="ADW117" s="456"/>
      <c r="ADX117" s="456"/>
      <c r="ADY117" s="456"/>
      <c r="ADZ117" s="456"/>
      <c r="AEA117" s="456"/>
      <c r="AEB117" s="456"/>
      <c r="AEC117" s="456"/>
      <c r="AED117" s="456"/>
      <c r="AEE117" s="456"/>
      <c r="AEF117" s="456"/>
      <c r="AEG117" s="456"/>
      <c r="AEH117" s="456"/>
      <c r="AEI117" s="456"/>
      <c r="AEJ117" s="456"/>
      <c r="AEK117" s="456"/>
      <c r="AEL117" s="456"/>
      <c r="AEM117" s="456"/>
      <c r="AEN117" s="456"/>
      <c r="AEO117" s="456"/>
      <c r="AEP117" s="456"/>
      <c r="AEQ117" s="456"/>
      <c r="AER117" s="456"/>
      <c r="AES117" s="456"/>
      <c r="AET117" s="456"/>
      <c r="AEU117" s="456"/>
      <c r="AEV117" s="456"/>
      <c r="AEW117" s="456"/>
      <c r="AEX117" s="456"/>
      <c r="AEY117" s="456"/>
      <c r="AEZ117" s="456"/>
      <c r="AFA117" s="456"/>
      <c r="AFB117" s="456"/>
      <c r="AFC117" s="456"/>
      <c r="AFD117" s="456"/>
      <c r="AFE117" s="456"/>
      <c r="AFF117" s="456"/>
      <c r="AFG117" s="456"/>
      <c r="AFH117" s="456"/>
      <c r="AFI117" s="456"/>
      <c r="AFJ117" s="456"/>
      <c r="AFK117" s="456"/>
      <c r="AFL117" s="456"/>
      <c r="AFM117" s="456"/>
      <c r="AFN117" s="456"/>
      <c r="AFO117" s="456"/>
      <c r="AFP117" s="456"/>
      <c r="AFQ117" s="456"/>
      <c r="AFR117" s="456"/>
      <c r="AFS117" s="456"/>
      <c r="AFT117" s="456"/>
      <c r="AFU117" s="456"/>
      <c r="AFV117" s="456"/>
      <c r="AFW117" s="456"/>
      <c r="AFX117" s="456"/>
      <c r="AFY117" s="456"/>
      <c r="AFZ117" s="456"/>
      <c r="AGA117" s="456"/>
      <c r="AGB117" s="456"/>
      <c r="AGC117" s="456"/>
      <c r="AGD117" s="456"/>
      <c r="AGE117" s="456"/>
      <c r="AGF117" s="456"/>
      <c r="AGG117" s="456"/>
      <c r="AGH117" s="456"/>
      <c r="AGI117" s="456"/>
      <c r="AGJ117" s="456"/>
      <c r="AGK117" s="456"/>
      <c r="AGL117" s="456"/>
      <c r="AGM117" s="456"/>
      <c r="AGN117" s="456"/>
      <c r="AGO117" s="456"/>
      <c r="AGP117" s="456"/>
      <c r="AGQ117" s="456"/>
      <c r="AGR117" s="456"/>
      <c r="AGS117" s="456"/>
      <c r="AGT117" s="456"/>
      <c r="AGU117" s="456"/>
      <c r="AGV117" s="456"/>
      <c r="AGW117" s="456"/>
      <c r="AGX117" s="456"/>
      <c r="AGY117" s="456"/>
      <c r="AGZ117" s="456"/>
      <c r="AHA117" s="456"/>
      <c r="AHB117" s="456"/>
      <c r="AHC117" s="456"/>
      <c r="AHD117" s="456"/>
      <c r="AHE117" s="456"/>
      <c r="AHF117" s="456"/>
      <c r="AHG117" s="456"/>
      <c r="AHH117" s="456"/>
      <c r="AHI117" s="456"/>
      <c r="AHJ117" s="456"/>
      <c r="AHK117" s="456"/>
      <c r="AHL117" s="456"/>
      <c r="AHM117" s="456"/>
      <c r="AHN117" s="456"/>
      <c r="AHO117" s="456"/>
      <c r="AHP117" s="456"/>
      <c r="AHQ117" s="456"/>
      <c r="AHR117" s="456"/>
      <c r="AHS117" s="456"/>
      <c r="AHT117" s="456"/>
      <c r="AHU117" s="456"/>
      <c r="AHV117" s="456"/>
      <c r="AHW117" s="456"/>
      <c r="AHX117" s="456"/>
      <c r="AHY117" s="456"/>
      <c r="AHZ117" s="456"/>
      <c r="AIA117" s="456"/>
      <c r="AIB117" s="456"/>
      <c r="AIC117" s="456"/>
      <c r="AID117" s="456"/>
      <c r="AIE117" s="456"/>
      <c r="AIF117" s="456"/>
      <c r="AIG117" s="456"/>
      <c r="AIH117" s="456"/>
      <c r="AII117" s="456"/>
      <c r="AIJ117" s="456"/>
      <c r="AIK117" s="456"/>
      <c r="AIL117" s="456"/>
      <c r="AIM117" s="456"/>
      <c r="AIN117" s="456"/>
      <c r="AIO117" s="456"/>
      <c r="AIP117" s="456"/>
      <c r="AIQ117" s="456"/>
      <c r="AIR117" s="456"/>
      <c r="AIS117" s="456"/>
      <c r="AIT117" s="456"/>
      <c r="AIU117" s="456"/>
      <c r="AIV117" s="456"/>
      <c r="AIW117" s="456"/>
      <c r="AIX117" s="456"/>
      <c r="AIY117" s="456"/>
      <c r="AIZ117" s="456"/>
      <c r="AJA117" s="456"/>
      <c r="AJB117" s="456"/>
      <c r="AJC117" s="456"/>
      <c r="AJD117" s="456"/>
      <c r="AJE117" s="456"/>
      <c r="AJF117" s="456"/>
      <c r="AJG117" s="456"/>
      <c r="AJH117" s="456"/>
      <c r="AJI117" s="456"/>
      <c r="AJJ117" s="456"/>
      <c r="AJK117" s="456"/>
      <c r="AJL117" s="456"/>
      <c r="AJM117" s="456"/>
      <c r="AJN117" s="456"/>
      <c r="AJO117" s="456"/>
      <c r="AJP117" s="456"/>
      <c r="AJQ117" s="456"/>
      <c r="AJR117" s="456"/>
      <c r="AJS117" s="456"/>
      <c r="AJT117" s="456"/>
      <c r="AJU117" s="456"/>
      <c r="AJV117" s="456"/>
      <c r="AJW117" s="456"/>
      <c r="AJX117" s="456"/>
      <c r="AJY117" s="456"/>
      <c r="AJZ117" s="456"/>
      <c r="AKA117" s="456"/>
      <c r="AKB117" s="456"/>
      <c r="AKC117" s="456"/>
      <c r="AKD117" s="456"/>
      <c r="AKE117" s="456"/>
      <c r="AKF117" s="456"/>
      <c r="AKG117" s="456"/>
      <c r="AKH117" s="456"/>
      <c r="AKI117" s="456"/>
      <c r="AKJ117" s="456"/>
      <c r="AKK117" s="456"/>
      <c r="AKL117" s="456"/>
      <c r="AKM117" s="456"/>
      <c r="AKN117" s="456"/>
      <c r="AKO117" s="456"/>
      <c r="AKP117" s="456"/>
      <c r="AKQ117" s="456"/>
      <c r="AKR117" s="456"/>
      <c r="AKS117" s="456"/>
      <c r="AKT117" s="456"/>
      <c r="AKU117" s="456"/>
      <c r="AKV117" s="456"/>
      <c r="AKW117" s="456"/>
      <c r="AKX117" s="456"/>
      <c r="AKY117" s="456"/>
      <c r="AKZ117" s="456"/>
      <c r="ALA117" s="456"/>
      <c r="ALB117" s="456"/>
      <c r="ALC117" s="456"/>
      <c r="ALD117" s="456"/>
      <c r="ALE117" s="456"/>
      <c r="ALF117" s="456"/>
      <c r="ALG117" s="456"/>
      <c r="ALH117" s="456"/>
      <c r="ALI117" s="456"/>
      <c r="ALJ117" s="456"/>
      <c r="ALK117" s="456"/>
      <c r="ALL117" s="456"/>
      <c r="ALM117" s="456"/>
      <c r="ALN117" s="456"/>
      <c r="ALO117" s="456"/>
      <c r="ALP117" s="456"/>
      <c r="ALQ117" s="456"/>
      <c r="ALR117" s="456"/>
      <c r="ALS117" s="456"/>
      <c r="ALT117" s="456"/>
      <c r="ALU117" s="456"/>
      <c r="ALV117" s="456"/>
      <c r="ALW117" s="456"/>
      <c r="ALX117" s="456"/>
      <c r="ALY117" s="456"/>
      <c r="ALZ117" s="456"/>
      <c r="AMA117" s="456"/>
      <c r="AMB117" s="456"/>
      <c r="AMC117" s="456"/>
      <c r="AMD117" s="456"/>
      <c r="AME117" s="456"/>
      <c r="AMF117" s="456"/>
      <c r="AMG117" s="456"/>
      <c r="AMH117" s="456"/>
      <c r="AMI117" s="456"/>
      <c r="AMJ117" s="456"/>
      <c r="AMK117" s="456"/>
      <c r="AML117" s="456"/>
      <c r="AMM117" s="456"/>
      <c r="AMN117" s="456"/>
      <c r="AMO117" s="456"/>
      <c r="AMP117" s="456"/>
      <c r="AMQ117" s="456"/>
      <c r="AMR117" s="456"/>
      <c r="AMS117" s="456"/>
      <c r="AMT117" s="456"/>
      <c r="AMU117" s="456"/>
      <c r="AMV117" s="456"/>
      <c r="AMW117" s="456"/>
      <c r="AMX117" s="456"/>
      <c r="AMY117" s="456"/>
      <c r="AMZ117" s="456"/>
      <c r="ANA117" s="456"/>
      <c r="ANB117" s="456"/>
      <c r="ANC117" s="456"/>
      <c r="AND117" s="456"/>
      <c r="ANE117" s="456"/>
      <c r="ANF117" s="456"/>
      <c r="ANG117" s="456"/>
      <c r="ANH117" s="456"/>
      <c r="ANI117" s="456"/>
      <c r="ANJ117" s="456"/>
      <c r="ANK117" s="456"/>
      <c r="ANL117" s="456"/>
      <c r="ANM117" s="456"/>
      <c r="ANN117" s="456"/>
      <c r="ANO117" s="456"/>
      <c r="ANP117" s="456"/>
      <c r="ANQ117" s="456"/>
      <c r="ANR117" s="456"/>
      <c r="ANS117" s="456"/>
      <c r="ANT117" s="456"/>
      <c r="ANU117" s="456"/>
      <c r="ANV117" s="456"/>
      <c r="ANW117" s="456"/>
      <c r="ANX117" s="456"/>
      <c r="ANY117" s="456"/>
      <c r="ANZ117" s="456"/>
      <c r="AOA117" s="456"/>
      <c r="AOB117" s="456"/>
      <c r="AOC117" s="456"/>
      <c r="AOD117" s="456"/>
      <c r="AOE117" s="456"/>
      <c r="AOF117" s="456"/>
      <c r="AOG117" s="456"/>
      <c r="AOH117" s="456"/>
      <c r="AOI117" s="456"/>
      <c r="AOJ117" s="456"/>
      <c r="AOK117" s="456"/>
      <c r="AOL117" s="456"/>
      <c r="AOM117" s="456"/>
      <c r="AON117" s="456"/>
      <c r="AOO117" s="456"/>
      <c r="AOP117" s="456"/>
      <c r="AOQ117" s="456"/>
      <c r="AOR117" s="456"/>
      <c r="AOS117" s="456"/>
      <c r="AOT117" s="456"/>
      <c r="AOU117" s="456"/>
      <c r="AOV117" s="456"/>
      <c r="AOW117" s="456"/>
      <c r="AOX117" s="456"/>
      <c r="AOY117" s="456"/>
      <c r="AOZ117" s="456"/>
      <c r="APA117" s="456"/>
      <c r="APB117" s="456"/>
      <c r="APC117" s="456"/>
      <c r="APD117" s="456"/>
      <c r="APE117" s="456"/>
      <c r="APF117" s="456"/>
      <c r="APG117" s="456"/>
      <c r="APH117" s="456"/>
      <c r="API117" s="456"/>
      <c r="APJ117" s="456"/>
      <c r="APK117" s="456"/>
      <c r="APL117" s="456"/>
      <c r="APM117" s="456"/>
      <c r="APN117" s="456"/>
      <c r="APO117" s="456"/>
      <c r="APP117" s="456"/>
      <c r="APQ117" s="456"/>
      <c r="APR117" s="456"/>
      <c r="APS117" s="456"/>
      <c r="APT117" s="456"/>
      <c r="APU117" s="456"/>
      <c r="APV117" s="456"/>
      <c r="APW117" s="456"/>
      <c r="APX117" s="456"/>
      <c r="APY117" s="456"/>
      <c r="APZ117" s="456"/>
      <c r="AQA117" s="456"/>
      <c r="AQB117" s="456"/>
      <c r="AQC117" s="456"/>
      <c r="AQD117" s="456"/>
      <c r="AQE117" s="456"/>
      <c r="AQF117" s="456"/>
      <c r="AQG117" s="456"/>
      <c r="AQH117" s="456"/>
      <c r="AQI117" s="456"/>
      <c r="AQJ117" s="456"/>
      <c r="AQK117" s="456"/>
      <c r="AQL117" s="456"/>
      <c r="AQM117" s="456"/>
      <c r="AQN117" s="456"/>
      <c r="AQO117" s="456"/>
      <c r="AQP117" s="456"/>
      <c r="AQQ117" s="456"/>
      <c r="AQR117" s="456"/>
      <c r="AQS117" s="456"/>
      <c r="AQT117" s="456"/>
      <c r="AQU117" s="456"/>
      <c r="AQV117" s="456"/>
      <c r="AQW117" s="456"/>
      <c r="AQX117" s="456"/>
      <c r="AQY117" s="456"/>
      <c r="AQZ117" s="456"/>
      <c r="ARA117" s="456"/>
      <c r="ARB117" s="456"/>
      <c r="ARC117" s="456"/>
      <c r="ARD117" s="456"/>
      <c r="ARE117" s="456"/>
      <c r="ARF117" s="456"/>
      <c r="ARG117" s="456"/>
      <c r="ARH117" s="456"/>
      <c r="ARI117" s="456"/>
      <c r="ARJ117" s="456"/>
      <c r="ARK117" s="456"/>
      <c r="ARL117" s="456"/>
      <c r="ARM117" s="456"/>
      <c r="ARN117" s="456"/>
      <c r="ARO117" s="456"/>
      <c r="ARP117" s="456"/>
      <c r="ARQ117" s="456"/>
      <c r="ARR117" s="456"/>
      <c r="ARS117" s="456"/>
      <c r="ART117" s="456"/>
      <c r="ARU117" s="456"/>
      <c r="ARV117" s="456"/>
      <c r="ARW117" s="456"/>
      <c r="ARX117" s="456"/>
      <c r="ARY117" s="456"/>
      <c r="ARZ117" s="456"/>
      <c r="ASA117" s="456"/>
      <c r="ASB117" s="456"/>
      <c r="ASC117" s="456"/>
      <c r="ASD117" s="456"/>
      <c r="ASE117" s="456"/>
      <c r="ASF117" s="456"/>
      <c r="ASG117" s="456"/>
      <c r="ASH117" s="456"/>
      <c r="ASI117" s="456"/>
      <c r="ASJ117" s="456"/>
      <c r="ASK117" s="456"/>
      <c r="ASL117" s="456"/>
      <c r="ASM117" s="456"/>
      <c r="ASN117" s="456"/>
      <c r="ASO117" s="456"/>
      <c r="ASP117" s="456"/>
      <c r="ASQ117" s="456"/>
      <c r="ASR117" s="456"/>
      <c r="ASS117" s="456"/>
      <c r="AST117" s="456"/>
      <c r="ASU117" s="456"/>
      <c r="ASV117" s="456"/>
      <c r="ASW117" s="456"/>
      <c r="ASX117" s="456"/>
      <c r="ASY117" s="456"/>
      <c r="ASZ117" s="456"/>
      <c r="ATA117" s="456"/>
      <c r="ATB117" s="456"/>
      <c r="ATC117" s="456"/>
      <c r="ATD117" s="456"/>
      <c r="ATE117" s="456"/>
      <c r="ATF117" s="456"/>
      <c r="ATG117" s="456"/>
      <c r="ATH117" s="456"/>
      <c r="ATI117" s="456"/>
      <c r="ATJ117" s="456"/>
      <c r="ATK117" s="456"/>
      <c r="ATL117" s="456"/>
      <c r="ATM117" s="456"/>
      <c r="ATN117" s="456"/>
      <c r="ATO117" s="456"/>
      <c r="ATP117" s="456"/>
      <c r="ATQ117" s="456"/>
      <c r="ATR117" s="456"/>
      <c r="ATS117" s="456"/>
      <c r="ATT117" s="456"/>
      <c r="ATU117" s="456"/>
      <c r="ATV117" s="456"/>
      <c r="ATW117" s="456"/>
      <c r="ATX117" s="456"/>
      <c r="ATY117" s="456"/>
      <c r="ATZ117" s="456"/>
      <c r="AUA117" s="456"/>
      <c r="AUB117" s="456"/>
      <c r="AUC117" s="456"/>
      <c r="AUD117" s="456"/>
      <c r="AUE117" s="456"/>
      <c r="AUF117" s="456"/>
      <c r="AUG117" s="456"/>
      <c r="AUH117" s="456"/>
      <c r="AUI117" s="456"/>
      <c r="AUJ117" s="456"/>
      <c r="AUK117" s="456"/>
      <c r="AUL117" s="456"/>
      <c r="AUM117" s="456"/>
      <c r="AUN117" s="456"/>
      <c r="AUO117" s="456"/>
      <c r="AUP117" s="456"/>
      <c r="AUQ117" s="456"/>
      <c r="AUR117" s="456"/>
      <c r="AUS117" s="456"/>
      <c r="AUT117" s="456"/>
      <c r="AUU117" s="456"/>
      <c r="AUV117" s="456"/>
      <c r="AUW117" s="456"/>
      <c r="AUX117" s="456"/>
      <c r="AUY117" s="456"/>
      <c r="AUZ117" s="456"/>
      <c r="AVA117" s="456"/>
      <c r="AVB117" s="456"/>
      <c r="AVC117" s="456"/>
      <c r="AVD117" s="456"/>
      <c r="AVE117" s="456"/>
      <c r="AVF117" s="456"/>
      <c r="AVG117" s="456"/>
      <c r="AVH117" s="456"/>
      <c r="AVI117" s="456"/>
      <c r="AVJ117" s="456"/>
      <c r="AVK117" s="456"/>
      <c r="AVL117" s="456"/>
      <c r="AVM117" s="456"/>
      <c r="AVN117" s="456"/>
      <c r="AVO117" s="456"/>
      <c r="AVP117" s="456"/>
      <c r="AVQ117" s="456"/>
      <c r="AVR117" s="456"/>
      <c r="AVS117" s="456"/>
      <c r="AVT117" s="456"/>
      <c r="AVU117" s="456"/>
      <c r="AVV117" s="456"/>
      <c r="AVW117" s="456"/>
      <c r="AVX117" s="456"/>
      <c r="AVY117" s="456"/>
      <c r="AVZ117" s="456"/>
      <c r="AWA117" s="456"/>
      <c r="AWB117" s="456"/>
      <c r="AWC117" s="456"/>
      <c r="AWD117" s="456"/>
      <c r="AWE117" s="456"/>
      <c r="AWF117" s="456"/>
      <c r="AWG117" s="456"/>
      <c r="AWH117" s="456"/>
      <c r="AWI117" s="456"/>
      <c r="AWJ117" s="456"/>
      <c r="AWK117" s="456"/>
      <c r="AWL117" s="456"/>
      <c r="AWM117" s="456"/>
      <c r="AWN117" s="456"/>
      <c r="AWO117" s="456"/>
      <c r="AWP117" s="456"/>
      <c r="AWQ117" s="456"/>
      <c r="AWR117" s="456"/>
      <c r="AWS117" s="456"/>
      <c r="AWT117" s="456"/>
      <c r="AWU117" s="456"/>
      <c r="AWV117" s="456"/>
      <c r="AWW117" s="456"/>
      <c r="AWX117" s="456"/>
      <c r="AWY117" s="456"/>
      <c r="AWZ117" s="456"/>
      <c r="AXA117" s="456"/>
      <c r="AXB117" s="456"/>
      <c r="AXC117" s="456"/>
      <c r="AXD117" s="456"/>
      <c r="AXE117" s="456"/>
      <c r="AXF117" s="456"/>
      <c r="AXG117" s="456"/>
      <c r="AXH117" s="456"/>
      <c r="AXI117" s="456"/>
      <c r="AXJ117" s="456"/>
      <c r="AXK117" s="456"/>
      <c r="AXL117" s="456"/>
      <c r="AXM117" s="456"/>
      <c r="AXN117" s="456"/>
      <c r="AXO117" s="456"/>
      <c r="AXP117" s="456"/>
      <c r="AXQ117" s="456"/>
      <c r="AXR117" s="456"/>
      <c r="AXS117" s="456"/>
      <c r="AXT117" s="456"/>
      <c r="AXU117" s="456"/>
      <c r="AXV117" s="456"/>
      <c r="AXW117" s="456"/>
      <c r="AXX117" s="456"/>
      <c r="AXY117" s="456"/>
      <c r="AXZ117" s="456"/>
      <c r="AYA117" s="456"/>
      <c r="AYB117" s="456"/>
      <c r="AYC117" s="456"/>
      <c r="AYD117" s="456"/>
      <c r="AYE117" s="456"/>
      <c r="AYF117" s="456"/>
      <c r="AYG117" s="456"/>
      <c r="AYH117" s="456"/>
      <c r="AYI117" s="456"/>
      <c r="AYJ117" s="456"/>
      <c r="AYK117" s="456"/>
      <c r="AYL117" s="456"/>
      <c r="AYM117" s="456"/>
      <c r="AYN117" s="456"/>
      <c r="AYO117" s="456"/>
      <c r="AYP117" s="456"/>
      <c r="AYQ117" s="456"/>
      <c r="AYR117" s="456"/>
      <c r="AYS117" s="456"/>
      <c r="AYT117" s="456"/>
      <c r="AYU117" s="456"/>
      <c r="AYV117" s="456"/>
      <c r="AYW117" s="456"/>
      <c r="AYX117" s="456"/>
      <c r="AYY117" s="456"/>
      <c r="AYZ117" s="456"/>
      <c r="AZA117" s="456"/>
      <c r="AZB117" s="456"/>
      <c r="AZC117" s="456"/>
      <c r="AZD117" s="456"/>
      <c r="AZE117" s="456"/>
      <c r="AZF117" s="456"/>
      <c r="AZG117" s="456"/>
      <c r="AZH117" s="456"/>
      <c r="AZI117" s="456"/>
      <c r="AZJ117" s="456"/>
      <c r="AZK117" s="456"/>
      <c r="AZL117" s="456"/>
      <c r="AZM117" s="456"/>
      <c r="AZN117" s="456"/>
      <c r="AZO117" s="456"/>
      <c r="AZP117" s="456"/>
      <c r="AZQ117" s="456"/>
      <c r="AZR117" s="456"/>
      <c r="AZS117" s="456"/>
      <c r="AZT117" s="456"/>
      <c r="AZU117" s="456"/>
      <c r="AZV117" s="456"/>
      <c r="AZW117" s="456"/>
      <c r="AZX117" s="456"/>
      <c r="AZY117" s="456"/>
      <c r="AZZ117" s="456"/>
      <c r="BAA117" s="456"/>
      <c r="BAB117" s="456"/>
      <c r="BAC117" s="456"/>
      <c r="BAD117" s="456"/>
      <c r="BAE117" s="456"/>
      <c r="BAF117" s="456"/>
      <c r="BAG117" s="456"/>
      <c r="BAH117" s="456"/>
      <c r="BAI117" s="456"/>
      <c r="BAJ117" s="456"/>
      <c r="BAK117" s="456"/>
      <c r="BAL117" s="456"/>
      <c r="BAM117" s="456"/>
      <c r="BAN117" s="456"/>
      <c r="BAO117" s="456"/>
      <c r="BAP117" s="456"/>
      <c r="BAQ117" s="456"/>
      <c r="BAR117" s="456"/>
      <c r="BAS117" s="456"/>
      <c r="BAT117" s="456"/>
      <c r="BAU117" s="456"/>
      <c r="BAV117" s="456"/>
      <c r="BAW117" s="456"/>
      <c r="BAX117" s="456"/>
      <c r="BAY117" s="456"/>
      <c r="BAZ117" s="456"/>
      <c r="BBA117" s="456"/>
      <c r="BBB117" s="456"/>
      <c r="BBC117" s="456"/>
      <c r="BBD117" s="456"/>
      <c r="BBE117" s="456"/>
      <c r="BBF117" s="456"/>
      <c r="BBG117" s="456"/>
      <c r="BBH117" s="456"/>
      <c r="BBI117" s="456"/>
      <c r="BBJ117" s="456"/>
      <c r="BBK117" s="456"/>
      <c r="BBL117" s="456"/>
      <c r="BBM117" s="456"/>
      <c r="BBN117" s="456"/>
      <c r="BBO117" s="456"/>
      <c r="BBP117" s="456"/>
      <c r="BBQ117" s="456"/>
      <c r="BBR117" s="456"/>
      <c r="BBS117" s="456"/>
      <c r="BBT117" s="456"/>
      <c r="BBU117" s="456"/>
      <c r="BBV117" s="456"/>
      <c r="BBW117" s="456"/>
      <c r="BBX117" s="456"/>
      <c r="BBY117" s="456"/>
      <c r="BBZ117" s="456"/>
      <c r="BCA117" s="456"/>
      <c r="BCB117" s="456"/>
      <c r="BCC117" s="456"/>
      <c r="BCD117" s="456"/>
      <c r="BCE117" s="456"/>
      <c r="BCF117" s="456"/>
      <c r="BCG117" s="456"/>
      <c r="BCH117" s="456"/>
      <c r="BCI117" s="456"/>
      <c r="BCJ117" s="456"/>
      <c r="BCK117" s="456"/>
      <c r="BCL117" s="456"/>
      <c r="BCM117" s="456"/>
      <c r="BCN117" s="456"/>
      <c r="BCO117" s="456"/>
      <c r="BCP117" s="456"/>
      <c r="BCQ117" s="456"/>
      <c r="BCR117" s="456"/>
      <c r="BCS117" s="456"/>
      <c r="BCT117" s="456"/>
      <c r="BCU117" s="456"/>
      <c r="BCV117" s="456"/>
      <c r="BCW117" s="456"/>
      <c r="BCX117" s="456"/>
      <c r="BCY117" s="456"/>
      <c r="BCZ117" s="456"/>
      <c r="BDA117" s="456"/>
      <c r="BDB117" s="456"/>
      <c r="BDC117" s="456"/>
      <c r="BDD117" s="456"/>
      <c r="BDE117" s="456"/>
      <c r="BDF117" s="456"/>
      <c r="BDG117" s="456"/>
      <c r="BDH117" s="456"/>
      <c r="BDI117" s="456"/>
      <c r="BDJ117" s="456"/>
      <c r="BDK117" s="456"/>
      <c r="BDL117" s="456"/>
      <c r="BDM117" s="456"/>
      <c r="BDN117" s="456"/>
      <c r="BDO117" s="456"/>
      <c r="BDP117" s="456"/>
      <c r="BDQ117" s="456"/>
      <c r="BDR117" s="456"/>
      <c r="BDS117" s="456"/>
      <c r="BDT117" s="456"/>
      <c r="BDU117" s="456"/>
      <c r="BDV117" s="456"/>
      <c r="BDW117" s="456"/>
      <c r="BDX117" s="456"/>
      <c r="BDY117" s="456"/>
      <c r="BDZ117" s="456"/>
      <c r="BEA117" s="456"/>
      <c r="BEB117" s="456"/>
      <c r="BEC117" s="456"/>
      <c r="BED117" s="456"/>
      <c r="BEE117" s="456"/>
      <c r="BEF117" s="456"/>
      <c r="BEG117" s="456"/>
      <c r="BEH117" s="456"/>
      <c r="BEI117" s="456"/>
      <c r="BEJ117" s="456"/>
      <c r="BEK117" s="456"/>
      <c r="BEL117" s="456"/>
      <c r="BEM117" s="456"/>
      <c r="BEN117" s="456"/>
      <c r="BEO117" s="456"/>
      <c r="BEP117" s="456"/>
      <c r="BEQ117" s="456"/>
      <c r="BER117" s="456"/>
      <c r="BES117" s="456"/>
      <c r="BET117" s="456"/>
      <c r="BEU117" s="456"/>
      <c r="BEV117" s="456"/>
      <c r="BEW117" s="456"/>
      <c r="BEX117" s="456"/>
      <c r="BEY117" s="456"/>
      <c r="BEZ117" s="456"/>
      <c r="BFA117" s="456"/>
      <c r="BFB117" s="456"/>
      <c r="BFC117" s="456"/>
      <c r="BFD117" s="456"/>
      <c r="BFE117" s="456"/>
      <c r="BFF117" s="456"/>
      <c r="BFG117" s="456"/>
      <c r="BFH117" s="456"/>
      <c r="BFI117" s="456"/>
      <c r="BFJ117" s="456"/>
      <c r="BFK117" s="456"/>
      <c r="BFL117" s="456"/>
      <c r="BFM117" s="456"/>
      <c r="BFN117" s="456"/>
      <c r="BFO117" s="456"/>
      <c r="BFP117" s="456"/>
      <c r="BFQ117" s="456"/>
      <c r="BFR117" s="456"/>
      <c r="BFS117" s="456"/>
      <c r="BFT117" s="456"/>
      <c r="BFU117" s="456"/>
      <c r="BFV117" s="456"/>
      <c r="BFW117" s="456"/>
      <c r="BFX117" s="456"/>
      <c r="BFY117" s="456"/>
      <c r="BFZ117" s="456"/>
      <c r="BGA117" s="456"/>
      <c r="BGB117" s="456"/>
      <c r="BGC117" s="456"/>
      <c r="BGD117" s="456"/>
      <c r="BGE117" s="456"/>
      <c r="BGF117" s="456"/>
      <c r="BGG117" s="456"/>
      <c r="BGH117" s="456"/>
      <c r="BGI117" s="456"/>
      <c r="BGJ117" s="456"/>
      <c r="BGK117" s="456"/>
      <c r="BGL117" s="456"/>
      <c r="BGM117" s="456"/>
      <c r="BGN117" s="456"/>
      <c r="BGO117" s="456"/>
      <c r="BGP117" s="456"/>
      <c r="BGQ117" s="456"/>
      <c r="BGR117" s="456"/>
      <c r="BGS117" s="456"/>
      <c r="BGT117" s="456"/>
      <c r="BGU117" s="456"/>
      <c r="BGV117" s="456"/>
      <c r="BGW117" s="456"/>
      <c r="BGX117" s="456"/>
      <c r="BGY117" s="456"/>
      <c r="BGZ117" s="456"/>
      <c r="BHA117" s="456"/>
      <c r="BHB117" s="456"/>
      <c r="BHC117" s="456"/>
      <c r="BHD117" s="456"/>
      <c r="BHE117" s="456"/>
      <c r="BHF117" s="456"/>
      <c r="BHG117" s="456"/>
      <c r="BHH117" s="456"/>
      <c r="BHI117" s="456"/>
      <c r="BHJ117" s="456"/>
      <c r="BHK117" s="456"/>
      <c r="BHL117" s="456"/>
      <c r="BHM117" s="456"/>
      <c r="BHN117" s="456"/>
      <c r="BHO117" s="456"/>
      <c r="BHP117" s="456"/>
      <c r="BHQ117" s="456"/>
      <c r="BHR117" s="456"/>
      <c r="BHS117" s="456"/>
      <c r="BHT117" s="456"/>
      <c r="BHU117" s="456"/>
      <c r="BHV117" s="456"/>
      <c r="BHW117" s="456"/>
      <c r="BHX117" s="456"/>
      <c r="BHY117" s="456"/>
      <c r="BHZ117" s="456"/>
      <c r="BIA117" s="456"/>
      <c r="BIB117" s="456"/>
      <c r="BIC117" s="456"/>
      <c r="BID117" s="456"/>
      <c r="BIE117" s="456"/>
      <c r="BIF117" s="456"/>
      <c r="BIG117" s="456"/>
      <c r="BIH117" s="456"/>
      <c r="BII117" s="456"/>
      <c r="BIJ117" s="456"/>
      <c r="BIK117" s="456"/>
      <c r="BIL117" s="456"/>
      <c r="BIM117" s="456"/>
      <c r="BIN117" s="456"/>
      <c r="BIO117" s="456"/>
      <c r="BIP117" s="456"/>
      <c r="BIQ117" s="456"/>
      <c r="BIR117" s="456"/>
      <c r="BIS117" s="456"/>
      <c r="BIT117" s="456"/>
      <c r="BIU117" s="456"/>
      <c r="BIV117" s="456"/>
      <c r="BIW117" s="456"/>
      <c r="BIX117" s="456"/>
      <c r="BIY117" s="456"/>
      <c r="BIZ117" s="456"/>
      <c r="BJA117" s="456"/>
      <c r="BJB117" s="456"/>
      <c r="BJC117" s="456"/>
      <c r="BJD117" s="456"/>
      <c r="BJE117" s="456"/>
      <c r="BJF117" s="456"/>
      <c r="BJG117" s="456"/>
      <c r="BJH117" s="456"/>
      <c r="BJI117" s="456"/>
      <c r="BJJ117" s="456"/>
      <c r="BJK117" s="456"/>
      <c r="BJL117" s="456"/>
      <c r="BJM117" s="456"/>
      <c r="BJN117" s="456"/>
      <c r="BJO117" s="456"/>
      <c r="BJP117" s="456"/>
      <c r="BJQ117" s="456"/>
      <c r="BJR117" s="456"/>
      <c r="BJS117" s="456"/>
      <c r="BJT117" s="456"/>
      <c r="BJU117" s="456"/>
      <c r="BJV117" s="456"/>
      <c r="BJW117" s="456"/>
      <c r="BJX117" s="456"/>
      <c r="BJY117" s="456"/>
      <c r="BJZ117" s="456"/>
      <c r="BKA117" s="456"/>
      <c r="BKB117" s="456"/>
      <c r="BKC117" s="456"/>
      <c r="BKD117" s="456"/>
      <c r="BKE117" s="456"/>
      <c r="BKF117" s="456"/>
      <c r="BKG117" s="456"/>
      <c r="BKH117" s="456"/>
      <c r="BKI117" s="456"/>
      <c r="BKJ117" s="456"/>
      <c r="BKK117" s="456"/>
      <c r="BKL117" s="456"/>
      <c r="BKM117" s="456"/>
      <c r="BKN117" s="456"/>
      <c r="BKO117" s="456"/>
      <c r="BKP117" s="456"/>
      <c r="BKQ117" s="456"/>
      <c r="BKR117" s="456"/>
      <c r="BKS117" s="456"/>
      <c r="BKT117" s="456"/>
      <c r="BKU117" s="456"/>
      <c r="BKV117" s="456"/>
      <c r="BKW117" s="456"/>
      <c r="BKX117" s="456"/>
      <c r="BKY117" s="456"/>
      <c r="BKZ117" s="456"/>
      <c r="BLA117" s="456"/>
      <c r="BLB117" s="456"/>
      <c r="BLC117" s="456"/>
      <c r="BLD117" s="456"/>
      <c r="BLE117" s="456"/>
      <c r="BLF117" s="456"/>
      <c r="BLG117" s="456"/>
      <c r="BLH117" s="456"/>
      <c r="BLI117" s="456"/>
      <c r="BLJ117" s="456"/>
      <c r="BLK117" s="456"/>
      <c r="BLL117" s="456"/>
      <c r="BLM117" s="456"/>
      <c r="BLN117" s="456"/>
      <c r="BLO117" s="456"/>
      <c r="BLP117" s="456"/>
      <c r="BLQ117" s="456"/>
      <c r="BLR117" s="456"/>
      <c r="BLS117" s="456"/>
      <c r="BLT117" s="456"/>
      <c r="BLU117" s="456"/>
      <c r="BLV117" s="456"/>
      <c r="BLW117" s="456"/>
      <c r="BLX117" s="456"/>
      <c r="BLY117" s="456"/>
      <c r="BLZ117" s="456"/>
      <c r="BMA117" s="456"/>
      <c r="BMB117" s="456"/>
      <c r="BMC117" s="456"/>
      <c r="BMD117" s="456"/>
      <c r="BME117" s="456"/>
      <c r="BMF117" s="456"/>
      <c r="BMG117" s="456"/>
      <c r="BMH117" s="456"/>
      <c r="BMI117" s="456"/>
      <c r="BMJ117" s="456"/>
      <c r="BMK117" s="456"/>
      <c r="BML117" s="456"/>
      <c r="BMM117" s="456"/>
      <c r="BMN117" s="456"/>
      <c r="BMO117" s="456"/>
      <c r="BMP117" s="456"/>
      <c r="BMQ117" s="456"/>
      <c r="BMR117" s="456"/>
      <c r="BMS117" s="456"/>
      <c r="BMT117" s="456"/>
      <c r="BMU117" s="456"/>
      <c r="BMV117" s="456"/>
      <c r="BMW117" s="456"/>
      <c r="BMX117" s="456"/>
      <c r="BMY117" s="456"/>
      <c r="BMZ117" s="456"/>
      <c r="BNA117" s="456"/>
      <c r="BNB117" s="456"/>
      <c r="BNC117" s="456"/>
      <c r="BND117" s="456"/>
      <c r="BNE117" s="456"/>
      <c r="BNF117" s="456"/>
      <c r="BNG117" s="456"/>
      <c r="BNH117" s="456"/>
      <c r="BNI117" s="456"/>
      <c r="BNJ117" s="456"/>
      <c r="BNK117" s="456"/>
      <c r="BNL117" s="456"/>
      <c r="BNM117" s="456"/>
      <c r="BNN117" s="456"/>
      <c r="BNO117" s="456"/>
      <c r="BNP117" s="456"/>
      <c r="BNQ117" s="456"/>
      <c r="BNR117" s="456"/>
      <c r="BNS117" s="456"/>
      <c r="BNT117" s="456"/>
      <c r="BNU117" s="456"/>
      <c r="BNV117" s="456"/>
      <c r="BNW117" s="456"/>
      <c r="BNX117" s="456"/>
      <c r="BNY117" s="456"/>
      <c r="BNZ117" s="456"/>
      <c r="BOA117" s="456"/>
      <c r="BOB117" s="456"/>
      <c r="BOC117" s="456"/>
      <c r="BOD117" s="456"/>
      <c r="BOE117" s="456"/>
      <c r="BOF117" s="456"/>
      <c r="BOG117" s="456"/>
      <c r="BOH117" s="456"/>
      <c r="BOI117" s="456"/>
      <c r="BOJ117" s="456"/>
      <c r="BOK117" s="456"/>
      <c r="BOL117" s="456"/>
      <c r="BOM117" s="456"/>
      <c r="BON117" s="456"/>
      <c r="BOO117" s="456"/>
      <c r="BOP117" s="456"/>
      <c r="BOQ117" s="456"/>
      <c r="BOR117" s="456"/>
      <c r="BOS117" s="456"/>
      <c r="BOT117" s="456"/>
      <c r="BOU117" s="456"/>
      <c r="BOV117" s="456"/>
      <c r="BOW117" s="456"/>
      <c r="BOX117" s="456"/>
      <c r="BOY117" s="456"/>
      <c r="BOZ117" s="456"/>
      <c r="BPA117" s="456"/>
      <c r="BPB117" s="456"/>
      <c r="BPC117" s="456"/>
      <c r="BPD117" s="456"/>
      <c r="BPE117" s="456"/>
      <c r="BPF117" s="456"/>
      <c r="BPG117" s="456"/>
      <c r="BPH117" s="456"/>
      <c r="BPI117" s="456"/>
      <c r="BPJ117" s="456"/>
      <c r="BPK117" s="456"/>
      <c r="BPL117" s="456"/>
      <c r="BPM117" s="456"/>
      <c r="BPN117" s="456"/>
      <c r="BPO117" s="456"/>
      <c r="BPP117" s="456"/>
      <c r="BPQ117" s="456"/>
      <c r="BPR117" s="456"/>
      <c r="BPS117" s="456"/>
      <c r="BPT117" s="456"/>
      <c r="BPU117" s="456"/>
      <c r="BPV117" s="456"/>
      <c r="BPW117" s="456"/>
      <c r="BPX117" s="456"/>
      <c r="BPY117" s="456"/>
      <c r="BPZ117" s="456"/>
      <c r="BQA117" s="456"/>
      <c r="BQB117" s="456"/>
      <c r="BQC117" s="456"/>
      <c r="BQD117" s="456"/>
      <c r="BQE117" s="456"/>
      <c r="BQF117" s="456"/>
      <c r="BQG117" s="456"/>
      <c r="BQH117" s="456"/>
      <c r="BQI117" s="456"/>
      <c r="BQJ117" s="456"/>
      <c r="BQK117" s="456"/>
      <c r="BQL117" s="456"/>
      <c r="BQM117" s="456"/>
      <c r="BQN117" s="456"/>
      <c r="BQO117" s="456"/>
      <c r="BQP117" s="456"/>
      <c r="BQQ117" s="456"/>
      <c r="BQR117" s="456"/>
      <c r="BQS117" s="456"/>
      <c r="BQT117" s="456"/>
      <c r="BQU117" s="456"/>
      <c r="BQV117" s="456"/>
      <c r="BQW117" s="456"/>
      <c r="BQX117" s="456"/>
      <c r="BQY117" s="456"/>
      <c r="BQZ117" s="456"/>
      <c r="BRA117" s="456"/>
      <c r="BRB117" s="456"/>
      <c r="BRC117" s="456"/>
      <c r="BRD117" s="456"/>
      <c r="BRE117" s="456"/>
      <c r="BRF117" s="456"/>
      <c r="BRG117" s="456"/>
      <c r="BRH117" s="456"/>
      <c r="BRI117" s="456"/>
      <c r="BRJ117" s="456"/>
      <c r="BRK117" s="456"/>
      <c r="BRL117" s="456"/>
      <c r="BRM117" s="456"/>
      <c r="BRN117" s="456"/>
      <c r="BRO117" s="456"/>
      <c r="BRP117" s="456"/>
      <c r="BRQ117" s="456"/>
      <c r="BRR117" s="456"/>
      <c r="BRS117" s="456"/>
      <c r="BRT117" s="456"/>
      <c r="BRU117" s="456"/>
      <c r="BRV117" s="456"/>
      <c r="BRW117" s="456"/>
      <c r="BRX117" s="456"/>
      <c r="BRY117" s="456"/>
      <c r="BRZ117" s="456"/>
      <c r="BSA117" s="456"/>
      <c r="BSB117" s="456"/>
      <c r="BSC117" s="456"/>
      <c r="BSD117" s="456"/>
      <c r="BSE117" s="456"/>
      <c r="BSF117" s="456"/>
      <c r="BSG117" s="456"/>
      <c r="BSH117" s="456"/>
      <c r="BSI117" s="456"/>
      <c r="BSJ117" s="456"/>
      <c r="BSK117" s="456"/>
      <c r="BSL117" s="456"/>
      <c r="BSM117" s="456"/>
      <c r="BSN117" s="456"/>
      <c r="BSO117" s="456"/>
      <c r="BSP117" s="456"/>
      <c r="BSQ117" s="456"/>
      <c r="BSR117" s="456"/>
      <c r="BSS117" s="456"/>
      <c r="BST117" s="456"/>
      <c r="BSU117" s="456"/>
      <c r="BSV117" s="456"/>
      <c r="BSW117" s="456"/>
      <c r="BSX117" s="456"/>
      <c r="BSY117" s="456"/>
      <c r="BSZ117" s="456"/>
      <c r="BTA117" s="456"/>
      <c r="BTB117" s="456"/>
      <c r="BTC117" s="456"/>
      <c r="BTD117" s="456"/>
      <c r="BTE117" s="456"/>
      <c r="BTF117" s="456"/>
      <c r="BTG117" s="456"/>
      <c r="BTH117" s="456"/>
      <c r="BTI117" s="456"/>
      <c r="BTJ117" s="456"/>
      <c r="BTK117" s="456"/>
      <c r="BTL117" s="456"/>
      <c r="BTM117" s="456"/>
      <c r="BTN117" s="456"/>
      <c r="BTO117" s="456"/>
      <c r="BTP117" s="456"/>
      <c r="BTQ117" s="456"/>
      <c r="BTR117" s="456"/>
      <c r="BTS117" s="456"/>
      <c r="BTT117" s="456"/>
      <c r="BTU117" s="456"/>
      <c r="BTV117" s="456"/>
      <c r="BTW117" s="456"/>
      <c r="BTX117" s="456"/>
      <c r="BTY117" s="456"/>
      <c r="BTZ117" s="456"/>
      <c r="BUA117" s="456"/>
      <c r="BUB117" s="456"/>
      <c r="BUC117" s="456"/>
      <c r="BUD117" s="456"/>
      <c r="BUE117" s="456"/>
      <c r="BUF117" s="456"/>
      <c r="BUG117" s="456"/>
      <c r="BUH117" s="456"/>
      <c r="BUI117" s="456"/>
      <c r="BUJ117" s="456"/>
      <c r="BUK117" s="456"/>
      <c r="BUL117" s="456"/>
      <c r="BUM117" s="456"/>
      <c r="BUN117" s="456"/>
      <c r="BUO117" s="456"/>
      <c r="BUP117" s="456"/>
      <c r="BUQ117" s="456"/>
      <c r="BUR117" s="456"/>
      <c r="BUS117" s="456"/>
      <c r="BUT117" s="456"/>
      <c r="BUU117" s="456"/>
      <c r="BUV117" s="456"/>
      <c r="BUW117" s="456"/>
      <c r="BUX117" s="456"/>
      <c r="BUY117" s="456"/>
      <c r="BUZ117" s="456"/>
      <c r="BVA117" s="456"/>
      <c r="BVB117" s="456"/>
      <c r="BVC117" s="456"/>
      <c r="BVD117" s="456"/>
      <c r="BVE117" s="456"/>
      <c r="BVF117" s="456"/>
      <c r="BVG117" s="456"/>
      <c r="BVH117" s="456"/>
      <c r="BVI117" s="456"/>
      <c r="BVJ117" s="456"/>
      <c r="BVK117" s="456"/>
      <c r="BVL117" s="456"/>
      <c r="BVM117" s="456"/>
      <c r="BVN117" s="456"/>
      <c r="BVO117" s="456"/>
      <c r="BVP117" s="456"/>
      <c r="BVQ117" s="456"/>
      <c r="BVR117" s="456"/>
      <c r="BVS117" s="456"/>
      <c r="BVT117" s="456"/>
      <c r="BVU117" s="456"/>
      <c r="BVV117" s="456"/>
      <c r="BVW117" s="456"/>
      <c r="BVX117" s="456"/>
      <c r="BVY117" s="456"/>
      <c r="BVZ117" s="456"/>
      <c r="BWA117" s="456"/>
      <c r="BWB117" s="456"/>
      <c r="BWC117" s="456"/>
      <c r="BWD117" s="456"/>
      <c r="BWE117" s="456"/>
      <c r="BWF117" s="456"/>
      <c r="BWG117" s="456"/>
      <c r="BWH117" s="456"/>
      <c r="BWI117" s="456"/>
      <c r="BWJ117" s="456"/>
      <c r="BWK117" s="456"/>
      <c r="BWL117" s="456"/>
      <c r="BWM117" s="456"/>
      <c r="BWN117" s="456"/>
      <c r="BWO117" s="456"/>
      <c r="BWP117" s="456"/>
      <c r="BWQ117" s="456"/>
      <c r="BWR117" s="456"/>
      <c r="BWS117" s="456"/>
      <c r="BWT117" s="456"/>
      <c r="BWU117" s="456"/>
      <c r="BWV117" s="456"/>
      <c r="BWW117" s="456"/>
      <c r="BWX117" s="456"/>
      <c r="BWY117" s="456"/>
      <c r="BWZ117" s="456"/>
      <c r="BXA117" s="456"/>
      <c r="BXB117" s="456"/>
      <c r="BXC117" s="456"/>
      <c r="BXD117" s="456"/>
      <c r="BXE117" s="456"/>
      <c r="BXF117" s="456"/>
      <c r="BXG117" s="456"/>
      <c r="BXH117" s="456"/>
      <c r="BXI117" s="456"/>
      <c r="BXJ117" s="456"/>
      <c r="BXK117" s="456"/>
      <c r="BXL117" s="456"/>
      <c r="BXM117" s="456"/>
      <c r="BXN117" s="456"/>
      <c r="BXO117" s="456"/>
      <c r="BXP117" s="456"/>
      <c r="BXQ117" s="456"/>
      <c r="BXR117" s="456"/>
      <c r="BXS117" s="456"/>
      <c r="BXT117" s="456"/>
      <c r="BXU117" s="456"/>
      <c r="BXV117" s="456"/>
      <c r="BXW117" s="456"/>
      <c r="BXX117" s="456"/>
      <c r="BXY117" s="456"/>
      <c r="BXZ117" s="456"/>
    </row>
    <row r="118" s="25" customFormat="1" ht="15.6" spans="1:1024 1025:2002">
      <c r="A118" s="473"/>
      <c r="B118" s="19">
        <v>1125</v>
      </c>
      <c r="C118" s="183">
        <v>46196</v>
      </c>
      <c r="D118" s="17" t="s">
        <v>52</v>
      </c>
      <c r="E118" s="17" t="s">
        <v>53</v>
      </c>
      <c r="F118" s="17" t="s">
        <v>54</v>
      </c>
      <c r="G118" s="17"/>
      <c r="H118" s="19" t="s">
        <v>55</v>
      </c>
      <c r="I118" s="102" t="s">
        <v>56</v>
      </c>
      <c r="J118" s="17" t="s">
        <v>49</v>
      </c>
      <c r="K118" s="19">
        <v>610</v>
      </c>
      <c r="L118" s="19">
        <v>65</v>
      </c>
      <c r="M118" s="19">
        <v>5800</v>
      </c>
      <c r="N118" s="19" t="s">
        <v>40</v>
      </c>
      <c r="O118" s="19" t="s">
        <v>84</v>
      </c>
      <c r="P118" s="19">
        <f t="shared" si="10"/>
        <v>2100</v>
      </c>
      <c r="Q118" s="19">
        <f>1300+1276</f>
        <v>2576</v>
      </c>
      <c r="R118" s="19">
        <f t="shared" si="9"/>
        <v>-476</v>
      </c>
      <c r="S118" s="311">
        <v>2040</v>
      </c>
      <c r="T118" s="19" t="s">
        <v>42</v>
      </c>
      <c r="U118" s="102" t="s">
        <v>101</v>
      </c>
      <c r="V118" s="186">
        <v>46197</v>
      </c>
      <c r="W118" s="17" t="s">
        <v>58</v>
      </c>
      <c r="X118" s="17"/>
      <c r="Y118" s="68">
        <v>46204</v>
      </c>
      <c r="Z118" s="17" t="s">
        <v>45</v>
      </c>
      <c r="AA118" s="17" t="s">
        <v>59</v>
      </c>
      <c r="AB118" s="17" t="s">
        <v>102</v>
      </c>
      <c r="AC118" s="217">
        <v>46274</v>
      </c>
      <c r="AD118" s="65">
        <v>1861</v>
      </c>
      <c r="AE118" s="17" t="s">
        <v>48</v>
      </c>
      <c r="AF118" s="17" t="s">
        <v>61</v>
      </c>
      <c r="AG118" s="17" t="s">
        <v>103</v>
      </c>
      <c r="AH118" s="456"/>
      <c r="AI118" s="456"/>
      <c r="AJ118" s="456"/>
      <c r="AK118" s="456"/>
      <c r="AL118" s="456"/>
      <c r="AM118" s="456"/>
      <c r="AN118" s="456"/>
      <c r="AO118" s="456"/>
      <c r="AP118" s="456"/>
      <c r="AQ118" s="456"/>
      <c r="AR118" s="456"/>
      <c r="AS118" s="456"/>
      <c r="AT118" s="456"/>
      <c r="AU118" s="456"/>
      <c r="AV118" s="456"/>
      <c r="AW118" s="456"/>
      <c r="AX118" s="456"/>
      <c r="AY118" s="456"/>
      <c r="AZ118" s="456"/>
      <c r="BA118" s="456"/>
      <c r="BB118" s="456"/>
      <c r="BC118" s="456"/>
      <c r="BD118" s="456"/>
      <c r="BE118" s="456"/>
      <c r="BF118" s="456"/>
      <c r="BG118" s="456"/>
      <c r="BH118" s="456"/>
      <c r="BI118" s="456"/>
      <c r="BJ118" s="456"/>
      <c r="BK118" s="456"/>
      <c r="BL118" s="456"/>
      <c r="BM118" s="456"/>
      <c r="BN118" s="456"/>
      <c r="BO118" s="456"/>
      <c r="BP118" s="456"/>
      <c r="BQ118" s="456"/>
      <c r="BR118" s="456"/>
      <c r="BS118" s="456"/>
      <c r="BT118" s="456"/>
      <c r="BU118" s="456"/>
      <c r="BV118" s="456"/>
      <c r="BW118" s="456"/>
      <c r="BX118" s="456"/>
      <c r="BY118" s="456"/>
      <c r="BZ118" s="456"/>
      <c r="CA118" s="456"/>
      <c r="CB118" s="456"/>
      <c r="CC118" s="456"/>
      <c r="CD118" s="456"/>
      <c r="CE118" s="456"/>
      <c r="CF118" s="456"/>
      <c r="CG118" s="456"/>
      <c r="CH118" s="456"/>
      <c r="CI118" s="456"/>
      <c r="CJ118" s="456"/>
      <c r="CK118" s="456"/>
      <c r="CL118" s="456"/>
      <c r="CM118" s="456"/>
      <c r="CN118" s="456"/>
      <c r="CO118" s="456"/>
      <c r="CP118" s="456"/>
      <c r="CQ118" s="456"/>
      <c r="CR118" s="456"/>
      <c r="CS118" s="456"/>
      <c r="CT118" s="456"/>
      <c r="CU118" s="456"/>
      <c r="CV118" s="456"/>
      <c r="CW118" s="456"/>
      <c r="CX118" s="456"/>
      <c r="CY118" s="456"/>
      <c r="CZ118" s="456"/>
      <c r="DA118" s="456"/>
      <c r="DB118" s="456"/>
      <c r="DC118" s="456"/>
      <c r="DD118" s="456"/>
      <c r="DE118" s="456"/>
      <c r="DF118" s="456"/>
      <c r="DG118" s="456"/>
      <c r="DH118" s="456"/>
      <c r="DI118" s="456"/>
      <c r="DJ118" s="456"/>
      <c r="DK118" s="456"/>
      <c r="DL118" s="456"/>
      <c r="DM118" s="456"/>
      <c r="DN118" s="456"/>
      <c r="DO118" s="456"/>
      <c r="DP118" s="456"/>
      <c r="DQ118" s="456"/>
      <c r="DR118" s="456"/>
      <c r="DS118" s="456"/>
      <c r="DT118" s="456"/>
      <c r="DU118" s="456"/>
      <c r="DV118" s="456"/>
      <c r="DW118" s="456"/>
      <c r="DX118" s="456"/>
      <c r="DY118" s="456"/>
      <c r="DZ118" s="456"/>
      <c r="EA118" s="456"/>
      <c r="EB118" s="456"/>
      <c r="EC118" s="456"/>
      <c r="ED118" s="456"/>
      <c r="EE118" s="456"/>
      <c r="EF118" s="456"/>
      <c r="EG118" s="456"/>
      <c r="EH118" s="456"/>
      <c r="EI118" s="456"/>
      <c r="EJ118" s="456"/>
      <c r="EK118" s="456"/>
      <c r="EL118" s="456"/>
      <c r="EM118" s="456"/>
      <c r="EN118" s="456"/>
      <c r="EO118" s="456"/>
      <c r="EP118" s="456"/>
      <c r="EQ118" s="456"/>
      <c r="ER118" s="456"/>
      <c r="ES118" s="456"/>
      <c r="ET118" s="456"/>
      <c r="EU118" s="456"/>
      <c r="EV118" s="456"/>
      <c r="EW118" s="456"/>
      <c r="EX118" s="456"/>
      <c r="EY118" s="456"/>
      <c r="EZ118" s="456"/>
      <c r="FA118" s="456"/>
      <c r="FB118" s="456"/>
      <c r="FC118" s="456"/>
      <c r="FD118" s="456"/>
      <c r="FE118" s="456"/>
      <c r="FF118" s="456"/>
      <c r="FG118" s="456"/>
      <c r="FH118" s="456"/>
      <c r="FI118" s="456"/>
      <c r="FJ118" s="456"/>
      <c r="FK118" s="456"/>
      <c r="FL118" s="456"/>
      <c r="FM118" s="456"/>
      <c r="FN118" s="456"/>
      <c r="FO118" s="456"/>
      <c r="FP118" s="456"/>
      <c r="FQ118" s="456"/>
      <c r="FR118" s="456"/>
      <c r="FS118" s="456"/>
      <c r="FT118" s="456"/>
      <c r="FU118" s="456"/>
      <c r="FV118" s="456"/>
      <c r="FW118" s="456"/>
      <c r="FX118" s="456"/>
      <c r="FY118" s="456"/>
      <c r="FZ118" s="456"/>
      <c r="GA118" s="456"/>
      <c r="GB118" s="456"/>
      <c r="GC118" s="456"/>
      <c r="GD118" s="456"/>
      <c r="GE118" s="456"/>
      <c r="GF118" s="456"/>
      <c r="GG118" s="456"/>
      <c r="GH118" s="456"/>
      <c r="GI118" s="456"/>
      <c r="GJ118" s="456"/>
      <c r="GK118" s="456"/>
      <c r="GL118" s="456"/>
      <c r="GM118" s="456"/>
      <c r="GN118" s="456"/>
      <c r="GO118" s="456"/>
      <c r="GP118" s="456"/>
      <c r="GQ118" s="456"/>
      <c r="GR118" s="456"/>
      <c r="GS118" s="456"/>
      <c r="GT118" s="456"/>
      <c r="GU118" s="456"/>
      <c r="GV118" s="456"/>
      <c r="GW118" s="456"/>
      <c r="GX118" s="456"/>
      <c r="GY118" s="456"/>
      <c r="GZ118" s="456"/>
      <c r="HA118" s="456"/>
      <c r="HB118" s="456"/>
      <c r="HC118" s="456"/>
      <c r="HD118" s="456"/>
      <c r="HE118" s="456"/>
      <c r="HF118" s="456"/>
      <c r="HG118" s="456"/>
      <c r="HH118" s="456"/>
      <c r="HI118" s="456"/>
      <c r="HJ118" s="456"/>
      <c r="HK118" s="456"/>
      <c r="HL118" s="456"/>
      <c r="HM118" s="456"/>
      <c r="HN118" s="456"/>
      <c r="HO118" s="456"/>
      <c r="HP118" s="456"/>
      <c r="HQ118" s="456"/>
      <c r="HR118" s="456"/>
      <c r="HS118" s="456"/>
      <c r="HT118" s="456"/>
      <c r="HU118" s="456"/>
      <c r="HV118" s="456"/>
      <c r="HW118" s="456"/>
      <c r="HX118" s="456"/>
      <c r="HY118" s="456"/>
      <c r="HZ118" s="456"/>
      <c r="IA118" s="456"/>
      <c r="IB118" s="456"/>
      <c r="IC118" s="456"/>
      <c r="ID118" s="456"/>
      <c r="IE118" s="456"/>
      <c r="IF118" s="456"/>
      <c r="IG118" s="456"/>
      <c r="IH118" s="456"/>
      <c r="II118" s="456"/>
      <c r="IJ118" s="456"/>
      <c r="IK118" s="456"/>
      <c r="IL118" s="456"/>
      <c r="IM118" s="456"/>
      <c r="IN118" s="456"/>
      <c r="IO118" s="456"/>
      <c r="IP118" s="456"/>
      <c r="IQ118" s="456"/>
      <c r="IR118" s="456"/>
      <c r="IS118" s="456"/>
      <c r="IT118" s="456"/>
      <c r="IU118" s="456"/>
      <c r="IV118" s="456"/>
      <c r="IW118" s="456"/>
      <c r="IX118" s="456"/>
      <c r="IY118" s="456"/>
      <c r="IZ118" s="456"/>
      <c r="JA118" s="456"/>
      <c r="JB118" s="456"/>
      <c r="JC118" s="456"/>
      <c r="JD118" s="456"/>
      <c r="JE118" s="456"/>
      <c r="JF118" s="456"/>
      <c r="JG118" s="456"/>
      <c r="JH118" s="456"/>
      <c r="JI118" s="456"/>
      <c r="JJ118" s="456"/>
      <c r="JK118" s="456"/>
      <c r="JL118" s="456"/>
      <c r="JM118" s="456"/>
      <c r="JN118" s="456"/>
      <c r="JO118" s="456"/>
      <c r="JP118" s="456"/>
      <c r="JQ118" s="456"/>
      <c r="JR118" s="456"/>
      <c r="JS118" s="456"/>
      <c r="JT118" s="456"/>
      <c r="JU118" s="456"/>
      <c r="JV118" s="456"/>
      <c r="JW118" s="456"/>
      <c r="JX118" s="456"/>
      <c r="JY118" s="456"/>
      <c r="JZ118" s="456"/>
      <c r="KA118" s="456"/>
      <c r="KB118" s="456"/>
      <c r="KC118" s="456"/>
      <c r="KD118" s="456"/>
      <c r="KE118" s="456"/>
      <c r="KF118" s="456"/>
      <c r="KG118" s="456"/>
      <c r="KH118" s="456"/>
      <c r="KI118" s="456"/>
      <c r="KJ118" s="456"/>
      <c r="KK118" s="456"/>
      <c r="KL118" s="456"/>
      <c r="KM118" s="456"/>
      <c r="KN118" s="456"/>
      <c r="KO118" s="456"/>
      <c r="KP118" s="456"/>
      <c r="KQ118" s="456"/>
      <c r="KR118" s="456"/>
      <c r="KS118" s="456"/>
      <c r="KT118" s="456"/>
      <c r="KU118" s="456"/>
      <c r="KV118" s="456"/>
      <c r="KW118" s="456"/>
      <c r="KX118" s="456"/>
      <c r="KY118" s="456"/>
      <c r="KZ118" s="456"/>
      <c r="LA118" s="456"/>
      <c r="LB118" s="456"/>
      <c r="LC118" s="456"/>
      <c r="LD118" s="456"/>
      <c r="LE118" s="456"/>
      <c r="LF118" s="456"/>
      <c r="LG118" s="456"/>
      <c r="LH118" s="456"/>
      <c r="LI118" s="456"/>
      <c r="LJ118" s="456"/>
      <c r="LK118" s="456"/>
      <c r="LL118" s="456"/>
      <c r="LM118" s="456"/>
      <c r="LN118" s="456"/>
      <c r="LO118" s="456"/>
      <c r="LP118" s="456"/>
      <c r="LQ118" s="456"/>
      <c r="LR118" s="456"/>
      <c r="LS118" s="456"/>
      <c r="LT118" s="456"/>
      <c r="LU118" s="456"/>
      <c r="LV118" s="456"/>
      <c r="LW118" s="456"/>
      <c r="LX118" s="456"/>
      <c r="LY118" s="456"/>
      <c r="LZ118" s="456"/>
      <c r="MA118" s="456"/>
      <c r="MB118" s="456"/>
      <c r="MC118" s="456"/>
      <c r="MD118" s="456"/>
      <c r="ME118" s="456"/>
      <c r="MF118" s="456"/>
      <c r="MG118" s="456"/>
      <c r="MH118" s="456"/>
      <c r="MI118" s="456"/>
      <c r="MJ118" s="456"/>
      <c r="MK118" s="456"/>
      <c r="ML118" s="456"/>
      <c r="MM118" s="456"/>
      <c r="MN118" s="456"/>
      <c r="MO118" s="456"/>
      <c r="MP118" s="456"/>
      <c r="MQ118" s="456"/>
      <c r="MR118" s="456"/>
      <c r="MS118" s="456"/>
      <c r="MT118" s="456"/>
      <c r="MU118" s="456"/>
      <c r="MV118" s="456"/>
      <c r="MW118" s="456"/>
      <c r="MX118" s="456"/>
      <c r="MY118" s="456"/>
      <c r="MZ118" s="456"/>
      <c r="NA118" s="456"/>
      <c r="NB118" s="456"/>
      <c r="NC118" s="456"/>
      <c r="ND118" s="456"/>
      <c r="NE118" s="456"/>
      <c r="NF118" s="456"/>
      <c r="NG118" s="456"/>
      <c r="NH118" s="456"/>
      <c r="NI118" s="456"/>
      <c r="NJ118" s="456"/>
      <c r="NK118" s="456"/>
      <c r="NL118" s="456"/>
      <c r="NM118" s="456"/>
      <c r="NN118" s="456"/>
      <c r="NO118" s="456"/>
      <c r="NP118" s="456"/>
      <c r="NQ118" s="456"/>
      <c r="NR118" s="456"/>
      <c r="NS118" s="456"/>
      <c r="NT118" s="456"/>
      <c r="NU118" s="456"/>
      <c r="NV118" s="456"/>
      <c r="NW118" s="456"/>
      <c r="NX118" s="456"/>
      <c r="NY118" s="456"/>
      <c r="NZ118" s="456"/>
      <c r="OA118" s="456"/>
      <c r="OB118" s="456"/>
      <c r="OC118" s="456"/>
      <c r="OD118" s="456"/>
      <c r="OE118" s="456"/>
      <c r="OF118" s="456"/>
      <c r="OG118" s="456"/>
      <c r="OH118" s="456"/>
      <c r="OI118" s="456"/>
      <c r="OJ118" s="456"/>
      <c r="OK118" s="456"/>
      <c r="OL118" s="456"/>
      <c r="OM118" s="456"/>
      <c r="ON118" s="456"/>
      <c r="OO118" s="456"/>
      <c r="OP118" s="456"/>
      <c r="OQ118" s="456"/>
      <c r="OR118" s="456"/>
      <c r="OS118" s="456"/>
      <c r="OT118" s="456"/>
      <c r="OU118" s="456"/>
      <c r="OV118" s="456"/>
      <c r="OW118" s="456"/>
      <c r="OX118" s="456"/>
      <c r="OY118" s="456"/>
      <c r="OZ118" s="456"/>
      <c r="PA118" s="456"/>
      <c r="PB118" s="456"/>
      <c r="PC118" s="456"/>
      <c r="PD118" s="456"/>
      <c r="PE118" s="456"/>
      <c r="PF118" s="456"/>
      <c r="PG118" s="456"/>
      <c r="PH118" s="456"/>
      <c r="PI118" s="456"/>
      <c r="PJ118" s="456"/>
      <c r="PK118" s="456"/>
      <c r="PL118" s="456"/>
      <c r="PM118" s="456"/>
      <c r="PN118" s="456"/>
      <c r="PO118" s="456"/>
      <c r="PP118" s="456"/>
      <c r="PQ118" s="456"/>
      <c r="PR118" s="456"/>
      <c r="PS118" s="456"/>
      <c r="PT118" s="456"/>
      <c r="PU118" s="456"/>
      <c r="PV118" s="456"/>
      <c r="PW118" s="456"/>
      <c r="PX118" s="456"/>
      <c r="PY118" s="456"/>
      <c r="PZ118" s="456"/>
      <c r="QA118" s="456"/>
      <c r="QB118" s="456"/>
      <c r="QC118" s="456"/>
      <c r="QD118" s="456"/>
      <c r="QE118" s="456"/>
      <c r="QF118" s="456"/>
      <c r="QG118" s="456"/>
      <c r="QH118" s="456"/>
      <c r="QI118" s="456"/>
      <c r="QJ118" s="456"/>
      <c r="QK118" s="456"/>
      <c r="QL118" s="456"/>
      <c r="QM118" s="456"/>
      <c r="QN118" s="456"/>
      <c r="QO118" s="456"/>
      <c r="QP118" s="456"/>
      <c r="QQ118" s="456"/>
      <c r="QR118" s="456"/>
      <c r="QS118" s="456"/>
      <c r="QT118" s="456"/>
      <c r="QU118" s="456"/>
      <c r="QV118" s="456"/>
      <c r="QW118" s="456"/>
      <c r="QX118" s="456"/>
      <c r="QY118" s="456"/>
      <c r="QZ118" s="456"/>
      <c r="RA118" s="456"/>
      <c r="RB118" s="456"/>
      <c r="RC118" s="456"/>
      <c r="RD118" s="456"/>
      <c r="RE118" s="456"/>
      <c r="RF118" s="456"/>
      <c r="RG118" s="456"/>
      <c r="RH118" s="456"/>
      <c r="RI118" s="456"/>
      <c r="RJ118" s="456"/>
      <c r="RK118" s="456"/>
      <c r="RL118" s="456"/>
      <c r="RM118" s="456"/>
      <c r="RN118" s="456"/>
      <c r="RO118" s="456"/>
      <c r="RP118" s="456"/>
      <c r="RQ118" s="456"/>
      <c r="RR118" s="456"/>
      <c r="RS118" s="456"/>
      <c r="RT118" s="456"/>
      <c r="RU118" s="456"/>
      <c r="RV118" s="456"/>
      <c r="RW118" s="456"/>
      <c r="RX118" s="456"/>
      <c r="RY118" s="456"/>
      <c r="RZ118" s="456"/>
      <c r="SA118" s="456"/>
      <c r="SB118" s="456"/>
      <c r="SC118" s="456"/>
      <c r="SD118" s="456"/>
      <c r="SE118" s="456"/>
      <c r="SF118" s="456"/>
      <c r="SG118" s="456"/>
      <c r="SH118" s="456"/>
      <c r="SI118" s="456"/>
      <c r="SJ118" s="456"/>
      <c r="SK118" s="456"/>
      <c r="SL118" s="456"/>
      <c r="SM118" s="456"/>
      <c r="SN118" s="456"/>
      <c r="SO118" s="456"/>
      <c r="SP118" s="456"/>
      <c r="SQ118" s="456"/>
      <c r="SR118" s="456"/>
      <c r="SS118" s="456"/>
      <c r="ST118" s="456"/>
      <c r="SU118" s="456"/>
      <c r="SV118" s="456"/>
      <c r="SW118" s="456"/>
      <c r="SX118" s="456"/>
      <c r="SY118" s="456"/>
      <c r="SZ118" s="456"/>
      <c r="TA118" s="456"/>
      <c r="TB118" s="456"/>
      <c r="TC118" s="456"/>
      <c r="TD118" s="456"/>
      <c r="TE118" s="456"/>
      <c r="TF118" s="456"/>
      <c r="TG118" s="456"/>
      <c r="TH118" s="456"/>
      <c r="TI118" s="456"/>
      <c r="TJ118" s="456"/>
      <c r="TK118" s="456"/>
      <c r="TL118" s="456"/>
      <c r="TM118" s="456"/>
      <c r="TN118" s="456"/>
      <c r="TO118" s="456"/>
      <c r="TP118" s="456"/>
      <c r="TQ118" s="456"/>
      <c r="TR118" s="456"/>
      <c r="TS118" s="456"/>
      <c r="TT118" s="456"/>
      <c r="TU118" s="456"/>
      <c r="TV118" s="456"/>
      <c r="TW118" s="456"/>
      <c r="TX118" s="456"/>
      <c r="TY118" s="456"/>
      <c r="TZ118" s="456"/>
      <c r="UA118" s="456"/>
      <c r="UB118" s="456"/>
      <c r="UC118" s="456"/>
      <c r="UD118" s="456"/>
      <c r="UE118" s="456"/>
      <c r="UF118" s="456"/>
      <c r="UG118" s="456"/>
      <c r="UH118" s="456"/>
      <c r="UI118" s="456"/>
      <c r="UJ118" s="456"/>
      <c r="UK118" s="456"/>
      <c r="UL118" s="456"/>
      <c r="UM118" s="456"/>
      <c r="UN118" s="456"/>
      <c r="UO118" s="456"/>
      <c r="UP118" s="456"/>
      <c r="UQ118" s="456"/>
      <c r="UR118" s="456"/>
      <c r="US118" s="456"/>
      <c r="UT118" s="456"/>
      <c r="UU118" s="456"/>
      <c r="UV118" s="456"/>
      <c r="UW118" s="456"/>
      <c r="UX118" s="456"/>
      <c r="UY118" s="456"/>
      <c r="UZ118" s="456"/>
      <c r="VA118" s="456"/>
      <c r="VB118" s="456"/>
      <c r="VC118" s="456"/>
      <c r="VD118" s="456"/>
      <c r="VE118" s="456"/>
      <c r="VF118" s="456"/>
      <c r="VG118" s="456"/>
      <c r="VH118" s="456"/>
      <c r="VI118" s="456"/>
      <c r="VJ118" s="456"/>
      <c r="VK118" s="456"/>
      <c r="VL118" s="456"/>
      <c r="VM118" s="456"/>
      <c r="VN118" s="456"/>
      <c r="VO118" s="456"/>
      <c r="VP118" s="456"/>
      <c r="VQ118" s="456"/>
      <c r="VR118" s="456"/>
      <c r="VS118" s="456"/>
      <c r="VT118" s="456"/>
      <c r="VU118" s="456"/>
      <c r="VV118" s="456"/>
      <c r="VW118" s="456"/>
      <c r="VX118" s="456"/>
      <c r="VY118" s="456"/>
      <c r="VZ118" s="456"/>
      <c r="WA118" s="456"/>
      <c r="WB118" s="456"/>
      <c r="WC118" s="456"/>
      <c r="WD118" s="456"/>
      <c r="WE118" s="456"/>
      <c r="WF118" s="456"/>
      <c r="WG118" s="456"/>
      <c r="WH118" s="456"/>
      <c r="WI118" s="456"/>
      <c r="WJ118" s="456"/>
      <c r="WK118" s="456"/>
      <c r="WL118" s="456"/>
      <c r="WM118" s="456"/>
      <c r="WN118" s="456"/>
      <c r="WO118" s="456"/>
      <c r="WP118" s="456"/>
      <c r="WQ118" s="456"/>
      <c r="WR118" s="456"/>
      <c r="WS118" s="456"/>
      <c r="WT118" s="456"/>
      <c r="WU118" s="456"/>
      <c r="WV118" s="456"/>
      <c r="WW118" s="456"/>
      <c r="WX118" s="456"/>
      <c r="WY118" s="456"/>
      <c r="WZ118" s="456"/>
      <c r="XA118" s="456"/>
      <c r="XB118" s="456"/>
      <c r="XC118" s="456"/>
      <c r="XD118" s="456"/>
      <c r="XE118" s="456"/>
      <c r="XF118" s="456"/>
      <c r="XG118" s="456"/>
      <c r="XH118" s="456"/>
      <c r="XI118" s="456"/>
      <c r="XJ118" s="456"/>
      <c r="XK118" s="456"/>
      <c r="XL118" s="456"/>
      <c r="XM118" s="456"/>
      <c r="XN118" s="456"/>
      <c r="XO118" s="456"/>
      <c r="XP118" s="456"/>
      <c r="XQ118" s="456"/>
      <c r="XR118" s="456"/>
      <c r="XS118" s="456"/>
      <c r="XT118" s="456"/>
      <c r="XU118" s="456"/>
      <c r="XV118" s="456"/>
      <c r="XW118" s="456"/>
      <c r="XX118" s="456"/>
      <c r="XY118" s="456"/>
      <c r="XZ118" s="456"/>
      <c r="YA118" s="456"/>
      <c r="YB118" s="456"/>
      <c r="YC118" s="456"/>
      <c r="YD118" s="456"/>
      <c r="YE118" s="456"/>
      <c r="YF118" s="456"/>
      <c r="YG118" s="456"/>
      <c r="YH118" s="456"/>
      <c r="YI118" s="456"/>
      <c r="YJ118" s="456"/>
      <c r="YK118" s="456"/>
      <c r="YL118" s="456"/>
      <c r="YM118" s="456"/>
      <c r="YN118" s="456"/>
      <c r="YO118" s="456"/>
      <c r="YP118" s="456"/>
      <c r="YQ118" s="456"/>
      <c r="YR118" s="456"/>
      <c r="YS118" s="456"/>
      <c r="YT118" s="456"/>
      <c r="YU118" s="456"/>
      <c r="YV118" s="456"/>
      <c r="YW118" s="456"/>
      <c r="YX118" s="456"/>
      <c r="YY118" s="456"/>
      <c r="YZ118" s="456"/>
      <c r="ZA118" s="456"/>
      <c r="ZB118" s="456"/>
      <c r="ZC118" s="456"/>
      <c r="ZD118" s="456"/>
      <c r="ZE118" s="456"/>
      <c r="ZF118" s="456"/>
      <c r="ZG118" s="456"/>
      <c r="ZH118" s="456"/>
      <c r="ZI118" s="456"/>
      <c r="ZJ118" s="456"/>
      <c r="ZK118" s="456"/>
      <c r="ZL118" s="456"/>
      <c r="ZM118" s="456"/>
      <c r="ZN118" s="456"/>
      <c r="ZO118" s="456"/>
      <c r="ZP118" s="456"/>
      <c r="ZQ118" s="456"/>
      <c r="ZR118" s="456"/>
      <c r="ZS118" s="456"/>
      <c r="ZT118" s="456"/>
      <c r="ZU118" s="456"/>
      <c r="ZV118" s="456"/>
      <c r="ZW118" s="456"/>
      <c r="ZX118" s="456"/>
      <c r="ZY118" s="456"/>
      <c r="ZZ118" s="456"/>
      <c r="AAA118" s="456"/>
      <c r="AAB118" s="456"/>
      <c r="AAC118" s="456"/>
      <c r="AAD118" s="456"/>
      <c r="AAE118" s="456"/>
      <c r="AAF118" s="456"/>
      <c r="AAG118" s="456"/>
      <c r="AAH118" s="456"/>
      <c r="AAI118" s="456"/>
      <c r="AAJ118" s="456"/>
      <c r="AAK118" s="456"/>
      <c r="AAL118" s="456"/>
      <c r="AAM118" s="456"/>
      <c r="AAN118" s="456"/>
      <c r="AAO118" s="456"/>
      <c r="AAP118" s="456"/>
      <c r="AAQ118" s="456"/>
      <c r="AAR118" s="456"/>
      <c r="AAS118" s="456"/>
      <c r="AAT118" s="456"/>
      <c r="AAU118" s="456"/>
      <c r="AAV118" s="456"/>
      <c r="AAW118" s="456"/>
      <c r="AAX118" s="456"/>
      <c r="AAY118" s="456"/>
      <c r="AAZ118" s="456"/>
      <c r="ABA118" s="456"/>
      <c r="ABB118" s="456"/>
      <c r="ABC118" s="456"/>
      <c r="ABD118" s="456"/>
      <c r="ABE118" s="456"/>
      <c r="ABF118" s="456"/>
      <c r="ABG118" s="456"/>
      <c r="ABH118" s="456"/>
      <c r="ABI118" s="456"/>
      <c r="ABJ118" s="456"/>
      <c r="ABK118" s="456"/>
      <c r="ABL118" s="456"/>
      <c r="ABM118" s="456"/>
      <c r="ABN118" s="456"/>
      <c r="ABO118" s="456"/>
      <c r="ABP118" s="456"/>
      <c r="ABQ118" s="456"/>
      <c r="ABR118" s="456"/>
      <c r="ABS118" s="456"/>
      <c r="ABT118" s="456"/>
      <c r="ABU118" s="456"/>
      <c r="ABV118" s="456"/>
      <c r="ABW118" s="456"/>
      <c r="ABX118" s="456"/>
      <c r="ABY118" s="456"/>
      <c r="ABZ118" s="456"/>
      <c r="ACA118" s="456"/>
      <c r="ACB118" s="456"/>
      <c r="ACC118" s="456"/>
      <c r="ACD118" s="456"/>
      <c r="ACE118" s="456"/>
      <c r="ACF118" s="456"/>
      <c r="ACG118" s="456"/>
      <c r="ACH118" s="456"/>
      <c r="ACI118" s="456"/>
      <c r="ACJ118" s="456"/>
      <c r="ACK118" s="456"/>
      <c r="ACL118" s="456"/>
      <c r="ACM118" s="456"/>
      <c r="ACN118" s="456"/>
      <c r="ACO118" s="456"/>
      <c r="ACP118" s="456"/>
      <c r="ACQ118" s="456"/>
      <c r="ACR118" s="456"/>
      <c r="ACS118" s="456"/>
      <c r="ACT118" s="456"/>
      <c r="ACU118" s="456"/>
      <c r="ACV118" s="456"/>
      <c r="ACW118" s="456"/>
      <c r="ACX118" s="456"/>
      <c r="ACY118" s="456"/>
      <c r="ACZ118" s="456"/>
      <c r="ADA118" s="456"/>
      <c r="ADB118" s="456"/>
      <c r="ADC118" s="456"/>
      <c r="ADD118" s="456"/>
      <c r="ADE118" s="456"/>
      <c r="ADF118" s="456"/>
      <c r="ADG118" s="456"/>
      <c r="ADH118" s="456"/>
      <c r="ADI118" s="456"/>
      <c r="ADJ118" s="456"/>
      <c r="ADK118" s="456"/>
      <c r="ADL118" s="456"/>
      <c r="ADM118" s="456"/>
      <c r="ADN118" s="456"/>
      <c r="ADO118" s="456"/>
      <c r="ADP118" s="456"/>
      <c r="ADQ118" s="456"/>
      <c r="ADR118" s="456"/>
      <c r="ADS118" s="456"/>
      <c r="ADT118" s="456"/>
      <c r="ADU118" s="456"/>
      <c r="ADV118" s="456"/>
      <c r="ADW118" s="456"/>
      <c r="ADX118" s="456"/>
      <c r="ADY118" s="456"/>
      <c r="ADZ118" s="456"/>
      <c r="AEA118" s="456"/>
      <c r="AEB118" s="456"/>
      <c r="AEC118" s="456"/>
      <c r="AED118" s="456"/>
      <c r="AEE118" s="456"/>
      <c r="AEF118" s="456"/>
      <c r="AEG118" s="456"/>
      <c r="AEH118" s="456"/>
      <c r="AEI118" s="456"/>
      <c r="AEJ118" s="456"/>
      <c r="AEK118" s="456"/>
      <c r="AEL118" s="456"/>
      <c r="AEM118" s="456"/>
      <c r="AEN118" s="456"/>
      <c r="AEO118" s="456"/>
      <c r="AEP118" s="456"/>
      <c r="AEQ118" s="456"/>
      <c r="AER118" s="456"/>
      <c r="AES118" s="456"/>
      <c r="AET118" s="456"/>
      <c r="AEU118" s="456"/>
      <c r="AEV118" s="456"/>
      <c r="AEW118" s="456"/>
      <c r="AEX118" s="456"/>
      <c r="AEY118" s="456"/>
      <c r="AEZ118" s="456"/>
      <c r="AFA118" s="456"/>
      <c r="AFB118" s="456"/>
      <c r="AFC118" s="456"/>
      <c r="AFD118" s="456"/>
      <c r="AFE118" s="456"/>
      <c r="AFF118" s="456"/>
      <c r="AFG118" s="456"/>
      <c r="AFH118" s="456"/>
      <c r="AFI118" s="456"/>
      <c r="AFJ118" s="456"/>
      <c r="AFK118" s="456"/>
      <c r="AFL118" s="456"/>
      <c r="AFM118" s="456"/>
      <c r="AFN118" s="456"/>
      <c r="AFO118" s="456"/>
      <c r="AFP118" s="456"/>
      <c r="AFQ118" s="456"/>
      <c r="AFR118" s="456"/>
      <c r="AFS118" s="456"/>
      <c r="AFT118" s="456"/>
      <c r="AFU118" s="456"/>
      <c r="AFV118" s="456"/>
      <c r="AFW118" s="456"/>
      <c r="AFX118" s="456"/>
      <c r="AFY118" s="456"/>
      <c r="AFZ118" s="456"/>
      <c r="AGA118" s="456"/>
      <c r="AGB118" s="456"/>
      <c r="AGC118" s="456"/>
      <c r="AGD118" s="456"/>
      <c r="AGE118" s="456"/>
      <c r="AGF118" s="456"/>
      <c r="AGG118" s="456"/>
      <c r="AGH118" s="456"/>
      <c r="AGI118" s="456"/>
      <c r="AGJ118" s="456"/>
      <c r="AGK118" s="456"/>
      <c r="AGL118" s="456"/>
      <c r="AGM118" s="456"/>
      <c r="AGN118" s="456"/>
      <c r="AGO118" s="456"/>
      <c r="AGP118" s="456"/>
      <c r="AGQ118" s="456"/>
      <c r="AGR118" s="456"/>
      <c r="AGS118" s="456"/>
      <c r="AGT118" s="456"/>
      <c r="AGU118" s="456"/>
      <c r="AGV118" s="456"/>
      <c r="AGW118" s="456"/>
      <c r="AGX118" s="456"/>
      <c r="AGY118" s="456"/>
      <c r="AGZ118" s="456"/>
      <c r="AHA118" s="456"/>
      <c r="AHB118" s="456"/>
      <c r="AHC118" s="456"/>
      <c r="AHD118" s="456"/>
      <c r="AHE118" s="456"/>
      <c r="AHF118" s="456"/>
      <c r="AHG118" s="456"/>
      <c r="AHH118" s="456"/>
      <c r="AHI118" s="456"/>
      <c r="AHJ118" s="456"/>
      <c r="AHK118" s="456"/>
      <c r="AHL118" s="456"/>
      <c r="AHM118" s="456"/>
      <c r="AHN118" s="456"/>
      <c r="AHO118" s="456"/>
      <c r="AHP118" s="456"/>
      <c r="AHQ118" s="456"/>
      <c r="AHR118" s="456"/>
      <c r="AHS118" s="456"/>
      <c r="AHT118" s="456"/>
      <c r="AHU118" s="456"/>
      <c r="AHV118" s="456"/>
      <c r="AHW118" s="456"/>
      <c r="AHX118" s="456"/>
      <c r="AHY118" s="456"/>
      <c r="AHZ118" s="456"/>
      <c r="AIA118" s="456"/>
      <c r="AIB118" s="456"/>
      <c r="AIC118" s="456"/>
      <c r="AID118" s="456"/>
      <c r="AIE118" s="456"/>
      <c r="AIF118" s="456"/>
      <c r="AIG118" s="456"/>
      <c r="AIH118" s="456"/>
      <c r="AII118" s="456"/>
      <c r="AIJ118" s="456"/>
      <c r="AIK118" s="456"/>
      <c r="AIL118" s="456"/>
      <c r="AIM118" s="456"/>
      <c r="AIN118" s="456"/>
      <c r="AIO118" s="456"/>
      <c r="AIP118" s="456"/>
      <c r="AIQ118" s="456"/>
      <c r="AIR118" s="456"/>
      <c r="AIS118" s="456"/>
      <c r="AIT118" s="456"/>
      <c r="AIU118" s="456"/>
      <c r="AIV118" s="456"/>
      <c r="AIW118" s="456"/>
      <c r="AIX118" s="456"/>
      <c r="AIY118" s="456"/>
      <c r="AIZ118" s="456"/>
      <c r="AJA118" s="456"/>
      <c r="AJB118" s="456"/>
      <c r="AJC118" s="456"/>
      <c r="AJD118" s="456"/>
      <c r="AJE118" s="456"/>
      <c r="AJF118" s="456"/>
      <c r="AJG118" s="456"/>
      <c r="AJH118" s="456"/>
      <c r="AJI118" s="456"/>
      <c r="AJJ118" s="456"/>
      <c r="AJK118" s="456"/>
      <c r="AJL118" s="456"/>
      <c r="AJM118" s="456"/>
      <c r="AJN118" s="456"/>
      <c r="AJO118" s="456"/>
      <c r="AJP118" s="456"/>
      <c r="AJQ118" s="456"/>
      <c r="AJR118" s="456"/>
      <c r="AJS118" s="456"/>
      <c r="AJT118" s="456"/>
      <c r="AJU118" s="456"/>
      <c r="AJV118" s="456"/>
      <c r="AJW118" s="456"/>
      <c r="AJX118" s="456"/>
      <c r="AJY118" s="456"/>
      <c r="AJZ118" s="456"/>
      <c r="AKA118" s="456"/>
      <c r="AKB118" s="456"/>
      <c r="AKC118" s="456"/>
      <c r="AKD118" s="456"/>
      <c r="AKE118" s="456"/>
      <c r="AKF118" s="456"/>
      <c r="AKG118" s="456"/>
      <c r="AKH118" s="456"/>
      <c r="AKI118" s="456"/>
      <c r="AKJ118" s="456"/>
      <c r="AKK118" s="456"/>
      <c r="AKL118" s="456"/>
      <c r="AKM118" s="456"/>
      <c r="AKN118" s="456"/>
      <c r="AKO118" s="456"/>
      <c r="AKP118" s="456"/>
      <c r="AKQ118" s="456"/>
      <c r="AKR118" s="456"/>
      <c r="AKS118" s="456"/>
      <c r="AKT118" s="456"/>
      <c r="AKU118" s="456"/>
      <c r="AKV118" s="456"/>
      <c r="AKW118" s="456"/>
      <c r="AKX118" s="456"/>
      <c r="AKY118" s="456"/>
      <c r="AKZ118" s="456"/>
      <c r="ALA118" s="456"/>
      <c r="ALB118" s="456"/>
      <c r="ALC118" s="456"/>
      <c r="ALD118" s="456"/>
      <c r="ALE118" s="456"/>
      <c r="ALF118" s="456"/>
      <c r="ALG118" s="456"/>
      <c r="ALH118" s="456"/>
      <c r="ALI118" s="456"/>
      <c r="ALJ118" s="456"/>
      <c r="ALK118" s="456"/>
      <c r="ALL118" s="456"/>
      <c r="ALM118" s="456"/>
      <c r="ALN118" s="456"/>
      <c r="ALO118" s="456"/>
      <c r="ALP118" s="456"/>
      <c r="ALQ118" s="456"/>
      <c r="ALR118" s="456"/>
      <c r="ALS118" s="456"/>
      <c r="ALT118" s="456"/>
      <c r="ALU118" s="456"/>
      <c r="ALV118" s="456"/>
      <c r="ALW118" s="456"/>
      <c r="ALX118" s="456"/>
      <c r="ALY118" s="456"/>
      <c r="ALZ118" s="456"/>
      <c r="AMA118" s="456"/>
      <c r="AMB118" s="456"/>
      <c r="AMC118" s="456"/>
      <c r="AMD118" s="456"/>
      <c r="AME118" s="456"/>
      <c r="AMF118" s="456"/>
      <c r="AMG118" s="456"/>
      <c r="AMH118" s="456"/>
      <c r="AMI118" s="456"/>
      <c r="AMJ118" s="456"/>
      <c r="AMK118" s="456"/>
      <c r="AML118" s="456"/>
      <c r="AMM118" s="456"/>
      <c r="AMN118" s="456"/>
      <c r="AMO118" s="456"/>
      <c r="AMP118" s="456"/>
      <c r="AMQ118" s="456"/>
      <c r="AMR118" s="456"/>
      <c r="AMS118" s="456"/>
      <c r="AMT118" s="456"/>
      <c r="AMU118" s="456"/>
      <c r="AMV118" s="456"/>
      <c r="AMW118" s="456"/>
      <c r="AMX118" s="456"/>
      <c r="AMY118" s="456"/>
      <c r="AMZ118" s="456"/>
      <c r="ANA118" s="456"/>
      <c r="ANB118" s="456"/>
      <c r="ANC118" s="456"/>
      <c r="AND118" s="456"/>
      <c r="ANE118" s="456"/>
      <c r="ANF118" s="456"/>
      <c r="ANG118" s="456"/>
      <c r="ANH118" s="456"/>
      <c r="ANI118" s="456"/>
      <c r="ANJ118" s="456"/>
      <c r="ANK118" s="456"/>
      <c r="ANL118" s="456"/>
      <c r="ANM118" s="456"/>
      <c r="ANN118" s="456"/>
      <c r="ANO118" s="456"/>
      <c r="ANP118" s="456"/>
      <c r="ANQ118" s="456"/>
      <c r="ANR118" s="456"/>
      <c r="ANS118" s="456"/>
      <c r="ANT118" s="456"/>
      <c r="ANU118" s="456"/>
      <c r="ANV118" s="456"/>
      <c r="ANW118" s="456"/>
      <c r="ANX118" s="456"/>
      <c r="ANY118" s="456"/>
      <c r="ANZ118" s="456"/>
      <c r="AOA118" s="456"/>
      <c r="AOB118" s="456"/>
      <c r="AOC118" s="456"/>
      <c r="AOD118" s="456"/>
      <c r="AOE118" s="456"/>
      <c r="AOF118" s="456"/>
      <c r="AOG118" s="456"/>
      <c r="AOH118" s="456"/>
      <c r="AOI118" s="456"/>
      <c r="AOJ118" s="456"/>
      <c r="AOK118" s="456"/>
      <c r="AOL118" s="456"/>
      <c r="AOM118" s="456"/>
      <c r="AON118" s="456"/>
      <c r="AOO118" s="456"/>
      <c r="AOP118" s="456"/>
      <c r="AOQ118" s="456"/>
      <c r="AOR118" s="456"/>
      <c r="AOS118" s="456"/>
      <c r="AOT118" s="456"/>
      <c r="AOU118" s="456"/>
      <c r="AOV118" s="456"/>
      <c r="AOW118" s="456"/>
      <c r="AOX118" s="456"/>
      <c r="AOY118" s="456"/>
      <c r="AOZ118" s="456"/>
      <c r="APA118" s="456"/>
      <c r="APB118" s="456"/>
      <c r="APC118" s="456"/>
      <c r="APD118" s="456"/>
      <c r="APE118" s="456"/>
      <c r="APF118" s="456"/>
      <c r="APG118" s="456"/>
      <c r="APH118" s="456"/>
      <c r="API118" s="456"/>
      <c r="APJ118" s="456"/>
      <c r="APK118" s="456"/>
      <c r="APL118" s="456"/>
      <c r="APM118" s="456"/>
      <c r="APN118" s="456"/>
      <c r="APO118" s="456"/>
      <c r="APP118" s="456"/>
      <c r="APQ118" s="456"/>
      <c r="APR118" s="456"/>
      <c r="APS118" s="456"/>
      <c r="APT118" s="456"/>
      <c r="APU118" s="456"/>
      <c r="APV118" s="456"/>
      <c r="APW118" s="456"/>
      <c r="APX118" s="456"/>
      <c r="APY118" s="456"/>
      <c r="APZ118" s="456"/>
      <c r="AQA118" s="456"/>
      <c r="AQB118" s="456"/>
      <c r="AQC118" s="456"/>
      <c r="AQD118" s="456"/>
      <c r="AQE118" s="456"/>
      <c r="AQF118" s="456"/>
      <c r="AQG118" s="456"/>
      <c r="AQH118" s="456"/>
      <c r="AQI118" s="456"/>
      <c r="AQJ118" s="456"/>
      <c r="AQK118" s="456"/>
      <c r="AQL118" s="456"/>
      <c r="AQM118" s="456"/>
      <c r="AQN118" s="456"/>
      <c r="AQO118" s="456"/>
      <c r="AQP118" s="456"/>
      <c r="AQQ118" s="456"/>
      <c r="AQR118" s="456"/>
      <c r="AQS118" s="456"/>
      <c r="AQT118" s="456"/>
      <c r="AQU118" s="456"/>
      <c r="AQV118" s="456"/>
      <c r="AQW118" s="456"/>
      <c r="AQX118" s="456"/>
      <c r="AQY118" s="456"/>
      <c r="AQZ118" s="456"/>
      <c r="ARA118" s="456"/>
      <c r="ARB118" s="456"/>
      <c r="ARC118" s="456"/>
      <c r="ARD118" s="456"/>
      <c r="ARE118" s="456"/>
      <c r="ARF118" s="456"/>
      <c r="ARG118" s="456"/>
      <c r="ARH118" s="456"/>
      <c r="ARI118" s="456"/>
      <c r="ARJ118" s="456"/>
      <c r="ARK118" s="456"/>
      <c r="ARL118" s="456"/>
      <c r="ARM118" s="456"/>
      <c r="ARN118" s="456"/>
      <c r="ARO118" s="456"/>
      <c r="ARP118" s="456"/>
      <c r="ARQ118" s="456"/>
      <c r="ARR118" s="456"/>
      <c r="ARS118" s="456"/>
      <c r="ART118" s="456"/>
      <c r="ARU118" s="456"/>
      <c r="ARV118" s="456"/>
      <c r="ARW118" s="456"/>
      <c r="ARX118" s="456"/>
      <c r="ARY118" s="456"/>
      <c r="ARZ118" s="456"/>
      <c r="ASA118" s="456"/>
      <c r="ASB118" s="456"/>
      <c r="ASC118" s="456"/>
      <c r="ASD118" s="456"/>
      <c r="ASE118" s="456"/>
      <c r="ASF118" s="456"/>
      <c r="ASG118" s="456"/>
      <c r="ASH118" s="456"/>
      <c r="ASI118" s="456"/>
      <c r="ASJ118" s="456"/>
      <c r="ASK118" s="456"/>
      <c r="ASL118" s="456"/>
      <c r="ASM118" s="456"/>
      <c r="ASN118" s="456"/>
      <c r="ASO118" s="456"/>
      <c r="ASP118" s="456"/>
      <c r="ASQ118" s="456"/>
      <c r="ASR118" s="456"/>
      <c r="ASS118" s="456"/>
      <c r="AST118" s="456"/>
      <c r="ASU118" s="456"/>
      <c r="ASV118" s="456"/>
      <c r="ASW118" s="456"/>
      <c r="ASX118" s="456"/>
      <c r="ASY118" s="456"/>
      <c r="ASZ118" s="456"/>
      <c r="ATA118" s="456"/>
      <c r="ATB118" s="456"/>
      <c r="ATC118" s="456"/>
      <c r="ATD118" s="456"/>
      <c r="ATE118" s="456"/>
      <c r="ATF118" s="456"/>
      <c r="ATG118" s="456"/>
      <c r="ATH118" s="456"/>
      <c r="ATI118" s="456"/>
      <c r="ATJ118" s="456"/>
      <c r="ATK118" s="456"/>
      <c r="ATL118" s="456"/>
      <c r="ATM118" s="456"/>
      <c r="ATN118" s="456"/>
      <c r="ATO118" s="456"/>
      <c r="ATP118" s="456"/>
      <c r="ATQ118" s="456"/>
      <c r="ATR118" s="456"/>
      <c r="ATS118" s="456"/>
      <c r="ATT118" s="456"/>
      <c r="ATU118" s="456"/>
      <c r="ATV118" s="456"/>
      <c r="ATW118" s="456"/>
      <c r="ATX118" s="456"/>
      <c r="ATY118" s="456"/>
      <c r="ATZ118" s="456"/>
      <c r="AUA118" s="456"/>
      <c r="AUB118" s="456"/>
      <c r="AUC118" s="456"/>
      <c r="AUD118" s="456"/>
      <c r="AUE118" s="456"/>
      <c r="AUF118" s="456"/>
      <c r="AUG118" s="456"/>
      <c r="AUH118" s="456"/>
      <c r="AUI118" s="456"/>
      <c r="AUJ118" s="456"/>
      <c r="AUK118" s="456"/>
      <c r="AUL118" s="456"/>
      <c r="AUM118" s="456"/>
      <c r="AUN118" s="456"/>
      <c r="AUO118" s="456"/>
      <c r="AUP118" s="456"/>
      <c r="AUQ118" s="456"/>
      <c r="AUR118" s="456"/>
      <c r="AUS118" s="456"/>
      <c r="AUT118" s="456"/>
      <c r="AUU118" s="456"/>
      <c r="AUV118" s="456"/>
      <c r="AUW118" s="456"/>
      <c r="AUX118" s="456"/>
      <c r="AUY118" s="456"/>
      <c r="AUZ118" s="456"/>
      <c r="AVA118" s="456"/>
      <c r="AVB118" s="456"/>
      <c r="AVC118" s="456"/>
      <c r="AVD118" s="456"/>
      <c r="AVE118" s="456"/>
      <c r="AVF118" s="456"/>
      <c r="AVG118" s="456"/>
      <c r="AVH118" s="456"/>
      <c r="AVI118" s="456"/>
      <c r="AVJ118" s="456"/>
      <c r="AVK118" s="456"/>
      <c r="AVL118" s="456"/>
      <c r="AVM118" s="456"/>
      <c r="AVN118" s="456"/>
      <c r="AVO118" s="456"/>
      <c r="AVP118" s="456"/>
      <c r="AVQ118" s="456"/>
      <c r="AVR118" s="456"/>
      <c r="AVS118" s="456"/>
      <c r="AVT118" s="456"/>
      <c r="AVU118" s="456"/>
      <c r="AVV118" s="456"/>
      <c r="AVW118" s="456"/>
      <c r="AVX118" s="456"/>
      <c r="AVY118" s="456"/>
      <c r="AVZ118" s="456"/>
      <c r="AWA118" s="456"/>
      <c r="AWB118" s="456"/>
      <c r="AWC118" s="456"/>
      <c r="AWD118" s="456"/>
      <c r="AWE118" s="456"/>
      <c r="AWF118" s="456"/>
      <c r="AWG118" s="456"/>
      <c r="AWH118" s="456"/>
      <c r="AWI118" s="456"/>
      <c r="AWJ118" s="456"/>
      <c r="AWK118" s="456"/>
      <c r="AWL118" s="456"/>
      <c r="AWM118" s="456"/>
      <c r="AWN118" s="456"/>
      <c r="AWO118" s="456"/>
      <c r="AWP118" s="456"/>
      <c r="AWQ118" s="456"/>
      <c r="AWR118" s="456"/>
      <c r="AWS118" s="456"/>
      <c r="AWT118" s="456"/>
      <c r="AWU118" s="456"/>
      <c r="AWV118" s="456"/>
      <c r="AWW118" s="456"/>
      <c r="AWX118" s="456"/>
      <c r="AWY118" s="456"/>
      <c r="AWZ118" s="456"/>
      <c r="AXA118" s="456"/>
      <c r="AXB118" s="456"/>
      <c r="AXC118" s="456"/>
      <c r="AXD118" s="456"/>
      <c r="AXE118" s="456"/>
      <c r="AXF118" s="456"/>
      <c r="AXG118" s="456"/>
      <c r="AXH118" s="456"/>
      <c r="AXI118" s="456"/>
      <c r="AXJ118" s="456"/>
      <c r="AXK118" s="456"/>
      <c r="AXL118" s="456"/>
      <c r="AXM118" s="456"/>
      <c r="AXN118" s="456"/>
      <c r="AXO118" s="456"/>
      <c r="AXP118" s="456"/>
      <c r="AXQ118" s="456"/>
      <c r="AXR118" s="456"/>
      <c r="AXS118" s="456"/>
      <c r="AXT118" s="456"/>
      <c r="AXU118" s="456"/>
      <c r="AXV118" s="456"/>
      <c r="AXW118" s="456"/>
      <c r="AXX118" s="456"/>
      <c r="AXY118" s="456"/>
      <c r="AXZ118" s="456"/>
      <c r="AYA118" s="456"/>
      <c r="AYB118" s="456"/>
      <c r="AYC118" s="456"/>
      <c r="AYD118" s="456"/>
      <c r="AYE118" s="456"/>
      <c r="AYF118" s="456"/>
      <c r="AYG118" s="456"/>
      <c r="AYH118" s="456"/>
      <c r="AYI118" s="456"/>
      <c r="AYJ118" s="456"/>
      <c r="AYK118" s="456"/>
      <c r="AYL118" s="456"/>
      <c r="AYM118" s="456"/>
      <c r="AYN118" s="456"/>
      <c r="AYO118" s="456"/>
      <c r="AYP118" s="456"/>
      <c r="AYQ118" s="456"/>
      <c r="AYR118" s="456"/>
      <c r="AYS118" s="456"/>
      <c r="AYT118" s="456"/>
      <c r="AYU118" s="456"/>
      <c r="AYV118" s="456"/>
      <c r="AYW118" s="456"/>
      <c r="AYX118" s="456"/>
      <c r="AYY118" s="456"/>
      <c r="AYZ118" s="456"/>
      <c r="AZA118" s="456"/>
      <c r="AZB118" s="456"/>
      <c r="AZC118" s="456"/>
      <c r="AZD118" s="456"/>
      <c r="AZE118" s="456"/>
      <c r="AZF118" s="456"/>
      <c r="AZG118" s="456"/>
      <c r="AZH118" s="456"/>
      <c r="AZI118" s="456"/>
      <c r="AZJ118" s="456"/>
      <c r="AZK118" s="456"/>
      <c r="AZL118" s="456"/>
      <c r="AZM118" s="456"/>
      <c r="AZN118" s="456"/>
      <c r="AZO118" s="456"/>
      <c r="AZP118" s="456"/>
      <c r="AZQ118" s="456"/>
      <c r="AZR118" s="456"/>
      <c r="AZS118" s="456"/>
      <c r="AZT118" s="456"/>
      <c r="AZU118" s="456"/>
      <c r="AZV118" s="456"/>
      <c r="AZW118" s="456"/>
      <c r="AZX118" s="456"/>
      <c r="AZY118" s="456"/>
      <c r="AZZ118" s="456"/>
      <c r="BAA118" s="456"/>
      <c r="BAB118" s="456"/>
      <c r="BAC118" s="456"/>
      <c r="BAD118" s="456"/>
      <c r="BAE118" s="456"/>
      <c r="BAF118" s="456"/>
      <c r="BAG118" s="456"/>
      <c r="BAH118" s="456"/>
      <c r="BAI118" s="456"/>
      <c r="BAJ118" s="456"/>
      <c r="BAK118" s="456"/>
      <c r="BAL118" s="456"/>
      <c r="BAM118" s="456"/>
      <c r="BAN118" s="456"/>
      <c r="BAO118" s="456"/>
      <c r="BAP118" s="456"/>
      <c r="BAQ118" s="456"/>
      <c r="BAR118" s="456"/>
      <c r="BAS118" s="456"/>
      <c r="BAT118" s="456"/>
      <c r="BAU118" s="456"/>
      <c r="BAV118" s="456"/>
      <c r="BAW118" s="456"/>
      <c r="BAX118" s="456"/>
      <c r="BAY118" s="456"/>
      <c r="BAZ118" s="456"/>
      <c r="BBA118" s="456"/>
      <c r="BBB118" s="456"/>
      <c r="BBC118" s="456"/>
      <c r="BBD118" s="456"/>
      <c r="BBE118" s="456"/>
      <c r="BBF118" s="456"/>
      <c r="BBG118" s="456"/>
      <c r="BBH118" s="456"/>
      <c r="BBI118" s="456"/>
      <c r="BBJ118" s="456"/>
      <c r="BBK118" s="456"/>
      <c r="BBL118" s="456"/>
      <c r="BBM118" s="456"/>
      <c r="BBN118" s="456"/>
      <c r="BBO118" s="456"/>
      <c r="BBP118" s="456"/>
      <c r="BBQ118" s="456"/>
      <c r="BBR118" s="456"/>
      <c r="BBS118" s="456"/>
      <c r="BBT118" s="456"/>
      <c r="BBU118" s="456"/>
      <c r="BBV118" s="456"/>
      <c r="BBW118" s="456"/>
      <c r="BBX118" s="456"/>
      <c r="BBY118" s="456"/>
      <c r="BBZ118" s="456"/>
      <c r="BCA118" s="456"/>
      <c r="BCB118" s="456"/>
      <c r="BCC118" s="456"/>
      <c r="BCD118" s="456"/>
      <c r="BCE118" s="456"/>
      <c r="BCF118" s="456"/>
      <c r="BCG118" s="456"/>
      <c r="BCH118" s="456"/>
      <c r="BCI118" s="456"/>
      <c r="BCJ118" s="456"/>
      <c r="BCK118" s="456"/>
      <c r="BCL118" s="456"/>
      <c r="BCM118" s="456"/>
      <c r="BCN118" s="456"/>
      <c r="BCO118" s="456"/>
      <c r="BCP118" s="456"/>
      <c r="BCQ118" s="456"/>
      <c r="BCR118" s="456"/>
      <c r="BCS118" s="456"/>
      <c r="BCT118" s="456"/>
      <c r="BCU118" s="456"/>
      <c r="BCV118" s="456"/>
      <c r="BCW118" s="456"/>
      <c r="BCX118" s="456"/>
      <c r="BCY118" s="456"/>
      <c r="BCZ118" s="456"/>
      <c r="BDA118" s="456"/>
      <c r="BDB118" s="456"/>
      <c r="BDC118" s="456"/>
      <c r="BDD118" s="456"/>
      <c r="BDE118" s="456"/>
      <c r="BDF118" s="456"/>
      <c r="BDG118" s="456"/>
      <c r="BDH118" s="456"/>
      <c r="BDI118" s="456"/>
      <c r="BDJ118" s="456"/>
      <c r="BDK118" s="456"/>
      <c r="BDL118" s="456"/>
      <c r="BDM118" s="456"/>
      <c r="BDN118" s="456"/>
      <c r="BDO118" s="456"/>
      <c r="BDP118" s="456"/>
      <c r="BDQ118" s="456"/>
      <c r="BDR118" s="456"/>
      <c r="BDS118" s="456"/>
      <c r="BDT118" s="456"/>
      <c r="BDU118" s="456"/>
      <c r="BDV118" s="456"/>
      <c r="BDW118" s="456"/>
      <c r="BDX118" s="456"/>
      <c r="BDY118" s="456"/>
      <c r="BDZ118" s="456"/>
      <c r="BEA118" s="456"/>
      <c r="BEB118" s="456"/>
      <c r="BEC118" s="456"/>
      <c r="BED118" s="456"/>
      <c r="BEE118" s="456"/>
      <c r="BEF118" s="456"/>
      <c r="BEG118" s="456"/>
      <c r="BEH118" s="456"/>
      <c r="BEI118" s="456"/>
      <c r="BEJ118" s="456"/>
      <c r="BEK118" s="456"/>
      <c r="BEL118" s="456"/>
      <c r="BEM118" s="456"/>
      <c r="BEN118" s="456"/>
      <c r="BEO118" s="456"/>
      <c r="BEP118" s="456"/>
      <c r="BEQ118" s="456"/>
      <c r="BER118" s="456"/>
      <c r="BES118" s="456"/>
      <c r="BET118" s="456"/>
      <c r="BEU118" s="456"/>
      <c r="BEV118" s="456"/>
      <c r="BEW118" s="456"/>
      <c r="BEX118" s="456"/>
      <c r="BEY118" s="456"/>
      <c r="BEZ118" s="456"/>
      <c r="BFA118" s="456"/>
      <c r="BFB118" s="456"/>
      <c r="BFC118" s="456"/>
      <c r="BFD118" s="456"/>
      <c r="BFE118" s="456"/>
      <c r="BFF118" s="456"/>
      <c r="BFG118" s="456"/>
      <c r="BFH118" s="456"/>
      <c r="BFI118" s="456"/>
      <c r="BFJ118" s="456"/>
      <c r="BFK118" s="456"/>
      <c r="BFL118" s="456"/>
      <c r="BFM118" s="456"/>
      <c r="BFN118" s="456"/>
      <c r="BFO118" s="456"/>
      <c r="BFP118" s="456"/>
      <c r="BFQ118" s="456"/>
      <c r="BFR118" s="456"/>
      <c r="BFS118" s="456"/>
      <c r="BFT118" s="456"/>
      <c r="BFU118" s="456"/>
      <c r="BFV118" s="456"/>
      <c r="BFW118" s="456"/>
      <c r="BFX118" s="456"/>
      <c r="BFY118" s="456"/>
      <c r="BFZ118" s="456"/>
      <c r="BGA118" s="456"/>
      <c r="BGB118" s="456"/>
      <c r="BGC118" s="456"/>
      <c r="BGD118" s="456"/>
      <c r="BGE118" s="456"/>
      <c r="BGF118" s="456"/>
      <c r="BGG118" s="456"/>
      <c r="BGH118" s="456"/>
      <c r="BGI118" s="456"/>
      <c r="BGJ118" s="456"/>
      <c r="BGK118" s="456"/>
      <c r="BGL118" s="456"/>
      <c r="BGM118" s="456"/>
      <c r="BGN118" s="456"/>
      <c r="BGO118" s="456"/>
      <c r="BGP118" s="456"/>
      <c r="BGQ118" s="456"/>
      <c r="BGR118" s="456"/>
      <c r="BGS118" s="456"/>
      <c r="BGT118" s="456"/>
      <c r="BGU118" s="456"/>
      <c r="BGV118" s="456"/>
      <c r="BGW118" s="456"/>
      <c r="BGX118" s="456"/>
      <c r="BGY118" s="456"/>
      <c r="BGZ118" s="456"/>
      <c r="BHA118" s="456"/>
      <c r="BHB118" s="456"/>
      <c r="BHC118" s="456"/>
      <c r="BHD118" s="456"/>
      <c r="BHE118" s="456"/>
      <c r="BHF118" s="456"/>
      <c r="BHG118" s="456"/>
      <c r="BHH118" s="456"/>
      <c r="BHI118" s="456"/>
      <c r="BHJ118" s="456"/>
      <c r="BHK118" s="456"/>
      <c r="BHL118" s="456"/>
      <c r="BHM118" s="456"/>
      <c r="BHN118" s="456"/>
      <c r="BHO118" s="456"/>
      <c r="BHP118" s="456"/>
      <c r="BHQ118" s="456"/>
      <c r="BHR118" s="456"/>
      <c r="BHS118" s="456"/>
      <c r="BHT118" s="456"/>
      <c r="BHU118" s="456"/>
      <c r="BHV118" s="456"/>
      <c r="BHW118" s="456"/>
      <c r="BHX118" s="456"/>
      <c r="BHY118" s="456"/>
      <c r="BHZ118" s="456"/>
      <c r="BIA118" s="456"/>
      <c r="BIB118" s="456"/>
      <c r="BIC118" s="456"/>
      <c r="BID118" s="456"/>
      <c r="BIE118" s="456"/>
      <c r="BIF118" s="456"/>
      <c r="BIG118" s="456"/>
      <c r="BIH118" s="456"/>
      <c r="BII118" s="456"/>
      <c r="BIJ118" s="456"/>
      <c r="BIK118" s="456"/>
      <c r="BIL118" s="456"/>
      <c r="BIM118" s="456"/>
      <c r="BIN118" s="456"/>
      <c r="BIO118" s="456"/>
      <c r="BIP118" s="456"/>
      <c r="BIQ118" s="456"/>
      <c r="BIR118" s="456"/>
      <c r="BIS118" s="456"/>
      <c r="BIT118" s="456"/>
      <c r="BIU118" s="456"/>
      <c r="BIV118" s="456"/>
      <c r="BIW118" s="456"/>
      <c r="BIX118" s="456"/>
      <c r="BIY118" s="456"/>
      <c r="BIZ118" s="456"/>
      <c r="BJA118" s="456"/>
      <c r="BJB118" s="456"/>
      <c r="BJC118" s="456"/>
      <c r="BJD118" s="456"/>
      <c r="BJE118" s="456"/>
      <c r="BJF118" s="456"/>
      <c r="BJG118" s="456"/>
      <c r="BJH118" s="456"/>
      <c r="BJI118" s="456"/>
      <c r="BJJ118" s="456"/>
      <c r="BJK118" s="456"/>
      <c r="BJL118" s="456"/>
      <c r="BJM118" s="456"/>
      <c r="BJN118" s="456"/>
      <c r="BJO118" s="456"/>
      <c r="BJP118" s="456"/>
      <c r="BJQ118" s="456"/>
      <c r="BJR118" s="456"/>
      <c r="BJS118" s="456"/>
      <c r="BJT118" s="456"/>
      <c r="BJU118" s="456"/>
      <c r="BJV118" s="456"/>
      <c r="BJW118" s="456"/>
      <c r="BJX118" s="456"/>
      <c r="BJY118" s="456"/>
      <c r="BJZ118" s="456"/>
      <c r="BKA118" s="456"/>
      <c r="BKB118" s="456"/>
      <c r="BKC118" s="456"/>
      <c r="BKD118" s="456"/>
      <c r="BKE118" s="456"/>
      <c r="BKF118" s="456"/>
      <c r="BKG118" s="456"/>
      <c r="BKH118" s="456"/>
      <c r="BKI118" s="456"/>
      <c r="BKJ118" s="456"/>
      <c r="BKK118" s="456"/>
      <c r="BKL118" s="456"/>
      <c r="BKM118" s="456"/>
      <c r="BKN118" s="456"/>
      <c r="BKO118" s="456"/>
      <c r="BKP118" s="456"/>
      <c r="BKQ118" s="456"/>
      <c r="BKR118" s="456"/>
      <c r="BKS118" s="456"/>
      <c r="BKT118" s="456"/>
      <c r="BKU118" s="456"/>
      <c r="BKV118" s="456"/>
      <c r="BKW118" s="456"/>
      <c r="BKX118" s="456"/>
      <c r="BKY118" s="456"/>
      <c r="BKZ118" s="456"/>
      <c r="BLA118" s="456"/>
      <c r="BLB118" s="456"/>
      <c r="BLC118" s="456"/>
      <c r="BLD118" s="456"/>
      <c r="BLE118" s="456"/>
      <c r="BLF118" s="456"/>
      <c r="BLG118" s="456"/>
      <c r="BLH118" s="456"/>
      <c r="BLI118" s="456"/>
      <c r="BLJ118" s="456"/>
      <c r="BLK118" s="456"/>
      <c r="BLL118" s="456"/>
      <c r="BLM118" s="456"/>
      <c r="BLN118" s="456"/>
      <c r="BLO118" s="456"/>
      <c r="BLP118" s="456"/>
      <c r="BLQ118" s="456"/>
      <c r="BLR118" s="456"/>
      <c r="BLS118" s="456"/>
      <c r="BLT118" s="456"/>
      <c r="BLU118" s="456"/>
      <c r="BLV118" s="456"/>
      <c r="BLW118" s="456"/>
      <c r="BLX118" s="456"/>
      <c r="BLY118" s="456"/>
      <c r="BLZ118" s="456"/>
      <c r="BMA118" s="456"/>
      <c r="BMB118" s="456"/>
      <c r="BMC118" s="456"/>
      <c r="BMD118" s="456"/>
      <c r="BME118" s="456"/>
      <c r="BMF118" s="456"/>
      <c r="BMG118" s="456"/>
      <c r="BMH118" s="456"/>
      <c r="BMI118" s="456"/>
      <c r="BMJ118" s="456"/>
      <c r="BMK118" s="456"/>
      <c r="BML118" s="456"/>
      <c r="BMM118" s="456"/>
      <c r="BMN118" s="456"/>
      <c r="BMO118" s="456"/>
      <c r="BMP118" s="456"/>
      <c r="BMQ118" s="456"/>
      <c r="BMR118" s="456"/>
      <c r="BMS118" s="456"/>
      <c r="BMT118" s="456"/>
      <c r="BMU118" s="456"/>
      <c r="BMV118" s="456"/>
      <c r="BMW118" s="456"/>
      <c r="BMX118" s="456"/>
      <c r="BMY118" s="456"/>
      <c r="BMZ118" s="456"/>
      <c r="BNA118" s="456"/>
      <c r="BNB118" s="456"/>
      <c r="BNC118" s="456"/>
      <c r="BND118" s="456"/>
      <c r="BNE118" s="456"/>
      <c r="BNF118" s="456"/>
      <c r="BNG118" s="456"/>
      <c r="BNH118" s="456"/>
      <c r="BNI118" s="456"/>
      <c r="BNJ118" s="456"/>
      <c r="BNK118" s="456"/>
      <c r="BNL118" s="456"/>
      <c r="BNM118" s="456"/>
      <c r="BNN118" s="456"/>
      <c r="BNO118" s="456"/>
      <c r="BNP118" s="456"/>
      <c r="BNQ118" s="456"/>
      <c r="BNR118" s="456"/>
      <c r="BNS118" s="456"/>
      <c r="BNT118" s="456"/>
      <c r="BNU118" s="456"/>
      <c r="BNV118" s="456"/>
      <c r="BNW118" s="456"/>
      <c r="BNX118" s="456"/>
      <c r="BNY118" s="456"/>
      <c r="BNZ118" s="456"/>
      <c r="BOA118" s="456"/>
      <c r="BOB118" s="456"/>
      <c r="BOC118" s="456"/>
      <c r="BOD118" s="456"/>
      <c r="BOE118" s="456"/>
      <c r="BOF118" s="456"/>
      <c r="BOG118" s="456"/>
      <c r="BOH118" s="456"/>
      <c r="BOI118" s="456"/>
      <c r="BOJ118" s="456"/>
      <c r="BOK118" s="456"/>
      <c r="BOL118" s="456"/>
      <c r="BOM118" s="456"/>
      <c r="BON118" s="456"/>
      <c r="BOO118" s="456"/>
      <c r="BOP118" s="456"/>
      <c r="BOQ118" s="456"/>
      <c r="BOR118" s="456"/>
      <c r="BOS118" s="456"/>
      <c r="BOT118" s="456"/>
      <c r="BOU118" s="456"/>
      <c r="BOV118" s="456"/>
      <c r="BOW118" s="456"/>
      <c r="BOX118" s="456"/>
      <c r="BOY118" s="456"/>
      <c r="BOZ118" s="456"/>
      <c r="BPA118" s="456"/>
      <c r="BPB118" s="456"/>
      <c r="BPC118" s="456"/>
      <c r="BPD118" s="456"/>
      <c r="BPE118" s="456"/>
      <c r="BPF118" s="456"/>
      <c r="BPG118" s="456"/>
      <c r="BPH118" s="456"/>
      <c r="BPI118" s="456"/>
      <c r="BPJ118" s="456"/>
      <c r="BPK118" s="456"/>
      <c r="BPL118" s="456"/>
      <c r="BPM118" s="456"/>
      <c r="BPN118" s="456"/>
      <c r="BPO118" s="456"/>
      <c r="BPP118" s="456"/>
      <c r="BPQ118" s="456"/>
      <c r="BPR118" s="456"/>
      <c r="BPS118" s="456"/>
      <c r="BPT118" s="456"/>
      <c r="BPU118" s="456"/>
      <c r="BPV118" s="456"/>
      <c r="BPW118" s="456"/>
      <c r="BPX118" s="456"/>
      <c r="BPY118" s="456"/>
      <c r="BPZ118" s="456"/>
      <c r="BQA118" s="456"/>
      <c r="BQB118" s="456"/>
      <c r="BQC118" s="456"/>
      <c r="BQD118" s="456"/>
      <c r="BQE118" s="456"/>
      <c r="BQF118" s="456"/>
      <c r="BQG118" s="456"/>
      <c r="BQH118" s="456"/>
      <c r="BQI118" s="456"/>
      <c r="BQJ118" s="456"/>
      <c r="BQK118" s="456"/>
      <c r="BQL118" s="456"/>
      <c r="BQM118" s="456"/>
      <c r="BQN118" s="456"/>
      <c r="BQO118" s="456"/>
      <c r="BQP118" s="456"/>
      <c r="BQQ118" s="456"/>
      <c r="BQR118" s="456"/>
      <c r="BQS118" s="456"/>
      <c r="BQT118" s="456"/>
      <c r="BQU118" s="456"/>
      <c r="BQV118" s="456"/>
      <c r="BQW118" s="456"/>
      <c r="BQX118" s="456"/>
      <c r="BQY118" s="456"/>
      <c r="BQZ118" s="456"/>
      <c r="BRA118" s="456"/>
      <c r="BRB118" s="456"/>
      <c r="BRC118" s="456"/>
      <c r="BRD118" s="456"/>
      <c r="BRE118" s="456"/>
      <c r="BRF118" s="456"/>
      <c r="BRG118" s="456"/>
      <c r="BRH118" s="456"/>
      <c r="BRI118" s="456"/>
      <c r="BRJ118" s="456"/>
      <c r="BRK118" s="456"/>
      <c r="BRL118" s="456"/>
      <c r="BRM118" s="456"/>
      <c r="BRN118" s="456"/>
      <c r="BRO118" s="456"/>
      <c r="BRP118" s="456"/>
      <c r="BRQ118" s="456"/>
      <c r="BRR118" s="456"/>
      <c r="BRS118" s="456"/>
      <c r="BRT118" s="456"/>
      <c r="BRU118" s="456"/>
      <c r="BRV118" s="456"/>
      <c r="BRW118" s="456"/>
      <c r="BRX118" s="456"/>
      <c r="BRY118" s="456"/>
      <c r="BRZ118" s="456"/>
      <c r="BSA118" s="456"/>
      <c r="BSB118" s="456"/>
      <c r="BSC118" s="456"/>
      <c r="BSD118" s="456"/>
      <c r="BSE118" s="456"/>
      <c r="BSF118" s="456"/>
      <c r="BSG118" s="456"/>
      <c r="BSH118" s="456"/>
      <c r="BSI118" s="456"/>
      <c r="BSJ118" s="456"/>
      <c r="BSK118" s="456"/>
      <c r="BSL118" s="456"/>
      <c r="BSM118" s="456"/>
      <c r="BSN118" s="456"/>
      <c r="BSO118" s="456"/>
      <c r="BSP118" s="456"/>
      <c r="BSQ118" s="456"/>
      <c r="BSR118" s="456"/>
      <c r="BSS118" s="456"/>
      <c r="BST118" s="456"/>
      <c r="BSU118" s="456"/>
      <c r="BSV118" s="456"/>
      <c r="BSW118" s="456"/>
      <c r="BSX118" s="456"/>
      <c r="BSY118" s="456"/>
      <c r="BSZ118" s="456"/>
      <c r="BTA118" s="456"/>
      <c r="BTB118" s="456"/>
      <c r="BTC118" s="456"/>
      <c r="BTD118" s="456"/>
      <c r="BTE118" s="456"/>
      <c r="BTF118" s="456"/>
      <c r="BTG118" s="456"/>
      <c r="BTH118" s="456"/>
      <c r="BTI118" s="456"/>
      <c r="BTJ118" s="456"/>
      <c r="BTK118" s="456"/>
      <c r="BTL118" s="456"/>
      <c r="BTM118" s="456"/>
      <c r="BTN118" s="456"/>
      <c r="BTO118" s="456"/>
      <c r="BTP118" s="456"/>
      <c r="BTQ118" s="456"/>
      <c r="BTR118" s="456"/>
      <c r="BTS118" s="456"/>
      <c r="BTT118" s="456"/>
      <c r="BTU118" s="456"/>
      <c r="BTV118" s="456"/>
      <c r="BTW118" s="456"/>
      <c r="BTX118" s="456"/>
      <c r="BTY118" s="456"/>
      <c r="BTZ118" s="456"/>
      <c r="BUA118" s="456"/>
      <c r="BUB118" s="456"/>
      <c r="BUC118" s="456"/>
      <c r="BUD118" s="456"/>
      <c r="BUE118" s="456"/>
      <c r="BUF118" s="456"/>
      <c r="BUG118" s="456"/>
      <c r="BUH118" s="456"/>
      <c r="BUI118" s="456"/>
      <c r="BUJ118" s="456"/>
      <c r="BUK118" s="456"/>
      <c r="BUL118" s="456"/>
      <c r="BUM118" s="456"/>
      <c r="BUN118" s="456"/>
      <c r="BUO118" s="456"/>
      <c r="BUP118" s="456"/>
      <c r="BUQ118" s="456"/>
      <c r="BUR118" s="456"/>
      <c r="BUS118" s="456"/>
      <c r="BUT118" s="456"/>
      <c r="BUU118" s="456"/>
      <c r="BUV118" s="456"/>
      <c r="BUW118" s="456"/>
      <c r="BUX118" s="456"/>
      <c r="BUY118" s="456"/>
      <c r="BUZ118" s="456"/>
      <c r="BVA118" s="456"/>
      <c r="BVB118" s="456"/>
      <c r="BVC118" s="456"/>
      <c r="BVD118" s="456"/>
      <c r="BVE118" s="456"/>
      <c r="BVF118" s="456"/>
      <c r="BVG118" s="456"/>
      <c r="BVH118" s="456"/>
      <c r="BVI118" s="456"/>
      <c r="BVJ118" s="456"/>
      <c r="BVK118" s="456"/>
      <c r="BVL118" s="456"/>
      <c r="BVM118" s="456"/>
      <c r="BVN118" s="456"/>
      <c r="BVO118" s="456"/>
      <c r="BVP118" s="456"/>
      <c r="BVQ118" s="456"/>
      <c r="BVR118" s="456"/>
      <c r="BVS118" s="456"/>
      <c r="BVT118" s="456"/>
      <c r="BVU118" s="456"/>
      <c r="BVV118" s="456"/>
      <c r="BVW118" s="456"/>
      <c r="BVX118" s="456"/>
      <c r="BVY118" s="456"/>
      <c r="BVZ118" s="456"/>
      <c r="BWA118" s="456"/>
      <c r="BWB118" s="456"/>
      <c r="BWC118" s="456"/>
      <c r="BWD118" s="456"/>
      <c r="BWE118" s="456"/>
      <c r="BWF118" s="456"/>
      <c r="BWG118" s="456"/>
      <c r="BWH118" s="456"/>
      <c r="BWI118" s="456"/>
      <c r="BWJ118" s="456"/>
      <c r="BWK118" s="456"/>
      <c r="BWL118" s="456"/>
      <c r="BWM118" s="456"/>
      <c r="BWN118" s="456"/>
      <c r="BWO118" s="456"/>
      <c r="BWP118" s="456"/>
      <c r="BWQ118" s="456"/>
      <c r="BWR118" s="456"/>
      <c r="BWS118" s="456"/>
      <c r="BWT118" s="456"/>
      <c r="BWU118" s="456"/>
      <c r="BWV118" s="456"/>
      <c r="BWW118" s="456"/>
      <c r="BWX118" s="456"/>
      <c r="BWY118" s="456"/>
      <c r="BWZ118" s="456"/>
      <c r="BXA118" s="456"/>
      <c r="BXB118" s="456"/>
      <c r="BXC118" s="456"/>
      <c r="BXD118" s="456"/>
      <c r="BXE118" s="456"/>
      <c r="BXF118" s="456"/>
      <c r="BXG118" s="456"/>
      <c r="BXH118" s="456"/>
      <c r="BXI118" s="456"/>
      <c r="BXJ118" s="456"/>
      <c r="BXK118" s="456"/>
      <c r="BXL118" s="456"/>
      <c r="BXM118" s="456"/>
      <c r="BXN118" s="456"/>
      <c r="BXO118" s="456"/>
      <c r="BXP118" s="456"/>
      <c r="BXQ118" s="456"/>
      <c r="BXR118" s="456"/>
      <c r="BXS118" s="456"/>
      <c r="BXT118" s="456"/>
      <c r="BXU118" s="456"/>
      <c r="BXV118" s="456"/>
      <c r="BXW118" s="456"/>
      <c r="BXX118" s="456"/>
      <c r="BXY118" s="456"/>
      <c r="BXZ118" s="456"/>
    </row>
    <row r="119" s="25" customFormat="1" ht="15.6" spans="1:1024 1025:2002">
      <c r="A119" s="473"/>
      <c r="B119" s="19">
        <v>1125</v>
      </c>
      <c r="C119" s="183">
        <v>46196</v>
      </c>
      <c r="D119" s="17" t="s">
        <v>52</v>
      </c>
      <c r="E119" s="17" t="s">
        <v>53</v>
      </c>
      <c r="F119" s="17" t="s">
        <v>54</v>
      </c>
      <c r="G119" s="17"/>
      <c r="H119" s="19" t="s">
        <v>55</v>
      </c>
      <c r="I119" s="102" t="s">
        <v>56</v>
      </c>
      <c r="J119" s="17" t="s">
        <v>49</v>
      </c>
      <c r="K119" s="19">
        <v>710</v>
      </c>
      <c r="L119" s="19">
        <v>71</v>
      </c>
      <c r="M119" s="19">
        <v>5800</v>
      </c>
      <c r="N119" s="19" t="s">
        <v>40</v>
      </c>
      <c r="O119" s="19" t="s">
        <v>84</v>
      </c>
      <c r="P119" s="19">
        <f>1260*2</f>
        <v>2520</v>
      </c>
      <c r="Q119" s="19">
        <f>1750+1406</f>
        <v>3156</v>
      </c>
      <c r="R119" s="19">
        <f t="shared" si="9"/>
        <v>-636</v>
      </c>
      <c r="S119" s="311">
        <v>2040</v>
      </c>
      <c r="T119" s="19" t="s">
        <v>42</v>
      </c>
      <c r="U119" s="102" t="s">
        <v>101</v>
      </c>
      <c r="V119" s="186">
        <v>46197</v>
      </c>
      <c r="W119" s="17" t="s">
        <v>58</v>
      </c>
      <c r="X119" s="17"/>
      <c r="Y119" s="68">
        <v>46204</v>
      </c>
      <c r="Z119" s="17" t="s">
        <v>45</v>
      </c>
      <c r="AA119" s="17" t="s">
        <v>59</v>
      </c>
      <c r="AB119" s="17" t="s">
        <v>102</v>
      </c>
      <c r="AC119" s="217">
        <v>46274</v>
      </c>
      <c r="AD119" s="65">
        <v>1861</v>
      </c>
      <c r="AE119" s="17" t="s">
        <v>48</v>
      </c>
      <c r="AF119" s="17" t="s">
        <v>61</v>
      </c>
      <c r="AG119" s="17" t="s">
        <v>103</v>
      </c>
      <c r="AH119" s="456"/>
      <c r="AI119" s="456"/>
      <c r="AJ119" s="456"/>
      <c r="AK119" s="456"/>
      <c r="AL119" s="456"/>
      <c r="AM119" s="456"/>
      <c r="AN119" s="456"/>
      <c r="AO119" s="456"/>
      <c r="AP119" s="456"/>
      <c r="AQ119" s="456"/>
      <c r="AR119" s="456"/>
      <c r="AS119" s="456"/>
      <c r="AT119" s="456"/>
      <c r="AU119" s="456"/>
      <c r="AV119" s="456"/>
      <c r="AW119" s="456"/>
      <c r="AX119" s="456"/>
      <c r="AY119" s="456"/>
      <c r="AZ119" s="456"/>
      <c r="BA119" s="456"/>
      <c r="BB119" s="456"/>
      <c r="BC119" s="456"/>
      <c r="BD119" s="456"/>
      <c r="BE119" s="456"/>
      <c r="BF119" s="456"/>
      <c r="BG119" s="456"/>
      <c r="BH119" s="456"/>
      <c r="BI119" s="456"/>
      <c r="BJ119" s="456"/>
      <c r="BK119" s="456"/>
      <c r="BL119" s="456"/>
      <c r="BM119" s="456"/>
      <c r="BN119" s="456"/>
      <c r="BO119" s="456"/>
      <c r="BP119" s="456"/>
      <c r="BQ119" s="456"/>
      <c r="BR119" s="456"/>
      <c r="BS119" s="456"/>
      <c r="BT119" s="456"/>
      <c r="BU119" s="456"/>
      <c r="BV119" s="456"/>
      <c r="BW119" s="456"/>
      <c r="BX119" s="456"/>
      <c r="BY119" s="456"/>
      <c r="BZ119" s="456"/>
      <c r="CA119" s="456"/>
      <c r="CB119" s="456"/>
      <c r="CC119" s="456"/>
      <c r="CD119" s="456"/>
      <c r="CE119" s="456"/>
      <c r="CF119" s="456"/>
      <c r="CG119" s="456"/>
      <c r="CH119" s="456"/>
      <c r="CI119" s="456"/>
      <c r="CJ119" s="456"/>
      <c r="CK119" s="456"/>
      <c r="CL119" s="456"/>
      <c r="CM119" s="456"/>
      <c r="CN119" s="456"/>
      <c r="CO119" s="456"/>
      <c r="CP119" s="456"/>
      <c r="CQ119" s="456"/>
      <c r="CR119" s="456"/>
      <c r="CS119" s="456"/>
      <c r="CT119" s="456"/>
      <c r="CU119" s="456"/>
      <c r="CV119" s="456"/>
      <c r="CW119" s="456"/>
      <c r="CX119" s="456"/>
      <c r="CY119" s="456"/>
      <c r="CZ119" s="456"/>
      <c r="DA119" s="456"/>
      <c r="DB119" s="456"/>
      <c r="DC119" s="456"/>
      <c r="DD119" s="456"/>
      <c r="DE119" s="456"/>
      <c r="DF119" s="456"/>
      <c r="DG119" s="456"/>
      <c r="DH119" s="456"/>
      <c r="DI119" s="456"/>
      <c r="DJ119" s="456"/>
      <c r="DK119" s="456"/>
      <c r="DL119" s="456"/>
      <c r="DM119" s="456"/>
      <c r="DN119" s="456"/>
      <c r="DO119" s="456"/>
      <c r="DP119" s="456"/>
      <c r="DQ119" s="456"/>
      <c r="DR119" s="456"/>
      <c r="DS119" s="456"/>
      <c r="DT119" s="456"/>
      <c r="DU119" s="456"/>
      <c r="DV119" s="456"/>
      <c r="DW119" s="456"/>
      <c r="DX119" s="456"/>
      <c r="DY119" s="456"/>
      <c r="DZ119" s="456"/>
      <c r="EA119" s="456"/>
      <c r="EB119" s="456"/>
      <c r="EC119" s="456"/>
      <c r="ED119" s="456"/>
      <c r="EE119" s="456"/>
      <c r="EF119" s="456"/>
      <c r="EG119" s="456"/>
      <c r="EH119" s="456"/>
      <c r="EI119" s="456"/>
      <c r="EJ119" s="456"/>
      <c r="EK119" s="456"/>
      <c r="EL119" s="456"/>
      <c r="EM119" s="456"/>
      <c r="EN119" s="456"/>
      <c r="EO119" s="456"/>
      <c r="EP119" s="456"/>
      <c r="EQ119" s="456"/>
      <c r="ER119" s="456"/>
      <c r="ES119" s="456"/>
      <c r="ET119" s="456"/>
      <c r="EU119" s="456"/>
      <c r="EV119" s="456"/>
      <c r="EW119" s="456"/>
      <c r="EX119" s="456"/>
      <c r="EY119" s="456"/>
      <c r="EZ119" s="456"/>
      <c r="FA119" s="456"/>
      <c r="FB119" s="456"/>
      <c r="FC119" s="456"/>
      <c r="FD119" s="456"/>
      <c r="FE119" s="456"/>
      <c r="FF119" s="456"/>
      <c r="FG119" s="456"/>
      <c r="FH119" s="456"/>
      <c r="FI119" s="456"/>
      <c r="FJ119" s="456"/>
      <c r="FK119" s="456"/>
      <c r="FL119" s="456"/>
      <c r="FM119" s="456"/>
      <c r="FN119" s="456"/>
      <c r="FO119" s="456"/>
      <c r="FP119" s="456"/>
      <c r="FQ119" s="456"/>
      <c r="FR119" s="456"/>
      <c r="FS119" s="456"/>
      <c r="FT119" s="456"/>
      <c r="FU119" s="456"/>
      <c r="FV119" s="456"/>
      <c r="FW119" s="456"/>
      <c r="FX119" s="456"/>
      <c r="FY119" s="456"/>
      <c r="FZ119" s="456"/>
      <c r="GA119" s="456"/>
      <c r="GB119" s="456"/>
      <c r="GC119" s="456"/>
      <c r="GD119" s="456"/>
      <c r="GE119" s="456"/>
      <c r="GF119" s="456"/>
      <c r="GG119" s="456"/>
      <c r="GH119" s="456"/>
      <c r="GI119" s="456"/>
      <c r="GJ119" s="456"/>
      <c r="GK119" s="456"/>
      <c r="GL119" s="456"/>
      <c r="GM119" s="456"/>
      <c r="GN119" s="456"/>
      <c r="GO119" s="456"/>
      <c r="GP119" s="456"/>
      <c r="GQ119" s="456"/>
      <c r="GR119" s="456"/>
      <c r="GS119" s="456"/>
      <c r="GT119" s="456"/>
      <c r="GU119" s="456"/>
      <c r="GV119" s="456"/>
      <c r="GW119" s="456"/>
      <c r="GX119" s="456"/>
      <c r="GY119" s="456"/>
      <c r="GZ119" s="456"/>
      <c r="HA119" s="456"/>
      <c r="HB119" s="456"/>
      <c r="HC119" s="456"/>
      <c r="HD119" s="456"/>
      <c r="HE119" s="456"/>
      <c r="HF119" s="456"/>
      <c r="HG119" s="456"/>
      <c r="HH119" s="456"/>
      <c r="HI119" s="456"/>
      <c r="HJ119" s="456"/>
      <c r="HK119" s="456"/>
      <c r="HL119" s="456"/>
      <c r="HM119" s="456"/>
      <c r="HN119" s="456"/>
      <c r="HO119" s="456"/>
      <c r="HP119" s="456"/>
      <c r="HQ119" s="456"/>
      <c r="HR119" s="456"/>
      <c r="HS119" s="456"/>
      <c r="HT119" s="456"/>
      <c r="HU119" s="456"/>
      <c r="HV119" s="456"/>
      <c r="HW119" s="456"/>
      <c r="HX119" s="456"/>
      <c r="HY119" s="456"/>
      <c r="HZ119" s="456"/>
      <c r="IA119" s="456"/>
      <c r="IB119" s="456"/>
      <c r="IC119" s="456"/>
      <c r="ID119" s="456"/>
      <c r="IE119" s="456"/>
      <c r="IF119" s="456"/>
      <c r="IG119" s="456"/>
      <c r="IH119" s="456"/>
      <c r="II119" s="456"/>
      <c r="IJ119" s="456"/>
      <c r="IK119" s="456"/>
      <c r="IL119" s="456"/>
      <c r="IM119" s="456"/>
      <c r="IN119" s="456"/>
      <c r="IO119" s="456"/>
      <c r="IP119" s="456"/>
      <c r="IQ119" s="456"/>
      <c r="IR119" s="456"/>
      <c r="IS119" s="456"/>
      <c r="IT119" s="456"/>
      <c r="IU119" s="456"/>
      <c r="IV119" s="456"/>
      <c r="IW119" s="456"/>
      <c r="IX119" s="456"/>
      <c r="IY119" s="456"/>
      <c r="IZ119" s="456"/>
      <c r="JA119" s="456"/>
      <c r="JB119" s="456"/>
      <c r="JC119" s="456"/>
      <c r="JD119" s="456"/>
      <c r="JE119" s="456"/>
      <c r="JF119" s="456"/>
      <c r="JG119" s="456"/>
      <c r="JH119" s="456"/>
      <c r="JI119" s="456"/>
      <c r="JJ119" s="456"/>
      <c r="JK119" s="456"/>
      <c r="JL119" s="456"/>
      <c r="JM119" s="456"/>
      <c r="JN119" s="456"/>
      <c r="JO119" s="456"/>
      <c r="JP119" s="456"/>
      <c r="JQ119" s="456"/>
      <c r="JR119" s="456"/>
      <c r="JS119" s="456"/>
      <c r="JT119" s="456"/>
      <c r="JU119" s="456"/>
      <c r="JV119" s="456"/>
      <c r="JW119" s="456"/>
      <c r="JX119" s="456"/>
      <c r="JY119" s="456"/>
      <c r="JZ119" s="456"/>
      <c r="KA119" s="456"/>
      <c r="KB119" s="456"/>
      <c r="KC119" s="456"/>
      <c r="KD119" s="456"/>
      <c r="KE119" s="456"/>
      <c r="KF119" s="456"/>
      <c r="KG119" s="456"/>
      <c r="KH119" s="456"/>
      <c r="KI119" s="456"/>
      <c r="KJ119" s="456"/>
      <c r="KK119" s="456"/>
      <c r="KL119" s="456"/>
      <c r="KM119" s="456"/>
      <c r="KN119" s="456"/>
      <c r="KO119" s="456"/>
      <c r="KP119" s="456"/>
      <c r="KQ119" s="456"/>
      <c r="KR119" s="456"/>
      <c r="KS119" s="456"/>
      <c r="KT119" s="456"/>
      <c r="KU119" s="456"/>
      <c r="KV119" s="456"/>
      <c r="KW119" s="456"/>
      <c r="KX119" s="456"/>
      <c r="KY119" s="456"/>
      <c r="KZ119" s="456"/>
      <c r="LA119" s="456"/>
      <c r="LB119" s="456"/>
      <c r="LC119" s="456"/>
      <c r="LD119" s="456"/>
      <c r="LE119" s="456"/>
      <c r="LF119" s="456"/>
      <c r="LG119" s="456"/>
      <c r="LH119" s="456"/>
      <c r="LI119" s="456"/>
      <c r="LJ119" s="456"/>
      <c r="LK119" s="456"/>
      <c r="LL119" s="456"/>
      <c r="LM119" s="456"/>
      <c r="LN119" s="456"/>
      <c r="LO119" s="456"/>
      <c r="LP119" s="456"/>
      <c r="LQ119" s="456"/>
      <c r="LR119" s="456"/>
      <c r="LS119" s="456"/>
      <c r="LT119" s="456"/>
      <c r="LU119" s="456"/>
      <c r="LV119" s="456"/>
      <c r="LW119" s="456"/>
      <c r="LX119" s="456"/>
      <c r="LY119" s="456"/>
      <c r="LZ119" s="456"/>
      <c r="MA119" s="456"/>
      <c r="MB119" s="456"/>
      <c r="MC119" s="456"/>
      <c r="MD119" s="456"/>
      <c r="ME119" s="456"/>
      <c r="MF119" s="456"/>
      <c r="MG119" s="456"/>
      <c r="MH119" s="456"/>
      <c r="MI119" s="456"/>
      <c r="MJ119" s="456"/>
      <c r="MK119" s="456"/>
      <c r="ML119" s="456"/>
      <c r="MM119" s="456"/>
      <c r="MN119" s="456"/>
      <c r="MO119" s="456"/>
      <c r="MP119" s="456"/>
      <c r="MQ119" s="456"/>
      <c r="MR119" s="456"/>
      <c r="MS119" s="456"/>
      <c r="MT119" s="456"/>
      <c r="MU119" s="456"/>
      <c r="MV119" s="456"/>
      <c r="MW119" s="456"/>
      <c r="MX119" s="456"/>
      <c r="MY119" s="456"/>
      <c r="MZ119" s="456"/>
      <c r="NA119" s="456"/>
      <c r="NB119" s="456"/>
      <c r="NC119" s="456"/>
      <c r="ND119" s="456"/>
      <c r="NE119" s="456"/>
      <c r="NF119" s="456"/>
      <c r="NG119" s="456"/>
      <c r="NH119" s="456"/>
      <c r="NI119" s="456"/>
      <c r="NJ119" s="456"/>
      <c r="NK119" s="456"/>
      <c r="NL119" s="456"/>
      <c r="NM119" s="456"/>
      <c r="NN119" s="456"/>
      <c r="NO119" s="456"/>
      <c r="NP119" s="456"/>
      <c r="NQ119" s="456"/>
      <c r="NR119" s="456"/>
      <c r="NS119" s="456"/>
      <c r="NT119" s="456"/>
      <c r="NU119" s="456"/>
      <c r="NV119" s="456"/>
      <c r="NW119" s="456"/>
      <c r="NX119" s="456"/>
      <c r="NY119" s="456"/>
      <c r="NZ119" s="456"/>
      <c r="OA119" s="456"/>
      <c r="OB119" s="456"/>
      <c r="OC119" s="456"/>
      <c r="OD119" s="456"/>
      <c r="OE119" s="456"/>
      <c r="OF119" s="456"/>
      <c r="OG119" s="456"/>
      <c r="OH119" s="456"/>
      <c r="OI119" s="456"/>
      <c r="OJ119" s="456"/>
      <c r="OK119" s="456"/>
      <c r="OL119" s="456"/>
      <c r="OM119" s="456"/>
      <c r="ON119" s="456"/>
      <c r="OO119" s="456"/>
      <c r="OP119" s="456"/>
      <c r="OQ119" s="456"/>
      <c r="OR119" s="456"/>
      <c r="OS119" s="456"/>
      <c r="OT119" s="456"/>
      <c r="OU119" s="456"/>
      <c r="OV119" s="456"/>
      <c r="OW119" s="456"/>
      <c r="OX119" s="456"/>
      <c r="OY119" s="456"/>
      <c r="OZ119" s="456"/>
      <c r="PA119" s="456"/>
      <c r="PB119" s="456"/>
      <c r="PC119" s="456"/>
      <c r="PD119" s="456"/>
      <c r="PE119" s="456"/>
      <c r="PF119" s="456"/>
      <c r="PG119" s="456"/>
      <c r="PH119" s="456"/>
      <c r="PI119" s="456"/>
      <c r="PJ119" s="456"/>
      <c r="PK119" s="456"/>
      <c r="PL119" s="456"/>
      <c r="PM119" s="456"/>
      <c r="PN119" s="456"/>
      <c r="PO119" s="456"/>
      <c r="PP119" s="456"/>
      <c r="PQ119" s="456"/>
      <c r="PR119" s="456"/>
      <c r="PS119" s="456"/>
      <c r="PT119" s="456"/>
      <c r="PU119" s="456"/>
      <c r="PV119" s="456"/>
      <c r="PW119" s="456"/>
      <c r="PX119" s="456"/>
      <c r="PY119" s="456"/>
      <c r="PZ119" s="456"/>
      <c r="QA119" s="456"/>
      <c r="QB119" s="456"/>
      <c r="QC119" s="456"/>
      <c r="QD119" s="456"/>
      <c r="QE119" s="456"/>
      <c r="QF119" s="456"/>
      <c r="QG119" s="456"/>
      <c r="QH119" s="456"/>
      <c r="QI119" s="456"/>
      <c r="QJ119" s="456"/>
      <c r="QK119" s="456"/>
      <c r="QL119" s="456"/>
      <c r="QM119" s="456"/>
      <c r="QN119" s="456"/>
      <c r="QO119" s="456"/>
      <c r="QP119" s="456"/>
      <c r="QQ119" s="456"/>
      <c r="QR119" s="456"/>
      <c r="QS119" s="456"/>
      <c r="QT119" s="456"/>
      <c r="QU119" s="456"/>
      <c r="QV119" s="456"/>
      <c r="QW119" s="456"/>
      <c r="QX119" s="456"/>
      <c r="QY119" s="456"/>
      <c r="QZ119" s="456"/>
      <c r="RA119" s="456"/>
      <c r="RB119" s="456"/>
      <c r="RC119" s="456"/>
      <c r="RD119" s="456"/>
      <c r="RE119" s="456"/>
      <c r="RF119" s="456"/>
      <c r="RG119" s="456"/>
      <c r="RH119" s="456"/>
      <c r="RI119" s="456"/>
      <c r="RJ119" s="456"/>
      <c r="RK119" s="456"/>
      <c r="RL119" s="456"/>
      <c r="RM119" s="456"/>
      <c r="RN119" s="456"/>
      <c r="RO119" s="456"/>
      <c r="RP119" s="456"/>
      <c r="RQ119" s="456"/>
      <c r="RR119" s="456"/>
      <c r="RS119" s="456"/>
      <c r="RT119" s="456"/>
      <c r="RU119" s="456"/>
      <c r="RV119" s="456"/>
      <c r="RW119" s="456"/>
      <c r="RX119" s="456"/>
      <c r="RY119" s="456"/>
      <c r="RZ119" s="456"/>
      <c r="SA119" s="456"/>
      <c r="SB119" s="456"/>
      <c r="SC119" s="456"/>
      <c r="SD119" s="456"/>
      <c r="SE119" s="456"/>
      <c r="SF119" s="456"/>
      <c r="SG119" s="456"/>
      <c r="SH119" s="456"/>
      <c r="SI119" s="456"/>
      <c r="SJ119" s="456"/>
      <c r="SK119" s="456"/>
      <c r="SL119" s="456"/>
      <c r="SM119" s="456"/>
      <c r="SN119" s="456"/>
      <c r="SO119" s="456"/>
      <c r="SP119" s="456"/>
      <c r="SQ119" s="456"/>
      <c r="SR119" s="456"/>
      <c r="SS119" s="456"/>
      <c r="ST119" s="456"/>
      <c r="SU119" s="456"/>
      <c r="SV119" s="456"/>
      <c r="SW119" s="456"/>
      <c r="SX119" s="456"/>
      <c r="SY119" s="456"/>
      <c r="SZ119" s="456"/>
      <c r="TA119" s="456"/>
      <c r="TB119" s="456"/>
      <c r="TC119" s="456"/>
      <c r="TD119" s="456"/>
      <c r="TE119" s="456"/>
      <c r="TF119" s="456"/>
      <c r="TG119" s="456"/>
      <c r="TH119" s="456"/>
      <c r="TI119" s="456"/>
      <c r="TJ119" s="456"/>
      <c r="TK119" s="456"/>
      <c r="TL119" s="456"/>
      <c r="TM119" s="456"/>
      <c r="TN119" s="456"/>
      <c r="TO119" s="456"/>
      <c r="TP119" s="456"/>
      <c r="TQ119" s="456"/>
      <c r="TR119" s="456"/>
      <c r="TS119" s="456"/>
      <c r="TT119" s="456"/>
      <c r="TU119" s="456"/>
      <c r="TV119" s="456"/>
      <c r="TW119" s="456"/>
      <c r="TX119" s="456"/>
      <c r="TY119" s="456"/>
      <c r="TZ119" s="456"/>
      <c r="UA119" s="456"/>
      <c r="UB119" s="456"/>
      <c r="UC119" s="456"/>
      <c r="UD119" s="456"/>
      <c r="UE119" s="456"/>
      <c r="UF119" s="456"/>
      <c r="UG119" s="456"/>
      <c r="UH119" s="456"/>
      <c r="UI119" s="456"/>
      <c r="UJ119" s="456"/>
      <c r="UK119" s="456"/>
      <c r="UL119" s="456"/>
      <c r="UM119" s="456"/>
      <c r="UN119" s="456"/>
      <c r="UO119" s="456"/>
      <c r="UP119" s="456"/>
      <c r="UQ119" s="456"/>
      <c r="UR119" s="456"/>
      <c r="US119" s="456"/>
      <c r="UT119" s="456"/>
      <c r="UU119" s="456"/>
      <c r="UV119" s="456"/>
      <c r="UW119" s="456"/>
      <c r="UX119" s="456"/>
      <c r="UY119" s="456"/>
      <c r="UZ119" s="456"/>
      <c r="VA119" s="456"/>
      <c r="VB119" s="456"/>
      <c r="VC119" s="456"/>
      <c r="VD119" s="456"/>
      <c r="VE119" s="456"/>
      <c r="VF119" s="456"/>
      <c r="VG119" s="456"/>
      <c r="VH119" s="456"/>
      <c r="VI119" s="456"/>
      <c r="VJ119" s="456"/>
      <c r="VK119" s="456"/>
      <c r="VL119" s="456"/>
      <c r="VM119" s="456"/>
      <c r="VN119" s="456"/>
      <c r="VO119" s="456"/>
      <c r="VP119" s="456"/>
      <c r="VQ119" s="456"/>
      <c r="VR119" s="456"/>
      <c r="VS119" s="456"/>
      <c r="VT119" s="456"/>
      <c r="VU119" s="456"/>
      <c r="VV119" s="456"/>
      <c r="VW119" s="456"/>
      <c r="VX119" s="456"/>
      <c r="VY119" s="456"/>
      <c r="VZ119" s="456"/>
      <c r="WA119" s="456"/>
      <c r="WB119" s="456"/>
      <c r="WC119" s="456"/>
      <c r="WD119" s="456"/>
      <c r="WE119" s="456"/>
      <c r="WF119" s="456"/>
      <c r="WG119" s="456"/>
      <c r="WH119" s="456"/>
      <c r="WI119" s="456"/>
      <c r="WJ119" s="456"/>
      <c r="WK119" s="456"/>
      <c r="WL119" s="456"/>
      <c r="WM119" s="456"/>
      <c r="WN119" s="456"/>
      <c r="WO119" s="456"/>
      <c r="WP119" s="456"/>
      <c r="WQ119" s="456"/>
      <c r="WR119" s="456"/>
      <c r="WS119" s="456"/>
      <c r="WT119" s="456"/>
      <c r="WU119" s="456"/>
      <c r="WV119" s="456"/>
      <c r="WW119" s="456"/>
      <c r="WX119" s="456"/>
      <c r="WY119" s="456"/>
      <c r="WZ119" s="456"/>
      <c r="XA119" s="456"/>
      <c r="XB119" s="456"/>
      <c r="XC119" s="456"/>
      <c r="XD119" s="456"/>
      <c r="XE119" s="456"/>
      <c r="XF119" s="456"/>
      <c r="XG119" s="456"/>
      <c r="XH119" s="456"/>
      <c r="XI119" s="456"/>
      <c r="XJ119" s="456"/>
      <c r="XK119" s="456"/>
      <c r="XL119" s="456"/>
      <c r="XM119" s="456"/>
      <c r="XN119" s="456"/>
      <c r="XO119" s="456"/>
      <c r="XP119" s="456"/>
      <c r="XQ119" s="456"/>
      <c r="XR119" s="456"/>
      <c r="XS119" s="456"/>
      <c r="XT119" s="456"/>
      <c r="XU119" s="456"/>
      <c r="XV119" s="456"/>
      <c r="XW119" s="456"/>
      <c r="XX119" s="456"/>
      <c r="XY119" s="456"/>
      <c r="XZ119" s="456"/>
      <c r="YA119" s="456"/>
      <c r="YB119" s="456"/>
      <c r="YC119" s="456"/>
      <c r="YD119" s="456"/>
      <c r="YE119" s="456"/>
      <c r="YF119" s="456"/>
      <c r="YG119" s="456"/>
      <c r="YH119" s="456"/>
      <c r="YI119" s="456"/>
      <c r="YJ119" s="456"/>
      <c r="YK119" s="456"/>
      <c r="YL119" s="456"/>
      <c r="YM119" s="456"/>
      <c r="YN119" s="456"/>
      <c r="YO119" s="456"/>
      <c r="YP119" s="456"/>
      <c r="YQ119" s="456"/>
      <c r="YR119" s="456"/>
      <c r="YS119" s="456"/>
      <c r="YT119" s="456"/>
      <c r="YU119" s="456"/>
      <c r="YV119" s="456"/>
      <c r="YW119" s="456"/>
      <c r="YX119" s="456"/>
      <c r="YY119" s="456"/>
      <c r="YZ119" s="456"/>
      <c r="ZA119" s="456"/>
      <c r="ZB119" s="456"/>
      <c r="ZC119" s="456"/>
      <c r="ZD119" s="456"/>
      <c r="ZE119" s="456"/>
      <c r="ZF119" s="456"/>
      <c r="ZG119" s="456"/>
      <c r="ZH119" s="456"/>
      <c r="ZI119" s="456"/>
      <c r="ZJ119" s="456"/>
      <c r="ZK119" s="456"/>
      <c r="ZL119" s="456"/>
      <c r="ZM119" s="456"/>
      <c r="ZN119" s="456"/>
      <c r="ZO119" s="456"/>
      <c r="ZP119" s="456"/>
      <c r="ZQ119" s="456"/>
      <c r="ZR119" s="456"/>
      <c r="ZS119" s="456"/>
      <c r="ZT119" s="456"/>
      <c r="ZU119" s="456"/>
      <c r="ZV119" s="456"/>
      <c r="ZW119" s="456"/>
      <c r="ZX119" s="456"/>
      <c r="ZY119" s="456"/>
      <c r="ZZ119" s="456"/>
      <c r="AAA119" s="456"/>
      <c r="AAB119" s="456"/>
      <c r="AAC119" s="456"/>
      <c r="AAD119" s="456"/>
      <c r="AAE119" s="456"/>
      <c r="AAF119" s="456"/>
      <c r="AAG119" s="456"/>
      <c r="AAH119" s="456"/>
      <c r="AAI119" s="456"/>
      <c r="AAJ119" s="456"/>
      <c r="AAK119" s="456"/>
      <c r="AAL119" s="456"/>
      <c r="AAM119" s="456"/>
      <c r="AAN119" s="456"/>
      <c r="AAO119" s="456"/>
      <c r="AAP119" s="456"/>
      <c r="AAQ119" s="456"/>
      <c r="AAR119" s="456"/>
      <c r="AAS119" s="456"/>
      <c r="AAT119" s="456"/>
      <c r="AAU119" s="456"/>
      <c r="AAV119" s="456"/>
      <c r="AAW119" s="456"/>
      <c r="AAX119" s="456"/>
      <c r="AAY119" s="456"/>
      <c r="AAZ119" s="456"/>
      <c r="ABA119" s="456"/>
      <c r="ABB119" s="456"/>
      <c r="ABC119" s="456"/>
      <c r="ABD119" s="456"/>
      <c r="ABE119" s="456"/>
      <c r="ABF119" s="456"/>
      <c r="ABG119" s="456"/>
      <c r="ABH119" s="456"/>
      <c r="ABI119" s="456"/>
      <c r="ABJ119" s="456"/>
      <c r="ABK119" s="456"/>
      <c r="ABL119" s="456"/>
      <c r="ABM119" s="456"/>
      <c r="ABN119" s="456"/>
      <c r="ABO119" s="456"/>
      <c r="ABP119" s="456"/>
      <c r="ABQ119" s="456"/>
      <c r="ABR119" s="456"/>
      <c r="ABS119" s="456"/>
      <c r="ABT119" s="456"/>
      <c r="ABU119" s="456"/>
      <c r="ABV119" s="456"/>
      <c r="ABW119" s="456"/>
      <c r="ABX119" s="456"/>
      <c r="ABY119" s="456"/>
      <c r="ABZ119" s="456"/>
      <c r="ACA119" s="456"/>
      <c r="ACB119" s="456"/>
      <c r="ACC119" s="456"/>
      <c r="ACD119" s="456"/>
      <c r="ACE119" s="456"/>
      <c r="ACF119" s="456"/>
      <c r="ACG119" s="456"/>
      <c r="ACH119" s="456"/>
      <c r="ACI119" s="456"/>
      <c r="ACJ119" s="456"/>
      <c r="ACK119" s="456"/>
      <c r="ACL119" s="456"/>
      <c r="ACM119" s="456"/>
      <c r="ACN119" s="456"/>
      <c r="ACO119" s="456"/>
      <c r="ACP119" s="456"/>
      <c r="ACQ119" s="456"/>
      <c r="ACR119" s="456"/>
      <c r="ACS119" s="456"/>
      <c r="ACT119" s="456"/>
      <c r="ACU119" s="456"/>
      <c r="ACV119" s="456"/>
      <c r="ACW119" s="456"/>
      <c r="ACX119" s="456"/>
      <c r="ACY119" s="456"/>
      <c r="ACZ119" s="456"/>
      <c r="ADA119" s="456"/>
      <c r="ADB119" s="456"/>
      <c r="ADC119" s="456"/>
      <c r="ADD119" s="456"/>
      <c r="ADE119" s="456"/>
      <c r="ADF119" s="456"/>
      <c r="ADG119" s="456"/>
      <c r="ADH119" s="456"/>
      <c r="ADI119" s="456"/>
      <c r="ADJ119" s="456"/>
      <c r="ADK119" s="456"/>
      <c r="ADL119" s="456"/>
      <c r="ADM119" s="456"/>
      <c r="ADN119" s="456"/>
      <c r="ADO119" s="456"/>
      <c r="ADP119" s="456"/>
      <c r="ADQ119" s="456"/>
      <c r="ADR119" s="456"/>
      <c r="ADS119" s="456"/>
      <c r="ADT119" s="456"/>
      <c r="ADU119" s="456"/>
      <c r="ADV119" s="456"/>
      <c r="ADW119" s="456"/>
      <c r="ADX119" s="456"/>
      <c r="ADY119" s="456"/>
      <c r="ADZ119" s="456"/>
      <c r="AEA119" s="456"/>
      <c r="AEB119" s="456"/>
      <c r="AEC119" s="456"/>
      <c r="AED119" s="456"/>
      <c r="AEE119" s="456"/>
      <c r="AEF119" s="456"/>
      <c r="AEG119" s="456"/>
      <c r="AEH119" s="456"/>
      <c r="AEI119" s="456"/>
      <c r="AEJ119" s="456"/>
      <c r="AEK119" s="456"/>
      <c r="AEL119" s="456"/>
      <c r="AEM119" s="456"/>
      <c r="AEN119" s="456"/>
      <c r="AEO119" s="456"/>
      <c r="AEP119" s="456"/>
      <c r="AEQ119" s="456"/>
      <c r="AER119" s="456"/>
      <c r="AES119" s="456"/>
      <c r="AET119" s="456"/>
      <c r="AEU119" s="456"/>
      <c r="AEV119" s="456"/>
      <c r="AEW119" s="456"/>
      <c r="AEX119" s="456"/>
      <c r="AEY119" s="456"/>
      <c r="AEZ119" s="456"/>
      <c r="AFA119" s="456"/>
      <c r="AFB119" s="456"/>
      <c r="AFC119" s="456"/>
      <c r="AFD119" s="456"/>
      <c r="AFE119" s="456"/>
      <c r="AFF119" s="456"/>
      <c r="AFG119" s="456"/>
      <c r="AFH119" s="456"/>
      <c r="AFI119" s="456"/>
      <c r="AFJ119" s="456"/>
      <c r="AFK119" s="456"/>
      <c r="AFL119" s="456"/>
      <c r="AFM119" s="456"/>
      <c r="AFN119" s="456"/>
      <c r="AFO119" s="456"/>
      <c r="AFP119" s="456"/>
      <c r="AFQ119" s="456"/>
      <c r="AFR119" s="456"/>
      <c r="AFS119" s="456"/>
      <c r="AFT119" s="456"/>
      <c r="AFU119" s="456"/>
      <c r="AFV119" s="456"/>
      <c r="AFW119" s="456"/>
      <c r="AFX119" s="456"/>
      <c r="AFY119" s="456"/>
      <c r="AFZ119" s="456"/>
      <c r="AGA119" s="456"/>
      <c r="AGB119" s="456"/>
      <c r="AGC119" s="456"/>
      <c r="AGD119" s="456"/>
      <c r="AGE119" s="456"/>
      <c r="AGF119" s="456"/>
      <c r="AGG119" s="456"/>
      <c r="AGH119" s="456"/>
      <c r="AGI119" s="456"/>
      <c r="AGJ119" s="456"/>
      <c r="AGK119" s="456"/>
      <c r="AGL119" s="456"/>
      <c r="AGM119" s="456"/>
      <c r="AGN119" s="456"/>
      <c r="AGO119" s="456"/>
      <c r="AGP119" s="456"/>
      <c r="AGQ119" s="456"/>
      <c r="AGR119" s="456"/>
      <c r="AGS119" s="456"/>
      <c r="AGT119" s="456"/>
      <c r="AGU119" s="456"/>
      <c r="AGV119" s="456"/>
      <c r="AGW119" s="456"/>
      <c r="AGX119" s="456"/>
      <c r="AGY119" s="456"/>
      <c r="AGZ119" s="456"/>
      <c r="AHA119" s="456"/>
      <c r="AHB119" s="456"/>
      <c r="AHC119" s="456"/>
      <c r="AHD119" s="456"/>
      <c r="AHE119" s="456"/>
      <c r="AHF119" s="456"/>
      <c r="AHG119" s="456"/>
      <c r="AHH119" s="456"/>
      <c r="AHI119" s="456"/>
      <c r="AHJ119" s="456"/>
      <c r="AHK119" s="456"/>
      <c r="AHL119" s="456"/>
      <c r="AHM119" s="456"/>
      <c r="AHN119" s="456"/>
      <c r="AHO119" s="456"/>
      <c r="AHP119" s="456"/>
      <c r="AHQ119" s="456"/>
      <c r="AHR119" s="456"/>
      <c r="AHS119" s="456"/>
      <c r="AHT119" s="456"/>
      <c r="AHU119" s="456"/>
      <c r="AHV119" s="456"/>
      <c r="AHW119" s="456"/>
      <c r="AHX119" s="456"/>
      <c r="AHY119" s="456"/>
      <c r="AHZ119" s="456"/>
      <c r="AIA119" s="456"/>
      <c r="AIB119" s="456"/>
      <c r="AIC119" s="456"/>
      <c r="AID119" s="456"/>
      <c r="AIE119" s="456"/>
      <c r="AIF119" s="456"/>
      <c r="AIG119" s="456"/>
      <c r="AIH119" s="456"/>
      <c r="AII119" s="456"/>
      <c r="AIJ119" s="456"/>
      <c r="AIK119" s="456"/>
      <c r="AIL119" s="456"/>
      <c r="AIM119" s="456"/>
      <c r="AIN119" s="456"/>
      <c r="AIO119" s="456"/>
      <c r="AIP119" s="456"/>
      <c r="AIQ119" s="456"/>
      <c r="AIR119" s="456"/>
      <c r="AIS119" s="456"/>
      <c r="AIT119" s="456"/>
      <c r="AIU119" s="456"/>
      <c r="AIV119" s="456"/>
      <c r="AIW119" s="456"/>
      <c r="AIX119" s="456"/>
      <c r="AIY119" s="456"/>
      <c r="AIZ119" s="456"/>
      <c r="AJA119" s="456"/>
      <c r="AJB119" s="456"/>
      <c r="AJC119" s="456"/>
      <c r="AJD119" s="456"/>
      <c r="AJE119" s="456"/>
      <c r="AJF119" s="456"/>
      <c r="AJG119" s="456"/>
      <c r="AJH119" s="456"/>
      <c r="AJI119" s="456"/>
      <c r="AJJ119" s="456"/>
      <c r="AJK119" s="456"/>
      <c r="AJL119" s="456"/>
      <c r="AJM119" s="456"/>
      <c r="AJN119" s="456"/>
      <c r="AJO119" s="456"/>
      <c r="AJP119" s="456"/>
      <c r="AJQ119" s="456"/>
      <c r="AJR119" s="456"/>
      <c r="AJS119" s="456"/>
      <c r="AJT119" s="456"/>
      <c r="AJU119" s="456"/>
      <c r="AJV119" s="456"/>
      <c r="AJW119" s="456"/>
      <c r="AJX119" s="456"/>
      <c r="AJY119" s="456"/>
      <c r="AJZ119" s="456"/>
      <c r="AKA119" s="456"/>
      <c r="AKB119" s="456"/>
      <c r="AKC119" s="456"/>
      <c r="AKD119" s="456"/>
      <c r="AKE119" s="456"/>
      <c r="AKF119" s="456"/>
      <c r="AKG119" s="456"/>
      <c r="AKH119" s="456"/>
      <c r="AKI119" s="456"/>
      <c r="AKJ119" s="456"/>
      <c r="AKK119" s="456"/>
      <c r="AKL119" s="456"/>
      <c r="AKM119" s="456"/>
      <c r="AKN119" s="456"/>
      <c r="AKO119" s="456"/>
      <c r="AKP119" s="456"/>
      <c r="AKQ119" s="456"/>
      <c r="AKR119" s="456"/>
      <c r="AKS119" s="456"/>
      <c r="AKT119" s="456"/>
      <c r="AKU119" s="456"/>
      <c r="AKV119" s="456"/>
      <c r="AKW119" s="456"/>
      <c r="AKX119" s="456"/>
      <c r="AKY119" s="456"/>
      <c r="AKZ119" s="456"/>
      <c r="ALA119" s="456"/>
      <c r="ALB119" s="456"/>
      <c r="ALC119" s="456"/>
      <c r="ALD119" s="456"/>
      <c r="ALE119" s="456"/>
      <c r="ALF119" s="456"/>
      <c r="ALG119" s="456"/>
      <c r="ALH119" s="456"/>
      <c r="ALI119" s="456"/>
      <c r="ALJ119" s="456"/>
      <c r="ALK119" s="456"/>
      <c r="ALL119" s="456"/>
      <c r="ALM119" s="456"/>
      <c r="ALN119" s="456"/>
      <c r="ALO119" s="456"/>
      <c r="ALP119" s="456"/>
      <c r="ALQ119" s="456"/>
      <c r="ALR119" s="456"/>
      <c r="ALS119" s="456"/>
      <c r="ALT119" s="456"/>
      <c r="ALU119" s="456"/>
      <c r="ALV119" s="456"/>
      <c r="ALW119" s="456"/>
      <c r="ALX119" s="456"/>
      <c r="ALY119" s="456"/>
      <c r="ALZ119" s="456"/>
      <c r="AMA119" s="456"/>
      <c r="AMB119" s="456"/>
      <c r="AMC119" s="456"/>
      <c r="AMD119" s="456"/>
      <c r="AME119" s="456"/>
      <c r="AMF119" s="456"/>
      <c r="AMG119" s="456"/>
      <c r="AMH119" s="456"/>
      <c r="AMI119" s="456"/>
      <c r="AMJ119" s="456"/>
      <c r="AMK119" s="456"/>
      <c r="AML119" s="456"/>
      <c r="AMM119" s="456"/>
      <c r="AMN119" s="456"/>
      <c r="AMO119" s="456"/>
      <c r="AMP119" s="456"/>
      <c r="AMQ119" s="456"/>
      <c r="AMR119" s="456"/>
      <c r="AMS119" s="456"/>
      <c r="AMT119" s="456"/>
      <c r="AMU119" s="456"/>
      <c r="AMV119" s="456"/>
      <c r="AMW119" s="456"/>
      <c r="AMX119" s="456"/>
      <c r="AMY119" s="456"/>
      <c r="AMZ119" s="456"/>
      <c r="ANA119" s="456"/>
      <c r="ANB119" s="456"/>
      <c r="ANC119" s="456"/>
      <c r="AND119" s="456"/>
      <c r="ANE119" s="456"/>
      <c r="ANF119" s="456"/>
      <c r="ANG119" s="456"/>
      <c r="ANH119" s="456"/>
      <c r="ANI119" s="456"/>
      <c r="ANJ119" s="456"/>
      <c r="ANK119" s="456"/>
      <c r="ANL119" s="456"/>
      <c r="ANM119" s="456"/>
      <c r="ANN119" s="456"/>
      <c r="ANO119" s="456"/>
      <c r="ANP119" s="456"/>
      <c r="ANQ119" s="456"/>
      <c r="ANR119" s="456"/>
      <c r="ANS119" s="456"/>
      <c r="ANT119" s="456"/>
      <c r="ANU119" s="456"/>
      <c r="ANV119" s="456"/>
      <c r="ANW119" s="456"/>
      <c r="ANX119" s="456"/>
      <c r="ANY119" s="456"/>
      <c r="ANZ119" s="456"/>
      <c r="AOA119" s="456"/>
      <c r="AOB119" s="456"/>
      <c r="AOC119" s="456"/>
      <c r="AOD119" s="456"/>
      <c r="AOE119" s="456"/>
      <c r="AOF119" s="456"/>
      <c r="AOG119" s="456"/>
      <c r="AOH119" s="456"/>
      <c r="AOI119" s="456"/>
      <c r="AOJ119" s="456"/>
      <c r="AOK119" s="456"/>
      <c r="AOL119" s="456"/>
      <c r="AOM119" s="456"/>
      <c r="AON119" s="456"/>
      <c r="AOO119" s="456"/>
      <c r="AOP119" s="456"/>
      <c r="AOQ119" s="456"/>
      <c r="AOR119" s="456"/>
      <c r="AOS119" s="456"/>
      <c r="AOT119" s="456"/>
      <c r="AOU119" s="456"/>
      <c r="AOV119" s="456"/>
      <c r="AOW119" s="456"/>
      <c r="AOX119" s="456"/>
      <c r="AOY119" s="456"/>
      <c r="AOZ119" s="456"/>
      <c r="APA119" s="456"/>
      <c r="APB119" s="456"/>
      <c r="APC119" s="456"/>
      <c r="APD119" s="456"/>
      <c r="APE119" s="456"/>
      <c r="APF119" s="456"/>
      <c r="APG119" s="456"/>
      <c r="APH119" s="456"/>
      <c r="API119" s="456"/>
      <c r="APJ119" s="456"/>
      <c r="APK119" s="456"/>
      <c r="APL119" s="456"/>
      <c r="APM119" s="456"/>
      <c r="APN119" s="456"/>
      <c r="APO119" s="456"/>
      <c r="APP119" s="456"/>
      <c r="APQ119" s="456"/>
      <c r="APR119" s="456"/>
      <c r="APS119" s="456"/>
      <c r="APT119" s="456"/>
      <c r="APU119" s="456"/>
      <c r="APV119" s="456"/>
      <c r="APW119" s="456"/>
      <c r="APX119" s="456"/>
      <c r="APY119" s="456"/>
      <c r="APZ119" s="456"/>
      <c r="AQA119" s="456"/>
      <c r="AQB119" s="456"/>
      <c r="AQC119" s="456"/>
      <c r="AQD119" s="456"/>
      <c r="AQE119" s="456"/>
      <c r="AQF119" s="456"/>
      <c r="AQG119" s="456"/>
      <c r="AQH119" s="456"/>
      <c r="AQI119" s="456"/>
      <c r="AQJ119" s="456"/>
      <c r="AQK119" s="456"/>
      <c r="AQL119" s="456"/>
      <c r="AQM119" s="456"/>
      <c r="AQN119" s="456"/>
      <c r="AQO119" s="456"/>
      <c r="AQP119" s="456"/>
      <c r="AQQ119" s="456"/>
      <c r="AQR119" s="456"/>
      <c r="AQS119" s="456"/>
      <c r="AQT119" s="456"/>
      <c r="AQU119" s="456"/>
      <c r="AQV119" s="456"/>
      <c r="AQW119" s="456"/>
      <c r="AQX119" s="456"/>
      <c r="AQY119" s="456"/>
      <c r="AQZ119" s="456"/>
      <c r="ARA119" s="456"/>
      <c r="ARB119" s="456"/>
      <c r="ARC119" s="456"/>
      <c r="ARD119" s="456"/>
      <c r="ARE119" s="456"/>
      <c r="ARF119" s="456"/>
      <c r="ARG119" s="456"/>
      <c r="ARH119" s="456"/>
      <c r="ARI119" s="456"/>
      <c r="ARJ119" s="456"/>
      <c r="ARK119" s="456"/>
      <c r="ARL119" s="456"/>
      <c r="ARM119" s="456"/>
      <c r="ARN119" s="456"/>
      <c r="ARO119" s="456"/>
      <c r="ARP119" s="456"/>
      <c r="ARQ119" s="456"/>
      <c r="ARR119" s="456"/>
      <c r="ARS119" s="456"/>
      <c r="ART119" s="456"/>
      <c r="ARU119" s="456"/>
      <c r="ARV119" s="456"/>
      <c r="ARW119" s="456"/>
      <c r="ARX119" s="456"/>
      <c r="ARY119" s="456"/>
      <c r="ARZ119" s="456"/>
      <c r="ASA119" s="456"/>
      <c r="ASB119" s="456"/>
      <c r="ASC119" s="456"/>
      <c r="ASD119" s="456"/>
      <c r="ASE119" s="456"/>
      <c r="ASF119" s="456"/>
      <c r="ASG119" s="456"/>
      <c r="ASH119" s="456"/>
      <c r="ASI119" s="456"/>
      <c r="ASJ119" s="456"/>
      <c r="ASK119" s="456"/>
      <c r="ASL119" s="456"/>
      <c r="ASM119" s="456"/>
      <c r="ASN119" s="456"/>
      <c r="ASO119" s="456"/>
      <c r="ASP119" s="456"/>
      <c r="ASQ119" s="456"/>
      <c r="ASR119" s="456"/>
      <c r="ASS119" s="456"/>
      <c r="AST119" s="456"/>
      <c r="ASU119" s="456"/>
      <c r="ASV119" s="456"/>
      <c r="ASW119" s="456"/>
      <c r="ASX119" s="456"/>
      <c r="ASY119" s="456"/>
      <c r="ASZ119" s="456"/>
      <c r="ATA119" s="456"/>
      <c r="ATB119" s="456"/>
      <c r="ATC119" s="456"/>
      <c r="ATD119" s="456"/>
      <c r="ATE119" s="456"/>
      <c r="ATF119" s="456"/>
      <c r="ATG119" s="456"/>
      <c r="ATH119" s="456"/>
      <c r="ATI119" s="456"/>
      <c r="ATJ119" s="456"/>
      <c r="ATK119" s="456"/>
      <c r="ATL119" s="456"/>
      <c r="ATM119" s="456"/>
      <c r="ATN119" s="456"/>
      <c r="ATO119" s="456"/>
      <c r="ATP119" s="456"/>
      <c r="ATQ119" s="456"/>
      <c r="ATR119" s="456"/>
      <c r="ATS119" s="456"/>
      <c r="ATT119" s="456"/>
      <c r="ATU119" s="456"/>
      <c r="ATV119" s="456"/>
      <c r="ATW119" s="456"/>
      <c r="ATX119" s="456"/>
      <c r="ATY119" s="456"/>
      <c r="ATZ119" s="456"/>
      <c r="AUA119" s="456"/>
      <c r="AUB119" s="456"/>
      <c r="AUC119" s="456"/>
      <c r="AUD119" s="456"/>
      <c r="AUE119" s="456"/>
      <c r="AUF119" s="456"/>
      <c r="AUG119" s="456"/>
      <c r="AUH119" s="456"/>
      <c r="AUI119" s="456"/>
      <c r="AUJ119" s="456"/>
      <c r="AUK119" s="456"/>
      <c r="AUL119" s="456"/>
      <c r="AUM119" s="456"/>
      <c r="AUN119" s="456"/>
      <c r="AUO119" s="456"/>
      <c r="AUP119" s="456"/>
      <c r="AUQ119" s="456"/>
      <c r="AUR119" s="456"/>
      <c r="AUS119" s="456"/>
      <c r="AUT119" s="456"/>
      <c r="AUU119" s="456"/>
      <c r="AUV119" s="456"/>
      <c r="AUW119" s="456"/>
      <c r="AUX119" s="456"/>
      <c r="AUY119" s="456"/>
      <c r="AUZ119" s="456"/>
      <c r="AVA119" s="456"/>
      <c r="AVB119" s="456"/>
      <c r="AVC119" s="456"/>
      <c r="AVD119" s="456"/>
      <c r="AVE119" s="456"/>
      <c r="AVF119" s="456"/>
      <c r="AVG119" s="456"/>
      <c r="AVH119" s="456"/>
      <c r="AVI119" s="456"/>
      <c r="AVJ119" s="456"/>
      <c r="AVK119" s="456"/>
      <c r="AVL119" s="456"/>
      <c r="AVM119" s="456"/>
      <c r="AVN119" s="456"/>
      <c r="AVO119" s="456"/>
      <c r="AVP119" s="456"/>
      <c r="AVQ119" s="456"/>
      <c r="AVR119" s="456"/>
      <c r="AVS119" s="456"/>
      <c r="AVT119" s="456"/>
      <c r="AVU119" s="456"/>
      <c r="AVV119" s="456"/>
      <c r="AVW119" s="456"/>
      <c r="AVX119" s="456"/>
      <c r="AVY119" s="456"/>
      <c r="AVZ119" s="456"/>
      <c r="AWA119" s="456"/>
      <c r="AWB119" s="456"/>
      <c r="AWC119" s="456"/>
      <c r="AWD119" s="456"/>
      <c r="AWE119" s="456"/>
      <c r="AWF119" s="456"/>
      <c r="AWG119" s="456"/>
      <c r="AWH119" s="456"/>
      <c r="AWI119" s="456"/>
      <c r="AWJ119" s="456"/>
      <c r="AWK119" s="456"/>
      <c r="AWL119" s="456"/>
      <c r="AWM119" s="456"/>
      <c r="AWN119" s="456"/>
      <c r="AWO119" s="456"/>
      <c r="AWP119" s="456"/>
      <c r="AWQ119" s="456"/>
      <c r="AWR119" s="456"/>
      <c r="AWS119" s="456"/>
      <c r="AWT119" s="456"/>
      <c r="AWU119" s="456"/>
      <c r="AWV119" s="456"/>
      <c r="AWW119" s="456"/>
      <c r="AWX119" s="456"/>
      <c r="AWY119" s="456"/>
      <c r="AWZ119" s="456"/>
      <c r="AXA119" s="456"/>
      <c r="AXB119" s="456"/>
      <c r="AXC119" s="456"/>
      <c r="AXD119" s="456"/>
      <c r="AXE119" s="456"/>
      <c r="AXF119" s="456"/>
      <c r="AXG119" s="456"/>
      <c r="AXH119" s="456"/>
      <c r="AXI119" s="456"/>
      <c r="AXJ119" s="456"/>
      <c r="AXK119" s="456"/>
      <c r="AXL119" s="456"/>
      <c r="AXM119" s="456"/>
      <c r="AXN119" s="456"/>
      <c r="AXO119" s="456"/>
      <c r="AXP119" s="456"/>
      <c r="AXQ119" s="456"/>
      <c r="AXR119" s="456"/>
      <c r="AXS119" s="456"/>
      <c r="AXT119" s="456"/>
      <c r="AXU119" s="456"/>
      <c r="AXV119" s="456"/>
      <c r="AXW119" s="456"/>
      <c r="AXX119" s="456"/>
      <c r="AXY119" s="456"/>
      <c r="AXZ119" s="456"/>
      <c r="AYA119" s="456"/>
      <c r="AYB119" s="456"/>
      <c r="AYC119" s="456"/>
      <c r="AYD119" s="456"/>
      <c r="AYE119" s="456"/>
      <c r="AYF119" s="456"/>
      <c r="AYG119" s="456"/>
      <c r="AYH119" s="456"/>
      <c r="AYI119" s="456"/>
      <c r="AYJ119" s="456"/>
      <c r="AYK119" s="456"/>
      <c r="AYL119" s="456"/>
      <c r="AYM119" s="456"/>
      <c r="AYN119" s="456"/>
      <c r="AYO119" s="456"/>
      <c r="AYP119" s="456"/>
      <c r="AYQ119" s="456"/>
      <c r="AYR119" s="456"/>
      <c r="AYS119" s="456"/>
      <c r="AYT119" s="456"/>
      <c r="AYU119" s="456"/>
      <c r="AYV119" s="456"/>
      <c r="AYW119" s="456"/>
      <c r="AYX119" s="456"/>
      <c r="AYY119" s="456"/>
      <c r="AYZ119" s="456"/>
      <c r="AZA119" s="456"/>
      <c r="AZB119" s="456"/>
      <c r="AZC119" s="456"/>
      <c r="AZD119" s="456"/>
      <c r="AZE119" s="456"/>
      <c r="AZF119" s="456"/>
      <c r="AZG119" s="456"/>
      <c r="AZH119" s="456"/>
      <c r="AZI119" s="456"/>
      <c r="AZJ119" s="456"/>
      <c r="AZK119" s="456"/>
      <c r="AZL119" s="456"/>
      <c r="AZM119" s="456"/>
      <c r="AZN119" s="456"/>
      <c r="AZO119" s="456"/>
      <c r="AZP119" s="456"/>
      <c r="AZQ119" s="456"/>
      <c r="AZR119" s="456"/>
      <c r="AZS119" s="456"/>
      <c r="AZT119" s="456"/>
      <c r="AZU119" s="456"/>
      <c r="AZV119" s="456"/>
      <c r="AZW119" s="456"/>
      <c r="AZX119" s="456"/>
      <c r="AZY119" s="456"/>
      <c r="AZZ119" s="456"/>
      <c r="BAA119" s="456"/>
      <c r="BAB119" s="456"/>
      <c r="BAC119" s="456"/>
      <c r="BAD119" s="456"/>
      <c r="BAE119" s="456"/>
      <c r="BAF119" s="456"/>
      <c r="BAG119" s="456"/>
      <c r="BAH119" s="456"/>
      <c r="BAI119" s="456"/>
      <c r="BAJ119" s="456"/>
      <c r="BAK119" s="456"/>
      <c r="BAL119" s="456"/>
      <c r="BAM119" s="456"/>
      <c r="BAN119" s="456"/>
      <c r="BAO119" s="456"/>
      <c r="BAP119" s="456"/>
      <c r="BAQ119" s="456"/>
      <c r="BAR119" s="456"/>
      <c r="BAS119" s="456"/>
      <c r="BAT119" s="456"/>
      <c r="BAU119" s="456"/>
      <c r="BAV119" s="456"/>
      <c r="BAW119" s="456"/>
      <c r="BAX119" s="456"/>
      <c r="BAY119" s="456"/>
      <c r="BAZ119" s="456"/>
      <c r="BBA119" s="456"/>
      <c r="BBB119" s="456"/>
      <c r="BBC119" s="456"/>
      <c r="BBD119" s="456"/>
      <c r="BBE119" s="456"/>
      <c r="BBF119" s="456"/>
      <c r="BBG119" s="456"/>
      <c r="BBH119" s="456"/>
      <c r="BBI119" s="456"/>
      <c r="BBJ119" s="456"/>
      <c r="BBK119" s="456"/>
      <c r="BBL119" s="456"/>
      <c r="BBM119" s="456"/>
      <c r="BBN119" s="456"/>
      <c r="BBO119" s="456"/>
      <c r="BBP119" s="456"/>
      <c r="BBQ119" s="456"/>
      <c r="BBR119" s="456"/>
      <c r="BBS119" s="456"/>
      <c r="BBT119" s="456"/>
      <c r="BBU119" s="456"/>
      <c r="BBV119" s="456"/>
      <c r="BBW119" s="456"/>
      <c r="BBX119" s="456"/>
      <c r="BBY119" s="456"/>
      <c r="BBZ119" s="456"/>
      <c r="BCA119" s="456"/>
      <c r="BCB119" s="456"/>
      <c r="BCC119" s="456"/>
      <c r="BCD119" s="456"/>
      <c r="BCE119" s="456"/>
      <c r="BCF119" s="456"/>
      <c r="BCG119" s="456"/>
      <c r="BCH119" s="456"/>
      <c r="BCI119" s="456"/>
      <c r="BCJ119" s="456"/>
      <c r="BCK119" s="456"/>
      <c r="BCL119" s="456"/>
      <c r="BCM119" s="456"/>
      <c r="BCN119" s="456"/>
      <c r="BCO119" s="456"/>
      <c r="BCP119" s="456"/>
      <c r="BCQ119" s="456"/>
      <c r="BCR119" s="456"/>
      <c r="BCS119" s="456"/>
      <c r="BCT119" s="456"/>
      <c r="BCU119" s="456"/>
      <c r="BCV119" s="456"/>
      <c r="BCW119" s="456"/>
      <c r="BCX119" s="456"/>
      <c r="BCY119" s="456"/>
      <c r="BCZ119" s="456"/>
      <c r="BDA119" s="456"/>
      <c r="BDB119" s="456"/>
      <c r="BDC119" s="456"/>
      <c r="BDD119" s="456"/>
      <c r="BDE119" s="456"/>
      <c r="BDF119" s="456"/>
      <c r="BDG119" s="456"/>
      <c r="BDH119" s="456"/>
      <c r="BDI119" s="456"/>
      <c r="BDJ119" s="456"/>
      <c r="BDK119" s="456"/>
      <c r="BDL119" s="456"/>
      <c r="BDM119" s="456"/>
      <c r="BDN119" s="456"/>
      <c r="BDO119" s="456"/>
      <c r="BDP119" s="456"/>
      <c r="BDQ119" s="456"/>
      <c r="BDR119" s="456"/>
      <c r="BDS119" s="456"/>
      <c r="BDT119" s="456"/>
      <c r="BDU119" s="456"/>
      <c r="BDV119" s="456"/>
      <c r="BDW119" s="456"/>
      <c r="BDX119" s="456"/>
      <c r="BDY119" s="456"/>
      <c r="BDZ119" s="456"/>
      <c r="BEA119" s="456"/>
      <c r="BEB119" s="456"/>
      <c r="BEC119" s="456"/>
      <c r="BED119" s="456"/>
      <c r="BEE119" s="456"/>
      <c r="BEF119" s="456"/>
      <c r="BEG119" s="456"/>
      <c r="BEH119" s="456"/>
      <c r="BEI119" s="456"/>
      <c r="BEJ119" s="456"/>
      <c r="BEK119" s="456"/>
      <c r="BEL119" s="456"/>
      <c r="BEM119" s="456"/>
      <c r="BEN119" s="456"/>
      <c r="BEO119" s="456"/>
      <c r="BEP119" s="456"/>
      <c r="BEQ119" s="456"/>
      <c r="BER119" s="456"/>
      <c r="BES119" s="456"/>
      <c r="BET119" s="456"/>
      <c r="BEU119" s="456"/>
      <c r="BEV119" s="456"/>
      <c r="BEW119" s="456"/>
      <c r="BEX119" s="456"/>
      <c r="BEY119" s="456"/>
      <c r="BEZ119" s="456"/>
      <c r="BFA119" s="456"/>
      <c r="BFB119" s="456"/>
      <c r="BFC119" s="456"/>
      <c r="BFD119" s="456"/>
      <c r="BFE119" s="456"/>
      <c r="BFF119" s="456"/>
      <c r="BFG119" s="456"/>
      <c r="BFH119" s="456"/>
      <c r="BFI119" s="456"/>
      <c r="BFJ119" s="456"/>
      <c r="BFK119" s="456"/>
      <c r="BFL119" s="456"/>
      <c r="BFM119" s="456"/>
      <c r="BFN119" s="456"/>
      <c r="BFO119" s="456"/>
      <c r="BFP119" s="456"/>
      <c r="BFQ119" s="456"/>
      <c r="BFR119" s="456"/>
      <c r="BFS119" s="456"/>
      <c r="BFT119" s="456"/>
      <c r="BFU119" s="456"/>
      <c r="BFV119" s="456"/>
      <c r="BFW119" s="456"/>
      <c r="BFX119" s="456"/>
      <c r="BFY119" s="456"/>
      <c r="BFZ119" s="456"/>
      <c r="BGA119" s="456"/>
      <c r="BGB119" s="456"/>
      <c r="BGC119" s="456"/>
      <c r="BGD119" s="456"/>
      <c r="BGE119" s="456"/>
      <c r="BGF119" s="456"/>
      <c r="BGG119" s="456"/>
      <c r="BGH119" s="456"/>
      <c r="BGI119" s="456"/>
      <c r="BGJ119" s="456"/>
      <c r="BGK119" s="456"/>
      <c r="BGL119" s="456"/>
      <c r="BGM119" s="456"/>
      <c r="BGN119" s="456"/>
      <c r="BGO119" s="456"/>
      <c r="BGP119" s="456"/>
      <c r="BGQ119" s="456"/>
      <c r="BGR119" s="456"/>
      <c r="BGS119" s="456"/>
      <c r="BGT119" s="456"/>
      <c r="BGU119" s="456"/>
      <c r="BGV119" s="456"/>
      <c r="BGW119" s="456"/>
      <c r="BGX119" s="456"/>
      <c r="BGY119" s="456"/>
      <c r="BGZ119" s="456"/>
      <c r="BHA119" s="456"/>
      <c r="BHB119" s="456"/>
      <c r="BHC119" s="456"/>
      <c r="BHD119" s="456"/>
      <c r="BHE119" s="456"/>
      <c r="BHF119" s="456"/>
      <c r="BHG119" s="456"/>
      <c r="BHH119" s="456"/>
      <c r="BHI119" s="456"/>
      <c r="BHJ119" s="456"/>
      <c r="BHK119" s="456"/>
      <c r="BHL119" s="456"/>
      <c r="BHM119" s="456"/>
      <c r="BHN119" s="456"/>
      <c r="BHO119" s="456"/>
      <c r="BHP119" s="456"/>
      <c r="BHQ119" s="456"/>
      <c r="BHR119" s="456"/>
      <c r="BHS119" s="456"/>
      <c r="BHT119" s="456"/>
      <c r="BHU119" s="456"/>
      <c r="BHV119" s="456"/>
      <c r="BHW119" s="456"/>
      <c r="BHX119" s="456"/>
      <c r="BHY119" s="456"/>
      <c r="BHZ119" s="456"/>
      <c r="BIA119" s="456"/>
      <c r="BIB119" s="456"/>
      <c r="BIC119" s="456"/>
      <c r="BID119" s="456"/>
      <c r="BIE119" s="456"/>
      <c r="BIF119" s="456"/>
      <c r="BIG119" s="456"/>
      <c r="BIH119" s="456"/>
      <c r="BII119" s="456"/>
      <c r="BIJ119" s="456"/>
      <c r="BIK119" s="456"/>
      <c r="BIL119" s="456"/>
      <c r="BIM119" s="456"/>
      <c r="BIN119" s="456"/>
      <c r="BIO119" s="456"/>
      <c r="BIP119" s="456"/>
      <c r="BIQ119" s="456"/>
      <c r="BIR119" s="456"/>
      <c r="BIS119" s="456"/>
      <c r="BIT119" s="456"/>
      <c r="BIU119" s="456"/>
      <c r="BIV119" s="456"/>
      <c r="BIW119" s="456"/>
      <c r="BIX119" s="456"/>
      <c r="BIY119" s="456"/>
      <c r="BIZ119" s="456"/>
      <c r="BJA119" s="456"/>
      <c r="BJB119" s="456"/>
      <c r="BJC119" s="456"/>
      <c r="BJD119" s="456"/>
      <c r="BJE119" s="456"/>
      <c r="BJF119" s="456"/>
      <c r="BJG119" s="456"/>
      <c r="BJH119" s="456"/>
      <c r="BJI119" s="456"/>
      <c r="BJJ119" s="456"/>
      <c r="BJK119" s="456"/>
      <c r="BJL119" s="456"/>
      <c r="BJM119" s="456"/>
      <c r="BJN119" s="456"/>
      <c r="BJO119" s="456"/>
      <c r="BJP119" s="456"/>
      <c r="BJQ119" s="456"/>
      <c r="BJR119" s="456"/>
      <c r="BJS119" s="456"/>
      <c r="BJT119" s="456"/>
      <c r="BJU119" s="456"/>
      <c r="BJV119" s="456"/>
      <c r="BJW119" s="456"/>
      <c r="BJX119" s="456"/>
      <c r="BJY119" s="456"/>
      <c r="BJZ119" s="456"/>
      <c r="BKA119" s="456"/>
      <c r="BKB119" s="456"/>
      <c r="BKC119" s="456"/>
      <c r="BKD119" s="456"/>
      <c r="BKE119" s="456"/>
      <c r="BKF119" s="456"/>
      <c r="BKG119" s="456"/>
      <c r="BKH119" s="456"/>
      <c r="BKI119" s="456"/>
      <c r="BKJ119" s="456"/>
      <c r="BKK119" s="456"/>
      <c r="BKL119" s="456"/>
      <c r="BKM119" s="456"/>
      <c r="BKN119" s="456"/>
      <c r="BKO119" s="456"/>
      <c r="BKP119" s="456"/>
      <c r="BKQ119" s="456"/>
      <c r="BKR119" s="456"/>
      <c r="BKS119" s="456"/>
      <c r="BKT119" s="456"/>
      <c r="BKU119" s="456"/>
      <c r="BKV119" s="456"/>
      <c r="BKW119" s="456"/>
      <c r="BKX119" s="456"/>
      <c r="BKY119" s="456"/>
      <c r="BKZ119" s="456"/>
      <c r="BLA119" s="456"/>
      <c r="BLB119" s="456"/>
      <c r="BLC119" s="456"/>
      <c r="BLD119" s="456"/>
      <c r="BLE119" s="456"/>
      <c r="BLF119" s="456"/>
      <c r="BLG119" s="456"/>
      <c r="BLH119" s="456"/>
      <c r="BLI119" s="456"/>
      <c r="BLJ119" s="456"/>
      <c r="BLK119" s="456"/>
      <c r="BLL119" s="456"/>
      <c r="BLM119" s="456"/>
      <c r="BLN119" s="456"/>
      <c r="BLO119" s="456"/>
      <c r="BLP119" s="456"/>
      <c r="BLQ119" s="456"/>
      <c r="BLR119" s="456"/>
      <c r="BLS119" s="456"/>
      <c r="BLT119" s="456"/>
      <c r="BLU119" s="456"/>
      <c r="BLV119" s="456"/>
      <c r="BLW119" s="456"/>
      <c r="BLX119" s="456"/>
      <c r="BLY119" s="456"/>
      <c r="BLZ119" s="456"/>
      <c r="BMA119" s="456"/>
      <c r="BMB119" s="456"/>
      <c r="BMC119" s="456"/>
      <c r="BMD119" s="456"/>
      <c r="BME119" s="456"/>
      <c r="BMF119" s="456"/>
      <c r="BMG119" s="456"/>
      <c r="BMH119" s="456"/>
      <c r="BMI119" s="456"/>
      <c r="BMJ119" s="456"/>
      <c r="BMK119" s="456"/>
      <c r="BML119" s="456"/>
      <c r="BMM119" s="456"/>
      <c r="BMN119" s="456"/>
      <c r="BMO119" s="456"/>
      <c r="BMP119" s="456"/>
      <c r="BMQ119" s="456"/>
      <c r="BMR119" s="456"/>
      <c r="BMS119" s="456"/>
      <c r="BMT119" s="456"/>
      <c r="BMU119" s="456"/>
      <c r="BMV119" s="456"/>
      <c r="BMW119" s="456"/>
      <c r="BMX119" s="456"/>
      <c r="BMY119" s="456"/>
      <c r="BMZ119" s="456"/>
      <c r="BNA119" s="456"/>
      <c r="BNB119" s="456"/>
      <c r="BNC119" s="456"/>
      <c r="BND119" s="456"/>
      <c r="BNE119" s="456"/>
      <c r="BNF119" s="456"/>
      <c r="BNG119" s="456"/>
      <c r="BNH119" s="456"/>
      <c r="BNI119" s="456"/>
      <c r="BNJ119" s="456"/>
      <c r="BNK119" s="456"/>
      <c r="BNL119" s="456"/>
      <c r="BNM119" s="456"/>
      <c r="BNN119" s="456"/>
      <c r="BNO119" s="456"/>
      <c r="BNP119" s="456"/>
      <c r="BNQ119" s="456"/>
      <c r="BNR119" s="456"/>
      <c r="BNS119" s="456"/>
      <c r="BNT119" s="456"/>
      <c r="BNU119" s="456"/>
      <c r="BNV119" s="456"/>
      <c r="BNW119" s="456"/>
      <c r="BNX119" s="456"/>
      <c r="BNY119" s="456"/>
      <c r="BNZ119" s="456"/>
      <c r="BOA119" s="456"/>
      <c r="BOB119" s="456"/>
      <c r="BOC119" s="456"/>
      <c r="BOD119" s="456"/>
      <c r="BOE119" s="456"/>
      <c r="BOF119" s="456"/>
      <c r="BOG119" s="456"/>
      <c r="BOH119" s="456"/>
      <c r="BOI119" s="456"/>
      <c r="BOJ119" s="456"/>
      <c r="BOK119" s="456"/>
      <c r="BOL119" s="456"/>
      <c r="BOM119" s="456"/>
      <c r="BON119" s="456"/>
      <c r="BOO119" s="456"/>
      <c r="BOP119" s="456"/>
      <c r="BOQ119" s="456"/>
      <c r="BOR119" s="456"/>
      <c r="BOS119" s="456"/>
      <c r="BOT119" s="456"/>
      <c r="BOU119" s="456"/>
      <c r="BOV119" s="456"/>
      <c r="BOW119" s="456"/>
      <c r="BOX119" s="456"/>
      <c r="BOY119" s="456"/>
      <c r="BOZ119" s="456"/>
      <c r="BPA119" s="456"/>
      <c r="BPB119" s="456"/>
      <c r="BPC119" s="456"/>
      <c r="BPD119" s="456"/>
      <c r="BPE119" s="456"/>
      <c r="BPF119" s="456"/>
      <c r="BPG119" s="456"/>
      <c r="BPH119" s="456"/>
      <c r="BPI119" s="456"/>
      <c r="BPJ119" s="456"/>
      <c r="BPK119" s="456"/>
      <c r="BPL119" s="456"/>
      <c r="BPM119" s="456"/>
      <c r="BPN119" s="456"/>
      <c r="BPO119" s="456"/>
      <c r="BPP119" s="456"/>
      <c r="BPQ119" s="456"/>
      <c r="BPR119" s="456"/>
      <c r="BPS119" s="456"/>
      <c r="BPT119" s="456"/>
      <c r="BPU119" s="456"/>
      <c r="BPV119" s="456"/>
      <c r="BPW119" s="456"/>
      <c r="BPX119" s="456"/>
      <c r="BPY119" s="456"/>
      <c r="BPZ119" s="456"/>
      <c r="BQA119" s="456"/>
      <c r="BQB119" s="456"/>
      <c r="BQC119" s="456"/>
      <c r="BQD119" s="456"/>
      <c r="BQE119" s="456"/>
      <c r="BQF119" s="456"/>
      <c r="BQG119" s="456"/>
      <c r="BQH119" s="456"/>
      <c r="BQI119" s="456"/>
      <c r="BQJ119" s="456"/>
      <c r="BQK119" s="456"/>
      <c r="BQL119" s="456"/>
      <c r="BQM119" s="456"/>
      <c r="BQN119" s="456"/>
      <c r="BQO119" s="456"/>
      <c r="BQP119" s="456"/>
      <c r="BQQ119" s="456"/>
      <c r="BQR119" s="456"/>
      <c r="BQS119" s="456"/>
      <c r="BQT119" s="456"/>
      <c r="BQU119" s="456"/>
      <c r="BQV119" s="456"/>
      <c r="BQW119" s="456"/>
      <c r="BQX119" s="456"/>
      <c r="BQY119" s="456"/>
      <c r="BQZ119" s="456"/>
      <c r="BRA119" s="456"/>
      <c r="BRB119" s="456"/>
      <c r="BRC119" s="456"/>
      <c r="BRD119" s="456"/>
      <c r="BRE119" s="456"/>
      <c r="BRF119" s="456"/>
      <c r="BRG119" s="456"/>
      <c r="BRH119" s="456"/>
      <c r="BRI119" s="456"/>
      <c r="BRJ119" s="456"/>
      <c r="BRK119" s="456"/>
      <c r="BRL119" s="456"/>
      <c r="BRM119" s="456"/>
      <c r="BRN119" s="456"/>
      <c r="BRO119" s="456"/>
      <c r="BRP119" s="456"/>
      <c r="BRQ119" s="456"/>
      <c r="BRR119" s="456"/>
      <c r="BRS119" s="456"/>
      <c r="BRT119" s="456"/>
      <c r="BRU119" s="456"/>
      <c r="BRV119" s="456"/>
      <c r="BRW119" s="456"/>
      <c r="BRX119" s="456"/>
      <c r="BRY119" s="456"/>
      <c r="BRZ119" s="456"/>
      <c r="BSA119" s="456"/>
      <c r="BSB119" s="456"/>
      <c r="BSC119" s="456"/>
      <c r="BSD119" s="456"/>
      <c r="BSE119" s="456"/>
      <c r="BSF119" s="456"/>
      <c r="BSG119" s="456"/>
      <c r="BSH119" s="456"/>
      <c r="BSI119" s="456"/>
      <c r="BSJ119" s="456"/>
      <c r="BSK119" s="456"/>
      <c r="BSL119" s="456"/>
      <c r="BSM119" s="456"/>
      <c r="BSN119" s="456"/>
      <c r="BSO119" s="456"/>
      <c r="BSP119" s="456"/>
      <c r="BSQ119" s="456"/>
      <c r="BSR119" s="456"/>
      <c r="BSS119" s="456"/>
      <c r="BST119" s="456"/>
      <c r="BSU119" s="456"/>
      <c r="BSV119" s="456"/>
      <c r="BSW119" s="456"/>
      <c r="BSX119" s="456"/>
      <c r="BSY119" s="456"/>
      <c r="BSZ119" s="456"/>
      <c r="BTA119" s="456"/>
      <c r="BTB119" s="456"/>
      <c r="BTC119" s="456"/>
      <c r="BTD119" s="456"/>
      <c r="BTE119" s="456"/>
      <c r="BTF119" s="456"/>
      <c r="BTG119" s="456"/>
      <c r="BTH119" s="456"/>
      <c r="BTI119" s="456"/>
      <c r="BTJ119" s="456"/>
      <c r="BTK119" s="456"/>
      <c r="BTL119" s="456"/>
      <c r="BTM119" s="456"/>
      <c r="BTN119" s="456"/>
      <c r="BTO119" s="456"/>
      <c r="BTP119" s="456"/>
      <c r="BTQ119" s="456"/>
      <c r="BTR119" s="456"/>
      <c r="BTS119" s="456"/>
      <c r="BTT119" s="456"/>
      <c r="BTU119" s="456"/>
      <c r="BTV119" s="456"/>
      <c r="BTW119" s="456"/>
      <c r="BTX119" s="456"/>
      <c r="BTY119" s="456"/>
      <c r="BTZ119" s="456"/>
      <c r="BUA119" s="456"/>
      <c r="BUB119" s="456"/>
      <c r="BUC119" s="456"/>
      <c r="BUD119" s="456"/>
      <c r="BUE119" s="456"/>
      <c r="BUF119" s="456"/>
      <c r="BUG119" s="456"/>
      <c r="BUH119" s="456"/>
      <c r="BUI119" s="456"/>
      <c r="BUJ119" s="456"/>
      <c r="BUK119" s="456"/>
      <c r="BUL119" s="456"/>
      <c r="BUM119" s="456"/>
      <c r="BUN119" s="456"/>
      <c r="BUO119" s="456"/>
      <c r="BUP119" s="456"/>
      <c r="BUQ119" s="456"/>
      <c r="BUR119" s="456"/>
      <c r="BUS119" s="456"/>
      <c r="BUT119" s="456"/>
      <c r="BUU119" s="456"/>
      <c r="BUV119" s="456"/>
      <c r="BUW119" s="456"/>
      <c r="BUX119" s="456"/>
      <c r="BUY119" s="456"/>
      <c r="BUZ119" s="456"/>
      <c r="BVA119" s="456"/>
      <c r="BVB119" s="456"/>
      <c r="BVC119" s="456"/>
      <c r="BVD119" s="456"/>
      <c r="BVE119" s="456"/>
      <c r="BVF119" s="456"/>
      <c r="BVG119" s="456"/>
      <c r="BVH119" s="456"/>
      <c r="BVI119" s="456"/>
      <c r="BVJ119" s="456"/>
      <c r="BVK119" s="456"/>
      <c r="BVL119" s="456"/>
      <c r="BVM119" s="456"/>
      <c r="BVN119" s="456"/>
      <c r="BVO119" s="456"/>
      <c r="BVP119" s="456"/>
      <c r="BVQ119" s="456"/>
      <c r="BVR119" s="456"/>
      <c r="BVS119" s="456"/>
      <c r="BVT119" s="456"/>
      <c r="BVU119" s="456"/>
      <c r="BVV119" s="456"/>
      <c r="BVW119" s="456"/>
      <c r="BVX119" s="456"/>
      <c r="BVY119" s="456"/>
      <c r="BVZ119" s="456"/>
      <c r="BWA119" s="456"/>
      <c r="BWB119" s="456"/>
      <c r="BWC119" s="456"/>
      <c r="BWD119" s="456"/>
      <c r="BWE119" s="456"/>
      <c r="BWF119" s="456"/>
      <c r="BWG119" s="456"/>
      <c r="BWH119" s="456"/>
      <c r="BWI119" s="456"/>
      <c r="BWJ119" s="456"/>
      <c r="BWK119" s="456"/>
      <c r="BWL119" s="456"/>
      <c r="BWM119" s="456"/>
      <c r="BWN119" s="456"/>
      <c r="BWO119" s="456"/>
      <c r="BWP119" s="456"/>
      <c r="BWQ119" s="456"/>
      <c r="BWR119" s="456"/>
      <c r="BWS119" s="456"/>
      <c r="BWT119" s="456"/>
      <c r="BWU119" s="456"/>
      <c r="BWV119" s="456"/>
      <c r="BWW119" s="456"/>
      <c r="BWX119" s="456"/>
      <c r="BWY119" s="456"/>
      <c r="BWZ119" s="456"/>
      <c r="BXA119" s="456"/>
      <c r="BXB119" s="456"/>
      <c r="BXC119" s="456"/>
      <c r="BXD119" s="456"/>
      <c r="BXE119" s="456"/>
      <c r="BXF119" s="456"/>
      <c r="BXG119" s="456"/>
      <c r="BXH119" s="456"/>
      <c r="BXI119" s="456"/>
      <c r="BXJ119" s="456"/>
      <c r="BXK119" s="456"/>
      <c r="BXL119" s="456"/>
      <c r="BXM119" s="456"/>
      <c r="BXN119" s="456"/>
      <c r="BXO119" s="456"/>
      <c r="BXP119" s="456"/>
      <c r="BXQ119" s="456"/>
      <c r="BXR119" s="456"/>
      <c r="BXS119" s="456"/>
      <c r="BXT119" s="456"/>
      <c r="BXU119" s="456"/>
      <c r="BXV119" s="456"/>
      <c r="BXW119" s="456"/>
      <c r="BXX119" s="456"/>
      <c r="BXY119" s="456"/>
      <c r="BXZ119" s="456"/>
    </row>
    <row r="120" s="25" customFormat="1" ht="15.6" spans="1:1024 1025:2002">
      <c r="A120" s="473"/>
      <c r="B120" s="19">
        <v>1125</v>
      </c>
      <c r="C120" s="183">
        <v>46196</v>
      </c>
      <c r="D120" s="17" t="s">
        <v>52</v>
      </c>
      <c r="E120" s="17" t="s">
        <v>53</v>
      </c>
      <c r="F120" s="17" t="s">
        <v>54</v>
      </c>
      <c r="G120" s="17"/>
      <c r="H120" s="19" t="s">
        <v>55</v>
      </c>
      <c r="I120" s="102" t="s">
        <v>56</v>
      </c>
      <c r="J120" s="17" t="s">
        <v>49</v>
      </c>
      <c r="K120" s="19">
        <v>710</v>
      </c>
      <c r="L120" s="19">
        <v>76</v>
      </c>
      <c r="M120" s="19">
        <v>5800</v>
      </c>
      <c r="N120" s="19" t="s">
        <v>40</v>
      </c>
      <c r="O120" s="19" t="s">
        <v>84</v>
      </c>
      <c r="P120" s="19">
        <f>1400*2</f>
        <v>2800</v>
      </c>
      <c r="Q120" s="19">
        <f>1754+1802</f>
        <v>3556</v>
      </c>
      <c r="R120" s="19">
        <f t="shared" si="9"/>
        <v>-756</v>
      </c>
      <c r="S120" s="311">
        <v>2040</v>
      </c>
      <c r="T120" s="19" t="s">
        <v>42</v>
      </c>
      <c r="U120" s="102" t="s">
        <v>101</v>
      </c>
      <c r="V120" s="186">
        <v>46197</v>
      </c>
      <c r="W120" s="17" t="s">
        <v>58</v>
      </c>
      <c r="X120" s="17"/>
      <c r="Y120" s="68">
        <v>46204</v>
      </c>
      <c r="Z120" s="17" t="s">
        <v>45</v>
      </c>
      <c r="AA120" s="17" t="s">
        <v>59</v>
      </c>
      <c r="AB120" s="17" t="s">
        <v>102</v>
      </c>
      <c r="AC120" s="217">
        <v>46274</v>
      </c>
      <c r="AD120" s="65">
        <v>1861</v>
      </c>
      <c r="AE120" s="17" t="s">
        <v>48</v>
      </c>
      <c r="AF120" s="17" t="s">
        <v>61</v>
      </c>
      <c r="AG120" s="17" t="s">
        <v>103</v>
      </c>
      <c r="AH120" s="456"/>
      <c r="AI120" s="456"/>
      <c r="AJ120" s="456"/>
      <c r="AK120" s="456"/>
      <c r="AL120" s="456"/>
      <c r="AM120" s="456"/>
      <c r="AN120" s="456"/>
      <c r="AO120" s="456"/>
      <c r="AP120" s="456"/>
      <c r="AQ120" s="456"/>
      <c r="AR120" s="456"/>
      <c r="AS120" s="456"/>
      <c r="AT120" s="456"/>
      <c r="AU120" s="456"/>
      <c r="AV120" s="456"/>
      <c r="AW120" s="456"/>
      <c r="AX120" s="456"/>
      <c r="AY120" s="456"/>
      <c r="AZ120" s="456"/>
      <c r="BA120" s="456"/>
      <c r="BB120" s="456"/>
      <c r="BC120" s="456"/>
      <c r="BD120" s="456"/>
      <c r="BE120" s="456"/>
      <c r="BF120" s="456"/>
      <c r="BG120" s="456"/>
      <c r="BH120" s="456"/>
      <c r="BI120" s="456"/>
      <c r="BJ120" s="456"/>
      <c r="BK120" s="456"/>
      <c r="BL120" s="456"/>
      <c r="BM120" s="456"/>
      <c r="BN120" s="456"/>
      <c r="BO120" s="456"/>
      <c r="BP120" s="456"/>
      <c r="BQ120" s="456"/>
      <c r="BR120" s="456"/>
      <c r="BS120" s="456"/>
      <c r="BT120" s="456"/>
      <c r="BU120" s="456"/>
      <c r="BV120" s="456"/>
      <c r="BW120" s="456"/>
      <c r="BX120" s="456"/>
      <c r="BY120" s="456"/>
      <c r="BZ120" s="456"/>
      <c r="CA120" s="456"/>
      <c r="CB120" s="456"/>
      <c r="CC120" s="456"/>
      <c r="CD120" s="456"/>
      <c r="CE120" s="456"/>
      <c r="CF120" s="456"/>
      <c r="CG120" s="456"/>
      <c r="CH120" s="456"/>
      <c r="CI120" s="456"/>
      <c r="CJ120" s="456"/>
      <c r="CK120" s="456"/>
      <c r="CL120" s="456"/>
      <c r="CM120" s="456"/>
      <c r="CN120" s="456"/>
      <c r="CO120" s="456"/>
      <c r="CP120" s="456"/>
      <c r="CQ120" s="456"/>
      <c r="CR120" s="456"/>
      <c r="CS120" s="456"/>
      <c r="CT120" s="456"/>
      <c r="CU120" s="456"/>
      <c r="CV120" s="456"/>
      <c r="CW120" s="456"/>
      <c r="CX120" s="456"/>
      <c r="CY120" s="456"/>
      <c r="CZ120" s="456"/>
      <c r="DA120" s="456"/>
      <c r="DB120" s="456"/>
      <c r="DC120" s="456"/>
      <c r="DD120" s="456"/>
      <c r="DE120" s="456"/>
      <c r="DF120" s="456"/>
      <c r="DG120" s="456"/>
      <c r="DH120" s="456"/>
      <c r="DI120" s="456"/>
      <c r="DJ120" s="456"/>
      <c r="DK120" s="456"/>
      <c r="DL120" s="456"/>
      <c r="DM120" s="456"/>
      <c r="DN120" s="456"/>
      <c r="DO120" s="456"/>
      <c r="DP120" s="456"/>
      <c r="DQ120" s="456"/>
      <c r="DR120" s="456"/>
      <c r="DS120" s="456"/>
      <c r="DT120" s="456"/>
      <c r="DU120" s="456"/>
      <c r="DV120" s="456"/>
      <c r="DW120" s="456"/>
      <c r="DX120" s="456"/>
      <c r="DY120" s="456"/>
      <c r="DZ120" s="456"/>
      <c r="EA120" s="456"/>
      <c r="EB120" s="456"/>
      <c r="EC120" s="456"/>
      <c r="ED120" s="456"/>
      <c r="EE120" s="456"/>
      <c r="EF120" s="456"/>
      <c r="EG120" s="456"/>
      <c r="EH120" s="456"/>
      <c r="EI120" s="456"/>
      <c r="EJ120" s="456"/>
      <c r="EK120" s="456"/>
      <c r="EL120" s="456"/>
      <c r="EM120" s="456"/>
      <c r="EN120" s="456"/>
      <c r="EO120" s="456"/>
      <c r="EP120" s="456"/>
      <c r="EQ120" s="456"/>
      <c r="ER120" s="456"/>
      <c r="ES120" s="456"/>
      <c r="ET120" s="456"/>
      <c r="EU120" s="456"/>
      <c r="EV120" s="456"/>
      <c r="EW120" s="456"/>
      <c r="EX120" s="456"/>
      <c r="EY120" s="456"/>
      <c r="EZ120" s="456"/>
      <c r="FA120" s="456"/>
      <c r="FB120" s="456"/>
      <c r="FC120" s="456"/>
      <c r="FD120" s="456"/>
      <c r="FE120" s="456"/>
      <c r="FF120" s="456"/>
      <c r="FG120" s="456"/>
      <c r="FH120" s="456"/>
      <c r="FI120" s="456"/>
      <c r="FJ120" s="456"/>
      <c r="FK120" s="456"/>
      <c r="FL120" s="456"/>
      <c r="FM120" s="456"/>
      <c r="FN120" s="456"/>
      <c r="FO120" s="456"/>
      <c r="FP120" s="456"/>
      <c r="FQ120" s="456"/>
      <c r="FR120" s="456"/>
      <c r="FS120" s="456"/>
      <c r="FT120" s="456"/>
      <c r="FU120" s="456"/>
      <c r="FV120" s="456"/>
      <c r="FW120" s="456"/>
      <c r="FX120" s="456"/>
      <c r="FY120" s="456"/>
      <c r="FZ120" s="456"/>
      <c r="GA120" s="456"/>
      <c r="GB120" s="456"/>
      <c r="GC120" s="456"/>
      <c r="GD120" s="456"/>
      <c r="GE120" s="456"/>
      <c r="GF120" s="456"/>
      <c r="GG120" s="456"/>
      <c r="GH120" s="456"/>
      <c r="GI120" s="456"/>
      <c r="GJ120" s="456"/>
      <c r="GK120" s="456"/>
      <c r="GL120" s="456"/>
      <c r="GM120" s="456"/>
      <c r="GN120" s="456"/>
      <c r="GO120" s="456"/>
      <c r="GP120" s="456"/>
      <c r="GQ120" s="456"/>
      <c r="GR120" s="456"/>
      <c r="GS120" s="456"/>
      <c r="GT120" s="456"/>
      <c r="GU120" s="456"/>
      <c r="GV120" s="456"/>
      <c r="GW120" s="456"/>
      <c r="GX120" s="456"/>
      <c r="GY120" s="456"/>
      <c r="GZ120" s="456"/>
      <c r="HA120" s="456"/>
      <c r="HB120" s="456"/>
      <c r="HC120" s="456"/>
      <c r="HD120" s="456"/>
      <c r="HE120" s="456"/>
      <c r="HF120" s="456"/>
      <c r="HG120" s="456"/>
      <c r="HH120" s="456"/>
      <c r="HI120" s="456"/>
      <c r="HJ120" s="456"/>
      <c r="HK120" s="456"/>
      <c r="HL120" s="456"/>
      <c r="HM120" s="456"/>
      <c r="HN120" s="456"/>
      <c r="HO120" s="456"/>
      <c r="HP120" s="456"/>
      <c r="HQ120" s="456"/>
      <c r="HR120" s="456"/>
      <c r="HS120" s="456"/>
      <c r="HT120" s="456"/>
      <c r="HU120" s="456"/>
      <c r="HV120" s="456"/>
      <c r="HW120" s="456"/>
      <c r="HX120" s="456"/>
      <c r="HY120" s="456"/>
      <c r="HZ120" s="456"/>
      <c r="IA120" s="456"/>
      <c r="IB120" s="456"/>
      <c r="IC120" s="456"/>
      <c r="ID120" s="456"/>
      <c r="IE120" s="456"/>
      <c r="IF120" s="456"/>
      <c r="IG120" s="456"/>
      <c r="IH120" s="456"/>
      <c r="II120" s="456"/>
      <c r="IJ120" s="456"/>
      <c r="IK120" s="456"/>
      <c r="IL120" s="456"/>
      <c r="IM120" s="456"/>
      <c r="IN120" s="456"/>
      <c r="IO120" s="456"/>
      <c r="IP120" s="456"/>
      <c r="IQ120" s="456"/>
      <c r="IR120" s="456"/>
      <c r="IS120" s="456"/>
      <c r="IT120" s="456"/>
      <c r="IU120" s="456"/>
      <c r="IV120" s="456"/>
      <c r="IW120" s="456"/>
      <c r="IX120" s="456"/>
      <c r="IY120" s="456"/>
      <c r="IZ120" s="456"/>
      <c r="JA120" s="456"/>
      <c r="JB120" s="456"/>
      <c r="JC120" s="456"/>
      <c r="JD120" s="456"/>
      <c r="JE120" s="456"/>
      <c r="JF120" s="456"/>
      <c r="JG120" s="456"/>
      <c r="JH120" s="456"/>
      <c r="JI120" s="456"/>
      <c r="JJ120" s="456"/>
      <c r="JK120" s="456"/>
      <c r="JL120" s="456"/>
      <c r="JM120" s="456"/>
      <c r="JN120" s="456"/>
      <c r="JO120" s="456"/>
      <c r="JP120" s="456"/>
      <c r="JQ120" s="456"/>
      <c r="JR120" s="456"/>
      <c r="JS120" s="456"/>
      <c r="JT120" s="456"/>
      <c r="JU120" s="456"/>
      <c r="JV120" s="456"/>
      <c r="JW120" s="456"/>
      <c r="JX120" s="456"/>
      <c r="JY120" s="456"/>
      <c r="JZ120" s="456"/>
      <c r="KA120" s="456"/>
      <c r="KB120" s="456"/>
      <c r="KC120" s="456"/>
      <c r="KD120" s="456"/>
      <c r="KE120" s="456"/>
      <c r="KF120" s="456"/>
      <c r="KG120" s="456"/>
      <c r="KH120" s="456"/>
      <c r="KI120" s="456"/>
      <c r="KJ120" s="456"/>
      <c r="KK120" s="456"/>
      <c r="KL120" s="456"/>
      <c r="KM120" s="456"/>
      <c r="KN120" s="456"/>
      <c r="KO120" s="456"/>
      <c r="KP120" s="456"/>
      <c r="KQ120" s="456"/>
      <c r="KR120" s="456"/>
      <c r="KS120" s="456"/>
      <c r="KT120" s="456"/>
      <c r="KU120" s="456"/>
      <c r="KV120" s="456"/>
      <c r="KW120" s="456"/>
      <c r="KX120" s="456"/>
      <c r="KY120" s="456"/>
      <c r="KZ120" s="456"/>
      <c r="LA120" s="456"/>
      <c r="LB120" s="456"/>
      <c r="LC120" s="456"/>
      <c r="LD120" s="456"/>
      <c r="LE120" s="456"/>
      <c r="LF120" s="456"/>
      <c r="LG120" s="456"/>
      <c r="LH120" s="456"/>
      <c r="LI120" s="456"/>
      <c r="LJ120" s="456"/>
      <c r="LK120" s="456"/>
      <c r="LL120" s="456"/>
      <c r="LM120" s="456"/>
      <c r="LN120" s="456"/>
      <c r="LO120" s="456"/>
      <c r="LP120" s="456"/>
      <c r="LQ120" s="456"/>
      <c r="LR120" s="456"/>
      <c r="LS120" s="456"/>
      <c r="LT120" s="456"/>
      <c r="LU120" s="456"/>
      <c r="LV120" s="456"/>
      <c r="LW120" s="456"/>
      <c r="LX120" s="456"/>
      <c r="LY120" s="456"/>
      <c r="LZ120" s="456"/>
      <c r="MA120" s="456"/>
      <c r="MB120" s="456"/>
      <c r="MC120" s="456"/>
      <c r="MD120" s="456"/>
      <c r="ME120" s="456"/>
      <c r="MF120" s="456"/>
      <c r="MG120" s="456"/>
      <c r="MH120" s="456"/>
      <c r="MI120" s="456"/>
      <c r="MJ120" s="456"/>
      <c r="MK120" s="456"/>
      <c r="ML120" s="456"/>
      <c r="MM120" s="456"/>
      <c r="MN120" s="456"/>
      <c r="MO120" s="456"/>
      <c r="MP120" s="456"/>
      <c r="MQ120" s="456"/>
      <c r="MR120" s="456"/>
      <c r="MS120" s="456"/>
      <c r="MT120" s="456"/>
      <c r="MU120" s="456"/>
      <c r="MV120" s="456"/>
      <c r="MW120" s="456"/>
      <c r="MX120" s="456"/>
      <c r="MY120" s="456"/>
      <c r="MZ120" s="456"/>
      <c r="NA120" s="456"/>
      <c r="NB120" s="456"/>
      <c r="NC120" s="456"/>
      <c r="ND120" s="456"/>
      <c r="NE120" s="456"/>
      <c r="NF120" s="456"/>
      <c r="NG120" s="456"/>
      <c r="NH120" s="456"/>
      <c r="NI120" s="456"/>
      <c r="NJ120" s="456"/>
      <c r="NK120" s="456"/>
      <c r="NL120" s="456"/>
      <c r="NM120" s="456"/>
      <c r="NN120" s="456"/>
      <c r="NO120" s="456"/>
      <c r="NP120" s="456"/>
      <c r="NQ120" s="456"/>
      <c r="NR120" s="456"/>
      <c r="NS120" s="456"/>
      <c r="NT120" s="456"/>
      <c r="NU120" s="456"/>
      <c r="NV120" s="456"/>
      <c r="NW120" s="456"/>
      <c r="NX120" s="456"/>
      <c r="NY120" s="456"/>
      <c r="NZ120" s="456"/>
      <c r="OA120" s="456"/>
      <c r="OB120" s="456"/>
      <c r="OC120" s="456"/>
      <c r="OD120" s="456"/>
      <c r="OE120" s="456"/>
      <c r="OF120" s="456"/>
      <c r="OG120" s="456"/>
      <c r="OH120" s="456"/>
      <c r="OI120" s="456"/>
      <c r="OJ120" s="456"/>
      <c r="OK120" s="456"/>
      <c r="OL120" s="456"/>
      <c r="OM120" s="456"/>
      <c r="ON120" s="456"/>
      <c r="OO120" s="456"/>
      <c r="OP120" s="456"/>
      <c r="OQ120" s="456"/>
      <c r="OR120" s="456"/>
      <c r="OS120" s="456"/>
      <c r="OT120" s="456"/>
      <c r="OU120" s="456"/>
      <c r="OV120" s="456"/>
      <c r="OW120" s="456"/>
      <c r="OX120" s="456"/>
      <c r="OY120" s="456"/>
      <c r="OZ120" s="456"/>
      <c r="PA120" s="456"/>
      <c r="PB120" s="456"/>
      <c r="PC120" s="456"/>
      <c r="PD120" s="456"/>
      <c r="PE120" s="456"/>
      <c r="PF120" s="456"/>
      <c r="PG120" s="456"/>
      <c r="PH120" s="456"/>
      <c r="PI120" s="456"/>
      <c r="PJ120" s="456"/>
      <c r="PK120" s="456"/>
      <c r="PL120" s="456"/>
      <c r="PM120" s="456"/>
      <c r="PN120" s="456"/>
      <c r="PO120" s="456"/>
      <c r="PP120" s="456"/>
      <c r="PQ120" s="456"/>
      <c r="PR120" s="456"/>
      <c r="PS120" s="456"/>
      <c r="PT120" s="456"/>
      <c r="PU120" s="456"/>
      <c r="PV120" s="456"/>
      <c r="PW120" s="456"/>
      <c r="PX120" s="456"/>
      <c r="PY120" s="456"/>
      <c r="PZ120" s="456"/>
      <c r="QA120" s="456"/>
      <c r="QB120" s="456"/>
      <c r="QC120" s="456"/>
      <c r="QD120" s="456"/>
      <c r="QE120" s="456"/>
      <c r="QF120" s="456"/>
      <c r="QG120" s="456"/>
      <c r="QH120" s="456"/>
      <c r="QI120" s="456"/>
      <c r="QJ120" s="456"/>
      <c r="QK120" s="456"/>
      <c r="QL120" s="456"/>
      <c r="QM120" s="456"/>
      <c r="QN120" s="456"/>
      <c r="QO120" s="456"/>
      <c r="QP120" s="456"/>
      <c r="QQ120" s="456"/>
      <c r="QR120" s="456"/>
      <c r="QS120" s="456"/>
      <c r="QT120" s="456"/>
      <c r="QU120" s="456"/>
      <c r="QV120" s="456"/>
      <c r="QW120" s="456"/>
      <c r="QX120" s="456"/>
      <c r="QY120" s="456"/>
      <c r="QZ120" s="456"/>
      <c r="RA120" s="456"/>
      <c r="RB120" s="456"/>
      <c r="RC120" s="456"/>
      <c r="RD120" s="456"/>
      <c r="RE120" s="456"/>
      <c r="RF120" s="456"/>
      <c r="RG120" s="456"/>
      <c r="RH120" s="456"/>
      <c r="RI120" s="456"/>
      <c r="RJ120" s="456"/>
      <c r="RK120" s="456"/>
      <c r="RL120" s="456"/>
      <c r="RM120" s="456"/>
      <c r="RN120" s="456"/>
      <c r="RO120" s="456"/>
      <c r="RP120" s="456"/>
      <c r="RQ120" s="456"/>
      <c r="RR120" s="456"/>
      <c r="RS120" s="456"/>
      <c r="RT120" s="456"/>
      <c r="RU120" s="456"/>
      <c r="RV120" s="456"/>
      <c r="RW120" s="456"/>
      <c r="RX120" s="456"/>
      <c r="RY120" s="456"/>
      <c r="RZ120" s="456"/>
      <c r="SA120" s="456"/>
      <c r="SB120" s="456"/>
      <c r="SC120" s="456"/>
      <c r="SD120" s="456"/>
      <c r="SE120" s="456"/>
      <c r="SF120" s="456"/>
      <c r="SG120" s="456"/>
      <c r="SH120" s="456"/>
      <c r="SI120" s="456"/>
      <c r="SJ120" s="456"/>
      <c r="SK120" s="456"/>
      <c r="SL120" s="456"/>
      <c r="SM120" s="456"/>
      <c r="SN120" s="456"/>
      <c r="SO120" s="456"/>
      <c r="SP120" s="456"/>
      <c r="SQ120" s="456"/>
      <c r="SR120" s="456"/>
      <c r="SS120" s="456"/>
      <c r="ST120" s="456"/>
      <c r="SU120" s="456"/>
      <c r="SV120" s="456"/>
      <c r="SW120" s="456"/>
      <c r="SX120" s="456"/>
      <c r="SY120" s="456"/>
      <c r="SZ120" s="456"/>
      <c r="TA120" s="456"/>
      <c r="TB120" s="456"/>
      <c r="TC120" s="456"/>
      <c r="TD120" s="456"/>
      <c r="TE120" s="456"/>
      <c r="TF120" s="456"/>
      <c r="TG120" s="456"/>
      <c r="TH120" s="456"/>
      <c r="TI120" s="456"/>
      <c r="TJ120" s="456"/>
      <c r="TK120" s="456"/>
      <c r="TL120" s="456"/>
      <c r="TM120" s="456"/>
      <c r="TN120" s="456"/>
      <c r="TO120" s="456"/>
      <c r="TP120" s="456"/>
      <c r="TQ120" s="456"/>
      <c r="TR120" s="456"/>
      <c r="TS120" s="456"/>
      <c r="TT120" s="456"/>
      <c r="TU120" s="456"/>
      <c r="TV120" s="456"/>
      <c r="TW120" s="456"/>
      <c r="TX120" s="456"/>
      <c r="TY120" s="456"/>
      <c r="TZ120" s="456"/>
      <c r="UA120" s="456"/>
      <c r="UB120" s="456"/>
      <c r="UC120" s="456"/>
      <c r="UD120" s="456"/>
      <c r="UE120" s="456"/>
      <c r="UF120" s="456"/>
      <c r="UG120" s="456"/>
      <c r="UH120" s="456"/>
      <c r="UI120" s="456"/>
      <c r="UJ120" s="456"/>
      <c r="UK120" s="456"/>
      <c r="UL120" s="456"/>
      <c r="UM120" s="456"/>
      <c r="UN120" s="456"/>
      <c r="UO120" s="456"/>
      <c r="UP120" s="456"/>
      <c r="UQ120" s="456"/>
      <c r="UR120" s="456"/>
      <c r="US120" s="456"/>
      <c r="UT120" s="456"/>
      <c r="UU120" s="456"/>
      <c r="UV120" s="456"/>
      <c r="UW120" s="456"/>
      <c r="UX120" s="456"/>
      <c r="UY120" s="456"/>
      <c r="UZ120" s="456"/>
      <c r="VA120" s="456"/>
      <c r="VB120" s="456"/>
      <c r="VC120" s="456"/>
      <c r="VD120" s="456"/>
      <c r="VE120" s="456"/>
      <c r="VF120" s="456"/>
      <c r="VG120" s="456"/>
      <c r="VH120" s="456"/>
      <c r="VI120" s="456"/>
      <c r="VJ120" s="456"/>
      <c r="VK120" s="456"/>
      <c r="VL120" s="456"/>
      <c r="VM120" s="456"/>
      <c r="VN120" s="456"/>
      <c r="VO120" s="456"/>
      <c r="VP120" s="456"/>
      <c r="VQ120" s="456"/>
      <c r="VR120" s="456"/>
      <c r="VS120" s="456"/>
      <c r="VT120" s="456"/>
      <c r="VU120" s="456"/>
      <c r="VV120" s="456"/>
      <c r="VW120" s="456"/>
      <c r="VX120" s="456"/>
      <c r="VY120" s="456"/>
      <c r="VZ120" s="456"/>
      <c r="WA120" s="456"/>
      <c r="WB120" s="456"/>
      <c r="WC120" s="456"/>
      <c r="WD120" s="456"/>
      <c r="WE120" s="456"/>
      <c r="WF120" s="456"/>
      <c r="WG120" s="456"/>
      <c r="WH120" s="456"/>
      <c r="WI120" s="456"/>
      <c r="WJ120" s="456"/>
      <c r="WK120" s="456"/>
      <c r="WL120" s="456"/>
      <c r="WM120" s="456"/>
      <c r="WN120" s="456"/>
      <c r="WO120" s="456"/>
      <c r="WP120" s="456"/>
      <c r="WQ120" s="456"/>
      <c r="WR120" s="456"/>
      <c r="WS120" s="456"/>
      <c r="WT120" s="456"/>
      <c r="WU120" s="456"/>
      <c r="WV120" s="456"/>
      <c r="WW120" s="456"/>
      <c r="WX120" s="456"/>
      <c r="WY120" s="456"/>
      <c r="WZ120" s="456"/>
      <c r="XA120" s="456"/>
      <c r="XB120" s="456"/>
      <c r="XC120" s="456"/>
      <c r="XD120" s="456"/>
      <c r="XE120" s="456"/>
      <c r="XF120" s="456"/>
      <c r="XG120" s="456"/>
      <c r="XH120" s="456"/>
      <c r="XI120" s="456"/>
      <c r="XJ120" s="456"/>
      <c r="XK120" s="456"/>
      <c r="XL120" s="456"/>
      <c r="XM120" s="456"/>
      <c r="XN120" s="456"/>
      <c r="XO120" s="456"/>
      <c r="XP120" s="456"/>
      <c r="XQ120" s="456"/>
      <c r="XR120" s="456"/>
      <c r="XS120" s="456"/>
      <c r="XT120" s="456"/>
      <c r="XU120" s="456"/>
      <c r="XV120" s="456"/>
      <c r="XW120" s="456"/>
      <c r="XX120" s="456"/>
      <c r="XY120" s="456"/>
      <c r="XZ120" s="456"/>
      <c r="YA120" s="456"/>
      <c r="YB120" s="456"/>
      <c r="YC120" s="456"/>
      <c r="YD120" s="456"/>
      <c r="YE120" s="456"/>
      <c r="YF120" s="456"/>
      <c r="YG120" s="456"/>
      <c r="YH120" s="456"/>
      <c r="YI120" s="456"/>
      <c r="YJ120" s="456"/>
      <c r="YK120" s="456"/>
      <c r="YL120" s="456"/>
      <c r="YM120" s="456"/>
      <c r="YN120" s="456"/>
      <c r="YO120" s="456"/>
      <c r="YP120" s="456"/>
      <c r="YQ120" s="456"/>
      <c r="YR120" s="456"/>
      <c r="YS120" s="456"/>
      <c r="YT120" s="456"/>
      <c r="YU120" s="456"/>
      <c r="YV120" s="456"/>
      <c r="YW120" s="456"/>
      <c r="YX120" s="456"/>
      <c r="YY120" s="456"/>
      <c r="YZ120" s="456"/>
      <c r="ZA120" s="456"/>
      <c r="ZB120" s="456"/>
      <c r="ZC120" s="456"/>
      <c r="ZD120" s="456"/>
      <c r="ZE120" s="456"/>
      <c r="ZF120" s="456"/>
      <c r="ZG120" s="456"/>
      <c r="ZH120" s="456"/>
      <c r="ZI120" s="456"/>
      <c r="ZJ120" s="456"/>
      <c r="ZK120" s="456"/>
      <c r="ZL120" s="456"/>
      <c r="ZM120" s="456"/>
      <c r="ZN120" s="456"/>
      <c r="ZO120" s="456"/>
      <c r="ZP120" s="456"/>
      <c r="ZQ120" s="456"/>
      <c r="ZR120" s="456"/>
      <c r="ZS120" s="456"/>
      <c r="ZT120" s="456"/>
      <c r="ZU120" s="456"/>
      <c r="ZV120" s="456"/>
      <c r="ZW120" s="456"/>
      <c r="ZX120" s="456"/>
      <c r="ZY120" s="456"/>
      <c r="ZZ120" s="456"/>
      <c r="AAA120" s="456"/>
      <c r="AAB120" s="456"/>
      <c r="AAC120" s="456"/>
      <c r="AAD120" s="456"/>
      <c r="AAE120" s="456"/>
      <c r="AAF120" s="456"/>
      <c r="AAG120" s="456"/>
      <c r="AAH120" s="456"/>
      <c r="AAI120" s="456"/>
      <c r="AAJ120" s="456"/>
      <c r="AAK120" s="456"/>
      <c r="AAL120" s="456"/>
      <c r="AAM120" s="456"/>
      <c r="AAN120" s="456"/>
      <c r="AAO120" s="456"/>
      <c r="AAP120" s="456"/>
      <c r="AAQ120" s="456"/>
      <c r="AAR120" s="456"/>
      <c r="AAS120" s="456"/>
      <c r="AAT120" s="456"/>
      <c r="AAU120" s="456"/>
      <c r="AAV120" s="456"/>
      <c r="AAW120" s="456"/>
      <c r="AAX120" s="456"/>
      <c r="AAY120" s="456"/>
      <c r="AAZ120" s="456"/>
      <c r="ABA120" s="456"/>
      <c r="ABB120" s="456"/>
      <c r="ABC120" s="456"/>
      <c r="ABD120" s="456"/>
      <c r="ABE120" s="456"/>
      <c r="ABF120" s="456"/>
      <c r="ABG120" s="456"/>
      <c r="ABH120" s="456"/>
      <c r="ABI120" s="456"/>
      <c r="ABJ120" s="456"/>
      <c r="ABK120" s="456"/>
      <c r="ABL120" s="456"/>
      <c r="ABM120" s="456"/>
      <c r="ABN120" s="456"/>
      <c r="ABO120" s="456"/>
      <c r="ABP120" s="456"/>
      <c r="ABQ120" s="456"/>
      <c r="ABR120" s="456"/>
      <c r="ABS120" s="456"/>
      <c r="ABT120" s="456"/>
      <c r="ABU120" s="456"/>
      <c r="ABV120" s="456"/>
      <c r="ABW120" s="456"/>
      <c r="ABX120" s="456"/>
      <c r="ABY120" s="456"/>
      <c r="ABZ120" s="456"/>
      <c r="ACA120" s="456"/>
      <c r="ACB120" s="456"/>
      <c r="ACC120" s="456"/>
      <c r="ACD120" s="456"/>
      <c r="ACE120" s="456"/>
      <c r="ACF120" s="456"/>
      <c r="ACG120" s="456"/>
      <c r="ACH120" s="456"/>
      <c r="ACI120" s="456"/>
      <c r="ACJ120" s="456"/>
      <c r="ACK120" s="456"/>
      <c r="ACL120" s="456"/>
      <c r="ACM120" s="456"/>
      <c r="ACN120" s="456"/>
      <c r="ACO120" s="456"/>
      <c r="ACP120" s="456"/>
      <c r="ACQ120" s="456"/>
      <c r="ACR120" s="456"/>
      <c r="ACS120" s="456"/>
      <c r="ACT120" s="456"/>
      <c r="ACU120" s="456"/>
      <c r="ACV120" s="456"/>
      <c r="ACW120" s="456"/>
      <c r="ACX120" s="456"/>
      <c r="ACY120" s="456"/>
      <c r="ACZ120" s="456"/>
      <c r="ADA120" s="456"/>
      <c r="ADB120" s="456"/>
      <c r="ADC120" s="456"/>
      <c r="ADD120" s="456"/>
      <c r="ADE120" s="456"/>
      <c r="ADF120" s="456"/>
      <c r="ADG120" s="456"/>
      <c r="ADH120" s="456"/>
      <c r="ADI120" s="456"/>
      <c r="ADJ120" s="456"/>
      <c r="ADK120" s="456"/>
      <c r="ADL120" s="456"/>
      <c r="ADM120" s="456"/>
      <c r="ADN120" s="456"/>
      <c r="ADO120" s="456"/>
      <c r="ADP120" s="456"/>
      <c r="ADQ120" s="456"/>
      <c r="ADR120" s="456"/>
      <c r="ADS120" s="456"/>
      <c r="ADT120" s="456"/>
      <c r="ADU120" s="456"/>
      <c r="ADV120" s="456"/>
      <c r="ADW120" s="456"/>
      <c r="ADX120" s="456"/>
      <c r="ADY120" s="456"/>
      <c r="ADZ120" s="456"/>
      <c r="AEA120" s="456"/>
      <c r="AEB120" s="456"/>
      <c r="AEC120" s="456"/>
      <c r="AED120" s="456"/>
      <c r="AEE120" s="456"/>
      <c r="AEF120" s="456"/>
      <c r="AEG120" s="456"/>
      <c r="AEH120" s="456"/>
      <c r="AEI120" s="456"/>
      <c r="AEJ120" s="456"/>
      <c r="AEK120" s="456"/>
      <c r="AEL120" s="456"/>
      <c r="AEM120" s="456"/>
      <c r="AEN120" s="456"/>
      <c r="AEO120" s="456"/>
      <c r="AEP120" s="456"/>
      <c r="AEQ120" s="456"/>
      <c r="AER120" s="456"/>
      <c r="AES120" s="456"/>
      <c r="AET120" s="456"/>
      <c r="AEU120" s="456"/>
      <c r="AEV120" s="456"/>
      <c r="AEW120" s="456"/>
      <c r="AEX120" s="456"/>
      <c r="AEY120" s="456"/>
      <c r="AEZ120" s="456"/>
      <c r="AFA120" s="456"/>
      <c r="AFB120" s="456"/>
      <c r="AFC120" s="456"/>
      <c r="AFD120" s="456"/>
      <c r="AFE120" s="456"/>
      <c r="AFF120" s="456"/>
      <c r="AFG120" s="456"/>
      <c r="AFH120" s="456"/>
      <c r="AFI120" s="456"/>
      <c r="AFJ120" s="456"/>
      <c r="AFK120" s="456"/>
      <c r="AFL120" s="456"/>
      <c r="AFM120" s="456"/>
      <c r="AFN120" s="456"/>
      <c r="AFO120" s="456"/>
      <c r="AFP120" s="456"/>
      <c r="AFQ120" s="456"/>
      <c r="AFR120" s="456"/>
      <c r="AFS120" s="456"/>
      <c r="AFT120" s="456"/>
      <c r="AFU120" s="456"/>
      <c r="AFV120" s="456"/>
      <c r="AFW120" s="456"/>
      <c r="AFX120" s="456"/>
      <c r="AFY120" s="456"/>
      <c r="AFZ120" s="456"/>
      <c r="AGA120" s="456"/>
      <c r="AGB120" s="456"/>
      <c r="AGC120" s="456"/>
      <c r="AGD120" s="456"/>
      <c r="AGE120" s="456"/>
      <c r="AGF120" s="456"/>
      <c r="AGG120" s="456"/>
      <c r="AGH120" s="456"/>
      <c r="AGI120" s="456"/>
      <c r="AGJ120" s="456"/>
      <c r="AGK120" s="456"/>
      <c r="AGL120" s="456"/>
      <c r="AGM120" s="456"/>
      <c r="AGN120" s="456"/>
      <c r="AGO120" s="456"/>
      <c r="AGP120" s="456"/>
      <c r="AGQ120" s="456"/>
      <c r="AGR120" s="456"/>
      <c r="AGS120" s="456"/>
      <c r="AGT120" s="456"/>
      <c r="AGU120" s="456"/>
      <c r="AGV120" s="456"/>
      <c r="AGW120" s="456"/>
      <c r="AGX120" s="456"/>
      <c r="AGY120" s="456"/>
      <c r="AGZ120" s="456"/>
      <c r="AHA120" s="456"/>
      <c r="AHB120" s="456"/>
      <c r="AHC120" s="456"/>
      <c r="AHD120" s="456"/>
      <c r="AHE120" s="456"/>
      <c r="AHF120" s="456"/>
      <c r="AHG120" s="456"/>
      <c r="AHH120" s="456"/>
      <c r="AHI120" s="456"/>
      <c r="AHJ120" s="456"/>
      <c r="AHK120" s="456"/>
      <c r="AHL120" s="456"/>
      <c r="AHM120" s="456"/>
      <c r="AHN120" s="456"/>
      <c r="AHO120" s="456"/>
      <c r="AHP120" s="456"/>
      <c r="AHQ120" s="456"/>
      <c r="AHR120" s="456"/>
      <c r="AHS120" s="456"/>
      <c r="AHT120" s="456"/>
      <c r="AHU120" s="456"/>
      <c r="AHV120" s="456"/>
      <c r="AHW120" s="456"/>
      <c r="AHX120" s="456"/>
      <c r="AHY120" s="456"/>
      <c r="AHZ120" s="456"/>
      <c r="AIA120" s="456"/>
      <c r="AIB120" s="456"/>
      <c r="AIC120" s="456"/>
      <c r="AID120" s="456"/>
      <c r="AIE120" s="456"/>
      <c r="AIF120" s="456"/>
      <c r="AIG120" s="456"/>
      <c r="AIH120" s="456"/>
      <c r="AII120" s="456"/>
      <c r="AIJ120" s="456"/>
      <c r="AIK120" s="456"/>
      <c r="AIL120" s="456"/>
      <c r="AIM120" s="456"/>
      <c r="AIN120" s="456"/>
      <c r="AIO120" s="456"/>
      <c r="AIP120" s="456"/>
      <c r="AIQ120" s="456"/>
      <c r="AIR120" s="456"/>
      <c r="AIS120" s="456"/>
      <c r="AIT120" s="456"/>
      <c r="AIU120" s="456"/>
      <c r="AIV120" s="456"/>
      <c r="AIW120" s="456"/>
      <c r="AIX120" s="456"/>
      <c r="AIY120" s="456"/>
      <c r="AIZ120" s="456"/>
      <c r="AJA120" s="456"/>
      <c r="AJB120" s="456"/>
      <c r="AJC120" s="456"/>
      <c r="AJD120" s="456"/>
      <c r="AJE120" s="456"/>
      <c r="AJF120" s="456"/>
      <c r="AJG120" s="456"/>
      <c r="AJH120" s="456"/>
      <c r="AJI120" s="456"/>
      <c r="AJJ120" s="456"/>
      <c r="AJK120" s="456"/>
      <c r="AJL120" s="456"/>
      <c r="AJM120" s="456"/>
      <c r="AJN120" s="456"/>
      <c r="AJO120" s="456"/>
      <c r="AJP120" s="456"/>
      <c r="AJQ120" s="456"/>
      <c r="AJR120" s="456"/>
      <c r="AJS120" s="456"/>
      <c r="AJT120" s="456"/>
      <c r="AJU120" s="456"/>
      <c r="AJV120" s="456"/>
      <c r="AJW120" s="456"/>
      <c r="AJX120" s="456"/>
      <c r="AJY120" s="456"/>
      <c r="AJZ120" s="456"/>
      <c r="AKA120" s="456"/>
      <c r="AKB120" s="456"/>
      <c r="AKC120" s="456"/>
      <c r="AKD120" s="456"/>
      <c r="AKE120" s="456"/>
      <c r="AKF120" s="456"/>
      <c r="AKG120" s="456"/>
      <c r="AKH120" s="456"/>
      <c r="AKI120" s="456"/>
      <c r="AKJ120" s="456"/>
      <c r="AKK120" s="456"/>
      <c r="AKL120" s="456"/>
      <c r="AKM120" s="456"/>
      <c r="AKN120" s="456"/>
      <c r="AKO120" s="456"/>
      <c r="AKP120" s="456"/>
      <c r="AKQ120" s="456"/>
      <c r="AKR120" s="456"/>
      <c r="AKS120" s="456"/>
      <c r="AKT120" s="456"/>
      <c r="AKU120" s="456"/>
      <c r="AKV120" s="456"/>
      <c r="AKW120" s="456"/>
      <c r="AKX120" s="456"/>
      <c r="AKY120" s="456"/>
      <c r="AKZ120" s="456"/>
      <c r="ALA120" s="456"/>
      <c r="ALB120" s="456"/>
      <c r="ALC120" s="456"/>
      <c r="ALD120" s="456"/>
      <c r="ALE120" s="456"/>
      <c r="ALF120" s="456"/>
      <c r="ALG120" s="456"/>
      <c r="ALH120" s="456"/>
      <c r="ALI120" s="456"/>
      <c r="ALJ120" s="456"/>
      <c r="ALK120" s="456"/>
      <c r="ALL120" s="456"/>
      <c r="ALM120" s="456"/>
      <c r="ALN120" s="456"/>
      <c r="ALO120" s="456"/>
      <c r="ALP120" s="456"/>
      <c r="ALQ120" s="456"/>
      <c r="ALR120" s="456"/>
      <c r="ALS120" s="456"/>
      <c r="ALT120" s="456"/>
      <c r="ALU120" s="456"/>
      <c r="ALV120" s="456"/>
      <c r="ALW120" s="456"/>
      <c r="ALX120" s="456"/>
      <c r="ALY120" s="456"/>
      <c r="ALZ120" s="456"/>
      <c r="AMA120" s="456"/>
      <c r="AMB120" s="456"/>
      <c r="AMC120" s="456"/>
      <c r="AMD120" s="456"/>
      <c r="AME120" s="456"/>
      <c r="AMF120" s="456"/>
      <c r="AMG120" s="456"/>
      <c r="AMH120" s="456"/>
      <c r="AMI120" s="456"/>
      <c r="AMJ120" s="456"/>
      <c r="AMK120" s="456"/>
      <c r="AML120" s="456"/>
      <c r="AMM120" s="456"/>
      <c r="AMN120" s="456"/>
      <c r="AMO120" s="456"/>
      <c r="AMP120" s="456"/>
      <c r="AMQ120" s="456"/>
      <c r="AMR120" s="456"/>
      <c r="AMS120" s="456"/>
      <c r="AMT120" s="456"/>
      <c r="AMU120" s="456"/>
      <c r="AMV120" s="456"/>
      <c r="AMW120" s="456"/>
      <c r="AMX120" s="456"/>
      <c r="AMY120" s="456"/>
      <c r="AMZ120" s="456"/>
      <c r="ANA120" s="456"/>
      <c r="ANB120" s="456"/>
      <c r="ANC120" s="456"/>
      <c r="AND120" s="456"/>
      <c r="ANE120" s="456"/>
      <c r="ANF120" s="456"/>
      <c r="ANG120" s="456"/>
      <c r="ANH120" s="456"/>
      <c r="ANI120" s="456"/>
      <c r="ANJ120" s="456"/>
      <c r="ANK120" s="456"/>
      <c r="ANL120" s="456"/>
      <c r="ANM120" s="456"/>
      <c r="ANN120" s="456"/>
      <c r="ANO120" s="456"/>
      <c r="ANP120" s="456"/>
      <c r="ANQ120" s="456"/>
      <c r="ANR120" s="456"/>
      <c r="ANS120" s="456"/>
      <c r="ANT120" s="456"/>
      <c r="ANU120" s="456"/>
      <c r="ANV120" s="456"/>
      <c r="ANW120" s="456"/>
      <c r="ANX120" s="456"/>
      <c r="ANY120" s="456"/>
      <c r="ANZ120" s="456"/>
      <c r="AOA120" s="456"/>
      <c r="AOB120" s="456"/>
      <c r="AOC120" s="456"/>
      <c r="AOD120" s="456"/>
      <c r="AOE120" s="456"/>
      <c r="AOF120" s="456"/>
      <c r="AOG120" s="456"/>
      <c r="AOH120" s="456"/>
      <c r="AOI120" s="456"/>
      <c r="AOJ120" s="456"/>
      <c r="AOK120" s="456"/>
      <c r="AOL120" s="456"/>
      <c r="AOM120" s="456"/>
      <c r="AON120" s="456"/>
      <c r="AOO120" s="456"/>
      <c r="AOP120" s="456"/>
      <c r="AOQ120" s="456"/>
      <c r="AOR120" s="456"/>
      <c r="AOS120" s="456"/>
      <c r="AOT120" s="456"/>
      <c r="AOU120" s="456"/>
      <c r="AOV120" s="456"/>
      <c r="AOW120" s="456"/>
      <c r="AOX120" s="456"/>
      <c r="AOY120" s="456"/>
      <c r="AOZ120" s="456"/>
      <c r="APA120" s="456"/>
      <c r="APB120" s="456"/>
      <c r="APC120" s="456"/>
      <c r="APD120" s="456"/>
      <c r="APE120" s="456"/>
      <c r="APF120" s="456"/>
      <c r="APG120" s="456"/>
      <c r="APH120" s="456"/>
      <c r="API120" s="456"/>
      <c r="APJ120" s="456"/>
      <c r="APK120" s="456"/>
      <c r="APL120" s="456"/>
      <c r="APM120" s="456"/>
      <c r="APN120" s="456"/>
      <c r="APO120" s="456"/>
      <c r="APP120" s="456"/>
      <c r="APQ120" s="456"/>
      <c r="APR120" s="456"/>
      <c r="APS120" s="456"/>
      <c r="APT120" s="456"/>
      <c r="APU120" s="456"/>
      <c r="APV120" s="456"/>
      <c r="APW120" s="456"/>
      <c r="APX120" s="456"/>
      <c r="APY120" s="456"/>
      <c r="APZ120" s="456"/>
      <c r="AQA120" s="456"/>
      <c r="AQB120" s="456"/>
      <c r="AQC120" s="456"/>
      <c r="AQD120" s="456"/>
      <c r="AQE120" s="456"/>
      <c r="AQF120" s="456"/>
      <c r="AQG120" s="456"/>
      <c r="AQH120" s="456"/>
      <c r="AQI120" s="456"/>
      <c r="AQJ120" s="456"/>
      <c r="AQK120" s="456"/>
      <c r="AQL120" s="456"/>
      <c r="AQM120" s="456"/>
      <c r="AQN120" s="456"/>
      <c r="AQO120" s="456"/>
      <c r="AQP120" s="456"/>
      <c r="AQQ120" s="456"/>
      <c r="AQR120" s="456"/>
      <c r="AQS120" s="456"/>
      <c r="AQT120" s="456"/>
      <c r="AQU120" s="456"/>
      <c r="AQV120" s="456"/>
      <c r="AQW120" s="456"/>
      <c r="AQX120" s="456"/>
      <c r="AQY120" s="456"/>
      <c r="AQZ120" s="456"/>
      <c r="ARA120" s="456"/>
      <c r="ARB120" s="456"/>
      <c r="ARC120" s="456"/>
      <c r="ARD120" s="456"/>
      <c r="ARE120" s="456"/>
      <c r="ARF120" s="456"/>
      <c r="ARG120" s="456"/>
      <c r="ARH120" s="456"/>
      <c r="ARI120" s="456"/>
      <c r="ARJ120" s="456"/>
      <c r="ARK120" s="456"/>
      <c r="ARL120" s="456"/>
      <c r="ARM120" s="456"/>
      <c r="ARN120" s="456"/>
      <c r="ARO120" s="456"/>
      <c r="ARP120" s="456"/>
      <c r="ARQ120" s="456"/>
      <c r="ARR120" s="456"/>
      <c r="ARS120" s="456"/>
      <c r="ART120" s="456"/>
      <c r="ARU120" s="456"/>
      <c r="ARV120" s="456"/>
      <c r="ARW120" s="456"/>
      <c r="ARX120" s="456"/>
      <c r="ARY120" s="456"/>
      <c r="ARZ120" s="456"/>
      <c r="ASA120" s="456"/>
      <c r="ASB120" s="456"/>
      <c r="ASC120" s="456"/>
      <c r="ASD120" s="456"/>
      <c r="ASE120" s="456"/>
      <c r="ASF120" s="456"/>
      <c r="ASG120" s="456"/>
      <c r="ASH120" s="456"/>
      <c r="ASI120" s="456"/>
      <c r="ASJ120" s="456"/>
      <c r="ASK120" s="456"/>
      <c r="ASL120" s="456"/>
      <c r="ASM120" s="456"/>
      <c r="ASN120" s="456"/>
      <c r="ASO120" s="456"/>
      <c r="ASP120" s="456"/>
      <c r="ASQ120" s="456"/>
      <c r="ASR120" s="456"/>
      <c r="ASS120" s="456"/>
      <c r="AST120" s="456"/>
      <c r="ASU120" s="456"/>
      <c r="ASV120" s="456"/>
      <c r="ASW120" s="456"/>
      <c r="ASX120" s="456"/>
      <c r="ASY120" s="456"/>
      <c r="ASZ120" s="456"/>
      <c r="ATA120" s="456"/>
      <c r="ATB120" s="456"/>
      <c r="ATC120" s="456"/>
      <c r="ATD120" s="456"/>
      <c r="ATE120" s="456"/>
      <c r="ATF120" s="456"/>
      <c r="ATG120" s="456"/>
      <c r="ATH120" s="456"/>
      <c r="ATI120" s="456"/>
      <c r="ATJ120" s="456"/>
      <c r="ATK120" s="456"/>
      <c r="ATL120" s="456"/>
      <c r="ATM120" s="456"/>
      <c r="ATN120" s="456"/>
      <c r="ATO120" s="456"/>
      <c r="ATP120" s="456"/>
      <c r="ATQ120" s="456"/>
      <c r="ATR120" s="456"/>
      <c r="ATS120" s="456"/>
      <c r="ATT120" s="456"/>
      <c r="ATU120" s="456"/>
      <c r="ATV120" s="456"/>
      <c r="ATW120" s="456"/>
      <c r="ATX120" s="456"/>
      <c r="ATY120" s="456"/>
      <c r="ATZ120" s="456"/>
      <c r="AUA120" s="456"/>
      <c r="AUB120" s="456"/>
      <c r="AUC120" s="456"/>
      <c r="AUD120" s="456"/>
      <c r="AUE120" s="456"/>
      <c r="AUF120" s="456"/>
      <c r="AUG120" s="456"/>
      <c r="AUH120" s="456"/>
      <c r="AUI120" s="456"/>
      <c r="AUJ120" s="456"/>
      <c r="AUK120" s="456"/>
      <c r="AUL120" s="456"/>
      <c r="AUM120" s="456"/>
      <c r="AUN120" s="456"/>
      <c r="AUO120" s="456"/>
      <c r="AUP120" s="456"/>
      <c r="AUQ120" s="456"/>
      <c r="AUR120" s="456"/>
      <c r="AUS120" s="456"/>
      <c r="AUT120" s="456"/>
      <c r="AUU120" s="456"/>
      <c r="AUV120" s="456"/>
      <c r="AUW120" s="456"/>
      <c r="AUX120" s="456"/>
      <c r="AUY120" s="456"/>
      <c r="AUZ120" s="456"/>
      <c r="AVA120" s="456"/>
      <c r="AVB120" s="456"/>
      <c r="AVC120" s="456"/>
      <c r="AVD120" s="456"/>
      <c r="AVE120" s="456"/>
      <c r="AVF120" s="456"/>
      <c r="AVG120" s="456"/>
      <c r="AVH120" s="456"/>
      <c r="AVI120" s="456"/>
      <c r="AVJ120" s="456"/>
      <c r="AVK120" s="456"/>
      <c r="AVL120" s="456"/>
      <c r="AVM120" s="456"/>
      <c r="AVN120" s="456"/>
      <c r="AVO120" s="456"/>
      <c r="AVP120" s="456"/>
      <c r="AVQ120" s="456"/>
      <c r="AVR120" s="456"/>
      <c r="AVS120" s="456"/>
      <c r="AVT120" s="456"/>
      <c r="AVU120" s="456"/>
      <c r="AVV120" s="456"/>
      <c r="AVW120" s="456"/>
      <c r="AVX120" s="456"/>
      <c r="AVY120" s="456"/>
      <c r="AVZ120" s="456"/>
      <c r="AWA120" s="456"/>
      <c r="AWB120" s="456"/>
      <c r="AWC120" s="456"/>
      <c r="AWD120" s="456"/>
      <c r="AWE120" s="456"/>
      <c r="AWF120" s="456"/>
      <c r="AWG120" s="456"/>
      <c r="AWH120" s="456"/>
      <c r="AWI120" s="456"/>
      <c r="AWJ120" s="456"/>
      <c r="AWK120" s="456"/>
      <c r="AWL120" s="456"/>
      <c r="AWM120" s="456"/>
      <c r="AWN120" s="456"/>
      <c r="AWO120" s="456"/>
      <c r="AWP120" s="456"/>
      <c r="AWQ120" s="456"/>
      <c r="AWR120" s="456"/>
      <c r="AWS120" s="456"/>
      <c r="AWT120" s="456"/>
      <c r="AWU120" s="456"/>
      <c r="AWV120" s="456"/>
      <c r="AWW120" s="456"/>
      <c r="AWX120" s="456"/>
      <c r="AWY120" s="456"/>
      <c r="AWZ120" s="456"/>
      <c r="AXA120" s="456"/>
      <c r="AXB120" s="456"/>
      <c r="AXC120" s="456"/>
      <c r="AXD120" s="456"/>
      <c r="AXE120" s="456"/>
      <c r="AXF120" s="456"/>
      <c r="AXG120" s="456"/>
      <c r="AXH120" s="456"/>
      <c r="AXI120" s="456"/>
      <c r="AXJ120" s="456"/>
      <c r="AXK120" s="456"/>
      <c r="AXL120" s="456"/>
      <c r="AXM120" s="456"/>
      <c r="AXN120" s="456"/>
      <c r="AXO120" s="456"/>
      <c r="AXP120" s="456"/>
      <c r="AXQ120" s="456"/>
      <c r="AXR120" s="456"/>
      <c r="AXS120" s="456"/>
      <c r="AXT120" s="456"/>
      <c r="AXU120" s="456"/>
      <c r="AXV120" s="456"/>
      <c r="AXW120" s="456"/>
      <c r="AXX120" s="456"/>
      <c r="AXY120" s="456"/>
      <c r="AXZ120" s="456"/>
      <c r="AYA120" s="456"/>
      <c r="AYB120" s="456"/>
      <c r="AYC120" s="456"/>
      <c r="AYD120" s="456"/>
      <c r="AYE120" s="456"/>
      <c r="AYF120" s="456"/>
      <c r="AYG120" s="456"/>
      <c r="AYH120" s="456"/>
      <c r="AYI120" s="456"/>
      <c r="AYJ120" s="456"/>
      <c r="AYK120" s="456"/>
      <c r="AYL120" s="456"/>
      <c r="AYM120" s="456"/>
      <c r="AYN120" s="456"/>
      <c r="AYO120" s="456"/>
      <c r="AYP120" s="456"/>
      <c r="AYQ120" s="456"/>
      <c r="AYR120" s="456"/>
      <c r="AYS120" s="456"/>
      <c r="AYT120" s="456"/>
      <c r="AYU120" s="456"/>
      <c r="AYV120" s="456"/>
      <c r="AYW120" s="456"/>
      <c r="AYX120" s="456"/>
      <c r="AYY120" s="456"/>
      <c r="AYZ120" s="456"/>
      <c r="AZA120" s="456"/>
      <c r="AZB120" s="456"/>
      <c r="AZC120" s="456"/>
      <c r="AZD120" s="456"/>
      <c r="AZE120" s="456"/>
      <c r="AZF120" s="456"/>
      <c r="AZG120" s="456"/>
      <c r="AZH120" s="456"/>
      <c r="AZI120" s="456"/>
      <c r="AZJ120" s="456"/>
      <c r="AZK120" s="456"/>
      <c r="AZL120" s="456"/>
      <c r="AZM120" s="456"/>
      <c r="AZN120" s="456"/>
      <c r="AZO120" s="456"/>
      <c r="AZP120" s="456"/>
      <c r="AZQ120" s="456"/>
      <c r="AZR120" s="456"/>
      <c r="AZS120" s="456"/>
      <c r="AZT120" s="456"/>
      <c r="AZU120" s="456"/>
      <c r="AZV120" s="456"/>
      <c r="AZW120" s="456"/>
      <c r="AZX120" s="456"/>
      <c r="AZY120" s="456"/>
      <c r="AZZ120" s="456"/>
      <c r="BAA120" s="456"/>
      <c r="BAB120" s="456"/>
      <c r="BAC120" s="456"/>
      <c r="BAD120" s="456"/>
      <c r="BAE120" s="456"/>
      <c r="BAF120" s="456"/>
      <c r="BAG120" s="456"/>
      <c r="BAH120" s="456"/>
      <c r="BAI120" s="456"/>
      <c r="BAJ120" s="456"/>
      <c r="BAK120" s="456"/>
      <c r="BAL120" s="456"/>
      <c r="BAM120" s="456"/>
      <c r="BAN120" s="456"/>
      <c r="BAO120" s="456"/>
      <c r="BAP120" s="456"/>
      <c r="BAQ120" s="456"/>
      <c r="BAR120" s="456"/>
      <c r="BAS120" s="456"/>
      <c r="BAT120" s="456"/>
      <c r="BAU120" s="456"/>
      <c r="BAV120" s="456"/>
      <c r="BAW120" s="456"/>
      <c r="BAX120" s="456"/>
      <c r="BAY120" s="456"/>
      <c r="BAZ120" s="456"/>
      <c r="BBA120" s="456"/>
      <c r="BBB120" s="456"/>
      <c r="BBC120" s="456"/>
      <c r="BBD120" s="456"/>
      <c r="BBE120" s="456"/>
      <c r="BBF120" s="456"/>
      <c r="BBG120" s="456"/>
      <c r="BBH120" s="456"/>
      <c r="BBI120" s="456"/>
      <c r="BBJ120" s="456"/>
      <c r="BBK120" s="456"/>
      <c r="BBL120" s="456"/>
      <c r="BBM120" s="456"/>
      <c r="BBN120" s="456"/>
      <c r="BBO120" s="456"/>
      <c r="BBP120" s="456"/>
      <c r="BBQ120" s="456"/>
      <c r="BBR120" s="456"/>
      <c r="BBS120" s="456"/>
      <c r="BBT120" s="456"/>
      <c r="BBU120" s="456"/>
      <c r="BBV120" s="456"/>
      <c r="BBW120" s="456"/>
      <c r="BBX120" s="456"/>
      <c r="BBY120" s="456"/>
      <c r="BBZ120" s="456"/>
      <c r="BCA120" s="456"/>
      <c r="BCB120" s="456"/>
      <c r="BCC120" s="456"/>
      <c r="BCD120" s="456"/>
      <c r="BCE120" s="456"/>
      <c r="BCF120" s="456"/>
      <c r="BCG120" s="456"/>
      <c r="BCH120" s="456"/>
      <c r="BCI120" s="456"/>
      <c r="BCJ120" s="456"/>
      <c r="BCK120" s="456"/>
      <c r="BCL120" s="456"/>
      <c r="BCM120" s="456"/>
      <c r="BCN120" s="456"/>
      <c r="BCO120" s="456"/>
      <c r="BCP120" s="456"/>
      <c r="BCQ120" s="456"/>
      <c r="BCR120" s="456"/>
      <c r="BCS120" s="456"/>
      <c r="BCT120" s="456"/>
      <c r="BCU120" s="456"/>
      <c r="BCV120" s="456"/>
      <c r="BCW120" s="456"/>
      <c r="BCX120" s="456"/>
      <c r="BCY120" s="456"/>
      <c r="BCZ120" s="456"/>
      <c r="BDA120" s="456"/>
      <c r="BDB120" s="456"/>
      <c r="BDC120" s="456"/>
      <c r="BDD120" s="456"/>
      <c r="BDE120" s="456"/>
      <c r="BDF120" s="456"/>
      <c r="BDG120" s="456"/>
      <c r="BDH120" s="456"/>
      <c r="BDI120" s="456"/>
      <c r="BDJ120" s="456"/>
      <c r="BDK120" s="456"/>
      <c r="BDL120" s="456"/>
      <c r="BDM120" s="456"/>
      <c r="BDN120" s="456"/>
      <c r="BDO120" s="456"/>
      <c r="BDP120" s="456"/>
      <c r="BDQ120" s="456"/>
      <c r="BDR120" s="456"/>
      <c r="BDS120" s="456"/>
      <c r="BDT120" s="456"/>
      <c r="BDU120" s="456"/>
      <c r="BDV120" s="456"/>
      <c r="BDW120" s="456"/>
      <c r="BDX120" s="456"/>
      <c r="BDY120" s="456"/>
      <c r="BDZ120" s="456"/>
      <c r="BEA120" s="456"/>
      <c r="BEB120" s="456"/>
      <c r="BEC120" s="456"/>
      <c r="BED120" s="456"/>
      <c r="BEE120" s="456"/>
      <c r="BEF120" s="456"/>
      <c r="BEG120" s="456"/>
      <c r="BEH120" s="456"/>
      <c r="BEI120" s="456"/>
      <c r="BEJ120" s="456"/>
      <c r="BEK120" s="456"/>
      <c r="BEL120" s="456"/>
      <c r="BEM120" s="456"/>
      <c r="BEN120" s="456"/>
      <c r="BEO120" s="456"/>
      <c r="BEP120" s="456"/>
      <c r="BEQ120" s="456"/>
      <c r="BER120" s="456"/>
      <c r="BES120" s="456"/>
      <c r="BET120" s="456"/>
      <c r="BEU120" s="456"/>
      <c r="BEV120" s="456"/>
      <c r="BEW120" s="456"/>
      <c r="BEX120" s="456"/>
      <c r="BEY120" s="456"/>
      <c r="BEZ120" s="456"/>
      <c r="BFA120" s="456"/>
      <c r="BFB120" s="456"/>
      <c r="BFC120" s="456"/>
      <c r="BFD120" s="456"/>
      <c r="BFE120" s="456"/>
      <c r="BFF120" s="456"/>
      <c r="BFG120" s="456"/>
      <c r="BFH120" s="456"/>
      <c r="BFI120" s="456"/>
      <c r="BFJ120" s="456"/>
      <c r="BFK120" s="456"/>
      <c r="BFL120" s="456"/>
      <c r="BFM120" s="456"/>
      <c r="BFN120" s="456"/>
      <c r="BFO120" s="456"/>
      <c r="BFP120" s="456"/>
      <c r="BFQ120" s="456"/>
      <c r="BFR120" s="456"/>
      <c r="BFS120" s="456"/>
      <c r="BFT120" s="456"/>
      <c r="BFU120" s="456"/>
      <c r="BFV120" s="456"/>
      <c r="BFW120" s="456"/>
      <c r="BFX120" s="456"/>
      <c r="BFY120" s="456"/>
      <c r="BFZ120" s="456"/>
      <c r="BGA120" s="456"/>
      <c r="BGB120" s="456"/>
      <c r="BGC120" s="456"/>
      <c r="BGD120" s="456"/>
      <c r="BGE120" s="456"/>
      <c r="BGF120" s="456"/>
      <c r="BGG120" s="456"/>
      <c r="BGH120" s="456"/>
      <c r="BGI120" s="456"/>
      <c r="BGJ120" s="456"/>
      <c r="BGK120" s="456"/>
      <c r="BGL120" s="456"/>
      <c r="BGM120" s="456"/>
      <c r="BGN120" s="456"/>
      <c r="BGO120" s="456"/>
      <c r="BGP120" s="456"/>
      <c r="BGQ120" s="456"/>
      <c r="BGR120" s="456"/>
      <c r="BGS120" s="456"/>
      <c r="BGT120" s="456"/>
      <c r="BGU120" s="456"/>
      <c r="BGV120" s="456"/>
      <c r="BGW120" s="456"/>
      <c r="BGX120" s="456"/>
      <c r="BGY120" s="456"/>
      <c r="BGZ120" s="456"/>
      <c r="BHA120" s="456"/>
      <c r="BHB120" s="456"/>
      <c r="BHC120" s="456"/>
      <c r="BHD120" s="456"/>
      <c r="BHE120" s="456"/>
      <c r="BHF120" s="456"/>
      <c r="BHG120" s="456"/>
      <c r="BHH120" s="456"/>
      <c r="BHI120" s="456"/>
      <c r="BHJ120" s="456"/>
      <c r="BHK120" s="456"/>
      <c r="BHL120" s="456"/>
      <c r="BHM120" s="456"/>
      <c r="BHN120" s="456"/>
      <c r="BHO120" s="456"/>
      <c r="BHP120" s="456"/>
      <c r="BHQ120" s="456"/>
      <c r="BHR120" s="456"/>
      <c r="BHS120" s="456"/>
      <c r="BHT120" s="456"/>
      <c r="BHU120" s="456"/>
      <c r="BHV120" s="456"/>
      <c r="BHW120" s="456"/>
      <c r="BHX120" s="456"/>
      <c r="BHY120" s="456"/>
      <c r="BHZ120" s="456"/>
      <c r="BIA120" s="456"/>
      <c r="BIB120" s="456"/>
      <c r="BIC120" s="456"/>
      <c r="BID120" s="456"/>
      <c r="BIE120" s="456"/>
      <c r="BIF120" s="456"/>
      <c r="BIG120" s="456"/>
      <c r="BIH120" s="456"/>
      <c r="BII120" s="456"/>
      <c r="BIJ120" s="456"/>
      <c r="BIK120" s="456"/>
      <c r="BIL120" s="456"/>
      <c r="BIM120" s="456"/>
      <c r="BIN120" s="456"/>
      <c r="BIO120" s="456"/>
      <c r="BIP120" s="456"/>
      <c r="BIQ120" s="456"/>
      <c r="BIR120" s="456"/>
      <c r="BIS120" s="456"/>
      <c r="BIT120" s="456"/>
      <c r="BIU120" s="456"/>
      <c r="BIV120" s="456"/>
      <c r="BIW120" s="456"/>
      <c r="BIX120" s="456"/>
      <c r="BIY120" s="456"/>
      <c r="BIZ120" s="456"/>
      <c r="BJA120" s="456"/>
      <c r="BJB120" s="456"/>
      <c r="BJC120" s="456"/>
      <c r="BJD120" s="456"/>
      <c r="BJE120" s="456"/>
      <c r="BJF120" s="456"/>
      <c r="BJG120" s="456"/>
      <c r="BJH120" s="456"/>
      <c r="BJI120" s="456"/>
      <c r="BJJ120" s="456"/>
      <c r="BJK120" s="456"/>
      <c r="BJL120" s="456"/>
      <c r="BJM120" s="456"/>
      <c r="BJN120" s="456"/>
      <c r="BJO120" s="456"/>
      <c r="BJP120" s="456"/>
      <c r="BJQ120" s="456"/>
      <c r="BJR120" s="456"/>
      <c r="BJS120" s="456"/>
      <c r="BJT120" s="456"/>
      <c r="BJU120" s="456"/>
      <c r="BJV120" s="456"/>
      <c r="BJW120" s="456"/>
      <c r="BJX120" s="456"/>
      <c r="BJY120" s="456"/>
      <c r="BJZ120" s="456"/>
      <c r="BKA120" s="456"/>
      <c r="BKB120" s="456"/>
      <c r="BKC120" s="456"/>
      <c r="BKD120" s="456"/>
      <c r="BKE120" s="456"/>
      <c r="BKF120" s="456"/>
      <c r="BKG120" s="456"/>
      <c r="BKH120" s="456"/>
      <c r="BKI120" s="456"/>
      <c r="BKJ120" s="456"/>
      <c r="BKK120" s="456"/>
      <c r="BKL120" s="456"/>
      <c r="BKM120" s="456"/>
      <c r="BKN120" s="456"/>
      <c r="BKO120" s="456"/>
      <c r="BKP120" s="456"/>
      <c r="BKQ120" s="456"/>
      <c r="BKR120" s="456"/>
      <c r="BKS120" s="456"/>
      <c r="BKT120" s="456"/>
      <c r="BKU120" s="456"/>
      <c r="BKV120" s="456"/>
      <c r="BKW120" s="456"/>
      <c r="BKX120" s="456"/>
      <c r="BKY120" s="456"/>
      <c r="BKZ120" s="456"/>
      <c r="BLA120" s="456"/>
      <c r="BLB120" s="456"/>
      <c r="BLC120" s="456"/>
      <c r="BLD120" s="456"/>
      <c r="BLE120" s="456"/>
      <c r="BLF120" s="456"/>
      <c r="BLG120" s="456"/>
      <c r="BLH120" s="456"/>
      <c r="BLI120" s="456"/>
      <c r="BLJ120" s="456"/>
      <c r="BLK120" s="456"/>
      <c r="BLL120" s="456"/>
      <c r="BLM120" s="456"/>
      <c r="BLN120" s="456"/>
      <c r="BLO120" s="456"/>
      <c r="BLP120" s="456"/>
      <c r="BLQ120" s="456"/>
      <c r="BLR120" s="456"/>
      <c r="BLS120" s="456"/>
      <c r="BLT120" s="456"/>
      <c r="BLU120" s="456"/>
      <c r="BLV120" s="456"/>
      <c r="BLW120" s="456"/>
      <c r="BLX120" s="456"/>
      <c r="BLY120" s="456"/>
      <c r="BLZ120" s="456"/>
      <c r="BMA120" s="456"/>
      <c r="BMB120" s="456"/>
      <c r="BMC120" s="456"/>
      <c r="BMD120" s="456"/>
      <c r="BME120" s="456"/>
      <c r="BMF120" s="456"/>
      <c r="BMG120" s="456"/>
      <c r="BMH120" s="456"/>
      <c r="BMI120" s="456"/>
      <c r="BMJ120" s="456"/>
      <c r="BMK120" s="456"/>
      <c r="BML120" s="456"/>
      <c r="BMM120" s="456"/>
      <c r="BMN120" s="456"/>
      <c r="BMO120" s="456"/>
      <c r="BMP120" s="456"/>
      <c r="BMQ120" s="456"/>
      <c r="BMR120" s="456"/>
      <c r="BMS120" s="456"/>
      <c r="BMT120" s="456"/>
      <c r="BMU120" s="456"/>
      <c r="BMV120" s="456"/>
      <c r="BMW120" s="456"/>
      <c r="BMX120" s="456"/>
      <c r="BMY120" s="456"/>
      <c r="BMZ120" s="456"/>
      <c r="BNA120" s="456"/>
      <c r="BNB120" s="456"/>
      <c r="BNC120" s="456"/>
      <c r="BND120" s="456"/>
      <c r="BNE120" s="456"/>
      <c r="BNF120" s="456"/>
      <c r="BNG120" s="456"/>
      <c r="BNH120" s="456"/>
      <c r="BNI120" s="456"/>
      <c r="BNJ120" s="456"/>
      <c r="BNK120" s="456"/>
      <c r="BNL120" s="456"/>
      <c r="BNM120" s="456"/>
      <c r="BNN120" s="456"/>
      <c r="BNO120" s="456"/>
      <c r="BNP120" s="456"/>
      <c r="BNQ120" s="456"/>
      <c r="BNR120" s="456"/>
      <c r="BNS120" s="456"/>
      <c r="BNT120" s="456"/>
      <c r="BNU120" s="456"/>
      <c r="BNV120" s="456"/>
      <c r="BNW120" s="456"/>
      <c r="BNX120" s="456"/>
      <c r="BNY120" s="456"/>
      <c r="BNZ120" s="456"/>
      <c r="BOA120" s="456"/>
      <c r="BOB120" s="456"/>
      <c r="BOC120" s="456"/>
      <c r="BOD120" s="456"/>
      <c r="BOE120" s="456"/>
      <c r="BOF120" s="456"/>
      <c r="BOG120" s="456"/>
      <c r="BOH120" s="456"/>
      <c r="BOI120" s="456"/>
      <c r="BOJ120" s="456"/>
      <c r="BOK120" s="456"/>
      <c r="BOL120" s="456"/>
      <c r="BOM120" s="456"/>
      <c r="BON120" s="456"/>
      <c r="BOO120" s="456"/>
      <c r="BOP120" s="456"/>
      <c r="BOQ120" s="456"/>
      <c r="BOR120" s="456"/>
      <c r="BOS120" s="456"/>
      <c r="BOT120" s="456"/>
      <c r="BOU120" s="456"/>
      <c r="BOV120" s="456"/>
      <c r="BOW120" s="456"/>
      <c r="BOX120" s="456"/>
      <c r="BOY120" s="456"/>
      <c r="BOZ120" s="456"/>
      <c r="BPA120" s="456"/>
      <c r="BPB120" s="456"/>
      <c r="BPC120" s="456"/>
      <c r="BPD120" s="456"/>
      <c r="BPE120" s="456"/>
      <c r="BPF120" s="456"/>
      <c r="BPG120" s="456"/>
      <c r="BPH120" s="456"/>
      <c r="BPI120" s="456"/>
      <c r="BPJ120" s="456"/>
      <c r="BPK120" s="456"/>
      <c r="BPL120" s="456"/>
      <c r="BPM120" s="456"/>
      <c r="BPN120" s="456"/>
      <c r="BPO120" s="456"/>
      <c r="BPP120" s="456"/>
      <c r="BPQ120" s="456"/>
      <c r="BPR120" s="456"/>
      <c r="BPS120" s="456"/>
      <c r="BPT120" s="456"/>
      <c r="BPU120" s="456"/>
      <c r="BPV120" s="456"/>
      <c r="BPW120" s="456"/>
      <c r="BPX120" s="456"/>
      <c r="BPY120" s="456"/>
      <c r="BPZ120" s="456"/>
      <c r="BQA120" s="456"/>
      <c r="BQB120" s="456"/>
      <c r="BQC120" s="456"/>
      <c r="BQD120" s="456"/>
      <c r="BQE120" s="456"/>
      <c r="BQF120" s="456"/>
      <c r="BQG120" s="456"/>
      <c r="BQH120" s="456"/>
      <c r="BQI120" s="456"/>
      <c r="BQJ120" s="456"/>
      <c r="BQK120" s="456"/>
      <c r="BQL120" s="456"/>
      <c r="BQM120" s="456"/>
      <c r="BQN120" s="456"/>
      <c r="BQO120" s="456"/>
      <c r="BQP120" s="456"/>
      <c r="BQQ120" s="456"/>
      <c r="BQR120" s="456"/>
      <c r="BQS120" s="456"/>
      <c r="BQT120" s="456"/>
      <c r="BQU120" s="456"/>
      <c r="BQV120" s="456"/>
      <c r="BQW120" s="456"/>
      <c r="BQX120" s="456"/>
      <c r="BQY120" s="456"/>
      <c r="BQZ120" s="456"/>
      <c r="BRA120" s="456"/>
      <c r="BRB120" s="456"/>
      <c r="BRC120" s="456"/>
      <c r="BRD120" s="456"/>
      <c r="BRE120" s="456"/>
      <c r="BRF120" s="456"/>
      <c r="BRG120" s="456"/>
      <c r="BRH120" s="456"/>
      <c r="BRI120" s="456"/>
      <c r="BRJ120" s="456"/>
      <c r="BRK120" s="456"/>
      <c r="BRL120" s="456"/>
      <c r="BRM120" s="456"/>
      <c r="BRN120" s="456"/>
      <c r="BRO120" s="456"/>
      <c r="BRP120" s="456"/>
      <c r="BRQ120" s="456"/>
      <c r="BRR120" s="456"/>
      <c r="BRS120" s="456"/>
      <c r="BRT120" s="456"/>
      <c r="BRU120" s="456"/>
      <c r="BRV120" s="456"/>
      <c r="BRW120" s="456"/>
      <c r="BRX120" s="456"/>
      <c r="BRY120" s="456"/>
      <c r="BRZ120" s="456"/>
      <c r="BSA120" s="456"/>
      <c r="BSB120" s="456"/>
      <c r="BSC120" s="456"/>
      <c r="BSD120" s="456"/>
      <c r="BSE120" s="456"/>
      <c r="BSF120" s="456"/>
      <c r="BSG120" s="456"/>
      <c r="BSH120" s="456"/>
      <c r="BSI120" s="456"/>
      <c r="BSJ120" s="456"/>
      <c r="BSK120" s="456"/>
      <c r="BSL120" s="456"/>
      <c r="BSM120" s="456"/>
      <c r="BSN120" s="456"/>
      <c r="BSO120" s="456"/>
      <c r="BSP120" s="456"/>
      <c r="BSQ120" s="456"/>
      <c r="BSR120" s="456"/>
      <c r="BSS120" s="456"/>
      <c r="BST120" s="456"/>
      <c r="BSU120" s="456"/>
      <c r="BSV120" s="456"/>
      <c r="BSW120" s="456"/>
      <c r="BSX120" s="456"/>
      <c r="BSY120" s="456"/>
      <c r="BSZ120" s="456"/>
      <c r="BTA120" s="456"/>
      <c r="BTB120" s="456"/>
      <c r="BTC120" s="456"/>
      <c r="BTD120" s="456"/>
      <c r="BTE120" s="456"/>
      <c r="BTF120" s="456"/>
      <c r="BTG120" s="456"/>
      <c r="BTH120" s="456"/>
      <c r="BTI120" s="456"/>
      <c r="BTJ120" s="456"/>
      <c r="BTK120" s="456"/>
      <c r="BTL120" s="456"/>
      <c r="BTM120" s="456"/>
      <c r="BTN120" s="456"/>
      <c r="BTO120" s="456"/>
      <c r="BTP120" s="456"/>
      <c r="BTQ120" s="456"/>
      <c r="BTR120" s="456"/>
      <c r="BTS120" s="456"/>
      <c r="BTT120" s="456"/>
      <c r="BTU120" s="456"/>
      <c r="BTV120" s="456"/>
      <c r="BTW120" s="456"/>
      <c r="BTX120" s="456"/>
      <c r="BTY120" s="456"/>
      <c r="BTZ120" s="456"/>
      <c r="BUA120" s="456"/>
      <c r="BUB120" s="456"/>
      <c r="BUC120" s="456"/>
      <c r="BUD120" s="456"/>
      <c r="BUE120" s="456"/>
      <c r="BUF120" s="456"/>
      <c r="BUG120" s="456"/>
      <c r="BUH120" s="456"/>
      <c r="BUI120" s="456"/>
      <c r="BUJ120" s="456"/>
      <c r="BUK120" s="456"/>
      <c r="BUL120" s="456"/>
      <c r="BUM120" s="456"/>
      <c r="BUN120" s="456"/>
      <c r="BUO120" s="456"/>
      <c r="BUP120" s="456"/>
      <c r="BUQ120" s="456"/>
      <c r="BUR120" s="456"/>
      <c r="BUS120" s="456"/>
      <c r="BUT120" s="456"/>
      <c r="BUU120" s="456"/>
      <c r="BUV120" s="456"/>
      <c r="BUW120" s="456"/>
      <c r="BUX120" s="456"/>
      <c r="BUY120" s="456"/>
      <c r="BUZ120" s="456"/>
      <c r="BVA120" s="456"/>
      <c r="BVB120" s="456"/>
      <c r="BVC120" s="456"/>
      <c r="BVD120" s="456"/>
      <c r="BVE120" s="456"/>
      <c r="BVF120" s="456"/>
      <c r="BVG120" s="456"/>
      <c r="BVH120" s="456"/>
      <c r="BVI120" s="456"/>
      <c r="BVJ120" s="456"/>
      <c r="BVK120" s="456"/>
      <c r="BVL120" s="456"/>
      <c r="BVM120" s="456"/>
      <c r="BVN120" s="456"/>
      <c r="BVO120" s="456"/>
      <c r="BVP120" s="456"/>
      <c r="BVQ120" s="456"/>
      <c r="BVR120" s="456"/>
      <c r="BVS120" s="456"/>
      <c r="BVT120" s="456"/>
      <c r="BVU120" s="456"/>
      <c r="BVV120" s="456"/>
      <c r="BVW120" s="456"/>
      <c r="BVX120" s="456"/>
      <c r="BVY120" s="456"/>
      <c r="BVZ120" s="456"/>
      <c r="BWA120" s="456"/>
      <c r="BWB120" s="456"/>
      <c r="BWC120" s="456"/>
      <c r="BWD120" s="456"/>
      <c r="BWE120" s="456"/>
      <c r="BWF120" s="456"/>
      <c r="BWG120" s="456"/>
      <c r="BWH120" s="456"/>
      <c r="BWI120" s="456"/>
      <c r="BWJ120" s="456"/>
      <c r="BWK120" s="456"/>
      <c r="BWL120" s="456"/>
      <c r="BWM120" s="456"/>
      <c r="BWN120" s="456"/>
      <c r="BWO120" s="456"/>
      <c r="BWP120" s="456"/>
      <c r="BWQ120" s="456"/>
      <c r="BWR120" s="456"/>
      <c r="BWS120" s="456"/>
      <c r="BWT120" s="456"/>
      <c r="BWU120" s="456"/>
      <c r="BWV120" s="456"/>
      <c r="BWW120" s="456"/>
      <c r="BWX120" s="456"/>
      <c r="BWY120" s="456"/>
      <c r="BWZ120" s="456"/>
      <c r="BXA120" s="456"/>
      <c r="BXB120" s="456"/>
      <c r="BXC120" s="456"/>
      <c r="BXD120" s="456"/>
      <c r="BXE120" s="456"/>
      <c r="BXF120" s="456"/>
      <c r="BXG120" s="456"/>
      <c r="BXH120" s="456"/>
      <c r="BXI120" s="456"/>
      <c r="BXJ120" s="456"/>
      <c r="BXK120" s="456"/>
      <c r="BXL120" s="456"/>
      <c r="BXM120" s="456"/>
      <c r="BXN120" s="456"/>
      <c r="BXO120" s="456"/>
      <c r="BXP120" s="456"/>
      <c r="BXQ120" s="456"/>
      <c r="BXR120" s="456"/>
      <c r="BXS120" s="456"/>
      <c r="BXT120" s="456"/>
      <c r="BXU120" s="456"/>
      <c r="BXV120" s="456"/>
      <c r="BXW120" s="456"/>
      <c r="BXX120" s="456"/>
      <c r="BXY120" s="456"/>
      <c r="BXZ120" s="456"/>
    </row>
    <row r="121" s="25" customFormat="1" ht="15.6" spans="1:1024 1025:2002">
      <c r="A121" s="473"/>
      <c r="B121" s="19">
        <v>1125</v>
      </c>
      <c r="C121" s="183">
        <v>46196</v>
      </c>
      <c r="D121" s="17" t="s">
        <v>52</v>
      </c>
      <c r="E121" s="17" t="s">
        <v>53</v>
      </c>
      <c r="F121" s="17" t="s">
        <v>54</v>
      </c>
      <c r="G121" s="17"/>
      <c r="H121" s="19" t="s">
        <v>55</v>
      </c>
      <c r="I121" s="102" t="s">
        <v>56</v>
      </c>
      <c r="J121" s="17" t="s">
        <v>49</v>
      </c>
      <c r="K121" s="19">
        <v>710</v>
      </c>
      <c r="L121" s="19">
        <v>82</v>
      </c>
      <c r="M121" s="19">
        <v>5800</v>
      </c>
      <c r="N121" s="19" t="s">
        <v>40</v>
      </c>
      <c r="O121" s="19" t="s">
        <v>84</v>
      </c>
      <c r="P121" s="19">
        <f>1750*2</f>
        <v>3500</v>
      </c>
      <c r="Q121" s="19">
        <f>1838+1830</f>
        <v>3668</v>
      </c>
      <c r="R121" s="19">
        <f t="shared" si="9"/>
        <v>-168</v>
      </c>
      <c r="S121" s="311">
        <v>2040</v>
      </c>
      <c r="T121" s="19" t="s">
        <v>42</v>
      </c>
      <c r="U121" s="102" t="s">
        <v>101</v>
      </c>
      <c r="V121" s="186">
        <v>46197</v>
      </c>
      <c r="W121" s="17" t="s">
        <v>58</v>
      </c>
      <c r="X121" s="17"/>
      <c r="Y121" s="68">
        <v>46204</v>
      </c>
      <c r="Z121" s="17" t="s">
        <v>45</v>
      </c>
      <c r="AA121" s="17" t="s">
        <v>59</v>
      </c>
      <c r="AB121" s="17" t="s">
        <v>102</v>
      </c>
      <c r="AC121" s="217">
        <v>46274</v>
      </c>
      <c r="AD121" s="65">
        <v>1861</v>
      </c>
      <c r="AE121" s="17" t="s">
        <v>48</v>
      </c>
      <c r="AF121" s="17" t="s">
        <v>61</v>
      </c>
      <c r="AG121" s="17" t="s">
        <v>103</v>
      </c>
      <c r="AH121" s="456"/>
      <c r="AI121" s="456"/>
      <c r="AJ121" s="456"/>
      <c r="AK121" s="456"/>
      <c r="AL121" s="456"/>
      <c r="AM121" s="456"/>
      <c r="AN121" s="456"/>
      <c r="AO121" s="456"/>
      <c r="AP121" s="456"/>
      <c r="AQ121" s="456"/>
      <c r="AR121" s="456"/>
      <c r="AS121" s="456"/>
      <c r="AT121" s="456"/>
      <c r="AU121" s="456"/>
      <c r="AV121" s="456"/>
      <c r="AW121" s="456"/>
      <c r="AX121" s="456"/>
      <c r="AY121" s="456"/>
      <c r="AZ121" s="456"/>
      <c r="BA121" s="456"/>
      <c r="BB121" s="456"/>
      <c r="BC121" s="456"/>
      <c r="BD121" s="456"/>
      <c r="BE121" s="456"/>
      <c r="BF121" s="456"/>
      <c r="BG121" s="456"/>
      <c r="BH121" s="456"/>
      <c r="BI121" s="456"/>
      <c r="BJ121" s="456"/>
      <c r="BK121" s="456"/>
      <c r="BL121" s="456"/>
      <c r="BM121" s="456"/>
      <c r="BN121" s="456"/>
      <c r="BO121" s="456"/>
      <c r="BP121" s="456"/>
      <c r="BQ121" s="456"/>
      <c r="BR121" s="456"/>
      <c r="BS121" s="456"/>
      <c r="BT121" s="456"/>
      <c r="BU121" s="456"/>
      <c r="BV121" s="456"/>
      <c r="BW121" s="456"/>
      <c r="BX121" s="456"/>
      <c r="BY121" s="456"/>
      <c r="BZ121" s="456"/>
      <c r="CA121" s="456"/>
      <c r="CB121" s="456"/>
      <c r="CC121" s="456"/>
      <c r="CD121" s="456"/>
      <c r="CE121" s="456"/>
      <c r="CF121" s="456"/>
      <c r="CG121" s="456"/>
      <c r="CH121" s="456"/>
      <c r="CI121" s="456"/>
      <c r="CJ121" s="456"/>
      <c r="CK121" s="456"/>
      <c r="CL121" s="456"/>
      <c r="CM121" s="456"/>
      <c r="CN121" s="456"/>
      <c r="CO121" s="456"/>
      <c r="CP121" s="456"/>
      <c r="CQ121" s="456"/>
      <c r="CR121" s="456"/>
      <c r="CS121" s="456"/>
      <c r="CT121" s="456"/>
      <c r="CU121" s="456"/>
      <c r="CV121" s="456"/>
      <c r="CW121" s="456"/>
      <c r="CX121" s="456"/>
      <c r="CY121" s="456"/>
      <c r="CZ121" s="456"/>
      <c r="DA121" s="456"/>
      <c r="DB121" s="456"/>
      <c r="DC121" s="456"/>
      <c r="DD121" s="456"/>
      <c r="DE121" s="456"/>
      <c r="DF121" s="456"/>
      <c r="DG121" s="456"/>
      <c r="DH121" s="456"/>
      <c r="DI121" s="456"/>
      <c r="DJ121" s="456"/>
      <c r="DK121" s="456"/>
      <c r="DL121" s="456"/>
      <c r="DM121" s="456"/>
      <c r="DN121" s="456"/>
      <c r="DO121" s="456"/>
      <c r="DP121" s="456"/>
      <c r="DQ121" s="456"/>
      <c r="DR121" s="456"/>
      <c r="DS121" s="456"/>
      <c r="DT121" s="456"/>
      <c r="DU121" s="456"/>
      <c r="DV121" s="456"/>
      <c r="DW121" s="456"/>
      <c r="DX121" s="456"/>
      <c r="DY121" s="456"/>
      <c r="DZ121" s="456"/>
      <c r="EA121" s="456"/>
      <c r="EB121" s="456"/>
      <c r="EC121" s="456"/>
      <c r="ED121" s="456"/>
      <c r="EE121" s="456"/>
      <c r="EF121" s="456"/>
      <c r="EG121" s="456"/>
      <c r="EH121" s="456"/>
      <c r="EI121" s="456"/>
      <c r="EJ121" s="456"/>
      <c r="EK121" s="456"/>
      <c r="EL121" s="456"/>
      <c r="EM121" s="456"/>
      <c r="EN121" s="456"/>
      <c r="EO121" s="456"/>
      <c r="EP121" s="456"/>
      <c r="EQ121" s="456"/>
      <c r="ER121" s="456"/>
      <c r="ES121" s="456"/>
      <c r="ET121" s="456"/>
      <c r="EU121" s="456"/>
      <c r="EV121" s="456"/>
      <c r="EW121" s="456"/>
      <c r="EX121" s="456"/>
      <c r="EY121" s="456"/>
      <c r="EZ121" s="456"/>
      <c r="FA121" s="456"/>
      <c r="FB121" s="456"/>
      <c r="FC121" s="456"/>
      <c r="FD121" s="456"/>
      <c r="FE121" s="456"/>
      <c r="FF121" s="456"/>
      <c r="FG121" s="456"/>
      <c r="FH121" s="456"/>
      <c r="FI121" s="456"/>
      <c r="FJ121" s="456"/>
      <c r="FK121" s="456"/>
      <c r="FL121" s="456"/>
      <c r="FM121" s="456"/>
      <c r="FN121" s="456"/>
      <c r="FO121" s="456"/>
      <c r="FP121" s="456"/>
      <c r="FQ121" s="456"/>
      <c r="FR121" s="456"/>
      <c r="FS121" s="456"/>
      <c r="FT121" s="456"/>
      <c r="FU121" s="456"/>
      <c r="FV121" s="456"/>
      <c r="FW121" s="456"/>
      <c r="FX121" s="456"/>
      <c r="FY121" s="456"/>
      <c r="FZ121" s="456"/>
      <c r="GA121" s="456"/>
      <c r="GB121" s="456"/>
      <c r="GC121" s="456"/>
      <c r="GD121" s="456"/>
      <c r="GE121" s="456"/>
      <c r="GF121" s="456"/>
      <c r="GG121" s="456"/>
      <c r="GH121" s="456"/>
      <c r="GI121" s="456"/>
      <c r="GJ121" s="456"/>
      <c r="GK121" s="456"/>
      <c r="GL121" s="456"/>
      <c r="GM121" s="456"/>
      <c r="GN121" s="456"/>
      <c r="GO121" s="456"/>
      <c r="GP121" s="456"/>
      <c r="GQ121" s="456"/>
      <c r="GR121" s="456"/>
      <c r="GS121" s="456"/>
      <c r="GT121" s="456"/>
      <c r="GU121" s="456"/>
      <c r="GV121" s="456"/>
      <c r="GW121" s="456"/>
      <c r="GX121" s="456"/>
      <c r="GY121" s="456"/>
      <c r="GZ121" s="456"/>
      <c r="HA121" s="456"/>
      <c r="HB121" s="456"/>
      <c r="HC121" s="456"/>
      <c r="HD121" s="456"/>
      <c r="HE121" s="456"/>
      <c r="HF121" s="456"/>
      <c r="HG121" s="456"/>
      <c r="HH121" s="456"/>
      <c r="HI121" s="456"/>
      <c r="HJ121" s="456"/>
      <c r="HK121" s="456"/>
      <c r="HL121" s="456"/>
      <c r="HM121" s="456"/>
      <c r="HN121" s="456"/>
      <c r="HO121" s="456"/>
      <c r="HP121" s="456"/>
      <c r="HQ121" s="456"/>
      <c r="HR121" s="456"/>
      <c r="HS121" s="456"/>
      <c r="HT121" s="456"/>
      <c r="HU121" s="456"/>
      <c r="HV121" s="456"/>
      <c r="HW121" s="456"/>
      <c r="HX121" s="456"/>
      <c r="HY121" s="456"/>
      <c r="HZ121" s="456"/>
      <c r="IA121" s="456"/>
      <c r="IB121" s="456"/>
      <c r="IC121" s="456"/>
      <c r="ID121" s="456"/>
      <c r="IE121" s="456"/>
      <c r="IF121" s="456"/>
      <c r="IG121" s="456"/>
      <c r="IH121" s="456"/>
      <c r="II121" s="456"/>
      <c r="IJ121" s="456"/>
      <c r="IK121" s="456"/>
      <c r="IL121" s="456"/>
      <c r="IM121" s="456"/>
      <c r="IN121" s="456"/>
      <c r="IO121" s="456"/>
      <c r="IP121" s="456"/>
      <c r="IQ121" s="456"/>
      <c r="IR121" s="456"/>
      <c r="IS121" s="456"/>
      <c r="IT121" s="456"/>
      <c r="IU121" s="456"/>
      <c r="IV121" s="456"/>
      <c r="IW121" s="456"/>
      <c r="IX121" s="456"/>
      <c r="IY121" s="456"/>
      <c r="IZ121" s="456"/>
      <c r="JA121" s="456"/>
      <c r="JB121" s="456"/>
      <c r="JC121" s="456"/>
      <c r="JD121" s="456"/>
      <c r="JE121" s="456"/>
      <c r="JF121" s="456"/>
      <c r="JG121" s="456"/>
      <c r="JH121" s="456"/>
      <c r="JI121" s="456"/>
      <c r="JJ121" s="456"/>
      <c r="JK121" s="456"/>
      <c r="JL121" s="456"/>
      <c r="JM121" s="456"/>
      <c r="JN121" s="456"/>
      <c r="JO121" s="456"/>
      <c r="JP121" s="456"/>
      <c r="JQ121" s="456"/>
      <c r="JR121" s="456"/>
      <c r="JS121" s="456"/>
      <c r="JT121" s="456"/>
      <c r="JU121" s="456"/>
      <c r="JV121" s="456"/>
      <c r="JW121" s="456"/>
      <c r="JX121" s="456"/>
      <c r="JY121" s="456"/>
      <c r="JZ121" s="456"/>
      <c r="KA121" s="456"/>
      <c r="KB121" s="456"/>
      <c r="KC121" s="456"/>
      <c r="KD121" s="456"/>
      <c r="KE121" s="456"/>
      <c r="KF121" s="456"/>
      <c r="KG121" s="456"/>
      <c r="KH121" s="456"/>
      <c r="KI121" s="456"/>
      <c r="KJ121" s="456"/>
      <c r="KK121" s="456"/>
      <c r="KL121" s="456"/>
      <c r="KM121" s="456"/>
      <c r="KN121" s="456"/>
      <c r="KO121" s="456"/>
      <c r="KP121" s="456"/>
      <c r="KQ121" s="456"/>
      <c r="KR121" s="456"/>
      <c r="KS121" s="456"/>
      <c r="KT121" s="456"/>
      <c r="KU121" s="456"/>
      <c r="KV121" s="456"/>
      <c r="KW121" s="456"/>
      <c r="KX121" s="456"/>
      <c r="KY121" s="456"/>
      <c r="KZ121" s="456"/>
      <c r="LA121" s="456"/>
      <c r="LB121" s="456"/>
      <c r="LC121" s="456"/>
      <c r="LD121" s="456"/>
      <c r="LE121" s="456"/>
      <c r="LF121" s="456"/>
      <c r="LG121" s="456"/>
      <c r="LH121" s="456"/>
      <c r="LI121" s="456"/>
      <c r="LJ121" s="456"/>
      <c r="LK121" s="456"/>
      <c r="LL121" s="456"/>
      <c r="LM121" s="456"/>
      <c r="LN121" s="456"/>
      <c r="LO121" s="456"/>
      <c r="LP121" s="456"/>
      <c r="LQ121" s="456"/>
      <c r="LR121" s="456"/>
      <c r="LS121" s="456"/>
      <c r="LT121" s="456"/>
      <c r="LU121" s="456"/>
      <c r="LV121" s="456"/>
      <c r="LW121" s="456"/>
      <c r="LX121" s="456"/>
      <c r="LY121" s="456"/>
      <c r="LZ121" s="456"/>
      <c r="MA121" s="456"/>
      <c r="MB121" s="456"/>
      <c r="MC121" s="456"/>
      <c r="MD121" s="456"/>
      <c r="ME121" s="456"/>
      <c r="MF121" s="456"/>
      <c r="MG121" s="456"/>
      <c r="MH121" s="456"/>
      <c r="MI121" s="456"/>
      <c r="MJ121" s="456"/>
      <c r="MK121" s="456"/>
      <c r="ML121" s="456"/>
      <c r="MM121" s="456"/>
      <c r="MN121" s="456"/>
      <c r="MO121" s="456"/>
      <c r="MP121" s="456"/>
      <c r="MQ121" s="456"/>
      <c r="MR121" s="456"/>
      <c r="MS121" s="456"/>
      <c r="MT121" s="456"/>
      <c r="MU121" s="456"/>
      <c r="MV121" s="456"/>
      <c r="MW121" s="456"/>
      <c r="MX121" s="456"/>
      <c r="MY121" s="456"/>
      <c r="MZ121" s="456"/>
      <c r="NA121" s="456"/>
      <c r="NB121" s="456"/>
      <c r="NC121" s="456"/>
      <c r="ND121" s="456"/>
      <c r="NE121" s="456"/>
      <c r="NF121" s="456"/>
      <c r="NG121" s="456"/>
      <c r="NH121" s="456"/>
      <c r="NI121" s="456"/>
      <c r="NJ121" s="456"/>
      <c r="NK121" s="456"/>
      <c r="NL121" s="456"/>
      <c r="NM121" s="456"/>
      <c r="NN121" s="456"/>
      <c r="NO121" s="456"/>
      <c r="NP121" s="456"/>
      <c r="NQ121" s="456"/>
      <c r="NR121" s="456"/>
      <c r="NS121" s="456"/>
      <c r="NT121" s="456"/>
      <c r="NU121" s="456"/>
      <c r="NV121" s="456"/>
      <c r="NW121" s="456"/>
      <c r="NX121" s="456"/>
      <c r="NY121" s="456"/>
      <c r="NZ121" s="456"/>
      <c r="OA121" s="456"/>
      <c r="OB121" s="456"/>
      <c r="OC121" s="456"/>
      <c r="OD121" s="456"/>
      <c r="OE121" s="456"/>
      <c r="OF121" s="456"/>
      <c r="OG121" s="456"/>
      <c r="OH121" s="456"/>
      <c r="OI121" s="456"/>
      <c r="OJ121" s="456"/>
      <c r="OK121" s="456"/>
      <c r="OL121" s="456"/>
      <c r="OM121" s="456"/>
      <c r="ON121" s="456"/>
      <c r="OO121" s="456"/>
      <c r="OP121" s="456"/>
      <c r="OQ121" s="456"/>
      <c r="OR121" s="456"/>
      <c r="OS121" s="456"/>
      <c r="OT121" s="456"/>
      <c r="OU121" s="456"/>
      <c r="OV121" s="456"/>
      <c r="OW121" s="456"/>
      <c r="OX121" s="456"/>
      <c r="OY121" s="456"/>
      <c r="OZ121" s="456"/>
      <c r="PA121" s="456"/>
      <c r="PB121" s="456"/>
      <c r="PC121" s="456"/>
      <c r="PD121" s="456"/>
      <c r="PE121" s="456"/>
      <c r="PF121" s="456"/>
      <c r="PG121" s="456"/>
      <c r="PH121" s="456"/>
      <c r="PI121" s="456"/>
      <c r="PJ121" s="456"/>
      <c r="PK121" s="456"/>
      <c r="PL121" s="456"/>
      <c r="PM121" s="456"/>
      <c r="PN121" s="456"/>
      <c r="PO121" s="456"/>
      <c r="PP121" s="456"/>
      <c r="PQ121" s="456"/>
      <c r="PR121" s="456"/>
      <c r="PS121" s="456"/>
      <c r="PT121" s="456"/>
      <c r="PU121" s="456"/>
      <c r="PV121" s="456"/>
      <c r="PW121" s="456"/>
      <c r="PX121" s="456"/>
      <c r="PY121" s="456"/>
      <c r="PZ121" s="456"/>
      <c r="QA121" s="456"/>
      <c r="QB121" s="456"/>
      <c r="QC121" s="456"/>
      <c r="QD121" s="456"/>
      <c r="QE121" s="456"/>
      <c r="QF121" s="456"/>
      <c r="QG121" s="456"/>
      <c r="QH121" s="456"/>
      <c r="QI121" s="456"/>
      <c r="QJ121" s="456"/>
      <c r="QK121" s="456"/>
      <c r="QL121" s="456"/>
      <c r="QM121" s="456"/>
      <c r="QN121" s="456"/>
      <c r="QO121" s="456"/>
      <c r="QP121" s="456"/>
      <c r="QQ121" s="456"/>
      <c r="QR121" s="456"/>
      <c r="QS121" s="456"/>
      <c r="QT121" s="456"/>
      <c r="QU121" s="456"/>
      <c r="QV121" s="456"/>
      <c r="QW121" s="456"/>
      <c r="QX121" s="456"/>
      <c r="QY121" s="456"/>
      <c r="QZ121" s="456"/>
      <c r="RA121" s="456"/>
      <c r="RB121" s="456"/>
      <c r="RC121" s="456"/>
      <c r="RD121" s="456"/>
      <c r="RE121" s="456"/>
      <c r="RF121" s="456"/>
      <c r="RG121" s="456"/>
      <c r="RH121" s="456"/>
      <c r="RI121" s="456"/>
      <c r="RJ121" s="456"/>
      <c r="RK121" s="456"/>
      <c r="RL121" s="456"/>
      <c r="RM121" s="456"/>
      <c r="RN121" s="456"/>
      <c r="RO121" s="456"/>
      <c r="RP121" s="456"/>
      <c r="RQ121" s="456"/>
      <c r="RR121" s="456"/>
      <c r="RS121" s="456"/>
      <c r="RT121" s="456"/>
      <c r="RU121" s="456"/>
      <c r="RV121" s="456"/>
      <c r="RW121" s="456"/>
      <c r="RX121" s="456"/>
      <c r="RY121" s="456"/>
      <c r="RZ121" s="456"/>
      <c r="SA121" s="456"/>
      <c r="SB121" s="456"/>
      <c r="SC121" s="456"/>
      <c r="SD121" s="456"/>
      <c r="SE121" s="456"/>
      <c r="SF121" s="456"/>
      <c r="SG121" s="456"/>
      <c r="SH121" s="456"/>
      <c r="SI121" s="456"/>
      <c r="SJ121" s="456"/>
      <c r="SK121" s="456"/>
      <c r="SL121" s="456"/>
      <c r="SM121" s="456"/>
      <c r="SN121" s="456"/>
      <c r="SO121" s="456"/>
      <c r="SP121" s="456"/>
      <c r="SQ121" s="456"/>
      <c r="SR121" s="456"/>
      <c r="SS121" s="456"/>
      <c r="ST121" s="456"/>
      <c r="SU121" s="456"/>
      <c r="SV121" s="456"/>
      <c r="SW121" s="456"/>
      <c r="SX121" s="456"/>
      <c r="SY121" s="456"/>
      <c r="SZ121" s="456"/>
      <c r="TA121" s="456"/>
      <c r="TB121" s="456"/>
      <c r="TC121" s="456"/>
      <c r="TD121" s="456"/>
      <c r="TE121" s="456"/>
      <c r="TF121" s="456"/>
      <c r="TG121" s="456"/>
      <c r="TH121" s="456"/>
      <c r="TI121" s="456"/>
      <c r="TJ121" s="456"/>
      <c r="TK121" s="456"/>
      <c r="TL121" s="456"/>
      <c r="TM121" s="456"/>
      <c r="TN121" s="456"/>
      <c r="TO121" s="456"/>
      <c r="TP121" s="456"/>
      <c r="TQ121" s="456"/>
      <c r="TR121" s="456"/>
      <c r="TS121" s="456"/>
      <c r="TT121" s="456"/>
      <c r="TU121" s="456"/>
      <c r="TV121" s="456"/>
      <c r="TW121" s="456"/>
      <c r="TX121" s="456"/>
      <c r="TY121" s="456"/>
      <c r="TZ121" s="456"/>
      <c r="UA121" s="456"/>
      <c r="UB121" s="456"/>
      <c r="UC121" s="456"/>
      <c r="UD121" s="456"/>
      <c r="UE121" s="456"/>
      <c r="UF121" s="456"/>
      <c r="UG121" s="456"/>
      <c r="UH121" s="456"/>
      <c r="UI121" s="456"/>
      <c r="UJ121" s="456"/>
      <c r="UK121" s="456"/>
      <c r="UL121" s="456"/>
      <c r="UM121" s="456"/>
      <c r="UN121" s="456"/>
      <c r="UO121" s="456"/>
      <c r="UP121" s="456"/>
      <c r="UQ121" s="456"/>
      <c r="UR121" s="456"/>
      <c r="US121" s="456"/>
      <c r="UT121" s="456"/>
      <c r="UU121" s="456"/>
      <c r="UV121" s="456"/>
      <c r="UW121" s="456"/>
      <c r="UX121" s="456"/>
      <c r="UY121" s="456"/>
      <c r="UZ121" s="456"/>
      <c r="VA121" s="456"/>
      <c r="VB121" s="456"/>
      <c r="VC121" s="456"/>
      <c r="VD121" s="456"/>
      <c r="VE121" s="456"/>
      <c r="VF121" s="456"/>
      <c r="VG121" s="456"/>
      <c r="VH121" s="456"/>
      <c r="VI121" s="456"/>
      <c r="VJ121" s="456"/>
      <c r="VK121" s="456"/>
      <c r="VL121" s="456"/>
      <c r="VM121" s="456"/>
      <c r="VN121" s="456"/>
      <c r="VO121" s="456"/>
      <c r="VP121" s="456"/>
      <c r="VQ121" s="456"/>
      <c r="VR121" s="456"/>
      <c r="VS121" s="456"/>
      <c r="VT121" s="456"/>
      <c r="VU121" s="456"/>
      <c r="VV121" s="456"/>
      <c r="VW121" s="456"/>
      <c r="VX121" s="456"/>
      <c r="VY121" s="456"/>
      <c r="VZ121" s="456"/>
      <c r="WA121" s="456"/>
      <c r="WB121" s="456"/>
      <c r="WC121" s="456"/>
      <c r="WD121" s="456"/>
      <c r="WE121" s="456"/>
      <c r="WF121" s="456"/>
      <c r="WG121" s="456"/>
      <c r="WH121" s="456"/>
      <c r="WI121" s="456"/>
      <c r="WJ121" s="456"/>
      <c r="WK121" s="456"/>
      <c r="WL121" s="456"/>
      <c r="WM121" s="456"/>
      <c r="WN121" s="456"/>
      <c r="WO121" s="456"/>
      <c r="WP121" s="456"/>
      <c r="WQ121" s="456"/>
      <c r="WR121" s="456"/>
      <c r="WS121" s="456"/>
      <c r="WT121" s="456"/>
      <c r="WU121" s="456"/>
      <c r="WV121" s="456"/>
      <c r="WW121" s="456"/>
      <c r="WX121" s="456"/>
      <c r="WY121" s="456"/>
      <c r="WZ121" s="456"/>
      <c r="XA121" s="456"/>
      <c r="XB121" s="456"/>
      <c r="XC121" s="456"/>
      <c r="XD121" s="456"/>
      <c r="XE121" s="456"/>
      <c r="XF121" s="456"/>
      <c r="XG121" s="456"/>
      <c r="XH121" s="456"/>
      <c r="XI121" s="456"/>
      <c r="XJ121" s="456"/>
      <c r="XK121" s="456"/>
      <c r="XL121" s="456"/>
      <c r="XM121" s="456"/>
      <c r="XN121" s="456"/>
      <c r="XO121" s="456"/>
      <c r="XP121" s="456"/>
      <c r="XQ121" s="456"/>
      <c r="XR121" s="456"/>
      <c r="XS121" s="456"/>
      <c r="XT121" s="456"/>
      <c r="XU121" s="456"/>
      <c r="XV121" s="456"/>
      <c r="XW121" s="456"/>
      <c r="XX121" s="456"/>
      <c r="XY121" s="456"/>
      <c r="XZ121" s="456"/>
      <c r="YA121" s="456"/>
      <c r="YB121" s="456"/>
      <c r="YC121" s="456"/>
      <c r="YD121" s="456"/>
      <c r="YE121" s="456"/>
      <c r="YF121" s="456"/>
      <c r="YG121" s="456"/>
      <c r="YH121" s="456"/>
      <c r="YI121" s="456"/>
      <c r="YJ121" s="456"/>
      <c r="YK121" s="456"/>
      <c r="YL121" s="456"/>
      <c r="YM121" s="456"/>
      <c r="YN121" s="456"/>
      <c r="YO121" s="456"/>
      <c r="YP121" s="456"/>
      <c r="YQ121" s="456"/>
      <c r="YR121" s="456"/>
      <c r="YS121" s="456"/>
      <c r="YT121" s="456"/>
      <c r="YU121" s="456"/>
      <c r="YV121" s="456"/>
      <c r="YW121" s="456"/>
      <c r="YX121" s="456"/>
      <c r="YY121" s="456"/>
      <c r="YZ121" s="456"/>
      <c r="ZA121" s="456"/>
      <c r="ZB121" s="456"/>
      <c r="ZC121" s="456"/>
      <c r="ZD121" s="456"/>
      <c r="ZE121" s="456"/>
      <c r="ZF121" s="456"/>
      <c r="ZG121" s="456"/>
      <c r="ZH121" s="456"/>
      <c r="ZI121" s="456"/>
      <c r="ZJ121" s="456"/>
      <c r="ZK121" s="456"/>
      <c r="ZL121" s="456"/>
      <c r="ZM121" s="456"/>
      <c r="ZN121" s="456"/>
      <c r="ZO121" s="456"/>
      <c r="ZP121" s="456"/>
      <c r="ZQ121" s="456"/>
      <c r="ZR121" s="456"/>
      <c r="ZS121" s="456"/>
      <c r="ZT121" s="456"/>
      <c r="ZU121" s="456"/>
      <c r="ZV121" s="456"/>
      <c r="ZW121" s="456"/>
      <c r="ZX121" s="456"/>
      <c r="ZY121" s="456"/>
      <c r="ZZ121" s="456"/>
      <c r="AAA121" s="456"/>
      <c r="AAB121" s="456"/>
      <c r="AAC121" s="456"/>
      <c r="AAD121" s="456"/>
      <c r="AAE121" s="456"/>
      <c r="AAF121" s="456"/>
      <c r="AAG121" s="456"/>
      <c r="AAH121" s="456"/>
      <c r="AAI121" s="456"/>
      <c r="AAJ121" s="456"/>
      <c r="AAK121" s="456"/>
      <c r="AAL121" s="456"/>
      <c r="AAM121" s="456"/>
      <c r="AAN121" s="456"/>
      <c r="AAO121" s="456"/>
      <c r="AAP121" s="456"/>
      <c r="AAQ121" s="456"/>
      <c r="AAR121" s="456"/>
      <c r="AAS121" s="456"/>
      <c r="AAT121" s="456"/>
      <c r="AAU121" s="456"/>
      <c r="AAV121" s="456"/>
      <c r="AAW121" s="456"/>
      <c r="AAX121" s="456"/>
      <c r="AAY121" s="456"/>
      <c r="AAZ121" s="456"/>
      <c r="ABA121" s="456"/>
      <c r="ABB121" s="456"/>
      <c r="ABC121" s="456"/>
      <c r="ABD121" s="456"/>
      <c r="ABE121" s="456"/>
      <c r="ABF121" s="456"/>
      <c r="ABG121" s="456"/>
      <c r="ABH121" s="456"/>
      <c r="ABI121" s="456"/>
      <c r="ABJ121" s="456"/>
      <c r="ABK121" s="456"/>
      <c r="ABL121" s="456"/>
      <c r="ABM121" s="456"/>
      <c r="ABN121" s="456"/>
      <c r="ABO121" s="456"/>
      <c r="ABP121" s="456"/>
      <c r="ABQ121" s="456"/>
      <c r="ABR121" s="456"/>
      <c r="ABS121" s="456"/>
      <c r="ABT121" s="456"/>
      <c r="ABU121" s="456"/>
      <c r="ABV121" s="456"/>
      <c r="ABW121" s="456"/>
      <c r="ABX121" s="456"/>
      <c r="ABY121" s="456"/>
      <c r="ABZ121" s="456"/>
      <c r="ACA121" s="456"/>
      <c r="ACB121" s="456"/>
      <c r="ACC121" s="456"/>
      <c r="ACD121" s="456"/>
      <c r="ACE121" s="456"/>
      <c r="ACF121" s="456"/>
      <c r="ACG121" s="456"/>
      <c r="ACH121" s="456"/>
      <c r="ACI121" s="456"/>
      <c r="ACJ121" s="456"/>
      <c r="ACK121" s="456"/>
      <c r="ACL121" s="456"/>
      <c r="ACM121" s="456"/>
      <c r="ACN121" s="456"/>
      <c r="ACO121" s="456"/>
      <c r="ACP121" s="456"/>
      <c r="ACQ121" s="456"/>
      <c r="ACR121" s="456"/>
      <c r="ACS121" s="456"/>
      <c r="ACT121" s="456"/>
      <c r="ACU121" s="456"/>
      <c r="ACV121" s="456"/>
      <c r="ACW121" s="456"/>
      <c r="ACX121" s="456"/>
      <c r="ACY121" s="456"/>
      <c r="ACZ121" s="456"/>
      <c r="ADA121" s="456"/>
      <c r="ADB121" s="456"/>
      <c r="ADC121" s="456"/>
      <c r="ADD121" s="456"/>
      <c r="ADE121" s="456"/>
      <c r="ADF121" s="456"/>
      <c r="ADG121" s="456"/>
      <c r="ADH121" s="456"/>
      <c r="ADI121" s="456"/>
      <c r="ADJ121" s="456"/>
      <c r="ADK121" s="456"/>
      <c r="ADL121" s="456"/>
      <c r="ADM121" s="456"/>
      <c r="ADN121" s="456"/>
      <c r="ADO121" s="456"/>
      <c r="ADP121" s="456"/>
      <c r="ADQ121" s="456"/>
      <c r="ADR121" s="456"/>
      <c r="ADS121" s="456"/>
      <c r="ADT121" s="456"/>
      <c r="ADU121" s="456"/>
      <c r="ADV121" s="456"/>
      <c r="ADW121" s="456"/>
      <c r="ADX121" s="456"/>
      <c r="ADY121" s="456"/>
      <c r="ADZ121" s="456"/>
      <c r="AEA121" s="456"/>
      <c r="AEB121" s="456"/>
      <c r="AEC121" s="456"/>
      <c r="AED121" s="456"/>
      <c r="AEE121" s="456"/>
      <c r="AEF121" s="456"/>
      <c r="AEG121" s="456"/>
      <c r="AEH121" s="456"/>
      <c r="AEI121" s="456"/>
      <c r="AEJ121" s="456"/>
      <c r="AEK121" s="456"/>
      <c r="AEL121" s="456"/>
      <c r="AEM121" s="456"/>
      <c r="AEN121" s="456"/>
      <c r="AEO121" s="456"/>
      <c r="AEP121" s="456"/>
      <c r="AEQ121" s="456"/>
      <c r="AER121" s="456"/>
      <c r="AES121" s="456"/>
      <c r="AET121" s="456"/>
      <c r="AEU121" s="456"/>
      <c r="AEV121" s="456"/>
      <c r="AEW121" s="456"/>
      <c r="AEX121" s="456"/>
      <c r="AEY121" s="456"/>
      <c r="AEZ121" s="456"/>
      <c r="AFA121" s="456"/>
      <c r="AFB121" s="456"/>
      <c r="AFC121" s="456"/>
      <c r="AFD121" s="456"/>
      <c r="AFE121" s="456"/>
      <c r="AFF121" s="456"/>
      <c r="AFG121" s="456"/>
      <c r="AFH121" s="456"/>
      <c r="AFI121" s="456"/>
      <c r="AFJ121" s="456"/>
      <c r="AFK121" s="456"/>
      <c r="AFL121" s="456"/>
      <c r="AFM121" s="456"/>
      <c r="AFN121" s="456"/>
      <c r="AFO121" s="456"/>
      <c r="AFP121" s="456"/>
      <c r="AFQ121" s="456"/>
      <c r="AFR121" s="456"/>
      <c r="AFS121" s="456"/>
      <c r="AFT121" s="456"/>
      <c r="AFU121" s="456"/>
      <c r="AFV121" s="456"/>
      <c r="AFW121" s="456"/>
      <c r="AFX121" s="456"/>
      <c r="AFY121" s="456"/>
      <c r="AFZ121" s="456"/>
      <c r="AGA121" s="456"/>
      <c r="AGB121" s="456"/>
      <c r="AGC121" s="456"/>
      <c r="AGD121" s="456"/>
      <c r="AGE121" s="456"/>
      <c r="AGF121" s="456"/>
      <c r="AGG121" s="456"/>
      <c r="AGH121" s="456"/>
      <c r="AGI121" s="456"/>
      <c r="AGJ121" s="456"/>
      <c r="AGK121" s="456"/>
      <c r="AGL121" s="456"/>
      <c r="AGM121" s="456"/>
      <c r="AGN121" s="456"/>
      <c r="AGO121" s="456"/>
      <c r="AGP121" s="456"/>
      <c r="AGQ121" s="456"/>
      <c r="AGR121" s="456"/>
      <c r="AGS121" s="456"/>
      <c r="AGT121" s="456"/>
      <c r="AGU121" s="456"/>
      <c r="AGV121" s="456"/>
      <c r="AGW121" s="456"/>
      <c r="AGX121" s="456"/>
      <c r="AGY121" s="456"/>
      <c r="AGZ121" s="456"/>
      <c r="AHA121" s="456"/>
      <c r="AHB121" s="456"/>
      <c r="AHC121" s="456"/>
      <c r="AHD121" s="456"/>
      <c r="AHE121" s="456"/>
      <c r="AHF121" s="456"/>
      <c r="AHG121" s="456"/>
      <c r="AHH121" s="456"/>
      <c r="AHI121" s="456"/>
      <c r="AHJ121" s="456"/>
      <c r="AHK121" s="456"/>
      <c r="AHL121" s="456"/>
      <c r="AHM121" s="456"/>
      <c r="AHN121" s="456"/>
      <c r="AHO121" s="456"/>
      <c r="AHP121" s="456"/>
      <c r="AHQ121" s="456"/>
      <c r="AHR121" s="456"/>
      <c r="AHS121" s="456"/>
      <c r="AHT121" s="456"/>
      <c r="AHU121" s="456"/>
      <c r="AHV121" s="456"/>
      <c r="AHW121" s="456"/>
      <c r="AHX121" s="456"/>
      <c r="AHY121" s="456"/>
      <c r="AHZ121" s="456"/>
      <c r="AIA121" s="456"/>
      <c r="AIB121" s="456"/>
      <c r="AIC121" s="456"/>
      <c r="AID121" s="456"/>
      <c r="AIE121" s="456"/>
      <c r="AIF121" s="456"/>
      <c r="AIG121" s="456"/>
      <c r="AIH121" s="456"/>
      <c r="AII121" s="456"/>
      <c r="AIJ121" s="456"/>
      <c r="AIK121" s="456"/>
      <c r="AIL121" s="456"/>
      <c r="AIM121" s="456"/>
      <c r="AIN121" s="456"/>
      <c r="AIO121" s="456"/>
      <c r="AIP121" s="456"/>
      <c r="AIQ121" s="456"/>
      <c r="AIR121" s="456"/>
      <c r="AIS121" s="456"/>
      <c r="AIT121" s="456"/>
      <c r="AIU121" s="456"/>
      <c r="AIV121" s="456"/>
      <c r="AIW121" s="456"/>
      <c r="AIX121" s="456"/>
      <c r="AIY121" s="456"/>
      <c r="AIZ121" s="456"/>
      <c r="AJA121" s="456"/>
      <c r="AJB121" s="456"/>
      <c r="AJC121" s="456"/>
      <c r="AJD121" s="456"/>
      <c r="AJE121" s="456"/>
      <c r="AJF121" s="456"/>
      <c r="AJG121" s="456"/>
      <c r="AJH121" s="456"/>
      <c r="AJI121" s="456"/>
      <c r="AJJ121" s="456"/>
      <c r="AJK121" s="456"/>
      <c r="AJL121" s="456"/>
      <c r="AJM121" s="456"/>
      <c r="AJN121" s="456"/>
      <c r="AJO121" s="456"/>
      <c r="AJP121" s="456"/>
      <c r="AJQ121" s="456"/>
      <c r="AJR121" s="456"/>
      <c r="AJS121" s="456"/>
      <c r="AJT121" s="456"/>
      <c r="AJU121" s="456"/>
      <c r="AJV121" s="456"/>
      <c r="AJW121" s="456"/>
      <c r="AJX121" s="456"/>
      <c r="AJY121" s="456"/>
      <c r="AJZ121" s="456"/>
      <c r="AKA121" s="456"/>
      <c r="AKB121" s="456"/>
      <c r="AKC121" s="456"/>
      <c r="AKD121" s="456"/>
      <c r="AKE121" s="456"/>
      <c r="AKF121" s="456"/>
      <c r="AKG121" s="456"/>
      <c r="AKH121" s="456"/>
      <c r="AKI121" s="456"/>
      <c r="AKJ121" s="456"/>
      <c r="AKK121" s="456"/>
      <c r="AKL121" s="456"/>
      <c r="AKM121" s="456"/>
      <c r="AKN121" s="456"/>
      <c r="AKO121" s="456"/>
      <c r="AKP121" s="456"/>
      <c r="AKQ121" s="456"/>
      <c r="AKR121" s="456"/>
      <c r="AKS121" s="456"/>
      <c r="AKT121" s="456"/>
      <c r="AKU121" s="456"/>
      <c r="AKV121" s="456"/>
      <c r="AKW121" s="456"/>
      <c r="AKX121" s="456"/>
      <c r="AKY121" s="456"/>
      <c r="AKZ121" s="456"/>
      <c r="ALA121" s="456"/>
      <c r="ALB121" s="456"/>
      <c r="ALC121" s="456"/>
      <c r="ALD121" s="456"/>
      <c r="ALE121" s="456"/>
      <c r="ALF121" s="456"/>
      <c r="ALG121" s="456"/>
      <c r="ALH121" s="456"/>
      <c r="ALI121" s="456"/>
      <c r="ALJ121" s="456"/>
      <c r="ALK121" s="456"/>
      <c r="ALL121" s="456"/>
      <c r="ALM121" s="456"/>
      <c r="ALN121" s="456"/>
      <c r="ALO121" s="456"/>
      <c r="ALP121" s="456"/>
      <c r="ALQ121" s="456"/>
      <c r="ALR121" s="456"/>
      <c r="ALS121" s="456"/>
      <c r="ALT121" s="456"/>
      <c r="ALU121" s="456"/>
      <c r="ALV121" s="456"/>
      <c r="ALW121" s="456"/>
      <c r="ALX121" s="456"/>
      <c r="ALY121" s="456"/>
      <c r="ALZ121" s="456"/>
      <c r="AMA121" s="456"/>
      <c r="AMB121" s="456"/>
      <c r="AMC121" s="456"/>
      <c r="AMD121" s="456"/>
      <c r="AME121" s="456"/>
      <c r="AMF121" s="456"/>
      <c r="AMG121" s="456"/>
      <c r="AMH121" s="456"/>
      <c r="AMI121" s="456"/>
      <c r="AMJ121" s="456"/>
      <c r="AMK121" s="456"/>
      <c r="AML121" s="456"/>
      <c r="AMM121" s="456"/>
      <c r="AMN121" s="456"/>
      <c r="AMO121" s="456"/>
      <c r="AMP121" s="456"/>
      <c r="AMQ121" s="456"/>
      <c r="AMR121" s="456"/>
      <c r="AMS121" s="456"/>
      <c r="AMT121" s="456"/>
      <c r="AMU121" s="456"/>
      <c r="AMV121" s="456"/>
      <c r="AMW121" s="456"/>
      <c r="AMX121" s="456"/>
      <c r="AMY121" s="456"/>
      <c r="AMZ121" s="456"/>
      <c r="ANA121" s="456"/>
      <c r="ANB121" s="456"/>
      <c r="ANC121" s="456"/>
      <c r="AND121" s="456"/>
      <c r="ANE121" s="456"/>
      <c r="ANF121" s="456"/>
      <c r="ANG121" s="456"/>
      <c r="ANH121" s="456"/>
      <c r="ANI121" s="456"/>
      <c r="ANJ121" s="456"/>
      <c r="ANK121" s="456"/>
      <c r="ANL121" s="456"/>
      <c r="ANM121" s="456"/>
      <c r="ANN121" s="456"/>
      <c r="ANO121" s="456"/>
      <c r="ANP121" s="456"/>
      <c r="ANQ121" s="456"/>
      <c r="ANR121" s="456"/>
      <c r="ANS121" s="456"/>
      <c r="ANT121" s="456"/>
      <c r="ANU121" s="456"/>
      <c r="ANV121" s="456"/>
      <c r="ANW121" s="456"/>
      <c r="ANX121" s="456"/>
      <c r="ANY121" s="456"/>
      <c r="ANZ121" s="456"/>
      <c r="AOA121" s="456"/>
      <c r="AOB121" s="456"/>
      <c r="AOC121" s="456"/>
      <c r="AOD121" s="456"/>
      <c r="AOE121" s="456"/>
      <c r="AOF121" s="456"/>
      <c r="AOG121" s="456"/>
      <c r="AOH121" s="456"/>
      <c r="AOI121" s="456"/>
      <c r="AOJ121" s="456"/>
      <c r="AOK121" s="456"/>
      <c r="AOL121" s="456"/>
      <c r="AOM121" s="456"/>
      <c r="AON121" s="456"/>
      <c r="AOO121" s="456"/>
      <c r="AOP121" s="456"/>
      <c r="AOQ121" s="456"/>
      <c r="AOR121" s="456"/>
      <c r="AOS121" s="456"/>
      <c r="AOT121" s="456"/>
      <c r="AOU121" s="456"/>
      <c r="AOV121" s="456"/>
      <c r="AOW121" s="456"/>
      <c r="AOX121" s="456"/>
      <c r="AOY121" s="456"/>
      <c r="AOZ121" s="456"/>
      <c r="APA121" s="456"/>
      <c r="APB121" s="456"/>
      <c r="APC121" s="456"/>
      <c r="APD121" s="456"/>
      <c r="APE121" s="456"/>
      <c r="APF121" s="456"/>
      <c r="APG121" s="456"/>
      <c r="APH121" s="456"/>
      <c r="API121" s="456"/>
      <c r="APJ121" s="456"/>
      <c r="APK121" s="456"/>
      <c r="APL121" s="456"/>
      <c r="APM121" s="456"/>
      <c r="APN121" s="456"/>
      <c r="APO121" s="456"/>
      <c r="APP121" s="456"/>
      <c r="APQ121" s="456"/>
      <c r="APR121" s="456"/>
      <c r="APS121" s="456"/>
      <c r="APT121" s="456"/>
      <c r="APU121" s="456"/>
      <c r="APV121" s="456"/>
      <c r="APW121" s="456"/>
      <c r="APX121" s="456"/>
      <c r="APY121" s="456"/>
      <c r="APZ121" s="456"/>
      <c r="AQA121" s="456"/>
      <c r="AQB121" s="456"/>
      <c r="AQC121" s="456"/>
      <c r="AQD121" s="456"/>
      <c r="AQE121" s="456"/>
      <c r="AQF121" s="456"/>
      <c r="AQG121" s="456"/>
      <c r="AQH121" s="456"/>
      <c r="AQI121" s="456"/>
      <c r="AQJ121" s="456"/>
      <c r="AQK121" s="456"/>
      <c r="AQL121" s="456"/>
      <c r="AQM121" s="456"/>
      <c r="AQN121" s="456"/>
      <c r="AQO121" s="456"/>
      <c r="AQP121" s="456"/>
      <c r="AQQ121" s="456"/>
      <c r="AQR121" s="456"/>
      <c r="AQS121" s="456"/>
      <c r="AQT121" s="456"/>
      <c r="AQU121" s="456"/>
      <c r="AQV121" s="456"/>
      <c r="AQW121" s="456"/>
      <c r="AQX121" s="456"/>
      <c r="AQY121" s="456"/>
      <c r="AQZ121" s="456"/>
      <c r="ARA121" s="456"/>
      <c r="ARB121" s="456"/>
      <c r="ARC121" s="456"/>
      <c r="ARD121" s="456"/>
      <c r="ARE121" s="456"/>
      <c r="ARF121" s="456"/>
      <c r="ARG121" s="456"/>
      <c r="ARH121" s="456"/>
      <c r="ARI121" s="456"/>
      <c r="ARJ121" s="456"/>
      <c r="ARK121" s="456"/>
      <c r="ARL121" s="456"/>
      <c r="ARM121" s="456"/>
      <c r="ARN121" s="456"/>
      <c r="ARO121" s="456"/>
      <c r="ARP121" s="456"/>
      <c r="ARQ121" s="456"/>
      <c r="ARR121" s="456"/>
      <c r="ARS121" s="456"/>
      <c r="ART121" s="456"/>
      <c r="ARU121" s="456"/>
      <c r="ARV121" s="456"/>
      <c r="ARW121" s="456"/>
      <c r="ARX121" s="456"/>
      <c r="ARY121" s="456"/>
      <c r="ARZ121" s="456"/>
      <c r="ASA121" s="456"/>
      <c r="ASB121" s="456"/>
      <c r="ASC121" s="456"/>
      <c r="ASD121" s="456"/>
      <c r="ASE121" s="456"/>
      <c r="ASF121" s="456"/>
      <c r="ASG121" s="456"/>
      <c r="ASH121" s="456"/>
      <c r="ASI121" s="456"/>
      <c r="ASJ121" s="456"/>
      <c r="ASK121" s="456"/>
      <c r="ASL121" s="456"/>
      <c r="ASM121" s="456"/>
      <c r="ASN121" s="456"/>
      <c r="ASO121" s="456"/>
      <c r="ASP121" s="456"/>
      <c r="ASQ121" s="456"/>
      <c r="ASR121" s="456"/>
      <c r="ASS121" s="456"/>
      <c r="AST121" s="456"/>
      <c r="ASU121" s="456"/>
      <c r="ASV121" s="456"/>
      <c r="ASW121" s="456"/>
      <c r="ASX121" s="456"/>
      <c r="ASY121" s="456"/>
      <c r="ASZ121" s="456"/>
      <c r="ATA121" s="456"/>
      <c r="ATB121" s="456"/>
      <c r="ATC121" s="456"/>
      <c r="ATD121" s="456"/>
      <c r="ATE121" s="456"/>
      <c r="ATF121" s="456"/>
      <c r="ATG121" s="456"/>
      <c r="ATH121" s="456"/>
      <c r="ATI121" s="456"/>
      <c r="ATJ121" s="456"/>
      <c r="ATK121" s="456"/>
      <c r="ATL121" s="456"/>
      <c r="ATM121" s="456"/>
      <c r="ATN121" s="456"/>
      <c r="ATO121" s="456"/>
      <c r="ATP121" s="456"/>
      <c r="ATQ121" s="456"/>
      <c r="ATR121" s="456"/>
      <c r="ATS121" s="456"/>
      <c r="ATT121" s="456"/>
      <c r="ATU121" s="456"/>
      <c r="ATV121" s="456"/>
      <c r="ATW121" s="456"/>
      <c r="ATX121" s="456"/>
      <c r="ATY121" s="456"/>
      <c r="ATZ121" s="456"/>
      <c r="AUA121" s="456"/>
      <c r="AUB121" s="456"/>
      <c r="AUC121" s="456"/>
      <c r="AUD121" s="456"/>
      <c r="AUE121" s="456"/>
      <c r="AUF121" s="456"/>
      <c r="AUG121" s="456"/>
      <c r="AUH121" s="456"/>
      <c r="AUI121" s="456"/>
      <c r="AUJ121" s="456"/>
      <c r="AUK121" s="456"/>
      <c r="AUL121" s="456"/>
      <c r="AUM121" s="456"/>
      <c r="AUN121" s="456"/>
      <c r="AUO121" s="456"/>
      <c r="AUP121" s="456"/>
      <c r="AUQ121" s="456"/>
      <c r="AUR121" s="456"/>
      <c r="AUS121" s="456"/>
      <c r="AUT121" s="456"/>
      <c r="AUU121" s="456"/>
      <c r="AUV121" s="456"/>
      <c r="AUW121" s="456"/>
      <c r="AUX121" s="456"/>
      <c r="AUY121" s="456"/>
      <c r="AUZ121" s="456"/>
      <c r="AVA121" s="456"/>
      <c r="AVB121" s="456"/>
      <c r="AVC121" s="456"/>
      <c r="AVD121" s="456"/>
      <c r="AVE121" s="456"/>
      <c r="AVF121" s="456"/>
      <c r="AVG121" s="456"/>
      <c r="AVH121" s="456"/>
      <c r="AVI121" s="456"/>
      <c r="AVJ121" s="456"/>
      <c r="AVK121" s="456"/>
      <c r="AVL121" s="456"/>
      <c r="AVM121" s="456"/>
      <c r="AVN121" s="456"/>
      <c r="AVO121" s="456"/>
      <c r="AVP121" s="456"/>
      <c r="AVQ121" s="456"/>
      <c r="AVR121" s="456"/>
      <c r="AVS121" s="456"/>
      <c r="AVT121" s="456"/>
      <c r="AVU121" s="456"/>
      <c r="AVV121" s="456"/>
      <c r="AVW121" s="456"/>
      <c r="AVX121" s="456"/>
      <c r="AVY121" s="456"/>
      <c r="AVZ121" s="456"/>
      <c r="AWA121" s="456"/>
      <c r="AWB121" s="456"/>
      <c r="AWC121" s="456"/>
      <c r="AWD121" s="456"/>
      <c r="AWE121" s="456"/>
      <c r="AWF121" s="456"/>
      <c r="AWG121" s="456"/>
      <c r="AWH121" s="456"/>
      <c r="AWI121" s="456"/>
      <c r="AWJ121" s="456"/>
      <c r="AWK121" s="456"/>
      <c r="AWL121" s="456"/>
      <c r="AWM121" s="456"/>
      <c r="AWN121" s="456"/>
      <c r="AWO121" s="456"/>
      <c r="AWP121" s="456"/>
      <c r="AWQ121" s="456"/>
      <c r="AWR121" s="456"/>
      <c r="AWS121" s="456"/>
      <c r="AWT121" s="456"/>
      <c r="AWU121" s="456"/>
      <c r="AWV121" s="456"/>
      <c r="AWW121" s="456"/>
      <c r="AWX121" s="456"/>
      <c r="AWY121" s="456"/>
      <c r="AWZ121" s="456"/>
      <c r="AXA121" s="456"/>
      <c r="AXB121" s="456"/>
      <c r="AXC121" s="456"/>
      <c r="AXD121" s="456"/>
      <c r="AXE121" s="456"/>
      <c r="AXF121" s="456"/>
      <c r="AXG121" s="456"/>
      <c r="AXH121" s="456"/>
      <c r="AXI121" s="456"/>
      <c r="AXJ121" s="456"/>
      <c r="AXK121" s="456"/>
      <c r="AXL121" s="456"/>
      <c r="AXM121" s="456"/>
      <c r="AXN121" s="456"/>
      <c r="AXO121" s="456"/>
      <c r="AXP121" s="456"/>
      <c r="AXQ121" s="456"/>
      <c r="AXR121" s="456"/>
      <c r="AXS121" s="456"/>
      <c r="AXT121" s="456"/>
      <c r="AXU121" s="456"/>
      <c r="AXV121" s="456"/>
      <c r="AXW121" s="456"/>
      <c r="AXX121" s="456"/>
      <c r="AXY121" s="456"/>
      <c r="AXZ121" s="456"/>
      <c r="AYA121" s="456"/>
      <c r="AYB121" s="456"/>
      <c r="AYC121" s="456"/>
      <c r="AYD121" s="456"/>
      <c r="AYE121" s="456"/>
      <c r="AYF121" s="456"/>
      <c r="AYG121" s="456"/>
      <c r="AYH121" s="456"/>
      <c r="AYI121" s="456"/>
      <c r="AYJ121" s="456"/>
      <c r="AYK121" s="456"/>
      <c r="AYL121" s="456"/>
      <c r="AYM121" s="456"/>
      <c r="AYN121" s="456"/>
      <c r="AYO121" s="456"/>
      <c r="AYP121" s="456"/>
      <c r="AYQ121" s="456"/>
      <c r="AYR121" s="456"/>
      <c r="AYS121" s="456"/>
      <c r="AYT121" s="456"/>
      <c r="AYU121" s="456"/>
      <c r="AYV121" s="456"/>
      <c r="AYW121" s="456"/>
      <c r="AYX121" s="456"/>
      <c r="AYY121" s="456"/>
      <c r="AYZ121" s="456"/>
      <c r="AZA121" s="456"/>
      <c r="AZB121" s="456"/>
      <c r="AZC121" s="456"/>
      <c r="AZD121" s="456"/>
      <c r="AZE121" s="456"/>
      <c r="AZF121" s="456"/>
      <c r="AZG121" s="456"/>
      <c r="AZH121" s="456"/>
      <c r="AZI121" s="456"/>
      <c r="AZJ121" s="456"/>
      <c r="AZK121" s="456"/>
      <c r="AZL121" s="456"/>
      <c r="AZM121" s="456"/>
      <c r="AZN121" s="456"/>
      <c r="AZO121" s="456"/>
      <c r="AZP121" s="456"/>
      <c r="AZQ121" s="456"/>
      <c r="AZR121" s="456"/>
      <c r="AZS121" s="456"/>
      <c r="AZT121" s="456"/>
      <c r="AZU121" s="456"/>
      <c r="AZV121" s="456"/>
      <c r="AZW121" s="456"/>
      <c r="AZX121" s="456"/>
      <c r="AZY121" s="456"/>
      <c r="AZZ121" s="456"/>
      <c r="BAA121" s="456"/>
      <c r="BAB121" s="456"/>
      <c r="BAC121" s="456"/>
      <c r="BAD121" s="456"/>
      <c r="BAE121" s="456"/>
      <c r="BAF121" s="456"/>
      <c r="BAG121" s="456"/>
      <c r="BAH121" s="456"/>
      <c r="BAI121" s="456"/>
      <c r="BAJ121" s="456"/>
      <c r="BAK121" s="456"/>
      <c r="BAL121" s="456"/>
      <c r="BAM121" s="456"/>
      <c r="BAN121" s="456"/>
      <c r="BAO121" s="456"/>
      <c r="BAP121" s="456"/>
      <c r="BAQ121" s="456"/>
      <c r="BAR121" s="456"/>
      <c r="BAS121" s="456"/>
      <c r="BAT121" s="456"/>
      <c r="BAU121" s="456"/>
      <c r="BAV121" s="456"/>
      <c r="BAW121" s="456"/>
      <c r="BAX121" s="456"/>
      <c r="BAY121" s="456"/>
      <c r="BAZ121" s="456"/>
      <c r="BBA121" s="456"/>
      <c r="BBB121" s="456"/>
      <c r="BBC121" s="456"/>
      <c r="BBD121" s="456"/>
      <c r="BBE121" s="456"/>
      <c r="BBF121" s="456"/>
      <c r="BBG121" s="456"/>
      <c r="BBH121" s="456"/>
      <c r="BBI121" s="456"/>
      <c r="BBJ121" s="456"/>
      <c r="BBK121" s="456"/>
      <c r="BBL121" s="456"/>
      <c r="BBM121" s="456"/>
      <c r="BBN121" s="456"/>
      <c r="BBO121" s="456"/>
      <c r="BBP121" s="456"/>
      <c r="BBQ121" s="456"/>
      <c r="BBR121" s="456"/>
      <c r="BBS121" s="456"/>
      <c r="BBT121" s="456"/>
      <c r="BBU121" s="456"/>
      <c r="BBV121" s="456"/>
      <c r="BBW121" s="456"/>
      <c r="BBX121" s="456"/>
      <c r="BBY121" s="456"/>
      <c r="BBZ121" s="456"/>
      <c r="BCA121" s="456"/>
      <c r="BCB121" s="456"/>
      <c r="BCC121" s="456"/>
      <c r="BCD121" s="456"/>
      <c r="BCE121" s="456"/>
      <c r="BCF121" s="456"/>
      <c r="BCG121" s="456"/>
      <c r="BCH121" s="456"/>
      <c r="BCI121" s="456"/>
      <c r="BCJ121" s="456"/>
      <c r="BCK121" s="456"/>
      <c r="BCL121" s="456"/>
      <c r="BCM121" s="456"/>
      <c r="BCN121" s="456"/>
      <c r="BCO121" s="456"/>
      <c r="BCP121" s="456"/>
      <c r="BCQ121" s="456"/>
      <c r="BCR121" s="456"/>
      <c r="BCS121" s="456"/>
      <c r="BCT121" s="456"/>
      <c r="BCU121" s="456"/>
      <c r="BCV121" s="456"/>
      <c r="BCW121" s="456"/>
      <c r="BCX121" s="456"/>
      <c r="BCY121" s="456"/>
      <c r="BCZ121" s="456"/>
      <c r="BDA121" s="456"/>
      <c r="BDB121" s="456"/>
      <c r="BDC121" s="456"/>
      <c r="BDD121" s="456"/>
      <c r="BDE121" s="456"/>
      <c r="BDF121" s="456"/>
      <c r="BDG121" s="456"/>
      <c r="BDH121" s="456"/>
      <c r="BDI121" s="456"/>
      <c r="BDJ121" s="456"/>
      <c r="BDK121" s="456"/>
      <c r="BDL121" s="456"/>
      <c r="BDM121" s="456"/>
      <c r="BDN121" s="456"/>
      <c r="BDO121" s="456"/>
      <c r="BDP121" s="456"/>
      <c r="BDQ121" s="456"/>
      <c r="BDR121" s="456"/>
      <c r="BDS121" s="456"/>
      <c r="BDT121" s="456"/>
      <c r="BDU121" s="456"/>
      <c r="BDV121" s="456"/>
      <c r="BDW121" s="456"/>
      <c r="BDX121" s="456"/>
      <c r="BDY121" s="456"/>
      <c r="BDZ121" s="456"/>
      <c r="BEA121" s="456"/>
      <c r="BEB121" s="456"/>
      <c r="BEC121" s="456"/>
      <c r="BED121" s="456"/>
      <c r="BEE121" s="456"/>
      <c r="BEF121" s="456"/>
      <c r="BEG121" s="456"/>
      <c r="BEH121" s="456"/>
      <c r="BEI121" s="456"/>
      <c r="BEJ121" s="456"/>
      <c r="BEK121" s="456"/>
      <c r="BEL121" s="456"/>
      <c r="BEM121" s="456"/>
      <c r="BEN121" s="456"/>
      <c r="BEO121" s="456"/>
      <c r="BEP121" s="456"/>
      <c r="BEQ121" s="456"/>
      <c r="BER121" s="456"/>
      <c r="BES121" s="456"/>
      <c r="BET121" s="456"/>
      <c r="BEU121" s="456"/>
      <c r="BEV121" s="456"/>
      <c r="BEW121" s="456"/>
      <c r="BEX121" s="456"/>
      <c r="BEY121" s="456"/>
      <c r="BEZ121" s="456"/>
      <c r="BFA121" s="456"/>
      <c r="BFB121" s="456"/>
      <c r="BFC121" s="456"/>
      <c r="BFD121" s="456"/>
      <c r="BFE121" s="456"/>
      <c r="BFF121" s="456"/>
      <c r="BFG121" s="456"/>
      <c r="BFH121" s="456"/>
      <c r="BFI121" s="456"/>
      <c r="BFJ121" s="456"/>
      <c r="BFK121" s="456"/>
      <c r="BFL121" s="456"/>
      <c r="BFM121" s="456"/>
      <c r="BFN121" s="456"/>
      <c r="BFO121" s="456"/>
      <c r="BFP121" s="456"/>
      <c r="BFQ121" s="456"/>
      <c r="BFR121" s="456"/>
      <c r="BFS121" s="456"/>
      <c r="BFT121" s="456"/>
      <c r="BFU121" s="456"/>
      <c r="BFV121" s="456"/>
      <c r="BFW121" s="456"/>
      <c r="BFX121" s="456"/>
      <c r="BFY121" s="456"/>
      <c r="BFZ121" s="456"/>
      <c r="BGA121" s="456"/>
      <c r="BGB121" s="456"/>
      <c r="BGC121" s="456"/>
      <c r="BGD121" s="456"/>
      <c r="BGE121" s="456"/>
      <c r="BGF121" s="456"/>
      <c r="BGG121" s="456"/>
      <c r="BGH121" s="456"/>
      <c r="BGI121" s="456"/>
      <c r="BGJ121" s="456"/>
      <c r="BGK121" s="456"/>
      <c r="BGL121" s="456"/>
      <c r="BGM121" s="456"/>
      <c r="BGN121" s="456"/>
      <c r="BGO121" s="456"/>
      <c r="BGP121" s="456"/>
      <c r="BGQ121" s="456"/>
      <c r="BGR121" s="456"/>
      <c r="BGS121" s="456"/>
      <c r="BGT121" s="456"/>
      <c r="BGU121" s="456"/>
      <c r="BGV121" s="456"/>
      <c r="BGW121" s="456"/>
      <c r="BGX121" s="456"/>
      <c r="BGY121" s="456"/>
      <c r="BGZ121" s="456"/>
      <c r="BHA121" s="456"/>
      <c r="BHB121" s="456"/>
      <c r="BHC121" s="456"/>
      <c r="BHD121" s="456"/>
      <c r="BHE121" s="456"/>
      <c r="BHF121" s="456"/>
      <c r="BHG121" s="456"/>
      <c r="BHH121" s="456"/>
      <c r="BHI121" s="456"/>
      <c r="BHJ121" s="456"/>
      <c r="BHK121" s="456"/>
      <c r="BHL121" s="456"/>
      <c r="BHM121" s="456"/>
      <c r="BHN121" s="456"/>
      <c r="BHO121" s="456"/>
      <c r="BHP121" s="456"/>
      <c r="BHQ121" s="456"/>
      <c r="BHR121" s="456"/>
      <c r="BHS121" s="456"/>
      <c r="BHT121" s="456"/>
      <c r="BHU121" s="456"/>
      <c r="BHV121" s="456"/>
      <c r="BHW121" s="456"/>
      <c r="BHX121" s="456"/>
      <c r="BHY121" s="456"/>
      <c r="BHZ121" s="456"/>
      <c r="BIA121" s="456"/>
      <c r="BIB121" s="456"/>
      <c r="BIC121" s="456"/>
      <c r="BID121" s="456"/>
      <c r="BIE121" s="456"/>
      <c r="BIF121" s="456"/>
      <c r="BIG121" s="456"/>
      <c r="BIH121" s="456"/>
      <c r="BII121" s="456"/>
      <c r="BIJ121" s="456"/>
      <c r="BIK121" s="456"/>
      <c r="BIL121" s="456"/>
      <c r="BIM121" s="456"/>
      <c r="BIN121" s="456"/>
      <c r="BIO121" s="456"/>
      <c r="BIP121" s="456"/>
      <c r="BIQ121" s="456"/>
      <c r="BIR121" s="456"/>
      <c r="BIS121" s="456"/>
      <c r="BIT121" s="456"/>
      <c r="BIU121" s="456"/>
      <c r="BIV121" s="456"/>
      <c r="BIW121" s="456"/>
      <c r="BIX121" s="456"/>
      <c r="BIY121" s="456"/>
      <c r="BIZ121" s="456"/>
      <c r="BJA121" s="456"/>
      <c r="BJB121" s="456"/>
      <c r="BJC121" s="456"/>
      <c r="BJD121" s="456"/>
      <c r="BJE121" s="456"/>
      <c r="BJF121" s="456"/>
      <c r="BJG121" s="456"/>
      <c r="BJH121" s="456"/>
      <c r="BJI121" s="456"/>
      <c r="BJJ121" s="456"/>
      <c r="BJK121" s="456"/>
      <c r="BJL121" s="456"/>
      <c r="BJM121" s="456"/>
      <c r="BJN121" s="456"/>
      <c r="BJO121" s="456"/>
      <c r="BJP121" s="456"/>
      <c r="BJQ121" s="456"/>
      <c r="BJR121" s="456"/>
      <c r="BJS121" s="456"/>
      <c r="BJT121" s="456"/>
      <c r="BJU121" s="456"/>
      <c r="BJV121" s="456"/>
      <c r="BJW121" s="456"/>
      <c r="BJX121" s="456"/>
      <c r="BJY121" s="456"/>
      <c r="BJZ121" s="456"/>
      <c r="BKA121" s="456"/>
      <c r="BKB121" s="456"/>
      <c r="BKC121" s="456"/>
      <c r="BKD121" s="456"/>
      <c r="BKE121" s="456"/>
      <c r="BKF121" s="456"/>
      <c r="BKG121" s="456"/>
      <c r="BKH121" s="456"/>
      <c r="BKI121" s="456"/>
      <c r="BKJ121" s="456"/>
      <c r="BKK121" s="456"/>
      <c r="BKL121" s="456"/>
      <c r="BKM121" s="456"/>
      <c r="BKN121" s="456"/>
      <c r="BKO121" s="456"/>
      <c r="BKP121" s="456"/>
      <c r="BKQ121" s="456"/>
      <c r="BKR121" s="456"/>
      <c r="BKS121" s="456"/>
      <c r="BKT121" s="456"/>
      <c r="BKU121" s="456"/>
      <c r="BKV121" s="456"/>
      <c r="BKW121" s="456"/>
      <c r="BKX121" s="456"/>
      <c r="BKY121" s="456"/>
      <c r="BKZ121" s="456"/>
      <c r="BLA121" s="456"/>
      <c r="BLB121" s="456"/>
      <c r="BLC121" s="456"/>
      <c r="BLD121" s="456"/>
      <c r="BLE121" s="456"/>
      <c r="BLF121" s="456"/>
      <c r="BLG121" s="456"/>
      <c r="BLH121" s="456"/>
      <c r="BLI121" s="456"/>
      <c r="BLJ121" s="456"/>
      <c r="BLK121" s="456"/>
      <c r="BLL121" s="456"/>
      <c r="BLM121" s="456"/>
      <c r="BLN121" s="456"/>
      <c r="BLO121" s="456"/>
      <c r="BLP121" s="456"/>
      <c r="BLQ121" s="456"/>
      <c r="BLR121" s="456"/>
      <c r="BLS121" s="456"/>
      <c r="BLT121" s="456"/>
      <c r="BLU121" s="456"/>
      <c r="BLV121" s="456"/>
      <c r="BLW121" s="456"/>
      <c r="BLX121" s="456"/>
      <c r="BLY121" s="456"/>
      <c r="BLZ121" s="456"/>
      <c r="BMA121" s="456"/>
      <c r="BMB121" s="456"/>
      <c r="BMC121" s="456"/>
      <c r="BMD121" s="456"/>
      <c r="BME121" s="456"/>
      <c r="BMF121" s="456"/>
      <c r="BMG121" s="456"/>
      <c r="BMH121" s="456"/>
      <c r="BMI121" s="456"/>
      <c r="BMJ121" s="456"/>
      <c r="BMK121" s="456"/>
      <c r="BML121" s="456"/>
      <c r="BMM121" s="456"/>
      <c r="BMN121" s="456"/>
      <c r="BMO121" s="456"/>
      <c r="BMP121" s="456"/>
      <c r="BMQ121" s="456"/>
      <c r="BMR121" s="456"/>
      <c r="BMS121" s="456"/>
      <c r="BMT121" s="456"/>
      <c r="BMU121" s="456"/>
      <c r="BMV121" s="456"/>
      <c r="BMW121" s="456"/>
      <c r="BMX121" s="456"/>
      <c r="BMY121" s="456"/>
      <c r="BMZ121" s="456"/>
      <c r="BNA121" s="456"/>
      <c r="BNB121" s="456"/>
      <c r="BNC121" s="456"/>
      <c r="BND121" s="456"/>
      <c r="BNE121" s="456"/>
      <c r="BNF121" s="456"/>
      <c r="BNG121" s="456"/>
      <c r="BNH121" s="456"/>
      <c r="BNI121" s="456"/>
      <c r="BNJ121" s="456"/>
      <c r="BNK121" s="456"/>
      <c r="BNL121" s="456"/>
      <c r="BNM121" s="456"/>
      <c r="BNN121" s="456"/>
      <c r="BNO121" s="456"/>
      <c r="BNP121" s="456"/>
      <c r="BNQ121" s="456"/>
      <c r="BNR121" s="456"/>
      <c r="BNS121" s="456"/>
      <c r="BNT121" s="456"/>
      <c r="BNU121" s="456"/>
      <c r="BNV121" s="456"/>
      <c r="BNW121" s="456"/>
      <c r="BNX121" s="456"/>
      <c r="BNY121" s="456"/>
      <c r="BNZ121" s="456"/>
      <c r="BOA121" s="456"/>
      <c r="BOB121" s="456"/>
      <c r="BOC121" s="456"/>
      <c r="BOD121" s="456"/>
      <c r="BOE121" s="456"/>
      <c r="BOF121" s="456"/>
      <c r="BOG121" s="456"/>
      <c r="BOH121" s="456"/>
      <c r="BOI121" s="456"/>
      <c r="BOJ121" s="456"/>
      <c r="BOK121" s="456"/>
      <c r="BOL121" s="456"/>
      <c r="BOM121" s="456"/>
      <c r="BON121" s="456"/>
      <c r="BOO121" s="456"/>
      <c r="BOP121" s="456"/>
      <c r="BOQ121" s="456"/>
      <c r="BOR121" s="456"/>
      <c r="BOS121" s="456"/>
      <c r="BOT121" s="456"/>
      <c r="BOU121" s="456"/>
      <c r="BOV121" s="456"/>
      <c r="BOW121" s="456"/>
      <c r="BOX121" s="456"/>
      <c r="BOY121" s="456"/>
      <c r="BOZ121" s="456"/>
      <c r="BPA121" s="456"/>
      <c r="BPB121" s="456"/>
      <c r="BPC121" s="456"/>
      <c r="BPD121" s="456"/>
      <c r="BPE121" s="456"/>
      <c r="BPF121" s="456"/>
      <c r="BPG121" s="456"/>
      <c r="BPH121" s="456"/>
      <c r="BPI121" s="456"/>
      <c r="BPJ121" s="456"/>
      <c r="BPK121" s="456"/>
      <c r="BPL121" s="456"/>
      <c r="BPM121" s="456"/>
      <c r="BPN121" s="456"/>
      <c r="BPO121" s="456"/>
      <c r="BPP121" s="456"/>
      <c r="BPQ121" s="456"/>
      <c r="BPR121" s="456"/>
      <c r="BPS121" s="456"/>
      <c r="BPT121" s="456"/>
      <c r="BPU121" s="456"/>
      <c r="BPV121" s="456"/>
      <c r="BPW121" s="456"/>
      <c r="BPX121" s="456"/>
      <c r="BPY121" s="456"/>
      <c r="BPZ121" s="456"/>
      <c r="BQA121" s="456"/>
      <c r="BQB121" s="456"/>
      <c r="BQC121" s="456"/>
      <c r="BQD121" s="456"/>
      <c r="BQE121" s="456"/>
      <c r="BQF121" s="456"/>
      <c r="BQG121" s="456"/>
      <c r="BQH121" s="456"/>
      <c r="BQI121" s="456"/>
      <c r="BQJ121" s="456"/>
      <c r="BQK121" s="456"/>
      <c r="BQL121" s="456"/>
      <c r="BQM121" s="456"/>
      <c r="BQN121" s="456"/>
      <c r="BQO121" s="456"/>
      <c r="BQP121" s="456"/>
      <c r="BQQ121" s="456"/>
      <c r="BQR121" s="456"/>
      <c r="BQS121" s="456"/>
      <c r="BQT121" s="456"/>
      <c r="BQU121" s="456"/>
      <c r="BQV121" s="456"/>
      <c r="BQW121" s="456"/>
      <c r="BQX121" s="456"/>
      <c r="BQY121" s="456"/>
      <c r="BQZ121" s="456"/>
      <c r="BRA121" s="456"/>
      <c r="BRB121" s="456"/>
      <c r="BRC121" s="456"/>
      <c r="BRD121" s="456"/>
      <c r="BRE121" s="456"/>
      <c r="BRF121" s="456"/>
      <c r="BRG121" s="456"/>
      <c r="BRH121" s="456"/>
      <c r="BRI121" s="456"/>
      <c r="BRJ121" s="456"/>
      <c r="BRK121" s="456"/>
      <c r="BRL121" s="456"/>
      <c r="BRM121" s="456"/>
      <c r="BRN121" s="456"/>
      <c r="BRO121" s="456"/>
      <c r="BRP121" s="456"/>
      <c r="BRQ121" s="456"/>
      <c r="BRR121" s="456"/>
      <c r="BRS121" s="456"/>
      <c r="BRT121" s="456"/>
      <c r="BRU121" s="456"/>
      <c r="BRV121" s="456"/>
      <c r="BRW121" s="456"/>
      <c r="BRX121" s="456"/>
      <c r="BRY121" s="456"/>
      <c r="BRZ121" s="456"/>
      <c r="BSA121" s="456"/>
      <c r="BSB121" s="456"/>
      <c r="BSC121" s="456"/>
      <c r="BSD121" s="456"/>
      <c r="BSE121" s="456"/>
      <c r="BSF121" s="456"/>
      <c r="BSG121" s="456"/>
      <c r="BSH121" s="456"/>
      <c r="BSI121" s="456"/>
      <c r="BSJ121" s="456"/>
      <c r="BSK121" s="456"/>
      <c r="BSL121" s="456"/>
      <c r="BSM121" s="456"/>
      <c r="BSN121" s="456"/>
      <c r="BSO121" s="456"/>
      <c r="BSP121" s="456"/>
      <c r="BSQ121" s="456"/>
      <c r="BSR121" s="456"/>
      <c r="BSS121" s="456"/>
      <c r="BST121" s="456"/>
      <c r="BSU121" s="456"/>
      <c r="BSV121" s="456"/>
      <c r="BSW121" s="456"/>
      <c r="BSX121" s="456"/>
      <c r="BSY121" s="456"/>
      <c r="BSZ121" s="456"/>
      <c r="BTA121" s="456"/>
      <c r="BTB121" s="456"/>
      <c r="BTC121" s="456"/>
      <c r="BTD121" s="456"/>
      <c r="BTE121" s="456"/>
      <c r="BTF121" s="456"/>
      <c r="BTG121" s="456"/>
      <c r="BTH121" s="456"/>
      <c r="BTI121" s="456"/>
      <c r="BTJ121" s="456"/>
      <c r="BTK121" s="456"/>
      <c r="BTL121" s="456"/>
      <c r="BTM121" s="456"/>
      <c r="BTN121" s="456"/>
      <c r="BTO121" s="456"/>
      <c r="BTP121" s="456"/>
      <c r="BTQ121" s="456"/>
      <c r="BTR121" s="456"/>
      <c r="BTS121" s="456"/>
      <c r="BTT121" s="456"/>
      <c r="BTU121" s="456"/>
      <c r="BTV121" s="456"/>
      <c r="BTW121" s="456"/>
      <c r="BTX121" s="456"/>
      <c r="BTY121" s="456"/>
      <c r="BTZ121" s="456"/>
      <c r="BUA121" s="456"/>
      <c r="BUB121" s="456"/>
      <c r="BUC121" s="456"/>
      <c r="BUD121" s="456"/>
      <c r="BUE121" s="456"/>
      <c r="BUF121" s="456"/>
      <c r="BUG121" s="456"/>
      <c r="BUH121" s="456"/>
      <c r="BUI121" s="456"/>
      <c r="BUJ121" s="456"/>
      <c r="BUK121" s="456"/>
      <c r="BUL121" s="456"/>
      <c r="BUM121" s="456"/>
      <c r="BUN121" s="456"/>
      <c r="BUO121" s="456"/>
      <c r="BUP121" s="456"/>
      <c r="BUQ121" s="456"/>
      <c r="BUR121" s="456"/>
      <c r="BUS121" s="456"/>
      <c r="BUT121" s="456"/>
      <c r="BUU121" s="456"/>
      <c r="BUV121" s="456"/>
      <c r="BUW121" s="456"/>
      <c r="BUX121" s="456"/>
      <c r="BUY121" s="456"/>
      <c r="BUZ121" s="456"/>
      <c r="BVA121" s="456"/>
      <c r="BVB121" s="456"/>
      <c r="BVC121" s="456"/>
      <c r="BVD121" s="456"/>
      <c r="BVE121" s="456"/>
      <c r="BVF121" s="456"/>
      <c r="BVG121" s="456"/>
      <c r="BVH121" s="456"/>
      <c r="BVI121" s="456"/>
      <c r="BVJ121" s="456"/>
      <c r="BVK121" s="456"/>
      <c r="BVL121" s="456"/>
      <c r="BVM121" s="456"/>
      <c r="BVN121" s="456"/>
      <c r="BVO121" s="456"/>
      <c r="BVP121" s="456"/>
      <c r="BVQ121" s="456"/>
      <c r="BVR121" s="456"/>
      <c r="BVS121" s="456"/>
      <c r="BVT121" s="456"/>
      <c r="BVU121" s="456"/>
      <c r="BVV121" s="456"/>
      <c r="BVW121" s="456"/>
      <c r="BVX121" s="456"/>
      <c r="BVY121" s="456"/>
      <c r="BVZ121" s="456"/>
      <c r="BWA121" s="456"/>
      <c r="BWB121" s="456"/>
      <c r="BWC121" s="456"/>
      <c r="BWD121" s="456"/>
      <c r="BWE121" s="456"/>
      <c r="BWF121" s="456"/>
      <c r="BWG121" s="456"/>
      <c r="BWH121" s="456"/>
      <c r="BWI121" s="456"/>
      <c r="BWJ121" s="456"/>
      <c r="BWK121" s="456"/>
      <c r="BWL121" s="456"/>
      <c r="BWM121" s="456"/>
      <c r="BWN121" s="456"/>
      <c r="BWO121" s="456"/>
      <c r="BWP121" s="456"/>
      <c r="BWQ121" s="456"/>
      <c r="BWR121" s="456"/>
      <c r="BWS121" s="456"/>
      <c r="BWT121" s="456"/>
      <c r="BWU121" s="456"/>
      <c r="BWV121" s="456"/>
      <c r="BWW121" s="456"/>
      <c r="BWX121" s="456"/>
      <c r="BWY121" s="456"/>
      <c r="BWZ121" s="456"/>
      <c r="BXA121" s="456"/>
      <c r="BXB121" s="456"/>
      <c r="BXC121" s="456"/>
      <c r="BXD121" s="456"/>
      <c r="BXE121" s="456"/>
      <c r="BXF121" s="456"/>
      <c r="BXG121" s="456"/>
      <c r="BXH121" s="456"/>
      <c r="BXI121" s="456"/>
      <c r="BXJ121" s="456"/>
      <c r="BXK121" s="456"/>
      <c r="BXL121" s="456"/>
      <c r="BXM121" s="456"/>
      <c r="BXN121" s="456"/>
      <c r="BXO121" s="456"/>
      <c r="BXP121" s="456"/>
      <c r="BXQ121" s="456"/>
      <c r="BXR121" s="456"/>
      <c r="BXS121" s="456"/>
      <c r="BXT121" s="456"/>
      <c r="BXU121" s="456"/>
      <c r="BXV121" s="456"/>
      <c r="BXW121" s="456"/>
      <c r="BXX121" s="456"/>
      <c r="BXY121" s="456"/>
      <c r="BXZ121" s="456"/>
    </row>
    <row r="122" s="25" customFormat="1" ht="15.6" spans="1:1024 1025:2002">
      <c r="A122" s="473"/>
      <c r="B122" s="19">
        <v>1125</v>
      </c>
      <c r="C122" s="183">
        <v>46196</v>
      </c>
      <c r="D122" s="17" t="s">
        <v>52</v>
      </c>
      <c r="E122" s="17" t="s">
        <v>53</v>
      </c>
      <c r="F122" s="17" t="s">
        <v>54</v>
      </c>
      <c r="G122" s="17"/>
      <c r="H122" s="19" t="s">
        <v>55</v>
      </c>
      <c r="I122" s="102" t="s">
        <v>56</v>
      </c>
      <c r="J122" s="17" t="s">
        <v>49</v>
      </c>
      <c r="K122" s="19">
        <v>710</v>
      </c>
      <c r="L122" s="19">
        <v>105</v>
      </c>
      <c r="M122" s="19">
        <v>5800</v>
      </c>
      <c r="N122" s="19" t="s">
        <v>40</v>
      </c>
      <c r="O122" s="19" t="s">
        <v>84</v>
      </c>
      <c r="P122" s="19">
        <f>2100*2</f>
        <v>4200</v>
      </c>
      <c r="Q122" s="19">
        <f>2264+2286</f>
        <v>4550</v>
      </c>
      <c r="R122" s="19">
        <f t="shared" si="9"/>
        <v>-350</v>
      </c>
      <c r="S122" s="311">
        <v>2040</v>
      </c>
      <c r="T122" s="19" t="s">
        <v>42</v>
      </c>
      <c r="U122" s="102" t="s">
        <v>101</v>
      </c>
      <c r="V122" s="186">
        <v>46197</v>
      </c>
      <c r="W122" s="17" t="s">
        <v>58</v>
      </c>
      <c r="X122" s="17"/>
      <c r="Y122" s="68">
        <v>46204</v>
      </c>
      <c r="Z122" s="17" t="s">
        <v>45</v>
      </c>
      <c r="AA122" s="17" t="s">
        <v>59</v>
      </c>
      <c r="AB122" s="17" t="s">
        <v>102</v>
      </c>
      <c r="AC122" s="217">
        <v>46274</v>
      </c>
      <c r="AD122" s="65">
        <v>1861</v>
      </c>
      <c r="AE122" s="17" t="s">
        <v>48</v>
      </c>
      <c r="AF122" s="17" t="s">
        <v>61</v>
      </c>
      <c r="AG122" s="17" t="s">
        <v>103</v>
      </c>
      <c r="AH122" s="456"/>
      <c r="AI122" s="456"/>
      <c r="AJ122" s="456"/>
      <c r="AK122" s="456"/>
      <c r="AL122" s="456"/>
      <c r="AM122" s="456"/>
      <c r="AN122" s="456"/>
      <c r="AO122" s="456"/>
      <c r="AP122" s="456"/>
      <c r="AQ122" s="456"/>
      <c r="AR122" s="456"/>
      <c r="AS122" s="456"/>
      <c r="AT122" s="456"/>
      <c r="AU122" s="456"/>
      <c r="AV122" s="456"/>
      <c r="AW122" s="456"/>
      <c r="AX122" s="456"/>
      <c r="AY122" s="456"/>
      <c r="AZ122" s="456"/>
      <c r="BA122" s="456"/>
      <c r="BB122" s="456"/>
      <c r="BC122" s="456"/>
      <c r="BD122" s="456"/>
      <c r="BE122" s="456"/>
      <c r="BF122" s="456"/>
      <c r="BG122" s="456"/>
      <c r="BH122" s="456"/>
      <c r="BI122" s="456"/>
      <c r="BJ122" s="456"/>
      <c r="BK122" s="456"/>
      <c r="BL122" s="456"/>
      <c r="BM122" s="456"/>
      <c r="BN122" s="456"/>
      <c r="BO122" s="456"/>
      <c r="BP122" s="456"/>
      <c r="BQ122" s="456"/>
      <c r="BR122" s="456"/>
      <c r="BS122" s="456"/>
      <c r="BT122" s="456"/>
      <c r="BU122" s="456"/>
      <c r="BV122" s="456"/>
      <c r="BW122" s="456"/>
      <c r="BX122" s="456"/>
      <c r="BY122" s="456"/>
      <c r="BZ122" s="456"/>
      <c r="CA122" s="456"/>
      <c r="CB122" s="456"/>
      <c r="CC122" s="456"/>
      <c r="CD122" s="456"/>
      <c r="CE122" s="456"/>
      <c r="CF122" s="456"/>
      <c r="CG122" s="456"/>
      <c r="CH122" s="456"/>
      <c r="CI122" s="456"/>
      <c r="CJ122" s="456"/>
      <c r="CK122" s="456"/>
      <c r="CL122" s="456"/>
      <c r="CM122" s="456"/>
      <c r="CN122" s="456"/>
      <c r="CO122" s="456"/>
      <c r="CP122" s="456"/>
      <c r="CQ122" s="456"/>
      <c r="CR122" s="456"/>
      <c r="CS122" s="456"/>
      <c r="CT122" s="456"/>
      <c r="CU122" s="456"/>
      <c r="CV122" s="456"/>
      <c r="CW122" s="456"/>
      <c r="CX122" s="456"/>
      <c r="CY122" s="456"/>
      <c r="CZ122" s="456"/>
      <c r="DA122" s="456"/>
      <c r="DB122" s="456"/>
      <c r="DC122" s="456"/>
      <c r="DD122" s="456"/>
      <c r="DE122" s="456"/>
      <c r="DF122" s="456"/>
      <c r="DG122" s="456"/>
      <c r="DH122" s="456"/>
      <c r="DI122" s="456"/>
      <c r="DJ122" s="456"/>
      <c r="DK122" s="456"/>
      <c r="DL122" s="456"/>
      <c r="DM122" s="456"/>
      <c r="DN122" s="456"/>
      <c r="DO122" s="456"/>
      <c r="DP122" s="456"/>
      <c r="DQ122" s="456"/>
      <c r="DR122" s="456"/>
      <c r="DS122" s="456"/>
      <c r="DT122" s="456"/>
      <c r="DU122" s="456"/>
      <c r="DV122" s="456"/>
      <c r="DW122" s="456"/>
      <c r="DX122" s="456"/>
      <c r="DY122" s="456"/>
      <c r="DZ122" s="456"/>
      <c r="EA122" s="456"/>
      <c r="EB122" s="456"/>
      <c r="EC122" s="456"/>
      <c r="ED122" s="456"/>
      <c r="EE122" s="456"/>
      <c r="EF122" s="456"/>
      <c r="EG122" s="456"/>
      <c r="EH122" s="456"/>
      <c r="EI122" s="456"/>
      <c r="EJ122" s="456"/>
      <c r="EK122" s="456"/>
      <c r="EL122" s="456"/>
      <c r="EM122" s="456"/>
      <c r="EN122" s="456"/>
      <c r="EO122" s="456"/>
      <c r="EP122" s="456"/>
      <c r="EQ122" s="456"/>
      <c r="ER122" s="456"/>
      <c r="ES122" s="456"/>
      <c r="ET122" s="456"/>
      <c r="EU122" s="456"/>
      <c r="EV122" s="456"/>
      <c r="EW122" s="456"/>
      <c r="EX122" s="456"/>
      <c r="EY122" s="456"/>
      <c r="EZ122" s="456"/>
      <c r="FA122" s="456"/>
      <c r="FB122" s="456"/>
      <c r="FC122" s="456"/>
      <c r="FD122" s="456"/>
      <c r="FE122" s="456"/>
      <c r="FF122" s="456"/>
      <c r="FG122" s="456"/>
      <c r="FH122" s="456"/>
      <c r="FI122" s="456"/>
      <c r="FJ122" s="456"/>
      <c r="FK122" s="456"/>
      <c r="FL122" s="456"/>
      <c r="FM122" s="456"/>
      <c r="FN122" s="456"/>
      <c r="FO122" s="456"/>
      <c r="FP122" s="456"/>
      <c r="FQ122" s="456"/>
      <c r="FR122" s="456"/>
      <c r="FS122" s="456"/>
      <c r="FT122" s="456"/>
      <c r="FU122" s="456"/>
      <c r="FV122" s="456"/>
      <c r="FW122" s="456"/>
      <c r="FX122" s="456"/>
      <c r="FY122" s="456"/>
      <c r="FZ122" s="456"/>
      <c r="GA122" s="456"/>
      <c r="GB122" s="456"/>
      <c r="GC122" s="456"/>
      <c r="GD122" s="456"/>
      <c r="GE122" s="456"/>
      <c r="GF122" s="456"/>
      <c r="GG122" s="456"/>
      <c r="GH122" s="456"/>
      <c r="GI122" s="456"/>
      <c r="GJ122" s="456"/>
      <c r="GK122" s="456"/>
      <c r="GL122" s="456"/>
      <c r="GM122" s="456"/>
      <c r="GN122" s="456"/>
      <c r="GO122" s="456"/>
      <c r="GP122" s="456"/>
      <c r="GQ122" s="456"/>
      <c r="GR122" s="456"/>
      <c r="GS122" s="456"/>
      <c r="GT122" s="456"/>
      <c r="GU122" s="456"/>
      <c r="GV122" s="456"/>
      <c r="GW122" s="456"/>
      <c r="GX122" s="456"/>
      <c r="GY122" s="456"/>
      <c r="GZ122" s="456"/>
      <c r="HA122" s="456"/>
      <c r="HB122" s="456"/>
      <c r="HC122" s="456"/>
      <c r="HD122" s="456"/>
      <c r="HE122" s="456"/>
      <c r="HF122" s="456"/>
      <c r="HG122" s="456"/>
      <c r="HH122" s="456"/>
      <c r="HI122" s="456"/>
      <c r="HJ122" s="456"/>
      <c r="HK122" s="456"/>
      <c r="HL122" s="456"/>
      <c r="HM122" s="456"/>
      <c r="HN122" s="456"/>
      <c r="HO122" s="456"/>
      <c r="HP122" s="456"/>
      <c r="HQ122" s="456"/>
      <c r="HR122" s="456"/>
      <c r="HS122" s="456"/>
      <c r="HT122" s="456"/>
      <c r="HU122" s="456"/>
      <c r="HV122" s="456"/>
      <c r="HW122" s="456"/>
      <c r="HX122" s="456"/>
      <c r="HY122" s="456"/>
      <c r="HZ122" s="456"/>
      <c r="IA122" s="456"/>
      <c r="IB122" s="456"/>
      <c r="IC122" s="456"/>
      <c r="ID122" s="456"/>
      <c r="IE122" s="456"/>
      <c r="IF122" s="456"/>
      <c r="IG122" s="456"/>
      <c r="IH122" s="456"/>
      <c r="II122" s="456"/>
      <c r="IJ122" s="456"/>
      <c r="IK122" s="456"/>
      <c r="IL122" s="456"/>
      <c r="IM122" s="456"/>
      <c r="IN122" s="456"/>
      <c r="IO122" s="456"/>
      <c r="IP122" s="456"/>
      <c r="IQ122" s="456"/>
      <c r="IR122" s="456"/>
      <c r="IS122" s="456"/>
      <c r="IT122" s="456"/>
      <c r="IU122" s="456"/>
      <c r="IV122" s="456"/>
      <c r="IW122" s="456"/>
      <c r="IX122" s="456"/>
      <c r="IY122" s="456"/>
      <c r="IZ122" s="456"/>
      <c r="JA122" s="456"/>
      <c r="JB122" s="456"/>
      <c r="JC122" s="456"/>
      <c r="JD122" s="456"/>
      <c r="JE122" s="456"/>
      <c r="JF122" s="456"/>
      <c r="JG122" s="456"/>
      <c r="JH122" s="456"/>
      <c r="JI122" s="456"/>
      <c r="JJ122" s="456"/>
      <c r="JK122" s="456"/>
      <c r="JL122" s="456"/>
      <c r="JM122" s="456"/>
      <c r="JN122" s="456"/>
      <c r="JO122" s="456"/>
      <c r="JP122" s="456"/>
      <c r="JQ122" s="456"/>
      <c r="JR122" s="456"/>
      <c r="JS122" s="456"/>
      <c r="JT122" s="456"/>
      <c r="JU122" s="456"/>
      <c r="JV122" s="456"/>
      <c r="JW122" s="456"/>
      <c r="JX122" s="456"/>
      <c r="JY122" s="456"/>
      <c r="JZ122" s="456"/>
      <c r="KA122" s="456"/>
      <c r="KB122" s="456"/>
      <c r="KC122" s="456"/>
      <c r="KD122" s="456"/>
      <c r="KE122" s="456"/>
      <c r="KF122" s="456"/>
      <c r="KG122" s="456"/>
      <c r="KH122" s="456"/>
      <c r="KI122" s="456"/>
      <c r="KJ122" s="456"/>
      <c r="KK122" s="456"/>
      <c r="KL122" s="456"/>
      <c r="KM122" s="456"/>
      <c r="KN122" s="456"/>
      <c r="KO122" s="456"/>
      <c r="KP122" s="456"/>
      <c r="KQ122" s="456"/>
      <c r="KR122" s="456"/>
      <c r="KS122" s="456"/>
      <c r="KT122" s="456"/>
      <c r="KU122" s="456"/>
      <c r="KV122" s="456"/>
      <c r="KW122" s="456"/>
      <c r="KX122" s="456"/>
      <c r="KY122" s="456"/>
      <c r="KZ122" s="456"/>
      <c r="LA122" s="456"/>
      <c r="LB122" s="456"/>
      <c r="LC122" s="456"/>
      <c r="LD122" s="456"/>
      <c r="LE122" s="456"/>
      <c r="LF122" s="456"/>
      <c r="LG122" s="456"/>
      <c r="LH122" s="456"/>
      <c r="LI122" s="456"/>
      <c r="LJ122" s="456"/>
      <c r="LK122" s="456"/>
      <c r="LL122" s="456"/>
      <c r="LM122" s="456"/>
      <c r="LN122" s="456"/>
      <c r="LO122" s="456"/>
      <c r="LP122" s="456"/>
      <c r="LQ122" s="456"/>
      <c r="LR122" s="456"/>
      <c r="LS122" s="456"/>
      <c r="LT122" s="456"/>
      <c r="LU122" s="456"/>
      <c r="LV122" s="456"/>
      <c r="LW122" s="456"/>
      <c r="LX122" s="456"/>
      <c r="LY122" s="456"/>
      <c r="LZ122" s="456"/>
      <c r="MA122" s="456"/>
      <c r="MB122" s="456"/>
      <c r="MC122" s="456"/>
      <c r="MD122" s="456"/>
      <c r="ME122" s="456"/>
      <c r="MF122" s="456"/>
      <c r="MG122" s="456"/>
      <c r="MH122" s="456"/>
      <c r="MI122" s="456"/>
      <c r="MJ122" s="456"/>
      <c r="MK122" s="456"/>
      <c r="ML122" s="456"/>
      <c r="MM122" s="456"/>
      <c r="MN122" s="456"/>
      <c r="MO122" s="456"/>
      <c r="MP122" s="456"/>
      <c r="MQ122" s="456"/>
      <c r="MR122" s="456"/>
      <c r="MS122" s="456"/>
      <c r="MT122" s="456"/>
      <c r="MU122" s="456"/>
      <c r="MV122" s="456"/>
      <c r="MW122" s="456"/>
      <c r="MX122" s="456"/>
      <c r="MY122" s="456"/>
      <c r="MZ122" s="456"/>
      <c r="NA122" s="456"/>
      <c r="NB122" s="456"/>
      <c r="NC122" s="456"/>
      <c r="ND122" s="456"/>
      <c r="NE122" s="456"/>
      <c r="NF122" s="456"/>
      <c r="NG122" s="456"/>
      <c r="NH122" s="456"/>
      <c r="NI122" s="456"/>
      <c r="NJ122" s="456"/>
      <c r="NK122" s="456"/>
      <c r="NL122" s="456"/>
      <c r="NM122" s="456"/>
      <c r="NN122" s="456"/>
      <c r="NO122" s="456"/>
      <c r="NP122" s="456"/>
      <c r="NQ122" s="456"/>
      <c r="NR122" s="456"/>
      <c r="NS122" s="456"/>
      <c r="NT122" s="456"/>
      <c r="NU122" s="456"/>
      <c r="NV122" s="456"/>
      <c r="NW122" s="456"/>
      <c r="NX122" s="456"/>
      <c r="NY122" s="456"/>
      <c r="NZ122" s="456"/>
      <c r="OA122" s="456"/>
      <c r="OB122" s="456"/>
      <c r="OC122" s="456"/>
      <c r="OD122" s="456"/>
      <c r="OE122" s="456"/>
      <c r="OF122" s="456"/>
      <c r="OG122" s="456"/>
      <c r="OH122" s="456"/>
      <c r="OI122" s="456"/>
      <c r="OJ122" s="456"/>
      <c r="OK122" s="456"/>
      <c r="OL122" s="456"/>
      <c r="OM122" s="456"/>
      <c r="ON122" s="456"/>
      <c r="OO122" s="456"/>
      <c r="OP122" s="456"/>
      <c r="OQ122" s="456"/>
      <c r="OR122" s="456"/>
      <c r="OS122" s="456"/>
      <c r="OT122" s="456"/>
      <c r="OU122" s="456"/>
      <c r="OV122" s="456"/>
      <c r="OW122" s="456"/>
      <c r="OX122" s="456"/>
      <c r="OY122" s="456"/>
      <c r="OZ122" s="456"/>
      <c r="PA122" s="456"/>
      <c r="PB122" s="456"/>
      <c r="PC122" s="456"/>
      <c r="PD122" s="456"/>
      <c r="PE122" s="456"/>
      <c r="PF122" s="456"/>
      <c r="PG122" s="456"/>
      <c r="PH122" s="456"/>
      <c r="PI122" s="456"/>
      <c r="PJ122" s="456"/>
      <c r="PK122" s="456"/>
      <c r="PL122" s="456"/>
      <c r="PM122" s="456"/>
      <c r="PN122" s="456"/>
      <c r="PO122" s="456"/>
      <c r="PP122" s="456"/>
      <c r="PQ122" s="456"/>
      <c r="PR122" s="456"/>
      <c r="PS122" s="456"/>
      <c r="PT122" s="456"/>
      <c r="PU122" s="456"/>
      <c r="PV122" s="456"/>
      <c r="PW122" s="456"/>
      <c r="PX122" s="456"/>
      <c r="PY122" s="456"/>
      <c r="PZ122" s="456"/>
      <c r="QA122" s="456"/>
      <c r="QB122" s="456"/>
      <c r="QC122" s="456"/>
      <c r="QD122" s="456"/>
      <c r="QE122" s="456"/>
      <c r="QF122" s="456"/>
      <c r="QG122" s="456"/>
      <c r="QH122" s="456"/>
      <c r="QI122" s="456"/>
      <c r="QJ122" s="456"/>
      <c r="QK122" s="456"/>
      <c r="QL122" s="456"/>
      <c r="QM122" s="456"/>
      <c r="QN122" s="456"/>
      <c r="QO122" s="456"/>
      <c r="QP122" s="456"/>
      <c r="QQ122" s="456"/>
      <c r="QR122" s="456"/>
      <c r="QS122" s="456"/>
      <c r="QT122" s="456"/>
      <c r="QU122" s="456"/>
      <c r="QV122" s="456"/>
      <c r="QW122" s="456"/>
      <c r="QX122" s="456"/>
      <c r="QY122" s="456"/>
      <c r="QZ122" s="456"/>
      <c r="RA122" s="456"/>
      <c r="RB122" s="456"/>
      <c r="RC122" s="456"/>
      <c r="RD122" s="456"/>
      <c r="RE122" s="456"/>
      <c r="RF122" s="456"/>
      <c r="RG122" s="456"/>
      <c r="RH122" s="456"/>
      <c r="RI122" s="456"/>
      <c r="RJ122" s="456"/>
      <c r="RK122" s="456"/>
      <c r="RL122" s="456"/>
      <c r="RM122" s="456"/>
      <c r="RN122" s="456"/>
      <c r="RO122" s="456"/>
      <c r="RP122" s="456"/>
      <c r="RQ122" s="456"/>
      <c r="RR122" s="456"/>
      <c r="RS122" s="456"/>
      <c r="RT122" s="456"/>
      <c r="RU122" s="456"/>
      <c r="RV122" s="456"/>
      <c r="RW122" s="456"/>
      <c r="RX122" s="456"/>
      <c r="RY122" s="456"/>
      <c r="RZ122" s="456"/>
      <c r="SA122" s="456"/>
      <c r="SB122" s="456"/>
      <c r="SC122" s="456"/>
      <c r="SD122" s="456"/>
      <c r="SE122" s="456"/>
      <c r="SF122" s="456"/>
      <c r="SG122" s="456"/>
      <c r="SH122" s="456"/>
      <c r="SI122" s="456"/>
      <c r="SJ122" s="456"/>
      <c r="SK122" s="456"/>
      <c r="SL122" s="456"/>
      <c r="SM122" s="456"/>
      <c r="SN122" s="456"/>
      <c r="SO122" s="456"/>
      <c r="SP122" s="456"/>
      <c r="SQ122" s="456"/>
      <c r="SR122" s="456"/>
      <c r="SS122" s="456"/>
      <c r="ST122" s="456"/>
      <c r="SU122" s="456"/>
      <c r="SV122" s="456"/>
      <c r="SW122" s="456"/>
      <c r="SX122" s="456"/>
      <c r="SY122" s="456"/>
      <c r="SZ122" s="456"/>
      <c r="TA122" s="456"/>
      <c r="TB122" s="456"/>
      <c r="TC122" s="456"/>
      <c r="TD122" s="456"/>
      <c r="TE122" s="456"/>
      <c r="TF122" s="456"/>
      <c r="TG122" s="456"/>
      <c r="TH122" s="456"/>
      <c r="TI122" s="456"/>
      <c r="TJ122" s="456"/>
      <c r="TK122" s="456"/>
      <c r="TL122" s="456"/>
      <c r="TM122" s="456"/>
      <c r="TN122" s="456"/>
      <c r="TO122" s="456"/>
      <c r="TP122" s="456"/>
      <c r="TQ122" s="456"/>
      <c r="TR122" s="456"/>
      <c r="TS122" s="456"/>
      <c r="TT122" s="456"/>
      <c r="TU122" s="456"/>
      <c r="TV122" s="456"/>
      <c r="TW122" s="456"/>
      <c r="TX122" s="456"/>
      <c r="TY122" s="456"/>
      <c r="TZ122" s="456"/>
      <c r="UA122" s="456"/>
      <c r="UB122" s="456"/>
      <c r="UC122" s="456"/>
      <c r="UD122" s="456"/>
      <c r="UE122" s="456"/>
      <c r="UF122" s="456"/>
      <c r="UG122" s="456"/>
      <c r="UH122" s="456"/>
      <c r="UI122" s="456"/>
      <c r="UJ122" s="456"/>
      <c r="UK122" s="456"/>
      <c r="UL122" s="456"/>
      <c r="UM122" s="456"/>
      <c r="UN122" s="456"/>
      <c r="UO122" s="456"/>
      <c r="UP122" s="456"/>
      <c r="UQ122" s="456"/>
      <c r="UR122" s="456"/>
      <c r="US122" s="456"/>
      <c r="UT122" s="456"/>
      <c r="UU122" s="456"/>
      <c r="UV122" s="456"/>
      <c r="UW122" s="456"/>
      <c r="UX122" s="456"/>
      <c r="UY122" s="456"/>
      <c r="UZ122" s="456"/>
      <c r="VA122" s="456"/>
      <c r="VB122" s="456"/>
      <c r="VC122" s="456"/>
      <c r="VD122" s="456"/>
      <c r="VE122" s="456"/>
      <c r="VF122" s="456"/>
      <c r="VG122" s="456"/>
      <c r="VH122" s="456"/>
      <c r="VI122" s="456"/>
      <c r="VJ122" s="456"/>
      <c r="VK122" s="456"/>
      <c r="VL122" s="456"/>
      <c r="VM122" s="456"/>
      <c r="VN122" s="456"/>
      <c r="VO122" s="456"/>
      <c r="VP122" s="456"/>
      <c r="VQ122" s="456"/>
      <c r="VR122" s="456"/>
      <c r="VS122" s="456"/>
      <c r="VT122" s="456"/>
      <c r="VU122" s="456"/>
      <c r="VV122" s="456"/>
      <c r="VW122" s="456"/>
      <c r="VX122" s="456"/>
      <c r="VY122" s="456"/>
      <c r="VZ122" s="456"/>
      <c r="WA122" s="456"/>
      <c r="WB122" s="456"/>
      <c r="WC122" s="456"/>
      <c r="WD122" s="456"/>
      <c r="WE122" s="456"/>
      <c r="WF122" s="456"/>
      <c r="WG122" s="456"/>
      <c r="WH122" s="456"/>
      <c r="WI122" s="456"/>
      <c r="WJ122" s="456"/>
      <c r="WK122" s="456"/>
      <c r="WL122" s="456"/>
      <c r="WM122" s="456"/>
      <c r="WN122" s="456"/>
      <c r="WO122" s="456"/>
      <c r="WP122" s="456"/>
      <c r="WQ122" s="456"/>
      <c r="WR122" s="456"/>
      <c r="WS122" s="456"/>
      <c r="WT122" s="456"/>
      <c r="WU122" s="456"/>
      <c r="WV122" s="456"/>
      <c r="WW122" s="456"/>
      <c r="WX122" s="456"/>
      <c r="WY122" s="456"/>
      <c r="WZ122" s="456"/>
      <c r="XA122" s="456"/>
      <c r="XB122" s="456"/>
      <c r="XC122" s="456"/>
      <c r="XD122" s="456"/>
      <c r="XE122" s="456"/>
      <c r="XF122" s="456"/>
      <c r="XG122" s="456"/>
      <c r="XH122" s="456"/>
      <c r="XI122" s="456"/>
      <c r="XJ122" s="456"/>
      <c r="XK122" s="456"/>
      <c r="XL122" s="456"/>
      <c r="XM122" s="456"/>
      <c r="XN122" s="456"/>
      <c r="XO122" s="456"/>
      <c r="XP122" s="456"/>
      <c r="XQ122" s="456"/>
      <c r="XR122" s="456"/>
      <c r="XS122" s="456"/>
      <c r="XT122" s="456"/>
      <c r="XU122" s="456"/>
      <c r="XV122" s="456"/>
      <c r="XW122" s="456"/>
      <c r="XX122" s="456"/>
      <c r="XY122" s="456"/>
      <c r="XZ122" s="456"/>
      <c r="YA122" s="456"/>
      <c r="YB122" s="456"/>
      <c r="YC122" s="456"/>
      <c r="YD122" s="456"/>
      <c r="YE122" s="456"/>
      <c r="YF122" s="456"/>
      <c r="YG122" s="456"/>
      <c r="YH122" s="456"/>
      <c r="YI122" s="456"/>
      <c r="YJ122" s="456"/>
      <c r="YK122" s="456"/>
      <c r="YL122" s="456"/>
      <c r="YM122" s="456"/>
      <c r="YN122" s="456"/>
      <c r="YO122" s="456"/>
      <c r="YP122" s="456"/>
      <c r="YQ122" s="456"/>
      <c r="YR122" s="456"/>
      <c r="YS122" s="456"/>
      <c r="YT122" s="456"/>
      <c r="YU122" s="456"/>
      <c r="YV122" s="456"/>
      <c r="YW122" s="456"/>
      <c r="YX122" s="456"/>
      <c r="YY122" s="456"/>
      <c r="YZ122" s="456"/>
      <c r="ZA122" s="456"/>
      <c r="ZB122" s="456"/>
      <c r="ZC122" s="456"/>
      <c r="ZD122" s="456"/>
      <c r="ZE122" s="456"/>
      <c r="ZF122" s="456"/>
      <c r="ZG122" s="456"/>
      <c r="ZH122" s="456"/>
      <c r="ZI122" s="456"/>
      <c r="ZJ122" s="456"/>
      <c r="ZK122" s="456"/>
      <c r="ZL122" s="456"/>
      <c r="ZM122" s="456"/>
      <c r="ZN122" s="456"/>
      <c r="ZO122" s="456"/>
      <c r="ZP122" s="456"/>
      <c r="ZQ122" s="456"/>
      <c r="ZR122" s="456"/>
      <c r="ZS122" s="456"/>
      <c r="ZT122" s="456"/>
      <c r="ZU122" s="456"/>
      <c r="ZV122" s="456"/>
      <c r="ZW122" s="456"/>
      <c r="ZX122" s="456"/>
      <c r="ZY122" s="456"/>
      <c r="ZZ122" s="456"/>
      <c r="AAA122" s="456"/>
      <c r="AAB122" s="456"/>
      <c r="AAC122" s="456"/>
      <c r="AAD122" s="456"/>
      <c r="AAE122" s="456"/>
      <c r="AAF122" s="456"/>
      <c r="AAG122" s="456"/>
      <c r="AAH122" s="456"/>
      <c r="AAI122" s="456"/>
      <c r="AAJ122" s="456"/>
      <c r="AAK122" s="456"/>
      <c r="AAL122" s="456"/>
      <c r="AAM122" s="456"/>
      <c r="AAN122" s="456"/>
      <c r="AAO122" s="456"/>
      <c r="AAP122" s="456"/>
      <c r="AAQ122" s="456"/>
      <c r="AAR122" s="456"/>
      <c r="AAS122" s="456"/>
      <c r="AAT122" s="456"/>
      <c r="AAU122" s="456"/>
      <c r="AAV122" s="456"/>
      <c r="AAW122" s="456"/>
      <c r="AAX122" s="456"/>
      <c r="AAY122" s="456"/>
      <c r="AAZ122" s="456"/>
      <c r="ABA122" s="456"/>
      <c r="ABB122" s="456"/>
      <c r="ABC122" s="456"/>
      <c r="ABD122" s="456"/>
      <c r="ABE122" s="456"/>
      <c r="ABF122" s="456"/>
      <c r="ABG122" s="456"/>
      <c r="ABH122" s="456"/>
      <c r="ABI122" s="456"/>
      <c r="ABJ122" s="456"/>
      <c r="ABK122" s="456"/>
      <c r="ABL122" s="456"/>
      <c r="ABM122" s="456"/>
      <c r="ABN122" s="456"/>
      <c r="ABO122" s="456"/>
      <c r="ABP122" s="456"/>
      <c r="ABQ122" s="456"/>
      <c r="ABR122" s="456"/>
      <c r="ABS122" s="456"/>
      <c r="ABT122" s="456"/>
      <c r="ABU122" s="456"/>
      <c r="ABV122" s="456"/>
      <c r="ABW122" s="456"/>
      <c r="ABX122" s="456"/>
      <c r="ABY122" s="456"/>
      <c r="ABZ122" s="456"/>
      <c r="ACA122" s="456"/>
      <c r="ACB122" s="456"/>
      <c r="ACC122" s="456"/>
      <c r="ACD122" s="456"/>
      <c r="ACE122" s="456"/>
      <c r="ACF122" s="456"/>
      <c r="ACG122" s="456"/>
      <c r="ACH122" s="456"/>
      <c r="ACI122" s="456"/>
      <c r="ACJ122" s="456"/>
      <c r="ACK122" s="456"/>
      <c r="ACL122" s="456"/>
      <c r="ACM122" s="456"/>
      <c r="ACN122" s="456"/>
      <c r="ACO122" s="456"/>
      <c r="ACP122" s="456"/>
      <c r="ACQ122" s="456"/>
      <c r="ACR122" s="456"/>
      <c r="ACS122" s="456"/>
      <c r="ACT122" s="456"/>
      <c r="ACU122" s="456"/>
      <c r="ACV122" s="456"/>
      <c r="ACW122" s="456"/>
      <c r="ACX122" s="456"/>
      <c r="ACY122" s="456"/>
      <c r="ACZ122" s="456"/>
      <c r="ADA122" s="456"/>
      <c r="ADB122" s="456"/>
      <c r="ADC122" s="456"/>
      <c r="ADD122" s="456"/>
      <c r="ADE122" s="456"/>
      <c r="ADF122" s="456"/>
      <c r="ADG122" s="456"/>
      <c r="ADH122" s="456"/>
      <c r="ADI122" s="456"/>
      <c r="ADJ122" s="456"/>
      <c r="ADK122" s="456"/>
      <c r="ADL122" s="456"/>
      <c r="ADM122" s="456"/>
      <c r="ADN122" s="456"/>
      <c r="ADO122" s="456"/>
      <c r="ADP122" s="456"/>
      <c r="ADQ122" s="456"/>
      <c r="ADR122" s="456"/>
      <c r="ADS122" s="456"/>
      <c r="ADT122" s="456"/>
      <c r="ADU122" s="456"/>
      <c r="ADV122" s="456"/>
      <c r="ADW122" s="456"/>
      <c r="ADX122" s="456"/>
      <c r="ADY122" s="456"/>
      <c r="ADZ122" s="456"/>
      <c r="AEA122" s="456"/>
      <c r="AEB122" s="456"/>
      <c r="AEC122" s="456"/>
      <c r="AED122" s="456"/>
      <c r="AEE122" s="456"/>
      <c r="AEF122" s="456"/>
      <c r="AEG122" s="456"/>
      <c r="AEH122" s="456"/>
      <c r="AEI122" s="456"/>
      <c r="AEJ122" s="456"/>
      <c r="AEK122" s="456"/>
      <c r="AEL122" s="456"/>
      <c r="AEM122" s="456"/>
      <c r="AEN122" s="456"/>
      <c r="AEO122" s="456"/>
      <c r="AEP122" s="456"/>
      <c r="AEQ122" s="456"/>
      <c r="AER122" s="456"/>
      <c r="AES122" s="456"/>
      <c r="AET122" s="456"/>
      <c r="AEU122" s="456"/>
      <c r="AEV122" s="456"/>
      <c r="AEW122" s="456"/>
      <c r="AEX122" s="456"/>
      <c r="AEY122" s="456"/>
      <c r="AEZ122" s="456"/>
      <c r="AFA122" s="456"/>
      <c r="AFB122" s="456"/>
      <c r="AFC122" s="456"/>
      <c r="AFD122" s="456"/>
      <c r="AFE122" s="456"/>
      <c r="AFF122" s="456"/>
      <c r="AFG122" s="456"/>
      <c r="AFH122" s="456"/>
      <c r="AFI122" s="456"/>
      <c r="AFJ122" s="456"/>
      <c r="AFK122" s="456"/>
      <c r="AFL122" s="456"/>
      <c r="AFM122" s="456"/>
      <c r="AFN122" s="456"/>
      <c r="AFO122" s="456"/>
      <c r="AFP122" s="456"/>
      <c r="AFQ122" s="456"/>
      <c r="AFR122" s="456"/>
      <c r="AFS122" s="456"/>
      <c r="AFT122" s="456"/>
      <c r="AFU122" s="456"/>
      <c r="AFV122" s="456"/>
      <c r="AFW122" s="456"/>
      <c r="AFX122" s="456"/>
      <c r="AFY122" s="456"/>
      <c r="AFZ122" s="456"/>
      <c r="AGA122" s="456"/>
      <c r="AGB122" s="456"/>
      <c r="AGC122" s="456"/>
      <c r="AGD122" s="456"/>
      <c r="AGE122" s="456"/>
      <c r="AGF122" s="456"/>
      <c r="AGG122" s="456"/>
      <c r="AGH122" s="456"/>
      <c r="AGI122" s="456"/>
      <c r="AGJ122" s="456"/>
      <c r="AGK122" s="456"/>
      <c r="AGL122" s="456"/>
      <c r="AGM122" s="456"/>
      <c r="AGN122" s="456"/>
      <c r="AGO122" s="456"/>
      <c r="AGP122" s="456"/>
      <c r="AGQ122" s="456"/>
      <c r="AGR122" s="456"/>
      <c r="AGS122" s="456"/>
      <c r="AGT122" s="456"/>
      <c r="AGU122" s="456"/>
      <c r="AGV122" s="456"/>
      <c r="AGW122" s="456"/>
      <c r="AGX122" s="456"/>
      <c r="AGY122" s="456"/>
      <c r="AGZ122" s="456"/>
      <c r="AHA122" s="456"/>
      <c r="AHB122" s="456"/>
      <c r="AHC122" s="456"/>
      <c r="AHD122" s="456"/>
      <c r="AHE122" s="456"/>
      <c r="AHF122" s="456"/>
      <c r="AHG122" s="456"/>
      <c r="AHH122" s="456"/>
      <c r="AHI122" s="456"/>
      <c r="AHJ122" s="456"/>
      <c r="AHK122" s="456"/>
      <c r="AHL122" s="456"/>
      <c r="AHM122" s="456"/>
      <c r="AHN122" s="456"/>
      <c r="AHO122" s="456"/>
      <c r="AHP122" s="456"/>
      <c r="AHQ122" s="456"/>
      <c r="AHR122" s="456"/>
      <c r="AHS122" s="456"/>
      <c r="AHT122" s="456"/>
      <c r="AHU122" s="456"/>
      <c r="AHV122" s="456"/>
      <c r="AHW122" s="456"/>
      <c r="AHX122" s="456"/>
      <c r="AHY122" s="456"/>
      <c r="AHZ122" s="456"/>
      <c r="AIA122" s="456"/>
      <c r="AIB122" s="456"/>
      <c r="AIC122" s="456"/>
      <c r="AID122" s="456"/>
      <c r="AIE122" s="456"/>
      <c r="AIF122" s="456"/>
      <c r="AIG122" s="456"/>
      <c r="AIH122" s="456"/>
      <c r="AII122" s="456"/>
      <c r="AIJ122" s="456"/>
      <c r="AIK122" s="456"/>
      <c r="AIL122" s="456"/>
      <c r="AIM122" s="456"/>
      <c r="AIN122" s="456"/>
      <c r="AIO122" s="456"/>
      <c r="AIP122" s="456"/>
      <c r="AIQ122" s="456"/>
      <c r="AIR122" s="456"/>
      <c r="AIS122" s="456"/>
      <c r="AIT122" s="456"/>
      <c r="AIU122" s="456"/>
      <c r="AIV122" s="456"/>
      <c r="AIW122" s="456"/>
      <c r="AIX122" s="456"/>
      <c r="AIY122" s="456"/>
      <c r="AIZ122" s="456"/>
      <c r="AJA122" s="456"/>
      <c r="AJB122" s="456"/>
      <c r="AJC122" s="456"/>
      <c r="AJD122" s="456"/>
      <c r="AJE122" s="456"/>
      <c r="AJF122" s="456"/>
      <c r="AJG122" s="456"/>
      <c r="AJH122" s="456"/>
      <c r="AJI122" s="456"/>
      <c r="AJJ122" s="456"/>
      <c r="AJK122" s="456"/>
      <c r="AJL122" s="456"/>
      <c r="AJM122" s="456"/>
      <c r="AJN122" s="456"/>
      <c r="AJO122" s="456"/>
      <c r="AJP122" s="456"/>
      <c r="AJQ122" s="456"/>
      <c r="AJR122" s="456"/>
      <c r="AJS122" s="456"/>
      <c r="AJT122" s="456"/>
      <c r="AJU122" s="456"/>
      <c r="AJV122" s="456"/>
      <c r="AJW122" s="456"/>
      <c r="AJX122" s="456"/>
      <c r="AJY122" s="456"/>
      <c r="AJZ122" s="456"/>
      <c r="AKA122" s="456"/>
      <c r="AKB122" s="456"/>
      <c r="AKC122" s="456"/>
      <c r="AKD122" s="456"/>
      <c r="AKE122" s="456"/>
      <c r="AKF122" s="456"/>
      <c r="AKG122" s="456"/>
      <c r="AKH122" s="456"/>
      <c r="AKI122" s="456"/>
      <c r="AKJ122" s="456"/>
      <c r="AKK122" s="456"/>
      <c r="AKL122" s="456"/>
      <c r="AKM122" s="456"/>
      <c r="AKN122" s="456"/>
      <c r="AKO122" s="456"/>
      <c r="AKP122" s="456"/>
      <c r="AKQ122" s="456"/>
      <c r="AKR122" s="456"/>
      <c r="AKS122" s="456"/>
      <c r="AKT122" s="456"/>
      <c r="AKU122" s="456"/>
      <c r="AKV122" s="456"/>
      <c r="AKW122" s="456"/>
      <c r="AKX122" s="456"/>
      <c r="AKY122" s="456"/>
      <c r="AKZ122" s="456"/>
      <c r="ALA122" s="456"/>
      <c r="ALB122" s="456"/>
      <c r="ALC122" s="456"/>
      <c r="ALD122" s="456"/>
      <c r="ALE122" s="456"/>
      <c r="ALF122" s="456"/>
      <c r="ALG122" s="456"/>
      <c r="ALH122" s="456"/>
      <c r="ALI122" s="456"/>
      <c r="ALJ122" s="456"/>
      <c r="ALK122" s="456"/>
      <c r="ALL122" s="456"/>
      <c r="ALM122" s="456"/>
      <c r="ALN122" s="456"/>
      <c r="ALO122" s="456"/>
      <c r="ALP122" s="456"/>
      <c r="ALQ122" s="456"/>
      <c r="ALR122" s="456"/>
      <c r="ALS122" s="456"/>
      <c r="ALT122" s="456"/>
      <c r="ALU122" s="456"/>
      <c r="ALV122" s="456"/>
      <c r="ALW122" s="456"/>
      <c r="ALX122" s="456"/>
      <c r="ALY122" s="456"/>
      <c r="ALZ122" s="456"/>
      <c r="AMA122" s="456"/>
      <c r="AMB122" s="456"/>
      <c r="AMC122" s="456"/>
      <c r="AMD122" s="456"/>
      <c r="AME122" s="456"/>
      <c r="AMF122" s="456"/>
      <c r="AMG122" s="456"/>
      <c r="AMH122" s="456"/>
      <c r="AMI122" s="456"/>
      <c r="AMJ122" s="456"/>
      <c r="AMK122" s="456"/>
      <c r="AML122" s="456"/>
      <c r="AMM122" s="456"/>
      <c r="AMN122" s="456"/>
      <c r="AMO122" s="456"/>
      <c r="AMP122" s="456"/>
      <c r="AMQ122" s="456"/>
      <c r="AMR122" s="456"/>
      <c r="AMS122" s="456"/>
      <c r="AMT122" s="456"/>
      <c r="AMU122" s="456"/>
      <c r="AMV122" s="456"/>
      <c r="AMW122" s="456"/>
      <c r="AMX122" s="456"/>
      <c r="AMY122" s="456"/>
      <c r="AMZ122" s="456"/>
      <c r="ANA122" s="456"/>
      <c r="ANB122" s="456"/>
      <c r="ANC122" s="456"/>
      <c r="AND122" s="456"/>
      <c r="ANE122" s="456"/>
      <c r="ANF122" s="456"/>
      <c r="ANG122" s="456"/>
      <c r="ANH122" s="456"/>
      <c r="ANI122" s="456"/>
      <c r="ANJ122" s="456"/>
      <c r="ANK122" s="456"/>
      <c r="ANL122" s="456"/>
      <c r="ANM122" s="456"/>
      <c r="ANN122" s="456"/>
      <c r="ANO122" s="456"/>
      <c r="ANP122" s="456"/>
      <c r="ANQ122" s="456"/>
      <c r="ANR122" s="456"/>
      <c r="ANS122" s="456"/>
      <c r="ANT122" s="456"/>
      <c r="ANU122" s="456"/>
      <c r="ANV122" s="456"/>
      <c r="ANW122" s="456"/>
      <c r="ANX122" s="456"/>
      <c r="ANY122" s="456"/>
      <c r="ANZ122" s="456"/>
      <c r="AOA122" s="456"/>
      <c r="AOB122" s="456"/>
      <c r="AOC122" s="456"/>
      <c r="AOD122" s="456"/>
      <c r="AOE122" s="456"/>
      <c r="AOF122" s="456"/>
      <c r="AOG122" s="456"/>
      <c r="AOH122" s="456"/>
      <c r="AOI122" s="456"/>
      <c r="AOJ122" s="456"/>
      <c r="AOK122" s="456"/>
      <c r="AOL122" s="456"/>
      <c r="AOM122" s="456"/>
      <c r="AON122" s="456"/>
      <c r="AOO122" s="456"/>
      <c r="AOP122" s="456"/>
      <c r="AOQ122" s="456"/>
      <c r="AOR122" s="456"/>
      <c r="AOS122" s="456"/>
      <c r="AOT122" s="456"/>
      <c r="AOU122" s="456"/>
      <c r="AOV122" s="456"/>
      <c r="AOW122" s="456"/>
      <c r="AOX122" s="456"/>
      <c r="AOY122" s="456"/>
      <c r="AOZ122" s="456"/>
      <c r="APA122" s="456"/>
      <c r="APB122" s="456"/>
      <c r="APC122" s="456"/>
      <c r="APD122" s="456"/>
      <c r="APE122" s="456"/>
      <c r="APF122" s="456"/>
      <c r="APG122" s="456"/>
      <c r="APH122" s="456"/>
      <c r="API122" s="456"/>
      <c r="APJ122" s="456"/>
      <c r="APK122" s="456"/>
      <c r="APL122" s="456"/>
      <c r="APM122" s="456"/>
      <c r="APN122" s="456"/>
      <c r="APO122" s="456"/>
      <c r="APP122" s="456"/>
      <c r="APQ122" s="456"/>
      <c r="APR122" s="456"/>
      <c r="APS122" s="456"/>
      <c r="APT122" s="456"/>
      <c r="APU122" s="456"/>
      <c r="APV122" s="456"/>
      <c r="APW122" s="456"/>
      <c r="APX122" s="456"/>
      <c r="APY122" s="456"/>
      <c r="APZ122" s="456"/>
      <c r="AQA122" s="456"/>
      <c r="AQB122" s="456"/>
      <c r="AQC122" s="456"/>
      <c r="AQD122" s="456"/>
      <c r="AQE122" s="456"/>
      <c r="AQF122" s="456"/>
      <c r="AQG122" s="456"/>
      <c r="AQH122" s="456"/>
      <c r="AQI122" s="456"/>
      <c r="AQJ122" s="456"/>
      <c r="AQK122" s="456"/>
      <c r="AQL122" s="456"/>
      <c r="AQM122" s="456"/>
      <c r="AQN122" s="456"/>
      <c r="AQO122" s="456"/>
      <c r="AQP122" s="456"/>
      <c r="AQQ122" s="456"/>
      <c r="AQR122" s="456"/>
      <c r="AQS122" s="456"/>
      <c r="AQT122" s="456"/>
      <c r="AQU122" s="456"/>
      <c r="AQV122" s="456"/>
      <c r="AQW122" s="456"/>
      <c r="AQX122" s="456"/>
      <c r="AQY122" s="456"/>
      <c r="AQZ122" s="456"/>
      <c r="ARA122" s="456"/>
      <c r="ARB122" s="456"/>
      <c r="ARC122" s="456"/>
      <c r="ARD122" s="456"/>
      <c r="ARE122" s="456"/>
      <c r="ARF122" s="456"/>
      <c r="ARG122" s="456"/>
      <c r="ARH122" s="456"/>
      <c r="ARI122" s="456"/>
      <c r="ARJ122" s="456"/>
      <c r="ARK122" s="456"/>
      <c r="ARL122" s="456"/>
      <c r="ARM122" s="456"/>
      <c r="ARN122" s="456"/>
      <c r="ARO122" s="456"/>
      <c r="ARP122" s="456"/>
      <c r="ARQ122" s="456"/>
      <c r="ARR122" s="456"/>
      <c r="ARS122" s="456"/>
      <c r="ART122" s="456"/>
      <c r="ARU122" s="456"/>
      <c r="ARV122" s="456"/>
      <c r="ARW122" s="456"/>
      <c r="ARX122" s="456"/>
      <c r="ARY122" s="456"/>
      <c r="ARZ122" s="456"/>
      <c r="ASA122" s="456"/>
      <c r="ASB122" s="456"/>
      <c r="ASC122" s="456"/>
      <c r="ASD122" s="456"/>
      <c r="ASE122" s="456"/>
      <c r="ASF122" s="456"/>
      <c r="ASG122" s="456"/>
      <c r="ASH122" s="456"/>
      <c r="ASI122" s="456"/>
      <c r="ASJ122" s="456"/>
      <c r="ASK122" s="456"/>
      <c r="ASL122" s="456"/>
      <c r="ASM122" s="456"/>
      <c r="ASN122" s="456"/>
      <c r="ASO122" s="456"/>
      <c r="ASP122" s="456"/>
      <c r="ASQ122" s="456"/>
      <c r="ASR122" s="456"/>
      <c r="ASS122" s="456"/>
      <c r="AST122" s="456"/>
      <c r="ASU122" s="456"/>
      <c r="ASV122" s="456"/>
      <c r="ASW122" s="456"/>
      <c r="ASX122" s="456"/>
      <c r="ASY122" s="456"/>
      <c r="ASZ122" s="456"/>
      <c r="ATA122" s="456"/>
      <c r="ATB122" s="456"/>
      <c r="ATC122" s="456"/>
      <c r="ATD122" s="456"/>
      <c r="ATE122" s="456"/>
      <c r="ATF122" s="456"/>
      <c r="ATG122" s="456"/>
      <c r="ATH122" s="456"/>
      <c r="ATI122" s="456"/>
      <c r="ATJ122" s="456"/>
      <c r="ATK122" s="456"/>
      <c r="ATL122" s="456"/>
      <c r="ATM122" s="456"/>
      <c r="ATN122" s="456"/>
      <c r="ATO122" s="456"/>
      <c r="ATP122" s="456"/>
      <c r="ATQ122" s="456"/>
      <c r="ATR122" s="456"/>
      <c r="ATS122" s="456"/>
      <c r="ATT122" s="456"/>
      <c r="ATU122" s="456"/>
      <c r="ATV122" s="456"/>
      <c r="ATW122" s="456"/>
      <c r="ATX122" s="456"/>
      <c r="ATY122" s="456"/>
      <c r="ATZ122" s="456"/>
      <c r="AUA122" s="456"/>
      <c r="AUB122" s="456"/>
      <c r="AUC122" s="456"/>
      <c r="AUD122" s="456"/>
      <c r="AUE122" s="456"/>
      <c r="AUF122" s="456"/>
      <c r="AUG122" s="456"/>
      <c r="AUH122" s="456"/>
      <c r="AUI122" s="456"/>
      <c r="AUJ122" s="456"/>
      <c r="AUK122" s="456"/>
      <c r="AUL122" s="456"/>
      <c r="AUM122" s="456"/>
      <c r="AUN122" s="456"/>
      <c r="AUO122" s="456"/>
      <c r="AUP122" s="456"/>
      <c r="AUQ122" s="456"/>
      <c r="AUR122" s="456"/>
      <c r="AUS122" s="456"/>
      <c r="AUT122" s="456"/>
      <c r="AUU122" s="456"/>
      <c r="AUV122" s="456"/>
      <c r="AUW122" s="456"/>
      <c r="AUX122" s="456"/>
      <c r="AUY122" s="456"/>
      <c r="AUZ122" s="456"/>
      <c r="AVA122" s="456"/>
      <c r="AVB122" s="456"/>
      <c r="AVC122" s="456"/>
      <c r="AVD122" s="456"/>
      <c r="AVE122" s="456"/>
      <c r="AVF122" s="456"/>
      <c r="AVG122" s="456"/>
      <c r="AVH122" s="456"/>
      <c r="AVI122" s="456"/>
      <c r="AVJ122" s="456"/>
      <c r="AVK122" s="456"/>
      <c r="AVL122" s="456"/>
      <c r="AVM122" s="456"/>
      <c r="AVN122" s="456"/>
      <c r="AVO122" s="456"/>
      <c r="AVP122" s="456"/>
      <c r="AVQ122" s="456"/>
      <c r="AVR122" s="456"/>
      <c r="AVS122" s="456"/>
      <c r="AVT122" s="456"/>
      <c r="AVU122" s="456"/>
      <c r="AVV122" s="456"/>
      <c r="AVW122" s="456"/>
      <c r="AVX122" s="456"/>
      <c r="AVY122" s="456"/>
      <c r="AVZ122" s="456"/>
      <c r="AWA122" s="456"/>
      <c r="AWB122" s="456"/>
      <c r="AWC122" s="456"/>
      <c r="AWD122" s="456"/>
      <c r="AWE122" s="456"/>
      <c r="AWF122" s="456"/>
      <c r="AWG122" s="456"/>
      <c r="AWH122" s="456"/>
      <c r="AWI122" s="456"/>
      <c r="AWJ122" s="456"/>
      <c r="AWK122" s="456"/>
      <c r="AWL122" s="456"/>
      <c r="AWM122" s="456"/>
      <c r="AWN122" s="456"/>
      <c r="AWO122" s="456"/>
      <c r="AWP122" s="456"/>
      <c r="AWQ122" s="456"/>
      <c r="AWR122" s="456"/>
      <c r="AWS122" s="456"/>
      <c r="AWT122" s="456"/>
      <c r="AWU122" s="456"/>
      <c r="AWV122" s="456"/>
      <c r="AWW122" s="456"/>
      <c r="AWX122" s="456"/>
      <c r="AWY122" s="456"/>
      <c r="AWZ122" s="456"/>
      <c r="AXA122" s="456"/>
      <c r="AXB122" s="456"/>
      <c r="AXC122" s="456"/>
      <c r="AXD122" s="456"/>
      <c r="AXE122" s="456"/>
      <c r="AXF122" s="456"/>
      <c r="AXG122" s="456"/>
      <c r="AXH122" s="456"/>
      <c r="AXI122" s="456"/>
      <c r="AXJ122" s="456"/>
      <c r="AXK122" s="456"/>
      <c r="AXL122" s="456"/>
      <c r="AXM122" s="456"/>
      <c r="AXN122" s="456"/>
      <c r="AXO122" s="456"/>
      <c r="AXP122" s="456"/>
      <c r="AXQ122" s="456"/>
      <c r="AXR122" s="456"/>
      <c r="AXS122" s="456"/>
      <c r="AXT122" s="456"/>
      <c r="AXU122" s="456"/>
      <c r="AXV122" s="456"/>
      <c r="AXW122" s="456"/>
      <c r="AXX122" s="456"/>
      <c r="AXY122" s="456"/>
      <c r="AXZ122" s="456"/>
      <c r="AYA122" s="456"/>
      <c r="AYB122" s="456"/>
      <c r="AYC122" s="456"/>
      <c r="AYD122" s="456"/>
      <c r="AYE122" s="456"/>
      <c r="AYF122" s="456"/>
      <c r="AYG122" s="456"/>
      <c r="AYH122" s="456"/>
      <c r="AYI122" s="456"/>
      <c r="AYJ122" s="456"/>
      <c r="AYK122" s="456"/>
      <c r="AYL122" s="456"/>
      <c r="AYM122" s="456"/>
      <c r="AYN122" s="456"/>
      <c r="AYO122" s="456"/>
      <c r="AYP122" s="456"/>
      <c r="AYQ122" s="456"/>
      <c r="AYR122" s="456"/>
      <c r="AYS122" s="456"/>
      <c r="AYT122" s="456"/>
      <c r="AYU122" s="456"/>
      <c r="AYV122" s="456"/>
      <c r="AYW122" s="456"/>
      <c r="AYX122" s="456"/>
      <c r="AYY122" s="456"/>
      <c r="AYZ122" s="456"/>
      <c r="AZA122" s="456"/>
      <c r="AZB122" s="456"/>
      <c r="AZC122" s="456"/>
      <c r="AZD122" s="456"/>
      <c r="AZE122" s="456"/>
      <c r="AZF122" s="456"/>
      <c r="AZG122" s="456"/>
      <c r="AZH122" s="456"/>
      <c r="AZI122" s="456"/>
      <c r="AZJ122" s="456"/>
      <c r="AZK122" s="456"/>
      <c r="AZL122" s="456"/>
      <c r="AZM122" s="456"/>
      <c r="AZN122" s="456"/>
      <c r="AZO122" s="456"/>
      <c r="AZP122" s="456"/>
      <c r="AZQ122" s="456"/>
      <c r="AZR122" s="456"/>
      <c r="AZS122" s="456"/>
      <c r="AZT122" s="456"/>
      <c r="AZU122" s="456"/>
      <c r="AZV122" s="456"/>
      <c r="AZW122" s="456"/>
      <c r="AZX122" s="456"/>
      <c r="AZY122" s="456"/>
      <c r="AZZ122" s="456"/>
      <c r="BAA122" s="456"/>
      <c r="BAB122" s="456"/>
      <c r="BAC122" s="456"/>
      <c r="BAD122" s="456"/>
      <c r="BAE122" s="456"/>
      <c r="BAF122" s="456"/>
      <c r="BAG122" s="456"/>
      <c r="BAH122" s="456"/>
      <c r="BAI122" s="456"/>
      <c r="BAJ122" s="456"/>
      <c r="BAK122" s="456"/>
      <c r="BAL122" s="456"/>
      <c r="BAM122" s="456"/>
      <c r="BAN122" s="456"/>
      <c r="BAO122" s="456"/>
      <c r="BAP122" s="456"/>
      <c r="BAQ122" s="456"/>
      <c r="BAR122" s="456"/>
      <c r="BAS122" s="456"/>
      <c r="BAT122" s="456"/>
      <c r="BAU122" s="456"/>
      <c r="BAV122" s="456"/>
      <c r="BAW122" s="456"/>
      <c r="BAX122" s="456"/>
      <c r="BAY122" s="456"/>
      <c r="BAZ122" s="456"/>
      <c r="BBA122" s="456"/>
      <c r="BBB122" s="456"/>
      <c r="BBC122" s="456"/>
      <c r="BBD122" s="456"/>
      <c r="BBE122" s="456"/>
      <c r="BBF122" s="456"/>
      <c r="BBG122" s="456"/>
      <c r="BBH122" s="456"/>
      <c r="BBI122" s="456"/>
      <c r="BBJ122" s="456"/>
      <c r="BBK122" s="456"/>
      <c r="BBL122" s="456"/>
      <c r="BBM122" s="456"/>
      <c r="BBN122" s="456"/>
      <c r="BBO122" s="456"/>
      <c r="BBP122" s="456"/>
      <c r="BBQ122" s="456"/>
      <c r="BBR122" s="456"/>
      <c r="BBS122" s="456"/>
      <c r="BBT122" s="456"/>
      <c r="BBU122" s="456"/>
      <c r="BBV122" s="456"/>
      <c r="BBW122" s="456"/>
      <c r="BBX122" s="456"/>
      <c r="BBY122" s="456"/>
      <c r="BBZ122" s="456"/>
      <c r="BCA122" s="456"/>
      <c r="BCB122" s="456"/>
      <c r="BCC122" s="456"/>
      <c r="BCD122" s="456"/>
      <c r="BCE122" s="456"/>
      <c r="BCF122" s="456"/>
      <c r="BCG122" s="456"/>
      <c r="BCH122" s="456"/>
      <c r="BCI122" s="456"/>
      <c r="BCJ122" s="456"/>
      <c r="BCK122" s="456"/>
      <c r="BCL122" s="456"/>
      <c r="BCM122" s="456"/>
      <c r="BCN122" s="456"/>
      <c r="BCO122" s="456"/>
      <c r="BCP122" s="456"/>
      <c r="BCQ122" s="456"/>
      <c r="BCR122" s="456"/>
      <c r="BCS122" s="456"/>
      <c r="BCT122" s="456"/>
      <c r="BCU122" s="456"/>
      <c r="BCV122" s="456"/>
      <c r="BCW122" s="456"/>
      <c r="BCX122" s="456"/>
      <c r="BCY122" s="456"/>
      <c r="BCZ122" s="456"/>
      <c r="BDA122" s="456"/>
      <c r="BDB122" s="456"/>
      <c r="BDC122" s="456"/>
      <c r="BDD122" s="456"/>
      <c r="BDE122" s="456"/>
      <c r="BDF122" s="456"/>
      <c r="BDG122" s="456"/>
      <c r="BDH122" s="456"/>
      <c r="BDI122" s="456"/>
      <c r="BDJ122" s="456"/>
      <c r="BDK122" s="456"/>
      <c r="BDL122" s="456"/>
      <c r="BDM122" s="456"/>
      <c r="BDN122" s="456"/>
      <c r="BDO122" s="456"/>
      <c r="BDP122" s="456"/>
      <c r="BDQ122" s="456"/>
      <c r="BDR122" s="456"/>
      <c r="BDS122" s="456"/>
      <c r="BDT122" s="456"/>
      <c r="BDU122" s="456"/>
      <c r="BDV122" s="456"/>
      <c r="BDW122" s="456"/>
      <c r="BDX122" s="456"/>
      <c r="BDY122" s="456"/>
      <c r="BDZ122" s="456"/>
      <c r="BEA122" s="456"/>
      <c r="BEB122" s="456"/>
      <c r="BEC122" s="456"/>
      <c r="BED122" s="456"/>
      <c r="BEE122" s="456"/>
      <c r="BEF122" s="456"/>
      <c r="BEG122" s="456"/>
      <c r="BEH122" s="456"/>
      <c r="BEI122" s="456"/>
      <c r="BEJ122" s="456"/>
      <c r="BEK122" s="456"/>
      <c r="BEL122" s="456"/>
      <c r="BEM122" s="456"/>
      <c r="BEN122" s="456"/>
      <c r="BEO122" s="456"/>
      <c r="BEP122" s="456"/>
      <c r="BEQ122" s="456"/>
      <c r="BER122" s="456"/>
      <c r="BES122" s="456"/>
      <c r="BET122" s="456"/>
      <c r="BEU122" s="456"/>
      <c r="BEV122" s="456"/>
      <c r="BEW122" s="456"/>
      <c r="BEX122" s="456"/>
      <c r="BEY122" s="456"/>
      <c r="BEZ122" s="456"/>
      <c r="BFA122" s="456"/>
      <c r="BFB122" s="456"/>
      <c r="BFC122" s="456"/>
      <c r="BFD122" s="456"/>
      <c r="BFE122" s="456"/>
      <c r="BFF122" s="456"/>
      <c r="BFG122" s="456"/>
      <c r="BFH122" s="456"/>
      <c r="BFI122" s="456"/>
      <c r="BFJ122" s="456"/>
      <c r="BFK122" s="456"/>
      <c r="BFL122" s="456"/>
      <c r="BFM122" s="456"/>
      <c r="BFN122" s="456"/>
      <c r="BFO122" s="456"/>
      <c r="BFP122" s="456"/>
      <c r="BFQ122" s="456"/>
      <c r="BFR122" s="456"/>
      <c r="BFS122" s="456"/>
      <c r="BFT122" s="456"/>
      <c r="BFU122" s="456"/>
      <c r="BFV122" s="456"/>
      <c r="BFW122" s="456"/>
      <c r="BFX122" s="456"/>
      <c r="BFY122" s="456"/>
      <c r="BFZ122" s="456"/>
      <c r="BGA122" s="456"/>
      <c r="BGB122" s="456"/>
      <c r="BGC122" s="456"/>
      <c r="BGD122" s="456"/>
      <c r="BGE122" s="456"/>
      <c r="BGF122" s="456"/>
      <c r="BGG122" s="456"/>
      <c r="BGH122" s="456"/>
      <c r="BGI122" s="456"/>
      <c r="BGJ122" s="456"/>
      <c r="BGK122" s="456"/>
      <c r="BGL122" s="456"/>
      <c r="BGM122" s="456"/>
      <c r="BGN122" s="456"/>
      <c r="BGO122" s="456"/>
      <c r="BGP122" s="456"/>
      <c r="BGQ122" s="456"/>
      <c r="BGR122" s="456"/>
      <c r="BGS122" s="456"/>
      <c r="BGT122" s="456"/>
      <c r="BGU122" s="456"/>
      <c r="BGV122" s="456"/>
      <c r="BGW122" s="456"/>
      <c r="BGX122" s="456"/>
      <c r="BGY122" s="456"/>
      <c r="BGZ122" s="456"/>
      <c r="BHA122" s="456"/>
      <c r="BHB122" s="456"/>
      <c r="BHC122" s="456"/>
      <c r="BHD122" s="456"/>
      <c r="BHE122" s="456"/>
      <c r="BHF122" s="456"/>
      <c r="BHG122" s="456"/>
      <c r="BHH122" s="456"/>
      <c r="BHI122" s="456"/>
      <c r="BHJ122" s="456"/>
      <c r="BHK122" s="456"/>
      <c r="BHL122" s="456"/>
      <c r="BHM122" s="456"/>
      <c r="BHN122" s="456"/>
      <c r="BHO122" s="456"/>
      <c r="BHP122" s="456"/>
      <c r="BHQ122" s="456"/>
      <c r="BHR122" s="456"/>
      <c r="BHS122" s="456"/>
      <c r="BHT122" s="456"/>
      <c r="BHU122" s="456"/>
      <c r="BHV122" s="456"/>
      <c r="BHW122" s="456"/>
      <c r="BHX122" s="456"/>
      <c r="BHY122" s="456"/>
      <c r="BHZ122" s="456"/>
      <c r="BIA122" s="456"/>
      <c r="BIB122" s="456"/>
      <c r="BIC122" s="456"/>
      <c r="BID122" s="456"/>
      <c r="BIE122" s="456"/>
      <c r="BIF122" s="456"/>
      <c r="BIG122" s="456"/>
      <c r="BIH122" s="456"/>
      <c r="BII122" s="456"/>
      <c r="BIJ122" s="456"/>
      <c r="BIK122" s="456"/>
      <c r="BIL122" s="456"/>
      <c r="BIM122" s="456"/>
      <c r="BIN122" s="456"/>
      <c r="BIO122" s="456"/>
      <c r="BIP122" s="456"/>
      <c r="BIQ122" s="456"/>
      <c r="BIR122" s="456"/>
      <c r="BIS122" s="456"/>
      <c r="BIT122" s="456"/>
      <c r="BIU122" s="456"/>
      <c r="BIV122" s="456"/>
      <c r="BIW122" s="456"/>
      <c r="BIX122" s="456"/>
      <c r="BIY122" s="456"/>
      <c r="BIZ122" s="456"/>
      <c r="BJA122" s="456"/>
      <c r="BJB122" s="456"/>
      <c r="BJC122" s="456"/>
      <c r="BJD122" s="456"/>
      <c r="BJE122" s="456"/>
      <c r="BJF122" s="456"/>
      <c r="BJG122" s="456"/>
      <c r="BJH122" s="456"/>
      <c r="BJI122" s="456"/>
      <c r="BJJ122" s="456"/>
      <c r="BJK122" s="456"/>
      <c r="BJL122" s="456"/>
      <c r="BJM122" s="456"/>
      <c r="BJN122" s="456"/>
      <c r="BJO122" s="456"/>
      <c r="BJP122" s="456"/>
      <c r="BJQ122" s="456"/>
      <c r="BJR122" s="456"/>
      <c r="BJS122" s="456"/>
      <c r="BJT122" s="456"/>
      <c r="BJU122" s="456"/>
      <c r="BJV122" s="456"/>
      <c r="BJW122" s="456"/>
      <c r="BJX122" s="456"/>
      <c r="BJY122" s="456"/>
      <c r="BJZ122" s="456"/>
      <c r="BKA122" s="456"/>
      <c r="BKB122" s="456"/>
      <c r="BKC122" s="456"/>
      <c r="BKD122" s="456"/>
      <c r="BKE122" s="456"/>
      <c r="BKF122" s="456"/>
      <c r="BKG122" s="456"/>
      <c r="BKH122" s="456"/>
      <c r="BKI122" s="456"/>
      <c r="BKJ122" s="456"/>
      <c r="BKK122" s="456"/>
      <c r="BKL122" s="456"/>
      <c r="BKM122" s="456"/>
      <c r="BKN122" s="456"/>
      <c r="BKO122" s="456"/>
      <c r="BKP122" s="456"/>
      <c r="BKQ122" s="456"/>
      <c r="BKR122" s="456"/>
      <c r="BKS122" s="456"/>
      <c r="BKT122" s="456"/>
      <c r="BKU122" s="456"/>
      <c r="BKV122" s="456"/>
      <c r="BKW122" s="456"/>
      <c r="BKX122" s="456"/>
      <c r="BKY122" s="456"/>
      <c r="BKZ122" s="456"/>
      <c r="BLA122" s="456"/>
      <c r="BLB122" s="456"/>
      <c r="BLC122" s="456"/>
      <c r="BLD122" s="456"/>
      <c r="BLE122" s="456"/>
      <c r="BLF122" s="456"/>
      <c r="BLG122" s="456"/>
      <c r="BLH122" s="456"/>
      <c r="BLI122" s="456"/>
      <c r="BLJ122" s="456"/>
      <c r="BLK122" s="456"/>
      <c r="BLL122" s="456"/>
      <c r="BLM122" s="456"/>
      <c r="BLN122" s="456"/>
      <c r="BLO122" s="456"/>
      <c r="BLP122" s="456"/>
      <c r="BLQ122" s="456"/>
      <c r="BLR122" s="456"/>
      <c r="BLS122" s="456"/>
      <c r="BLT122" s="456"/>
      <c r="BLU122" s="456"/>
      <c r="BLV122" s="456"/>
      <c r="BLW122" s="456"/>
      <c r="BLX122" s="456"/>
      <c r="BLY122" s="456"/>
      <c r="BLZ122" s="456"/>
      <c r="BMA122" s="456"/>
      <c r="BMB122" s="456"/>
      <c r="BMC122" s="456"/>
      <c r="BMD122" s="456"/>
      <c r="BME122" s="456"/>
      <c r="BMF122" s="456"/>
      <c r="BMG122" s="456"/>
      <c r="BMH122" s="456"/>
      <c r="BMI122" s="456"/>
      <c r="BMJ122" s="456"/>
      <c r="BMK122" s="456"/>
      <c r="BML122" s="456"/>
      <c r="BMM122" s="456"/>
      <c r="BMN122" s="456"/>
      <c r="BMO122" s="456"/>
      <c r="BMP122" s="456"/>
      <c r="BMQ122" s="456"/>
      <c r="BMR122" s="456"/>
      <c r="BMS122" s="456"/>
      <c r="BMT122" s="456"/>
      <c r="BMU122" s="456"/>
      <c r="BMV122" s="456"/>
      <c r="BMW122" s="456"/>
      <c r="BMX122" s="456"/>
      <c r="BMY122" s="456"/>
      <c r="BMZ122" s="456"/>
      <c r="BNA122" s="456"/>
      <c r="BNB122" s="456"/>
      <c r="BNC122" s="456"/>
      <c r="BND122" s="456"/>
      <c r="BNE122" s="456"/>
      <c r="BNF122" s="456"/>
      <c r="BNG122" s="456"/>
      <c r="BNH122" s="456"/>
      <c r="BNI122" s="456"/>
      <c r="BNJ122" s="456"/>
      <c r="BNK122" s="456"/>
      <c r="BNL122" s="456"/>
      <c r="BNM122" s="456"/>
      <c r="BNN122" s="456"/>
      <c r="BNO122" s="456"/>
      <c r="BNP122" s="456"/>
      <c r="BNQ122" s="456"/>
      <c r="BNR122" s="456"/>
      <c r="BNS122" s="456"/>
      <c r="BNT122" s="456"/>
      <c r="BNU122" s="456"/>
      <c r="BNV122" s="456"/>
      <c r="BNW122" s="456"/>
      <c r="BNX122" s="456"/>
      <c r="BNY122" s="456"/>
      <c r="BNZ122" s="456"/>
      <c r="BOA122" s="456"/>
      <c r="BOB122" s="456"/>
      <c r="BOC122" s="456"/>
      <c r="BOD122" s="456"/>
      <c r="BOE122" s="456"/>
      <c r="BOF122" s="456"/>
      <c r="BOG122" s="456"/>
      <c r="BOH122" s="456"/>
      <c r="BOI122" s="456"/>
      <c r="BOJ122" s="456"/>
      <c r="BOK122" s="456"/>
      <c r="BOL122" s="456"/>
      <c r="BOM122" s="456"/>
      <c r="BON122" s="456"/>
      <c r="BOO122" s="456"/>
      <c r="BOP122" s="456"/>
      <c r="BOQ122" s="456"/>
      <c r="BOR122" s="456"/>
      <c r="BOS122" s="456"/>
      <c r="BOT122" s="456"/>
      <c r="BOU122" s="456"/>
      <c r="BOV122" s="456"/>
      <c r="BOW122" s="456"/>
      <c r="BOX122" s="456"/>
      <c r="BOY122" s="456"/>
      <c r="BOZ122" s="456"/>
      <c r="BPA122" s="456"/>
      <c r="BPB122" s="456"/>
      <c r="BPC122" s="456"/>
      <c r="BPD122" s="456"/>
      <c r="BPE122" s="456"/>
      <c r="BPF122" s="456"/>
      <c r="BPG122" s="456"/>
      <c r="BPH122" s="456"/>
      <c r="BPI122" s="456"/>
      <c r="BPJ122" s="456"/>
      <c r="BPK122" s="456"/>
      <c r="BPL122" s="456"/>
      <c r="BPM122" s="456"/>
      <c r="BPN122" s="456"/>
      <c r="BPO122" s="456"/>
      <c r="BPP122" s="456"/>
      <c r="BPQ122" s="456"/>
      <c r="BPR122" s="456"/>
      <c r="BPS122" s="456"/>
      <c r="BPT122" s="456"/>
      <c r="BPU122" s="456"/>
      <c r="BPV122" s="456"/>
      <c r="BPW122" s="456"/>
      <c r="BPX122" s="456"/>
      <c r="BPY122" s="456"/>
      <c r="BPZ122" s="456"/>
      <c r="BQA122" s="456"/>
      <c r="BQB122" s="456"/>
      <c r="BQC122" s="456"/>
      <c r="BQD122" s="456"/>
      <c r="BQE122" s="456"/>
      <c r="BQF122" s="456"/>
      <c r="BQG122" s="456"/>
      <c r="BQH122" s="456"/>
      <c r="BQI122" s="456"/>
      <c r="BQJ122" s="456"/>
      <c r="BQK122" s="456"/>
      <c r="BQL122" s="456"/>
      <c r="BQM122" s="456"/>
      <c r="BQN122" s="456"/>
      <c r="BQO122" s="456"/>
      <c r="BQP122" s="456"/>
      <c r="BQQ122" s="456"/>
      <c r="BQR122" s="456"/>
      <c r="BQS122" s="456"/>
      <c r="BQT122" s="456"/>
      <c r="BQU122" s="456"/>
      <c r="BQV122" s="456"/>
      <c r="BQW122" s="456"/>
      <c r="BQX122" s="456"/>
      <c r="BQY122" s="456"/>
      <c r="BQZ122" s="456"/>
      <c r="BRA122" s="456"/>
      <c r="BRB122" s="456"/>
      <c r="BRC122" s="456"/>
      <c r="BRD122" s="456"/>
      <c r="BRE122" s="456"/>
      <c r="BRF122" s="456"/>
      <c r="BRG122" s="456"/>
      <c r="BRH122" s="456"/>
      <c r="BRI122" s="456"/>
      <c r="BRJ122" s="456"/>
      <c r="BRK122" s="456"/>
      <c r="BRL122" s="456"/>
      <c r="BRM122" s="456"/>
      <c r="BRN122" s="456"/>
      <c r="BRO122" s="456"/>
      <c r="BRP122" s="456"/>
      <c r="BRQ122" s="456"/>
      <c r="BRR122" s="456"/>
      <c r="BRS122" s="456"/>
      <c r="BRT122" s="456"/>
      <c r="BRU122" s="456"/>
      <c r="BRV122" s="456"/>
      <c r="BRW122" s="456"/>
      <c r="BRX122" s="456"/>
      <c r="BRY122" s="456"/>
      <c r="BRZ122" s="456"/>
      <c r="BSA122" s="456"/>
      <c r="BSB122" s="456"/>
      <c r="BSC122" s="456"/>
      <c r="BSD122" s="456"/>
      <c r="BSE122" s="456"/>
      <c r="BSF122" s="456"/>
      <c r="BSG122" s="456"/>
      <c r="BSH122" s="456"/>
      <c r="BSI122" s="456"/>
      <c r="BSJ122" s="456"/>
      <c r="BSK122" s="456"/>
      <c r="BSL122" s="456"/>
      <c r="BSM122" s="456"/>
      <c r="BSN122" s="456"/>
      <c r="BSO122" s="456"/>
      <c r="BSP122" s="456"/>
      <c r="BSQ122" s="456"/>
      <c r="BSR122" s="456"/>
      <c r="BSS122" s="456"/>
      <c r="BST122" s="456"/>
      <c r="BSU122" s="456"/>
      <c r="BSV122" s="456"/>
      <c r="BSW122" s="456"/>
      <c r="BSX122" s="456"/>
      <c r="BSY122" s="456"/>
      <c r="BSZ122" s="456"/>
      <c r="BTA122" s="456"/>
      <c r="BTB122" s="456"/>
      <c r="BTC122" s="456"/>
      <c r="BTD122" s="456"/>
      <c r="BTE122" s="456"/>
      <c r="BTF122" s="456"/>
      <c r="BTG122" s="456"/>
      <c r="BTH122" s="456"/>
      <c r="BTI122" s="456"/>
      <c r="BTJ122" s="456"/>
      <c r="BTK122" s="456"/>
      <c r="BTL122" s="456"/>
      <c r="BTM122" s="456"/>
      <c r="BTN122" s="456"/>
      <c r="BTO122" s="456"/>
      <c r="BTP122" s="456"/>
      <c r="BTQ122" s="456"/>
      <c r="BTR122" s="456"/>
      <c r="BTS122" s="456"/>
      <c r="BTT122" s="456"/>
      <c r="BTU122" s="456"/>
      <c r="BTV122" s="456"/>
      <c r="BTW122" s="456"/>
      <c r="BTX122" s="456"/>
      <c r="BTY122" s="456"/>
      <c r="BTZ122" s="456"/>
      <c r="BUA122" s="456"/>
      <c r="BUB122" s="456"/>
      <c r="BUC122" s="456"/>
      <c r="BUD122" s="456"/>
      <c r="BUE122" s="456"/>
      <c r="BUF122" s="456"/>
      <c r="BUG122" s="456"/>
      <c r="BUH122" s="456"/>
      <c r="BUI122" s="456"/>
      <c r="BUJ122" s="456"/>
      <c r="BUK122" s="456"/>
      <c r="BUL122" s="456"/>
      <c r="BUM122" s="456"/>
      <c r="BUN122" s="456"/>
      <c r="BUO122" s="456"/>
      <c r="BUP122" s="456"/>
      <c r="BUQ122" s="456"/>
      <c r="BUR122" s="456"/>
      <c r="BUS122" s="456"/>
      <c r="BUT122" s="456"/>
      <c r="BUU122" s="456"/>
      <c r="BUV122" s="456"/>
      <c r="BUW122" s="456"/>
      <c r="BUX122" s="456"/>
      <c r="BUY122" s="456"/>
      <c r="BUZ122" s="456"/>
      <c r="BVA122" s="456"/>
      <c r="BVB122" s="456"/>
      <c r="BVC122" s="456"/>
      <c r="BVD122" s="456"/>
      <c r="BVE122" s="456"/>
      <c r="BVF122" s="456"/>
      <c r="BVG122" s="456"/>
      <c r="BVH122" s="456"/>
      <c r="BVI122" s="456"/>
      <c r="BVJ122" s="456"/>
      <c r="BVK122" s="456"/>
      <c r="BVL122" s="456"/>
      <c r="BVM122" s="456"/>
      <c r="BVN122" s="456"/>
      <c r="BVO122" s="456"/>
      <c r="BVP122" s="456"/>
      <c r="BVQ122" s="456"/>
      <c r="BVR122" s="456"/>
      <c r="BVS122" s="456"/>
      <c r="BVT122" s="456"/>
      <c r="BVU122" s="456"/>
      <c r="BVV122" s="456"/>
      <c r="BVW122" s="456"/>
      <c r="BVX122" s="456"/>
      <c r="BVY122" s="456"/>
      <c r="BVZ122" s="456"/>
      <c r="BWA122" s="456"/>
      <c r="BWB122" s="456"/>
      <c r="BWC122" s="456"/>
      <c r="BWD122" s="456"/>
      <c r="BWE122" s="456"/>
      <c r="BWF122" s="456"/>
      <c r="BWG122" s="456"/>
      <c r="BWH122" s="456"/>
      <c r="BWI122" s="456"/>
      <c r="BWJ122" s="456"/>
      <c r="BWK122" s="456"/>
      <c r="BWL122" s="456"/>
      <c r="BWM122" s="456"/>
      <c r="BWN122" s="456"/>
      <c r="BWO122" s="456"/>
      <c r="BWP122" s="456"/>
      <c r="BWQ122" s="456"/>
      <c r="BWR122" s="456"/>
      <c r="BWS122" s="456"/>
      <c r="BWT122" s="456"/>
      <c r="BWU122" s="456"/>
      <c r="BWV122" s="456"/>
      <c r="BWW122" s="456"/>
      <c r="BWX122" s="456"/>
      <c r="BWY122" s="456"/>
      <c r="BWZ122" s="456"/>
      <c r="BXA122" s="456"/>
      <c r="BXB122" s="456"/>
      <c r="BXC122" s="456"/>
      <c r="BXD122" s="456"/>
      <c r="BXE122" s="456"/>
      <c r="BXF122" s="456"/>
      <c r="BXG122" s="456"/>
      <c r="BXH122" s="456"/>
      <c r="BXI122" s="456"/>
      <c r="BXJ122" s="456"/>
      <c r="BXK122" s="456"/>
      <c r="BXL122" s="456"/>
      <c r="BXM122" s="456"/>
      <c r="BXN122" s="456"/>
      <c r="BXO122" s="456"/>
      <c r="BXP122" s="456"/>
      <c r="BXQ122" s="456"/>
      <c r="BXR122" s="456"/>
      <c r="BXS122" s="456"/>
      <c r="BXT122" s="456"/>
      <c r="BXU122" s="456"/>
      <c r="BXV122" s="456"/>
      <c r="BXW122" s="456"/>
      <c r="BXX122" s="456"/>
      <c r="BXY122" s="456"/>
      <c r="BXZ122" s="456"/>
    </row>
    <row r="123" s="25" customFormat="1" ht="15.6" spans="1:1024 1025:2002">
      <c r="A123" s="473"/>
      <c r="B123" s="19">
        <v>1125</v>
      </c>
      <c r="C123" s="183">
        <v>46196</v>
      </c>
      <c r="D123" s="17" t="s">
        <v>52</v>
      </c>
      <c r="E123" s="17" t="s">
        <v>53</v>
      </c>
      <c r="F123" s="17" t="s">
        <v>54</v>
      </c>
      <c r="G123" s="17"/>
      <c r="H123" s="19" t="s">
        <v>55</v>
      </c>
      <c r="I123" s="102" t="s">
        <v>56</v>
      </c>
      <c r="J123" s="17" t="s">
        <v>49</v>
      </c>
      <c r="K123" s="19">
        <v>710</v>
      </c>
      <c r="L123" s="19">
        <v>120</v>
      </c>
      <c r="M123" s="19">
        <v>5800</v>
      </c>
      <c r="N123" s="19" t="s">
        <v>40</v>
      </c>
      <c r="O123" s="19" t="s">
        <v>84</v>
      </c>
      <c r="P123" s="19">
        <v>4900</v>
      </c>
      <c r="Q123" s="19">
        <f>2700+2648</f>
        <v>5348</v>
      </c>
      <c r="R123" s="19">
        <f t="shared" si="9"/>
        <v>-448</v>
      </c>
      <c r="S123" s="311">
        <v>2040</v>
      </c>
      <c r="T123" s="19" t="s">
        <v>42</v>
      </c>
      <c r="U123" s="102" t="s">
        <v>101</v>
      </c>
      <c r="V123" s="186">
        <v>46197</v>
      </c>
      <c r="W123" s="17" t="s">
        <v>58</v>
      </c>
      <c r="X123" s="17"/>
      <c r="Y123" s="68">
        <v>46204</v>
      </c>
      <c r="Z123" s="17" t="s">
        <v>45</v>
      </c>
      <c r="AA123" s="17" t="s">
        <v>59</v>
      </c>
      <c r="AB123" s="17" t="s">
        <v>102</v>
      </c>
      <c r="AC123" s="217">
        <v>46274</v>
      </c>
      <c r="AD123" s="65">
        <v>1861</v>
      </c>
      <c r="AE123" s="17" t="s">
        <v>48</v>
      </c>
      <c r="AF123" s="17" t="s">
        <v>61</v>
      </c>
      <c r="AG123" s="17" t="s">
        <v>103</v>
      </c>
      <c r="AH123" s="456"/>
      <c r="AI123" s="456"/>
      <c r="AJ123" s="456"/>
      <c r="AK123" s="456"/>
      <c r="AL123" s="456"/>
      <c r="AM123" s="456"/>
      <c r="AN123" s="456"/>
      <c r="AO123" s="456"/>
      <c r="AP123" s="456"/>
      <c r="AQ123" s="456"/>
      <c r="AR123" s="456"/>
      <c r="AS123" s="456"/>
      <c r="AT123" s="456"/>
      <c r="AU123" s="456"/>
      <c r="AV123" s="456"/>
      <c r="AW123" s="456"/>
      <c r="AX123" s="456"/>
      <c r="AY123" s="456"/>
      <c r="AZ123" s="456"/>
      <c r="BA123" s="456"/>
      <c r="BB123" s="456"/>
      <c r="BC123" s="456"/>
      <c r="BD123" s="456"/>
      <c r="BE123" s="456"/>
      <c r="BF123" s="456"/>
      <c r="BG123" s="456"/>
      <c r="BH123" s="456"/>
      <c r="BI123" s="456"/>
      <c r="BJ123" s="456"/>
      <c r="BK123" s="456"/>
      <c r="BL123" s="456"/>
      <c r="BM123" s="456"/>
      <c r="BN123" s="456"/>
      <c r="BO123" s="456"/>
      <c r="BP123" s="456"/>
      <c r="BQ123" s="456"/>
      <c r="BR123" s="456"/>
      <c r="BS123" s="456"/>
      <c r="BT123" s="456"/>
      <c r="BU123" s="456"/>
      <c r="BV123" s="456"/>
      <c r="BW123" s="456"/>
      <c r="BX123" s="456"/>
      <c r="BY123" s="456"/>
      <c r="BZ123" s="456"/>
      <c r="CA123" s="456"/>
      <c r="CB123" s="456"/>
      <c r="CC123" s="456"/>
      <c r="CD123" s="456"/>
      <c r="CE123" s="456"/>
      <c r="CF123" s="456"/>
      <c r="CG123" s="456"/>
      <c r="CH123" s="456"/>
      <c r="CI123" s="456"/>
      <c r="CJ123" s="456"/>
      <c r="CK123" s="456"/>
      <c r="CL123" s="456"/>
      <c r="CM123" s="456"/>
      <c r="CN123" s="456"/>
      <c r="CO123" s="456"/>
      <c r="CP123" s="456"/>
      <c r="CQ123" s="456"/>
      <c r="CR123" s="456"/>
      <c r="CS123" s="456"/>
      <c r="CT123" s="456"/>
      <c r="CU123" s="456"/>
      <c r="CV123" s="456"/>
      <c r="CW123" s="456"/>
      <c r="CX123" s="456"/>
      <c r="CY123" s="456"/>
      <c r="CZ123" s="456"/>
      <c r="DA123" s="456"/>
      <c r="DB123" s="456"/>
      <c r="DC123" s="456"/>
      <c r="DD123" s="456"/>
      <c r="DE123" s="456"/>
      <c r="DF123" s="456"/>
      <c r="DG123" s="456"/>
      <c r="DH123" s="456"/>
      <c r="DI123" s="456"/>
      <c r="DJ123" s="456"/>
      <c r="DK123" s="456"/>
      <c r="DL123" s="456"/>
      <c r="DM123" s="456"/>
      <c r="DN123" s="456"/>
      <c r="DO123" s="456"/>
      <c r="DP123" s="456"/>
      <c r="DQ123" s="456"/>
      <c r="DR123" s="456"/>
      <c r="DS123" s="456"/>
      <c r="DT123" s="456"/>
      <c r="DU123" s="456"/>
      <c r="DV123" s="456"/>
      <c r="DW123" s="456"/>
      <c r="DX123" s="456"/>
      <c r="DY123" s="456"/>
      <c r="DZ123" s="456"/>
      <c r="EA123" s="456"/>
      <c r="EB123" s="456"/>
      <c r="EC123" s="456"/>
      <c r="ED123" s="456"/>
      <c r="EE123" s="456"/>
      <c r="EF123" s="456"/>
      <c r="EG123" s="456"/>
      <c r="EH123" s="456"/>
      <c r="EI123" s="456"/>
      <c r="EJ123" s="456"/>
      <c r="EK123" s="456"/>
      <c r="EL123" s="456"/>
      <c r="EM123" s="456"/>
      <c r="EN123" s="456"/>
      <c r="EO123" s="456"/>
      <c r="EP123" s="456"/>
      <c r="EQ123" s="456"/>
      <c r="ER123" s="456"/>
      <c r="ES123" s="456"/>
      <c r="ET123" s="456"/>
      <c r="EU123" s="456"/>
      <c r="EV123" s="456"/>
      <c r="EW123" s="456"/>
      <c r="EX123" s="456"/>
      <c r="EY123" s="456"/>
      <c r="EZ123" s="456"/>
      <c r="FA123" s="456"/>
      <c r="FB123" s="456"/>
      <c r="FC123" s="456"/>
      <c r="FD123" s="456"/>
      <c r="FE123" s="456"/>
      <c r="FF123" s="456"/>
      <c r="FG123" s="456"/>
      <c r="FH123" s="456"/>
      <c r="FI123" s="456"/>
      <c r="FJ123" s="456"/>
      <c r="FK123" s="456"/>
      <c r="FL123" s="456"/>
      <c r="FM123" s="456"/>
      <c r="FN123" s="456"/>
      <c r="FO123" s="456"/>
      <c r="FP123" s="456"/>
      <c r="FQ123" s="456"/>
      <c r="FR123" s="456"/>
      <c r="FS123" s="456"/>
      <c r="FT123" s="456"/>
      <c r="FU123" s="456"/>
      <c r="FV123" s="456"/>
      <c r="FW123" s="456"/>
      <c r="FX123" s="456"/>
      <c r="FY123" s="456"/>
      <c r="FZ123" s="456"/>
      <c r="GA123" s="456"/>
      <c r="GB123" s="456"/>
      <c r="GC123" s="456"/>
      <c r="GD123" s="456"/>
      <c r="GE123" s="456"/>
      <c r="GF123" s="456"/>
      <c r="GG123" s="456"/>
      <c r="GH123" s="456"/>
      <c r="GI123" s="456"/>
      <c r="GJ123" s="456"/>
      <c r="GK123" s="456"/>
      <c r="GL123" s="456"/>
      <c r="GM123" s="456"/>
      <c r="GN123" s="456"/>
      <c r="GO123" s="456"/>
      <c r="GP123" s="456"/>
      <c r="GQ123" s="456"/>
      <c r="GR123" s="456"/>
      <c r="GS123" s="456"/>
      <c r="GT123" s="456"/>
      <c r="GU123" s="456"/>
      <c r="GV123" s="456"/>
      <c r="GW123" s="456"/>
      <c r="GX123" s="456"/>
      <c r="GY123" s="456"/>
      <c r="GZ123" s="456"/>
      <c r="HA123" s="456"/>
      <c r="HB123" s="456"/>
      <c r="HC123" s="456"/>
      <c r="HD123" s="456"/>
      <c r="HE123" s="456"/>
      <c r="HF123" s="456"/>
      <c r="HG123" s="456"/>
      <c r="HH123" s="456"/>
      <c r="HI123" s="456"/>
      <c r="HJ123" s="456"/>
      <c r="HK123" s="456"/>
      <c r="HL123" s="456"/>
      <c r="HM123" s="456"/>
      <c r="HN123" s="456"/>
      <c r="HO123" s="456"/>
      <c r="HP123" s="456"/>
      <c r="HQ123" s="456"/>
      <c r="HR123" s="456"/>
      <c r="HS123" s="456"/>
      <c r="HT123" s="456"/>
      <c r="HU123" s="456"/>
      <c r="HV123" s="456"/>
      <c r="HW123" s="456"/>
      <c r="HX123" s="456"/>
      <c r="HY123" s="456"/>
      <c r="HZ123" s="456"/>
      <c r="IA123" s="456"/>
      <c r="IB123" s="456"/>
      <c r="IC123" s="456"/>
      <c r="ID123" s="456"/>
      <c r="IE123" s="456"/>
      <c r="IF123" s="456"/>
      <c r="IG123" s="456"/>
      <c r="IH123" s="456"/>
      <c r="II123" s="456"/>
      <c r="IJ123" s="456"/>
      <c r="IK123" s="456"/>
      <c r="IL123" s="456"/>
      <c r="IM123" s="456"/>
      <c r="IN123" s="456"/>
      <c r="IO123" s="456"/>
      <c r="IP123" s="456"/>
      <c r="IQ123" s="456"/>
      <c r="IR123" s="456"/>
      <c r="IS123" s="456"/>
      <c r="IT123" s="456"/>
      <c r="IU123" s="456"/>
      <c r="IV123" s="456"/>
      <c r="IW123" s="456"/>
      <c r="IX123" s="456"/>
      <c r="IY123" s="456"/>
      <c r="IZ123" s="456"/>
      <c r="JA123" s="456"/>
      <c r="JB123" s="456"/>
      <c r="JC123" s="456"/>
      <c r="JD123" s="456"/>
      <c r="JE123" s="456"/>
      <c r="JF123" s="456"/>
      <c r="JG123" s="456"/>
      <c r="JH123" s="456"/>
      <c r="JI123" s="456"/>
      <c r="JJ123" s="456"/>
      <c r="JK123" s="456"/>
      <c r="JL123" s="456"/>
      <c r="JM123" s="456"/>
      <c r="JN123" s="456"/>
      <c r="JO123" s="456"/>
      <c r="JP123" s="456"/>
      <c r="JQ123" s="456"/>
      <c r="JR123" s="456"/>
      <c r="JS123" s="456"/>
      <c r="JT123" s="456"/>
      <c r="JU123" s="456"/>
      <c r="JV123" s="456"/>
      <c r="JW123" s="456"/>
      <c r="JX123" s="456"/>
      <c r="JY123" s="456"/>
      <c r="JZ123" s="456"/>
      <c r="KA123" s="456"/>
      <c r="KB123" s="456"/>
      <c r="KC123" s="456"/>
      <c r="KD123" s="456"/>
      <c r="KE123" s="456"/>
      <c r="KF123" s="456"/>
      <c r="KG123" s="456"/>
      <c r="KH123" s="456"/>
      <c r="KI123" s="456"/>
      <c r="KJ123" s="456"/>
      <c r="KK123" s="456"/>
      <c r="KL123" s="456"/>
      <c r="KM123" s="456"/>
      <c r="KN123" s="456"/>
      <c r="KO123" s="456"/>
      <c r="KP123" s="456"/>
      <c r="KQ123" s="456"/>
      <c r="KR123" s="456"/>
      <c r="KS123" s="456"/>
      <c r="KT123" s="456"/>
      <c r="KU123" s="456"/>
      <c r="KV123" s="456"/>
      <c r="KW123" s="456"/>
      <c r="KX123" s="456"/>
      <c r="KY123" s="456"/>
      <c r="KZ123" s="456"/>
      <c r="LA123" s="456"/>
      <c r="LB123" s="456"/>
      <c r="LC123" s="456"/>
      <c r="LD123" s="456"/>
      <c r="LE123" s="456"/>
      <c r="LF123" s="456"/>
      <c r="LG123" s="456"/>
      <c r="LH123" s="456"/>
      <c r="LI123" s="456"/>
      <c r="LJ123" s="456"/>
      <c r="LK123" s="456"/>
      <c r="LL123" s="456"/>
      <c r="LM123" s="456"/>
      <c r="LN123" s="456"/>
      <c r="LO123" s="456"/>
      <c r="LP123" s="456"/>
      <c r="LQ123" s="456"/>
      <c r="LR123" s="456"/>
      <c r="LS123" s="456"/>
      <c r="LT123" s="456"/>
      <c r="LU123" s="456"/>
      <c r="LV123" s="456"/>
      <c r="LW123" s="456"/>
      <c r="LX123" s="456"/>
      <c r="LY123" s="456"/>
      <c r="LZ123" s="456"/>
      <c r="MA123" s="456"/>
      <c r="MB123" s="456"/>
      <c r="MC123" s="456"/>
      <c r="MD123" s="456"/>
      <c r="ME123" s="456"/>
      <c r="MF123" s="456"/>
      <c r="MG123" s="456"/>
      <c r="MH123" s="456"/>
      <c r="MI123" s="456"/>
      <c r="MJ123" s="456"/>
      <c r="MK123" s="456"/>
      <c r="ML123" s="456"/>
      <c r="MM123" s="456"/>
      <c r="MN123" s="456"/>
      <c r="MO123" s="456"/>
      <c r="MP123" s="456"/>
      <c r="MQ123" s="456"/>
      <c r="MR123" s="456"/>
      <c r="MS123" s="456"/>
      <c r="MT123" s="456"/>
      <c r="MU123" s="456"/>
      <c r="MV123" s="456"/>
      <c r="MW123" s="456"/>
      <c r="MX123" s="456"/>
      <c r="MY123" s="456"/>
      <c r="MZ123" s="456"/>
      <c r="NA123" s="456"/>
      <c r="NB123" s="456"/>
      <c r="NC123" s="456"/>
      <c r="ND123" s="456"/>
      <c r="NE123" s="456"/>
      <c r="NF123" s="456"/>
      <c r="NG123" s="456"/>
      <c r="NH123" s="456"/>
      <c r="NI123" s="456"/>
      <c r="NJ123" s="456"/>
      <c r="NK123" s="456"/>
      <c r="NL123" s="456"/>
      <c r="NM123" s="456"/>
      <c r="NN123" s="456"/>
      <c r="NO123" s="456"/>
      <c r="NP123" s="456"/>
      <c r="NQ123" s="456"/>
      <c r="NR123" s="456"/>
      <c r="NS123" s="456"/>
      <c r="NT123" s="456"/>
      <c r="NU123" s="456"/>
      <c r="NV123" s="456"/>
      <c r="NW123" s="456"/>
      <c r="NX123" s="456"/>
      <c r="NY123" s="456"/>
      <c r="NZ123" s="456"/>
      <c r="OA123" s="456"/>
      <c r="OB123" s="456"/>
      <c r="OC123" s="456"/>
      <c r="OD123" s="456"/>
      <c r="OE123" s="456"/>
      <c r="OF123" s="456"/>
      <c r="OG123" s="456"/>
      <c r="OH123" s="456"/>
      <c r="OI123" s="456"/>
      <c r="OJ123" s="456"/>
      <c r="OK123" s="456"/>
      <c r="OL123" s="456"/>
      <c r="OM123" s="456"/>
      <c r="ON123" s="456"/>
      <c r="OO123" s="456"/>
      <c r="OP123" s="456"/>
      <c r="OQ123" s="456"/>
      <c r="OR123" s="456"/>
      <c r="OS123" s="456"/>
      <c r="OT123" s="456"/>
      <c r="OU123" s="456"/>
      <c r="OV123" s="456"/>
      <c r="OW123" s="456"/>
      <c r="OX123" s="456"/>
      <c r="OY123" s="456"/>
      <c r="OZ123" s="456"/>
      <c r="PA123" s="456"/>
      <c r="PB123" s="456"/>
      <c r="PC123" s="456"/>
      <c r="PD123" s="456"/>
      <c r="PE123" s="456"/>
      <c r="PF123" s="456"/>
      <c r="PG123" s="456"/>
      <c r="PH123" s="456"/>
      <c r="PI123" s="456"/>
      <c r="PJ123" s="456"/>
      <c r="PK123" s="456"/>
      <c r="PL123" s="456"/>
      <c r="PM123" s="456"/>
      <c r="PN123" s="456"/>
      <c r="PO123" s="456"/>
      <c r="PP123" s="456"/>
      <c r="PQ123" s="456"/>
      <c r="PR123" s="456"/>
      <c r="PS123" s="456"/>
      <c r="PT123" s="456"/>
      <c r="PU123" s="456"/>
      <c r="PV123" s="456"/>
      <c r="PW123" s="456"/>
      <c r="PX123" s="456"/>
      <c r="PY123" s="456"/>
      <c r="PZ123" s="456"/>
      <c r="QA123" s="456"/>
      <c r="QB123" s="456"/>
      <c r="QC123" s="456"/>
      <c r="QD123" s="456"/>
      <c r="QE123" s="456"/>
      <c r="QF123" s="456"/>
      <c r="QG123" s="456"/>
      <c r="QH123" s="456"/>
      <c r="QI123" s="456"/>
      <c r="QJ123" s="456"/>
      <c r="QK123" s="456"/>
      <c r="QL123" s="456"/>
      <c r="QM123" s="456"/>
      <c r="QN123" s="456"/>
      <c r="QO123" s="456"/>
      <c r="QP123" s="456"/>
      <c r="QQ123" s="456"/>
      <c r="QR123" s="456"/>
      <c r="QS123" s="456"/>
      <c r="QT123" s="456"/>
      <c r="QU123" s="456"/>
      <c r="QV123" s="456"/>
      <c r="QW123" s="456"/>
      <c r="QX123" s="456"/>
      <c r="QY123" s="456"/>
      <c r="QZ123" s="456"/>
      <c r="RA123" s="456"/>
      <c r="RB123" s="456"/>
      <c r="RC123" s="456"/>
      <c r="RD123" s="456"/>
      <c r="RE123" s="456"/>
      <c r="RF123" s="456"/>
      <c r="RG123" s="456"/>
      <c r="RH123" s="456"/>
      <c r="RI123" s="456"/>
      <c r="RJ123" s="456"/>
      <c r="RK123" s="456"/>
      <c r="RL123" s="456"/>
      <c r="RM123" s="456"/>
      <c r="RN123" s="456"/>
      <c r="RO123" s="456"/>
      <c r="RP123" s="456"/>
      <c r="RQ123" s="456"/>
      <c r="RR123" s="456"/>
      <c r="RS123" s="456"/>
      <c r="RT123" s="456"/>
      <c r="RU123" s="456"/>
      <c r="RV123" s="456"/>
      <c r="RW123" s="456"/>
      <c r="RX123" s="456"/>
      <c r="RY123" s="456"/>
      <c r="RZ123" s="456"/>
      <c r="SA123" s="456"/>
      <c r="SB123" s="456"/>
      <c r="SC123" s="456"/>
      <c r="SD123" s="456"/>
      <c r="SE123" s="456"/>
      <c r="SF123" s="456"/>
      <c r="SG123" s="456"/>
      <c r="SH123" s="456"/>
      <c r="SI123" s="456"/>
      <c r="SJ123" s="456"/>
      <c r="SK123" s="456"/>
      <c r="SL123" s="456"/>
      <c r="SM123" s="456"/>
      <c r="SN123" s="456"/>
      <c r="SO123" s="456"/>
      <c r="SP123" s="456"/>
      <c r="SQ123" s="456"/>
      <c r="SR123" s="456"/>
      <c r="SS123" s="456"/>
      <c r="ST123" s="456"/>
      <c r="SU123" s="456"/>
      <c r="SV123" s="456"/>
      <c r="SW123" s="456"/>
      <c r="SX123" s="456"/>
      <c r="SY123" s="456"/>
      <c r="SZ123" s="456"/>
      <c r="TA123" s="456"/>
      <c r="TB123" s="456"/>
      <c r="TC123" s="456"/>
      <c r="TD123" s="456"/>
      <c r="TE123" s="456"/>
      <c r="TF123" s="456"/>
      <c r="TG123" s="456"/>
      <c r="TH123" s="456"/>
      <c r="TI123" s="456"/>
      <c r="TJ123" s="456"/>
      <c r="TK123" s="456"/>
      <c r="TL123" s="456"/>
      <c r="TM123" s="456"/>
      <c r="TN123" s="456"/>
      <c r="TO123" s="456"/>
      <c r="TP123" s="456"/>
      <c r="TQ123" s="456"/>
      <c r="TR123" s="456"/>
      <c r="TS123" s="456"/>
      <c r="TT123" s="456"/>
      <c r="TU123" s="456"/>
      <c r="TV123" s="456"/>
      <c r="TW123" s="456"/>
      <c r="TX123" s="456"/>
      <c r="TY123" s="456"/>
      <c r="TZ123" s="456"/>
      <c r="UA123" s="456"/>
      <c r="UB123" s="456"/>
      <c r="UC123" s="456"/>
      <c r="UD123" s="456"/>
      <c r="UE123" s="456"/>
      <c r="UF123" s="456"/>
      <c r="UG123" s="456"/>
      <c r="UH123" s="456"/>
      <c r="UI123" s="456"/>
      <c r="UJ123" s="456"/>
      <c r="UK123" s="456"/>
      <c r="UL123" s="456"/>
      <c r="UM123" s="456"/>
      <c r="UN123" s="456"/>
      <c r="UO123" s="456"/>
      <c r="UP123" s="456"/>
      <c r="UQ123" s="456"/>
      <c r="UR123" s="456"/>
      <c r="US123" s="456"/>
      <c r="UT123" s="456"/>
      <c r="UU123" s="456"/>
      <c r="UV123" s="456"/>
      <c r="UW123" s="456"/>
      <c r="UX123" s="456"/>
      <c r="UY123" s="456"/>
      <c r="UZ123" s="456"/>
      <c r="VA123" s="456"/>
      <c r="VB123" s="456"/>
      <c r="VC123" s="456"/>
      <c r="VD123" s="456"/>
      <c r="VE123" s="456"/>
      <c r="VF123" s="456"/>
      <c r="VG123" s="456"/>
      <c r="VH123" s="456"/>
      <c r="VI123" s="456"/>
      <c r="VJ123" s="456"/>
      <c r="VK123" s="456"/>
      <c r="VL123" s="456"/>
      <c r="VM123" s="456"/>
      <c r="VN123" s="456"/>
      <c r="VO123" s="456"/>
      <c r="VP123" s="456"/>
      <c r="VQ123" s="456"/>
      <c r="VR123" s="456"/>
      <c r="VS123" s="456"/>
      <c r="VT123" s="456"/>
      <c r="VU123" s="456"/>
      <c r="VV123" s="456"/>
      <c r="VW123" s="456"/>
      <c r="VX123" s="456"/>
      <c r="VY123" s="456"/>
      <c r="VZ123" s="456"/>
      <c r="WA123" s="456"/>
      <c r="WB123" s="456"/>
      <c r="WC123" s="456"/>
      <c r="WD123" s="456"/>
      <c r="WE123" s="456"/>
      <c r="WF123" s="456"/>
      <c r="WG123" s="456"/>
      <c r="WH123" s="456"/>
      <c r="WI123" s="456"/>
      <c r="WJ123" s="456"/>
      <c r="WK123" s="456"/>
      <c r="WL123" s="456"/>
      <c r="WM123" s="456"/>
      <c r="WN123" s="456"/>
      <c r="WO123" s="456"/>
      <c r="WP123" s="456"/>
      <c r="WQ123" s="456"/>
      <c r="WR123" s="456"/>
      <c r="WS123" s="456"/>
      <c r="WT123" s="456"/>
      <c r="WU123" s="456"/>
      <c r="WV123" s="456"/>
      <c r="WW123" s="456"/>
      <c r="WX123" s="456"/>
      <c r="WY123" s="456"/>
      <c r="WZ123" s="456"/>
      <c r="XA123" s="456"/>
      <c r="XB123" s="456"/>
      <c r="XC123" s="456"/>
      <c r="XD123" s="456"/>
      <c r="XE123" s="456"/>
      <c r="XF123" s="456"/>
      <c r="XG123" s="456"/>
      <c r="XH123" s="456"/>
      <c r="XI123" s="456"/>
      <c r="XJ123" s="456"/>
      <c r="XK123" s="456"/>
      <c r="XL123" s="456"/>
      <c r="XM123" s="456"/>
      <c r="XN123" s="456"/>
      <c r="XO123" s="456"/>
      <c r="XP123" s="456"/>
      <c r="XQ123" s="456"/>
      <c r="XR123" s="456"/>
      <c r="XS123" s="456"/>
      <c r="XT123" s="456"/>
      <c r="XU123" s="456"/>
      <c r="XV123" s="456"/>
      <c r="XW123" s="456"/>
      <c r="XX123" s="456"/>
      <c r="XY123" s="456"/>
      <c r="XZ123" s="456"/>
      <c r="YA123" s="456"/>
      <c r="YB123" s="456"/>
      <c r="YC123" s="456"/>
      <c r="YD123" s="456"/>
      <c r="YE123" s="456"/>
      <c r="YF123" s="456"/>
      <c r="YG123" s="456"/>
      <c r="YH123" s="456"/>
      <c r="YI123" s="456"/>
      <c r="YJ123" s="456"/>
      <c r="YK123" s="456"/>
      <c r="YL123" s="456"/>
      <c r="YM123" s="456"/>
      <c r="YN123" s="456"/>
      <c r="YO123" s="456"/>
      <c r="YP123" s="456"/>
      <c r="YQ123" s="456"/>
      <c r="YR123" s="456"/>
      <c r="YS123" s="456"/>
      <c r="YT123" s="456"/>
      <c r="YU123" s="456"/>
      <c r="YV123" s="456"/>
      <c r="YW123" s="456"/>
      <c r="YX123" s="456"/>
      <c r="YY123" s="456"/>
      <c r="YZ123" s="456"/>
      <c r="ZA123" s="456"/>
      <c r="ZB123" s="456"/>
      <c r="ZC123" s="456"/>
      <c r="ZD123" s="456"/>
      <c r="ZE123" s="456"/>
      <c r="ZF123" s="456"/>
      <c r="ZG123" s="456"/>
      <c r="ZH123" s="456"/>
      <c r="ZI123" s="456"/>
      <c r="ZJ123" s="456"/>
      <c r="ZK123" s="456"/>
      <c r="ZL123" s="456"/>
      <c r="ZM123" s="456"/>
      <c r="ZN123" s="456"/>
      <c r="ZO123" s="456"/>
      <c r="ZP123" s="456"/>
      <c r="ZQ123" s="456"/>
      <c r="ZR123" s="456"/>
      <c r="ZS123" s="456"/>
      <c r="ZT123" s="456"/>
      <c r="ZU123" s="456"/>
      <c r="ZV123" s="456"/>
      <c r="ZW123" s="456"/>
      <c r="ZX123" s="456"/>
      <c r="ZY123" s="456"/>
      <c r="ZZ123" s="456"/>
      <c r="AAA123" s="456"/>
      <c r="AAB123" s="456"/>
      <c r="AAC123" s="456"/>
      <c r="AAD123" s="456"/>
      <c r="AAE123" s="456"/>
      <c r="AAF123" s="456"/>
      <c r="AAG123" s="456"/>
      <c r="AAH123" s="456"/>
      <c r="AAI123" s="456"/>
      <c r="AAJ123" s="456"/>
      <c r="AAK123" s="456"/>
      <c r="AAL123" s="456"/>
      <c r="AAM123" s="456"/>
      <c r="AAN123" s="456"/>
      <c r="AAO123" s="456"/>
      <c r="AAP123" s="456"/>
      <c r="AAQ123" s="456"/>
      <c r="AAR123" s="456"/>
      <c r="AAS123" s="456"/>
      <c r="AAT123" s="456"/>
      <c r="AAU123" s="456"/>
      <c r="AAV123" s="456"/>
      <c r="AAW123" s="456"/>
      <c r="AAX123" s="456"/>
      <c r="AAY123" s="456"/>
      <c r="AAZ123" s="456"/>
      <c r="ABA123" s="456"/>
      <c r="ABB123" s="456"/>
      <c r="ABC123" s="456"/>
      <c r="ABD123" s="456"/>
      <c r="ABE123" s="456"/>
      <c r="ABF123" s="456"/>
      <c r="ABG123" s="456"/>
      <c r="ABH123" s="456"/>
      <c r="ABI123" s="456"/>
      <c r="ABJ123" s="456"/>
      <c r="ABK123" s="456"/>
      <c r="ABL123" s="456"/>
      <c r="ABM123" s="456"/>
      <c r="ABN123" s="456"/>
      <c r="ABO123" s="456"/>
      <c r="ABP123" s="456"/>
      <c r="ABQ123" s="456"/>
      <c r="ABR123" s="456"/>
      <c r="ABS123" s="456"/>
      <c r="ABT123" s="456"/>
      <c r="ABU123" s="456"/>
      <c r="ABV123" s="456"/>
      <c r="ABW123" s="456"/>
      <c r="ABX123" s="456"/>
      <c r="ABY123" s="456"/>
      <c r="ABZ123" s="456"/>
      <c r="ACA123" s="456"/>
      <c r="ACB123" s="456"/>
      <c r="ACC123" s="456"/>
      <c r="ACD123" s="456"/>
      <c r="ACE123" s="456"/>
      <c r="ACF123" s="456"/>
      <c r="ACG123" s="456"/>
      <c r="ACH123" s="456"/>
      <c r="ACI123" s="456"/>
      <c r="ACJ123" s="456"/>
      <c r="ACK123" s="456"/>
      <c r="ACL123" s="456"/>
      <c r="ACM123" s="456"/>
      <c r="ACN123" s="456"/>
      <c r="ACO123" s="456"/>
      <c r="ACP123" s="456"/>
      <c r="ACQ123" s="456"/>
      <c r="ACR123" s="456"/>
      <c r="ACS123" s="456"/>
      <c r="ACT123" s="456"/>
      <c r="ACU123" s="456"/>
      <c r="ACV123" s="456"/>
      <c r="ACW123" s="456"/>
      <c r="ACX123" s="456"/>
      <c r="ACY123" s="456"/>
      <c r="ACZ123" s="456"/>
      <c r="ADA123" s="456"/>
      <c r="ADB123" s="456"/>
      <c r="ADC123" s="456"/>
      <c r="ADD123" s="456"/>
      <c r="ADE123" s="456"/>
      <c r="ADF123" s="456"/>
      <c r="ADG123" s="456"/>
      <c r="ADH123" s="456"/>
      <c r="ADI123" s="456"/>
      <c r="ADJ123" s="456"/>
      <c r="ADK123" s="456"/>
      <c r="ADL123" s="456"/>
      <c r="ADM123" s="456"/>
      <c r="ADN123" s="456"/>
      <c r="ADO123" s="456"/>
      <c r="ADP123" s="456"/>
      <c r="ADQ123" s="456"/>
      <c r="ADR123" s="456"/>
      <c r="ADS123" s="456"/>
      <c r="ADT123" s="456"/>
      <c r="ADU123" s="456"/>
      <c r="ADV123" s="456"/>
      <c r="ADW123" s="456"/>
      <c r="ADX123" s="456"/>
      <c r="ADY123" s="456"/>
      <c r="ADZ123" s="456"/>
      <c r="AEA123" s="456"/>
      <c r="AEB123" s="456"/>
      <c r="AEC123" s="456"/>
      <c r="AED123" s="456"/>
      <c r="AEE123" s="456"/>
      <c r="AEF123" s="456"/>
      <c r="AEG123" s="456"/>
      <c r="AEH123" s="456"/>
      <c r="AEI123" s="456"/>
      <c r="AEJ123" s="456"/>
      <c r="AEK123" s="456"/>
      <c r="AEL123" s="456"/>
      <c r="AEM123" s="456"/>
      <c r="AEN123" s="456"/>
      <c r="AEO123" s="456"/>
      <c r="AEP123" s="456"/>
      <c r="AEQ123" s="456"/>
      <c r="AER123" s="456"/>
      <c r="AES123" s="456"/>
      <c r="AET123" s="456"/>
      <c r="AEU123" s="456"/>
      <c r="AEV123" s="456"/>
      <c r="AEW123" s="456"/>
      <c r="AEX123" s="456"/>
      <c r="AEY123" s="456"/>
      <c r="AEZ123" s="456"/>
      <c r="AFA123" s="456"/>
      <c r="AFB123" s="456"/>
      <c r="AFC123" s="456"/>
      <c r="AFD123" s="456"/>
      <c r="AFE123" s="456"/>
      <c r="AFF123" s="456"/>
      <c r="AFG123" s="456"/>
      <c r="AFH123" s="456"/>
      <c r="AFI123" s="456"/>
      <c r="AFJ123" s="456"/>
      <c r="AFK123" s="456"/>
      <c r="AFL123" s="456"/>
      <c r="AFM123" s="456"/>
      <c r="AFN123" s="456"/>
      <c r="AFO123" s="456"/>
      <c r="AFP123" s="456"/>
      <c r="AFQ123" s="456"/>
      <c r="AFR123" s="456"/>
      <c r="AFS123" s="456"/>
      <c r="AFT123" s="456"/>
      <c r="AFU123" s="456"/>
      <c r="AFV123" s="456"/>
      <c r="AFW123" s="456"/>
      <c r="AFX123" s="456"/>
      <c r="AFY123" s="456"/>
      <c r="AFZ123" s="456"/>
      <c r="AGA123" s="456"/>
      <c r="AGB123" s="456"/>
      <c r="AGC123" s="456"/>
      <c r="AGD123" s="456"/>
      <c r="AGE123" s="456"/>
      <c r="AGF123" s="456"/>
      <c r="AGG123" s="456"/>
      <c r="AGH123" s="456"/>
      <c r="AGI123" s="456"/>
      <c r="AGJ123" s="456"/>
      <c r="AGK123" s="456"/>
      <c r="AGL123" s="456"/>
      <c r="AGM123" s="456"/>
      <c r="AGN123" s="456"/>
      <c r="AGO123" s="456"/>
      <c r="AGP123" s="456"/>
      <c r="AGQ123" s="456"/>
      <c r="AGR123" s="456"/>
      <c r="AGS123" s="456"/>
      <c r="AGT123" s="456"/>
      <c r="AGU123" s="456"/>
      <c r="AGV123" s="456"/>
      <c r="AGW123" s="456"/>
      <c r="AGX123" s="456"/>
      <c r="AGY123" s="456"/>
      <c r="AGZ123" s="456"/>
      <c r="AHA123" s="456"/>
      <c r="AHB123" s="456"/>
      <c r="AHC123" s="456"/>
      <c r="AHD123" s="456"/>
      <c r="AHE123" s="456"/>
      <c r="AHF123" s="456"/>
      <c r="AHG123" s="456"/>
      <c r="AHH123" s="456"/>
      <c r="AHI123" s="456"/>
      <c r="AHJ123" s="456"/>
      <c r="AHK123" s="456"/>
      <c r="AHL123" s="456"/>
      <c r="AHM123" s="456"/>
      <c r="AHN123" s="456"/>
      <c r="AHO123" s="456"/>
      <c r="AHP123" s="456"/>
      <c r="AHQ123" s="456"/>
      <c r="AHR123" s="456"/>
      <c r="AHS123" s="456"/>
      <c r="AHT123" s="456"/>
      <c r="AHU123" s="456"/>
      <c r="AHV123" s="456"/>
      <c r="AHW123" s="456"/>
      <c r="AHX123" s="456"/>
      <c r="AHY123" s="456"/>
      <c r="AHZ123" s="456"/>
      <c r="AIA123" s="456"/>
      <c r="AIB123" s="456"/>
      <c r="AIC123" s="456"/>
      <c r="AID123" s="456"/>
      <c r="AIE123" s="456"/>
      <c r="AIF123" s="456"/>
      <c r="AIG123" s="456"/>
      <c r="AIH123" s="456"/>
      <c r="AII123" s="456"/>
      <c r="AIJ123" s="456"/>
      <c r="AIK123" s="456"/>
      <c r="AIL123" s="456"/>
      <c r="AIM123" s="456"/>
      <c r="AIN123" s="456"/>
      <c r="AIO123" s="456"/>
      <c r="AIP123" s="456"/>
      <c r="AIQ123" s="456"/>
      <c r="AIR123" s="456"/>
      <c r="AIS123" s="456"/>
      <c r="AIT123" s="456"/>
      <c r="AIU123" s="456"/>
      <c r="AIV123" s="456"/>
      <c r="AIW123" s="456"/>
      <c r="AIX123" s="456"/>
      <c r="AIY123" s="456"/>
      <c r="AIZ123" s="456"/>
      <c r="AJA123" s="456"/>
      <c r="AJB123" s="456"/>
      <c r="AJC123" s="456"/>
      <c r="AJD123" s="456"/>
      <c r="AJE123" s="456"/>
      <c r="AJF123" s="456"/>
      <c r="AJG123" s="456"/>
      <c r="AJH123" s="456"/>
      <c r="AJI123" s="456"/>
      <c r="AJJ123" s="456"/>
      <c r="AJK123" s="456"/>
      <c r="AJL123" s="456"/>
      <c r="AJM123" s="456"/>
      <c r="AJN123" s="456"/>
      <c r="AJO123" s="456"/>
      <c r="AJP123" s="456"/>
      <c r="AJQ123" s="456"/>
      <c r="AJR123" s="456"/>
      <c r="AJS123" s="456"/>
      <c r="AJT123" s="456"/>
      <c r="AJU123" s="456"/>
      <c r="AJV123" s="456"/>
      <c r="AJW123" s="456"/>
      <c r="AJX123" s="456"/>
      <c r="AJY123" s="456"/>
      <c r="AJZ123" s="456"/>
      <c r="AKA123" s="456"/>
      <c r="AKB123" s="456"/>
      <c r="AKC123" s="456"/>
      <c r="AKD123" s="456"/>
      <c r="AKE123" s="456"/>
      <c r="AKF123" s="456"/>
      <c r="AKG123" s="456"/>
      <c r="AKH123" s="456"/>
      <c r="AKI123" s="456"/>
      <c r="AKJ123" s="456"/>
      <c r="AKK123" s="456"/>
      <c r="AKL123" s="456"/>
      <c r="AKM123" s="456"/>
      <c r="AKN123" s="456"/>
      <c r="AKO123" s="456"/>
      <c r="AKP123" s="456"/>
      <c r="AKQ123" s="456"/>
      <c r="AKR123" s="456"/>
      <c r="AKS123" s="456"/>
      <c r="AKT123" s="456"/>
      <c r="AKU123" s="456"/>
      <c r="AKV123" s="456"/>
      <c r="AKW123" s="456"/>
      <c r="AKX123" s="456"/>
      <c r="AKY123" s="456"/>
      <c r="AKZ123" s="456"/>
      <c r="ALA123" s="456"/>
      <c r="ALB123" s="456"/>
      <c r="ALC123" s="456"/>
      <c r="ALD123" s="456"/>
      <c r="ALE123" s="456"/>
      <c r="ALF123" s="456"/>
      <c r="ALG123" s="456"/>
      <c r="ALH123" s="456"/>
      <c r="ALI123" s="456"/>
      <c r="ALJ123" s="456"/>
      <c r="ALK123" s="456"/>
      <c r="ALL123" s="456"/>
      <c r="ALM123" s="456"/>
      <c r="ALN123" s="456"/>
      <c r="ALO123" s="456"/>
      <c r="ALP123" s="456"/>
      <c r="ALQ123" s="456"/>
      <c r="ALR123" s="456"/>
      <c r="ALS123" s="456"/>
      <c r="ALT123" s="456"/>
      <c r="ALU123" s="456"/>
      <c r="ALV123" s="456"/>
      <c r="ALW123" s="456"/>
      <c r="ALX123" s="456"/>
      <c r="ALY123" s="456"/>
      <c r="ALZ123" s="456"/>
      <c r="AMA123" s="456"/>
      <c r="AMB123" s="456"/>
      <c r="AMC123" s="456"/>
      <c r="AMD123" s="456"/>
      <c r="AME123" s="456"/>
      <c r="AMF123" s="456"/>
      <c r="AMG123" s="456"/>
      <c r="AMH123" s="456"/>
      <c r="AMI123" s="456"/>
      <c r="AMJ123" s="456"/>
      <c r="AMK123" s="456"/>
      <c r="AML123" s="456"/>
      <c r="AMM123" s="456"/>
      <c r="AMN123" s="456"/>
      <c r="AMO123" s="456"/>
      <c r="AMP123" s="456"/>
      <c r="AMQ123" s="456"/>
      <c r="AMR123" s="456"/>
      <c r="AMS123" s="456"/>
      <c r="AMT123" s="456"/>
      <c r="AMU123" s="456"/>
      <c r="AMV123" s="456"/>
      <c r="AMW123" s="456"/>
      <c r="AMX123" s="456"/>
      <c r="AMY123" s="456"/>
      <c r="AMZ123" s="456"/>
      <c r="ANA123" s="456"/>
      <c r="ANB123" s="456"/>
      <c r="ANC123" s="456"/>
      <c r="AND123" s="456"/>
      <c r="ANE123" s="456"/>
      <c r="ANF123" s="456"/>
      <c r="ANG123" s="456"/>
      <c r="ANH123" s="456"/>
      <c r="ANI123" s="456"/>
      <c r="ANJ123" s="456"/>
      <c r="ANK123" s="456"/>
      <c r="ANL123" s="456"/>
      <c r="ANM123" s="456"/>
      <c r="ANN123" s="456"/>
      <c r="ANO123" s="456"/>
      <c r="ANP123" s="456"/>
      <c r="ANQ123" s="456"/>
      <c r="ANR123" s="456"/>
      <c r="ANS123" s="456"/>
      <c r="ANT123" s="456"/>
      <c r="ANU123" s="456"/>
      <c r="ANV123" s="456"/>
      <c r="ANW123" s="456"/>
      <c r="ANX123" s="456"/>
      <c r="ANY123" s="456"/>
      <c r="ANZ123" s="456"/>
      <c r="AOA123" s="456"/>
      <c r="AOB123" s="456"/>
      <c r="AOC123" s="456"/>
      <c r="AOD123" s="456"/>
      <c r="AOE123" s="456"/>
      <c r="AOF123" s="456"/>
      <c r="AOG123" s="456"/>
      <c r="AOH123" s="456"/>
      <c r="AOI123" s="456"/>
      <c r="AOJ123" s="456"/>
      <c r="AOK123" s="456"/>
      <c r="AOL123" s="456"/>
      <c r="AOM123" s="456"/>
      <c r="AON123" s="456"/>
      <c r="AOO123" s="456"/>
      <c r="AOP123" s="456"/>
      <c r="AOQ123" s="456"/>
      <c r="AOR123" s="456"/>
      <c r="AOS123" s="456"/>
      <c r="AOT123" s="456"/>
      <c r="AOU123" s="456"/>
      <c r="AOV123" s="456"/>
      <c r="AOW123" s="456"/>
      <c r="AOX123" s="456"/>
      <c r="AOY123" s="456"/>
      <c r="AOZ123" s="456"/>
      <c r="APA123" s="456"/>
      <c r="APB123" s="456"/>
      <c r="APC123" s="456"/>
      <c r="APD123" s="456"/>
      <c r="APE123" s="456"/>
      <c r="APF123" s="456"/>
      <c r="APG123" s="456"/>
      <c r="APH123" s="456"/>
      <c r="API123" s="456"/>
      <c r="APJ123" s="456"/>
      <c r="APK123" s="456"/>
      <c r="APL123" s="456"/>
      <c r="APM123" s="456"/>
      <c r="APN123" s="456"/>
      <c r="APO123" s="456"/>
      <c r="APP123" s="456"/>
      <c r="APQ123" s="456"/>
      <c r="APR123" s="456"/>
      <c r="APS123" s="456"/>
      <c r="APT123" s="456"/>
      <c r="APU123" s="456"/>
      <c r="APV123" s="456"/>
      <c r="APW123" s="456"/>
      <c r="APX123" s="456"/>
      <c r="APY123" s="456"/>
      <c r="APZ123" s="456"/>
      <c r="AQA123" s="456"/>
      <c r="AQB123" s="456"/>
      <c r="AQC123" s="456"/>
      <c r="AQD123" s="456"/>
      <c r="AQE123" s="456"/>
      <c r="AQF123" s="456"/>
      <c r="AQG123" s="456"/>
      <c r="AQH123" s="456"/>
      <c r="AQI123" s="456"/>
      <c r="AQJ123" s="456"/>
      <c r="AQK123" s="456"/>
      <c r="AQL123" s="456"/>
      <c r="AQM123" s="456"/>
      <c r="AQN123" s="456"/>
      <c r="AQO123" s="456"/>
      <c r="AQP123" s="456"/>
      <c r="AQQ123" s="456"/>
      <c r="AQR123" s="456"/>
      <c r="AQS123" s="456"/>
      <c r="AQT123" s="456"/>
      <c r="AQU123" s="456"/>
      <c r="AQV123" s="456"/>
      <c r="AQW123" s="456"/>
      <c r="AQX123" s="456"/>
      <c r="AQY123" s="456"/>
      <c r="AQZ123" s="456"/>
      <c r="ARA123" s="456"/>
      <c r="ARB123" s="456"/>
      <c r="ARC123" s="456"/>
      <c r="ARD123" s="456"/>
      <c r="ARE123" s="456"/>
      <c r="ARF123" s="456"/>
      <c r="ARG123" s="456"/>
      <c r="ARH123" s="456"/>
      <c r="ARI123" s="456"/>
      <c r="ARJ123" s="456"/>
      <c r="ARK123" s="456"/>
      <c r="ARL123" s="456"/>
      <c r="ARM123" s="456"/>
      <c r="ARN123" s="456"/>
      <c r="ARO123" s="456"/>
      <c r="ARP123" s="456"/>
      <c r="ARQ123" s="456"/>
      <c r="ARR123" s="456"/>
      <c r="ARS123" s="456"/>
      <c r="ART123" s="456"/>
      <c r="ARU123" s="456"/>
      <c r="ARV123" s="456"/>
      <c r="ARW123" s="456"/>
      <c r="ARX123" s="456"/>
      <c r="ARY123" s="456"/>
      <c r="ARZ123" s="456"/>
      <c r="ASA123" s="456"/>
      <c r="ASB123" s="456"/>
      <c r="ASC123" s="456"/>
      <c r="ASD123" s="456"/>
      <c r="ASE123" s="456"/>
      <c r="ASF123" s="456"/>
      <c r="ASG123" s="456"/>
      <c r="ASH123" s="456"/>
      <c r="ASI123" s="456"/>
      <c r="ASJ123" s="456"/>
      <c r="ASK123" s="456"/>
      <c r="ASL123" s="456"/>
      <c r="ASM123" s="456"/>
      <c r="ASN123" s="456"/>
      <c r="ASO123" s="456"/>
      <c r="ASP123" s="456"/>
      <c r="ASQ123" s="456"/>
      <c r="ASR123" s="456"/>
      <c r="ASS123" s="456"/>
      <c r="AST123" s="456"/>
      <c r="ASU123" s="456"/>
      <c r="ASV123" s="456"/>
      <c r="ASW123" s="456"/>
      <c r="ASX123" s="456"/>
      <c r="ASY123" s="456"/>
      <c r="ASZ123" s="456"/>
      <c r="ATA123" s="456"/>
      <c r="ATB123" s="456"/>
      <c r="ATC123" s="456"/>
      <c r="ATD123" s="456"/>
      <c r="ATE123" s="456"/>
      <c r="ATF123" s="456"/>
      <c r="ATG123" s="456"/>
      <c r="ATH123" s="456"/>
      <c r="ATI123" s="456"/>
      <c r="ATJ123" s="456"/>
      <c r="ATK123" s="456"/>
      <c r="ATL123" s="456"/>
      <c r="ATM123" s="456"/>
      <c r="ATN123" s="456"/>
      <c r="ATO123" s="456"/>
      <c r="ATP123" s="456"/>
      <c r="ATQ123" s="456"/>
      <c r="ATR123" s="456"/>
      <c r="ATS123" s="456"/>
      <c r="ATT123" s="456"/>
      <c r="ATU123" s="456"/>
      <c r="ATV123" s="456"/>
      <c r="ATW123" s="456"/>
      <c r="ATX123" s="456"/>
      <c r="ATY123" s="456"/>
      <c r="ATZ123" s="456"/>
      <c r="AUA123" s="456"/>
      <c r="AUB123" s="456"/>
      <c r="AUC123" s="456"/>
      <c r="AUD123" s="456"/>
      <c r="AUE123" s="456"/>
      <c r="AUF123" s="456"/>
      <c r="AUG123" s="456"/>
      <c r="AUH123" s="456"/>
      <c r="AUI123" s="456"/>
      <c r="AUJ123" s="456"/>
      <c r="AUK123" s="456"/>
      <c r="AUL123" s="456"/>
      <c r="AUM123" s="456"/>
      <c r="AUN123" s="456"/>
      <c r="AUO123" s="456"/>
      <c r="AUP123" s="456"/>
      <c r="AUQ123" s="456"/>
      <c r="AUR123" s="456"/>
      <c r="AUS123" s="456"/>
      <c r="AUT123" s="456"/>
      <c r="AUU123" s="456"/>
      <c r="AUV123" s="456"/>
      <c r="AUW123" s="456"/>
      <c r="AUX123" s="456"/>
      <c r="AUY123" s="456"/>
      <c r="AUZ123" s="456"/>
      <c r="AVA123" s="456"/>
      <c r="AVB123" s="456"/>
      <c r="AVC123" s="456"/>
      <c r="AVD123" s="456"/>
      <c r="AVE123" s="456"/>
      <c r="AVF123" s="456"/>
      <c r="AVG123" s="456"/>
      <c r="AVH123" s="456"/>
      <c r="AVI123" s="456"/>
      <c r="AVJ123" s="456"/>
      <c r="AVK123" s="456"/>
      <c r="AVL123" s="456"/>
      <c r="AVM123" s="456"/>
      <c r="AVN123" s="456"/>
      <c r="AVO123" s="456"/>
      <c r="AVP123" s="456"/>
      <c r="AVQ123" s="456"/>
      <c r="AVR123" s="456"/>
      <c r="AVS123" s="456"/>
      <c r="AVT123" s="456"/>
      <c r="AVU123" s="456"/>
      <c r="AVV123" s="456"/>
      <c r="AVW123" s="456"/>
      <c r="AVX123" s="456"/>
      <c r="AVY123" s="456"/>
      <c r="AVZ123" s="456"/>
      <c r="AWA123" s="456"/>
      <c r="AWB123" s="456"/>
      <c r="AWC123" s="456"/>
      <c r="AWD123" s="456"/>
      <c r="AWE123" s="456"/>
      <c r="AWF123" s="456"/>
      <c r="AWG123" s="456"/>
      <c r="AWH123" s="456"/>
      <c r="AWI123" s="456"/>
      <c r="AWJ123" s="456"/>
      <c r="AWK123" s="456"/>
      <c r="AWL123" s="456"/>
      <c r="AWM123" s="456"/>
      <c r="AWN123" s="456"/>
      <c r="AWO123" s="456"/>
      <c r="AWP123" s="456"/>
      <c r="AWQ123" s="456"/>
      <c r="AWR123" s="456"/>
      <c r="AWS123" s="456"/>
      <c r="AWT123" s="456"/>
      <c r="AWU123" s="456"/>
      <c r="AWV123" s="456"/>
      <c r="AWW123" s="456"/>
      <c r="AWX123" s="456"/>
      <c r="AWY123" s="456"/>
      <c r="AWZ123" s="456"/>
      <c r="AXA123" s="456"/>
      <c r="AXB123" s="456"/>
      <c r="AXC123" s="456"/>
      <c r="AXD123" s="456"/>
      <c r="AXE123" s="456"/>
      <c r="AXF123" s="456"/>
      <c r="AXG123" s="456"/>
      <c r="AXH123" s="456"/>
      <c r="AXI123" s="456"/>
      <c r="AXJ123" s="456"/>
      <c r="AXK123" s="456"/>
      <c r="AXL123" s="456"/>
      <c r="AXM123" s="456"/>
      <c r="AXN123" s="456"/>
      <c r="AXO123" s="456"/>
      <c r="AXP123" s="456"/>
      <c r="AXQ123" s="456"/>
      <c r="AXR123" s="456"/>
      <c r="AXS123" s="456"/>
      <c r="AXT123" s="456"/>
      <c r="AXU123" s="456"/>
      <c r="AXV123" s="456"/>
      <c r="AXW123" s="456"/>
      <c r="AXX123" s="456"/>
      <c r="AXY123" s="456"/>
      <c r="AXZ123" s="456"/>
      <c r="AYA123" s="456"/>
      <c r="AYB123" s="456"/>
      <c r="AYC123" s="456"/>
      <c r="AYD123" s="456"/>
      <c r="AYE123" s="456"/>
      <c r="AYF123" s="456"/>
      <c r="AYG123" s="456"/>
      <c r="AYH123" s="456"/>
      <c r="AYI123" s="456"/>
      <c r="AYJ123" s="456"/>
      <c r="AYK123" s="456"/>
      <c r="AYL123" s="456"/>
      <c r="AYM123" s="456"/>
      <c r="AYN123" s="456"/>
      <c r="AYO123" s="456"/>
      <c r="AYP123" s="456"/>
      <c r="AYQ123" s="456"/>
      <c r="AYR123" s="456"/>
      <c r="AYS123" s="456"/>
      <c r="AYT123" s="456"/>
      <c r="AYU123" s="456"/>
      <c r="AYV123" s="456"/>
      <c r="AYW123" s="456"/>
      <c r="AYX123" s="456"/>
      <c r="AYY123" s="456"/>
      <c r="AYZ123" s="456"/>
      <c r="AZA123" s="456"/>
      <c r="AZB123" s="456"/>
      <c r="AZC123" s="456"/>
      <c r="AZD123" s="456"/>
      <c r="AZE123" s="456"/>
      <c r="AZF123" s="456"/>
      <c r="AZG123" s="456"/>
      <c r="AZH123" s="456"/>
      <c r="AZI123" s="456"/>
      <c r="AZJ123" s="456"/>
      <c r="AZK123" s="456"/>
      <c r="AZL123" s="456"/>
      <c r="AZM123" s="456"/>
      <c r="AZN123" s="456"/>
      <c r="AZO123" s="456"/>
      <c r="AZP123" s="456"/>
      <c r="AZQ123" s="456"/>
      <c r="AZR123" s="456"/>
      <c r="AZS123" s="456"/>
      <c r="AZT123" s="456"/>
      <c r="AZU123" s="456"/>
      <c r="AZV123" s="456"/>
      <c r="AZW123" s="456"/>
      <c r="AZX123" s="456"/>
      <c r="AZY123" s="456"/>
      <c r="AZZ123" s="456"/>
      <c r="BAA123" s="456"/>
      <c r="BAB123" s="456"/>
      <c r="BAC123" s="456"/>
      <c r="BAD123" s="456"/>
      <c r="BAE123" s="456"/>
      <c r="BAF123" s="456"/>
      <c r="BAG123" s="456"/>
      <c r="BAH123" s="456"/>
      <c r="BAI123" s="456"/>
      <c r="BAJ123" s="456"/>
      <c r="BAK123" s="456"/>
      <c r="BAL123" s="456"/>
      <c r="BAM123" s="456"/>
      <c r="BAN123" s="456"/>
      <c r="BAO123" s="456"/>
      <c r="BAP123" s="456"/>
      <c r="BAQ123" s="456"/>
      <c r="BAR123" s="456"/>
      <c r="BAS123" s="456"/>
      <c r="BAT123" s="456"/>
      <c r="BAU123" s="456"/>
      <c r="BAV123" s="456"/>
      <c r="BAW123" s="456"/>
      <c r="BAX123" s="456"/>
      <c r="BAY123" s="456"/>
      <c r="BAZ123" s="456"/>
      <c r="BBA123" s="456"/>
      <c r="BBB123" s="456"/>
      <c r="BBC123" s="456"/>
      <c r="BBD123" s="456"/>
      <c r="BBE123" s="456"/>
      <c r="BBF123" s="456"/>
      <c r="BBG123" s="456"/>
      <c r="BBH123" s="456"/>
      <c r="BBI123" s="456"/>
      <c r="BBJ123" s="456"/>
      <c r="BBK123" s="456"/>
      <c r="BBL123" s="456"/>
      <c r="BBM123" s="456"/>
      <c r="BBN123" s="456"/>
      <c r="BBO123" s="456"/>
      <c r="BBP123" s="456"/>
      <c r="BBQ123" s="456"/>
      <c r="BBR123" s="456"/>
      <c r="BBS123" s="456"/>
      <c r="BBT123" s="456"/>
      <c r="BBU123" s="456"/>
      <c r="BBV123" s="456"/>
      <c r="BBW123" s="456"/>
      <c r="BBX123" s="456"/>
      <c r="BBY123" s="456"/>
      <c r="BBZ123" s="456"/>
      <c r="BCA123" s="456"/>
      <c r="BCB123" s="456"/>
      <c r="BCC123" s="456"/>
      <c r="BCD123" s="456"/>
      <c r="BCE123" s="456"/>
      <c r="BCF123" s="456"/>
      <c r="BCG123" s="456"/>
      <c r="BCH123" s="456"/>
      <c r="BCI123" s="456"/>
      <c r="BCJ123" s="456"/>
      <c r="BCK123" s="456"/>
      <c r="BCL123" s="456"/>
      <c r="BCM123" s="456"/>
      <c r="BCN123" s="456"/>
      <c r="BCO123" s="456"/>
      <c r="BCP123" s="456"/>
      <c r="BCQ123" s="456"/>
      <c r="BCR123" s="456"/>
      <c r="BCS123" s="456"/>
      <c r="BCT123" s="456"/>
      <c r="BCU123" s="456"/>
      <c r="BCV123" s="456"/>
      <c r="BCW123" s="456"/>
      <c r="BCX123" s="456"/>
      <c r="BCY123" s="456"/>
      <c r="BCZ123" s="456"/>
      <c r="BDA123" s="456"/>
      <c r="BDB123" s="456"/>
      <c r="BDC123" s="456"/>
      <c r="BDD123" s="456"/>
      <c r="BDE123" s="456"/>
      <c r="BDF123" s="456"/>
      <c r="BDG123" s="456"/>
      <c r="BDH123" s="456"/>
      <c r="BDI123" s="456"/>
      <c r="BDJ123" s="456"/>
      <c r="BDK123" s="456"/>
      <c r="BDL123" s="456"/>
      <c r="BDM123" s="456"/>
      <c r="BDN123" s="456"/>
      <c r="BDO123" s="456"/>
      <c r="BDP123" s="456"/>
      <c r="BDQ123" s="456"/>
      <c r="BDR123" s="456"/>
      <c r="BDS123" s="456"/>
      <c r="BDT123" s="456"/>
      <c r="BDU123" s="456"/>
      <c r="BDV123" s="456"/>
      <c r="BDW123" s="456"/>
      <c r="BDX123" s="456"/>
      <c r="BDY123" s="456"/>
      <c r="BDZ123" s="456"/>
      <c r="BEA123" s="456"/>
      <c r="BEB123" s="456"/>
      <c r="BEC123" s="456"/>
      <c r="BED123" s="456"/>
      <c r="BEE123" s="456"/>
      <c r="BEF123" s="456"/>
      <c r="BEG123" s="456"/>
      <c r="BEH123" s="456"/>
      <c r="BEI123" s="456"/>
      <c r="BEJ123" s="456"/>
      <c r="BEK123" s="456"/>
      <c r="BEL123" s="456"/>
      <c r="BEM123" s="456"/>
      <c r="BEN123" s="456"/>
      <c r="BEO123" s="456"/>
      <c r="BEP123" s="456"/>
      <c r="BEQ123" s="456"/>
      <c r="BER123" s="456"/>
      <c r="BES123" s="456"/>
      <c r="BET123" s="456"/>
      <c r="BEU123" s="456"/>
      <c r="BEV123" s="456"/>
      <c r="BEW123" s="456"/>
      <c r="BEX123" s="456"/>
      <c r="BEY123" s="456"/>
      <c r="BEZ123" s="456"/>
      <c r="BFA123" s="456"/>
      <c r="BFB123" s="456"/>
      <c r="BFC123" s="456"/>
      <c r="BFD123" s="456"/>
      <c r="BFE123" s="456"/>
      <c r="BFF123" s="456"/>
      <c r="BFG123" s="456"/>
      <c r="BFH123" s="456"/>
      <c r="BFI123" s="456"/>
      <c r="BFJ123" s="456"/>
      <c r="BFK123" s="456"/>
      <c r="BFL123" s="456"/>
      <c r="BFM123" s="456"/>
      <c r="BFN123" s="456"/>
      <c r="BFO123" s="456"/>
      <c r="BFP123" s="456"/>
      <c r="BFQ123" s="456"/>
      <c r="BFR123" s="456"/>
      <c r="BFS123" s="456"/>
      <c r="BFT123" s="456"/>
      <c r="BFU123" s="456"/>
      <c r="BFV123" s="456"/>
      <c r="BFW123" s="456"/>
      <c r="BFX123" s="456"/>
      <c r="BFY123" s="456"/>
      <c r="BFZ123" s="456"/>
      <c r="BGA123" s="456"/>
      <c r="BGB123" s="456"/>
      <c r="BGC123" s="456"/>
      <c r="BGD123" s="456"/>
      <c r="BGE123" s="456"/>
      <c r="BGF123" s="456"/>
      <c r="BGG123" s="456"/>
      <c r="BGH123" s="456"/>
      <c r="BGI123" s="456"/>
      <c r="BGJ123" s="456"/>
      <c r="BGK123" s="456"/>
      <c r="BGL123" s="456"/>
      <c r="BGM123" s="456"/>
      <c r="BGN123" s="456"/>
      <c r="BGO123" s="456"/>
      <c r="BGP123" s="456"/>
      <c r="BGQ123" s="456"/>
      <c r="BGR123" s="456"/>
      <c r="BGS123" s="456"/>
      <c r="BGT123" s="456"/>
      <c r="BGU123" s="456"/>
      <c r="BGV123" s="456"/>
      <c r="BGW123" s="456"/>
      <c r="BGX123" s="456"/>
      <c r="BGY123" s="456"/>
      <c r="BGZ123" s="456"/>
      <c r="BHA123" s="456"/>
      <c r="BHB123" s="456"/>
      <c r="BHC123" s="456"/>
      <c r="BHD123" s="456"/>
      <c r="BHE123" s="456"/>
      <c r="BHF123" s="456"/>
      <c r="BHG123" s="456"/>
      <c r="BHH123" s="456"/>
      <c r="BHI123" s="456"/>
      <c r="BHJ123" s="456"/>
      <c r="BHK123" s="456"/>
      <c r="BHL123" s="456"/>
      <c r="BHM123" s="456"/>
      <c r="BHN123" s="456"/>
      <c r="BHO123" s="456"/>
      <c r="BHP123" s="456"/>
      <c r="BHQ123" s="456"/>
      <c r="BHR123" s="456"/>
      <c r="BHS123" s="456"/>
      <c r="BHT123" s="456"/>
      <c r="BHU123" s="456"/>
      <c r="BHV123" s="456"/>
      <c r="BHW123" s="456"/>
      <c r="BHX123" s="456"/>
      <c r="BHY123" s="456"/>
      <c r="BHZ123" s="456"/>
      <c r="BIA123" s="456"/>
      <c r="BIB123" s="456"/>
      <c r="BIC123" s="456"/>
      <c r="BID123" s="456"/>
      <c r="BIE123" s="456"/>
      <c r="BIF123" s="456"/>
      <c r="BIG123" s="456"/>
      <c r="BIH123" s="456"/>
      <c r="BII123" s="456"/>
      <c r="BIJ123" s="456"/>
      <c r="BIK123" s="456"/>
      <c r="BIL123" s="456"/>
      <c r="BIM123" s="456"/>
      <c r="BIN123" s="456"/>
      <c r="BIO123" s="456"/>
      <c r="BIP123" s="456"/>
      <c r="BIQ123" s="456"/>
      <c r="BIR123" s="456"/>
      <c r="BIS123" s="456"/>
      <c r="BIT123" s="456"/>
      <c r="BIU123" s="456"/>
      <c r="BIV123" s="456"/>
      <c r="BIW123" s="456"/>
      <c r="BIX123" s="456"/>
      <c r="BIY123" s="456"/>
      <c r="BIZ123" s="456"/>
      <c r="BJA123" s="456"/>
      <c r="BJB123" s="456"/>
      <c r="BJC123" s="456"/>
      <c r="BJD123" s="456"/>
      <c r="BJE123" s="456"/>
      <c r="BJF123" s="456"/>
      <c r="BJG123" s="456"/>
      <c r="BJH123" s="456"/>
      <c r="BJI123" s="456"/>
      <c r="BJJ123" s="456"/>
      <c r="BJK123" s="456"/>
      <c r="BJL123" s="456"/>
      <c r="BJM123" s="456"/>
      <c r="BJN123" s="456"/>
      <c r="BJO123" s="456"/>
      <c r="BJP123" s="456"/>
      <c r="BJQ123" s="456"/>
      <c r="BJR123" s="456"/>
      <c r="BJS123" s="456"/>
      <c r="BJT123" s="456"/>
      <c r="BJU123" s="456"/>
      <c r="BJV123" s="456"/>
      <c r="BJW123" s="456"/>
      <c r="BJX123" s="456"/>
      <c r="BJY123" s="456"/>
      <c r="BJZ123" s="456"/>
      <c r="BKA123" s="456"/>
      <c r="BKB123" s="456"/>
      <c r="BKC123" s="456"/>
      <c r="BKD123" s="456"/>
      <c r="BKE123" s="456"/>
      <c r="BKF123" s="456"/>
      <c r="BKG123" s="456"/>
      <c r="BKH123" s="456"/>
      <c r="BKI123" s="456"/>
      <c r="BKJ123" s="456"/>
      <c r="BKK123" s="456"/>
      <c r="BKL123" s="456"/>
      <c r="BKM123" s="456"/>
      <c r="BKN123" s="456"/>
      <c r="BKO123" s="456"/>
      <c r="BKP123" s="456"/>
      <c r="BKQ123" s="456"/>
      <c r="BKR123" s="456"/>
      <c r="BKS123" s="456"/>
      <c r="BKT123" s="456"/>
      <c r="BKU123" s="456"/>
      <c r="BKV123" s="456"/>
      <c r="BKW123" s="456"/>
      <c r="BKX123" s="456"/>
      <c r="BKY123" s="456"/>
      <c r="BKZ123" s="456"/>
      <c r="BLA123" s="456"/>
      <c r="BLB123" s="456"/>
      <c r="BLC123" s="456"/>
      <c r="BLD123" s="456"/>
      <c r="BLE123" s="456"/>
      <c r="BLF123" s="456"/>
      <c r="BLG123" s="456"/>
      <c r="BLH123" s="456"/>
      <c r="BLI123" s="456"/>
      <c r="BLJ123" s="456"/>
      <c r="BLK123" s="456"/>
      <c r="BLL123" s="456"/>
      <c r="BLM123" s="456"/>
      <c r="BLN123" s="456"/>
      <c r="BLO123" s="456"/>
      <c r="BLP123" s="456"/>
      <c r="BLQ123" s="456"/>
      <c r="BLR123" s="456"/>
      <c r="BLS123" s="456"/>
      <c r="BLT123" s="456"/>
      <c r="BLU123" s="456"/>
      <c r="BLV123" s="456"/>
      <c r="BLW123" s="456"/>
      <c r="BLX123" s="456"/>
      <c r="BLY123" s="456"/>
      <c r="BLZ123" s="456"/>
      <c r="BMA123" s="456"/>
      <c r="BMB123" s="456"/>
      <c r="BMC123" s="456"/>
      <c r="BMD123" s="456"/>
      <c r="BME123" s="456"/>
      <c r="BMF123" s="456"/>
      <c r="BMG123" s="456"/>
      <c r="BMH123" s="456"/>
      <c r="BMI123" s="456"/>
      <c r="BMJ123" s="456"/>
      <c r="BMK123" s="456"/>
      <c r="BML123" s="456"/>
      <c r="BMM123" s="456"/>
      <c r="BMN123" s="456"/>
      <c r="BMO123" s="456"/>
      <c r="BMP123" s="456"/>
      <c r="BMQ123" s="456"/>
      <c r="BMR123" s="456"/>
      <c r="BMS123" s="456"/>
      <c r="BMT123" s="456"/>
      <c r="BMU123" s="456"/>
      <c r="BMV123" s="456"/>
      <c r="BMW123" s="456"/>
      <c r="BMX123" s="456"/>
      <c r="BMY123" s="456"/>
      <c r="BMZ123" s="456"/>
      <c r="BNA123" s="456"/>
      <c r="BNB123" s="456"/>
      <c r="BNC123" s="456"/>
      <c r="BND123" s="456"/>
      <c r="BNE123" s="456"/>
      <c r="BNF123" s="456"/>
      <c r="BNG123" s="456"/>
      <c r="BNH123" s="456"/>
      <c r="BNI123" s="456"/>
      <c r="BNJ123" s="456"/>
      <c r="BNK123" s="456"/>
      <c r="BNL123" s="456"/>
      <c r="BNM123" s="456"/>
      <c r="BNN123" s="456"/>
      <c r="BNO123" s="456"/>
      <c r="BNP123" s="456"/>
      <c r="BNQ123" s="456"/>
      <c r="BNR123" s="456"/>
      <c r="BNS123" s="456"/>
      <c r="BNT123" s="456"/>
      <c r="BNU123" s="456"/>
      <c r="BNV123" s="456"/>
      <c r="BNW123" s="456"/>
      <c r="BNX123" s="456"/>
      <c r="BNY123" s="456"/>
      <c r="BNZ123" s="456"/>
      <c r="BOA123" s="456"/>
      <c r="BOB123" s="456"/>
      <c r="BOC123" s="456"/>
      <c r="BOD123" s="456"/>
      <c r="BOE123" s="456"/>
      <c r="BOF123" s="456"/>
      <c r="BOG123" s="456"/>
      <c r="BOH123" s="456"/>
      <c r="BOI123" s="456"/>
      <c r="BOJ123" s="456"/>
      <c r="BOK123" s="456"/>
      <c r="BOL123" s="456"/>
      <c r="BOM123" s="456"/>
      <c r="BON123" s="456"/>
      <c r="BOO123" s="456"/>
      <c r="BOP123" s="456"/>
      <c r="BOQ123" s="456"/>
      <c r="BOR123" s="456"/>
      <c r="BOS123" s="456"/>
      <c r="BOT123" s="456"/>
      <c r="BOU123" s="456"/>
      <c r="BOV123" s="456"/>
      <c r="BOW123" s="456"/>
      <c r="BOX123" s="456"/>
      <c r="BOY123" s="456"/>
      <c r="BOZ123" s="456"/>
      <c r="BPA123" s="456"/>
      <c r="BPB123" s="456"/>
      <c r="BPC123" s="456"/>
      <c r="BPD123" s="456"/>
      <c r="BPE123" s="456"/>
      <c r="BPF123" s="456"/>
      <c r="BPG123" s="456"/>
      <c r="BPH123" s="456"/>
      <c r="BPI123" s="456"/>
      <c r="BPJ123" s="456"/>
      <c r="BPK123" s="456"/>
      <c r="BPL123" s="456"/>
      <c r="BPM123" s="456"/>
      <c r="BPN123" s="456"/>
      <c r="BPO123" s="456"/>
      <c r="BPP123" s="456"/>
      <c r="BPQ123" s="456"/>
      <c r="BPR123" s="456"/>
      <c r="BPS123" s="456"/>
      <c r="BPT123" s="456"/>
      <c r="BPU123" s="456"/>
      <c r="BPV123" s="456"/>
      <c r="BPW123" s="456"/>
      <c r="BPX123" s="456"/>
      <c r="BPY123" s="456"/>
      <c r="BPZ123" s="456"/>
      <c r="BQA123" s="456"/>
      <c r="BQB123" s="456"/>
      <c r="BQC123" s="456"/>
      <c r="BQD123" s="456"/>
      <c r="BQE123" s="456"/>
      <c r="BQF123" s="456"/>
      <c r="BQG123" s="456"/>
      <c r="BQH123" s="456"/>
      <c r="BQI123" s="456"/>
      <c r="BQJ123" s="456"/>
      <c r="BQK123" s="456"/>
      <c r="BQL123" s="456"/>
      <c r="BQM123" s="456"/>
      <c r="BQN123" s="456"/>
      <c r="BQO123" s="456"/>
      <c r="BQP123" s="456"/>
      <c r="BQQ123" s="456"/>
      <c r="BQR123" s="456"/>
      <c r="BQS123" s="456"/>
      <c r="BQT123" s="456"/>
      <c r="BQU123" s="456"/>
      <c r="BQV123" s="456"/>
      <c r="BQW123" s="456"/>
      <c r="BQX123" s="456"/>
      <c r="BQY123" s="456"/>
      <c r="BQZ123" s="456"/>
      <c r="BRA123" s="456"/>
      <c r="BRB123" s="456"/>
      <c r="BRC123" s="456"/>
      <c r="BRD123" s="456"/>
      <c r="BRE123" s="456"/>
      <c r="BRF123" s="456"/>
      <c r="BRG123" s="456"/>
      <c r="BRH123" s="456"/>
      <c r="BRI123" s="456"/>
      <c r="BRJ123" s="456"/>
      <c r="BRK123" s="456"/>
      <c r="BRL123" s="456"/>
      <c r="BRM123" s="456"/>
      <c r="BRN123" s="456"/>
      <c r="BRO123" s="456"/>
      <c r="BRP123" s="456"/>
      <c r="BRQ123" s="456"/>
      <c r="BRR123" s="456"/>
      <c r="BRS123" s="456"/>
      <c r="BRT123" s="456"/>
      <c r="BRU123" s="456"/>
      <c r="BRV123" s="456"/>
      <c r="BRW123" s="456"/>
      <c r="BRX123" s="456"/>
      <c r="BRY123" s="456"/>
      <c r="BRZ123" s="456"/>
      <c r="BSA123" s="456"/>
      <c r="BSB123" s="456"/>
      <c r="BSC123" s="456"/>
      <c r="BSD123" s="456"/>
      <c r="BSE123" s="456"/>
      <c r="BSF123" s="456"/>
      <c r="BSG123" s="456"/>
      <c r="BSH123" s="456"/>
      <c r="BSI123" s="456"/>
      <c r="BSJ123" s="456"/>
      <c r="BSK123" s="456"/>
      <c r="BSL123" s="456"/>
      <c r="BSM123" s="456"/>
      <c r="BSN123" s="456"/>
      <c r="BSO123" s="456"/>
      <c r="BSP123" s="456"/>
      <c r="BSQ123" s="456"/>
      <c r="BSR123" s="456"/>
      <c r="BSS123" s="456"/>
      <c r="BST123" s="456"/>
      <c r="BSU123" s="456"/>
      <c r="BSV123" s="456"/>
      <c r="BSW123" s="456"/>
      <c r="BSX123" s="456"/>
      <c r="BSY123" s="456"/>
      <c r="BSZ123" s="456"/>
      <c r="BTA123" s="456"/>
      <c r="BTB123" s="456"/>
      <c r="BTC123" s="456"/>
      <c r="BTD123" s="456"/>
      <c r="BTE123" s="456"/>
      <c r="BTF123" s="456"/>
      <c r="BTG123" s="456"/>
      <c r="BTH123" s="456"/>
      <c r="BTI123" s="456"/>
      <c r="BTJ123" s="456"/>
      <c r="BTK123" s="456"/>
      <c r="BTL123" s="456"/>
      <c r="BTM123" s="456"/>
      <c r="BTN123" s="456"/>
      <c r="BTO123" s="456"/>
      <c r="BTP123" s="456"/>
      <c r="BTQ123" s="456"/>
      <c r="BTR123" s="456"/>
      <c r="BTS123" s="456"/>
      <c r="BTT123" s="456"/>
      <c r="BTU123" s="456"/>
      <c r="BTV123" s="456"/>
      <c r="BTW123" s="456"/>
      <c r="BTX123" s="456"/>
      <c r="BTY123" s="456"/>
      <c r="BTZ123" s="456"/>
      <c r="BUA123" s="456"/>
      <c r="BUB123" s="456"/>
      <c r="BUC123" s="456"/>
      <c r="BUD123" s="456"/>
      <c r="BUE123" s="456"/>
      <c r="BUF123" s="456"/>
      <c r="BUG123" s="456"/>
      <c r="BUH123" s="456"/>
      <c r="BUI123" s="456"/>
      <c r="BUJ123" s="456"/>
      <c r="BUK123" s="456"/>
      <c r="BUL123" s="456"/>
      <c r="BUM123" s="456"/>
      <c r="BUN123" s="456"/>
      <c r="BUO123" s="456"/>
      <c r="BUP123" s="456"/>
      <c r="BUQ123" s="456"/>
      <c r="BUR123" s="456"/>
      <c r="BUS123" s="456"/>
      <c r="BUT123" s="456"/>
      <c r="BUU123" s="456"/>
      <c r="BUV123" s="456"/>
      <c r="BUW123" s="456"/>
      <c r="BUX123" s="456"/>
      <c r="BUY123" s="456"/>
      <c r="BUZ123" s="456"/>
      <c r="BVA123" s="456"/>
      <c r="BVB123" s="456"/>
      <c r="BVC123" s="456"/>
      <c r="BVD123" s="456"/>
      <c r="BVE123" s="456"/>
      <c r="BVF123" s="456"/>
      <c r="BVG123" s="456"/>
      <c r="BVH123" s="456"/>
      <c r="BVI123" s="456"/>
      <c r="BVJ123" s="456"/>
      <c r="BVK123" s="456"/>
      <c r="BVL123" s="456"/>
      <c r="BVM123" s="456"/>
      <c r="BVN123" s="456"/>
      <c r="BVO123" s="456"/>
      <c r="BVP123" s="456"/>
      <c r="BVQ123" s="456"/>
      <c r="BVR123" s="456"/>
      <c r="BVS123" s="456"/>
      <c r="BVT123" s="456"/>
      <c r="BVU123" s="456"/>
      <c r="BVV123" s="456"/>
      <c r="BVW123" s="456"/>
      <c r="BVX123" s="456"/>
      <c r="BVY123" s="456"/>
      <c r="BVZ123" s="456"/>
      <c r="BWA123" s="456"/>
      <c r="BWB123" s="456"/>
      <c r="BWC123" s="456"/>
      <c r="BWD123" s="456"/>
      <c r="BWE123" s="456"/>
      <c r="BWF123" s="456"/>
      <c r="BWG123" s="456"/>
      <c r="BWH123" s="456"/>
      <c r="BWI123" s="456"/>
      <c r="BWJ123" s="456"/>
      <c r="BWK123" s="456"/>
      <c r="BWL123" s="456"/>
      <c r="BWM123" s="456"/>
      <c r="BWN123" s="456"/>
      <c r="BWO123" s="456"/>
      <c r="BWP123" s="456"/>
      <c r="BWQ123" s="456"/>
      <c r="BWR123" s="456"/>
      <c r="BWS123" s="456"/>
      <c r="BWT123" s="456"/>
      <c r="BWU123" s="456"/>
      <c r="BWV123" s="456"/>
      <c r="BWW123" s="456"/>
      <c r="BWX123" s="456"/>
      <c r="BWY123" s="456"/>
      <c r="BWZ123" s="456"/>
      <c r="BXA123" s="456"/>
      <c r="BXB123" s="456"/>
      <c r="BXC123" s="456"/>
      <c r="BXD123" s="456"/>
      <c r="BXE123" s="456"/>
      <c r="BXF123" s="456"/>
      <c r="BXG123" s="456"/>
      <c r="BXH123" s="456"/>
      <c r="BXI123" s="456"/>
      <c r="BXJ123" s="456"/>
      <c r="BXK123" s="456"/>
      <c r="BXL123" s="456"/>
      <c r="BXM123" s="456"/>
      <c r="BXN123" s="456"/>
      <c r="BXO123" s="456"/>
      <c r="BXP123" s="456"/>
      <c r="BXQ123" s="456"/>
      <c r="BXR123" s="456"/>
      <c r="BXS123" s="456"/>
      <c r="BXT123" s="456"/>
      <c r="BXU123" s="456"/>
      <c r="BXV123" s="456"/>
      <c r="BXW123" s="456"/>
      <c r="BXX123" s="456"/>
      <c r="BXY123" s="456"/>
      <c r="BXZ123" s="456"/>
    </row>
    <row r="124" s="25" customFormat="1" ht="15.6" spans="1:1024 1025:2002">
      <c r="A124" s="473"/>
      <c r="B124" s="19">
        <v>1125</v>
      </c>
      <c r="C124" s="183">
        <v>46196</v>
      </c>
      <c r="D124" s="17" t="s">
        <v>52</v>
      </c>
      <c r="E124" s="17" t="s">
        <v>53</v>
      </c>
      <c r="F124" s="17" t="s">
        <v>54</v>
      </c>
      <c r="G124" s="17"/>
      <c r="H124" s="19" t="s">
        <v>55</v>
      </c>
      <c r="I124" s="102" t="s">
        <v>56</v>
      </c>
      <c r="J124" s="17" t="s">
        <v>49</v>
      </c>
      <c r="K124" s="19">
        <v>710</v>
      </c>
      <c r="L124" s="19">
        <v>140</v>
      </c>
      <c r="M124" s="19">
        <v>5800</v>
      </c>
      <c r="N124" s="19" t="s">
        <v>40</v>
      </c>
      <c r="O124" s="19" t="s">
        <v>84</v>
      </c>
      <c r="P124" s="19">
        <f>3150*2</f>
        <v>6300</v>
      </c>
      <c r="Q124" s="19">
        <f>3134+3072</f>
        <v>6206</v>
      </c>
      <c r="R124" s="19">
        <f t="shared" si="9"/>
        <v>94</v>
      </c>
      <c r="S124" s="311">
        <v>2040</v>
      </c>
      <c r="T124" s="19" t="s">
        <v>42</v>
      </c>
      <c r="U124" s="102" t="s">
        <v>101</v>
      </c>
      <c r="V124" s="186">
        <v>46197</v>
      </c>
      <c r="W124" s="17" t="s">
        <v>58</v>
      </c>
      <c r="X124" s="17"/>
      <c r="Y124" s="68">
        <v>46204</v>
      </c>
      <c r="Z124" s="17" t="s">
        <v>45</v>
      </c>
      <c r="AA124" s="17" t="s">
        <v>59</v>
      </c>
      <c r="AB124" s="17" t="s">
        <v>102</v>
      </c>
      <c r="AC124" s="217">
        <v>46274</v>
      </c>
      <c r="AD124" s="65">
        <v>1861</v>
      </c>
      <c r="AE124" s="17" t="s">
        <v>48</v>
      </c>
      <c r="AF124" s="17" t="s">
        <v>61</v>
      </c>
      <c r="AG124" s="17" t="s">
        <v>103</v>
      </c>
      <c r="AH124" s="456"/>
      <c r="AI124" s="456"/>
      <c r="AJ124" s="456"/>
      <c r="AK124" s="456"/>
      <c r="AL124" s="456"/>
      <c r="AM124" s="456"/>
      <c r="AN124" s="456"/>
      <c r="AO124" s="456"/>
      <c r="AP124" s="456"/>
      <c r="AQ124" s="456"/>
      <c r="AR124" s="456"/>
      <c r="AS124" s="456"/>
      <c r="AT124" s="456"/>
      <c r="AU124" s="456"/>
      <c r="AV124" s="456"/>
      <c r="AW124" s="456"/>
      <c r="AX124" s="456"/>
      <c r="AY124" s="456"/>
      <c r="AZ124" s="456"/>
      <c r="BA124" s="456"/>
      <c r="BB124" s="456"/>
      <c r="BC124" s="456"/>
      <c r="BD124" s="456"/>
      <c r="BE124" s="456"/>
      <c r="BF124" s="456"/>
      <c r="BG124" s="456"/>
      <c r="BH124" s="456"/>
      <c r="BI124" s="456"/>
      <c r="BJ124" s="456"/>
      <c r="BK124" s="456"/>
      <c r="BL124" s="456"/>
      <c r="BM124" s="456"/>
      <c r="BN124" s="456"/>
      <c r="BO124" s="456"/>
      <c r="BP124" s="456"/>
      <c r="BQ124" s="456"/>
      <c r="BR124" s="456"/>
      <c r="BS124" s="456"/>
      <c r="BT124" s="456"/>
      <c r="BU124" s="456"/>
      <c r="BV124" s="456"/>
      <c r="BW124" s="456"/>
      <c r="BX124" s="456"/>
      <c r="BY124" s="456"/>
      <c r="BZ124" s="456"/>
      <c r="CA124" s="456"/>
      <c r="CB124" s="456"/>
      <c r="CC124" s="456"/>
      <c r="CD124" s="456"/>
      <c r="CE124" s="456"/>
      <c r="CF124" s="456"/>
      <c r="CG124" s="456"/>
      <c r="CH124" s="456"/>
      <c r="CI124" s="456"/>
      <c r="CJ124" s="456"/>
      <c r="CK124" s="456"/>
      <c r="CL124" s="456"/>
      <c r="CM124" s="456"/>
      <c r="CN124" s="456"/>
      <c r="CO124" s="456"/>
      <c r="CP124" s="456"/>
      <c r="CQ124" s="456"/>
      <c r="CR124" s="456"/>
      <c r="CS124" s="456"/>
      <c r="CT124" s="456"/>
      <c r="CU124" s="456"/>
      <c r="CV124" s="456"/>
      <c r="CW124" s="456"/>
      <c r="CX124" s="456"/>
      <c r="CY124" s="456"/>
      <c r="CZ124" s="456"/>
      <c r="DA124" s="456"/>
      <c r="DB124" s="456"/>
      <c r="DC124" s="456"/>
      <c r="DD124" s="456"/>
      <c r="DE124" s="456"/>
      <c r="DF124" s="456"/>
      <c r="DG124" s="456"/>
      <c r="DH124" s="456"/>
      <c r="DI124" s="456"/>
      <c r="DJ124" s="456"/>
      <c r="DK124" s="456"/>
      <c r="DL124" s="456"/>
      <c r="DM124" s="456"/>
      <c r="DN124" s="456"/>
      <c r="DO124" s="456"/>
      <c r="DP124" s="456"/>
      <c r="DQ124" s="456"/>
      <c r="DR124" s="456"/>
      <c r="DS124" s="456"/>
      <c r="DT124" s="456"/>
      <c r="DU124" s="456"/>
      <c r="DV124" s="456"/>
      <c r="DW124" s="456"/>
      <c r="DX124" s="456"/>
      <c r="DY124" s="456"/>
      <c r="DZ124" s="456"/>
      <c r="EA124" s="456"/>
      <c r="EB124" s="456"/>
      <c r="EC124" s="456"/>
      <c r="ED124" s="456"/>
      <c r="EE124" s="456"/>
      <c r="EF124" s="456"/>
      <c r="EG124" s="456"/>
      <c r="EH124" s="456"/>
      <c r="EI124" s="456"/>
      <c r="EJ124" s="456"/>
      <c r="EK124" s="456"/>
      <c r="EL124" s="456"/>
      <c r="EM124" s="456"/>
      <c r="EN124" s="456"/>
      <c r="EO124" s="456"/>
      <c r="EP124" s="456"/>
      <c r="EQ124" s="456"/>
      <c r="ER124" s="456"/>
      <c r="ES124" s="456"/>
      <c r="ET124" s="456"/>
      <c r="EU124" s="456"/>
      <c r="EV124" s="456"/>
      <c r="EW124" s="456"/>
      <c r="EX124" s="456"/>
      <c r="EY124" s="456"/>
      <c r="EZ124" s="456"/>
      <c r="FA124" s="456"/>
      <c r="FB124" s="456"/>
      <c r="FC124" s="456"/>
      <c r="FD124" s="456"/>
      <c r="FE124" s="456"/>
      <c r="FF124" s="456"/>
      <c r="FG124" s="456"/>
      <c r="FH124" s="456"/>
      <c r="FI124" s="456"/>
      <c r="FJ124" s="456"/>
      <c r="FK124" s="456"/>
      <c r="FL124" s="456"/>
      <c r="FM124" s="456"/>
      <c r="FN124" s="456"/>
      <c r="FO124" s="456"/>
      <c r="FP124" s="456"/>
      <c r="FQ124" s="456"/>
      <c r="FR124" s="456"/>
      <c r="FS124" s="456"/>
      <c r="FT124" s="456"/>
      <c r="FU124" s="456"/>
      <c r="FV124" s="456"/>
      <c r="FW124" s="456"/>
      <c r="FX124" s="456"/>
      <c r="FY124" s="456"/>
      <c r="FZ124" s="456"/>
      <c r="GA124" s="456"/>
      <c r="GB124" s="456"/>
      <c r="GC124" s="456"/>
      <c r="GD124" s="456"/>
      <c r="GE124" s="456"/>
      <c r="GF124" s="456"/>
      <c r="GG124" s="456"/>
      <c r="GH124" s="456"/>
      <c r="GI124" s="456"/>
      <c r="GJ124" s="456"/>
      <c r="GK124" s="456"/>
      <c r="GL124" s="456"/>
      <c r="GM124" s="456"/>
      <c r="GN124" s="456"/>
      <c r="GO124" s="456"/>
      <c r="GP124" s="456"/>
      <c r="GQ124" s="456"/>
      <c r="GR124" s="456"/>
      <c r="GS124" s="456"/>
      <c r="GT124" s="456"/>
      <c r="GU124" s="456"/>
      <c r="GV124" s="456"/>
      <c r="GW124" s="456"/>
      <c r="GX124" s="456"/>
      <c r="GY124" s="456"/>
      <c r="GZ124" s="456"/>
      <c r="HA124" s="456"/>
      <c r="HB124" s="456"/>
      <c r="HC124" s="456"/>
      <c r="HD124" s="456"/>
      <c r="HE124" s="456"/>
      <c r="HF124" s="456"/>
      <c r="HG124" s="456"/>
      <c r="HH124" s="456"/>
      <c r="HI124" s="456"/>
      <c r="HJ124" s="456"/>
      <c r="HK124" s="456"/>
      <c r="HL124" s="456"/>
      <c r="HM124" s="456"/>
      <c r="HN124" s="456"/>
      <c r="HO124" s="456"/>
      <c r="HP124" s="456"/>
      <c r="HQ124" s="456"/>
      <c r="HR124" s="456"/>
      <c r="HS124" s="456"/>
      <c r="HT124" s="456"/>
      <c r="HU124" s="456"/>
      <c r="HV124" s="456"/>
      <c r="HW124" s="456"/>
      <c r="HX124" s="456"/>
      <c r="HY124" s="456"/>
      <c r="HZ124" s="456"/>
      <c r="IA124" s="456"/>
      <c r="IB124" s="456"/>
      <c r="IC124" s="456"/>
      <c r="ID124" s="456"/>
      <c r="IE124" s="456"/>
      <c r="IF124" s="456"/>
      <c r="IG124" s="456"/>
      <c r="IH124" s="456"/>
      <c r="II124" s="456"/>
      <c r="IJ124" s="456"/>
      <c r="IK124" s="456"/>
      <c r="IL124" s="456"/>
      <c r="IM124" s="456"/>
      <c r="IN124" s="456"/>
      <c r="IO124" s="456"/>
      <c r="IP124" s="456"/>
      <c r="IQ124" s="456"/>
      <c r="IR124" s="456"/>
      <c r="IS124" s="456"/>
      <c r="IT124" s="456"/>
      <c r="IU124" s="456"/>
      <c r="IV124" s="456"/>
      <c r="IW124" s="456"/>
      <c r="IX124" s="456"/>
      <c r="IY124" s="456"/>
      <c r="IZ124" s="456"/>
      <c r="JA124" s="456"/>
      <c r="JB124" s="456"/>
      <c r="JC124" s="456"/>
      <c r="JD124" s="456"/>
      <c r="JE124" s="456"/>
      <c r="JF124" s="456"/>
      <c r="JG124" s="456"/>
      <c r="JH124" s="456"/>
      <c r="JI124" s="456"/>
      <c r="JJ124" s="456"/>
      <c r="JK124" s="456"/>
      <c r="JL124" s="456"/>
      <c r="JM124" s="456"/>
      <c r="JN124" s="456"/>
      <c r="JO124" s="456"/>
      <c r="JP124" s="456"/>
      <c r="JQ124" s="456"/>
      <c r="JR124" s="456"/>
      <c r="JS124" s="456"/>
      <c r="JT124" s="456"/>
      <c r="JU124" s="456"/>
      <c r="JV124" s="456"/>
      <c r="JW124" s="456"/>
      <c r="JX124" s="456"/>
      <c r="JY124" s="456"/>
      <c r="JZ124" s="456"/>
      <c r="KA124" s="456"/>
      <c r="KB124" s="456"/>
      <c r="KC124" s="456"/>
      <c r="KD124" s="456"/>
      <c r="KE124" s="456"/>
      <c r="KF124" s="456"/>
      <c r="KG124" s="456"/>
      <c r="KH124" s="456"/>
      <c r="KI124" s="456"/>
      <c r="KJ124" s="456"/>
      <c r="KK124" s="456"/>
      <c r="KL124" s="456"/>
      <c r="KM124" s="456"/>
      <c r="KN124" s="456"/>
      <c r="KO124" s="456"/>
      <c r="KP124" s="456"/>
      <c r="KQ124" s="456"/>
      <c r="KR124" s="456"/>
      <c r="KS124" s="456"/>
      <c r="KT124" s="456"/>
      <c r="KU124" s="456"/>
      <c r="KV124" s="456"/>
      <c r="KW124" s="456"/>
      <c r="KX124" s="456"/>
      <c r="KY124" s="456"/>
      <c r="KZ124" s="456"/>
      <c r="LA124" s="456"/>
      <c r="LB124" s="456"/>
      <c r="LC124" s="456"/>
      <c r="LD124" s="456"/>
      <c r="LE124" s="456"/>
      <c r="LF124" s="456"/>
      <c r="LG124" s="456"/>
      <c r="LH124" s="456"/>
      <c r="LI124" s="456"/>
      <c r="LJ124" s="456"/>
      <c r="LK124" s="456"/>
      <c r="LL124" s="456"/>
      <c r="LM124" s="456"/>
      <c r="LN124" s="456"/>
      <c r="LO124" s="456"/>
      <c r="LP124" s="456"/>
      <c r="LQ124" s="456"/>
      <c r="LR124" s="456"/>
      <c r="LS124" s="456"/>
      <c r="LT124" s="456"/>
      <c r="LU124" s="456"/>
      <c r="LV124" s="456"/>
      <c r="LW124" s="456"/>
      <c r="LX124" s="456"/>
      <c r="LY124" s="456"/>
      <c r="LZ124" s="456"/>
      <c r="MA124" s="456"/>
      <c r="MB124" s="456"/>
      <c r="MC124" s="456"/>
      <c r="MD124" s="456"/>
      <c r="ME124" s="456"/>
      <c r="MF124" s="456"/>
      <c r="MG124" s="456"/>
      <c r="MH124" s="456"/>
      <c r="MI124" s="456"/>
      <c r="MJ124" s="456"/>
      <c r="MK124" s="456"/>
      <c r="ML124" s="456"/>
      <c r="MM124" s="456"/>
      <c r="MN124" s="456"/>
      <c r="MO124" s="456"/>
      <c r="MP124" s="456"/>
      <c r="MQ124" s="456"/>
      <c r="MR124" s="456"/>
      <c r="MS124" s="456"/>
      <c r="MT124" s="456"/>
      <c r="MU124" s="456"/>
      <c r="MV124" s="456"/>
      <c r="MW124" s="456"/>
      <c r="MX124" s="456"/>
      <c r="MY124" s="456"/>
      <c r="MZ124" s="456"/>
      <c r="NA124" s="456"/>
      <c r="NB124" s="456"/>
      <c r="NC124" s="456"/>
      <c r="ND124" s="456"/>
      <c r="NE124" s="456"/>
      <c r="NF124" s="456"/>
      <c r="NG124" s="456"/>
      <c r="NH124" s="456"/>
      <c r="NI124" s="456"/>
      <c r="NJ124" s="456"/>
      <c r="NK124" s="456"/>
      <c r="NL124" s="456"/>
      <c r="NM124" s="456"/>
      <c r="NN124" s="456"/>
      <c r="NO124" s="456"/>
      <c r="NP124" s="456"/>
      <c r="NQ124" s="456"/>
      <c r="NR124" s="456"/>
      <c r="NS124" s="456"/>
      <c r="NT124" s="456"/>
      <c r="NU124" s="456"/>
      <c r="NV124" s="456"/>
      <c r="NW124" s="456"/>
      <c r="NX124" s="456"/>
      <c r="NY124" s="456"/>
      <c r="NZ124" s="456"/>
      <c r="OA124" s="456"/>
      <c r="OB124" s="456"/>
      <c r="OC124" s="456"/>
      <c r="OD124" s="456"/>
      <c r="OE124" s="456"/>
      <c r="OF124" s="456"/>
      <c r="OG124" s="456"/>
      <c r="OH124" s="456"/>
      <c r="OI124" s="456"/>
      <c r="OJ124" s="456"/>
      <c r="OK124" s="456"/>
      <c r="OL124" s="456"/>
      <c r="OM124" s="456"/>
      <c r="ON124" s="456"/>
      <c r="OO124" s="456"/>
      <c r="OP124" s="456"/>
      <c r="OQ124" s="456"/>
      <c r="OR124" s="456"/>
      <c r="OS124" s="456"/>
      <c r="OT124" s="456"/>
      <c r="OU124" s="456"/>
      <c r="OV124" s="456"/>
      <c r="OW124" s="456"/>
      <c r="OX124" s="456"/>
      <c r="OY124" s="456"/>
      <c r="OZ124" s="456"/>
      <c r="PA124" s="456"/>
      <c r="PB124" s="456"/>
      <c r="PC124" s="456"/>
      <c r="PD124" s="456"/>
      <c r="PE124" s="456"/>
      <c r="PF124" s="456"/>
      <c r="PG124" s="456"/>
      <c r="PH124" s="456"/>
      <c r="PI124" s="456"/>
      <c r="PJ124" s="456"/>
      <c r="PK124" s="456"/>
      <c r="PL124" s="456"/>
      <c r="PM124" s="456"/>
      <c r="PN124" s="456"/>
      <c r="PO124" s="456"/>
      <c r="PP124" s="456"/>
      <c r="PQ124" s="456"/>
      <c r="PR124" s="456"/>
      <c r="PS124" s="456"/>
      <c r="PT124" s="456"/>
      <c r="PU124" s="456"/>
      <c r="PV124" s="456"/>
      <c r="PW124" s="456"/>
      <c r="PX124" s="456"/>
      <c r="PY124" s="456"/>
      <c r="PZ124" s="456"/>
      <c r="QA124" s="456"/>
      <c r="QB124" s="456"/>
      <c r="QC124" s="456"/>
      <c r="QD124" s="456"/>
      <c r="QE124" s="456"/>
      <c r="QF124" s="456"/>
      <c r="QG124" s="456"/>
      <c r="QH124" s="456"/>
      <c r="QI124" s="456"/>
      <c r="QJ124" s="456"/>
      <c r="QK124" s="456"/>
      <c r="QL124" s="456"/>
      <c r="QM124" s="456"/>
      <c r="QN124" s="456"/>
      <c r="QO124" s="456"/>
      <c r="QP124" s="456"/>
      <c r="QQ124" s="456"/>
      <c r="QR124" s="456"/>
      <c r="QS124" s="456"/>
      <c r="QT124" s="456"/>
      <c r="QU124" s="456"/>
      <c r="QV124" s="456"/>
      <c r="QW124" s="456"/>
      <c r="QX124" s="456"/>
      <c r="QY124" s="456"/>
      <c r="QZ124" s="456"/>
      <c r="RA124" s="456"/>
      <c r="RB124" s="456"/>
      <c r="RC124" s="456"/>
      <c r="RD124" s="456"/>
      <c r="RE124" s="456"/>
      <c r="RF124" s="456"/>
      <c r="RG124" s="456"/>
      <c r="RH124" s="456"/>
      <c r="RI124" s="456"/>
      <c r="RJ124" s="456"/>
      <c r="RK124" s="456"/>
      <c r="RL124" s="456"/>
      <c r="RM124" s="456"/>
      <c r="RN124" s="456"/>
      <c r="RO124" s="456"/>
      <c r="RP124" s="456"/>
      <c r="RQ124" s="456"/>
      <c r="RR124" s="456"/>
      <c r="RS124" s="456"/>
      <c r="RT124" s="456"/>
      <c r="RU124" s="456"/>
      <c r="RV124" s="456"/>
      <c r="RW124" s="456"/>
      <c r="RX124" s="456"/>
      <c r="RY124" s="456"/>
      <c r="RZ124" s="456"/>
      <c r="SA124" s="456"/>
      <c r="SB124" s="456"/>
      <c r="SC124" s="456"/>
      <c r="SD124" s="456"/>
      <c r="SE124" s="456"/>
      <c r="SF124" s="456"/>
      <c r="SG124" s="456"/>
      <c r="SH124" s="456"/>
      <c r="SI124" s="456"/>
      <c r="SJ124" s="456"/>
      <c r="SK124" s="456"/>
      <c r="SL124" s="456"/>
      <c r="SM124" s="456"/>
      <c r="SN124" s="456"/>
      <c r="SO124" s="456"/>
      <c r="SP124" s="456"/>
      <c r="SQ124" s="456"/>
      <c r="SR124" s="456"/>
      <c r="SS124" s="456"/>
      <c r="ST124" s="456"/>
      <c r="SU124" s="456"/>
      <c r="SV124" s="456"/>
      <c r="SW124" s="456"/>
      <c r="SX124" s="456"/>
      <c r="SY124" s="456"/>
      <c r="SZ124" s="456"/>
      <c r="TA124" s="456"/>
      <c r="TB124" s="456"/>
      <c r="TC124" s="456"/>
      <c r="TD124" s="456"/>
      <c r="TE124" s="456"/>
      <c r="TF124" s="456"/>
      <c r="TG124" s="456"/>
      <c r="TH124" s="456"/>
      <c r="TI124" s="456"/>
      <c r="TJ124" s="456"/>
      <c r="TK124" s="456"/>
      <c r="TL124" s="456"/>
      <c r="TM124" s="456"/>
      <c r="TN124" s="456"/>
      <c r="TO124" s="456"/>
      <c r="TP124" s="456"/>
      <c r="TQ124" s="456"/>
      <c r="TR124" s="456"/>
      <c r="TS124" s="456"/>
      <c r="TT124" s="456"/>
      <c r="TU124" s="456"/>
      <c r="TV124" s="456"/>
      <c r="TW124" s="456"/>
      <c r="TX124" s="456"/>
      <c r="TY124" s="456"/>
      <c r="TZ124" s="456"/>
      <c r="UA124" s="456"/>
      <c r="UB124" s="456"/>
      <c r="UC124" s="456"/>
      <c r="UD124" s="456"/>
      <c r="UE124" s="456"/>
      <c r="UF124" s="456"/>
      <c r="UG124" s="456"/>
      <c r="UH124" s="456"/>
      <c r="UI124" s="456"/>
      <c r="UJ124" s="456"/>
      <c r="UK124" s="456"/>
      <c r="UL124" s="456"/>
      <c r="UM124" s="456"/>
      <c r="UN124" s="456"/>
      <c r="UO124" s="456"/>
      <c r="UP124" s="456"/>
      <c r="UQ124" s="456"/>
      <c r="UR124" s="456"/>
      <c r="US124" s="456"/>
      <c r="UT124" s="456"/>
      <c r="UU124" s="456"/>
      <c r="UV124" s="456"/>
      <c r="UW124" s="456"/>
      <c r="UX124" s="456"/>
      <c r="UY124" s="456"/>
      <c r="UZ124" s="456"/>
      <c r="VA124" s="456"/>
      <c r="VB124" s="456"/>
      <c r="VC124" s="456"/>
      <c r="VD124" s="456"/>
      <c r="VE124" s="456"/>
      <c r="VF124" s="456"/>
      <c r="VG124" s="456"/>
      <c r="VH124" s="456"/>
      <c r="VI124" s="456"/>
      <c r="VJ124" s="456"/>
      <c r="VK124" s="456"/>
      <c r="VL124" s="456"/>
      <c r="VM124" s="456"/>
      <c r="VN124" s="456"/>
      <c r="VO124" s="456"/>
      <c r="VP124" s="456"/>
      <c r="VQ124" s="456"/>
      <c r="VR124" s="456"/>
      <c r="VS124" s="456"/>
      <c r="VT124" s="456"/>
      <c r="VU124" s="456"/>
      <c r="VV124" s="456"/>
      <c r="VW124" s="456"/>
      <c r="VX124" s="456"/>
      <c r="VY124" s="456"/>
      <c r="VZ124" s="456"/>
      <c r="WA124" s="456"/>
      <c r="WB124" s="456"/>
      <c r="WC124" s="456"/>
      <c r="WD124" s="456"/>
      <c r="WE124" s="456"/>
      <c r="WF124" s="456"/>
      <c r="WG124" s="456"/>
      <c r="WH124" s="456"/>
      <c r="WI124" s="456"/>
      <c r="WJ124" s="456"/>
      <c r="WK124" s="456"/>
      <c r="WL124" s="456"/>
      <c r="WM124" s="456"/>
      <c r="WN124" s="456"/>
      <c r="WO124" s="456"/>
      <c r="WP124" s="456"/>
      <c r="WQ124" s="456"/>
      <c r="WR124" s="456"/>
      <c r="WS124" s="456"/>
      <c r="WT124" s="456"/>
      <c r="WU124" s="456"/>
      <c r="WV124" s="456"/>
      <c r="WW124" s="456"/>
      <c r="WX124" s="456"/>
      <c r="WY124" s="456"/>
      <c r="WZ124" s="456"/>
      <c r="XA124" s="456"/>
      <c r="XB124" s="456"/>
      <c r="XC124" s="456"/>
      <c r="XD124" s="456"/>
      <c r="XE124" s="456"/>
      <c r="XF124" s="456"/>
      <c r="XG124" s="456"/>
      <c r="XH124" s="456"/>
      <c r="XI124" s="456"/>
      <c r="XJ124" s="456"/>
      <c r="XK124" s="456"/>
      <c r="XL124" s="456"/>
      <c r="XM124" s="456"/>
      <c r="XN124" s="456"/>
      <c r="XO124" s="456"/>
      <c r="XP124" s="456"/>
      <c r="XQ124" s="456"/>
      <c r="XR124" s="456"/>
      <c r="XS124" s="456"/>
      <c r="XT124" s="456"/>
      <c r="XU124" s="456"/>
      <c r="XV124" s="456"/>
      <c r="XW124" s="456"/>
      <c r="XX124" s="456"/>
      <c r="XY124" s="456"/>
      <c r="XZ124" s="456"/>
      <c r="YA124" s="456"/>
      <c r="YB124" s="456"/>
      <c r="YC124" s="456"/>
      <c r="YD124" s="456"/>
      <c r="YE124" s="456"/>
      <c r="YF124" s="456"/>
      <c r="YG124" s="456"/>
      <c r="YH124" s="456"/>
      <c r="YI124" s="456"/>
      <c r="YJ124" s="456"/>
      <c r="YK124" s="456"/>
      <c r="YL124" s="456"/>
      <c r="YM124" s="456"/>
      <c r="YN124" s="456"/>
      <c r="YO124" s="456"/>
      <c r="YP124" s="456"/>
      <c r="YQ124" s="456"/>
      <c r="YR124" s="456"/>
      <c r="YS124" s="456"/>
      <c r="YT124" s="456"/>
      <c r="YU124" s="456"/>
      <c r="YV124" s="456"/>
      <c r="YW124" s="456"/>
      <c r="YX124" s="456"/>
      <c r="YY124" s="456"/>
      <c r="YZ124" s="456"/>
      <c r="ZA124" s="456"/>
      <c r="ZB124" s="456"/>
      <c r="ZC124" s="456"/>
      <c r="ZD124" s="456"/>
      <c r="ZE124" s="456"/>
      <c r="ZF124" s="456"/>
      <c r="ZG124" s="456"/>
      <c r="ZH124" s="456"/>
      <c r="ZI124" s="456"/>
      <c r="ZJ124" s="456"/>
      <c r="ZK124" s="456"/>
      <c r="ZL124" s="456"/>
      <c r="ZM124" s="456"/>
      <c r="ZN124" s="456"/>
      <c r="ZO124" s="456"/>
      <c r="ZP124" s="456"/>
      <c r="ZQ124" s="456"/>
      <c r="ZR124" s="456"/>
      <c r="ZS124" s="456"/>
      <c r="ZT124" s="456"/>
      <c r="ZU124" s="456"/>
      <c r="ZV124" s="456"/>
      <c r="ZW124" s="456"/>
      <c r="ZX124" s="456"/>
      <c r="ZY124" s="456"/>
      <c r="ZZ124" s="456"/>
      <c r="AAA124" s="456"/>
      <c r="AAB124" s="456"/>
      <c r="AAC124" s="456"/>
      <c r="AAD124" s="456"/>
      <c r="AAE124" s="456"/>
      <c r="AAF124" s="456"/>
      <c r="AAG124" s="456"/>
      <c r="AAH124" s="456"/>
      <c r="AAI124" s="456"/>
      <c r="AAJ124" s="456"/>
      <c r="AAK124" s="456"/>
      <c r="AAL124" s="456"/>
      <c r="AAM124" s="456"/>
      <c r="AAN124" s="456"/>
      <c r="AAO124" s="456"/>
      <c r="AAP124" s="456"/>
      <c r="AAQ124" s="456"/>
      <c r="AAR124" s="456"/>
      <c r="AAS124" s="456"/>
      <c r="AAT124" s="456"/>
      <c r="AAU124" s="456"/>
      <c r="AAV124" s="456"/>
      <c r="AAW124" s="456"/>
      <c r="AAX124" s="456"/>
      <c r="AAY124" s="456"/>
      <c r="AAZ124" s="456"/>
      <c r="ABA124" s="456"/>
      <c r="ABB124" s="456"/>
      <c r="ABC124" s="456"/>
      <c r="ABD124" s="456"/>
      <c r="ABE124" s="456"/>
      <c r="ABF124" s="456"/>
      <c r="ABG124" s="456"/>
      <c r="ABH124" s="456"/>
      <c r="ABI124" s="456"/>
      <c r="ABJ124" s="456"/>
      <c r="ABK124" s="456"/>
      <c r="ABL124" s="456"/>
      <c r="ABM124" s="456"/>
      <c r="ABN124" s="456"/>
      <c r="ABO124" s="456"/>
      <c r="ABP124" s="456"/>
      <c r="ABQ124" s="456"/>
      <c r="ABR124" s="456"/>
      <c r="ABS124" s="456"/>
      <c r="ABT124" s="456"/>
      <c r="ABU124" s="456"/>
      <c r="ABV124" s="456"/>
      <c r="ABW124" s="456"/>
      <c r="ABX124" s="456"/>
      <c r="ABY124" s="456"/>
      <c r="ABZ124" s="456"/>
      <c r="ACA124" s="456"/>
      <c r="ACB124" s="456"/>
      <c r="ACC124" s="456"/>
      <c r="ACD124" s="456"/>
      <c r="ACE124" s="456"/>
      <c r="ACF124" s="456"/>
      <c r="ACG124" s="456"/>
      <c r="ACH124" s="456"/>
      <c r="ACI124" s="456"/>
      <c r="ACJ124" s="456"/>
      <c r="ACK124" s="456"/>
      <c r="ACL124" s="456"/>
      <c r="ACM124" s="456"/>
      <c r="ACN124" s="456"/>
      <c r="ACO124" s="456"/>
      <c r="ACP124" s="456"/>
      <c r="ACQ124" s="456"/>
      <c r="ACR124" s="456"/>
      <c r="ACS124" s="456"/>
      <c r="ACT124" s="456"/>
      <c r="ACU124" s="456"/>
      <c r="ACV124" s="456"/>
      <c r="ACW124" s="456"/>
      <c r="ACX124" s="456"/>
      <c r="ACY124" s="456"/>
      <c r="ACZ124" s="456"/>
      <c r="ADA124" s="456"/>
      <c r="ADB124" s="456"/>
      <c r="ADC124" s="456"/>
      <c r="ADD124" s="456"/>
      <c r="ADE124" s="456"/>
      <c r="ADF124" s="456"/>
      <c r="ADG124" s="456"/>
      <c r="ADH124" s="456"/>
      <c r="ADI124" s="456"/>
      <c r="ADJ124" s="456"/>
      <c r="ADK124" s="456"/>
      <c r="ADL124" s="456"/>
      <c r="ADM124" s="456"/>
      <c r="ADN124" s="456"/>
      <c r="ADO124" s="456"/>
      <c r="ADP124" s="456"/>
      <c r="ADQ124" s="456"/>
      <c r="ADR124" s="456"/>
      <c r="ADS124" s="456"/>
      <c r="ADT124" s="456"/>
      <c r="ADU124" s="456"/>
      <c r="ADV124" s="456"/>
      <c r="ADW124" s="456"/>
      <c r="ADX124" s="456"/>
      <c r="ADY124" s="456"/>
      <c r="ADZ124" s="456"/>
      <c r="AEA124" s="456"/>
      <c r="AEB124" s="456"/>
      <c r="AEC124" s="456"/>
      <c r="AED124" s="456"/>
      <c r="AEE124" s="456"/>
      <c r="AEF124" s="456"/>
      <c r="AEG124" s="456"/>
      <c r="AEH124" s="456"/>
      <c r="AEI124" s="456"/>
      <c r="AEJ124" s="456"/>
      <c r="AEK124" s="456"/>
      <c r="AEL124" s="456"/>
      <c r="AEM124" s="456"/>
      <c r="AEN124" s="456"/>
      <c r="AEO124" s="456"/>
      <c r="AEP124" s="456"/>
      <c r="AEQ124" s="456"/>
      <c r="AER124" s="456"/>
      <c r="AES124" s="456"/>
      <c r="AET124" s="456"/>
      <c r="AEU124" s="456"/>
      <c r="AEV124" s="456"/>
      <c r="AEW124" s="456"/>
      <c r="AEX124" s="456"/>
      <c r="AEY124" s="456"/>
      <c r="AEZ124" s="456"/>
      <c r="AFA124" s="456"/>
      <c r="AFB124" s="456"/>
      <c r="AFC124" s="456"/>
      <c r="AFD124" s="456"/>
      <c r="AFE124" s="456"/>
      <c r="AFF124" s="456"/>
      <c r="AFG124" s="456"/>
      <c r="AFH124" s="456"/>
      <c r="AFI124" s="456"/>
      <c r="AFJ124" s="456"/>
      <c r="AFK124" s="456"/>
      <c r="AFL124" s="456"/>
      <c r="AFM124" s="456"/>
      <c r="AFN124" s="456"/>
      <c r="AFO124" s="456"/>
      <c r="AFP124" s="456"/>
      <c r="AFQ124" s="456"/>
      <c r="AFR124" s="456"/>
      <c r="AFS124" s="456"/>
      <c r="AFT124" s="456"/>
      <c r="AFU124" s="456"/>
      <c r="AFV124" s="456"/>
      <c r="AFW124" s="456"/>
      <c r="AFX124" s="456"/>
      <c r="AFY124" s="456"/>
      <c r="AFZ124" s="456"/>
      <c r="AGA124" s="456"/>
      <c r="AGB124" s="456"/>
      <c r="AGC124" s="456"/>
      <c r="AGD124" s="456"/>
      <c r="AGE124" s="456"/>
      <c r="AGF124" s="456"/>
      <c r="AGG124" s="456"/>
      <c r="AGH124" s="456"/>
      <c r="AGI124" s="456"/>
      <c r="AGJ124" s="456"/>
      <c r="AGK124" s="456"/>
      <c r="AGL124" s="456"/>
      <c r="AGM124" s="456"/>
      <c r="AGN124" s="456"/>
      <c r="AGO124" s="456"/>
      <c r="AGP124" s="456"/>
      <c r="AGQ124" s="456"/>
      <c r="AGR124" s="456"/>
      <c r="AGS124" s="456"/>
      <c r="AGT124" s="456"/>
      <c r="AGU124" s="456"/>
      <c r="AGV124" s="456"/>
      <c r="AGW124" s="456"/>
      <c r="AGX124" s="456"/>
      <c r="AGY124" s="456"/>
      <c r="AGZ124" s="456"/>
      <c r="AHA124" s="456"/>
      <c r="AHB124" s="456"/>
      <c r="AHC124" s="456"/>
      <c r="AHD124" s="456"/>
      <c r="AHE124" s="456"/>
      <c r="AHF124" s="456"/>
      <c r="AHG124" s="456"/>
      <c r="AHH124" s="456"/>
      <c r="AHI124" s="456"/>
      <c r="AHJ124" s="456"/>
      <c r="AHK124" s="456"/>
      <c r="AHL124" s="456"/>
      <c r="AHM124" s="456"/>
      <c r="AHN124" s="456"/>
      <c r="AHO124" s="456"/>
      <c r="AHP124" s="456"/>
      <c r="AHQ124" s="456"/>
      <c r="AHR124" s="456"/>
      <c r="AHS124" s="456"/>
      <c r="AHT124" s="456"/>
      <c r="AHU124" s="456"/>
      <c r="AHV124" s="456"/>
      <c r="AHW124" s="456"/>
      <c r="AHX124" s="456"/>
      <c r="AHY124" s="456"/>
      <c r="AHZ124" s="456"/>
      <c r="AIA124" s="456"/>
      <c r="AIB124" s="456"/>
      <c r="AIC124" s="456"/>
      <c r="AID124" s="456"/>
      <c r="AIE124" s="456"/>
      <c r="AIF124" s="456"/>
      <c r="AIG124" s="456"/>
      <c r="AIH124" s="456"/>
      <c r="AII124" s="456"/>
      <c r="AIJ124" s="456"/>
      <c r="AIK124" s="456"/>
      <c r="AIL124" s="456"/>
      <c r="AIM124" s="456"/>
      <c r="AIN124" s="456"/>
      <c r="AIO124" s="456"/>
      <c r="AIP124" s="456"/>
      <c r="AIQ124" s="456"/>
      <c r="AIR124" s="456"/>
      <c r="AIS124" s="456"/>
      <c r="AIT124" s="456"/>
      <c r="AIU124" s="456"/>
      <c r="AIV124" s="456"/>
      <c r="AIW124" s="456"/>
      <c r="AIX124" s="456"/>
      <c r="AIY124" s="456"/>
      <c r="AIZ124" s="456"/>
      <c r="AJA124" s="456"/>
      <c r="AJB124" s="456"/>
      <c r="AJC124" s="456"/>
      <c r="AJD124" s="456"/>
      <c r="AJE124" s="456"/>
      <c r="AJF124" s="456"/>
      <c r="AJG124" s="456"/>
      <c r="AJH124" s="456"/>
      <c r="AJI124" s="456"/>
      <c r="AJJ124" s="456"/>
      <c r="AJK124" s="456"/>
      <c r="AJL124" s="456"/>
      <c r="AJM124" s="456"/>
      <c r="AJN124" s="456"/>
      <c r="AJO124" s="456"/>
      <c r="AJP124" s="456"/>
      <c r="AJQ124" s="456"/>
      <c r="AJR124" s="456"/>
      <c r="AJS124" s="456"/>
      <c r="AJT124" s="456"/>
      <c r="AJU124" s="456"/>
      <c r="AJV124" s="456"/>
      <c r="AJW124" s="456"/>
      <c r="AJX124" s="456"/>
      <c r="AJY124" s="456"/>
      <c r="AJZ124" s="456"/>
      <c r="AKA124" s="456"/>
      <c r="AKB124" s="456"/>
      <c r="AKC124" s="456"/>
      <c r="AKD124" s="456"/>
      <c r="AKE124" s="456"/>
      <c r="AKF124" s="456"/>
      <c r="AKG124" s="456"/>
      <c r="AKH124" s="456"/>
      <c r="AKI124" s="456"/>
      <c r="AKJ124" s="456"/>
      <c r="AKK124" s="456"/>
      <c r="AKL124" s="456"/>
      <c r="AKM124" s="456"/>
      <c r="AKN124" s="456"/>
      <c r="AKO124" s="456"/>
      <c r="AKP124" s="456"/>
      <c r="AKQ124" s="456"/>
      <c r="AKR124" s="456"/>
      <c r="AKS124" s="456"/>
      <c r="AKT124" s="456"/>
      <c r="AKU124" s="456"/>
      <c r="AKV124" s="456"/>
      <c r="AKW124" s="456"/>
      <c r="AKX124" s="456"/>
      <c r="AKY124" s="456"/>
      <c r="AKZ124" s="456"/>
      <c r="ALA124" s="456"/>
      <c r="ALB124" s="456"/>
      <c r="ALC124" s="456"/>
      <c r="ALD124" s="456"/>
      <c r="ALE124" s="456"/>
      <c r="ALF124" s="456"/>
      <c r="ALG124" s="456"/>
      <c r="ALH124" s="456"/>
      <c r="ALI124" s="456"/>
      <c r="ALJ124" s="456"/>
      <c r="ALK124" s="456"/>
      <c r="ALL124" s="456"/>
      <c r="ALM124" s="456"/>
      <c r="ALN124" s="456"/>
      <c r="ALO124" s="456"/>
      <c r="ALP124" s="456"/>
      <c r="ALQ124" s="456"/>
      <c r="ALR124" s="456"/>
      <c r="ALS124" s="456"/>
      <c r="ALT124" s="456"/>
      <c r="ALU124" s="456"/>
      <c r="ALV124" s="456"/>
      <c r="ALW124" s="456"/>
      <c r="ALX124" s="456"/>
      <c r="ALY124" s="456"/>
      <c r="ALZ124" s="456"/>
      <c r="AMA124" s="456"/>
      <c r="AMB124" s="456"/>
      <c r="AMC124" s="456"/>
      <c r="AMD124" s="456"/>
      <c r="AME124" s="456"/>
      <c r="AMF124" s="456"/>
      <c r="AMG124" s="456"/>
      <c r="AMH124" s="456"/>
      <c r="AMI124" s="456"/>
      <c r="AMJ124" s="456"/>
      <c r="AMK124" s="456"/>
      <c r="AML124" s="456"/>
      <c r="AMM124" s="456"/>
      <c r="AMN124" s="456"/>
      <c r="AMO124" s="456"/>
      <c r="AMP124" s="456"/>
      <c r="AMQ124" s="456"/>
      <c r="AMR124" s="456"/>
      <c r="AMS124" s="456"/>
      <c r="AMT124" s="456"/>
      <c r="AMU124" s="456"/>
      <c r="AMV124" s="456"/>
      <c r="AMW124" s="456"/>
      <c r="AMX124" s="456"/>
      <c r="AMY124" s="456"/>
      <c r="AMZ124" s="456"/>
      <c r="ANA124" s="456"/>
      <c r="ANB124" s="456"/>
      <c r="ANC124" s="456"/>
      <c r="AND124" s="456"/>
      <c r="ANE124" s="456"/>
      <c r="ANF124" s="456"/>
      <c r="ANG124" s="456"/>
      <c r="ANH124" s="456"/>
      <c r="ANI124" s="456"/>
      <c r="ANJ124" s="456"/>
      <c r="ANK124" s="456"/>
      <c r="ANL124" s="456"/>
      <c r="ANM124" s="456"/>
      <c r="ANN124" s="456"/>
      <c r="ANO124" s="456"/>
      <c r="ANP124" s="456"/>
      <c r="ANQ124" s="456"/>
      <c r="ANR124" s="456"/>
      <c r="ANS124" s="456"/>
      <c r="ANT124" s="456"/>
      <c r="ANU124" s="456"/>
      <c r="ANV124" s="456"/>
      <c r="ANW124" s="456"/>
      <c r="ANX124" s="456"/>
      <c r="ANY124" s="456"/>
      <c r="ANZ124" s="456"/>
      <c r="AOA124" s="456"/>
      <c r="AOB124" s="456"/>
      <c r="AOC124" s="456"/>
      <c r="AOD124" s="456"/>
      <c r="AOE124" s="456"/>
      <c r="AOF124" s="456"/>
      <c r="AOG124" s="456"/>
      <c r="AOH124" s="456"/>
      <c r="AOI124" s="456"/>
      <c r="AOJ124" s="456"/>
      <c r="AOK124" s="456"/>
      <c r="AOL124" s="456"/>
      <c r="AOM124" s="456"/>
      <c r="AON124" s="456"/>
      <c r="AOO124" s="456"/>
      <c r="AOP124" s="456"/>
      <c r="AOQ124" s="456"/>
      <c r="AOR124" s="456"/>
      <c r="AOS124" s="456"/>
      <c r="AOT124" s="456"/>
      <c r="AOU124" s="456"/>
      <c r="AOV124" s="456"/>
      <c r="AOW124" s="456"/>
      <c r="AOX124" s="456"/>
      <c r="AOY124" s="456"/>
      <c r="AOZ124" s="456"/>
      <c r="APA124" s="456"/>
      <c r="APB124" s="456"/>
      <c r="APC124" s="456"/>
      <c r="APD124" s="456"/>
      <c r="APE124" s="456"/>
      <c r="APF124" s="456"/>
      <c r="APG124" s="456"/>
      <c r="APH124" s="456"/>
      <c r="API124" s="456"/>
      <c r="APJ124" s="456"/>
      <c r="APK124" s="456"/>
      <c r="APL124" s="456"/>
      <c r="APM124" s="456"/>
      <c r="APN124" s="456"/>
      <c r="APO124" s="456"/>
      <c r="APP124" s="456"/>
      <c r="APQ124" s="456"/>
      <c r="APR124" s="456"/>
      <c r="APS124" s="456"/>
      <c r="APT124" s="456"/>
      <c r="APU124" s="456"/>
      <c r="APV124" s="456"/>
      <c r="APW124" s="456"/>
      <c r="APX124" s="456"/>
      <c r="APY124" s="456"/>
      <c r="APZ124" s="456"/>
      <c r="AQA124" s="456"/>
      <c r="AQB124" s="456"/>
      <c r="AQC124" s="456"/>
      <c r="AQD124" s="456"/>
      <c r="AQE124" s="456"/>
      <c r="AQF124" s="456"/>
      <c r="AQG124" s="456"/>
      <c r="AQH124" s="456"/>
      <c r="AQI124" s="456"/>
      <c r="AQJ124" s="456"/>
      <c r="AQK124" s="456"/>
      <c r="AQL124" s="456"/>
      <c r="AQM124" s="456"/>
      <c r="AQN124" s="456"/>
      <c r="AQO124" s="456"/>
      <c r="AQP124" s="456"/>
      <c r="AQQ124" s="456"/>
      <c r="AQR124" s="456"/>
      <c r="AQS124" s="456"/>
      <c r="AQT124" s="456"/>
      <c r="AQU124" s="456"/>
      <c r="AQV124" s="456"/>
      <c r="AQW124" s="456"/>
      <c r="AQX124" s="456"/>
      <c r="AQY124" s="456"/>
      <c r="AQZ124" s="456"/>
      <c r="ARA124" s="456"/>
      <c r="ARB124" s="456"/>
      <c r="ARC124" s="456"/>
      <c r="ARD124" s="456"/>
      <c r="ARE124" s="456"/>
      <c r="ARF124" s="456"/>
      <c r="ARG124" s="456"/>
      <c r="ARH124" s="456"/>
      <c r="ARI124" s="456"/>
      <c r="ARJ124" s="456"/>
      <c r="ARK124" s="456"/>
      <c r="ARL124" s="456"/>
      <c r="ARM124" s="456"/>
      <c r="ARN124" s="456"/>
      <c r="ARO124" s="456"/>
      <c r="ARP124" s="456"/>
      <c r="ARQ124" s="456"/>
      <c r="ARR124" s="456"/>
      <c r="ARS124" s="456"/>
      <c r="ART124" s="456"/>
      <c r="ARU124" s="456"/>
      <c r="ARV124" s="456"/>
      <c r="ARW124" s="456"/>
      <c r="ARX124" s="456"/>
      <c r="ARY124" s="456"/>
      <c r="ARZ124" s="456"/>
      <c r="ASA124" s="456"/>
      <c r="ASB124" s="456"/>
      <c r="ASC124" s="456"/>
      <c r="ASD124" s="456"/>
      <c r="ASE124" s="456"/>
      <c r="ASF124" s="456"/>
      <c r="ASG124" s="456"/>
      <c r="ASH124" s="456"/>
      <c r="ASI124" s="456"/>
      <c r="ASJ124" s="456"/>
      <c r="ASK124" s="456"/>
      <c r="ASL124" s="456"/>
      <c r="ASM124" s="456"/>
      <c r="ASN124" s="456"/>
      <c r="ASO124" s="456"/>
      <c r="ASP124" s="456"/>
      <c r="ASQ124" s="456"/>
      <c r="ASR124" s="456"/>
      <c r="ASS124" s="456"/>
      <c r="AST124" s="456"/>
      <c r="ASU124" s="456"/>
      <c r="ASV124" s="456"/>
      <c r="ASW124" s="456"/>
      <c r="ASX124" s="456"/>
      <c r="ASY124" s="456"/>
      <c r="ASZ124" s="456"/>
      <c r="ATA124" s="456"/>
      <c r="ATB124" s="456"/>
      <c r="ATC124" s="456"/>
      <c r="ATD124" s="456"/>
      <c r="ATE124" s="456"/>
      <c r="ATF124" s="456"/>
      <c r="ATG124" s="456"/>
      <c r="ATH124" s="456"/>
      <c r="ATI124" s="456"/>
      <c r="ATJ124" s="456"/>
      <c r="ATK124" s="456"/>
      <c r="ATL124" s="456"/>
      <c r="ATM124" s="456"/>
      <c r="ATN124" s="456"/>
      <c r="ATO124" s="456"/>
      <c r="ATP124" s="456"/>
      <c r="ATQ124" s="456"/>
      <c r="ATR124" s="456"/>
      <c r="ATS124" s="456"/>
      <c r="ATT124" s="456"/>
      <c r="ATU124" s="456"/>
      <c r="ATV124" s="456"/>
      <c r="ATW124" s="456"/>
      <c r="ATX124" s="456"/>
      <c r="ATY124" s="456"/>
      <c r="ATZ124" s="456"/>
      <c r="AUA124" s="456"/>
      <c r="AUB124" s="456"/>
      <c r="AUC124" s="456"/>
      <c r="AUD124" s="456"/>
      <c r="AUE124" s="456"/>
      <c r="AUF124" s="456"/>
      <c r="AUG124" s="456"/>
      <c r="AUH124" s="456"/>
      <c r="AUI124" s="456"/>
      <c r="AUJ124" s="456"/>
      <c r="AUK124" s="456"/>
      <c r="AUL124" s="456"/>
      <c r="AUM124" s="456"/>
      <c r="AUN124" s="456"/>
      <c r="AUO124" s="456"/>
      <c r="AUP124" s="456"/>
      <c r="AUQ124" s="456"/>
      <c r="AUR124" s="456"/>
      <c r="AUS124" s="456"/>
      <c r="AUT124" s="456"/>
      <c r="AUU124" s="456"/>
      <c r="AUV124" s="456"/>
      <c r="AUW124" s="456"/>
      <c r="AUX124" s="456"/>
      <c r="AUY124" s="456"/>
      <c r="AUZ124" s="456"/>
      <c r="AVA124" s="456"/>
      <c r="AVB124" s="456"/>
      <c r="AVC124" s="456"/>
      <c r="AVD124" s="456"/>
      <c r="AVE124" s="456"/>
      <c r="AVF124" s="456"/>
      <c r="AVG124" s="456"/>
      <c r="AVH124" s="456"/>
      <c r="AVI124" s="456"/>
      <c r="AVJ124" s="456"/>
      <c r="AVK124" s="456"/>
      <c r="AVL124" s="456"/>
      <c r="AVM124" s="456"/>
      <c r="AVN124" s="456"/>
      <c r="AVO124" s="456"/>
      <c r="AVP124" s="456"/>
      <c r="AVQ124" s="456"/>
      <c r="AVR124" s="456"/>
      <c r="AVS124" s="456"/>
      <c r="AVT124" s="456"/>
      <c r="AVU124" s="456"/>
      <c r="AVV124" s="456"/>
      <c r="AVW124" s="456"/>
      <c r="AVX124" s="456"/>
      <c r="AVY124" s="456"/>
      <c r="AVZ124" s="456"/>
      <c r="AWA124" s="456"/>
      <c r="AWB124" s="456"/>
      <c r="AWC124" s="456"/>
      <c r="AWD124" s="456"/>
      <c r="AWE124" s="456"/>
      <c r="AWF124" s="456"/>
      <c r="AWG124" s="456"/>
      <c r="AWH124" s="456"/>
      <c r="AWI124" s="456"/>
      <c r="AWJ124" s="456"/>
      <c r="AWK124" s="456"/>
      <c r="AWL124" s="456"/>
      <c r="AWM124" s="456"/>
      <c r="AWN124" s="456"/>
      <c r="AWO124" s="456"/>
      <c r="AWP124" s="456"/>
      <c r="AWQ124" s="456"/>
      <c r="AWR124" s="456"/>
      <c r="AWS124" s="456"/>
      <c r="AWT124" s="456"/>
      <c r="AWU124" s="456"/>
      <c r="AWV124" s="456"/>
      <c r="AWW124" s="456"/>
      <c r="AWX124" s="456"/>
      <c r="AWY124" s="456"/>
      <c r="AWZ124" s="456"/>
      <c r="AXA124" s="456"/>
      <c r="AXB124" s="456"/>
      <c r="AXC124" s="456"/>
      <c r="AXD124" s="456"/>
      <c r="AXE124" s="456"/>
      <c r="AXF124" s="456"/>
      <c r="AXG124" s="456"/>
      <c r="AXH124" s="456"/>
      <c r="AXI124" s="456"/>
      <c r="AXJ124" s="456"/>
      <c r="AXK124" s="456"/>
      <c r="AXL124" s="456"/>
      <c r="AXM124" s="456"/>
      <c r="AXN124" s="456"/>
      <c r="AXO124" s="456"/>
      <c r="AXP124" s="456"/>
      <c r="AXQ124" s="456"/>
      <c r="AXR124" s="456"/>
      <c r="AXS124" s="456"/>
      <c r="AXT124" s="456"/>
      <c r="AXU124" s="456"/>
      <c r="AXV124" s="456"/>
      <c r="AXW124" s="456"/>
      <c r="AXX124" s="456"/>
      <c r="AXY124" s="456"/>
      <c r="AXZ124" s="456"/>
      <c r="AYA124" s="456"/>
      <c r="AYB124" s="456"/>
      <c r="AYC124" s="456"/>
      <c r="AYD124" s="456"/>
      <c r="AYE124" s="456"/>
      <c r="AYF124" s="456"/>
      <c r="AYG124" s="456"/>
      <c r="AYH124" s="456"/>
      <c r="AYI124" s="456"/>
      <c r="AYJ124" s="456"/>
      <c r="AYK124" s="456"/>
      <c r="AYL124" s="456"/>
      <c r="AYM124" s="456"/>
      <c r="AYN124" s="456"/>
      <c r="AYO124" s="456"/>
      <c r="AYP124" s="456"/>
      <c r="AYQ124" s="456"/>
      <c r="AYR124" s="456"/>
      <c r="AYS124" s="456"/>
      <c r="AYT124" s="456"/>
      <c r="AYU124" s="456"/>
      <c r="AYV124" s="456"/>
      <c r="AYW124" s="456"/>
      <c r="AYX124" s="456"/>
      <c r="AYY124" s="456"/>
      <c r="AYZ124" s="456"/>
      <c r="AZA124" s="456"/>
      <c r="AZB124" s="456"/>
      <c r="AZC124" s="456"/>
      <c r="AZD124" s="456"/>
      <c r="AZE124" s="456"/>
      <c r="AZF124" s="456"/>
      <c r="AZG124" s="456"/>
      <c r="AZH124" s="456"/>
      <c r="AZI124" s="456"/>
      <c r="AZJ124" s="456"/>
      <c r="AZK124" s="456"/>
      <c r="AZL124" s="456"/>
      <c r="AZM124" s="456"/>
      <c r="AZN124" s="456"/>
      <c r="AZO124" s="456"/>
      <c r="AZP124" s="456"/>
      <c r="AZQ124" s="456"/>
      <c r="AZR124" s="456"/>
      <c r="AZS124" s="456"/>
      <c r="AZT124" s="456"/>
      <c r="AZU124" s="456"/>
      <c r="AZV124" s="456"/>
      <c r="AZW124" s="456"/>
      <c r="AZX124" s="456"/>
      <c r="AZY124" s="456"/>
      <c r="AZZ124" s="456"/>
      <c r="BAA124" s="456"/>
      <c r="BAB124" s="456"/>
      <c r="BAC124" s="456"/>
      <c r="BAD124" s="456"/>
      <c r="BAE124" s="456"/>
      <c r="BAF124" s="456"/>
      <c r="BAG124" s="456"/>
      <c r="BAH124" s="456"/>
      <c r="BAI124" s="456"/>
      <c r="BAJ124" s="456"/>
      <c r="BAK124" s="456"/>
      <c r="BAL124" s="456"/>
      <c r="BAM124" s="456"/>
      <c r="BAN124" s="456"/>
      <c r="BAO124" s="456"/>
      <c r="BAP124" s="456"/>
      <c r="BAQ124" s="456"/>
      <c r="BAR124" s="456"/>
      <c r="BAS124" s="456"/>
      <c r="BAT124" s="456"/>
      <c r="BAU124" s="456"/>
      <c r="BAV124" s="456"/>
      <c r="BAW124" s="456"/>
      <c r="BAX124" s="456"/>
      <c r="BAY124" s="456"/>
      <c r="BAZ124" s="456"/>
      <c r="BBA124" s="456"/>
      <c r="BBB124" s="456"/>
      <c r="BBC124" s="456"/>
      <c r="BBD124" s="456"/>
      <c r="BBE124" s="456"/>
      <c r="BBF124" s="456"/>
      <c r="BBG124" s="456"/>
      <c r="BBH124" s="456"/>
      <c r="BBI124" s="456"/>
      <c r="BBJ124" s="456"/>
      <c r="BBK124" s="456"/>
      <c r="BBL124" s="456"/>
      <c r="BBM124" s="456"/>
      <c r="BBN124" s="456"/>
      <c r="BBO124" s="456"/>
      <c r="BBP124" s="456"/>
      <c r="BBQ124" s="456"/>
      <c r="BBR124" s="456"/>
      <c r="BBS124" s="456"/>
      <c r="BBT124" s="456"/>
      <c r="BBU124" s="456"/>
      <c r="BBV124" s="456"/>
      <c r="BBW124" s="456"/>
      <c r="BBX124" s="456"/>
      <c r="BBY124" s="456"/>
      <c r="BBZ124" s="456"/>
      <c r="BCA124" s="456"/>
      <c r="BCB124" s="456"/>
      <c r="BCC124" s="456"/>
      <c r="BCD124" s="456"/>
      <c r="BCE124" s="456"/>
      <c r="BCF124" s="456"/>
      <c r="BCG124" s="456"/>
      <c r="BCH124" s="456"/>
      <c r="BCI124" s="456"/>
      <c r="BCJ124" s="456"/>
      <c r="BCK124" s="456"/>
      <c r="BCL124" s="456"/>
      <c r="BCM124" s="456"/>
      <c r="BCN124" s="456"/>
      <c r="BCO124" s="456"/>
      <c r="BCP124" s="456"/>
      <c r="BCQ124" s="456"/>
      <c r="BCR124" s="456"/>
      <c r="BCS124" s="456"/>
      <c r="BCT124" s="456"/>
      <c r="BCU124" s="456"/>
      <c r="BCV124" s="456"/>
      <c r="BCW124" s="456"/>
      <c r="BCX124" s="456"/>
      <c r="BCY124" s="456"/>
      <c r="BCZ124" s="456"/>
      <c r="BDA124" s="456"/>
      <c r="BDB124" s="456"/>
      <c r="BDC124" s="456"/>
      <c r="BDD124" s="456"/>
      <c r="BDE124" s="456"/>
      <c r="BDF124" s="456"/>
      <c r="BDG124" s="456"/>
      <c r="BDH124" s="456"/>
      <c r="BDI124" s="456"/>
      <c r="BDJ124" s="456"/>
      <c r="BDK124" s="456"/>
      <c r="BDL124" s="456"/>
      <c r="BDM124" s="456"/>
      <c r="BDN124" s="456"/>
      <c r="BDO124" s="456"/>
      <c r="BDP124" s="456"/>
      <c r="BDQ124" s="456"/>
      <c r="BDR124" s="456"/>
      <c r="BDS124" s="456"/>
      <c r="BDT124" s="456"/>
      <c r="BDU124" s="456"/>
      <c r="BDV124" s="456"/>
      <c r="BDW124" s="456"/>
      <c r="BDX124" s="456"/>
      <c r="BDY124" s="456"/>
      <c r="BDZ124" s="456"/>
      <c r="BEA124" s="456"/>
      <c r="BEB124" s="456"/>
      <c r="BEC124" s="456"/>
      <c r="BED124" s="456"/>
      <c r="BEE124" s="456"/>
      <c r="BEF124" s="456"/>
      <c r="BEG124" s="456"/>
      <c r="BEH124" s="456"/>
      <c r="BEI124" s="456"/>
      <c r="BEJ124" s="456"/>
      <c r="BEK124" s="456"/>
      <c r="BEL124" s="456"/>
      <c r="BEM124" s="456"/>
      <c r="BEN124" s="456"/>
      <c r="BEO124" s="456"/>
      <c r="BEP124" s="456"/>
      <c r="BEQ124" s="456"/>
      <c r="BER124" s="456"/>
      <c r="BES124" s="456"/>
      <c r="BET124" s="456"/>
      <c r="BEU124" s="456"/>
      <c r="BEV124" s="456"/>
      <c r="BEW124" s="456"/>
      <c r="BEX124" s="456"/>
      <c r="BEY124" s="456"/>
      <c r="BEZ124" s="456"/>
      <c r="BFA124" s="456"/>
      <c r="BFB124" s="456"/>
      <c r="BFC124" s="456"/>
      <c r="BFD124" s="456"/>
      <c r="BFE124" s="456"/>
      <c r="BFF124" s="456"/>
      <c r="BFG124" s="456"/>
      <c r="BFH124" s="456"/>
      <c r="BFI124" s="456"/>
      <c r="BFJ124" s="456"/>
      <c r="BFK124" s="456"/>
      <c r="BFL124" s="456"/>
      <c r="BFM124" s="456"/>
      <c r="BFN124" s="456"/>
      <c r="BFO124" s="456"/>
      <c r="BFP124" s="456"/>
      <c r="BFQ124" s="456"/>
      <c r="BFR124" s="456"/>
      <c r="BFS124" s="456"/>
      <c r="BFT124" s="456"/>
      <c r="BFU124" s="456"/>
      <c r="BFV124" s="456"/>
      <c r="BFW124" s="456"/>
      <c r="BFX124" s="456"/>
      <c r="BFY124" s="456"/>
      <c r="BFZ124" s="456"/>
      <c r="BGA124" s="456"/>
      <c r="BGB124" s="456"/>
      <c r="BGC124" s="456"/>
      <c r="BGD124" s="456"/>
      <c r="BGE124" s="456"/>
      <c r="BGF124" s="456"/>
      <c r="BGG124" s="456"/>
      <c r="BGH124" s="456"/>
      <c r="BGI124" s="456"/>
      <c r="BGJ124" s="456"/>
      <c r="BGK124" s="456"/>
      <c r="BGL124" s="456"/>
      <c r="BGM124" s="456"/>
      <c r="BGN124" s="456"/>
      <c r="BGO124" s="456"/>
      <c r="BGP124" s="456"/>
      <c r="BGQ124" s="456"/>
      <c r="BGR124" s="456"/>
      <c r="BGS124" s="456"/>
      <c r="BGT124" s="456"/>
      <c r="BGU124" s="456"/>
      <c r="BGV124" s="456"/>
      <c r="BGW124" s="456"/>
      <c r="BGX124" s="456"/>
      <c r="BGY124" s="456"/>
      <c r="BGZ124" s="456"/>
      <c r="BHA124" s="456"/>
      <c r="BHB124" s="456"/>
      <c r="BHC124" s="456"/>
      <c r="BHD124" s="456"/>
      <c r="BHE124" s="456"/>
      <c r="BHF124" s="456"/>
      <c r="BHG124" s="456"/>
      <c r="BHH124" s="456"/>
      <c r="BHI124" s="456"/>
      <c r="BHJ124" s="456"/>
      <c r="BHK124" s="456"/>
      <c r="BHL124" s="456"/>
      <c r="BHM124" s="456"/>
      <c r="BHN124" s="456"/>
      <c r="BHO124" s="456"/>
      <c r="BHP124" s="456"/>
      <c r="BHQ124" s="456"/>
      <c r="BHR124" s="456"/>
      <c r="BHS124" s="456"/>
      <c r="BHT124" s="456"/>
      <c r="BHU124" s="456"/>
      <c r="BHV124" s="456"/>
      <c r="BHW124" s="456"/>
      <c r="BHX124" s="456"/>
      <c r="BHY124" s="456"/>
      <c r="BHZ124" s="456"/>
      <c r="BIA124" s="456"/>
      <c r="BIB124" s="456"/>
      <c r="BIC124" s="456"/>
      <c r="BID124" s="456"/>
      <c r="BIE124" s="456"/>
      <c r="BIF124" s="456"/>
      <c r="BIG124" s="456"/>
      <c r="BIH124" s="456"/>
      <c r="BII124" s="456"/>
      <c r="BIJ124" s="456"/>
      <c r="BIK124" s="456"/>
      <c r="BIL124" s="456"/>
      <c r="BIM124" s="456"/>
      <c r="BIN124" s="456"/>
      <c r="BIO124" s="456"/>
      <c r="BIP124" s="456"/>
      <c r="BIQ124" s="456"/>
      <c r="BIR124" s="456"/>
      <c r="BIS124" s="456"/>
      <c r="BIT124" s="456"/>
      <c r="BIU124" s="456"/>
      <c r="BIV124" s="456"/>
      <c r="BIW124" s="456"/>
      <c r="BIX124" s="456"/>
      <c r="BIY124" s="456"/>
      <c r="BIZ124" s="456"/>
      <c r="BJA124" s="456"/>
      <c r="BJB124" s="456"/>
      <c r="BJC124" s="456"/>
      <c r="BJD124" s="456"/>
      <c r="BJE124" s="456"/>
      <c r="BJF124" s="456"/>
      <c r="BJG124" s="456"/>
      <c r="BJH124" s="456"/>
      <c r="BJI124" s="456"/>
      <c r="BJJ124" s="456"/>
      <c r="BJK124" s="456"/>
      <c r="BJL124" s="456"/>
      <c r="BJM124" s="456"/>
      <c r="BJN124" s="456"/>
      <c r="BJO124" s="456"/>
      <c r="BJP124" s="456"/>
      <c r="BJQ124" s="456"/>
      <c r="BJR124" s="456"/>
      <c r="BJS124" s="456"/>
      <c r="BJT124" s="456"/>
      <c r="BJU124" s="456"/>
      <c r="BJV124" s="456"/>
      <c r="BJW124" s="456"/>
      <c r="BJX124" s="456"/>
      <c r="BJY124" s="456"/>
      <c r="BJZ124" s="456"/>
      <c r="BKA124" s="456"/>
      <c r="BKB124" s="456"/>
      <c r="BKC124" s="456"/>
      <c r="BKD124" s="456"/>
      <c r="BKE124" s="456"/>
      <c r="BKF124" s="456"/>
      <c r="BKG124" s="456"/>
      <c r="BKH124" s="456"/>
      <c r="BKI124" s="456"/>
      <c r="BKJ124" s="456"/>
      <c r="BKK124" s="456"/>
      <c r="BKL124" s="456"/>
      <c r="BKM124" s="456"/>
      <c r="BKN124" s="456"/>
      <c r="BKO124" s="456"/>
      <c r="BKP124" s="456"/>
      <c r="BKQ124" s="456"/>
      <c r="BKR124" s="456"/>
      <c r="BKS124" s="456"/>
      <c r="BKT124" s="456"/>
      <c r="BKU124" s="456"/>
      <c r="BKV124" s="456"/>
      <c r="BKW124" s="456"/>
      <c r="BKX124" s="456"/>
      <c r="BKY124" s="456"/>
      <c r="BKZ124" s="456"/>
      <c r="BLA124" s="456"/>
      <c r="BLB124" s="456"/>
      <c r="BLC124" s="456"/>
      <c r="BLD124" s="456"/>
      <c r="BLE124" s="456"/>
      <c r="BLF124" s="456"/>
      <c r="BLG124" s="456"/>
      <c r="BLH124" s="456"/>
      <c r="BLI124" s="456"/>
      <c r="BLJ124" s="456"/>
      <c r="BLK124" s="456"/>
      <c r="BLL124" s="456"/>
      <c r="BLM124" s="456"/>
      <c r="BLN124" s="456"/>
      <c r="BLO124" s="456"/>
      <c r="BLP124" s="456"/>
      <c r="BLQ124" s="456"/>
      <c r="BLR124" s="456"/>
      <c r="BLS124" s="456"/>
      <c r="BLT124" s="456"/>
      <c r="BLU124" s="456"/>
      <c r="BLV124" s="456"/>
      <c r="BLW124" s="456"/>
      <c r="BLX124" s="456"/>
      <c r="BLY124" s="456"/>
      <c r="BLZ124" s="456"/>
      <c r="BMA124" s="456"/>
      <c r="BMB124" s="456"/>
      <c r="BMC124" s="456"/>
      <c r="BMD124" s="456"/>
      <c r="BME124" s="456"/>
      <c r="BMF124" s="456"/>
      <c r="BMG124" s="456"/>
      <c r="BMH124" s="456"/>
      <c r="BMI124" s="456"/>
      <c r="BMJ124" s="456"/>
      <c r="BMK124" s="456"/>
      <c r="BML124" s="456"/>
      <c r="BMM124" s="456"/>
      <c r="BMN124" s="456"/>
      <c r="BMO124" s="456"/>
      <c r="BMP124" s="456"/>
      <c r="BMQ124" s="456"/>
      <c r="BMR124" s="456"/>
      <c r="BMS124" s="456"/>
      <c r="BMT124" s="456"/>
      <c r="BMU124" s="456"/>
      <c r="BMV124" s="456"/>
      <c r="BMW124" s="456"/>
      <c r="BMX124" s="456"/>
      <c r="BMY124" s="456"/>
      <c r="BMZ124" s="456"/>
      <c r="BNA124" s="456"/>
      <c r="BNB124" s="456"/>
      <c r="BNC124" s="456"/>
      <c r="BND124" s="456"/>
      <c r="BNE124" s="456"/>
      <c r="BNF124" s="456"/>
      <c r="BNG124" s="456"/>
      <c r="BNH124" s="456"/>
      <c r="BNI124" s="456"/>
      <c r="BNJ124" s="456"/>
      <c r="BNK124" s="456"/>
      <c r="BNL124" s="456"/>
      <c r="BNM124" s="456"/>
      <c r="BNN124" s="456"/>
      <c r="BNO124" s="456"/>
      <c r="BNP124" s="456"/>
      <c r="BNQ124" s="456"/>
      <c r="BNR124" s="456"/>
      <c r="BNS124" s="456"/>
      <c r="BNT124" s="456"/>
      <c r="BNU124" s="456"/>
      <c r="BNV124" s="456"/>
      <c r="BNW124" s="456"/>
      <c r="BNX124" s="456"/>
      <c r="BNY124" s="456"/>
      <c r="BNZ124" s="456"/>
      <c r="BOA124" s="456"/>
      <c r="BOB124" s="456"/>
      <c r="BOC124" s="456"/>
      <c r="BOD124" s="456"/>
      <c r="BOE124" s="456"/>
      <c r="BOF124" s="456"/>
      <c r="BOG124" s="456"/>
      <c r="BOH124" s="456"/>
      <c r="BOI124" s="456"/>
      <c r="BOJ124" s="456"/>
      <c r="BOK124" s="456"/>
      <c r="BOL124" s="456"/>
      <c r="BOM124" s="456"/>
      <c r="BON124" s="456"/>
      <c r="BOO124" s="456"/>
      <c r="BOP124" s="456"/>
      <c r="BOQ124" s="456"/>
      <c r="BOR124" s="456"/>
      <c r="BOS124" s="456"/>
      <c r="BOT124" s="456"/>
      <c r="BOU124" s="456"/>
      <c r="BOV124" s="456"/>
      <c r="BOW124" s="456"/>
      <c r="BOX124" s="456"/>
      <c r="BOY124" s="456"/>
      <c r="BOZ124" s="456"/>
      <c r="BPA124" s="456"/>
      <c r="BPB124" s="456"/>
      <c r="BPC124" s="456"/>
      <c r="BPD124" s="456"/>
      <c r="BPE124" s="456"/>
      <c r="BPF124" s="456"/>
      <c r="BPG124" s="456"/>
      <c r="BPH124" s="456"/>
      <c r="BPI124" s="456"/>
      <c r="BPJ124" s="456"/>
      <c r="BPK124" s="456"/>
      <c r="BPL124" s="456"/>
      <c r="BPM124" s="456"/>
      <c r="BPN124" s="456"/>
      <c r="BPO124" s="456"/>
      <c r="BPP124" s="456"/>
      <c r="BPQ124" s="456"/>
      <c r="BPR124" s="456"/>
      <c r="BPS124" s="456"/>
      <c r="BPT124" s="456"/>
      <c r="BPU124" s="456"/>
      <c r="BPV124" s="456"/>
      <c r="BPW124" s="456"/>
      <c r="BPX124" s="456"/>
      <c r="BPY124" s="456"/>
      <c r="BPZ124" s="456"/>
      <c r="BQA124" s="456"/>
      <c r="BQB124" s="456"/>
      <c r="BQC124" s="456"/>
      <c r="BQD124" s="456"/>
      <c r="BQE124" s="456"/>
      <c r="BQF124" s="456"/>
      <c r="BQG124" s="456"/>
      <c r="BQH124" s="456"/>
      <c r="BQI124" s="456"/>
      <c r="BQJ124" s="456"/>
      <c r="BQK124" s="456"/>
      <c r="BQL124" s="456"/>
      <c r="BQM124" s="456"/>
      <c r="BQN124" s="456"/>
      <c r="BQO124" s="456"/>
      <c r="BQP124" s="456"/>
      <c r="BQQ124" s="456"/>
      <c r="BQR124" s="456"/>
      <c r="BQS124" s="456"/>
      <c r="BQT124" s="456"/>
      <c r="BQU124" s="456"/>
      <c r="BQV124" s="456"/>
      <c r="BQW124" s="456"/>
      <c r="BQX124" s="456"/>
      <c r="BQY124" s="456"/>
      <c r="BQZ124" s="456"/>
      <c r="BRA124" s="456"/>
      <c r="BRB124" s="456"/>
      <c r="BRC124" s="456"/>
      <c r="BRD124" s="456"/>
      <c r="BRE124" s="456"/>
      <c r="BRF124" s="456"/>
      <c r="BRG124" s="456"/>
      <c r="BRH124" s="456"/>
      <c r="BRI124" s="456"/>
      <c r="BRJ124" s="456"/>
      <c r="BRK124" s="456"/>
      <c r="BRL124" s="456"/>
      <c r="BRM124" s="456"/>
      <c r="BRN124" s="456"/>
      <c r="BRO124" s="456"/>
      <c r="BRP124" s="456"/>
      <c r="BRQ124" s="456"/>
      <c r="BRR124" s="456"/>
      <c r="BRS124" s="456"/>
      <c r="BRT124" s="456"/>
      <c r="BRU124" s="456"/>
      <c r="BRV124" s="456"/>
      <c r="BRW124" s="456"/>
      <c r="BRX124" s="456"/>
      <c r="BRY124" s="456"/>
      <c r="BRZ124" s="456"/>
      <c r="BSA124" s="456"/>
      <c r="BSB124" s="456"/>
      <c r="BSC124" s="456"/>
      <c r="BSD124" s="456"/>
      <c r="BSE124" s="456"/>
      <c r="BSF124" s="456"/>
      <c r="BSG124" s="456"/>
      <c r="BSH124" s="456"/>
      <c r="BSI124" s="456"/>
      <c r="BSJ124" s="456"/>
      <c r="BSK124" s="456"/>
      <c r="BSL124" s="456"/>
      <c r="BSM124" s="456"/>
      <c r="BSN124" s="456"/>
      <c r="BSO124" s="456"/>
      <c r="BSP124" s="456"/>
      <c r="BSQ124" s="456"/>
      <c r="BSR124" s="456"/>
      <c r="BSS124" s="456"/>
      <c r="BST124" s="456"/>
      <c r="BSU124" s="456"/>
      <c r="BSV124" s="456"/>
      <c r="BSW124" s="456"/>
      <c r="BSX124" s="456"/>
      <c r="BSY124" s="456"/>
      <c r="BSZ124" s="456"/>
      <c r="BTA124" s="456"/>
      <c r="BTB124" s="456"/>
      <c r="BTC124" s="456"/>
      <c r="BTD124" s="456"/>
      <c r="BTE124" s="456"/>
      <c r="BTF124" s="456"/>
      <c r="BTG124" s="456"/>
      <c r="BTH124" s="456"/>
      <c r="BTI124" s="456"/>
      <c r="BTJ124" s="456"/>
      <c r="BTK124" s="456"/>
      <c r="BTL124" s="456"/>
      <c r="BTM124" s="456"/>
      <c r="BTN124" s="456"/>
      <c r="BTO124" s="456"/>
      <c r="BTP124" s="456"/>
      <c r="BTQ124" s="456"/>
      <c r="BTR124" s="456"/>
      <c r="BTS124" s="456"/>
      <c r="BTT124" s="456"/>
      <c r="BTU124" s="456"/>
      <c r="BTV124" s="456"/>
      <c r="BTW124" s="456"/>
      <c r="BTX124" s="456"/>
      <c r="BTY124" s="456"/>
      <c r="BTZ124" s="456"/>
      <c r="BUA124" s="456"/>
      <c r="BUB124" s="456"/>
      <c r="BUC124" s="456"/>
      <c r="BUD124" s="456"/>
      <c r="BUE124" s="456"/>
      <c r="BUF124" s="456"/>
      <c r="BUG124" s="456"/>
      <c r="BUH124" s="456"/>
      <c r="BUI124" s="456"/>
      <c r="BUJ124" s="456"/>
      <c r="BUK124" s="456"/>
      <c r="BUL124" s="456"/>
      <c r="BUM124" s="456"/>
      <c r="BUN124" s="456"/>
      <c r="BUO124" s="456"/>
      <c r="BUP124" s="456"/>
      <c r="BUQ124" s="456"/>
      <c r="BUR124" s="456"/>
      <c r="BUS124" s="456"/>
      <c r="BUT124" s="456"/>
      <c r="BUU124" s="456"/>
      <c r="BUV124" s="456"/>
      <c r="BUW124" s="456"/>
      <c r="BUX124" s="456"/>
      <c r="BUY124" s="456"/>
      <c r="BUZ124" s="456"/>
      <c r="BVA124" s="456"/>
      <c r="BVB124" s="456"/>
      <c r="BVC124" s="456"/>
      <c r="BVD124" s="456"/>
      <c r="BVE124" s="456"/>
      <c r="BVF124" s="456"/>
      <c r="BVG124" s="456"/>
      <c r="BVH124" s="456"/>
      <c r="BVI124" s="456"/>
      <c r="BVJ124" s="456"/>
      <c r="BVK124" s="456"/>
      <c r="BVL124" s="456"/>
      <c r="BVM124" s="456"/>
      <c r="BVN124" s="456"/>
      <c r="BVO124" s="456"/>
      <c r="BVP124" s="456"/>
      <c r="BVQ124" s="456"/>
      <c r="BVR124" s="456"/>
      <c r="BVS124" s="456"/>
      <c r="BVT124" s="456"/>
      <c r="BVU124" s="456"/>
      <c r="BVV124" s="456"/>
      <c r="BVW124" s="456"/>
      <c r="BVX124" s="456"/>
      <c r="BVY124" s="456"/>
      <c r="BVZ124" s="456"/>
      <c r="BWA124" s="456"/>
      <c r="BWB124" s="456"/>
      <c r="BWC124" s="456"/>
      <c r="BWD124" s="456"/>
      <c r="BWE124" s="456"/>
      <c r="BWF124" s="456"/>
      <c r="BWG124" s="456"/>
      <c r="BWH124" s="456"/>
      <c r="BWI124" s="456"/>
      <c r="BWJ124" s="456"/>
      <c r="BWK124" s="456"/>
      <c r="BWL124" s="456"/>
      <c r="BWM124" s="456"/>
      <c r="BWN124" s="456"/>
      <c r="BWO124" s="456"/>
      <c r="BWP124" s="456"/>
      <c r="BWQ124" s="456"/>
      <c r="BWR124" s="456"/>
      <c r="BWS124" s="456"/>
      <c r="BWT124" s="456"/>
      <c r="BWU124" s="456"/>
      <c r="BWV124" s="456"/>
      <c r="BWW124" s="456"/>
      <c r="BWX124" s="456"/>
      <c r="BWY124" s="456"/>
      <c r="BWZ124" s="456"/>
      <c r="BXA124" s="456"/>
      <c r="BXB124" s="456"/>
      <c r="BXC124" s="456"/>
      <c r="BXD124" s="456"/>
      <c r="BXE124" s="456"/>
      <c r="BXF124" s="456"/>
      <c r="BXG124" s="456"/>
      <c r="BXH124" s="456"/>
      <c r="BXI124" s="456"/>
      <c r="BXJ124" s="456"/>
      <c r="BXK124" s="456"/>
      <c r="BXL124" s="456"/>
      <c r="BXM124" s="456"/>
      <c r="BXN124" s="456"/>
      <c r="BXO124" s="456"/>
      <c r="BXP124" s="456"/>
      <c r="BXQ124" s="456"/>
      <c r="BXR124" s="456"/>
      <c r="BXS124" s="456"/>
      <c r="BXT124" s="456"/>
      <c r="BXU124" s="456"/>
      <c r="BXV124" s="456"/>
      <c r="BXW124" s="456"/>
      <c r="BXX124" s="456"/>
      <c r="BXY124" s="456"/>
      <c r="BXZ124" s="456"/>
    </row>
    <row r="125" s="25" customFormat="1" ht="15.6" spans="1:1024 1025:2002">
      <c r="A125" s="473"/>
      <c r="B125" s="19">
        <v>1125</v>
      </c>
      <c r="C125" s="183">
        <v>46196</v>
      </c>
      <c r="D125" s="17" t="s">
        <v>52</v>
      </c>
      <c r="E125" s="17" t="s">
        <v>53</v>
      </c>
      <c r="F125" s="17" t="s">
        <v>54</v>
      </c>
      <c r="G125" s="17"/>
      <c r="H125" s="19" t="s">
        <v>55</v>
      </c>
      <c r="I125" s="102" t="s">
        <v>56</v>
      </c>
      <c r="J125" s="17" t="s">
        <v>49</v>
      </c>
      <c r="K125" s="19">
        <v>610</v>
      </c>
      <c r="L125" s="19">
        <v>255</v>
      </c>
      <c r="M125" s="19">
        <v>5800</v>
      </c>
      <c r="N125" s="19" t="s">
        <v>40</v>
      </c>
      <c r="O125" s="19" t="s">
        <v>84</v>
      </c>
      <c r="P125" s="482">
        <f>4550*2</f>
        <v>9100</v>
      </c>
      <c r="Q125" s="19">
        <f>4746+4786</f>
        <v>9532</v>
      </c>
      <c r="R125" s="19">
        <f t="shared" si="9"/>
        <v>-432</v>
      </c>
      <c r="S125" s="311">
        <v>2040</v>
      </c>
      <c r="T125" s="19" t="s">
        <v>42</v>
      </c>
      <c r="U125" s="102" t="s">
        <v>101</v>
      </c>
      <c r="V125" s="186">
        <v>46197</v>
      </c>
      <c r="W125" s="17" t="s">
        <v>58</v>
      </c>
      <c r="X125" s="17"/>
      <c r="Y125" s="68">
        <v>46204</v>
      </c>
      <c r="Z125" s="17" t="s">
        <v>45</v>
      </c>
      <c r="AA125" s="17" t="s">
        <v>59</v>
      </c>
      <c r="AB125" s="17" t="s">
        <v>102</v>
      </c>
      <c r="AC125" s="217">
        <v>46274</v>
      </c>
      <c r="AD125" s="65">
        <v>1861</v>
      </c>
      <c r="AE125" s="17" t="s">
        <v>48</v>
      </c>
      <c r="AF125" s="17" t="s">
        <v>61</v>
      </c>
      <c r="AG125" s="17" t="s">
        <v>103</v>
      </c>
      <c r="AH125" s="456"/>
      <c r="AI125" s="456"/>
      <c r="AJ125" s="456"/>
      <c r="AK125" s="456"/>
      <c r="AL125" s="456"/>
      <c r="AM125" s="456"/>
      <c r="AN125" s="456"/>
      <c r="AO125" s="456"/>
      <c r="AP125" s="456"/>
      <c r="AQ125" s="456"/>
      <c r="AR125" s="456"/>
      <c r="AS125" s="456"/>
      <c r="AT125" s="456"/>
      <c r="AU125" s="456"/>
      <c r="AV125" s="456"/>
      <c r="AW125" s="456"/>
      <c r="AX125" s="456"/>
      <c r="AY125" s="456"/>
      <c r="AZ125" s="456"/>
      <c r="BA125" s="456"/>
      <c r="BB125" s="456"/>
      <c r="BC125" s="456"/>
      <c r="BD125" s="456"/>
      <c r="BE125" s="456"/>
      <c r="BF125" s="456"/>
      <c r="BG125" s="456"/>
      <c r="BH125" s="456"/>
      <c r="BI125" s="456"/>
      <c r="BJ125" s="456"/>
      <c r="BK125" s="456"/>
      <c r="BL125" s="456"/>
      <c r="BM125" s="456"/>
      <c r="BN125" s="456"/>
      <c r="BO125" s="456"/>
      <c r="BP125" s="456"/>
      <c r="BQ125" s="456"/>
      <c r="BR125" s="456"/>
      <c r="BS125" s="456"/>
      <c r="BT125" s="456"/>
      <c r="BU125" s="456"/>
      <c r="BV125" s="456"/>
      <c r="BW125" s="456"/>
      <c r="BX125" s="456"/>
      <c r="BY125" s="456"/>
      <c r="BZ125" s="456"/>
      <c r="CA125" s="456"/>
      <c r="CB125" s="456"/>
      <c r="CC125" s="456"/>
      <c r="CD125" s="456"/>
      <c r="CE125" s="456"/>
      <c r="CF125" s="456"/>
      <c r="CG125" s="456"/>
      <c r="CH125" s="456"/>
      <c r="CI125" s="456"/>
      <c r="CJ125" s="456"/>
      <c r="CK125" s="456"/>
      <c r="CL125" s="456"/>
      <c r="CM125" s="456"/>
      <c r="CN125" s="456"/>
      <c r="CO125" s="456"/>
      <c r="CP125" s="456"/>
      <c r="CQ125" s="456"/>
      <c r="CR125" s="456"/>
      <c r="CS125" s="456"/>
      <c r="CT125" s="456"/>
      <c r="CU125" s="456"/>
      <c r="CV125" s="456"/>
      <c r="CW125" s="456"/>
      <c r="CX125" s="456"/>
      <c r="CY125" s="456"/>
      <c r="CZ125" s="456"/>
      <c r="DA125" s="456"/>
      <c r="DB125" s="456"/>
      <c r="DC125" s="456"/>
      <c r="DD125" s="456"/>
      <c r="DE125" s="456"/>
      <c r="DF125" s="456"/>
      <c r="DG125" s="456"/>
      <c r="DH125" s="456"/>
      <c r="DI125" s="456"/>
      <c r="DJ125" s="456"/>
      <c r="DK125" s="456"/>
      <c r="DL125" s="456"/>
      <c r="DM125" s="456"/>
      <c r="DN125" s="456"/>
      <c r="DO125" s="456"/>
      <c r="DP125" s="456"/>
      <c r="DQ125" s="456"/>
      <c r="DR125" s="456"/>
      <c r="DS125" s="456"/>
      <c r="DT125" s="456"/>
      <c r="DU125" s="456"/>
      <c r="DV125" s="456"/>
      <c r="DW125" s="456"/>
      <c r="DX125" s="456"/>
      <c r="DY125" s="456"/>
      <c r="DZ125" s="456"/>
      <c r="EA125" s="456"/>
      <c r="EB125" s="456"/>
      <c r="EC125" s="456"/>
      <c r="ED125" s="456"/>
      <c r="EE125" s="456"/>
      <c r="EF125" s="456"/>
      <c r="EG125" s="456"/>
      <c r="EH125" s="456"/>
      <c r="EI125" s="456"/>
      <c r="EJ125" s="456"/>
      <c r="EK125" s="456"/>
      <c r="EL125" s="456"/>
      <c r="EM125" s="456"/>
      <c r="EN125" s="456"/>
      <c r="EO125" s="456"/>
      <c r="EP125" s="456"/>
      <c r="EQ125" s="456"/>
      <c r="ER125" s="456"/>
      <c r="ES125" s="456"/>
      <c r="ET125" s="456"/>
      <c r="EU125" s="456"/>
      <c r="EV125" s="456"/>
      <c r="EW125" s="456"/>
      <c r="EX125" s="456"/>
      <c r="EY125" s="456"/>
      <c r="EZ125" s="456"/>
      <c r="FA125" s="456"/>
      <c r="FB125" s="456"/>
      <c r="FC125" s="456"/>
      <c r="FD125" s="456"/>
      <c r="FE125" s="456"/>
      <c r="FF125" s="456"/>
      <c r="FG125" s="456"/>
      <c r="FH125" s="456"/>
      <c r="FI125" s="456"/>
      <c r="FJ125" s="456"/>
      <c r="FK125" s="456"/>
      <c r="FL125" s="456"/>
      <c r="FM125" s="456"/>
      <c r="FN125" s="456"/>
      <c r="FO125" s="456"/>
      <c r="FP125" s="456"/>
      <c r="FQ125" s="456"/>
      <c r="FR125" s="456"/>
      <c r="FS125" s="456"/>
      <c r="FT125" s="456"/>
      <c r="FU125" s="456"/>
      <c r="FV125" s="456"/>
      <c r="FW125" s="456"/>
      <c r="FX125" s="456"/>
      <c r="FY125" s="456"/>
      <c r="FZ125" s="456"/>
      <c r="GA125" s="456"/>
      <c r="GB125" s="456"/>
      <c r="GC125" s="456"/>
      <c r="GD125" s="456"/>
      <c r="GE125" s="456"/>
      <c r="GF125" s="456"/>
      <c r="GG125" s="456"/>
      <c r="GH125" s="456"/>
      <c r="GI125" s="456"/>
      <c r="GJ125" s="456"/>
      <c r="GK125" s="456"/>
      <c r="GL125" s="456"/>
      <c r="GM125" s="456"/>
      <c r="GN125" s="456"/>
      <c r="GO125" s="456"/>
      <c r="GP125" s="456"/>
      <c r="GQ125" s="456"/>
      <c r="GR125" s="456"/>
      <c r="GS125" s="456"/>
      <c r="GT125" s="456"/>
      <c r="GU125" s="456"/>
      <c r="GV125" s="456"/>
      <c r="GW125" s="456"/>
      <c r="GX125" s="456"/>
      <c r="GY125" s="456"/>
      <c r="GZ125" s="456"/>
      <c r="HA125" s="456"/>
      <c r="HB125" s="456"/>
      <c r="HC125" s="456"/>
      <c r="HD125" s="456"/>
      <c r="HE125" s="456"/>
      <c r="HF125" s="456"/>
      <c r="HG125" s="456"/>
      <c r="HH125" s="456"/>
      <c r="HI125" s="456"/>
      <c r="HJ125" s="456"/>
      <c r="HK125" s="456"/>
      <c r="HL125" s="456"/>
      <c r="HM125" s="456"/>
      <c r="HN125" s="456"/>
      <c r="HO125" s="456"/>
      <c r="HP125" s="456"/>
      <c r="HQ125" s="456"/>
      <c r="HR125" s="456"/>
      <c r="HS125" s="456"/>
      <c r="HT125" s="456"/>
      <c r="HU125" s="456"/>
      <c r="HV125" s="456"/>
      <c r="HW125" s="456"/>
      <c r="HX125" s="456"/>
      <c r="HY125" s="456"/>
      <c r="HZ125" s="456"/>
      <c r="IA125" s="456"/>
      <c r="IB125" s="456"/>
      <c r="IC125" s="456"/>
      <c r="ID125" s="456"/>
      <c r="IE125" s="456"/>
      <c r="IF125" s="456"/>
      <c r="IG125" s="456"/>
      <c r="IH125" s="456"/>
      <c r="II125" s="456"/>
      <c r="IJ125" s="456"/>
      <c r="IK125" s="456"/>
      <c r="IL125" s="456"/>
      <c r="IM125" s="456"/>
      <c r="IN125" s="456"/>
      <c r="IO125" s="456"/>
      <c r="IP125" s="456"/>
      <c r="IQ125" s="456"/>
      <c r="IR125" s="456"/>
      <c r="IS125" s="456"/>
      <c r="IT125" s="456"/>
      <c r="IU125" s="456"/>
      <c r="IV125" s="456"/>
      <c r="IW125" s="456"/>
      <c r="IX125" s="456"/>
      <c r="IY125" s="456"/>
      <c r="IZ125" s="456"/>
      <c r="JA125" s="456"/>
      <c r="JB125" s="456"/>
      <c r="JC125" s="456"/>
      <c r="JD125" s="456"/>
      <c r="JE125" s="456"/>
      <c r="JF125" s="456"/>
      <c r="JG125" s="456"/>
      <c r="JH125" s="456"/>
      <c r="JI125" s="456"/>
      <c r="JJ125" s="456"/>
      <c r="JK125" s="456"/>
      <c r="JL125" s="456"/>
      <c r="JM125" s="456"/>
      <c r="JN125" s="456"/>
      <c r="JO125" s="456"/>
      <c r="JP125" s="456"/>
      <c r="JQ125" s="456"/>
      <c r="JR125" s="456"/>
      <c r="JS125" s="456"/>
      <c r="JT125" s="456"/>
      <c r="JU125" s="456"/>
      <c r="JV125" s="456"/>
      <c r="JW125" s="456"/>
      <c r="JX125" s="456"/>
      <c r="JY125" s="456"/>
      <c r="JZ125" s="456"/>
      <c r="KA125" s="456"/>
      <c r="KB125" s="456"/>
      <c r="KC125" s="456"/>
      <c r="KD125" s="456"/>
      <c r="KE125" s="456"/>
      <c r="KF125" s="456"/>
      <c r="KG125" s="456"/>
      <c r="KH125" s="456"/>
      <c r="KI125" s="456"/>
      <c r="KJ125" s="456"/>
      <c r="KK125" s="456"/>
      <c r="KL125" s="456"/>
      <c r="KM125" s="456"/>
      <c r="KN125" s="456"/>
      <c r="KO125" s="456"/>
      <c r="KP125" s="456"/>
      <c r="KQ125" s="456"/>
      <c r="KR125" s="456"/>
      <c r="KS125" s="456"/>
      <c r="KT125" s="456"/>
      <c r="KU125" s="456"/>
      <c r="KV125" s="456"/>
      <c r="KW125" s="456"/>
      <c r="KX125" s="456"/>
      <c r="KY125" s="456"/>
      <c r="KZ125" s="456"/>
      <c r="LA125" s="456"/>
      <c r="LB125" s="456"/>
      <c r="LC125" s="456"/>
      <c r="LD125" s="456"/>
      <c r="LE125" s="456"/>
      <c r="LF125" s="456"/>
      <c r="LG125" s="456"/>
      <c r="LH125" s="456"/>
      <c r="LI125" s="456"/>
      <c r="LJ125" s="456"/>
      <c r="LK125" s="456"/>
      <c r="LL125" s="456"/>
      <c r="LM125" s="456"/>
      <c r="LN125" s="456"/>
      <c r="LO125" s="456"/>
      <c r="LP125" s="456"/>
      <c r="LQ125" s="456"/>
      <c r="LR125" s="456"/>
      <c r="LS125" s="456"/>
      <c r="LT125" s="456"/>
      <c r="LU125" s="456"/>
      <c r="LV125" s="456"/>
      <c r="LW125" s="456"/>
      <c r="LX125" s="456"/>
      <c r="LY125" s="456"/>
      <c r="LZ125" s="456"/>
      <c r="MA125" s="456"/>
      <c r="MB125" s="456"/>
      <c r="MC125" s="456"/>
      <c r="MD125" s="456"/>
      <c r="ME125" s="456"/>
      <c r="MF125" s="456"/>
      <c r="MG125" s="456"/>
      <c r="MH125" s="456"/>
      <c r="MI125" s="456"/>
      <c r="MJ125" s="456"/>
      <c r="MK125" s="456"/>
      <c r="ML125" s="456"/>
      <c r="MM125" s="456"/>
      <c r="MN125" s="456"/>
      <c r="MO125" s="456"/>
      <c r="MP125" s="456"/>
      <c r="MQ125" s="456"/>
      <c r="MR125" s="456"/>
      <c r="MS125" s="456"/>
      <c r="MT125" s="456"/>
      <c r="MU125" s="456"/>
      <c r="MV125" s="456"/>
      <c r="MW125" s="456"/>
      <c r="MX125" s="456"/>
      <c r="MY125" s="456"/>
      <c r="MZ125" s="456"/>
      <c r="NA125" s="456"/>
      <c r="NB125" s="456"/>
      <c r="NC125" s="456"/>
      <c r="ND125" s="456"/>
      <c r="NE125" s="456"/>
      <c r="NF125" s="456"/>
      <c r="NG125" s="456"/>
      <c r="NH125" s="456"/>
      <c r="NI125" s="456"/>
      <c r="NJ125" s="456"/>
      <c r="NK125" s="456"/>
      <c r="NL125" s="456"/>
      <c r="NM125" s="456"/>
      <c r="NN125" s="456"/>
      <c r="NO125" s="456"/>
      <c r="NP125" s="456"/>
      <c r="NQ125" s="456"/>
      <c r="NR125" s="456"/>
      <c r="NS125" s="456"/>
      <c r="NT125" s="456"/>
      <c r="NU125" s="456"/>
      <c r="NV125" s="456"/>
      <c r="NW125" s="456"/>
      <c r="NX125" s="456"/>
      <c r="NY125" s="456"/>
      <c r="NZ125" s="456"/>
      <c r="OA125" s="456"/>
      <c r="OB125" s="456"/>
      <c r="OC125" s="456"/>
      <c r="OD125" s="456"/>
      <c r="OE125" s="456"/>
      <c r="OF125" s="456"/>
      <c r="OG125" s="456"/>
      <c r="OH125" s="456"/>
      <c r="OI125" s="456"/>
      <c r="OJ125" s="456"/>
      <c r="OK125" s="456"/>
      <c r="OL125" s="456"/>
      <c r="OM125" s="456"/>
      <c r="ON125" s="456"/>
      <c r="OO125" s="456"/>
      <c r="OP125" s="456"/>
      <c r="OQ125" s="456"/>
      <c r="OR125" s="456"/>
      <c r="OS125" s="456"/>
      <c r="OT125" s="456"/>
      <c r="OU125" s="456"/>
      <c r="OV125" s="456"/>
      <c r="OW125" s="456"/>
      <c r="OX125" s="456"/>
      <c r="OY125" s="456"/>
      <c r="OZ125" s="456"/>
      <c r="PA125" s="456"/>
      <c r="PB125" s="456"/>
      <c r="PC125" s="456"/>
      <c r="PD125" s="456"/>
      <c r="PE125" s="456"/>
      <c r="PF125" s="456"/>
      <c r="PG125" s="456"/>
      <c r="PH125" s="456"/>
      <c r="PI125" s="456"/>
      <c r="PJ125" s="456"/>
      <c r="PK125" s="456"/>
      <c r="PL125" s="456"/>
      <c r="PM125" s="456"/>
      <c r="PN125" s="456"/>
      <c r="PO125" s="456"/>
      <c r="PP125" s="456"/>
      <c r="PQ125" s="456"/>
      <c r="PR125" s="456"/>
      <c r="PS125" s="456"/>
      <c r="PT125" s="456"/>
      <c r="PU125" s="456"/>
      <c r="PV125" s="456"/>
      <c r="PW125" s="456"/>
      <c r="PX125" s="456"/>
      <c r="PY125" s="456"/>
      <c r="PZ125" s="456"/>
      <c r="QA125" s="456"/>
      <c r="QB125" s="456"/>
      <c r="QC125" s="456"/>
      <c r="QD125" s="456"/>
      <c r="QE125" s="456"/>
      <c r="QF125" s="456"/>
      <c r="QG125" s="456"/>
      <c r="QH125" s="456"/>
      <c r="QI125" s="456"/>
      <c r="QJ125" s="456"/>
      <c r="QK125" s="456"/>
      <c r="QL125" s="456"/>
      <c r="QM125" s="456"/>
      <c r="QN125" s="456"/>
      <c r="QO125" s="456"/>
      <c r="QP125" s="456"/>
      <c r="QQ125" s="456"/>
      <c r="QR125" s="456"/>
      <c r="QS125" s="456"/>
      <c r="QT125" s="456"/>
      <c r="QU125" s="456"/>
      <c r="QV125" s="456"/>
      <c r="QW125" s="456"/>
      <c r="QX125" s="456"/>
      <c r="QY125" s="456"/>
      <c r="QZ125" s="456"/>
      <c r="RA125" s="456"/>
      <c r="RB125" s="456"/>
      <c r="RC125" s="456"/>
      <c r="RD125" s="456"/>
      <c r="RE125" s="456"/>
      <c r="RF125" s="456"/>
      <c r="RG125" s="456"/>
      <c r="RH125" s="456"/>
      <c r="RI125" s="456"/>
      <c r="RJ125" s="456"/>
      <c r="RK125" s="456"/>
      <c r="RL125" s="456"/>
      <c r="RM125" s="456"/>
      <c r="RN125" s="456"/>
      <c r="RO125" s="456"/>
      <c r="RP125" s="456"/>
      <c r="RQ125" s="456"/>
      <c r="RR125" s="456"/>
      <c r="RS125" s="456"/>
      <c r="RT125" s="456"/>
      <c r="RU125" s="456"/>
      <c r="RV125" s="456"/>
      <c r="RW125" s="456"/>
      <c r="RX125" s="456"/>
      <c r="RY125" s="456"/>
      <c r="RZ125" s="456"/>
      <c r="SA125" s="456"/>
      <c r="SB125" s="456"/>
      <c r="SC125" s="456"/>
      <c r="SD125" s="456"/>
      <c r="SE125" s="456"/>
      <c r="SF125" s="456"/>
      <c r="SG125" s="456"/>
      <c r="SH125" s="456"/>
      <c r="SI125" s="456"/>
      <c r="SJ125" s="456"/>
      <c r="SK125" s="456"/>
      <c r="SL125" s="456"/>
      <c r="SM125" s="456"/>
      <c r="SN125" s="456"/>
      <c r="SO125" s="456"/>
      <c r="SP125" s="456"/>
      <c r="SQ125" s="456"/>
      <c r="SR125" s="456"/>
      <c r="SS125" s="456"/>
      <c r="ST125" s="456"/>
      <c r="SU125" s="456"/>
      <c r="SV125" s="456"/>
      <c r="SW125" s="456"/>
      <c r="SX125" s="456"/>
      <c r="SY125" s="456"/>
      <c r="SZ125" s="456"/>
      <c r="TA125" s="456"/>
      <c r="TB125" s="456"/>
      <c r="TC125" s="456"/>
      <c r="TD125" s="456"/>
      <c r="TE125" s="456"/>
      <c r="TF125" s="456"/>
      <c r="TG125" s="456"/>
      <c r="TH125" s="456"/>
      <c r="TI125" s="456"/>
      <c r="TJ125" s="456"/>
      <c r="TK125" s="456"/>
      <c r="TL125" s="456"/>
      <c r="TM125" s="456"/>
      <c r="TN125" s="456"/>
      <c r="TO125" s="456"/>
      <c r="TP125" s="456"/>
      <c r="TQ125" s="456"/>
      <c r="TR125" s="456"/>
      <c r="TS125" s="456"/>
      <c r="TT125" s="456"/>
      <c r="TU125" s="456"/>
      <c r="TV125" s="456"/>
      <c r="TW125" s="456"/>
      <c r="TX125" s="456"/>
      <c r="TY125" s="456"/>
      <c r="TZ125" s="456"/>
      <c r="UA125" s="456"/>
      <c r="UB125" s="456"/>
      <c r="UC125" s="456"/>
      <c r="UD125" s="456"/>
      <c r="UE125" s="456"/>
      <c r="UF125" s="456"/>
      <c r="UG125" s="456"/>
      <c r="UH125" s="456"/>
      <c r="UI125" s="456"/>
      <c r="UJ125" s="456"/>
      <c r="UK125" s="456"/>
      <c r="UL125" s="456"/>
      <c r="UM125" s="456"/>
      <c r="UN125" s="456"/>
      <c r="UO125" s="456"/>
      <c r="UP125" s="456"/>
      <c r="UQ125" s="456"/>
      <c r="UR125" s="456"/>
      <c r="US125" s="456"/>
      <c r="UT125" s="456"/>
      <c r="UU125" s="456"/>
      <c r="UV125" s="456"/>
      <c r="UW125" s="456"/>
      <c r="UX125" s="456"/>
      <c r="UY125" s="456"/>
      <c r="UZ125" s="456"/>
      <c r="VA125" s="456"/>
      <c r="VB125" s="456"/>
      <c r="VC125" s="456"/>
      <c r="VD125" s="456"/>
      <c r="VE125" s="456"/>
      <c r="VF125" s="456"/>
      <c r="VG125" s="456"/>
      <c r="VH125" s="456"/>
      <c r="VI125" s="456"/>
      <c r="VJ125" s="456"/>
      <c r="VK125" s="456"/>
      <c r="VL125" s="456"/>
      <c r="VM125" s="456"/>
      <c r="VN125" s="456"/>
      <c r="VO125" s="456"/>
      <c r="VP125" s="456"/>
      <c r="VQ125" s="456"/>
      <c r="VR125" s="456"/>
      <c r="VS125" s="456"/>
      <c r="VT125" s="456"/>
      <c r="VU125" s="456"/>
      <c r="VV125" s="456"/>
      <c r="VW125" s="456"/>
      <c r="VX125" s="456"/>
      <c r="VY125" s="456"/>
      <c r="VZ125" s="456"/>
      <c r="WA125" s="456"/>
      <c r="WB125" s="456"/>
      <c r="WC125" s="456"/>
      <c r="WD125" s="456"/>
      <c r="WE125" s="456"/>
      <c r="WF125" s="456"/>
      <c r="WG125" s="456"/>
      <c r="WH125" s="456"/>
      <c r="WI125" s="456"/>
      <c r="WJ125" s="456"/>
      <c r="WK125" s="456"/>
      <c r="WL125" s="456"/>
      <c r="WM125" s="456"/>
      <c r="WN125" s="456"/>
      <c r="WO125" s="456"/>
      <c r="WP125" s="456"/>
      <c r="WQ125" s="456"/>
      <c r="WR125" s="456"/>
      <c r="WS125" s="456"/>
      <c r="WT125" s="456"/>
      <c r="WU125" s="456"/>
      <c r="WV125" s="456"/>
      <c r="WW125" s="456"/>
      <c r="WX125" s="456"/>
      <c r="WY125" s="456"/>
      <c r="WZ125" s="456"/>
      <c r="XA125" s="456"/>
      <c r="XB125" s="456"/>
      <c r="XC125" s="456"/>
      <c r="XD125" s="456"/>
      <c r="XE125" s="456"/>
      <c r="XF125" s="456"/>
      <c r="XG125" s="456"/>
      <c r="XH125" s="456"/>
      <c r="XI125" s="456"/>
      <c r="XJ125" s="456"/>
      <c r="XK125" s="456"/>
      <c r="XL125" s="456"/>
      <c r="XM125" s="456"/>
      <c r="XN125" s="456"/>
      <c r="XO125" s="456"/>
      <c r="XP125" s="456"/>
      <c r="XQ125" s="456"/>
      <c r="XR125" s="456"/>
      <c r="XS125" s="456"/>
      <c r="XT125" s="456"/>
      <c r="XU125" s="456"/>
      <c r="XV125" s="456"/>
      <c r="XW125" s="456"/>
      <c r="XX125" s="456"/>
      <c r="XY125" s="456"/>
      <c r="XZ125" s="456"/>
      <c r="YA125" s="456"/>
      <c r="YB125" s="456"/>
      <c r="YC125" s="456"/>
      <c r="YD125" s="456"/>
      <c r="YE125" s="456"/>
      <c r="YF125" s="456"/>
      <c r="YG125" s="456"/>
      <c r="YH125" s="456"/>
      <c r="YI125" s="456"/>
      <c r="YJ125" s="456"/>
      <c r="YK125" s="456"/>
      <c r="YL125" s="456"/>
      <c r="YM125" s="456"/>
      <c r="YN125" s="456"/>
      <c r="YO125" s="456"/>
      <c r="YP125" s="456"/>
      <c r="YQ125" s="456"/>
      <c r="YR125" s="456"/>
      <c r="YS125" s="456"/>
      <c r="YT125" s="456"/>
      <c r="YU125" s="456"/>
      <c r="YV125" s="456"/>
      <c r="YW125" s="456"/>
      <c r="YX125" s="456"/>
      <c r="YY125" s="456"/>
      <c r="YZ125" s="456"/>
      <c r="ZA125" s="456"/>
      <c r="ZB125" s="456"/>
      <c r="ZC125" s="456"/>
      <c r="ZD125" s="456"/>
      <c r="ZE125" s="456"/>
      <c r="ZF125" s="456"/>
      <c r="ZG125" s="456"/>
      <c r="ZH125" s="456"/>
      <c r="ZI125" s="456"/>
      <c r="ZJ125" s="456"/>
      <c r="ZK125" s="456"/>
      <c r="ZL125" s="456"/>
      <c r="ZM125" s="456"/>
      <c r="ZN125" s="456"/>
      <c r="ZO125" s="456"/>
      <c r="ZP125" s="456"/>
      <c r="ZQ125" s="456"/>
      <c r="ZR125" s="456"/>
      <c r="ZS125" s="456"/>
      <c r="ZT125" s="456"/>
      <c r="ZU125" s="456"/>
      <c r="ZV125" s="456"/>
      <c r="ZW125" s="456"/>
      <c r="ZX125" s="456"/>
      <c r="ZY125" s="456"/>
      <c r="ZZ125" s="456"/>
      <c r="AAA125" s="456"/>
      <c r="AAB125" s="456"/>
      <c r="AAC125" s="456"/>
      <c r="AAD125" s="456"/>
      <c r="AAE125" s="456"/>
      <c r="AAF125" s="456"/>
      <c r="AAG125" s="456"/>
      <c r="AAH125" s="456"/>
      <c r="AAI125" s="456"/>
      <c r="AAJ125" s="456"/>
      <c r="AAK125" s="456"/>
      <c r="AAL125" s="456"/>
      <c r="AAM125" s="456"/>
      <c r="AAN125" s="456"/>
      <c r="AAO125" s="456"/>
      <c r="AAP125" s="456"/>
      <c r="AAQ125" s="456"/>
      <c r="AAR125" s="456"/>
      <c r="AAS125" s="456"/>
      <c r="AAT125" s="456"/>
      <c r="AAU125" s="456"/>
      <c r="AAV125" s="456"/>
      <c r="AAW125" s="456"/>
      <c r="AAX125" s="456"/>
      <c r="AAY125" s="456"/>
      <c r="AAZ125" s="456"/>
      <c r="ABA125" s="456"/>
      <c r="ABB125" s="456"/>
      <c r="ABC125" s="456"/>
      <c r="ABD125" s="456"/>
      <c r="ABE125" s="456"/>
      <c r="ABF125" s="456"/>
      <c r="ABG125" s="456"/>
      <c r="ABH125" s="456"/>
      <c r="ABI125" s="456"/>
      <c r="ABJ125" s="456"/>
      <c r="ABK125" s="456"/>
      <c r="ABL125" s="456"/>
      <c r="ABM125" s="456"/>
      <c r="ABN125" s="456"/>
      <c r="ABO125" s="456"/>
      <c r="ABP125" s="456"/>
      <c r="ABQ125" s="456"/>
      <c r="ABR125" s="456"/>
      <c r="ABS125" s="456"/>
      <c r="ABT125" s="456"/>
      <c r="ABU125" s="456"/>
      <c r="ABV125" s="456"/>
      <c r="ABW125" s="456"/>
      <c r="ABX125" s="456"/>
      <c r="ABY125" s="456"/>
      <c r="ABZ125" s="456"/>
      <c r="ACA125" s="456"/>
      <c r="ACB125" s="456"/>
      <c r="ACC125" s="456"/>
      <c r="ACD125" s="456"/>
      <c r="ACE125" s="456"/>
      <c r="ACF125" s="456"/>
      <c r="ACG125" s="456"/>
      <c r="ACH125" s="456"/>
      <c r="ACI125" s="456"/>
      <c r="ACJ125" s="456"/>
      <c r="ACK125" s="456"/>
      <c r="ACL125" s="456"/>
      <c r="ACM125" s="456"/>
      <c r="ACN125" s="456"/>
      <c r="ACO125" s="456"/>
      <c r="ACP125" s="456"/>
      <c r="ACQ125" s="456"/>
      <c r="ACR125" s="456"/>
      <c r="ACS125" s="456"/>
      <c r="ACT125" s="456"/>
      <c r="ACU125" s="456"/>
      <c r="ACV125" s="456"/>
      <c r="ACW125" s="456"/>
      <c r="ACX125" s="456"/>
      <c r="ACY125" s="456"/>
      <c r="ACZ125" s="456"/>
      <c r="ADA125" s="456"/>
      <c r="ADB125" s="456"/>
      <c r="ADC125" s="456"/>
      <c r="ADD125" s="456"/>
      <c r="ADE125" s="456"/>
      <c r="ADF125" s="456"/>
      <c r="ADG125" s="456"/>
      <c r="ADH125" s="456"/>
      <c r="ADI125" s="456"/>
      <c r="ADJ125" s="456"/>
      <c r="ADK125" s="456"/>
      <c r="ADL125" s="456"/>
      <c r="ADM125" s="456"/>
      <c r="ADN125" s="456"/>
      <c r="ADO125" s="456"/>
      <c r="ADP125" s="456"/>
      <c r="ADQ125" s="456"/>
      <c r="ADR125" s="456"/>
      <c r="ADS125" s="456"/>
      <c r="ADT125" s="456"/>
      <c r="ADU125" s="456"/>
      <c r="ADV125" s="456"/>
      <c r="ADW125" s="456"/>
      <c r="ADX125" s="456"/>
      <c r="ADY125" s="456"/>
      <c r="ADZ125" s="456"/>
      <c r="AEA125" s="456"/>
      <c r="AEB125" s="456"/>
      <c r="AEC125" s="456"/>
      <c r="AED125" s="456"/>
      <c r="AEE125" s="456"/>
      <c r="AEF125" s="456"/>
      <c r="AEG125" s="456"/>
      <c r="AEH125" s="456"/>
      <c r="AEI125" s="456"/>
      <c r="AEJ125" s="456"/>
      <c r="AEK125" s="456"/>
      <c r="AEL125" s="456"/>
      <c r="AEM125" s="456"/>
      <c r="AEN125" s="456"/>
      <c r="AEO125" s="456"/>
      <c r="AEP125" s="456"/>
      <c r="AEQ125" s="456"/>
      <c r="AER125" s="456"/>
      <c r="AES125" s="456"/>
      <c r="AET125" s="456"/>
      <c r="AEU125" s="456"/>
      <c r="AEV125" s="456"/>
      <c r="AEW125" s="456"/>
      <c r="AEX125" s="456"/>
      <c r="AEY125" s="456"/>
      <c r="AEZ125" s="456"/>
      <c r="AFA125" s="456"/>
      <c r="AFB125" s="456"/>
      <c r="AFC125" s="456"/>
      <c r="AFD125" s="456"/>
      <c r="AFE125" s="456"/>
      <c r="AFF125" s="456"/>
      <c r="AFG125" s="456"/>
      <c r="AFH125" s="456"/>
      <c r="AFI125" s="456"/>
      <c r="AFJ125" s="456"/>
      <c r="AFK125" s="456"/>
      <c r="AFL125" s="456"/>
      <c r="AFM125" s="456"/>
      <c r="AFN125" s="456"/>
      <c r="AFO125" s="456"/>
      <c r="AFP125" s="456"/>
      <c r="AFQ125" s="456"/>
      <c r="AFR125" s="456"/>
      <c r="AFS125" s="456"/>
      <c r="AFT125" s="456"/>
      <c r="AFU125" s="456"/>
      <c r="AFV125" s="456"/>
      <c r="AFW125" s="456"/>
      <c r="AFX125" s="456"/>
      <c r="AFY125" s="456"/>
      <c r="AFZ125" s="456"/>
      <c r="AGA125" s="456"/>
      <c r="AGB125" s="456"/>
      <c r="AGC125" s="456"/>
      <c r="AGD125" s="456"/>
      <c r="AGE125" s="456"/>
      <c r="AGF125" s="456"/>
      <c r="AGG125" s="456"/>
      <c r="AGH125" s="456"/>
      <c r="AGI125" s="456"/>
      <c r="AGJ125" s="456"/>
      <c r="AGK125" s="456"/>
      <c r="AGL125" s="456"/>
      <c r="AGM125" s="456"/>
      <c r="AGN125" s="456"/>
      <c r="AGO125" s="456"/>
      <c r="AGP125" s="456"/>
      <c r="AGQ125" s="456"/>
      <c r="AGR125" s="456"/>
      <c r="AGS125" s="456"/>
      <c r="AGT125" s="456"/>
      <c r="AGU125" s="456"/>
      <c r="AGV125" s="456"/>
      <c r="AGW125" s="456"/>
      <c r="AGX125" s="456"/>
      <c r="AGY125" s="456"/>
      <c r="AGZ125" s="456"/>
      <c r="AHA125" s="456"/>
      <c r="AHB125" s="456"/>
      <c r="AHC125" s="456"/>
      <c r="AHD125" s="456"/>
      <c r="AHE125" s="456"/>
      <c r="AHF125" s="456"/>
      <c r="AHG125" s="456"/>
      <c r="AHH125" s="456"/>
      <c r="AHI125" s="456"/>
      <c r="AHJ125" s="456"/>
      <c r="AHK125" s="456"/>
      <c r="AHL125" s="456"/>
      <c r="AHM125" s="456"/>
      <c r="AHN125" s="456"/>
      <c r="AHO125" s="456"/>
      <c r="AHP125" s="456"/>
      <c r="AHQ125" s="456"/>
      <c r="AHR125" s="456"/>
      <c r="AHS125" s="456"/>
      <c r="AHT125" s="456"/>
      <c r="AHU125" s="456"/>
      <c r="AHV125" s="456"/>
      <c r="AHW125" s="456"/>
      <c r="AHX125" s="456"/>
      <c r="AHY125" s="456"/>
      <c r="AHZ125" s="456"/>
      <c r="AIA125" s="456"/>
      <c r="AIB125" s="456"/>
      <c r="AIC125" s="456"/>
      <c r="AID125" s="456"/>
      <c r="AIE125" s="456"/>
      <c r="AIF125" s="456"/>
      <c r="AIG125" s="456"/>
      <c r="AIH125" s="456"/>
      <c r="AII125" s="456"/>
      <c r="AIJ125" s="456"/>
      <c r="AIK125" s="456"/>
      <c r="AIL125" s="456"/>
      <c r="AIM125" s="456"/>
      <c r="AIN125" s="456"/>
      <c r="AIO125" s="456"/>
      <c r="AIP125" s="456"/>
      <c r="AIQ125" s="456"/>
      <c r="AIR125" s="456"/>
      <c r="AIS125" s="456"/>
      <c r="AIT125" s="456"/>
      <c r="AIU125" s="456"/>
      <c r="AIV125" s="456"/>
      <c r="AIW125" s="456"/>
      <c r="AIX125" s="456"/>
      <c r="AIY125" s="456"/>
      <c r="AIZ125" s="456"/>
      <c r="AJA125" s="456"/>
      <c r="AJB125" s="456"/>
      <c r="AJC125" s="456"/>
      <c r="AJD125" s="456"/>
      <c r="AJE125" s="456"/>
      <c r="AJF125" s="456"/>
      <c r="AJG125" s="456"/>
      <c r="AJH125" s="456"/>
      <c r="AJI125" s="456"/>
      <c r="AJJ125" s="456"/>
      <c r="AJK125" s="456"/>
      <c r="AJL125" s="456"/>
      <c r="AJM125" s="456"/>
      <c r="AJN125" s="456"/>
      <c r="AJO125" s="456"/>
      <c r="AJP125" s="456"/>
      <c r="AJQ125" s="456"/>
      <c r="AJR125" s="456"/>
      <c r="AJS125" s="456"/>
      <c r="AJT125" s="456"/>
      <c r="AJU125" s="456"/>
      <c r="AJV125" s="456"/>
      <c r="AJW125" s="456"/>
      <c r="AJX125" s="456"/>
      <c r="AJY125" s="456"/>
      <c r="AJZ125" s="456"/>
      <c r="AKA125" s="456"/>
      <c r="AKB125" s="456"/>
      <c r="AKC125" s="456"/>
      <c r="AKD125" s="456"/>
      <c r="AKE125" s="456"/>
      <c r="AKF125" s="456"/>
      <c r="AKG125" s="456"/>
      <c r="AKH125" s="456"/>
      <c r="AKI125" s="456"/>
      <c r="AKJ125" s="456"/>
      <c r="AKK125" s="456"/>
      <c r="AKL125" s="456"/>
      <c r="AKM125" s="456"/>
      <c r="AKN125" s="456"/>
      <c r="AKO125" s="456"/>
      <c r="AKP125" s="456"/>
      <c r="AKQ125" s="456"/>
      <c r="AKR125" s="456"/>
      <c r="AKS125" s="456"/>
      <c r="AKT125" s="456"/>
      <c r="AKU125" s="456"/>
      <c r="AKV125" s="456"/>
      <c r="AKW125" s="456"/>
      <c r="AKX125" s="456"/>
      <c r="AKY125" s="456"/>
      <c r="AKZ125" s="456"/>
      <c r="ALA125" s="456"/>
      <c r="ALB125" s="456"/>
      <c r="ALC125" s="456"/>
      <c r="ALD125" s="456"/>
      <c r="ALE125" s="456"/>
      <c r="ALF125" s="456"/>
      <c r="ALG125" s="456"/>
      <c r="ALH125" s="456"/>
      <c r="ALI125" s="456"/>
      <c r="ALJ125" s="456"/>
      <c r="ALK125" s="456"/>
      <c r="ALL125" s="456"/>
      <c r="ALM125" s="456"/>
      <c r="ALN125" s="456"/>
      <c r="ALO125" s="456"/>
      <c r="ALP125" s="456"/>
      <c r="ALQ125" s="456"/>
      <c r="ALR125" s="456"/>
      <c r="ALS125" s="456"/>
      <c r="ALT125" s="456"/>
      <c r="ALU125" s="456"/>
      <c r="ALV125" s="456"/>
      <c r="ALW125" s="456"/>
      <c r="ALX125" s="456"/>
      <c r="ALY125" s="456"/>
      <c r="ALZ125" s="456"/>
      <c r="AMA125" s="456"/>
      <c r="AMB125" s="456"/>
      <c r="AMC125" s="456"/>
      <c r="AMD125" s="456"/>
      <c r="AME125" s="456"/>
      <c r="AMF125" s="456"/>
      <c r="AMG125" s="456"/>
      <c r="AMH125" s="456"/>
      <c r="AMI125" s="456"/>
      <c r="AMJ125" s="456"/>
      <c r="AMK125" s="456"/>
      <c r="AML125" s="456"/>
      <c r="AMM125" s="456"/>
      <c r="AMN125" s="456"/>
      <c r="AMO125" s="456"/>
      <c r="AMP125" s="456"/>
      <c r="AMQ125" s="456"/>
      <c r="AMR125" s="456"/>
      <c r="AMS125" s="456"/>
      <c r="AMT125" s="456"/>
      <c r="AMU125" s="456"/>
      <c r="AMV125" s="456"/>
      <c r="AMW125" s="456"/>
      <c r="AMX125" s="456"/>
      <c r="AMY125" s="456"/>
      <c r="AMZ125" s="456"/>
      <c r="ANA125" s="456"/>
      <c r="ANB125" s="456"/>
      <c r="ANC125" s="456"/>
      <c r="AND125" s="456"/>
      <c r="ANE125" s="456"/>
      <c r="ANF125" s="456"/>
      <c r="ANG125" s="456"/>
      <c r="ANH125" s="456"/>
      <c r="ANI125" s="456"/>
      <c r="ANJ125" s="456"/>
      <c r="ANK125" s="456"/>
      <c r="ANL125" s="456"/>
      <c r="ANM125" s="456"/>
      <c r="ANN125" s="456"/>
      <c r="ANO125" s="456"/>
      <c r="ANP125" s="456"/>
      <c r="ANQ125" s="456"/>
      <c r="ANR125" s="456"/>
      <c r="ANS125" s="456"/>
      <c r="ANT125" s="456"/>
      <c r="ANU125" s="456"/>
      <c r="ANV125" s="456"/>
      <c r="ANW125" s="456"/>
      <c r="ANX125" s="456"/>
      <c r="ANY125" s="456"/>
      <c r="ANZ125" s="456"/>
      <c r="AOA125" s="456"/>
      <c r="AOB125" s="456"/>
      <c r="AOC125" s="456"/>
      <c r="AOD125" s="456"/>
      <c r="AOE125" s="456"/>
      <c r="AOF125" s="456"/>
      <c r="AOG125" s="456"/>
      <c r="AOH125" s="456"/>
      <c r="AOI125" s="456"/>
      <c r="AOJ125" s="456"/>
      <c r="AOK125" s="456"/>
      <c r="AOL125" s="456"/>
      <c r="AOM125" s="456"/>
      <c r="AON125" s="456"/>
      <c r="AOO125" s="456"/>
      <c r="AOP125" s="456"/>
      <c r="AOQ125" s="456"/>
      <c r="AOR125" s="456"/>
      <c r="AOS125" s="456"/>
      <c r="AOT125" s="456"/>
      <c r="AOU125" s="456"/>
      <c r="AOV125" s="456"/>
      <c r="AOW125" s="456"/>
      <c r="AOX125" s="456"/>
      <c r="AOY125" s="456"/>
      <c r="AOZ125" s="456"/>
      <c r="APA125" s="456"/>
      <c r="APB125" s="456"/>
      <c r="APC125" s="456"/>
      <c r="APD125" s="456"/>
      <c r="APE125" s="456"/>
      <c r="APF125" s="456"/>
      <c r="APG125" s="456"/>
      <c r="APH125" s="456"/>
      <c r="API125" s="456"/>
      <c r="APJ125" s="456"/>
      <c r="APK125" s="456"/>
      <c r="APL125" s="456"/>
      <c r="APM125" s="456"/>
      <c r="APN125" s="456"/>
      <c r="APO125" s="456"/>
      <c r="APP125" s="456"/>
      <c r="APQ125" s="456"/>
      <c r="APR125" s="456"/>
      <c r="APS125" s="456"/>
      <c r="APT125" s="456"/>
      <c r="APU125" s="456"/>
      <c r="APV125" s="456"/>
      <c r="APW125" s="456"/>
      <c r="APX125" s="456"/>
      <c r="APY125" s="456"/>
      <c r="APZ125" s="456"/>
      <c r="AQA125" s="456"/>
      <c r="AQB125" s="456"/>
      <c r="AQC125" s="456"/>
      <c r="AQD125" s="456"/>
      <c r="AQE125" s="456"/>
      <c r="AQF125" s="456"/>
      <c r="AQG125" s="456"/>
      <c r="AQH125" s="456"/>
      <c r="AQI125" s="456"/>
      <c r="AQJ125" s="456"/>
      <c r="AQK125" s="456"/>
      <c r="AQL125" s="456"/>
      <c r="AQM125" s="456"/>
      <c r="AQN125" s="456"/>
      <c r="AQO125" s="456"/>
      <c r="AQP125" s="456"/>
      <c r="AQQ125" s="456"/>
      <c r="AQR125" s="456"/>
      <c r="AQS125" s="456"/>
      <c r="AQT125" s="456"/>
      <c r="AQU125" s="456"/>
      <c r="AQV125" s="456"/>
      <c r="AQW125" s="456"/>
      <c r="AQX125" s="456"/>
      <c r="AQY125" s="456"/>
      <c r="AQZ125" s="456"/>
      <c r="ARA125" s="456"/>
      <c r="ARB125" s="456"/>
      <c r="ARC125" s="456"/>
      <c r="ARD125" s="456"/>
      <c r="ARE125" s="456"/>
      <c r="ARF125" s="456"/>
      <c r="ARG125" s="456"/>
      <c r="ARH125" s="456"/>
      <c r="ARI125" s="456"/>
      <c r="ARJ125" s="456"/>
      <c r="ARK125" s="456"/>
      <c r="ARL125" s="456"/>
      <c r="ARM125" s="456"/>
      <c r="ARN125" s="456"/>
      <c r="ARO125" s="456"/>
      <c r="ARP125" s="456"/>
      <c r="ARQ125" s="456"/>
      <c r="ARR125" s="456"/>
      <c r="ARS125" s="456"/>
      <c r="ART125" s="456"/>
      <c r="ARU125" s="456"/>
      <c r="ARV125" s="456"/>
      <c r="ARW125" s="456"/>
      <c r="ARX125" s="456"/>
      <c r="ARY125" s="456"/>
      <c r="ARZ125" s="456"/>
      <c r="ASA125" s="456"/>
      <c r="ASB125" s="456"/>
      <c r="ASC125" s="456"/>
      <c r="ASD125" s="456"/>
      <c r="ASE125" s="456"/>
      <c r="ASF125" s="456"/>
      <c r="ASG125" s="456"/>
      <c r="ASH125" s="456"/>
      <c r="ASI125" s="456"/>
      <c r="ASJ125" s="456"/>
      <c r="ASK125" s="456"/>
      <c r="ASL125" s="456"/>
      <c r="ASM125" s="456"/>
      <c r="ASN125" s="456"/>
      <c r="ASO125" s="456"/>
      <c r="ASP125" s="456"/>
      <c r="ASQ125" s="456"/>
      <c r="ASR125" s="456"/>
      <c r="ASS125" s="456"/>
      <c r="AST125" s="456"/>
      <c r="ASU125" s="456"/>
      <c r="ASV125" s="456"/>
      <c r="ASW125" s="456"/>
      <c r="ASX125" s="456"/>
      <c r="ASY125" s="456"/>
      <c r="ASZ125" s="456"/>
      <c r="ATA125" s="456"/>
      <c r="ATB125" s="456"/>
      <c r="ATC125" s="456"/>
      <c r="ATD125" s="456"/>
      <c r="ATE125" s="456"/>
      <c r="ATF125" s="456"/>
      <c r="ATG125" s="456"/>
      <c r="ATH125" s="456"/>
      <c r="ATI125" s="456"/>
      <c r="ATJ125" s="456"/>
      <c r="ATK125" s="456"/>
      <c r="ATL125" s="456"/>
      <c r="ATM125" s="456"/>
      <c r="ATN125" s="456"/>
      <c r="ATO125" s="456"/>
      <c r="ATP125" s="456"/>
      <c r="ATQ125" s="456"/>
      <c r="ATR125" s="456"/>
      <c r="ATS125" s="456"/>
      <c r="ATT125" s="456"/>
      <c r="ATU125" s="456"/>
      <c r="ATV125" s="456"/>
      <c r="ATW125" s="456"/>
      <c r="ATX125" s="456"/>
      <c r="ATY125" s="456"/>
      <c r="ATZ125" s="456"/>
      <c r="AUA125" s="456"/>
      <c r="AUB125" s="456"/>
      <c r="AUC125" s="456"/>
      <c r="AUD125" s="456"/>
      <c r="AUE125" s="456"/>
      <c r="AUF125" s="456"/>
      <c r="AUG125" s="456"/>
      <c r="AUH125" s="456"/>
      <c r="AUI125" s="456"/>
      <c r="AUJ125" s="456"/>
      <c r="AUK125" s="456"/>
      <c r="AUL125" s="456"/>
      <c r="AUM125" s="456"/>
      <c r="AUN125" s="456"/>
      <c r="AUO125" s="456"/>
      <c r="AUP125" s="456"/>
      <c r="AUQ125" s="456"/>
      <c r="AUR125" s="456"/>
      <c r="AUS125" s="456"/>
      <c r="AUT125" s="456"/>
      <c r="AUU125" s="456"/>
      <c r="AUV125" s="456"/>
      <c r="AUW125" s="456"/>
      <c r="AUX125" s="456"/>
      <c r="AUY125" s="456"/>
      <c r="AUZ125" s="456"/>
      <c r="AVA125" s="456"/>
      <c r="AVB125" s="456"/>
      <c r="AVC125" s="456"/>
      <c r="AVD125" s="456"/>
      <c r="AVE125" s="456"/>
      <c r="AVF125" s="456"/>
      <c r="AVG125" s="456"/>
      <c r="AVH125" s="456"/>
      <c r="AVI125" s="456"/>
      <c r="AVJ125" s="456"/>
      <c r="AVK125" s="456"/>
      <c r="AVL125" s="456"/>
      <c r="AVM125" s="456"/>
      <c r="AVN125" s="456"/>
      <c r="AVO125" s="456"/>
      <c r="AVP125" s="456"/>
      <c r="AVQ125" s="456"/>
      <c r="AVR125" s="456"/>
      <c r="AVS125" s="456"/>
      <c r="AVT125" s="456"/>
      <c r="AVU125" s="456"/>
      <c r="AVV125" s="456"/>
      <c r="AVW125" s="456"/>
      <c r="AVX125" s="456"/>
      <c r="AVY125" s="456"/>
      <c r="AVZ125" s="456"/>
      <c r="AWA125" s="456"/>
      <c r="AWB125" s="456"/>
      <c r="AWC125" s="456"/>
      <c r="AWD125" s="456"/>
      <c r="AWE125" s="456"/>
      <c r="AWF125" s="456"/>
      <c r="AWG125" s="456"/>
      <c r="AWH125" s="456"/>
      <c r="AWI125" s="456"/>
      <c r="AWJ125" s="456"/>
      <c r="AWK125" s="456"/>
      <c r="AWL125" s="456"/>
      <c r="AWM125" s="456"/>
      <c r="AWN125" s="456"/>
      <c r="AWO125" s="456"/>
      <c r="AWP125" s="456"/>
      <c r="AWQ125" s="456"/>
      <c r="AWR125" s="456"/>
      <c r="AWS125" s="456"/>
      <c r="AWT125" s="456"/>
      <c r="AWU125" s="456"/>
      <c r="AWV125" s="456"/>
      <c r="AWW125" s="456"/>
      <c r="AWX125" s="456"/>
      <c r="AWY125" s="456"/>
      <c r="AWZ125" s="456"/>
      <c r="AXA125" s="456"/>
      <c r="AXB125" s="456"/>
      <c r="AXC125" s="456"/>
      <c r="AXD125" s="456"/>
      <c r="AXE125" s="456"/>
      <c r="AXF125" s="456"/>
      <c r="AXG125" s="456"/>
      <c r="AXH125" s="456"/>
      <c r="AXI125" s="456"/>
      <c r="AXJ125" s="456"/>
      <c r="AXK125" s="456"/>
      <c r="AXL125" s="456"/>
      <c r="AXM125" s="456"/>
      <c r="AXN125" s="456"/>
      <c r="AXO125" s="456"/>
      <c r="AXP125" s="456"/>
      <c r="AXQ125" s="456"/>
      <c r="AXR125" s="456"/>
      <c r="AXS125" s="456"/>
      <c r="AXT125" s="456"/>
      <c r="AXU125" s="456"/>
      <c r="AXV125" s="456"/>
      <c r="AXW125" s="456"/>
      <c r="AXX125" s="456"/>
      <c r="AXY125" s="456"/>
      <c r="AXZ125" s="456"/>
      <c r="AYA125" s="456"/>
      <c r="AYB125" s="456"/>
      <c r="AYC125" s="456"/>
      <c r="AYD125" s="456"/>
      <c r="AYE125" s="456"/>
      <c r="AYF125" s="456"/>
      <c r="AYG125" s="456"/>
      <c r="AYH125" s="456"/>
      <c r="AYI125" s="456"/>
      <c r="AYJ125" s="456"/>
      <c r="AYK125" s="456"/>
      <c r="AYL125" s="456"/>
      <c r="AYM125" s="456"/>
      <c r="AYN125" s="456"/>
      <c r="AYO125" s="456"/>
      <c r="AYP125" s="456"/>
      <c r="AYQ125" s="456"/>
      <c r="AYR125" s="456"/>
      <c r="AYS125" s="456"/>
      <c r="AYT125" s="456"/>
      <c r="AYU125" s="456"/>
      <c r="AYV125" s="456"/>
      <c r="AYW125" s="456"/>
      <c r="AYX125" s="456"/>
      <c r="AYY125" s="456"/>
      <c r="AYZ125" s="456"/>
      <c r="AZA125" s="456"/>
      <c r="AZB125" s="456"/>
      <c r="AZC125" s="456"/>
      <c r="AZD125" s="456"/>
      <c r="AZE125" s="456"/>
      <c r="AZF125" s="456"/>
      <c r="AZG125" s="456"/>
      <c r="AZH125" s="456"/>
      <c r="AZI125" s="456"/>
      <c r="AZJ125" s="456"/>
      <c r="AZK125" s="456"/>
      <c r="AZL125" s="456"/>
      <c r="AZM125" s="456"/>
      <c r="AZN125" s="456"/>
      <c r="AZO125" s="456"/>
      <c r="AZP125" s="456"/>
      <c r="AZQ125" s="456"/>
      <c r="AZR125" s="456"/>
      <c r="AZS125" s="456"/>
      <c r="AZT125" s="456"/>
      <c r="AZU125" s="456"/>
      <c r="AZV125" s="456"/>
      <c r="AZW125" s="456"/>
      <c r="AZX125" s="456"/>
      <c r="AZY125" s="456"/>
      <c r="AZZ125" s="456"/>
      <c r="BAA125" s="456"/>
      <c r="BAB125" s="456"/>
      <c r="BAC125" s="456"/>
      <c r="BAD125" s="456"/>
      <c r="BAE125" s="456"/>
      <c r="BAF125" s="456"/>
      <c r="BAG125" s="456"/>
      <c r="BAH125" s="456"/>
      <c r="BAI125" s="456"/>
      <c r="BAJ125" s="456"/>
      <c r="BAK125" s="456"/>
      <c r="BAL125" s="456"/>
      <c r="BAM125" s="456"/>
      <c r="BAN125" s="456"/>
      <c r="BAO125" s="456"/>
      <c r="BAP125" s="456"/>
      <c r="BAQ125" s="456"/>
      <c r="BAR125" s="456"/>
      <c r="BAS125" s="456"/>
      <c r="BAT125" s="456"/>
      <c r="BAU125" s="456"/>
      <c r="BAV125" s="456"/>
      <c r="BAW125" s="456"/>
      <c r="BAX125" s="456"/>
      <c r="BAY125" s="456"/>
      <c r="BAZ125" s="456"/>
      <c r="BBA125" s="456"/>
      <c r="BBB125" s="456"/>
      <c r="BBC125" s="456"/>
      <c r="BBD125" s="456"/>
      <c r="BBE125" s="456"/>
      <c r="BBF125" s="456"/>
      <c r="BBG125" s="456"/>
      <c r="BBH125" s="456"/>
      <c r="BBI125" s="456"/>
      <c r="BBJ125" s="456"/>
      <c r="BBK125" s="456"/>
      <c r="BBL125" s="456"/>
      <c r="BBM125" s="456"/>
      <c r="BBN125" s="456"/>
      <c r="BBO125" s="456"/>
      <c r="BBP125" s="456"/>
      <c r="BBQ125" s="456"/>
      <c r="BBR125" s="456"/>
      <c r="BBS125" s="456"/>
      <c r="BBT125" s="456"/>
      <c r="BBU125" s="456"/>
      <c r="BBV125" s="456"/>
      <c r="BBW125" s="456"/>
      <c r="BBX125" s="456"/>
      <c r="BBY125" s="456"/>
      <c r="BBZ125" s="456"/>
      <c r="BCA125" s="456"/>
      <c r="BCB125" s="456"/>
      <c r="BCC125" s="456"/>
      <c r="BCD125" s="456"/>
      <c r="BCE125" s="456"/>
      <c r="BCF125" s="456"/>
      <c r="BCG125" s="456"/>
      <c r="BCH125" s="456"/>
      <c r="BCI125" s="456"/>
      <c r="BCJ125" s="456"/>
      <c r="BCK125" s="456"/>
      <c r="BCL125" s="456"/>
      <c r="BCM125" s="456"/>
      <c r="BCN125" s="456"/>
      <c r="BCO125" s="456"/>
      <c r="BCP125" s="456"/>
      <c r="BCQ125" s="456"/>
      <c r="BCR125" s="456"/>
      <c r="BCS125" s="456"/>
      <c r="BCT125" s="456"/>
      <c r="BCU125" s="456"/>
      <c r="BCV125" s="456"/>
      <c r="BCW125" s="456"/>
      <c r="BCX125" s="456"/>
      <c r="BCY125" s="456"/>
      <c r="BCZ125" s="456"/>
      <c r="BDA125" s="456"/>
      <c r="BDB125" s="456"/>
      <c r="BDC125" s="456"/>
      <c r="BDD125" s="456"/>
      <c r="BDE125" s="456"/>
      <c r="BDF125" s="456"/>
      <c r="BDG125" s="456"/>
      <c r="BDH125" s="456"/>
      <c r="BDI125" s="456"/>
      <c r="BDJ125" s="456"/>
      <c r="BDK125" s="456"/>
      <c r="BDL125" s="456"/>
      <c r="BDM125" s="456"/>
      <c r="BDN125" s="456"/>
      <c r="BDO125" s="456"/>
      <c r="BDP125" s="456"/>
      <c r="BDQ125" s="456"/>
      <c r="BDR125" s="456"/>
      <c r="BDS125" s="456"/>
      <c r="BDT125" s="456"/>
      <c r="BDU125" s="456"/>
      <c r="BDV125" s="456"/>
      <c r="BDW125" s="456"/>
      <c r="BDX125" s="456"/>
      <c r="BDY125" s="456"/>
      <c r="BDZ125" s="456"/>
      <c r="BEA125" s="456"/>
      <c r="BEB125" s="456"/>
      <c r="BEC125" s="456"/>
      <c r="BED125" s="456"/>
      <c r="BEE125" s="456"/>
      <c r="BEF125" s="456"/>
      <c r="BEG125" s="456"/>
      <c r="BEH125" s="456"/>
      <c r="BEI125" s="456"/>
      <c r="BEJ125" s="456"/>
      <c r="BEK125" s="456"/>
      <c r="BEL125" s="456"/>
      <c r="BEM125" s="456"/>
      <c r="BEN125" s="456"/>
      <c r="BEO125" s="456"/>
      <c r="BEP125" s="456"/>
      <c r="BEQ125" s="456"/>
      <c r="BER125" s="456"/>
      <c r="BES125" s="456"/>
      <c r="BET125" s="456"/>
      <c r="BEU125" s="456"/>
      <c r="BEV125" s="456"/>
      <c r="BEW125" s="456"/>
      <c r="BEX125" s="456"/>
      <c r="BEY125" s="456"/>
      <c r="BEZ125" s="456"/>
      <c r="BFA125" s="456"/>
      <c r="BFB125" s="456"/>
      <c r="BFC125" s="456"/>
      <c r="BFD125" s="456"/>
      <c r="BFE125" s="456"/>
      <c r="BFF125" s="456"/>
      <c r="BFG125" s="456"/>
      <c r="BFH125" s="456"/>
      <c r="BFI125" s="456"/>
      <c r="BFJ125" s="456"/>
      <c r="BFK125" s="456"/>
      <c r="BFL125" s="456"/>
      <c r="BFM125" s="456"/>
      <c r="BFN125" s="456"/>
      <c r="BFO125" s="456"/>
      <c r="BFP125" s="456"/>
      <c r="BFQ125" s="456"/>
      <c r="BFR125" s="456"/>
      <c r="BFS125" s="456"/>
      <c r="BFT125" s="456"/>
      <c r="BFU125" s="456"/>
      <c r="BFV125" s="456"/>
      <c r="BFW125" s="456"/>
      <c r="BFX125" s="456"/>
      <c r="BFY125" s="456"/>
      <c r="BFZ125" s="456"/>
      <c r="BGA125" s="456"/>
      <c r="BGB125" s="456"/>
      <c r="BGC125" s="456"/>
      <c r="BGD125" s="456"/>
      <c r="BGE125" s="456"/>
      <c r="BGF125" s="456"/>
      <c r="BGG125" s="456"/>
      <c r="BGH125" s="456"/>
      <c r="BGI125" s="456"/>
      <c r="BGJ125" s="456"/>
      <c r="BGK125" s="456"/>
      <c r="BGL125" s="456"/>
      <c r="BGM125" s="456"/>
      <c r="BGN125" s="456"/>
      <c r="BGO125" s="456"/>
      <c r="BGP125" s="456"/>
      <c r="BGQ125" s="456"/>
      <c r="BGR125" s="456"/>
      <c r="BGS125" s="456"/>
      <c r="BGT125" s="456"/>
      <c r="BGU125" s="456"/>
      <c r="BGV125" s="456"/>
      <c r="BGW125" s="456"/>
      <c r="BGX125" s="456"/>
      <c r="BGY125" s="456"/>
      <c r="BGZ125" s="456"/>
      <c r="BHA125" s="456"/>
      <c r="BHB125" s="456"/>
      <c r="BHC125" s="456"/>
      <c r="BHD125" s="456"/>
      <c r="BHE125" s="456"/>
      <c r="BHF125" s="456"/>
      <c r="BHG125" s="456"/>
      <c r="BHH125" s="456"/>
      <c r="BHI125" s="456"/>
      <c r="BHJ125" s="456"/>
      <c r="BHK125" s="456"/>
      <c r="BHL125" s="456"/>
      <c r="BHM125" s="456"/>
      <c r="BHN125" s="456"/>
      <c r="BHO125" s="456"/>
      <c r="BHP125" s="456"/>
      <c r="BHQ125" s="456"/>
      <c r="BHR125" s="456"/>
      <c r="BHS125" s="456"/>
      <c r="BHT125" s="456"/>
      <c r="BHU125" s="456"/>
      <c r="BHV125" s="456"/>
      <c r="BHW125" s="456"/>
      <c r="BHX125" s="456"/>
      <c r="BHY125" s="456"/>
      <c r="BHZ125" s="456"/>
      <c r="BIA125" s="456"/>
      <c r="BIB125" s="456"/>
      <c r="BIC125" s="456"/>
      <c r="BID125" s="456"/>
      <c r="BIE125" s="456"/>
      <c r="BIF125" s="456"/>
      <c r="BIG125" s="456"/>
      <c r="BIH125" s="456"/>
      <c r="BII125" s="456"/>
      <c r="BIJ125" s="456"/>
      <c r="BIK125" s="456"/>
      <c r="BIL125" s="456"/>
      <c r="BIM125" s="456"/>
      <c r="BIN125" s="456"/>
      <c r="BIO125" s="456"/>
      <c r="BIP125" s="456"/>
      <c r="BIQ125" s="456"/>
      <c r="BIR125" s="456"/>
      <c r="BIS125" s="456"/>
      <c r="BIT125" s="456"/>
      <c r="BIU125" s="456"/>
      <c r="BIV125" s="456"/>
      <c r="BIW125" s="456"/>
      <c r="BIX125" s="456"/>
      <c r="BIY125" s="456"/>
      <c r="BIZ125" s="456"/>
      <c r="BJA125" s="456"/>
      <c r="BJB125" s="456"/>
      <c r="BJC125" s="456"/>
      <c r="BJD125" s="456"/>
      <c r="BJE125" s="456"/>
      <c r="BJF125" s="456"/>
      <c r="BJG125" s="456"/>
      <c r="BJH125" s="456"/>
      <c r="BJI125" s="456"/>
      <c r="BJJ125" s="456"/>
      <c r="BJK125" s="456"/>
      <c r="BJL125" s="456"/>
      <c r="BJM125" s="456"/>
      <c r="BJN125" s="456"/>
      <c r="BJO125" s="456"/>
      <c r="BJP125" s="456"/>
      <c r="BJQ125" s="456"/>
      <c r="BJR125" s="456"/>
      <c r="BJS125" s="456"/>
      <c r="BJT125" s="456"/>
      <c r="BJU125" s="456"/>
      <c r="BJV125" s="456"/>
      <c r="BJW125" s="456"/>
      <c r="BJX125" s="456"/>
      <c r="BJY125" s="456"/>
      <c r="BJZ125" s="456"/>
      <c r="BKA125" s="456"/>
      <c r="BKB125" s="456"/>
      <c r="BKC125" s="456"/>
      <c r="BKD125" s="456"/>
      <c r="BKE125" s="456"/>
      <c r="BKF125" s="456"/>
      <c r="BKG125" s="456"/>
      <c r="BKH125" s="456"/>
      <c r="BKI125" s="456"/>
      <c r="BKJ125" s="456"/>
      <c r="BKK125" s="456"/>
      <c r="BKL125" s="456"/>
      <c r="BKM125" s="456"/>
      <c r="BKN125" s="456"/>
      <c r="BKO125" s="456"/>
      <c r="BKP125" s="456"/>
      <c r="BKQ125" s="456"/>
      <c r="BKR125" s="456"/>
      <c r="BKS125" s="456"/>
      <c r="BKT125" s="456"/>
      <c r="BKU125" s="456"/>
      <c r="BKV125" s="456"/>
      <c r="BKW125" s="456"/>
      <c r="BKX125" s="456"/>
      <c r="BKY125" s="456"/>
      <c r="BKZ125" s="456"/>
      <c r="BLA125" s="456"/>
      <c r="BLB125" s="456"/>
      <c r="BLC125" s="456"/>
      <c r="BLD125" s="456"/>
      <c r="BLE125" s="456"/>
      <c r="BLF125" s="456"/>
      <c r="BLG125" s="456"/>
      <c r="BLH125" s="456"/>
      <c r="BLI125" s="456"/>
      <c r="BLJ125" s="456"/>
      <c r="BLK125" s="456"/>
      <c r="BLL125" s="456"/>
      <c r="BLM125" s="456"/>
      <c r="BLN125" s="456"/>
      <c r="BLO125" s="456"/>
      <c r="BLP125" s="456"/>
      <c r="BLQ125" s="456"/>
      <c r="BLR125" s="456"/>
      <c r="BLS125" s="456"/>
      <c r="BLT125" s="456"/>
      <c r="BLU125" s="456"/>
      <c r="BLV125" s="456"/>
      <c r="BLW125" s="456"/>
      <c r="BLX125" s="456"/>
      <c r="BLY125" s="456"/>
      <c r="BLZ125" s="456"/>
      <c r="BMA125" s="456"/>
      <c r="BMB125" s="456"/>
      <c r="BMC125" s="456"/>
      <c r="BMD125" s="456"/>
      <c r="BME125" s="456"/>
      <c r="BMF125" s="456"/>
      <c r="BMG125" s="456"/>
      <c r="BMH125" s="456"/>
      <c r="BMI125" s="456"/>
      <c r="BMJ125" s="456"/>
      <c r="BMK125" s="456"/>
      <c r="BML125" s="456"/>
      <c r="BMM125" s="456"/>
      <c r="BMN125" s="456"/>
      <c r="BMO125" s="456"/>
      <c r="BMP125" s="456"/>
      <c r="BMQ125" s="456"/>
      <c r="BMR125" s="456"/>
      <c r="BMS125" s="456"/>
      <c r="BMT125" s="456"/>
      <c r="BMU125" s="456"/>
      <c r="BMV125" s="456"/>
      <c r="BMW125" s="456"/>
      <c r="BMX125" s="456"/>
      <c r="BMY125" s="456"/>
      <c r="BMZ125" s="456"/>
      <c r="BNA125" s="456"/>
      <c r="BNB125" s="456"/>
      <c r="BNC125" s="456"/>
      <c r="BND125" s="456"/>
      <c r="BNE125" s="456"/>
      <c r="BNF125" s="456"/>
      <c r="BNG125" s="456"/>
      <c r="BNH125" s="456"/>
      <c r="BNI125" s="456"/>
      <c r="BNJ125" s="456"/>
      <c r="BNK125" s="456"/>
      <c r="BNL125" s="456"/>
      <c r="BNM125" s="456"/>
      <c r="BNN125" s="456"/>
      <c r="BNO125" s="456"/>
      <c r="BNP125" s="456"/>
      <c r="BNQ125" s="456"/>
      <c r="BNR125" s="456"/>
      <c r="BNS125" s="456"/>
      <c r="BNT125" s="456"/>
      <c r="BNU125" s="456"/>
      <c r="BNV125" s="456"/>
      <c r="BNW125" s="456"/>
      <c r="BNX125" s="456"/>
      <c r="BNY125" s="456"/>
      <c r="BNZ125" s="456"/>
      <c r="BOA125" s="456"/>
      <c r="BOB125" s="456"/>
      <c r="BOC125" s="456"/>
      <c r="BOD125" s="456"/>
      <c r="BOE125" s="456"/>
      <c r="BOF125" s="456"/>
      <c r="BOG125" s="456"/>
      <c r="BOH125" s="456"/>
      <c r="BOI125" s="456"/>
      <c r="BOJ125" s="456"/>
      <c r="BOK125" s="456"/>
      <c r="BOL125" s="456"/>
      <c r="BOM125" s="456"/>
      <c r="BON125" s="456"/>
      <c r="BOO125" s="456"/>
      <c r="BOP125" s="456"/>
      <c r="BOQ125" s="456"/>
      <c r="BOR125" s="456"/>
      <c r="BOS125" s="456"/>
      <c r="BOT125" s="456"/>
      <c r="BOU125" s="456"/>
      <c r="BOV125" s="456"/>
      <c r="BOW125" s="456"/>
      <c r="BOX125" s="456"/>
      <c r="BOY125" s="456"/>
      <c r="BOZ125" s="456"/>
      <c r="BPA125" s="456"/>
      <c r="BPB125" s="456"/>
      <c r="BPC125" s="456"/>
      <c r="BPD125" s="456"/>
      <c r="BPE125" s="456"/>
      <c r="BPF125" s="456"/>
      <c r="BPG125" s="456"/>
      <c r="BPH125" s="456"/>
      <c r="BPI125" s="456"/>
      <c r="BPJ125" s="456"/>
      <c r="BPK125" s="456"/>
      <c r="BPL125" s="456"/>
      <c r="BPM125" s="456"/>
      <c r="BPN125" s="456"/>
      <c r="BPO125" s="456"/>
      <c r="BPP125" s="456"/>
      <c r="BPQ125" s="456"/>
      <c r="BPR125" s="456"/>
      <c r="BPS125" s="456"/>
      <c r="BPT125" s="456"/>
      <c r="BPU125" s="456"/>
      <c r="BPV125" s="456"/>
      <c r="BPW125" s="456"/>
      <c r="BPX125" s="456"/>
      <c r="BPY125" s="456"/>
      <c r="BPZ125" s="456"/>
      <c r="BQA125" s="456"/>
      <c r="BQB125" s="456"/>
      <c r="BQC125" s="456"/>
      <c r="BQD125" s="456"/>
      <c r="BQE125" s="456"/>
      <c r="BQF125" s="456"/>
      <c r="BQG125" s="456"/>
      <c r="BQH125" s="456"/>
      <c r="BQI125" s="456"/>
      <c r="BQJ125" s="456"/>
      <c r="BQK125" s="456"/>
      <c r="BQL125" s="456"/>
      <c r="BQM125" s="456"/>
      <c r="BQN125" s="456"/>
      <c r="BQO125" s="456"/>
      <c r="BQP125" s="456"/>
      <c r="BQQ125" s="456"/>
      <c r="BQR125" s="456"/>
      <c r="BQS125" s="456"/>
      <c r="BQT125" s="456"/>
      <c r="BQU125" s="456"/>
      <c r="BQV125" s="456"/>
      <c r="BQW125" s="456"/>
      <c r="BQX125" s="456"/>
      <c r="BQY125" s="456"/>
      <c r="BQZ125" s="456"/>
      <c r="BRA125" s="456"/>
      <c r="BRB125" s="456"/>
      <c r="BRC125" s="456"/>
      <c r="BRD125" s="456"/>
      <c r="BRE125" s="456"/>
      <c r="BRF125" s="456"/>
      <c r="BRG125" s="456"/>
      <c r="BRH125" s="456"/>
      <c r="BRI125" s="456"/>
      <c r="BRJ125" s="456"/>
      <c r="BRK125" s="456"/>
      <c r="BRL125" s="456"/>
      <c r="BRM125" s="456"/>
      <c r="BRN125" s="456"/>
      <c r="BRO125" s="456"/>
      <c r="BRP125" s="456"/>
      <c r="BRQ125" s="456"/>
      <c r="BRR125" s="456"/>
      <c r="BRS125" s="456"/>
      <c r="BRT125" s="456"/>
      <c r="BRU125" s="456"/>
      <c r="BRV125" s="456"/>
      <c r="BRW125" s="456"/>
      <c r="BRX125" s="456"/>
      <c r="BRY125" s="456"/>
      <c r="BRZ125" s="456"/>
      <c r="BSA125" s="456"/>
      <c r="BSB125" s="456"/>
      <c r="BSC125" s="456"/>
      <c r="BSD125" s="456"/>
      <c r="BSE125" s="456"/>
      <c r="BSF125" s="456"/>
      <c r="BSG125" s="456"/>
      <c r="BSH125" s="456"/>
      <c r="BSI125" s="456"/>
      <c r="BSJ125" s="456"/>
      <c r="BSK125" s="456"/>
      <c r="BSL125" s="456"/>
      <c r="BSM125" s="456"/>
      <c r="BSN125" s="456"/>
      <c r="BSO125" s="456"/>
      <c r="BSP125" s="456"/>
      <c r="BSQ125" s="456"/>
      <c r="BSR125" s="456"/>
      <c r="BSS125" s="456"/>
      <c r="BST125" s="456"/>
      <c r="BSU125" s="456"/>
      <c r="BSV125" s="456"/>
      <c r="BSW125" s="456"/>
      <c r="BSX125" s="456"/>
      <c r="BSY125" s="456"/>
      <c r="BSZ125" s="456"/>
      <c r="BTA125" s="456"/>
      <c r="BTB125" s="456"/>
      <c r="BTC125" s="456"/>
      <c r="BTD125" s="456"/>
      <c r="BTE125" s="456"/>
      <c r="BTF125" s="456"/>
      <c r="BTG125" s="456"/>
      <c r="BTH125" s="456"/>
      <c r="BTI125" s="456"/>
      <c r="BTJ125" s="456"/>
      <c r="BTK125" s="456"/>
      <c r="BTL125" s="456"/>
      <c r="BTM125" s="456"/>
      <c r="BTN125" s="456"/>
      <c r="BTO125" s="456"/>
      <c r="BTP125" s="456"/>
      <c r="BTQ125" s="456"/>
      <c r="BTR125" s="456"/>
      <c r="BTS125" s="456"/>
      <c r="BTT125" s="456"/>
      <c r="BTU125" s="456"/>
      <c r="BTV125" s="456"/>
      <c r="BTW125" s="456"/>
      <c r="BTX125" s="456"/>
      <c r="BTY125" s="456"/>
      <c r="BTZ125" s="456"/>
      <c r="BUA125" s="456"/>
      <c r="BUB125" s="456"/>
      <c r="BUC125" s="456"/>
      <c r="BUD125" s="456"/>
      <c r="BUE125" s="456"/>
      <c r="BUF125" s="456"/>
      <c r="BUG125" s="456"/>
      <c r="BUH125" s="456"/>
      <c r="BUI125" s="456"/>
      <c r="BUJ125" s="456"/>
      <c r="BUK125" s="456"/>
      <c r="BUL125" s="456"/>
      <c r="BUM125" s="456"/>
      <c r="BUN125" s="456"/>
      <c r="BUO125" s="456"/>
      <c r="BUP125" s="456"/>
      <c r="BUQ125" s="456"/>
      <c r="BUR125" s="456"/>
      <c r="BUS125" s="456"/>
      <c r="BUT125" s="456"/>
      <c r="BUU125" s="456"/>
      <c r="BUV125" s="456"/>
      <c r="BUW125" s="456"/>
      <c r="BUX125" s="456"/>
      <c r="BUY125" s="456"/>
      <c r="BUZ125" s="456"/>
      <c r="BVA125" s="456"/>
      <c r="BVB125" s="456"/>
      <c r="BVC125" s="456"/>
      <c r="BVD125" s="456"/>
      <c r="BVE125" s="456"/>
      <c r="BVF125" s="456"/>
      <c r="BVG125" s="456"/>
      <c r="BVH125" s="456"/>
      <c r="BVI125" s="456"/>
      <c r="BVJ125" s="456"/>
      <c r="BVK125" s="456"/>
      <c r="BVL125" s="456"/>
      <c r="BVM125" s="456"/>
      <c r="BVN125" s="456"/>
      <c r="BVO125" s="456"/>
      <c r="BVP125" s="456"/>
      <c r="BVQ125" s="456"/>
      <c r="BVR125" s="456"/>
      <c r="BVS125" s="456"/>
      <c r="BVT125" s="456"/>
      <c r="BVU125" s="456"/>
      <c r="BVV125" s="456"/>
      <c r="BVW125" s="456"/>
      <c r="BVX125" s="456"/>
      <c r="BVY125" s="456"/>
      <c r="BVZ125" s="456"/>
      <c r="BWA125" s="456"/>
      <c r="BWB125" s="456"/>
      <c r="BWC125" s="456"/>
      <c r="BWD125" s="456"/>
      <c r="BWE125" s="456"/>
      <c r="BWF125" s="456"/>
      <c r="BWG125" s="456"/>
      <c r="BWH125" s="456"/>
      <c r="BWI125" s="456"/>
      <c r="BWJ125" s="456"/>
      <c r="BWK125" s="456"/>
      <c r="BWL125" s="456"/>
      <c r="BWM125" s="456"/>
      <c r="BWN125" s="456"/>
      <c r="BWO125" s="456"/>
      <c r="BWP125" s="456"/>
      <c r="BWQ125" s="456"/>
      <c r="BWR125" s="456"/>
      <c r="BWS125" s="456"/>
      <c r="BWT125" s="456"/>
      <c r="BWU125" s="456"/>
      <c r="BWV125" s="456"/>
      <c r="BWW125" s="456"/>
      <c r="BWX125" s="456"/>
      <c r="BWY125" s="456"/>
      <c r="BWZ125" s="456"/>
      <c r="BXA125" s="456"/>
      <c r="BXB125" s="456"/>
      <c r="BXC125" s="456"/>
      <c r="BXD125" s="456"/>
      <c r="BXE125" s="456"/>
      <c r="BXF125" s="456"/>
      <c r="BXG125" s="456"/>
      <c r="BXH125" s="456"/>
      <c r="BXI125" s="456"/>
      <c r="BXJ125" s="456"/>
      <c r="BXK125" s="456"/>
      <c r="BXL125" s="456"/>
      <c r="BXM125" s="456"/>
      <c r="BXN125" s="456"/>
      <c r="BXO125" s="456"/>
      <c r="BXP125" s="456"/>
      <c r="BXQ125" s="456"/>
      <c r="BXR125" s="456"/>
      <c r="BXS125" s="456"/>
      <c r="BXT125" s="456"/>
      <c r="BXU125" s="456"/>
      <c r="BXV125" s="456"/>
      <c r="BXW125" s="456"/>
      <c r="BXX125" s="456"/>
      <c r="BXY125" s="456"/>
      <c r="BXZ125" s="456"/>
    </row>
    <row r="126" s="25" customFormat="1" ht="15.6" spans="1:1024 1025:2002">
      <c r="A126" s="473"/>
      <c r="B126" s="19">
        <v>1125</v>
      </c>
      <c r="C126" s="183">
        <v>46196</v>
      </c>
      <c r="D126" s="17" t="s">
        <v>52</v>
      </c>
      <c r="E126" s="17" t="s">
        <v>53</v>
      </c>
      <c r="F126" s="17" t="s">
        <v>54</v>
      </c>
      <c r="G126" s="17"/>
      <c r="H126" s="19" t="s">
        <v>55</v>
      </c>
      <c r="I126" s="102" t="s">
        <v>56</v>
      </c>
      <c r="J126" s="17" t="s">
        <v>49</v>
      </c>
      <c r="K126" s="19">
        <v>610</v>
      </c>
      <c r="L126" s="19">
        <v>280</v>
      </c>
      <c r="M126" s="19">
        <v>5800</v>
      </c>
      <c r="N126" s="19" t="s">
        <v>40</v>
      </c>
      <c r="O126" s="19" t="s">
        <v>84</v>
      </c>
      <c r="P126" s="19">
        <f>4550*2</f>
        <v>9100</v>
      </c>
      <c r="Q126" s="19">
        <f>5006+4544</f>
        <v>9550</v>
      </c>
      <c r="R126" s="19">
        <f t="shared" si="9"/>
        <v>-450</v>
      </c>
      <c r="S126" s="311">
        <v>2040</v>
      </c>
      <c r="T126" s="19" t="s">
        <v>42</v>
      </c>
      <c r="U126" s="102" t="s">
        <v>101</v>
      </c>
      <c r="V126" s="186">
        <v>46197</v>
      </c>
      <c r="W126" s="17" t="s">
        <v>58</v>
      </c>
      <c r="X126" s="17"/>
      <c r="Y126" s="68">
        <v>46204</v>
      </c>
      <c r="Z126" s="17" t="s">
        <v>45</v>
      </c>
      <c r="AA126" s="17" t="s">
        <v>59</v>
      </c>
      <c r="AB126" s="17" t="s">
        <v>102</v>
      </c>
      <c r="AC126" s="217">
        <v>46274</v>
      </c>
      <c r="AD126" s="65">
        <v>1861</v>
      </c>
      <c r="AE126" s="17" t="s">
        <v>48</v>
      </c>
      <c r="AF126" s="17" t="s">
        <v>61</v>
      </c>
      <c r="AG126" s="17" t="s">
        <v>103</v>
      </c>
      <c r="AH126" s="456"/>
      <c r="AI126" s="456"/>
      <c r="AJ126" s="456"/>
      <c r="AK126" s="456"/>
      <c r="AL126" s="456"/>
      <c r="AM126" s="456"/>
      <c r="AN126" s="456"/>
      <c r="AO126" s="456"/>
      <c r="AP126" s="456"/>
      <c r="AQ126" s="456"/>
      <c r="AR126" s="456"/>
      <c r="AS126" s="456"/>
      <c r="AT126" s="456"/>
      <c r="AU126" s="456"/>
      <c r="AV126" s="456"/>
      <c r="AW126" s="456"/>
      <c r="AX126" s="456"/>
      <c r="AY126" s="456"/>
      <c r="AZ126" s="456"/>
      <c r="BA126" s="456"/>
      <c r="BB126" s="456"/>
      <c r="BC126" s="456"/>
      <c r="BD126" s="456"/>
      <c r="BE126" s="456"/>
      <c r="BF126" s="456"/>
      <c r="BG126" s="456"/>
      <c r="BH126" s="456"/>
      <c r="BI126" s="456"/>
      <c r="BJ126" s="456"/>
      <c r="BK126" s="456"/>
      <c r="BL126" s="456"/>
      <c r="BM126" s="456"/>
      <c r="BN126" s="456"/>
      <c r="BO126" s="456"/>
      <c r="BP126" s="456"/>
      <c r="BQ126" s="456"/>
      <c r="BR126" s="456"/>
      <c r="BS126" s="456"/>
      <c r="BT126" s="456"/>
      <c r="BU126" s="456"/>
      <c r="BV126" s="456"/>
      <c r="BW126" s="456"/>
      <c r="BX126" s="456"/>
      <c r="BY126" s="456"/>
      <c r="BZ126" s="456"/>
      <c r="CA126" s="456"/>
      <c r="CB126" s="456"/>
      <c r="CC126" s="456"/>
      <c r="CD126" s="456"/>
      <c r="CE126" s="456"/>
      <c r="CF126" s="456"/>
      <c r="CG126" s="456"/>
      <c r="CH126" s="456"/>
      <c r="CI126" s="456"/>
      <c r="CJ126" s="456"/>
      <c r="CK126" s="456"/>
      <c r="CL126" s="456"/>
      <c r="CM126" s="456"/>
      <c r="CN126" s="456"/>
      <c r="CO126" s="456"/>
      <c r="CP126" s="456"/>
      <c r="CQ126" s="456"/>
      <c r="CR126" s="456"/>
      <c r="CS126" s="456"/>
      <c r="CT126" s="456"/>
      <c r="CU126" s="456"/>
      <c r="CV126" s="456"/>
      <c r="CW126" s="456"/>
      <c r="CX126" s="456"/>
      <c r="CY126" s="456"/>
      <c r="CZ126" s="456"/>
      <c r="DA126" s="456"/>
      <c r="DB126" s="456"/>
      <c r="DC126" s="456"/>
      <c r="DD126" s="456"/>
      <c r="DE126" s="456"/>
      <c r="DF126" s="456"/>
      <c r="DG126" s="456"/>
      <c r="DH126" s="456"/>
      <c r="DI126" s="456"/>
      <c r="DJ126" s="456"/>
      <c r="DK126" s="456"/>
      <c r="DL126" s="456"/>
      <c r="DM126" s="456"/>
      <c r="DN126" s="456"/>
      <c r="DO126" s="456"/>
      <c r="DP126" s="456"/>
      <c r="DQ126" s="456"/>
      <c r="DR126" s="456"/>
      <c r="DS126" s="456"/>
      <c r="DT126" s="456"/>
      <c r="DU126" s="456"/>
      <c r="DV126" s="456"/>
      <c r="DW126" s="456"/>
      <c r="DX126" s="456"/>
      <c r="DY126" s="456"/>
      <c r="DZ126" s="456"/>
      <c r="EA126" s="456"/>
      <c r="EB126" s="456"/>
      <c r="EC126" s="456"/>
      <c r="ED126" s="456"/>
      <c r="EE126" s="456"/>
      <c r="EF126" s="456"/>
      <c r="EG126" s="456"/>
      <c r="EH126" s="456"/>
      <c r="EI126" s="456"/>
      <c r="EJ126" s="456"/>
      <c r="EK126" s="456"/>
      <c r="EL126" s="456"/>
      <c r="EM126" s="456"/>
      <c r="EN126" s="456"/>
      <c r="EO126" s="456"/>
      <c r="EP126" s="456"/>
      <c r="EQ126" s="456"/>
      <c r="ER126" s="456"/>
      <c r="ES126" s="456"/>
      <c r="ET126" s="456"/>
      <c r="EU126" s="456"/>
      <c r="EV126" s="456"/>
      <c r="EW126" s="456"/>
      <c r="EX126" s="456"/>
      <c r="EY126" s="456"/>
      <c r="EZ126" s="456"/>
      <c r="FA126" s="456"/>
      <c r="FB126" s="456"/>
      <c r="FC126" s="456"/>
      <c r="FD126" s="456"/>
      <c r="FE126" s="456"/>
      <c r="FF126" s="456"/>
      <c r="FG126" s="456"/>
      <c r="FH126" s="456"/>
      <c r="FI126" s="456"/>
      <c r="FJ126" s="456"/>
      <c r="FK126" s="456"/>
      <c r="FL126" s="456"/>
      <c r="FM126" s="456"/>
      <c r="FN126" s="456"/>
      <c r="FO126" s="456"/>
      <c r="FP126" s="456"/>
      <c r="FQ126" s="456"/>
      <c r="FR126" s="456"/>
      <c r="FS126" s="456"/>
      <c r="FT126" s="456"/>
      <c r="FU126" s="456"/>
      <c r="FV126" s="456"/>
      <c r="FW126" s="456"/>
      <c r="FX126" s="456"/>
      <c r="FY126" s="456"/>
      <c r="FZ126" s="456"/>
      <c r="GA126" s="456"/>
      <c r="GB126" s="456"/>
      <c r="GC126" s="456"/>
      <c r="GD126" s="456"/>
      <c r="GE126" s="456"/>
      <c r="GF126" s="456"/>
      <c r="GG126" s="456"/>
      <c r="GH126" s="456"/>
      <c r="GI126" s="456"/>
      <c r="GJ126" s="456"/>
      <c r="GK126" s="456"/>
      <c r="GL126" s="456"/>
      <c r="GM126" s="456"/>
      <c r="GN126" s="456"/>
      <c r="GO126" s="456"/>
      <c r="GP126" s="456"/>
      <c r="GQ126" s="456"/>
      <c r="GR126" s="456"/>
      <c r="GS126" s="456"/>
      <c r="GT126" s="456"/>
      <c r="GU126" s="456"/>
      <c r="GV126" s="456"/>
      <c r="GW126" s="456"/>
      <c r="GX126" s="456"/>
      <c r="GY126" s="456"/>
      <c r="GZ126" s="456"/>
      <c r="HA126" s="456"/>
      <c r="HB126" s="456"/>
      <c r="HC126" s="456"/>
      <c r="HD126" s="456"/>
      <c r="HE126" s="456"/>
      <c r="HF126" s="456"/>
      <c r="HG126" s="456"/>
      <c r="HH126" s="456"/>
      <c r="HI126" s="456"/>
      <c r="HJ126" s="456"/>
      <c r="HK126" s="456"/>
      <c r="HL126" s="456"/>
      <c r="HM126" s="456"/>
      <c r="HN126" s="456"/>
      <c r="HO126" s="456"/>
      <c r="HP126" s="456"/>
      <c r="HQ126" s="456"/>
      <c r="HR126" s="456"/>
      <c r="HS126" s="456"/>
      <c r="HT126" s="456"/>
      <c r="HU126" s="456"/>
      <c r="HV126" s="456"/>
      <c r="HW126" s="456"/>
      <c r="HX126" s="456"/>
      <c r="HY126" s="456"/>
      <c r="HZ126" s="456"/>
      <c r="IA126" s="456"/>
      <c r="IB126" s="456"/>
      <c r="IC126" s="456"/>
      <c r="ID126" s="456"/>
      <c r="IE126" s="456"/>
      <c r="IF126" s="456"/>
      <c r="IG126" s="456"/>
      <c r="IH126" s="456"/>
      <c r="II126" s="456"/>
      <c r="IJ126" s="456"/>
      <c r="IK126" s="456"/>
      <c r="IL126" s="456"/>
      <c r="IM126" s="456"/>
      <c r="IN126" s="456"/>
      <c r="IO126" s="456"/>
      <c r="IP126" s="456"/>
      <c r="IQ126" s="456"/>
      <c r="IR126" s="456"/>
      <c r="IS126" s="456"/>
      <c r="IT126" s="456"/>
      <c r="IU126" s="456"/>
      <c r="IV126" s="456"/>
      <c r="IW126" s="456"/>
      <c r="IX126" s="456"/>
      <c r="IY126" s="456"/>
      <c r="IZ126" s="456"/>
      <c r="JA126" s="456"/>
      <c r="JB126" s="456"/>
      <c r="JC126" s="456"/>
      <c r="JD126" s="456"/>
      <c r="JE126" s="456"/>
      <c r="JF126" s="456"/>
      <c r="JG126" s="456"/>
      <c r="JH126" s="456"/>
      <c r="JI126" s="456"/>
      <c r="JJ126" s="456"/>
      <c r="JK126" s="456"/>
      <c r="JL126" s="456"/>
      <c r="JM126" s="456"/>
      <c r="JN126" s="456"/>
      <c r="JO126" s="456"/>
      <c r="JP126" s="456"/>
      <c r="JQ126" s="456"/>
      <c r="JR126" s="456"/>
      <c r="JS126" s="456"/>
      <c r="JT126" s="456"/>
      <c r="JU126" s="456"/>
      <c r="JV126" s="456"/>
      <c r="JW126" s="456"/>
      <c r="JX126" s="456"/>
      <c r="JY126" s="456"/>
      <c r="JZ126" s="456"/>
      <c r="KA126" s="456"/>
      <c r="KB126" s="456"/>
      <c r="KC126" s="456"/>
      <c r="KD126" s="456"/>
      <c r="KE126" s="456"/>
      <c r="KF126" s="456"/>
      <c r="KG126" s="456"/>
      <c r="KH126" s="456"/>
      <c r="KI126" s="456"/>
      <c r="KJ126" s="456"/>
      <c r="KK126" s="456"/>
      <c r="KL126" s="456"/>
      <c r="KM126" s="456"/>
      <c r="KN126" s="456"/>
      <c r="KO126" s="456"/>
      <c r="KP126" s="456"/>
      <c r="KQ126" s="456"/>
      <c r="KR126" s="456"/>
      <c r="KS126" s="456"/>
      <c r="KT126" s="456"/>
      <c r="KU126" s="456"/>
      <c r="KV126" s="456"/>
      <c r="KW126" s="456"/>
      <c r="KX126" s="456"/>
      <c r="KY126" s="456"/>
      <c r="KZ126" s="456"/>
      <c r="LA126" s="456"/>
      <c r="LB126" s="456"/>
      <c r="LC126" s="456"/>
      <c r="LD126" s="456"/>
      <c r="LE126" s="456"/>
      <c r="LF126" s="456"/>
      <c r="LG126" s="456"/>
      <c r="LH126" s="456"/>
      <c r="LI126" s="456"/>
      <c r="LJ126" s="456"/>
      <c r="LK126" s="456"/>
      <c r="LL126" s="456"/>
      <c r="LM126" s="456"/>
      <c r="LN126" s="456"/>
      <c r="LO126" s="456"/>
      <c r="LP126" s="456"/>
      <c r="LQ126" s="456"/>
      <c r="LR126" s="456"/>
      <c r="LS126" s="456"/>
      <c r="LT126" s="456"/>
      <c r="LU126" s="456"/>
      <c r="LV126" s="456"/>
      <c r="LW126" s="456"/>
      <c r="LX126" s="456"/>
      <c r="LY126" s="456"/>
      <c r="LZ126" s="456"/>
      <c r="MA126" s="456"/>
      <c r="MB126" s="456"/>
      <c r="MC126" s="456"/>
      <c r="MD126" s="456"/>
      <c r="ME126" s="456"/>
      <c r="MF126" s="456"/>
      <c r="MG126" s="456"/>
      <c r="MH126" s="456"/>
      <c r="MI126" s="456"/>
      <c r="MJ126" s="456"/>
      <c r="MK126" s="456"/>
      <c r="ML126" s="456"/>
      <c r="MM126" s="456"/>
      <c r="MN126" s="456"/>
      <c r="MO126" s="456"/>
      <c r="MP126" s="456"/>
      <c r="MQ126" s="456"/>
      <c r="MR126" s="456"/>
      <c r="MS126" s="456"/>
      <c r="MT126" s="456"/>
      <c r="MU126" s="456"/>
      <c r="MV126" s="456"/>
      <c r="MW126" s="456"/>
      <c r="MX126" s="456"/>
      <c r="MY126" s="456"/>
      <c r="MZ126" s="456"/>
      <c r="NA126" s="456"/>
      <c r="NB126" s="456"/>
      <c r="NC126" s="456"/>
      <c r="ND126" s="456"/>
      <c r="NE126" s="456"/>
      <c r="NF126" s="456"/>
      <c r="NG126" s="456"/>
      <c r="NH126" s="456"/>
      <c r="NI126" s="456"/>
      <c r="NJ126" s="456"/>
      <c r="NK126" s="456"/>
      <c r="NL126" s="456"/>
      <c r="NM126" s="456"/>
      <c r="NN126" s="456"/>
      <c r="NO126" s="456"/>
      <c r="NP126" s="456"/>
      <c r="NQ126" s="456"/>
      <c r="NR126" s="456"/>
      <c r="NS126" s="456"/>
      <c r="NT126" s="456"/>
      <c r="NU126" s="456"/>
      <c r="NV126" s="456"/>
      <c r="NW126" s="456"/>
      <c r="NX126" s="456"/>
      <c r="NY126" s="456"/>
      <c r="NZ126" s="456"/>
      <c r="OA126" s="456"/>
      <c r="OB126" s="456"/>
      <c r="OC126" s="456"/>
      <c r="OD126" s="456"/>
      <c r="OE126" s="456"/>
      <c r="OF126" s="456"/>
      <c r="OG126" s="456"/>
      <c r="OH126" s="456"/>
      <c r="OI126" s="456"/>
      <c r="OJ126" s="456"/>
      <c r="OK126" s="456"/>
      <c r="OL126" s="456"/>
      <c r="OM126" s="456"/>
      <c r="ON126" s="456"/>
      <c r="OO126" s="456"/>
      <c r="OP126" s="456"/>
      <c r="OQ126" s="456"/>
      <c r="OR126" s="456"/>
      <c r="OS126" s="456"/>
      <c r="OT126" s="456"/>
      <c r="OU126" s="456"/>
      <c r="OV126" s="456"/>
      <c r="OW126" s="456"/>
      <c r="OX126" s="456"/>
      <c r="OY126" s="456"/>
      <c r="OZ126" s="456"/>
      <c r="PA126" s="456"/>
      <c r="PB126" s="456"/>
      <c r="PC126" s="456"/>
      <c r="PD126" s="456"/>
      <c r="PE126" s="456"/>
      <c r="PF126" s="456"/>
      <c r="PG126" s="456"/>
      <c r="PH126" s="456"/>
      <c r="PI126" s="456"/>
      <c r="PJ126" s="456"/>
      <c r="PK126" s="456"/>
      <c r="PL126" s="456"/>
      <c r="PM126" s="456"/>
      <c r="PN126" s="456"/>
      <c r="PO126" s="456"/>
      <c r="PP126" s="456"/>
      <c r="PQ126" s="456"/>
      <c r="PR126" s="456"/>
      <c r="PS126" s="456"/>
      <c r="PT126" s="456"/>
      <c r="PU126" s="456"/>
      <c r="PV126" s="456"/>
      <c r="PW126" s="456"/>
      <c r="PX126" s="456"/>
      <c r="PY126" s="456"/>
      <c r="PZ126" s="456"/>
      <c r="QA126" s="456"/>
      <c r="QB126" s="456"/>
      <c r="QC126" s="456"/>
      <c r="QD126" s="456"/>
      <c r="QE126" s="456"/>
      <c r="QF126" s="456"/>
      <c r="QG126" s="456"/>
      <c r="QH126" s="456"/>
      <c r="QI126" s="456"/>
      <c r="QJ126" s="456"/>
      <c r="QK126" s="456"/>
      <c r="QL126" s="456"/>
      <c r="QM126" s="456"/>
      <c r="QN126" s="456"/>
      <c r="QO126" s="456"/>
      <c r="QP126" s="456"/>
      <c r="QQ126" s="456"/>
      <c r="QR126" s="456"/>
      <c r="QS126" s="456"/>
      <c r="QT126" s="456"/>
      <c r="QU126" s="456"/>
      <c r="QV126" s="456"/>
      <c r="QW126" s="456"/>
      <c r="QX126" s="456"/>
      <c r="QY126" s="456"/>
      <c r="QZ126" s="456"/>
      <c r="RA126" s="456"/>
      <c r="RB126" s="456"/>
      <c r="RC126" s="456"/>
      <c r="RD126" s="456"/>
      <c r="RE126" s="456"/>
      <c r="RF126" s="456"/>
      <c r="RG126" s="456"/>
      <c r="RH126" s="456"/>
      <c r="RI126" s="456"/>
      <c r="RJ126" s="456"/>
      <c r="RK126" s="456"/>
      <c r="RL126" s="456"/>
      <c r="RM126" s="456"/>
      <c r="RN126" s="456"/>
      <c r="RO126" s="456"/>
      <c r="RP126" s="456"/>
      <c r="RQ126" s="456"/>
      <c r="RR126" s="456"/>
      <c r="RS126" s="456"/>
      <c r="RT126" s="456"/>
      <c r="RU126" s="456"/>
      <c r="RV126" s="456"/>
      <c r="RW126" s="456"/>
      <c r="RX126" s="456"/>
      <c r="RY126" s="456"/>
      <c r="RZ126" s="456"/>
      <c r="SA126" s="456"/>
      <c r="SB126" s="456"/>
      <c r="SC126" s="456"/>
      <c r="SD126" s="456"/>
      <c r="SE126" s="456"/>
      <c r="SF126" s="456"/>
      <c r="SG126" s="456"/>
      <c r="SH126" s="456"/>
      <c r="SI126" s="456"/>
      <c r="SJ126" s="456"/>
      <c r="SK126" s="456"/>
      <c r="SL126" s="456"/>
      <c r="SM126" s="456"/>
      <c r="SN126" s="456"/>
      <c r="SO126" s="456"/>
      <c r="SP126" s="456"/>
      <c r="SQ126" s="456"/>
      <c r="SR126" s="456"/>
      <c r="SS126" s="456"/>
      <c r="ST126" s="456"/>
      <c r="SU126" s="456"/>
      <c r="SV126" s="456"/>
      <c r="SW126" s="456"/>
      <c r="SX126" s="456"/>
      <c r="SY126" s="456"/>
      <c r="SZ126" s="456"/>
      <c r="TA126" s="456"/>
      <c r="TB126" s="456"/>
      <c r="TC126" s="456"/>
      <c r="TD126" s="456"/>
      <c r="TE126" s="456"/>
      <c r="TF126" s="456"/>
      <c r="TG126" s="456"/>
      <c r="TH126" s="456"/>
      <c r="TI126" s="456"/>
      <c r="TJ126" s="456"/>
      <c r="TK126" s="456"/>
      <c r="TL126" s="456"/>
      <c r="TM126" s="456"/>
      <c r="TN126" s="456"/>
      <c r="TO126" s="456"/>
      <c r="TP126" s="456"/>
      <c r="TQ126" s="456"/>
      <c r="TR126" s="456"/>
      <c r="TS126" s="456"/>
      <c r="TT126" s="456"/>
      <c r="TU126" s="456"/>
      <c r="TV126" s="456"/>
      <c r="TW126" s="456"/>
      <c r="TX126" s="456"/>
      <c r="TY126" s="456"/>
      <c r="TZ126" s="456"/>
      <c r="UA126" s="456"/>
      <c r="UB126" s="456"/>
      <c r="UC126" s="456"/>
      <c r="UD126" s="456"/>
      <c r="UE126" s="456"/>
      <c r="UF126" s="456"/>
      <c r="UG126" s="456"/>
      <c r="UH126" s="456"/>
      <c r="UI126" s="456"/>
      <c r="UJ126" s="456"/>
      <c r="UK126" s="456"/>
      <c r="UL126" s="456"/>
      <c r="UM126" s="456"/>
      <c r="UN126" s="456"/>
      <c r="UO126" s="456"/>
      <c r="UP126" s="456"/>
      <c r="UQ126" s="456"/>
      <c r="UR126" s="456"/>
      <c r="US126" s="456"/>
      <c r="UT126" s="456"/>
      <c r="UU126" s="456"/>
      <c r="UV126" s="456"/>
      <c r="UW126" s="456"/>
      <c r="UX126" s="456"/>
      <c r="UY126" s="456"/>
      <c r="UZ126" s="456"/>
      <c r="VA126" s="456"/>
      <c r="VB126" s="456"/>
      <c r="VC126" s="456"/>
      <c r="VD126" s="456"/>
      <c r="VE126" s="456"/>
      <c r="VF126" s="456"/>
      <c r="VG126" s="456"/>
      <c r="VH126" s="456"/>
      <c r="VI126" s="456"/>
      <c r="VJ126" s="456"/>
      <c r="VK126" s="456"/>
      <c r="VL126" s="456"/>
      <c r="VM126" s="456"/>
      <c r="VN126" s="456"/>
      <c r="VO126" s="456"/>
      <c r="VP126" s="456"/>
      <c r="VQ126" s="456"/>
      <c r="VR126" s="456"/>
      <c r="VS126" s="456"/>
      <c r="VT126" s="456"/>
      <c r="VU126" s="456"/>
      <c r="VV126" s="456"/>
      <c r="VW126" s="456"/>
      <c r="VX126" s="456"/>
      <c r="VY126" s="456"/>
      <c r="VZ126" s="456"/>
      <c r="WA126" s="456"/>
      <c r="WB126" s="456"/>
      <c r="WC126" s="456"/>
      <c r="WD126" s="456"/>
      <c r="WE126" s="456"/>
      <c r="WF126" s="456"/>
      <c r="WG126" s="456"/>
      <c r="WH126" s="456"/>
      <c r="WI126" s="456"/>
      <c r="WJ126" s="456"/>
      <c r="WK126" s="456"/>
      <c r="WL126" s="456"/>
      <c r="WM126" s="456"/>
      <c r="WN126" s="456"/>
      <c r="WO126" s="456"/>
      <c r="WP126" s="456"/>
      <c r="WQ126" s="456"/>
      <c r="WR126" s="456"/>
      <c r="WS126" s="456"/>
      <c r="WT126" s="456"/>
      <c r="WU126" s="456"/>
      <c r="WV126" s="456"/>
      <c r="WW126" s="456"/>
      <c r="WX126" s="456"/>
      <c r="WY126" s="456"/>
      <c r="WZ126" s="456"/>
      <c r="XA126" s="456"/>
      <c r="XB126" s="456"/>
      <c r="XC126" s="456"/>
      <c r="XD126" s="456"/>
      <c r="XE126" s="456"/>
      <c r="XF126" s="456"/>
      <c r="XG126" s="456"/>
      <c r="XH126" s="456"/>
      <c r="XI126" s="456"/>
      <c r="XJ126" s="456"/>
      <c r="XK126" s="456"/>
      <c r="XL126" s="456"/>
      <c r="XM126" s="456"/>
      <c r="XN126" s="456"/>
      <c r="XO126" s="456"/>
      <c r="XP126" s="456"/>
      <c r="XQ126" s="456"/>
      <c r="XR126" s="456"/>
      <c r="XS126" s="456"/>
      <c r="XT126" s="456"/>
      <c r="XU126" s="456"/>
      <c r="XV126" s="456"/>
      <c r="XW126" s="456"/>
      <c r="XX126" s="456"/>
      <c r="XY126" s="456"/>
      <c r="XZ126" s="456"/>
      <c r="YA126" s="456"/>
      <c r="YB126" s="456"/>
      <c r="YC126" s="456"/>
      <c r="YD126" s="456"/>
      <c r="YE126" s="456"/>
      <c r="YF126" s="456"/>
      <c r="YG126" s="456"/>
      <c r="YH126" s="456"/>
      <c r="YI126" s="456"/>
      <c r="YJ126" s="456"/>
      <c r="YK126" s="456"/>
      <c r="YL126" s="456"/>
      <c r="YM126" s="456"/>
      <c r="YN126" s="456"/>
      <c r="YO126" s="456"/>
      <c r="YP126" s="456"/>
      <c r="YQ126" s="456"/>
      <c r="YR126" s="456"/>
      <c r="YS126" s="456"/>
      <c r="YT126" s="456"/>
      <c r="YU126" s="456"/>
      <c r="YV126" s="456"/>
      <c r="YW126" s="456"/>
      <c r="YX126" s="456"/>
      <c r="YY126" s="456"/>
      <c r="YZ126" s="456"/>
      <c r="ZA126" s="456"/>
      <c r="ZB126" s="456"/>
      <c r="ZC126" s="456"/>
      <c r="ZD126" s="456"/>
      <c r="ZE126" s="456"/>
      <c r="ZF126" s="456"/>
      <c r="ZG126" s="456"/>
      <c r="ZH126" s="456"/>
      <c r="ZI126" s="456"/>
      <c r="ZJ126" s="456"/>
      <c r="ZK126" s="456"/>
      <c r="ZL126" s="456"/>
      <c r="ZM126" s="456"/>
      <c r="ZN126" s="456"/>
      <c r="ZO126" s="456"/>
      <c r="ZP126" s="456"/>
      <c r="ZQ126" s="456"/>
      <c r="ZR126" s="456"/>
      <c r="ZS126" s="456"/>
      <c r="ZT126" s="456"/>
      <c r="ZU126" s="456"/>
      <c r="ZV126" s="456"/>
      <c r="ZW126" s="456"/>
      <c r="ZX126" s="456"/>
      <c r="ZY126" s="456"/>
      <c r="ZZ126" s="456"/>
      <c r="AAA126" s="456"/>
      <c r="AAB126" s="456"/>
      <c r="AAC126" s="456"/>
      <c r="AAD126" s="456"/>
      <c r="AAE126" s="456"/>
      <c r="AAF126" s="456"/>
      <c r="AAG126" s="456"/>
      <c r="AAH126" s="456"/>
      <c r="AAI126" s="456"/>
      <c r="AAJ126" s="456"/>
      <c r="AAK126" s="456"/>
      <c r="AAL126" s="456"/>
      <c r="AAM126" s="456"/>
      <c r="AAN126" s="456"/>
      <c r="AAO126" s="456"/>
      <c r="AAP126" s="456"/>
      <c r="AAQ126" s="456"/>
      <c r="AAR126" s="456"/>
      <c r="AAS126" s="456"/>
      <c r="AAT126" s="456"/>
      <c r="AAU126" s="456"/>
      <c r="AAV126" s="456"/>
      <c r="AAW126" s="456"/>
      <c r="AAX126" s="456"/>
      <c r="AAY126" s="456"/>
      <c r="AAZ126" s="456"/>
      <c r="ABA126" s="456"/>
      <c r="ABB126" s="456"/>
      <c r="ABC126" s="456"/>
      <c r="ABD126" s="456"/>
      <c r="ABE126" s="456"/>
      <c r="ABF126" s="456"/>
      <c r="ABG126" s="456"/>
      <c r="ABH126" s="456"/>
      <c r="ABI126" s="456"/>
      <c r="ABJ126" s="456"/>
      <c r="ABK126" s="456"/>
      <c r="ABL126" s="456"/>
      <c r="ABM126" s="456"/>
      <c r="ABN126" s="456"/>
      <c r="ABO126" s="456"/>
      <c r="ABP126" s="456"/>
      <c r="ABQ126" s="456"/>
      <c r="ABR126" s="456"/>
      <c r="ABS126" s="456"/>
      <c r="ABT126" s="456"/>
      <c r="ABU126" s="456"/>
      <c r="ABV126" s="456"/>
      <c r="ABW126" s="456"/>
      <c r="ABX126" s="456"/>
      <c r="ABY126" s="456"/>
      <c r="ABZ126" s="456"/>
      <c r="ACA126" s="456"/>
      <c r="ACB126" s="456"/>
      <c r="ACC126" s="456"/>
      <c r="ACD126" s="456"/>
      <c r="ACE126" s="456"/>
      <c r="ACF126" s="456"/>
      <c r="ACG126" s="456"/>
      <c r="ACH126" s="456"/>
      <c r="ACI126" s="456"/>
      <c r="ACJ126" s="456"/>
      <c r="ACK126" s="456"/>
      <c r="ACL126" s="456"/>
      <c r="ACM126" s="456"/>
      <c r="ACN126" s="456"/>
      <c r="ACO126" s="456"/>
      <c r="ACP126" s="456"/>
      <c r="ACQ126" s="456"/>
      <c r="ACR126" s="456"/>
      <c r="ACS126" s="456"/>
      <c r="ACT126" s="456"/>
      <c r="ACU126" s="456"/>
      <c r="ACV126" s="456"/>
      <c r="ACW126" s="456"/>
      <c r="ACX126" s="456"/>
      <c r="ACY126" s="456"/>
      <c r="ACZ126" s="456"/>
      <c r="ADA126" s="456"/>
      <c r="ADB126" s="456"/>
      <c r="ADC126" s="456"/>
      <c r="ADD126" s="456"/>
      <c r="ADE126" s="456"/>
      <c r="ADF126" s="456"/>
      <c r="ADG126" s="456"/>
      <c r="ADH126" s="456"/>
      <c r="ADI126" s="456"/>
      <c r="ADJ126" s="456"/>
      <c r="ADK126" s="456"/>
      <c r="ADL126" s="456"/>
      <c r="ADM126" s="456"/>
      <c r="ADN126" s="456"/>
      <c r="ADO126" s="456"/>
      <c r="ADP126" s="456"/>
      <c r="ADQ126" s="456"/>
      <c r="ADR126" s="456"/>
      <c r="ADS126" s="456"/>
      <c r="ADT126" s="456"/>
      <c r="ADU126" s="456"/>
      <c r="ADV126" s="456"/>
      <c r="ADW126" s="456"/>
      <c r="ADX126" s="456"/>
      <c r="ADY126" s="456"/>
      <c r="ADZ126" s="456"/>
      <c r="AEA126" s="456"/>
      <c r="AEB126" s="456"/>
      <c r="AEC126" s="456"/>
      <c r="AED126" s="456"/>
      <c r="AEE126" s="456"/>
      <c r="AEF126" s="456"/>
      <c r="AEG126" s="456"/>
      <c r="AEH126" s="456"/>
      <c r="AEI126" s="456"/>
      <c r="AEJ126" s="456"/>
      <c r="AEK126" s="456"/>
      <c r="AEL126" s="456"/>
      <c r="AEM126" s="456"/>
      <c r="AEN126" s="456"/>
      <c r="AEO126" s="456"/>
      <c r="AEP126" s="456"/>
      <c r="AEQ126" s="456"/>
      <c r="AER126" s="456"/>
      <c r="AES126" s="456"/>
      <c r="AET126" s="456"/>
      <c r="AEU126" s="456"/>
      <c r="AEV126" s="456"/>
      <c r="AEW126" s="456"/>
      <c r="AEX126" s="456"/>
      <c r="AEY126" s="456"/>
      <c r="AEZ126" s="456"/>
      <c r="AFA126" s="456"/>
      <c r="AFB126" s="456"/>
      <c r="AFC126" s="456"/>
      <c r="AFD126" s="456"/>
      <c r="AFE126" s="456"/>
      <c r="AFF126" s="456"/>
      <c r="AFG126" s="456"/>
      <c r="AFH126" s="456"/>
      <c r="AFI126" s="456"/>
      <c r="AFJ126" s="456"/>
      <c r="AFK126" s="456"/>
      <c r="AFL126" s="456"/>
      <c r="AFM126" s="456"/>
      <c r="AFN126" s="456"/>
      <c r="AFO126" s="456"/>
      <c r="AFP126" s="456"/>
      <c r="AFQ126" s="456"/>
      <c r="AFR126" s="456"/>
      <c r="AFS126" s="456"/>
      <c r="AFT126" s="456"/>
      <c r="AFU126" s="456"/>
      <c r="AFV126" s="456"/>
      <c r="AFW126" s="456"/>
      <c r="AFX126" s="456"/>
      <c r="AFY126" s="456"/>
      <c r="AFZ126" s="456"/>
      <c r="AGA126" s="456"/>
      <c r="AGB126" s="456"/>
      <c r="AGC126" s="456"/>
      <c r="AGD126" s="456"/>
      <c r="AGE126" s="456"/>
      <c r="AGF126" s="456"/>
      <c r="AGG126" s="456"/>
      <c r="AGH126" s="456"/>
      <c r="AGI126" s="456"/>
      <c r="AGJ126" s="456"/>
      <c r="AGK126" s="456"/>
      <c r="AGL126" s="456"/>
      <c r="AGM126" s="456"/>
      <c r="AGN126" s="456"/>
      <c r="AGO126" s="456"/>
      <c r="AGP126" s="456"/>
      <c r="AGQ126" s="456"/>
      <c r="AGR126" s="456"/>
      <c r="AGS126" s="456"/>
      <c r="AGT126" s="456"/>
      <c r="AGU126" s="456"/>
      <c r="AGV126" s="456"/>
      <c r="AGW126" s="456"/>
      <c r="AGX126" s="456"/>
      <c r="AGY126" s="456"/>
      <c r="AGZ126" s="456"/>
      <c r="AHA126" s="456"/>
      <c r="AHB126" s="456"/>
      <c r="AHC126" s="456"/>
      <c r="AHD126" s="456"/>
      <c r="AHE126" s="456"/>
      <c r="AHF126" s="456"/>
      <c r="AHG126" s="456"/>
      <c r="AHH126" s="456"/>
      <c r="AHI126" s="456"/>
      <c r="AHJ126" s="456"/>
      <c r="AHK126" s="456"/>
      <c r="AHL126" s="456"/>
      <c r="AHM126" s="456"/>
      <c r="AHN126" s="456"/>
      <c r="AHO126" s="456"/>
      <c r="AHP126" s="456"/>
      <c r="AHQ126" s="456"/>
      <c r="AHR126" s="456"/>
      <c r="AHS126" s="456"/>
      <c r="AHT126" s="456"/>
      <c r="AHU126" s="456"/>
      <c r="AHV126" s="456"/>
      <c r="AHW126" s="456"/>
      <c r="AHX126" s="456"/>
      <c r="AHY126" s="456"/>
      <c r="AHZ126" s="456"/>
      <c r="AIA126" s="456"/>
      <c r="AIB126" s="456"/>
      <c r="AIC126" s="456"/>
      <c r="AID126" s="456"/>
      <c r="AIE126" s="456"/>
      <c r="AIF126" s="456"/>
      <c r="AIG126" s="456"/>
      <c r="AIH126" s="456"/>
      <c r="AII126" s="456"/>
      <c r="AIJ126" s="456"/>
      <c r="AIK126" s="456"/>
      <c r="AIL126" s="456"/>
      <c r="AIM126" s="456"/>
      <c r="AIN126" s="456"/>
      <c r="AIO126" s="456"/>
      <c r="AIP126" s="456"/>
      <c r="AIQ126" s="456"/>
      <c r="AIR126" s="456"/>
      <c r="AIS126" s="456"/>
      <c r="AIT126" s="456"/>
      <c r="AIU126" s="456"/>
      <c r="AIV126" s="456"/>
      <c r="AIW126" s="456"/>
      <c r="AIX126" s="456"/>
      <c r="AIY126" s="456"/>
      <c r="AIZ126" s="456"/>
      <c r="AJA126" s="456"/>
      <c r="AJB126" s="456"/>
      <c r="AJC126" s="456"/>
      <c r="AJD126" s="456"/>
      <c r="AJE126" s="456"/>
      <c r="AJF126" s="456"/>
      <c r="AJG126" s="456"/>
      <c r="AJH126" s="456"/>
      <c r="AJI126" s="456"/>
      <c r="AJJ126" s="456"/>
      <c r="AJK126" s="456"/>
      <c r="AJL126" s="456"/>
      <c r="AJM126" s="456"/>
      <c r="AJN126" s="456"/>
      <c r="AJO126" s="456"/>
      <c r="AJP126" s="456"/>
      <c r="AJQ126" s="456"/>
      <c r="AJR126" s="456"/>
      <c r="AJS126" s="456"/>
      <c r="AJT126" s="456"/>
      <c r="AJU126" s="456"/>
      <c r="AJV126" s="456"/>
      <c r="AJW126" s="456"/>
      <c r="AJX126" s="456"/>
      <c r="AJY126" s="456"/>
      <c r="AJZ126" s="456"/>
      <c r="AKA126" s="456"/>
      <c r="AKB126" s="456"/>
      <c r="AKC126" s="456"/>
      <c r="AKD126" s="456"/>
      <c r="AKE126" s="456"/>
      <c r="AKF126" s="456"/>
      <c r="AKG126" s="456"/>
      <c r="AKH126" s="456"/>
      <c r="AKI126" s="456"/>
      <c r="AKJ126" s="456"/>
      <c r="AKK126" s="456"/>
      <c r="AKL126" s="456"/>
      <c r="AKM126" s="456"/>
      <c r="AKN126" s="456"/>
      <c r="AKO126" s="456"/>
      <c r="AKP126" s="456"/>
      <c r="AKQ126" s="456"/>
      <c r="AKR126" s="456"/>
      <c r="AKS126" s="456"/>
      <c r="AKT126" s="456"/>
      <c r="AKU126" s="456"/>
      <c r="AKV126" s="456"/>
      <c r="AKW126" s="456"/>
      <c r="AKX126" s="456"/>
      <c r="AKY126" s="456"/>
      <c r="AKZ126" s="456"/>
      <c r="ALA126" s="456"/>
      <c r="ALB126" s="456"/>
      <c r="ALC126" s="456"/>
      <c r="ALD126" s="456"/>
      <c r="ALE126" s="456"/>
      <c r="ALF126" s="456"/>
      <c r="ALG126" s="456"/>
      <c r="ALH126" s="456"/>
      <c r="ALI126" s="456"/>
      <c r="ALJ126" s="456"/>
      <c r="ALK126" s="456"/>
      <c r="ALL126" s="456"/>
      <c r="ALM126" s="456"/>
      <c r="ALN126" s="456"/>
      <c r="ALO126" s="456"/>
      <c r="ALP126" s="456"/>
      <c r="ALQ126" s="456"/>
      <c r="ALR126" s="456"/>
      <c r="ALS126" s="456"/>
      <c r="ALT126" s="456"/>
      <c r="ALU126" s="456"/>
      <c r="ALV126" s="456"/>
      <c r="ALW126" s="456"/>
      <c r="ALX126" s="456"/>
      <c r="ALY126" s="456"/>
      <c r="ALZ126" s="456"/>
      <c r="AMA126" s="456"/>
      <c r="AMB126" s="456"/>
      <c r="AMC126" s="456"/>
      <c r="AMD126" s="456"/>
      <c r="AME126" s="456"/>
      <c r="AMF126" s="456"/>
      <c r="AMG126" s="456"/>
      <c r="AMH126" s="456"/>
      <c r="AMI126" s="456"/>
      <c r="AMJ126" s="456"/>
      <c r="AMK126" s="456"/>
      <c r="AML126" s="456"/>
      <c r="AMM126" s="456"/>
      <c r="AMN126" s="456"/>
      <c r="AMO126" s="456"/>
      <c r="AMP126" s="456"/>
      <c r="AMQ126" s="456"/>
      <c r="AMR126" s="456"/>
      <c r="AMS126" s="456"/>
      <c r="AMT126" s="456"/>
      <c r="AMU126" s="456"/>
      <c r="AMV126" s="456"/>
      <c r="AMW126" s="456"/>
      <c r="AMX126" s="456"/>
      <c r="AMY126" s="456"/>
      <c r="AMZ126" s="456"/>
      <c r="ANA126" s="456"/>
      <c r="ANB126" s="456"/>
      <c r="ANC126" s="456"/>
      <c r="AND126" s="456"/>
      <c r="ANE126" s="456"/>
      <c r="ANF126" s="456"/>
      <c r="ANG126" s="456"/>
      <c r="ANH126" s="456"/>
      <c r="ANI126" s="456"/>
      <c r="ANJ126" s="456"/>
      <c r="ANK126" s="456"/>
      <c r="ANL126" s="456"/>
      <c r="ANM126" s="456"/>
      <c r="ANN126" s="456"/>
      <c r="ANO126" s="456"/>
      <c r="ANP126" s="456"/>
      <c r="ANQ126" s="456"/>
      <c r="ANR126" s="456"/>
      <c r="ANS126" s="456"/>
      <c r="ANT126" s="456"/>
      <c r="ANU126" s="456"/>
      <c r="ANV126" s="456"/>
      <c r="ANW126" s="456"/>
      <c r="ANX126" s="456"/>
      <c r="ANY126" s="456"/>
      <c r="ANZ126" s="456"/>
      <c r="AOA126" s="456"/>
      <c r="AOB126" s="456"/>
      <c r="AOC126" s="456"/>
      <c r="AOD126" s="456"/>
      <c r="AOE126" s="456"/>
      <c r="AOF126" s="456"/>
      <c r="AOG126" s="456"/>
      <c r="AOH126" s="456"/>
      <c r="AOI126" s="456"/>
      <c r="AOJ126" s="456"/>
      <c r="AOK126" s="456"/>
      <c r="AOL126" s="456"/>
      <c r="AOM126" s="456"/>
      <c r="AON126" s="456"/>
      <c r="AOO126" s="456"/>
      <c r="AOP126" s="456"/>
      <c r="AOQ126" s="456"/>
      <c r="AOR126" s="456"/>
      <c r="AOS126" s="456"/>
      <c r="AOT126" s="456"/>
      <c r="AOU126" s="456"/>
      <c r="AOV126" s="456"/>
      <c r="AOW126" s="456"/>
      <c r="AOX126" s="456"/>
      <c r="AOY126" s="456"/>
      <c r="AOZ126" s="456"/>
      <c r="APA126" s="456"/>
      <c r="APB126" s="456"/>
      <c r="APC126" s="456"/>
      <c r="APD126" s="456"/>
      <c r="APE126" s="456"/>
      <c r="APF126" s="456"/>
      <c r="APG126" s="456"/>
      <c r="APH126" s="456"/>
      <c r="API126" s="456"/>
      <c r="APJ126" s="456"/>
      <c r="APK126" s="456"/>
      <c r="APL126" s="456"/>
      <c r="APM126" s="456"/>
      <c r="APN126" s="456"/>
      <c r="APO126" s="456"/>
      <c r="APP126" s="456"/>
      <c r="APQ126" s="456"/>
      <c r="APR126" s="456"/>
      <c r="APS126" s="456"/>
      <c r="APT126" s="456"/>
      <c r="APU126" s="456"/>
      <c r="APV126" s="456"/>
      <c r="APW126" s="456"/>
      <c r="APX126" s="456"/>
      <c r="APY126" s="456"/>
      <c r="APZ126" s="456"/>
      <c r="AQA126" s="456"/>
      <c r="AQB126" s="456"/>
      <c r="AQC126" s="456"/>
      <c r="AQD126" s="456"/>
      <c r="AQE126" s="456"/>
      <c r="AQF126" s="456"/>
      <c r="AQG126" s="456"/>
      <c r="AQH126" s="456"/>
      <c r="AQI126" s="456"/>
      <c r="AQJ126" s="456"/>
      <c r="AQK126" s="456"/>
      <c r="AQL126" s="456"/>
      <c r="AQM126" s="456"/>
      <c r="AQN126" s="456"/>
      <c r="AQO126" s="456"/>
      <c r="AQP126" s="456"/>
      <c r="AQQ126" s="456"/>
      <c r="AQR126" s="456"/>
      <c r="AQS126" s="456"/>
      <c r="AQT126" s="456"/>
      <c r="AQU126" s="456"/>
      <c r="AQV126" s="456"/>
      <c r="AQW126" s="456"/>
      <c r="AQX126" s="456"/>
      <c r="AQY126" s="456"/>
      <c r="AQZ126" s="456"/>
      <c r="ARA126" s="456"/>
      <c r="ARB126" s="456"/>
      <c r="ARC126" s="456"/>
      <c r="ARD126" s="456"/>
      <c r="ARE126" s="456"/>
      <c r="ARF126" s="456"/>
      <c r="ARG126" s="456"/>
      <c r="ARH126" s="456"/>
      <c r="ARI126" s="456"/>
      <c r="ARJ126" s="456"/>
      <c r="ARK126" s="456"/>
      <c r="ARL126" s="456"/>
      <c r="ARM126" s="456"/>
      <c r="ARN126" s="456"/>
      <c r="ARO126" s="456"/>
      <c r="ARP126" s="456"/>
      <c r="ARQ126" s="456"/>
      <c r="ARR126" s="456"/>
      <c r="ARS126" s="456"/>
      <c r="ART126" s="456"/>
      <c r="ARU126" s="456"/>
      <c r="ARV126" s="456"/>
      <c r="ARW126" s="456"/>
      <c r="ARX126" s="456"/>
      <c r="ARY126" s="456"/>
      <c r="ARZ126" s="456"/>
      <c r="ASA126" s="456"/>
      <c r="ASB126" s="456"/>
      <c r="ASC126" s="456"/>
      <c r="ASD126" s="456"/>
      <c r="ASE126" s="456"/>
      <c r="ASF126" s="456"/>
      <c r="ASG126" s="456"/>
      <c r="ASH126" s="456"/>
      <c r="ASI126" s="456"/>
      <c r="ASJ126" s="456"/>
      <c r="ASK126" s="456"/>
      <c r="ASL126" s="456"/>
      <c r="ASM126" s="456"/>
      <c r="ASN126" s="456"/>
      <c r="ASO126" s="456"/>
      <c r="ASP126" s="456"/>
      <c r="ASQ126" s="456"/>
      <c r="ASR126" s="456"/>
      <c r="ASS126" s="456"/>
      <c r="AST126" s="456"/>
      <c r="ASU126" s="456"/>
      <c r="ASV126" s="456"/>
      <c r="ASW126" s="456"/>
      <c r="ASX126" s="456"/>
      <c r="ASY126" s="456"/>
      <c r="ASZ126" s="456"/>
      <c r="ATA126" s="456"/>
      <c r="ATB126" s="456"/>
      <c r="ATC126" s="456"/>
      <c r="ATD126" s="456"/>
      <c r="ATE126" s="456"/>
      <c r="ATF126" s="456"/>
      <c r="ATG126" s="456"/>
      <c r="ATH126" s="456"/>
      <c r="ATI126" s="456"/>
      <c r="ATJ126" s="456"/>
      <c r="ATK126" s="456"/>
      <c r="ATL126" s="456"/>
      <c r="ATM126" s="456"/>
      <c r="ATN126" s="456"/>
      <c r="ATO126" s="456"/>
      <c r="ATP126" s="456"/>
      <c r="ATQ126" s="456"/>
      <c r="ATR126" s="456"/>
      <c r="ATS126" s="456"/>
      <c r="ATT126" s="456"/>
      <c r="ATU126" s="456"/>
      <c r="ATV126" s="456"/>
      <c r="ATW126" s="456"/>
      <c r="ATX126" s="456"/>
      <c r="ATY126" s="456"/>
      <c r="ATZ126" s="456"/>
      <c r="AUA126" s="456"/>
      <c r="AUB126" s="456"/>
      <c r="AUC126" s="456"/>
      <c r="AUD126" s="456"/>
      <c r="AUE126" s="456"/>
      <c r="AUF126" s="456"/>
      <c r="AUG126" s="456"/>
      <c r="AUH126" s="456"/>
      <c r="AUI126" s="456"/>
      <c r="AUJ126" s="456"/>
      <c r="AUK126" s="456"/>
      <c r="AUL126" s="456"/>
      <c r="AUM126" s="456"/>
      <c r="AUN126" s="456"/>
      <c r="AUO126" s="456"/>
      <c r="AUP126" s="456"/>
      <c r="AUQ126" s="456"/>
      <c r="AUR126" s="456"/>
      <c r="AUS126" s="456"/>
      <c r="AUT126" s="456"/>
      <c r="AUU126" s="456"/>
      <c r="AUV126" s="456"/>
      <c r="AUW126" s="456"/>
      <c r="AUX126" s="456"/>
      <c r="AUY126" s="456"/>
      <c r="AUZ126" s="456"/>
      <c r="AVA126" s="456"/>
      <c r="AVB126" s="456"/>
      <c r="AVC126" s="456"/>
      <c r="AVD126" s="456"/>
      <c r="AVE126" s="456"/>
      <c r="AVF126" s="456"/>
      <c r="AVG126" s="456"/>
      <c r="AVH126" s="456"/>
      <c r="AVI126" s="456"/>
      <c r="AVJ126" s="456"/>
      <c r="AVK126" s="456"/>
      <c r="AVL126" s="456"/>
      <c r="AVM126" s="456"/>
      <c r="AVN126" s="456"/>
      <c r="AVO126" s="456"/>
      <c r="AVP126" s="456"/>
      <c r="AVQ126" s="456"/>
      <c r="AVR126" s="456"/>
      <c r="AVS126" s="456"/>
      <c r="AVT126" s="456"/>
      <c r="AVU126" s="456"/>
      <c r="AVV126" s="456"/>
      <c r="AVW126" s="456"/>
      <c r="AVX126" s="456"/>
      <c r="AVY126" s="456"/>
      <c r="AVZ126" s="456"/>
      <c r="AWA126" s="456"/>
      <c r="AWB126" s="456"/>
      <c r="AWC126" s="456"/>
      <c r="AWD126" s="456"/>
      <c r="AWE126" s="456"/>
      <c r="AWF126" s="456"/>
      <c r="AWG126" s="456"/>
      <c r="AWH126" s="456"/>
      <c r="AWI126" s="456"/>
      <c r="AWJ126" s="456"/>
      <c r="AWK126" s="456"/>
      <c r="AWL126" s="456"/>
      <c r="AWM126" s="456"/>
      <c r="AWN126" s="456"/>
      <c r="AWO126" s="456"/>
      <c r="AWP126" s="456"/>
      <c r="AWQ126" s="456"/>
      <c r="AWR126" s="456"/>
      <c r="AWS126" s="456"/>
      <c r="AWT126" s="456"/>
      <c r="AWU126" s="456"/>
      <c r="AWV126" s="456"/>
      <c r="AWW126" s="456"/>
      <c r="AWX126" s="456"/>
      <c r="AWY126" s="456"/>
      <c r="AWZ126" s="456"/>
      <c r="AXA126" s="456"/>
      <c r="AXB126" s="456"/>
      <c r="AXC126" s="456"/>
      <c r="AXD126" s="456"/>
      <c r="AXE126" s="456"/>
      <c r="AXF126" s="456"/>
      <c r="AXG126" s="456"/>
      <c r="AXH126" s="456"/>
      <c r="AXI126" s="456"/>
      <c r="AXJ126" s="456"/>
      <c r="AXK126" s="456"/>
      <c r="AXL126" s="456"/>
      <c r="AXM126" s="456"/>
      <c r="AXN126" s="456"/>
      <c r="AXO126" s="456"/>
      <c r="AXP126" s="456"/>
      <c r="AXQ126" s="456"/>
      <c r="AXR126" s="456"/>
      <c r="AXS126" s="456"/>
      <c r="AXT126" s="456"/>
      <c r="AXU126" s="456"/>
      <c r="AXV126" s="456"/>
      <c r="AXW126" s="456"/>
      <c r="AXX126" s="456"/>
      <c r="AXY126" s="456"/>
      <c r="AXZ126" s="456"/>
      <c r="AYA126" s="456"/>
      <c r="AYB126" s="456"/>
      <c r="AYC126" s="456"/>
      <c r="AYD126" s="456"/>
      <c r="AYE126" s="456"/>
      <c r="AYF126" s="456"/>
      <c r="AYG126" s="456"/>
      <c r="AYH126" s="456"/>
      <c r="AYI126" s="456"/>
      <c r="AYJ126" s="456"/>
      <c r="AYK126" s="456"/>
      <c r="AYL126" s="456"/>
      <c r="AYM126" s="456"/>
      <c r="AYN126" s="456"/>
      <c r="AYO126" s="456"/>
      <c r="AYP126" s="456"/>
      <c r="AYQ126" s="456"/>
      <c r="AYR126" s="456"/>
      <c r="AYS126" s="456"/>
      <c r="AYT126" s="456"/>
      <c r="AYU126" s="456"/>
      <c r="AYV126" s="456"/>
      <c r="AYW126" s="456"/>
      <c r="AYX126" s="456"/>
      <c r="AYY126" s="456"/>
      <c r="AYZ126" s="456"/>
      <c r="AZA126" s="456"/>
      <c r="AZB126" s="456"/>
      <c r="AZC126" s="456"/>
      <c r="AZD126" s="456"/>
      <c r="AZE126" s="456"/>
      <c r="AZF126" s="456"/>
      <c r="AZG126" s="456"/>
      <c r="AZH126" s="456"/>
      <c r="AZI126" s="456"/>
      <c r="AZJ126" s="456"/>
      <c r="AZK126" s="456"/>
      <c r="AZL126" s="456"/>
      <c r="AZM126" s="456"/>
      <c r="AZN126" s="456"/>
      <c r="AZO126" s="456"/>
      <c r="AZP126" s="456"/>
      <c r="AZQ126" s="456"/>
      <c r="AZR126" s="456"/>
      <c r="AZS126" s="456"/>
      <c r="AZT126" s="456"/>
      <c r="AZU126" s="456"/>
      <c r="AZV126" s="456"/>
      <c r="AZW126" s="456"/>
      <c r="AZX126" s="456"/>
      <c r="AZY126" s="456"/>
      <c r="AZZ126" s="456"/>
      <c r="BAA126" s="456"/>
      <c r="BAB126" s="456"/>
      <c r="BAC126" s="456"/>
      <c r="BAD126" s="456"/>
      <c r="BAE126" s="456"/>
      <c r="BAF126" s="456"/>
      <c r="BAG126" s="456"/>
      <c r="BAH126" s="456"/>
      <c r="BAI126" s="456"/>
      <c r="BAJ126" s="456"/>
      <c r="BAK126" s="456"/>
      <c r="BAL126" s="456"/>
      <c r="BAM126" s="456"/>
      <c r="BAN126" s="456"/>
      <c r="BAO126" s="456"/>
      <c r="BAP126" s="456"/>
      <c r="BAQ126" s="456"/>
      <c r="BAR126" s="456"/>
      <c r="BAS126" s="456"/>
      <c r="BAT126" s="456"/>
      <c r="BAU126" s="456"/>
      <c r="BAV126" s="456"/>
      <c r="BAW126" s="456"/>
      <c r="BAX126" s="456"/>
      <c r="BAY126" s="456"/>
      <c r="BAZ126" s="456"/>
      <c r="BBA126" s="456"/>
      <c r="BBB126" s="456"/>
      <c r="BBC126" s="456"/>
      <c r="BBD126" s="456"/>
      <c r="BBE126" s="456"/>
      <c r="BBF126" s="456"/>
      <c r="BBG126" s="456"/>
      <c r="BBH126" s="456"/>
      <c r="BBI126" s="456"/>
      <c r="BBJ126" s="456"/>
      <c r="BBK126" s="456"/>
      <c r="BBL126" s="456"/>
      <c r="BBM126" s="456"/>
      <c r="BBN126" s="456"/>
      <c r="BBO126" s="456"/>
      <c r="BBP126" s="456"/>
      <c r="BBQ126" s="456"/>
      <c r="BBR126" s="456"/>
      <c r="BBS126" s="456"/>
      <c r="BBT126" s="456"/>
      <c r="BBU126" s="456"/>
      <c r="BBV126" s="456"/>
      <c r="BBW126" s="456"/>
      <c r="BBX126" s="456"/>
      <c r="BBY126" s="456"/>
      <c r="BBZ126" s="456"/>
      <c r="BCA126" s="456"/>
      <c r="BCB126" s="456"/>
      <c r="BCC126" s="456"/>
      <c r="BCD126" s="456"/>
      <c r="BCE126" s="456"/>
      <c r="BCF126" s="456"/>
      <c r="BCG126" s="456"/>
      <c r="BCH126" s="456"/>
      <c r="BCI126" s="456"/>
      <c r="BCJ126" s="456"/>
      <c r="BCK126" s="456"/>
      <c r="BCL126" s="456"/>
      <c r="BCM126" s="456"/>
      <c r="BCN126" s="456"/>
      <c r="BCO126" s="456"/>
      <c r="BCP126" s="456"/>
      <c r="BCQ126" s="456"/>
      <c r="BCR126" s="456"/>
      <c r="BCS126" s="456"/>
      <c r="BCT126" s="456"/>
      <c r="BCU126" s="456"/>
      <c r="BCV126" s="456"/>
      <c r="BCW126" s="456"/>
      <c r="BCX126" s="456"/>
      <c r="BCY126" s="456"/>
      <c r="BCZ126" s="456"/>
      <c r="BDA126" s="456"/>
      <c r="BDB126" s="456"/>
      <c r="BDC126" s="456"/>
      <c r="BDD126" s="456"/>
      <c r="BDE126" s="456"/>
      <c r="BDF126" s="456"/>
      <c r="BDG126" s="456"/>
      <c r="BDH126" s="456"/>
      <c r="BDI126" s="456"/>
      <c r="BDJ126" s="456"/>
      <c r="BDK126" s="456"/>
      <c r="BDL126" s="456"/>
      <c r="BDM126" s="456"/>
      <c r="BDN126" s="456"/>
      <c r="BDO126" s="456"/>
      <c r="BDP126" s="456"/>
      <c r="BDQ126" s="456"/>
      <c r="BDR126" s="456"/>
      <c r="BDS126" s="456"/>
      <c r="BDT126" s="456"/>
      <c r="BDU126" s="456"/>
      <c r="BDV126" s="456"/>
      <c r="BDW126" s="456"/>
      <c r="BDX126" s="456"/>
      <c r="BDY126" s="456"/>
      <c r="BDZ126" s="456"/>
      <c r="BEA126" s="456"/>
      <c r="BEB126" s="456"/>
      <c r="BEC126" s="456"/>
      <c r="BED126" s="456"/>
      <c r="BEE126" s="456"/>
      <c r="BEF126" s="456"/>
      <c r="BEG126" s="456"/>
      <c r="BEH126" s="456"/>
      <c r="BEI126" s="456"/>
      <c r="BEJ126" s="456"/>
      <c r="BEK126" s="456"/>
      <c r="BEL126" s="456"/>
      <c r="BEM126" s="456"/>
      <c r="BEN126" s="456"/>
      <c r="BEO126" s="456"/>
      <c r="BEP126" s="456"/>
      <c r="BEQ126" s="456"/>
      <c r="BER126" s="456"/>
      <c r="BES126" s="456"/>
      <c r="BET126" s="456"/>
      <c r="BEU126" s="456"/>
      <c r="BEV126" s="456"/>
      <c r="BEW126" s="456"/>
      <c r="BEX126" s="456"/>
      <c r="BEY126" s="456"/>
      <c r="BEZ126" s="456"/>
      <c r="BFA126" s="456"/>
      <c r="BFB126" s="456"/>
      <c r="BFC126" s="456"/>
      <c r="BFD126" s="456"/>
      <c r="BFE126" s="456"/>
      <c r="BFF126" s="456"/>
      <c r="BFG126" s="456"/>
      <c r="BFH126" s="456"/>
      <c r="BFI126" s="456"/>
      <c r="BFJ126" s="456"/>
      <c r="BFK126" s="456"/>
      <c r="BFL126" s="456"/>
      <c r="BFM126" s="456"/>
      <c r="BFN126" s="456"/>
      <c r="BFO126" s="456"/>
      <c r="BFP126" s="456"/>
      <c r="BFQ126" s="456"/>
      <c r="BFR126" s="456"/>
      <c r="BFS126" s="456"/>
      <c r="BFT126" s="456"/>
      <c r="BFU126" s="456"/>
      <c r="BFV126" s="456"/>
      <c r="BFW126" s="456"/>
      <c r="BFX126" s="456"/>
      <c r="BFY126" s="456"/>
      <c r="BFZ126" s="456"/>
      <c r="BGA126" s="456"/>
      <c r="BGB126" s="456"/>
      <c r="BGC126" s="456"/>
      <c r="BGD126" s="456"/>
      <c r="BGE126" s="456"/>
      <c r="BGF126" s="456"/>
      <c r="BGG126" s="456"/>
      <c r="BGH126" s="456"/>
      <c r="BGI126" s="456"/>
      <c r="BGJ126" s="456"/>
      <c r="BGK126" s="456"/>
      <c r="BGL126" s="456"/>
      <c r="BGM126" s="456"/>
      <c r="BGN126" s="456"/>
      <c r="BGO126" s="456"/>
      <c r="BGP126" s="456"/>
      <c r="BGQ126" s="456"/>
      <c r="BGR126" s="456"/>
      <c r="BGS126" s="456"/>
      <c r="BGT126" s="456"/>
      <c r="BGU126" s="456"/>
      <c r="BGV126" s="456"/>
      <c r="BGW126" s="456"/>
      <c r="BGX126" s="456"/>
      <c r="BGY126" s="456"/>
      <c r="BGZ126" s="456"/>
      <c r="BHA126" s="456"/>
      <c r="BHB126" s="456"/>
      <c r="BHC126" s="456"/>
      <c r="BHD126" s="456"/>
      <c r="BHE126" s="456"/>
      <c r="BHF126" s="456"/>
      <c r="BHG126" s="456"/>
      <c r="BHH126" s="456"/>
      <c r="BHI126" s="456"/>
      <c r="BHJ126" s="456"/>
      <c r="BHK126" s="456"/>
      <c r="BHL126" s="456"/>
      <c r="BHM126" s="456"/>
      <c r="BHN126" s="456"/>
      <c r="BHO126" s="456"/>
      <c r="BHP126" s="456"/>
      <c r="BHQ126" s="456"/>
      <c r="BHR126" s="456"/>
      <c r="BHS126" s="456"/>
      <c r="BHT126" s="456"/>
      <c r="BHU126" s="456"/>
      <c r="BHV126" s="456"/>
      <c r="BHW126" s="456"/>
      <c r="BHX126" s="456"/>
      <c r="BHY126" s="456"/>
      <c r="BHZ126" s="456"/>
      <c r="BIA126" s="456"/>
      <c r="BIB126" s="456"/>
      <c r="BIC126" s="456"/>
      <c r="BID126" s="456"/>
      <c r="BIE126" s="456"/>
      <c r="BIF126" s="456"/>
      <c r="BIG126" s="456"/>
      <c r="BIH126" s="456"/>
      <c r="BII126" s="456"/>
      <c r="BIJ126" s="456"/>
      <c r="BIK126" s="456"/>
      <c r="BIL126" s="456"/>
      <c r="BIM126" s="456"/>
      <c r="BIN126" s="456"/>
      <c r="BIO126" s="456"/>
      <c r="BIP126" s="456"/>
      <c r="BIQ126" s="456"/>
      <c r="BIR126" s="456"/>
      <c r="BIS126" s="456"/>
      <c r="BIT126" s="456"/>
      <c r="BIU126" s="456"/>
      <c r="BIV126" s="456"/>
      <c r="BIW126" s="456"/>
      <c r="BIX126" s="456"/>
      <c r="BIY126" s="456"/>
      <c r="BIZ126" s="456"/>
      <c r="BJA126" s="456"/>
      <c r="BJB126" s="456"/>
      <c r="BJC126" s="456"/>
      <c r="BJD126" s="456"/>
      <c r="BJE126" s="456"/>
      <c r="BJF126" s="456"/>
      <c r="BJG126" s="456"/>
      <c r="BJH126" s="456"/>
      <c r="BJI126" s="456"/>
      <c r="BJJ126" s="456"/>
      <c r="BJK126" s="456"/>
      <c r="BJL126" s="456"/>
      <c r="BJM126" s="456"/>
      <c r="BJN126" s="456"/>
      <c r="BJO126" s="456"/>
      <c r="BJP126" s="456"/>
      <c r="BJQ126" s="456"/>
      <c r="BJR126" s="456"/>
      <c r="BJS126" s="456"/>
      <c r="BJT126" s="456"/>
      <c r="BJU126" s="456"/>
      <c r="BJV126" s="456"/>
      <c r="BJW126" s="456"/>
      <c r="BJX126" s="456"/>
      <c r="BJY126" s="456"/>
      <c r="BJZ126" s="456"/>
      <c r="BKA126" s="456"/>
      <c r="BKB126" s="456"/>
      <c r="BKC126" s="456"/>
      <c r="BKD126" s="456"/>
      <c r="BKE126" s="456"/>
      <c r="BKF126" s="456"/>
      <c r="BKG126" s="456"/>
      <c r="BKH126" s="456"/>
      <c r="BKI126" s="456"/>
      <c r="BKJ126" s="456"/>
      <c r="BKK126" s="456"/>
      <c r="BKL126" s="456"/>
      <c r="BKM126" s="456"/>
      <c r="BKN126" s="456"/>
      <c r="BKO126" s="456"/>
      <c r="BKP126" s="456"/>
      <c r="BKQ126" s="456"/>
      <c r="BKR126" s="456"/>
      <c r="BKS126" s="456"/>
      <c r="BKT126" s="456"/>
      <c r="BKU126" s="456"/>
      <c r="BKV126" s="456"/>
      <c r="BKW126" s="456"/>
      <c r="BKX126" s="456"/>
      <c r="BKY126" s="456"/>
      <c r="BKZ126" s="456"/>
      <c r="BLA126" s="456"/>
      <c r="BLB126" s="456"/>
      <c r="BLC126" s="456"/>
      <c r="BLD126" s="456"/>
      <c r="BLE126" s="456"/>
      <c r="BLF126" s="456"/>
      <c r="BLG126" s="456"/>
      <c r="BLH126" s="456"/>
      <c r="BLI126" s="456"/>
      <c r="BLJ126" s="456"/>
      <c r="BLK126" s="456"/>
      <c r="BLL126" s="456"/>
      <c r="BLM126" s="456"/>
      <c r="BLN126" s="456"/>
      <c r="BLO126" s="456"/>
      <c r="BLP126" s="456"/>
      <c r="BLQ126" s="456"/>
      <c r="BLR126" s="456"/>
      <c r="BLS126" s="456"/>
      <c r="BLT126" s="456"/>
      <c r="BLU126" s="456"/>
      <c r="BLV126" s="456"/>
      <c r="BLW126" s="456"/>
      <c r="BLX126" s="456"/>
      <c r="BLY126" s="456"/>
      <c r="BLZ126" s="456"/>
      <c r="BMA126" s="456"/>
      <c r="BMB126" s="456"/>
      <c r="BMC126" s="456"/>
      <c r="BMD126" s="456"/>
      <c r="BME126" s="456"/>
      <c r="BMF126" s="456"/>
      <c r="BMG126" s="456"/>
      <c r="BMH126" s="456"/>
      <c r="BMI126" s="456"/>
      <c r="BMJ126" s="456"/>
      <c r="BMK126" s="456"/>
      <c r="BML126" s="456"/>
      <c r="BMM126" s="456"/>
      <c r="BMN126" s="456"/>
      <c r="BMO126" s="456"/>
      <c r="BMP126" s="456"/>
      <c r="BMQ126" s="456"/>
      <c r="BMR126" s="456"/>
      <c r="BMS126" s="456"/>
      <c r="BMT126" s="456"/>
      <c r="BMU126" s="456"/>
      <c r="BMV126" s="456"/>
      <c r="BMW126" s="456"/>
      <c r="BMX126" s="456"/>
      <c r="BMY126" s="456"/>
      <c r="BMZ126" s="456"/>
      <c r="BNA126" s="456"/>
      <c r="BNB126" s="456"/>
      <c r="BNC126" s="456"/>
      <c r="BND126" s="456"/>
      <c r="BNE126" s="456"/>
      <c r="BNF126" s="456"/>
      <c r="BNG126" s="456"/>
      <c r="BNH126" s="456"/>
      <c r="BNI126" s="456"/>
      <c r="BNJ126" s="456"/>
      <c r="BNK126" s="456"/>
      <c r="BNL126" s="456"/>
      <c r="BNM126" s="456"/>
      <c r="BNN126" s="456"/>
      <c r="BNO126" s="456"/>
      <c r="BNP126" s="456"/>
      <c r="BNQ126" s="456"/>
      <c r="BNR126" s="456"/>
      <c r="BNS126" s="456"/>
      <c r="BNT126" s="456"/>
      <c r="BNU126" s="456"/>
      <c r="BNV126" s="456"/>
      <c r="BNW126" s="456"/>
      <c r="BNX126" s="456"/>
      <c r="BNY126" s="456"/>
      <c r="BNZ126" s="456"/>
      <c r="BOA126" s="456"/>
      <c r="BOB126" s="456"/>
      <c r="BOC126" s="456"/>
      <c r="BOD126" s="456"/>
      <c r="BOE126" s="456"/>
      <c r="BOF126" s="456"/>
      <c r="BOG126" s="456"/>
      <c r="BOH126" s="456"/>
      <c r="BOI126" s="456"/>
      <c r="BOJ126" s="456"/>
      <c r="BOK126" s="456"/>
      <c r="BOL126" s="456"/>
      <c r="BOM126" s="456"/>
      <c r="BON126" s="456"/>
      <c r="BOO126" s="456"/>
      <c r="BOP126" s="456"/>
      <c r="BOQ126" s="456"/>
      <c r="BOR126" s="456"/>
      <c r="BOS126" s="456"/>
      <c r="BOT126" s="456"/>
      <c r="BOU126" s="456"/>
      <c r="BOV126" s="456"/>
      <c r="BOW126" s="456"/>
      <c r="BOX126" s="456"/>
      <c r="BOY126" s="456"/>
      <c r="BOZ126" s="456"/>
      <c r="BPA126" s="456"/>
      <c r="BPB126" s="456"/>
      <c r="BPC126" s="456"/>
      <c r="BPD126" s="456"/>
      <c r="BPE126" s="456"/>
      <c r="BPF126" s="456"/>
      <c r="BPG126" s="456"/>
      <c r="BPH126" s="456"/>
      <c r="BPI126" s="456"/>
      <c r="BPJ126" s="456"/>
      <c r="BPK126" s="456"/>
      <c r="BPL126" s="456"/>
      <c r="BPM126" s="456"/>
      <c r="BPN126" s="456"/>
      <c r="BPO126" s="456"/>
      <c r="BPP126" s="456"/>
      <c r="BPQ126" s="456"/>
      <c r="BPR126" s="456"/>
      <c r="BPS126" s="456"/>
      <c r="BPT126" s="456"/>
      <c r="BPU126" s="456"/>
      <c r="BPV126" s="456"/>
      <c r="BPW126" s="456"/>
      <c r="BPX126" s="456"/>
      <c r="BPY126" s="456"/>
      <c r="BPZ126" s="456"/>
      <c r="BQA126" s="456"/>
      <c r="BQB126" s="456"/>
      <c r="BQC126" s="456"/>
      <c r="BQD126" s="456"/>
      <c r="BQE126" s="456"/>
      <c r="BQF126" s="456"/>
      <c r="BQG126" s="456"/>
      <c r="BQH126" s="456"/>
      <c r="BQI126" s="456"/>
      <c r="BQJ126" s="456"/>
      <c r="BQK126" s="456"/>
      <c r="BQL126" s="456"/>
      <c r="BQM126" s="456"/>
      <c r="BQN126" s="456"/>
      <c r="BQO126" s="456"/>
      <c r="BQP126" s="456"/>
      <c r="BQQ126" s="456"/>
      <c r="BQR126" s="456"/>
      <c r="BQS126" s="456"/>
      <c r="BQT126" s="456"/>
      <c r="BQU126" s="456"/>
      <c r="BQV126" s="456"/>
      <c r="BQW126" s="456"/>
      <c r="BQX126" s="456"/>
      <c r="BQY126" s="456"/>
      <c r="BQZ126" s="456"/>
      <c r="BRA126" s="456"/>
      <c r="BRB126" s="456"/>
      <c r="BRC126" s="456"/>
      <c r="BRD126" s="456"/>
      <c r="BRE126" s="456"/>
      <c r="BRF126" s="456"/>
      <c r="BRG126" s="456"/>
      <c r="BRH126" s="456"/>
      <c r="BRI126" s="456"/>
      <c r="BRJ126" s="456"/>
      <c r="BRK126" s="456"/>
      <c r="BRL126" s="456"/>
      <c r="BRM126" s="456"/>
      <c r="BRN126" s="456"/>
      <c r="BRO126" s="456"/>
      <c r="BRP126" s="456"/>
      <c r="BRQ126" s="456"/>
      <c r="BRR126" s="456"/>
      <c r="BRS126" s="456"/>
      <c r="BRT126" s="456"/>
      <c r="BRU126" s="456"/>
      <c r="BRV126" s="456"/>
      <c r="BRW126" s="456"/>
      <c r="BRX126" s="456"/>
      <c r="BRY126" s="456"/>
      <c r="BRZ126" s="456"/>
      <c r="BSA126" s="456"/>
      <c r="BSB126" s="456"/>
      <c r="BSC126" s="456"/>
      <c r="BSD126" s="456"/>
      <c r="BSE126" s="456"/>
      <c r="BSF126" s="456"/>
      <c r="BSG126" s="456"/>
      <c r="BSH126" s="456"/>
      <c r="BSI126" s="456"/>
      <c r="BSJ126" s="456"/>
      <c r="BSK126" s="456"/>
      <c r="BSL126" s="456"/>
      <c r="BSM126" s="456"/>
      <c r="BSN126" s="456"/>
      <c r="BSO126" s="456"/>
      <c r="BSP126" s="456"/>
      <c r="BSQ126" s="456"/>
      <c r="BSR126" s="456"/>
      <c r="BSS126" s="456"/>
      <c r="BST126" s="456"/>
      <c r="BSU126" s="456"/>
      <c r="BSV126" s="456"/>
      <c r="BSW126" s="456"/>
      <c r="BSX126" s="456"/>
      <c r="BSY126" s="456"/>
      <c r="BSZ126" s="456"/>
      <c r="BTA126" s="456"/>
      <c r="BTB126" s="456"/>
      <c r="BTC126" s="456"/>
      <c r="BTD126" s="456"/>
      <c r="BTE126" s="456"/>
      <c r="BTF126" s="456"/>
      <c r="BTG126" s="456"/>
      <c r="BTH126" s="456"/>
      <c r="BTI126" s="456"/>
      <c r="BTJ126" s="456"/>
      <c r="BTK126" s="456"/>
      <c r="BTL126" s="456"/>
      <c r="BTM126" s="456"/>
      <c r="BTN126" s="456"/>
      <c r="BTO126" s="456"/>
      <c r="BTP126" s="456"/>
      <c r="BTQ126" s="456"/>
      <c r="BTR126" s="456"/>
      <c r="BTS126" s="456"/>
      <c r="BTT126" s="456"/>
      <c r="BTU126" s="456"/>
      <c r="BTV126" s="456"/>
      <c r="BTW126" s="456"/>
      <c r="BTX126" s="456"/>
      <c r="BTY126" s="456"/>
      <c r="BTZ126" s="456"/>
      <c r="BUA126" s="456"/>
      <c r="BUB126" s="456"/>
      <c r="BUC126" s="456"/>
      <c r="BUD126" s="456"/>
      <c r="BUE126" s="456"/>
      <c r="BUF126" s="456"/>
      <c r="BUG126" s="456"/>
      <c r="BUH126" s="456"/>
      <c r="BUI126" s="456"/>
      <c r="BUJ126" s="456"/>
      <c r="BUK126" s="456"/>
      <c r="BUL126" s="456"/>
      <c r="BUM126" s="456"/>
      <c r="BUN126" s="456"/>
      <c r="BUO126" s="456"/>
      <c r="BUP126" s="456"/>
      <c r="BUQ126" s="456"/>
      <c r="BUR126" s="456"/>
      <c r="BUS126" s="456"/>
      <c r="BUT126" s="456"/>
      <c r="BUU126" s="456"/>
      <c r="BUV126" s="456"/>
      <c r="BUW126" s="456"/>
      <c r="BUX126" s="456"/>
      <c r="BUY126" s="456"/>
      <c r="BUZ126" s="456"/>
      <c r="BVA126" s="456"/>
      <c r="BVB126" s="456"/>
      <c r="BVC126" s="456"/>
      <c r="BVD126" s="456"/>
      <c r="BVE126" s="456"/>
      <c r="BVF126" s="456"/>
      <c r="BVG126" s="456"/>
      <c r="BVH126" s="456"/>
      <c r="BVI126" s="456"/>
      <c r="BVJ126" s="456"/>
      <c r="BVK126" s="456"/>
      <c r="BVL126" s="456"/>
      <c r="BVM126" s="456"/>
      <c r="BVN126" s="456"/>
      <c r="BVO126" s="456"/>
      <c r="BVP126" s="456"/>
      <c r="BVQ126" s="456"/>
      <c r="BVR126" s="456"/>
      <c r="BVS126" s="456"/>
      <c r="BVT126" s="456"/>
      <c r="BVU126" s="456"/>
      <c r="BVV126" s="456"/>
      <c r="BVW126" s="456"/>
      <c r="BVX126" s="456"/>
      <c r="BVY126" s="456"/>
      <c r="BVZ126" s="456"/>
      <c r="BWA126" s="456"/>
      <c r="BWB126" s="456"/>
      <c r="BWC126" s="456"/>
      <c r="BWD126" s="456"/>
      <c r="BWE126" s="456"/>
      <c r="BWF126" s="456"/>
      <c r="BWG126" s="456"/>
      <c r="BWH126" s="456"/>
      <c r="BWI126" s="456"/>
      <c r="BWJ126" s="456"/>
      <c r="BWK126" s="456"/>
      <c r="BWL126" s="456"/>
      <c r="BWM126" s="456"/>
      <c r="BWN126" s="456"/>
      <c r="BWO126" s="456"/>
      <c r="BWP126" s="456"/>
      <c r="BWQ126" s="456"/>
      <c r="BWR126" s="456"/>
      <c r="BWS126" s="456"/>
      <c r="BWT126" s="456"/>
      <c r="BWU126" s="456"/>
      <c r="BWV126" s="456"/>
      <c r="BWW126" s="456"/>
      <c r="BWX126" s="456"/>
      <c r="BWY126" s="456"/>
      <c r="BWZ126" s="456"/>
      <c r="BXA126" s="456"/>
      <c r="BXB126" s="456"/>
      <c r="BXC126" s="456"/>
      <c r="BXD126" s="456"/>
      <c r="BXE126" s="456"/>
      <c r="BXF126" s="456"/>
      <c r="BXG126" s="456"/>
      <c r="BXH126" s="456"/>
      <c r="BXI126" s="456"/>
      <c r="BXJ126" s="456"/>
      <c r="BXK126" s="456"/>
      <c r="BXL126" s="456"/>
      <c r="BXM126" s="456"/>
      <c r="BXN126" s="456"/>
      <c r="BXO126" s="456"/>
      <c r="BXP126" s="456"/>
      <c r="BXQ126" s="456"/>
      <c r="BXR126" s="456"/>
      <c r="BXS126" s="456"/>
      <c r="BXT126" s="456"/>
      <c r="BXU126" s="456"/>
      <c r="BXV126" s="456"/>
      <c r="BXW126" s="456"/>
      <c r="BXX126" s="456"/>
      <c r="BXY126" s="456"/>
      <c r="BXZ126" s="456"/>
    </row>
    <row r="127" s="25" customFormat="1" ht="15.6" spans="1:1024 1025:2002">
      <c r="A127" s="473"/>
      <c r="B127" s="19">
        <v>1125</v>
      </c>
      <c r="C127" s="183">
        <v>46196</v>
      </c>
      <c r="D127" s="17" t="s">
        <v>52</v>
      </c>
      <c r="E127" s="17" t="s">
        <v>53</v>
      </c>
      <c r="F127" s="17" t="s">
        <v>54</v>
      </c>
      <c r="G127" s="17"/>
      <c r="H127" s="19" t="s">
        <v>55</v>
      </c>
      <c r="I127" s="102" t="s">
        <v>56</v>
      </c>
      <c r="J127" s="17" t="s">
        <v>49</v>
      </c>
      <c r="K127" s="91">
        <v>710</v>
      </c>
      <c r="L127" s="19">
        <v>130</v>
      </c>
      <c r="M127" s="19">
        <v>5800</v>
      </c>
      <c r="N127" s="19" t="s">
        <v>40</v>
      </c>
      <c r="O127" s="19" t="s">
        <v>84</v>
      </c>
      <c r="P127" s="93">
        <v>5600</v>
      </c>
      <c r="Q127" s="19">
        <f>2948+3038</f>
        <v>5986</v>
      </c>
      <c r="R127" s="19">
        <f t="shared" si="9"/>
        <v>-386</v>
      </c>
      <c r="S127" s="311">
        <v>2040</v>
      </c>
      <c r="T127" s="19" t="s">
        <v>42</v>
      </c>
      <c r="U127" s="102" t="s">
        <v>101</v>
      </c>
      <c r="V127" s="186">
        <v>46197</v>
      </c>
      <c r="W127" s="17" t="s">
        <v>58</v>
      </c>
      <c r="X127" s="17"/>
      <c r="Y127" s="68">
        <v>46204</v>
      </c>
      <c r="Z127" s="17" t="s">
        <v>45</v>
      </c>
      <c r="AA127" s="17" t="s">
        <v>59</v>
      </c>
      <c r="AB127" s="17" t="s">
        <v>60</v>
      </c>
      <c r="AC127" s="217">
        <v>46281</v>
      </c>
      <c r="AD127" s="65">
        <v>1862</v>
      </c>
      <c r="AE127" s="17" t="s">
        <v>48</v>
      </c>
      <c r="AF127" s="17" t="s">
        <v>61</v>
      </c>
      <c r="AG127" s="17" t="s">
        <v>103</v>
      </c>
      <c r="AH127" s="456"/>
      <c r="AI127" s="456"/>
      <c r="AJ127" s="456"/>
      <c r="AK127" s="456"/>
      <c r="AL127" s="456"/>
      <c r="AM127" s="456"/>
      <c r="AN127" s="456"/>
      <c r="AO127" s="456"/>
      <c r="AP127" s="456"/>
      <c r="AQ127" s="456"/>
      <c r="AR127" s="456"/>
      <c r="AS127" s="456"/>
      <c r="AT127" s="456"/>
      <c r="AU127" s="456"/>
      <c r="AV127" s="456"/>
      <c r="AW127" s="456"/>
      <c r="AX127" s="456"/>
      <c r="AY127" s="456"/>
      <c r="AZ127" s="456"/>
      <c r="BA127" s="456"/>
      <c r="BB127" s="456"/>
      <c r="BC127" s="456"/>
      <c r="BD127" s="456"/>
      <c r="BE127" s="456"/>
      <c r="BF127" s="456"/>
      <c r="BG127" s="456"/>
      <c r="BH127" s="456"/>
      <c r="BI127" s="456"/>
      <c r="BJ127" s="456"/>
      <c r="BK127" s="456"/>
      <c r="BL127" s="456"/>
      <c r="BM127" s="456"/>
      <c r="BN127" s="456"/>
      <c r="BO127" s="456"/>
      <c r="BP127" s="456"/>
      <c r="BQ127" s="456"/>
      <c r="BR127" s="456"/>
      <c r="BS127" s="456"/>
      <c r="BT127" s="456"/>
      <c r="BU127" s="456"/>
      <c r="BV127" s="456"/>
      <c r="BW127" s="456"/>
      <c r="BX127" s="456"/>
      <c r="BY127" s="456"/>
      <c r="BZ127" s="456"/>
      <c r="CA127" s="456"/>
      <c r="CB127" s="456"/>
      <c r="CC127" s="456"/>
      <c r="CD127" s="456"/>
      <c r="CE127" s="456"/>
      <c r="CF127" s="456"/>
      <c r="CG127" s="456"/>
      <c r="CH127" s="456"/>
      <c r="CI127" s="456"/>
      <c r="CJ127" s="456"/>
      <c r="CK127" s="456"/>
      <c r="CL127" s="456"/>
      <c r="CM127" s="456"/>
      <c r="CN127" s="456"/>
      <c r="CO127" s="456"/>
      <c r="CP127" s="456"/>
      <c r="CQ127" s="456"/>
      <c r="CR127" s="456"/>
      <c r="CS127" s="456"/>
      <c r="CT127" s="456"/>
      <c r="CU127" s="456"/>
      <c r="CV127" s="456"/>
      <c r="CW127" s="456"/>
      <c r="CX127" s="456"/>
      <c r="CY127" s="456"/>
      <c r="CZ127" s="456"/>
      <c r="DA127" s="456"/>
      <c r="DB127" s="456"/>
      <c r="DC127" s="456"/>
      <c r="DD127" s="456"/>
      <c r="DE127" s="456"/>
      <c r="DF127" s="456"/>
      <c r="DG127" s="456"/>
      <c r="DH127" s="456"/>
      <c r="DI127" s="456"/>
      <c r="DJ127" s="456"/>
      <c r="DK127" s="456"/>
      <c r="DL127" s="456"/>
      <c r="DM127" s="456"/>
      <c r="DN127" s="456"/>
      <c r="DO127" s="456"/>
      <c r="DP127" s="456"/>
      <c r="DQ127" s="456"/>
      <c r="DR127" s="456"/>
      <c r="DS127" s="456"/>
      <c r="DT127" s="456"/>
      <c r="DU127" s="456"/>
      <c r="DV127" s="456"/>
      <c r="DW127" s="456"/>
      <c r="DX127" s="456"/>
      <c r="DY127" s="456"/>
      <c r="DZ127" s="456"/>
      <c r="EA127" s="456"/>
      <c r="EB127" s="456"/>
      <c r="EC127" s="456"/>
      <c r="ED127" s="456"/>
      <c r="EE127" s="456"/>
      <c r="EF127" s="456"/>
      <c r="EG127" s="456"/>
      <c r="EH127" s="456"/>
      <c r="EI127" s="456"/>
      <c r="EJ127" s="456"/>
      <c r="EK127" s="456"/>
      <c r="EL127" s="456"/>
      <c r="EM127" s="456"/>
      <c r="EN127" s="456"/>
      <c r="EO127" s="456"/>
      <c r="EP127" s="456"/>
      <c r="EQ127" s="456"/>
      <c r="ER127" s="456"/>
      <c r="ES127" s="456"/>
      <c r="ET127" s="456"/>
      <c r="EU127" s="456"/>
      <c r="EV127" s="456"/>
      <c r="EW127" s="456"/>
      <c r="EX127" s="456"/>
      <c r="EY127" s="456"/>
      <c r="EZ127" s="456"/>
      <c r="FA127" s="456"/>
      <c r="FB127" s="456"/>
      <c r="FC127" s="456"/>
      <c r="FD127" s="456"/>
      <c r="FE127" s="456"/>
      <c r="FF127" s="456"/>
      <c r="FG127" s="456"/>
      <c r="FH127" s="456"/>
      <c r="FI127" s="456"/>
      <c r="FJ127" s="456"/>
      <c r="FK127" s="456"/>
      <c r="FL127" s="456"/>
      <c r="FM127" s="456"/>
      <c r="FN127" s="456"/>
      <c r="FO127" s="456"/>
      <c r="FP127" s="456"/>
      <c r="FQ127" s="456"/>
      <c r="FR127" s="456"/>
      <c r="FS127" s="456"/>
      <c r="FT127" s="456"/>
      <c r="FU127" s="456"/>
      <c r="FV127" s="456"/>
      <c r="FW127" s="456"/>
      <c r="FX127" s="456"/>
      <c r="FY127" s="456"/>
      <c r="FZ127" s="456"/>
      <c r="GA127" s="456"/>
      <c r="GB127" s="456"/>
      <c r="GC127" s="456"/>
      <c r="GD127" s="456"/>
      <c r="GE127" s="456"/>
      <c r="GF127" s="456"/>
      <c r="GG127" s="456"/>
      <c r="GH127" s="456"/>
      <c r="GI127" s="456"/>
      <c r="GJ127" s="456"/>
      <c r="GK127" s="456"/>
      <c r="GL127" s="456"/>
      <c r="GM127" s="456"/>
      <c r="GN127" s="456"/>
      <c r="GO127" s="456"/>
      <c r="GP127" s="456"/>
      <c r="GQ127" s="456"/>
      <c r="GR127" s="456"/>
      <c r="GS127" s="456"/>
      <c r="GT127" s="456"/>
      <c r="GU127" s="456"/>
      <c r="GV127" s="456"/>
      <c r="GW127" s="456"/>
      <c r="GX127" s="456"/>
      <c r="GY127" s="456"/>
      <c r="GZ127" s="456"/>
      <c r="HA127" s="456"/>
      <c r="HB127" s="456"/>
      <c r="HC127" s="456"/>
      <c r="HD127" s="456"/>
      <c r="HE127" s="456"/>
      <c r="HF127" s="456"/>
      <c r="HG127" s="456"/>
      <c r="HH127" s="456"/>
      <c r="HI127" s="456"/>
      <c r="HJ127" s="456"/>
      <c r="HK127" s="456"/>
      <c r="HL127" s="456"/>
      <c r="HM127" s="456"/>
      <c r="HN127" s="456"/>
      <c r="HO127" s="456"/>
      <c r="HP127" s="456"/>
      <c r="HQ127" s="456"/>
      <c r="HR127" s="456"/>
      <c r="HS127" s="456"/>
      <c r="HT127" s="456"/>
      <c r="HU127" s="456"/>
      <c r="HV127" s="456"/>
      <c r="HW127" s="456"/>
      <c r="HX127" s="456"/>
      <c r="HY127" s="456"/>
      <c r="HZ127" s="456"/>
      <c r="IA127" s="456"/>
      <c r="IB127" s="456"/>
      <c r="IC127" s="456"/>
      <c r="ID127" s="456"/>
      <c r="IE127" s="456"/>
      <c r="IF127" s="456"/>
      <c r="IG127" s="456"/>
      <c r="IH127" s="456"/>
      <c r="II127" s="456"/>
      <c r="IJ127" s="456"/>
      <c r="IK127" s="456"/>
      <c r="IL127" s="456"/>
      <c r="IM127" s="456"/>
      <c r="IN127" s="456"/>
      <c r="IO127" s="456"/>
      <c r="IP127" s="456"/>
      <c r="IQ127" s="456"/>
      <c r="IR127" s="456"/>
      <c r="IS127" s="456"/>
      <c r="IT127" s="456"/>
      <c r="IU127" s="456"/>
      <c r="IV127" s="456"/>
      <c r="IW127" s="456"/>
      <c r="IX127" s="456"/>
      <c r="IY127" s="456"/>
      <c r="IZ127" s="456"/>
      <c r="JA127" s="456"/>
      <c r="JB127" s="456"/>
      <c r="JC127" s="456"/>
      <c r="JD127" s="456"/>
      <c r="JE127" s="456"/>
      <c r="JF127" s="456"/>
      <c r="JG127" s="456"/>
      <c r="JH127" s="456"/>
      <c r="JI127" s="456"/>
      <c r="JJ127" s="456"/>
      <c r="JK127" s="456"/>
      <c r="JL127" s="456"/>
      <c r="JM127" s="456"/>
      <c r="JN127" s="456"/>
      <c r="JO127" s="456"/>
      <c r="JP127" s="456"/>
      <c r="JQ127" s="456"/>
      <c r="JR127" s="456"/>
      <c r="JS127" s="456"/>
      <c r="JT127" s="456"/>
      <c r="JU127" s="456"/>
      <c r="JV127" s="456"/>
      <c r="JW127" s="456"/>
      <c r="JX127" s="456"/>
      <c r="JY127" s="456"/>
      <c r="JZ127" s="456"/>
      <c r="KA127" s="456"/>
      <c r="KB127" s="456"/>
      <c r="KC127" s="456"/>
      <c r="KD127" s="456"/>
      <c r="KE127" s="456"/>
      <c r="KF127" s="456"/>
      <c r="KG127" s="456"/>
      <c r="KH127" s="456"/>
      <c r="KI127" s="456"/>
      <c r="KJ127" s="456"/>
      <c r="KK127" s="456"/>
      <c r="KL127" s="456"/>
      <c r="KM127" s="456"/>
      <c r="KN127" s="456"/>
      <c r="KO127" s="456"/>
      <c r="KP127" s="456"/>
      <c r="KQ127" s="456"/>
      <c r="KR127" s="456"/>
      <c r="KS127" s="456"/>
      <c r="KT127" s="456"/>
      <c r="KU127" s="456"/>
      <c r="KV127" s="456"/>
      <c r="KW127" s="456"/>
      <c r="KX127" s="456"/>
      <c r="KY127" s="456"/>
      <c r="KZ127" s="456"/>
      <c r="LA127" s="456"/>
      <c r="LB127" s="456"/>
      <c r="LC127" s="456"/>
      <c r="LD127" s="456"/>
      <c r="LE127" s="456"/>
      <c r="LF127" s="456"/>
      <c r="LG127" s="456"/>
      <c r="LH127" s="456"/>
      <c r="LI127" s="456"/>
      <c r="LJ127" s="456"/>
      <c r="LK127" s="456"/>
      <c r="LL127" s="456"/>
      <c r="LM127" s="456"/>
      <c r="LN127" s="456"/>
      <c r="LO127" s="456"/>
      <c r="LP127" s="456"/>
      <c r="LQ127" s="456"/>
      <c r="LR127" s="456"/>
      <c r="LS127" s="456"/>
      <c r="LT127" s="456"/>
      <c r="LU127" s="456"/>
      <c r="LV127" s="456"/>
      <c r="LW127" s="456"/>
      <c r="LX127" s="456"/>
      <c r="LY127" s="456"/>
      <c r="LZ127" s="456"/>
      <c r="MA127" s="456"/>
      <c r="MB127" s="456"/>
      <c r="MC127" s="456"/>
      <c r="MD127" s="456"/>
      <c r="ME127" s="456"/>
      <c r="MF127" s="456"/>
      <c r="MG127" s="456"/>
      <c r="MH127" s="456"/>
      <c r="MI127" s="456"/>
      <c r="MJ127" s="456"/>
      <c r="MK127" s="456"/>
      <c r="ML127" s="456"/>
      <c r="MM127" s="456"/>
      <c r="MN127" s="456"/>
      <c r="MO127" s="456"/>
      <c r="MP127" s="456"/>
      <c r="MQ127" s="456"/>
      <c r="MR127" s="456"/>
      <c r="MS127" s="456"/>
      <c r="MT127" s="456"/>
      <c r="MU127" s="456"/>
      <c r="MV127" s="456"/>
      <c r="MW127" s="456"/>
      <c r="MX127" s="456"/>
      <c r="MY127" s="456"/>
      <c r="MZ127" s="456"/>
      <c r="NA127" s="456"/>
      <c r="NB127" s="456"/>
      <c r="NC127" s="456"/>
      <c r="ND127" s="456"/>
      <c r="NE127" s="456"/>
      <c r="NF127" s="456"/>
      <c r="NG127" s="456"/>
      <c r="NH127" s="456"/>
      <c r="NI127" s="456"/>
      <c r="NJ127" s="456"/>
      <c r="NK127" s="456"/>
      <c r="NL127" s="456"/>
      <c r="NM127" s="456"/>
      <c r="NN127" s="456"/>
      <c r="NO127" s="456"/>
      <c r="NP127" s="456"/>
      <c r="NQ127" s="456"/>
      <c r="NR127" s="456"/>
      <c r="NS127" s="456"/>
      <c r="NT127" s="456"/>
      <c r="NU127" s="456"/>
      <c r="NV127" s="456"/>
      <c r="NW127" s="456"/>
      <c r="NX127" s="456"/>
      <c r="NY127" s="456"/>
      <c r="NZ127" s="456"/>
      <c r="OA127" s="456"/>
      <c r="OB127" s="456"/>
      <c r="OC127" s="456"/>
      <c r="OD127" s="456"/>
      <c r="OE127" s="456"/>
      <c r="OF127" s="456"/>
      <c r="OG127" s="456"/>
      <c r="OH127" s="456"/>
      <c r="OI127" s="456"/>
      <c r="OJ127" s="456"/>
      <c r="OK127" s="456"/>
      <c r="OL127" s="456"/>
      <c r="OM127" s="456"/>
      <c r="ON127" s="456"/>
      <c r="OO127" s="456"/>
      <c r="OP127" s="456"/>
      <c r="OQ127" s="456"/>
      <c r="OR127" s="456"/>
      <c r="OS127" s="456"/>
      <c r="OT127" s="456"/>
      <c r="OU127" s="456"/>
      <c r="OV127" s="456"/>
      <c r="OW127" s="456"/>
      <c r="OX127" s="456"/>
      <c r="OY127" s="456"/>
      <c r="OZ127" s="456"/>
      <c r="PA127" s="456"/>
      <c r="PB127" s="456"/>
      <c r="PC127" s="456"/>
      <c r="PD127" s="456"/>
      <c r="PE127" s="456"/>
      <c r="PF127" s="456"/>
      <c r="PG127" s="456"/>
      <c r="PH127" s="456"/>
      <c r="PI127" s="456"/>
      <c r="PJ127" s="456"/>
      <c r="PK127" s="456"/>
      <c r="PL127" s="456"/>
      <c r="PM127" s="456"/>
      <c r="PN127" s="456"/>
      <c r="PO127" s="456"/>
      <c r="PP127" s="456"/>
      <c r="PQ127" s="456"/>
      <c r="PR127" s="456"/>
      <c r="PS127" s="456"/>
      <c r="PT127" s="456"/>
      <c r="PU127" s="456"/>
      <c r="PV127" s="456"/>
      <c r="PW127" s="456"/>
      <c r="PX127" s="456"/>
      <c r="PY127" s="456"/>
      <c r="PZ127" s="456"/>
      <c r="QA127" s="456"/>
      <c r="QB127" s="456"/>
      <c r="QC127" s="456"/>
      <c r="QD127" s="456"/>
      <c r="QE127" s="456"/>
      <c r="QF127" s="456"/>
      <c r="QG127" s="456"/>
      <c r="QH127" s="456"/>
      <c r="QI127" s="456"/>
      <c r="QJ127" s="456"/>
      <c r="QK127" s="456"/>
      <c r="QL127" s="456"/>
      <c r="QM127" s="456"/>
      <c r="QN127" s="456"/>
      <c r="QO127" s="456"/>
      <c r="QP127" s="456"/>
      <c r="QQ127" s="456"/>
      <c r="QR127" s="456"/>
      <c r="QS127" s="456"/>
      <c r="QT127" s="456"/>
      <c r="QU127" s="456"/>
      <c r="QV127" s="456"/>
      <c r="QW127" s="456"/>
      <c r="QX127" s="456"/>
      <c r="QY127" s="456"/>
      <c r="QZ127" s="456"/>
      <c r="RA127" s="456"/>
      <c r="RB127" s="456"/>
      <c r="RC127" s="456"/>
      <c r="RD127" s="456"/>
      <c r="RE127" s="456"/>
      <c r="RF127" s="456"/>
      <c r="RG127" s="456"/>
      <c r="RH127" s="456"/>
      <c r="RI127" s="456"/>
      <c r="RJ127" s="456"/>
      <c r="RK127" s="456"/>
      <c r="RL127" s="456"/>
      <c r="RM127" s="456"/>
      <c r="RN127" s="456"/>
      <c r="RO127" s="456"/>
      <c r="RP127" s="456"/>
      <c r="RQ127" s="456"/>
      <c r="RR127" s="456"/>
      <c r="RS127" s="456"/>
      <c r="RT127" s="456"/>
      <c r="RU127" s="456"/>
      <c r="RV127" s="456"/>
      <c r="RW127" s="456"/>
      <c r="RX127" s="456"/>
      <c r="RY127" s="456"/>
      <c r="RZ127" s="456"/>
      <c r="SA127" s="456"/>
      <c r="SB127" s="456"/>
      <c r="SC127" s="456"/>
      <c r="SD127" s="456"/>
      <c r="SE127" s="456"/>
      <c r="SF127" s="456"/>
      <c r="SG127" s="456"/>
      <c r="SH127" s="456"/>
      <c r="SI127" s="456"/>
      <c r="SJ127" s="456"/>
      <c r="SK127" s="456"/>
      <c r="SL127" s="456"/>
      <c r="SM127" s="456"/>
      <c r="SN127" s="456"/>
      <c r="SO127" s="456"/>
      <c r="SP127" s="456"/>
      <c r="SQ127" s="456"/>
      <c r="SR127" s="456"/>
      <c r="SS127" s="456"/>
      <c r="ST127" s="456"/>
      <c r="SU127" s="456"/>
      <c r="SV127" s="456"/>
      <c r="SW127" s="456"/>
      <c r="SX127" s="456"/>
      <c r="SY127" s="456"/>
      <c r="SZ127" s="456"/>
      <c r="TA127" s="456"/>
      <c r="TB127" s="456"/>
      <c r="TC127" s="456"/>
      <c r="TD127" s="456"/>
      <c r="TE127" s="456"/>
      <c r="TF127" s="456"/>
      <c r="TG127" s="456"/>
      <c r="TH127" s="456"/>
      <c r="TI127" s="456"/>
      <c r="TJ127" s="456"/>
      <c r="TK127" s="456"/>
      <c r="TL127" s="456"/>
      <c r="TM127" s="456"/>
      <c r="TN127" s="456"/>
      <c r="TO127" s="456"/>
      <c r="TP127" s="456"/>
      <c r="TQ127" s="456"/>
      <c r="TR127" s="456"/>
      <c r="TS127" s="456"/>
      <c r="TT127" s="456"/>
      <c r="TU127" s="456"/>
      <c r="TV127" s="456"/>
      <c r="TW127" s="456"/>
      <c r="TX127" s="456"/>
      <c r="TY127" s="456"/>
      <c r="TZ127" s="456"/>
      <c r="UA127" s="456"/>
      <c r="UB127" s="456"/>
      <c r="UC127" s="456"/>
      <c r="UD127" s="456"/>
      <c r="UE127" s="456"/>
      <c r="UF127" s="456"/>
      <c r="UG127" s="456"/>
      <c r="UH127" s="456"/>
      <c r="UI127" s="456"/>
      <c r="UJ127" s="456"/>
      <c r="UK127" s="456"/>
      <c r="UL127" s="456"/>
      <c r="UM127" s="456"/>
      <c r="UN127" s="456"/>
      <c r="UO127" s="456"/>
      <c r="UP127" s="456"/>
      <c r="UQ127" s="456"/>
      <c r="UR127" s="456"/>
      <c r="US127" s="456"/>
      <c r="UT127" s="456"/>
      <c r="UU127" s="456"/>
      <c r="UV127" s="456"/>
      <c r="UW127" s="456"/>
      <c r="UX127" s="456"/>
      <c r="UY127" s="456"/>
      <c r="UZ127" s="456"/>
      <c r="VA127" s="456"/>
      <c r="VB127" s="456"/>
      <c r="VC127" s="456"/>
      <c r="VD127" s="456"/>
      <c r="VE127" s="456"/>
      <c r="VF127" s="456"/>
      <c r="VG127" s="456"/>
      <c r="VH127" s="456"/>
      <c r="VI127" s="456"/>
      <c r="VJ127" s="456"/>
      <c r="VK127" s="456"/>
      <c r="VL127" s="456"/>
      <c r="VM127" s="456"/>
      <c r="VN127" s="456"/>
      <c r="VO127" s="456"/>
      <c r="VP127" s="456"/>
      <c r="VQ127" s="456"/>
      <c r="VR127" s="456"/>
      <c r="VS127" s="456"/>
      <c r="VT127" s="456"/>
      <c r="VU127" s="456"/>
      <c r="VV127" s="456"/>
      <c r="VW127" s="456"/>
      <c r="VX127" s="456"/>
      <c r="VY127" s="456"/>
      <c r="VZ127" s="456"/>
      <c r="WA127" s="456"/>
      <c r="WB127" s="456"/>
      <c r="WC127" s="456"/>
      <c r="WD127" s="456"/>
      <c r="WE127" s="456"/>
      <c r="WF127" s="456"/>
      <c r="WG127" s="456"/>
      <c r="WH127" s="456"/>
      <c r="WI127" s="456"/>
      <c r="WJ127" s="456"/>
      <c r="WK127" s="456"/>
      <c r="WL127" s="456"/>
      <c r="WM127" s="456"/>
      <c r="WN127" s="456"/>
      <c r="WO127" s="456"/>
      <c r="WP127" s="456"/>
      <c r="WQ127" s="456"/>
      <c r="WR127" s="456"/>
      <c r="WS127" s="456"/>
      <c r="WT127" s="456"/>
      <c r="WU127" s="456"/>
      <c r="WV127" s="456"/>
      <c r="WW127" s="456"/>
      <c r="WX127" s="456"/>
      <c r="WY127" s="456"/>
      <c r="WZ127" s="456"/>
      <c r="XA127" s="456"/>
      <c r="XB127" s="456"/>
      <c r="XC127" s="456"/>
      <c r="XD127" s="456"/>
      <c r="XE127" s="456"/>
      <c r="XF127" s="456"/>
      <c r="XG127" s="456"/>
      <c r="XH127" s="456"/>
      <c r="XI127" s="456"/>
      <c r="XJ127" s="456"/>
      <c r="XK127" s="456"/>
      <c r="XL127" s="456"/>
      <c r="XM127" s="456"/>
      <c r="XN127" s="456"/>
      <c r="XO127" s="456"/>
      <c r="XP127" s="456"/>
      <c r="XQ127" s="456"/>
      <c r="XR127" s="456"/>
      <c r="XS127" s="456"/>
      <c r="XT127" s="456"/>
      <c r="XU127" s="456"/>
      <c r="XV127" s="456"/>
      <c r="XW127" s="456"/>
      <c r="XX127" s="456"/>
      <c r="XY127" s="456"/>
      <c r="XZ127" s="456"/>
      <c r="YA127" s="456"/>
      <c r="YB127" s="456"/>
      <c r="YC127" s="456"/>
      <c r="YD127" s="456"/>
      <c r="YE127" s="456"/>
      <c r="YF127" s="456"/>
      <c r="YG127" s="456"/>
      <c r="YH127" s="456"/>
      <c r="YI127" s="456"/>
      <c r="YJ127" s="456"/>
      <c r="YK127" s="456"/>
      <c r="YL127" s="456"/>
      <c r="YM127" s="456"/>
      <c r="YN127" s="456"/>
      <c r="YO127" s="456"/>
      <c r="YP127" s="456"/>
      <c r="YQ127" s="456"/>
      <c r="YR127" s="456"/>
      <c r="YS127" s="456"/>
      <c r="YT127" s="456"/>
      <c r="YU127" s="456"/>
      <c r="YV127" s="456"/>
      <c r="YW127" s="456"/>
      <c r="YX127" s="456"/>
      <c r="YY127" s="456"/>
      <c r="YZ127" s="456"/>
      <c r="ZA127" s="456"/>
      <c r="ZB127" s="456"/>
      <c r="ZC127" s="456"/>
      <c r="ZD127" s="456"/>
      <c r="ZE127" s="456"/>
      <c r="ZF127" s="456"/>
      <c r="ZG127" s="456"/>
      <c r="ZH127" s="456"/>
      <c r="ZI127" s="456"/>
      <c r="ZJ127" s="456"/>
      <c r="ZK127" s="456"/>
      <c r="ZL127" s="456"/>
      <c r="ZM127" s="456"/>
      <c r="ZN127" s="456"/>
      <c r="ZO127" s="456"/>
      <c r="ZP127" s="456"/>
      <c r="ZQ127" s="456"/>
      <c r="ZR127" s="456"/>
      <c r="ZS127" s="456"/>
      <c r="ZT127" s="456"/>
      <c r="ZU127" s="456"/>
      <c r="ZV127" s="456"/>
      <c r="ZW127" s="456"/>
      <c r="ZX127" s="456"/>
      <c r="ZY127" s="456"/>
      <c r="ZZ127" s="456"/>
      <c r="AAA127" s="456"/>
      <c r="AAB127" s="456"/>
      <c r="AAC127" s="456"/>
      <c r="AAD127" s="456"/>
      <c r="AAE127" s="456"/>
      <c r="AAF127" s="456"/>
      <c r="AAG127" s="456"/>
      <c r="AAH127" s="456"/>
      <c r="AAI127" s="456"/>
      <c r="AAJ127" s="456"/>
      <c r="AAK127" s="456"/>
      <c r="AAL127" s="456"/>
      <c r="AAM127" s="456"/>
      <c r="AAN127" s="456"/>
      <c r="AAO127" s="456"/>
      <c r="AAP127" s="456"/>
      <c r="AAQ127" s="456"/>
      <c r="AAR127" s="456"/>
      <c r="AAS127" s="456"/>
      <c r="AAT127" s="456"/>
      <c r="AAU127" s="456"/>
      <c r="AAV127" s="456"/>
      <c r="AAW127" s="456"/>
      <c r="AAX127" s="456"/>
      <c r="AAY127" s="456"/>
      <c r="AAZ127" s="456"/>
      <c r="ABA127" s="456"/>
      <c r="ABB127" s="456"/>
      <c r="ABC127" s="456"/>
      <c r="ABD127" s="456"/>
      <c r="ABE127" s="456"/>
      <c r="ABF127" s="456"/>
      <c r="ABG127" s="456"/>
      <c r="ABH127" s="456"/>
      <c r="ABI127" s="456"/>
      <c r="ABJ127" s="456"/>
      <c r="ABK127" s="456"/>
      <c r="ABL127" s="456"/>
      <c r="ABM127" s="456"/>
      <c r="ABN127" s="456"/>
      <c r="ABO127" s="456"/>
      <c r="ABP127" s="456"/>
      <c r="ABQ127" s="456"/>
      <c r="ABR127" s="456"/>
      <c r="ABS127" s="456"/>
      <c r="ABT127" s="456"/>
      <c r="ABU127" s="456"/>
      <c r="ABV127" s="456"/>
      <c r="ABW127" s="456"/>
      <c r="ABX127" s="456"/>
      <c r="ABY127" s="456"/>
      <c r="ABZ127" s="456"/>
      <c r="ACA127" s="456"/>
      <c r="ACB127" s="456"/>
      <c r="ACC127" s="456"/>
      <c r="ACD127" s="456"/>
      <c r="ACE127" s="456"/>
      <c r="ACF127" s="456"/>
      <c r="ACG127" s="456"/>
      <c r="ACH127" s="456"/>
      <c r="ACI127" s="456"/>
      <c r="ACJ127" s="456"/>
      <c r="ACK127" s="456"/>
      <c r="ACL127" s="456"/>
      <c r="ACM127" s="456"/>
      <c r="ACN127" s="456"/>
      <c r="ACO127" s="456"/>
      <c r="ACP127" s="456"/>
      <c r="ACQ127" s="456"/>
      <c r="ACR127" s="456"/>
      <c r="ACS127" s="456"/>
      <c r="ACT127" s="456"/>
      <c r="ACU127" s="456"/>
      <c r="ACV127" s="456"/>
      <c r="ACW127" s="456"/>
      <c r="ACX127" s="456"/>
      <c r="ACY127" s="456"/>
      <c r="ACZ127" s="456"/>
      <c r="ADA127" s="456"/>
      <c r="ADB127" s="456"/>
      <c r="ADC127" s="456"/>
      <c r="ADD127" s="456"/>
      <c r="ADE127" s="456"/>
      <c r="ADF127" s="456"/>
      <c r="ADG127" s="456"/>
      <c r="ADH127" s="456"/>
      <c r="ADI127" s="456"/>
      <c r="ADJ127" s="456"/>
      <c r="ADK127" s="456"/>
      <c r="ADL127" s="456"/>
      <c r="ADM127" s="456"/>
      <c r="ADN127" s="456"/>
      <c r="ADO127" s="456"/>
      <c r="ADP127" s="456"/>
      <c r="ADQ127" s="456"/>
      <c r="ADR127" s="456"/>
      <c r="ADS127" s="456"/>
      <c r="ADT127" s="456"/>
      <c r="ADU127" s="456"/>
      <c r="ADV127" s="456"/>
      <c r="ADW127" s="456"/>
      <c r="ADX127" s="456"/>
      <c r="ADY127" s="456"/>
      <c r="ADZ127" s="456"/>
      <c r="AEA127" s="456"/>
      <c r="AEB127" s="456"/>
      <c r="AEC127" s="456"/>
      <c r="AED127" s="456"/>
      <c r="AEE127" s="456"/>
      <c r="AEF127" s="456"/>
      <c r="AEG127" s="456"/>
      <c r="AEH127" s="456"/>
      <c r="AEI127" s="456"/>
      <c r="AEJ127" s="456"/>
      <c r="AEK127" s="456"/>
      <c r="AEL127" s="456"/>
      <c r="AEM127" s="456"/>
      <c r="AEN127" s="456"/>
      <c r="AEO127" s="456"/>
      <c r="AEP127" s="456"/>
      <c r="AEQ127" s="456"/>
      <c r="AER127" s="456"/>
      <c r="AES127" s="456"/>
      <c r="AET127" s="456"/>
      <c r="AEU127" s="456"/>
      <c r="AEV127" s="456"/>
      <c r="AEW127" s="456"/>
      <c r="AEX127" s="456"/>
      <c r="AEY127" s="456"/>
      <c r="AEZ127" s="456"/>
      <c r="AFA127" s="456"/>
      <c r="AFB127" s="456"/>
      <c r="AFC127" s="456"/>
      <c r="AFD127" s="456"/>
      <c r="AFE127" s="456"/>
      <c r="AFF127" s="456"/>
      <c r="AFG127" s="456"/>
      <c r="AFH127" s="456"/>
      <c r="AFI127" s="456"/>
      <c r="AFJ127" s="456"/>
      <c r="AFK127" s="456"/>
      <c r="AFL127" s="456"/>
      <c r="AFM127" s="456"/>
      <c r="AFN127" s="456"/>
      <c r="AFO127" s="456"/>
      <c r="AFP127" s="456"/>
      <c r="AFQ127" s="456"/>
      <c r="AFR127" s="456"/>
      <c r="AFS127" s="456"/>
      <c r="AFT127" s="456"/>
      <c r="AFU127" s="456"/>
      <c r="AFV127" s="456"/>
      <c r="AFW127" s="456"/>
      <c r="AFX127" s="456"/>
      <c r="AFY127" s="456"/>
      <c r="AFZ127" s="456"/>
      <c r="AGA127" s="456"/>
      <c r="AGB127" s="456"/>
      <c r="AGC127" s="456"/>
      <c r="AGD127" s="456"/>
      <c r="AGE127" s="456"/>
      <c r="AGF127" s="456"/>
      <c r="AGG127" s="456"/>
      <c r="AGH127" s="456"/>
      <c r="AGI127" s="456"/>
      <c r="AGJ127" s="456"/>
      <c r="AGK127" s="456"/>
      <c r="AGL127" s="456"/>
      <c r="AGM127" s="456"/>
      <c r="AGN127" s="456"/>
      <c r="AGO127" s="456"/>
      <c r="AGP127" s="456"/>
      <c r="AGQ127" s="456"/>
      <c r="AGR127" s="456"/>
      <c r="AGS127" s="456"/>
      <c r="AGT127" s="456"/>
      <c r="AGU127" s="456"/>
      <c r="AGV127" s="456"/>
      <c r="AGW127" s="456"/>
      <c r="AGX127" s="456"/>
      <c r="AGY127" s="456"/>
      <c r="AGZ127" s="456"/>
      <c r="AHA127" s="456"/>
      <c r="AHB127" s="456"/>
      <c r="AHC127" s="456"/>
      <c r="AHD127" s="456"/>
      <c r="AHE127" s="456"/>
      <c r="AHF127" s="456"/>
      <c r="AHG127" s="456"/>
      <c r="AHH127" s="456"/>
      <c r="AHI127" s="456"/>
      <c r="AHJ127" s="456"/>
      <c r="AHK127" s="456"/>
      <c r="AHL127" s="456"/>
      <c r="AHM127" s="456"/>
      <c r="AHN127" s="456"/>
      <c r="AHO127" s="456"/>
      <c r="AHP127" s="456"/>
      <c r="AHQ127" s="456"/>
      <c r="AHR127" s="456"/>
      <c r="AHS127" s="456"/>
      <c r="AHT127" s="456"/>
      <c r="AHU127" s="456"/>
      <c r="AHV127" s="456"/>
      <c r="AHW127" s="456"/>
      <c r="AHX127" s="456"/>
      <c r="AHY127" s="456"/>
      <c r="AHZ127" s="456"/>
      <c r="AIA127" s="456"/>
      <c r="AIB127" s="456"/>
      <c r="AIC127" s="456"/>
      <c r="AID127" s="456"/>
      <c r="AIE127" s="456"/>
      <c r="AIF127" s="456"/>
      <c r="AIG127" s="456"/>
      <c r="AIH127" s="456"/>
      <c r="AII127" s="456"/>
      <c r="AIJ127" s="456"/>
      <c r="AIK127" s="456"/>
      <c r="AIL127" s="456"/>
      <c r="AIM127" s="456"/>
      <c r="AIN127" s="456"/>
      <c r="AIO127" s="456"/>
      <c r="AIP127" s="456"/>
      <c r="AIQ127" s="456"/>
      <c r="AIR127" s="456"/>
      <c r="AIS127" s="456"/>
      <c r="AIT127" s="456"/>
      <c r="AIU127" s="456"/>
      <c r="AIV127" s="456"/>
      <c r="AIW127" s="456"/>
      <c r="AIX127" s="456"/>
      <c r="AIY127" s="456"/>
      <c r="AIZ127" s="456"/>
      <c r="AJA127" s="456"/>
      <c r="AJB127" s="456"/>
      <c r="AJC127" s="456"/>
      <c r="AJD127" s="456"/>
      <c r="AJE127" s="456"/>
      <c r="AJF127" s="456"/>
      <c r="AJG127" s="456"/>
      <c r="AJH127" s="456"/>
      <c r="AJI127" s="456"/>
      <c r="AJJ127" s="456"/>
      <c r="AJK127" s="456"/>
      <c r="AJL127" s="456"/>
      <c r="AJM127" s="456"/>
      <c r="AJN127" s="456"/>
      <c r="AJO127" s="456"/>
      <c r="AJP127" s="456"/>
      <c r="AJQ127" s="456"/>
      <c r="AJR127" s="456"/>
      <c r="AJS127" s="456"/>
      <c r="AJT127" s="456"/>
      <c r="AJU127" s="456"/>
      <c r="AJV127" s="456"/>
      <c r="AJW127" s="456"/>
      <c r="AJX127" s="456"/>
      <c r="AJY127" s="456"/>
      <c r="AJZ127" s="456"/>
      <c r="AKA127" s="456"/>
      <c r="AKB127" s="456"/>
      <c r="AKC127" s="456"/>
      <c r="AKD127" s="456"/>
      <c r="AKE127" s="456"/>
      <c r="AKF127" s="456"/>
      <c r="AKG127" s="456"/>
      <c r="AKH127" s="456"/>
      <c r="AKI127" s="456"/>
      <c r="AKJ127" s="456"/>
      <c r="AKK127" s="456"/>
      <c r="AKL127" s="456"/>
      <c r="AKM127" s="456"/>
      <c r="AKN127" s="456"/>
      <c r="AKO127" s="456"/>
      <c r="AKP127" s="456"/>
      <c r="AKQ127" s="456"/>
      <c r="AKR127" s="456"/>
      <c r="AKS127" s="456"/>
      <c r="AKT127" s="456"/>
      <c r="AKU127" s="456"/>
      <c r="AKV127" s="456"/>
      <c r="AKW127" s="456"/>
      <c r="AKX127" s="456"/>
      <c r="AKY127" s="456"/>
      <c r="AKZ127" s="456"/>
      <c r="ALA127" s="456"/>
      <c r="ALB127" s="456"/>
      <c r="ALC127" s="456"/>
      <c r="ALD127" s="456"/>
      <c r="ALE127" s="456"/>
      <c r="ALF127" s="456"/>
      <c r="ALG127" s="456"/>
      <c r="ALH127" s="456"/>
      <c r="ALI127" s="456"/>
      <c r="ALJ127" s="456"/>
      <c r="ALK127" s="456"/>
      <c r="ALL127" s="456"/>
      <c r="ALM127" s="456"/>
      <c r="ALN127" s="456"/>
      <c r="ALO127" s="456"/>
      <c r="ALP127" s="456"/>
      <c r="ALQ127" s="456"/>
      <c r="ALR127" s="456"/>
      <c r="ALS127" s="456"/>
      <c r="ALT127" s="456"/>
      <c r="ALU127" s="456"/>
      <c r="ALV127" s="456"/>
      <c r="ALW127" s="456"/>
      <c r="ALX127" s="456"/>
      <c r="ALY127" s="456"/>
      <c r="ALZ127" s="456"/>
      <c r="AMA127" s="456"/>
      <c r="AMB127" s="456"/>
      <c r="AMC127" s="456"/>
      <c r="AMD127" s="456"/>
      <c r="AME127" s="456"/>
      <c r="AMF127" s="456"/>
      <c r="AMG127" s="456"/>
      <c r="AMH127" s="456"/>
      <c r="AMI127" s="456"/>
      <c r="AMJ127" s="456"/>
      <c r="AMK127" s="456"/>
      <c r="AML127" s="456"/>
      <c r="AMM127" s="456"/>
      <c r="AMN127" s="456"/>
      <c r="AMO127" s="456"/>
      <c r="AMP127" s="456"/>
      <c r="AMQ127" s="456"/>
      <c r="AMR127" s="456"/>
      <c r="AMS127" s="456"/>
      <c r="AMT127" s="456"/>
      <c r="AMU127" s="456"/>
      <c r="AMV127" s="456"/>
      <c r="AMW127" s="456"/>
      <c r="AMX127" s="456"/>
      <c r="AMY127" s="456"/>
      <c r="AMZ127" s="456"/>
      <c r="ANA127" s="456"/>
      <c r="ANB127" s="456"/>
      <c r="ANC127" s="456"/>
      <c r="AND127" s="456"/>
      <c r="ANE127" s="456"/>
      <c r="ANF127" s="456"/>
      <c r="ANG127" s="456"/>
      <c r="ANH127" s="456"/>
      <c r="ANI127" s="456"/>
      <c r="ANJ127" s="456"/>
      <c r="ANK127" s="456"/>
      <c r="ANL127" s="456"/>
      <c r="ANM127" s="456"/>
      <c r="ANN127" s="456"/>
      <c r="ANO127" s="456"/>
      <c r="ANP127" s="456"/>
      <c r="ANQ127" s="456"/>
      <c r="ANR127" s="456"/>
      <c r="ANS127" s="456"/>
      <c r="ANT127" s="456"/>
      <c r="ANU127" s="456"/>
      <c r="ANV127" s="456"/>
      <c r="ANW127" s="456"/>
      <c r="ANX127" s="456"/>
      <c r="ANY127" s="456"/>
      <c r="ANZ127" s="456"/>
      <c r="AOA127" s="456"/>
      <c r="AOB127" s="456"/>
      <c r="AOC127" s="456"/>
      <c r="AOD127" s="456"/>
      <c r="AOE127" s="456"/>
      <c r="AOF127" s="456"/>
      <c r="AOG127" s="456"/>
      <c r="AOH127" s="456"/>
      <c r="AOI127" s="456"/>
      <c r="AOJ127" s="456"/>
      <c r="AOK127" s="456"/>
      <c r="AOL127" s="456"/>
      <c r="AOM127" s="456"/>
      <c r="AON127" s="456"/>
      <c r="AOO127" s="456"/>
      <c r="AOP127" s="456"/>
      <c r="AOQ127" s="456"/>
      <c r="AOR127" s="456"/>
      <c r="AOS127" s="456"/>
      <c r="AOT127" s="456"/>
      <c r="AOU127" s="456"/>
      <c r="AOV127" s="456"/>
      <c r="AOW127" s="456"/>
      <c r="AOX127" s="456"/>
      <c r="AOY127" s="456"/>
      <c r="AOZ127" s="456"/>
      <c r="APA127" s="456"/>
      <c r="APB127" s="456"/>
      <c r="APC127" s="456"/>
      <c r="APD127" s="456"/>
      <c r="APE127" s="456"/>
      <c r="APF127" s="456"/>
      <c r="APG127" s="456"/>
      <c r="APH127" s="456"/>
      <c r="API127" s="456"/>
      <c r="APJ127" s="456"/>
      <c r="APK127" s="456"/>
      <c r="APL127" s="456"/>
      <c r="APM127" s="456"/>
      <c r="APN127" s="456"/>
      <c r="APO127" s="456"/>
      <c r="APP127" s="456"/>
      <c r="APQ127" s="456"/>
      <c r="APR127" s="456"/>
      <c r="APS127" s="456"/>
      <c r="APT127" s="456"/>
      <c r="APU127" s="456"/>
      <c r="APV127" s="456"/>
      <c r="APW127" s="456"/>
      <c r="APX127" s="456"/>
      <c r="APY127" s="456"/>
      <c r="APZ127" s="456"/>
      <c r="AQA127" s="456"/>
      <c r="AQB127" s="456"/>
      <c r="AQC127" s="456"/>
      <c r="AQD127" s="456"/>
      <c r="AQE127" s="456"/>
      <c r="AQF127" s="456"/>
      <c r="AQG127" s="456"/>
      <c r="AQH127" s="456"/>
      <c r="AQI127" s="456"/>
      <c r="AQJ127" s="456"/>
      <c r="AQK127" s="456"/>
      <c r="AQL127" s="456"/>
      <c r="AQM127" s="456"/>
      <c r="AQN127" s="456"/>
      <c r="AQO127" s="456"/>
      <c r="AQP127" s="456"/>
      <c r="AQQ127" s="456"/>
      <c r="AQR127" s="456"/>
      <c r="AQS127" s="456"/>
      <c r="AQT127" s="456"/>
      <c r="AQU127" s="456"/>
      <c r="AQV127" s="456"/>
      <c r="AQW127" s="456"/>
      <c r="AQX127" s="456"/>
      <c r="AQY127" s="456"/>
      <c r="AQZ127" s="456"/>
      <c r="ARA127" s="456"/>
      <c r="ARB127" s="456"/>
      <c r="ARC127" s="456"/>
      <c r="ARD127" s="456"/>
      <c r="ARE127" s="456"/>
      <c r="ARF127" s="456"/>
      <c r="ARG127" s="456"/>
      <c r="ARH127" s="456"/>
      <c r="ARI127" s="456"/>
      <c r="ARJ127" s="456"/>
      <c r="ARK127" s="456"/>
      <c r="ARL127" s="456"/>
      <c r="ARM127" s="456"/>
      <c r="ARN127" s="456"/>
      <c r="ARO127" s="456"/>
      <c r="ARP127" s="456"/>
      <c r="ARQ127" s="456"/>
      <c r="ARR127" s="456"/>
      <c r="ARS127" s="456"/>
      <c r="ART127" s="456"/>
      <c r="ARU127" s="456"/>
      <c r="ARV127" s="456"/>
      <c r="ARW127" s="456"/>
      <c r="ARX127" s="456"/>
      <c r="ARY127" s="456"/>
      <c r="ARZ127" s="456"/>
      <c r="ASA127" s="456"/>
      <c r="ASB127" s="456"/>
      <c r="ASC127" s="456"/>
      <c r="ASD127" s="456"/>
      <c r="ASE127" s="456"/>
      <c r="ASF127" s="456"/>
      <c r="ASG127" s="456"/>
      <c r="ASH127" s="456"/>
      <c r="ASI127" s="456"/>
      <c r="ASJ127" s="456"/>
      <c r="ASK127" s="456"/>
      <c r="ASL127" s="456"/>
      <c r="ASM127" s="456"/>
      <c r="ASN127" s="456"/>
      <c r="ASO127" s="456"/>
      <c r="ASP127" s="456"/>
      <c r="ASQ127" s="456"/>
      <c r="ASR127" s="456"/>
      <c r="ASS127" s="456"/>
      <c r="AST127" s="456"/>
      <c r="ASU127" s="456"/>
      <c r="ASV127" s="456"/>
      <c r="ASW127" s="456"/>
      <c r="ASX127" s="456"/>
      <c r="ASY127" s="456"/>
      <c r="ASZ127" s="456"/>
      <c r="ATA127" s="456"/>
      <c r="ATB127" s="456"/>
      <c r="ATC127" s="456"/>
      <c r="ATD127" s="456"/>
      <c r="ATE127" s="456"/>
      <c r="ATF127" s="456"/>
      <c r="ATG127" s="456"/>
      <c r="ATH127" s="456"/>
      <c r="ATI127" s="456"/>
      <c r="ATJ127" s="456"/>
      <c r="ATK127" s="456"/>
      <c r="ATL127" s="456"/>
      <c r="ATM127" s="456"/>
      <c r="ATN127" s="456"/>
      <c r="ATO127" s="456"/>
      <c r="ATP127" s="456"/>
      <c r="ATQ127" s="456"/>
      <c r="ATR127" s="456"/>
      <c r="ATS127" s="456"/>
      <c r="ATT127" s="456"/>
      <c r="ATU127" s="456"/>
      <c r="ATV127" s="456"/>
      <c r="ATW127" s="456"/>
      <c r="ATX127" s="456"/>
      <c r="ATY127" s="456"/>
      <c r="ATZ127" s="456"/>
      <c r="AUA127" s="456"/>
      <c r="AUB127" s="456"/>
      <c r="AUC127" s="456"/>
      <c r="AUD127" s="456"/>
      <c r="AUE127" s="456"/>
      <c r="AUF127" s="456"/>
      <c r="AUG127" s="456"/>
      <c r="AUH127" s="456"/>
      <c r="AUI127" s="456"/>
      <c r="AUJ127" s="456"/>
      <c r="AUK127" s="456"/>
      <c r="AUL127" s="456"/>
      <c r="AUM127" s="456"/>
      <c r="AUN127" s="456"/>
      <c r="AUO127" s="456"/>
      <c r="AUP127" s="456"/>
      <c r="AUQ127" s="456"/>
      <c r="AUR127" s="456"/>
      <c r="AUS127" s="456"/>
      <c r="AUT127" s="456"/>
      <c r="AUU127" s="456"/>
      <c r="AUV127" s="456"/>
      <c r="AUW127" s="456"/>
      <c r="AUX127" s="456"/>
      <c r="AUY127" s="456"/>
      <c r="AUZ127" s="456"/>
      <c r="AVA127" s="456"/>
      <c r="AVB127" s="456"/>
      <c r="AVC127" s="456"/>
      <c r="AVD127" s="456"/>
      <c r="AVE127" s="456"/>
      <c r="AVF127" s="456"/>
      <c r="AVG127" s="456"/>
      <c r="AVH127" s="456"/>
      <c r="AVI127" s="456"/>
      <c r="AVJ127" s="456"/>
      <c r="AVK127" s="456"/>
      <c r="AVL127" s="456"/>
      <c r="AVM127" s="456"/>
      <c r="AVN127" s="456"/>
      <c r="AVO127" s="456"/>
      <c r="AVP127" s="456"/>
      <c r="AVQ127" s="456"/>
      <c r="AVR127" s="456"/>
      <c r="AVS127" s="456"/>
      <c r="AVT127" s="456"/>
      <c r="AVU127" s="456"/>
      <c r="AVV127" s="456"/>
      <c r="AVW127" s="456"/>
      <c r="AVX127" s="456"/>
      <c r="AVY127" s="456"/>
      <c r="AVZ127" s="456"/>
      <c r="AWA127" s="456"/>
      <c r="AWB127" s="456"/>
      <c r="AWC127" s="456"/>
      <c r="AWD127" s="456"/>
      <c r="AWE127" s="456"/>
      <c r="AWF127" s="456"/>
      <c r="AWG127" s="456"/>
      <c r="AWH127" s="456"/>
      <c r="AWI127" s="456"/>
      <c r="AWJ127" s="456"/>
      <c r="AWK127" s="456"/>
      <c r="AWL127" s="456"/>
      <c r="AWM127" s="456"/>
      <c r="AWN127" s="456"/>
      <c r="AWO127" s="456"/>
      <c r="AWP127" s="456"/>
      <c r="AWQ127" s="456"/>
      <c r="AWR127" s="456"/>
      <c r="AWS127" s="456"/>
      <c r="AWT127" s="456"/>
      <c r="AWU127" s="456"/>
      <c r="AWV127" s="456"/>
      <c r="AWW127" s="456"/>
      <c r="AWX127" s="456"/>
      <c r="AWY127" s="456"/>
      <c r="AWZ127" s="456"/>
      <c r="AXA127" s="456"/>
      <c r="AXB127" s="456"/>
      <c r="AXC127" s="456"/>
      <c r="AXD127" s="456"/>
      <c r="AXE127" s="456"/>
      <c r="AXF127" s="456"/>
      <c r="AXG127" s="456"/>
      <c r="AXH127" s="456"/>
      <c r="AXI127" s="456"/>
      <c r="AXJ127" s="456"/>
      <c r="AXK127" s="456"/>
      <c r="AXL127" s="456"/>
      <c r="AXM127" s="456"/>
      <c r="AXN127" s="456"/>
      <c r="AXO127" s="456"/>
      <c r="AXP127" s="456"/>
      <c r="AXQ127" s="456"/>
      <c r="AXR127" s="456"/>
      <c r="AXS127" s="456"/>
      <c r="AXT127" s="456"/>
      <c r="AXU127" s="456"/>
      <c r="AXV127" s="456"/>
      <c r="AXW127" s="456"/>
      <c r="AXX127" s="456"/>
      <c r="AXY127" s="456"/>
      <c r="AXZ127" s="456"/>
      <c r="AYA127" s="456"/>
      <c r="AYB127" s="456"/>
      <c r="AYC127" s="456"/>
      <c r="AYD127" s="456"/>
      <c r="AYE127" s="456"/>
      <c r="AYF127" s="456"/>
      <c r="AYG127" s="456"/>
      <c r="AYH127" s="456"/>
      <c r="AYI127" s="456"/>
      <c r="AYJ127" s="456"/>
      <c r="AYK127" s="456"/>
      <c r="AYL127" s="456"/>
      <c r="AYM127" s="456"/>
      <c r="AYN127" s="456"/>
      <c r="AYO127" s="456"/>
      <c r="AYP127" s="456"/>
      <c r="AYQ127" s="456"/>
      <c r="AYR127" s="456"/>
      <c r="AYS127" s="456"/>
      <c r="AYT127" s="456"/>
      <c r="AYU127" s="456"/>
      <c r="AYV127" s="456"/>
      <c r="AYW127" s="456"/>
      <c r="AYX127" s="456"/>
      <c r="AYY127" s="456"/>
      <c r="AYZ127" s="456"/>
      <c r="AZA127" s="456"/>
      <c r="AZB127" s="456"/>
      <c r="AZC127" s="456"/>
      <c r="AZD127" s="456"/>
      <c r="AZE127" s="456"/>
      <c r="AZF127" s="456"/>
      <c r="AZG127" s="456"/>
      <c r="AZH127" s="456"/>
      <c r="AZI127" s="456"/>
      <c r="AZJ127" s="456"/>
      <c r="AZK127" s="456"/>
      <c r="AZL127" s="456"/>
      <c r="AZM127" s="456"/>
      <c r="AZN127" s="456"/>
      <c r="AZO127" s="456"/>
      <c r="AZP127" s="456"/>
      <c r="AZQ127" s="456"/>
      <c r="AZR127" s="456"/>
      <c r="AZS127" s="456"/>
      <c r="AZT127" s="456"/>
      <c r="AZU127" s="456"/>
      <c r="AZV127" s="456"/>
      <c r="AZW127" s="456"/>
      <c r="AZX127" s="456"/>
      <c r="AZY127" s="456"/>
      <c r="AZZ127" s="456"/>
      <c r="BAA127" s="456"/>
      <c r="BAB127" s="456"/>
      <c r="BAC127" s="456"/>
      <c r="BAD127" s="456"/>
      <c r="BAE127" s="456"/>
      <c r="BAF127" s="456"/>
      <c r="BAG127" s="456"/>
      <c r="BAH127" s="456"/>
      <c r="BAI127" s="456"/>
      <c r="BAJ127" s="456"/>
      <c r="BAK127" s="456"/>
      <c r="BAL127" s="456"/>
      <c r="BAM127" s="456"/>
      <c r="BAN127" s="456"/>
      <c r="BAO127" s="456"/>
      <c r="BAP127" s="456"/>
      <c r="BAQ127" s="456"/>
      <c r="BAR127" s="456"/>
      <c r="BAS127" s="456"/>
      <c r="BAT127" s="456"/>
      <c r="BAU127" s="456"/>
      <c r="BAV127" s="456"/>
      <c r="BAW127" s="456"/>
      <c r="BAX127" s="456"/>
      <c r="BAY127" s="456"/>
      <c r="BAZ127" s="456"/>
      <c r="BBA127" s="456"/>
      <c r="BBB127" s="456"/>
      <c r="BBC127" s="456"/>
      <c r="BBD127" s="456"/>
      <c r="BBE127" s="456"/>
      <c r="BBF127" s="456"/>
      <c r="BBG127" s="456"/>
      <c r="BBH127" s="456"/>
      <c r="BBI127" s="456"/>
      <c r="BBJ127" s="456"/>
      <c r="BBK127" s="456"/>
      <c r="BBL127" s="456"/>
      <c r="BBM127" s="456"/>
      <c r="BBN127" s="456"/>
      <c r="BBO127" s="456"/>
      <c r="BBP127" s="456"/>
      <c r="BBQ127" s="456"/>
      <c r="BBR127" s="456"/>
      <c r="BBS127" s="456"/>
      <c r="BBT127" s="456"/>
      <c r="BBU127" s="456"/>
      <c r="BBV127" s="456"/>
      <c r="BBW127" s="456"/>
      <c r="BBX127" s="456"/>
      <c r="BBY127" s="456"/>
      <c r="BBZ127" s="456"/>
      <c r="BCA127" s="456"/>
      <c r="BCB127" s="456"/>
      <c r="BCC127" s="456"/>
      <c r="BCD127" s="456"/>
      <c r="BCE127" s="456"/>
      <c r="BCF127" s="456"/>
      <c r="BCG127" s="456"/>
      <c r="BCH127" s="456"/>
      <c r="BCI127" s="456"/>
      <c r="BCJ127" s="456"/>
      <c r="BCK127" s="456"/>
      <c r="BCL127" s="456"/>
      <c r="BCM127" s="456"/>
      <c r="BCN127" s="456"/>
      <c r="BCO127" s="456"/>
      <c r="BCP127" s="456"/>
      <c r="BCQ127" s="456"/>
      <c r="BCR127" s="456"/>
      <c r="BCS127" s="456"/>
      <c r="BCT127" s="456"/>
      <c r="BCU127" s="456"/>
      <c r="BCV127" s="456"/>
      <c r="BCW127" s="456"/>
      <c r="BCX127" s="456"/>
      <c r="BCY127" s="456"/>
      <c r="BCZ127" s="456"/>
      <c r="BDA127" s="456"/>
      <c r="BDB127" s="456"/>
      <c r="BDC127" s="456"/>
      <c r="BDD127" s="456"/>
      <c r="BDE127" s="456"/>
      <c r="BDF127" s="456"/>
      <c r="BDG127" s="456"/>
      <c r="BDH127" s="456"/>
      <c r="BDI127" s="456"/>
      <c r="BDJ127" s="456"/>
      <c r="BDK127" s="456"/>
      <c r="BDL127" s="456"/>
      <c r="BDM127" s="456"/>
      <c r="BDN127" s="456"/>
      <c r="BDO127" s="456"/>
      <c r="BDP127" s="456"/>
      <c r="BDQ127" s="456"/>
      <c r="BDR127" s="456"/>
      <c r="BDS127" s="456"/>
      <c r="BDT127" s="456"/>
      <c r="BDU127" s="456"/>
      <c r="BDV127" s="456"/>
      <c r="BDW127" s="456"/>
      <c r="BDX127" s="456"/>
      <c r="BDY127" s="456"/>
      <c r="BDZ127" s="456"/>
      <c r="BEA127" s="456"/>
      <c r="BEB127" s="456"/>
      <c r="BEC127" s="456"/>
      <c r="BED127" s="456"/>
      <c r="BEE127" s="456"/>
      <c r="BEF127" s="456"/>
      <c r="BEG127" s="456"/>
      <c r="BEH127" s="456"/>
      <c r="BEI127" s="456"/>
      <c r="BEJ127" s="456"/>
      <c r="BEK127" s="456"/>
      <c r="BEL127" s="456"/>
      <c r="BEM127" s="456"/>
      <c r="BEN127" s="456"/>
      <c r="BEO127" s="456"/>
      <c r="BEP127" s="456"/>
      <c r="BEQ127" s="456"/>
      <c r="BER127" s="456"/>
      <c r="BES127" s="456"/>
      <c r="BET127" s="456"/>
      <c r="BEU127" s="456"/>
      <c r="BEV127" s="456"/>
      <c r="BEW127" s="456"/>
      <c r="BEX127" s="456"/>
      <c r="BEY127" s="456"/>
      <c r="BEZ127" s="456"/>
      <c r="BFA127" s="456"/>
      <c r="BFB127" s="456"/>
      <c r="BFC127" s="456"/>
      <c r="BFD127" s="456"/>
      <c r="BFE127" s="456"/>
      <c r="BFF127" s="456"/>
      <c r="BFG127" s="456"/>
      <c r="BFH127" s="456"/>
      <c r="BFI127" s="456"/>
      <c r="BFJ127" s="456"/>
      <c r="BFK127" s="456"/>
      <c r="BFL127" s="456"/>
      <c r="BFM127" s="456"/>
      <c r="BFN127" s="456"/>
      <c r="BFO127" s="456"/>
      <c r="BFP127" s="456"/>
      <c r="BFQ127" s="456"/>
      <c r="BFR127" s="456"/>
      <c r="BFS127" s="456"/>
      <c r="BFT127" s="456"/>
      <c r="BFU127" s="456"/>
      <c r="BFV127" s="456"/>
      <c r="BFW127" s="456"/>
      <c r="BFX127" s="456"/>
      <c r="BFY127" s="456"/>
      <c r="BFZ127" s="456"/>
      <c r="BGA127" s="456"/>
      <c r="BGB127" s="456"/>
      <c r="BGC127" s="456"/>
      <c r="BGD127" s="456"/>
      <c r="BGE127" s="456"/>
      <c r="BGF127" s="456"/>
      <c r="BGG127" s="456"/>
      <c r="BGH127" s="456"/>
      <c r="BGI127" s="456"/>
      <c r="BGJ127" s="456"/>
      <c r="BGK127" s="456"/>
      <c r="BGL127" s="456"/>
      <c r="BGM127" s="456"/>
      <c r="BGN127" s="456"/>
      <c r="BGO127" s="456"/>
      <c r="BGP127" s="456"/>
      <c r="BGQ127" s="456"/>
      <c r="BGR127" s="456"/>
      <c r="BGS127" s="456"/>
      <c r="BGT127" s="456"/>
      <c r="BGU127" s="456"/>
      <c r="BGV127" s="456"/>
      <c r="BGW127" s="456"/>
      <c r="BGX127" s="456"/>
      <c r="BGY127" s="456"/>
      <c r="BGZ127" s="456"/>
      <c r="BHA127" s="456"/>
      <c r="BHB127" s="456"/>
      <c r="BHC127" s="456"/>
      <c r="BHD127" s="456"/>
      <c r="BHE127" s="456"/>
      <c r="BHF127" s="456"/>
      <c r="BHG127" s="456"/>
      <c r="BHH127" s="456"/>
      <c r="BHI127" s="456"/>
      <c r="BHJ127" s="456"/>
      <c r="BHK127" s="456"/>
      <c r="BHL127" s="456"/>
      <c r="BHM127" s="456"/>
      <c r="BHN127" s="456"/>
      <c r="BHO127" s="456"/>
      <c r="BHP127" s="456"/>
      <c r="BHQ127" s="456"/>
      <c r="BHR127" s="456"/>
      <c r="BHS127" s="456"/>
      <c r="BHT127" s="456"/>
      <c r="BHU127" s="456"/>
      <c r="BHV127" s="456"/>
      <c r="BHW127" s="456"/>
      <c r="BHX127" s="456"/>
      <c r="BHY127" s="456"/>
      <c r="BHZ127" s="456"/>
      <c r="BIA127" s="456"/>
      <c r="BIB127" s="456"/>
      <c r="BIC127" s="456"/>
      <c r="BID127" s="456"/>
      <c r="BIE127" s="456"/>
      <c r="BIF127" s="456"/>
      <c r="BIG127" s="456"/>
      <c r="BIH127" s="456"/>
      <c r="BII127" s="456"/>
      <c r="BIJ127" s="456"/>
      <c r="BIK127" s="456"/>
      <c r="BIL127" s="456"/>
      <c r="BIM127" s="456"/>
      <c r="BIN127" s="456"/>
      <c r="BIO127" s="456"/>
      <c r="BIP127" s="456"/>
      <c r="BIQ127" s="456"/>
      <c r="BIR127" s="456"/>
      <c r="BIS127" s="456"/>
      <c r="BIT127" s="456"/>
      <c r="BIU127" s="456"/>
      <c r="BIV127" s="456"/>
      <c r="BIW127" s="456"/>
      <c r="BIX127" s="456"/>
      <c r="BIY127" s="456"/>
      <c r="BIZ127" s="456"/>
      <c r="BJA127" s="456"/>
      <c r="BJB127" s="456"/>
      <c r="BJC127" s="456"/>
      <c r="BJD127" s="456"/>
      <c r="BJE127" s="456"/>
      <c r="BJF127" s="456"/>
      <c r="BJG127" s="456"/>
      <c r="BJH127" s="456"/>
      <c r="BJI127" s="456"/>
      <c r="BJJ127" s="456"/>
      <c r="BJK127" s="456"/>
      <c r="BJL127" s="456"/>
      <c r="BJM127" s="456"/>
      <c r="BJN127" s="456"/>
      <c r="BJO127" s="456"/>
      <c r="BJP127" s="456"/>
      <c r="BJQ127" s="456"/>
      <c r="BJR127" s="456"/>
      <c r="BJS127" s="456"/>
      <c r="BJT127" s="456"/>
      <c r="BJU127" s="456"/>
      <c r="BJV127" s="456"/>
      <c r="BJW127" s="456"/>
      <c r="BJX127" s="456"/>
      <c r="BJY127" s="456"/>
      <c r="BJZ127" s="456"/>
      <c r="BKA127" s="456"/>
      <c r="BKB127" s="456"/>
      <c r="BKC127" s="456"/>
      <c r="BKD127" s="456"/>
      <c r="BKE127" s="456"/>
      <c r="BKF127" s="456"/>
      <c r="BKG127" s="456"/>
      <c r="BKH127" s="456"/>
      <c r="BKI127" s="456"/>
      <c r="BKJ127" s="456"/>
      <c r="BKK127" s="456"/>
      <c r="BKL127" s="456"/>
      <c r="BKM127" s="456"/>
      <c r="BKN127" s="456"/>
      <c r="BKO127" s="456"/>
      <c r="BKP127" s="456"/>
      <c r="BKQ127" s="456"/>
      <c r="BKR127" s="456"/>
      <c r="BKS127" s="456"/>
      <c r="BKT127" s="456"/>
      <c r="BKU127" s="456"/>
      <c r="BKV127" s="456"/>
      <c r="BKW127" s="456"/>
      <c r="BKX127" s="456"/>
      <c r="BKY127" s="456"/>
      <c r="BKZ127" s="456"/>
      <c r="BLA127" s="456"/>
      <c r="BLB127" s="456"/>
      <c r="BLC127" s="456"/>
      <c r="BLD127" s="456"/>
      <c r="BLE127" s="456"/>
      <c r="BLF127" s="456"/>
      <c r="BLG127" s="456"/>
      <c r="BLH127" s="456"/>
      <c r="BLI127" s="456"/>
      <c r="BLJ127" s="456"/>
      <c r="BLK127" s="456"/>
      <c r="BLL127" s="456"/>
      <c r="BLM127" s="456"/>
      <c r="BLN127" s="456"/>
      <c r="BLO127" s="456"/>
      <c r="BLP127" s="456"/>
      <c r="BLQ127" s="456"/>
      <c r="BLR127" s="456"/>
      <c r="BLS127" s="456"/>
      <c r="BLT127" s="456"/>
      <c r="BLU127" s="456"/>
      <c r="BLV127" s="456"/>
      <c r="BLW127" s="456"/>
      <c r="BLX127" s="456"/>
      <c r="BLY127" s="456"/>
      <c r="BLZ127" s="456"/>
      <c r="BMA127" s="456"/>
      <c r="BMB127" s="456"/>
      <c r="BMC127" s="456"/>
      <c r="BMD127" s="456"/>
      <c r="BME127" s="456"/>
      <c r="BMF127" s="456"/>
      <c r="BMG127" s="456"/>
      <c r="BMH127" s="456"/>
      <c r="BMI127" s="456"/>
      <c r="BMJ127" s="456"/>
      <c r="BMK127" s="456"/>
      <c r="BML127" s="456"/>
      <c r="BMM127" s="456"/>
      <c r="BMN127" s="456"/>
      <c r="BMO127" s="456"/>
      <c r="BMP127" s="456"/>
      <c r="BMQ127" s="456"/>
      <c r="BMR127" s="456"/>
      <c r="BMS127" s="456"/>
      <c r="BMT127" s="456"/>
      <c r="BMU127" s="456"/>
      <c r="BMV127" s="456"/>
      <c r="BMW127" s="456"/>
      <c r="BMX127" s="456"/>
      <c r="BMY127" s="456"/>
      <c r="BMZ127" s="456"/>
      <c r="BNA127" s="456"/>
      <c r="BNB127" s="456"/>
      <c r="BNC127" s="456"/>
      <c r="BND127" s="456"/>
      <c r="BNE127" s="456"/>
      <c r="BNF127" s="456"/>
      <c r="BNG127" s="456"/>
      <c r="BNH127" s="456"/>
      <c r="BNI127" s="456"/>
      <c r="BNJ127" s="456"/>
      <c r="BNK127" s="456"/>
      <c r="BNL127" s="456"/>
      <c r="BNM127" s="456"/>
      <c r="BNN127" s="456"/>
      <c r="BNO127" s="456"/>
      <c r="BNP127" s="456"/>
      <c r="BNQ127" s="456"/>
      <c r="BNR127" s="456"/>
      <c r="BNS127" s="456"/>
      <c r="BNT127" s="456"/>
      <c r="BNU127" s="456"/>
      <c r="BNV127" s="456"/>
      <c r="BNW127" s="456"/>
      <c r="BNX127" s="456"/>
      <c r="BNY127" s="456"/>
      <c r="BNZ127" s="456"/>
      <c r="BOA127" s="456"/>
      <c r="BOB127" s="456"/>
      <c r="BOC127" s="456"/>
      <c r="BOD127" s="456"/>
      <c r="BOE127" s="456"/>
      <c r="BOF127" s="456"/>
      <c r="BOG127" s="456"/>
      <c r="BOH127" s="456"/>
      <c r="BOI127" s="456"/>
      <c r="BOJ127" s="456"/>
      <c r="BOK127" s="456"/>
      <c r="BOL127" s="456"/>
      <c r="BOM127" s="456"/>
      <c r="BON127" s="456"/>
      <c r="BOO127" s="456"/>
      <c r="BOP127" s="456"/>
      <c r="BOQ127" s="456"/>
      <c r="BOR127" s="456"/>
      <c r="BOS127" s="456"/>
      <c r="BOT127" s="456"/>
      <c r="BOU127" s="456"/>
      <c r="BOV127" s="456"/>
      <c r="BOW127" s="456"/>
      <c r="BOX127" s="456"/>
      <c r="BOY127" s="456"/>
      <c r="BOZ127" s="456"/>
      <c r="BPA127" s="456"/>
      <c r="BPB127" s="456"/>
      <c r="BPC127" s="456"/>
      <c r="BPD127" s="456"/>
      <c r="BPE127" s="456"/>
      <c r="BPF127" s="456"/>
      <c r="BPG127" s="456"/>
      <c r="BPH127" s="456"/>
      <c r="BPI127" s="456"/>
      <c r="BPJ127" s="456"/>
      <c r="BPK127" s="456"/>
      <c r="BPL127" s="456"/>
      <c r="BPM127" s="456"/>
      <c r="BPN127" s="456"/>
      <c r="BPO127" s="456"/>
      <c r="BPP127" s="456"/>
      <c r="BPQ127" s="456"/>
      <c r="BPR127" s="456"/>
      <c r="BPS127" s="456"/>
      <c r="BPT127" s="456"/>
      <c r="BPU127" s="456"/>
      <c r="BPV127" s="456"/>
      <c r="BPW127" s="456"/>
      <c r="BPX127" s="456"/>
      <c r="BPY127" s="456"/>
      <c r="BPZ127" s="456"/>
      <c r="BQA127" s="456"/>
      <c r="BQB127" s="456"/>
      <c r="BQC127" s="456"/>
      <c r="BQD127" s="456"/>
      <c r="BQE127" s="456"/>
      <c r="BQF127" s="456"/>
      <c r="BQG127" s="456"/>
      <c r="BQH127" s="456"/>
      <c r="BQI127" s="456"/>
      <c r="BQJ127" s="456"/>
      <c r="BQK127" s="456"/>
      <c r="BQL127" s="456"/>
      <c r="BQM127" s="456"/>
      <c r="BQN127" s="456"/>
      <c r="BQO127" s="456"/>
      <c r="BQP127" s="456"/>
      <c r="BQQ127" s="456"/>
      <c r="BQR127" s="456"/>
      <c r="BQS127" s="456"/>
      <c r="BQT127" s="456"/>
      <c r="BQU127" s="456"/>
      <c r="BQV127" s="456"/>
      <c r="BQW127" s="456"/>
      <c r="BQX127" s="456"/>
      <c r="BQY127" s="456"/>
      <c r="BQZ127" s="456"/>
      <c r="BRA127" s="456"/>
      <c r="BRB127" s="456"/>
      <c r="BRC127" s="456"/>
      <c r="BRD127" s="456"/>
      <c r="BRE127" s="456"/>
      <c r="BRF127" s="456"/>
      <c r="BRG127" s="456"/>
      <c r="BRH127" s="456"/>
      <c r="BRI127" s="456"/>
      <c r="BRJ127" s="456"/>
      <c r="BRK127" s="456"/>
      <c r="BRL127" s="456"/>
      <c r="BRM127" s="456"/>
      <c r="BRN127" s="456"/>
      <c r="BRO127" s="456"/>
      <c r="BRP127" s="456"/>
      <c r="BRQ127" s="456"/>
      <c r="BRR127" s="456"/>
      <c r="BRS127" s="456"/>
      <c r="BRT127" s="456"/>
      <c r="BRU127" s="456"/>
      <c r="BRV127" s="456"/>
      <c r="BRW127" s="456"/>
      <c r="BRX127" s="456"/>
      <c r="BRY127" s="456"/>
      <c r="BRZ127" s="456"/>
      <c r="BSA127" s="456"/>
      <c r="BSB127" s="456"/>
      <c r="BSC127" s="456"/>
      <c r="BSD127" s="456"/>
      <c r="BSE127" s="456"/>
      <c r="BSF127" s="456"/>
      <c r="BSG127" s="456"/>
      <c r="BSH127" s="456"/>
      <c r="BSI127" s="456"/>
      <c r="BSJ127" s="456"/>
      <c r="BSK127" s="456"/>
      <c r="BSL127" s="456"/>
      <c r="BSM127" s="456"/>
      <c r="BSN127" s="456"/>
      <c r="BSO127" s="456"/>
      <c r="BSP127" s="456"/>
      <c r="BSQ127" s="456"/>
      <c r="BSR127" s="456"/>
      <c r="BSS127" s="456"/>
      <c r="BST127" s="456"/>
      <c r="BSU127" s="456"/>
      <c r="BSV127" s="456"/>
      <c r="BSW127" s="456"/>
      <c r="BSX127" s="456"/>
      <c r="BSY127" s="456"/>
      <c r="BSZ127" s="456"/>
      <c r="BTA127" s="456"/>
      <c r="BTB127" s="456"/>
      <c r="BTC127" s="456"/>
      <c r="BTD127" s="456"/>
      <c r="BTE127" s="456"/>
      <c r="BTF127" s="456"/>
      <c r="BTG127" s="456"/>
      <c r="BTH127" s="456"/>
      <c r="BTI127" s="456"/>
      <c r="BTJ127" s="456"/>
      <c r="BTK127" s="456"/>
      <c r="BTL127" s="456"/>
      <c r="BTM127" s="456"/>
      <c r="BTN127" s="456"/>
      <c r="BTO127" s="456"/>
      <c r="BTP127" s="456"/>
      <c r="BTQ127" s="456"/>
      <c r="BTR127" s="456"/>
      <c r="BTS127" s="456"/>
      <c r="BTT127" s="456"/>
      <c r="BTU127" s="456"/>
      <c r="BTV127" s="456"/>
      <c r="BTW127" s="456"/>
      <c r="BTX127" s="456"/>
      <c r="BTY127" s="456"/>
      <c r="BTZ127" s="456"/>
      <c r="BUA127" s="456"/>
      <c r="BUB127" s="456"/>
      <c r="BUC127" s="456"/>
      <c r="BUD127" s="456"/>
      <c r="BUE127" s="456"/>
      <c r="BUF127" s="456"/>
      <c r="BUG127" s="456"/>
      <c r="BUH127" s="456"/>
      <c r="BUI127" s="456"/>
      <c r="BUJ127" s="456"/>
      <c r="BUK127" s="456"/>
      <c r="BUL127" s="456"/>
      <c r="BUM127" s="456"/>
      <c r="BUN127" s="456"/>
      <c r="BUO127" s="456"/>
      <c r="BUP127" s="456"/>
      <c r="BUQ127" s="456"/>
      <c r="BUR127" s="456"/>
      <c r="BUS127" s="456"/>
      <c r="BUT127" s="456"/>
      <c r="BUU127" s="456"/>
      <c r="BUV127" s="456"/>
      <c r="BUW127" s="456"/>
      <c r="BUX127" s="456"/>
      <c r="BUY127" s="456"/>
      <c r="BUZ127" s="456"/>
      <c r="BVA127" s="456"/>
      <c r="BVB127" s="456"/>
      <c r="BVC127" s="456"/>
      <c r="BVD127" s="456"/>
      <c r="BVE127" s="456"/>
      <c r="BVF127" s="456"/>
      <c r="BVG127" s="456"/>
      <c r="BVH127" s="456"/>
      <c r="BVI127" s="456"/>
      <c r="BVJ127" s="456"/>
      <c r="BVK127" s="456"/>
      <c r="BVL127" s="456"/>
      <c r="BVM127" s="456"/>
      <c r="BVN127" s="456"/>
      <c r="BVO127" s="456"/>
      <c r="BVP127" s="456"/>
      <c r="BVQ127" s="456"/>
      <c r="BVR127" s="456"/>
      <c r="BVS127" s="456"/>
      <c r="BVT127" s="456"/>
      <c r="BVU127" s="456"/>
      <c r="BVV127" s="456"/>
      <c r="BVW127" s="456"/>
      <c r="BVX127" s="456"/>
      <c r="BVY127" s="456"/>
      <c r="BVZ127" s="456"/>
      <c r="BWA127" s="456"/>
      <c r="BWB127" s="456"/>
      <c r="BWC127" s="456"/>
      <c r="BWD127" s="456"/>
      <c r="BWE127" s="456"/>
      <c r="BWF127" s="456"/>
      <c r="BWG127" s="456"/>
      <c r="BWH127" s="456"/>
      <c r="BWI127" s="456"/>
      <c r="BWJ127" s="456"/>
      <c r="BWK127" s="456"/>
      <c r="BWL127" s="456"/>
      <c r="BWM127" s="456"/>
      <c r="BWN127" s="456"/>
      <c r="BWO127" s="456"/>
      <c r="BWP127" s="456"/>
      <c r="BWQ127" s="456"/>
      <c r="BWR127" s="456"/>
      <c r="BWS127" s="456"/>
      <c r="BWT127" s="456"/>
      <c r="BWU127" s="456"/>
      <c r="BWV127" s="456"/>
      <c r="BWW127" s="456"/>
      <c r="BWX127" s="456"/>
      <c r="BWY127" s="456"/>
      <c r="BWZ127" s="456"/>
      <c r="BXA127" s="456"/>
      <c r="BXB127" s="456"/>
      <c r="BXC127" s="456"/>
      <c r="BXD127" s="456"/>
      <c r="BXE127" s="456"/>
      <c r="BXF127" s="456"/>
      <c r="BXG127" s="456"/>
      <c r="BXH127" s="456"/>
      <c r="BXI127" s="456"/>
      <c r="BXJ127" s="456"/>
      <c r="BXK127" s="456"/>
      <c r="BXL127" s="456"/>
      <c r="BXM127" s="456"/>
      <c r="BXN127" s="456"/>
      <c r="BXO127" s="456"/>
      <c r="BXP127" s="456"/>
      <c r="BXQ127" s="456"/>
      <c r="BXR127" s="456"/>
      <c r="BXS127" s="456"/>
      <c r="BXT127" s="456"/>
      <c r="BXU127" s="456"/>
      <c r="BXV127" s="456"/>
      <c r="BXW127" s="456"/>
      <c r="BXX127" s="456"/>
      <c r="BXY127" s="456"/>
      <c r="BXZ127" s="456"/>
    </row>
    <row r="128" s="25" customFormat="1" ht="15.6" spans="1:1024 1025:2002">
      <c r="A128" s="473"/>
      <c r="B128" s="19">
        <v>1125</v>
      </c>
      <c r="C128" s="183">
        <v>46196</v>
      </c>
      <c r="D128" s="17" t="s">
        <v>52</v>
      </c>
      <c r="E128" s="17" t="s">
        <v>53</v>
      </c>
      <c r="F128" s="17" t="s">
        <v>54</v>
      </c>
      <c r="G128" s="17"/>
      <c r="H128" s="19" t="s">
        <v>55</v>
      </c>
      <c r="I128" s="102" t="s">
        <v>56</v>
      </c>
      <c r="J128" s="17" t="s">
        <v>49</v>
      </c>
      <c r="K128" s="91">
        <v>710</v>
      </c>
      <c r="L128" s="19">
        <v>155</v>
      </c>
      <c r="M128" s="19">
        <v>5800</v>
      </c>
      <c r="N128" s="19" t="s">
        <v>40</v>
      </c>
      <c r="O128" s="19" t="s">
        <v>84</v>
      </c>
      <c r="P128" s="19">
        <f>3150*2</f>
        <v>6300</v>
      </c>
      <c r="Q128" s="19">
        <f>3216+3354</f>
        <v>6570</v>
      </c>
      <c r="R128" s="19">
        <f t="shared" si="9"/>
        <v>-270</v>
      </c>
      <c r="S128" s="311">
        <v>2040</v>
      </c>
      <c r="T128" s="19" t="s">
        <v>42</v>
      </c>
      <c r="U128" s="102" t="s">
        <v>101</v>
      </c>
      <c r="V128" s="186">
        <v>46197</v>
      </c>
      <c r="W128" s="17" t="s">
        <v>58</v>
      </c>
      <c r="X128" s="17"/>
      <c r="Y128" s="68">
        <v>46204</v>
      </c>
      <c r="Z128" s="17" t="s">
        <v>45</v>
      </c>
      <c r="AA128" s="17" t="s">
        <v>59</v>
      </c>
      <c r="AB128" s="17" t="s">
        <v>60</v>
      </c>
      <c r="AC128" s="217">
        <v>46281</v>
      </c>
      <c r="AD128" s="65">
        <v>1862</v>
      </c>
      <c r="AE128" s="17" t="s">
        <v>48</v>
      </c>
      <c r="AF128" s="17" t="s">
        <v>61</v>
      </c>
      <c r="AG128" s="17" t="s">
        <v>103</v>
      </c>
      <c r="AH128" s="456"/>
      <c r="AI128" s="456"/>
      <c r="AJ128" s="456"/>
      <c r="AK128" s="456"/>
      <c r="AL128" s="456"/>
      <c r="AM128" s="456"/>
      <c r="AN128" s="456"/>
      <c r="AO128" s="456"/>
      <c r="AP128" s="456"/>
      <c r="AQ128" s="456"/>
      <c r="AR128" s="456"/>
      <c r="AS128" s="456"/>
      <c r="AT128" s="456"/>
      <c r="AU128" s="456"/>
      <c r="AV128" s="456"/>
      <c r="AW128" s="456"/>
      <c r="AX128" s="456"/>
      <c r="AY128" s="456"/>
      <c r="AZ128" s="456"/>
      <c r="BA128" s="456"/>
      <c r="BB128" s="456"/>
      <c r="BC128" s="456"/>
      <c r="BD128" s="456"/>
      <c r="BE128" s="456"/>
      <c r="BF128" s="456"/>
      <c r="BG128" s="456"/>
      <c r="BH128" s="456"/>
      <c r="BI128" s="456"/>
      <c r="BJ128" s="456"/>
      <c r="BK128" s="456"/>
      <c r="BL128" s="456"/>
      <c r="BM128" s="456"/>
      <c r="BN128" s="456"/>
      <c r="BO128" s="456"/>
      <c r="BP128" s="456"/>
      <c r="BQ128" s="456"/>
      <c r="BR128" s="456"/>
      <c r="BS128" s="456"/>
      <c r="BT128" s="456"/>
      <c r="BU128" s="456"/>
      <c r="BV128" s="456"/>
      <c r="BW128" s="456"/>
      <c r="BX128" s="456"/>
      <c r="BY128" s="456"/>
      <c r="BZ128" s="456"/>
      <c r="CA128" s="456"/>
      <c r="CB128" s="456"/>
      <c r="CC128" s="456"/>
      <c r="CD128" s="456"/>
      <c r="CE128" s="456"/>
      <c r="CF128" s="456"/>
      <c r="CG128" s="456"/>
      <c r="CH128" s="456"/>
      <c r="CI128" s="456"/>
      <c r="CJ128" s="456"/>
      <c r="CK128" s="456"/>
      <c r="CL128" s="456"/>
      <c r="CM128" s="456"/>
      <c r="CN128" s="456"/>
      <c r="CO128" s="456"/>
      <c r="CP128" s="456"/>
      <c r="CQ128" s="456"/>
      <c r="CR128" s="456"/>
      <c r="CS128" s="456"/>
      <c r="CT128" s="456"/>
      <c r="CU128" s="456"/>
      <c r="CV128" s="456"/>
      <c r="CW128" s="456"/>
      <c r="CX128" s="456"/>
      <c r="CY128" s="456"/>
      <c r="CZ128" s="456"/>
      <c r="DA128" s="456"/>
      <c r="DB128" s="456"/>
      <c r="DC128" s="456"/>
      <c r="DD128" s="456"/>
      <c r="DE128" s="456"/>
      <c r="DF128" s="456"/>
      <c r="DG128" s="456"/>
      <c r="DH128" s="456"/>
      <c r="DI128" s="456"/>
      <c r="DJ128" s="456"/>
      <c r="DK128" s="456"/>
      <c r="DL128" s="456"/>
      <c r="DM128" s="456"/>
      <c r="DN128" s="456"/>
      <c r="DO128" s="456"/>
      <c r="DP128" s="456"/>
      <c r="DQ128" s="456"/>
      <c r="DR128" s="456"/>
      <c r="DS128" s="456"/>
      <c r="DT128" s="456"/>
      <c r="DU128" s="456"/>
      <c r="DV128" s="456"/>
      <c r="DW128" s="456"/>
      <c r="DX128" s="456"/>
      <c r="DY128" s="456"/>
      <c r="DZ128" s="456"/>
      <c r="EA128" s="456"/>
      <c r="EB128" s="456"/>
      <c r="EC128" s="456"/>
      <c r="ED128" s="456"/>
      <c r="EE128" s="456"/>
      <c r="EF128" s="456"/>
      <c r="EG128" s="456"/>
      <c r="EH128" s="456"/>
      <c r="EI128" s="456"/>
      <c r="EJ128" s="456"/>
      <c r="EK128" s="456"/>
      <c r="EL128" s="456"/>
      <c r="EM128" s="456"/>
      <c r="EN128" s="456"/>
      <c r="EO128" s="456"/>
      <c r="EP128" s="456"/>
      <c r="EQ128" s="456"/>
      <c r="ER128" s="456"/>
      <c r="ES128" s="456"/>
      <c r="ET128" s="456"/>
      <c r="EU128" s="456"/>
      <c r="EV128" s="456"/>
      <c r="EW128" s="456"/>
      <c r="EX128" s="456"/>
      <c r="EY128" s="456"/>
      <c r="EZ128" s="456"/>
      <c r="FA128" s="456"/>
      <c r="FB128" s="456"/>
      <c r="FC128" s="456"/>
      <c r="FD128" s="456"/>
      <c r="FE128" s="456"/>
      <c r="FF128" s="456"/>
      <c r="FG128" s="456"/>
      <c r="FH128" s="456"/>
      <c r="FI128" s="456"/>
      <c r="FJ128" s="456"/>
      <c r="FK128" s="456"/>
      <c r="FL128" s="456"/>
      <c r="FM128" s="456"/>
      <c r="FN128" s="456"/>
      <c r="FO128" s="456"/>
      <c r="FP128" s="456"/>
      <c r="FQ128" s="456"/>
      <c r="FR128" s="456"/>
      <c r="FS128" s="456"/>
      <c r="FT128" s="456"/>
      <c r="FU128" s="456"/>
      <c r="FV128" s="456"/>
      <c r="FW128" s="456"/>
      <c r="FX128" s="456"/>
      <c r="FY128" s="456"/>
      <c r="FZ128" s="456"/>
      <c r="GA128" s="456"/>
      <c r="GB128" s="456"/>
      <c r="GC128" s="456"/>
      <c r="GD128" s="456"/>
      <c r="GE128" s="456"/>
      <c r="GF128" s="456"/>
      <c r="GG128" s="456"/>
      <c r="GH128" s="456"/>
      <c r="GI128" s="456"/>
      <c r="GJ128" s="456"/>
      <c r="GK128" s="456"/>
      <c r="GL128" s="456"/>
      <c r="GM128" s="456"/>
      <c r="GN128" s="456"/>
      <c r="GO128" s="456"/>
      <c r="GP128" s="456"/>
      <c r="GQ128" s="456"/>
      <c r="GR128" s="456"/>
      <c r="GS128" s="456"/>
      <c r="GT128" s="456"/>
      <c r="GU128" s="456"/>
      <c r="GV128" s="456"/>
      <c r="GW128" s="456"/>
      <c r="GX128" s="456"/>
      <c r="GY128" s="456"/>
      <c r="GZ128" s="456"/>
      <c r="HA128" s="456"/>
      <c r="HB128" s="456"/>
      <c r="HC128" s="456"/>
      <c r="HD128" s="456"/>
      <c r="HE128" s="456"/>
      <c r="HF128" s="456"/>
      <c r="HG128" s="456"/>
      <c r="HH128" s="456"/>
      <c r="HI128" s="456"/>
      <c r="HJ128" s="456"/>
      <c r="HK128" s="456"/>
      <c r="HL128" s="456"/>
      <c r="HM128" s="456"/>
      <c r="HN128" s="456"/>
      <c r="HO128" s="456"/>
      <c r="HP128" s="456"/>
      <c r="HQ128" s="456"/>
      <c r="HR128" s="456"/>
      <c r="HS128" s="456"/>
      <c r="HT128" s="456"/>
      <c r="HU128" s="456"/>
      <c r="HV128" s="456"/>
      <c r="HW128" s="456"/>
      <c r="HX128" s="456"/>
      <c r="HY128" s="456"/>
      <c r="HZ128" s="456"/>
      <c r="IA128" s="456"/>
      <c r="IB128" s="456"/>
      <c r="IC128" s="456"/>
      <c r="ID128" s="456"/>
      <c r="IE128" s="456"/>
      <c r="IF128" s="456"/>
      <c r="IG128" s="456"/>
      <c r="IH128" s="456"/>
      <c r="II128" s="456"/>
      <c r="IJ128" s="456"/>
      <c r="IK128" s="456"/>
      <c r="IL128" s="456"/>
      <c r="IM128" s="456"/>
      <c r="IN128" s="456"/>
      <c r="IO128" s="456"/>
      <c r="IP128" s="456"/>
      <c r="IQ128" s="456"/>
      <c r="IR128" s="456"/>
      <c r="IS128" s="456"/>
      <c r="IT128" s="456"/>
      <c r="IU128" s="456"/>
      <c r="IV128" s="456"/>
      <c r="IW128" s="456"/>
      <c r="IX128" s="456"/>
      <c r="IY128" s="456"/>
      <c r="IZ128" s="456"/>
      <c r="JA128" s="456"/>
      <c r="JB128" s="456"/>
      <c r="JC128" s="456"/>
      <c r="JD128" s="456"/>
      <c r="JE128" s="456"/>
      <c r="JF128" s="456"/>
      <c r="JG128" s="456"/>
      <c r="JH128" s="456"/>
      <c r="JI128" s="456"/>
      <c r="JJ128" s="456"/>
      <c r="JK128" s="456"/>
      <c r="JL128" s="456"/>
      <c r="JM128" s="456"/>
      <c r="JN128" s="456"/>
      <c r="JO128" s="456"/>
      <c r="JP128" s="456"/>
      <c r="JQ128" s="456"/>
      <c r="JR128" s="456"/>
      <c r="JS128" s="456"/>
      <c r="JT128" s="456"/>
      <c r="JU128" s="456"/>
      <c r="JV128" s="456"/>
      <c r="JW128" s="456"/>
      <c r="JX128" s="456"/>
      <c r="JY128" s="456"/>
      <c r="JZ128" s="456"/>
      <c r="KA128" s="456"/>
      <c r="KB128" s="456"/>
      <c r="KC128" s="456"/>
      <c r="KD128" s="456"/>
      <c r="KE128" s="456"/>
      <c r="KF128" s="456"/>
      <c r="KG128" s="456"/>
      <c r="KH128" s="456"/>
      <c r="KI128" s="456"/>
      <c r="KJ128" s="456"/>
      <c r="KK128" s="456"/>
      <c r="KL128" s="456"/>
      <c r="KM128" s="456"/>
      <c r="KN128" s="456"/>
      <c r="KO128" s="456"/>
      <c r="KP128" s="456"/>
      <c r="KQ128" s="456"/>
      <c r="KR128" s="456"/>
      <c r="KS128" s="456"/>
      <c r="KT128" s="456"/>
      <c r="KU128" s="456"/>
      <c r="KV128" s="456"/>
      <c r="KW128" s="456"/>
      <c r="KX128" s="456"/>
      <c r="KY128" s="456"/>
      <c r="KZ128" s="456"/>
      <c r="LA128" s="456"/>
      <c r="LB128" s="456"/>
      <c r="LC128" s="456"/>
      <c r="LD128" s="456"/>
      <c r="LE128" s="456"/>
      <c r="LF128" s="456"/>
      <c r="LG128" s="456"/>
      <c r="LH128" s="456"/>
      <c r="LI128" s="456"/>
      <c r="LJ128" s="456"/>
      <c r="LK128" s="456"/>
      <c r="LL128" s="456"/>
      <c r="LM128" s="456"/>
      <c r="LN128" s="456"/>
      <c r="LO128" s="456"/>
      <c r="LP128" s="456"/>
      <c r="LQ128" s="456"/>
      <c r="LR128" s="456"/>
      <c r="LS128" s="456"/>
      <c r="LT128" s="456"/>
      <c r="LU128" s="456"/>
      <c r="LV128" s="456"/>
      <c r="LW128" s="456"/>
      <c r="LX128" s="456"/>
      <c r="LY128" s="456"/>
      <c r="LZ128" s="456"/>
      <c r="MA128" s="456"/>
      <c r="MB128" s="456"/>
      <c r="MC128" s="456"/>
      <c r="MD128" s="456"/>
      <c r="ME128" s="456"/>
      <c r="MF128" s="456"/>
      <c r="MG128" s="456"/>
      <c r="MH128" s="456"/>
      <c r="MI128" s="456"/>
      <c r="MJ128" s="456"/>
      <c r="MK128" s="456"/>
      <c r="ML128" s="456"/>
      <c r="MM128" s="456"/>
      <c r="MN128" s="456"/>
      <c r="MO128" s="456"/>
      <c r="MP128" s="456"/>
      <c r="MQ128" s="456"/>
      <c r="MR128" s="456"/>
      <c r="MS128" s="456"/>
      <c r="MT128" s="456"/>
      <c r="MU128" s="456"/>
      <c r="MV128" s="456"/>
      <c r="MW128" s="456"/>
      <c r="MX128" s="456"/>
      <c r="MY128" s="456"/>
      <c r="MZ128" s="456"/>
      <c r="NA128" s="456"/>
      <c r="NB128" s="456"/>
      <c r="NC128" s="456"/>
      <c r="ND128" s="456"/>
      <c r="NE128" s="456"/>
      <c r="NF128" s="456"/>
      <c r="NG128" s="456"/>
      <c r="NH128" s="456"/>
      <c r="NI128" s="456"/>
      <c r="NJ128" s="456"/>
      <c r="NK128" s="456"/>
      <c r="NL128" s="456"/>
      <c r="NM128" s="456"/>
      <c r="NN128" s="456"/>
      <c r="NO128" s="456"/>
      <c r="NP128" s="456"/>
      <c r="NQ128" s="456"/>
      <c r="NR128" s="456"/>
      <c r="NS128" s="456"/>
      <c r="NT128" s="456"/>
      <c r="NU128" s="456"/>
      <c r="NV128" s="456"/>
      <c r="NW128" s="456"/>
      <c r="NX128" s="456"/>
      <c r="NY128" s="456"/>
      <c r="NZ128" s="456"/>
      <c r="OA128" s="456"/>
      <c r="OB128" s="456"/>
      <c r="OC128" s="456"/>
      <c r="OD128" s="456"/>
      <c r="OE128" s="456"/>
      <c r="OF128" s="456"/>
      <c r="OG128" s="456"/>
      <c r="OH128" s="456"/>
      <c r="OI128" s="456"/>
      <c r="OJ128" s="456"/>
      <c r="OK128" s="456"/>
      <c r="OL128" s="456"/>
      <c r="OM128" s="456"/>
      <c r="ON128" s="456"/>
      <c r="OO128" s="456"/>
      <c r="OP128" s="456"/>
      <c r="OQ128" s="456"/>
      <c r="OR128" s="456"/>
      <c r="OS128" s="456"/>
      <c r="OT128" s="456"/>
      <c r="OU128" s="456"/>
      <c r="OV128" s="456"/>
      <c r="OW128" s="456"/>
      <c r="OX128" s="456"/>
      <c r="OY128" s="456"/>
      <c r="OZ128" s="456"/>
      <c r="PA128" s="456"/>
      <c r="PB128" s="456"/>
      <c r="PC128" s="456"/>
      <c r="PD128" s="456"/>
      <c r="PE128" s="456"/>
      <c r="PF128" s="456"/>
      <c r="PG128" s="456"/>
      <c r="PH128" s="456"/>
      <c r="PI128" s="456"/>
      <c r="PJ128" s="456"/>
      <c r="PK128" s="456"/>
      <c r="PL128" s="456"/>
      <c r="PM128" s="456"/>
      <c r="PN128" s="456"/>
      <c r="PO128" s="456"/>
      <c r="PP128" s="456"/>
      <c r="PQ128" s="456"/>
      <c r="PR128" s="456"/>
      <c r="PS128" s="456"/>
      <c r="PT128" s="456"/>
      <c r="PU128" s="456"/>
      <c r="PV128" s="456"/>
      <c r="PW128" s="456"/>
      <c r="PX128" s="456"/>
      <c r="PY128" s="456"/>
      <c r="PZ128" s="456"/>
      <c r="QA128" s="456"/>
      <c r="QB128" s="456"/>
      <c r="QC128" s="456"/>
      <c r="QD128" s="456"/>
      <c r="QE128" s="456"/>
      <c r="QF128" s="456"/>
      <c r="QG128" s="456"/>
      <c r="QH128" s="456"/>
      <c r="QI128" s="456"/>
      <c r="QJ128" s="456"/>
      <c r="QK128" s="456"/>
      <c r="QL128" s="456"/>
      <c r="QM128" s="456"/>
      <c r="QN128" s="456"/>
      <c r="QO128" s="456"/>
      <c r="QP128" s="456"/>
      <c r="QQ128" s="456"/>
      <c r="QR128" s="456"/>
      <c r="QS128" s="456"/>
      <c r="QT128" s="456"/>
      <c r="QU128" s="456"/>
      <c r="QV128" s="456"/>
      <c r="QW128" s="456"/>
      <c r="QX128" s="456"/>
      <c r="QY128" s="456"/>
      <c r="QZ128" s="456"/>
      <c r="RA128" s="456"/>
      <c r="RB128" s="456"/>
      <c r="RC128" s="456"/>
      <c r="RD128" s="456"/>
      <c r="RE128" s="456"/>
      <c r="RF128" s="456"/>
      <c r="RG128" s="456"/>
      <c r="RH128" s="456"/>
      <c r="RI128" s="456"/>
      <c r="RJ128" s="456"/>
      <c r="RK128" s="456"/>
      <c r="RL128" s="456"/>
      <c r="RM128" s="456"/>
      <c r="RN128" s="456"/>
      <c r="RO128" s="456"/>
      <c r="RP128" s="456"/>
      <c r="RQ128" s="456"/>
      <c r="RR128" s="456"/>
      <c r="RS128" s="456"/>
      <c r="RT128" s="456"/>
      <c r="RU128" s="456"/>
      <c r="RV128" s="456"/>
      <c r="RW128" s="456"/>
      <c r="RX128" s="456"/>
      <c r="RY128" s="456"/>
      <c r="RZ128" s="456"/>
      <c r="SA128" s="456"/>
      <c r="SB128" s="456"/>
      <c r="SC128" s="456"/>
      <c r="SD128" s="456"/>
      <c r="SE128" s="456"/>
      <c r="SF128" s="456"/>
      <c r="SG128" s="456"/>
      <c r="SH128" s="456"/>
      <c r="SI128" s="456"/>
      <c r="SJ128" s="456"/>
      <c r="SK128" s="456"/>
      <c r="SL128" s="456"/>
      <c r="SM128" s="456"/>
      <c r="SN128" s="456"/>
      <c r="SO128" s="456"/>
      <c r="SP128" s="456"/>
      <c r="SQ128" s="456"/>
      <c r="SR128" s="456"/>
      <c r="SS128" s="456"/>
      <c r="ST128" s="456"/>
      <c r="SU128" s="456"/>
      <c r="SV128" s="456"/>
      <c r="SW128" s="456"/>
      <c r="SX128" s="456"/>
      <c r="SY128" s="456"/>
      <c r="SZ128" s="456"/>
      <c r="TA128" s="456"/>
      <c r="TB128" s="456"/>
      <c r="TC128" s="456"/>
      <c r="TD128" s="456"/>
      <c r="TE128" s="456"/>
      <c r="TF128" s="456"/>
      <c r="TG128" s="456"/>
      <c r="TH128" s="456"/>
      <c r="TI128" s="456"/>
      <c r="TJ128" s="456"/>
      <c r="TK128" s="456"/>
      <c r="TL128" s="456"/>
      <c r="TM128" s="456"/>
      <c r="TN128" s="456"/>
      <c r="TO128" s="456"/>
      <c r="TP128" s="456"/>
      <c r="TQ128" s="456"/>
      <c r="TR128" s="456"/>
      <c r="TS128" s="456"/>
      <c r="TT128" s="456"/>
      <c r="TU128" s="456"/>
      <c r="TV128" s="456"/>
      <c r="TW128" s="456"/>
      <c r="TX128" s="456"/>
      <c r="TY128" s="456"/>
      <c r="TZ128" s="456"/>
      <c r="UA128" s="456"/>
      <c r="UB128" s="456"/>
      <c r="UC128" s="456"/>
      <c r="UD128" s="456"/>
      <c r="UE128" s="456"/>
      <c r="UF128" s="456"/>
      <c r="UG128" s="456"/>
      <c r="UH128" s="456"/>
      <c r="UI128" s="456"/>
      <c r="UJ128" s="456"/>
      <c r="UK128" s="456"/>
      <c r="UL128" s="456"/>
      <c r="UM128" s="456"/>
      <c r="UN128" s="456"/>
      <c r="UO128" s="456"/>
      <c r="UP128" s="456"/>
      <c r="UQ128" s="456"/>
      <c r="UR128" s="456"/>
      <c r="US128" s="456"/>
      <c r="UT128" s="456"/>
      <c r="UU128" s="456"/>
      <c r="UV128" s="456"/>
      <c r="UW128" s="456"/>
      <c r="UX128" s="456"/>
      <c r="UY128" s="456"/>
      <c r="UZ128" s="456"/>
      <c r="VA128" s="456"/>
      <c r="VB128" s="456"/>
      <c r="VC128" s="456"/>
      <c r="VD128" s="456"/>
      <c r="VE128" s="456"/>
      <c r="VF128" s="456"/>
      <c r="VG128" s="456"/>
      <c r="VH128" s="456"/>
      <c r="VI128" s="456"/>
      <c r="VJ128" s="456"/>
      <c r="VK128" s="456"/>
      <c r="VL128" s="456"/>
      <c r="VM128" s="456"/>
      <c r="VN128" s="456"/>
      <c r="VO128" s="456"/>
      <c r="VP128" s="456"/>
      <c r="VQ128" s="456"/>
      <c r="VR128" s="456"/>
      <c r="VS128" s="456"/>
      <c r="VT128" s="456"/>
      <c r="VU128" s="456"/>
      <c r="VV128" s="456"/>
      <c r="VW128" s="456"/>
      <c r="VX128" s="456"/>
      <c r="VY128" s="456"/>
      <c r="VZ128" s="456"/>
      <c r="WA128" s="456"/>
      <c r="WB128" s="456"/>
      <c r="WC128" s="456"/>
      <c r="WD128" s="456"/>
      <c r="WE128" s="456"/>
      <c r="WF128" s="456"/>
      <c r="WG128" s="456"/>
      <c r="WH128" s="456"/>
      <c r="WI128" s="456"/>
      <c r="WJ128" s="456"/>
      <c r="WK128" s="456"/>
      <c r="WL128" s="456"/>
      <c r="WM128" s="456"/>
      <c r="WN128" s="456"/>
      <c r="WO128" s="456"/>
      <c r="WP128" s="456"/>
      <c r="WQ128" s="456"/>
      <c r="WR128" s="456"/>
      <c r="WS128" s="456"/>
      <c r="WT128" s="456"/>
      <c r="WU128" s="456"/>
      <c r="WV128" s="456"/>
      <c r="WW128" s="456"/>
      <c r="WX128" s="456"/>
      <c r="WY128" s="456"/>
      <c r="WZ128" s="456"/>
      <c r="XA128" s="456"/>
      <c r="XB128" s="456"/>
      <c r="XC128" s="456"/>
      <c r="XD128" s="456"/>
      <c r="XE128" s="456"/>
      <c r="XF128" s="456"/>
      <c r="XG128" s="456"/>
      <c r="XH128" s="456"/>
      <c r="XI128" s="456"/>
      <c r="XJ128" s="456"/>
      <c r="XK128" s="456"/>
      <c r="XL128" s="456"/>
      <c r="XM128" s="456"/>
      <c r="XN128" s="456"/>
      <c r="XO128" s="456"/>
      <c r="XP128" s="456"/>
      <c r="XQ128" s="456"/>
      <c r="XR128" s="456"/>
      <c r="XS128" s="456"/>
      <c r="XT128" s="456"/>
      <c r="XU128" s="456"/>
      <c r="XV128" s="456"/>
      <c r="XW128" s="456"/>
      <c r="XX128" s="456"/>
      <c r="XY128" s="456"/>
      <c r="XZ128" s="456"/>
      <c r="YA128" s="456"/>
      <c r="YB128" s="456"/>
      <c r="YC128" s="456"/>
      <c r="YD128" s="456"/>
      <c r="YE128" s="456"/>
      <c r="YF128" s="456"/>
      <c r="YG128" s="456"/>
      <c r="YH128" s="456"/>
      <c r="YI128" s="456"/>
      <c r="YJ128" s="456"/>
      <c r="YK128" s="456"/>
      <c r="YL128" s="456"/>
      <c r="YM128" s="456"/>
      <c r="YN128" s="456"/>
      <c r="YO128" s="456"/>
      <c r="YP128" s="456"/>
      <c r="YQ128" s="456"/>
      <c r="YR128" s="456"/>
      <c r="YS128" s="456"/>
      <c r="YT128" s="456"/>
      <c r="YU128" s="456"/>
      <c r="YV128" s="456"/>
      <c r="YW128" s="456"/>
      <c r="YX128" s="456"/>
      <c r="YY128" s="456"/>
      <c r="YZ128" s="456"/>
      <c r="ZA128" s="456"/>
      <c r="ZB128" s="456"/>
      <c r="ZC128" s="456"/>
      <c r="ZD128" s="456"/>
      <c r="ZE128" s="456"/>
      <c r="ZF128" s="456"/>
      <c r="ZG128" s="456"/>
      <c r="ZH128" s="456"/>
      <c r="ZI128" s="456"/>
      <c r="ZJ128" s="456"/>
      <c r="ZK128" s="456"/>
      <c r="ZL128" s="456"/>
      <c r="ZM128" s="456"/>
      <c r="ZN128" s="456"/>
      <c r="ZO128" s="456"/>
      <c r="ZP128" s="456"/>
      <c r="ZQ128" s="456"/>
      <c r="ZR128" s="456"/>
      <c r="ZS128" s="456"/>
      <c r="ZT128" s="456"/>
      <c r="ZU128" s="456"/>
      <c r="ZV128" s="456"/>
      <c r="ZW128" s="456"/>
      <c r="ZX128" s="456"/>
      <c r="ZY128" s="456"/>
      <c r="ZZ128" s="456"/>
      <c r="AAA128" s="456"/>
      <c r="AAB128" s="456"/>
      <c r="AAC128" s="456"/>
      <c r="AAD128" s="456"/>
      <c r="AAE128" s="456"/>
      <c r="AAF128" s="456"/>
      <c r="AAG128" s="456"/>
      <c r="AAH128" s="456"/>
      <c r="AAI128" s="456"/>
      <c r="AAJ128" s="456"/>
      <c r="AAK128" s="456"/>
      <c r="AAL128" s="456"/>
      <c r="AAM128" s="456"/>
      <c r="AAN128" s="456"/>
      <c r="AAO128" s="456"/>
      <c r="AAP128" s="456"/>
      <c r="AAQ128" s="456"/>
      <c r="AAR128" s="456"/>
      <c r="AAS128" s="456"/>
      <c r="AAT128" s="456"/>
      <c r="AAU128" s="456"/>
      <c r="AAV128" s="456"/>
      <c r="AAW128" s="456"/>
      <c r="AAX128" s="456"/>
      <c r="AAY128" s="456"/>
      <c r="AAZ128" s="456"/>
      <c r="ABA128" s="456"/>
      <c r="ABB128" s="456"/>
      <c r="ABC128" s="456"/>
      <c r="ABD128" s="456"/>
      <c r="ABE128" s="456"/>
      <c r="ABF128" s="456"/>
      <c r="ABG128" s="456"/>
      <c r="ABH128" s="456"/>
      <c r="ABI128" s="456"/>
      <c r="ABJ128" s="456"/>
      <c r="ABK128" s="456"/>
      <c r="ABL128" s="456"/>
      <c r="ABM128" s="456"/>
      <c r="ABN128" s="456"/>
      <c r="ABO128" s="456"/>
      <c r="ABP128" s="456"/>
      <c r="ABQ128" s="456"/>
      <c r="ABR128" s="456"/>
      <c r="ABS128" s="456"/>
      <c r="ABT128" s="456"/>
      <c r="ABU128" s="456"/>
      <c r="ABV128" s="456"/>
      <c r="ABW128" s="456"/>
      <c r="ABX128" s="456"/>
      <c r="ABY128" s="456"/>
      <c r="ABZ128" s="456"/>
      <c r="ACA128" s="456"/>
      <c r="ACB128" s="456"/>
      <c r="ACC128" s="456"/>
      <c r="ACD128" s="456"/>
      <c r="ACE128" s="456"/>
      <c r="ACF128" s="456"/>
      <c r="ACG128" s="456"/>
      <c r="ACH128" s="456"/>
      <c r="ACI128" s="456"/>
      <c r="ACJ128" s="456"/>
      <c r="ACK128" s="456"/>
      <c r="ACL128" s="456"/>
      <c r="ACM128" s="456"/>
      <c r="ACN128" s="456"/>
      <c r="ACO128" s="456"/>
      <c r="ACP128" s="456"/>
      <c r="ACQ128" s="456"/>
      <c r="ACR128" s="456"/>
      <c r="ACS128" s="456"/>
      <c r="ACT128" s="456"/>
      <c r="ACU128" s="456"/>
      <c r="ACV128" s="456"/>
      <c r="ACW128" s="456"/>
      <c r="ACX128" s="456"/>
      <c r="ACY128" s="456"/>
      <c r="ACZ128" s="456"/>
      <c r="ADA128" s="456"/>
      <c r="ADB128" s="456"/>
      <c r="ADC128" s="456"/>
      <c r="ADD128" s="456"/>
      <c r="ADE128" s="456"/>
      <c r="ADF128" s="456"/>
      <c r="ADG128" s="456"/>
      <c r="ADH128" s="456"/>
      <c r="ADI128" s="456"/>
      <c r="ADJ128" s="456"/>
      <c r="ADK128" s="456"/>
      <c r="ADL128" s="456"/>
      <c r="ADM128" s="456"/>
      <c r="ADN128" s="456"/>
      <c r="ADO128" s="456"/>
      <c r="ADP128" s="456"/>
      <c r="ADQ128" s="456"/>
      <c r="ADR128" s="456"/>
      <c r="ADS128" s="456"/>
      <c r="ADT128" s="456"/>
      <c r="ADU128" s="456"/>
      <c r="ADV128" s="456"/>
      <c r="ADW128" s="456"/>
      <c r="ADX128" s="456"/>
      <c r="ADY128" s="456"/>
      <c r="ADZ128" s="456"/>
      <c r="AEA128" s="456"/>
      <c r="AEB128" s="456"/>
      <c r="AEC128" s="456"/>
      <c r="AED128" s="456"/>
      <c r="AEE128" s="456"/>
      <c r="AEF128" s="456"/>
      <c r="AEG128" s="456"/>
      <c r="AEH128" s="456"/>
      <c r="AEI128" s="456"/>
      <c r="AEJ128" s="456"/>
      <c r="AEK128" s="456"/>
      <c r="AEL128" s="456"/>
      <c r="AEM128" s="456"/>
      <c r="AEN128" s="456"/>
      <c r="AEO128" s="456"/>
      <c r="AEP128" s="456"/>
      <c r="AEQ128" s="456"/>
      <c r="AER128" s="456"/>
      <c r="AES128" s="456"/>
      <c r="AET128" s="456"/>
      <c r="AEU128" s="456"/>
      <c r="AEV128" s="456"/>
      <c r="AEW128" s="456"/>
      <c r="AEX128" s="456"/>
      <c r="AEY128" s="456"/>
      <c r="AEZ128" s="456"/>
      <c r="AFA128" s="456"/>
      <c r="AFB128" s="456"/>
      <c r="AFC128" s="456"/>
      <c r="AFD128" s="456"/>
      <c r="AFE128" s="456"/>
      <c r="AFF128" s="456"/>
      <c r="AFG128" s="456"/>
      <c r="AFH128" s="456"/>
      <c r="AFI128" s="456"/>
      <c r="AFJ128" s="456"/>
      <c r="AFK128" s="456"/>
      <c r="AFL128" s="456"/>
      <c r="AFM128" s="456"/>
      <c r="AFN128" s="456"/>
      <c r="AFO128" s="456"/>
      <c r="AFP128" s="456"/>
      <c r="AFQ128" s="456"/>
      <c r="AFR128" s="456"/>
      <c r="AFS128" s="456"/>
      <c r="AFT128" s="456"/>
      <c r="AFU128" s="456"/>
      <c r="AFV128" s="456"/>
      <c r="AFW128" s="456"/>
      <c r="AFX128" s="456"/>
      <c r="AFY128" s="456"/>
      <c r="AFZ128" s="456"/>
      <c r="AGA128" s="456"/>
      <c r="AGB128" s="456"/>
      <c r="AGC128" s="456"/>
      <c r="AGD128" s="456"/>
      <c r="AGE128" s="456"/>
      <c r="AGF128" s="456"/>
      <c r="AGG128" s="456"/>
      <c r="AGH128" s="456"/>
      <c r="AGI128" s="456"/>
      <c r="AGJ128" s="456"/>
      <c r="AGK128" s="456"/>
      <c r="AGL128" s="456"/>
      <c r="AGM128" s="456"/>
      <c r="AGN128" s="456"/>
      <c r="AGO128" s="456"/>
      <c r="AGP128" s="456"/>
      <c r="AGQ128" s="456"/>
      <c r="AGR128" s="456"/>
      <c r="AGS128" s="456"/>
      <c r="AGT128" s="456"/>
      <c r="AGU128" s="456"/>
      <c r="AGV128" s="456"/>
      <c r="AGW128" s="456"/>
      <c r="AGX128" s="456"/>
      <c r="AGY128" s="456"/>
      <c r="AGZ128" s="456"/>
      <c r="AHA128" s="456"/>
      <c r="AHB128" s="456"/>
      <c r="AHC128" s="456"/>
      <c r="AHD128" s="456"/>
      <c r="AHE128" s="456"/>
      <c r="AHF128" s="456"/>
      <c r="AHG128" s="456"/>
      <c r="AHH128" s="456"/>
      <c r="AHI128" s="456"/>
      <c r="AHJ128" s="456"/>
      <c r="AHK128" s="456"/>
      <c r="AHL128" s="456"/>
      <c r="AHM128" s="456"/>
      <c r="AHN128" s="456"/>
      <c r="AHO128" s="456"/>
      <c r="AHP128" s="456"/>
      <c r="AHQ128" s="456"/>
      <c r="AHR128" s="456"/>
      <c r="AHS128" s="456"/>
      <c r="AHT128" s="456"/>
      <c r="AHU128" s="456"/>
      <c r="AHV128" s="456"/>
      <c r="AHW128" s="456"/>
      <c r="AHX128" s="456"/>
      <c r="AHY128" s="456"/>
      <c r="AHZ128" s="456"/>
      <c r="AIA128" s="456"/>
      <c r="AIB128" s="456"/>
      <c r="AIC128" s="456"/>
      <c r="AID128" s="456"/>
      <c r="AIE128" s="456"/>
      <c r="AIF128" s="456"/>
      <c r="AIG128" s="456"/>
      <c r="AIH128" s="456"/>
      <c r="AII128" s="456"/>
      <c r="AIJ128" s="456"/>
      <c r="AIK128" s="456"/>
      <c r="AIL128" s="456"/>
      <c r="AIM128" s="456"/>
      <c r="AIN128" s="456"/>
      <c r="AIO128" s="456"/>
      <c r="AIP128" s="456"/>
      <c r="AIQ128" s="456"/>
      <c r="AIR128" s="456"/>
      <c r="AIS128" s="456"/>
      <c r="AIT128" s="456"/>
      <c r="AIU128" s="456"/>
      <c r="AIV128" s="456"/>
      <c r="AIW128" s="456"/>
      <c r="AIX128" s="456"/>
      <c r="AIY128" s="456"/>
      <c r="AIZ128" s="456"/>
      <c r="AJA128" s="456"/>
      <c r="AJB128" s="456"/>
      <c r="AJC128" s="456"/>
      <c r="AJD128" s="456"/>
      <c r="AJE128" s="456"/>
      <c r="AJF128" s="456"/>
      <c r="AJG128" s="456"/>
      <c r="AJH128" s="456"/>
      <c r="AJI128" s="456"/>
      <c r="AJJ128" s="456"/>
      <c r="AJK128" s="456"/>
      <c r="AJL128" s="456"/>
      <c r="AJM128" s="456"/>
      <c r="AJN128" s="456"/>
      <c r="AJO128" s="456"/>
      <c r="AJP128" s="456"/>
      <c r="AJQ128" s="456"/>
      <c r="AJR128" s="456"/>
      <c r="AJS128" s="456"/>
      <c r="AJT128" s="456"/>
      <c r="AJU128" s="456"/>
      <c r="AJV128" s="456"/>
      <c r="AJW128" s="456"/>
      <c r="AJX128" s="456"/>
      <c r="AJY128" s="456"/>
      <c r="AJZ128" s="456"/>
      <c r="AKA128" s="456"/>
      <c r="AKB128" s="456"/>
      <c r="AKC128" s="456"/>
      <c r="AKD128" s="456"/>
      <c r="AKE128" s="456"/>
      <c r="AKF128" s="456"/>
      <c r="AKG128" s="456"/>
      <c r="AKH128" s="456"/>
      <c r="AKI128" s="456"/>
      <c r="AKJ128" s="456"/>
      <c r="AKK128" s="456"/>
      <c r="AKL128" s="456"/>
      <c r="AKM128" s="456"/>
      <c r="AKN128" s="456"/>
      <c r="AKO128" s="456"/>
      <c r="AKP128" s="456"/>
      <c r="AKQ128" s="456"/>
      <c r="AKR128" s="456"/>
      <c r="AKS128" s="456"/>
      <c r="AKT128" s="456"/>
      <c r="AKU128" s="456"/>
      <c r="AKV128" s="456"/>
      <c r="AKW128" s="456"/>
      <c r="AKX128" s="456"/>
      <c r="AKY128" s="456"/>
      <c r="AKZ128" s="456"/>
      <c r="ALA128" s="456"/>
      <c r="ALB128" s="456"/>
      <c r="ALC128" s="456"/>
      <c r="ALD128" s="456"/>
      <c r="ALE128" s="456"/>
      <c r="ALF128" s="456"/>
      <c r="ALG128" s="456"/>
      <c r="ALH128" s="456"/>
      <c r="ALI128" s="456"/>
      <c r="ALJ128" s="456"/>
      <c r="ALK128" s="456"/>
      <c r="ALL128" s="456"/>
      <c r="ALM128" s="456"/>
      <c r="ALN128" s="456"/>
      <c r="ALO128" s="456"/>
      <c r="ALP128" s="456"/>
      <c r="ALQ128" s="456"/>
      <c r="ALR128" s="456"/>
      <c r="ALS128" s="456"/>
      <c r="ALT128" s="456"/>
      <c r="ALU128" s="456"/>
      <c r="ALV128" s="456"/>
      <c r="ALW128" s="456"/>
      <c r="ALX128" s="456"/>
      <c r="ALY128" s="456"/>
      <c r="ALZ128" s="456"/>
      <c r="AMA128" s="456"/>
      <c r="AMB128" s="456"/>
      <c r="AMC128" s="456"/>
      <c r="AMD128" s="456"/>
      <c r="AME128" s="456"/>
      <c r="AMF128" s="456"/>
      <c r="AMG128" s="456"/>
      <c r="AMH128" s="456"/>
      <c r="AMI128" s="456"/>
      <c r="AMJ128" s="456"/>
      <c r="AMK128" s="456"/>
      <c r="AML128" s="456"/>
      <c r="AMM128" s="456"/>
      <c r="AMN128" s="456"/>
      <c r="AMO128" s="456"/>
      <c r="AMP128" s="456"/>
      <c r="AMQ128" s="456"/>
      <c r="AMR128" s="456"/>
      <c r="AMS128" s="456"/>
      <c r="AMT128" s="456"/>
      <c r="AMU128" s="456"/>
      <c r="AMV128" s="456"/>
      <c r="AMW128" s="456"/>
      <c r="AMX128" s="456"/>
      <c r="AMY128" s="456"/>
      <c r="AMZ128" s="456"/>
      <c r="ANA128" s="456"/>
      <c r="ANB128" s="456"/>
      <c r="ANC128" s="456"/>
      <c r="AND128" s="456"/>
      <c r="ANE128" s="456"/>
      <c r="ANF128" s="456"/>
      <c r="ANG128" s="456"/>
      <c r="ANH128" s="456"/>
      <c r="ANI128" s="456"/>
      <c r="ANJ128" s="456"/>
      <c r="ANK128" s="456"/>
      <c r="ANL128" s="456"/>
      <c r="ANM128" s="456"/>
      <c r="ANN128" s="456"/>
      <c r="ANO128" s="456"/>
      <c r="ANP128" s="456"/>
      <c r="ANQ128" s="456"/>
      <c r="ANR128" s="456"/>
      <c r="ANS128" s="456"/>
      <c r="ANT128" s="456"/>
      <c r="ANU128" s="456"/>
      <c r="ANV128" s="456"/>
      <c r="ANW128" s="456"/>
      <c r="ANX128" s="456"/>
      <c r="ANY128" s="456"/>
      <c r="ANZ128" s="456"/>
      <c r="AOA128" s="456"/>
      <c r="AOB128" s="456"/>
      <c r="AOC128" s="456"/>
      <c r="AOD128" s="456"/>
      <c r="AOE128" s="456"/>
      <c r="AOF128" s="456"/>
      <c r="AOG128" s="456"/>
      <c r="AOH128" s="456"/>
      <c r="AOI128" s="456"/>
      <c r="AOJ128" s="456"/>
      <c r="AOK128" s="456"/>
      <c r="AOL128" s="456"/>
      <c r="AOM128" s="456"/>
      <c r="AON128" s="456"/>
      <c r="AOO128" s="456"/>
      <c r="AOP128" s="456"/>
      <c r="AOQ128" s="456"/>
      <c r="AOR128" s="456"/>
      <c r="AOS128" s="456"/>
      <c r="AOT128" s="456"/>
      <c r="AOU128" s="456"/>
      <c r="AOV128" s="456"/>
      <c r="AOW128" s="456"/>
      <c r="AOX128" s="456"/>
      <c r="AOY128" s="456"/>
      <c r="AOZ128" s="456"/>
      <c r="APA128" s="456"/>
      <c r="APB128" s="456"/>
      <c r="APC128" s="456"/>
      <c r="APD128" s="456"/>
      <c r="APE128" s="456"/>
      <c r="APF128" s="456"/>
      <c r="APG128" s="456"/>
      <c r="APH128" s="456"/>
      <c r="API128" s="456"/>
      <c r="APJ128" s="456"/>
      <c r="APK128" s="456"/>
      <c r="APL128" s="456"/>
      <c r="APM128" s="456"/>
      <c r="APN128" s="456"/>
      <c r="APO128" s="456"/>
      <c r="APP128" s="456"/>
      <c r="APQ128" s="456"/>
      <c r="APR128" s="456"/>
      <c r="APS128" s="456"/>
      <c r="APT128" s="456"/>
      <c r="APU128" s="456"/>
      <c r="APV128" s="456"/>
      <c r="APW128" s="456"/>
      <c r="APX128" s="456"/>
      <c r="APY128" s="456"/>
      <c r="APZ128" s="456"/>
      <c r="AQA128" s="456"/>
      <c r="AQB128" s="456"/>
      <c r="AQC128" s="456"/>
      <c r="AQD128" s="456"/>
      <c r="AQE128" s="456"/>
      <c r="AQF128" s="456"/>
      <c r="AQG128" s="456"/>
      <c r="AQH128" s="456"/>
      <c r="AQI128" s="456"/>
      <c r="AQJ128" s="456"/>
      <c r="AQK128" s="456"/>
      <c r="AQL128" s="456"/>
      <c r="AQM128" s="456"/>
      <c r="AQN128" s="456"/>
      <c r="AQO128" s="456"/>
      <c r="AQP128" s="456"/>
      <c r="AQQ128" s="456"/>
      <c r="AQR128" s="456"/>
      <c r="AQS128" s="456"/>
      <c r="AQT128" s="456"/>
      <c r="AQU128" s="456"/>
      <c r="AQV128" s="456"/>
      <c r="AQW128" s="456"/>
      <c r="AQX128" s="456"/>
      <c r="AQY128" s="456"/>
      <c r="AQZ128" s="456"/>
      <c r="ARA128" s="456"/>
      <c r="ARB128" s="456"/>
      <c r="ARC128" s="456"/>
      <c r="ARD128" s="456"/>
      <c r="ARE128" s="456"/>
      <c r="ARF128" s="456"/>
      <c r="ARG128" s="456"/>
      <c r="ARH128" s="456"/>
      <c r="ARI128" s="456"/>
      <c r="ARJ128" s="456"/>
      <c r="ARK128" s="456"/>
      <c r="ARL128" s="456"/>
      <c r="ARM128" s="456"/>
      <c r="ARN128" s="456"/>
      <c r="ARO128" s="456"/>
      <c r="ARP128" s="456"/>
      <c r="ARQ128" s="456"/>
      <c r="ARR128" s="456"/>
      <c r="ARS128" s="456"/>
      <c r="ART128" s="456"/>
      <c r="ARU128" s="456"/>
      <c r="ARV128" s="456"/>
      <c r="ARW128" s="456"/>
      <c r="ARX128" s="456"/>
      <c r="ARY128" s="456"/>
      <c r="ARZ128" s="456"/>
      <c r="ASA128" s="456"/>
      <c r="ASB128" s="456"/>
      <c r="ASC128" s="456"/>
      <c r="ASD128" s="456"/>
      <c r="ASE128" s="456"/>
      <c r="ASF128" s="456"/>
      <c r="ASG128" s="456"/>
      <c r="ASH128" s="456"/>
      <c r="ASI128" s="456"/>
      <c r="ASJ128" s="456"/>
      <c r="ASK128" s="456"/>
      <c r="ASL128" s="456"/>
      <c r="ASM128" s="456"/>
      <c r="ASN128" s="456"/>
      <c r="ASO128" s="456"/>
      <c r="ASP128" s="456"/>
      <c r="ASQ128" s="456"/>
      <c r="ASR128" s="456"/>
      <c r="ASS128" s="456"/>
      <c r="AST128" s="456"/>
      <c r="ASU128" s="456"/>
      <c r="ASV128" s="456"/>
      <c r="ASW128" s="456"/>
      <c r="ASX128" s="456"/>
      <c r="ASY128" s="456"/>
      <c r="ASZ128" s="456"/>
      <c r="ATA128" s="456"/>
      <c r="ATB128" s="456"/>
      <c r="ATC128" s="456"/>
      <c r="ATD128" s="456"/>
      <c r="ATE128" s="456"/>
      <c r="ATF128" s="456"/>
      <c r="ATG128" s="456"/>
      <c r="ATH128" s="456"/>
      <c r="ATI128" s="456"/>
      <c r="ATJ128" s="456"/>
      <c r="ATK128" s="456"/>
      <c r="ATL128" s="456"/>
      <c r="ATM128" s="456"/>
      <c r="ATN128" s="456"/>
      <c r="ATO128" s="456"/>
      <c r="ATP128" s="456"/>
      <c r="ATQ128" s="456"/>
      <c r="ATR128" s="456"/>
      <c r="ATS128" s="456"/>
      <c r="ATT128" s="456"/>
      <c r="ATU128" s="456"/>
      <c r="ATV128" s="456"/>
      <c r="ATW128" s="456"/>
      <c r="ATX128" s="456"/>
      <c r="ATY128" s="456"/>
      <c r="ATZ128" s="456"/>
      <c r="AUA128" s="456"/>
      <c r="AUB128" s="456"/>
      <c r="AUC128" s="456"/>
      <c r="AUD128" s="456"/>
      <c r="AUE128" s="456"/>
      <c r="AUF128" s="456"/>
      <c r="AUG128" s="456"/>
      <c r="AUH128" s="456"/>
      <c r="AUI128" s="456"/>
      <c r="AUJ128" s="456"/>
      <c r="AUK128" s="456"/>
      <c r="AUL128" s="456"/>
      <c r="AUM128" s="456"/>
      <c r="AUN128" s="456"/>
      <c r="AUO128" s="456"/>
      <c r="AUP128" s="456"/>
      <c r="AUQ128" s="456"/>
      <c r="AUR128" s="456"/>
      <c r="AUS128" s="456"/>
      <c r="AUT128" s="456"/>
      <c r="AUU128" s="456"/>
      <c r="AUV128" s="456"/>
      <c r="AUW128" s="456"/>
      <c r="AUX128" s="456"/>
      <c r="AUY128" s="456"/>
      <c r="AUZ128" s="456"/>
      <c r="AVA128" s="456"/>
      <c r="AVB128" s="456"/>
      <c r="AVC128" s="456"/>
      <c r="AVD128" s="456"/>
      <c r="AVE128" s="456"/>
      <c r="AVF128" s="456"/>
      <c r="AVG128" s="456"/>
      <c r="AVH128" s="456"/>
      <c r="AVI128" s="456"/>
      <c r="AVJ128" s="456"/>
      <c r="AVK128" s="456"/>
      <c r="AVL128" s="456"/>
      <c r="AVM128" s="456"/>
      <c r="AVN128" s="456"/>
      <c r="AVO128" s="456"/>
      <c r="AVP128" s="456"/>
      <c r="AVQ128" s="456"/>
      <c r="AVR128" s="456"/>
      <c r="AVS128" s="456"/>
      <c r="AVT128" s="456"/>
      <c r="AVU128" s="456"/>
      <c r="AVV128" s="456"/>
      <c r="AVW128" s="456"/>
      <c r="AVX128" s="456"/>
      <c r="AVY128" s="456"/>
      <c r="AVZ128" s="456"/>
      <c r="AWA128" s="456"/>
      <c r="AWB128" s="456"/>
      <c r="AWC128" s="456"/>
      <c r="AWD128" s="456"/>
      <c r="AWE128" s="456"/>
      <c r="AWF128" s="456"/>
      <c r="AWG128" s="456"/>
      <c r="AWH128" s="456"/>
      <c r="AWI128" s="456"/>
      <c r="AWJ128" s="456"/>
      <c r="AWK128" s="456"/>
      <c r="AWL128" s="456"/>
      <c r="AWM128" s="456"/>
      <c r="AWN128" s="456"/>
      <c r="AWO128" s="456"/>
      <c r="AWP128" s="456"/>
      <c r="AWQ128" s="456"/>
      <c r="AWR128" s="456"/>
      <c r="AWS128" s="456"/>
      <c r="AWT128" s="456"/>
      <c r="AWU128" s="456"/>
      <c r="AWV128" s="456"/>
      <c r="AWW128" s="456"/>
      <c r="AWX128" s="456"/>
      <c r="AWY128" s="456"/>
      <c r="AWZ128" s="456"/>
      <c r="AXA128" s="456"/>
      <c r="AXB128" s="456"/>
      <c r="AXC128" s="456"/>
      <c r="AXD128" s="456"/>
      <c r="AXE128" s="456"/>
      <c r="AXF128" s="456"/>
      <c r="AXG128" s="456"/>
      <c r="AXH128" s="456"/>
      <c r="AXI128" s="456"/>
      <c r="AXJ128" s="456"/>
      <c r="AXK128" s="456"/>
      <c r="AXL128" s="456"/>
      <c r="AXM128" s="456"/>
      <c r="AXN128" s="456"/>
      <c r="AXO128" s="456"/>
      <c r="AXP128" s="456"/>
      <c r="AXQ128" s="456"/>
      <c r="AXR128" s="456"/>
      <c r="AXS128" s="456"/>
      <c r="AXT128" s="456"/>
      <c r="AXU128" s="456"/>
      <c r="AXV128" s="456"/>
      <c r="AXW128" s="456"/>
      <c r="AXX128" s="456"/>
      <c r="AXY128" s="456"/>
      <c r="AXZ128" s="456"/>
      <c r="AYA128" s="456"/>
      <c r="AYB128" s="456"/>
      <c r="AYC128" s="456"/>
      <c r="AYD128" s="456"/>
      <c r="AYE128" s="456"/>
      <c r="AYF128" s="456"/>
      <c r="AYG128" s="456"/>
      <c r="AYH128" s="456"/>
      <c r="AYI128" s="456"/>
      <c r="AYJ128" s="456"/>
      <c r="AYK128" s="456"/>
      <c r="AYL128" s="456"/>
      <c r="AYM128" s="456"/>
      <c r="AYN128" s="456"/>
      <c r="AYO128" s="456"/>
      <c r="AYP128" s="456"/>
      <c r="AYQ128" s="456"/>
      <c r="AYR128" s="456"/>
      <c r="AYS128" s="456"/>
      <c r="AYT128" s="456"/>
      <c r="AYU128" s="456"/>
      <c r="AYV128" s="456"/>
      <c r="AYW128" s="456"/>
      <c r="AYX128" s="456"/>
      <c r="AYY128" s="456"/>
      <c r="AYZ128" s="456"/>
      <c r="AZA128" s="456"/>
      <c r="AZB128" s="456"/>
      <c r="AZC128" s="456"/>
      <c r="AZD128" s="456"/>
      <c r="AZE128" s="456"/>
      <c r="AZF128" s="456"/>
      <c r="AZG128" s="456"/>
      <c r="AZH128" s="456"/>
      <c r="AZI128" s="456"/>
      <c r="AZJ128" s="456"/>
      <c r="AZK128" s="456"/>
      <c r="AZL128" s="456"/>
      <c r="AZM128" s="456"/>
      <c r="AZN128" s="456"/>
      <c r="AZO128" s="456"/>
      <c r="AZP128" s="456"/>
      <c r="AZQ128" s="456"/>
      <c r="AZR128" s="456"/>
      <c r="AZS128" s="456"/>
      <c r="AZT128" s="456"/>
      <c r="AZU128" s="456"/>
      <c r="AZV128" s="456"/>
      <c r="AZW128" s="456"/>
      <c r="AZX128" s="456"/>
      <c r="AZY128" s="456"/>
      <c r="AZZ128" s="456"/>
      <c r="BAA128" s="456"/>
      <c r="BAB128" s="456"/>
      <c r="BAC128" s="456"/>
      <c r="BAD128" s="456"/>
      <c r="BAE128" s="456"/>
      <c r="BAF128" s="456"/>
      <c r="BAG128" s="456"/>
      <c r="BAH128" s="456"/>
      <c r="BAI128" s="456"/>
      <c r="BAJ128" s="456"/>
      <c r="BAK128" s="456"/>
      <c r="BAL128" s="456"/>
      <c r="BAM128" s="456"/>
      <c r="BAN128" s="456"/>
      <c r="BAO128" s="456"/>
      <c r="BAP128" s="456"/>
      <c r="BAQ128" s="456"/>
      <c r="BAR128" s="456"/>
      <c r="BAS128" s="456"/>
      <c r="BAT128" s="456"/>
      <c r="BAU128" s="456"/>
      <c r="BAV128" s="456"/>
      <c r="BAW128" s="456"/>
      <c r="BAX128" s="456"/>
      <c r="BAY128" s="456"/>
      <c r="BAZ128" s="456"/>
      <c r="BBA128" s="456"/>
      <c r="BBB128" s="456"/>
      <c r="BBC128" s="456"/>
      <c r="BBD128" s="456"/>
      <c r="BBE128" s="456"/>
      <c r="BBF128" s="456"/>
      <c r="BBG128" s="456"/>
      <c r="BBH128" s="456"/>
      <c r="BBI128" s="456"/>
      <c r="BBJ128" s="456"/>
      <c r="BBK128" s="456"/>
      <c r="BBL128" s="456"/>
      <c r="BBM128" s="456"/>
      <c r="BBN128" s="456"/>
      <c r="BBO128" s="456"/>
      <c r="BBP128" s="456"/>
      <c r="BBQ128" s="456"/>
      <c r="BBR128" s="456"/>
      <c r="BBS128" s="456"/>
      <c r="BBT128" s="456"/>
      <c r="BBU128" s="456"/>
      <c r="BBV128" s="456"/>
      <c r="BBW128" s="456"/>
      <c r="BBX128" s="456"/>
      <c r="BBY128" s="456"/>
      <c r="BBZ128" s="456"/>
      <c r="BCA128" s="456"/>
      <c r="BCB128" s="456"/>
      <c r="BCC128" s="456"/>
      <c r="BCD128" s="456"/>
      <c r="BCE128" s="456"/>
      <c r="BCF128" s="456"/>
      <c r="BCG128" s="456"/>
      <c r="BCH128" s="456"/>
      <c r="BCI128" s="456"/>
      <c r="BCJ128" s="456"/>
      <c r="BCK128" s="456"/>
      <c r="BCL128" s="456"/>
      <c r="BCM128" s="456"/>
      <c r="BCN128" s="456"/>
      <c r="BCO128" s="456"/>
      <c r="BCP128" s="456"/>
      <c r="BCQ128" s="456"/>
      <c r="BCR128" s="456"/>
      <c r="BCS128" s="456"/>
      <c r="BCT128" s="456"/>
      <c r="BCU128" s="456"/>
      <c r="BCV128" s="456"/>
      <c r="BCW128" s="456"/>
      <c r="BCX128" s="456"/>
      <c r="BCY128" s="456"/>
      <c r="BCZ128" s="456"/>
      <c r="BDA128" s="456"/>
      <c r="BDB128" s="456"/>
      <c r="BDC128" s="456"/>
      <c r="BDD128" s="456"/>
      <c r="BDE128" s="456"/>
      <c r="BDF128" s="456"/>
      <c r="BDG128" s="456"/>
      <c r="BDH128" s="456"/>
      <c r="BDI128" s="456"/>
      <c r="BDJ128" s="456"/>
      <c r="BDK128" s="456"/>
      <c r="BDL128" s="456"/>
      <c r="BDM128" s="456"/>
      <c r="BDN128" s="456"/>
      <c r="BDO128" s="456"/>
      <c r="BDP128" s="456"/>
      <c r="BDQ128" s="456"/>
      <c r="BDR128" s="456"/>
      <c r="BDS128" s="456"/>
      <c r="BDT128" s="456"/>
      <c r="BDU128" s="456"/>
      <c r="BDV128" s="456"/>
      <c r="BDW128" s="456"/>
      <c r="BDX128" s="456"/>
      <c r="BDY128" s="456"/>
      <c r="BDZ128" s="456"/>
      <c r="BEA128" s="456"/>
      <c r="BEB128" s="456"/>
      <c r="BEC128" s="456"/>
      <c r="BED128" s="456"/>
      <c r="BEE128" s="456"/>
      <c r="BEF128" s="456"/>
      <c r="BEG128" s="456"/>
      <c r="BEH128" s="456"/>
      <c r="BEI128" s="456"/>
      <c r="BEJ128" s="456"/>
      <c r="BEK128" s="456"/>
      <c r="BEL128" s="456"/>
      <c r="BEM128" s="456"/>
      <c r="BEN128" s="456"/>
      <c r="BEO128" s="456"/>
      <c r="BEP128" s="456"/>
      <c r="BEQ128" s="456"/>
      <c r="BER128" s="456"/>
      <c r="BES128" s="456"/>
      <c r="BET128" s="456"/>
      <c r="BEU128" s="456"/>
      <c r="BEV128" s="456"/>
      <c r="BEW128" s="456"/>
      <c r="BEX128" s="456"/>
      <c r="BEY128" s="456"/>
      <c r="BEZ128" s="456"/>
      <c r="BFA128" s="456"/>
      <c r="BFB128" s="456"/>
      <c r="BFC128" s="456"/>
      <c r="BFD128" s="456"/>
      <c r="BFE128" s="456"/>
      <c r="BFF128" s="456"/>
      <c r="BFG128" s="456"/>
      <c r="BFH128" s="456"/>
      <c r="BFI128" s="456"/>
      <c r="BFJ128" s="456"/>
      <c r="BFK128" s="456"/>
      <c r="BFL128" s="456"/>
      <c r="BFM128" s="456"/>
      <c r="BFN128" s="456"/>
      <c r="BFO128" s="456"/>
      <c r="BFP128" s="456"/>
      <c r="BFQ128" s="456"/>
      <c r="BFR128" s="456"/>
      <c r="BFS128" s="456"/>
      <c r="BFT128" s="456"/>
      <c r="BFU128" s="456"/>
      <c r="BFV128" s="456"/>
      <c r="BFW128" s="456"/>
      <c r="BFX128" s="456"/>
      <c r="BFY128" s="456"/>
      <c r="BFZ128" s="456"/>
      <c r="BGA128" s="456"/>
      <c r="BGB128" s="456"/>
      <c r="BGC128" s="456"/>
      <c r="BGD128" s="456"/>
      <c r="BGE128" s="456"/>
      <c r="BGF128" s="456"/>
      <c r="BGG128" s="456"/>
      <c r="BGH128" s="456"/>
      <c r="BGI128" s="456"/>
      <c r="BGJ128" s="456"/>
      <c r="BGK128" s="456"/>
      <c r="BGL128" s="456"/>
      <c r="BGM128" s="456"/>
      <c r="BGN128" s="456"/>
      <c r="BGO128" s="456"/>
      <c r="BGP128" s="456"/>
      <c r="BGQ128" s="456"/>
      <c r="BGR128" s="456"/>
      <c r="BGS128" s="456"/>
      <c r="BGT128" s="456"/>
      <c r="BGU128" s="456"/>
      <c r="BGV128" s="456"/>
      <c r="BGW128" s="456"/>
      <c r="BGX128" s="456"/>
      <c r="BGY128" s="456"/>
      <c r="BGZ128" s="456"/>
      <c r="BHA128" s="456"/>
      <c r="BHB128" s="456"/>
      <c r="BHC128" s="456"/>
      <c r="BHD128" s="456"/>
      <c r="BHE128" s="456"/>
      <c r="BHF128" s="456"/>
      <c r="BHG128" s="456"/>
      <c r="BHH128" s="456"/>
      <c r="BHI128" s="456"/>
      <c r="BHJ128" s="456"/>
      <c r="BHK128" s="456"/>
      <c r="BHL128" s="456"/>
      <c r="BHM128" s="456"/>
      <c r="BHN128" s="456"/>
      <c r="BHO128" s="456"/>
      <c r="BHP128" s="456"/>
      <c r="BHQ128" s="456"/>
      <c r="BHR128" s="456"/>
      <c r="BHS128" s="456"/>
      <c r="BHT128" s="456"/>
      <c r="BHU128" s="456"/>
      <c r="BHV128" s="456"/>
      <c r="BHW128" s="456"/>
      <c r="BHX128" s="456"/>
      <c r="BHY128" s="456"/>
      <c r="BHZ128" s="456"/>
      <c r="BIA128" s="456"/>
      <c r="BIB128" s="456"/>
      <c r="BIC128" s="456"/>
      <c r="BID128" s="456"/>
      <c r="BIE128" s="456"/>
      <c r="BIF128" s="456"/>
      <c r="BIG128" s="456"/>
      <c r="BIH128" s="456"/>
      <c r="BII128" s="456"/>
      <c r="BIJ128" s="456"/>
      <c r="BIK128" s="456"/>
      <c r="BIL128" s="456"/>
      <c r="BIM128" s="456"/>
      <c r="BIN128" s="456"/>
      <c r="BIO128" s="456"/>
      <c r="BIP128" s="456"/>
      <c r="BIQ128" s="456"/>
      <c r="BIR128" s="456"/>
      <c r="BIS128" s="456"/>
      <c r="BIT128" s="456"/>
      <c r="BIU128" s="456"/>
      <c r="BIV128" s="456"/>
      <c r="BIW128" s="456"/>
      <c r="BIX128" s="456"/>
      <c r="BIY128" s="456"/>
      <c r="BIZ128" s="456"/>
      <c r="BJA128" s="456"/>
      <c r="BJB128" s="456"/>
      <c r="BJC128" s="456"/>
      <c r="BJD128" s="456"/>
      <c r="BJE128" s="456"/>
      <c r="BJF128" s="456"/>
      <c r="BJG128" s="456"/>
      <c r="BJH128" s="456"/>
      <c r="BJI128" s="456"/>
      <c r="BJJ128" s="456"/>
      <c r="BJK128" s="456"/>
      <c r="BJL128" s="456"/>
      <c r="BJM128" s="456"/>
      <c r="BJN128" s="456"/>
      <c r="BJO128" s="456"/>
      <c r="BJP128" s="456"/>
      <c r="BJQ128" s="456"/>
      <c r="BJR128" s="456"/>
      <c r="BJS128" s="456"/>
      <c r="BJT128" s="456"/>
      <c r="BJU128" s="456"/>
      <c r="BJV128" s="456"/>
      <c r="BJW128" s="456"/>
      <c r="BJX128" s="456"/>
      <c r="BJY128" s="456"/>
      <c r="BJZ128" s="456"/>
      <c r="BKA128" s="456"/>
      <c r="BKB128" s="456"/>
      <c r="BKC128" s="456"/>
      <c r="BKD128" s="456"/>
      <c r="BKE128" s="456"/>
      <c r="BKF128" s="456"/>
      <c r="BKG128" s="456"/>
      <c r="BKH128" s="456"/>
      <c r="BKI128" s="456"/>
      <c r="BKJ128" s="456"/>
      <c r="BKK128" s="456"/>
      <c r="BKL128" s="456"/>
      <c r="BKM128" s="456"/>
      <c r="BKN128" s="456"/>
      <c r="BKO128" s="456"/>
      <c r="BKP128" s="456"/>
      <c r="BKQ128" s="456"/>
      <c r="BKR128" s="456"/>
      <c r="BKS128" s="456"/>
      <c r="BKT128" s="456"/>
      <c r="BKU128" s="456"/>
      <c r="BKV128" s="456"/>
      <c r="BKW128" s="456"/>
      <c r="BKX128" s="456"/>
      <c r="BKY128" s="456"/>
      <c r="BKZ128" s="456"/>
      <c r="BLA128" s="456"/>
      <c r="BLB128" s="456"/>
      <c r="BLC128" s="456"/>
      <c r="BLD128" s="456"/>
      <c r="BLE128" s="456"/>
      <c r="BLF128" s="456"/>
      <c r="BLG128" s="456"/>
      <c r="BLH128" s="456"/>
      <c r="BLI128" s="456"/>
      <c r="BLJ128" s="456"/>
      <c r="BLK128" s="456"/>
      <c r="BLL128" s="456"/>
      <c r="BLM128" s="456"/>
      <c r="BLN128" s="456"/>
      <c r="BLO128" s="456"/>
      <c r="BLP128" s="456"/>
      <c r="BLQ128" s="456"/>
      <c r="BLR128" s="456"/>
      <c r="BLS128" s="456"/>
      <c r="BLT128" s="456"/>
      <c r="BLU128" s="456"/>
      <c r="BLV128" s="456"/>
      <c r="BLW128" s="456"/>
      <c r="BLX128" s="456"/>
      <c r="BLY128" s="456"/>
      <c r="BLZ128" s="456"/>
      <c r="BMA128" s="456"/>
      <c r="BMB128" s="456"/>
      <c r="BMC128" s="456"/>
      <c r="BMD128" s="456"/>
      <c r="BME128" s="456"/>
      <c r="BMF128" s="456"/>
      <c r="BMG128" s="456"/>
      <c r="BMH128" s="456"/>
      <c r="BMI128" s="456"/>
      <c r="BMJ128" s="456"/>
      <c r="BMK128" s="456"/>
      <c r="BML128" s="456"/>
      <c r="BMM128" s="456"/>
      <c r="BMN128" s="456"/>
      <c r="BMO128" s="456"/>
      <c r="BMP128" s="456"/>
      <c r="BMQ128" s="456"/>
      <c r="BMR128" s="456"/>
      <c r="BMS128" s="456"/>
      <c r="BMT128" s="456"/>
      <c r="BMU128" s="456"/>
      <c r="BMV128" s="456"/>
      <c r="BMW128" s="456"/>
      <c r="BMX128" s="456"/>
      <c r="BMY128" s="456"/>
      <c r="BMZ128" s="456"/>
      <c r="BNA128" s="456"/>
      <c r="BNB128" s="456"/>
      <c r="BNC128" s="456"/>
      <c r="BND128" s="456"/>
      <c r="BNE128" s="456"/>
      <c r="BNF128" s="456"/>
      <c r="BNG128" s="456"/>
      <c r="BNH128" s="456"/>
      <c r="BNI128" s="456"/>
      <c r="BNJ128" s="456"/>
      <c r="BNK128" s="456"/>
      <c r="BNL128" s="456"/>
      <c r="BNM128" s="456"/>
      <c r="BNN128" s="456"/>
      <c r="BNO128" s="456"/>
      <c r="BNP128" s="456"/>
      <c r="BNQ128" s="456"/>
      <c r="BNR128" s="456"/>
      <c r="BNS128" s="456"/>
      <c r="BNT128" s="456"/>
      <c r="BNU128" s="456"/>
      <c r="BNV128" s="456"/>
      <c r="BNW128" s="456"/>
      <c r="BNX128" s="456"/>
      <c r="BNY128" s="456"/>
      <c r="BNZ128" s="456"/>
      <c r="BOA128" s="456"/>
      <c r="BOB128" s="456"/>
      <c r="BOC128" s="456"/>
      <c r="BOD128" s="456"/>
      <c r="BOE128" s="456"/>
      <c r="BOF128" s="456"/>
      <c r="BOG128" s="456"/>
      <c r="BOH128" s="456"/>
      <c r="BOI128" s="456"/>
      <c r="BOJ128" s="456"/>
      <c r="BOK128" s="456"/>
      <c r="BOL128" s="456"/>
      <c r="BOM128" s="456"/>
      <c r="BON128" s="456"/>
      <c r="BOO128" s="456"/>
      <c r="BOP128" s="456"/>
      <c r="BOQ128" s="456"/>
      <c r="BOR128" s="456"/>
      <c r="BOS128" s="456"/>
      <c r="BOT128" s="456"/>
      <c r="BOU128" s="456"/>
      <c r="BOV128" s="456"/>
      <c r="BOW128" s="456"/>
      <c r="BOX128" s="456"/>
      <c r="BOY128" s="456"/>
      <c r="BOZ128" s="456"/>
      <c r="BPA128" s="456"/>
      <c r="BPB128" s="456"/>
      <c r="BPC128" s="456"/>
      <c r="BPD128" s="456"/>
      <c r="BPE128" s="456"/>
      <c r="BPF128" s="456"/>
      <c r="BPG128" s="456"/>
      <c r="BPH128" s="456"/>
      <c r="BPI128" s="456"/>
      <c r="BPJ128" s="456"/>
      <c r="BPK128" s="456"/>
      <c r="BPL128" s="456"/>
      <c r="BPM128" s="456"/>
      <c r="BPN128" s="456"/>
      <c r="BPO128" s="456"/>
      <c r="BPP128" s="456"/>
      <c r="BPQ128" s="456"/>
      <c r="BPR128" s="456"/>
      <c r="BPS128" s="456"/>
      <c r="BPT128" s="456"/>
      <c r="BPU128" s="456"/>
      <c r="BPV128" s="456"/>
      <c r="BPW128" s="456"/>
      <c r="BPX128" s="456"/>
      <c r="BPY128" s="456"/>
      <c r="BPZ128" s="456"/>
      <c r="BQA128" s="456"/>
      <c r="BQB128" s="456"/>
      <c r="BQC128" s="456"/>
      <c r="BQD128" s="456"/>
      <c r="BQE128" s="456"/>
      <c r="BQF128" s="456"/>
      <c r="BQG128" s="456"/>
      <c r="BQH128" s="456"/>
      <c r="BQI128" s="456"/>
      <c r="BQJ128" s="456"/>
      <c r="BQK128" s="456"/>
      <c r="BQL128" s="456"/>
      <c r="BQM128" s="456"/>
      <c r="BQN128" s="456"/>
      <c r="BQO128" s="456"/>
      <c r="BQP128" s="456"/>
      <c r="BQQ128" s="456"/>
      <c r="BQR128" s="456"/>
      <c r="BQS128" s="456"/>
      <c r="BQT128" s="456"/>
      <c r="BQU128" s="456"/>
      <c r="BQV128" s="456"/>
      <c r="BQW128" s="456"/>
      <c r="BQX128" s="456"/>
      <c r="BQY128" s="456"/>
      <c r="BQZ128" s="456"/>
      <c r="BRA128" s="456"/>
      <c r="BRB128" s="456"/>
      <c r="BRC128" s="456"/>
      <c r="BRD128" s="456"/>
      <c r="BRE128" s="456"/>
      <c r="BRF128" s="456"/>
      <c r="BRG128" s="456"/>
      <c r="BRH128" s="456"/>
      <c r="BRI128" s="456"/>
      <c r="BRJ128" s="456"/>
      <c r="BRK128" s="456"/>
      <c r="BRL128" s="456"/>
      <c r="BRM128" s="456"/>
      <c r="BRN128" s="456"/>
      <c r="BRO128" s="456"/>
      <c r="BRP128" s="456"/>
      <c r="BRQ128" s="456"/>
      <c r="BRR128" s="456"/>
      <c r="BRS128" s="456"/>
      <c r="BRT128" s="456"/>
      <c r="BRU128" s="456"/>
      <c r="BRV128" s="456"/>
      <c r="BRW128" s="456"/>
      <c r="BRX128" s="456"/>
      <c r="BRY128" s="456"/>
      <c r="BRZ128" s="456"/>
      <c r="BSA128" s="456"/>
      <c r="BSB128" s="456"/>
      <c r="BSC128" s="456"/>
      <c r="BSD128" s="456"/>
      <c r="BSE128" s="456"/>
      <c r="BSF128" s="456"/>
      <c r="BSG128" s="456"/>
      <c r="BSH128" s="456"/>
      <c r="BSI128" s="456"/>
      <c r="BSJ128" s="456"/>
      <c r="BSK128" s="456"/>
      <c r="BSL128" s="456"/>
      <c r="BSM128" s="456"/>
      <c r="BSN128" s="456"/>
      <c r="BSO128" s="456"/>
      <c r="BSP128" s="456"/>
      <c r="BSQ128" s="456"/>
      <c r="BSR128" s="456"/>
      <c r="BSS128" s="456"/>
      <c r="BST128" s="456"/>
      <c r="BSU128" s="456"/>
      <c r="BSV128" s="456"/>
      <c r="BSW128" s="456"/>
      <c r="BSX128" s="456"/>
      <c r="BSY128" s="456"/>
      <c r="BSZ128" s="456"/>
      <c r="BTA128" s="456"/>
      <c r="BTB128" s="456"/>
      <c r="BTC128" s="456"/>
      <c r="BTD128" s="456"/>
      <c r="BTE128" s="456"/>
      <c r="BTF128" s="456"/>
      <c r="BTG128" s="456"/>
      <c r="BTH128" s="456"/>
      <c r="BTI128" s="456"/>
      <c r="BTJ128" s="456"/>
      <c r="BTK128" s="456"/>
      <c r="BTL128" s="456"/>
      <c r="BTM128" s="456"/>
      <c r="BTN128" s="456"/>
      <c r="BTO128" s="456"/>
      <c r="BTP128" s="456"/>
      <c r="BTQ128" s="456"/>
      <c r="BTR128" s="456"/>
      <c r="BTS128" s="456"/>
      <c r="BTT128" s="456"/>
      <c r="BTU128" s="456"/>
      <c r="BTV128" s="456"/>
      <c r="BTW128" s="456"/>
      <c r="BTX128" s="456"/>
      <c r="BTY128" s="456"/>
      <c r="BTZ128" s="456"/>
      <c r="BUA128" s="456"/>
      <c r="BUB128" s="456"/>
      <c r="BUC128" s="456"/>
      <c r="BUD128" s="456"/>
      <c r="BUE128" s="456"/>
      <c r="BUF128" s="456"/>
      <c r="BUG128" s="456"/>
      <c r="BUH128" s="456"/>
      <c r="BUI128" s="456"/>
      <c r="BUJ128" s="456"/>
      <c r="BUK128" s="456"/>
      <c r="BUL128" s="456"/>
      <c r="BUM128" s="456"/>
      <c r="BUN128" s="456"/>
      <c r="BUO128" s="456"/>
      <c r="BUP128" s="456"/>
      <c r="BUQ128" s="456"/>
      <c r="BUR128" s="456"/>
      <c r="BUS128" s="456"/>
      <c r="BUT128" s="456"/>
      <c r="BUU128" s="456"/>
      <c r="BUV128" s="456"/>
      <c r="BUW128" s="456"/>
      <c r="BUX128" s="456"/>
      <c r="BUY128" s="456"/>
      <c r="BUZ128" s="456"/>
      <c r="BVA128" s="456"/>
      <c r="BVB128" s="456"/>
      <c r="BVC128" s="456"/>
      <c r="BVD128" s="456"/>
      <c r="BVE128" s="456"/>
      <c r="BVF128" s="456"/>
      <c r="BVG128" s="456"/>
      <c r="BVH128" s="456"/>
      <c r="BVI128" s="456"/>
      <c r="BVJ128" s="456"/>
      <c r="BVK128" s="456"/>
      <c r="BVL128" s="456"/>
      <c r="BVM128" s="456"/>
      <c r="BVN128" s="456"/>
      <c r="BVO128" s="456"/>
      <c r="BVP128" s="456"/>
      <c r="BVQ128" s="456"/>
      <c r="BVR128" s="456"/>
      <c r="BVS128" s="456"/>
      <c r="BVT128" s="456"/>
      <c r="BVU128" s="456"/>
      <c r="BVV128" s="456"/>
      <c r="BVW128" s="456"/>
      <c r="BVX128" s="456"/>
      <c r="BVY128" s="456"/>
      <c r="BVZ128" s="456"/>
      <c r="BWA128" s="456"/>
      <c r="BWB128" s="456"/>
      <c r="BWC128" s="456"/>
      <c r="BWD128" s="456"/>
      <c r="BWE128" s="456"/>
      <c r="BWF128" s="456"/>
      <c r="BWG128" s="456"/>
      <c r="BWH128" s="456"/>
      <c r="BWI128" s="456"/>
      <c r="BWJ128" s="456"/>
      <c r="BWK128" s="456"/>
      <c r="BWL128" s="456"/>
      <c r="BWM128" s="456"/>
      <c r="BWN128" s="456"/>
      <c r="BWO128" s="456"/>
      <c r="BWP128" s="456"/>
      <c r="BWQ128" s="456"/>
      <c r="BWR128" s="456"/>
      <c r="BWS128" s="456"/>
      <c r="BWT128" s="456"/>
      <c r="BWU128" s="456"/>
      <c r="BWV128" s="456"/>
      <c r="BWW128" s="456"/>
      <c r="BWX128" s="456"/>
      <c r="BWY128" s="456"/>
      <c r="BWZ128" s="456"/>
      <c r="BXA128" s="456"/>
      <c r="BXB128" s="456"/>
      <c r="BXC128" s="456"/>
      <c r="BXD128" s="456"/>
      <c r="BXE128" s="456"/>
      <c r="BXF128" s="456"/>
      <c r="BXG128" s="456"/>
      <c r="BXH128" s="456"/>
      <c r="BXI128" s="456"/>
      <c r="BXJ128" s="456"/>
      <c r="BXK128" s="456"/>
      <c r="BXL128" s="456"/>
      <c r="BXM128" s="456"/>
      <c r="BXN128" s="456"/>
      <c r="BXO128" s="456"/>
      <c r="BXP128" s="456"/>
      <c r="BXQ128" s="456"/>
      <c r="BXR128" s="456"/>
      <c r="BXS128" s="456"/>
      <c r="BXT128" s="456"/>
      <c r="BXU128" s="456"/>
      <c r="BXV128" s="456"/>
      <c r="BXW128" s="456"/>
      <c r="BXX128" s="456"/>
      <c r="BXY128" s="456"/>
      <c r="BXZ128" s="456"/>
    </row>
    <row r="129" s="25" customFormat="1" ht="15.6" spans="1:1024 1025:2002">
      <c r="A129" s="473"/>
      <c r="B129" s="19">
        <v>1125</v>
      </c>
      <c r="C129" s="183">
        <v>46196</v>
      </c>
      <c r="D129" s="17" t="s">
        <v>52</v>
      </c>
      <c r="E129" s="17" t="s">
        <v>53</v>
      </c>
      <c r="F129" s="17" t="s">
        <v>54</v>
      </c>
      <c r="G129" s="17"/>
      <c r="H129" s="19" t="s">
        <v>55</v>
      </c>
      <c r="I129" s="102" t="s">
        <v>56</v>
      </c>
      <c r="J129" s="17" t="s">
        <v>49</v>
      </c>
      <c r="K129" s="91">
        <v>710</v>
      </c>
      <c r="L129" s="19">
        <v>160</v>
      </c>
      <c r="M129" s="19">
        <v>5800</v>
      </c>
      <c r="N129" s="19" t="s">
        <v>40</v>
      </c>
      <c r="O129" s="19" t="s">
        <v>84</v>
      </c>
      <c r="P129" s="19">
        <f>3150*2</f>
        <v>6300</v>
      </c>
      <c r="Q129" s="19">
        <f>3494+3616</f>
        <v>7110</v>
      </c>
      <c r="R129" s="19">
        <f t="shared" si="9"/>
        <v>-810</v>
      </c>
      <c r="S129" s="311">
        <v>2040</v>
      </c>
      <c r="T129" s="19" t="s">
        <v>42</v>
      </c>
      <c r="U129" s="102" t="s">
        <v>101</v>
      </c>
      <c r="V129" s="186">
        <v>46197</v>
      </c>
      <c r="W129" s="17" t="s">
        <v>58</v>
      </c>
      <c r="X129" s="17"/>
      <c r="Y129" s="68">
        <v>46204</v>
      </c>
      <c r="Z129" s="17" t="s">
        <v>45</v>
      </c>
      <c r="AA129" s="17" t="s">
        <v>59</v>
      </c>
      <c r="AB129" s="17" t="s">
        <v>60</v>
      </c>
      <c r="AC129" s="217">
        <v>46281</v>
      </c>
      <c r="AD129" s="65">
        <v>1862</v>
      </c>
      <c r="AE129" s="17" t="s">
        <v>48</v>
      </c>
      <c r="AF129" s="17" t="s">
        <v>61</v>
      </c>
      <c r="AG129" s="17" t="s">
        <v>103</v>
      </c>
      <c r="AH129" s="456"/>
      <c r="AI129" s="456"/>
      <c r="AJ129" s="456"/>
      <c r="AK129" s="456"/>
      <c r="AL129" s="456"/>
      <c r="AM129" s="456"/>
      <c r="AN129" s="456"/>
      <c r="AO129" s="456"/>
      <c r="AP129" s="456"/>
      <c r="AQ129" s="456"/>
      <c r="AR129" s="456"/>
      <c r="AS129" s="456"/>
      <c r="AT129" s="456"/>
      <c r="AU129" s="456"/>
      <c r="AV129" s="456"/>
      <c r="AW129" s="456"/>
      <c r="AX129" s="456"/>
      <c r="AY129" s="456"/>
      <c r="AZ129" s="456"/>
      <c r="BA129" s="456"/>
      <c r="BB129" s="456"/>
      <c r="BC129" s="456"/>
      <c r="BD129" s="456"/>
      <c r="BE129" s="456"/>
      <c r="BF129" s="456"/>
      <c r="BG129" s="456"/>
      <c r="BH129" s="456"/>
      <c r="BI129" s="456"/>
      <c r="BJ129" s="456"/>
      <c r="BK129" s="456"/>
      <c r="BL129" s="456"/>
      <c r="BM129" s="456"/>
      <c r="BN129" s="456"/>
      <c r="BO129" s="456"/>
      <c r="BP129" s="456"/>
      <c r="BQ129" s="456"/>
      <c r="BR129" s="456"/>
      <c r="BS129" s="456"/>
      <c r="BT129" s="456"/>
      <c r="BU129" s="456"/>
      <c r="BV129" s="456"/>
      <c r="BW129" s="456"/>
      <c r="BX129" s="456"/>
      <c r="BY129" s="456"/>
      <c r="BZ129" s="456"/>
      <c r="CA129" s="456"/>
      <c r="CB129" s="456"/>
      <c r="CC129" s="456"/>
      <c r="CD129" s="456"/>
      <c r="CE129" s="456"/>
      <c r="CF129" s="456"/>
      <c r="CG129" s="456"/>
      <c r="CH129" s="456"/>
      <c r="CI129" s="456"/>
      <c r="CJ129" s="456"/>
      <c r="CK129" s="456"/>
      <c r="CL129" s="456"/>
      <c r="CM129" s="456"/>
      <c r="CN129" s="456"/>
      <c r="CO129" s="456"/>
      <c r="CP129" s="456"/>
      <c r="CQ129" s="456"/>
      <c r="CR129" s="456"/>
      <c r="CS129" s="456"/>
      <c r="CT129" s="456"/>
      <c r="CU129" s="456"/>
      <c r="CV129" s="456"/>
      <c r="CW129" s="456"/>
      <c r="CX129" s="456"/>
      <c r="CY129" s="456"/>
      <c r="CZ129" s="456"/>
      <c r="DA129" s="456"/>
      <c r="DB129" s="456"/>
      <c r="DC129" s="456"/>
      <c r="DD129" s="456"/>
      <c r="DE129" s="456"/>
      <c r="DF129" s="456"/>
      <c r="DG129" s="456"/>
      <c r="DH129" s="456"/>
      <c r="DI129" s="456"/>
      <c r="DJ129" s="456"/>
      <c r="DK129" s="456"/>
      <c r="DL129" s="456"/>
      <c r="DM129" s="456"/>
      <c r="DN129" s="456"/>
      <c r="DO129" s="456"/>
      <c r="DP129" s="456"/>
      <c r="DQ129" s="456"/>
      <c r="DR129" s="456"/>
      <c r="DS129" s="456"/>
      <c r="DT129" s="456"/>
      <c r="DU129" s="456"/>
      <c r="DV129" s="456"/>
      <c r="DW129" s="456"/>
      <c r="DX129" s="456"/>
      <c r="DY129" s="456"/>
      <c r="DZ129" s="456"/>
      <c r="EA129" s="456"/>
      <c r="EB129" s="456"/>
      <c r="EC129" s="456"/>
      <c r="ED129" s="456"/>
      <c r="EE129" s="456"/>
      <c r="EF129" s="456"/>
      <c r="EG129" s="456"/>
      <c r="EH129" s="456"/>
      <c r="EI129" s="456"/>
      <c r="EJ129" s="456"/>
      <c r="EK129" s="456"/>
      <c r="EL129" s="456"/>
      <c r="EM129" s="456"/>
      <c r="EN129" s="456"/>
      <c r="EO129" s="456"/>
      <c r="EP129" s="456"/>
      <c r="EQ129" s="456"/>
      <c r="ER129" s="456"/>
      <c r="ES129" s="456"/>
      <c r="ET129" s="456"/>
      <c r="EU129" s="456"/>
      <c r="EV129" s="456"/>
      <c r="EW129" s="456"/>
      <c r="EX129" s="456"/>
      <c r="EY129" s="456"/>
      <c r="EZ129" s="456"/>
      <c r="FA129" s="456"/>
      <c r="FB129" s="456"/>
      <c r="FC129" s="456"/>
      <c r="FD129" s="456"/>
      <c r="FE129" s="456"/>
      <c r="FF129" s="456"/>
      <c r="FG129" s="456"/>
      <c r="FH129" s="456"/>
      <c r="FI129" s="456"/>
      <c r="FJ129" s="456"/>
      <c r="FK129" s="456"/>
      <c r="FL129" s="456"/>
      <c r="FM129" s="456"/>
      <c r="FN129" s="456"/>
      <c r="FO129" s="456"/>
      <c r="FP129" s="456"/>
      <c r="FQ129" s="456"/>
      <c r="FR129" s="456"/>
      <c r="FS129" s="456"/>
      <c r="FT129" s="456"/>
      <c r="FU129" s="456"/>
      <c r="FV129" s="456"/>
      <c r="FW129" s="456"/>
      <c r="FX129" s="456"/>
      <c r="FY129" s="456"/>
      <c r="FZ129" s="456"/>
      <c r="GA129" s="456"/>
      <c r="GB129" s="456"/>
      <c r="GC129" s="456"/>
      <c r="GD129" s="456"/>
      <c r="GE129" s="456"/>
      <c r="GF129" s="456"/>
      <c r="GG129" s="456"/>
      <c r="GH129" s="456"/>
      <c r="GI129" s="456"/>
      <c r="GJ129" s="456"/>
      <c r="GK129" s="456"/>
      <c r="GL129" s="456"/>
      <c r="GM129" s="456"/>
      <c r="GN129" s="456"/>
      <c r="GO129" s="456"/>
      <c r="GP129" s="456"/>
      <c r="GQ129" s="456"/>
      <c r="GR129" s="456"/>
      <c r="GS129" s="456"/>
      <c r="GT129" s="456"/>
      <c r="GU129" s="456"/>
      <c r="GV129" s="456"/>
      <c r="GW129" s="456"/>
      <c r="GX129" s="456"/>
      <c r="GY129" s="456"/>
      <c r="GZ129" s="456"/>
      <c r="HA129" s="456"/>
      <c r="HB129" s="456"/>
      <c r="HC129" s="456"/>
      <c r="HD129" s="456"/>
      <c r="HE129" s="456"/>
      <c r="HF129" s="456"/>
      <c r="HG129" s="456"/>
      <c r="HH129" s="456"/>
      <c r="HI129" s="456"/>
      <c r="HJ129" s="456"/>
      <c r="HK129" s="456"/>
      <c r="HL129" s="456"/>
      <c r="HM129" s="456"/>
      <c r="HN129" s="456"/>
      <c r="HO129" s="456"/>
      <c r="HP129" s="456"/>
      <c r="HQ129" s="456"/>
      <c r="HR129" s="456"/>
      <c r="HS129" s="456"/>
      <c r="HT129" s="456"/>
      <c r="HU129" s="456"/>
      <c r="HV129" s="456"/>
      <c r="HW129" s="456"/>
      <c r="HX129" s="456"/>
      <c r="HY129" s="456"/>
      <c r="HZ129" s="456"/>
      <c r="IA129" s="456"/>
      <c r="IB129" s="456"/>
      <c r="IC129" s="456"/>
      <c r="ID129" s="456"/>
      <c r="IE129" s="456"/>
      <c r="IF129" s="456"/>
      <c r="IG129" s="456"/>
      <c r="IH129" s="456"/>
      <c r="II129" s="456"/>
      <c r="IJ129" s="456"/>
      <c r="IK129" s="456"/>
      <c r="IL129" s="456"/>
      <c r="IM129" s="456"/>
      <c r="IN129" s="456"/>
      <c r="IO129" s="456"/>
      <c r="IP129" s="456"/>
      <c r="IQ129" s="456"/>
      <c r="IR129" s="456"/>
      <c r="IS129" s="456"/>
      <c r="IT129" s="456"/>
      <c r="IU129" s="456"/>
      <c r="IV129" s="456"/>
      <c r="IW129" s="456"/>
      <c r="IX129" s="456"/>
      <c r="IY129" s="456"/>
      <c r="IZ129" s="456"/>
      <c r="JA129" s="456"/>
      <c r="JB129" s="456"/>
      <c r="JC129" s="456"/>
      <c r="JD129" s="456"/>
      <c r="JE129" s="456"/>
      <c r="JF129" s="456"/>
      <c r="JG129" s="456"/>
      <c r="JH129" s="456"/>
      <c r="JI129" s="456"/>
      <c r="JJ129" s="456"/>
      <c r="JK129" s="456"/>
      <c r="JL129" s="456"/>
      <c r="JM129" s="456"/>
      <c r="JN129" s="456"/>
      <c r="JO129" s="456"/>
      <c r="JP129" s="456"/>
      <c r="JQ129" s="456"/>
      <c r="JR129" s="456"/>
      <c r="JS129" s="456"/>
      <c r="JT129" s="456"/>
      <c r="JU129" s="456"/>
      <c r="JV129" s="456"/>
      <c r="JW129" s="456"/>
      <c r="JX129" s="456"/>
      <c r="JY129" s="456"/>
      <c r="JZ129" s="456"/>
      <c r="KA129" s="456"/>
      <c r="KB129" s="456"/>
      <c r="KC129" s="456"/>
      <c r="KD129" s="456"/>
      <c r="KE129" s="456"/>
      <c r="KF129" s="456"/>
      <c r="KG129" s="456"/>
      <c r="KH129" s="456"/>
      <c r="KI129" s="456"/>
      <c r="KJ129" s="456"/>
      <c r="KK129" s="456"/>
      <c r="KL129" s="456"/>
      <c r="KM129" s="456"/>
      <c r="KN129" s="456"/>
      <c r="KO129" s="456"/>
      <c r="KP129" s="456"/>
      <c r="KQ129" s="456"/>
      <c r="KR129" s="456"/>
      <c r="KS129" s="456"/>
      <c r="KT129" s="456"/>
      <c r="KU129" s="456"/>
      <c r="KV129" s="456"/>
      <c r="KW129" s="456"/>
      <c r="KX129" s="456"/>
      <c r="KY129" s="456"/>
      <c r="KZ129" s="456"/>
      <c r="LA129" s="456"/>
      <c r="LB129" s="456"/>
      <c r="LC129" s="456"/>
      <c r="LD129" s="456"/>
      <c r="LE129" s="456"/>
      <c r="LF129" s="456"/>
      <c r="LG129" s="456"/>
      <c r="LH129" s="456"/>
      <c r="LI129" s="456"/>
      <c r="LJ129" s="456"/>
      <c r="LK129" s="456"/>
      <c r="LL129" s="456"/>
      <c r="LM129" s="456"/>
      <c r="LN129" s="456"/>
      <c r="LO129" s="456"/>
      <c r="LP129" s="456"/>
      <c r="LQ129" s="456"/>
      <c r="LR129" s="456"/>
      <c r="LS129" s="456"/>
      <c r="LT129" s="456"/>
      <c r="LU129" s="456"/>
      <c r="LV129" s="456"/>
      <c r="LW129" s="456"/>
      <c r="LX129" s="456"/>
      <c r="LY129" s="456"/>
      <c r="LZ129" s="456"/>
      <c r="MA129" s="456"/>
      <c r="MB129" s="456"/>
      <c r="MC129" s="456"/>
      <c r="MD129" s="456"/>
      <c r="ME129" s="456"/>
      <c r="MF129" s="456"/>
      <c r="MG129" s="456"/>
      <c r="MH129" s="456"/>
      <c r="MI129" s="456"/>
      <c r="MJ129" s="456"/>
      <c r="MK129" s="456"/>
      <c r="ML129" s="456"/>
      <c r="MM129" s="456"/>
      <c r="MN129" s="456"/>
      <c r="MO129" s="456"/>
      <c r="MP129" s="456"/>
      <c r="MQ129" s="456"/>
      <c r="MR129" s="456"/>
      <c r="MS129" s="456"/>
      <c r="MT129" s="456"/>
      <c r="MU129" s="456"/>
      <c r="MV129" s="456"/>
      <c r="MW129" s="456"/>
      <c r="MX129" s="456"/>
      <c r="MY129" s="456"/>
      <c r="MZ129" s="456"/>
      <c r="NA129" s="456"/>
      <c r="NB129" s="456"/>
      <c r="NC129" s="456"/>
      <c r="ND129" s="456"/>
      <c r="NE129" s="456"/>
      <c r="NF129" s="456"/>
      <c r="NG129" s="456"/>
      <c r="NH129" s="456"/>
      <c r="NI129" s="456"/>
      <c r="NJ129" s="456"/>
      <c r="NK129" s="456"/>
      <c r="NL129" s="456"/>
      <c r="NM129" s="456"/>
      <c r="NN129" s="456"/>
      <c r="NO129" s="456"/>
      <c r="NP129" s="456"/>
      <c r="NQ129" s="456"/>
      <c r="NR129" s="456"/>
      <c r="NS129" s="456"/>
      <c r="NT129" s="456"/>
      <c r="NU129" s="456"/>
      <c r="NV129" s="456"/>
      <c r="NW129" s="456"/>
      <c r="NX129" s="456"/>
      <c r="NY129" s="456"/>
      <c r="NZ129" s="456"/>
      <c r="OA129" s="456"/>
      <c r="OB129" s="456"/>
      <c r="OC129" s="456"/>
      <c r="OD129" s="456"/>
      <c r="OE129" s="456"/>
      <c r="OF129" s="456"/>
      <c r="OG129" s="456"/>
      <c r="OH129" s="456"/>
      <c r="OI129" s="456"/>
      <c r="OJ129" s="456"/>
      <c r="OK129" s="456"/>
      <c r="OL129" s="456"/>
      <c r="OM129" s="456"/>
      <c r="ON129" s="456"/>
      <c r="OO129" s="456"/>
      <c r="OP129" s="456"/>
      <c r="OQ129" s="456"/>
      <c r="OR129" s="456"/>
      <c r="OS129" s="456"/>
      <c r="OT129" s="456"/>
      <c r="OU129" s="456"/>
      <c r="OV129" s="456"/>
      <c r="OW129" s="456"/>
      <c r="OX129" s="456"/>
      <c r="OY129" s="456"/>
      <c r="OZ129" s="456"/>
      <c r="PA129" s="456"/>
      <c r="PB129" s="456"/>
      <c r="PC129" s="456"/>
      <c r="PD129" s="456"/>
      <c r="PE129" s="456"/>
      <c r="PF129" s="456"/>
      <c r="PG129" s="456"/>
      <c r="PH129" s="456"/>
      <c r="PI129" s="456"/>
      <c r="PJ129" s="456"/>
      <c r="PK129" s="456"/>
      <c r="PL129" s="456"/>
      <c r="PM129" s="456"/>
      <c r="PN129" s="456"/>
      <c r="PO129" s="456"/>
      <c r="PP129" s="456"/>
      <c r="PQ129" s="456"/>
      <c r="PR129" s="456"/>
      <c r="PS129" s="456"/>
      <c r="PT129" s="456"/>
      <c r="PU129" s="456"/>
      <c r="PV129" s="456"/>
      <c r="PW129" s="456"/>
      <c r="PX129" s="456"/>
      <c r="PY129" s="456"/>
      <c r="PZ129" s="456"/>
      <c r="QA129" s="456"/>
      <c r="QB129" s="456"/>
      <c r="QC129" s="456"/>
      <c r="QD129" s="456"/>
      <c r="QE129" s="456"/>
      <c r="QF129" s="456"/>
      <c r="QG129" s="456"/>
      <c r="QH129" s="456"/>
      <c r="QI129" s="456"/>
      <c r="QJ129" s="456"/>
      <c r="QK129" s="456"/>
      <c r="QL129" s="456"/>
      <c r="QM129" s="456"/>
      <c r="QN129" s="456"/>
      <c r="QO129" s="456"/>
      <c r="QP129" s="456"/>
      <c r="QQ129" s="456"/>
      <c r="QR129" s="456"/>
      <c r="QS129" s="456"/>
      <c r="QT129" s="456"/>
      <c r="QU129" s="456"/>
      <c r="QV129" s="456"/>
      <c r="QW129" s="456"/>
      <c r="QX129" s="456"/>
      <c r="QY129" s="456"/>
      <c r="QZ129" s="456"/>
      <c r="RA129" s="456"/>
      <c r="RB129" s="456"/>
      <c r="RC129" s="456"/>
      <c r="RD129" s="456"/>
      <c r="RE129" s="456"/>
      <c r="RF129" s="456"/>
      <c r="RG129" s="456"/>
      <c r="RH129" s="456"/>
      <c r="RI129" s="456"/>
      <c r="RJ129" s="456"/>
      <c r="RK129" s="456"/>
      <c r="RL129" s="456"/>
      <c r="RM129" s="456"/>
      <c r="RN129" s="456"/>
      <c r="RO129" s="456"/>
      <c r="RP129" s="456"/>
      <c r="RQ129" s="456"/>
      <c r="RR129" s="456"/>
      <c r="RS129" s="456"/>
      <c r="RT129" s="456"/>
      <c r="RU129" s="456"/>
      <c r="RV129" s="456"/>
      <c r="RW129" s="456"/>
      <c r="RX129" s="456"/>
      <c r="RY129" s="456"/>
      <c r="RZ129" s="456"/>
      <c r="SA129" s="456"/>
      <c r="SB129" s="456"/>
      <c r="SC129" s="456"/>
      <c r="SD129" s="456"/>
      <c r="SE129" s="456"/>
      <c r="SF129" s="456"/>
      <c r="SG129" s="456"/>
      <c r="SH129" s="456"/>
      <c r="SI129" s="456"/>
      <c r="SJ129" s="456"/>
      <c r="SK129" s="456"/>
      <c r="SL129" s="456"/>
      <c r="SM129" s="456"/>
      <c r="SN129" s="456"/>
      <c r="SO129" s="456"/>
      <c r="SP129" s="456"/>
      <c r="SQ129" s="456"/>
      <c r="SR129" s="456"/>
      <c r="SS129" s="456"/>
      <c r="ST129" s="456"/>
      <c r="SU129" s="456"/>
      <c r="SV129" s="456"/>
      <c r="SW129" s="456"/>
      <c r="SX129" s="456"/>
      <c r="SY129" s="456"/>
      <c r="SZ129" s="456"/>
      <c r="TA129" s="456"/>
      <c r="TB129" s="456"/>
      <c r="TC129" s="456"/>
      <c r="TD129" s="456"/>
      <c r="TE129" s="456"/>
      <c r="TF129" s="456"/>
      <c r="TG129" s="456"/>
      <c r="TH129" s="456"/>
      <c r="TI129" s="456"/>
      <c r="TJ129" s="456"/>
      <c r="TK129" s="456"/>
      <c r="TL129" s="456"/>
      <c r="TM129" s="456"/>
      <c r="TN129" s="456"/>
      <c r="TO129" s="456"/>
      <c r="TP129" s="456"/>
      <c r="TQ129" s="456"/>
      <c r="TR129" s="456"/>
      <c r="TS129" s="456"/>
      <c r="TT129" s="456"/>
      <c r="TU129" s="456"/>
      <c r="TV129" s="456"/>
      <c r="TW129" s="456"/>
      <c r="TX129" s="456"/>
      <c r="TY129" s="456"/>
      <c r="TZ129" s="456"/>
      <c r="UA129" s="456"/>
      <c r="UB129" s="456"/>
      <c r="UC129" s="456"/>
      <c r="UD129" s="456"/>
      <c r="UE129" s="456"/>
      <c r="UF129" s="456"/>
      <c r="UG129" s="456"/>
      <c r="UH129" s="456"/>
      <c r="UI129" s="456"/>
      <c r="UJ129" s="456"/>
      <c r="UK129" s="456"/>
      <c r="UL129" s="456"/>
      <c r="UM129" s="456"/>
      <c r="UN129" s="456"/>
      <c r="UO129" s="456"/>
      <c r="UP129" s="456"/>
      <c r="UQ129" s="456"/>
      <c r="UR129" s="456"/>
      <c r="US129" s="456"/>
      <c r="UT129" s="456"/>
      <c r="UU129" s="456"/>
      <c r="UV129" s="456"/>
      <c r="UW129" s="456"/>
      <c r="UX129" s="456"/>
      <c r="UY129" s="456"/>
      <c r="UZ129" s="456"/>
      <c r="VA129" s="456"/>
      <c r="VB129" s="456"/>
      <c r="VC129" s="456"/>
      <c r="VD129" s="456"/>
      <c r="VE129" s="456"/>
      <c r="VF129" s="456"/>
      <c r="VG129" s="456"/>
      <c r="VH129" s="456"/>
      <c r="VI129" s="456"/>
      <c r="VJ129" s="456"/>
      <c r="VK129" s="456"/>
      <c r="VL129" s="456"/>
      <c r="VM129" s="456"/>
      <c r="VN129" s="456"/>
      <c r="VO129" s="456"/>
      <c r="VP129" s="456"/>
      <c r="VQ129" s="456"/>
      <c r="VR129" s="456"/>
      <c r="VS129" s="456"/>
      <c r="VT129" s="456"/>
      <c r="VU129" s="456"/>
      <c r="VV129" s="456"/>
      <c r="VW129" s="456"/>
      <c r="VX129" s="456"/>
      <c r="VY129" s="456"/>
      <c r="VZ129" s="456"/>
      <c r="WA129" s="456"/>
      <c r="WB129" s="456"/>
      <c r="WC129" s="456"/>
      <c r="WD129" s="456"/>
      <c r="WE129" s="456"/>
      <c r="WF129" s="456"/>
      <c r="WG129" s="456"/>
      <c r="WH129" s="456"/>
      <c r="WI129" s="456"/>
      <c r="WJ129" s="456"/>
      <c r="WK129" s="456"/>
      <c r="WL129" s="456"/>
      <c r="WM129" s="456"/>
      <c r="WN129" s="456"/>
      <c r="WO129" s="456"/>
      <c r="WP129" s="456"/>
      <c r="WQ129" s="456"/>
      <c r="WR129" s="456"/>
      <c r="WS129" s="456"/>
      <c r="WT129" s="456"/>
      <c r="WU129" s="456"/>
      <c r="WV129" s="456"/>
      <c r="WW129" s="456"/>
      <c r="WX129" s="456"/>
      <c r="WY129" s="456"/>
      <c r="WZ129" s="456"/>
      <c r="XA129" s="456"/>
      <c r="XB129" s="456"/>
      <c r="XC129" s="456"/>
      <c r="XD129" s="456"/>
      <c r="XE129" s="456"/>
      <c r="XF129" s="456"/>
      <c r="XG129" s="456"/>
      <c r="XH129" s="456"/>
      <c r="XI129" s="456"/>
      <c r="XJ129" s="456"/>
      <c r="XK129" s="456"/>
      <c r="XL129" s="456"/>
      <c r="XM129" s="456"/>
      <c r="XN129" s="456"/>
      <c r="XO129" s="456"/>
      <c r="XP129" s="456"/>
      <c r="XQ129" s="456"/>
      <c r="XR129" s="456"/>
      <c r="XS129" s="456"/>
      <c r="XT129" s="456"/>
      <c r="XU129" s="456"/>
      <c r="XV129" s="456"/>
      <c r="XW129" s="456"/>
      <c r="XX129" s="456"/>
      <c r="XY129" s="456"/>
      <c r="XZ129" s="456"/>
      <c r="YA129" s="456"/>
      <c r="YB129" s="456"/>
      <c r="YC129" s="456"/>
      <c r="YD129" s="456"/>
      <c r="YE129" s="456"/>
      <c r="YF129" s="456"/>
      <c r="YG129" s="456"/>
      <c r="YH129" s="456"/>
      <c r="YI129" s="456"/>
      <c r="YJ129" s="456"/>
      <c r="YK129" s="456"/>
      <c r="YL129" s="456"/>
      <c r="YM129" s="456"/>
      <c r="YN129" s="456"/>
      <c r="YO129" s="456"/>
      <c r="YP129" s="456"/>
      <c r="YQ129" s="456"/>
      <c r="YR129" s="456"/>
      <c r="YS129" s="456"/>
      <c r="YT129" s="456"/>
      <c r="YU129" s="456"/>
      <c r="YV129" s="456"/>
      <c r="YW129" s="456"/>
      <c r="YX129" s="456"/>
      <c r="YY129" s="456"/>
      <c r="YZ129" s="456"/>
      <c r="ZA129" s="456"/>
      <c r="ZB129" s="456"/>
      <c r="ZC129" s="456"/>
      <c r="ZD129" s="456"/>
      <c r="ZE129" s="456"/>
      <c r="ZF129" s="456"/>
      <c r="ZG129" s="456"/>
      <c r="ZH129" s="456"/>
      <c r="ZI129" s="456"/>
      <c r="ZJ129" s="456"/>
      <c r="ZK129" s="456"/>
      <c r="ZL129" s="456"/>
      <c r="ZM129" s="456"/>
      <c r="ZN129" s="456"/>
      <c r="ZO129" s="456"/>
      <c r="ZP129" s="456"/>
      <c r="ZQ129" s="456"/>
      <c r="ZR129" s="456"/>
      <c r="ZS129" s="456"/>
      <c r="ZT129" s="456"/>
      <c r="ZU129" s="456"/>
      <c r="ZV129" s="456"/>
      <c r="ZW129" s="456"/>
      <c r="ZX129" s="456"/>
      <c r="ZY129" s="456"/>
      <c r="ZZ129" s="456"/>
      <c r="AAA129" s="456"/>
      <c r="AAB129" s="456"/>
      <c r="AAC129" s="456"/>
      <c r="AAD129" s="456"/>
      <c r="AAE129" s="456"/>
      <c r="AAF129" s="456"/>
      <c r="AAG129" s="456"/>
      <c r="AAH129" s="456"/>
      <c r="AAI129" s="456"/>
      <c r="AAJ129" s="456"/>
      <c r="AAK129" s="456"/>
      <c r="AAL129" s="456"/>
      <c r="AAM129" s="456"/>
      <c r="AAN129" s="456"/>
      <c r="AAO129" s="456"/>
      <c r="AAP129" s="456"/>
      <c r="AAQ129" s="456"/>
      <c r="AAR129" s="456"/>
      <c r="AAS129" s="456"/>
      <c r="AAT129" s="456"/>
      <c r="AAU129" s="456"/>
      <c r="AAV129" s="456"/>
      <c r="AAW129" s="456"/>
      <c r="AAX129" s="456"/>
      <c r="AAY129" s="456"/>
      <c r="AAZ129" s="456"/>
      <c r="ABA129" s="456"/>
      <c r="ABB129" s="456"/>
      <c r="ABC129" s="456"/>
      <c r="ABD129" s="456"/>
      <c r="ABE129" s="456"/>
      <c r="ABF129" s="456"/>
      <c r="ABG129" s="456"/>
      <c r="ABH129" s="456"/>
      <c r="ABI129" s="456"/>
      <c r="ABJ129" s="456"/>
      <c r="ABK129" s="456"/>
      <c r="ABL129" s="456"/>
      <c r="ABM129" s="456"/>
      <c r="ABN129" s="456"/>
      <c r="ABO129" s="456"/>
      <c r="ABP129" s="456"/>
      <c r="ABQ129" s="456"/>
      <c r="ABR129" s="456"/>
      <c r="ABS129" s="456"/>
      <c r="ABT129" s="456"/>
      <c r="ABU129" s="456"/>
      <c r="ABV129" s="456"/>
      <c r="ABW129" s="456"/>
      <c r="ABX129" s="456"/>
      <c r="ABY129" s="456"/>
      <c r="ABZ129" s="456"/>
      <c r="ACA129" s="456"/>
      <c r="ACB129" s="456"/>
      <c r="ACC129" s="456"/>
      <c r="ACD129" s="456"/>
      <c r="ACE129" s="456"/>
      <c r="ACF129" s="456"/>
      <c r="ACG129" s="456"/>
      <c r="ACH129" s="456"/>
      <c r="ACI129" s="456"/>
      <c r="ACJ129" s="456"/>
      <c r="ACK129" s="456"/>
      <c r="ACL129" s="456"/>
      <c r="ACM129" s="456"/>
      <c r="ACN129" s="456"/>
      <c r="ACO129" s="456"/>
      <c r="ACP129" s="456"/>
      <c r="ACQ129" s="456"/>
      <c r="ACR129" s="456"/>
      <c r="ACS129" s="456"/>
      <c r="ACT129" s="456"/>
      <c r="ACU129" s="456"/>
      <c r="ACV129" s="456"/>
      <c r="ACW129" s="456"/>
      <c r="ACX129" s="456"/>
      <c r="ACY129" s="456"/>
      <c r="ACZ129" s="456"/>
      <c r="ADA129" s="456"/>
      <c r="ADB129" s="456"/>
      <c r="ADC129" s="456"/>
      <c r="ADD129" s="456"/>
      <c r="ADE129" s="456"/>
      <c r="ADF129" s="456"/>
      <c r="ADG129" s="456"/>
      <c r="ADH129" s="456"/>
      <c r="ADI129" s="456"/>
      <c r="ADJ129" s="456"/>
      <c r="ADK129" s="456"/>
      <c r="ADL129" s="456"/>
      <c r="ADM129" s="456"/>
      <c r="ADN129" s="456"/>
      <c r="ADO129" s="456"/>
      <c r="ADP129" s="456"/>
      <c r="ADQ129" s="456"/>
      <c r="ADR129" s="456"/>
      <c r="ADS129" s="456"/>
      <c r="ADT129" s="456"/>
      <c r="ADU129" s="456"/>
      <c r="ADV129" s="456"/>
      <c r="ADW129" s="456"/>
      <c r="ADX129" s="456"/>
      <c r="ADY129" s="456"/>
      <c r="ADZ129" s="456"/>
      <c r="AEA129" s="456"/>
      <c r="AEB129" s="456"/>
      <c r="AEC129" s="456"/>
      <c r="AED129" s="456"/>
      <c r="AEE129" s="456"/>
      <c r="AEF129" s="456"/>
      <c r="AEG129" s="456"/>
      <c r="AEH129" s="456"/>
      <c r="AEI129" s="456"/>
      <c r="AEJ129" s="456"/>
      <c r="AEK129" s="456"/>
      <c r="AEL129" s="456"/>
      <c r="AEM129" s="456"/>
      <c r="AEN129" s="456"/>
      <c r="AEO129" s="456"/>
      <c r="AEP129" s="456"/>
      <c r="AEQ129" s="456"/>
      <c r="AER129" s="456"/>
      <c r="AES129" s="456"/>
      <c r="AET129" s="456"/>
      <c r="AEU129" s="456"/>
      <c r="AEV129" s="456"/>
      <c r="AEW129" s="456"/>
      <c r="AEX129" s="456"/>
      <c r="AEY129" s="456"/>
      <c r="AEZ129" s="456"/>
      <c r="AFA129" s="456"/>
      <c r="AFB129" s="456"/>
      <c r="AFC129" s="456"/>
      <c r="AFD129" s="456"/>
      <c r="AFE129" s="456"/>
      <c r="AFF129" s="456"/>
      <c r="AFG129" s="456"/>
      <c r="AFH129" s="456"/>
      <c r="AFI129" s="456"/>
      <c r="AFJ129" s="456"/>
      <c r="AFK129" s="456"/>
      <c r="AFL129" s="456"/>
      <c r="AFM129" s="456"/>
      <c r="AFN129" s="456"/>
      <c r="AFO129" s="456"/>
      <c r="AFP129" s="456"/>
      <c r="AFQ129" s="456"/>
      <c r="AFR129" s="456"/>
      <c r="AFS129" s="456"/>
      <c r="AFT129" s="456"/>
      <c r="AFU129" s="456"/>
      <c r="AFV129" s="456"/>
      <c r="AFW129" s="456"/>
      <c r="AFX129" s="456"/>
      <c r="AFY129" s="456"/>
      <c r="AFZ129" s="456"/>
      <c r="AGA129" s="456"/>
      <c r="AGB129" s="456"/>
      <c r="AGC129" s="456"/>
      <c r="AGD129" s="456"/>
      <c r="AGE129" s="456"/>
      <c r="AGF129" s="456"/>
      <c r="AGG129" s="456"/>
      <c r="AGH129" s="456"/>
      <c r="AGI129" s="456"/>
      <c r="AGJ129" s="456"/>
      <c r="AGK129" s="456"/>
      <c r="AGL129" s="456"/>
      <c r="AGM129" s="456"/>
      <c r="AGN129" s="456"/>
      <c r="AGO129" s="456"/>
      <c r="AGP129" s="456"/>
      <c r="AGQ129" s="456"/>
      <c r="AGR129" s="456"/>
      <c r="AGS129" s="456"/>
      <c r="AGT129" s="456"/>
      <c r="AGU129" s="456"/>
      <c r="AGV129" s="456"/>
      <c r="AGW129" s="456"/>
      <c r="AGX129" s="456"/>
      <c r="AGY129" s="456"/>
      <c r="AGZ129" s="456"/>
      <c r="AHA129" s="456"/>
      <c r="AHB129" s="456"/>
      <c r="AHC129" s="456"/>
      <c r="AHD129" s="456"/>
      <c r="AHE129" s="456"/>
      <c r="AHF129" s="456"/>
      <c r="AHG129" s="456"/>
      <c r="AHH129" s="456"/>
      <c r="AHI129" s="456"/>
      <c r="AHJ129" s="456"/>
      <c r="AHK129" s="456"/>
      <c r="AHL129" s="456"/>
      <c r="AHM129" s="456"/>
      <c r="AHN129" s="456"/>
      <c r="AHO129" s="456"/>
      <c r="AHP129" s="456"/>
      <c r="AHQ129" s="456"/>
      <c r="AHR129" s="456"/>
      <c r="AHS129" s="456"/>
      <c r="AHT129" s="456"/>
      <c r="AHU129" s="456"/>
      <c r="AHV129" s="456"/>
      <c r="AHW129" s="456"/>
      <c r="AHX129" s="456"/>
      <c r="AHY129" s="456"/>
      <c r="AHZ129" s="456"/>
      <c r="AIA129" s="456"/>
      <c r="AIB129" s="456"/>
      <c r="AIC129" s="456"/>
      <c r="AID129" s="456"/>
      <c r="AIE129" s="456"/>
      <c r="AIF129" s="456"/>
      <c r="AIG129" s="456"/>
      <c r="AIH129" s="456"/>
      <c r="AII129" s="456"/>
      <c r="AIJ129" s="456"/>
      <c r="AIK129" s="456"/>
      <c r="AIL129" s="456"/>
      <c r="AIM129" s="456"/>
      <c r="AIN129" s="456"/>
      <c r="AIO129" s="456"/>
      <c r="AIP129" s="456"/>
      <c r="AIQ129" s="456"/>
      <c r="AIR129" s="456"/>
      <c r="AIS129" s="456"/>
      <c r="AIT129" s="456"/>
      <c r="AIU129" s="456"/>
      <c r="AIV129" s="456"/>
      <c r="AIW129" s="456"/>
      <c r="AIX129" s="456"/>
      <c r="AIY129" s="456"/>
      <c r="AIZ129" s="456"/>
      <c r="AJA129" s="456"/>
      <c r="AJB129" s="456"/>
      <c r="AJC129" s="456"/>
      <c r="AJD129" s="456"/>
      <c r="AJE129" s="456"/>
      <c r="AJF129" s="456"/>
      <c r="AJG129" s="456"/>
      <c r="AJH129" s="456"/>
      <c r="AJI129" s="456"/>
      <c r="AJJ129" s="456"/>
      <c r="AJK129" s="456"/>
      <c r="AJL129" s="456"/>
      <c r="AJM129" s="456"/>
      <c r="AJN129" s="456"/>
      <c r="AJO129" s="456"/>
      <c r="AJP129" s="456"/>
      <c r="AJQ129" s="456"/>
      <c r="AJR129" s="456"/>
      <c r="AJS129" s="456"/>
      <c r="AJT129" s="456"/>
      <c r="AJU129" s="456"/>
      <c r="AJV129" s="456"/>
      <c r="AJW129" s="456"/>
      <c r="AJX129" s="456"/>
      <c r="AJY129" s="456"/>
      <c r="AJZ129" s="456"/>
      <c r="AKA129" s="456"/>
      <c r="AKB129" s="456"/>
      <c r="AKC129" s="456"/>
      <c r="AKD129" s="456"/>
      <c r="AKE129" s="456"/>
      <c r="AKF129" s="456"/>
      <c r="AKG129" s="456"/>
      <c r="AKH129" s="456"/>
      <c r="AKI129" s="456"/>
      <c r="AKJ129" s="456"/>
      <c r="AKK129" s="456"/>
      <c r="AKL129" s="456"/>
      <c r="AKM129" s="456"/>
      <c r="AKN129" s="456"/>
      <c r="AKO129" s="456"/>
      <c r="AKP129" s="456"/>
      <c r="AKQ129" s="456"/>
      <c r="AKR129" s="456"/>
      <c r="AKS129" s="456"/>
      <c r="AKT129" s="456"/>
      <c r="AKU129" s="456"/>
      <c r="AKV129" s="456"/>
      <c r="AKW129" s="456"/>
      <c r="AKX129" s="456"/>
      <c r="AKY129" s="456"/>
      <c r="AKZ129" s="456"/>
      <c r="ALA129" s="456"/>
      <c r="ALB129" s="456"/>
      <c r="ALC129" s="456"/>
      <c r="ALD129" s="456"/>
      <c r="ALE129" s="456"/>
      <c r="ALF129" s="456"/>
      <c r="ALG129" s="456"/>
      <c r="ALH129" s="456"/>
      <c r="ALI129" s="456"/>
      <c r="ALJ129" s="456"/>
      <c r="ALK129" s="456"/>
      <c r="ALL129" s="456"/>
      <c r="ALM129" s="456"/>
      <c r="ALN129" s="456"/>
      <c r="ALO129" s="456"/>
      <c r="ALP129" s="456"/>
      <c r="ALQ129" s="456"/>
      <c r="ALR129" s="456"/>
      <c r="ALS129" s="456"/>
      <c r="ALT129" s="456"/>
      <c r="ALU129" s="456"/>
      <c r="ALV129" s="456"/>
      <c r="ALW129" s="456"/>
      <c r="ALX129" s="456"/>
      <c r="ALY129" s="456"/>
      <c r="ALZ129" s="456"/>
      <c r="AMA129" s="456"/>
      <c r="AMB129" s="456"/>
      <c r="AMC129" s="456"/>
      <c r="AMD129" s="456"/>
      <c r="AME129" s="456"/>
      <c r="AMF129" s="456"/>
      <c r="AMG129" s="456"/>
      <c r="AMH129" s="456"/>
      <c r="AMI129" s="456"/>
      <c r="AMJ129" s="456"/>
      <c r="AMK129" s="456"/>
      <c r="AML129" s="456"/>
      <c r="AMM129" s="456"/>
      <c r="AMN129" s="456"/>
      <c r="AMO129" s="456"/>
      <c r="AMP129" s="456"/>
      <c r="AMQ129" s="456"/>
      <c r="AMR129" s="456"/>
      <c r="AMS129" s="456"/>
      <c r="AMT129" s="456"/>
      <c r="AMU129" s="456"/>
      <c r="AMV129" s="456"/>
      <c r="AMW129" s="456"/>
      <c r="AMX129" s="456"/>
      <c r="AMY129" s="456"/>
      <c r="AMZ129" s="456"/>
      <c r="ANA129" s="456"/>
      <c r="ANB129" s="456"/>
      <c r="ANC129" s="456"/>
      <c r="AND129" s="456"/>
      <c r="ANE129" s="456"/>
      <c r="ANF129" s="456"/>
      <c r="ANG129" s="456"/>
      <c r="ANH129" s="456"/>
      <c r="ANI129" s="456"/>
      <c r="ANJ129" s="456"/>
      <c r="ANK129" s="456"/>
      <c r="ANL129" s="456"/>
      <c r="ANM129" s="456"/>
      <c r="ANN129" s="456"/>
      <c r="ANO129" s="456"/>
      <c r="ANP129" s="456"/>
      <c r="ANQ129" s="456"/>
      <c r="ANR129" s="456"/>
      <c r="ANS129" s="456"/>
      <c r="ANT129" s="456"/>
      <c r="ANU129" s="456"/>
      <c r="ANV129" s="456"/>
      <c r="ANW129" s="456"/>
      <c r="ANX129" s="456"/>
      <c r="ANY129" s="456"/>
      <c r="ANZ129" s="456"/>
      <c r="AOA129" s="456"/>
      <c r="AOB129" s="456"/>
      <c r="AOC129" s="456"/>
      <c r="AOD129" s="456"/>
      <c r="AOE129" s="456"/>
      <c r="AOF129" s="456"/>
      <c r="AOG129" s="456"/>
      <c r="AOH129" s="456"/>
      <c r="AOI129" s="456"/>
      <c r="AOJ129" s="456"/>
      <c r="AOK129" s="456"/>
      <c r="AOL129" s="456"/>
      <c r="AOM129" s="456"/>
      <c r="AON129" s="456"/>
      <c r="AOO129" s="456"/>
      <c r="AOP129" s="456"/>
      <c r="AOQ129" s="456"/>
      <c r="AOR129" s="456"/>
      <c r="AOS129" s="456"/>
      <c r="AOT129" s="456"/>
      <c r="AOU129" s="456"/>
      <c r="AOV129" s="456"/>
      <c r="AOW129" s="456"/>
      <c r="AOX129" s="456"/>
      <c r="AOY129" s="456"/>
      <c r="AOZ129" s="456"/>
      <c r="APA129" s="456"/>
      <c r="APB129" s="456"/>
      <c r="APC129" s="456"/>
      <c r="APD129" s="456"/>
      <c r="APE129" s="456"/>
      <c r="APF129" s="456"/>
      <c r="APG129" s="456"/>
      <c r="APH129" s="456"/>
      <c r="API129" s="456"/>
      <c r="APJ129" s="456"/>
      <c r="APK129" s="456"/>
      <c r="APL129" s="456"/>
      <c r="APM129" s="456"/>
      <c r="APN129" s="456"/>
      <c r="APO129" s="456"/>
      <c r="APP129" s="456"/>
      <c r="APQ129" s="456"/>
      <c r="APR129" s="456"/>
      <c r="APS129" s="456"/>
      <c r="APT129" s="456"/>
      <c r="APU129" s="456"/>
      <c r="APV129" s="456"/>
      <c r="APW129" s="456"/>
      <c r="APX129" s="456"/>
      <c r="APY129" s="456"/>
      <c r="APZ129" s="456"/>
      <c r="AQA129" s="456"/>
      <c r="AQB129" s="456"/>
      <c r="AQC129" s="456"/>
      <c r="AQD129" s="456"/>
      <c r="AQE129" s="456"/>
      <c r="AQF129" s="456"/>
      <c r="AQG129" s="456"/>
      <c r="AQH129" s="456"/>
      <c r="AQI129" s="456"/>
      <c r="AQJ129" s="456"/>
      <c r="AQK129" s="456"/>
      <c r="AQL129" s="456"/>
      <c r="AQM129" s="456"/>
      <c r="AQN129" s="456"/>
      <c r="AQO129" s="456"/>
      <c r="AQP129" s="456"/>
      <c r="AQQ129" s="456"/>
      <c r="AQR129" s="456"/>
      <c r="AQS129" s="456"/>
      <c r="AQT129" s="456"/>
      <c r="AQU129" s="456"/>
      <c r="AQV129" s="456"/>
      <c r="AQW129" s="456"/>
      <c r="AQX129" s="456"/>
      <c r="AQY129" s="456"/>
      <c r="AQZ129" s="456"/>
      <c r="ARA129" s="456"/>
      <c r="ARB129" s="456"/>
      <c r="ARC129" s="456"/>
      <c r="ARD129" s="456"/>
      <c r="ARE129" s="456"/>
      <c r="ARF129" s="456"/>
      <c r="ARG129" s="456"/>
      <c r="ARH129" s="456"/>
      <c r="ARI129" s="456"/>
      <c r="ARJ129" s="456"/>
      <c r="ARK129" s="456"/>
      <c r="ARL129" s="456"/>
      <c r="ARM129" s="456"/>
      <c r="ARN129" s="456"/>
      <c r="ARO129" s="456"/>
      <c r="ARP129" s="456"/>
      <c r="ARQ129" s="456"/>
      <c r="ARR129" s="456"/>
      <c r="ARS129" s="456"/>
      <c r="ART129" s="456"/>
      <c r="ARU129" s="456"/>
      <c r="ARV129" s="456"/>
      <c r="ARW129" s="456"/>
      <c r="ARX129" s="456"/>
      <c r="ARY129" s="456"/>
      <c r="ARZ129" s="456"/>
      <c r="ASA129" s="456"/>
      <c r="ASB129" s="456"/>
      <c r="ASC129" s="456"/>
      <c r="ASD129" s="456"/>
      <c r="ASE129" s="456"/>
      <c r="ASF129" s="456"/>
      <c r="ASG129" s="456"/>
      <c r="ASH129" s="456"/>
      <c r="ASI129" s="456"/>
      <c r="ASJ129" s="456"/>
      <c r="ASK129" s="456"/>
      <c r="ASL129" s="456"/>
      <c r="ASM129" s="456"/>
      <c r="ASN129" s="456"/>
      <c r="ASO129" s="456"/>
      <c r="ASP129" s="456"/>
      <c r="ASQ129" s="456"/>
      <c r="ASR129" s="456"/>
      <c r="ASS129" s="456"/>
      <c r="AST129" s="456"/>
      <c r="ASU129" s="456"/>
      <c r="ASV129" s="456"/>
      <c r="ASW129" s="456"/>
      <c r="ASX129" s="456"/>
      <c r="ASY129" s="456"/>
      <c r="ASZ129" s="456"/>
      <c r="ATA129" s="456"/>
      <c r="ATB129" s="456"/>
      <c r="ATC129" s="456"/>
      <c r="ATD129" s="456"/>
      <c r="ATE129" s="456"/>
      <c r="ATF129" s="456"/>
      <c r="ATG129" s="456"/>
      <c r="ATH129" s="456"/>
      <c r="ATI129" s="456"/>
      <c r="ATJ129" s="456"/>
      <c r="ATK129" s="456"/>
      <c r="ATL129" s="456"/>
      <c r="ATM129" s="456"/>
      <c r="ATN129" s="456"/>
      <c r="ATO129" s="456"/>
      <c r="ATP129" s="456"/>
      <c r="ATQ129" s="456"/>
      <c r="ATR129" s="456"/>
      <c r="ATS129" s="456"/>
      <c r="ATT129" s="456"/>
      <c r="ATU129" s="456"/>
      <c r="ATV129" s="456"/>
      <c r="ATW129" s="456"/>
      <c r="ATX129" s="456"/>
      <c r="ATY129" s="456"/>
      <c r="ATZ129" s="456"/>
      <c r="AUA129" s="456"/>
      <c r="AUB129" s="456"/>
      <c r="AUC129" s="456"/>
      <c r="AUD129" s="456"/>
      <c r="AUE129" s="456"/>
      <c r="AUF129" s="456"/>
      <c r="AUG129" s="456"/>
      <c r="AUH129" s="456"/>
      <c r="AUI129" s="456"/>
      <c r="AUJ129" s="456"/>
      <c r="AUK129" s="456"/>
      <c r="AUL129" s="456"/>
      <c r="AUM129" s="456"/>
      <c r="AUN129" s="456"/>
      <c r="AUO129" s="456"/>
      <c r="AUP129" s="456"/>
      <c r="AUQ129" s="456"/>
      <c r="AUR129" s="456"/>
      <c r="AUS129" s="456"/>
      <c r="AUT129" s="456"/>
      <c r="AUU129" s="456"/>
      <c r="AUV129" s="456"/>
      <c r="AUW129" s="456"/>
      <c r="AUX129" s="456"/>
      <c r="AUY129" s="456"/>
      <c r="AUZ129" s="456"/>
      <c r="AVA129" s="456"/>
      <c r="AVB129" s="456"/>
      <c r="AVC129" s="456"/>
      <c r="AVD129" s="456"/>
      <c r="AVE129" s="456"/>
      <c r="AVF129" s="456"/>
      <c r="AVG129" s="456"/>
      <c r="AVH129" s="456"/>
      <c r="AVI129" s="456"/>
      <c r="AVJ129" s="456"/>
      <c r="AVK129" s="456"/>
      <c r="AVL129" s="456"/>
      <c r="AVM129" s="456"/>
      <c r="AVN129" s="456"/>
      <c r="AVO129" s="456"/>
      <c r="AVP129" s="456"/>
      <c r="AVQ129" s="456"/>
      <c r="AVR129" s="456"/>
      <c r="AVS129" s="456"/>
      <c r="AVT129" s="456"/>
      <c r="AVU129" s="456"/>
      <c r="AVV129" s="456"/>
      <c r="AVW129" s="456"/>
      <c r="AVX129" s="456"/>
      <c r="AVY129" s="456"/>
      <c r="AVZ129" s="456"/>
      <c r="AWA129" s="456"/>
      <c r="AWB129" s="456"/>
      <c r="AWC129" s="456"/>
      <c r="AWD129" s="456"/>
      <c r="AWE129" s="456"/>
      <c r="AWF129" s="456"/>
      <c r="AWG129" s="456"/>
      <c r="AWH129" s="456"/>
      <c r="AWI129" s="456"/>
      <c r="AWJ129" s="456"/>
      <c r="AWK129" s="456"/>
      <c r="AWL129" s="456"/>
      <c r="AWM129" s="456"/>
      <c r="AWN129" s="456"/>
      <c r="AWO129" s="456"/>
      <c r="AWP129" s="456"/>
      <c r="AWQ129" s="456"/>
      <c r="AWR129" s="456"/>
      <c r="AWS129" s="456"/>
      <c r="AWT129" s="456"/>
      <c r="AWU129" s="456"/>
      <c r="AWV129" s="456"/>
      <c r="AWW129" s="456"/>
      <c r="AWX129" s="456"/>
      <c r="AWY129" s="456"/>
      <c r="AWZ129" s="456"/>
      <c r="AXA129" s="456"/>
      <c r="AXB129" s="456"/>
      <c r="AXC129" s="456"/>
      <c r="AXD129" s="456"/>
      <c r="AXE129" s="456"/>
      <c r="AXF129" s="456"/>
      <c r="AXG129" s="456"/>
      <c r="AXH129" s="456"/>
      <c r="AXI129" s="456"/>
      <c r="AXJ129" s="456"/>
      <c r="AXK129" s="456"/>
      <c r="AXL129" s="456"/>
      <c r="AXM129" s="456"/>
      <c r="AXN129" s="456"/>
      <c r="AXO129" s="456"/>
      <c r="AXP129" s="456"/>
      <c r="AXQ129" s="456"/>
      <c r="AXR129" s="456"/>
      <c r="AXS129" s="456"/>
      <c r="AXT129" s="456"/>
      <c r="AXU129" s="456"/>
      <c r="AXV129" s="456"/>
      <c r="AXW129" s="456"/>
      <c r="AXX129" s="456"/>
      <c r="AXY129" s="456"/>
      <c r="AXZ129" s="456"/>
      <c r="AYA129" s="456"/>
      <c r="AYB129" s="456"/>
      <c r="AYC129" s="456"/>
      <c r="AYD129" s="456"/>
      <c r="AYE129" s="456"/>
      <c r="AYF129" s="456"/>
      <c r="AYG129" s="456"/>
      <c r="AYH129" s="456"/>
      <c r="AYI129" s="456"/>
      <c r="AYJ129" s="456"/>
      <c r="AYK129" s="456"/>
      <c r="AYL129" s="456"/>
      <c r="AYM129" s="456"/>
      <c r="AYN129" s="456"/>
      <c r="AYO129" s="456"/>
      <c r="AYP129" s="456"/>
      <c r="AYQ129" s="456"/>
      <c r="AYR129" s="456"/>
      <c r="AYS129" s="456"/>
      <c r="AYT129" s="456"/>
      <c r="AYU129" s="456"/>
      <c r="AYV129" s="456"/>
      <c r="AYW129" s="456"/>
      <c r="AYX129" s="456"/>
      <c r="AYY129" s="456"/>
      <c r="AYZ129" s="456"/>
      <c r="AZA129" s="456"/>
      <c r="AZB129" s="456"/>
      <c r="AZC129" s="456"/>
      <c r="AZD129" s="456"/>
      <c r="AZE129" s="456"/>
      <c r="AZF129" s="456"/>
      <c r="AZG129" s="456"/>
      <c r="AZH129" s="456"/>
      <c r="AZI129" s="456"/>
      <c r="AZJ129" s="456"/>
      <c r="AZK129" s="456"/>
      <c r="AZL129" s="456"/>
      <c r="AZM129" s="456"/>
      <c r="AZN129" s="456"/>
      <c r="AZO129" s="456"/>
      <c r="AZP129" s="456"/>
      <c r="AZQ129" s="456"/>
      <c r="AZR129" s="456"/>
      <c r="AZS129" s="456"/>
      <c r="AZT129" s="456"/>
      <c r="AZU129" s="456"/>
      <c r="AZV129" s="456"/>
      <c r="AZW129" s="456"/>
      <c r="AZX129" s="456"/>
      <c r="AZY129" s="456"/>
      <c r="AZZ129" s="456"/>
      <c r="BAA129" s="456"/>
      <c r="BAB129" s="456"/>
      <c r="BAC129" s="456"/>
      <c r="BAD129" s="456"/>
      <c r="BAE129" s="456"/>
      <c r="BAF129" s="456"/>
      <c r="BAG129" s="456"/>
      <c r="BAH129" s="456"/>
      <c r="BAI129" s="456"/>
      <c r="BAJ129" s="456"/>
      <c r="BAK129" s="456"/>
      <c r="BAL129" s="456"/>
      <c r="BAM129" s="456"/>
      <c r="BAN129" s="456"/>
      <c r="BAO129" s="456"/>
      <c r="BAP129" s="456"/>
      <c r="BAQ129" s="456"/>
      <c r="BAR129" s="456"/>
      <c r="BAS129" s="456"/>
      <c r="BAT129" s="456"/>
      <c r="BAU129" s="456"/>
      <c r="BAV129" s="456"/>
      <c r="BAW129" s="456"/>
      <c r="BAX129" s="456"/>
      <c r="BAY129" s="456"/>
      <c r="BAZ129" s="456"/>
      <c r="BBA129" s="456"/>
      <c r="BBB129" s="456"/>
      <c r="BBC129" s="456"/>
      <c r="BBD129" s="456"/>
      <c r="BBE129" s="456"/>
      <c r="BBF129" s="456"/>
      <c r="BBG129" s="456"/>
      <c r="BBH129" s="456"/>
      <c r="BBI129" s="456"/>
      <c r="BBJ129" s="456"/>
      <c r="BBK129" s="456"/>
      <c r="BBL129" s="456"/>
      <c r="BBM129" s="456"/>
      <c r="BBN129" s="456"/>
      <c r="BBO129" s="456"/>
      <c r="BBP129" s="456"/>
      <c r="BBQ129" s="456"/>
      <c r="BBR129" s="456"/>
      <c r="BBS129" s="456"/>
      <c r="BBT129" s="456"/>
      <c r="BBU129" s="456"/>
      <c r="BBV129" s="456"/>
      <c r="BBW129" s="456"/>
      <c r="BBX129" s="456"/>
      <c r="BBY129" s="456"/>
      <c r="BBZ129" s="456"/>
      <c r="BCA129" s="456"/>
      <c r="BCB129" s="456"/>
      <c r="BCC129" s="456"/>
      <c r="BCD129" s="456"/>
      <c r="BCE129" s="456"/>
      <c r="BCF129" s="456"/>
      <c r="BCG129" s="456"/>
      <c r="BCH129" s="456"/>
      <c r="BCI129" s="456"/>
      <c r="BCJ129" s="456"/>
      <c r="BCK129" s="456"/>
      <c r="BCL129" s="456"/>
      <c r="BCM129" s="456"/>
      <c r="BCN129" s="456"/>
      <c r="BCO129" s="456"/>
      <c r="BCP129" s="456"/>
      <c r="BCQ129" s="456"/>
      <c r="BCR129" s="456"/>
      <c r="BCS129" s="456"/>
      <c r="BCT129" s="456"/>
      <c r="BCU129" s="456"/>
      <c r="BCV129" s="456"/>
      <c r="BCW129" s="456"/>
      <c r="BCX129" s="456"/>
      <c r="BCY129" s="456"/>
      <c r="BCZ129" s="456"/>
      <c r="BDA129" s="456"/>
      <c r="BDB129" s="456"/>
      <c r="BDC129" s="456"/>
      <c r="BDD129" s="456"/>
      <c r="BDE129" s="456"/>
      <c r="BDF129" s="456"/>
      <c r="BDG129" s="456"/>
      <c r="BDH129" s="456"/>
      <c r="BDI129" s="456"/>
      <c r="BDJ129" s="456"/>
      <c r="BDK129" s="456"/>
      <c r="BDL129" s="456"/>
      <c r="BDM129" s="456"/>
      <c r="BDN129" s="456"/>
      <c r="BDO129" s="456"/>
      <c r="BDP129" s="456"/>
      <c r="BDQ129" s="456"/>
      <c r="BDR129" s="456"/>
      <c r="BDS129" s="456"/>
      <c r="BDT129" s="456"/>
      <c r="BDU129" s="456"/>
      <c r="BDV129" s="456"/>
      <c r="BDW129" s="456"/>
      <c r="BDX129" s="456"/>
      <c r="BDY129" s="456"/>
      <c r="BDZ129" s="456"/>
      <c r="BEA129" s="456"/>
      <c r="BEB129" s="456"/>
      <c r="BEC129" s="456"/>
      <c r="BED129" s="456"/>
      <c r="BEE129" s="456"/>
      <c r="BEF129" s="456"/>
      <c r="BEG129" s="456"/>
      <c r="BEH129" s="456"/>
      <c r="BEI129" s="456"/>
      <c r="BEJ129" s="456"/>
      <c r="BEK129" s="456"/>
      <c r="BEL129" s="456"/>
      <c r="BEM129" s="456"/>
      <c r="BEN129" s="456"/>
      <c r="BEO129" s="456"/>
      <c r="BEP129" s="456"/>
      <c r="BEQ129" s="456"/>
      <c r="BER129" s="456"/>
      <c r="BES129" s="456"/>
      <c r="BET129" s="456"/>
      <c r="BEU129" s="456"/>
      <c r="BEV129" s="456"/>
      <c r="BEW129" s="456"/>
      <c r="BEX129" s="456"/>
      <c r="BEY129" s="456"/>
      <c r="BEZ129" s="456"/>
      <c r="BFA129" s="456"/>
      <c r="BFB129" s="456"/>
      <c r="BFC129" s="456"/>
      <c r="BFD129" s="456"/>
      <c r="BFE129" s="456"/>
      <c r="BFF129" s="456"/>
      <c r="BFG129" s="456"/>
      <c r="BFH129" s="456"/>
      <c r="BFI129" s="456"/>
      <c r="BFJ129" s="456"/>
      <c r="BFK129" s="456"/>
      <c r="BFL129" s="456"/>
      <c r="BFM129" s="456"/>
      <c r="BFN129" s="456"/>
      <c r="BFO129" s="456"/>
      <c r="BFP129" s="456"/>
      <c r="BFQ129" s="456"/>
      <c r="BFR129" s="456"/>
      <c r="BFS129" s="456"/>
      <c r="BFT129" s="456"/>
      <c r="BFU129" s="456"/>
      <c r="BFV129" s="456"/>
      <c r="BFW129" s="456"/>
      <c r="BFX129" s="456"/>
      <c r="BFY129" s="456"/>
      <c r="BFZ129" s="456"/>
      <c r="BGA129" s="456"/>
      <c r="BGB129" s="456"/>
      <c r="BGC129" s="456"/>
      <c r="BGD129" s="456"/>
      <c r="BGE129" s="456"/>
      <c r="BGF129" s="456"/>
      <c r="BGG129" s="456"/>
      <c r="BGH129" s="456"/>
      <c r="BGI129" s="456"/>
      <c r="BGJ129" s="456"/>
      <c r="BGK129" s="456"/>
      <c r="BGL129" s="456"/>
      <c r="BGM129" s="456"/>
      <c r="BGN129" s="456"/>
      <c r="BGO129" s="456"/>
      <c r="BGP129" s="456"/>
      <c r="BGQ129" s="456"/>
      <c r="BGR129" s="456"/>
      <c r="BGS129" s="456"/>
      <c r="BGT129" s="456"/>
      <c r="BGU129" s="456"/>
      <c r="BGV129" s="456"/>
      <c r="BGW129" s="456"/>
      <c r="BGX129" s="456"/>
      <c r="BGY129" s="456"/>
      <c r="BGZ129" s="456"/>
      <c r="BHA129" s="456"/>
      <c r="BHB129" s="456"/>
      <c r="BHC129" s="456"/>
      <c r="BHD129" s="456"/>
      <c r="BHE129" s="456"/>
      <c r="BHF129" s="456"/>
      <c r="BHG129" s="456"/>
      <c r="BHH129" s="456"/>
      <c r="BHI129" s="456"/>
      <c r="BHJ129" s="456"/>
      <c r="BHK129" s="456"/>
      <c r="BHL129" s="456"/>
      <c r="BHM129" s="456"/>
      <c r="BHN129" s="456"/>
      <c r="BHO129" s="456"/>
      <c r="BHP129" s="456"/>
      <c r="BHQ129" s="456"/>
      <c r="BHR129" s="456"/>
      <c r="BHS129" s="456"/>
      <c r="BHT129" s="456"/>
      <c r="BHU129" s="456"/>
      <c r="BHV129" s="456"/>
      <c r="BHW129" s="456"/>
      <c r="BHX129" s="456"/>
      <c r="BHY129" s="456"/>
      <c r="BHZ129" s="456"/>
      <c r="BIA129" s="456"/>
      <c r="BIB129" s="456"/>
      <c r="BIC129" s="456"/>
      <c r="BID129" s="456"/>
      <c r="BIE129" s="456"/>
      <c r="BIF129" s="456"/>
      <c r="BIG129" s="456"/>
      <c r="BIH129" s="456"/>
      <c r="BII129" s="456"/>
      <c r="BIJ129" s="456"/>
      <c r="BIK129" s="456"/>
      <c r="BIL129" s="456"/>
      <c r="BIM129" s="456"/>
      <c r="BIN129" s="456"/>
      <c r="BIO129" s="456"/>
      <c r="BIP129" s="456"/>
      <c r="BIQ129" s="456"/>
      <c r="BIR129" s="456"/>
      <c r="BIS129" s="456"/>
      <c r="BIT129" s="456"/>
      <c r="BIU129" s="456"/>
      <c r="BIV129" s="456"/>
      <c r="BIW129" s="456"/>
      <c r="BIX129" s="456"/>
      <c r="BIY129" s="456"/>
      <c r="BIZ129" s="456"/>
      <c r="BJA129" s="456"/>
      <c r="BJB129" s="456"/>
      <c r="BJC129" s="456"/>
      <c r="BJD129" s="456"/>
      <c r="BJE129" s="456"/>
      <c r="BJF129" s="456"/>
      <c r="BJG129" s="456"/>
      <c r="BJH129" s="456"/>
      <c r="BJI129" s="456"/>
      <c r="BJJ129" s="456"/>
      <c r="BJK129" s="456"/>
      <c r="BJL129" s="456"/>
      <c r="BJM129" s="456"/>
      <c r="BJN129" s="456"/>
      <c r="BJO129" s="456"/>
      <c r="BJP129" s="456"/>
      <c r="BJQ129" s="456"/>
      <c r="BJR129" s="456"/>
      <c r="BJS129" s="456"/>
      <c r="BJT129" s="456"/>
      <c r="BJU129" s="456"/>
      <c r="BJV129" s="456"/>
      <c r="BJW129" s="456"/>
      <c r="BJX129" s="456"/>
      <c r="BJY129" s="456"/>
      <c r="BJZ129" s="456"/>
      <c r="BKA129" s="456"/>
      <c r="BKB129" s="456"/>
      <c r="BKC129" s="456"/>
      <c r="BKD129" s="456"/>
      <c r="BKE129" s="456"/>
      <c r="BKF129" s="456"/>
      <c r="BKG129" s="456"/>
      <c r="BKH129" s="456"/>
      <c r="BKI129" s="456"/>
      <c r="BKJ129" s="456"/>
      <c r="BKK129" s="456"/>
      <c r="BKL129" s="456"/>
      <c r="BKM129" s="456"/>
      <c r="BKN129" s="456"/>
      <c r="BKO129" s="456"/>
      <c r="BKP129" s="456"/>
      <c r="BKQ129" s="456"/>
      <c r="BKR129" s="456"/>
      <c r="BKS129" s="456"/>
      <c r="BKT129" s="456"/>
      <c r="BKU129" s="456"/>
      <c r="BKV129" s="456"/>
      <c r="BKW129" s="456"/>
      <c r="BKX129" s="456"/>
      <c r="BKY129" s="456"/>
      <c r="BKZ129" s="456"/>
      <c r="BLA129" s="456"/>
      <c r="BLB129" s="456"/>
      <c r="BLC129" s="456"/>
      <c r="BLD129" s="456"/>
      <c r="BLE129" s="456"/>
      <c r="BLF129" s="456"/>
      <c r="BLG129" s="456"/>
      <c r="BLH129" s="456"/>
      <c r="BLI129" s="456"/>
      <c r="BLJ129" s="456"/>
      <c r="BLK129" s="456"/>
      <c r="BLL129" s="456"/>
      <c r="BLM129" s="456"/>
      <c r="BLN129" s="456"/>
      <c r="BLO129" s="456"/>
      <c r="BLP129" s="456"/>
      <c r="BLQ129" s="456"/>
      <c r="BLR129" s="456"/>
      <c r="BLS129" s="456"/>
      <c r="BLT129" s="456"/>
      <c r="BLU129" s="456"/>
      <c r="BLV129" s="456"/>
      <c r="BLW129" s="456"/>
      <c r="BLX129" s="456"/>
      <c r="BLY129" s="456"/>
      <c r="BLZ129" s="456"/>
      <c r="BMA129" s="456"/>
      <c r="BMB129" s="456"/>
      <c r="BMC129" s="456"/>
      <c r="BMD129" s="456"/>
      <c r="BME129" s="456"/>
      <c r="BMF129" s="456"/>
      <c r="BMG129" s="456"/>
      <c r="BMH129" s="456"/>
      <c r="BMI129" s="456"/>
      <c r="BMJ129" s="456"/>
      <c r="BMK129" s="456"/>
      <c r="BML129" s="456"/>
      <c r="BMM129" s="456"/>
      <c r="BMN129" s="456"/>
      <c r="BMO129" s="456"/>
      <c r="BMP129" s="456"/>
      <c r="BMQ129" s="456"/>
      <c r="BMR129" s="456"/>
      <c r="BMS129" s="456"/>
      <c r="BMT129" s="456"/>
      <c r="BMU129" s="456"/>
      <c r="BMV129" s="456"/>
      <c r="BMW129" s="456"/>
      <c r="BMX129" s="456"/>
      <c r="BMY129" s="456"/>
      <c r="BMZ129" s="456"/>
      <c r="BNA129" s="456"/>
      <c r="BNB129" s="456"/>
      <c r="BNC129" s="456"/>
      <c r="BND129" s="456"/>
      <c r="BNE129" s="456"/>
      <c r="BNF129" s="456"/>
      <c r="BNG129" s="456"/>
      <c r="BNH129" s="456"/>
      <c r="BNI129" s="456"/>
      <c r="BNJ129" s="456"/>
      <c r="BNK129" s="456"/>
      <c r="BNL129" s="456"/>
      <c r="BNM129" s="456"/>
      <c r="BNN129" s="456"/>
      <c r="BNO129" s="456"/>
      <c r="BNP129" s="456"/>
      <c r="BNQ129" s="456"/>
      <c r="BNR129" s="456"/>
      <c r="BNS129" s="456"/>
      <c r="BNT129" s="456"/>
      <c r="BNU129" s="456"/>
      <c r="BNV129" s="456"/>
      <c r="BNW129" s="456"/>
      <c r="BNX129" s="456"/>
      <c r="BNY129" s="456"/>
      <c r="BNZ129" s="456"/>
      <c r="BOA129" s="456"/>
      <c r="BOB129" s="456"/>
      <c r="BOC129" s="456"/>
      <c r="BOD129" s="456"/>
      <c r="BOE129" s="456"/>
      <c r="BOF129" s="456"/>
      <c r="BOG129" s="456"/>
      <c r="BOH129" s="456"/>
      <c r="BOI129" s="456"/>
      <c r="BOJ129" s="456"/>
      <c r="BOK129" s="456"/>
      <c r="BOL129" s="456"/>
      <c r="BOM129" s="456"/>
      <c r="BON129" s="456"/>
      <c r="BOO129" s="456"/>
      <c r="BOP129" s="456"/>
      <c r="BOQ129" s="456"/>
      <c r="BOR129" s="456"/>
      <c r="BOS129" s="456"/>
      <c r="BOT129" s="456"/>
      <c r="BOU129" s="456"/>
      <c r="BOV129" s="456"/>
      <c r="BOW129" s="456"/>
      <c r="BOX129" s="456"/>
      <c r="BOY129" s="456"/>
      <c r="BOZ129" s="456"/>
      <c r="BPA129" s="456"/>
      <c r="BPB129" s="456"/>
      <c r="BPC129" s="456"/>
      <c r="BPD129" s="456"/>
      <c r="BPE129" s="456"/>
      <c r="BPF129" s="456"/>
      <c r="BPG129" s="456"/>
      <c r="BPH129" s="456"/>
      <c r="BPI129" s="456"/>
      <c r="BPJ129" s="456"/>
      <c r="BPK129" s="456"/>
      <c r="BPL129" s="456"/>
      <c r="BPM129" s="456"/>
      <c r="BPN129" s="456"/>
      <c r="BPO129" s="456"/>
      <c r="BPP129" s="456"/>
      <c r="BPQ129" s="456"/>
      <c r="BPR129" s="456"/>
      <c r="BPS129" s="456"/>
      <c r="BPT129" s="456"/>
      <c r="BPU129" s="456"/>
      <c r="BPV129" s="456"/>
      <c r="BPW129" s="456"/>
      <c r="BPX129" s="456"/>
      <c r="BPY129" s="456"/>
      <c r="BPZ129" s="456"/>
      <c r="BQA129" s="456"/>
      <c r="BQB129" s="456"/>
      <c r="BQC129" s="456"/>
      <c r="BQD129" s="456"/>
      <c r="BQE129" s="456"/>
      <c r="BQF129" s="456"/>
      <c r="BQG129" s="456"/>
      <c r="BQH129" s="456"/>
      <c r="BQI129" s="456"/>
      <c r="BQJ129" s="456"/>
      <c r="BQK129" s="456"/>
      <c r="BQL129" s="456"/>
      <c r="BQM129" s="456"/>
      <c r="BQN129" s="456"/>
      <c r="BQO129" s="456"/>
      <c r="BQP129" s="456"/>
      <c r="BQQ129" s="456"/>
      <c r="BQR129" s="456"/>
      <c r="BQS129" s="456"/>
      <c r="BQT129" s="456"/>
      <c r="BQU129" s="456"/>
      <c r="BQV129" s="456"/>
      <c r="BQW129" s="456"/>
      <c r="BQX129" s="456"/>
      <c r="BQY129" s="456"/>
      <c r="BQZ129" s="456"/>
      <c r="BRA129" s="456"/>
      <c r="BRB129" s="456"/>
      <c r="BRC129" s="456"/>
      <c r="BRD129" s="456"/>
      <c r="BRE129" s="456"/>
      <c r="BRF129" s="456"/>
      <c r="BRG129" s="456"/>
      <c r="BRH129" s="456"/>
      <c r="BRI129" s="456"/>
      <c r="BRJ129" s="456"/>
      <c r="BRK129" s="456"/>
      <c r="BRL129" s="456"/>
      <c r="BRM129" s="456"/>
      <c r="BRN129" s="456"/>
      <c r="BRO129" s="456"/>
      <c r="BRP129" s="456"/>
      <c r="BRQ129" s="456"/>
      <c r="BRR129" s="456"/>
      <c r="BRS129" s="456"/>
      <c r="BRT129" s="456"/>
      <c r="BRU129" s="456"/>
      <c r="BRV129" s="456"/>
      <c r="BRW129" s="456"/>
      <c r="BRX129" s="456"/>
      <c r="BRY129" s="456"/>
      <c r="BRZ129" s="456"/>
      <c r="BSA129" s="456"/>
      <c r="BSB129" s="456"/>
      <c r="BSC129" s="456"/>
      <c r="BSD129" s="456"/>
      <c r="BSE129" s="456"/>
      <c r="BSF129" s="456"/>
      <c r="BSG129" s="456"/>
      <c r="BSH129" s="456"/>
      <c r="BSI129" s="456"/>
      <c r="BSJ129" s="456"/>
      <c r="BSK129" s="456"/>
      <c r="BSL129" s="456"/>
      <c r="BSM129" s="456"/>
      <c r="BSN129" s="456"/>
      <c r="BSO129" s="456"/>
      <c r="BSP129" s="456"/>
      <c r="BSQ129" s="456"/>
      <c r="BSR129" s="456"/>
      <c r="BSS129" s="456"/>
      <c r="BST129" s="456"/>
      <c r="BSU129" s="456"/>
      <c r="BSV129" s="456"/>
      <c r="BSW129" s="456"/>
      <c r="BSX129" s="456"/>
      <c r="BSY129" s="456"/>
      <c r="BSZ129" s="456"/>
      <c r="BTA129" s="456"/>
      <c r="BTB129" s="456"/>
      <c r="BTC129" s="456"/>
      <c r="BTD129" s="456"/>
      <c r="BTE129" s="456"/>
      <c r="BTF129" s="456"/>
      <c r="BTG129" s="456"/>
      <c r="BTH129" s="456"/>
      <c r="BTI129" s="456"/>
      <c r="BTJ129" s="456"/>
      <c r="BTK129" s="456"/>
      <c r="BTL129" s="456"/>
      <c r="BTM129" s="456"/>
      <c r="BTN129" s="456"/>
      <c r="BTO129" s="456"/>
      <c r="BTP129" s="456"/>
      <c r="BTQ129" s="456"/>
      <c r="BTR129" s="456"/>
      <c r="BTS129" s="456"/>
      <c r="BTT129" s="456"/>
      <c r="BTU129" s="456"/>
      <c r="BTV129" s="456"/>
      <c r="BTW129" s="456"/>
      <c r="BTX129" s="456"/>
      <c r="BTY129" s="456"/>
      <c r="BTZ129" s="456"/>
      <c r="BUA129" s="456"/>
      <c r="BUB129" s="456"/>
      <c r="BUC129" s="456"/>
      <c r="BUD129" s="456"/>
      <c r="BUE129" s="456"/>
      <c r="BUF129" s="456"/>
      <c r="BUG129" s="456"/>
      <c r="BUH129" s="456"/>
      <c r="BUI129" s="456"/>
      <c r="BUJ129" s="456"/>
      <c r="BUK129" s="456"/>
      <c r="BUL129" s="456"/>
      <c r="BUM129" s="456"/>
      <c r="BUN129" s="456"/>
      <c r="BUO129" s="456"/>
      <c r="BUP129" s="456"/>
      <c r="BUQ129" s="456"/>
      <c r="BUR129" s="456"/>
      <c r="BUS129" s="456"/>
      <c r="BUT129" s="456"/>
      <c r="BUU129" s="456"/>
      <c r="BUV129" s="456"/>
      <c r="BUW129" s="456"/>
      <c r="BUX129" s="456"/>
      <c r="BUY129" s="456"/>
      <c r="BUZ129" s="456"/>
      <c r="BVA129" s="456"/>
      <c r="BVB129" s="456"/>
      <c r="BVC129" s="456"/>
      <c r="BVD129" s="456"/>
      <c r="BVE129" s="456"/>
      <c r="BVF129" s="456"/>
      <c r="BVG129" s="456"/>
      <c r="BVH129" s="456"/>
      <c r="BVI129" s="456"/>
      <c r="BVJ129" s="456"/>
      <c r="BVK129" s="456"/>
      <c r="BVL129" s="456"/>
      <c r="BVM129" s="456"/>
      <c r="BVN129" s="456"/>
      <c r="BVO129" s="456"/>
      <c r="BVP129" s="456"/>
      <c r="BVQ129" s="456"/>
      <c r="BVR129" s="456"/>
      <c r="BVS129" s="456"/>
      <c r="BVT129" s="456"/>
      <c r="BVU129" s="456"/>
      <c r="BVV129" s="456"/>
      <c r="BVW129" s="456"/>
      <c r="BVX129" s="456"/>
      <c r="BVY129" s="456"/>
      <c r="BVZ129" s="456"/>
      <c r="BWA129" s="456"/>
      <c r="BWB129" s="456"/>
      <c r="BWC129" s="456"/>
      <c r="BWD129" s="456"/>
      <c r="BWE129" s="456"/>
      <c r="BWF129" s="456"/>
      <c r="BWG129" s="456"/>
      <c r="BWH129" s="456"/>
      <c r="BWI129" s="456"/>
      <c r="BWJ129" s="456"/>
      <c r="BWK129" s="456"/>
      <c r="BWL129" s="456"/>
      <c r="BWM129" s="456"/>
      <c r="BWN129" s="456"/>
      <c r="BWO129" s="456"/>
      <c r="BWP129" s="456"/>
      <c r="BWQ129" s="456"/>
      <c r="BWR129" s="456"/>
      <c r="BWS129" s="456"/>
      <c r="BWT129" s="456"/>
      <c r="BWU129" s="456"/>
      <c r="BWV129" s="456"/>
      <c r="BWW129" s="456"/>
      <c r="BWX129" s="456"/>
      <c r="BWY129" s="456"/>
      <c r="BWZ129" s="456"/>
      <c r="BXA129" s="456"/>
      <c r="BXB129" s="456"/>
      <c r="BXC129" s="456"/>
      <c r="BXD129" s="456"/>
      <c r="BXE129" s="456"/>
      <c r="BXF129" s="456"/>
      <c r="BXG129" s="456"/>
      <c r="BXH129" s="456"/>
      <c r="BXI129" s="456"/>
      <c r="BXJ129" s="456"/>
      <c r="BXK129" s="456"/>
      <c r="BXL129" s="456"/>
      <c r="BXM129" s="456"/>
      <c r="BXN129" s="456"/>
      <c r="BXO129" s="456"/>
      <c r="BXP129" s="456"/>
      <c r="BXQ129" s="456"/>
      <c r="BXR129" s="456"/>
      <c r="BXS129" s="456"/>
      <c r="BXT129" s="456"/>
      <c r="BXU129" s="456"/>
      <c r="BXV129" s="456"/>
      <c r="BXW129" s="456"/>
      <c r="BXX129" s="456"/>
      <c r="BXY129" s="456"/>
      <c r="BXZ129" s="456"/>
    </row>
    <row r="130" s="25" customFormat="1" ht="15.6" spans="1:1024 1025:2002">
      <c r="A130" s="473"/>
      <c r="B130" s="19">
        <v>1125</v>
      </c>
      <c r="C130" s="183">
        <v>46196</v>
      </c>
      <c r="D130" s="17" t="s">
        <v>52</v>
      </c>
      <c r="E130" s="17" t="s">
        <v>53</v>
      </c>
      <c r="F130" s="17" t="s">
        <v>54</v>
      </c>
      <c r="G130" s="17"/>
      <c r="H130" s="19" t="s">
        <v>55</v>
      </c>
      <c r="I130" s="102" t="s">
        <v>56</v>
      </c>
      <c r="J130" s="17" t="s">
        <v>49</v>
      </c>
      <c r="K130" s="91">
        <v>710</v>
      </c>
      <c r="L130" s="19">
        <v>205</v>
      </c>
      <c r="M130" s="19">
        <v>5800</v>
      </c>
      <c r="N130" s="19" t="s">
        <v>40</v>
      </c>
      <c r="O130" s="19" t="s">
        <v>84</v>
      </c>
      <c r="P130" s="19">
        <f>3500*2</f>
        <v>7000</v>
      </c>
      <c r="Q130" s="19">
        <f>4176+4054</f>
        <v>8230</v>
      </c>
      <c r="R130" s="19">
        <f t="shared" si="9"/>
        <v>-1230</v>
      </c>
      <c r="S130" s="311">
        <v>2040</v>
      </c>
      <c r="T130" s="19" t="s">
        <v>42</v>
      </c>
      <c r="U130" s="102" t="s">
        <v>101</v>
      </c>
      <c r="V130" s="186">
        <v>46197</v>
      </c>
      <c r="W130" s="17" t="s">
        <v>58</v>
      </c>
      <c r="X130" s="17"/>
      <c r="Y130" s="68">
        <v>46204</v>
      </c>
      <c r="Z130" s="17" t="s">
        <v>45</v>
      </c>
      <c r="AA130" s="17" t="s">
        <v>59</v>
      </c>
      <c r="AB130" s="17" t="s">
        <v>60</v>
      </c>
      <c r="AC130" s="217">
        <v>46281</v>
      </c>
      <c r="AD130" s="65">
        <v>1862</v>
      </c>
      <c r="AE130" s="17" t="s">
        <v>48</v>
      </c>
      <c r="AF130" s="17" t="s">
        <v>61</v>
      </c>
      <c r="AG130" s="17" t="s">
        <v>103</v>
      </c>
      <c r="AH130" s="456"/>
      <c r="AI130" s="456"/>
      <c r="AJ130" s="456"/>
      <c r="AK130" s="456"/>
      <c r="AL130" s="456"/>
      <c r="AM130" s="456"/>
      <c r="AN130" s="456"/>
      <c r="AO130" s="456"/>
      <c r="AP130" s="456"/>
      <c r="AQ130" s="456"/>
      <c r="AR130" s="456"/>
      <c r="AS130" s="456"/>
      <c r="AT130" s="456"/>
      <c r="AU130" s="456"/>
      <c r="AV130" s="456"/>
      <c r="AW130" s="456"/>
      <c r="AX130" s="456"/>
      <c r="AY130" s="456"/>
      <c r="AZ130" s="456"/>
      <c r="BA130" s="456"/>
      <c r="BB130" s="456"/>
      <c r="BC130" s="456"/>
      <c r="BD130" s="456"/>
      <c r="BE130" s="456"/>
      <c r="BF130" s="456"/>
      <c r="BG130" s="456"/>
      <c r="BH130" s="456"/>
      <c r="BI130" s="456"/>
      <c r="BJ130" s="456"/>
      <c r="BK130" s="456"/>
      <c r="BL130" s="456"/>
      <c r="BM130" s="456"/>
      <c r="BN130" s="456"/>
      <c r="BO130" s="456"/>
      <c r="BP130" s="456"/>
      <c r="BQ130" s="456"/>
      <c r="BR130" s="456"/>
      <c r="BS130" s="456"/>
      <c r="BT130" s="456"/>
      <c r="BU130" s="456"/>
      <c r="BV130" s="456"/>
      <c r="BW130" s="456"/>
      <c r="BX130" s="456"/>
      <c r="BY130" s="456"/>
      <c r="BZ130" s="456"/>
      <c r="CA130" s="456"/>
      <c r="CB130" s="456"/>
      <c r="CC130" s="456"/>
      <c r="CD130" s="456"/>
      <c r="CE130" s="456"/>
      <c r="CF130" s="456"/>
      <c r="CG130" s="456"/>
      <c r="CH130" s="456"/>
      <c r="CI130" s="456"/>
      <c r="CJ130" s="456"/>
      <c r="CK130" s="456"/>
      <c r="CL130" s="456"/>
      <c r="CM130" s="456"/>
      <c r="CN130" s="456"/>
      <c r="CO130" s="456"/>
      <c r="CP130" s="456"/>
      <c r="CQ130" s="456"/>
      <c r="CR130" s="456"/>
      <c r="CS130" s="456"/>
      <c r="CT130" s="456"/>
      <c r="CU130" s="456"/>
      <c r="CV130" s="456"/>
      <c r="CW130" s="456"/>
      <c r="CX130" s="456"/>
      <c r="CY130" s="456"/>
      <c r="CZ130" s="456"/>
      <c r="DA130" s="456"/>
      <c r="DB130" s="456"/>
      <c r="DC130" s="456"/>
      <c r="DD130" s="456"/>
      <c r="DE130" s="456"/>
      <c r="DF130" s="456"/>
      <c r="DG130" s="456"/>
      <c r="DH130" s="456"/>
      <c r="DI130" s="456"/>
      <c r="DJ130" s="456"/>
      <c r="DK130" s="456"/>
      <c r="DL130" s="456"/>
      <c r="DM130" s="456"/>
      <c r="DN130" s="456"/>
      <c r="DO130" s="456"/>
      <c r="DP130" s="456"/>
      <c r="DQ130" s="456"/>
      <c r="DR130" s="456"/>
      <c r="DS130" s="456"/>
      <c r="DT130" s="456"/>
      <c r="DU130" s="456"/>
      <c r="DV130" s="456"/>
      <c r="DW130" s="456"/>
      <c r="DX130" s="456"/>
      <c r="DY130" s="456"/>
      <c r="DZ130" s="456"/>
      <c r="EA130" s="456"/>
      <c r="EB130" s="456"/>
      <c r="EC130" s="456"/>
      <c r="ED130" s="456"/>
      <c r="EE130" s="456"/>
      <c r="EF130" s="456"/>
      <c r="EG130" s="456"/>
      <c r="EH130" s="456"/>
      <c r="EI130" s="456"/>
      <c r="EJ130" s="456"/>
      <c r="EK130" s="456"/>
      <c r="EL130" s="456"/>
      <c r="EM130" s="456"/>
      <c r="EN130" s="456"/>
      <c r="EO130" s="456"/>
      <c r="EP130" s="456"/>
      <c r="EQ130" s="456"/>
      <c r="ER130" s="456"/>
      <c r="ES130" s="456"/>
      <c r="ET130" s="456"/>
      <c r="EU130" s="456"/>
      <c r="EV130" s="456"/>
      <c r="EW130" s="456"/>
      <c r="EX130" s="456"/>
      <c r="EY130" s="456"/>
      <c r="EZ130" s="456"/>
      <c r="FA130" s="456"/>
      <c r="FB130" s="456"/>
      <c r="FC130" s="456"/>
      <c r="FD130" s="456"/>
      <c r="FE130" s="456"/>
      <c r="FF130" s="456"/>
      <c r="FG130" s="456"/>
      <c r="FH130" s="456"/>
      <c r="FI130" s="456"/>
      <c r="FJ130" s="456"/>
      <c r="FK130" s="456"/>
      <c r="FL130" s="456"/>
      <c r="FM130" s="456"/>
      <c r="FN130" s="456"/>
      <c r="FO130" s="456"/>
      <c r="FP130" s="456"/>
      <c r="FQ130" s="456"/>
      <c r="FR130" s="456"/>
      <c r="FS130" s="456"/>
      <c r="FT130" s="456"/>
      <c r="FU130" s="456"/>
      <c r="FV130" s="456"/>
      <c r="FW130" s="456"/>
      <c r="FX130" s="456"/>
      <c r="FY130" s="456"/>
      <c r="FZ130" s="456"/>
      <c r="GA130" s="456"/>
      <c r="GB130" s="456"/>
      <c r="GC130" s="456"/>
      <c r="GD130" s="456"/>
      <c r="GE130" s="456"/>
      <c r="GF130" s="456"/>
      <c r="GG130" s="456"/>
      <c r="GH130" s="456"/>
      <c r="GI130" s="456"/>
      <c r="GJ130" s="456"/>
      <c r="GK130" s="456"/>
      <c r="GL130" s="456"/>
      <c r="GM130" s="456"/>
      <c r="GN130" s="456"/>
      <c r="GO130" s="456"/>
      <c r="GP130" s="456"/>
      <c r="GQ130" s="456"/>
      <c r="GR130" s="456"/>
      <c r="GS130" s="456"/>
      <c r="GT130" s="456"/>
      <c r="GU130" s="456"/>
      <c r="GV130" s="456"/>
      <c r="GW130" s="456"/>
      <c r="GX130" s="456"/>
      <c r="GY130" s="456"/>
      <c r="GZ130" s="456"/>
      <c r="HA130" s="456"/>
      <c r="HB130" s="456"/>
      <c r="HC130" s="456"/>
      <c r="HD130" s="456"/>
      <c r="HE130" s="456"/>
      <c r="HF130" s="456"/>
      <c r="HG130" s="456"/>
      <c r="HH130" s="456"/>
      <c r="HI130" s="456"/>
      <c r="HJ130" s="456"/>
      <c r="HK130" s="456"/>
      <c r="HL130" s="456"/>
      <c r="HM130" s="456"/>
      <c r="HN130" s="456"/>
      <c r="HO130" s="456"/>
      <c r="HP130" s="456"/>
      <c r="HQ130" s="456"/>
      <c r="HR130" s="456"/>
      <c r="HS130" s="456"/>
      <c r="HT130" s="456"/>
      <c r="HU130" s="456"/>
      <c r="HV130" s="456"/>
      <c r="HW130" s="456"/>
      <c r="HX130" s="456"/>
      <c r="HY130" s="456"/>
      <c r="HZ130" s="456"/>
      <c r="IA130" s="456"/>
      <c r="IB130" s="456"/>
      <c r="IC130" s="456"/>
      <c r="ID130" s="456"/>
      <c r="IE130" s="456"/>
      <c r="IF130" s="456"/>
      <c r="IG130" s="456"/>
      <c r="IH130" s="456"/>
      <c r="II130" s="456"/>
      <c r="IJ130" s="456"/>
      <c r="IK130" s="456"/>
      <c r="IL130" s="456"/>
      <c r="IM130" s="456"/>
      <c r="IN130" s="456"/>
      <c r="IO130" s="456"/>
      <c r="IP130" s="456"/>
      <c r="IQ130" s="456"/>
      <c r="IR130" s="456"/>
      <c r="IS130" s="456"/>
      <c r="IT130" s="456"/>
      <c r="IU130" s="456"/>
      <c r="IV130" s="456"/>
      <c r="IW130" s="456"/>
      <c r="IX130" s="456"/>
      <c r="IY130" s="456"/>
      <c r="IZ130" s="456"/>
      <c r="JA130" s="456"/>
      <c r="JB130" s="456"/>
      <c r="JC130" s="456"/>
      <c r="JD130" s="456"/>
      <c r="JE130" s="456"/>
      <c r="JF130" s="456"/>
      <c r="JG130" s="456"/>
      <c r="JH130" s="456"/>
      <c r="JI130" s="456"/>
      <c r="JJ130" s="456"/>
      <c r="JK130" s="456"/>
      <c r="JL130" s="456"/>
      <c r="JM130" s="456"/>
      <c r="JN130" s="456"/>
      <c r="JO130" s="456"/>
      <c r="JP130" s="456"/>
      <c r="JQ130" s="456"/>
      <c r="JR130" s="456"/>
      <c r="JS130" s="456"/>
      <c r="JT130" s="456"/>
      <c r="JU130" s="456"/>
      <c r="JV130" s="456"/>
      <c r="JW130" s="456"/>
      <c r="JX130" s="456"/>
      <c r="JY130" s="456"/>
      <c r="JZ130" s="456"/>
      <c r="KA130" s="456"/>
      <c r="KB130" s="456"/>
      <c r="KC130" s="456"/>
      <c r="KD130" s="456"/>
      <c r="KE130" s="456"/>
      <c r="KF130" s="456"/>
      <c r="KG130" s="456"/>
      <c r="KH130" s="456"/>
      <c r="KI130" s="456"/>
      <c r="KJ130" s="456"/>
      <c r="KK130" s="456"/>
      <c r="KL130" s="456"/>
      <c r="KM130" s="456"/>
      <c r="KN130" s="456"/>
      <c r="KO130" s="456"/>
      <c r="KP130" s="456"/>
      <c r="KQ130" s="456"/>
      <c r="KR130" s="456"/>
      <c r="KS130" s="456"/>
      <c r="KT130" s="456"/>
      <c r="KU130" s="456"/>
      <c r="KV130" s="456"/>
      <c r="KW130" s="456"/>
      <c r="KX130" s="456"/>
      <c r="KY130" s="456"/>
      <c r="KZ130" s="456"/>
      <c r="LA130" s="456"/>
      <c r="LB130" s="456"/>
      <c r="LC130" s="456"/>
      <c r="LD130" s="456"/>
      <c r="LE130" s="456"/>
      <c r="LF130" s="456"/>
      <c r="LG130" s="456"/>
      <c r="LH130" s="456"/>
      <c r="LI130" s="456"/>
      <c r="LJ130" s="456"/>
      <c r="LK130" s="456"/>
      <c r="LL130" s="456"/>
      <c r="LM130" s="456"/>
      <c r="LN130" s="456"/>
      <c r="LO130" s="456"/>
      <c r="LP130" s="456"/>
      <c r="LQ130" s="456"/>
      <c r="LR130" s="456"/>
      <c r="LS130" s="456"/>
      <c r="LT130" s="456"/>
      <c r="LU130" s="456"/>
      <c r="LV130" s="456"/>
      <c r="LW130" s="456"/>
      <c r="LX130" s="456"/>
      <c r="LY130" s="456"/>
      <c r="LZ130" s="456"/>
      <c r="MA130" s="456"/>
      <c r="MB130" s="456"/>
      <c r="MC130" s="456"/>
      <c r="MD130" s="456"/>
      <c r="ME130" s="456"/>
      <c r="MF130" s="456"/>
      <c r="MG130" s="456"/>
      <c r="MH130" s="456"/>
      <c r="MI130" s="456"/>
      <c r="MJ130" s="456"/>
      <c r="MK130" s="456"/>
      <c r="ML130" s="456"/>
      <c r="MM130" s="456"/>
      <c r="MN130" s="456"/>
      <c r="MO130" s="456"/>
      <c r="MP130" s="456"/>
      <c r="MQ130" s="456"/>
      <c r="MR130" s="456"/>
      <c r="MS130" s="456"/>
      <c r="MT130" s="456"/>
      <c r="MU130" s="456"/>
      <c r="MV130" s="456"/>
      <c r="MW130" s="456"/>
      <c r="MX130" s="456"/>
      <c r="MY130" s="456"/>
      <c r="MZ130" s="456"/>
      <c r="NA130" s="456"/>
      <c r="NB130" s="456"/>
      <c r="NC130" s="456"/>
      <c r="ND130" s="456"/>
      <c r="NE130" s="456"/>
      <c r="NF130" s="456"/>
      <c r="NG130" s="456"/>
      <c r="NH130" s="456"/>
      <c r="NI130" s="456"/>
      <c r="NJ130" s="456"/>
      <c r="NK130" s="456"/>
      <c r="NL130" s="456"/>
      <c r="NM130" s="456"/>
      <c r="NN130" s="456"/>
      <c r="NO130" s="456"/>
      <c r="NP130" s="456"/>
      <c r="NQ130" s="456"/>
      <c r="NR130" s="456"/>
      <c r="NS130" s="456"/>
      <c r="NT130" s="456"/>
      <c r="NU130" s="456"/>
      <c r="NV130" s="456"/>
      <c r="NW130" s="456"/>
      <c r="NX130" s="456"/>
      <c r="NY130" s="456"/>
      <c r="NZ130" s="456"/>
      <c r="OA130" s="456"/>
      <c r="OB130" s="456"/>
      <c r="OC130" s="456"/>
      <c r="OD130" s="456"/>
      <c r="OE130" s="456"/>
      <c r="OF130" s="456"/>
      <c r="OG130" s="456"/>
      <c r="OH130" s="456"/>
      <c r="OI130" s="456"/>
      <c r="OJ130" s="456"/>
      <c r="OK130" s="456"/>
      <c r="OL130" s="456"/>
      <c r="OM130" s="456"/>
      <c r="ON130" s="456"/>
      <c r="OO130" s="456"/>
      <c r="OP130" s="456"/>
      <c r="OQ130" s="456"/>
      <c r="OR130" s="456"/>
      <c r="OS130" s="456"/>
      <c r="OT130" s="456"/>
      <c r="OU130" s="456"/>
      <c r="OV130" s="456"/>
      <c r="OW130" s="456"/>
      <c r="OX130" s="456"/>
      <c r="OY130" s="456"/>
      <c r="OZ130" s="456"/>
      <c r="PA130" s="456"/>
      <c r="PB130" s="456"/>
      <c r="PC130" s="456"/>
      <c r="PD130" s="456"/>
      <c r="PE130" s="456"/>
      <c r="PF130" s="456"/>
      <c r="PG130" s="456"/>
      <c r="PH130" s="456"/>
      <c r="PI130" s="456"/>
      <c r="PJ130" s="456"/>
      <c r="PK130" s="456"/>
      <c r="PL130" s="456"/>
      <c r="PM130" s="456"/>
      <c r="PN130" s="456"/>
      <c r="PO130" s="456"/>
      <c r="PP130" s="456"/>
      <c r="PQ130" s="456"/>
      <c r="PR130" s="456"/>
      <c r="PS130" s="456"/>
      <c r="PT130" s="456"/>
      <c r="PU130" s="456"/>
      <c r="PV130" s="456"/>
      <c r="PW130" s="456"/>
      <c r="PX130" s="456"/>
      <c r="PY130" s="456"/>
      <c r="PZ130" s="456"/>
      <c r="QA130" s="456"/>
      <c r="QB130" s="456"/>
      <c r="QC130" s="456"/>
      <c r="QD130" s="456"/>
      <c r="QE130" s="456"/>
      <c r="QF130" s="456"/>
      <c r="QG130" s="456"/>
      <c r="QH130" s="456"/>
      <c r="QI130" s="456"/>
      <c r="QJ130" s="456"/>
      <c r="QK130" s="456"/>
      <c r="QL130" s="456"/>
      <c r="QM130" s="456"/>
      <c r="QN130" s="456"/>
      <c r="QO130" s="456"/>
      <c r="QP130" s="456"/>
      <c r="QQ130" s="456"/>
      <c r="QR130" s="456"/>
      <c r="QS130" s="456"/>
      <c r="QT130" s="456"/>
      <c r="QU130" s="456"/>
      <c r="QV130" s="456"/>
      <c r="QW130" s="456"/>
      <c r="QX130" s="456"/>
      <c r="QY130" s="456"/>
      <c r="QZ130" s="456"/>
      <c r="RA130" s="456"/>
      <c r="RB130" s="456"/>
      <c r="RC130" s="456"/>
      <c r="RD130" s="456"/>
      <c r="RE130" s="456"/>
      <c r="RF130" s="456"/>
      <c r="RG130" s="456"/>
      <c r="RH130" s="456"/>
      <c r="RI130" s="456"/>
      <c r="RJ130" s="456"/>
      <c r="RK130" s="456"/>
      <c r="RL130" s="456"/>
      <c r="RM130" s="456"/>
      <c r="RN130" s="456"/>
      <c r="RO130" s="456"/>
      <c r="RP130" s="456"/>
      <c r="RQ130" s="456"/>
      <c r="RR130" s="456"/>
      <c r="RS130" s="456"/>
      <c r="RT130" s="456"/>
      <c r="RU130" s="456"/>
      <c r="RV130" s="456"/>
      <c r="RW130" s="456"/>
      <c r="RX130" s="456"/>
      <c r="RY130" s="456"/>
      <c r="RZ130" s="456"/>
      <c r="SA130" s="456"/>
      <c r="SB130" s="456"/>
      <c r="SC130" s="456"/>
      <c r="SD130" s="456"/>
      <c r="SE130" s="456"/>
      <c r="SF130" s="456"/>
      <c r="SG130" s="456"/>
      <c r="SH130" s="456"/>
      <c r="SI130" s="456"/>
      <c r="SJ130" s="456"/>
      <c r="SK130" s="456"/>
      <c r="SL130" s="456"/>
      <c r="SM130" s="456"/>
      <c r="SN130" s="456"/>
      <c r="SO130" s="456"/>
      <c r="SP130" s="456"/>
      <c r="SQ130" s="456"/>
      <c r="SR130" s="456"/>
      <c r="SS130" s="456"/>
      <c r="ST130" s="456"/>
      <c r="SU130" s="456"/>
      <c r="SV130" s="456"/>
      <c r="SW130" s="456"/>
      <c r="SX130" s="456"/>
      <c r="SY130" s="456"/>
      <c r="SZ130" s="456"/>
      <c r="TA130" s="456"/>
      <c r="TB130" s="456"/>
      <c r="TC130" s="456"/>
      <c r="TD130" s="456"/>
      <c r="TE130" s="456"/>
      <c r="TF130" s="456"/>
      <c r="TG130" s="456"/>
      <c r="TH130" s="456"/>
      <c r="TI130" s="456"/>
      <c r="TJ130" s="456"/>
      <c r="TK130" s="456"/>
      <c r="TL130" s="456"/>
      <c r="TM130" s="456"/>
      <c r="TN130" s="456"/>
      <c r="TO130" s="456"/>
      <c r="TP130" s="456"/>
      <c r="TQ130" s="456"/>
      <c r="TR130" s="456"/>
      <c r="TS130" s="456"/>
      <c r="TT130" s="456"/>
      <c r="TU130" s="456"/>
      <c r="TV130" s="456"/>
      <c r="TW130" s="456"/>
      <c r="TX130" s="456"/>
      <c r="TY130" s="456"/>
      <c r="TZ130" s="456"/>
      <c r="UA130" s="456"/>
      <c r="UB130" s="456"/>
      <c r="UC130" s="456"/>
      <c r="UD130" s="456"/>
      <c r="UE130" s="456"/>
      <c r="UF130" s="456"/>
      <c r="UG130" s="456"/>
      <c r="UH130" s="456"/>
      <c r="UI130" s="456"/>
      <c r="UJ130" s="456"/>
      <c r="UK130" s="456"/>
      <c r="UL130" s="456"/>
      <c r="UM130" s="456"/>
      <c r="UN130" s="456"/>
      <c r="UO130" s="456"/>
      <c r="UP130" s="456"/>
      <c r="UQ130" s="456"/>
      <c r="UR130" s="456"/>
      <c r="US130" s="456"/>
      <c r="UT130" s="456"/>
      <c r="UU130" s="456"/>
      <c r="UV130" s="456"/>
      <c r="UW130" s="456"/>
      <c r="UX130" s="456"/>
      <c r="UY130" s="456"/>
      <c r="UZ130" s="456"/>
      <c r="VA130" s="456"/>
      <c r="VB130" s="456"/>
      <c r="VC130" s="456"/>
      <c r="VD130" s="456"/>
      <c r="VE130" s="456"/>
      <c r="VF130" s="456"/>
      <c r="VG130" s="456"/>
      <c r="VH130" s="456"/>
      <c r="VI130" s="456"/>
      <c r="VJ130" s="456"/>
      <c r="VK130" s="456"/>
      <c r="VL130" s="456"/>
      <c r="VM130" s="456"/>
      <c r="VN130" s="456"/>
      <c r="VO130" s="456"/>
      <c r="VP130" s="456"/>
      <c r="VQ130" s="456"/>
      <c r="VR130" s="456"/>
      <c r="VS130" s="456"/>
      <c r="VT130" s="456"/>
      <c r="VU130" s="456"/>
      <c r="VV130" s="456"/>
      <c r="VW130" s="456"/>
      <c r="VX130" s="456"/>
      <c r="VY130" s="456"/>
      <c r="VZ130" s="456"/>
      <c r="WA130" s="456"/>
      <c r="WB130" s="456"/>
      <c r="WC130" s="456"/>
      <c r="WD130" s="456"/>
      <c r="WE130" s="456"/>
      <c r="WF130" s="456"/>
      <c r="WG130" s="456"/>
      <c r="WH130" s="456"/>
      <c r="WI130" s="456"/>
      <c r="WJ130" s="456"/>
      <c r="WK130" s="456"/>
      <c r="WL130" s="456"/>
      <c r="WM130" s="456"/>
      <c r="WN130" s="456"/>
      <c r="WO130" s="456"/>
      <c r="WP130" s="456"/>
      <c r="WQ130" s="456"/>
      <c r="WR130" s="456"/>
      <c r="WS130" s="456"/>
      <c r="WT130" s="456"/>
      <c r="WU130" s="456"/>
      <c r="WV130" s="456"/>
      <c r="WW130" s="456"/>
      <c r="WX130" s="456"/>
      <c r="WY130" s="456"/>
      <c r="WZ130" s="456"/>
      <c r="XA130" s="456"/>
      <c r="XB130" s="456"/>
      <c r="XC130" s="456"/>
      <c r="XD130" s="456"/>
      <c r="XE130" s="456"/>
      <c r="XF130" s="456"/>
      <c r="XG130" s="456"/>
      <c r="XH130" s="456"/>
      <c r="XI130" s="456"/>
      <c r="XJ130" s="456"/>
      <c r="XK130" s="456"/>
      <c r="XL130" s="456"/>
      <c r="XM130" s="456"/>
      <c r="XN130" s="456"/>
      <c r="XO130" s="456"/>
      <c r="XP130" s="456"/>
      <c r="XQ130" s="456"/>
      <c r="XR130" s="456"/>
      <c r="XS130" s="456"/>
      <c r="XT130" s="456"/>
      <c r="XU130" s="456"/>
      <c r="XV130" s="456"/>
      <c r="XW130" s="456"/>
      <c r="XX130" s="456"/>
      <c r="XY130" s="456"/>
      <c r="XZ130" s="456"/>
      <c r="YA130" s="456"/>
      <c r="YB130" s="456"/>
      <c r="YC130" s="456"/>
      <c r="YD130" s="456"/>
      <c r="YE130" s="456"/>
      <c r="YF130" s="456"/>
      <c r="YG130" s="456"/>
      <c r="YH130" s="456"/>
      <c r="YI130" s="456"/>
      <c r="YJ130" s="456"/>
      <c r="YK130" s="456"/>
      <c r="YL130" s="456"/>
      <c r="YM130" s="456"/>
      <c r="YN130" s="456"/>
      <c r="YO130" s="456"/>
      <c r="YP130" s="456"/>
      <c r="YQ130" s="456"/>
      <c r="YR130" s="456"/>
      <c r="YS130" s="456"/>
      <c r="YT130" s="456"/>
      <c r="YU130" s="456"/>
      <c r="YV130" s="456"/>
      <c r="YW130" s="456"/>
      <c r="YX130" s="456"/>
      <c r="YY130" s="456"/>
      <c r="YZ130" s="456"/>
      <c r="ZA130" s="456"/>
      <c r="ZB130" s="456"/>
      <c r="ZC130" s="456"/>
      <c r="ZD130" s="456"/>
      <c r="ZE130" s="456"/>
      <c r="ZF130" s="456"/>
      <c r="ZG130" s="456"/>
      <c r="ZH130" s="456"/>
      <c r="ZI130" s="456"/>
      <c r="ZJ130" s="456"/>
      <c r="ZK130" s="456"/>
      <c r="ZL130" s="456"/>
      <c r="ZM130" s="456"/>
      <c r="ZN130" s="456"/>
      <c r="ZO130" s="456"/>
      <c r="ZP130" s="456"/>
      <c r="ZQ130" s="456"/>
      <c r="ZR130" s="456"/>
      <c r="ZS130" s="456"/>
      <c r="ZT130" s="456"/>
      <c r="ZU130" s="456"/>
      <c r="ZV130" s="456"/>
      <c r="ZW130" s="456"/>
      <c r="ZX130" s="456"/>
      <c r="ZY130" s="456"/>
      <c r="ZZ130" s="456"/>
      <c r="AAA130" s="456"/>
      <c r="AAB130" s="456"/>
      <c r="AAC130" s="456"/>
      <c r="AAD130" s="456"/>
      <c r="AAE130" s="456"/>
      <c r="AAF130" s="456"/>
      <c r="AAG130" s="456"/>
      <c r="AAH130" s="456"/>
      <c r="AAI130" s="456"/>
      <c r="AAJ130" s="456"/>
      <c r="AAK130" s="456"/>
      <c r="AAL130" s="456"/>
      <c r="AAM130" s="456"/>
      <c r="AAN130" s="456"/>
      <c r="AAO130" s="456"/>
      <c r="AAP130" s="456"/>
      <c r="AAQ130" s="456"/>
      <c r="AAR130" s="456"/>
      <c r="AAS130" s="456"/>
      <c r="AAT130" s="456"/>
      <c r="AAU130" s="456"/>
      <c r="AAV130" s="456"/>
      <c r="AAW130" s="456"/>
      <c r="AAX130" s="456"/>
      <c r="AAY130" s="456"/>
      <c r="AAZ130" s="456"/>
      <c r="ABA130" s="456"/>
      <c r="ABB130" s="456"/>
      <c r="ABC130" s="456"/>
      <c r="ABD130" s="456"/>
      <c r="ABE130" s="456"/>
      <c r="ABF130" s="456"/>
      <c r="ABG130" s="456"/>
      <c r="ABH130" s="456"/>
      <c r="ABI130" s="456"/>
      <c r="ABJ130" s="456"/>
      <c r="ABK130" s="456"/>
      <c r="ABL130" s="456"/>
      <c r="ABM130" s="456"/>
      <c r="ABN130" s="456"/>
      <c r="ABO130" s="456"/>
      <c r="ABP130" s="456"/>
      <c r="ABQ130" s="456"/>
      <c r="ABR130" s="456"/>
      <c r="ABS130" s="456"/>
      <c r="ABT130" s="456"/>
      <c r="ABU130" s="456"/>
      <c r="ABV130" s="456"/>
      <c r="ABW130" s="456"/>
      <c r="ABX130" s="456"/>
      <c r="ABY130" s="456"/>
      <c r="ABZ130" s="456"/>
      <c r="ACA130" s="456"/>
      <c r="ACB130" s="456"/>
      <c r="ACC130" s="456"/>
      <c r="ACD130" s="456"/>
      <c r="ACE130" s="456"/>
      <c r="ACF130" s="456"/>
      <c r="ACG130" s="456"/>
      <c r="ACH130" s="456"/>
      <c r="ACI130" s="456"/>
      <c r="ACJ130" s="456"/>
      <c r="ACK130" s="456"/>
      <c r="ACL130" s="456"/>
      <c r="ACM130" s="456"/>
      <c r="ACN130" s="456"/>
      <c r="ACO130" s="456"/>
      <c r="ACP130" s="456"/>
      <c r="ACQ130" s="456"/>
      <c r="ACR130" s="456"/>
      <c r="ACS130" s="456"/>
      <c r="ACT130" s="456"/>
      <c r="ACU130" s="456"/>
      <c r="ACV130" s="456"/>
      <c r="ACW130" s="456"/>
      <c r="ACX130" s="456"/>
      <c r="ACY130" s="456"/>
      <c r="ACZ130" s="456"/>
      <c r="ADA130" s="456"/>
      <c r="ADB130" s="456"/>
      <c r="ADC130" s="456"/>
      <c r="ADD130" s="456"/>
      <c r="ADE130" s="456"/>
      <c r="ADF130" s="456"/>
      <c r="ADG130" s="456"/>
      <c r="ADH130" s="456"/>
      <c r="ADI130" s="456"/>
      <c r="ADJ130" s="456"/>
      <c r="ADK130" s="456"/>
      <c r="ADL130" s="456"/>
      <c r="ADM130" s="456"/>
      <c r="ADN130" s="456"/>
      <c r="ADO130" s="456"/>
      <c r="ADP130" s="456"/>
      <c r="ADQ130" s="456"/>
      <c r="ADR130" s="456"/>
      <c r="ADS130" s="456"/>
      <c r="ADT130" s="456"/>
      <c r="ADU130" s="456"/>
      <c r="ADV130" s="456"/>
      <c r="ADW130" s="456"/>
      <c r="ADX130" s="456"/>
      <c r="ADY130" s="456"/>
      <c r="ADZ130" s="456"/>
      <c r="AEA130" s="456"/>
      <c r="AEB130" s="456"/>
      <c r="AEC130" s="456"/>
      <c r="AED130" s="456"/>
      <c r="AEE130" s="456"/>
      <c r="AEF130" s="456"/>
      <c r="AEG130" s="456"/>
      <c r="AEH130" s="456"/>
      <c r="AEI130" s="456"/>
      <c r="AEJ130" s="456"/>
      <c r="AEK130" s="456"/>
      <c r="AEL130" s="456"/>
      <c r="AEM130" s="456"/>
      <c r="AEN130" s="456"/>
      <c r="AEO130" s="456"/>
      <c r="AEP130" s="456"/>
      <c r="AEQ130" s="456"/>
      <c r="AER130" s="456"/>
      <c r="AES130" s="456"/>
      <c r="AET130" s="456"/>
      <c r="AEU130" s="456"/>
      <c r="AEV130" s="456"/>
      <c r="AEW130" s="456"/>
      <c r="AEX130" s="456"/>
      <c r="AEY130" s="456"/>
      <c r="AEZ130" s="456"/>
      <c r="AFA130" s="456"/>
      <c r="AFB130" s="456"/>
      <c r="AFC130" s="456"/>
      <c r="AFD130" s="456"/>
      <c r="AFE130" s="456"/>
      <c r="AFF130" s="456"/>
      <c r="AFG130" s="456"/>
      <c r="AFH130" s="456"/>
      <c r="AFI130" s="456"/>
      <c r="AFJ130" s="456"/>
      <c r="AFK130" s="456"/>
      <c r="AFL130" s="456"/>
      <c r="AFM130" s="456"/>
      <c r="AFN130" s="456"/>
      <c r="AFO130" s="456"/>
      <c r="AFP130" s="456"/>
      <c r="AFQ130" s="456"/>
      <c r="AFR130" s="456"/>
      <c r="AFS130" s="456"/>
      <c r="AFT130" s="456"/>
      <c r="AFU130" s="456"/>
      <c r="AFV130" s="456"/>
      <c r="AFW130" s="456"/>
      <c r="AFX130" s="456"/>
      <c r="AFY130" s="456"/>
      <c r="AFZ130" s="456"/>
      <c r="AGA130" s="456"/>
      <c r="AGB130" s="456"/>
      <c r="AGC130" s="456"/>
      <c r="AGD130" s="456"/>
      <c r="AGE130" s="456"/>
      <c r="AGF130" s="456"/>
      <c r="AGG130" s="456"/>
      <c r="AGH130" s="456"/>
      <c r="AGI130" s="456"/>
      <c r="AGJ130" s="456"/>
      <c r="AGK130" s="456"/>
      <c r="AGL130" s="456"/>
      <c r="AGM130" s="456"/>
      <c r="AGN130" s="456"/>
      <c r="AGO130" s="456"/>
      <c r="AGP130" s="456"/>
      <c r="AGQ130" s="456"/>
      <c r="AGR130" s="456"/>
      <c r="AGS130" s="456"/>
      <c r="AGT130" s="456"/>
      <c r="AGU130" s="456"/>
      <c r="AGV130" s="456"/>
      <c r="AGW130" s="456"/>
      <c r="AGX130" s="456"/>
      <c r="AGY130" s="456"/>
      <c r="AGZ130" s="456"/>
      <c r="AHA130" s="456"/>
      <c r="AHB130" s="456"/>
      <c r="AHC130" s="456"/>
      <c r="AHD130" s="456"/>
      <c r="AHE130" s="456"/>
      <c r="AHF130" s="456"/>
      <c r="AHG130" s="456"/>
      <c r="AHH130" s="456"/>
      <c r="AHI130" s="456"/>
      <c r="AHJ130" s="456"/>
      <c r="AHK130" s="456"/>
      <c r="AHL130" s="456"/>
      <c r="AHM130" s="456"/>
      <c r="AHN130" s="456"/>
      <c r="AHO130" s="456"/>
      <c r="AHP130" s="456"/>
      <c r="AHQ130" s="456"/>
      <c r="AHR130" s="456"/>
      <c r="AHS130" s="456"/>
      <c r="AHT130" s="456"/>
      <c r="AHU130" s="456"/>
      <c r="AHV130" s="456"/>
      <c r="AHW130" s="456"/>
      <c r="AHX130" s="456"/>
      <c r="AHY130" s="456"/>
      <c r="AHZ130" s="456"/>
      <c r="AIA130" s="456"/>
      <c r="AIB130" s="456"/>
      <c r="AIC130" s="456"/>
      <c r="AID130" s="456"/>
      <c r="AIE130" s="456"/>
      <c r="AIF130" s="456"/>
      <c r="AIG130" s="456"/>
      <c r="AIH130" s="456"/>
      <c r="AII130" s="456"/>
      <c r="AIJ130" s="456"/>
      <c r="AIK130" s="456"/>
      <c r="AIL130" s="456"/>
      <c r="AIM130" s="456"/>
      <c r="AIN130" s="456"/>
      <c r="AIO130" s="456"/>
      <c r="AIP130" s="456"/>
      <c r="AIQ130" s="456"/>
      <c r="AIR130" s="456"/>
      <c r="AIS130" s="456"/>
      <c r="AIT130" s="456"/>
      <c r="AIU130" s="456"/>
      <c r="AIV130" s="456"/>
      <c r="AIW130" s="456"/>
      <c r="AIX130" s="456"/>
      <c r="AIY130" s="456"/>
      <c r="AIZ130" s="456"/>
      <c r="AJA130" s="456"/>
      <c r="AJB130" s="456"/>
      <c r="AJC130" s="456"/>
      <c r="AJD130" s="456"/>
      <c r="AJE130" s="456"/>
      <c r="AJF130" s="456"/>
      <c r="AJG130" s="456"/>
      <c r="AJH130" s="456"/>
      <c r="AJI130" s="456"/>
      <c r="AJJ130" s="456"/>
      <c r="AJK130" s="456"/>
      <c r="AJL130" s="456"/>
      <c r="AJM130" s="456"/>
      <c r="AJN130" s="456"/>
      <c r="AJO130" s="456"/>
      <c r="AJP130" s="456"/>
      <c r="AJQ130" s="456"/>
      <c r="AJR130" s="456"/>
      <c r="AJS130" s="456"/>
      <c r="AJT130" s="456"/>
      <c r="AJU130" s="456"/>
      <c r="AJV130" s="456"/>
      <c r="AJW130" s="456"/>
      <c r="AJX130" s="456"/>
      <c r="AJY130" s="456"/>
      <c r="AJZ130" s="456"/>
      <c r="AKA130" s="456"/>
      <c r="AKB130" s="456"/>
      <c r="AKC130" s="456"/>
      <c r="AKD130" s="456"/>
      <c r="AKE130" s="456"/>
      <c r="AKF130" s="456"/>
      <c r="AKG130" s="456"/>
      <c r="AKH130" s="456"/>
      <c r="AKI130" s="456"/>
      <c r="AKJ130" s="456"/>
      <c r="AKK130" s="456"/>
      <c r="AKL130" s="456"/>
      <c r="AKM130" s="456"/>
      <c r="AKN130" s="456"/>
      <c r="AKO130" s="456"/>
      <c r="AKP130" s="456"/>
      <c r="AKQ130" s="456"/>
      <c r="AKR130" s="456"/>
      <c r="AKS130" s="456"/>
      <c r="AKT130" s="456"/>
      <c r="AKU130" s="456"/>
      <c r="AKV130" s="456"/>
      <c r="AKW130" s="456"/>
      <c r="AKX130" s="456"/>
      <c r="AKY130" s="456"/>
      <c r="AKZ130" s="456"/>
      <c r="ALA130" s="456"/>
      <c r="ALB130" s="456"/>
      <c r="ALC130" s="456"/>
      <c r="ALD130" s="456"/>
      <c r="ALE130" s="456"/>
      <c r="ALF130" s="456"/>
      <c r="ALG130" s="456"/>
      <c r="ALH130" s="456"/>
      <c r="ALI130" s="456"/>
      <c r="ALJ130" s="456"/>
      <c r="ALK130" s="456"/>
      <c r="ALL130" s="456"/>
      <c r="ALM130" s="456"/>
      <c r="ALN130" s="456"/>
      <c r="ALO130" s="456"/>
      <c r="ALP130" s="456"/>
      <c r="ALQ130" s="456"/>
      <c r="ALR130" s="456"/>
      <c r="ALS130" s="456"/>
      <c r="ALT130" s="456"/>
      <c r="ALU130" s="456"/>
      <c r="ALV130" s="456"/>
      <c r="ALW130" s="456"/>
      <c r="ALX130" s="456"/>
      <c r="ALY130" s="456"/>
      <c r="ALZ130" s="456"/>
      <c r="AMA130" s="456"/>
      <c r="AMB130" s="456"/>
      <c r="AMC130" s="456"/>
      <c r="AMD130" s="456"/>
      <c r="AME130" s="456"/>
      <c r="AMF130" s="456"/>
      <c r="AMG130" s="456"/>
      <c r="AMH130" s="456"/>
      <c r="AMI130" s="456"/>
      <c r="AMJ130" s="456"/>
      <c r="AMK130" s="456"/>
      <c r="AML130" s="456"/>
      <c r="AMM130" s="456"/>
      <c r="AMN130" s="456"/>
      <c r="AMO130" s="456"/>
      <c r="AMP130" s="456"/>
      <c r="AMQ130" s="456"/>
      <c r="AMR130" s="456"/>
      <c r="AMS130" s="456"/>
      <c r="AMT130" s="456"/>
      <c r="AMU130" s="456"/>
      <c r="AMV130" s="456"/>
      <c r="AMW130" s="456"/>
      <c r="AMX130" s="456"/>
      <c r="AMY130" s="456"/>
      <c r="AMZ130" s="456"/>
      <c r="ANA130" s="456"/>
      <c r="ANB130" s="456"/>
      <c r="ANC130" s="456"/>
      <c r="AND130" s="456"/>
      <c r="ANE130" s="456"/>
      <c r="ANF130" s="456"/>
      <c r="ANG130" s="456"/>
      <c r="ANH130" s="456"/>
      <c r="ANI130" s="456"/>
      <c r="ANJ130" s="456"/>
      <c r="ANK130" s="456"/>
      <c r="ANL130" s="456"/>
      <c r="ANM130" s="456"/>
      <c r="ANN130" s="456"/>
      <c r="ANO130" s="456"/>
      <c r="ANP130" s="456"/>
      <c r="ANQ130" s="456"/>
      <c r="ANR130" s="456"/>
      <c r="ANS130" s="456"/>
      <c r="ANT130" s="456"/>
      <c r="ANU130" s="456"/>
      <c r="ANV130" s="456"/>
      <c r="ANW130" s="456"/>
      <c r="ANX130" s="456"/>
      <c r="ANY130" s="456"/>
      <c r="ANZ130" s="456"/>
      <c r="AOA130" s="456"/>
      <c r="AOB130" s="456"/>
      <c r="AOC130" s="456"/>
      <c r="AOD130" s="456"/>
      <c r="AOE130" s="456"/>
      <c r="AOF130" s="456"/>
      <c r="AOG130" s="456"/>
      <c r="AOH130" s="456"/>
      <c r="AOI130" s="456"/>
      <c r="AOJ130" s="456"/>
      <c r="AOK130" s="456"/>
      <c r="AOL130" s="456"/>
      <c r="AOM130" s="456"/>
      <c r="AON130" s="456"/>
      <c r="AOO130" s="456"/>
      <c r="AOP130" s="456"/>
      <c r="AOQ130" s="456"/>
      <c r="AOR130" s="456"/>
      <c r="AOS130" s="456"/>
      <c r="AOT130" s="456"/>
      <c r="AOU130" s="456"/>
      <c r="AOV130" s="456"/>
      <c r="AOW130" s="456"/>
      <c r="AOX130" s="456"/>
      <c r="AOY130" s="456"/>
      <c r="AOZ130" s="456"/>
      <c r="APA130" s="456"/>
      <c r="APB130" s="456"/>
      <c r="APC130" s="456"/>
      <c r="APD130" s="456"/>
      <c r="APE130" s="456"/>
      <c r="APF130" s="456"/>
      <c r="APG130" s="456"/>
      <c r="APH130" s="456"/>
      <c r="API130" s="456"/>
      <c r="APJ130" s="456"/>
      <c r="APK130" s="456"/>
      <c r="APL130" s="456"/>
      <c r="APM130" s="456"/>
      <c r="APN130" s="456"/>
      <c r="APO130" s="456"/>
      <c r="APP130" s="456"/>
      <c r="APQ130" s="456"/>
      <c r="APR130" s="456"/>
      <c r="APS130" s="456"/>
      <c r="APT130" s="456"/>
      <c r="APU130" s="456"/>
      <c r="APV130" s="456"/>
      <c r="APW130" s="456"/>
      <c r="APX130" s="456"/>
      <c r="APY130" s="456"/>
      <c r="APZ130" s="456"/>
      <c r="AQA130" s="456"/>
      <c r="AQB130" s="456"/>
      <c r="AQC130" s="456"/>
      <c r="AQD130" s="456"/>
      <c r="AQE130" s="456"/>
      <c r="AQF130" s="456"/>
      <c r="AQG130" s="456"/>
      <c r="AQH130" s="456"/>
      <c r="AQI130" s="456"/>
      <c r="AQJ130" s="456"/>
      <c r="AQK130" s="456"/>
      <c r="AQL130" s="456"/>
      <c r="AQM130" s="456"/>
      <c r="AQN130" s="456"/>
      <c r="AQO130" s="456"/>
      <c r="AQP130" s="456"/>
      <c r="AQQ130" s="456"/>
      <c r="AQR130" s="456"/>
      <c r="AQS130" s="456"/>
      <c r="AQT130" s="456"/>
      <c r="AQU130" s="456"/>
      <c r="AQV130" s="456"/>
      <c r="AQW130" s="456"/>
      <c r="AQX130" s="456"/>
      <c r="AQY130" s="456"/>
      <c r="AQZ130" s="456"/>
      <c r="ARA130" s="456"/>
      <c r="ARB130" s="456"/>
      <c r="ARC130" s="456"/>
      <c r="ARD130" s="456"/>
      <c r="ARE130" s="456"/>
      <c r="ARF130" s="456"/>
      <c r="ARG130" s="456"/>
      <c r="ARH130" s="456"/>
      <c r="ARI130" s="456"/>
      <c r="ARJ130" s="456"/>
      <c r="ARK130" s="456"/>
      <c r="ARL130" s="456"/>
      <c r="ARM130" s="456"/>
      <c r="ARN130" s="456"/>
      <c r="ARO130" s="456"/>
      <c r="ARP130" s="456"/>
      <c r="ARQ130" s="456"/>
      <c r="ARR130" s="456"/>
      <c r="ARS130" s="456"/>
      <c r="ART130" s="456"/>
      <c r="ARU130" s="456"/>
      <c r="ARV130" s="456"/>
      <c r="ARW130" s="456"/>
      <c r="ARX130" s="456"/>
      <c r="ARY130" s="456"/>
      <c r="ARZ130" s="456"/>
      <c r="ASA130" s="456"/>
      <c r="ASB130" s="456"/>
      <c r="ASC130" s="456"/>
      <c r="ASD130" s="456"/>
      <c r="ASE130" s="456"/>
      <c r="ASF130" s="456"/>
      <c r="ASG130" s="456"/>
      <c r="ASH130" s="456"/>
      <c r="ASI130" s="456"/>
      <c r="ASJ130" s="456"/>
      <c r="ASK130" s="456"/>
      <c r="ASL130" s="456"/>
      <c r="ASM130" s="456"/>
      <c r="ASN130" s="456"/>
      <c r="ASO130" s="456"/>
      <c r="ASP130" s="456"/>
      <c r="ASQ130" s="456"/>
      <c r="ASR130" s="456"/>
      <c r="ASS130" s="456"/>
      <c r="AST130" s="456"/>
      <c r="ASU130" s="456"/>
      <c r="ASV130" s="456"/>
      <c r="ASW130" s="456"/>
      <c r="ASX130" s="456"/>
      <c r="ASY130" s="456"/>
      <c r="ASZ130" s="456"/>
      <c r="ATA130" s="456"/>
      <c r="ATB130" s="456"/>
      <c r="ATC130" s="456"/>
      <c r="ATD130" s="456"/>
      <c r="ATE130" s="456"/>
      <c r="ATF130" s="456"/>
      <c r="ATG130" s="456"/>
      <c r="ATH130" s="456"/>
      <c r="ATI130" s="456"/>
      <c r="ATJ130" s="456"/>
      <c r="ATK130" s="456"/>
      <c r="ATL130" s="456"/>
      <c r="ATM130" s="456"/>
      <c r="ATN130" s="456"/>
      <c r="ATO130" s="456"/>
      <c r="ATP130" s="456"/>
      <c r="ATQ130" s="456"/>
      <c r="ATR130" s="456"/>
      <c r="ATS130" s="456"/>
      <c r="ATT130" s="456"/>
      <c r="ATU130" s="456"/>
      <c r="ATV130" s="456"/>
      <c r="ATW130" s="456"/>
      <c r="ATX130" s="456"/>
      <c r="ATY130" s="456"/>
      <c r="ATZ130" s="456"/>
      <c r="AUA130" s="456"/>
      <c r="AUB130" s="456"/>
      <c r="AUC130" s="456"/>
      <c r="AUD130" s="456"/>
      <c r="AUE130" s="456"/>
      <c r="AUF130" s="456"/>
      <c r="AUG130" s="456"/>
      <c r="AUH130" s="456"/>
      <c r="AUI130" s="456"/>
      <c r="AUJ130" s="456"/>
      <c r="AUK130" s="456"/>
      <c r="AUL130" s="456"/>
      <c r="AUM130" s="456"/>
      <c r="AUN130" s="456"/>
      <c r="AUO130" s="456"/>
      <c r="AUP130" s="456"/>
      <c r="AUQ130" s="456"/>
      <c r="AUR130" s="456"/>
      <c r="AUS130" s="456"/>
      <c r="AUT130" s="456"/>
      <c r="AUU130" s="456"/>
      <c r="AUV130" s="456"/>
      <c r="AUW130" s="456"/>
      <c r="AUX130" s="456"/>
      <c r="AUY130" s="456"/>
      <c r="AUZ130" s="456"/>
      <c r="AVA130" s="456"/>
      <c r="AVB130" s="456"/>
      <c r="AVC130" s="456"/>
      <c r="AVD130" s="456"/>
      <c r="AVE130" s="456"/>
      <c r="AVF130" s="456"/>
      <c r="AVG130" s="456"/>
      <c r="AVH130" s="456"/>
      <c r="AVI130" s="456"/>
      <c r="AVJ130" s="456"/>
      <c r="AVK130" s="456"/>
      <c r="AVL130" s="456"/>
      <c r="AVM130" s="456"/>
      <c r="AVN130" s="456"/>
      <c r="AVO130" s="456"/>
      <c r="AVP130" s="456"/>
      <c r="AVQ130" s="456"/>
      <c r="AVR130" s="456"/>
      <c r="AVS130" s="456"/>
      <c r="AVT130" s="456"/>
      <c r="AVU130" s="456"/>
      <c r="AVV130" s="456"/>
      <c r="AVW130" s="456"/>
      <c r="AVX130" s="456"/>
      <c r="AVY130" s="456"/>
      <c r="AVZ130" s="456"/>
      <c r="AWA130" s="456"/>
      <c r="AWB130" s="456"/>
      <c r="AWC130" s="456"/>
      <c r="AWD130" s="456"/>
      <c r="AWE130" s="456"/>
      <c r="AWF130" s="456"/>
      <c r="AWG130" s="456"/>
      <c r="AWH130" s="456"/>
      <c r="AWI130" s="456"/>
      <c r="AWJ130" s="456"/>
      <c r="AWK130" s="456"/>
      <c r="AWL130" s="456"/>
      <c r="AWM130" s="456"/>
      <c r="AWN130" s="456"/>
      <c r="AWO130" s="456"/>
      <c r="AWP130" s="456"/>
      <c r="AWQ130" s="456"/>
      <c r="AWR130" s="456"/>
      <c r="AWS130" s="456"/>
      <c r="AWT130" s="456"/>
      <c r="AWU130" s="456"/>
      <c r="AWV130" s="456"/>
      <c r="AWW130" s="456"/>
      <c r="AWX130" s="456"/>
      <c r="AWY130" s="456"/>
      <c r="AWZ130" s="456"/>
      <c r="AXA130" s="456"/>
      <c r="AXB130" s="456"/>
      <c r="AXC130" s="456"/>
      <c r="AXD130" s="456"/>
      <c r="AXE130" s="456"/>
      <c r="AXF130" s="456"/>
      <c r="AXG130" s="456"/>
      <c r="AXH130" s="456"/>
      <c r="AXI130" s="456"/>
      <c r="AXJ130" s="456"/>
      <c r="AXK130" s="456"/>
      <c r="AXL130" s="456"/>
      <c r="AXM130" s="456"/>
      <c r="AXN130" s="456"/>
      <c r="AXO130" s="456"/>
      <c r="AXP130" s="456"/>
      <c r="AXQ130" s="456"/>
      <c r="AXR130" s="456"/>
      <c r="AXS130" s="456"/>
      <c r="AXT130" s="456"/>
      <c r="AXU130" s="456"/>
      <c r="AXV130" s="456"/>
      <c r="AXW130" s="456"/>
      <c r="AXX130" s="456"/>
      <c r="AXY130" s="456"/>
      <c r="AXZ130" s="456"/>
      <c r="AYA130" s="456"/>
      <c r="AYB130" s="456"/>
      <c r="AYC130" s="456"/>
      <c r="AYD130" s="456"/>
      <c r="AYE130" s="456"/>
      <c r="AYF130" s="456"/>
      <c r="AYG130" s="456"/>
      <c r="AYH130" s="456"/>
      <c r="AYI130" s="456"/>
      <c r="AYJ130" s="456"/>
      <c r="AYK130" s="456"/>
      <c r="AYL130" s="456"/>
      <c r="AYM130" s="456"/>
      <c r="AYN130" s="456"/>
      <c r="AYO130" s="456"/>
      <c r="AYP130" s="456"/>
      <c r="AYQ130" s="456"/>
      <c r="AYR130" s="456"/>
      <c r="AYS130" s="456"/>
      <c r="AYT130" s="456"/>
      <c r="AYU130" s="456"/>
      <c r="AYV130" s="456"/>
      <c r="AYW130" s="456"/>
      <c r="AYX130" s="456"/>
      <c r="AYY130" s="456"/>
      <c r="AYZ130" s="456"/>
      <c r="AZA130" s="456"/>
      <c r="AZB130" s="456"/>
      <c r="AZC130" s="456"/>
      <c r="AZD130" s="456"/>
      <c r="AZE130" s="456"/>
      <c r="AZF130" s="456"/>
      <c r="AZG130" s="456"/>
      <c r="AZH130" s="456"/>
      <c r="AZI130" s="456"/>
      <c r="AZJ130" s="456"/>
      <c r="AZK130" s="456"/>
      <c r="AZL130" s="456"/>
      <c r="AZM130" s="456"/>
      <c r="AZN130" s="456"/>
      <c r="AZO130" s="456"/>
      <c r="AZP130" s="456"/>
      <c r="AZQ130" s="456"/>
      <c r="AZR130" s="456"/>
      <c r="AZS130" s="456"/>
      <c r="AZT130" s="456"/>
      <c r="AZU130" s="456"/>
      <c r="AZV130" s="456"/>
      <c r="AZW130" s="456"/>
      <c r="AZX130" s="456"/>
      <c r="AZY130" s="456"/>
      <c r="AZZ130" s="456"/>
      <c r="BAA130" s="456"/>
      <c r="BAB130" s="456"/>
      <c r="BAC130" s="456"/>
      <c r="BAD130" s="456"/>
      <c r="BAE130" s="456"/>
      <c r="BAF130" s="456"/>
      <c r="BAG130" s="456"/>
      <c r="BAH130" s="456"/>
      <c r="BAI130" s="456"/>
      <c r="BAJ130" s="456"/>
      <c r="BAK130" s="456"/>
      <c r="BAL130" s="456"/>
      <c r="BAM130" s="456"/>
      <c r="BAN130" s="456"/>
      <c r="BAO130" s="456"/>
      <c r="BAP130" s="456"/>
      <c r="BAQ130" s="456"/>
      <c r="BAR130" s="456"/>
      <c r="BAS130" s="456"/>
      <c r="BAT130" s="456"/>
      <c r="BAU130" s="456"/>
      <c r="BAV130" s="456"/>
      <c r="BAW130" s="456"/>
      <c r="BAX130" s="456"/>
      <c r="BAY130" s="456"/>
      <c r="BAZ130" s="456"/>
      <c r="BBA130" s="456"/>
      <c r="BBB130" s="456"/>
      <c r="BBC130" s="456"/>
      <c r="BBD130" s="456"/>
      <c r="BBE130" s="456"/>
      <c r="BBF130" s="456"/>
      <c r="BBG130" s="456"/>
      <c r="BBH130" s="456"/>
      <c r="BBI130" s="456"/>
      <c r="BBJ130" s="456"/>
      <c r="BBK130" s="456"/>
      <c r="BBL130" s="456"/>
      <c r="BBM130" s="456"/>
      <c r="BBN130" s="456"/>
      <c r="BBO130" s="456"/>
      <c r="BBP130" s="456"/>
      <c r="BBQ130" s="456"/>
      <c r="BBR130" s="456"/>
      <c r="BBS130" s="456"/>
      <c r="BBT130" s="456"/>
      <c r="BBU130" s="456"/>
      <c r="BBV130" s="456"/>
      <c r="BBW130" s="456"/>
      <c r="BBX130" s="456"/>
      <c r="BBY130" s="456"/>
      <c r="BBZ130" s="456"/>
      <c r="BCA130" s="456"/>
      <c r="BCB130" s="456"/>
      <c r="BCC130" s="456"/>
      <c r="BCD130" s="456"/>
      <c r="BCE130" s="456"/>
      <c r="BCF130" s="456"/>
      <c r="BCG130" s="456"/>
      <c r="BCH130" s="456"/>
      <c r="BCI130" s="456"/>
      <c r="BCJ130" s="456"/>
      <c r="BCK130" s="456"/>
      <c r="BCL130" s="456"/>
      <c r="BCM130" s="456"/>
      <c r="BCN130" s="456"/>
      <c r="BCO130" s="456"/>
      <c r="BCP130" s="456"/>
      <c r="BCQ130" s="456"/>
      <c r="BCR130" s="456"/>
      <c r="BCS130" s="456"/>
      <c r="BCT130" s="456"/>
      <c r="BCU130" s="456"/>
      <c r="BCV130" s="456"/>
      <c r="BCW130" s="456"/>
      <c r="BCX130" s="456"/>
      <c r="BCY130" s="456"/>
      <c r="BCZ130" s="456"/>
      <c r="BDA130" s="456"/>
      <c r="BDB130" s="456"/>
      <c r="BDC130" s="456"/>
      <c r="BDD130" s="456"/>
      <c r="BDE130" s="456"/>
      <c r="BDF130" s="456"/>
      <c r="BDG130" s="456"/>
      <c r="BDH130" s="456"/>
      <c r="BDI130" s="456"/>
      <c r="BDJ130" s="456"/>
      <c r="BDK130" s="456"/>
      <c r="BDL130" s="456"/>
      <c r="BDM130" s="456"/>
      <c r="BDN130" s="456"/>
      <c r="BDO130" s="456"/>
      <c r="BDP130" s="456"/>
      <c r="BDQ130" s="456"/>
      <c r="BDR130" s="456"/>
      <c r="BDS130" s="456"/>
      <c r="BDT130" s="456"/>
      <c r="BDU130" s="456"/>
      <c r="BDV130" s="456"/>
      <c r="BDW130" s="456"/>
      <c r="BDX130" s="456"/>
      <c r="BDY130" s="456"/>
      <c r="BDZ130" s="456"/>
      <c r="BEA130" s="456"/>
      <c r="BEB130" s="456"/>
      <c r="BEC130" s="456"/>
      <c r="BED130" s="456"/>
      <c r="BEE130" s="456"/>
      <c r="BEF130" s="456"/>
      <c r="BEG130" s="456"/>
      <c r="BEH130" s="456"/>
      <c r="BEI130" s="456"/>
      <c r="BEJ130" s="456"/>
      <c r="BEK130" s="456"/>
      <c r="BEL130" s="456"/>
      <c r="BEM130" s="456"/>
      <c r="BEN130" s="456"/>
      <c r="BEO130" s="456"/>
      <c r="BEP130" s="456"/>
      <c r="BEQ130" s="456"/>
      <c r="BER130" s="456"/>
      <c r="BES130" s="456"/>
      <c r="BET130" s="456"/>
      <c r="BEU130" s="456"/>
      <c r="BEV130" s="456"/>
      <c r="BEW130" s="456"/>
      <c r="BEX130" s="456"/>
      <c r="BEY130" s="456"/>
      <c r="BEZ130" s="456"/>
      <c r="BFA130" s="456"/>
      <c r="BFB130" s="456"/>
      <c r="BFC130" s="456"/>
      <c r="BFD130" s="456"/>
      <c r="BFE130" s="456"/>
      <c r="BFF130" s="456"/>
      <c r="BFG130" s="456"/>
      <c r="BFH130" s="456"/>
      <c r="BFI130" s="456"/>
      <c r="BFJ130" s="456"/>
      <c r="BFK130" s="456"/>
      <c r="BFL130" s="456"/>
      <c r="BFM130" s="456"/>
      <c r="BFN130" s="456"/>
      <c r="BFO130" s="456"/>
      <c r="BFP130" s="456"/>
      <c r="BFQ130" s="456"/>
      <c r="BFR130" s="456"/>
      <c r="BFS130" s="456"/>
      <c r="BFT130" s="456"/>
      <c r="BFU130" s="456"/>
      <c r="BFV130" s="456"/>
      <c r="BFW130" s="456"/>
      <c r="BFX130" s="456"/>
      <c r="BFY130" s="456"/>
      <c r="BFZ130" s="456"/>
      <c r="BGA130" s="456"/>
      <c r="BGB130" s="456"/>
      <c r="BGC130" s="456"/>
      <c r="BGD130" s="456"/>
      <c r="BGE130" s="456"/>
      <c r="BGF130" s="456"/>
      <c r="BGG130" s="456"/>
      <c r="BGH130" s="456"/>
      <c r="BGI130" s="456"/>
      <c r="BGJ130" s="456"/>
      <c r="BGK130" s="456"/>
      <c r="BGL130" s="456"/>
      <c r="BGM130" s="456"/>
      <c r="BGN130" s="456"/>
      <c r="BGO130" s="456"/>
      <c r="BGP130" s="456"/>
      <c r="BGQ130" s="456"/>
      <c r="BGR130" s="456"/>
      <c r="BGS130" s="456"/>
      <c r="BGT130" s="456"/>
      <c r="BGU130" s="456"/>
      <c r="BGV130" s="456"/>
      <c r="BGW130" s="456"/>
      <c r="BGX130" s="456"/>
      <c r="BGY130" s="456"/>
      <c r="BGZ130" s="456"/>
      <c r="BHA130" s="456"/>
      <c r="BHB130" s="456"/>
      <c r="BHC130" s="456"/>
      <c r="BHD130" s="456"/>
      <c r="BHE130" s="456"/>
      <c r="BHF130" s="456"/>
      <c r="BHG130" s="456"/>
      <c r="BHH130" s="456"/>
      <c r="BHI130" s="456"/>
      <c r="BHJ130" s="456"/>
      <c r="BHK130" s="456"/>
      <c r="BHL130" s="456"/>
      <c r="BHM130" s="456"/>
      <c r="BHN130" s="456"/>
      <c r="BHO130" s="456"/>
      <c r="BHP130" s="456"/>
      <c r="BHQ130" s="456"/>
      <c r="BHR130" s="456"/>
      <c r="BHS130" s="456"/>
      <c r="BHT130" s="456"/>
      <c r="BHU130" s="456"/>
      <c r="BHV130" s="456"/>
      <c r="BHW130" s="456"/>
      <c r="BHX130" s="456"/>
      <c r="BHY130" s="456"/>
      <c r="BHZ130" s="456"/>
      <c r="BIA130" s="456"/>
      <c r="BIB130" s="456"/>
      <c r="BIC130" s="456"/>
      <c r="BID130" s="456"/>
      <c r="BIE130" s="456"/>
      <c r="BIF130" s="456"/>
      <c r="BIG130" s="456"/>
      <c r="BIH130" s="456"/>
      <c r="BII130" s="456"/>
      <c r="BIJ130" s="456"/>
      <c r="BIK130" s="456"/>
      <c r="BIL130" s="456"/>
      <c r="BIM130" s="456"/>
      <c r="BIN130" s="456"/>
      <c r="BIO130" s="456"/>
      <c r="BIP130" s="456"/>
      <c r="BIQ130" s="456"/>
      <c r="BIR130" s="456"/>
      <c r="BIS130" s="456"/>
      <c r="BIT130" s="456"/>
      <c r="BIU130" s="456"/>
      <c r="BIV130" s="456"/>
      <c r="BIW130" s="456"/>
      <c r="BIX130" s="456"/>
      <c r="BIY130" s="456"/>
      <c r="BIZ130" s="456"/>
      <c r="BJA130" s="456"/>
      <c r="BJB130" s="456"/>
      <c r="BJC130" s="456"/>
      <c r="BJD130" s="456"/>
      <c r="BJE130" s="456"/>
      <c r="BJF130" s="456"/>
      <c r="BJG130" s="456"/>
      <c r="BJH130" s="456"/>
      <c r="BJI130" s="456"/>
      <c r="BJJ130" s="456"/>
      <c r="BJK130" s="456"/>
      <c r="BJL130" s="456"/>
      <c r="BJM130" s="456"/>
      <c r="BJN130" s="456"/>
      <c r="BJO130" s="456"/>
      <c r="BJP130" s="456"/>
      <c r="BJQ130" s="456"/>
      <c r="BJR130" s="456"/>
      <c r="BJS130" s="456"/>
      <c r="BJT130" s="456"/>
      <c r="BJU130" s="456"/>
      <c r="BJV130" s="456"/>
      <c r="BJW130" s="456"/>
      <c r="BJX130" s="456"/>
      <c r="BJY130" s="456"/>
      <c r="BJZ130" s="456"/>
      <c r="BKA130" s="456"/>
      <c r="BKB130" s="456"/>
      <c r="BKC130" s="456"/>
      <c r="BKD130" s="456"/>
      <c r="BKE130" s="456"/>
      <c r="BKF130" s="456"/>
      <c r="BKG130" s="456"/>
      <c r="BKH130" s="456"/>
      <c r="BKI130" s="456"/>
      <c r="BKJ130" s="456"/>
      <c r="BKK130" s="456"/>
      <c r="BKL130" s="456"/>
      <c r="BKM130" s="456"/>
      <c r="BKN130" s="456"/>
      <c r="BKO130" s="456"/>
      <c r="BKP130" s="456"/>
      <c r="BKQ130" s="456"/>
      <c r="BKR130" s="456"/>
      <c r="BKS130" s="456"/>
      <c r="BKT130" s="456"/>
      <c r="BKU130" s="456"/>
      <c r="BKV130" s="456"/>
      <c r="BKW130" s="456"/>
      <c r="BKX130" s="456"/>
      <c r="BKY130" s="456"/>
      <c r="BKZ130" s="456"/>
      <c r="BLA130" s="456"/>
      <c r="BLB130" s="456"/>
      <c r="BLC130" s="456"/>
      <c r="BLD130" s="456"/>
      <c r="BLE130" s="456"/>
      <c r="BLF130" s="456"/>
      <c r="BLG130" s="456"/>
      <c r="BLH130" s="456"/>
      <c r="BLI130" s="456"/>
      <c r="BLJ130" s="456"/>
      <c r="BLK130" s="456"/>
      <c r="BLL130" s="456"/>
      <c r="BLM130" s="456"/>
      <c r="BLN130" s="456"/>
      <c r="BLO130" s="456"/>
      <c r="BLP130" s="456"/>
      <c r="BLQ130" s="456"/>
      <c r="BLR130" s="456"/>
      <c r="BLS130" s="456"/>
      <c r="BLT130" s="456"/>
      <c r="BLU130" s="456"/>
      <c r="BLV130" s="456"/>
      <c r="BLW130" s="456"/>
      <c r="BLX130" s="456"/>
      <c r="BLY130" s="456"/>
      <c r="BLZ130" s="456"/>
      <c r="BMA130" s="456"/>
      <c r="BMB130" s="456"/>
      <c r="BMC130" s="456"/>
      <c r="BMD130" s="456"/>
      <c r="BME130" s="456"/>
      <c r="BMF130" s="456"/>
      <c r="BMG130" s="456"/>
      <c r="BMH130" s="456"/>
      <c r="BMI130" s="456"/>
      <c r="BMJ130" s="456"/>
      <c r="BMK130" s="456"/>
      <c r="BML130" s="456"/>
      <c r="BMM130" s="456"/>
      <c r="BMN130" s="456"/>
      <c r="BMO130" s="456"/>
      <c r="BMP130" s="456"/>
      <c r="BMQ130" s="456"/>
      <c r="BMR130" s="456"/>
      <c r="BMS130" s="456"/>
      <c r="BMT130" s="456"/>
      <c r="BMU130" s="456"/>
      <c r="BMV130" s="456"/>
      <c r="BMW130" s="456"/>
      <c r="BMX130" s="456"/>
      <c r="BMY130" s="456"/>
      <c r="BMZ130" s="456"/>
      <c r="BNA130" s="456"/>
      <c r="BNB130" s="456"/>
      <c r="BNC130" s="456"/>
      <c r="BND130" s="456"/>
      <c r="BNE130" s="456"/>
      <c r="BNF130" s="456"/>
      <c r="BNG130" s="456"/>
      <c r="BNH130" s="456"/>
      <c r="BNI130" s="456"/>
      <c r="BNJ130" s="456"/>
      <c r="BNK130" s="456"/>
      <c r="BNL130" s="456"/>
      <c r="BNM130" s="456"/>
      <c r="BNN130" s="456"/>
      <c r="BNO130" s="456"/>
      <c r="BNP130" s="456"/>
      <c r="BNQ130" s="456"/>
      <c r="BNR130" s="456"/>
      <c r="BNS130" s="456"/>
      <c r="BNT130" s="456"/>
      <c r="BNU130" s="456"/>
      <c r="BNV130" s="456"/>
      <c r="BNW130" s="456"/>
      <c r="BNX130" s="456"/>
      <c r="BNY130" s="456"/>
      <c r="BNZ130" s="456"/>
      <c r="BOA130" s="456"/>
      <c r="BOB130" s="456"/>
      <c r="BOC130" s="456"/>
      <c r="BOD130" s="456"/>
      <c r="BOE130" s="456"/>
      <c r="BOF130" s="456"/>
      <c r="BOG130" s="456"/>
      <c r="BOH130" s="456"/>
      <c r="BOI130" s="456"/>
      <c r="BOJ130" s="456"/>
      <c r="BOK130" s="456"/>
      <c r="BOL130" s="456"/>
      <c r="BOM130" s="456"/>
      <c r="BON130" s="456"/>
      <c r="BOO130" s="456"/>
      <c r="BOP130" s="456"/>
      <c r="BOQ130" s="456"/>
      <c r="BOR130" s="456"/>
      <c r="BOS130" s="456"/>
      <c r="BOT130" s="456"/>
      <c r="BOU130" s="456"/>
      <c r="BOV130" s="456"/>
      <c r="BOW130" s="456"/>
      <c r="BOX130" s="456"/>
      <c r="BOY130" s="456"/>
      <c r="BOZ130" s="456"/>
      <c r="BPA130" s="456"/>
      <c r="BPB130" s="456"/>
      <c r="BPC130" s="456"/>
      <c r="BPD130" s="456"/>
      <c r="BPE130" s="456"/>
      <c r="BPF130" s="456"/>
      <c r="BPG130" s="456"/>
      <c r="BPH130" s="456"/>
      <c r="BPI130" s="456"/>
      <c r="BPJ130" s="456"/>
      <c r="BPK130" s="456"/>
      <c r="BPL130" s="456"/>
      <c r="BPM130" s="456"/>
      <c r="BPN130" s="456"/>
      <c r="BPO130" s="456"/>
      <c r="BPP130" s="456"/>
      <c r="BPQ130" s="456"/>
      <c r="BPR130" s="456"/>
      <c r="BPS130" s="456"/>
      <c r="BPT130" s="456"/>
      <c r="BPU130" s="456"/>
      <c r="BPV130" s="456"/>
      <c r="BPW130" s="456"/>
      <c r="BPX130" s="456"/>
      <c r="BPY130" s="456"/>
      <c r="BPZ130" s="456"/>
      <c r="BQA130" s="456"/>
      <c r="BQB130" s="456"/>
      <c r="BQC130" s="456"/>
      <c r="BQD130" s="456"/>
      <c r="BQE130" s="456"/>
      <c r="BQF130" s="456"/>
      <c r="BQG130" s="456"/>
      <c r="BQH130" s="456"/>
      <c r="BQI130" s="456"/>
      <c r="BQJ130" s="456"/>
      <c r="BQK130" s="456"/>
      <c r="BQL130" s="456"/>
      <c r="BQM130" s="456"/>
      <c r="BQN130" s="456"/>
      <c r="BQO130" s="456"/>
      <c r="BQP130" s="456"/>
      <c r="BQQ130" s="456"/>
      <c r="BQR130" s="456"/>
      <c r="BQS130" s="456"/>
      <c r="BQT130" s="456"/>
      <c r="BQU130" s="456"/>
      <c r="BQV130" s="456"/>
      <c r="BQW130" s="456"/>
      <c r="BQX130" s="456"/>
      <c r="BQY130" s="456"/>
      <c r="BQZ130" s="456"/>
      <c r="BRA130" s="456"/>
      <c r="BRB130" s="456"/>
      <c r="BRC130" s="456"/>
      <c r="BRD130" s="456"/>
      <c r="BRE130" s="456"/>
      <c r="BRF130" s="456"/>
      <c r="BRG130" s="456"/>
      <c r="BRH130" s="456"/>
      <c r="BRI130" s="456"/>
      <c r="BRJ130" s="456"/>
      <c r="BRK130" s="456"/>
      <c r="BRL130" s="456"/>
      <c r="BRM130" s="456"/>
      <c r="BRN130" s="456"/>
      <c r="BRO130" s="456"/>
      <c r="BRP130" s="456"/>
      <c r="BRQ130" s="456"/>
      <c r="BRR130" s="456"/>
      <c r="BRS130" s="456"/>
      <c r="BRT130" s="456"/>
      <c r="BRU130" s="456"/>
      <c r="BRV130" s="456"/>
      <c r="BRW130" s="456"/>
      <c r="BRX130" s="456"/>
      <c r="BRY130" s="456"/>
      <c r="BRZ130" s="456"/>
      <c r="BSA130" s="456"/>
      <c r="BSB130" s="456"/>
      <c r="BSC130" s="456"/>
      <c r="BSD130" s="456"/>
      <c r="BSE130" s="456"/>
      <c r="BSF130" s="456"/>
      <c r="BSG130" s="456"/>
      <c r="BSH130" s="456"/>
      <c r="BSI130" s="456"/>
      <c r="BSJ130" s="456"/>
      <c r="BSK130" s="456"/>
      <c r="BSL130" s="456"/>
      <c r="BSM130" s="456"/>
      <c r="BSN130" s="456"/>
      <c r="BSO130" s="456"/>
      <c r="BSP130" s="456"/>
      <c r="BSQ130" s="456"/>
      <c r="BSR130" s="456"/>
      <c r="BSS130" s="456"/>
      <c r="BST130" s="456"/>
      <c r="BSU130" s="456"/>
      <c r="BSV130" s="456"/>
      <c r="BSW130" s="456"/>
      <c r="BSX130" s="456"/>
      <c r="BSY130" s="456"/>
      <c r="BSZ130" s="456"/>
      <c r="BTA130" s="456"/>
      <c r="BTB130" s="456"/>
      <c r="BTC130" s="456"/>
      <c r="BTD130" s="456"/>
      <c r="BTE130" s="456"/>
      <c r="BTF130" s="456"/>
      <c r="BTG130" s="456"/>
      <c r="BTH130" s="456"/>
      <c r="BTI130" s="456"/>
      <c r="BTJ130" s="456"/>
      <c r="BTK130" s="456"/>
      <c r="BTL130" s="456"/>
      <c r="BTM130" s="456"/>
      <c r="BTN130" s="456"/>
      <c r="BTO130" s="456"/>
      <c r="BTP130" s="456"/>
      <c r="BTQ130" s="456"/>
      <c r="BTR130" s="456"/>
      <c r="BTS130" s="456"/>
      <c r="BTT130" s="456"/>
      <c r="BTU130" s="456"/>
      <c r="BTV130" s="456"/>
      <c r="BTW130" s="456"/>
      <c r="BTX130" s="456"/>
      <c r="BTY130" s="456"/>
      <c r="BTZ130" s="456"/>
      <c r="BUA130" s="456"/>
      <c r="BUB130" s="456"/>
      <c r="BUC130" s="456"/>
      <c r="BUD130" s="456"/>
      <c r="BUE130" s="456"/>
      <c r="BUF130" s="456"/>
      <c r="BUG130" s="456"/>
      <c r="BUH130" s="456"/>
      <c r="BUI130" s="456"/>
      <c r="BUJ130" s="456"/>
      <c r="BUK130" s="456"/>
      <c r="BUL130" s="456"/>
      <c r="BUM130" s="456"/>
      <c r="BUN130" s="456"/>
      <c r="BUO130" s="456"/>
      <c r="BUP130" s="456"/>
      <c r="BUQ130" s="456"/>
      <c r="BUR130" s="456"/>
      <c r="BUS130" s="456"/>
      <c r="BUT130" s="456"/>
      <c r="BUU130" s="456"/>
      <c r="BUV130" s="456"/>
      <c r="BUW130" s="456"/>
      <c r="BUX130" s="456"/>
      <c r="BUY130" s="456"/>
      <c r="BUZ130" s="456"/>
      <c r="BVA130" s="456"/>
      <c r="BVB130" s="456"/>
      <c r="BVC130" s="456"/>
      <c r="BVD130" s="456"/>
      <c r="BVE130" s="456"/>
      <c r="BVF130" s="456"/>
      <c r="BVG130" s="456"/>
      <c r="BVH130" s="456"/>
      <c r="BVI130" s="456"/>
      <c r="BVJ130" s="456"/>
      <c r="BVK130" s="456"/>
      <c r="BVL130" s="456"/>
      <c r="BVM130" s="456"/>
      <c r="BVN130" s="456"/>
      <c r="BVO130" s="456"/>
      <c r="BVP130" s="456"/>
      <c r="BVQ130" s="456"/>
      <c r="BVR130" s="456"/>
      <c r="BVS130" s="456"/>
      <c r="BVT130" s="456"/>
      <c r="BVU130" s="456"/>
      <c r="BVV130" s="456"/>
      <c r="BVW130" s="456"/>
      <c r="BVX130" s="456"/>
      <c r="BVY130" s="456"/>
      <c r="BVZ130" s="456"/>
      <c r="BWA130" s="456"/>
      <c r="BWB130" s="456"/>
      <c r="BWC130" s="456"/>
      <c r="BWD130" s="456"/>
      <c r="BWE130" s="456"/>
      <c r="BWF130" s="456"/>
      <c r="BWG130" s="456"/>
      <c r="BWH130" s="456"/>
      <c r="BWI130" s="456"/>
      <c r="BWJ130" s="456"/>
      <c r="BWK130" s="456"/>
      <c r="BWL130" s="456"/>
      <c r="BWM130" s="456"/>
      <c r="BWN130" s="456"/>
      <c r="BWO130" s="456"/>
      <c r="BWP130" s="456"/>
      <c r="BWQ130" s="456"/>
      <c r="BWR130" s="456"/>
      <c r="BWS130" s="456"/>
      <c r="BWT130" s="456"/>
      <c r="BWU130" s="456"/>
      <c r="BWV130" s="456"/>
      <c r="BWW130" s="456"/>
      <c r="BWX130" s="456"/>
      <c r="BWY130" s="456"/>
      <c r="BWZ130" s="456"/>
      <c r="BXA130" s="456"/>
      <c r="BXB130" s="456"/>
      <c r="BXC130" s="456"/>
      <c r="BXD130" s="456"/>
      <c r="BXE130" s="456"/>
      <c r="BXF130" s="456"/>
      <c r="BXG130" s="456"/>
      <c r="BXH130" s="456"/>
      <c r="BXI130" s="456"/>
      <c r="BXJ130" s="456"/>
      <c r="BXK130" s="456"/>
      <c r="BXL130" s="456"/>
      <c r="BXM130" s="456"/>
      <c r="BXN130" s="456"/>
      <c r="BXO130" s="456"/>
      <c r="BXP130" s="456"/>
      <c r="BXQ130" s="456"/>
      <c r="BXR130" s="456"/>
      <c r="BXS130" s="456"/>
      <c r="BXT130" s="456"/>
      <c r="BXU130" s="456"/>
      <c r="BXV130" s="456"/>
      <c r="BXW130" s="456"/>
      <c r="BXX130" s="456"/>
      <c r="BXY130" s="456"/>
      <c r="BXZ130" s="456"/>
    </row>
    <row r="131" s="25" customFormat="1" ht="15.6" spans="1:1024 1025:2002">
      <c r="A131" s="473"/>
      <c r="B131" s="19">
        <v>1125</v>
      </c>
      <c r="C131" s="183">
        <v>46196</v>
      </c>
      <c r="D131" s="17" t="s">
        <v>52</v>
      </c>
      <c r="E131" s="17" t="s">
        <v>53</v>
      </c>
      <c r="F131" s="17" t="s">
        <v>54</v>
      </c>
      <c r="G131" s="17"/>
      <c r="H131" s="19" t="s">
        <v>55</v>
      </c>
      <c r="I131" s="102" t="s">
        <v>56</v>
      </c>
      <c r="J131" s="17" t="s">
        <v>49</v>
      </c>
      <c r="K131" s="91">
        <v>710</v>
      </c>
      <c r="L131" s="19">
        <v>230</v>
      </c>
      <c r="M131" s="19">
        <v>5800</v>
      </c>
      <c r="N131" s="19" t="s">
        <v>40</v>
      </c>
      <c r="O131" s="19" t="s">
        <v>84</v>
      </c>
      <c r="P131" s="19">
        <f>4200*2</f>
        <v>8400</v>
      </c>
      <c r="Q131" s="19">
        <f>4870+4474</f>
        <v>9344</v>
      </c>
      <c r="R131" s="19">
        <f t="shared" si="9"/>
        <v>-944</v>
      </c>
      <c r="S131" s="311">
        <v>2040</v>
      </c>
      <c r="T131" s="19" t="s">
        <v>42</v>
      </c>
      <c r="U131" s="102" t="s">
        <v>101</v>
      </c>
      <c r="V131" s="186">
        <v>46197</v>
      </c>
      <c r="W131" s="17" t="s">
        <v>58</v>
      </c>
      <c r="X131" s="17"/>
      <c r="Y131" s="68">
        <v>46204</v>
      </c>
      <c r="Z131" s="17" t="s">
        <v>45</v>
      </c>
      <c r="AA131" s="17" t="s">
        <v>59</v>
      </c>
      <c r="AB131" s="17" t="s">
        <v>60</v>
      </c>
      <c r="AC131" s="217">
        <v>46281</v>
      </c>
      <c r="AD131" s="65">
        <v>1862</v>
      </c>
      <c r="AE131" s="17" t="s">
        <v>48</v>
      </c>
      <c r="AF131" s="17" t="s">
        <v>61</v>
      </c>
      <c r="AG131" s="17" t="s">
        <v>103</v>
      </c>
      <c r="AH131" s="456"/>
      <c r="AI131" s="456"/>
      <c r="AJ131" s="456"/>
      <c r="AK131" s="456"/>
      <c r="AL131" s="456"/>
      <c r="AM131" s="456"/>
      <c r="AN131" s="456"/>
      <c r="AO131" s="456"/>
      <c r="AP131" s="456"/>
      <c r="AQ131" s="456"/>
      <c r="AR131" s="456"/>
      <c r="AS131" s="456"/>
      <c r="AT131" s="456"/>
      <c r="AU131" s="456"/>
      <c r="AV131" s="456"/>
      <c r="AW131" s="456"/>
      <c r="AX131" s="456"/>
      <c r="AY131" s="456"/>
      <c r="AZ131" s="456"/>
      <c r="BA131" s="456"/>
      <c r="BB131" s="456"/>
      <c r="BC131" s="456"/>
      <c r="BD131" s="456"/>
      <c r="BE131" s="456"/>
      <c r="BF131" s="456"/>
      <c r="BG131" s="456"/>
      <c r="BH131" s="456"/>
      <c r="BI131" s="456"/>
      <c r="BJ131" s="456"/>
      <c r="BK131" s="456"/>
      <c r="BL131" s="456"/>
      <c r="BM131" s="456"/>
      <c r="BN131" s="456"/>
      <c r="BO131" s="456"/>
      <c r="BP131" s="456"/>
      <c r="BQ131" s="456"/>
      <c r="BR131" s="456"/>
      <c r="BS131" s="456"/>
      <c r="BT131" s="456"/>
      <c r="BU131" s="456"/>
      <c r="BV131" s="456"/>
      <c r="BW131" s="456"/>
      <c r="BX131" s="456"/>
      <c r="BY131" s="456"/>
      <c r="BZ131" s="456"/>
      <c r="CA131" s="456"/>
      <c r="CB131" s="456"/>
      <c r="CC131" s="456"/>
      <c r="CD131" s="456"/>
      <c r="CE131" s="456"/>
      <c r="CF131" s="456"/>
      <c r="CG131" s="456"/>
      <c r="CH131" s="456"/>
      <c r="CI131" s="456"/>
      <c r="CJ131" s="456"/>
      <c r="CK131" s="456"/>
      <c r="CL131" s="456"/>
      <c r="CM131" s="456"/>
      <c r="CN131" s="456"/>
      <c r="CO131" s="456"/>
      <c r="CP131" s="456"/>
      <c r="CQ131" s="456"/>
      <c r="CR131" s="456"/>
      <c r="CS131" s="456"/>
      <c r="CT131" s="456"/>
      <c r="CU131" s="456"/>
      <c r="CV131" s="456"/>
      <c r="CW131" s="456"/>
      <c r="CX131" s="456"/>
      <c r="CY131" s="456"/>
      <c r="CZ131" s="456"/>
      <c r="DA131" s="456"/>
      <c r="DB131" s="456"/>
      <c r="DC131" s="456"/>
      <c r="DD131" s="456"/>
      <c r="DE131" s="456"/>
      <c r="DF131" s="456"/>
      <c r="DG131" s="456"/>
      <c r="DH131" s="456"/>
      <c r="DI131" s="456"/>
      <c r="DJ131" s="456"/>
      <c r="DK131" s="456"/>
      <c r="DL131" s="456"/>
      <c r="DM131" s="456"/>
      <c r="DN131" s="456"/>
      <c r="DO131" s="456"/>
      <c r="DP131" s="456"/>
      <c r="DQ131" s="456"/>
      <c r="DR131" s="456"/>
      <c r="DS131" s="456"/>
      <c r="DT131" s="456"/>
      <c r="DU131" s="456"/>
      <c r="DV131" s="456"/>
      <c r="DW131" s="456"/>
      <c r="DX131" s="456"/>
      <c r="DY131" s="456"/>
      <c r="DZ131" s="456"/>
      <c r="EA131" s="456"/>
      <c r="EB131" s="456"/>
      <c r="EC131" s="456"/>
      <c r="ED131" s="456"/>
      <c r="EE131" s="456"/>
      <c r="EF131" s="456"/>
      <c r="EG131" s="456"/>
      <c r="EH131" s="456"/>
      <c r="EI131" s="456"/>
      <c r="EJ131" s="456"/>
      <c r="EK131" s="456"/>
      <c r="EL131" s="456"/>
      <c r="EM131" s="456"/>
      <c r="EN131" s="456"/>
      <c r="EO131" s="456"/>
      <c r="EP131" s="456"/>
      <c r="EQ131" s="456"/>
      <c r="ER131" s="456"/>
      <c r="ES131" s="456"/>
      <c r="ET131" s="456"/>
      <c r="EU131" s="456"/>
      <c r="EV131" s="456"/>
      <c r="EW131" s="456"/>
      <c r="EX131" s="456"/>
      <c r="EY131" s="456"/>
      <c r="EZ131" s="456"/>
      <c r="FA131" s="456"/>
      <c r="FB131" s="456"/>
      <c r="FC131" s="456"/>
      <c r="FD131" s="456"/>
      <c r="FE131" s="456"/>
      <c r="FF131" s="456"/>
      <c r="FG131" s="456"/>
      <c r="FH131" s="456"/>
      <c r="FI131" s="456"/>
      <c r="FJ131" s="456"/>
      <c r="FK131" s="456"/>
      <c r="FL131" s="456"/>
      <c r="FM131" s="456"/>
      <c r="FN131" s="456"/>
      <c r="FO131" s="456"/>
      <c r="FP131" s="456"/>
      <c r="FQ131" s="456"/>
      <c r="FR131" s="456"/>
      <c r="FS131" s="456"/>
      <c r="FT131" s="456"/>
      <c r="FU131" s="456"/>
      <c r="FV131" s="456"/>
      <c r="FW131" s="456"/>
      <c r="FX131" s="456"/>
      <c r="FY131" s="456"/>
      <c r="FZ131" s="456"/>
      <c r="GA131" s="456"/>
      <c r="GB131" s="456"/>
      <c r="GC131" s="456"/>
      <c r="GD131" s="456"/>
      <c r="GE131" s="456"/>
      <c r="GF131" s="456"/>
      <c r="GG131" s="456"/>
      <c r="GH131" s="456"/>
      <c r="GI131" s="456"/>
      <c r="GJ131" s="456"/>
      <c r="GK131" s="456"/>
      <c r="GL131" s="456"/>
      <c r="GM131" s="456"/>
      <c r="GN131" s="456"/>
      <c r="GO131" s="456"/>
      <c r="GP131" s="456"/>
      <c r="GQ131" s="456"/>
      <c r="GR131" s="456"/>
      <c r="GS131" s="456"/>
      <c r="GT131" s="456"/>
      <c r="GU131" s="456"/>
      <c r="GV131" s="456"/>
      <c r="GW131" s="456"/>
      <c r="GX131" s="456"/>
      <c r="GY131" s="456"/>
      <c r="GZ131" s="456"/>
      <c r="HA131" s="456"/>
      <c r="HB131" s="456"/>
      <c r="HC131" s="456"/>
      <c r="HD131" s="456"/>
      <c r="HE131" s="456"/>
      <c r="HF131" s="456"/>
      <c r="HG131" s="456"/>
      <c r="HH131" s="456"/>
      <c r="HI131" s="456"/>
      <c r="HJ131" s="456"/>
      <c r="HK131" s="456"/>
      <c r="HL131" s="456"/>
      <c r="HM131" s="456"/>
      <c r="HN131" s="456"/>
      <c r="HO131" s="456"/>
      <c r="HP131" s="456"/>
      <c r="HQ131" s="456"/>
      <c r="HR131" s="456"/>
      <c r="HS131" s="456"/>
      <c r="HT131" s="456"/>
      <c r="HU131" s="456"/>
      <c r="HV131" s="456"/>
      <c r="HW131" s="456"/>
      <c r="HX131" s="456"/>
      <c r="HY131" s="456"/>
      <c r="HZ131" s="456"/>
      <c r="IA131" s="456"/>
      <c r="IB131" s="456"/>
      <c r="IC131" s="456"/>
      <c r="ID131" s="456"/>
      <c r="IE131" s="456"/>
      <c r="IF131" s="456"/>
      <c r="IG131" s="456"/>
      <c r="IH131" s="456"/>
      <c r="II131" s="456"/>
      <c r="IJ131" s="456"/>
      <c r="IK131" s="456"/>
      <c r="IL131" s="456"/>
      <c r="IM131" s="456"/>
      <c r="IN131" s="456"/>
      <c r="IO131" s="456"/>
      <c r="IP131" s="456"/>
      <c r="IQ131" s="456"/>
      <c r="IR131" s="456"/>
      <c r="IS131" s="456"/>
      <c r="IT131" s="456"/>
      <c r="IU131" s="456"/>
      <c r="IV131" s="456"/>
      <c r="IW131" s="456"/>
      <c r="IX131" s="456"/>
      <c r="IY131" s="456"/>
      <c r="IZ131" s="456"/>
      <c r="JA131" s="456"/>
      <c r="JB131" s="456"/>
      <c r="JC131" s="456"/>
      <c r="JD131" s="456"/>
      <c r="JE131" s="456"/>
      <c r="JF131" s="456"/>
      <c r="JG131" s="456"/>
      <c r="JH131" s="456"/>
      <c r="JI131" s="456"/>
      <c r="JJ131" s="456"/>
      <c r="JK131" s="456"/>
      <c r="JL131" s="456"/>
      <c r="JM131" s="456"/>
      <c r="JN131" s="456"/>
      <c r="JO131" s="456"/>
      <c r="JP131" s="456"/>
      <c r="JQ131" s="456"/>
      <c r="JR131" s="456"/>
      <c r="JS131" s="456"/>
      <c r="JT131" s="456"/>
      <c r="JU131" s="456"/>
      <c r="JV131" s="456"/>
      <c r="JW131" s="456"/>
      <c r="JX131" s="456"/>
      <c r="JY131" s="456"/>
      <c r="JZ131" s="456"/>
      <c r="KA131" s="456"/>
      <c r="KB131" s="456"/>
      <c r="KC131" s="456"/>
      <c r="KD131" s="456"/>
      <c r="KE131" s="456"/>
      <c r="KF131" s="456"/>
      <c r="KG131" s="456"/>
      <c r="KH131" s="456"/>
      <c r="KI131" s="456"/>
      <c r="KJ131" s="456"/>
      <c r="KK131" s="456"/>
      <c r="KL131" s="456"/>
      <c r="KM131" s="456"/>
      <c r="KN131" s="456"/>
      <c r="KO131" s="456"/>
      <c r="KP131" s="456"/>
      <c r="KQ131" s="456"/>
      <c r="KR131" s="456"/>
      <c r="KS131" s="456"/>
      <c r="KT131" s="456"/>
      <c r="KU131" s="456"/>
      <c r="KV131" s="456"/>
      <c r="KW131" s="456"/>
      <c r="KX131" s="456"/>
      <c r="KY131" s="456"/>
      <c r="KZ131" s="456"/>
      <c r="LA131" s="456"/>
      <c r="LB131" s="456"/>
      <c r="LC131" s="456"/>
      <c r="LD131" s="456"/>
      <c r="LE131" s="456"/>
      <c r="LF131" s="456"/>
      <c r="LG131" s="456"/>
      <c r="LH131" s="456"/>
      <c r="LI131" s="456"/>
      <c r="LJ131" s="456"/>
      <c r="LK131" s="456"/>
      <c r="LL131" s="456"/>
      <c r="LM131" s="456"/>
      <c r="LN131" s="456"/>
      <c r="LO131" s="456"/>
      <c r="LP131" s="456"/>
      <c r="LQ131" s="456"/>
      <c r="LR131" s="456"/>
      <c r="LS131" s="456"/>
      <c r="LT131" s="456"/>
      <c r="LU131" s="456"/>
      <c r="LV131" s="456"/>
      <c r="LW131" s="456"/>
      <c r="LX131" s="456"/>
      <c r="LY131" s="456"/>
      <c r="LZ131" s="456"/>
      <c r="MA131" s="456"/>
      <c r="MB131" s="456"/>
      <c r="MC131" s="456"/>
      <c r="MD131" s="456"/>
      <c r="ME131" s="456"/>
      <c r="MF131" s="456"/>
      <c r="MG131" s="456"/>
      <c r="MH131" s="456"/>
      <c r="MI131" s="456"/>
      <c r="MJ131" s="456"/>
      <c r="MK131" s="456"/>
      <c r="ML131" s="456"/>
      <c r="MM131" s="456"/>
      <c r="MN131" s="456"/>
      <c r="MO131" s="456"/>
      <c r="MP131" s="456"/>
      <c r="MQ131" s="456"/>
      <c r="MR131" s="456"/>
      <c r="MS131" s="456"/>
      <c r="MT131" s="456"/>
      <c r="MU131" s="456"/>
      <c r="MV131" s="456"/>
      <c r="MW131" s="456"/>
      <c r="MX131" s="456"/>
      <c r="MY131" s="456"/>
      <c r="MZ131" s="456"/>
      <c r="NA131" s="456"/>
      <c r="NB131" s="456"/>
      <c r="NC131" s="456"/>
      <c r="ND131" s="456"/>
      <c r="NE131" s="456"/>
      <c r="NF131" s="456"/>
      <c r="NG131" s="456"/>
      <c r="NH131" s="456"/>
      <c r="NI131" s="456"/>
      <c r="NJ131" s="456"/>
      <c r="NK131" s="456"/>
      <c r="NL131" s="456"/>
      <c r="NM131" s="456"/>
      <c r="NN131" s="456"/>
      <c r="NO131" s="456"/>
      <c r="NP131" s="456"/>
      <c r="NQ131" s="456"/>
      <c r="NR131" s="456"/>
      <c r="NS131" s="456"/>
      <c r="NT131" s="456"/>
      <c r="NU131" s="456"/>
      <c r="NV131" s="456"/>
      <c r="NW131" s="456"/>
      <c r="NX131" s="456"/>
      <c r="NY131" s="456"/>
      <c r="NZ131" s="456"/>
      <c r="OA131" s="456"/>
      <c r="OB131" s="456"/>
      <c r="OC131" s="456"/>
      <c r="OD131" s="456"/>
      <c r="OE131" s="456"/>
      <c r="OF131" s="456"/>
      <c r="OG131" s="456"/>
      <c r="OH131" s="456"/>
      <c r="OI131" s="456"/>
      <c r="OJ131" s="456"/>
      <c r="OK131" s="456"/>
      <c r="OL131" s="456"/>
      <c r="OM131" s="456"/>
      <c r="ON131" s="456"/>
      <c r="OO131" s="456"/>
      <c r="OP131" s="456"/>
      <c r="OQ131" s="456"/>
      <c r="OR131" s="456"/>
      <c r="OS131" s="456"/>
      <c r="OT131" s="456"/>
      <c r="OU131" s="456"/>
      <c r="OV131" s="456"/>
      <c r="OW131" s="456"/>
      <c r="OX131" s="456"/>
      <c r="OY131" s="456"/>
      <c r="OZ131" s="456"/>
      <c r="PA131" s="456"/>
      <c r="PB131" s="456"/>
      <c r="PC131" s="456"/>
      <c r="PD131" s="456"/>
      <c r="PE131" s="456"/>
      <c r="PF131" s="456"/>
      <c r="PG131" s="456"/>
      <c r="PH131" s="456"/>
      <c r="PI131" s="456"/>
      <c r="PJ131" s="456"/>
      <c r="PK131" s="456"/>
      <c r="PL131" s="456"/>
      <c r="PM131" s="456"/>
      <c r="PN131" s="456"/>
      <c r="PO131" s="456"/>
      <c r="PP131" s="456"/>
      <c r="PQ131" s="456"/>
      <c r="PR131" s="456"/>
      <c r="PS131" s="456"/>
      <c r="PT131" s="456"/>
      <c r="PU131" s="456"/>
      <c r="PV131" s="456"/>
      <c r="PW131" s="456"/>
      <c r="PX131" s="456"/>
      <c r="PY131" s="456"/>
      <c r="PZ131" s="456"/>
      <c r="QA131" s="456"/>
      <c r="QB131" s="456"/>
      <c r="QC131" s="456"/>
      <c r="QD131" s="456"/>
      <c r="QE131" s="456"/>
      <c r="QF131" s="456"/>
      <c r="QG131" s="456"/>
      <c r="QH131" s="456"/>
      <c r="QI131" s="456"/>
      <c r="QJ131" s="456"/>
      <c r="QK131" s="456"/>
      <c r="QL131" s="456"/>
      <c r="QM131" s="456"/>
      <c r="QN131" s="456"/>
      <c r="QO131" s="456"/>
      <c r="QP131" s="456"/>
      <c r="QQ131" s="456"/>
      <c r="QR131" s="456"/>
      <c r="QS131" s="456"/>
      <c r="QT131" s="456"/>
      <c r="QU131" s="456"/>
      <c r="QV131" s="456"/>
      <c r="QW131" s="456"/>
      <c r="QX131" s="456"/>
      <c r="QY131" s="456"/>
      <c r="QZ131" s="456"/>
      <c r="RA131" s="456"/>
      <c r="RB131" s="456"/>
      <c r="RC131" s="456"/>
      <c r="RD131" s="456"/>
      <c r="RE131" s="456"/>
      <c r="RF131" s="456"/>
      <c r="RG131" s="456"/>
      <c r="RH131" s="456"/>
      <c r="RI131" s="456"/>
      <c r="RJ131" s="456"/>
      <c r="RK131" s="456"/>
      <c r="RL131" s="456"/>
      <c r="RM131" s="456"/>
      <c r="RN131" s="456"/>
      <c r="RO131" s="456"/>
      <c r="RP131" s="456"/>
      <c r="RQ131" s="456"/>
      <c r="RR131" s="456"/>
      <c r="RS131" s="456"/>
      <c r="RT131" s="456"/>
      <c r="RU131" s="456"/>
      <c r="RV131" s="456"/>
      <c r="RW131" s="456"/>
      <c r="RX131" s="456"/>
      <c r="RY131" s="456"/>
      <c r="RZ131" s="456"/>
      <c r="SA131" s="456"/>
      <c r="SB131" s="456"/>
      <c r="SC131" s="456"/>
      <c r="SD131" s="456"/>
      <c r="SE131" s="456"/>
      <c r="SF131" s="456"/>
      <c r="SG131" s="456"/>
      <c r="SH131" s="456"/>
      <c r="SI131" s="456"/>
      <c r="SJ131" s="456"/>
      <c r="SK131" s="456"/>
      <c r="SL131" s="456"/>
      <c r="SM131" s="456"/>
      <c r="SN131" s="456"/>
      <c r="SO131" s="456"/>
      <c r="SP131" s="456"/>
      <c r="SQ131" s="456"/>
      <c r="SR131" s="456"/>
      <c r="SS131" s="456"/>
      <c r="ST131" s="456"/>
      <c r="SU131" s="456"/>
      <c r="SV131" s="456"/>
      <c r="SW131" s="456"/>
      <c r="SX131" s="456"/>
      <c r="SY131" s="456"/>
      <c r="SZ131" s="456"/>
      <c r="TA131" s="456"/>
      <c r="TB131" s="456"/>
      <c r="TC131" s="456"/>
      <c r="TD131" s="456"/>
      <c r="TE131" s="456"/>
      <c r="TF131" s="456"/>
      <c r="TG131" s="456"/>
      <c r="TH131" s="456"/>
      <c r="TI131" s="456"/>
      <c r="TJ131" s="456"/>
      <c r="TK131" s="456"/>
      <c r="TL131" s="456"/>
      <c r="TM131" s="456"/>
      <c r="TN131" s="456"/>
      <c r="TO131" s="456"/>
      <c r="TP131" s="456"/>
      <c r="TQ131" s="456"/>
      <c r="TR131" s="456"/>
      <c r="TS131" s="456"/>
      <c r="TT131" s="456"/>
      <c r="TU131" s="456"/>
      <c r="TV131" s="456"/>
      <c r="TW131" s="456"/>
      <c r="TX131" s="456"/>
      <c r="TY131" s="456"/>
      <c r="TZ131" s="456"/>
      <c r="UA131" s="456"/>
      <c r="UB131" s="456"/>
      <c r="UC131" s="456"/>
      <c r="UD131" s="456"/>
      <c r="UE131" s="456"/>
      <c r="UF131" s="456"/>
      <c r="UG131" s="456"/>
      <c r="UH131" s="456"/>
      <c r="UI131" s="456"/>
      <c r="UJ131" s="456"/>
      <c r="UK131" s="456"/>
      <c r="UL131" s="456"/>
      <c r="UM131" s="456"/>
      <c r="UN131" s="456"/>
      <c r="UO131" s="456"/>
      <c r="UP131" s="456"/>
      <c r="UQ131" s="456"/>
      <c r="UR131" s="456"/>
      <c r="US131" s="456"/>
      <c r="UT131" s="456"/>
      <c r="UU131" s="456"/>
      <c r="UV131" s="456"/>
      <c r="UW131" s="456"/>
      <c r="UX131" s="456"/>
      <c r="UY131" s="456"/>
      <c r="UZ131" s="456"/>
      <c r="VA131" s="456"/>
      <c r="VB131" s="456"/>
      <c r="VC131" s="456"/>
      <c r="VD131" s="456"/>
      <c r="VE131" s="456"/>
      <c r="VF131" s="456"/>
      <c r="VG131" s="456"/>
      <c r="VH131" s="456"/>
      <c r="VI131" s="456"/>
      <c r="VJ131" s="456"/>
      <c r="VK131" s="456"/>
      <c r="VL131" s="456"/>
      <c r="VM131" s="456"/>
      <c r="VN131" s="456"/>
      <c r="VO131" s="456"/>
      <c r="VP131" s="456"/>
      <c r="VQ131" s="456"/>
      <c r="VR131" s="456"/>
      <c r="VS131" s="456"/>
      <c r="VT131" s="456"/>
      <c r="VU131" s="456"/>
      <c r="VV131" s="456"/>
      <c r="VW131" s="456"/>
      <c r="VX131" s="456"/>
      <c r="VY131" s="456"/>
      <c r="VZ131" s="456"/>
      <c r="WA131" s="456"/>
      <c r="WB131" s="456"/>
      <c r="WC131" s="456"/>
      <c r="WD131" s="456"/>
      <c r="WE131" s="456"/>
      <c r="WF131" s="456"/>
      <c r="WG131" s="456"/>
      <c r="WH131" s="456"/>
      <c r="WI131" s="456"/>
      <c r="WJ131" s="456"/>
      <c r="WK131" s="456"/>
      <c r="WL131" s="456"/>
      <c r="WM131" s="456"/>
      <c r="WN131" s="456"/>
      <c r="WO131" s="456"/>
      <c r="WP131" s="456"/>
      <c r="WQ131" s="456"/>
      <c r="WR131" s="456"/>
      <c r="WS131" s="456"/>
      <c r="WT131" s="456"/>
      <c r="WU131" s="456"/>
      <c r="WV131" s="456"/>
      <c r="WW131" s="456"/>
      <c r="WX131" s="456"/>
      <c r="WY131" s="456"/>
      <c r="WZ131" s="456"/>
      <c r="XA131" s="456"/>
      <c r="XB131" s="456"/>
      <c r="XC131" s="456"/>
      <c r="XD131" s="456"/>
      <c r="XE131" s="456"/>
      <c r="XF131" s="456"/>
      <c r="XG131" s="456"/>
      <c r="XH131" s="456"/>
      <c r="XI131" s="456"/>
      <c r="XJ131" s="456"/>
      <c r="XK131" s="456"/>
      <c r="XL131" s="456"/>
      <c r="XM131" s="456"/>
      <c r="XN131" s="456"/>
      <c r="XO131" s="456"/>
      <c r="XP131" s="456"/>
      <c r="XQ131" s="456"/>
      <c r="XR131" s="456"/>
      <c r="XS131" s="456"/>
      <c r="XT131" s="456"/>
      <c r="XU131" s="456"/>
      <c r="XV131" s="456"/>
      <c r="XW131" s="456"/>
      <c r="XX131" s="456"/>
      <c r="XY131" s="456"/>
      <c r="XZ131" s="456"/>
      <c r="YA131" s="456"/>
      <c r="YB131" s="456"/>
      <c r="YC131" s="456"/>
      <c r="YD131" s="456"/>
      <c r="YE131" s="456"/>
      <c r="YF131" s="456"/>
      <c r="YG131" s="456"/>
      <c r="YH131" s="456"/>
      <c r="YI131" s="456"/>
      <c r="YJ131" s="456"/>
      <c r="YK131" s="456"/>
      <c r="YL131" s="456"/>
      <c r="YM131" s="456"/>
      <c r="YN131" s="456"/>
      <c r="YO131" s="456"/>
      <c r="YP131" s="456"/>
      <c r="YQ131" s="456"/>
      <c r="YR131" s="456"/>
      <c r="YS131" s="456"/>
      <c r="YT131" s="456"/>
      <c r="YU131" s="456"/>
      <c r="YV131" s="456"/>
      <c r="YW131" s="456"/>
      <c r="YX131" s="456"/>
      <c r="YY131" s="456"/>
      <c r="YZ131" s="456"/>
      <c r="ZA131" s="456"/>
      <c r="ZB131" s="456"/>
      <c r="ZC131" s="456"/>
      <c r="ZD131" s="456"/>
      <c r="ZE131" s="456"/>
      <c r="ZF131" s="456"/>
      <c r="ZG131" s="456"/>
      <c r="ZH131" s="456"/>
      <c r="ZI131" s="456"/>
      <c r="ZJ131" s="456"/>
      <c r="ZK131" s="456"/>
      <c r="ZL131" s="456"/>
      <c r="ZM131" s="456"/>
      <c r="ZN131" s="456"/>
      <c r="ZO131" s="456"/>
      <c r="ZP131" s="456"/>
      <c r="ZQ131" s="456"/>
      <c r="ZR131" s="456"/>
      <c r="ZS131" s="456"/>
      <c r="ZT131" s="456"/>
      <c r="ZU131" s="456"/>
      <c r="ZV131" s="456"/>
      <c r="ZW131" s="456"/>
      <c r="ZX131" s="456"/>
      <c r="ZY131" s="456"/>
      <c r="ZZ131" s="456"/>
      <c r="AAA131" s="456"/>
      <c r="AAB131" s="456"/>
      <c r="AAC131" s="456"/>
      <c r="AAD131" s="456"/>
      <c r="AAE131" s="456"/>
      <c r="AAF131" s="456"/>
      <c r="AAG131" s="456"/>
      <c r="AAH131" s="456"/>
      <c r="AAI131" s="456"/>
      <c r="AAJ131" s="456"/>
      <c r="AAK131" s="456"/>
      <c r="AAL131" s="456"/>
      <c r="AAM131" s="456"/>
      <c r="AAN131" s="456"/>
      <c r="AAO131" s="456"/>
      <c r="AAP131" s="456"/>
      <c r="AAQ131" s="456"/>
      <c r="AAR131" s="456"/>
      <c r="AAS131" s="456"/>
      <c r="AAT131" s="456"/>
      <c r="AAU131" s="456"/>
      <c r="AAV131" s="456"/>
      <c r="AAW131" s="456"/>
      <c r="AAX131" s="456"/>
      <c r="AAY131" s="456"/>
      <c r="AAZ131" s="456"/>
      <c r="ABA131" s="456"/>
      <c r="ABB131" s="456"/>
      <c r="ABC131" s="456"/>
      <c r="ABD131" s="456"/>
      <c r="ABE131" s="456"/>
      <c r="ABF131" s="456"/>
      <c r="ABG131" s="456"/>
      <c r="ABH131" s="456"/>
      <c r="ABI131" s="456"/>
      <c r="ABJ131" s="456"/>
      <c r="ABK131" s="456"/>
      <c r="ABL131" s="456"/>
      <c r="ABM131" s="456"/>
      <c r="ABN131" s="456"/>
      <c r="ABO131" s="456"/>
      <c r="ABP131" s="456"/>
      <c r="ABQ131" s="456"/>
      <c r="ABR131" s="456"/>
      <c r="ABS131" s="456"/>
      <c r="ABT131" s="456"/>
      <c r="ABU131" s="456"/>
      <c r="ABV131" s="456"/>
      <c r="ABW131" s="456"/>
      <c r="ABX131" s="456"/>
      <c r="ABY131" s="456"/>
      <c r="ABZ131" s="456"/>
      <c r="ACA131" s="456"/>
      <c r="ACB131" s="456"/>
      <c r="ACC131" s="456"/>
      <c r="ACD131" s="456"/>
      <c r="ACE131" s="456"/>
      <c r="ACF131" s="456"/>
      <c r="ACG131" s="456"/>
      <c r="ACH131" s="456"/>
      <c r="ACI131" s="456"/>
      <c r="ACJ131" s="456"/>
      <c r="ACK131" s="456"/>
      <c r="ACL131" s="456"/>
      <c r="ACM131" s="456"/>
      <c r="ACN131" s="456"/>
      <c r="ACO131" s="456"/>
      <c r="ACP131" s="456"/>
      <c r="ACQ131" s="456"/>
      <c r="ACR131" s="456"/>
      <c r="ACS131" s="456"/>
      <c r="ACT131" s="456"/>
      <c r="ACU131" s="456"/>
      <c r="ACV131" s="456"/>
      <c r="ACW131" s="456"/>
      <c r="ACX131" s="456"/>
      <c r="ACY131" s="456"/>
      <c r="ACZ131" s="456"/>
      <c r="ADA131" s="456"/>
      <c r="ADB131" s="456"/>
      <c r="ADC131" s="456"/>
      <c r="ADD131" s="456"/>
      <c r="ADE131" s="456"/>
      <c r="ADF131" s="456"/>
      <c r="ADG131" s="456"/>
      <c r="ADH131" s="456"/>
      <c r="ADI131" s="456"/>
      <c r="ADJ131" s="456"/>
      <c r="ADK131" s="456"/>
      <c r="ADL131" s="456"/>
      <c r="ADM131" s="456"/>
      <c r="ADN131" s="456"/>
      <c r="ADO131" s="456"/>
      <c r="ADP131" s="456"/>
      <c r="ADQ131" s="456"/>
      <c r="ADR131" s="456"/>
      <c r="ADS131" s="456"/>
      <c r="ADT131" s="456"/>
      <c r="ADU131" s="456"/>
      <c r="ADV131" s="456"/>
      <c r="ADW131" s="456"/>
      <c r="ADX131" s="456"/>
      <c r="ADY131" s="456"/>
      <c r="ADZ131" s="456"/>
      <c r="AEA131" s="456"/>
      <c r="AEB131" s="456"/>
      <c r="AEC131" s="456"/>
      <c r="AED131" s="456"/>
      <c r="AEE131" s="456"/>
      <c r="AEF131" s="456"/>
      <c r="AEG131" s="456"/>
      <c r="AEH131" s="456"/>
      <c r="AEI131" s="456"/>
      <c r="AEJ131" s="456"/>
      <c r="AEK131" s="456"/>
      <c r="AEL131" s="456"/>
      <c r="AEM131" s="456"/>
      <c r="AEN131" s="456"/>
      <c r="AEO131" s="456"/>
      <c r="AEP131" s="456"/>
      <c r="AEQ131" s="456"/>
      <c r="AER131" s="456"/>
      <c r="AES131" s="456"/>
      <c r="AET131" s="456"/>
      <c r="AEU131" s="456"/>
      <c r="AEV131" s="456"/>
      <c r="AEW131" s="456"/>
      <c r="AEX131" s="456"/>
      <c r="AEY131" s="456"/>
      <c r="AEZ131" s="456"/>
      <c r="AFA131" s="456"/>
      <c r="AFB131" s="456"/>
      <c r="AFC131" s="456"/>
      <c r="AFD131" s="456"/>
      <c r="AFE131" s="456"/>
      <c r="AFF131" s="456"/>
      <c r="AFG131" s="456"/>
      <c r="AFH131" s="456"/>
      <c r="AFI131" s="456"/>
      <c r="AFJ131" s="456"/>
      <c r="AFK131" s="456"/>
      <c r="AFL131" s="456"/>
      <c r="AFM131" s="456"/>
      <c r="AFN131" s="456"/>
      <c r="AFO131" s="456"/>
      <c r="AFP131" s="456"/>
      <c r="AFQ131" s="456"/>
      <c r="AFR131" s="456"/>
      <c r="AFS131" s="456"/>
      <c r="AFT131" s="456"/>
      <c r="AFU131" s="456"/>
      <c r="AFV131" s="456"/>
      <c r="AFW131" s="456"/>
      <c r="AFX131" s="456"/>
      <c r="AFY131" s="456"/>
      <c r="AFZ131" s="456"/>
      <c r="AGA131" s="456"/>
      <c r="AGB131" s="456"/>
      <c r="AGC131" s="456"/>
      <c r="AGD131" s="456"/>
      <c r="AGE131" s="456"/>
      <c r="AGF131" s="456"/>
      <c r="AGG131" s="456"/>
      <c r="AGH131" s="456"/>
      <c r="AGI131" s="456"/>
      <c r="AGJ131" s="456"/>
      <c r="AGK131" s="456"/>
      <c r="AGL131" s="456"/>
      <c r="AGM131" s="456"/>
      <c r="AGN131" s="456"/>
      <c r="AGO131" s="456"/>
      <c r="AGP131" s="456"/>
      <c r="AGQ131" s="456"/>
      <c r="AGR131" s="456"/>
      <c r="AGS131" s="456"/>
      <c r="AGT131" s="456"/>
      <c r="AGU131" s="456"/>
      <c r="AGV131" s="456"/>
      <c r="AGW131" s="456"/>
      <c r="AGX131" s="456"/>
      <c r="AGY131" s="456"/>
      <c r="AGZ131" s="456"/>
      <c r="AHA131" s="456"/>
      <c r="AHB131" s="456"/>
      <c r="AHC131" s="456"/>
      <c r="AHD131" s="456"/>
      <c r="AHE131" s="456"/>
      <c r="AHF131" s="456"/>
      <c r="AHG131" s="456"/>
      <c r="AHH131" s="456"/>
      <c r="AHI131" s="456"/>
      <c r="AHJ131" s="456"/>
      <c r="AHK131" s="456"/>
      <c r="AHL131" s="456"/>
      <c r="AHM131" s="456"/>
      <c r="AHN131" s="456"/>
      <c r="AHO131" s="456"/>
      <c r="AHP131" s="456"/>
      <c r="AHQ131" s="456"/>
      <c r="AHR131" s="456"/>
      <c r="AHS131" s="456"/>
      <c r="AHT131" s="456"/>
      <c r="AHU131" s="456"/>
      <c r="AHV131" s="456"/>
      <c r="AHW131" s="456"/>
      <c r="AHX131" s="456"/>
      <c r="AHY131" s="456"/>
      <c r="AHZ131" s="456"/>
      <c r="AIA131" s="456"/>
      <c r="AIB131" s="456"/>
      <c r="AIC131" s="456"/>
      <c r="AID131" s="456"/>
      <c r="AIE131" s="456"/>
      <c r="AIF131" s="456"/>
      <c r="AIG131" s="456"/>
      <c r="AIH131" s="456"/>
      <c r="AII131" s="456"/>
      <c r="AIJ131" s="456"/>
      <c r="AIK131" s="456"/>
      <c r="AIL131" s="456"/>
      <c r="AIM131" s="456"/>
      <c r="AIN131" s="456"/>
      <c r="AIO131" s="456"/>
      <c r="AIP131" s="456"/>
      <c r="AIQ131" s="456"/>
      <c r="AIR131" s="456"/>
      <c r="AIS131" s="456"/>
      <c r="AIT131" s="456"/>
      <c r="AIU131" s="456"/>
      <c r="AIV131" s="456"/>
      <c r="AIW131" s="456"/>
      <c r="AIX131" s="456"/>
      <c r="AIY131" s="456"/>
      <c r="AIZ131" s="456"/>
      <c r="AJA131" s="456"/>
      <c r="AJB131" s="456"/>
      <c r="AJC131" s="456"/>
      <c r="AJD131" s="456"/>
      <c r="AJE131" s="456"/>
      <c r="AJF131" s="456"/>
      <c r="AJG131" s="456"/>
      <c r="AJH131" s="456"/>
      <c r="AJI131" s="456"/>
      <c r="AJJ131" s="456"/>
      <c r="AJK131" s="456"/>
      <c r="AJL131" s="456"/>
      <c r="AJM131" s="456"/>
      <c r="AJN131" s="456"/>
      <c r="AJO131" s="456"/>
      <c r="AJP131" s="456"/>
      <c r="AJQ131" s="456"/>
      <c r="AJR131" s="456"/>
      <c r="AJS131" s="456"/>
      <c r="AJT131" s="456"/>
      <c r="AJU131" s="456"/>
      <c r="AJV131" s="456"/>
      <c r="AJW131" s="456"/>
      <c r="AJX131" s="456"/>
      <c r="AJY131" s="456"/>
      <c r="AJZ131" s="456"/>
      <c r="AKA131" s="456"/>
      <c r="AKB131" s="456"/>
      <c r="AKC131" s="456"/>
      <c r="AKD131" s="456"/>
      <c r="AKE131" s="456"/>
      <c r="AKF131" s="456"/>
      <c r="AKG131" s="456"/>
      <c r="AKH131" s="456"/>
      <c r="AKI131" s="456"/>
      <c r="AKJ131" s="456"/>
      <c r="AKK131" s="456"/>
      <c r="AKL131" s="456"/>
      <c r="AKM131" s="456"/>
      <c r="AKN131" s="456"/>
      <c r="AKO131" s="456"/>
      <c r="AKP131" s="456"/>
      <c r="AKQ131" s="456"/>
      <c r="AKR131" s="456"/>
      <c r="AKS131" s="456"/>
      <c r="AKT131" s="456"/>
      <c r="AKU131" s="456"/>
      <c r="AKV131" s="456"/>
      <c r="AKW131" s="456"/>
      <c r="AKX131" s="456"/>
      <c r="AKY131" s="456"/>
      <c r="AKZ131" s="456"/>
      <c r="ALA131" s="456"/>
      <c r="ALB131" s="456"/>
      <c r="ALC131" s="456"/>
      <c r="ALD131" s="456"/>
      <c r="ALE131" s="456"/>
      <c r="ALF131" s="456"/>
      <c r="ALG131" s="456"/>
      <c r="ALH131" s="456"/>
      <c r="ALI131" s="456"/>
      <c r="ALJ131" s="456"/>
      <c r="ALK131" s="456"/>
      <c r="ALL131" s="456"/>
      <c r="ALM131" s="456"/>
      <c r="ALN131" s="456"/>
      <c r="ALO131" s="456"/>
      <c r="ALP131" s="456"/>
      <c r="ALQ131" s="456"/>
      <c r="ALR131" s="456"/>
      <c r="ALS131" s="456"/>
      <c r="ALT131" s="456"/>
      <c r="ALU131" s="456"/>
      <c r="ALV131" s="456"/>
      <c r="ALW131" s="456"/>
      <c r="ALX131" s="456"/>
      <c r="ALY131" s="456"/>
      <c r="ALZ131" s="456"/>
      <c r="AMA131" s="456"/>
      <c r="AMB131" s="456"/>
      <c r="AMC131" s="456"/>
      <c r="AMD131" s="456"/>
      <c r="AME131" s="456"/>
      <c r="AMF131" s="456"/>
      <c r="AMG131" s="456"/>
      <c r="AMH131" s="456"/>
      <c r="AMI131" s="456"/>
      <c r="AMJ131" s="456"/>
      <c r="AMK131" s="456"/>
      <c r="AML131" s="456"/>
      <c r="AMM131" s="456"/>
      <c r="AMN131" s="456"/>
      <c r="AMO131" s="456"/>
      <c r="AMP131" s="456"/>
      <c r="AMQ131" s="456"/>
      <c r="AMR131" s="456"/>
      <c r="AMS131" s="456"/>
      <c r="AMT131" s="456"/>
      <c r="AMU131" s="456"/>
      <c r="AMV131" s="456"/>
      <c r="AMW131" s="456"/>
      <c r="AMX131" s="456"/>
      <c r="AMY131" s="456"/>
      <c r="AMZ131" s="456"/>
      <c r="ANA131" s="456"/>
      <c r="ANB131" s="456"/>
      <c r="ANC131" s="456"/>
      <c r="AND131" s="456"/>
      <c r="ANE131" s="456"/>
      <c r="ANF131" s="456"/>
      <c r="ANG131" s="456"/>
      <c r="ANH131" s="456"/>
      <c r="ANI131" s="456"/>
      <c r="ANJ131" s="456"/>
      <c r="ANK131" s="456"/>
      <c r="ANL131" s="456"/>
      <c r="ANM131" s="456"/>
      <c r="ANN131" s="456"/>
      <c r="ANO131" s="456"/>
      <c r="ANP131" s="456"/>
      <c r="ANQ131" s="456"/>
      <c r="ANR131" s="456"/>
      <c r="ANS131" s="456"/>
      <c r="ANT131" s="456"/>
      <c r="ANU131" s="456"/>
      <c r="ANV131" s="456"/>
      <c r="ANW131" s="456"/>
      <c r="ANX131" s="456"/>
      <c r="ANY131" s="456"/>
      <c r="ANZ131" s="456"/>
      <c r="AOA131" s="456"/>
      <c r="AOB131" s="456"/>
      <c r="AOC131" s="456"/>
      <c r="AOD131" s="456"/>
      <c r="AOE131" s="456"/>
      <c r="AOF131" s="456"/>
      <c r="AOG131" s="456"/>
      <c r="AOH131" s="456"/>
      <c r="AOI131" s="456"/>
      <c r="AOJ131" s="456"/>
      <c r="AOK131" s="456"/>
      <c r="AOL131" s="456"/>
      <c r="AOM131" s="456"/>
      <c r="AON131" s="456"/>
      <c r="AOO131" s="456"/>
      <c r="AOP131" s="456"/>
      <c r="AOQ131" s="456"/>
      <c r="AOR131" s="456"/>
      <c r="AOS131" s="456"/>
      <c r="AOT131" s="456"/>
      <c r="AOU131" s="456"/>
      <c r="AOV131" s="456"/>
      <c r="AOW131" s="456"/>
      <c r="AOX131" s="456"/>
      <c r="AOY131" s="456"/>
      <c r="AOZ131" s="456"/>
      <c r="APA131" s="456"/>
      <c r="APB131" s="456"/>
      <c r="APC131" s="456"/>
      <c r="APD131" s="456"/>
      <c r="APE131" s="456"/>
      <c r="APF131" s="456"/>
      <c r="APG131" s="456"/>
      <c r="APH131" s="456"/>
      <c r="API131" s="456"/>
      <c r="APJ131" s="456"/>
      <c r="APK131" s="456"/>
      <c r="APL131" s="456"/>
      <c r="APM131" s="456"/>
      <c r="APN131" s="456"/>
      <c r="APO131" s="456"/>
      <c r="APP131" s="456"/>
      <c r="APQ131" s="456"/>
      <c r="APR131" s="456"/>
      <c r="APS131" s="456"/>
      <c r="APT131" s="456"/>
      <c r="APU131" s="456"/>
      <c r="APV131" s="456"/>
      <c r="APW131" s="456"/>
      <c r="APX131" s="456"/>
      <c r="APY131" s="456"/>
      <c r="APZ131" s="456"/>
      <c r="AQA131" s="456"/>
      <c r="AQB131" s="456"/>
      <c r="AQC131" s="456"/>
      <c r="AQD131" s="456"/>
      <c r="AQE131" s="456"/>
      <c r="AQF131" s="456"/>
      <c r="AQG131" s="456"/>
      <c r="AQH131" s="456"/>
      <c r="AQI131" s="456"/>
      <c r="AQJ131" s="456"/>
      <c r="AQK131" s="456"/>
      <c r="AQL131" s="456"/>
      <c r="AQM131" s="456"/>
      <c r="AQN131" s="456"/>
      <c r="AQO131" s="456"/>
      <c r="AQP131" s="456"/>
      <c r="AQQ131" s="456"/>
      <c r="AQR131" s="456"/>
      <c r="AQS131" s="456"/>
      <c r="AQT131" s="456"/>
      <c r="AQU131" s="456"/>
      <c r="AQV131" s="456"/>
      <c r="AQW131" s="456"/>
      <c r="AQX131" s="456"/>
      <c r="AQY131" s="456"/>
      <c r="AQZ131" s="456"/>
      <c r="ARA131" s="456"/>
      <c r="ARB131" s="456"/>
      <c r="ARC131" s="456"/>
      <c r="ARD131" s="456"/>
      <c r="ARE131" s="456"/>
      <c r="ARF131" s="456"/>
      <c r="ARG131" s="456"/>
      <c r="ARH131" s="456"/>
      <c r="ARI131" s="456"/>
      <c r="ARJ131" s="456"/>
      <c r="ARK131" s="456"/>
      <c r="ARL131" s="456"/>
      <c r="ARM131" s="456"/>
      <c r="ARN131" s="456"/>
      <c r="ARO131" s="456"/>
      <c r="ARP131" s="456"/>
      <c r="ARQ131" s="456"/>
      <c r="ARR131" s="456"/>
      <c r="ARS131" s="456"/>
      <c r="ART131" s="456"/>
      <c r="ARU131" s="456"/>
      <c r="ARV131" s="456"/>
      <c r="ARW131" s="456"/>
      <c r="ARX131" s="456"/>
      <c r="ARY131" s="456"/>
      <c r="ARZ131" s="456"/>
      <c r="ASA131" s="456"/>
      <c r="ASB131" s="456"/>
      <c r="ASC131" s="456"/>
      <c r="ASD131" s="456"/>
      <c r="ASE131" s="456"/>
      <c r="ASF131" s="456"/>
      <c r="ASG131" s="456"/>
      <c r="ASH131" s="456"/>
      <c r="ASI131" s="456"/>
      <c r="ASJ131" s="456"/>
      <c r="ASK131" s="456"/>
      <c r="ASL131" s="456"/>
      <c r="ASM131" s="456"/>
      <c r="ASN131" s="456"/>
      <c r="ASO131" s="456"/>
      <c r="ASP131" s="456"/>
      <c r="ASQ131" s="456"/>
      <c r="ASR131" s="456"/>
      <c r="ASS131" s="456"/>
      <c r="AST131" s="456"/>
      <c r="ASU131" s="456"/>
      <c r="ASV131" s="456"/>
      <c r="ASW131" s="456"/>
      <c r="ASX131" s="456"/>
      <c r="ASY131" s="456"/>
      <c r="ASZ131" s="456"/>
      <c r="ATA131" s="456"/>
      <c r="ATB131" s="456"/>
      <c r="ATC131" s="456"/>
      <c r="ATD131" s="456"/>
      <c r="ATE131" s="456"/>
      <c r="ATF131" s="456"/>
      <c r="ATG131" s="456"/>
      <c r="ATH131" s="456"/>
      <c r="ATI131" s="456"/>
      <c r="ATJ131" s="456"/>
      <c r="ATK131" s="456"/>
      <c r="ATL131" s="456"/>
      <c r="ATM131" s="456"/>
      <c r="ATN131" s="456"/>
      <c r="ATO131" s="456"/>
      <c r="ATP131" s="456"/>
      <c r="ATQ131" s="456"/>
      <c r="ATR131" s="456"/>
      <c r="ATS131" s="456"/>
      <c r="ATT131" s="456"/>
      <c r="ATU131" s="456"/>
      <c r="ATV131" s="456"/>
      <c r="ATW131" s="456"/>
      <c r="ATX131" s="456"/>
      <c r="ATY131" s="456"/>
      <c r="ATZ131" s="456"/>
      <c r="AUA131" s="456"/>
      <c r="AUB131" s="456"/>
      <c r="AUC131" s="456"/>
      <c r="AUD131" s="456"/>
      <c r="AUE131" s="456"/>
      <c r="AUF131" s="456"/>
      <c r="AUG131" s="456"/>
      <c r="AUH131" s="456"/>
      <c r="AUI131" s="456"/>
      <c r="AUJ131" s="456"/>
      <c r="AUK131" s="456"/>
      <c r="AUL131" s="456"/>
      <c r="AUM131" s="456"/>
      <c r="AUN131" s="456"/>
      <c r="AUO131" s="456"/>
      <c r="AUP131" s="456"/>
      <c r="AUQ131" s="456"/>
      <c r="AUR131" s="456"/>
      <c r="AUS131" s="456"/>
      <c r="AUT131" s="456"/>
      <c r="AUU131" s="456"/>
      <c r="AUV131" s="456"/>
      <c r="AUW131" s="456"/>
      <c r="AUX131" s="456"/>
      <c r="AUY131" s="456"/>
      <c r="AUZ131" s="456"/>
      <c r="AVA131" s="456"/>
      <c r="AVB131" s="456"/>
      <c r="AVC131" s="456"/>
      <c r="AVD131" s="456"/>
      <c r="AVE131" s="456"/>
      <c r="AVF131" s="456"/>
      <c r="AVG131" s="456"/>
      <c r="AVH131" s="456"/>
      <c r="AVI131" s="456"/>
      <c r="AVJ131" s="456"/>
      <c r="AVK131" s="456"/>
      <c r="AVL131" s="456"/>
      <c r="AVM131" s="456"/>
      <c r="AVN131" s="456"/>
      <c r="AVO131" s="456"/>
      <c r="AVP131" s="456"/>
      <c r="AVQ131" s="456"/>
      <c r="AVR131" s="456"/>
      <c r="AVS131" s="456"/>
      <c r="AVT131" s="456"/>
      <c r="AVU131" s="456"/>
      <c r="AVV131" s="456"/>
      <c r="AVW131" s="456"/>
      <c r="AVX131" s="456"/>
      <c r="AVY131" s="456"/>
      <c r="AVZ131" s="456"/>
      <c r="AWA131" s="456"/>
      <c r="AWB131" s="456"/>
      <c r="AWC131" s="456"/>
      <c r="AWD131" s="456"/>
      <c r="AWE131" s="456"/>
      <c r="AWF131" s="456"/>
      <c r="AWG131" s="456"/>
      <c r="AWH131" s="456"/>
      <c r="AWI131" s="456"/>
      <c r="AWJ131" s="456"/>
      <c r="AWK131" s="456"/>
      <c r="AWL131" s="456"/>
      <c r="AWM131" s="456"/>
      <c r="AWN131" s="456"/>
      <c r="AWO131" s="456"/>
      <c r="AWP131" s="456"/>
      <c r="AWQ131" s="456"/>
      <c r="AWR131" s="456"/>
      <c r="AWS131" s="456"/>
      <c r="AWT131" s="456"/>
      <c r="AWU131" s="456"/>
      <c r="AWV131" s="456"/>
      <c r="AWW131" s="456"/>
      <c r="AWX131" s="456"/>
      <c r="AWY131" s="456"/>
      <c r="AWZ131" s="456"/>
      <c r="AXA131" s="456"/>
      <c r="AXB131" s="456"/>
      <c r="AXC131" s="456"/>
      <c r="AXD131" s="456"/>
      <c r="AXE131" s="456"/>
      <c r="AXF131" s="456"/>
      <c r="AXG131" s="456"/>
      <c r="AXH131" s="456"/>
      <c r="AXI131" s="456"/>
      <c r="AXJ131" s="456"/>
      <c r="AXK131" s="456"/>
      <c r="AXL131" s="456"/>
      <c r="AXM131" s="456"/>
      <c r="AXN131" s="456"/>
      <c r="AXO131" s="456"/>
      <c r="AXP131" s="456"/>
      <c r="AXQ131" s="456"/>
      <c r="AXR131" s="456"/>
      <c r="AXS131" s="456"/>
      <c r="AXT131" s="456"/>
      <c r="AXU131" s="456"/>
      <c r="AXV131" s="456"/>
      <c r="AXW131" s="456"/>
      <c r="AXX131" s="456"/>
      <c r="AXY131" s="456"/>
      <c r="AXZ131" s="456"/>
      <c r="AYA131" s="456"/>
      <c r="AYB131" s="456"/>
      <c r="AYC131" s="456"/>
      <c r="AYD131" s="456"/>
      <c r="AYE131" s="456"/>
      <c r="AYF131" s="456"/>
      <c r="AYG131" s="456"/>
      <c r="AYH131" s="456"/>
      <c r="AYI131" s="456"/>
      <c r="AYJ131" s="456"/>
      <c r="AYK131" s="456"/>
      <c r="AYL131" s="456"/>
      <c r="AYM131" s="456"/>
      <c r="AYN131" s="456"/>
      <c r="AYO131" s="456"/>
      <c r="AYP131" s="456"/>
      <c r="AYQ131" s="456"/>
      <c r="AYR131" s="456"/>
      <c r="AYS131" s="456"/>
      <c r="AYT131" s="456"/>
      <c r="AYU131" s="456"/>
      <c r="AYV131" s="456"/>
      <c r="AYW131" s="456"/>
      <c r="AYX131" s="456"/>
      <c r="AYY131" s="456"/>
      <c r="AYZ131" s="456"/>
      <c r="AZA131" s="456"/>
      <c r="AZB131" s="456"/>
      <c r="AZC131" s="456"/>
      <c r="AZD131" s="456"/>
      <c r="AZE131" s="456"/>
      <c r="AZF131" s="456"/>
      <c r="AZG131" s="456"/>
      <c r="AZH131" s="456"/>
      <c r="AZI131" s="456"/>
      <c r="AZJ131" s="456"/>
      <c r="AZK131" s="456"/>
      <c r="AZL131" s="456"/>
      <c r="AZM131" s="456"/>
      <c r="AZN131" s="456"/>
      <c r="AZO131" s="456"/>
      <c r="AZP131" s="456"/>
      <c r="AZQ131" s="456"/>
      <c r="AZR131" s="456"/>
      <c r="AZS131" s="456"/>
      <c r="AZT131" s="456"/>
      <c r="AZU131" s="456"/>
      <c r="AZV131" s="456"/>
      <c r="AZW131" s="456"/>
      <c r="AZX131" s="456"/>
      <c r="AZY131" s="456"/>
      <c r="AZZ131" s="456"/>
      <c r="BAA131" s="456"/>
      <c r="BAB131" s="456"/>
      <c r="BAC131" s="456"/>
      <c r="BAD131" s="456"/>
      <c r="BAE131" s="456"/>
      <c r="BAF131" s="456"/>
      <c r="BAG131" s="456"/>
      <c r="BAH131" s="456"/>
      <c r="BAI131" s="456"/>
      <c r="BAJ131" s="456"/>
      <c r="BAK131" s="456"/>
      <c r="BAL131" s="456"/>
      <c r="BAM131" s="456"/>
      <c r="BAN131" s="456"/>
      <c r="BAO131" s="456"/>
      <c r="BAP131" s="456"/>
      <c r="BAQ131" s="456"/>
      <c r="BAR131" s="456"/>
      <c r="BAS131" s="456"/>
      <c r="BAT131" s="456"/>
      <c r="BAU131" s="456"/>
      <c r="BAV131" s="456"/>
      <c r="BAW131" s="456"/>
      <c r="BAX131" s="456"/>
      <c r="BAY131" s="456"/>
      <c r="BAZ131" s="456"/>
      <c r="BBA131" s="456"/>
      <c r="BBB131" s="456"/>
      <c r="BBC131" s="456"/>
      <c r="BBD131" s="456"/>
      <c r="BBE131" s="456"/>
      <c r="BBF131" s="456"/>
      <c r="BBG131" s="456"/>
      <c r="BBH131" s="456"/>
      <c r="BBI131" s="456"/>
      <c r="BBJ131" s="456"/>
      <c r="BBK131" s="456"/>
      <c r="BBL131" s="456"/>
      <c r="BBM131" s="456"/>
      <c r="BBN131" s="456"/>
      <c r="BBO131" s="456"/>
      <c r="BBP131" s="456"/>
      <c r="BBQ131" s="456"/>
      <c r="BBR131" s="456"/>
      <c r="BBS131" s="456"/>
      <c r="BBT131" s="456"/>
      <c r="BBU131" s="456"/>
      <c r="BBV131" s="456"/>
      <c r="BBW131" s="456"/>
      <c r="BBX131" s="456"/>
      <c r="BBY131" s="456"/>
      <c r="BBZ131" s="456"/>
      <c r="BCA131" s="456"/>
      <c r="BCB131" s="456"/>
      <c r="BCC131" s="456"/>
      <c r="BCD131" s="456"/>
      <c r="BCE131" s="456"/>
      <c r="BCF131" s="456"/>
      <c r="BCG131" s="456"/>
      <c r="BCH131" s="456"/>
      <c r="BCI131" s="456"/>
      <c r="BCJ131" s="456"/>
      <c r="BCK131" s="456"/>
      <c r="BCL131" s="456"/>
      <c r="BCM131" s="456"/>
      <c r="BCN131" s="456"/>
      <c r="BCO131" s="456"/>
      <c r="BCP131" s="456"/>
      <c r="BCQ131" s="456"/>
      <c r="BCR131" s="456"/>
      <c r="BCS131" s="456"/>
      <c r="BCT131" s="456"/>
      <c r="BCU131" s="456"/>
      <c r="BCV131" s="456"/>
      <c r="BCW131" s="456"/>
      <c r="BCX131" s="456"/>
      <c r="BCY131" s="456"/>
      <c r="BCZ131" s="456"/>
      <c r="BDA131" s="456"/>
      <c r="BDB131" s="456"/>
      <c r="BDC131" s="456"/>
      <c r="BDD131" s="456"/>
      <c r="BDE131" s="456"/>
      <c r="BDF131" s="456"/>
      <c r="BDG131" s="456"/>
      <c r="BDH131" s="456"/>
      <c r="BDI131" s="456"/>
      <c r="BDJ131" s="456"/>
      <c r="BDK131" s="456"/>
      <c r="BDL131" s="456"/>
      <c r="BDM131" s="456"/>
      <c r="BDN131" s="456"/>
      <c r="BDO131" s="456"/>
      <c r="BDP131" s="456"/>
      <c r="BDQ131" s="456"/>
      <c r="BDR131" s="456"/>
      <c r="BDS131" s="456"/>
      <c r="BDT131" s="456"/>
      <c r="BDU131" s="456"/>
      <c r="BDV131" s="456"/>
      <c r="BDW131" s="456"/>
      <c r="BDX131" s="456"/>
      <c r="BDY131" s="456"/>
      <c r="BDZ131" s="456"/>
      <c r="BEA131" s="456"/>
      <c r="BEB131" s="456"/>
      <c r="BEC131" s="456"/>
      <c r="BED131" s="456"/>
      <c r="BEE131" s="456"/>
      <c r="BEF131" s="456"/>
      <c r="BEG131" s="456"/>
      <c r="BEH131" s="456"/>
      <c r="BEI131" s="456"/>
      <c r="BEJ131" s="456"/>
      <c r="BEK131" s="456"/>
      <c r="BEL131" s="456"/>
      <c r="BEM131" s="456"/>
      <c r="BEN131" s="456"/>
      <c r="BEO131" s="456"/>
      <c r="BEP131" s="456"/>
      <c r="BEQ131" s="456"/>
      <c r="BER131" s="456"/>
      <c r="BES131" s="456"/>
      <c r="BET131" s="456"/>
      <c r="BEU131" s="456"/>
      <c r="BEV131" s="456"/>
      <c r="BEW131" s="456"/>
      <c r="BEX131" s="456"/>
      <c r="BEY131" s="456"/>
      <c r="BEZ131" s="456"/>
      <c r="BFA131" s="456"/>
      <c r="BFB131" s="456"/>
      <c r="BFC131" s="456"/>
      <c r="BFD131" s="456"/>
      <c r="BFE131" s="456"/>
      <c r="BFF131" s="456"/>
      <c r="BFG131" s="456"/>
      <c r="BFH131" s="456"/>
      <c r="BFI131" s="456"/>
      <c r="BFJ131" s="456"/>
      <c r="BFK131" s="456"/>
      <c r="BFL131" s="456"/>
      <c r="BFM131" s="456"/>
      <c r="BFN131" s="456"/>
      <c r="BFO131" s="456"/>
      <c r="BFP131" s="456"/>
      <c r="BFQ131" s="456"/>
      <c r="BFR131" s="456"/>
      <c r="BFS131" s="456"/>
      <c r="BFT131" s="456"/>
      <c r="BFU131" s="456"/>
      <c r="BFV131" s="456"/>
      <c r="BFW131" s="456"/>
      <c r="BFX131" s="456"/>
      <c r="BFY131" s="456"/>
      <c r="BFZ131" s="456"/>
      <c r="BGA131" s="456"/>
      <c r="BGB131" s="456"/>
      <c r="BGC131" s="456"/>
      <c r="BGD131" s="456"/>
      <c r="BGE131" s="456"/>
      <c r="BGF131" s="456"/>
      <c r="BGG131" s="456"/>
      <c r="BGH131" s="456"/>
      <c r="BGI131" s="456"/>
      <c r="BGJ131" s="456"/>
      <c r="BGK131" s="456"/>
      <c r="BGL131" s="456"/>
      <c r="BGM131" s="456"/>
      <c r="BGN131" s="456"/>
      <c r="BGO131" s="456"/>
      <c r="BGP131" s="456"/>
      <c r="BGQ131" s="456"/>
      <c r="BGR131" s="456"/>
      <c r="BGS131" s="456"/>
      <c r="BGT131" s="456"/>
      <c r="BGU131" s="456"/>
      <c r="BGV131" s="456"/>
      <c r="BGW131" s="456"/>
      <c r="BGX131" s="456"/>
      <c r="BGY131" s="456"/>
      <c r="BGZ131" s="456"/>
      <c r="BHA131" s="456"/>
      <c r="BHB131" s="456"/>
      <c r="BHC131" s="456"/>
      <c r="BHD131" s="456"/>
      <c r="BHE131" s="456"/>
      <c r="BHF131" s="456"/>
      <c r="BHG131" s="456"/>
      <c r="BHH131" s="456"/>
      <c r="BHI131" s="456"/>
      <c r="BHJ131" s="456"/>
      <c r="BHK131" s="456"/>
      <c r="BHL131" s="456"/>
      <c r="BHM131" s="456"/>
      <c r="BHN131" s="456"/>
      <c r="BHO131" s="456"/>
      <c r="BHP131" s="456"/>
      <c r="BHQ131" s="456"/>
      <c r="BHR131" s="456"/>
      <c r="BHS131" s="456"/>
      <c r="BHT131" s="456"/>
      <c r="BHU131" s="456"/>
      <c r="BHV131" s="456"/>
      <c r="BHW131" s="456"/>
      <c r="BHX131" s="456"/>
      <c r="BHY131" s="456"/>
      <c r="BHZ131" s="456"/>
      <c r="BIA131" s="456"/>
      <c r="BIB131" s="456"/>
      <c r="BIC131" s="456"/>
      <c r="BID131" s="456"/>
      <c r="BIE131" s="456"/>
      <c r="BIF131" s="456"/>
      <c r="BIG131" s="456"/>
      <c r="BIH131" s="456"/>
      <c r="BII131" s="456"/>
      <c r="BIJ131" s="456"/>
      <c r="BIK131" s="456"/>
      <c r="BIL131" s="456"/>
      <c r="BIM131" s="456"/>
      <c r="BIN131" s="456"/>
      <c r="BIO131" s="456"/>
      <c r="BIP131" s="456"/>
      <c r="BIQ131" s="456"/>
      <c r="BIR131" s="456"/>
      <c r="BIS131" s="456"/>
      <c r="BIT131" s="456"/>
      <c r="BIU131" s="456"/>
      <c r="BIV131" s="456"/>
      <c r="BIW131" s="456"/>
      <c r="BIX131" s="456"/>
      <c r="BIY131" s="456"/>
      <c r="BIZ131" s="456"/>
      <c r="BJA131" s="456"/>
      <c r="BJB131" s="456"/>
      <c r="BJC131" s="456"/>
      <c r="BJD131" s="456"/>
      <c r="BJE131" s="456"/>
      <c r="BJF131" s="456"/>
      <c r="BJG131" s="456"/>
      <c r="BJH131" s="456"/>
      <c r="BJI131" s="456"/>
      <c r="BJJ131" s="456"/>
      <c r="BJK131" s="456"/>
      <c r="BJL131" s="456"/>
      <c r="BJM131" s="456"/>
      <c r="BJN131" s="456"/>
      <c r="BJO131" s="456"/>
      <c r="BJP131" s="456"/>
      <c r="BJQ131" s="456"/>
      <c r="BJR131" s="456"/>
      <c r="BJS131" s="456"/>
      <c r="BJT131" s="456"/>
      <c r="BJU131" s="456"/>
      <c r="BJV131" s="456"/>
      <c r="BJW131" s="456"/>
      <c r="BJX131" s="456"/>
      <c r="BJY131" s="456"/>
      <c r="BJZ131" s="456"/>
      <c r="BKA131" s="456"/>
      <c r="BKB131" s="456"/>
      <c r="BKC131" s="456"/>
      <c r="BKD131" s="456"/>
      <c r="BKE131" s="456"/>
      <c r="BKF131" s="456"/>
      <c r="BKG131" s="456"/>
      <c r="BKH131" s="456"/>
      <c r="BKI131" s="456"/>
      <c r="BKJ131" s="456"/>
      <c r="BKK131" s="456"/>
      <c r="BKL131" s="456"/>
      <c r="BKM131" s="456"/>
      <c r="BKN131" s="456"/>
      <c r="BKO131" s="456"/>
      <c r="BKP131" s="456"/>
      <c r="BKQ131" s="456"/>
      <c r="BKR131" s="456"/>
      <c r="BKS131" s="456"/>
      <c r="BKT131" s="456"/>
      <c r="BKU131" s="456"/>
      <c r="BKV131" s="456"/>
      <c r="BKW131" s="456"/>
      <c r="BKX131" s="456"/>
      <c r="BKY131" s="456"/>
      <c r="BKZ131" s="456"/>
      <c r="BLA131" s="456"/>
      <c r="BLB131" s="456"/>
      <c r="BLC131" s="456"/>
      <c r="BLD131" s="456"/>
      <c r="BLE131" s="456"/>
      <c r="BLF131" s="456"/>
      <c r="BLG131" s="456"/>
      <c r="BLH131" s="456"/>
      <c r="BLI131" s="456"/>
      <c r="BLJ131" s="456"/>
      <c r="BLK131" s="456"/>
      <c r="BLL131" s="456"/>
      <c r="BLM131" s="456"/>
      <c r="BLN131" s="456"/>
      <c r="BLO131" s="456"/>
      <c r="BLP131" s="456"/>
      <c r="BLQ131" s="456"/>
      <c r="BLR131" s="456"/>
      <c r="BLS131" s="456"/>
      <c r="BLT131" s="456"/>
      <c r="BLU131" s="456"/>
      <c r="BLV131" s="456"/>
      <c r="BLW131" s="456"/>
      <c r="BLX131" s="456"/>
      <c r="BLY131" s="456"/>
      <c r="BLZ131" s="456"/>
      <c r="BMA131" s="456"/>
      <c r="BMB131" s="456"/>
      <c r="BMC131" s="456"/>
      <c r="BMD131" s="456"/>
      <c r="BME131" s="456"/>
      <c r="BMF131" s="456"/>
      <c r="BMG131" s="456"/>
      <c r="BMH131" s="456"/>
      <c r="BMI131" s="456"/>
      <c r="BMJ131" s="456"/>
      <c r="BMK131" s="456"/>
      <c r="BML131" s="456"/>
      <c r="BMM131" s="456"/>
      <c r="BMN131" s="456"/>
      <c r="BMO131" s="456"/>
      <c r="BMP131" s="456"/>
      <c r="BMQ131" s="456"/>
      <c r="BMR131" s="456"/>
      <c r="BMS131" s="456"/>
      <c r="BMT131" s="456"/>
      <c r="BMU131" s="456"/>
      <c r="BMV131" s="456"/>
      <c r="BMW131" s="456"/>
      <c r="BMX131" s="456"/>
      <c r="BMY131" s="456"/>
      <c r="BMZ131" s="456"/>
      <c r="BNA131" s="456"/>
      <c r="BNB131" s="456"/>
      <c r="BNC131" s="456"/>
      <c r="BND131" s="456"/>
      <c r="BNE131" s="456"/>
      <c r="BNF131" s="456"/>
      <c r="BNG131" s="456"/>
      <c r="BNH131" s="456"/>
      <c r="BNI131" s="456"/>
      <c r="BNJ131" s="456"/>
      <c r="BNK131" s="456"/>
      <c r="BNL131" s="456"/>
      <c r="BNM131" s="456"/>
      <c r="BNN131" s="456"/>
      <c r="BNO131" s="456"/>
      <c r="BNP131" s="456"/>
      <c r="BNQ131" s="456"/>
      <c r="BNR131" s="456"/>
      <c r="BNS131" s="456"/>
      <c r="BNT131" s="456"/>
      <c r="BNU131" s="456"/>
      <c r="BNV131" s="456"/>
      <c r="BNW131" s="456"/>
      <c r="BNX131" s="456"/>
      <c r="BNY131" s="456"/>
      <c r="BNZ131" s="456"/>
      <c r="BOA131" s="456"/>
      <c r="BOB131" s="456"/>
      <c r="BOC131" s="456"/>
      <c r="BOD131" s="456"/>
      <c r="BOE131" s="456"/>
      <c r="BOF131" s="456"/>
      <c r="BOG131" s="456"/>
      <c r="BOH131" s="456"/>
      <c r="BOI131" s="456"/>
      <c r="BOJ131" s="456"/>
      <c r="BOK131" s="456"/>
      <c r="BOL131" s="456"/>
      <c r="BOM131" s="456"/>
      <c r="BON131" s="456"/>
      <c r="BOO131" s="456"/>
      <c r="BOP131" s="456"/>
      <c r="BOQ131" s="456"/>
      <c r="BOR131" s="456"/>
      <c r="BOS131" s="456"/>
      <c r="BOT131" s="456"/>
      <c r="BOU131" s="456"/>
      <c r="BOV131" s="456"/>
      <c r="BOW131" s="456"/>
      <c r="BOX131" s="456"/>
      <c r="BOY131" s="456"/>
      <c r="BOZ131" s="456"/>
      <c r="BPA131" s="456"/>
      <c r="BPB131" s="456"/>
      <c r="BPC131" s="456"/>
      <c r="BPD131" s="456"/>
      <c r="BPE131" s="456"/>
      <c r="BPF131" s="456"/>
      <c r="BPG131" s="456"/>
      <c r="BPH131" s="456"/>
      <c r="BPI131" s="456"/>
      <c r="BPJ131" s="456"/>
      <c r="BPK131" s="456"/>
      <c r="BPL131" s="456"/>
      <c r="BPM131" s="456"/>
      <c r="BPN131" s="456"/>
      <c r="BPO131" s="456"/>
      <c r="BPP131" s="456"/>
      <c r="BPQ131" s="456"/>
      <c r="BPR131" s="456"/>
      <c r="BPS131" s="456"/>
      <c r="BPT131" s="456"/>
      <c r="BPU131" s="456"/>
      <c r="BPV131" s="456"/>
      <c r="BPW131" s="456"/>
      <c r="BPX131" s="456"/>
      <c r="BPY131" s="456"/>
      <c r="BPZ131" s="456"/>
      <c r="BQA131" s="456"/>
      <c r="BQB131" s="456"/>
      <c r="BQC131" s="456"/>
      <c r="BQD131" s="456"/>
      <c r="BQE131" s="456"/>
      <c r="BQF131" s="456"/>
      <c r="BQG131" s="456"/>
      <c r="BQH131" s="456"/>
      <c r="BQI131" s="456"/>
      <c r="BQJ131" s="456"/>
      <c r="BQK131" s="456"/>
      <c r="BQL131" s="456"/>
      <c r="BQM131" s="456"/>
      <c r="BQN131" s="456"/>
      <c r="BQO131" s="456"/>
      <c r="BQP131" s="456"/>
      <c r="BQQ131" s="456"/>
      <c r="BQR131" s="456"/>
      <c r="BQS131" s="456"/>
      <c r="BQT131" s="456"/>
      <c r="BQU131" s="456"/>
      <c r="BQV131" s="456"/>
      <c r="BQW131" s="456"/>
      <c r="BQX131" s="456"/>
      <c r="BQY131" s="456"/>
      <c r="BQZ131" s="456"/>
      <c r="BRA131" s="456"/>
      <c r="BRB131" s="456"/>
      <c r="BRC131" s="456"/>
      <c r="BRD131" s="456"/>
      <c r="BRE131" s="456"/>
      <c r="BRF131" s="456"/>
      <c r="BRG131" s="456"/>
      <c r="BRH131" s="456"/>
      <c r="BRI131" s="456"/>
      <c r="BRJ131" s="456"/>
      <c r="BRK131" s="456"/>
      <c r="BRL131" s="456"/>
      <c r="BRM131" s="456"/>
      <c r="BRN131" s="456"/>
      <c r="BRO131" s="456"/>
      <c r="BRP131" s="456"/>
      <c r="BRQ131" s="456"/>
      <c r="BRR131" s="456"/>
      <c r="BRS131" s="456"/>
      <c r="BRT131" s="456"/>
      <c r="BRU131" s="456"/>
      <c r="BRV131" s="456"/>
      <c r="BRW131" s="456"/>
      <c r="BRX131" s="456"/>
      <c r="BRY131" s="456"/>
      <c r="BRZ131" s="456"/>
      <c r="BSA131" s="456"/>
      <c r="BSB131" s="456"/>
      <c r="BSC131" s="456"/>
      <c r="BSD131" s="456"/>
      <c r="BSE131" s="456"/>
      <c r="BSF131" s="456"/>
      <c r="BSG131" s="456"/>
      <c r="BSH131" s="456"/>
      <c r="BSI131" s="456"/>
      <c r="BSJ131" s="456"/>
      <c r="BSK131" s="456"/>
      <c r="BSL131" s="456"/>
      <c r="BSM131" s="456"/>
      <c r="BSN131" s="456"/>
      <c r="BSO131" s="456"/>
      <c r="BSP131" s="456"/>
      <c r="BSQ131" s="456"/>
      <c r="BSR131" s="456"/>
      <c r="BSS131" s="456"/>
      <c r="BST131" s="456"/>
      <c r="BSU131" s="456"/>
      <c r="BSV131" s="456"/>
      <c r="BSW131" s="456"/>
      <c r="BSX131" s="456"/>
      <c r="BSY131" s="456"/>
      <c r="BSZ131" s="456"/>
      <c r="BTA131" s="456"/>
      <c r="BTB131" s="456"/>
      <c r="BTC131" s="456"/>
      <c r="BTD131" s="456"/>
      <c r="BTE131" s="456"/>
      <c r="BTF131" s="456"/>
      <c r="BTG131" s="456"/>
      <c r="BTH131" s="456"/>
      <c r="BTI131" s="456"/>
      <c r="BTJ131" s="456"/>
      <c r="BTK131" s="456"/>
      <c r="BTL131" s="456"/>
      <c r="BTM131" s="456"/>
      <c r="BTN131" s="456"/>
      <c r="BTO131" s="456"/>
      <c r="BTP131" s="456"/>
      <c r="BTQ131" s="456"/>
      <c r="BTR131" s="456"/>
      <c r="BTS131" s="456"/>
      <c r="BTT131" s="456"/>
      <c r="BTU131" s="456"/>
      <c r="BTV131" s="456"/>
      <c r="BTW131" s="456"/>
      <c r="BTX131" s="456"/>
      <c r="BTY131" s="456"/>
      <c r="BTZ131" s="456"/>
      <c r="BUA131" s="456"/>
      <c r="BUB131" s="456"/>
      <c r="BUC131" s="456"/>
      <c r="BUD131" s="456"/>
      <c r="BUE131" s="456"/>
      <c r="BUF131" s="456"/>
      <c r="BUG131" s="456"/>
      <c r="BUH131" s="456"/>
      <c r="BUI131" s="456"/>
      <c r="BUJ131" s="456"/>
      <c r="BUK131" s="456"/>
      <c r="BUL131" s="456"/>
      <c r="BUM131" s="456"/>
      <c r="BUN131" s="456"/>
      <c r="BUO131" s="456"/>
      <c r="BUP131" s="456"/>
      <c r="BUQ131" s="456"/>
      <c r="BUR131" s="456"/>
      <c r="BUS131" s="456"/>
      <c r="BUT131" s="456"/>
      <c r="BUU131" s="456"/>
      <c r="BUV131" s="456"/>
      <c r="BUW131" s="456"/>
      <c r="BUX131" s="456"/>
      <c r="BUY131" s="456"/>
      <c r="BUZ131" s="456"/>
      <c r="BVA131" s="456"/>
      <c r="BVB131" s="456"/>
      <c r="BVC131" s="456"/>
      <c r="BVD131" s="456"/>
      <c r="BVE131" s="456"/>
      <c r="BVF131" s="456"/>
      <c r="BVG131" s="456"/>
      <c r="BVH131" s="456"/>
      <c r="BVI131" s="456"/>
      <c r="BVJ131" s="456"/>
      <c r="BVK131" s="456"/>
      <c r="BVL131" s="456"/>
      <c r="BVM131" s="456"/>
      <c r="BVN131" s="456"/>
      <c r="BVO131" s="456"/>
      <c r="BVP131" s="456"/>
      <c r="BVQ131" s="456"/>
      <c r="BVR131" s="456"/>
      <c r="BVS131" s="456"/>
      <c r="BVT131" s="456"/>
      <c r="BVU131" s="456"/>
      <c r="BVV131" s="456"/>
      <c r="BVW131" s="456"/>
      <c r="BVX131" s="456"/>
      <c r="BVY131" s="456"/>
      <c r="BVZ131" s="456"/>
      <c r="BWA131" s="456"/>
      <c r="BWB131" s="456"/>
      <c r="BWC131" s="456"/>
      <c r="BWD131" s="456"/>
      <c r="BWE131" s="456"/>
      <c r="BWF131" s="456"/>
      <c r="BWG131" s="456"/>
      <c r="BWH131" s="456"/>
      <c r="BWI131" s="456"/>
      <c r="BWJ131" s="456"/>
      <c r="BWK131" s="456"/>
      <c r="BWL131" s="456"/>
      <c r="BWM131" s="456"/>
      <c r="BWN131" s="456"/>
      <c r="BWO131" s="456"/>
      <c r="BWP131" s="456"/>
      <c r="BWQ131" s="456"/>
      <c r="BWR131" s="456"/>
      <c r="BWS131" s="456"/>
      <c r="BWT131" s="456"/>
      <c r="BWU131" s="456"/>
      <c r="BWV131" s="456"/>
      <c r="BWW131" s="456"/>
      <c r="BWX131" s="456"/>
      <c r="BWY131" s="456"/>
      <c r="BWZ131" s="456"/>
      <c r="BXA131" s="456"/>
      <c r="BXB131" s="456"/>
      <c r="BXC131" s="456"/>
      <c r="BXD131" s="456"/>
      <c r="BXE131" s="456"/>
      <c r="BXF131" s="456"/>
      <c r="BXG131" s="456"/>
      <c r="BXH131" s="456"/>
      <c r="BXI131" s="456"/>
      <c r="BXJ131" s="456"/>
      <c r="BXK131" s="456"/>
      <c r="BXL131" s="456"/>
      <c r="BXM131" s="456"/>
      <c r="BXN131" s="456"/>
      <c r="BXO131" s="456"/>
      <c r="BXP131" s="456"/>
      <c r="BXQ131" s="456"/>
      <c r="BXR131" s="456"/>
      <c r="BXS131" s="456"/>
      <c r="BXT131" s="456"/>
      <c r="BXU131" s="456"/>
      <c r="BXV131" s="456"/>
      <c r="BXW131" s="456"/>
      <c r="BXX131" s="456"/>
      <c r="BXY131" s="456"/>
      <c r="BXZ131" s="456"/>
    </row>
    <row r="132" s="25" customFormat="1" ht="15.6" spans="1:1024 1025:2002">
      <c r="A132" s="473"/>
      <c r="B132" s="19">
        <v>1125</v>
      </c>
      <c r="C132" s="183">
        <v>46196</v>
      </c>
      <c r="D132" s="17" t="s">
        <v>52</v>
      </c>
      <c r="E132" s="17" t="s">
        <v>53</v>
      </c>
      <c r="F132" s="17" t="s">
        <v>54</v>
      </c>
      <c r="G132" s="17"/>
      <c r="H132" s="19" t="s">
        <v>55</v>
      </c>
      <c r="I132" s="102" t="s">
        <v>56</v>
      </c>
      <c r="J132" s="17" t="s">
        <v>49</v>
      </c>
      <c r="K132" s="91">
        <v>610</v>
      </c>
      <c r="L132" s="19">
        <v>250</v>
      </c>
      <c r="M132" s="19">
        <v>5800</v>
      </c>
      <c r="N132" s="19" t="s">
        <v>40</v>
      </c>
      <c r="O132" s="19" t="s">
        <v>84</v>
      </c>
      <c r="P132" s="19">
        <f>4550*2</f>
        <v>9100</v>
      </c>
      <c r="Q132" s="19">
        <f>4580+4742</f>
        <v>9322</v>
      </c>
      <c r="R132" s="19">
        <f t="shared" si="9"/>
        <v>-222</v>
      </c>
      <c r="S132" s="311">
        <v>2040</v>
      </c>
      <c r="T132" s="19" t="s">
        <v>42</v>
      </c>
      <c r="U132" s="102" t="s">
        <v>101</v>
      </c>
      <c r="V132" s="186">
        <v>46197</v>
      </c>
      <c r="W132" s="17" t="s">
        <v>58</v>
      </c>
      <c r="X132" s="17"/>
      <c r="Y132" s="68">
        <v>46204</v>
      </c>
      <c r="Z132" s="17" t="s">
        <v>45</v>
      </c>
      <c r="AA132" s="17" t="s">
        <v>59</v>
      </c>
      <c r="AB132" s="17" t="s">
        <v>60</v>
      </c>
      <c r="AC132" s="217">
        <v>46281</v>
      </c>
      <c r="AD132" s="65">
        <v>1862</v>
      </c>
      <c r="AE132" s="17" t="s">
        <v>48</v>
      </c>
      <c r="AF132" s="17" t="s">
        <v>61</v>
      </c>
      <c r="AG132" s="17" t="s">
        <v>103</v>
      </c>
      <c r="AH132" s="456"/>
      <c r="AI132" s="456"/>
      <c r="AJ132" s="456"/>
      <c r="AK132" s="456"/>
      <c r="AL132" s="456"/>
      <c r="AM132" s="456"/>
      <c r="AN132" s="456"/>
      <c r="AO132" s="456"/>
      <c r="AP132" s="456"/>
      <c r="AQ132" s="456"/>
      <c r="AR132" s="456"/>
      <c r="AS132" s="456"/>
      <c r="AT132" s="456"/>
      <c r="AU132" s="456"/>
      <c r="AV132" s="456"/>
      <c r="AW132" s="456"/>
      <c r="AX132" s="456"/>
      <c r="AY132" s="456"/>
      <c r="AZ132" s="456"/>
      <c r="BA132" s="456"/>
      <c r="BB132" s="456"/>
      <c r="BC132" s="456"/>
      <c r="BD132" s="456"/>
      <c r="BE132" s="456"/>
      <c r="BF132" s="456"/>
      <c r="BG132" s="456"/>
      <c r="BH132" s="456"/>
      <c r="BI132" s="456"/>
      <c r="BJ132" s="456"/>
      <c r="BK132" s="456"/>
      <c r="BL132" s="456"/>
      <c r="BM132" s="456"/>
      <c r="BN132" s="456"/>
      <c r="BO132" s="456"/>
      <c r="BP132" s="456"/>
      <c r="BQ132" s="456"/>
      <c r="BR132" s="456"/>
      <c r="BS132" s="456"/>
      <c r="BT132" s="456"/>
      <c r="BU132" s="456"/>
      <c r="BV132" s="456"/>
      <c r="BW132" s="456"/>
      <c r="BX132" s="456"/>
      <c r="BY132" s="456"/>
      <c r="BZ132" s="456"/>
      <c r="CA132" s="456"/>
      <c r="CB132" s="456"/>
      <c r="CC132" s="456"/>
      <c r="CD132" s="456"/>
      <c r="CE132" s="456"/>
      <c r="CF132" s="456"/>
      <c r="CG132" s="456"/>
      <c r="CH132" s="456"/>
      <c r="CI132" s="456"/>
      <c r="CJ132" s="456"/>
      <c r="CK132" s="456"/>
      <c r="CL132" s="456"/>
      <c r="CM132" s="456"/>
      <c r="CN132" s="456"/>
      <c r="CO132" s="456"/>
      <c r="CP132" s="456"/>
      <c r="CQ132" s="456"/>
      <c r="CR132" s="456"/>
      <c r="CS132" s="456"/>
      <c r="CT132" s="456"/>
      <c r="CU132" s="456"/>
      <c r="CV132" s="456"/>
      <c r="CW132" s="456"/>
      <c r="CX132" s="456"/>
      <c r="CY132" s="456"/>
      <c r="CZ132" s="456"/>
      <c r="DA132" s="456"/>
      <c r="DB132" s="456"/>
      <c r="DC132" s="456"/>
      <c r="DD132" s="456"/>
      <c r="DE132" s="456"/>
      <c r="DF132" s="456"/>
      <c r="DG132" s="456"/>
      <c r="DH132" s="456"/>
      <c r="DI132" s="456"/>
      <c r="DJ132" s="456"/>
      <c r="DK132" s="456"/>
      <c r="DL132" s="456"/>
      <c r="DM132" s="456"/>
      <c r="DN132" s="456"/>
      <c r="DO132" s="456"/>
      <c r="DP132" s="456"/>
      <c r="DQ132" s="456"/>
      <c r="DR132" s="456"/>
      <c r="DS132" s="456"/>
      <c r="DT132" s="456"/>
      <c r="DU132" s="456"/>
      <c r="DV132" s="456"/>
      <c r="DW132" s="456"/>
      <c r="DX132" s="456"/>
      <c r="DY132" s="456"/>
      <c r="DZ132" s="456"/>
      <c r="EA132" s="456"/>
      <c r="EB132" s="456"/>
      <c r="EC132" s="456"/>
      <c r="ED132" s="456"/>
      <c r="EE132" s="456"/>
      <c r="EF132" s="456"/>
      <c r="EG132" s="456"/>
      <c r="EH132" s="456"/>
      <c r="EI132" s="456"/>
      <c r="EJ132" s="456"/>
      <c r="EK132" s="456"/>
      <c r="EL132" s="456"/>
      <c r="EM132" s="456"/>
      <c r="EN132" s="456"/>
      <c r="EO132" s="456"/>
      <c r="EP132" s="456"/>
      <c r="EQ132" s="456"/>
      <c r="ER132" s="456"/>
      <c r="ES132" s="456"/>
      <c r="ET132" s="456"/>
      <c r="EU132" s="456"/>
      <c r="EV132" s="456"/>
      <c r="EW132" s="456"/>
      <c r="EX132" s="456"/>
      <c r="EY132" s="456"/>
      <c r="EZ132" s="456"/>
      <c r="FA132" s="456"/>
      <c r="FB132" s="456"/>
      <c r="FC132" s="456"/>
      <c r="FD132" s="456"/>
      <c r="FE132" s="456"/>
      <c r="FF132" s="456"/>
      <c r="FG132" s="456"/>
      <c r="FH132" s="456"/>
      <c r="FI132" s="456"/>
      <c r="FJ132" s="456"/>
      <c r="FK132" s="456"/>
      <c r="FL132" s="456"/>
      <c r="FM132" s="456"/>
      <c r="FN132" s="456"/>
      <c r="FO132" s="456"/>
      <c r="FP132" s="456"/>
      <c r="FQ132" s="456"/>
      <c r="FR132" s="456"/>
      <c r="FS132" s="456"/>
      <c r="FT132" s="456"/>
      <c r="FU132" s="456"/>
      <c r="FV132" s="456"/>
      <c r="FW132" s="456"/>
      <c r="FX132" s="456"/>
      <c r="FY132" s="456"/>
      <c r="FZ132" s="456"/>
      <c r="GA132" s="456"/>
      <c r="GB132" s="456"/>
      <c r="GC132" s="456"/>
      <c r="GD132" s="456"/>
      <c r="GE132" s="456"/>
      <c r="GF132" s="456"/>
      <c r="GG132" s="456"/>
      <c r="GH132" s="456"/>
      <c r="GI132" s="456"/>
      <c r="GJ132" s="456"/>
      <c r="GK132" s="456"/>
      <c r="GL132" s="456"/>
      <c r="GM132" s="456"/>
      <c r="GN132" s="456"/>
      <c r="GO132" s="456"/>
      <c r="GP132" s="456"/>
      <c r="GQ132" s="456"/>
      <c r="GR132" s="456"/>
      <c r="GS132" s="456"/>
      <c r="GT132" s="456"/>
      <c r="GU132" s="456"/>
      <c r="GV132" s="456"/>
      <c r="GW132" s="456"/>
      <c r="GX132" s="456"/>
      <c r="GY132" s="456"/>
      <c r="GZ132" s="456"/>
      <c r="HA132" s="456"/>
      <c r="HB132" s="456"/>
      <c r="HC132" s="456"/>
      <c r="HD132" s="456"/>
      <c r="HE132" s="456"/>
      <c r="HF132" s="456"/>
      <c r="HG132" s="456"/>
      <c r="HH132" s="456"/>
      <c r="HI132" s="456"/>
      <c r="HJ132" s="456"/>
      <c r="HK132" s="456"/>
      <c r="HL132" s="456"/>
      <c r="HM132" s="456"/>
      <c r="HN132" s="456"/>
      <c r="HO132" s="456"/>
      <c r="HP132" s="456"/>
      <c r="HQ132" s="456"/>
      <c r="HR132" s="456"/>
      <c r="HS132" s="456"/>
      <c r="HT132" s="456"/>
      <c r="HU132" s="456"/>
      <c r="HV132" s="456"/>
      <c r="HW132" s="456"/>
      <c r="HX132" s="456"/>
      <c r="HY132" s="456"/>
      <c r="HZ132" s="456"/>
      <c r="IA132" s="456"/>
      <c r="IB132" s="456"/>
      <c r="IC132" s="456"/>
      <c r="ID132" s="456"/>
      <c r="IE132" s="456"/>
      <c r="IF132" s="456"/>
      <c r="IG132" s="456"/>
      <c r="IH132" s="456"/>
      <c r="II132" s="456"/>
      <c r="IJ132" s="456"/>
      <c r="IK132" s="456"/>
      <c r="IL132" s="456"/>
      <c r="IM132" s="456"/>
      <c r="IN132" s="456"/>
      <c r="IO132" s="456"/>
      <c r="IP132" s="456"/>
      <c r="IQ132" s="456"/>
      <c r="IR132" s="456"/>
      <c r="IS132" s="456"/>
      <c r="IT132" s="456"/>
      <c r="IU132" s="456"/>
      <c r="IV132" s="456"/>
      <c r="IW132" s="456"/>
      <c r="IX132" s="456"/>
      <c r="IY132" s="456"/>
      <c r="IZ132" s="456"/>
      <c r="JA132" s="456"/>
      <c r="JB132" s="456"/>
      <c r="JC132" s="456"/>
      <c r="JD132" s="456"/>
      <c r="JE132" s="456"/>
      <c r="JF132" s="456"/>
      <c r="JG132" s="456"/>
      <c r="JH132" s="456"/>
      <c r="JI132" s="456"/>
      <c r="JJ132" s="456"/>
      <c r="JK132" s="456"/>
      <c r="JL132" s="456"/>
      <c r="JM132" s="456"/>
      <c r="JN132" s="456"/>
      <c r="JO132" s="456"/>
      <c r="JP132" s="456"/>
      <c r="JQ132" s="456"/>
      <c r="JR132" s="456"/>
      <c r="JS132" s="456"/>
      <c r="JT132" s="456"/>
      <c r="JU132" s="456"/>
      <c r="JV132" s="456"/>
      <c r="JW132" s="456"/>
      <c r="JX132" s="456"/>
      <c r="JY132" s="456"/>
      <c r="JZ132" s="456"/>
      <c r="KA132" s="456"/>
      <c r="KB132" s="456"/>
      <c r="KC132" s="456"/>
      <c r="KD132" s="456"/>
      <c r="KE132" s="456"/>
      <c r="KF132" s="456"/>
      <c r="KG132" s="456"/>
      <c r="KH132" s="456"/>
      <c r="KI132" s="456"/>
      <c r="KJ132" s="456"/>
      <c r="KK132" s="456"/>
      <c r="KL132" s="456"/>
      <c r="KM132" s="456"/>
      <c r="KN132" s="456"/>
      <c r="KO132" s="456"/>
      <c r="KP132" s="456"/>
      <c r="KQ132" s="456"/>
      <c r="KR132" s="456"/>
      <c r="KS132" s="456"/>
      <c r="KT132" s="456"/>
      <c r="KU132" s="456"/>
      <c r="KV132" s="456"/>
      <c r="KW132" s="456"/>
      <c r="KX132" s="456"/>
      <c r="KY132" s="456"/>
      <c r="KZ132" s="456"/>
      <c r="LA132" s="456"/>
      <c r="LB132" s="456"/>
      <c r="LC132" s="456"/>
      <c r="LD132" s="456"/>
      <c r="LE132" s="456"/>
      <c r="LF132" s="456"/>
      <c r="LG132" s="456"/>
      <c r="LH132" s="456"/>
      <c r="LI132" s="456"/>
      <c r="LJ132" s="456"/>
      <c r="LK132" s="456"/>
      <c r="LL132" s="456"/>
      <c r="LM132" s="456"/>
      <c r="LN132" s="456"/>
      <c r="LO132" s="456"/>
      <c r="LP132" s="456"/>
      <c r="LQ132" s="456"/>
      <c r="LR132" s="456"/>
      <c r="LS132" s="456"/>
      <c r="LT132" s="456"/>
      <c r="LU132" s="456"/>
      <c r="LV132" s="456"/>
      <c r="LW132" s="456"/>
      <c r="LX132" s="456"/>
      <c r="LY132" s="456"/>
      <c r="LZ132" s="456"/>
      <c r="MA132" s="456"/>
      <c r="MB132" s="456"/>
      <c r="MC132" s="456"/>
      <c r="MD132" s="456"/>
      <c r="ME132" s="456"/>
      <c r="MF132" s="456"/>
      <c r="MG132" s="456"/>
      <c r="MH132" s="456"/>
      <c r="MI132" s="456"/>
      <c r="MJ132" s="456"/>
      <c r="MK132" s="456"/>
      <c r="ML132" s="456"/>
      <c r="MM132" s="456"/>
      <c r="MN132" s="456"/>
      <c r="MO132" s="456"/>
      <c r="MP132" s="456"/>
      <c r="MQ132" s="456"/>
      <c r="MR132" s="456"/>
      <c r="MS132" s="456"/>
      <c r="MT132" s="456"/>
      <c r="MU132" s="456"/>
      <c r="MV132" s="456"/>
      <c r="MW132" s="456"/>
      <c r="MX132" s="456"/>
      <c r="MY132" s="456"/>
      <c r="MZ132" s="456"/>
      <c r="NA132" s="456"/>
      <c r="NB132" s="456"/>
      <c r="NC132" s="456"/>
      <c r="ND132" s="456"/>
      <c r="NE132" s="456"/>
      <c r="NF132" s="456"/>
      <c r="NG132" s="456"/>
      <c r="NH132" s="456"/>
      <c r="NI132" s="456"/>
      <c r="NJ132" s="456"/>
      <c r="NK132" s="456"/>
      <c r="NL132" s="456"/>
      <c r="NM132" s="456"/>
      <c r="NN132" s="456"/>
      <c r="NO132" s="456"/>
      <c r="NP132" s="456"/>
      <c r="NQ132" s="456"/>
      <c r="NR132" s="456"/>
      <c r="NS132" s="456"/>
      <c r="NT132" s="456"/>
      <c r="NU132" s="456"/>
      <c r="NV132" s="456"/>
      <c r="NW132" s="456"/>
      <c r="NX132" s="456"/>
      <c r="NY132" s="456"/>
      <c r="NZ132" s="456"/>
      <c r="OA132" s="456"/>
      <c r="OB132" s="456"/>
      <c r="OC132" s="456"/>
      <c r="OD132" s="456"/>
      <c r="OE132" s="456"/>
      <c r="OF132" s="456"/>
      <c r="OG132" s="456"/>
      <c r="OH132" s="456"/>
      <c r="OI132" s="456"/>
      <c r="OJ132" s="456"/>
      <c r="OK132" s="456"/>
      <c r="OL132" s="456"/>
      <c r="OM132" s="456"/>
      <c r="ON132" s="456"/>
      <c r="OO132" s="456"/>
      <c r="OP132" s="456"/>
      <c r="OQ132" s="456"/>
      <c r="OR132" s="456"/>
      <c r="OS132" s="456"/>
      <c r="OT132" s="456"/>
      <c r="OU132" s="456"/>
      <c r="OV132" s="456"/>
      <c r="OW132" s="456"/>
      <c r="OX132" s="456"/>
      <c r="OY132" s="456"/>
      <c r="OZ132" s="456"/>
      <c r="PA132" s="456"/>
      <c r="PB132" s="456"/>
      <c r="PC132" s="456"/>
      <c r="PD132" s="456"/>
      <c r="PE132" s="456"/>
      <c r="PF132" s="456"/>
      <c r="PG132" s="456"/>
      <c r="PH132" s="456"/>
      <c r="PI132" s="456"/>
      <c r="PJ132" s="456"/>
      <c r="PK132" s="456"/>
      <c r="PL132" s="456"/>
      <c r="PM132" s="456"/>
      <c r="PN132" s="456"/>
      <c r="PO132" s="456"/>
      <c r="PP132" s="456"/>
      <c r="PQ132" s="456"/>
      <c r="PR132" s="456"/>
      <c r="PS132" s="456"/>
      <c r="PT132" s="456"/>
      <c r="PU132" s="456"/>
      <c r="PV132" s="456"/>
      <c r="PW132" s="456"/>
      <c r="PX132" s="456"/>
      <c r="PY132" s="456"/>
      <c r="PZ132" s="456"/>
      <c r="QA132" s="456"/>
      <c r="QB132" s="456"/>
      <c r="QC132" s="456"/>
      <c r="QD132" s="456"/>
      <c r="QE132" s="456"/>
      <c r="QF132" s="456"/>
      <c r="QG132" s="456"/>
      <c r="QH132" s="456"/>
      <c r="QI132" s="456"/>
      <c r="QJ132" s="456"/>
      <c r="QK132" s="456"/>
      <c r="QL132" s="456"/>
      <c r="QM132" s="456"/>
      <c r="QN132" s="456"/>
      <c r="QO132" s="456"/>
      <c r="QP132" s="456"/>
      <c r="QQ132" s="456"/>
      <c r="QR132" s="456"/>
      <c r="QS132" s="456"/>
      <c r="QT132" s="456"/>
      <c r="QU132" s="456"/>
      <c r="QV132" s="456"/>
      <c r="QW132" s="456"/>
      <c r="QX132" s="456"/>
      <c r="QY132" s="456"/>
      <c r="QZ132" s="456"/>
      <c r="RA132" s="456"/>
      <c r="RB132" s="456"/>
      <c r="RC132" s="456"/>
      <c r="RD132" s="456"/>
      <c r="RE132" s="456"/>
      <c r="RF132" s="456"/>
      <c r="RG132" s="456"/>
      <c r="RH132" s="456"/>
      <c r="RI132" s="456"/>
      <c r="RJ132" s="456"/>
      <c r="RK132" s="456"/>
      <c r="RL132" s="456"/>
      <c r="RM132" s="456"/>
      <c r="RN132" s="456"/>
      <c r="RO132" s="456"/>
      <c r="RP132" s="456"/>
      <c r="RQ132" s="456"/>
      <c r="RR132" s="456"/>
      <c r="RS132" s="456"/>
      <c r="RT132" s="456"/>
      <c r="RU132" s="456"/>
      <c r="RV132" s="456"/>
      <c r="RW132" s="456"/>
      <c r="RX132" s="456"/>
      <c r="RY132" s="456"/>
      <c r="RZ132" s="456"/>
      <c r="SA132" s="456"/>
      <c r="SB132" s="456"/>
      <c r="SC132" s="456"/>
      <c r="SD132" s="456"/>
      <c r="SE132" s="456"/>
      <c r="SF132" s="456"/>
      <c r="SG132" s="456"/>
      <c r="SH132" s="456"/>
      <c r="SI132" s="456"/>
      <c r="SJ132" s="456"/>
      <c r="SK132" s="456"/>
      <c r="SL132" s="456"/>
      <c r="SM132" s="456"/>
      <c r="SN132" s="456"/>
      <c r="SO132" s="456"/>
      <c r="SP132" s="456"/>
      <c r="SQ132" s="456"/>
      <c r="SR132" s="456"/>
      <c r="SS132" s="456"/>
      <c r="ST132" s="456"/>
      <c r="SU132" s="456"/>
      <c r="SV132" s="456"/>
      <c r="SW132" s="456"/>
      <c r="SX132" s="456"/>
      <c r="SY132" s="456"/>
      <c r="SZ132" s="456"/>
      <c r="TA132" s="456"/>
      <c r="TB132" s="456"/>
      <c r="TC132" s="456"/>
      <c r="TD132" s="456"/>
      <c r="TE132" s="456"/>
      <c r="TF132" s="456"/>
      <c r="TG132" s="456"/>
      <c r="TH132" s="456"/>
      <c r="TI132" s="456"/>
      <c r="TJ132" s="456"/>
      <c r="TK132" s="456"/>
      <c r="TL132" s="456"/>
      <c r="TM132" s="456"/>
      <c r="TN132" s="456"/>
      <c r="TO132" s="456"/>
      <c r="TP132" s="456"/>
      <c r="TQ132" s="456"/>
      <c r="TR132" s="456"/>
      <c r="TS132" s="456"/>
      <c r="TT132" s="456"/>
      <c r="TU132" s="456"/>
      <c r="TV132" s="456"/>
      <c r="TW132" s="456"/>
      <c r="TX132" s="456"/>
      <c r="TY132" s="456"/>
      <c r="TZ132" s="456"/>
      <c r="UA132" s="456"/>
      <c r="UB132" s="456"/>
      <c r="UC132" s="456"/>
      <c r="UD132" s="456"/>
      <c r="UE132" s="456"/>
      <c r="UF132" s="456"/>
      <c r="UG132" s="456"/>
      <c r="UH132" s="456"/>
      <c r="UI132" s="456"/>
      <c r="UJ132" s="456"/>
      <c r="UK132" s="456"/>
      <c r="UL132" s="456"/>
      <c r="UM132" s="456"/>
      <c r="UN132" s="456"/>
      <c r="UO132" s="456"/>
      <c r="UP132" s="456"/>
      <c r="UQ132" s="456"/>
      <c r="UR132" s="456"/>
      <c r="US132" s="456"/>
      <c r="UT132" s="456"/>
      <c r="UU132" s="456"/>
      <c r="UV132" s="456"/>
      <c r="UW132" s="456"/>
      <c r="UX132" s="456"/>
      <c r="UY132" s="456"/>
      <c r="UZ132" s="456"/>
      <c r="VA132" s="456"/>
      <c r="VB132" s="456"/>
      <c r="VC132" s="456"/>
      <c r="VD132" s="456"/>
      <c r="VE132" s="456"/>
      <c r="VF132" s="456"/>
      <c r="VG132" s="456"/>
      <c r="VH132" s="456"/>
      <c r="VI132" s="456"/>
      <c r="VJ132" s="456"/>
      <c r="VK132" s="456"/>
      <c r="VL132" s="456"/>
      <c r="VM132" s="456"/>
      <c r="VN132" s="456"/>
      <c r="VO132" s="456"/>
      <c r="VP132" s="456"/>
      <c r="VQ132" s="456"/>
      <c r="VR132" s="456"/>
      <c r="VS132" s="456"/>
      <c r="VT132" s="456"/>
      <c r="VU132" s="456"/>
      <c r="VV132" s="456"/>
      <c r="VW132" s="456"/>
      <c r="VX132" s="456"/>
      <c r="VY132" s="456"/>
      <c r="VZ132" s="456"/>
      <c r="WA132" s="456"/>
      <c r="WB132" s="456"/>
      <c r="WC132" s="456"/>
      <c r="WD132" s="456"/>
      <c r="WE132" s="456"/>
      <c r="WF132" s="456"/>
      <c r="WG132" s="456"/>
      <c r="WH132" s="456"/>
      <c r="WI132" s="456"/>
      <c r="WJ132" s="456"/>
      <c r="WK132" s="456"/>
      <c r="WL132" s="456"/>
      <c r="WM132" s="456"/>
      <c r="WN132" s="456"/>
      <c r="WO132" s="456"/>
      <c r="WP132" s="456"/>
      <c r="WQ132" s="456"/>
      <c r="WR132" s="456"/>
      <c r="WS132" s="456"/>
      <c r="WT132" s="456"/>
      <c r="WU132" s="456"/>
      <c r="WV132" s="456"/>
      <c r="WW132" s="456"/>
      <c r="WX132" s="456"/>
      <c r="WY132" s="456"/>
      <c r="WZ132" s="456"/>
      <c r="XA132" s="456"/>
      <c r="XB132" s="456"/>
      <c r="XC132" s="456"/>
      <c r="XD132" s="456"/>
      <c r="XE132" s="456"/>
      <c r="XF132" s="456"/>
      <c r="XG132" s="456"/>
      <c r="XH132" s="456"/>
      <c r="XI132" s="456"/>
      <c r="XJ132" s="456"/>
      <c r="XK132" s="456"/>
      <c r="XL132" s="456"/>
      <c r="XM132" s="456"/>
      <c r="XN132" s="456"/>
      <c r="XO132" s="456"/>
      <c r="XP132" s="456"/>
      <c r="XQ132" s="456"/>
      <c r="XR132" s="456"/>
      <c r="XS132" s="456"/>
      <c r="XT132" s="456"/>
      <c r="XU132" s="456"/>
      <c r="XV132" s="456"/>
      <c r="XW132" s="456"/>
      <c r="XX132" s="456"/>
      <c r="XY132" s="456"/>
      <c r="XZ132" s="456"/>
      <c r="YA132" s="456"/>
      <c r="YB132" s="456"/>
      <c r="YC132" s="456"/>
      <c r="YD132" s="456"/>
      <c r="YE132" s="456"/>
      <c r="YF132" s="456"/>
      <c r="YG132" s="456"/>
      <c r="YH132" s="456"/>
      <c r="YI132" s="456"/>
      <c r="YJ132" s="456"/>
      <c r="YK132" s="456"/>
      <c r="YL132" s="456"/>
      <c r="YM132" s="456"/>
      <c r="YN132" s="456"/>
      <c r="YO132" s="456"/>
      <c r="YP132" s="456"/>
      <c r="YQ132" s="456"/>
      <c r="YR132" s="456"/>
      <c r="YS132" s="456"/>
      <c r="YT132" s="456"/>
      <c r="YU132" s="456"/>
      <c r="YV132" s="456"/>
      <c r="YW132" s="456"/>
      <c r="YX132" s="456"/>
      <c r="YY132" s="456"/>
      <c r="YZ132" s="456"/>
      <c r="ZA132" s="456"/>
      <c r="ZB132" s="456"/>
      <c r="ZC132" s="456"/>
      <c r="ZD132" s="456"/>
      <c r="ZE132" s="456"/>
      <c r="ZF132" s="456"/>
      <c r="ZG132" s="456"/>
      <c r="ZH132" s="456"/>
      <c r="ZI132" s="456"/>
      <c r="ZJ132" s="456"/>
      <c r="ZK132" s="456"/>
      <c r="ZL132" s="456"/>
      <c r="ZM132" s="456"/>
      <c r="ZN132" s="456"/>
      <c r="ZO132" s="456"/>
      <c r="ZP132" s="456"/>
      <c r="ZQ132" s="456"/>
      <c r="ZR132" s="456"/>
      <c r="ZS132" s="456"/>
      <c r="ZT132" s="456"/>
      <c r="ZU132" s="456"/>
      <c r="ZV132" s="456"/>
      <c r="ZW132" s="456"/>
      <c r="ZX132" s="456"/>
      <c r="ZY132" s="456"/>
      <c r="ZZ132" s="456"/>
      <c r="AAA132" s="456"/>
      <c r="AAB132" s="456"/>
      <c r="AAC132" s="456"/>
      <c r="AAD132" s="456"/>
      <c r="AAE132" s="456"/>
      <c r="AAF132" s="456"/>
      <c r="AAG132" s="456"/>
      <c r="AAH132" s="456"/>
      <c r="AAI132" s="456"/>
      <c r="AAJ132" s="456"/>
      <c r="AAK132" s="456"/>
      <c r="AAL132" s="456"/>
      <c r="AAM132" s="456"/>
      <c r="AAN132" s="456"/>
      <c r="AAO132" s="456"/>
      <c r="AAP132" s="456"/>
      <c r="AAQ132" s="456"/>
      <c r="AAR132" s="456"/>
      <c r="AAS132" s="456"/>
      <c r="AAT132" s="456"/>
      <c r="AAU132" s="456"/>
      <c r="AAV132" s="456"/>
      <c r="AAW132" s="456"/>
      <c r="AAX132" s="456"/>
      <c r="AAY132" s="456"/>
      <c r="AAZ132" s="456"/>
      <c r="ABA132" s="456"/>
      <c r="ABB132" s="456"/>
      <c r="ABC132" s="456"/>
      <c r="ABD132" s="456"/>
      <c r="ABE132" s="456"/>
      <c r="ABF132" s="456"/>
      <c r="ABG132" s="456"/>
      <c r="ABH132" s="456"/>
      <c r="ABI132" s="456"/>
      <c r="ABJ132" s="456"/>
      <c r="ABK132" s="456"/>
      <c r="ABL132" s="456"/>
      <c r="ABM132" s="456"/>
      <c r="ABN132" s="456"/>
      <c r="ABO132" s="456"/>
      <c r="ABP132" s="456"/>
      <c r="ABQ132" s="456"/>
      <c r="ABR132" s="456"/>
      <c r="ABS132" s="456"/>
      <c r="ABT132" s="456"/>
      <c r="ABU132" s="456"/>
      <c r="ABV132" s="456"/>
      <c r="ABW132" s="456"/>
      <c r="ABX132" s="456"/>
      <c r="ABY132" s="456"/>
      <c r="ABZ132" s="456"/>
      <c r="ACA132" s="456"/>
      <c r="ACB132" s="456"/>
      <c r="ACC132" s="456"/>
      <c r="ACD132" s="456"/>
      <c r="ACE132" s="456"/>
      <c r="ACF132" s="456"/>
      <c r="ACG132" s="456"/>
      <c r="ACH132" s="456"/>
      <c r="ACI132" s="456"/>
      <c r="ACJ132" s="456"/>
      <c r="ACK132" s="456"/>
      <c r="ACL132" s="456"/>
      <c r="ACM132" s="456"/>
      <c r="ACN132" s="456"/>
      <c r="ACO132" s="456"/>
      <c r="ACP132" s="456"/>
      <c r="ACQ132" s="456"/>
      <c r="ACR132" s="456"/>
      <c r="ACS132" s="456"/>
      <c r="ACT132" s="456"/>
      <c r="ACU132" s="456"/>
      <c r="ACV132" s="456"/>
      <c r="ACW132" s="456"/>
      <c r="ACX132" s="456"/>
      <c r="ACY132" s="456"/>
      <c r="ACZ132" s="456"/>
      <c r="ADA132" s="456"/>
      <c r="ADB132" s="456"/>
      <c r="ADC132" s="456"/>
      <c r="ADD132" s="456"/>
      <c r="ADE132" s="456"/>
      <c r="ADF132" s="456"/>
      <c r="ADG132" s="456"/>
      <c r="ADH132" s="456"/>
      <c r="ADI132" s="456"/>
      <c r="ADJ132" s="456"/>
      <c r="ADK132" s="456"/>
      <c r="ADL132" s="456"/>
      <c r="ADM132" s="456"/>
      <c r="ADN132" s="456"/>
      <c r="ADO132" s="456"/>
      <c r="ADP132" s="456"/>
      <c r="ADQ132" s="456"/>
      <c r="ADR132" s="456"/>
      <c r="ADS132" s="456"/>
      <c r="ADT132" s="456"/>
      <c r="ADU132" s="456"/>
      <c r="ADV132" s="456"/>
      <c r="ADW132" s="456"/>
      <c r="ADX132" s="456"/>
      <c r="ADY132" s="456"/>
      <c r="ADZ132" s="456"/>
      <c r="AEA132" s="456"/>
      <c r="AEB132" s="456"/>
      <c r="AEC132" s="456"/>
      <c r="AED132" s="456"/>
      <c r="AEE132" s="456"/>
      <c r="AEF132" s="456"/>
      <c r="AEG132" s="456"/>
      <c r="AEH132" s="456"/>
      <c r="AEI132" s="456"/>
      <c r="AEJ132" s="456"/>
      <c r="AEK132" s="456"/>
      <c r="AEL132" s="456"/>
      <c r="AEM132" s="456"/>
      <c r="AEN132" s="456"/>
      <c r="AEO132" s="456"/>
      <c r="AEP132" s="456"/>
      <c r="AEQ132" s="456"/>
      <c r="AER132" s="456"/>
      <c r="AES132" s="456"/>
      <c r="AET132" s="456"/>
      <c r="AEU132" s="456"/>
      <c r="AEV132" s="456"/>
      <c r="AEW132" s="456"/>
      <c r="AEX132" s="456"/>
      <c r="AEY132" s="456"/>
      <c r="AEZ132" s="456"/>
      <c r="AFA132" s="456"/>
      <c r="AFB132" s="456"/>
      <c r="AFC132" s="456"/>
      <c r="AFD132" s="456"/>
      <c r="AFE132" s="456"/>
      <c r="AFF132" s="456"/>
      <c r="AFG132" s="456"/>
      <c r="AFH132" s="456"/>
      <c r="AFI132" s="456"/>
      <c r="AFJ132" s="456"/>
      <c r="AFK132" s="456"/>
      <c r="AFL132" s="456"/>
      <c r="AFM132" s="456"/>
      <c r="AFN132" s="456"/>
      <c r="AFO132" s="456"/>
      <c r="AFP132" s="456"/>
      <c r="AFQ132" s="456"/>
      <c r="AFR132" s="456"/>
      <c r="AFS132" s="456"/>
      <c r="AFT132" s="456"/>
      <c r="AFU132" s="456"/>
      <c r="AFV132" s="456"/>
      <c r="AFW132" s="456"/>
      <c r="AFX132" s="456"/>
      <c r="AFY132" s="456"/>
      <c r="AFZ132" s="456"/>
      <c r="AGA132" s="456"/>
      <c r="AGB132" s="456"/>
      <c r="AGC132" s="456"/>
      <c r="AGD132" s="456"/>
      <c r="AGE132" s="456"/>
      <c r="AGF132" s="456"/>
      <c r="AGG132" s="456"/>
      <c r="AGH132" s="456"/>
      <c r="AGI132" s="456"/>
      <c r="AGJ132" s="456"/>
      <c r="AGK132" s="456"/>
      <c r="AGL132" s="456"/>
      <c r="AGM132" s="456"/>
      <c r="AGN132" s="456"/>
      <c r="AGO132" s="456"/>
      <c r="AGP132" s="456"/>
      <c r="AGQ132" s="456"/>
      <c r="AGR132" s="456"/>
      <c r="AGS132" s="456"/>
      <c r="AGT132" s="456"/>
      <c r="AGU132" s="456"/>
      <c r="AGV132" s="456"/>
      <c r="AGW132" s="456"/>
      <c r="AGX132" s="456"/>
      <c r="AGY132" s="456"/>
      <c r="AGZ132" s="456"/>
      <c r="AHA132" s="456"/>
      <c r="AHB132" s="456"/>
      <c r="AHC132" s="456"/>
      <c r="AHD132" s="456"/>
      <c r="AHE132" s="456"/>
      <c r="AHF132" s="456"/>
      <c r="AHG132" s="456"/>
      <c r="AHH132" s="456"/>
      <c r="AHI132" s="456"/>
      <c r="AHJ132" s="456"/>
      <c r="AHK132" s="456"/>
      <c r="AHL132" s="456"/>
      <c r="AHM132" s="456"/>
      <c r="AHN132" s="456"/>
      <c r="AHO132" s="456"/>
      <c r="AHP132" s="456"/>
      <c r="AHQ132" s="456"/>
      <c r="AHR132" s="456"/>
      <c r="AHS132" s="456"/>
      <c r="AHT132" s="456"/>
      <c r="AHU132" s="456"/>
      <c r="AHV132" s="456"/>
      <c r="AHW132" s="456"/>
      <c r="AHX132" s="456"/>
      <c r="AHY132" s="456"/>
      <c r="AHZ132" s="456"/>
      <c r="AIA132" s="456"/>
      <c r="AIB132" s="456"/>
      <c r="AIC132" s="456"/>
      <c r="AID132" s="456"/>
      <c r="AIE132" s="456"/>
      <c r="AIF132" s="456"/>
      <c r="AIG132" s="456"/>
      <c r="AIH132" s="456"/>
      <c r="AII132" s="456"/>
      <c r="AIJ132" s="456"/>
      <c r="AIK132" s="456"/>
      <c r="AIL132" s="456"/>
      <c r="AIM132" s="456"/>
      <c r="AIN132" s="456"/>
      <c r="AIO132" s="456"/>
      <c r="AIP132" s="456"/>
      <c r="AIQ132" s="456"/>
      <c r="AIR132" s="456"/>
      <c r="AIS132" s="456"/>
      <c r="AIT132" s="456"/>
      <c r="AIU132" s="456"/>
      <c r="AIV132" s="456"/>
      <c r="AIW132" s="456"/>
      <c r="AIX132" s="456"/>
      <c r="AIY132" s="456"/>
      <c r="AIZ132" s="456"/>
      <c r="AJA132" s="456"/>
      <c r="AJB132" s="456"/>
      <c r="AJC132" s="456"/>
      <c r="AJD132" s="456"/>
      <c r="AJE132" s="456"/>
      <c r="AJF132" s="456"/>
      <c r="AJG132" s="456"/>
      <c r="AJH132" s="456"/>
      <c r="AJI132" s="456"/>
      <c r="AJJ132" s="456"/>
      <c r="AJK132" s="456"/>
      <c r="AJL132" s="456"/>
      <c r="AJM132" s="456"/>
      <c r="AJN132" s="456"/>
      <c r="AJO132" s="456"/>
      <c r="AJP132" s="456"/>
      <c r="AJQ132" s="456"/>
      <c r="AJR132" s="456"/>
      <c r="AJS132" s="456"/>
      <c r="AJT132" s="456"/>
      <c r="AJU132" s="456"/>
      <c r="AJV132" s="456"/>
      <c r="AJW132" s="456"/>
      <c r="AJX132" s="456"/>
      <c r="AJY132" s="456"/>
      <c r="AJZ132" s="456"/>
      <c r="AKA132" s="456"/>
      <c r="AKB132" s="456"/>
      <c r="AKC132" s="456"/>
      <c r="AKD132" s="456"/>
      <c r="AKE132" s="456"/>
      <c r="AKF132" s="456"/>
      <c r="AKG132" s="456"/>
      <c r="AKH132" s="456"/>
      <c r="AKI132" s="456"/>
      <c r="AKJ132" s="456"/>
      <c r="AKK132" s="456"/>
      <c r="AKL132" s="456"/>
      <c r="AKM132" s="456"/>
      <c r="AKN132" s="456"/>
      <c r="AKO132" s="456"/>
      <c r="AKP132" s="456"/>
      <c r="AKQ132" s="456"/>
      <c r="AKR132" s="456"/>
      <c r="AKS132" s="456"/>
      <c r="AKT132" s="456"/>
      <c r="AKU132" s="456"/>
      <c r="AKV132" s="456"/>
      <c r="AKW132" s="456"/>
      <c r="AKX132" s="456"/>
      <c r="AKY132" s="456"/>
      <c r="AKZ132" s="456"/>
      <c r="ALA132" s="456"/>
      <c r="ALB132" s="456"/>
      <c r="ALC132" s="456"/>
      <c r="ALD132" s="456"/>
      <c r="ALE132" s="456"/>
      <c r="ALF132" s="456"/>
      <c r="ALG132" s="456"/>
      <c r="ALH132" s="456"/>
      <c r="ALI132" s="456"/>
      <c r="ALJ132" s="456"/>
      <c r="ALK132" s="456"/>
      <c r="ALL132" s="456"/>
      <c r="ALM132" s="456"/>
      <c r="ALN132" s="456"/>
      <c r="ALO132" s="456"/>
      <c r="ALP132" s="456"/>
      <c r="ALQ132" s="456"/>
      <c r="ALR132" s="456"/>
      <c r="ALS132" s="456"/>
      <c r="ALT132" s="456"/>
      <c r="ALU132" s="456"/>
      <c r="ALV132" s="456"/>
      <c r="ALW132" s="456"/>
      <c r="ALX132" s="456"/>
      <c r="ALY132" s="456"/>
      <c r="ALZ132" s="456"/>
      <c r="AMA132" s="456"/>
      <c r="AMB132" s="456"/>
      <c r="AMC132" s="456"/>
      <c r="AMD132" s="456"/>
      <c r="AME132" s="456"/>
      <c r="AMF132" s="456"/>
      <c r="AMG132" s="456"/>
      <c r="AMH132" s="456"/>
      <c r="AMI132" s="456"/>
      <c r="AMJ132" s="456"/>
      <c r="AMK132" s="456"/>
      <c r="AML132" s="456"/>
      <c r="AMM132" s="456"/>
      <c r="AMN132" s="456"/>
      <c r="AMO132" s="456"/>
      <c r="AMP132" s="456"/>
      <c r="AMQ132" s="456"/>
      <c r="AMR132" s="456"/>
      <c r="AMS132" s="456"/>
      <c r="AMT132" s="456"/>
      <c r="AMU132" s="456"/>
      <c r="AMV132" s="456"/>
      <c r="AMW132" s="456"/>
      <c r="AMX132" s="456"/>
      <c r="AMY132" s="456"/>
      <c r="AMZ132" s="456"/>
      <c r="ANA132" s="456"/>
      <c r="ANB132" s="456"/>
      <c r="ANC132" s="456"/>
      <c r="AND132" s="456"/>
      <c r="ANE132" s="456"/>
      <c r="ANF132" s="456"/>
      <c r="ANG132" s="456"/>
      <c r="ANH132" s="456"/>
      <c r="ANI132" s="456"/>
      <c r="ANJ132" s="456"/>
      <c r="ANK132" s="456"/>
      <c r="ANL132" s="456"/>
      <c r="ANM132" s="456"/>
      <c r="ANN132" s="456"/>
      <c r="ANO132" s="456"/>
      <c r="ANP132" s="456"/>
      <c r="ANQ132" s="456"/>
      <c r="ANR132" s="456"/>
      <c r="ANS132" s="456"/>
      <c r="ANT132" s="456"/>
      <c r="ANU132" s="456"/>
      <c r="ANV132" s="456"/>
      <c r="ANW132" s="456"/>
      <c r="ANX132" s="456"/>
      <c r="ANY132" s="456"/>
      <c r="ANZ132" s="456"/>
      <c r="AOA132" s="456"/>
      <c r="AOB132" s="456"/>
      <c r="AOC132" s="456"/>
      <c r="AOD132" s="456"/>
      <c r="AOE132" s="456"/>
      <c r="AOF132" s="456"/>
      <c r="AOG132" s="456"/>
      <c r="AOH132" s="456"/>
      <c r="AOI132" s="456"/>
      <c r="AOJ132" s="456"/>
      <c r="AOK132" s="456"/>
      <c r="AOL132" s="456"/>
      <c r="AOM132" s="456"/>
      <c r="AON132" s="456"/>
      <c r="AOO132" s="456"/>
      <c r="AOP132" s="456"/>
      <c r="AOQ132" s="456"/>
      <c r="AOR132" s="456"/>
      <c r="AOS132" s="456"/>
      <c r="AOT132" s="456"/>
      <c r="AOU132" s="456"/>
      <c r="AOV132" s="456"/>
      <c r="AOW132" s="456"/>
      <c r="AOX132" s="456"/>
      <c r="AOY132" s="456"/>
      <c r="AOZ132" s="456"/>
      <c r="APA132" s="456"/>
      <c r="APB132" s="456"/>
      <c r="APC132" s="456"/>
      <c r="APD132" s="456"/>
      <c r="APE132" s="456"/>
      <c r="APF132" s="456"/>
      <c r="APG132" s="456"/>
      <c r="APH132" s="456"/>
      <c r="API132" s="456"/>
      <c r="APJ132" s="456"/>
      <c r="APK132" s="456"/>
      <c r="APL132" s="456"/>
      <c r="APM132" s="456"/>
      <c r="APN132" s="456"/>
      <c r="APO132" s="456"/>
      <c r="APP132" s="456"/>
      <c r="APQ132" s="456"/>
      <c r="APR132" s="456"/>
      <c r="APS132" s="456"/>
      <c r="APT132" s="456"/>
      <c r="APU132" s="456"/>
      <c r="APV132" s="456"/>
      <c r="APW132" s="456"/>
      <c r="APX132" s="456"/>
      <c r="APY132" s="456"/>
      <c r="APZ132" s="456"/>
      <c r="AQA132" s="456"/>
      <c r="AQB132" s="456"/>
      <c r="AQC132" s="456"/>
      <c r="AQD132" s="456"/>
      <c r="AQE132" s="456"/>
      <c r="AQF132" s="456"/>
      <c r="AQG132" s="456"/>
      <c r="AQH132" s="456"/>
      <c r="AQI132" s="456"/>
      <c r="AQJ132" s="456"/>
      <c r="AQK132" s="456"/>
      <c r="AQL132" s="456"/>
      <c r="AQM132" s="456"/>
      <c r="AQN132" s="456"/>
      <c r="AQO132" s="456"/>
      <c r="AQP132" s="456"/>
      <c r="AQQ132" s="456"/>
      <c r="AQR132" s="456"/>
      <c r="AQS132" s="456"/>
      <c r="AQT132" s="456"/>
      <c r="AQU132" s="456"/>
      <c r="AQV132" s="456"/>
      <c r="AQW132" s="456"/>
      <c r="AQX132" s="456"/>
      <c r="AQY132" s="456"/>
      <c r="AQZ132" s="456"/>
      <c r="ARA132" s="456"/>
      <c r="ARB132" s="456"/>
      <c r="ARC132" s="456"/>
      <c r="ARD132" s="456"/>
      <c r="ARE132" s="456"/>
      <c r="ARF132" s="456"/>
      <c r="ARG132" s="456"/>
      <c r="ARH132" s="456"/>
      <c r="ARI132" s="456"/>
      <c r="ARJ132" s="456"/>
      <c r="ARK132" s="456"/>
      <c r="ARL132" s="456"/>
      <c r="ARM132" s="456"/>
      <c r="ARN132" s="456"/>
      <c r="ARO132" s="456"/>
      <c r="ARP132" s="456"/>
      <c r="ARQ132" s="456"/>
      <c r="ARR132" s="456"/>
      <c r="ARS132" s="456"/>
      <c r="ART132" s="456"/>
      <c r="ARU132" s="456"/>
      <c r="ARV132" s="456"/>
      <c r="ARW132" s="456"/>
      <c r="ARX132" s="456"/>
      <c r="ARY132" s="456"/>
      <c r="ARZ132" s="456"/>
      <c r="ASA132" s="456"/>
      <c r="ASB132" s="456"/>
      <c r="ASC132" s="456"/>
      <c r="ASD132" s="456"/>
      <c r="ASE132" s="456"/>
      <c r="ASF132" s="456"/>
      <c r="ASG132" s="456"/>
      <c r="ASH132" s="456"/>
      <c r="ASI132" s="456"/>
      <c r="ASJ132" s="456"/>
      <c r="ASK132" s="456"/>
      <c r="ASL132" s="456"/>
      <c r="ASM132" s="456"/>
      <c r="ASN132" s="456"/>
      <c r="ASO132" s="456"/>
      <c r="ASP132" s="456"/>
      <c r="ASQ132" s="456"/>
      <c r="ASR132" s="456"/>
      <c r="ASS132" s="456"/>
      <c r="AST132" s="456"/>
      <c r="ASU132" s="456"/>
      <c r="ASV132" s="456"/>
      <c r="ASW132" s="456"/>
      <c r="ASX132" s="456"/>
      <c r="ASY132" s="456"/>
      <c r="ASZ132" s="456"/>
      <c r="ATA132" s="456"/>
      <c r="ATB132" s="456"/>
      <c r="ATC132" s="456"/>
      <c r="ATD132" s="456"/>
      <c r="ATE132" s="456"/>
      <c r="ATF132" s="456"/>
      <c r="ATG132" s="456"/>
      <c r="ATH132" s="456"/>
      <c r="ATI132" s="456"/>
      <c r="ATJ132" s="456"/>
      <c r="ATK132" s="456"/>
      <c r="ATL132" s="456"/>
      <c r="ATM132" s="456"/>
      <c r="ATN132" s="456"/>
      <c r="ATO132" s="456"/>
      <c r="ATP132" s="456"/>
      <c r="ATQ132" s="456"/>
      <c r="ATR132" s="456"/>
      <c r="ATS132" s="456"/>
      <c r="ATT132" s="456"/>
      <c r="ATU132" s="456"/>
      <c r="ATV132" s="456"/>
      <c r="ATW132" s="456"/>
      <c r="ATX132" s="456"/>
      <c r="ATY132" s="456"/>
      <c r="ATZ132" s="456"/>
      <c r="AUA132" s="456"/>
      <c r="AUB132" s="456"/>
      <c r="AUC132" s="456"/>
      <c r="AUD132" s="456"/>
      <c r="AUE132" s="456"/>
      <c r="AUF132" s="456"/>
      <c r="AUG132" s="456"/>
      <c r="AUH132" s="456"/>
      <c r="AUI132" s="456"/>
      <c r="AUJ132" s="456"/>
      <c r="AUK132" s="456"/>
      <c r="AUL132" s="456"/>
      <c r="AUM132" s="456"/>
      <c r="AUN132" s="456"/>
      <c r="AUO132" s="456"/>
      <c r="AUP132" s="456"/>
      <c r="AUQ132" s="456"/>
      <c r="AUR132" s="456"/>
      <c r="AUS132" s="456"/>
      <c r="AUT132" s="456"/>
      <c r="AUU132" s="456"/>
      <c r="AUV132" s="456"/>
      <c r="AUW132" s="456"/>
      <c r="AUX132" s="456"/>
      <c r="AUY132" s="456"/>
      <c r="AUZ132" s="456"/>
      <c r="AVA132" s="456"/>
      <c r="AVB132" s="456"/>
      <c r="AVC132" s="456"/>
      <c r="AVD132" s="456"/>
      <c r="AVE132" s="456"/>
      <c r="AVF132" s="456"/>
      <c r="AVG132" s="456"/>
      <c r="AVH132" s="456"/>
      <c r="AVI132" s="456"/>
      <c r="AVJ132" s="456"/>
      <c r="AVK132" s="456"/>
      <c r="AVL132" s="456"/>
      <c r="AVM132" s="456"/>
      <c r="AVN132" s="456"/>
      <c r="AVO132" s="456"/>
      <c r="AVP132" s="456"/>
      <c r="AVQ132" s="456"/>
      <c r="AVR132" s="456"/>
      <c r="AVS132" s="456"/>
      <c r="AVT132" s="456"/>
      <c r="AVU132" s="456"/>
      <c r="AVV132" s="456"/>
      <c r="AVW132" s="456"/>
      <c r="AVX132" s="456"/>
      <c r="AVY132" s="456"/>
      <c r="AVZ132" s="456"/>
      <c r="AWA132" s="456"/>
      <c r="AWB132" s="456"/>
      <c r="AWC132" s="456"/>
      <c r="AWD132" s="456"/>
      <c r="AWE132" s="456"/>
      <c r="AWF132" s="456"/>
      <c r="AWG132" s="456"/>
      <c r="AWH132" s="456"/>
      <c r="AWI132" s="456"/>
      <c r="AWJ132" s="456"/>
      <c r="AWK132" s="456"/>
      <c r="AWL132" s="456"/>
      <c r="AWM132" s="456"/>
      <c r="AWN132" s="456"/>
      <c r="AWO132" s="456"/>
      <c r="AWP132" s="456"/>
      <c r="AWQ132" s="456"/>
      <c r="AWR132" s="456"/>
      <c r="AWS132" s="456"/>
      <c r="AWT132" s="456"/>
      <c r="AWU132" s="456"/>
      <c r="AWV132" s="456"/>
      <c r="AWW132" s="456"/>
      <c r="AWX132" s="456"/>
      <c r="AWY132" s="456"/>
      <c r="AWZ132" s="456"/>
      <c r="AXA132" s="456"/>
      <c r="AXB132" s="456"/>
      <c r="AXC132" s="456"/>
      <c r="AXD132" s="456"/>
      <c r="AXE132" s="456"/>
      <c r="AXF132" s="456"/>
      <c r="AXG132" s="456"/>
      <c r="AXH132" s="456"/>
      <c r="AXI132" s="456"/>
      <c r="AXJ132" s="456"/>
      <c r="AXK132" s="456"/>
      <c r="AXL132" s="456"/>
      <c r="AXM132" s="456"/>
      <c r="AXN132" s="456"/>
      <c r="AXO132" s="456"/>
      <c r="AXP132" s="456"/>
      <c r="AXQ132" s="456"/>
      <c r="AXR132" s="456"/>
      <c r="AXS132" s="456"/>
      <c r="AXT132" s="456"/>
      <c r="AXU132" s="456"/>
      <c r="AXV132" s="456"/>
      <c r="AXW132" s="456"/>
      <c r="AXX132" s="456"/>
      <c r="AXY132" s="456"/>
      <c r="AXZ132" s="456"/>
      <c r="AYA132" s="456"/>
      <c r="AYB132" s="456"/>
      <c r="AYC132" s="456"/>
      <c r="AYD132" s="456"/>
      <c r="AYE132" s="456"/>
      <c r="AYF132" s="456"/>
      <c r="AYG132" s="456"/>
      <c r="AYH132" s="456"/>
      <c r="AYI132" s="456"/>
      <c r="AYJ132" s="456"/>
      <c r="AYK132" s="456"/>
      <c r="AYL132" s="456"/>
      <c r="AYM132" s="456"/>
      <c r="AYN132" s="456"/>
      <c r="AYO132" s="456"/>
      <c r="AYP132" s="456"/>
      <c r="AYQ132" s="456"/>
      <c r="AYR132" s="456"/>
      <c r="AYS132" s="456"/>
      <c r="AYT132" s="456"/>
      <c r="AYU132" s="456"/>
      <c r="AYV132" s="456"/>
      <c r="AYW132" s="456"/>
      <c r="AYX132" s="456"/>
      <c r="AYY132" s="456"/>
      <c r="AYZ132" s="456"/>
      <c r="AZA132" s="456"/>
      <c r="AZB132" s="456"/>
      <c r="AZC132" s="456"/>
      <c r="AZD132" s="456"/>
      <c r="AZE132" s="456"/>
      <c r="AZF132" s="456"/>
      <c r="AZG132" s="456"/>
      <c r="AZH132" s="456"/>
      <c r="AZI132" s="456"/>
      <c r="AZJ132" s="456"/>
      <c r="AZK132" s="456"/>
      <c r="AZL132" s="456"/>
      <c r="AZM132" s="456"/>
      <c r="AZN132" s="456"/>
      <c r="AZO132" s="456"/>
      <c r="AZP132" s="456"/>
      <c r="AZQ132" s="456"/>
      <c r="AZR132" s="456"/>
      <c r="AZS132" s="456"/>
      <c r="AZT132" s="456"/>
      <c r="AZU132" s="456"/>
      <c r="AZV132" s="456"/>
      <c r="AZW132" s="456"/>
      <c r="AZX132" s="456"/>
      <c r="AZY132" s="456"/>
      <c r="AZZ132" s="456"/>
      <c r="BAA132" s="456"/>
      <c r="BAB132" s="456"/>
      <c r="BAC132" s="456"/>
      <c r="BAD132" s="456"/>
      <c r="BAE132" s="456"/>
      <c r="BAF132" s="456"/>
      <c r="BAG132" s="456"/>
      <c r="BAH132" s="456"/>
      <c r="BAI132" s="456"/>
      <c r="BAJ132" s="456"/>
      <c r="BAK132" s="456"/>
      <c r="BAL132" s="456"/>
      <c r="BAM132" s="456"/>
      <c r="BAN132" s="456"/>
      <c r="BAO132" s="456"/>
      <c r="BAP132" s="456"/>
      <c r="BAQ132" s="456"/>
      <c r="BAR132" s="456"/>
      <c r="BAS132" s="456"/>
      <c r="BAT132" s="456"/>
      <c r="BAU132" s="456"/>
      <c r="BAV132" s="456"/>
      <c r="BAW132" s="456"/>
      <c r="BAX132" s="456"/>
      <c r="BAY132" s="456"/>
      <c r="BAZ132" s="456"/>
      <c r="BBA132" s="456"/>
      <c r="BBB132" s="456"/>
      <c r="BBC132" s="456"/>
      <c r="BBD132" s="456"/>
      <c r="BBE132" s="456"/>
      <c r="BBF132" s="456"/>
      <c r="BBG132" s="456"/>
      <c r="BBH132" s="456"/>
      <c r="BBI132" s="456"/>
      <c r="BBJ132" s="456"/>
      <c r="BBK132" s="456"/>
      <c r="BBL132" s="456"/>
      <c r="BBM132" s="456"/>
      <c r="BBN132" s="456"/>
      <c r="BBO132" s="456"/>
      <c r="BBP132" s="456"/>
      <c r="BBQ132" s="456"/>
      <c r="BBR132" s="456"/>
      <c r="BBS132" s="456"/>
      <c r="BBT132" s="456"/>
      <c r="BBU132" s="456"/>
      <c r="BBV132" s="456"/>
      <c r="BBW132" s="456"/>
      <c r="BBX132" s="456"/>
      <c r="BBY132" s="456"/>
      <c r="BBZ132" s="456"/>
      <c r="BCA132" s="456"/>
      <c r="BCB132" s="456"/>
      <c r="BCC132" s="456"/>
      <c r="BCD132" s="456"/>
      <c r="BCE132" s="456"/>
      <c r="BCF132" s="456"/>
      <c r="BCG132" s="456"/>
      <c r="BCH132" s="456"/>
      <c r="BCI132" s="456"/>
      <c r="BCJ132" s="456"/>
      <c r="BCK132" s="456"/>
      <c r="BCL132" s="456"/>
      <c r="BCM132" s="456"/>
      <c r="BCN132" s="456"/>
      <c r="BCO132" s="456"/>
      <c r="BCP132" s="456"/>
      <c r="BCQ132" s="456"/>
      <c r="BCR132" s="456"/>
      <c r="BCS132" s="456"/>
      <c r="BCT132" s="456"/>
      <c r="BCU132" s="456"/>
      <c r="BCV132" s="456"/>
      <c r="BCW132" s="456"/>
      <c r="BCX132" s="456"/>
      <c r="BCY132" s="456"/>
      <c r="BCZ132" s="456"/>
      <c r="BDA132" s="456"/>
      <c r="BDB132" s="456"/>
      <c r="BDC132" s="456"/>
      <c r="BDD132" s="456"/>
      <c r="BDE132" s="456"/>
      <c r="BDF132" s="456"/>
      <c r="BDG132" s="456"/>
      <c r="BDH132" s="456"/>
      <c r="BDI132" s="456"/>
      <c r="BDJ132" s="456"/>
      <c r="BDK132" s="456"/>
      <c r="BDL132" s="456"/>
      <c r="BDM132" s="456"/>
      <c r="BDN132" s="456"/>
      <c r="BDO132" s="456"/>
      <c r="BDP132" s="456"/>
      <c r="BDQ132" s="456"/>
      <c r="BDR132" s="456"/>
      <c r="BDS132" s="456"/>
      <c r="BDT132" s="456"/>
      <c r="BDU132" s="456"/>
      <c r="BDV132" s="456"/>
      <c r="BDW132" s="456"/>
      <c r="BDX132" s="456"/>
      <c r="BDY132" s="456"/>
      <c r="BDZ132" s="456"/>
      <c r="BEA132" s="456"/>
      <c r="BEB132" s="456"/>
      <c r="BEC132" s="456"/>
      <c r="BED132" s="456"/>
      <c r="BEE132" s="456"/>
      <c r="BEF132" s="456"/>
      <c r="BEG132" s="456"/>
      <c r="BEH132" s="456"/>
      <c r="BEI132" s="456"/>
      <c r="BEJ132" s="456"/>
      <c r="BEK132" s="456"/>
      <c r="BEL132" s="456"/>
      <c r="BEM132" s="456"/>
      <c r="BEN132" s="456"/>
      <c r="BEO132" s="456"/>
      <c r="BEP132" s="456"/>
      <c r="BEQ132" s="456"/>
      <c r="BER132" s="456"/>
      <c r="BES132" s="456"/>
      <c r="BET132" s="456"/>
      <c r="BEU132" s="456"/>
      <c r="BEV132" s="456"/>
      <c r="BEW132" s="456"/>
      <c r="BEX132" s="456"/>
      <c r="BEY132" s="456"/>
      <c r="BEZ132" s="456"/>
      <c r="BFA132" s="456"/>
      <c r="BFB132" s="456"/>
      <c r="BFC132" s="456"/>
      <c r="BFD132" s="456"/>
      <c r="BFE132" s="456"/>
      <c r="BFF132" s="456"/>
      <c r="BFG132" s="456"/>
      <c r="BFH132" s="456"/>
      <c r="BFI132" s="456"/>
      <c r="BFJ132" s="456"/>
      <c r="BFK132" s="456"/>
      <c r="BFL132" s="456"/>
      <c r="BFM132" s="456"/>
      <c r="BFN132" s="456"/>
      <c r="BFO132" s="456"/>
      <c r="BFP132" s="456"/>
      <c r="BFQ132" s="456"/>
      <c r="BFR132" s="456"/>
      <c r="BFS132" s="456"/>
      <c r="BFT132" s="456"/>
      <c r="BFU132" s="456"/>
      <c r="BFV132" s="456"/>
      <c r="BFW132" s="456"/>
      <c r="BFX132" s="456"/>
      <c r="BFY132" s="456"/>
      <c r="BFZ132" s="456"/>
      <c r="BGA132" s="456"/>
      <c r="BGB132" s="456"/>
      <c r="BGC132" s="456"/>
      <c r="BGD132" s="456"/>
      <c r="BGE132" s="456"/>
      <c r="BGF132" s="456"/>
      <c r="BGG132" s="456"/>
      <c r="BGH132" s="456"/>
      <c r="BGI132" s="456"/>
      <c r="BGJ132" s="456"/>
      <c r="BGK132" s="456"/>
      <c r="BGL132" s="456"/>
      <c r="BGM132" s="456"/>
      <c r="BGN132" s="456"/>
      <c r="BGO132" s="456"/>
      <c r="BGP132" s="456"/>
      <c r="BGQ132" s="456"/>
      <c r="BGR132" s="456"/>
      <c r="BGS132" s="456"/>
      <c r="BGT132" s="456"/>
      <c r="BGU132" s="456"/>
      <c r="BGV132" s="456"/>
      <c r="BGW132" s="456"/>
      <c r="BGX132" s="456"/>
      <c r="BGY132" s="456"/>
      <c r="BGZ132" s="456"/>
      <c r="BHA132" s="456"/>
      <c r="BHB132" s="456"/>
      <c r="BHC132" s="456"/>
      <c r="BHD132" s="456"/>
      <c r="BHE132" s="456"/>
      <c r="BHF132" s="456"/>
      <c r="BHG132" s="456"/>
      <c r="BHH132" s="456"/>
      <c r="BHI132" s="456"/>
      <c r="BHJ132" s="456"/>
      <c r="BHK132" s="456"/>
      <c r="BHL132" s="456"/>
      <c r="BHM132" s="456"/>
      <c r="BHN132" s="456"/>
      <c r="BHO132" s="456"/>
      <c r="BHP132" s="456"/>
      <c r="BHQ132" s="456"/>
      <c r="BHR132" s="456"/>
      <c r="BHS132" s="456"/>
      <c r="BHT132" s="456"/>
      <c r="BHU132" s="456"/>
      <c r="BHV132" s="456"/>
      <c r="BHW132" s="456"/>
      <c r="BHX132" s="456"/>
      <c r="BHY132" s="456"/>
      <c r="BHZ132" s="456"/>
      <c r="BIA132" s="456"/>
      <c r="BIB132" s="456"/>
      <c r="BIC132" s="456"/>
      <c r="BID132" s="456"/>
      <c r="BIE132" s="456"/>
      <c r="BIF132" s="456"/>
      <c r="BIG132" s="456"/>
      <c r="BIH132" s="456"/>
      <c r="BII132" s="456"/>
      <c r="BIJ132" s="456"/>
      <c r="BIK132" s="456"/>
      <c r="BIL132" s="456"/>
      <c r="BIM132" s="456"/>
      <c r="BIN132" s="456"/>
      <c r="BIO132" s="456"/>
      <c r="BIP132" s="456"/>
      <c r="BIQ132" s="456"/>
      <c r="BIR132" s="456"/>
      <c r="BIS132" s="456"/>
      <c r="BIT132" s="456"/>
      <c r="BIU132" s="456"/>
      <c r="BIV132" s="456"/>
      <c r="BIW132" s="456"/>
      <c r="BIX132" s="456"/>
      <c r="BIY132" s="456"/>
      <c r="BIZ132" s="456"/>
      <c r="BJA132" s="456"/>
      <c r="BJB132" s="456"/>
      <c r="BJC132" s="456"/>
      <c r="BJD132" s="456"/>
      <c r="BJE132" s="456"/>
      <c r="BJF132" s="456"/>
      <c r="BJG132" s="456"/>
      <c r="BJH132" s="456"/>
      <c r="BJI132" s="456"/>
      <c r="BJJ132" s="456"/>
      <c r="BJK132" s="456"/>
      <c r="BJL132" s="456"/>
      <c r="BJM132" s="456"/>
      <c r="BJN132" s="456"/>
      <c r="BJO132" s="456"/>
      <c r="BJP132" s="456"/>
      <c r="BJQ132" s="456"/>
      <c r="BJR132" s="456"/>
      <c r="BJS132" s="456"/>
      <c r="BJT132" s="456"/>
      <c r="BJU132" s="456"/>
      <c r="BJV132" s="456"/>
      <c r="BJW132" s="456"/>
      <c r="BJX132" s="456"/>
      <c r="BJY132" s="456"/>
      <c r="BJZ132" s="456"/>
      <c r="BKA132" s="456"/>
      <c r="BKB132" s="456"/>
      <c r="BKC132" s="456"/>
      <c r="BKD132" s="456"/>
      <c r="BKE132" s="456"/>
      <c r="BKF132" s="456"/>
      <c r="BKG132" s="456"/>
      <c r="BKH132" s="456"/>
      <c r="BKI132" s="456"/>
      <c r="BKJ132" s="456"/>
      <c r="BKK132" s="456"/>
      <c r="BKL132" s="456"/>
      <c r="BKM132" s="456"/>
      <c r="BKN132" s="456"/>
      <c r="BKO132" s="456"/>
      <c r="BKP132" s="456"/>
      <c r="BKQ132" s="456"/>
      <c r="BKR132" s="456"/>
      <c r="BKS132" s="456"/>
      <c r="BKT132" s="456"/>
      <c r="BKU132" s="456"/>
      <c r="BKV132" s="456"/>
      <c r="BKW132" s="456"/>
      <c r="BKX132" s="456"/>
      <c r="BKY132" s="456"/>
      <c r="BKZ132" s="456"/>
      <c r="BLA132" s="456"/>
      <c r="BLB132" s="456"/>
      <c r="BLC132" s="456"/>
      <c r="BLD132" s="456"/>
      <c r="BLE132" s="456"/>
      <c r="BLF132" s="456"/>
      <c r="BLG132" s="456"/>
      <c r="BLH132" s="456"/>
      <c r="BLI132" s="456"/>
      <c r="BLJ132" s="456"/>
      <c r="BLK132" s="456"/>
      <c r="BLL132" s="456"/>
      <c r="BLM132" s="456"/>
      <c r="BLN132" s="456"/>
      <c r="BLO132" s="456"/>
      <c r="BLP132" s="456"/>
      <c r="BLQ132" s="456"/>
      <c r="BLR132" s="456"/>
      <c r="BLS132" s="456"/>
      <c r="BLT132" s="456"/>
      <c r="BLU132" s="456"/>
      <c r="BLV132" s="456"/>
      <c r="BLW132" s="456"/>
      <c r="BLX132" s="456"/>
      <c r="BLY132" s="456"/>
      <c r="BLZ132" s="456"/>
      <c r="BMA132" s="456"/>
      <c r="BMB132" s="456"/>
      <c r="BMC132" s="456"/>
      <c r="BMD132" s="456"/>
      <c r="BME132" s="456"/>
      <c r="BMF132" s="456"/>
      <c r="BMG132" s="456"/>
      <c r="BMH132" s="456"/>
      <c r="BMI132" s="456"/>
      <c r="BMJ132" s="456"/>
      <c r="BMK132" s="456"/>
      <c r="BML132" s="456"/>
      <c r="BMM132" s="456"/>
      <c r="BMN132" s="456"/>
      <c r="BMO132" s="456"/>
      <c r="BMP132" s="456"/>
      <c r="BMQ132" s="456"/>
      <c r="BMR132" s="456"/>
      <c r="BMS132" s="456"/>
      <c r="BMT132" s="456"/>
      <c r="BMU132" s="456"/>
      <c r="BMV132" s="456"/>
      <c r="BMW132" s="456"/>
      <c r="BMX132" s="456"/>
      <c r="BMY132" s="456"/>
      <c r="BMZ132" s="456"/>
      <c r="BNA132" s="456"/>
      <c r="BNB132" s="456"/>
      <c r="BNC132" s="456"/>
      <c r="BND132" s="456"/>
      <c r="BNE132" s="456"/>
      <c r="BNF132" s="456"/>
      <c r="BNG132" s="456"/>
      <c r="BNH132" s="456"/>
      <c r="BNI132" s="456"/>
      <c r="BNJ132" s="456"/>
      <c r="BNK132" s="456"/>
      <c r="BNL132" s="456"/>
      <c r="BNM132" s="456"/>
      <c r="BNN132" s="456"/>
      <c r="BNO132" s="456"/>
      <c r="BNP132" s="456"/>
      <c r="BNQ132" s="456"/>
      <c r="BNR132" s="456"/>
      <c r="BNS132" s="456"/>
      <c r="BNT132" s="456"/>
      <c r="BNU132" s="456"/>
      <c r="BNV132" s="456"/>
      <c r="BNW132" s="456"/>
      <c r="BNX132" s="456"/>
      <c r="BNY132" s="456"/>
      <c r="BNZ132" s="456"/>
      <c r="BOA132" s="456"/>
      <c r="BOB132" s="456"/>
      <c r="BOC132" s="456"/>
      <c r="BOD132" s="456"/>
      <c r="BOE132" s="456"/>
      <c r="BOF132" s="456"/>
      <c r="BOG132" s="456"/>
      <c r="BOH132" s="456"/>
      <c r="BOI132" s="456"/>
      <c r="BOJ132" s="456"/>
      <c r="BOK132" s="456"/>
      <c r="BOL132" s="456"/>
      <c r="BOM132" s="456"/>
      <c r="BON132" s="456"/>
      <c r="BOO132" s="456"/>
      <c r="BOP132" s="456"/>
      <c r="BOQ132" s="456"/>
      <c r="BOR132" s="456"/>
      <c r="BOS132" s="456"/>
      <c r="BOT132" s="456"/>
      <c r="BOU132" s="456"/>
      <c r="BOV132" s="456"/>
      <c r="BOW132" s="456"/>
      <c r="BOX132" s="456"/>
      <c r="BOY132" s="456"/>
      <c r="BOZ132" s="456"/>
      <c r="BPA132" s="456"/>
      <c r="BPB132" s="456"/>
      <c r="BPC132" s="456"/>
      <c r="BPD132" s="456"/>
      <c r="BPE132" s="456"/>
      <c r="BPF132" s="456"/>
      <c r="BPG132" s="456"/>
      <c r="BPH132" s="456"/>
      <c r="BPI132" s="456"/>
      <c r="BPJ132" s="456"/>
      <c r="BPK132" s="456"/>
      <c r="BPL132" s="456"/>
      <c r="BPM132" s="456"/>
      <c r="BPN132" s="456"/>
      <c r="BPO132" s="456"/>
      <c r="BPP132" s="456"/>
      <c r="BPQ132" s="456"/>
      <c r="BPR132" s="456"/>
      <c r="BPS132" s="456"/>
      <c r="BPT132" s="456"/>
      <c r="BPU132" s="456"/>
      <c r="BPV132" s="456"/>
      <c r="BPW132" s="456"/>
      <c r="BPX132" s="456"/>
      <c r="BPY132" s="456"/>
      <c r="BPZ132" s="456"/>
      <c r="BQA132" s="456"/>
      <c r="BQB132" s="456"/>
      <c r="BQC132" s="456"/>
      <c r="BQD132" s="456"/>
      <c r="BQE132" s="456"/>
      <c r="BQF132" s="456"/>
      <c r="BQG132" s="456"/>
      <c r="BQH132" s="456"/>
      <c r="BQI132" s="456"/>
      <c r="BQJ132" s="456"/>
      <c r="BQK132" s="456"/>
      <c r="BQL132" s="456"/>
      <c r="BQM132" s="456"/>
      <c r="BQN132" s="456"/>
      <c r="BQO132" s="456"/>
      <c r="BQP132" s="456"/>
      <c r="BQQ132" s="456"/>
      <c r="BQR132" s="456"/>
      <c r="BQS132" s="456"/>
      <c r="BQT132" s="456"/>
      <c r="BQU132" s="456"/>
      <c r="BQV132" s="456"/>
      <c r="BQW132" s="456"/>
      <c r="BQX132" s="456"/>
      <c r="BQY132" s="456"/>
      <c r="BQZ132" s="456"/>
      <c r="BRA132" s="456"/>
      <c r="BRB132" s="456"/>
      <c r="BRC132" s="456"/>
      <c r="BRD132" s="456"/>
      <c r="BRE132" s="456"/>
      <c r="BRF132" s="456"/>
      <c r="BRG132" s="456"/>
      <c r="BRH132" s="456"/>
      <c r="BRI132" s="456"/>
      <c r="BRJ132" s="456"/>
      <c r="BRK132" s="456"/>
      <c r="BRL132" s="456"/>
      <c r="BRM132" s="456"/>
      <c r="BRN132" s="456"/>
      <c r="BRO132" s="456"/>
      <c r="BRP132" s="456"/>
      <c r="BRQ132" s="456"/>
      <c r="BRR132" s="456"/>
      <c r="BRS132" s="456"/>
      <c r="BRT132" s="456"/>
      <c r="BRU132" s="456"/>
      <c r="BRV132" s="456"/>
      <c r="BRW132" s="456"/>
      <c r="BRX132" s="456"/>
      <c r="BRY132" s="456"/>
      <c r="BRZ132" s="456"/>
      <c r="BSA132" s="456"/>
      <c r="BSB132" s="456"/>
      <c r="BSC132" s="456"/>
      <c r="BSD132" s="456"/>
      <c r="BSE132" s="456"/>
      <c r="BSF132" s="456"/>
      <c r="BSG132" s="456"/>
      <c r="BSH132" s="456"/>
      <c r="BSI132" s="456"/>
      <c r="BSJ132" s="456"/>
      <c r="BSK132" s="456"/>
      <c r="BSL132" s="456"/>
      <c r="BSM132" s="456"/>
      <c r="BSN132" s="456"/>
      <c r="BSO132" s="456"/>
      <c r="BSP132" s="456"/>
      <c r="BSQ132" s="456"/>
      <c r="BSR132" s="456"/>
      <c r="BSS132" s="456"/>
      <c r="BST132" s="456"/>
      <c r="BSU132" s="456"/>
      <c r="BSV132" s="456"/>
      <c r="BSW132" s="456"/>
      <c r="BSX132" s="456"/>
      <c r="BSY132" s="456"/>
      <c r="BSZ132" s="456"/>
      <c r="BTA132" s="456"/>
      <c r="BTB132" s="456"/>
      <c r="BTC132" s="456"/>
      <c r="BTD132" s="456"/>
      <c r="BTE132" s="456"/>
      <c r="BTF132" s="456"/>
      <c r="BTG132" s="456"/>
      <c r="BTH132" s="456"/>
      <c r="BTI132" s="456"/>
      <c r="BTJ132" s="456"/>
      <c r="BTK132" s="456"/>
      <c r="BTL132" s="456"/>
      <c r="BTM132" s="456"/>
      <c r="BTN132" s="456"/>
      <c r="BTO132" s="456"/>
      <c r="BTP132" s="456"/>
      <c r="BTQ132" s="456"/>
      <c r="BTR132" s="456"/>
      <c r="BTS132" s="456"/>
      <c r="BTT132" s="456"/>
      <c r="BTU132" s="456"/>
      <c r="BTV132" s="456"/>
      <c r="BTW132" s="456"/>
      <c r="BTX132" s="456"/>
      <c r="BTY132" s="456"/>
      <c r="BTZ132" s="456"/>
      <c r="BUA132" s="456"/>
      <c r="BUB132" s="456"/>
      <c r="BUC132" s="456"/>
      <c r="BUD132" s="456"/>
      <c r="BUE132" s="456"/>
      <c r="BUF132" s="456"/>
      <c r="BUG132" s="456"/>
      <c r="BUH132" s="456"/>
      <c r="BUI132" s="456"/>
      <c r="BUJ132" s="456"/>
      <c r="BUK132" s="456"/>
      <c r="BUL132" s="456"/>
      <c r="BUM132" s="456"/>
      <c r="BUN132" s="456"/>
      <c r="BUO132" s="456"/>
      <c r="BUP132" s="456"/>
      <c r="BUQ132" s="456"/>
      <c r="BUR132" s="456"/>
      <c r="BUS132" s="456"/>
      <c r="BUT132" s="456"/>
      <c r="BUU132" s="456"/>
      <c r="BUV132" s="456"/>
      <c r="BUW132" s="456"/>
      <c r="BUX132" s="456"/>
      <c r="BUY132" s="456"/>
      <c r="BUZ132" s="456"/>
      <c r="BVA132" s="456"/>
      <c r="BVB132" s="456"/>
      <c r="BVC132" s="456"/>
      <c r="BVD132" s="456"/>
      <c r="BVE132" s="456"/>
      <c r="BVF132" s="456"/>
      <c r="BVG132" s="456"/>
      <c r="BVH132" s="456"/>
      <c r="BVI132" s="456"/>
      <c r="BVJ132" s="456"/>
      <c r="BVK132" s="456"/>
      <c r="BVL132" s="456"/>
      <c r="BVM132" s="456"/>
      <c r="BVN132" s="456"/>
      <c r="BVO132" s="456"/>
      <c r="BVP132" s="456"/>
      <c r="BVQ132" s="456"/>
      <c r="BVR132" s="456"/>
      <c r="BVS132" s="456"/>
      <c r="BVT132" s="456"/>
      <c r="BVU132" s="456"/>
      <c r="BVV132" s="456"/>
      <c r="BVW132" s="456"/>
      <c r="BVX132" s="456"/>
      <c r="BVY132" s="456"/>
      <c r="BVZ132" s="456"/>
      <c r="BWA132" s="456"/>
      <c r="BWB132" s="456"/>
      <c r="BWC132" s="456"/>
      <c r="BWD132" s="456"/>
      <c r="BWE132" s="456"/>
      <c r="BWF132" s="456"/>
      <c r="BWG132" s="456"/>
      <c r="BWH132" s="456"/>
      <c r="BWI132" s="456"/>
      <c r="BWJ132" s="456"/>
      <c r="BWK132" s="456"/>
      <c r="BWL132" s="456"/>
      <c r="BWM132" s="456"/>
      <c r="BWN132" s="456"/>
      <c r="BWO132" s="456"/>
      <c r="BWP132" s="456"/>
      <c r="BWQ132" s="456"/>
      <c r="BWR132" s="456"/>
      <c r="BWS132" s="456"/>
      <c r="BWT132" s="456"/>
      <c r="BWU132" s="456"/>
      <c r="BWV132" s="456"/>
      <c r="BWW132" s="456"/>
      <c r="BWX132" s="456"/>
      <c r="BWY132" s="456"/>
      <c r="BWZ132" s="456"/>
      <c r="BXA132" s="456"/>
      <c r="BXB132" s="456"/>
      <c r="BXC132" s="456"/>
      <c r="BXD132" s="456"/>
      <c r="BXE132" s="456"/>
      <c r="BXF132" s="456"/>
      <c r="BXG132" s="456"/>
      <c r="BXH132" s="456"/>
      <c r="BXI132" s="456"/>
      <c r="BXJ132" s="456"/>
      <c r="BXK132" s="456"/>
      <c r="BXL132" s="456"/>
      <c r="BXM132" s="456"/>
      <c r="BXN132" s="456"/>
      <c r="BXO132" s="456"/>
      <c r="BXP132" s="456"/>
      <c r="BXQ132" s="456"/>
      <c r="BXR132" s="456"/>
      <c r="BXS132" s="456"/>
      <c r="BXT132" s="456"/>
      <c r="BXU132" s="456"/>
      <c r="BXV132" s="456"/>
      <c r="BXW132" s="456"/>
      <c r="BXX132" s="456"/>
      <c r="BXY132" s="456"/>
      <c r="BXZ132" s="456"/>
    </row>
    <row r="133" s="25" customFormat="1" ht="15.6" spans="1:1024 1025:2002">
      <c r="A133" s="473"/>
      <c r="B133" s="19">
        <v>1125</v>
      </c>
      <c r="C133" s="183">
        <v>46196</v>
      </c>
      <c r="D133" s="17" t="s">
        <v>52</v>
      </c>
      <c r="E133" s="17" t="s">
        <v>53</v>
      </c>
      <c r="F133" s="17" t="s">
        <v>54</v>
      </c>
      <c r="G133" s="17"/>
      <c r="H133" s="19" t="s">
        <v>55</v>
      </c>
      <c r="I133" s="102" t="s">
        <v>56</v>
      </c>
      <c r="J133" s="17" t="s">
        <v>49</v>
      </c>
      <c r="K133" s="91">
        <v>610</v>
      </c>
      <c r="L133" s="19">
        <v>310</v>
      </c>
      <c r="M133" s="19">
        <v>5800</v>
      </c>
      <c r="N133" s="19" t="s">
        <v>40</v>
      </c>
      <c r="O133" s="19" t="s">
        <v>84</v>
      </c>
      <c r="P133" s="19">
        <f>4900*2</f>
        <v>9800</v>
      </c>
      <c r="Q133" s="19">
        <v>5510</v>
      </c>
      <c r="R133" s="19">
        <f t="shared" si="9"/>
        <v>4290</v>
      </c>
      <c r="S133" s="311">
        <v>2040</v>
      </c>
      <c r="T133" s="19" t="s">
        <v>42</v>
      </c>
      <c r="U133" s="102" t="s">
        <v>101</v>
      </c>
      <c r="V133" s="186">
        <v>46197</v>
      </c>
      <c r="W133" s="17" t="s">
        <v>58</v>
      </c>
      <c r="X133" s="17"/>
      <c r="Y133" s="68">
        <v>46204</v>
      </c>
      <c r="Z133" s="17" t="s">
        <v>45</v>
      </c>
      <c r="AA133" s="17" t="s">
        <v>59</v>
      </c>
      <c r="AB133" s="17" t="s">
        <v>60</v>
      </c>
      <c r="AC133" s="217">
        <v>46281</v>
      </c>
      <c r="AD133" s="65">
        <v>1862</v>
      </c>
      <c r="AE133" s="17" t="s">
        <v>48</v>
      </c>
      <c r="AF133" s="17" t="s">
        <v>61</v>
      </c>
      <c r="AG133" s="17" t="s">
        <v>103</v>
      </c>
      <c r="AH133" s="456"/>
      <c r="AI133" s="456"/>
      <c r="AJ133" s="456"/>
      <c r="AK133" s="456"/>
      <c r="AL133" s="456"/>
      <c r="AM133" s="456"/>
      <c r="AN133" s="456"/>
      <c r="AO133" s="456"/>
      <c r="AP133" s="456"/>
      <c r="AQ133" s="456"/>
      <c r="AR133" s="456"/>
      <c r="AS133" s="456"/>
      <c r="AT133" s="456"/>
      <c r="AU133" s="456"/>
      <c r="AV133" s="456"/>
      <c r="AW133" s="456"/>
      <c r="AX133" s="456"/>
      <c r="AY133" s="456"/>
      <c r="AZ133" s="456"/>
      <c r="BA133" s="456"/>
      <c r="BB133" s="456"/>
      <c r="BC133" s="456"/>
      <c r="BD133" s="456"/>
      <c r="BE133" s="456"/>
      <c r="BF133" s="456"/>
      <c r="BG133" s="456"/>
      <c r="BH133" s="456"/>
      <c r="BI133" s="456"/>
      <c r="BJ133" s="456"/>
      <c r="BK133" s="456"/>
      <c r="BL133" s="456"/>
      <c r="BM133" s="456"/>
      <c r="BN133" s="456"/>
      <c r="BO133" s="456"/>
      <c r="BP133" s="456"/>
      <c r="BQ133" s="456"/>
      <c r="BR133" s="456"/>
      <c r="BS133" s="456"/>
      <c r="BT133" s="456"/>
      <c r="BU133" s="456"/>
      <c r="BV133" s="456"/>
      <c r="BW133" s="456"/>
      <c r="BX133" s="456"/>
      <c r="BY133" s="456"/>
      <c r="BZ133" s="456"/>
      <c r="CA133" s="456"/>
      <c r="CB133" s="456"/>
      <c r="CC133" s="456"/>
      <c r="CD133" s="456"/>
      <c r="CE133" s="456"/>
      <c r="CF133" s="456"/>
      <c r="CG133" s="456"/>
      <c r="CH133" s="456"/>
      <c r="CI133" s="456"/>
      <c r="CJ133" s="456"/>
      <c r="CK133" s="456"/>
      <c r="CL133" s="456"/>
      <c r="CM133" s="456"/>
      <c r="CN133" s="456"/>
      <c r="CO133" s="456"/>
      <c r="CP133" s="456"/>
      <c r="CQ133" s="456"/>
      <c r="CR133" s="456"/>
      <c r="CS133" s="456"/>
      <c r="CT133" s="456"/>
      <c r="CU133" s="456"/>
      <c r="CV133" s="456"/>
      <c r="CW133" s="456"/>
      <c r="CX133" s="456"/>
      <c r="CY133" s="456"/>
      <c r="CZ133" s="456"/>
      <c r="DA133" s="456"/>
      <c r="DB133" s="456"/>
      <c r="DC133" s="456"/>
      <c r="DD133" s="456"/>
      <c r="DE133" s="456"/>
      <c r="DF133" s="456"/>
      <c r="DG133" s="456"/>
      <c r="DH133" s="456"/>
      <c r="DI133" s="456"/>
      <c r="DJ133" s="456"/>
      <c r="DK133" s="456"/>
      <c r="DL133" s="456"/>
      <c r="DM133" s="456"/>
      <c r="DN133" s="456"/>
      <c r="DO133" s="456"/>
      <c r="DP133" s="456"/>
      <c r="DQ133" s="456"/>
      <c r="DR133" s="456"/>
      <c r="DS133" s="456"/>
      <c r="DT133" s="456"/>
      <c r="DU133" s="456"/>
      <c r="DV133" s="456"/>
      <c r="DW133" s="456"/>
      <c r="DX133" s="456"/>
      <c r="DY133" s="456"/>
      <c r="DZ133" s="456"/>
      <c r="EA133" s="456"/>
      <c r="EB133" s="456"/>
      <c r="EC133" s="456"/>
      <c r="ED133" s="456"/>
      <c r="EE133" s="456"/>
      <c r="EF133" s="456"/>
      <c r="EG133" s="456"/>
      <c r="EH133" s="456"/>
      <c r="EI133" s="456"/>
      <c r="EJ133" s="456"/>
      <c r="EK133" s="456"/>
      <c r="EL133" s="456"/>
      <c r="EM133" s="456"/>
      <c r="EN133" s="456"/>
      <c r="EO133" s="456"/>
      <c r="EP133" s="456"/>
      <c r="EQ133" s="456"/>
      <c r="ER133" s="456"/>
      <c r="ES133" s="456"/>
      <c r="ET133" s="456"/>
      <c r="EU133" s="456"/>
      <c r="EV133" s="456"/>
      <c r="EW133" s="456"/>
      <c r="EX133" s="456"/>
      <c r="EY133" s="456"/>
      <c r="EZ133" s="456"/>
      <c r="FA133" s="456"/>
      <c r="FB133" s="456"/>
      <c r="FC133" s="456"/>
      <c r="FD133" s="456"/>
      <c r="FE133" s="456"/>
      <c r="FF133" s="456"/>
      <c r="FG133" s="456"/>
      <c r="FH133" s="456"/>
      <c r="FI133" s="456"/>
      <c r="FJ133" s="456"/>
      <c r="FK133" s="456"/>
      <c r="FL133" s="456"/>
      <c r="FM133" s="456"/>
      <c r="FN133" s="456"/>
      <c r="FO133" s="456"/>
      <c r="FP133" s="456"/>
      <c r="FQ133" s="456"/>
      <c r="FR133" s="456"/>
      <c r="FS133" s="456"/>
      <c r="FT133" s="456"/>
      <c r="FU133" s="456"/>
      <c r="FV133" s="456"/>
      <c r="FW133" s="456"/>
      <c r="FX133" s="456"/>
      <c r="FY133" s="456"/>
      <c r="FZ133" s="456"/>
      <c r="GA133" s="456"/>
      <c r="GB133" s="456"/>
      <c r="GC133" s="456"/>
      <c r="GD133" s="456"/>
      <c r="GE133" s="456"/>
      <c r="GF133" s="456"/>
      <c r="GG133" s="456"/>
      <c r="GH133" s="456"/>
      <c r="GI133" s="456"/>
      <c r="GJ133" s="456"/>
      <c r="GK133" s="456"/>
      <c r="GL133" s="456"/>
      <c r="GM133" s="456"/>
      <c r="GN133" s="456"/>
      <c r="GO133" s="456"/>
      <c r="GP133" s="456"/>
      <c r="GQ133" s="456"/>
      <c r="GR133" s="456"/>
      <c r="GS133" s="456"/>
      <c r="GT133" s="456"/>
      <c r="GU133" s="456"/>
      <c r="GV133" s="456"/>
      <c r="GW133" s="456"/>
      <c r="GX133" s="456"/>
      <c r="GY133" s="456"/>
      <c r="GZ133" s="456"/>
      <c r="HA133" s="456"/>
      <c r="HB133" s="456"/>
      <c r="HC133" s="456"/>
      <c r="HD133" s="456"/>
      <c r="HE133" s="456"/>
      <c r="HF133" s="456"/>
      <c r="HG133" s="456"/>
      <c r="HH133" s="456"/>
      <c r="HI133" s="456"/>
      <c r="HJ133" s="456"/>
      <c r="HK133" s="456"/>
      <c r="HL133" s="456"/>
      <c r="HM133" s="456"/>
      <c r="HN133" s="456"/>
      <c r="HO133" s="456"/>
      <c r="HP133" s="456"/>
      <c r="HQ133" s="456"/>
      <c r="HR133" s="456"/>
      <c r="HS133" s="456"/>
      <c r="HT133" s="456"/>
      <c r="HU133" s="456"/>
      <c r="HV133" s="456"/>
      <c r="HW133" s="456"/>
      <c r="HX133" s="456"/>
      <c r="HY133" s="456"/>
      <c r="HZ133" s="456"/>
      <c r="IA133" s="456"/>
      <c r="IB133" s="456"/>
      <c r="IC133" s="456"/>
      <c r="ID133" s="456"/>
      <c r="IE133" s="456"/>
      <c r="IF133" s="456"/>
      <c r="IG133" s="456"/>
      <c r="IH133" s="456"/>
      <c r="II133" s="456"/>
      <c r="IJ133" s="456"/>
      <c r="IK133" s="456"/>
      <c r="IL133" s="456"/>
      <c r="IM133" s="456"/>
      <c r="IN133" s="456"/>
      <c r="IO133" s="456"/>
      <c r="IP133" s="456"/>
      <c r="IQ133" s="456"/>
      <c r="IR133" s="456"/>
      <c r="IS133" s="456"/>
      <c r="IT133" s="456"/>
      <c r="IU133" s="456"/>
      <c r="IV133" s="456"/>
      <c r="IW133" s="456"/>
      <c r="IX133" s="456"/>
      <c r="IY133" s="456"/>
      <c r="IZ133" s="456"/>
      <c r="JA133" s="456"/>
      <c r="JB133" s="456"/>
      <c r="JC133" s="456"/>
      <c r="JD133" s="456"/>
      <c r="JE133" s="456"/>
      <c r="JF133" s="456"/>
      <c r="JG133" s="456"/>
      <c r="JH133" s="456"/>
      <c r="JI133" s="456"/>
      <c r="JJ133" s="456"/>
      <c r="JK133" s="456"/>
      <c r="JL133" s="456"/>
      <c r="JM133" s="456"/>
      <c r="JN133" s="456"/>
      <c r="JO133" s="456"/>
      <c r="JP133" s="456"/>
      <c r="JQ133" s="456"/>
      <c r="JR133" s="456"/>
      <c r="JS133" s="456"/>
      <c r="JT133" s="456"/>
      <c r="JU133" s="456"/>
      <c r="JV133" s="456"/>
      <c r="JW133" s="456"/>
      <c r="JX133" s="456"/>
      <c r="JY133" s="456"/>
      <c r="JZ133" s="456"/>
      <c r="KA133" s="456"/>
      <c r="KB133" s="456"/>
      <c r="KC133" s="456"/>
      <c r="KD133" s="456"/>
      <c r="KE133" s="456"/>
      <c r="KF133" s="456"/>
      <c r="KG133" s="456"/>
      <c r="KH133" s="456"/>
      <c r="KI133" s="456"/>
      <c r="KJ133" s="456"/>
      <c r="KK133" s="456"/>
      <c r="KL133" s="456"/>
      <c r="KM133" s="456"/>
      <c r="KN133" s="456"/>
      <c r="KO133" s="456"/>
      <c r="KP133" s="456"/>
      <c r="KQ133" s="456"/>
      <c r="KR133" s="456"/>
      <c r="KS133" s="456"/>
      <c r="KT133" s="456"/>
      <c r="KU133" s="456"/>
      <c r="KV133" s="456"/>
      <c r="KW133" s="456"/>
      <c r="KX133" s="456"/>
      <c r="KY133" s="456"/>
      <c r="KZ133" s="456"/>
      <c r="LA133" s="456"/>
      <c r="LB133" s="456"/>
      <c r="LC133" s="456"/>
      <c r="LD133" s="456"/>
      <c r="LE133" s="456"/>
      <c r="LF133" s="456"/>
      <c r="LG133" s="456"/>
      <c r="LH133" s="456"/>
      <c r="LI133" s="456"/>
      <c r="LJ133" s="456"/>
      <c r="LK133" s="456"/>
      <c r="LL133" s="456"/>
      <c r="LM133" s="456"/>
      <c r="LN133" s="456"/>
      <c r="LO133" s="456"/>
      <c r="LP133" s="456"/>
      <c r="LQ133" s="456"/>
      <c r="LR133" s="456"/>
      <c r="LS133" s="456"/>
      <c r="LT133" s="456"/>
      <c r="LU133" s="456"/>
      <c r="LV133" s="456"/>
      <c r="LW133" s="456"/>
      <c r="LX133" s="456"/>
      <c r="LY133" s="456"/>
      <c r="LZ133" s="456"/>
      <c r="MA133" s="456"/>
      <c r="MB133" s="456"/>
      <c r="MC133" s="456"/>
      <c r="MD133" s="456"/>
      <c r="ME133" s="456"/>
      <c r="MF133" s="456"/>
      <c r="MG133" s="456"/>
      <c r="MH133" s="456"/>
      <c r="MI133" s="456"/>
      <c r="MJ133" s="456"/>
      <c r="MK133" s="456"/>
      <c r="ML133" s="456"/>
      <c r="MM133" s="456"/>
      <c r="MN133" s="456"/>
      <c r="MO133" s="456"/>
      <c r="MP133" s="456"/>
      <c r="MQ133" s="456"/>
      <c r="MR133" s="456"/>
      <c r="MS133" s="456"/>
      <c r="MT133" s="456"/>
      <c r="MU133" s="456"/>
      <c r="MV133" s="456"/>
      <c r="MW133" s="456"/>
      <c r="MX133" s="456"/>
      <c r="MY133" s="456"/>
      <c r="MZ133" s="456"/>
      <c r="NA133" s="456"/>
      <c r="NB133" s="456"/>
      <c r="NC133" s="456"/>
      <c r="ND133" s="456"/>
      <c r="NE133" s="456"/>
      <c r="NF133" s="456"/>
      <c r="NG133" s="456"/>
      <c r="NH133" s="456"/>
      <c r="NI133" s="456"/>
      <c r="NJ133" s="456"/>
      <c r="NK133" s="456"/>
      <c r="NL133" s="456"/>
      <c r="NM133" s="456"/>
      <c r="NN133" s="456"/>
      <c r="NO133" s="456"/>
      <c r="NP133" s="456"/>
      <c r="NQ133" s="456"/>
      <c r="NR133" s="456"/>
      <c r="NS133" s="456"/>
      <c r="NT133" s="456"/>
      <c r="NU133" s="456"/>
      <c r="NV133" s="456"/>
      <c r="NW133" s="456"/>
      <c r="NX133" s="456"/>
      <c r="NY133" s="456"/>
      <c r="NZ133" s="456"/>
      <c r="OA133" s="456"/>
      <c r="OB133" s="456"/>
      <c r="OC133" s="456"/>
      <c r="OD133" s="456"/>
      <c r="OE133" s="456"/>
      <c r="OF133" s="456"/>
      <c r="OG133" s="456"/>
      <c r="OH133" s="456"/>
      <c r="OI133" s="456"/>
      <c r="OJ133" s="456"/>
      <c r="OK133" s="456"/>
      <c r="OL133" s="456"/>
      <c r="OM133" s="456"/>
      <c r="ON133" s="456"/>
      <c r="OO133" s="456"/>
      <c r="OP133" s="456"/>
      <c r="OQ133" s="456"/>
      <c r="OR133" s="456"/>
      <c r="OS133" s="456"/>
      <c r="OT133" s="456"/>
      <c r="OU133" s="456"/>
      <c r="OV133" s="456"/>
      <c r="OW133" s="456"/>
      <c r="OX133" s="456"/>
      <c r="OY133" s="456"/>
      <c r="OZ133" s="456"/>
      <c r="PA133" s="456"/>
      <c r="PB133" s="456"/>
      <c r="PC133" s="456"/>
      <c r="PD133" s="456"/>
      <c r="PE133" s="456"/>
      <c r="PF133" s="456"/>
      <c r="PG133" s="456"/>
      <c r="PH133" s="456"/>
      <c r="PI133" s="456"/>
      <c r="PJ133" s="456"/>
      <c r="PK133" s="456"/>
      <c r="PL133" s="456"/>
      <c r="PM133" s="456"/>
      <c r="PN133" s="456"/>
      <c r="PO133" s="456"/>
      <c r="PP133" s="456"/>
      <c r="PQ133" s="456"/>
      <c r="PR133" s="456"/>
      <c r="PS133" s="456"/>
      <c r="PT133" s="456"/>
      <c r="PU133" s="456"/>
      <c r="PV133" s="456"/>
      <c r="PW133" s="456"/>
      <c r="PX133" s="456"/>
      <c r="PY133" s="456"/>
      <c r="PZ133" s="456"/>
      <c r="QA133" s="456"/>
      <c r="QB133" s="456"/>
      <c r="QC133" s="456"/>
      <c r="QD133" s="456"/>
      <c r="QE133" s="456"/>
      <c r="QF133" s="456"/>
      <c r="QG133" s="456"/>
      <c r="QH133" s="456"/>
      <c r="QI133" s="456"/>
      <c r="QJ133" s="456"/>
      <c r="QK133" s="456"/>
      <c r="QL133" s="456"/>
      <c r="QM133" s="456"/>
      <c r="QN133" s="456"/>
      <c r="QO133" s="456"/>
      <c r="QP133" s="456"/>
      <c r="QQ133" s="456"/>
      <c r="QR133" s="456"/>
      <c r="QS133" s="456"/>
      <c r="QT133" s="456"/>
      <c r="QU133" s="456"/>
      <c r="QV133" s="456"/>
      <c r="QW133" s="456"/>
      <c r="QX133" s="456"/>
      <c r="QY133" s="456"/>
      <c r="QZ133" s="456"/>
      <c r="RA133" s="456"/>
      <c r="RB133" s="456"/>
      <c r="RC133" s="456"/>
      <c r="RD133" s="456"/>
      <c r="RE133" s="456"/>
      <c r="RF133" s="456"/>
      <c r="RG133" s="456"/>
      <c r="RH133" s="456"/>
      <c r="RI133" s="456"/>
      <c r="RJ133" s="456"/>
      <c r="RK133" s="456"/>
      <c r="RL133" s="456"/>
      <c r="RM133" s="456"/>
      <c r="RN133" s="456"/>
      <c r="RO133" s="456"/>
      <c r="RP133" s="456"/>
      <c r="RQ133" s="456"/>
      <c r="RR133" s="456"/>
      <c r="RS133" s="456"/>
      <c r="RT133" s="456"/>
      <c r="RU133" s="456"/>
      <c r="RV133" s="456"/>
      <c r="RW133" s="456"/>
      <c r="RX133" s="456"/>
      <c r="RY133" s="456"/>
      <c r="RZ133" s="456"/>
      <c r="SA133" s="456"/>
      <c r="SB133" s="456"/>
      <c r="SC133" s="456"/>
      <c r="SD133" s="456"/>
      <c r="SE133" s="456"/>
      <c r="SF133" s="456"/>
      <c r="SG133" s="456"/>
      <c r="SH133" s="456"/>
      <c r="SI133" s="456"/>
      <c r="SJ133" s="456"/>
      <c r="SK133" s="456"/>
      <c r="SL133" s="456"/>
      <c r="SM133" s="456"/>
      <c r="SN133" s="456"/>
      <c r="SO133" s="456"/>
      <c r="SP133" s="456"/>
      <c r="SQ133" s="456"/>
      <c r="SR133" s="456"/>
      <c r="SS133" s="456"/>
      <c r="ST133" s="456"/>
      <c r="SU133" s="456"/>
      <c r="SV133" s="456"/>
      <c r="SW133" s="456"/>
      <c r="SX133" s="456"/>
      <c r="SY133" s="456"/>
      <c r="SZ133" s="456"/>
      <c r="TA133" s="456"/>
      <c r="TB133" s="456"/>
      <c r="TC133" s="456"/>
      <c r="TD133" s="456"/>
      <c r="TE133" s="456"/>
      <c r="TF133" s="456"/>
      <c r="TG133" s="456"/>
      <c r="TH133" s="456"/>
      <c r="TI133" s="456"/>
      <c r="TJ133" s="456"/>
      <c r="TK133" s="456"/>
      <c r="TL133" s="456"/>
      <c r="TM133" s="456"/>
      <c r="TN133" s="456"/>
      <c r="TO133" s="456"/>
      <c r="TP133" s="456"/>
      <c r="TQ133" s="456"/>
      <c r="TR133" s="456"/>
      <c r="TS133" s="456"/>
      <c r="TT133" s="456"/>
      <c r="TU133" s="456"/>
      <c r="TV133" s="456"/>
      <c r="TW133" s="456"/>
      <c r="TX133" s="456"/>
      <c r="TY133" s="456"/>
      <c r="TZ133" s="456"/>
      <c r="UA133" s="456"/>
      <c r="UB133" s="456"/>
      <c r="UC133" s="456"/>
      <c r="UD133" s="456"/>
      <c r="UE133" s="456"/>
      <c r="UF133" s="456"/>
      <c r="UG133" s="456"/>
      <c r="UH133" s="456"/>
      <c r="UI133" s="456"/>
      <c r="UJ133" s="456"/>
      <c r="UK133" s="456"/>
      <c r="UL133" s="456"/>
      <c r="UM133" s="456"/>
      <c r="UN133" s="456"/>
      <c r="UO133" s="456"/>
      <c r="UP133" s="456"/>
      <c r="UQ133" s="456"/>
      <c r="UR133" s="456"/>
      <c r="US133" s="456"/>
      <c r="UT133" s="456"/>
      <c r="UU133" s="456"/>
      <c r="UV133" s="456"/>
      <c r="UW133" s="456"/>
      <c r="UX133" s="456"/>
      <c r="UY133" s="456"/>
      <c r="UZ133" s="456"/>
      <c r="VA133" s="456"/>
      <c r="VB133" s="456"/>
      <c r="VC133" s="456"/>
      <c r="VD133" s="456"/>
      <c r="VE133" s="456"/>
      <c r="VF133" s="456"/>
      <c r="VG133" s="456"/>
      <c r="VH133" s="456"/>
      <c r="VI133" s="456"/>
      <c r="VJ133" s="456"/>
      <c r="VK133" s="456"/>
      <c r="VL133" s="456"/>
      <c r="VM133" s="456"/>
      <c r="VN133" s="456"/>
      <c r="VO133" s="456"/>
      <c r="VP133" s="456"/>
      <c r="VQ133" s="456"/>
      <c r="VR133" s="456"/>
      <c r="VS133" s="456"/>
      <c r="VT133" s="456"/>
      <c r="VU133" s="456"/>
      <c r="VV133" s="456"/>
      <c r="VW133" s="456"/>
      <c r="VX133" s="456"/>
      <c r="VY133" s="456"/>
      <c r="VZ133" s="456"/>
      <c r="WA133" s="456"/>
      <c r="WB133" s="456"/>
      <c r="WC133" s="456"/>
      <c r="WD133" s="456"/>
      <c r="WE133" s="456"/>
      <c r="WF133" s="456"/>
      <c r="WG133" s="456"/>
      <c r="WH133" s="456"/>
      <c r="WI133" s="456"/>
      <c r="WJ133" s="456"/>
      <c r="WK133" s="456"/>
      <c r="WL133" s="456"/>
      <c r="WM133" s="456"/>
      <c r="WN133" s="456"/>
      <c r="WO133" s="456"/>
      <c r="WP133" s="456"/>
      <c r="WQ133" s="456"/>
      <c r="WR133" s="456"/>
      <c r="WS133" s="456"/>
      <c r="WT133" s="456"/>
      <c r="WU133" s="456"/>
      <c r="WV133" s="456"/>
      <c r="WW133" s="456"/>
      <c r="WX133" s="456"/>
      <c r="WY133" s="456"/>
      <c r="WZ133" s="456"/>
      <c r="XA133" s="456"/>
      <c r="XB133" s="456"/>
      <c r="XC133" s="456"/>
      <c r="XD133" s="456"/>
      <c r="XE133" s="456"/>
      <c r="XF133" s="456"/>
      <c r="XG133" s="456"/>
      <c r="XH133" s="456"/>
      <c r="XI133" s="456"/>
      <c r="XJ133" s="456"/>
      <c r="XK133" s="456"/>
      <c r="XL133" s="456"/>
      <c r="XM133" s="456"/>
      <c r="XN133" s="456"/>
      <c r="XO133" s="456"/>
      <c r="XP133" s="456"/>
      <c r="XQ133" s="456"/>
      <c r="XR133" s="456"/>
      <c r="XS133" s="456"/>
      <c r="XT133" s="456"/>
      <c r="XU133" s="456"/>
      <c r="XV133" s="456"/>
      <c r="XW133" s="456"/>
      <c r="XX133" s="456"/>
      <c r="XY133" s="456"/>
      <c r="XZ133" s="456"/>
      <c r="YA133" s="456"/>
      <c r="YB133" s="456"/>
      <c r="YC133" s="456"/>
      <c r="YD133" s="456"/>
      <c r="YE133" s="456"/>
      <c r="YF133" s="456"/>
      <c r="YG133" s="456"/>
      <c r="YH133" s="456"/>
      <c r="YI133" s="456"/>
      <c r="YJ133" s="456"/>
      <c r="YK133" s="456"/>
      <c r="YL133" s="456"/>
      <c r="YM133" s="456"/>
      <c r="YN133" s="456"/>
      <c r="YO133" s="456"/>
      <c r="YP133" s="456"/>
      <c r="YQ133" s="456"/>
      <c r="YR133" s="456"/>
      <c r="YS133" s="456"/>
      <c r="YT133" s="456"/>
      <c r="YU133" s="456"/>
      <c r="YV133" s="456"/>
      <c r="YW133" s="456"/>
      <c r="YX133" s="456"/>
      <c r="YY133" s="456"/>
      <c r="YZ133" s="456"/>
      <c r="ZA133" s="456"/>
      <c r="ZB133" s="456"/>
      <c r="ZC133" s="456"/>
      <c r="ZD133" s="456"/>
      <c r="ZE133" s="456"/>
      <c r="ZF133" s="456"/>
      <c r="ZG133" s="456"/>
      <c r="ZH133" s="456"/>
      <c r="ZI133" s="456"/>
      <c r="ZJ133" s="456"/>
      <c r="ZK133" s="456"/>
      <c r="ZL133" s="456"/>
      <c r="ZM133" s="456"/>
      <c r="ZN133" s="456"/>
      <c r="ZO133" s="456"/>
      <c r="ZP133" s="456"/>
      <c r="ZQ133" s="456"/>
      <c r="ZR133" s="456"/>
      <c r="ZS133" s="456"/>
      <c r="ZT133" s="456"/>
      <c r="ZU133" s="456"/>
      <c r="ZV133" s="456"/>
      <c r="ZW133" s="456"/>
      <c r="ZX133" s="456"/>
      <c r="ZY133" s="456"/>
      <c r="ZZ133" s="456"/>
      <c r="AAA133" s="456"/>
      <c r="AAB133" s="456"/>
      <c r="AAC133" s="456"/>
      <c r="AAD133" s="456"/>
      <c r="AAE133" s="456"/>
      <c r="AAF133" s="456"/>
      <c r="AAG133" s="456"/>
      <c r="AAH133" s="456"/>
      <c r="AAI133" s="456"/>
      <c r="AAJ133" s="456"/>
      <c r="AAK133" s="456"/>
      <c r="AAL133" s="456"/>
      <c r="AAM133" s="456"/>
      <c r="AAN133" s="456"/>
      <c r="AAO133" s="456"/>
      <c r="AAP133" s="456"/>
      <c r="AAQ133" s="456"/>
      <c r="AAR133" s="456"/>
      <c r="AAS133" s="456"/>
      <c r="AAT133" s="456"/>
      <c r="AAU133" s="456"/>
      <c r="AAV133" s="456"/>
      <c r="AAW133" s="456"/>
      <c r="AAX133" s="456"/>
      <c r="AAY133" s="456"/>
      <c r="AAZ133" s="456"/>
      <c r="ABA133" s="456"/>
      <c r="ABB133" s="456"/>
      <c r="ABC133" s="456"/>
      <c r="ABD133" s="456"/>
      <c r="ABE133" s="456"/>
      <c r="ABF133" s="456"/>
      <c r="ABG133" s="456"/>
      <c r="ABH133" s="456"/>
      <c r="ABI133" s="456"/>
      <c r="ABJ133" s="456"/>
      <c r="ABK133" s="456"/>
      <c r="ABL133" s="456"/>
      <c r="ABM133" s="456"/>
      <c r="ABN133" s="456"/>
      <c r="ABO133" s="456"/>
      <c r="ABP133" s="456"/>
      <c r="ABQ133" s="456"/>
      <c r="ABR133" s="456"/>
      <c r="ABS133" s="456"/>
      <c r="ABT133" s="456"/>
      <c r="ABU133" s="456"/>
      <c r="ABV133" s="456"/>
      <c r="ABW133" s="456"/>
      <c r="ABX133" s="456"/>
      <c r="ABY133" s="456"/>
      <c r="ABZ133" s="456"/>
      <c r="ACA133" s="456"/>
      <c r="ACB133" s="456"/>
      <c r="ACC133" s="456"/>
      <c r="ACD133" s="456"/>
      <c r="ACE133" s="456"/>
      <c r="ACF133" s="456"/>
      <c r="ACG133" s="456"/>
      <c r="ACH133" s="456"/>
      <c r="ACI133" s="456"/>
      <c r="ACJ133" s="456"/>
      <c r="ACK133" s="456"/>
      <c r="ACL133" s="456"/>
      <c r="ACM133" s="456"/>
      <c r="ACN133" s="456"/>
      <c r="ACO133" s="456"/>
      <c r="ACP133" s="456"/>
      <c r="ACQ133" s="456"/>
      <c r="ACR133" s="456"/>
      <c r="ACS133" s="456"/>
      <c r="ACT133" s="456"/>
      <c r="ACU133" s="456"/>
      <c r="ACV133" s="456"/>
      <c r="ACW133" s="456"/>
      <c r="ACX133" s="456"/>
      <c r="ACY133" s="456"/>
      <c r="ACZ133" s="456"/>
      <c r="ADA133" s="456"/>
      <c r="ADB133" s="456"/>
      <c r="ADC133" s="456"/>
      <c r="ADD133" s="456"/>
      <c r="ADE133" s="456"/>
      <c r="ADF133" s="456"/>
      <c r="ADG133" s="456"/>
      <c r="ADH133" s="456"/>
      <c r="ADI133" s="456"/>
      <c r="ADJ133" s="456"/>
      <c r="ADK133" s="456"/>
      <c r="ADL133" s="456"/>
      <c r="ADM133" s="456"/>
      <c r="ADN133" s="456"/>
      <c r="ADO133" s="456"/>
      <c r="ADP133" s="456"/>
      <c r="ADQ133" s="456"/>
      <c r="ADR133" s="456"/>
      <c r="ADS133" s="456"/>
      <c r="ADT133" s="456"/>
      <c r="ADU133" s="456"/>
      <c r="ADV133" s="456"/>
      <c r="ADW133" s="456"/>
      <c r="ADX133" s="456"/>
      <c r="ADY133" s="456"/>
      <c r="ADZ133" s="456"/>
      <c r="AEA133" s="456"/>
      <c r="AEB133" s="456"/>
      <c r="AEC133" s="456"/>
      <c r="AED133" s="456"/>
      <c r="AEE133" s="456"/>
      <c r="AEF133" s="456"/>
      <c r="AEG133" s="456"/>
      <c r="AEH133" s="456"/>
      <c r="AEI133" s="456"/>
      <c r="AEJ133" s="456"/>
      <c r="AEK133" s="456"/>
      <c r="AEL133" s="456"/>
      <c r="AEM133" s="456"/>
      <c r="AEN133" s="456"/>
      <c r="AEO133" s="456"/>
      <c r="AEP133" s="456"/>
      <c r="AEQ133" s="456"/>
      <c r="AER133" s="456"/>
      <c r="AES133" s="456"/>
      <c r="AET133" s="456"/>
      <c r="AEU133" s="456"/>
      <c r="AEV133" s="456"/>
      <c r="AEW133" s="456"/>
      <c r="AEX133" s="456"/>
      <c r="AEY133" s="456"/>
      <c r="AEZ133" s="456"/>
      <c r="AFA133" s="456"/>
      <c r="AFB133" s="456"/>
      <c r="AFC133" s="456"/>
      <c r="AFD133" s="456"/>
      <c r="AFE133" s="456"/>
      <c r="AFF133" s="456"/>
      <c r="AFG133" s="456"/>
      <c r="AFH133" s="456"/>
      <c r="AFI133" s="456"/>
      <c r="AFJ133" s="456"/>
      <c r="AFK133" s="456"/>
      <c r="AFL133" s="456"/>
      <c r="AFM133" s="456"/>
      <c r="AFN133" s="456"/>
      <c r="AFO133" s="456"/>
      <c r="AFP133" s="456"/>
      <c r="AFQ133" s="456"/>
      <c r="AFR133" s="456"/>
      <c r="AFS133" s="456"/>
      <c r="AFT133" s="456"/>
      <c r="AFU133" s="456"/>
      <c r="AFV133" s="456"/>
      <c r="AFW133" s="456"/>
      <c r="AFX133" s="456"/>
      <c r="AFY133" s="456"/>
      <c r="AFZ133" s="456"/>
      <c r="AGA133" s="456"/>
      <c r="AGB133" s="456"/>
      <c r="AGC133" s="456"/>
      <c r="AGD133" s="456"/>
      <c r="AGE133" s="456"/>
      <c r="AGF133" s="456"/>
      <c r="AGG133" s="456"/>
      <c r="AGH133" s="456"/>
      <c r="AGI133" s="456"/>
      <c r="AGJ133" s="456"/>
      <c r="AGK133" s="456"/>
      <c r="AGL133" s="456"/>
      <c r="AGM133" s="456"/>
      <c r="AGN133" s="456"/>
      <c r="AGO133" s="456"/>
      <c r="AGP133" s="456"/>
      <c r="AGQ133" s="456"/>
      <c r="AGR133" s="456"/>
      <c r="AGS133" s="456"/>
      <c r="AGT133" s="456"/>
      <c r="AGU133" s="456"/>
      <c r="AGV133" s="456"/>
      <c r="AGW133" s="456"/>
      <c r="AGX133" s="456"/>
      <c r="AGY133" s="456"/>
      <c r="AGZ133" s="456"/>
      <c r="AHA133" s="456"/>
      <c r="AHB133" s="456"/>
      <c r="AHC133" s="456"/>
      <c r="AHD133" s="456"/>
      <c r="AHE133" s="456"/>
      <c r="AHF133" s="456"/>
      <c r="AHG133" s="456"/>
      <c r="AHH133" s="456"/>
      <c r="AHI133" s="456"/>
      <c r="AHJ133" s="456"/>
      <c r="AHK133" s="456"/>
      <c r="AHL133" s="456"/>
      <c r="AHM133" s="456"/>
      <c r="AHN133" s="456"/>
      <c r="AHO133" s="456"/>
      <c r="AHP133" s="456"/>
      <c r="AHQ133" s="456"/>
      <c r="AHR133" s="456"/>
      <c r="AHS133" s="456"/>
      <c r="AHT133" s="456"/>
      <c r="AHU133" s="456"/>
      <c r="AHV133" s="456"/>
      <c r="AHW133" s="456"/>
      <c r="AHX133" s="456"/>
      <c r="AHY133" s="456"/>
      <c r="AHZ133" s="456"/>
      <c r="AIA133" s="456"/>
      <c r="AIB133" s="456"/>
      <c r="AIC133" s="456"/>
      <c r="AID133" s="456"/>
      <c r="AIE133" s="456"/>
      <c r="AIF133" s="456"/>
      <c r="AIG133" s="456"/>
      <c r="AIH133" s="456"/>
      <c r="AII133" s="456"/>
      <c r="AIJ133" s="456"/>
      <c r="AIK133" s="456"/>
      <c r="AIL133" s="456"/>
      <c r="AIM133" s="456"/>
      <c r="AIN133" s="456"/>
      <c r="AIO133" s="456"/>
      <c r="AIP133" s="456"/>
      <c r="AIQ133" s="456"/>
      <c r="AIR133" s="456"/>
      <c r="AIS133" s="456"/>
      <c r="AIT133" s="456"/>
      <c r="AIU133" s="456"/>
      <c r="AIV133" s="456"/>
      <c r="AIW133" s="456"/>
      <c r="AIX133" s="456"/>
      <c r="AIY133" s="456"/>
      <c r="AIZ133" s="456"/>
      <c r="AJA133" s="456"/>
      <c r="AJB133" s="456"/>
      <c r="AJC133" s="456"/>
      <c r="AJD133" s="456"/>
      <c r="AJE133" s="456"/>
      <c r="AJF133" s="456"/>
      <c r="AJG133" s="456"/>
      <c r="AJH133" s="456"/>
      <c r="AJI133" s="456"/>
      <c r="AJJ133" s="456"/>
      <c r="AJK133" s="456"/>
      <c r="AJL133" s="456"/>
      <c r="AJM133" s="456"/>
      <c r="AJN133" s="456"/>
      <c r="AJO133" s="456"/>
      <c r="AJP133" s="456"/>
      <c r="AJQ133" s="456"/>
      <c r="AJR133" s="456"/>
      <c r="AJS133" s="456"/>
      <c r="AJT133" s="456"/>
      <c r="AJU133" s="456"/>
      <c r="AJV133" s="456"/>
      <c r="AJW133" s="456"/>
      <c r="AJX133" s="456"/>
      <c r="AJY133" s="456"/>
      <c r="AJZ133" s="456"/>
      <c r="AKA133" s="456"/>
      <c r="AKB133" s="456"/>
      <c r="AKC133" s="456"/>
      <c r="AKD133" s="456"/>
      <c r="AKE133" s="456"/>
      <c r="AKF133" s="456"/>
      <c r="AKG133" s="456"/>
      <c r="AKH133" s="456"/>
      <c r="AKI133" s="456"/>
      <c r="AKJ133" s="456"/>
      <c r="AKK133" s="456"/>
      <c r="AKL133" s="456"/>
      <c r="AKM133" s="456"/>
      <c r="AKN133" s="456"/>
      <c r="AKO133" s="456"/>
      <c r="AKP133" s="456"/>
      <c r="AKQ133" s="456"/>
      <c r="AKR133" s="456"/>
      <c r="AKS133" s="456"/>
      <c r="AKT133" s="456"/>
      <c r="AKU133" s="456"/>
      <c r="AKV133" s="456"/>
      <c r="AKW133" s="456"/>
      <c r="AKX133" s="456"/>
      <c r="AKY133" s="456"/>
      <c r="AKZ133" s="456"/>
      <c r="ALA133" s="456"/>
      <c r="ALB133" s="456"/>
      <c r="ALC133" s="456"/>
      <c r="ALD133" s="456"/>
      <c r="ALE133" s="456"/>
      <c r="ALF133" s="456"/>
      <c r="ALG133" s="456"/>
      <c r="ALH133" s="456"/>
      <c r="ALI133" s="456"/>
      <c r="ALJ133" s="456"/>
      <c r="ALK133" s="456"/>
      <c r="ALL133" s="456"/>
      <c r="ALM133" s="456"/>
      <c r="ALN133" s="456"/>
      <c r="ALO133" s="456"/>
      <c r="ALP133" s="456"/>
      <c r="ALQ133" s="456"/>
      <c r="ALR133" s="456"/>
      <c r="ALS133" s="456"/>
      <c r="ALT133" s="456"/>
      <c r="ALU133" s="456"/>
      <c r="ALV133" s="456"/>
      <c r="ALW133" s="456"/>
      <c r="ALX133" s="456"/>
      <c r="ALY133" s="456"/>
      <c r="ALZ133" s="456"/>
      <c r="AMA133" s="456"/>
      <c r="AMB133" s="456"/>
      <c r="AMC133" s="456"/>
      <c r="AMD133" s="456"/>
      <c r="AME133" s="456"/>
      <c r="AMF133" s="456"/>
      <c r="AMG133" s="456"/>
      <c r="AMH133" s="456"/>
      <c r="AMI133" s="456"/>
      <c r="AMJ133" s="456"/>
      <c r="AMK133" s="456"/>
      <c r="AML133" s="456"/>
      <c r="AMM133" s="456"/>
      <c r="AMN133" s="456"/>
      <c r="AMO133" s="456"/>
      <c r="AMP133" s="456"/>
      <c r="AMQ133" s="456"/>
      <c r="AMR133" s="456"/>
      <c r="AMS133" s="456"/>
      <c r="AMT133" s="456"/>
      <c r="AMU133" s="456"/>
      <c r="AMV133" s="456"/>
      <c r="AMW133" s="456"/>
      <c r="AMX133" s="456"/>
      <c r="AMY133" s="456"/>
      <c r="AMZ133" s="456"/>
      <c r="ANA133" s="456"/>
      <c r="ANB133" s="456"/>
      <c r="ANC133" s="456"/>
      <c r="AND133" s="456"/>
      <c r="ANE133" s="456"/>
      <c r="ANF133" s="456"/>
      <c r="ANG133" s="456"/>
      <c r="ANH133" s="456"/>
      <c r="ANI133" s="456"/>
      <c r="ANJ133" s="456"/>
      <c r="ANK133" s="456"/>
      <c r="ANL133" s="456"/>
      <c r="ANM133" s="456"/>
      <c r="ANN133" s="456"/>
      <c r="ANO133" s="456"/>
      <c r="ANP133" s="456"/>
      <c r="ANQ133" s="456"/>
      <c r="ANR133" s="456"/>
      <c r="ANS133" s="456"/>
      <c r="ANT133" s="456"/>
      <c r="ANU133" s="456"/>
      <c r="ANV133" s="456"/>
      <c r="ANW133" s="456"/>
      <c r="ANX133" s="456"/>
      <c r="ANY133" s="456"/>
      <c r="ANZ133" s="456"/>
      <c r="AOA133" s="456"/>
      <c r="AOB133" s="456"/>
      <c r="AOC133" s="456"/>
      <c r="AOD133" s="456"/>
      <c r="AOE133" s="456"/>
      <c r="AOF133" s="456"/>
      <c r="AOG133" s="456"/>
      <c r="AOH133" s="456"/>
      <c r="AOI133" s="456"/>
      <c r="AOJ133" s="456"/>
      <c r="AOK133" s="456"/>
      <c r="AOL133" s="456"/>
      <c r="AOM133" s="456"/>
      <c r="AON133" s="456"/>
      <c r="AOO133" s="456"/>
      <c r="AOP133" s="456"/>
      <c r="AOQ133" s="456"/>
      <c r="AOR133" s="456"/>
      <c r="AOS133" s="456"/>
      <c r="AOT133" s="456"/>
      <c r="AOU133" s="456"/>
      <c r="AOV133" s="456"/>
      <c r="AOW133" s="456"/>
      <c r="AOX133" s="456"/>
      <c r="AOY133" s="456"/>
      <c r="AOZ133" s="456"/>
      <c r="APA133" s="456"/>
      <c r="APB133" s="456"/>
      <c r="APC133" s="456"/>
      <c r="APD133" s="456"/>
      <c r="APE133" s="456"/>
      <c r="APF133" s="456"/>
      <c r="APG133" s="456"/>
      <c r="APH133" s="456"/>
      <c r="API133" s="456"/>
      <c r="APJ133" s="456"/>
      <c r="APK133" s="456"/>
      <c r="APL133" s="456"/>
      <c r="APM133" s="456"/>
      <c r="APN133" s="456"/>
      <c r="APO133" s="456"/>
      <c r="APP133" s="456"/>
      <c r="APQ133" s="456"/>
      <c r="APR133" s="456"/>
      <c r="APS133" s="456"/>
      <c r="APT133" s="456"/>
      <c r="APU133" s="456"/>
      <c r="APV133" s="456"/>
      <c r="APW133" s="456"/>
      <c r="APX133" s="456"/>
      <c r="APY133" s="456"/>
      <c r="APZ133" s="456"/>
      <c r="AQA133" s="456"/>
      <c r="AQB133" s="456"/>
      <c r="AQC133" s="456"/>
      <c r="AQD133" s="456"/>
      <c r="AQE133" s="456"/>
      <c r="AQF133" s="456"/>
      <c r="AQG133" s="456"/>
      <c r="AQH133" s="456"/>
      <c r="AQI133" s="456"/>
      <c r="AQJ133" s="456"/>
      <c r="AQK133" s="456"/>
      <c r="AQL133" s="456"/>
      <c r="AQM133" s="456"/>
      <c r="AQN133" s="456"/>
      <c r="AQO133" s="456"/>
      <c r="AQP133" s="456"/>
      <c r="AQQ133" s="456"/>
      <c r="AQR133" s="456"/>
      <c r="AQS133" s="456"/>
      <c r="AQT133" s="456"/>
      <c r="AQU133" s="456"/>
      <c r="AQV133" s="456"/>
      <c r="AQW133" s="456"/>
      <c r="AQX133" s="456"/>
      <c r="AQY133" s="456"/>
      <c r="AQZ133" s="456"/>
      <c r="ARA133" s="456"/>
      <c r="ARB133" s="456"/>
      <c r="ARC133" s="456"/>
      <c r="ARD133" s="456"/>
      <c r="ARE133" s="456"/>
      <c r="ARF133" s="456"/>
      <c r="ARG133" s="456"/>
      <c r="ARH133" s="456"/>
      <c r="ARI133" s="456"/>
      <c r="ARJ133" s="456"/>
      <c r="ARK133" s="456"/>
      <c r="ARL133" s="456"/>
      <c r="ARM133" s="456"/>
      <c r="ARN133" s="456"/>
      <c r="ARO133" s="456"/>
      <c r="ARP133" s="456"/>
      <c r="ARQ133" s="456"/>
      <c r="ARR133" s="456"/>
      <c r="ARS133" s="456"/>
      <c r="ART133" s="456"/>
      <c r="ARU133" s="456"/>
      <c r="ARV133" s="456"/>
      <c r="ARW133" s="456"/>
      <c r="ARX133" s="456"/>
      <c r="ARY133" s="456"/>
      <c r="ARZ133" s="456"/>
      <c r="ASA133" s="456"/>
      <c r="ASB133" s="456"/>
      <c r="ASC133" s="456"/>
      <c r="ASD133" s="456"/>
      <c r="ASE133" s="456"/>
      <c r="ASF133" s="456"/>
      <c r="ASG133" s="456"/>
      <c r="ASH133" s="456"/>
      <c r="ASI133" s="456"/>
      <c r="ASJ133" s="456"/>
      <c r="ASK133" s="456"/>
      <c r="ASL133" s="456"/>
      <c r="ASM133" s="456"/>
      <c r="ASN133" s="456"/>
      <c r="ASO133" s="456"/>
      <c r="ASP133" s="456"/>
      <c r="ASQ133" s="456"/>
      <c r="ASR133" s="456"/>
      <c r="ASS133" s="456"/>
      <c r="AST133" s="456"/>
      <c r="ASU133" s="456"/>
      <c r="ASV133" s="456"/>
      <c r="ASW133" s="456"/>
      <c r="ASX133" s="456"/>
      <c r="ASY133" s="456"/>
      <c r="ASZ133" s="456"/>
      <c r="ATA133" s="456"/>
      <c r="ATB133" s="456"/>
      <c r="ATC133" s="456"/>
      <c r="ATD133" s="456"/>
      <c r="ATE133" s="456"/>
      <c r="ATF133" s="456"/>
      <c r="ATG133" s="456"/>
      <c r="ATH133" s="456"/>
      <c r="ATI133" s="456"/>
      <c r="ATJ133" s="456"/>
      <c r="ATK133" s="456"/>
      <c r="ATL133" s="456"/>
      <c r="ATM133" s="456"/>
      <c r="ATN133" s="456"/>
      <c r="ATO133" s="456"/>
      <c r="ATP133" s="456"/>
      <c r="ATQ133" s="456"/>
      <c r="ATR133" s="456"/>
      <c r="ATS133" s="456"/>
      <c r="ATT133" s="456"/>
      <c r="ATU133" s="456"/>
      <c r="ATV133" s="456"/>
      <c r="ATW133" s="456"/>
      <c r="ATX133" s="456"/>
      <c r="ATY133" s="456"/>
      <c r="ATZ133" s="456"/>
      <c r="AUA133" s="456"/>
      <c r="AUB133" s="456"/>
      <c r="AUC133" s="456"/>
      <c r="AUD133" s="456"/>
      <c r="AUE133" s="456"/>
      <c r="AUF133" s="456"/>
      <c r="AUG133" s="456"/>
      <c r="AUH133" s="456"/>
      <c r="AUI133" s="456"/>
      <c r="AUJ133" s="456"/>
      <c r="AUK133" s="456"/>
      <c r="AUL133" s="456"/>
      <c r="AUM133" s="456"/>
      <c r="AUN133" s="456"/>
      <c r="AUO133" s="456"/>
      <c r="AUP133" s="456"/>
      <c r="AUQ133" s="456"/>
      <c r="AUR133" s="456"/>
      <c r="AUS133" s="456"/>
      <c r="AUT133" s="456"/>
      <c r="AUU133" s="456"/>
      <c r="AUV133" s="456"/>
      <c r="AUW133" s="456"/>
      <c r="AUX133" s="456"/>
      <c r="AUY133" s="456"/>
      <c r="AUZ133" s="456"/>
      <c r="AVA133" s="456"/>
      <c r="AVB133" s="456"/>
      <c r="AVC133" s="456"/>
      <c r="AVD133" s="456"/>
      <c r="AVE133" s="456"/>
      <c r="AVF133" s="456"/>
      <c r="AVG133" s="456"/>
      <c r="AVH133" s="456"/>
      <c r="AVI133" s="456"/>
      <c r="AVJ133" s="456"/>
      <c r="AVK133" s="456"/>
      <c r="AVL133" s="456"/>
      <c r="AVM133" s="456"/>
      <c r="AVN133" s="456"/>
      <c r="AVO133" s="456"/>
      <c r="AVP133" s="456"/>
      <c r="AVQ133" s="456"/>
      <c r="AVR133" s="456"/>
      <c r="AVS133" s="456"/>
      <c r="AVT133" s="456"/>
      <c r="AVU133" s="456"/>
      <c r="AVV133" s="456"/>
      <c r="AVW133" s="456"/>
      <c r="AVX133" s="456"/>
      <c r="AVY133" s="456"/>
      <c r="AVZ133" s="456"/>
      <c r="AWA133" s="456"/>
      <c r="AWB133" s="456"/>
      <c r="AWC133" s="456"/>
      <c r="AWD133" s="456"/>
      <c r="AWE133" s="456"/>
      <c r="AWF133" s="456"/>
      <c r="AWG133" s="456"/>
      <c r="AWH133" s="456"/>
      <c r="AWI133" s="456"/>
      <c r="AWJ133" s="456"/>
      <c r="AWK133" s="456"/>
      <c r="AWL133" s="456"/>
      <c r="AWM133" s="456"/>
      <c r="AWN133" s="456"/>
      <c r="AWO133" s="456"/>
      <c r="AWP133" s="456"/>
      <c r="AWQ133" s="456"/>
      <c r="AWR133" s="456"/>
      <c r="AWS133" s="456"/>
      <c r="AWT133" s="456"/>
      <c r="AWU133" s="456"/>
      <c r="AWV133" s="456"/>
      <c r="AWW133" s="456"/>
      <c r="AWX133" s="456"/>
      <c r="AWY133" s="456"/>
      <c r="AWZ133" s="456"/>
      <c r="AXA133" s="456"/>
      <c r="AXB133" s="456"/>
      <c r="AXC133" s="456"/>
      <c r="AXD133" s="456"/>
      <c r="AXE133" s="456"/>
      <c r="AXF133" s="456"/>
      <c r="AXG133" s="456"/>
      <c r="AXH133" s="456"/>
      <c r="AXI133" s="456"/>
      <c r="AXJ133" s="456"/>
      <c r="AXK133" s="456"/>
      <c r="AXL133" s="456"/>
      <c r="AXM133" s="456"/>
      <c r="AXN133" s="456"/>
      <c r="AXO133" s="456"/>
      <c r="AXP133" s="456"/>
      <c r="AXQ133" s="456"/>
      <c r="AXR133" s="456"/>
      <c r="AXS133" s="456"/>
      <c r="AXT133" s="456"/>
      <c r="AXU133" s="456"/>
      <c r="AXV133" s="456"/>
      <c r="AXW133" s="456"/>
      <c r="AXX133" s="456"/>
      <c r="AXY133" s="456"/>
      <c r="AXZ133" s="456"/>
      <c r="AYA133" s="456"/>
      <c r="AYB133" s="456"/>
      <c r="AYC133" s="456"/>
      <c r="AYD133" s="456"/>
      <c r="AYE133" s="456"/>
      <c r="AYF133" s="456"/>
      <c r="AYG133" s="456"/>
      <c r="AYH133" s="456"/>
      <c r="AYI133" s="456"/>
      <c r="AYJ133" s="456"/>
      <c r="AYK133" s="456"/>
      <c r="AYL133" s="456"/>
      <c r="AYM133" s="456"/>
      <c r="AYN133" s="456"/>
      <c r="AYO133" s="456"/>
      <c r="AYP133" s="456"/>
      <c r="AYQ133" s="456"/>
      <c r="AYR133" s="456"/>
      <c r="AYS133" s="456"/>
      <c r="AYT133" s="456"/>
      <c r="AYU133" s="456"/>
      <c r="AYV133" s="456"/>
      <c r="AYW133" s="456"/>
      <c r="AYX133" s="456"/>
      <c r="AYY133" s="456"/>
      <c r="AYZ133" s="456"/>
      <c r="AZA133" s="456"/>
      <c r="AZB133" s="456"/>
      <c r="AZC133" s="456"/>
      <c r="AZD133" s="456"/>
      <c r="AZE133" s="456"/>
      <c r="AZF133" s="456"/>
      <c r="AZG133" s="456"/>
      <c r="AZH133" s="456"/>
      <c r="AZI133" s="456"/>
      <c r="AZJ133" s="456"/>
      <c r="AZK133" s="456"/>
      <c r="AZL133" s="456"/>
      <c r="AZM133" s="456"/>
      <c r="AZN133" s="456"/>
      <c r="AZO133" s="456"/>
      <c r="AZP133" s="456"/>
      <c r="AZQ133" s="456"/>
      <c r="AZR133" s="456"/>
      <c r="AZS133" s="456"/>
      <c r="AZT133" s="456"/>
      <c r="AZU133" s="456"/>
      <c r="AZV133" s="456"/>
      <c r="AZW133" s="456"/>
      <c r="AZX133" s="456"/>
      <c r="AZY133" s="456"/>
      <c r="AZZ133" s="456"/>
      <c r="BAA133" s="456"/>
      <c r="BAB133" s="456"/>
      <c r="BAC133" s="456"/>
      <c r="BAD133" s="456"/>
      <c r="BAE133" s="456"/>
      <c r="BAF133" s="456"/>
      <c r="BAG133" s="456"/>
      <c r="BAH133" s="456"/>
      <c r="BAI133" s="456"/>
      <c r="BAJ133" s="456"/>
      <c r="BAK133" s="456"/>
      <c r="BAL133" s="456"/>
      <c r="BAM133" s="456"/>
      <c r="BAN133" s="456"/>
      <c r="BAO133" s="456"/>
      <c r="BAP133" s="456"/>
      <c r="BAQ133" s="456"/>
      <c r="BAR133" s="456"/>
      <c r="BAS133" s="456"/>
      <c r="BAT133" s="456"/>
      <c r="BAU133" s="456"/>
      <c r="BAV133" s="456"/>
      <c r="BAW133" s="456"/>
      <c r="BAX133" s="456"/>
      <c r="BAY133" s="456"/>
      <c r="BAZ133" s="456"/>
      <c r="BBA133" s="456"/>
      <c r="BBB133" s="456"/>
      <c r="BBC133" s="456"/>
      <c r="BBD133" s="456"/>
      <c r="BBE133" s="456"/>
      <c r="BBF133" s="456"/>
      <c r="BBG133" s="456"/>
      <c r="BBH133" s="456"/>
      <c r="BBI133" s="456"/>
      <c r="BBJ133" s="456"/>
      <c r="BBK133" s="456"/>
      <c r="BBL133" s="456"/>
      <c r="BBM133" s="456"/>
      <c r="BBN133" s="456"/>
      <c r="BBO133" s="456"/>
      <c r="BBP133" s="456"/>
      <c r="BBQ133" s="456"/>
      <c r="BBR133" s="456"/>
      <c r="BBS133" s="456"/>
      <c r="BBT133" s="456"/>
      <c r="BBU133" s="456"/>
      <c r="BBV133" s="456"/>
      <c r="BBW133" s="456"/>
      <c r="BBX133" s="456"/>
      <c r="BBY133" s="456"/>
      <c r="BBZ133" s="456"/>
      <c r="BCA133" s="456"/>
      <c r="BCB133" s="456"/>
      <c r="BCC133" s="456"/>
      <c r="BCD133" s="456"/>
      <c r="BCE133" s="456"/>
      <c r="BCF133" s="456"/>
      <c r="BCG133" s="456"/>
      <c r="BCH133" s="456"/>
      <c r="BCI133" s="456"/>
      <c r="BCJ133" s="456"/>
      <c r="BCK133" s="456"/>
      <c r="BCL133" s="456"/>
      <c r="BCM133" s="456"/>
      <c r="BCN133" s="456"/>
      <c r="BCO133" s="456"/>
      <c r="BCP133" s="456"/>
      <c r="BCQ133" s="456"/>
      <c r="BCR133" s="456"/>
      <c r="BCS133" s="456"/>
      <c r="BCT133" s="456"/>
      <c r="BCU133" s="456"/>
      <c r="BCV133" s="456"/>
      <c r="BCW133" s="456"/>
      <c r="BCX133" s="456"/>
      <c r="BCY133" s="456"/>
      <c r="BCZ133" s="456"/>
      <c r="BDA133" s="456"/>
      <c r="BDB133" s="456"/>
      <c r="BDC133" s="456"/>
      <c r="BDD133" s="456"/>
      <c r="BDE133" s="456"/>
      <c r="BDF133" s="456"/>
      <c r="BDG133" s="456"/>
      <c r="BDH133" s="456"/>
      <c r="BDI133" s="456"/>
      <c r="BDJ133" s="456"/>
      <c r="BDK133" s="456"/>
      <c r="BDL133" s="456"/>
      <c r="BDM133" s="456"/>
      <c r="BDN133" s="456"/>
      <c r="BDO133" s="456"/>
      <c r="BDP133" s="456"/>
      <c r="BDQ133" s="456"/>
      <c r="BDR133" s="456"/>
      <c r="BDS133" s="456"/>
      <c r="BDT133" s="456"/>
      <c r="BDU133" s="456"/>
      <c r="BDV133" s="456"/>
      <c r="BDW133" s="456"/>
      <c r="BDX133" s="456"/>
      <c r="BDY133" s="456"/>
      <c r="BDZ133" s="456"/>
      <c r="BEA133" s="456"/>
      <c r="BEB133" s="456"/>
      <c r="BEC133" s="456"/>
      <c r="BED133" s="456"/>
      <c r="BEE133" s="456"/>
      <c r="BEF133" s="456"/>
      <c r="BEG133" s="456"/>
      <c r="BEH133" s="456"/>
      <c r="BEI133" s="456"/>
      <c r="BEJ133" s="456"/>
      <c r="BEK133" s="456"/>
      <c r="BEL133" s="456"/>
      <c r="BEM133" s="456"/>
      <c r="BEN133" s="456"/>
      <c r="BEO133" s="456"/>
      <c r="BEP133" s="456"/>
      <c r="BEQ133" s="456"/>
      <c r="BER133" s="456"/>
      <c r="BES133" s="456"/>
      <c r="BET133" s="456"/>
      <c r="BEU133" s="456"/>
      <c r="BEV133" s="456"/>
      <c r="BEW133" s="456"/>
      <c r="BEX133" s="456"/>
      <c r="BEY133" s="456"/>
      <c r="BEZ133" s="456"/>
      <c r="BFA133" s="456"/>
      <c r="BFB133" s="456"/>
      <c r="BFC133" s="456"/>
      <c r="BFD133" s="456"/>
      <c r="BFE133" s="456"/>
      <c r="BFF133" s="456"/>
      <c r="BFG133" s="456"/>
      <c r="BFH133" s="456"/>
      <c r="BFI133" s="456"/>
      <c r="BFJ133" s="456"/>
      <c r="BFK133" s="456"/>
      <c r="BFL133" s="456"/>
      <c r="BFM133" s="456"/>
      <c r="BFN133" s="456"/>
      <c r="BFO133" s="456"/>
      <c r="BFP133" s="456"/>
      <c r="BFQ133" s="456"/>
      <c r="BFR133" s="456"/>
      <c r="BFS133" s="456"/>
      <c r="BFT133" s="456"/>
      <c r="BFU133" s="456"/>
      <c r="BFV133" s="456"/>
      <c r="BFW133" s="456"/>
      <c r="BFX133" s="456"/>
      <c r="BFY133" s="456"/>
      <c r="BFZ133" s="456"/>
      <c r="BGA133" s="456"/>
      <c r="BGB133" s="456"/>
      <c r="BGC133" s="456"/>
      <c r="BGD133" s="456"/>
      <c r="BGE133" s="456"/>
      <c r="BGF133" s="456"/>
      <c r="BGG133" s="456"/>
      <c r="BGH133" s="456"/>
      <c r="BGI133" s="456"/>
      <c r="BGJ133" s="456"/>
      <c r="BGK133" s="456"/>
      <c r="BGL133" s="456"/>
      <c r="BGM133" s="456"/>
      <c r="BGN133" s="456"/>
      <c r="BGO133" s="456"/>
      <c r="BGP133" s="456"/>
      <c r="BGQ133" s="456"/>
      <c r="BGR133" s="456"/>
      <c r="BGS133" s="456"/>
      <c r="BGT133" s="456"/>
      <c r="BGU133" s="456"/>
      <c r="BGV133" s="456"/>
      <c r="BGW133" s="456"/>
      <c r="BGX133" s="456"/>
      <c r="BGY133" s="456"/>
      <c r="BGZ133" s="456"/>
      <c r="BHA133" s="456"/>
      <c r="BHB133" s="456"/>
      <c r="BHC133" s="456"/>
      <c r="BHD133" s="456"/>
      <c r="BHE133" s="456"/>
      <c r="BHF133" s="456"/>
      <c r="BHG133" s="456"/>
      <c r="BHH133" s="456"/>
      <c r="BHI133" s="456"/>
      <c r="BHJ133" s="456"/>
      <c r="BHK133" s="456"/>
      <c r="BHL133" s="456"/>
      <c r="BHM133" s="456"/>
      <c r="BHN133" s="456"/>
      <c r="BHO133" s="456"/>
      <c r="BHP133" s="456"/>
      <c r="BHQ133" s="456"/>
      <c r="BHR133" s="456"/>
      <c r="BHS133" s="456"/>
      <c r="BHT133" s="456"/>
      <c r="BHU133" s="456"/>
      <c r="BHV133" s="456"/>
      <c r="BHW133" s="456"/>
      <c r="BHX133" s="456"/>
      <c r="BHY133" s="456"/>
      <c r="BHZ133" s="456"/>
      <c r="BIA133" s="456"/>
      <c r="BIB133" s="456"/>
      <c r="BIC133" s="456"/>
      <c r="BID133" s="456"/>
      <c r="BIE133" s="456"/>
      <c r="BIF133" s="456"/>
      <c r="BIG133" s="456"/>
      <c r="BIH133" s="456"/>
      <c r="BII133" s="456"/>
      <c r="BIJ133" s="456"/>
      <c r="BIK133" s="456"/>
      <c r="BIL133" s="456"/>
      <c r="BIM133" s="456"/>
      <c r="BIN133" s="456"/>
      <c r="BIO133" s="456"/>
      <c r="BIP133" s="456"/>
      <c r="BIQ133" s="456"/>
      <c r="BIR133" s="456"/>
      <c r="BIS133" s="456"/>
      <c r="BIT133" s="456"/>
      <c r="BIU133" s="456"/>
      <c r="BIV133" s="456"/>
      <c r="BIW133" s="456"/>
      <c r="BIX133" s="456"/>
      <c r="BIY133" s="456"/>
      <c r="BIZ133" s="456"/>
      <c r="BJA133" s="456"/>
      <c r="BJB133" s="456"/>
      <c r="BJC133" s="456"/>
      <c r="BJD133" s="456"/>
      <c r="BJE133" s="456"/>
      <c r="BJF133" s="456"/>
      <c r="BJG133" s="456"/>
      <c r="BJH133" s="456"/>
      <c r="BJI133" s="456"/>
      <c r="BJJ133" s="456"/>
      <c r="BJK133" s="456"/>
      <c r="BJL133" s="456"/>
      <c r="BJM133" s="456"/>
      <c r="BJN133" s="456"/>
      <c r="BJO133" s="456"/>
      <c r="BJP133" s="456"/>
      <c r="BJQ133" s="456"/>
      <c r="BJR133" s="456"/>
      <c r="BJS133" s="456"/>
      <c r="BJT133" s="456"/>
      <c r="BJU133" s="456"/>
      <c r="BJV133" s="456"/>
      <c r="BJW133" s="456"/>
      <c r="BJX133" s="456"/>
      <c r="BJY133" s="456"/>
      <c r="BJZ133" s="456"/>
      <c r="BKA133" s="456"/>
      <c r="BKB133" s="456"/>
      <c r="BKC133" s="456"/>
      <c r="BKD133" s="456"/>
      <c r="BKE133" s="456"/>
      <c r="BKF133" s="456"/>
      <c r="BKG133" s="456"/>
      <c r="BKH133" s="456"/>
      <c r="BKI133" s="456"/>
      <c r="BKJ133" s="456"/>
      <c r="BKK133" s="456"/>
      <c r="BKL133" s="456"/>
      <c r="BKM133" s="456"/>
      <c r="BKN133" s="456"/>
      <c r="BKO133" s="456"/>
      <c r="BKP133" s="456"/>
      <c r="BKQ133" s="456"/>
      <c r="BKR133" s="456"/>
      <c r="BKS133" s="456"/>
      <c r="BKT133" s="456"/>
      <c r="BKU133" s="456"/>
      <c r="BKV133" s="456"/>
      <c r="BKW133" s="456"/>
      <c r="BKX133" s="456"/>
      <c r="BKY133" s="456"/>
      <c r="BKZ133" s="456"/>
      <c r="BLA133" s="456"/>
      <c r="BLB133" s="456"/>
      <c r="BLC133" s="456"/>
      <c r="BLD133" s="456"/>
      <c r="BLE133" s="456"/>
      <c r="BLF133" s="456"/>
      <c r="BLG133" s="456"/>
      <c r="BLH133" s="456"/>
      <c r="BLI133" s="456"/>
      <c r="BLJ133" s="456"/>
      <c r="BLK133" s="456"/>
      <c r="BLL133" s="456"/>
      <c r="BLM133" s="456"/>
      <c r="BLN133" s="456"/>
      <c r="BLO133" s="456"/>
      <c r="BLP133" s="456"/>
      <c r="BLQ133" s="456"/>
      <c r="BLR133" s="456"/>
      <c r="BLS133" s="456"/>
      <c r="BLT133" s="456"/>
      <c r="BLU133" s="456"/>
      <c r="BLV133" s="456"/>
      <c r="BLW133" s="456"/>
      <c r="BLX133" s="456"/>
      <c r="BLY133" s="456"/>
      <c r="BLZ133" s="456"/>
      <c r="BMA133" s="456"/>
      <c r="BMB133" s="456"/>
      <c r="BMC133" s="456"/>
      <c r="BMD133" s="456"/>
      <c r="BME133" s="456"/>
      <c r="BMF133" s="456"/>
      <c r="BMG133" s="456"/>
      <c r="BMH133" s="456"/>
      <c r="BMI133" s="456"/>
      <c r="BMJ133" s="456"/>
      <c r="BMK133" s="456"/>
      <c r="BML133" s="456"/>
      <c r="BMM133" s="456"/>
      <c r="BMN133" s="456"/>
      <c r="BMO133" s="456"/>
      <c r="BMP133" s="456"/>
      <c r="BMQ133" s="456"/>
      <c r="BMR133" s="456"/>
      <c r="BMS133" s="456"/>
      <c r="BMT133" s="456"/>
      <c r="BMU133" s="456"/>
      <c r="BMV133" s="456"/>
      <c r="BMW133" s="456"/>
      <c r="BMX133" s="456"/>
      <c r="BMY133" s="456"/>
      <c r="BMZ133" s="456"/>
      <c r="BNA133" s="456"/>
      <c r="BNB133" s="456"/>
      <c r="BNC133" s="456"/>
      <c r="BND133" s="456"/>
      <c r="BNE133" s="456"/>
      <c r="BNF133" s="456"/>
      <c r="BNG133" s="456"/>
      <c r="BNH133" s="456"/>
      <c r="BNI133" s="456"/>
      <c r="BNJ133" s="456"/>
      <c r="BNK133" s="456"/>
      <c r="BNL133" s="456"/>
      <c r="BNM133" s="456"/>
      <c r="BNN133" s="456"/>
      <c r="BNO133" s="456"/>
      <c r="BNP133" s="456"/>
      <c r="BNQ133" s="456"/>
      <c r="BNR133" s="456"/>
      <c r="BNS133" s="456"/>
      <c r="BNT133" s="456"/>
      <c r="BNU133" s="456"/>
      <c r="BNV133" s="456"/>
      <c r="BNW133" s="456"/>
      <c r="BNX133" s="456"/>
      <c r="BNY133" s="456"/>
      <c r="BNZ133" s="456"/>
      <c r="BOA133" s="456"/>
      <c r="BOB133" s="456"/>
      <c r="BOC133" s="456"/>
      <c r="BOD133" s="456"/>
      <c r="BOE133" s="456"/>
      <c r="BOF133" s="456"/>
      <c r="BOG133" s="456"/>
      <c r="BOH133" s="456"/>
      <c r="BOI133" s="456"/>
      <c r="BOJ133" s="456"/>
      <c r="BOK133" s="456"/>
      <c r="BOL133" s="456"/>
      <c r="BOM133" s="456"/>
      <c r="BON133" s="456"/>
      <c r="BOO133" s="456"/>
      <c r="BOP133" s="456"/>
      <c r="BOQ133" s="456"/>
      <c r="BOR133" s="456"/>
      <c r="BOS133" s="456"/>
      <c r="BOT133" s="456"/>
      <c r="BOU133" s="456"/>
      <c r="BOV133" s="456"/>
      <c r="BOW133" s="456"/>
      <c r="BOX133" s="456"/>
      <c r="BOY133" s="456"/>
      <c r="BOZ133" s="456"/>
      <c r="BPA133" s="456"/>
      <c r="BPB133" s="456"/>
      <c r="BPC133" s="456"/>
      <c r="BPD133" s="456"/>
      <c r="BPE133" s="456"/>
      <c r="BPF133" s="456"/>
      <c r="BPG133" s="456"/>
      <c r="BPH133" s="456"/>
      <c r="BPI133" s="456"/>
      <c r="BPJ133" s="456"/>
      <c r="BPK133" s="456"/>
      <c r="BPL133" s="456"/>
      <c r="BPM133" s="456"/>
      <c r="BPN133" s="456"/>
      <c r="BPO133" s="456"/>
      <c r="BPP133" s="456"/>
      <c r="BPQ133" s="456"/>
      <c r="BPR133" s="456"/>
      <c r="BPS133" s="456"/>
      <c r="BPT133" s="456"/>
      <c r="BPU133" s="456"/>
      <c r="BPV133" s="456"/>
      <c r="BPW133" s="456"/>
      <c r="BPX133" s="456"/>
      <c r="BPY133" s="456"/>
      <c r="BPZ133" s="456"/>
      <c r="BQA133" s="456"/>
      <c r="BQB133" s="456"/>
      <c r="BQC133" s="456"/>
      <c r="BQD133" s="456"/>
      <c r="BQE133" s="456"/>
      <c r="BQF133" s="456"/>
      <c r="BQG133" s="456"/>
      <c r="BQH133" s="456"/>
      <c r="BQI133" s="456"/>
      <c r="BQJ133" s="456"/>
      <c r="BQK133" s="456"/>
      <c r="BQL133" s="456"/>
      <c r="BQM133" s="456"/>
      <c r="BQN133" s="456"/>
      <c r="BQO133" s="456"/>
      <c r="BQP133" s="456"/>
      <c r="BQQ133" s="456"/>
      <c r="BQR133" s="456"/>
      <c r="BQS133" s="456"/>
      <c r="BQT133" s="456"/>
      <c r="BQU133" s="456"/>
      <c r="BQV133" s="456"/>
      <c r="BQW133" s="456"/>
      <c r="BQX133" s="456"/>
      <c r="BQY133" s="456"/>
      <c r="BQZ133" s="456"/>
      <c r="BRA133" s="456"/>
      <c r="BRB133" s="456"/>
      <c r="BRC133" s="456"/>
      <c r="BRD133" s="456"/>
      <c r="BRE133" s="456"/>
      <c r="BRF133" s="456"/>
      <c r="BRG133" s="456"/>
      <c r="BRH133" s="456"/>
      <c r="BRI133" s="456"/>
      <c r="BRJ133" s="456"/>
      <c r="BRK133" s="456"/>
      <c r="BRL133" s="456"/>
      <c r="BRM133" s="456"/>
      <c r="BRN133" s="456"/>
      <c r="BRO133" s="456"/>
      <c r="BRP133" s="456"/>
      <c r="BRQ133" s="456"/>
      <c r="BRR133" s="456"/>
      <c r="BRS133" s="456"/>
      <c r="BRT133" s="456"/>
      <c r="BRU133" s="456"/>
      <c r="BRV133" s="456"/>
      <c r="BRW133" s="456"/>
      <c r="BRX133" s="456"/>
      <c r="BRY133" s="456"/>
      <c r="BRZ133" s="456"/>
      <c r="BSA133" s="456"/>
      <c r="BSB133" s="456"/>
      <c r="BSC133" s="456"/>
      <c r="BSD133" s="456"/>
      <c r="BSE133" s="456"/>
      <c r="BSF133" s="456"/>
      <c r="BSG133" s="456"/>
      <c r="BSH133" s="456"/>
      <c r="BSI133" s="456"/>
      <c r="BSJ133" s="456"/>
      <c r="BSK133" s="456"/>
      <c r="BSL133" s="456"/>
      <c r="BSM133" s="456"/>
      <c r="BSN133" s="456"/>
      <c r="BSO133" s="456"/>
      <c r="BSP133" s="456"/>
      <c r="BSQ133" s="456"/>
      <c r="BSR133" s="456"/>
      <c r="BSS133" s="456"/>
      <c r="BST133" s="456"/>
      <c r="BSU133" s="456"/>
      <c r="BSV133" s="456"/>
      <c r="BSW133" s="456"/>
      <c r="BSX133" s="456"/>
      <c r="BSY133" s="456"/>
      <c r="BSZ133" s="456"/>
      <c r="BTA133" s="456"/>
      <c r="BTB133" s="456"/>
      <c r="BTC133" s="456"/>
      <c r="BTD133" s="456"/>
      <c r="BTE133" s="456"/>
      <c r="BTF133" s="456"/>
      <c r="BTG133" s="456"/>
      <c r="BTH133" s="456"/>
      <c r="BTI133" s="456"/>
      <c r="BTJ133" s="456"/>
      <c r="BTK133" s="456"/>
      <c r="BTL133" s="456"/>
      <c r="BTM133" s="456"/>
      <c r="BTN133" s="456"/>
      <c r="BTO133" s="456"/>
      <c r="BTP133" s="456"/>
      <c r="BTQ133" s="456"/>
      <c r="BTR133" s="456"/>
      <c r="BTS133" s="456"/>
      <c r="BTT133" s="456"/>
      <c r="BTU133" s="456"/>
      <c r="BTV133" s="456"/>
      <c r="BTW133" s="456"/>
      <c r="BTX133" s="456"/>
      <c r="BTY133" s="456"/>
      <c r="BTZ133" s="456"/>
      <c r="BUA133" s="456"/>
      <c r="BUB133" s="456"/>
      <c r="BUC133" s="456"/>
      <c r="BUD133" s="456"/>
      <c r="BUE133" s="456"/>
      <c r="BUF133" s="456"/>
      <c r="BUG133" s="456"/>
      <c r="BUH133" s="456"/>
      <c r="BUI133" s="456"/>
      <c r="BUJ133" s="456"/>
      <c r="BUK133" s="456"/>
      <c r="BUL133" s="456"/>
      <c r="BUM133" s="456"/>
      <c r="BUN133" s="456"/>
      <c r="BUO133" s="456"/>
      <c r="BUP133" s="456"/>
      <c r="BUQ133" s="456"/>
      <c r="BUR133" s="456"/>
      <c r="BUS133" s="456"/>
      <c r="BUT133" s="456"/>
      <c r="BUU133" s="456"/>
      <c r="BUV133" s="456"/>
      <c r="BUW133" s="456"/>
      <c r="BUX133" s="456"/>
      <c r="BUY133" s="456"/>
      <c r="BUZ133" s="456"/>
      <c r="BVA133" s="456"/>
      <c r="BVB133" s="456"/>
      <c r="BVC133" s="456"/>
      <c r="BVD133" s="456"/>
      <c r="BVE133" s="456"/>
      <c r="BVF133" s="456"/>
      <c r="BVG133" s="456"/>
      <c r="BVH133" s="456"/>
      <c r="BVI133" s="456"/>
      <c r="BVJ133" s="456"/>
      <c r="BVK133" s="456"/>
      <c r="BVL133" s="456"/>
      <c r="BVM133" s="456"/>
      <c r="BVN133" s="456"/>
      <c r="BVO133" s="456"/>
      <c r="BVP133" s="456"/>
      <c r="BVQ133" s="456"/>
      <c r="BVR133" s="456"/>
      <c r="BVS133" s="456"/>
      <c r="BVT133" s="456"/>
      <c r="BVU133" s="456"/>
      <c r="BVV133" s="456"/>
      <c r="BVW133" s="456"/>
      <c r="BVX133" s="456"/>
      <c r="BVY133" s="456"/>
      <c r="BVZ133" s="456"/>
      <c r="BWA133" s="456"/>
      <c r="BWB133" s="456"/>
      <c r="BWC133" s="456"/>
      <c r="BWD133" s="456"/>
      <c r="BWE133" s="456"/>
      <c r="BWF133" s="456"/>
      <c r="BWG133" s="456"/>
      <c r="BWH133" s="456"/>
      <c r="BWI133" s="456"/>
      <c r="BWJ133" s="456"/>
      <c r="BWK133" s="456"/>
      <c r="BWL133" s="456"/>
      <c r="BWM133" s="456"/>
      <c r="BWN133" s="456"/>
      <c r="BWO133" s="456"/>
      <c r="BWP133" s="456"/>
      <c r="BWQ133" s="456"/>
      <c r="BWR133" s="456"/>
      <c r="BWS133" s="456"/>
      <c r="BWT133" s="456"/>
      <c r="BWU133" s="456"/>
      <c r="BWV133" s="456"/>
      <c r="BWW133" s="456"/>
      <c r="BWX133" s="456"/>
      <c r="BWY133" s="456"/>
      <c r="BWZ133" s="456"/>
      <c r="BXA133" s="456"/>
      <c r="BXB133" s="456"/>
      <c r="BXC133" s="456"/>
      <c r="BXD133" s="456"/>
      <c r="BXE133" s="456"/>
      <c r="BXF133" s="456"/>
      <c r="BXG133" s="456"/>
      <c r="BXH133" s="456"/>
      <c r="BXI133" s="456"/>
      <c r="BXJ133" s="456"/>
      <c r="BXK133" s="456"/>
      <c r="BXL133" s="456"/>
      <c r="BXM133" s="456"/>
      <c r="BXN133" s="456"/>
      <c r="BXO133" s="456"/>
      <c r="BXP133" s="456"/>
      <c r="BXQ133" s="456"/>
      <c r="BXR133" s="456"/>
      <c r="BXS133" s="456"/>
      <c r="BXT133" s="456"/>
      <c r="BXU133" s="456"/>
      <c r="BXV133" s="456"/>
      <c r="BXW133" s="456"/>
      <c r="BXX133" s="456"/>
      <c r="BXY133" s="456"/>
      <c r="BXZ133" s="456"/>
    </row>
    <row r="134" spans="1:1024 1025:2002">
      <c r="A134" s="474"/>
      <c r="B134" s="75">
        <v>1126</v>
      </c>
      <c r="C134" s="213">
        <v>46197</v>
      </c>
      <c r="D134" s="18" t="s">
        <v>52</v>
      </c>
      <c r="E134" s="18" t="s">
        <v>104</v>
      </c>
      <c r="F134" s="18" t="s">
        <v>54</v>
      </c>
      <c r="G134" s="18"/>
      <c r="H134" s="382">
        <v>1.2085</v>
      </c>
      <c r="I134" s="382"/>
      <c r="J134" s="483" t="s">
        <v>49</v>
      </c>
      <c r="K134" s="379">
        <v>1300</v>
      </c>
      <c r="L134" s="379">
        <v>250</v>
      </c>
      <c r="M134" s="382">
        <v>4500</v>
      </c>
      <c r="N134" s="75" t="s">
        <v>66</v>
      </c>
      <c r="O134" s="75" t="s">
        <v>50</v>
      </c>
      <c r="P134" s="75">
        <v>8929</v>
      </c>
      <c r="Q134" s="75">
        <v>8930</v>
      </c>
      <c r="R134" s="75">
        <f t="shared" si="9"/>
        <v>-1</v>
      </c>
      <c r="S134" s="75">
        <v>2200</v>
      </c>
      <c r="T134" s="75" t="s">
        <v>42</v>
      </c>
      <c r="U134" s="137" t="s">
        <v>105</v>
      </c>
      <c r="V134" s="193">
        <v>46206</v>
      </c>
      <c r="W134" s="18" t="s">
        <v>44</v>
      </c>
      <c r="X134" s="18"/>
      <c r="Y134" s="114">
        <v>46266</v>
      </c>
      <c r="Z134" s="18" t="s">
        <v>45</v>
      </c>
      <c r="AA134" s="24" t="s">
        <v>46</v>
      </c>
      <c r="AB134" s="18"/>
      <c r="AC134" s="137"/>
      <c r="AD134" s="77"/>
      <c r="AE134" s="18" t="s">
        <v>48</v>
      </c>
      <c r="AF134" s="24" t="s">
        <v>61</v>
      </c>
      <c r="AG134" s="18"/>
    </row>
    <row r="135" spans="1:1024 1025:2002">
      <c r="A135" s="474"/>
      <c r="B135" s="75">
        <v>1126</v>
      </c>
      <c r="C135" s="213">
        <v>46197</v>
      </c>
      <c r="D135" s="18" t="s">
        <v>52</v>
      </c>
      <c r="E135" s="18" t="s">
        <v>104</v>
      </c>
      <c r="F135" s="18" t="s">
        <v>54</v>
      </c>
      <c r="G135" s="18"/>
      <c r="H135" s="382">
        <v>1.2085</v>
      </c>
      <c r="I135" s="382"/>
      <c r="J135" s="483" t="s">
        <v>49</v>
      </c>
      <c r="K135" s="484">
        <v>1300</v>
      </c>
      <c r="L135" s="379">
        <v>305</v>
      </c>
      <c r="M135" s="382">
        <v>4500</v>
      </c>
      <c r="N135" s="75" t="s">
        <v>66</v>
      </c>
      <c r="O135" s="75" t="s">
        <v>50</v>
      </c>
      <c r="P135" s="75">
        <v>10894</v>
      </c>
      <c r="Q135" s="75">
        <v>12423</v>
      </c>
      <c r="R135" s="75">
        <f t="shared" si="9"/>
        <v>-1529</v>
      </c>
      <c r="S135" s="75">
        <v>2200</v>
      </c>
      <c r="T135" s="75" t="s">
        <v>42</v>
      </c>
      <c r="U135" s="137" t="s">
        <v>105</v>
      </c>
      <c r="V135" s="193">
        <v>46206</v>
      </c>
      <c r="W135" s="18" t="s">
        <v>44</v>
      </c>
      <c r="X135" s="18"/>
      <c r="Y135" s="114">
        <v>46266</v>
      </c>
      <c r="Z135" s="18" t="s">
        <v>45</v>
      </c>
      <c r="AA135" s="24" t="s">
        <v>46</v>
      </c>
      <c r="AB135" s="18"/>
      <c r="AC135" s="137"/>
      <c r="AD135" s="77"/>
      <c r="AE135" s="18" t="s">
        <v>48</v>
      </c>
      <c r="AF135" s="24" t="s">
        <v>61</v>
      </c>
      <c r="AG135" s="18"/>
    </row>
    <row r="136" spans="1:1024 1025:2002">
      <c r="A136" s="474"/>
      <c r="B136" s="75">
        <v>1127</v>
      </c>
      <c r="C136" s="213">
        <v>46200</v>
      </c>
      <c r="D136" s="18" t="s">
        <v>52</v>
      </c>
      <c r="E136" s="18" t="s">
        <v>104</v>
      </c>
      <c r="F136" s="18" t="s">
        <v>54</v>
      </c>
      <c r="G136" s="18"/>
      <c r="H136" s="75" t="s">
        <v>106</v>
      </c>
      <c r="I136" s="75"/>
      <c r="J136" s="18" t="s">
        <v>49</v>
      </c>
      <c r="K136" s="485">
        <v>1300</v>
      </c>
      <c r="L136" s="387">
        <v>205</v>
      </c>
      <c r="M136" s="75">
        <v>4500</v>
      </c>
      <c r="N136" s="75" t="s">
        <v>66</v>
      </c>
      <c r="O136" s="75" t="s">
        <v>67</v>
      </c>
      <c r="P136" s="486">
        <v>8500</v>
      </c>
      <c r="Q136" s="75">
        <v>8890</v>
      </c>
      <c r="R136" s="75">
        <f t="shared" si="9"/>
        <v>-390</v>
      </c>
      <c r="S136" s="75">
        <v>1465</v>
      </c>
      <c r="T136" s="75" t="s">
        <v>42</v>
      </c>
      <c r="U136" s="137" t="s">
        <v>107</v>
      </c>
      <c r="V136" s="193">
        <v>46201</v>
      </c>
      <c r="W136" s="18" t="s">
        <v>44</v>
      </c>
      <c r="X136" s="18"/>
      <c r="Y136" s="114">
        <v>46266</v>
      </c>
      <c r="Z136" s="18" t="s">
        <v>45</v>
      </c>
      <c r="AA136" s="24" t="s">
        <v>46</v>
      </c>
      <c r="AB136" s="18"/>
      <c r="AC136" s="137"/>
      <c r="AD136" s="77"/>
      <c r="AE136" s="18" t="s">
        <v>48</v>
      </c>
      <c r="AF136" s="24" t="s">
        <v>61</v>
      </c>
      <c r="AG136" s="18"/>
    </row>
    <row r="137" spans="1:1024 1025:2002">
      <c r="A137" s="474"/>
      <c r="B137" s="75">
        <v>1127</v>
      </c>
      <c r="C137" s="213">
        <v>46198</v>
      </c>
      <c r="D137" s="18" t="s">
        <v>52</v>
      </c>
      <c r="E137" s="18" t="s">
        <v>104</v>
      </c>
      <c r="F137" s="18" t="s">
        <v>54</v>
      </c>
      <c r="G137" s="18"/>
      <c r="H137" s="75" t="s">
        <v>106</v>
      </c>
      <c r="I137" s="75"/>
      <c r="J137" s="18" t="s">
        <v>49</v>
      </c>
      <c r="K137" s="485">
        <v>1300</v>
      </c>
      <c r="L137" s="387">
        <v>255</v>
      </c>
      <c r="M137" s="75">
        <v>4500</v>
      </c>
      <c r="N137" s="75" t="s">
        <v>66</v>
      </c>
      <c r="O137" s="75" t="s">
        <v>67</v>
      </c>
      <c r="P137" s="486">
        <v>8500</v>
      </c>
      <c r="Q137" s="75">
        <v>8600</v>
      </c>
      <c r="R137" s="75">
        <f t="shared" si="9"/>
        <v>-100</v>
      </c>
      <c r="S137" s="75">
        <v>1465</v>
      </c>
      <c r="T137" s="75" t="s">
        <v>42</v>
      </c>
      <c r="U137" s="137" t="s">
        <v>107</v>
      </c>
      <c r="V137" s="193">
        <v>46201</v>
      </c>
      <c r="W137" s="18" t="s">
        <v>44</v>
      </c>
      <c r="X137" s="18"/>
      <c r="Y137" s="114">
        <v>46266</v>
      </c>
      <c r="Z137" s="18" t="s">
        <v>45</v>
      </c>
      <c r="AA137" s="24" t="s">
        <v>46</v>
      </c>
      <c r="AB137" s="18"/>
      <c r="AC137" s="137"/>
      <c r="AD137" s="77"/>
      <c r="AE137" s="18" t="s">
        <v>48</v>
      </c>
      <c r="AF137" s="24" t="s">
        <v>61</v>
      </c>
      <c r="AG137" s="18"/>
    </row>
    <row r="138" spans="1:1024 1025:2002">
      <c r="A138" s="474"/>
      <c r="B138" s="75">
        <v>1127</v>
      </c>
      <c r="C138" s="213">
        <v>46198</v>
      </c>
      <c r="D138" s="18" t="s">
        <v>52</v>
      </c>
      <c r="E138" s="18" t="s">
        <v>104</v>
      </c>
      <c r="F138" s="18" t="s">
        <v>54</v>
      </c>
      <c r="G138" s="18"/>
      <c r="H138" s="75" t="s">
        <v>108</v>
      </c>
      <c r="I138" s="75"/>
      <c r="J138" s="18" t="s">
        <v>49</v>
      </c>
      <c r="K138" s="485">
        <v>1300</v>
      </c>
      <c r="L138" s="387">
        <v>305</v>
      </c>
      <c r="M138" s="75">
        <v>4500</v>
      </c>
      <c r="N138" s="75" t="s">
        <v>66</v>
      </c>
      <c r="O138" s="75" t="s">
        <v>67</v>
      </c>
      <c r="P138" s="486">
        <v>15000</v>
      </c>
      <c r="Q138" s="75">
        <f>11315+10777</f>
        <v>22092</v>
      </c>
      <c r="R138" s="75">
        <f t="shared" si="9"/>
        <v>-7092</v>
      </c>
      <c r="S138" s="75">
        <v>2120</v>
      </c>
      <c r="T138" s="75" t="s">
        <v>42</v>
      </c>
      <c r="U138" s="137" t="s">
        <v>107</v>
      </c>
      <c r="V138" s="193">
        <v>46201</v>
      </c>
      <c r="W138" s="18" t="s">
        <v>44</v>
      </c>
      <c r="X138" s="18"/>
      <c r="Y138" s="114">
        <v>46266</v>
      </c>
      <c r="Z138" s="18" t="s">
        <v>45</v>
      </c>
      <c r="AA138" s="24" t="s">
        <v>46</v>
      </c>
      <c r="AB138" s="18"/>
      <c r="AC138" s="137"/>
      <c r="AD138" s="77"/>
      <c r="AE138" s="18" t="s">
        <v>48</v>
      </c>
      <c r="AF138" s="24" t="s">
        <v>61</v>
      </c>
      <c r="AG138" s="18"/>
    </row>
    <row r="139" s="456" customFormat="1" spans="1:1024 1025:2002">
      <c r="A139" s="487"/>
      <c r="B139" s="342">
        <v>1128</v>
      </c>
      <c r="C139" s="343">
        <v>46198</v>
      </c>
      <c r="D139" s="24" t="s">
        <v>109</v>
      </c>
      <c r="E139" s="24" t="s">
        <v>110</v>
      </c>
      <c r="F139" s="24" t="s">
        <v>72</v>
      </c>
      <c r="G139" s="24"/>
      <c r="H139" s="342" t="s">
        <v>111</v>
      </c>
      <c r="I139" s="342"/>
      <c r="J139" s="24" t="s">
        <v>39</v>
      </c>
      <c r="K139" s="488">
        <v>32</v>
      </c>
      <c r="L139" s="488"/>
      <c r="M139" s="342">
        <v>5800</v>
      </c>
      <c r="N139" s="342" t="s">
        <v>40</v>
      </c>
      <c r="O139" s="342" t="s">
        <v>84</v>
      </c>
      <c r="P139" s="342">
        <v>2000</v>
      </c>
      <c r="Q139" s="342"/>
      <c r="R139" s="342">
        <f t="shared" si="9"/>
        <v>2000</v>
      </c>
      <c r="S139" s="342">
        <v>2390</v>
      </c>
      <c r="T139" s="342" t="s">
        <v>42</v>
      </c>
      <c r="U139" s="345" t="s">
        <v>112</v>
      </c>
      <c r="V139" s="346">
        <v>46204</v>
      </c>
      <c r="W139" s="24" t="s">
        <v>44</v>
      </c>
      <c r="X139" s="24"/>
      <c r="Y139" s="347">
        <v>46327</v>
      </c>
      <c r="Z139" s="24" t="s">
        <v>113</v>
      </c>
      <c r="AA139" s="24" t="s">
        <v>46</v>
      </c>
      <c r="AB139" s="24"/>
      <c r="AC139" s="345"/>
      <c r="AD139" s="348">
        <v>1836</v>
      </c>
      <c r="AE139" s="24" t="s">
        <v>48</v>
      </c>
      <c r="AF139" s="24"/>
      <c r="AG139" s="24"/>
    </row>
    <row r="140" s="456" customFormat="1" spans="1:1024 1025:2002">
      <c r="A140" s="487"/>
      <c r="B140" s="342">
        <v>1128</v>
      </c>
      <c r="C140" s="343">
        <v>46198</v>
      </c>
      <c r="D140" s="24" t="s">
        <v>109</v>
      </c>
      <c r="E140" s="24" t="s">
        <v>110</v>
      </c>
      <c r="F140" s="24" t="s">
        <v>72</v>
      </c>
      <c r="G140" s="24"/>
      <c r="H140" s="342" t="s">
        <v>111</v>
      </c>
      <c r="I140" s="342"/>
      <c r="J140" s="24" t="s">
        <v>39</v>
      </c>
      <c r="K140" s="488">
        <v>36</v>
      </c>
      <c r="L140" s="488"/>
      <c r="M140" s="342">
        <v>5800</v>
      </c>
      <c r="N140" s="342" t="s">
        <v>40</v>
      </c>
      <c r="O140" s="342" t="s">
        <v>84</v>
      </c>
      <c r="P140" s="342">
        <v>2000</v>
      </c>
      <c r="Q140" s="342"/>
      <c r="R140" s="342">
        <f t="shared" si="9"/>
        <v>2000</v>
      </c>
      <c r="S140" s="342">
        <v>2390</v>
      </c>
      <c r="T140" s="342" t="s">
        <v>42</v>
      </c>
      <c r="U140" s="345" t="s">
        <v>112</v>
      </c>
      <c r="V140" s="346">
        <v>46204</v>
      </c>
      <c r="W140" s="24" t="s">
        <v>44</v>
      </c>
      <c r="X140" s="24"/>
      <c r="Y140" s="347">
        <v>46327</v>
      </c>
      <c r="Z140" s="24" t="s">
        <v>113</v>
      </c>
      <c r="AA140" s="24" t="s">
        <v>46</v>
      </c>
      <c r="AB140" s="24"/>
      <c r="AC140" s="345"/>
      <c r="AD140" s="348">
        <v>1836</v>
      </c>
      <c r="AE140" s="24" t="s">
        <v>48</v>
      </c>
      <c r="AF140" s="24"/>
      <c r="AG140" s="24"/>
    </row>
    <row r="141" s="456" customFormat="1" spans="1:1024 1025:2002">
      <c r="A141" s="487"/>
      <c r="B141" s="342">
        <v>1128</v>
      </c>
      <c r="C141" s="343">
        <v>46198</v>
      </c>
      <c r="D141" s="24" t="s">
        <v>109</v>
      </c>
      <c r="E141" s="24" t="s">
        <v>110</v>
      </c>
      <c r="F141" s="24" t="s">
        <v>72</v>
      </c>
      <c r="G141" s="24"/>
      <c r="H141" s="342" t="s">
        <v>111</v>
      </c>
      <c r="I141" s="342"/>
      <c r="J141" s="24" t="s">
        <v>39</v>
      </c>
      <c r="K141" s="488">
        <v>40</v>
      </c>
      <c r="L141" s="488"/>
      <c r="M141" s="342">
        <v>5800</v>
      </c>
      <c r="N141" s="342" t="s">
        <v>40</v>
      </c>
      <c r="O141" s="342" t="s">
        <v>84</v>
      </c>
      <c r="P141" s="342">
        <v>2000</v>
      </c>
      <c r="Q141" s="342"/>
      <c r="R141" s="342">
        <f t="shared" si="9"/>
        <v>2000</v>
      </c>
      <c r="S141" s="342">
        <v>2390</v>
      </c>
      <c r="T141" s="342" t="s">
        <v>42</v>
      </c>
      <c r="U141" s="345" t="s">
        <v>112</v>
      </c>
      <c r="V141" s="346">
        <v>46204</v>
      </c>
      <c r="W141" s="24" t="s">
        <v>44</v>
      </c>
      <c r="X141" s="24"/>
      <c r="Y141" s="347">
        <v>46327</v>
      </c>
      <c r="Z141" s="24" t="s">
        <v>113</v>
      </c>
      <c r="AA141" s="24" t="s">
        <v>46</v>
      </c>
      <c r="AB141" s="24"/>
      <c r="AC141" s="345"/>
      <c r="AD141" s="348">
        <v>1836</v>
      </c>
      <c r="AE141" s="24" t="s">
        <v>48</v>
      </c>
      <c r="AF141" s="24"/>
      <c r="AG141" s="24"/>
    </row>
    <row r="142" s="456" customFormat="1" spans="1:1024 1025:2002">
      <c r="A142" s="487"/>
      <c r="B142" s="342">
        <v>1128</v>
      </c>
      <c r="C142" s="343">
        <v>46198</v>
      </c>
      <c r="D142" s="24" t="s">
        <v>109</v>
      </c>
      <c r="E142" s="24" t="s">
        <v>110</v>
      </c>
      <c r="F142" s="24" t="s">
        <v>72</v>
      </c>
      <c r="G142" s="24"/>
      <c r="H142" s="342" t="s">
        <v>111</v>
      </c>
      <c r="I142" s="342"/>
      <c r="J142" s="24" t="s">
        <v>39</v>
      </c>
      <c r="K142" s="488">
        <v>50</v>
      </c>
      <c r="L142" s="488"/>
      <c r="M142" s="342">
        <v>5800</v>
      </c>
      <c r="N142" s="342" t="s">
        <v>40</v>
      </c>
      <c r="O142" s="342" t="s">
        <v>84</v>
      </c>
      <c r="P142" s="342">
        <v>2000</v>
      </c>
      <c r="Q142" s="342"/>
      <c r="R142" s="342">
        <f t="shared" si="9"/>
        <v>2000</v>
      </c>
      <c r="S142" s="342">
        <v>2390</v>
      </c>
      <c r="T142" s="342" t="s">
        <v>42</v>
      </c>
      <c r="U142" s="345" t="s">
        <v>112</v>
      </c>
      <c r="V142" s="346">
        <v>46204</v>
      </c>
      <c r="W142" s="24" t="s">
        <v>44</v>
      </c>
      <c r="X142" s="24"/>
      <c r="Y142" s="347">
        <v>46327</v>
      </c>
      <c r="Z142" s="24" t="s">
        <v>113</v>
      </c>
      <c r="AA142" s="24" t="s">
        <v>46</v>
      </c>
      <c r="AB142" s="24"/>
      <c r="AC142" s="345"/>
      <c r="AD142" s="348">
        <v>1836</v>
      </c>
      <c r="AE142" s="24" t="s">
        <v>48</v>
      </c>
      <c r="AF142" s="24"/>
      <c r="AG142" s="24"/>
    </row>
    <row r="143" s="456" customFormat="1" spans="1:1024 1025:2002">
      <c r="A143" s="487"/>
      <c r="B143" s="342">
        <v>1128</v>
      </c>
      <c r="C143" s="343">
        <v>46198</v>
      </c>
      <c r="D143" s="24" t="s">
        <v>109</v>
      </c>
      <c r="E143" s="24" t="s">
        <v>110</v>
      </c>
      <c r="F143" s="24" t="s">
        <v>72</v>
      </c>
      <c r="G143" s="24"/>
      <c r="H143" s="342" t="s">
        <v>111</v>
      </c>
      <c r="I143" s="342"/>
      <c r="J143" s="24" t="s">
        <v>39</v>
      </c>
      <c r="K143" s="488">
        <v>91</v>
      </c>
      <c r="L143" s="488"/>
      <c r="M143" s="342">
        <v>5800</v>
      </c>
      <c r="N143" s="342" t="s">
        <v>40</v>
      </c>
      <c r="O143" s="342" t="s">
        <v>84</v>
      </c>
      <c r="P143" s="342">
        <v>2000</v>
      </c>
      <c r="Q143" s="342"/>
      <c r="R143" s="342">
        <f t="shared" si="9"/>
        <v>2000</v>
      </c>
      <c r="S143" s="342">
        <v>2240</v>
      </c>
      <c r="T143" s="342" t="s">
        <v>42</v>
      </c>
      <c r="U143" s="345" t="s">
        <v>112</v>
      </c>
      <c r="V143" s="346">
        <v>46204</v>
      </c>
      <c r="W143" s="24" t="s">
        <v>44</v>
      </c>
      <c r="X143" s="24"/>
      <c r="Y143" s="347">
        <v>46327</v>
      </c>
      <c r="Z143" s="24" t="s">
        <v>113</v>
      </c>
      <c r="AA143" s="24" t="s">
        <v>46</v>
      </c>
      <c r="AB143" s="24"/>
      <c r="AC143" s="345"/>
      <c r="AD143" s="348">
        <v>1836</v>
      </c>
      <c r="AE143" s="24" t="s">
        <v>48</v>
      </c>
      <c r="AF143" s="24"/>
      <c r="AG143" s="24"/>
    </row>
    <row r="144" s="456" customFormat="1" spans="1:1024 1025:2002">
      <c r="A144" s="487"/>
      <c r="B144" s="342">
        <v>1128</v>
      </c>
      <c r="C144" s="343">
        <v>46198</v>
      </c>
      <c r="D144" s="24" t="s">
        <v>109</v>
      </c>
      <c r="E144" s="24" t="s">
        <v>110</v>
      </c>
      <c r="F144" s="24" t="s">
        <v>72</v>
      </c>
      <c r="G144" s="24"/>
      <c r="H144" s="342" t="s">
        <v>111</v>
      </c>
      <c r="I144" s="342"/>
      <c r="J144" s="24" t="s">
        <v>39</v>
      </c>
      <c r="K144" s="488">
        <v>101</v>
      </c>
      <c r="L144" s="488"/>
      <c r="M144" s="342">
        <v>5800</v>
      </c>
      <c r="N144" s="342" t="s">
        <v>40</v>
      </c>
      <c r="O144" s="342" t="s">
        <v>84</v>
      </c>
      <c r="P144" s="342">
        <v>2000</v>
      </c>
      <c r="Q144" s="342"/>
      <c r="R144" s="342">
        <f t="shared" si="9"/>
        <v>2000</v>
      </c>
      <c r="S144" s="342">
        <v>2240</v>
      </c>
      <c r="T144" s="342" t="s">
        <v>42</v>
      </c>
      <c r="U144" s="345" t="s">
        <v>112</v>
      </c>
      <c r="V144" s="346">
        <v>46204</v>
      </c>
      <c r="W144" s="24" t="s">
        <v>44</v>
      </c>
      <c r="X144" s="24"/>
      <c r="Y144" s="347">
        <v>46327</v>
      </c>
      <c r="Z144" s="24" t="s">
        <v>113</v>
      </c>
      <c r="AA144" s="24" t="s">
        <v>46</v>
      </c>
      <c r="AB144" s="24"/>
      <c r="AC144" s="345"/>
      <c r="AD144" s="348">
        <v>1836</v>
      </c>
      <c r="AE144" s="24" t="s">
        <v>48</v>
      </c>
      <c r="AF144" s="24"/>
      <c r="AG144" s="24"/>
    </row>
    <row r="145" s="456" customFormat="1" spans="1:1024 1025:2002">
      <c r="A145" s="487"/>
      <c r="B145" s="342">
        <v>1128</v>
      </c>
      <c r="C145" s="343">
        <v>46198</v>
      </c>
      <c r="D145" s="24" t="s">
        <v>109</v>
      </c>
      <c r="E145" s="24" t="s">
        <v>110</v>
      </c>
      <c r="F145" s="24" t="s">
        <v>72</v>
      </c>
      <c r="G145" s="24"/>
      <c r="H145" s="342" t="s">
        <v>111</v>
      </c>
      <c r="I145" s="342"/>
      <c r="J145" s="24" t="s">
        <v>39</v>
      </c>
      <c r="K145" s="488">
        <v>111</v>
      </c>
      <c r="L145" s="488"/>
      <c r="M145" s="342">
        <v>5800</v>
      </c>
      <c r="N145" s="342" t="s">
        <v>40</v>
      </c>
      <c r="O145" s="342" t="s">
        <v>84</v>
      </c>
      <c r="P145" s="342">
        <v>4000</v>
      </c>
      <c r="Q145" s="342"/>
      <c r="R145" s="342">
        <f t="shared" si="9"/>
        <v>4000</v>
      </c>
      <c r="S145" s="342">
        <v>2240</v>
      </c>
      <c r="T145" s="342" t="s">
        <v>42</v>
      </c>
      <c r="U145" s="345" t="s">
        <v>112</v>
      </c>
      <c r="V145" s="346">
        <v>46204</v>
      </c>
      <c r="W145" s="24" t="s">
        <v>44</v>
      </c>
      <c r="X145" s="24"/>
      <c r="Y145" s="347">
        <v>46327</v>
      </c>
      <c r="Z145" s="24" t="s">
        <v>113</v>
      </c>
      <c r="AA145" s="24" t="s">
        <v>46</v>
      </c>
      <c r="AB145" s="24"/>
      <c r="AC145" s="345"/>
      <c r="AD145" s="348">
        <v>1836</v>
      </c>
      <c r="AE145" s="24" t="s">
        <v>48</v>
      </c>
      <c r="AF145" s="24"/>
      <c r="AG145" s="24"/>
    </row>
    <row r="146" s="456" customFormat="1" spans="1:1024 1025:2002">
      <c r="A146" s="487"/>
      <c r="B146" s="342">
        <v>1128</v>
      </c>
      <c r="C146" s="343">
        <v>46198</v>
      </c>
      <c r="D146" s="24" t="s">
        <v>109</v>
      </c>
      <c r="E146" s="24" t="s">
        <v>110</v>
      </c>
      <c r="F146" s="24" t="s">
        <v>72</v>
      </c>
      <c r="G146" s="24"/>
      <c r="H146" s="342" t="s">
        <v>111</v>
      </c>
      <c r="I146" s="342"/>
      <c r="J146" s="24" t="s">
        <v>39</v>
      </c>
      <c r="K146" s="488">
        <v>121</v>
      </c>
      <c r="L146" s="488"/>
      <c r="M146" s="342">
        <v>5800</v>
      </c>
      <c r="N146" s="342" t="s">
        <v>40</v>
      </c>
      <c r="O146" s="342" t="s">
        <v>84</v>
      </c>
      <c r="P146" s="342">
        <v>4000</v>
      </c>
      <c r="Q146" s="342"/>
      <c r="R146" s="342">
        <f t="shared" si="9"/>
        <v>4000</v>
      </c>
      <c r="S146" s="342">
        <v>2240</v>
      </c>
      <c r="T146" s="342" t="s">
        <v>42</v>
      </c>
      <c r="U146" s="345" t="s">
        <v>112</v>
      </c>
      <c r="V146" s="346">
        <v>46204</v>
      </c>
      <c r="W146" s="24" t="s">
        <v>44</v>
      </c>
      <c r="X146" s="24"/>
      <c r="Y146" s="347">
        <v>46327</v>
      </c>
      <c r="Z146" s="24" t="s">
        <v>113</v>
      </c>
      <c r="AA146" s="24" t="s">
        <v>46</v>
      </c>
      <c r="AB146" s="24"/>
      <c r="AC146" s="345"/>
      <c r="AD146" s="348">
        <v>1836</v>
      </c>
      <c r="AE146" s="24" t="s">
        <v>48</v>
      </c>
      <c r="AF146" s="24"/>
      <c r="AG146" s="24"/>
    </row>
    <row r="147" s="456" customFormat="1" spans="1:1024 1025:2002">
      <c r="A147" s="487"/>
      <c r="B147" s="342">
        <v>1128</v>
      </c>
      <c r="C147" s="343">
        <v>46198</v>
      </c>
      <c r="D147" s="24" t="s">
        <v>109</v>
      </c>
      <c r="E147" s="24" t="s">
        <v>110</v>
      </c>
      <c r="F147" s="24" t="s">
        <v>72</v>
      </c>
      <c r="G147" s="24"/>
      <c r="H147" s="342" t="s">
        <v>111</v>
      </c>
      <c r="I147" s="342"/>
      <c r="J147" s="24" t="s">
        <v>39</v>
      </c>
      <c r="K147" s="488">
        <v>142</v>
      </c>
      <c r="L147" s="488"/>
      <c r="M147" s="342">
        <v>5800</v>
      </c>
      <c r="N147" s="342" t="s">
        <v>40</v>
      </c>
      <c r="O147" s="342" t="s">
        <v>84</v>
      </c>
      <c r="P147" s="342">
        <v>4000</v>
      </c>
      <c r="Q147" s="342"/>
      <c r="R147" s="342">
        <f t="shared" si="9"/>
        <v>4000</v>
      </c>
      <c r="S147" s="342">
        <v>2240</v>
      </c>
      <c r="T147" s="342" t="s">
        <v>42</v>
      </c>
      <c r="U147" s="345" t="s">
        <v>112</v>
      </c>
      <c r="V147" s="346">
        <v>46204</v>
      </c>
      <c r="W147" s="24" t="s">
        <v>44</v>
      </c>
      <c r="X147" s="24"/>
      <c r="Y147" s="347">
        <v>46327</v>
      </c>
      <c r="Z147" s="24" t="s">
        <v>113</v>
      </c>
      <c r="AA147" s="24" t="s">
        <v>46</v>
      </c>
      <c r="AB147" s="24"/>
      <c r="AC147" s="345"/>
      <c r="AD147" s="348">
        <v>1836</v>
      </c>
      <c r="AE147" s="24" t="s">
        <v>48</v>
      </c>
      <c r="AF147" s="24"/>
      <c r="AG147" s="24"/>
    </row>
    <row r="148" s="25" customFormat="1" spans="1:1024 1025:2002">
      <c r="A148" s="473"/>
      <c r="B148" s="19">
        <v>1129</v>
      </c>
      <c r="C148" s="183">
        <v>46199</v>
      </c>
      <c r="D148" s="17" t="s">
        <v>91</v>
      </c>
      <c r="E148" s="17" t="s">
        <v>92</v>
      </c>
      <c r="F148" s="17" t="s">
        <v>93</v>
      </c>
      <c r="G148" s="17"/>
      <c r="H148" s="19">
        <v>1.2085</v>
      </c>
      <c r="I148" s="19">
        <v>1.2085</v>
      </c>
      <c r="J148" s="17" t="s">
        <v>49</v>
      </c>
      <c r="K148" s="168">
        <v>2200</v>
      </c>
      <c r="L148" s="168">
        <v>45</v>
      </c>
      <c r="M148" s="19">
        <v>5000</v>
      </c>
      <c r="N148" s="19" t="s">
        <v>66</v>
      </c>
      <c r="O148" s="19" t="s">
        <v>67</v>
      </c>
      <c r="P148" s="19">
        <v>3886</v>
      </c>
      <c r="Q148" s="19">
        <v>3900</v>
      </c>
      <c r="R148" s="19">
        <f t="shared" si="9"/>
        <v>-14</v>
      </c>
      <c r="S148" s="19">
        <v>2500</v>
      </c>
      <c r="T148" s="19" t="s">
        <v>94</v>
      </c>
      <c r="U148" s="102">
        <v>20053867</v>
      </c>
      <c r="V148" s="186">
        <v>46199</v>
      </c>
      <c r="W148" s="17" t="s">
        <v>44</v>
      </c>
      <c r="X148" s="17"/>
      <c r="Y148" s="68">
        <v>46235</v>
      </c>
      <c r="Z148" s="17" t="s">
        <v>95</v>
      </c>
      <c r="AA148" s="17" t="s">
        <v>46</v>
      </c>
      <c r="AB148" s="17"/>
      <c r="AC148" s="102"/>
      <c r="AD148" s="65">
        <v>1868</v>
      </c>
      <c r="AE148" s="17" t="s">
        <v>48</v>
      </c>
      <c r="AF148" s="17"/>
      <c r="AG148" s="17"/>
      <c r="AH148" s="456"/>
      <c r="AI148" s="456"/>
      <c r="AJ148" s="456"/>
      <c r="AK148" s="456"/>
      <c r="AL148" s="456"/>
      <c r="AM148" s="456"/>
      <c r="AN148" s="456"/>
      <c r="AO148" s="456"/>
      <c r="AP148" s="456"/>
      <c r="AQ148" s="456"/>
      <c r="AR148" s="456"/>
      <c r="AS148" s="456"/>
      <c r="AT148" s="456"/>
      <c r="AU148" s="456"/>
      <c r="AV148" s="456"/>
      <c r="AW148" s="456"/>
      <c r="AX148" s="456"/>
      <c r="AY148" s="456"/>
      <c r="AZ148" s="456"/>
      <c r="BA148" s="456"/>
      <c r="BB148" s="456"/>
      <c r="BC148" s="456"/>
      <c r="BD148" s="456"/>
      <c r="BE148" s="456"/>
      <c r="BF148" s="456"/>
      <c r="BG148" s="456"/>
      <c r="BH148" s="456"/>
      <c r="BI148" s="456"/>
      <c r="BJ148" s="456"/>
      <c r="BK148" s="456"/>
      <c r="BL148" s="456"/>
      <c r="BM148" s="456"/>
      <c r="BN148" s="456"/>
      <c r="BO148" s="456"/>
      <c r="BP148" s="456"/>
      <c r="BQ148" s="456"/>
      <c r="BR148" s="456"/>
      <c r="BS148" s="456"/>
      <c r="BT148" s="456"/>
      <c r="BU148" s="456"/>
      <c r="BV148" s="456"/>
      <c r="BW148" s="456"/>
      <c r="BX148" s="456"/>
      <c r="BY148" s="456"/>
      <c r="BZ148" s="456"/>
      <c r="CA148" s="456"/>
      <c r="CB148" s="456"/>
      <c r="CC148" s="456"/>
      <c r="CD148" s="456"/>
      <c r="CE148" s="456"/>
      <c r="CF148" s="456"/>
      <c r="CG148" s="456"/>
      <c r="CH148" s="456"/>
      <c r="CI148" s="456"/>
      <c r="CJ148" s="456"/>
      <c r="CK148" s="456"/>
      <c r="CL148" s="456"/>
      <c r="CM148" s="456"/>
      <c r="CN148" s="456"/>
      <c r="CO148" s="456"/>
      <c r="CP148" s="456"/>
      <c r="CQ148" s="456"/>
      <c r="CR148" s="456"/>
      <c r="CS148" s="456"/>
      <c r="CT148" s="456"/>
      <c r="CU148" s="456"/>
      <c r="CV148" s="456"/>
      <c r="CW148" s="456"/>
      <c r="CX148" s="456"/>
      <c r="CY148" s="456"/>
      <c r="CZ148" s="456"/>
      <c r="DA148" s="456"/>
      <c r="DB148" s="456"/>
      <c r="DC148" s="456"/>
      <c r="DD148" s="456"/>
      <c r="DE148" s="456"/>
      <c r="DF148" s="456"/>
      <c r="DG148" s="456"/>
      <c r="DH148" s="456"/>
      <c r="DI148" s="456"/>
      <c r="DJ148" s="456"/>
      <c r="DK148" s="456"/>
      <c r="DL148" s="456"/>
      <c r="DM148" s="456"/>
      <c r="DN148" s="456"/>
      <c r="DO148" s="456"/>
      <c r="DP148" s="456"/>
      <c r="DQ148" s="456"/>
      <c r="DR148" s="456"/>
      <c r="DS148" s="456"/>
      <c r="DT148" s="456"/>
      <c r="DU148" s="456"/>
      <c r="DV148" s="456"/>
      <c r="DW148" s="456"/>
      <c r="DX148" s="456"/>
      <c r="DY148" s="456"/>
      <c r="DZ148" s="456"/>
      <c r="EA148" s="456"/>
      <c r="EB148" s="456"/>
      <c r="EC148" s="456"/>
      <c r="ED148" s="456"/>
      <c r="EE148" s="456"/>
      <c r="EF148" s="456"/>
      <c r="EG148" s="456"/>
      <c r="EH148" s="456"/>
      <c r="EI148" s="456"/>
      <c r="EJ148" s="456"/>
      <c r="EK148" s="456"/>
      <c r="EL148" s="456"/>
      <c r="EM148" s="456"/>
      <c r="EN148" s="456"/>
      <c r="EO148" s="456"/>
      <c r="EP148" s="456"/>
      <c r="EQ148" s="456"/>
      <c r="ER148" s="456"/>
      <c r="ES148" s="456"/>
      <c r="ET148" s="456"/>
      <c r="EU148" s="456"/>
      <c r="EV148" s="456"/>
      <c r="EW148" s="456"/>
      <c r="EX148" s="456"/>
      <c r="EY148" s="456"/>
      <c r="EZ148" s="456"/>
      <c r="FA148" s="456"/>
      <c r="FB148" s="456"/>
      <c r="FC148" s="456"/>
      <c r="FD148" s="456"/>
      <c r="FE148" s="456"/>
      <c r="FF148" s="456"/>
      <c r="FG148" s="456"/>
      <c r="FH148" s="456"/>
      <c r="FI148" s="456"/>
      <c r="FJ148" s="456"/>
      <c r="FK148" s="456"/>
      <c r="FL148" s="456"/>
      <c r="FM148" s="456"/>
      <c r="FN148" s="456"/>
      <c r="FO148" s="456"/>
      <c r="FP148" s="456"/>
      <c r="FQ148" s="456"/>
      <c r="FR148" s="456"/>
      <c r="FS148" s="456"/>
      <c r="FT148" s="456"/>
      <c r="FU148" s="456"/>
      <c r="FV148" s="456"/>
      <c r="FW148" s="456"/>
      <c r="FX148" s="456"/>
      <c r="FY148" s="456"/>
      <c r="FZ148" s="456"/>
      <c r="GA148" s="456"/>
      <c r="GB148" s="456"/>
      <c r="GC148" s="456"/>
      <c r="GD148" s="456"/>
      <c r="GE148" s="456"/>
      <c r="GF148" s="456"/>
      <c r="GG148" s="456"/>
      <c r="GH148" s="456"/>
      <c r="GI148" s="456"/>
      <c r="GJ148" s="456"/>
      <c r="GK148" s="456"/>
      <c r="GL148" s="456"/>
      <c r="GM148" s="456"/>
      <c r="GN148" s="456"/>
      <c r="GO148" s="456"/>
      <c r="GP148" s="456"/>
      <c r="GQ148" s="456"/>
      <c r="GR148" s="456"/>
      <c r="GS148" s="456"/>
      <c r="GT148" s="456"/>
      <c r="GU148" s="456"/>
      <c r="GV148" s="456"/>
      <c r="GW148" s="456"/>
      <c r="GX148" s="456"/>
      <c r="GY148" s="456"/>
      <c r="GZ148" s="456"/>
      <c r="HA148" s="456"/>
      <c r="HB148" s="456"/>
      <c r="HC148" s="456"/>
      <c r="HD148" s="456"/>
      <c r="HE148" s="456"/>
      <c r="HF148" s="456"/>
      <c r="HG148" s="456"/>
      <c r="HH148" s="456"/>
      <c r="HI148" s="456"/>
      <c r="HJ148" s="456"/>
      <c r="HK148" s="456"/>
      <c r="HL148" s="456"/>
      <c r="HM148" s="456"/>
      <c r="HN148" s="456"/>
      <c r="HO148" s="456"/>
      <c r="HP148" s="456"/>
      <c r="HQ148" s="456"/>
      <c r="HR148" s="456"/>
      <c r="HS148" s="456"/>
      <c r="HT148" s="456"/>
      <c r="HU148" s="456"/>
      <c r="HV148" s="456"/>
      <c r="HW148" s="456"/>
      <c r="HX148" s="456"/>
      <c r="HY148" s="456"/>
      <c r="HZ148" s="456"/>
      <c r="IA148" s="456"/>
      <c r="IB148" s="456"/>
      <c r="IC148" s="456"/>
      <c r="ID148" s="456"/>
      <c r="IE148" s="456"/>
      <c r="IF148" s="456"/>
      <c r="IG148" s="456"/>
      <c r="IH148" s="456"/>
      <c r="II148" s="456"/>
      <c r="IJ148" s="456"/>
      <c r="IK148" s="456"/>
      <c r="IL148" s="456"/>
      <c r="IM148" s="456"/>
      <c r="IN148" s="456"/>
      <c r="IO148" s="456"/>
      <c r="IP148" s="456"/>
      <c r="IQ148" s="456"/>
      <c r="IR148" s="456"/>
      <c r="IS148" s="456"/>
      <c r="IT148" s="456"/>
      <c r="IU148" s="456"/>
      <c r="IV148" s="456"/>
      <c r="IW148" s="456"/>
      <c r="IX148" s="456"/>
      <c r="IY148" s="456"/>
      <c r="IZ148" s="456"/>
      <c r="JA148" s="456"/>
      <c r="JB148" s="456"/>
      <c r="JC148" s="456"/>
      <c r="JD148" s="456"/>
      <c r="JE148" s="456"/>
      <c r="JF148" s="456"/>
      <c r="JG148" s="456"/>
      <c r="JH148" s="456"/>
      <c r="JI148" s="456"/>
      <c r="JJ148" s="456"/>
      <c r="JK148" s="456"/>
      <c r="JL148" s="456"/>
      <c r="JM148" s="456"/>
      <c r="JN148" s="456"/>
      <c r="JO148" s="456"/>
      <c r="JP148" s="456"/>
      <c r="JQ148" s="456"/>
      <c r="JR148" s="456"/>
      <c r="JS148" s="456"/>
      <c r="JT148" s="456"/>
      <c r="JU148" s="456"/>
      <c r="JV148" s="456"/>
      <c r="JW148" s="456"/>
      <c r="JX148" s="456"/>
      <c r="JY148" s="456"/>
      <c r="JZ148" s="456"/>
      <c r="KA148" s="456"/>
      <c r="KB148" s="456"/>
      <c r="KC148" s="456"/>
      <c r="KD148" s="456"/>
      <c r="KE148" s="456"/>
      <c r="KF148" s="456"/>
      <c r="KG148" s="456"/>
      <c r="KH148" s="456"/>
      <c r="KI148" s="456"/>
      <c r="KJ148" s="456"/>
      <c r="KK148" s="456"/>
      <c r="KL148" s="456"/>
      <c r="KM148" s="456"/>
      <c r="KN148" s="456"/>
      <c r="KO148" s="456"/>
      <c r="KP148" s="456"/>
      <c r="KQ148" s="456"/>
      <c r="KR148" s="456"/>
      <c r="KS148" s="456"/>
      <c r="KT148" s="456"/>
      <c r="KU148" s="456"/>
      <c r="KV148" s="456"/>
      <c r="KW148" s="456"/>
      <c r="KX148" s="456"/>
      <c r="KY148" s="456"/>
      <c r="KZ148" s="456"/>
      <c r="LA148" s="456"/>
      <c r="LB148" s="456"/>
      <c r="LC148" s="456"/>
      <c r="LD148" s="456"/>
      <c r="LE148" s="456"/>
      <c r="LF148" s="456"/>
      <c r="LG148" s="456"/>
      <c r="LH148" s="456"/>
      <c r="LI148" s="456"/>
      <c r="LJ148" s="456"/>
      <c r="LK148" s="456"/>
      <c r="LL148" s="456"/>
      <c r="LM148" s="456"/>
      <c r="LN148" s="456"/>
      <c r="LO148" s="456"/>
      <c r="LP148" s="456"/>
      <c r="LQ148" s="456"/>
      <c r="LR148" s="456"/>
      <c r="LS148" s="456"/>
      <c r="LT148" s="456"/>
      <c r="LU148" s="456"/>
      <c r="LV148" s="456"/>
      <c r="LW148" s="456"/>
      <c r="LX148" s="456"/>
      <c r="LY148" s="456"/>
      <c r="LZ148" s="456"/>
      <c r="MA148" s="456"/>
      <c r="MB148" s="456"/>
      <c r="MC148" s="456"/>
      <c r="MD148" s="456"/>
      <c r="ME148" s="456"/>
      <c r="MF148" s="456"/>
      <c r="MG148" s="456"/>
      <c r="MH148" s="456"/>
      <c r="MI148" s="456"/>
      <c r="MJ148" s="456"/>
      <c r="MK148" s="456"/>
      <c r="ML148" s="456"/>
      <c r="MM148" s="456"/>
      <c r="MN148" s="456"/>
      <c r="MO148" s="456"/>
      <c r="MP148" s="456"/>
      <c r="MQ148" s="456"/>
      <c r="MR148" s="456"/>
      <c r="MS148" s="456"/>
      <c r="MT148" s="456"/>
      <c r="MU148" s="456"/>
      <c r="MV148" s="456"/>
      <c r="MW148" s="456"/>
      <c r="MX148" s="456"/>
      <c r="MY148" s="456"/>
      <c r="MZ148" s="456"/>
      <c r="NA148" s="456"/>
      <c r="NB148" s="456"/>
      <c r="NC148" s="456"/>
      <c r="ND148" s="456"/>
      <c r="NE148" s="456"/>
      <c r="NF148" s="456"/>
      <c r="NG148" s="456"/>
      <c r="NH148" s="456"/>
      <c r="NI148" s="456"/>
      <c r="NJ148" s="456"/>
      <c r="NK148" s="456"/>
      <c r="NL148" s="456"/>
      <c r="NM148" s="456"/>
      <c r="NN148" s="456"/>
      <c r="NO148" s="456"/>
      <c r="NP148" s="456"/>
      <c r="NQ148" s="456"/>
      <c r="NR148" s="456"/>
      <c r="NS148" s="456"/>
      <c r="NT148" s="456"/>
      <c r="NU148" s="456"/>
      <c r="NV148" s="456"/>
      <c r="NW148" s="456"/>
      <c r="NX148" s="456"/>
      <c r="NY148" s="456"/>
      <c r="NZ148" s="456"/>
      <c r="OA148" s="456"/>
      <c r="OB148" s="456"/>
      <c r="OC148" s="456"/>
      <c r="OD148" s="456"/>
      <c r="OE148" s="456"/>
      <c r="OF148" s="456"/>
      <c r="OG148" s="456"/>
      <c r="OH148" s="456"/>
      <c r="OI148" s="456"/>
      <c r="OJ148" s="456"/>
      <c r="OK148" s="456"/>
      <c r="OL148" s="456"/>
      <c r="OM148" s="456"/>
      <c r="ON148" s="456"/>
      <c r="OO148" s="456"/>
      <c r="OP148" s="456"/>
      <c r="OQ148" s="456"/>
      <c r="OR148" s="456"/>
      <c r="OS148" s="456"/>
      <c r="OT148" s="456"/>
      <c r="OU148" s="456"/>
      <c r="OV148" s="456"/>
      <c r="OW148" s="456"/>
      <c r="OX148" s="456"/>
      <c r="OY148" s="456"/>
      <c r="OZ148" s="456"/>
      <c r="PA148" s="456"/>
      <c r="PB148" s="456"/>
      <c r="PC148" s="456"/>
      <c r="PD148" s="456"/>
      <c r="PE148" s="456"/>
      <c r="PF148" s="456"/>
      <c r="PG148" s="456"/>
      <c r="PH148" s="456"/>
      <c r="PI148" s="456"/>
      <c r="PJ148" s="456"/>
      <c r="PK148" s="456"/>
      <c r="PL148" s="456"/>
      <c r="PM148" s="456"/>
      <c r="PN148" s="456"/>
      <c r="PO148" s="456"/>
      <c r="PP148" s="456"/>
      <c r="PQ148" s="456"/>
      <c r="PR148" s="456"/>
      <c r="PS148" s="456"/>
      <c r="PT148" s="456"/>
      <c r="PU148" s="456"/>
      <c r="PV148" s="456"/>
      <c r="PW148" s="456"/>
      <c r="PX148" s="456"/>
      <c r="PY148" s="456"/>
      <c r="PZ148" s="456"/>
      <c r="QA148" s="456"/>
      <c r="QB148" s="456"/>
      <c r="QC148" s="456"/>
      <c r="QD148" s="456"/>
      <c r="QE148" s="456"/>
      <c r="QF148" s="456"/>
      <c r="QG148" s="456"/>
      <c r="QH148" s="456"/>
      <c r="QI148" s="456"/>
      <c r="QJ148" s="456"/>
      <c r="QK148" s="456"/>
      <c r="QL148" s="456"/>
      <c r="QM148" s="456"/>
      <c r="QN148" s="456"/>
      <c r="QO148" s="456"/>
      <c r="QP148" s="456"/>
      <c r="QQ148" s="456"/>
      <c r="QR148" s="456"/>
      <c r="QS148" s="456"/>
      <c r="QT148" s="456"/>
      <c r="QU148" s="456"/>
      <c r="QV148" s="456"/>
      <c r="QW148" s="456"/>
      <c r="QX148" s="456"/>
      <c r="QY148" s="456"/>
      <c r="QZ148" s="456"/>
      <c r="RA148" s="456"/>
      <c r="RB148" s="456"/>
      <c r="RC148" s="456"/>
      <c r="RD148" s="456"/>
      <c r="RE148" s="456"/>
      <c r="RF148" s="456"/>
      <c r="RG148" s="456"/>
      <c r="RH148" s="456"/>
      <c r="RI148" s="456"/>
      <c r="RJ148" s="456"/>
      <c r="RK148" s="456"/>
      <c r="RL148" s="456"/>
      <c r="RM148" s="456"/>
      <c r="RN148" s="456"/>
      <c r="RO148" s="456"/>
      <c r="RP148" s="456"/>
      <c r="RQ148" s="456"/>
      <c r="RR148" s="456"/>
      <c r="RS148" s="456"/>
      <c r="RT148" s="456"/>
      <c r="RU148" s="456"/>
      <c r="RV148" s="456"/>
      <c r="RW148" s="456"/>
      <c r="RX148" s="456"/>
      <c r="RY148" s="456"/>
      <c r="RZ148" s="456"/>
      <c r="SA148" s="456"/>
      <c r="SB148" s="456"/>
      <c r="SC148" s="456"/>
      <c r="SD148" s="456"/>
      <c r="SE148" s="456"/>
      <c r="SF148" s="456"/>
      <c r="SG148" s="456"/>
      <c r="SH148" s="456"/>
      <c r="SI148" s="456"/>
      <c r="SJ148" s="456"/>
      <c r="SK148" s="456"/>
      <c r="SL148" s="456"/>
      <c r="SM148" s="456"/>
      <c r="SN148" s="456"/>
      <c r="SO148" s="456"/>
      <c r="SP148" s="456"/>
      <c r="SQ148" s="456"/>
      <c r="SR148" s="456"/>
      <c r="SS148" s="456"/>
      <c r="ST148" s="456"/>
      <c r="SU148" s="456"/>
      <c r="SV148" s="456"/>
      <c r="SW148" s="456"/>
      <c r="SX148" s="456"/>
      <c r="SY148" s="456"/>
      <c r="SZ148" s="456"/>
      <c r="TA148" s="456"/>
      <c r="TB148" s="456"/>
      <c r="TC148" s="456"/>
      <c r="TD148" s="456"/>
      <c r="TE148" s="456"/>
      <c r="TF148" s="456"/>
      <c r="TG148" s="456"/>
      <c r="TH148" s="456"/>
      <c r="TI148" s="456"/>
      <c r="TJ148" s="456"/>
      <c r="TK148" s="456"/>
      <c r="TL148" s="456"/>
      <c r="TM148" s="456"/>
      <c r="TN148" s="456"/>
      <c r="TO148" s="456"/>
      <c r="TP148" s="456"/>
      <c r="TQ148" s="456"/>
      <c r="TR148" s="456"/>
      <c r="TS148" s="456"/>
      <c r="TT148" s="456"/>
      <c r="TU148" s="456"/>
      <c r="TV148" s="456"/>
      <c r="TW148" s="456"/>
      <c r="TX148" s="456"/>
      <c r="TY148" s="456"/>
      <c r="TZ148" s="456"/>
      <c r="UA148" s="456"/>
      <c r="UB148" s="456"/>
      <c r="UC148" s="456"/>
      <c r="UD148" s="456"/>
      <c r="UE148" s="456"/>
      <c r="UF148" s="456"/>
      <c r="UG148" s="456"/>
      <c r="UH148" s="456"/>
      <c r="UI148" s="456"/>
      <c r="UJ148" s="456"/>
      <c r="UK148" s="456"/>
      <c r="UL148" s="456"/>
      <c r="UM148" s="456"/>
      <c r="UN148" s="456"/>
      <c r="UO148" s="456"/>
      <c r="UP148" s="456"/>
      <c r="UQ148" s="456"/>
      <c r="UR148" s="456"/>
      <c r="US148" s="456"/>
      <c r="UT148" s="456"/>
      <c r="UU148" s="456"/>
      <c r="UV148" s="456"/>
      <c r="UW148" s="456"/>
      <c r="UX148" s="456"/>
      <c r="UY148" s="456"/>
      <c r="UZ148" s="456"/>
      <c r="VA148" s="456"/>
      <c r="VB148" s="456"/>
      <c r="VC148" s="456"/>
      <c r="VD148" s="456"/>
      <c r="VE148" s="456"/>
      <c r="VF148" s="456"/>
      <c r="VG148" s="456"/>
      <c r="VH148" s="456"/>
      <c r="VI148" s="456"/>
      <c r="VJ148" s="456"/>
      <c r="VK148" s="456"/>
      <c r="VL148" s="456"/>
      <c r="VM148" s="456"/>
      <c r="VN148" s="456"/>
      <c r="VO148" s="456"/>
      <c r="VP148" s="456"/>
      <c r="VQ148" s="456"/>
      <c r="VR148" s="456"/>
      <c r="VS148" s="456"/>
      <c r="VT148" s="456"/>
      <c r="VU148" s="456"/>
      <c r="VV148" s="456"/>
      <c r="VW148" s="456"/>
      <c r="VX148" s="456"/>
      <c r="VY148" s="456"/>
      <c r="VZ148" s="456"/>
      <c r="WA148" s="456"/>
      <c r="WB148" s="456"/>
      <c r="WC148" s="456"/>
      <c r="WD148" s="456"/>
      <c r="WE148" s="456"/>
      <c r="WF148" s="456"/>
      <c r="WG148" s="456"/>
      <c r="WH148" s="456"/>
      <c r="WI148" s="456"/>
      <c r="WJ148" s="456"/>
      <c r="WK148" s="456"/>
      <c r="WL148" s="456"/>
      <c r="WM148" s="456"/>
      <c r="WN148" s="456"/>
      <c r="WO148" s="456"/>
      <c r="WP148" s="456"/>
      <c r="WQ148" s="456"/>
      <c r="WR148" s="456"/>
      <c r="WS148" s="456"/>
      <c r="WT148" s="456"/>
      <c r="WU148" s="456"/>
      <c r="WV148" s="456"/>
      <c r="WW148" s="456"/>
      <c r="WX148" s="456"/>
      <c r="WY148" s="456"/>
      <c r="WZ148" s="456"/>
      <c r="XA148" s="456"/>
      <c r="XB148" s="456"/>
      <c r="XC148" s="456"/>
      <c r="XD148" s="456"/>
      <c r="XE148" s="456"/>
      <c r="XF148" s="456"/>
      <c r="XG148" s="456"/>
      <c r="XH148" s="456"/>
      <c r="XI148" s="456"/>
      <c r="XJ148" s="456"/>
      <c r="XK148" s="456"/>
      <c r="XL148" s="456"/>
      <c r="XM148" s="456"/>
      <c r="XN148" s="456"/>
      <c r="XO148" s="456"/>
      <c r="XP148" s="456"/>
      <c r="XQ148" s="456"/>
      <c r="XR148" s="456"/>
      <c r="XS148" s="456"/>
      <c r="XT148" s="456"/>
      <c r="XU148" s="456"/>
      <c r="XV148" s="456"/>
      <c r="XW148" s="456"/>
      <c r="XX148" s="456"/>
      <c r="XY148" s="456"/>
      <c r="XZ148" s="456"/>
      <c r="YA148" s="456"/>
      <c r="YB148" s="456"/>
      <c r="YC148" s="456"/>
      <c r="YD148" s="456"/>
      <c r="YE148" s="456"/>
      <c r="YF148" s="456"/>
      <c r="YG148" s="456"/>
      <c r="YH148" s="456"/>
      <c r="YI148" s="456"/>
      <c r="YJ148" s="456"/>
      <c r="YK148" s="456"/>
      <c r="YL148" s="456"/>
      <c r="YM148" s="456"/>
      <c r="YN148" s="456"/>
      <c r="YO148" s="456"/>
      <c r="YP148" s="456"/>
      <c r="YQ148" s="456"/>
      <c r="YR148" s="456"/>
      <c r="YS148" s="456"/>
      <c r="YT148" s="456"/>
      <c r="YU148" s="456"/>
      <c r="YV148" s="456"/>
      <c r="YW148" s="456"/>
      <c r="YX148" s="456"/>
      <c r="YY148" s="456"/>
      <c r="YZ148" s="456"/>
      <c r="ZA148" s="456"/>
      <c r="ZB148" s="456"/>
      <c r="ZC148" s="456"/>
      <c r="ZD148" s="456"/>
      <c r="ZE148" s="456"/>
      <c r="ZF148" s="456"/>
      <c r="ZG148" s="456"/>
      <c r="ZH148" s="456"/>
      <c r="ZI148" s="456"/>
      <c r="ZJ148" s="456"/>
      <c r="ZK148" s="456"/>
      <c r="ZL148" s="456"/>
      <c r="ZM148" s="456"/>
      <c r="ZN148" s="456"/>
      <c r="ZO148" s="456"/>
      <c r="ZP148" s="456"/>
      <c r="ZQ148" s="456"/>
      <c r="ZR148" s="456"/>
      <c r="ZS148" s="456"/>
      <c r="ZT148" s="456"/>
      <c r="ZU148" s="456"/>
      <c r="ZV148" s="456"/>
      <c r="ZW148" s="456"/>
      <c r="ZX148" s="456"/>
      <c r="ZY148" s="456"/>
      <c r="ZZ148" s="456"/>
      <c r="AAA148" s="456"/>
      <c r="AAB148" s="456"/>
      <c r="AAC148" s="456"/>
      <c r="AAD148" s="456"/>
      <c r="AAE148" s="456"/>
      <c r="AAF148" s="456"/>
      <c r="AAG148" s="456"/>
      <c r="AAH148" s="456"/>
      <c r="AAI148" s="456"/>
      <c r="AAJ148" s="456"/>
      <c r="AAK148" s="456"/>
      <c r="AAL148" s="456"/>
      <c r="AAM148" s="456"/>
      <c r="AAN148" s="456"/>
      <c r="AAO148" s="456"/>
      <c r="AAP148" s="456"/>
      <c r="AAQ148" s="456"/>
      <c r="AAR148" s="456"/>
      <c r="AAS148" s="456"/>
      <c r="AAT148" s="456"/>
      <c r="AAU148" s="456"/>
      <c r="AAV148" s="456"/>
      <c r="AAW148" s="456"/>
      <c r="AAX148" s="456"/>
      <c r="AAY148" s="456"/>
      <c r="AAZ148" s="456"/>
      <c r="ABA148" s="456"/>
      <c r="ABB148" s="456"/>
      <c r="ABC148" s="456"/>
      <c r="ABD148" s="456"/>
      <c r="ABE148" s="456"/>
      <c r="ABF148" s="456"/>
      <c r="ABG148" s="456"/>
      <c r="ABH148" s="456"/>
      <c r="ABI148" s="456"/>
      <c r="ABJ148" s="456"/>
      <c r="ABK148" s="456"/>
      <c r="ABL148" s="456"/>
      <c r="ABM148" s="456"/>
      <c r="ABN148" s="456"/>
      <c r="ABO148" s="456"/>
      <c r="ABP148" s="456"/>
      <c r="ABQ148" s="456"/>
      <c r="ABR148" s="456"/>
      <c r="ABS148" s="456"/>
      <c r="ABT148" s="456"/>
      <c r="ABU148" s="456"/>
      <c r="ABV148" s="456"/>
      <c r="ABW148" s="456"/>
      <c r="ABX148" s="456"/>
      <c r="ABY148" s="456"/>
      <c r="ABZ148" s="456"/>
      <c r="ACA148" s="456"/>
      <c r="ACB148" s="456"/>
      <c r="ACC148" s="456"/>
      <c r="ACD148" s="456"/>
      <c r="ACE148" s="456"/>
      <c r="ACF148" s="456"/>
      <c r="ACG148" s="456"/>
      <c r="ACH148" s="456"/>
      <c r="ACI148" s="456"/>
      <c r="ACJ148" s="456"/>
      <c r="ACK148" s="456"/>
      <c r="ACL148" s="456"/>
      <c r="ACM148" s="456"/>
      <c r="ACN148" s="456"/>
      <c r="ACO148" s="456"/>
      <c r="ACP148" s="456"/>
      <c r="ACQ148" s="456"/>
      <c r="ACR148" s="456"/>
      <c r="ACS148" s="456"/>
      <c r="ACT148" s="456"/>
      <c r="ACU148" s="456"/>
      <c r="ACV148" s="456"/>
      <c r="ACW148" s="456"/>
      <c r="ACX148" s="456"/>
      <c r="ACY148" s="456"/>
      <c r="ACZ148" s="456"/>
      <c r="ADA148" s="456"/>
      <c r="ADB148" s="456"/>
      <c r="ADC148" s="456"/>
      <c r="ADD148" s="456"/>
      <c r="ADE148" s="456"/>
      <c r="ADF148" s="456"/>
      <c r="ADG148" s="456"/>
      <c r="ADH148" s="456"/>
      <c r="ADI148" s="456"/>
      <c r="ADJ148" s="456"/>
      <c r="ADK148" s="456"/>
      <c r="ADL148" s="456"/>
      <c r="ADM148" s="456"/>
      <c r="ADN148" s="456"/>
      <c r="ADO148" s="456"/>
      <c r="ADP148" s="456"/>
      <c r="ADQ148" s="456"/>
      <c r="ADR148" s="456"/>
      <c r="ADS148" s="456"/>
      <c r="ADT148" s="456"/>
      <c r="ADU148" s="456"/>
      <c r="ADV148" s="456"/>
      <c r="ADW148" s="456"/>
      <c r="ADX148" s="456"/>
      <c r="ADY148" s="456"/>
      <c r="ADZ148" s="456"/>
      <c r="AEA148" s="456"/>
      <c r="AEB148" s="456"/>
      <c r="AEC148" s="456"/>
      <c r="AED148" s="456"/>
      <c r="AEE148" s="456"/>
      <c r="AEF148" s="456"/>
      <c r="AEG148" s="456"/>
      <c r="AEH148" s="456"/>
      <c r="AEI148" s="456"/>
      <c r="AEJ148" s="456"/>
      <c r="AEK148" s="456"/>
      <c r="AEL148" s="456"/>
      <c r="AEM148" s="456"/>
      <c r="AEN148" s="456"/>
      <c r="AEO148" s="456"/>
      <c r="AEP148" s="456"/>
      <c r="AEQ148" s="456"/>
      <c r="AER148" s="456"/>
      <c r="AES148" s="456"/>
      <c r="AET148" s="456"/>
      <c r="AEU148" s="456"/>
      <c r="AEV148" s="456"/>
      <c r="AEW148" s="456"/>
      <c r="AEX148" s="456"/>
      <c r="AEY148" s="456"/>
      <c r="AEZ148" s="456"/>
      <c r="AFA148" s="456"/>
      <c r="AFB148" s="456"/>
      <c r="AFC148" s="456"/>
      <c r="AFD148" s="456"/>
      <c r="AFE148" s="456"/>
      <c r="AFF148" s="456"/>
      <c r="AFG148" s="456"/>
      <c r="AFH148" s="456"/>
      <c r="AFI148" s="456"/>
      <c r="AFJ148" s="456"/>
      <c r="AFK148" s="456"/>
      <c r="AFL148" s="456"/>
      <c r="AFM148" s="456"/>
      <c r="AFN148" s="456"/>
      <c r="AFO148" s="456"/>
      <c r="AFP148" s="456"/>
      <c r="AFQ148" s="456"/>
      <c r="AFR148" s="456"/>
      <c r="AFS148" s="456"/>
      <c r="AFT148" s="456"/>
      <c r="AFU148" s="456"/>
      <c r="AFV148" s="456"/>
      <c r="AFW148" s="456"/>
      <c r="AFX148" s="456"/>
      <c r="AFY148" s="456"/>
      <c r="AFZ148" s="456"/>
      <c r="AGA148" s="456"/>
      <c r="AGB148" s="456"/>
      <c r="AGC148" s="456"/>
      <c r="AGD148" s="456"/>
      <c r="AGE148" s="456"/>
      <c r="AGF148" s="456"/>
      <c r="AGG148" s="456"/>
      <c r="AGH148" s="456"/>
      <c r="AGI148" s="456"/>
      <c r="AGJ148" s="456"/>
      <c r="AGK148" s="456"/>
      <c r="AGL148" s="456"/>
      <c r="AGM148" s="456"/>
      <c r="AGN148" s="456"/>
      <c r="AGO148" s="456"/>
      <c r="AGP148" s="456"/>
      <c r="AGQ148" s="456"/>
      <c r="AGR148" s="456"/>
      <c r="AGS148" s="456"/>
      <c r="AGT148" s="456"/>
      <c r="AGU148" s="456"/>
      <c r="AGV148" s="456"/>
      <c r="AGW148" s="456"/>
      <c r="AGX148" s="456"/>
      <c r="AGY148" s="456"/>
      <c r="AGZ148" s="456"/>
      <c r="AHA148" s="456"/>
      <c r="AHB148" s="456"/>
      <c r="AHC148" s="456"/>
      <c r="AHD148" s="456"/>
      <c r="AHE148" s="456"/>
      <c r="AHF148" s="456"/>
      <c r="AHG148" s="456"/>
      <c r="AHH148" s="456"/>
      <c r="AHI148" s="456"/>
      <c r="AHJ148" s="456"/>
      <c r="AHK148" s="456"/>
      <c r="AHL148" s="456"/>
      <c r="AHM148" s="456"/>
      <c r="AHN148" s="456"/>
      <c r="AHO148" s="456"/>
      <c r="AHP148" s="456"/>
      <c r="AHQ148" s="456"/>
      <c r="AHR148" s="456"/>
      <c r="AHS148" s="456"/>
      <c r="AHT148" s="456"/>
      <c r="AHU148" s="456"/>
      <c r="AHV148" s="456"/>
      <c r="AHW148" s="456"/>
      <c r="AHX148" s="456"/>
      <c r="AHY148" s="456"/>
      <c r="AHZ148" s="456"/>
      <c r="AIA148" s="456"/>
      <c r="AIB148" s="456"/>
      <c r="AIC148" s="456"/>
      <c r="AID148" s="456"/>
      <c r="AIE148" s="456"/>
      <c r="AIF148" s="456"/>
      <c r="AIG148" s="456"/>
      <c r="AIH148" s="456"/>
      <c r="AII148" s="456"/>
      <c r="AIJ148" s="456"/>
      <c r="AIK148" s="456"/>
      <c r="AIL148" s="456"/>
      <c r="AIM148" s="456"/>
      <c r="AIN148" s="456"/>
      <c r="AIO148" s="456"/>
      <c r="AIP148" s="456"/>
      <c r="AIQ148" s="456"/>
      <c r="AIR148" s="456"/>
      <c r="AIS148" s="456"/>
      <c r="AIT148" s="456"/>
      <c r="AIU148" s="456"/>
      <c r="AIV148" s="456"/>
      <c r="AIW148" s="456"/>
      <c r="AIX148" s="456"/>
      <c r="AIY148" s="456"/>
      <c r="AIZ148" s="456"/>
      <c r="AJA148" s="456"/>
      <c r="AJB148" s="456"/>
      <c r="AJC148" s="456"/>
      <c r="AJD148" s="456"/>
      <c r="AJE148" s="456"/>
      <c r="AJF148" s="456"/>
      <c r="AJG148" s="456"/>
      <c r="AJH148" s="456"/>
      <c r="AJI148" s="456"/>
      <c r="AJJ148" s="456"/>
      <c r="AJK148" s="456"/>
      <c r="AJL148" s="456"/>
      <c r="AJM148" s="456"/>
      <c r="AJN148" s="456"/>
      <c r="AJO148" s="456"/>
      <c r="AJP148" s="456"/>
      <c r="AJQ148" s="456"/>
      <c r="AJR148" s="456"/>
      <c r="AJS148" s="456"/>
      <c r="AJT148" s="456"/>
      <c r="AJU148" s="456"/>
      <c r="AJV148" s="456"/>
      <c r="AJW148" s="456"/>
      <c r="AJX148" s="456"/>
      <c r="AJY148" s="456"/>
      <c r="AJZ148" s="456"/>
      <c r="AKA148" s="456"/>
      <c r="AKB148" s="456"/>
      <c r="AKC148" s="456"/>
      <c r="AKD148" s="456"/>
      <c r="AKE148" s="456"/>
      <c r="AKF148" s="456"/>
      <c r="AKG148" s="456"/>
      <c r="AKH148" s="456"/>
      <c r="AKI148" s="456"/>
      <c r="AKJ148" s="456"/>
      <c r="AKK148" s="456"/>
      <c r="AKL148" s="456"/>
      <c r="AKM148" s="456"/>
      <c r="AKN148" s="456"/>
      <c r="AKO148" s="456"/>
      <c r="AKP148" s="456"/>
      <c r="AKQ148" s="456"/>
      <c r="AKR148" s="456"/>
      <c r="AKS148" s="456"/>
      <c r="AKT148" s="456"/>
      <c r="AKU148" s="456"/>
      <c r="AKV148" s="456"/>
      <c r="AKW148" s="456"/>
      <c r="AKX148" s="456"/>
      <c r="AKY148" s="456"/>
      <c r="AKZ148" s="456"/>
      <c r="ALA148" s="456"/>
      <c r="ALB148" s="456"/>
      <c r="ALC148" s="456"/>
      <c r="ALD148" s="456"/>
      <c r="ALE148" s="456"/>
      <c r="ALF148" s="456"/>
      <c r="ALG148" s="456"/>
      <c r="ALH148" s="456"/>
      <c r="ALI148" s="456"/>
      <c r="ALJ148" s="456"/>
      <c r="ALK148" s="456"/>
      <c r="ALL148" s="456"/>
      <c r="ALM148" s="456"/>
      <c r="ALN148" s="456"/>
      <c r="ALO148" s="456"/>
      <c r="ALP148" s="456"/>
      <c r="ALQ148" s="456"/>
      <c r="ALR148" s="456"/>
      <c r="ALS148" s="456"/>
      <c r="ALT148" s="456"/>
      <c r="ALU148" s="456"/>
      <c r="ALV148" s="456"/>
      <c r="ALW148" s="456"/>
      <c r="ALX148" s="456"/>
      <c r="ALY148" s="456"/>
      <c r="ALZ148" s="456"/>
      <c r="AMA148" s="456"/>
      <c r="AMB148" s="456"/>
      <c r="AMC148" s="456"/>
      <c r="AMD148" s="456"/>
      <c r="AME148" s="456"/>
      <c r="AMF148" s="456"/>
      <c r="AMG148" s="456"/>
      <c r="AMH148" s="456"/>
      <c r="AMI148" s="456"/>
      <c r="AMJ148" s="456"/>
      <c r="AMK148" s="456"/>
      <c r="AML148" s="456"/>
      <c r="AMM148" s="456"/>
      <c r="AMN148" s="456"/>
      <c r="AMO148" s="456"/>
      <c r="AMP148" s="456"/>
      <c r="AMQ148" s="456"/>
      <c r="AMR148" s="456"/>
      <c r="AMS148" s="456"/>
      <c r="AMT148" s="456"/>
      <c r="AMU148" s="456"/>
      <c r="AMV148" s="456"/>
      <c r="AMW148" s="456"/>
      <c r="AMX148" s="456"/>
      <c r="AMY148" s="456"/>
      <c r="AMZ148" s="456"/>
      <c r="ANA148" s="456"/>
      <c r="ANB148" s="456"/>
      <c r="ANC148" s="456"/>
      <c r="AND148" s="456"/>
      <c r="ANE148" s="456"/>
      <c r="ANF148" s="456"/>
      <c r="ANG148" s="456"/>
      <c r="ANH148" s="456"/>
      <c r="ANI148" s="456"/>
      <c r="ANJ148" s="456"/>
      <c r="ANK148" s="456"/>
      <c r="ANL148" s="456"/>
      <c r="ANM148" s="456"/>
      <c r="ANN148" s="456"/>
      <c r="ANO148" s="456"/>
      <c r="ANP148" s="456"/>
      <c r="ANQ148" s="456"/>
      <c r="ANR148" s="456"/>
      <c r="ANS148" s="456"/>
      <c r="ANT148" s="456"/>
      <c r="ANU148" s="456"/>
      <c r="ANV148" s="456"/>
      <c r="ANW148" s="456"/>
      <c r="ANX148" s="456"/>
      <c r="ANY148" s="456"/>
      <c r="ANZ148" s="456"/>
      <c r="AOA148" s="456"/>
      <c r="AOB148" s="456"/>
      <c r="AOC148" s="456"/>
      <c r="AOD148" s="456"/>
      <c r="AOE148" s="456"/>
      <c r="AOF148" s="456"/>
      <c r="AOG148" s="456"/>
      <c r="AOH148" s="456"/>
      <c r="AOI148" s="456"/>
      <c r="AOJ148" s="456"/>
      <c r="AOK148" s="456"/>
      <c r="AOL148" s="456"/>
      <c r="AOM148" s="456"/>
      <c r="AON148" s="456"/>
      <c r="AOO148" s="456"/>
      <c r="AOP148" s="456"/>
      <c r="AOQ148" s="456"/>
      <c r="AOR148" s="456"/>
      <c r="AOS148" s="456"/>
      <c r="AOT148" s="456"/>
      <c r="AOU148" s="456"/>
      <c r="AOV148" s="456"/>
      <c r="AOW148" s="456"/>
      <c r="AOX148" s="456"/>
      <c r="AOY148" s="456"/>
      <c r="AOZ148" s="456"/>
      <c r="APA148" s="456"/>
      <c r="APB148" s="456"/>
      <c r="APC148" s="456"/>
      <c r="APD148" s="456"/>
      <c r="APE148" s="456"/>
      <c r="APF148" s="456"/>
      <c r="APG148" s="456"/>
      <c r="APH148" s="456"/>
      <c r="API148" s="456"/>
      <c r="APJ148" s="456"/>
      <c r="APK148" s="456"/>
      <c r="APL148" s="456"/>
      <c r="APM148" s="456"/>
      <c r="APN148" s="456"/>
      <c r="APO148" s="456"/>
      <c r="APP148" s="456"/>
      <c r="APQ148" s="456"/>
      <c r="APR148" s="456"/>
      <c r="APS148" s="456"/>
      <c r="APT148" s="456"/>
      <c r="APU148" s="456"/>
      <c r="APV148" s="456"/>
      <c r="APW148" s="456"/>
      <c r="APX148" s="456"/>
      <c r="APY148" s="456"/>
      <c r="APZ148" s="456"/>
      <c r="AQA148" s="456"/>
      <c r="AQB148" s="456"/>
      <c r="AQC148" s="456"/>
      <c r="AQD148" s="456"/>
      <c r="AQE148" s="456"/>
      <c r="AQF148" s="456"/>
      <c r="AQG148" s="456"/>
      <c r="AQH148" s="456"/>
      <c r="AQI148" s="456"/>
      <c r="AQJ148" s="456"/>
      <c r="AQK148" s="456"/>
      <c r="AQL148" s="456"/>
      <c r="AQM148" s="456"/>
      <c r="AQN148" s="456"/>
      <c r="AQO148" s="456"/>
      <c r="AQP148" s="456"/>
      <c r="AQQ148" s="456"/>
      <c r="AQR148" s="456"/>
      <c r="AQS148" s="456"/>
      <c r="AQT148" s="456"/>
      <c r="AQU148" s="456"/>
      <c r="AQV148" s="456"/>
      <c r="AQW148" s="456"/>
      <c r="AQX148" s="456"/>
      <c r="AQY148" s="456"/>
      <c r="AQZ148" s="456"/>
      <c r="ARA148" s="456"/>
      <c r="ARB148" s="456"/>
      <c r="ARC148" s="456"/>
      <c r="ARD148" s="456"/>
      <c r="ARE148" s="456"/>
      <c r="ARF148" s="456"/>
      <c r="ARG148" s="456"/>
      <c r="ARH148" s="456"/>
      <c r="ARI148" s="456"/>
      <c r="ARJ148" s="456"/>
      <c r="ARK148" s="456"/>
      <c r="ARL148" s="456"/>
      <c r="ARM148" s="456"/>
      <c r="ARN148" s="456"/>
      <c r="ARO148" s="456"/>
      <c r="ARP148" s="456"/>
      <c r="ARQ148" s="456"/>
      <c r="ARR148" s="456"/>
      <c r="ARS148" s="456"/>
      <c r="ART148" s="456"/>
      <c r="ARU148" s="456"/>
      <c r="ARV148" s="456"/>
      <c r="ARW148" s="456"/>
      <c r="ARX148" s="456"/>
      <c r="ARY148" s="456"/>
      <c r="ARZ148" s="456"/>
      <c r="ASA148" s="456"/>
      <c r="ASB148" s="456"/>
      <c r="ASC148" s="456"/>
      <c r="ASD148" s="456"/>
      <c r="ASE148" s="456"/>
      <c r="ASF148" s="456"/>
      <c r="ASG148" s="456"/>
      <c r="ASH148" s="456"/>
      <c r="ASI148" s="456"/>
      <c r="ASJ148" s="456"/>
      <c r="ASK148" s="456"/>
      <c r="ASL148" s="456"/>
      <c r="ASM148" s="456"/>
      <c r="ASN148" s="456"/>
      <c r="ASO148" s="456"/>
      <c r="ASP148" s="456"/>
      <c r="ASQ148" s="456"/>
      <c r="ASR148" s="456"/>
      <c r="ASS148" s="456"/>
      <c r="AST148" s="456"/>
      <c r="ASU148" s="456"/>
      <c r="ASV148" s="456"/>
      <c r="ASW148" s="456"/>
      <c r="ASX148" s="456"/>
      <c r="ASY148" s="456"/>
      <c r="ASZ148" s="456"/>
      <c r="ATA148" s="456"/>
      <c r="ATB148" s="456"/>
      <c r="ATC148" s="456"/>
      <c r="ATD148" s="456"/>
      <c r="ATE148" s="456"/>
      <c r="ATF148" s="456"/>
      <c r="ATG148" s="456"/>
      <c r="ATH148" s="456"/>
      <c r="ATI148" s="456"/>
      <c r="ATJ148" s="456"/>
      <c r="ATK148" s="456"/>
      <c r="ATL148" s="456"/>
      <c r="ATM148" s="456"/>
      <c r="ATN148" s="456"/>
      <c r="ATO148" s="456"/>
      <c r="ATP148" s="456"/>
      <c r="ATQ148" s="456"/>
      <c r="ATR148" s="456"/>
      <c r="ATS148" s="456"/>
      <c r="ATT148" s="456"/>
      <c r="ATU148" s="456"/>
      <c r="ATV148" s="456"/>
      <c r="ATW148" s="456"/>
      <c r="ATX148" s="456"/>
      <c r="ATY148" s="456"/>
      <c r="ATZ148" s="456"/>
      <c r="AUA148" s="456"/>
      <c r="AUB148" s="456"/>
      <c r="AUC148" s="456"/>
      <c r="AUD148" s="456"/>
      <c r="AUE148" s="456"/>
      <c r="AUF148" s="456"/>
      <c r="AUG148" s="456"/>
      <c r="AUH148" s="456"/>
      <c r="AUI148" s="456"/>
      <c r="AUJ148" s="456"/>
      <c r="AUK148" s="456"/>
      <c r="AUL148" s="456"/>
      <c r="AUM148" s="456"/>
      <c r="AUN148" s="456"/>
      <c r="AUO148" s="456"/>
      <c r="AUP148" s="456"/>
      <c r="AUQ148" s="456"/>
      <c r="AUR148" s="456"/>
      <c r="AUS148" s="456"/>
      <c r="AUT148" s="456"/>
      <c r="AUU148" s="456"/>
      <c r="AUV148" s="456"/>
      <c r="AUW148" s="456"/>
      <c r="AUX148" s="456"/>
      <c r="AUY148" s="456"/>
      <c r="AUZ148" s="456"/>
      <c r="AVA148" s="456"/>
      <c r="AVB148" s="456"/>
      <c r="AVC148" s="456"/>
      <c r="AVD148" s="456"/>
      <c r="AVE148" s="456"/>
      <c r="AVF148" s="456"/>
      <c r="AVG148" s="456"/>
      <c r="AVH148" s="456"/>
      <c r="AVI148" s="456"/>
      <c r="AVJ148" s="456"/>
      <c r="AVK148" s="456"/>
      <c r="AVL148" s="456"/>
      <c r="AVM148" s="456"/>
      <c r="AVN148" s="456"/>
      <c r="AVO148" s="456"/>
      <c r="AVP148" s="456"/>
      <c r="AVQ148" s="456"/>
      <c r="AVR148" s="456"/>
      <c r="AVS148" s="456"/>
      <c r="AVT148" s="456"/>
      <c r="AVU148" s="456"/>
      <c r="AVV148" s="456"/>
      <c r="AVW148" s="456"/>
      <c r="AVX148" s="456"/>
      <c r="AVY148" s="456"/>
      <c r="AVZ148" s="456"/>
      <c r="AWA148" s="456"/>
      <c r="AWB148" s="456"/>
      <c r="AWC148" s="456"/>
      <c r="AWD148" s="456"/>
      <c r="AWE148" s="456"/>
      <c r="AWF148" s="456"/>
      <c r="AWG148" s="456"/>
      <c r="AWH148" s="456"/>
      <c r="AWI148" s="456"/>
      <c r="AWJ148" s="456"/>
      <c r="AWK148" s="456"/>
      <c r="AWL148" s="456"/>
      <c r="AWM148" s="456"/>
      <c r="AWN148" s="456"/>
      <c r="AWO148" s="456"/>
      <c r="AWP148" s="456"/>
      <c r="AWQ148" s="456"/>
      <c r="AWR148" s="456"/>
      <c r="AWS148" s="456"/>
      <c r="AWT148" s="456"/>
      <c r="AWU148" s="456"/>
      <c r="AWV148" s="456"/>
      <c r="AWW148" s="456"/>
      <c r="AWX148" s="456"/>
      <c r="AWY148" s="456"/>
      <c r="AWZ148" s="456"/>
      <c r="AXA148" s="456"/>
      <c r="AXB148" s="456"/>
      <c r="AXC148" s="456"/>
      <c r="AXD148" s="456"/>
      <c r="AXE148" s="456"/>
      <c r="AXF148" s="456"/>
      <c r="AXG148" s="456"/>
      <c r="AXH148" s="456"/>
      <c r="AXI148" s="456"/>
      <c r="AXJ148" s="456"/>
      <c r="AXK148" s="456"/>
      <c r="AXL148" s="456"/>
      <c r="AXM148" s="456"/>
      <c r="AXN148" s="456"/>
      <c r="AXO148" s="456"/>
      <c r="AXP148" s="456"/>
      <c r="AXQ148" s="456"/>
      <c r="AXR148" s="456"/>
      <c r="AXS148" s="456"/>
      <c r="AXT148" s="456"/>
      <c r="AXU148" s="456"/>
      <c r="AXV148" s="456"/>
      <c r="AXW148" s="456"/>
      <c r="AXX148" s="456"/>
      <c r="AXY148" s="456"/>
      <c r="AXZ148" s="456"/>
      <c r="AYA148" s="456"/>
      <c r="AYB148" s="456"/>
      <c r="AYC148" s="456"/>
      <c r="AYD148" s="456"/>
      <c r="AYE148" s="456"/>
      <c r="AYF148" s="456"/>
      <c r="AYG148" s="456"/>
      <c r="AYH148" s="456"/>
      <c r="AYI148" s="456"/>
      <c r="AYJ148" s="456"/>
      <c r="AYK148" s="456"/>
      <c r="AYL148" s="456"/>
      <c r="AYM148" s="456"/>
      <c r="AYN148" s="456"/>
      <c r="AYO148" s="456"/>
      <c r="AYP148" s="456"/>
      <c r="AYQ148" s="456"/>
      <c r="AYR148" s="456"/>
      <c r="AYS148" s="456"/>
      <c r="AYT148" s="456"/>
      <c r="AYU148" s="456"/>
      <c r="AYV148" s="456"/>
      <c r="AYW148" s="456"/>
      <c r="AYX148" s="456"/>
      <c r="AYY148" s="456"/>
      <c r="AYZ148" s="456"/>
      <c r="AZA148" s="456"/>
      <c r="AZB148" s="456"/>
      <c r="AZC148" s="456"/>
      <c r="AZD148" s="456"/>
      <c r="AZE148" s="456"/>
      <c r="AZF148" s="456"/>
      <c r="AZG148" s="456"/>
      <c r="AZH148" s="456"/>
      <c r="AZI148" s="456"/>
      <c r="AZJ148" s="456"/>
      <c r="AZK148" s="456"/>
      <c r="AZL148" s="456"/>
      <c r="AZM148" s="456"/>
      <c r="AZN148" s="456"/>
      <c r="AZO148" s="456"/>
      <c r="AZP148" s="456"/>
      <c r="AZQ148" s="456"/>
      <c r="AZR148" s="456"/>
      <c r="AZS148" s="456"/>
      <c r="AZT148" s="456"/>
      <c r="AZU148" s="456"/>
      <c r="AZV148" s="456"/>
      <c r="AZW148" s="456"/>
      <c r="AZX148" s="456"/>
      <c r="AZY148" s="456"/>
      <c r="AZZ148" s="456"/>
      <c r="BAA148" s="456"/>
      <c r="BAB148" s="456"/>
      <c r="BAC148" s="456"/>
      <c r="BAD148" s="456"/>
      <c r="BAE148" s="456"/>
      <c r="BAF148" s="456"/>
      <c r="BAG148" s="456"/>
      <c r="BAH148" s="456"/>
      <c r="BAI148" s="456"/>
      <c r="BAJ148" s="456"/>
      <c r="BAK148" s="456"/>
      <c r="BAL148" s="456"/>
      <c r="BAM148" s="456"/>
      <c r="BAN148" s="456"/>
      <c r="BAO148" s="456"/>
      <c r="BAP148" s="456"/>
      <c r="BAQ148" s="456"/>
      <c r="BAR148" s="456"/>
      <c r="BAS148" s="456"/>
      <c r="BAT148" s="456"/>
      <c r="BAU148" s="456"/>
      <c r="BAV148" s="456"/>
      <c r="BAW148" s="456"/>
      <c r="BAX148" s="456"/>
      <c r="BAY148" s="456"/>
      <c r="BAZ148" s="456"/>
      <c r="BBA148" s="456"/>
      <c r="BBB148" s="456"/>
      <c r="BBC148" s="456"/>
      <c r="BBD148" s="456"/>
      <c r="BBE148" s="456"/>
      <c r="BBF148" s="456"/>
      <c r="BBG148" s="456"/>
      <c r="BBH148" s="456"/>
      <c r="BBI148" s="456"/>
      <c r="BBJ148" s="456"/>
      <c r="BBK148" s="456"/>
      <c r="BBL148" s="456"/>
      <c r="BBM148" s="456"/>
      <c r="BBN148" s="456"/>
      <c r="BBO148" s="456"/>
      <c r="BBP148" s="456"/>
      <c r="BBQ148" s="456"/>
      <c r="BBR148" s="456"/>
      <c r="BBS148" s="456"/>
      <c r="BBT148" s="456"/>
      <c r="BBU148" s="456"/>
      <c r="BBV148" s="456"/>
      <c r="BBW148" s="456"/>
      <c r="BBX148" s="456"/>
      <c r="BBY148" s="456"/>
      <c r="BBZ148" s="456"/>
      <c r="BCA148" s="456"/>
      <c r="BCB148" s="456"/>
      <c r="BCC148" s="456"/>
      <c r="BCD148" s="456"/>
      <c r="BCE148" s="456"/>
      <c r="BCF148" s="456"/>
      <c r="BCG148" s="456"/>
      <c r="BCH148" s="456"/>
      <c r="BCI148" s="456"/>
      <c r="BCJ148" s="456"/>
      <c r="BCK148" s="456"/>
      <c r="BCL148" s="456"/>
      <c r="BCM148" s="456"/>
      <c r="BCN148" s="456"/>
      <c r="BCO148" s="456"/>
      <c r="BCP148" s="456"/>
      <c r="BCQ148" s="456"/>
      <c r="BCR148" s="456"/>
      <c r="BCS148" s="456"/>
      <c r="BCT148" s="456"/>
      <c r="BCU148" s="456"/>
      <c r="BCV148" s="456"/>
      <c r="BCW148" s="456"/>
      <c r="BCX148" s="456"/>
      <c r="BCY148" s="456"/>
      <c r="BCZ148" s="456"/>
      <c r="BDA148" s="456"/>
      <c r="BDB148" s="456"/>
      <c r="BDC148" s="456"/>
      <c r="BDD148" s="456"/>
      <c r="BDE148" s="456"/>
      <c r="BDF148" s="456"/>
      <c r="BDG148" s="456"/>
      <c r="BDH148" s="456"/>
      <c r="BDI148" s="456"/>
      <c r="BDJ148" s="456"/>
      <c r="BDK148" s="456"/>
      <c r="BDL148" s="456"/>
      <c r="BDM148" s="456"/>
      <c r="BDN148" s="456"/>
      <c r="BDO148" s="456"/>
      <c r="BDP148" s="456"/>
      <c r="BDQ148" s="456"/>
      <c r="BDR148" s="456"/>
      <c r="BDS148" s="456"/>
      <c r="BDT148" s="456"/>
      <c r="BDU148" s="456"/>
      <c r="BDV148" s="456"/>
      <c r="BDW148" s="456"/>
      <c r="BDX148" s="456"/>
      <c r="BDY148" s="456"/>
      <c r="BDZ148" s="456"/>
      <c r="BEA148" s="456"/>
      <c r="BEB148" s="456"/>
      <c r="BEC148" s="456"/>
      <c r="BED148" s="456"/>
      <c r="BEE148" s="456"/>
      <c r="BEF148" s="456"/>
      <c r="BEG148" s="456"/>
      <c r="BEH148" s="456"/>
      <c r="BEI148" s="456"/>
      <c r="BEJ148" s="456"/>
      <c r="BEK148" s="456"/>
      <c r="BEL148" s="456"/>
      <c r="BEM148" s="456"/>
      <c r="BEN148" s="456"/>
      <c r="BEO148" s="456"/>
      <c r="BEP148" s="456"/>
      <c r="BEQ148" s="456"/>
      <c r="BER148" s="456"/>
      <c r="BES148" s="456"/>
      <c r="BET148" s="456"/>
      <c r="BEU148" s="456"/>
      <c r="BEV148" s="456"/>
      <c r="BEW148" s="456"/>
      <c r="BEX148" s="456"/>
      <c r="BEY148" s="456"/>
      <c r="BEZ148" s="456"/>
      <c r="BFA148" s="456"/>
      <c r="BFB148" s="456"/>
      <c r="BFC148" s="456"/>
      <c r="BFD148" s="456"/>
      <c r="BFE148" s="456"/>
      <c r="BFF148" s="456"/>
      <c r="BFG148" s="456"/>
      <c r="BFH148" s="456"/>
      <c r="BFI148" s="456"/>
      <c r="BFJ148" s="456"/>
      <c r="BFK148" s="456"/>
      <c r="BFL148" s="456"/>
      <c r="BFM148" s="456"/>
      <c r="BFN148" s="456"/>
      <c r="BFO148" s="456"/>
      <c r="BFP148" s="456"/>
      <c r="BFQ148" s="456"/>
      <c r="BFR148" s="456"/>
      <c r="BFS148" s="456"/>
      <c r="BFT148" s="456"/>
      <c r="BFU148" s="456"/>
      <c r="BFV148" s="456"/>
      <c r="BFW148" s="456"/>
      <c r="BFX148" s="456"/>
      <c r="BFY148" s="456"/>
      <c r="BFZ148" s="456"/>
      <c r="BGA148" s="456"/>
      <c r="BGB148" s="456"/>
      <c r="BGC148" s="456"/>
      <c r="BGD148" s="456"/>
      <c r="BGE148" s="456"/>
      <c r="BGF148" s="456"/>
      <c r="BGG148" s="456"/>
      <c r="BGH148" s="456"/>
      <c r="BGI148" s="456"/>
      <c r="BGJ148" s="456"/>
      <c r="BGK148" s="456"/>
      <c r="BGL148" s="456"/>
      <c r="BGM148" s="456"/>
      <c r="BGN148" s="456"/>
      <c r="BGO148" s="456"/>
      <c r="BGP148" s="456"/>
      <c r="BGQ148" s="456"/>
      <c r="BGR148" s="456"/>
      <c r="BGS148" s="456"/>
      <c r="BGT148" s="456"/>
      <c r="BGU148" s="456"/>
      <c r="BGV148" s="456"/>
      <c r="BGW148" s="456"/>
      <c r="BGX148" s="456"/>
      <c r="BGY148" s="456"/>
      <c r="BGZ148" s="456"/>
      <c r="BHA148" s="456"/>
      <c r="BHB148" s="456"/>
      <c r="BHC148" s="456"/>
      <c r="BHD148" s="456"/>
      <c r="BHE148" s="456"/>
      <c r="BHF148" s="456"/>
      <c r="BHG148" s="456"/>
      <c r="BHH148" s="456"/>
      <c r="BHI148" s="456"/>
      <c r="BHJ148" s="456"/>
      <c r="BHK148" s="456"/>
      <c r="BHL148" s="456"/>
      <c r="BHM148" s="456"/>
      <c r="BHN148" s="456"/>
      <c r="BHO148" s="456"/>
      <c r="BHP148" s="456"/>
      <c r="BHQ148" s="456"/>
      <c r="BHR148" s="456"/>
      <c r="BHS148" s="456"/>
      <c r="BHT148" s="456"/>
      <c r="BHU148" s="456"/>
      <c r="BHV148" s="456"/>
      <c r="BHW148" s="456"/>
      <c r="BHX148" s="456"/>
      <c r="BHY148" s="456"/>
      <c r="BHZ148" s="456"/>
      <c r="BIA148" s="456"/>
      <c r="BIB148" s="456"/>
      <c r="BIC148" s="456"/>
      <c r="BID148" s="456"/>
      <c r="BIE148" s="456"/>
      <c r="BIF148" s="456"/>
      <c r="BIG148" s="456"/>
      <c r="BIH148" s="456"/>
      <c r="BII148" s="456"/>
      <c r="BIJ148" s="456"/>
      <c r="BIK148" s="456"/>
      <c r="BIL148" s="456"/>
      <c r="BIM148" s="456"/>
      <c r="BIN148" s="456"/>
      <c r="BIO148" s="456"/>
      <c r="BIP148" s="456"/>
      <c r="BIQ148" s="456"/>
      <c r="BIR148" s="456"/>
      <c r="BIS148" s="456"/>
      <c r="BIT148" s="456"/>
      <c r="BIU148" s="456"/>
      <c r="BIV148" s="456"/>
      <c r="BIW148" s="456"/>
      <c r="BIX148" s="456"/>
      <c r="BIY148" s="456"/>
      <c r="BIZ148" s="456"/>
      <c r="BJA148" s="456"/>
      <c r="BJB148" s="456"/>
      <c r="BJC148" s="456"/>
      <c r="BJD148" s="456"/>
      <c r="BJE148" s="456"/>
      <c r="BJF148" s="456"/>
      <c r="BJG148" s="456"/>
      <c r="BJH148" s="456"/>
      <c r="BJI148" s="456"/>
      <c r="BJJ148" s="456"/>
      <c r="BJK148" s="456"/>
      <c r="BJL148" s="456"/>
      <c r="BJM148" s="456"/>
      <c r="BJN148" s="456"/>
      <c r="BJO148" s="456"/>
      <c r="BJP148" s="456"/>
      <c r="BJQ148" s="456"/>
      <c r="BJR148" s="456"/>
      <c r="BJS148" s="456"/>
      <c r="BJT148" s="456"/>
      <c r="BJU148" s="456"/>
      <c r="BJV148" s="456"/>
      <c r="BJW148" s="456"/>
      <c r="BJX148" s="456"/>
      <c r="BJY148" s="456"/>
      <c r="BJZ148" s="456"/>
      <c r="BKA148" s="456"/>
      <c r="BKB148" s="456"/>
      <c r="BKC148" s="456"/>
      <c r="BKD148" s="456"/>
      <c r="BKE148" s="456"/>
      <c r="BKF148" s="456"/>
      <c r="BKG148" s="456"/>
      <c r="BKH148" s="456"/>
      <c r="BKI148" s="456"/>
      <c r="BKJ148" s="456"/>
      <c r="BKK148" s="456"/>
      <c r="BKL148" s="456"/>
      <c r="BKM148" s="456"/>
      <c r="BKN148" s="456"/>
      <c r="BKO148" s="456"/>
      <c r="BKP148" s="456"/>
      <c r="BKQ148" s="456"/>
      <c r="BKR148" s="456"/>
      <c r="BKS148" s="456"/>
      <c r="BKT148" s="456"/>
      <c r="BKU148" s="456"/>
      <c r="BKV148" s="456"/>
      <c r="BKW148" s="456"/>
      <c r="BKX148" s="456"/>
      <c r="BKY148" s="456"/>
      <c r="BKZ148" s="456"/>
      <c r="BLA148" s="456"/>
      <c r="BLB148" s="456"/>
      <c r="BLC148" s="456"/>
      <c r="BLD148" s="456"/>
      <c r="BLE148" s="456"/>
      <c r="BLF148" s="456"/>
      <c r="BLG148" s="456"/>
      <c r="BLH148" s="456"/>
      <c r="BLI148" s="456"/>
      <c r="BLJ148" s="456"/>
      <c r="BLK148" s="456"/>
      <c r="BLL148" s="456"/>
      <c r="BLM148" s="456"/>
      <c r="BLN148" s="456"/>
      <c r="BLO148" s="456"/>
      <c r="BLP148" s="456"/>
      <c r="BLQ148" s="456"/>
      <c r="BLR148" s="456"/>
      <c r="BLS148" s="456"/>
      <c r="BLT148" s="456"/>
      <c r="BLU148" s="456"/>
      <c r="BLV148" s="456"/>
      <c r="BLW148" s="456"/>
      <c r="BLX148" s="456"/>
      <c r="BLY148" s="456"/>
      <c r="BLZ148" s="456"/>
      <c r="BMA148" s="456"/>
      <c r="BMB148" s="456"/>
      <c r="BMC148" s="456"/>
      <c r="BMD148" s="456"/>
      <c r="BME148" s="456"/>
      <c r="BMF148" s="456"/>
      <c r="BMG148" s="456"/>
      <c r="BMH148" s="456"/>
      <c r="BMI148" s="456"/>
      <c r="BMJ148" s="456"/>
      <c r="BMK148" s="456"/>
      <c r="BML148" s="456"/>
      <c r="BMM148" s="456"/>
      <c r="BMN148" s="456"/>
      <c r="BMO148" s="456"/>
      <c r="BMP148" s="456"/>
      <c r="BMQ148" s="456"/>
      <c r="BMR148" s="456"/>
      <c r="BMS148" s="456"/>
      <c r="BMT148" s="456"/>
      <c r="BMU148" s="456"/>
      <c r="BMV148" s="456"/>
      <c r="BMW148" s="456"/>
      <c r="BMX148" s="456"/>
      <c r="BMY148" s="456"/>
      <c r="BMZ148" s="456"/>
      <c r="BNA148" s="456"/>
      <c r="BNB148" s="456"/>
      <c r="BNC148" s="456"/>
      <c r="BND148" s="456"/>
      <c r="BNE148" s="456"/>
      <c r="BNF148" s="456"/>
      <c r="BNG148" s="456"/>
      <c r="BNH148" s="456"/>
      <c r="BNI148" s="456"/>
      <c r="BNJ148" s="456"/>
      <c r="BNK148" s="456"/>
      <c r="BNL148" s="456"/>
      <c r="BNM148" s="456"/>
      <c r="BNN148" s="456"/>
      <c r="BNO148" s="456"/>
      <c r="BNP148" s="456"/>
      <c r="BNQ148" s="456"/>
      <c r="BNR148" s="456"/>
      <c r="BNS148" s="456"/>
      <c r="BNT148" s="456"/>
      <c r="BNU148" s="456"/>
      <c r="BNV148" s="456"/>
      <c r="BNW148" s="456"/>
      <c r="BNX148" s="456"/>
      <c r="BNY148" s="456"/>
      <c r="BNZ148" s="456"/>
      <c r="BOA148" s="456"/>
      <c r="BOB148" s="456"/>
      <c r="BOC148" s="456"/>
      <c r="BOD148" s="456"/>
      <c r="BOE148" s="456"/>
      <c r="BOF148" s="456"/>
      <c r="BOG148" s="456"/>
      <c r="BOH148" s="456"/>
      <c r="BOI148" s="456"/>
      <c r="BOJ148" s="456"/>
      <c r="BOK148" s="456"/>
      <c r="BOL148" s="456"/>
      <c r="BOM148" s="456"/>
      <c r="BON148" s="456"/>
      <c r="BOO148" s="456"/>
      <c r="BOP148" s="456"/>
      <c r="BOQ148" s="456"/>
      <c r="BOR148" s="456"/>
      <c r="BOS148" s="456"/>
      <c r="BOT148" s="456"/>
      <c r="BOU148" s="456"/>
      <c r="BOV148" s="456"/>
      <c r="BOW148" s="456"/>
      <c r="BOX148" s="456"/>
      <c r="BOY148" s="456"/>
      <c r="BOZ148" s="456"/>
      <c r="BPA148" s="456"/>
      <c r="BPB148" s="456"/>
      <c r="BPC148" s="456"/>
      <c r="BPD148" s="456"/>
      <c r="BPE148" s="456"/>
      <c r="BPF148" s="456"/>
      <c r="BPG148" s="456"/>
      <c r="BPH148" s="456"/>
      <c r="BPI148" s="456"/>
      <c r="BPJ148" s="456"/>
      <c r="BPK148" s="456"/>
      <c r="BPL148" s="456"/>
      <c r="BPM148" s="456"/>
      <c r="BPN148" s="456"/>
      <c r="BPO148" s="456"/>
      <c r="BPP148" s="456"/>
      <c r="BPQ148" s="456"/>
      <c r="BPR148" s="456"/>
      <c r="BPS148" s="456"/>
      <c r="BPT148" s="456"/>
      <c r="BPU148" s="456"/>
      <c r="BPV148" s="456"/>
      <c r="BPW148" s="456"/>
      <c r="BPX148" s="456"/>
      <c r="BPY148" s="456"/>
      <c r="BPZ148" s="456"/>
      <c r="BQA148" s="456"/>
      <c r="BQB148" s="456"/>
      <c r="BQC148" s="456"/>
      <c r="BQD148" s="456"/>
      <c r="BQE148" s="456"/>
      <c r="BQF148" s="456"/>
      <c r="BQG148" s="456"/>
      <c r="BQH148" s="456"/>
      <c r="BQI148" s="456"/>
      <c r="BQJ148" s="456"/>
      <c r="BQK148" s="456"/>
      <c r="BQL148" s="456"/>
      <c r="BQM148" s="456"/>
      <c r="BQN148" s="456"/>
      <c r="BQO148" s="456"/>
      <c r="BQP148" s="456"/>
      <c r="BQQ148" s="456"/>
      <c r="BQR148" s="456"/>
      <c r="BQS148" s="456"/>
      <c r="BQT148" s="456"/>
      <c r="BQU148" s="456"/>
      <c r="BQV148" s="456"/>
      <c r="BQW148" s="456"/>
      <c r="BQX148" s="456"/>
      <c r="BQY148" s="456"/>
      <c r="BQZ148" s="456"/>
      <c r="BRA148" s="456"/>
      <c r="BRB148" s="456"/>
      <c r="BRC148" s="456"/>
      <c r="BRD148" s="456"/>
      <c r="BRE148" s="456"/>
      <c r="BRF148" s="456"/>
      <c r="BRG148" s="456"/>
      <c r="BRH148" s="456"/>
      <c r="BRI148" s="456"/>
      <c r="BRJ148" s="456"/>
      <c r="BRK148" s="456"/>
      <c r="BRL148" s="456"/>
      <c r="BRM148" s="456"/>
      <c r="BRN148" s="456"/>
      <c r="BRO148" s="456"/>
      <c r="BRP148" s="456"/>
      <c r="BRQ148" s="456"/>
      <c r="BRR148" s="456"/>
      <c r="BRS148" s="456"/>
      <c r="BRT148" s="456"/>
      <c r="BRU148" s="456"/>
      <c r="BRV148" s="456"/>
      <c r="BRW148" s="456"/>
      <c r="BRX148" s="456"/>
      <c r="BRY148" s="456"/>
      <c r="BRZ148" s="456"/>
      <c r="BSA148" s="456"/>
      <c r="BSB148" s="456"/>
      <c r="BSC148" s="456"/>
      <c r="BSD148" s="456"/>
      <c r="BSE148" s="456"/>
      <c r="BSF148" s="456"/>
      <c r="BSG148" s="456"/>
      <c r="BSH148" s="456"/>
      <c r="BSI148" s="456"/>
      <c r="BSJ148" s="456"/>
      <c r="BSK148" s="456"/>
      <c r="BSL148" s="456"/>
      <c r="BSM148" s="456"/>
      <c r="BSN148" s="456"/>
      <c r="BSO148" s="456"/>
      <c r="BSP148" s="456"/>
      <c r="BSQ148" s="456"/>
      <c r="BSR148" s="456"/>
      <c r="BSS148" s="456"/>
      <c r="BST148" s="456"/>
      <c r="BSU148" s="456"/>
      <c r="BSV148" s="456"/>
      <c r="BSW148" s="456"/>
      <c r="BSX148" s="456"/>
      <c r="BSY148" s="456"/>
      <c r="BSZ148" s="456"/>
      <c r="BTA148" s="456"/>
      <c r="BTB148" s="456"/>
      <c r="BTC148" s="456"/>
      <c r="BTD148" s="456"/>
      <c r="BTE148" s="456"/>
      <c r="BTF148" s="456"/>
      <c r="BTG148" s="456"/>
      <c r="BTH148" s="456"/>
      <c r="BTI148" s="456"/>
      <c r="BTJ148" s="456"/>
      <c r="BTK148" s="456"/>
      <c r="BTL148" s="456"/>
      <c r="BTM148" s="456"/>
      <c r="BTN148" s="456"/>
      <c r="BTO148" s="456"/>
      <c r="BTP148" s="456"/>
      <c r="BTQ148" s="456"/>
      <c r="BTR148" s="456"/>
      <c r="BTS148" s="456"/>
      <c r="BTT148" s="456"/>
      <c r="BTU148" s="456"/>
      <c r="BTV148" s="456"/>
      <c r="BTW148" s="456"/>
      <c r="BTX148" s="456"/>
      <c r="BTY148" s="456"/>
      <c r="BTZ148" s="456"/>
      <c r="BUA148" s="456"/>
      <c r="BUB148" s="456"/>
      <c r="BUC148" s="456"/>
      <c r="BUD148" s="456"/>
      <c r="BUE148" s="456"/>
      <c r="BUF148" s="456"/>
      <c r="BUG148" s="456"/>
      <c r="BUH148" s="456"/>
      <c r="BUI148" s="456"/>
      <c r="BUJ148" s="456"/>
      <c r="BUK148" s="456"/>
      <c r="BUL148" s="456"/>
      <c r="BUM148" s="456"/>
      <c r="BUN148" s="456"/>
      <c r="BUO148" s="456"/>
      <c r="BUP148" s="456"/>
      <c r="BUQ148" s="456"/>
      <c r="BUR148" s="456"/>
      <c r="BUS148" s="456"/>
      <c r="BUT148" s="456"/>
      <c r="BUU148" s="456"/>
      <c r="BUV148" s="456"/>
      <c r="BUW148" s="456"/>
      <c r="BUX148" s="456"/>
      <c r="BUY148" s="456"/>
      <c r="BUZ148" s="456"/>
      <c r="BVA148" s="456"/>
      <c r="BVB148" s="456"/>
      <c r="BVC148" s="456"/>
      <c r="BVD148" s="456"/>
      <c r="BVE148" s="456"/>
      <c r="BVF148" s="456"/>
      <c r="BVG148" s="456"/>
      <c r="BVH148" s="456"/>
      <c r="BVI148" s="456"/>
      <c r="BVJ148" s="456"/>
      <c r="BVK148" s="456"/>
      <c r="BVL148" s="456"/>
      <c r="BVM148" s="456"/>
      <c r="BVN148" s="456"/>
      <c r="BVO148" s="456"/>
      <c r="BVP148" s="456"/>
      <c r="BVQ148" s="456"/>
      <c r="BVR148" s="456"/>
      <c r="BVS148" s="456"/>
      <c r="BVT148" s="456"/>
      <c r="BVU148" s="456"/>
      <c r="BVV148" s="456"/>
      <c r="BVW148" s="456"/>
      <c r="BVX148" s="456"/>
      <c r="BVY148" s="456"/>
      <c r="BVZ148" s="456"/>
      <c r="BWA148" s="456"/>
      <c r="BWB148" s="456"/>
      <c r="BWC148" s="456"/>
      <c r="BWD148" s="456"/>
      <c r="BWE148" s="456"/>
      <c r="BWF148" s="456"/>
      <c r="BWG148" s="456"/>
      <c r="BWH148" s="456"/>
      <c r="BWI148" s="456"/>
      <c r="BWJ148" s="456"/>
      <c r="BWK148" s="456"/>
      <c r="BWL148" s="456"/>
      <c r="BWM148" s="456"/>
      <c r="BWN148" s="456"/>
      <c r="BWO148" s="456"/>
      <c r="BWP148" s="456"/>
      <c r="BWQ148" s="456"/>
      <c r="BWR148" s="456"/>
      <c r="BWS148" s="456"/>
      <c r="BWT148" s="456"/>
      <c r="BWU148" s="456"/>
      <c r="BWV148" s="456"/>
      <c r="BWW148" s="456"/>
      <c r="BWX148" s="456"/>
      <c r="BWY148" s="456"/>
      <c r="BWZ148" s="456"/>
      <c r="BXA148" s="456"/>
      <c r="BXB148" s="456"/>
      <c r="BXC148" s="456"/>
      <c r="BXD148" s="456"/>
      <c r="BXE148" s="456"/>
      <c r="BXF148" s="456"/>
      <c r="BXG148" s="456"/>
      <c r="BXH148" s="456"/>
      <c r="BXI148" s="456"/>
      <c r="BXJ148" s="456"/>
      <c r="BXK148" s="456"/>
      <c r="BXL148" s="456"/>
      <c r="BXM148" s="456"/>
      <c r="BXN148" s="456"/>
      <c r="BXO148" s="456"/>
      <c r="BXP148" s="456"/>
      <c r="BXQ148" s="456"/>
      <c r="BXR148" s="456"/>
      <c r="BXS148" s="456"/>
      <c r="BXT148" s="456"/>
      <c r="BXU148" s="456"/>
      <c r="BXV148" s="456"/>
      <c r="BXW148" s="456"/>
      <c r="BXX148" s="456"/>
      <c r="BXY148" s="456"/>
      <c r="BXZ148" s="456"/>
    </row>
    <row r="149" spans="1:1024 1025:2002">
      <c r="A149" s="474"/>
      <c r="B149" s="75">
        <v>1129</v>
      </c>
      <c r="C149" s="213">
        <v>46199</v>
      </c>
      <c r="D149" s="18" t="s">
        <v>91</v>
      </c>
      <c r="E149" s="18" t="s">
        <v>92</v>
      </c>
      <c r="F149" s="18" t="s">
        <v>93</v>
      </c>
      <c r="G149" s="18"/>
      <c r="H149" s="75">
        <v>1.2085</v>
      </c>
      <c r="I149" s="75">
        <v>1.2085</v>
      </c>
      <c r="J149" s="18" t="s">
        <v>49</v>
      </c>
      <c r="K149" s="192">
        <v>2200</v>
      </c>
      <c r="L149" s="192">
        <v>61</v>
      </c>
      <c r="M149" s="75">
        <v>5000</v>
      </c>
      <c r="N149" s="75" t="s">
        <v>66</v>
      </c>
      <c r="O149" s="75" t="s">
        <v>67</v>
      </c>
      <c r="P149" s="75">
        <v>5267</v>
      </c>
      <c r="Q149" s="75">
        <v>5315</v>
      </c>
      <c r="R149" s="75">
        <f t="shared" si="9"/>
        <v>-48</v>
      </c>
      <c r="S149" s="75">
        <v>2500</v>
      </c>
      <c r="T149" s="75" t="s">
        <v>94</v>
      </c>
      <c r="U149" s="137">
        <v>20053867</v>
      </c>
      <c r="V149" s="193">
        <v>46199</v>
      </c>
      <c r="W149" s="18" t="s">
        <v>44</v>
      </c>
      <c r="X149" s="18"/>
      <c r="Y149" s="114">
        <v>46235</v>
      </c>
      <c r="Z149" s="18" t="s">
        <v>95</v>
      </c>
      <c r="AA149" s="24" t="s">
        <v>46</v>
      </c>
      <c r="AB149" s="18"/>
      <c r="AC149" s="137"/>
      <c r="AD149" s="77"/>
      <c r="AE149" s="18" t="s">
        <v>48</v>
      </c>
      <c r="AF149" s="18"/>
      <c r="AG149" s="18"/>
    </row>
    <row r="150" spans="1:1024 1025:2002">
      <c r="A150" s="474"/>
      <c r="B150" s="75">
        <v>1129</v>
      </c>
      <c r="C150" s="213">
        <v>46199</v>
      </c>
      <c r="D150" s="18" t="s">
        <v>91</v>
      </c>
      <c r="E150" s="18" t="s">
        <v>92</v>
      </c>
      <c r="F150" s="18" t="s">
        <v>93</v>
      </c>
      <c r="G150" s="18"/>
      <c r="H150" s="75">
        <v>1.2085</v>
      </c>
      <c r="I150" s="75">
        <v>1.2085</v>
      </c>
      <c r="J150" s="18" t="s">
        <v>49</v>
      </c>
      <c r="K150" s="192">
        <v>2200</v>
      </c>
      <c r="L150" s="192">
        <v>71</v>
      </c>
      <c r="M150" s="75">
        <v>5000</v>
      </c>
      <c r="N150" s="75" t="s">
        <v>66</v>
      </c>
      <c r="O150" s="75" t="s">
        <v>67</v>
      </c>
      <c r="P150" s="75">
        <v>6131</v>
      </c>
      <c r="Q150" s="75">
        <v>6135</v>
      </c>
      <c r="R150" s="75">
        <f t="shared" si="9"/>
        <v>-4</v>
      </c>
      <c r="S150" s="75">
        <v>2500</v>
      </c>
      <c r="T150" s="75" t="s">
        <v>94</v>
      </c>
      <c r="U150" s="137">
        <v>20053867</v>
      </c>
      <c r="V150" s="193">
        <v>46199</v>
      </c>
      <c r="W150" s="18" t="s">
        <v>44</v>
      </c>
      <c r="X150" s="18"/>
      <c r="Y150" s="114">
        <v>46235</v>
      </c>
      <c r="Z150" s="18" t="s">
        <v>95</v>
      </c>
      <c r="AA150" s="24" t="s">
        <v>46</v>
      </c>
      <c r="AB150" s="18"/>
      <c r="AC150" s="137"/>
      <c r="AD150" s="77"/>
      <c r="AE150" s="18" t="s">
        <v>48</v>
      </c>
      <c r="AF150" s="18"/>
      <c r="AG150" s="18"/>
    </row>
    <row r="151" s="25" customFormat="1" spans="1:1024 1025:2002">
      <c r="A151" s="473"/>
      <c r="B151" s="19">
        <v>1129</v>
      </c>
      <c r="C151" s="183">
        <v>46199</v>
      </c>
      <c r="D151" s="17" t="s">
        <v>91</v>
      </c>
      <c r="E151" s="17" t="s">
        <v>92</v>
      </c>
      <c r="F151" s="17" t="s">
        <v>93</v>
      </c>
      <c r="G151" s="17"/>
      <c r="H151" s="19">
        <v>1.2085</v>
      </c>
      <c r="I151" s="19">
        <v>1.2085</v>
      </c>
      <c r="J151" s="17" t="s">
        <v>49</v>
      </c>
      <c r="K151" s="168">
        <v>2200</v>
      </c>
      <c r="L151" s="168">
        <v>76</v>
      </c>
      <c r="M151" s="19">
        <v>5000</v>
      </c>
      <c r="N151" s="19" t="s">
        <v>66</v>
      </c>
      <c r="O151" s="19" t="s">
        <v>67</v>
      </c>
      <c r="P151" s="19">
        <v>6563</v>
      </c>
      <c r="Q151" s="19">
        <v>6610</v>
      </c>
      <c r="R151" s="19">
        <f t="shared" si="9"/>
        <v>-47</v>
      </c>
      <c r="S151" s="19">
        <v>2500</v>
      </c>
      <c r="T151" s="19" t="s">
        <v>94</v>
      </c>
      <c r="U151" s="102">
        <v>20053867</v>
      </c>
      <c r="V151" s="186">
        <v>46199</v>
      </c>
      <c r="W151" s="17" t="s">
        <v>44</v>
      </c>
      <c r="X151" s="17"/>
      <c r="Y151" s="68">
        <v>46235</v>
      </c>
      <c r="Z151" s="17" t="s">
        <v>95</v>
      </c>
      <c r="AA151" s="17" t="s">
        <v>46</v>
      </c>
      <c r="AB151" s="102">
        <v>26201115941</v>
      </c>
      <c r="AC151" s="217">
        <v>46239</v>
      </c>
      <c r="AD151" s="65">
        <v>1844</v>
      </c>
      <c r="AE151" s="17" t="s">
        <v>48</v>
      </c>
      <c r="AF151" s="17"/>
      <c r="AG151" s="17"/>
      <c r="AH151" s="456"/>
      <c r="AI151" s="456"/>
      <c r="AJ151" s="456"/>
      <c r="AK151" s="456"/>
      <c r="AL151" s="456"/>
      <c r="AM151" s="456"/>
      <c r="AN151" s="456"/>
      <c r="AO151" s="456"/>
      <c r="AP151" s="456"/>
      <c r="AQ151" s="456"/>
      <c r="AR151" s="456"/>
      <c r="AS151" s="456"/>
      <c r="AT151" s="456"/>
      <c r="AU151" s="456"/>
      <c r="AV151" s="456"/>
      <c r="AW151" s="456"/>
      <c r="AX151" s="456"/>
      <c r="AY151" s="456"/>
      <c r="AZ151" s="456"/>
      <c r="BA151" s="456"/>
      <c r="BB151" s="456"/>
      <c r="BC151" s="456"/>
      <c r="BD151" s="456"/>
      <c r="BE151" s="456"/>
      <c r="BF151" s="456"/>
      <c r="BG151" s="456"/>
      <c r="BH151" s="456"/>
      <c r="BI151" s="456"/>
      <c r="BJ151" s="456"/>
      <c r="BK151" s="456"/>
      <c r="BL151" s="456"/>
      <c r="BM151" s="456"/>
      <c r="BN151" s="456"/>
      <c r="BO151" s="456"/>
      <c r="BP151" s="456"/>
      <c r="BQ151" s="456"/>
      <c r="BR151" s="456"/>
      <c r="BS151" s="456"/>
      <c r="BT151" s="456"/>
      <c r="BU151" s="456"/>
      <c r="BV151" s="456"/>
      <c r="BW151" s="456"/>
      <c r="BX151" s="456"/>
      <c r="BY151" s="456"/>
      <c r="BZ151" s="456"/>
      <c r="CA151" s="456"/>
      <c r="CB151" s="456"/>
      <c r="CC151" s="456"/>
      <c r="CD151" s="456"/>
      <c r="CE151" s="456"/>
      <c r="CF151" s="456"/>
      <c r="CG151" s="456"/>
      <c r="CH151" s="456"/>
      <c r="CI151" s="456"/>
      <c r="CJ151" s="456"/>
      <c r="CK151" s="456"/>
      <c r="CL151" s="456"/>
      <c r="CM151" s="456"/>
      <c r="CN151" s="456"/>
      <c r="CO151" s="456"/>
      <c r="CP151" s="456"/>
      <c r="CQ151" s="456"/>
      <c r="CR151" s="456"/>
      <c r="CS151" s="456"/>
      <c r="CT151" s="456"/>
      <c r="CU151" s="456"/>
      <c r="CV151" s="456"/>
      <c r="CW151" s="456"/>
      <c r="CX151" s="456"/>
      <c r="CY151" s="456"/>
      <c r="CZ151" s="456"/>
      <c r="DA151" s="456"/>
      <c r="DB151" s="456"/>
      <c r="DC151" s="456"/>
      <c r="DD151" s="456"/>
      <c r="DE151" s="456"/>
      <c r="DF151" s="456"/>
      <c r="DG151" s="456"/>
      <c r="DH151" s="456"/>
      <c r="DI151" s="456"/>
      <c r="DJ151" s="456"/>
      <c r="DK151" s="456"/>
      <c r="DL151" s="456"/>
      <c r="DM151" s="456"/>
      <c r="DN151" s="456"/>
      <c r="DO151" s="456"/>
      <c r="DP151" s="456"/>
      <c r="DQ151" s="456"/>
      <c r="DR151" s="456"/>
      <c r="DS151" s="456"/>
      <c r="DT151" s="456"/>
      <c r="DU151" s="456"/>
      <c r="DV151" s="456"/>
      <c r="DW151" s="456"/>
      <c r="DX151" s="456"/>
      <c r="DY151" s="456"/>
      <c r="DZ151" s="456"/>
      <c r="EA151" s="456"/>
      <c r="EB151" s="456"/>
      <c r="EC151" s="456"/>
      <c r="ED151" s="456"/>
      <c r="EE151" s="456"/>
      <c r="EF151" s="456"/>
      <c r="EG151" s="456"/>
      <c r="EH151" s="456"/>
      <c r="EI151" s="456"/>
      <c r="EJ151" s="456"/>
      <c r="EK151" s="456"/>
      <c r="EL151" s="456"/>
      <c r="EM151" s="456"/>
      <c r="EN151" s="456"/>
      <c r="EO151" s="456"/>
      <c r="EP151" s="456"/>
      <c r="EQ151" s="456"/>
      <c r="ER151" s="456"/>
      <c r="ES151" s="456"/>
      <c r="ET151" s="456"/>
      <c r="EU151" s="456"/>
      <c r="EV151" s="456"/>
      <c r="EW151" s="456"/>
      <c r="EX151" s="456"/>
      <c r="EY151" s="456"/>
      <c r="EZ151" s="456"/>
      <c r="FA151" s="456"/>
      <c r="FB151" s="456"/>
      <c r="FC151" s="456"/>
      <c r="FD151" s="456"/>
      <c r="FE151" s="456"/>
      <c r="FF151" s="456"/>
      <c r="FG151" s="456"/>
      <c r="FH151" s="456"/>
      <c r="FI151" s="456"/>
      <c r="FJ151" s="456"/>
      <c r="FK151" s="456"/>
      <c r="FL151" s="456"/>
      <c r="FM151" s="456"/>
      <c r="FN151" s="456"/>
      <c r="FO151" s="456"/>
      <c r="FP151" s="456"/>
      <c r="FQ151" s="456"/>
      <c r="FR151" s="456"/>
      <c r="FS151" s="456"/>
      <c r="FT151" s="456"/>
      <c r="FU151" s="456"/>
      <c r="FV151" s="456"/>
      <c r="FW151" s="456"/>
      <c r="FX151" s="456"/>
      <c r="FY151" s="456"/>
      <c r="FZ151" s="456"/>
      <c r="GA151" s="456"/>
      <c r="GB151" s="456"/>
      <c r="GC151" s="456"/>
      <c r="GD151" s="456"/>
      <c r="GE151" s="456"/>
      <c r="GF151" s="456"/>
      <c r="GG151" s="456"/>
      <c r="GH151" s="456"/>
      <c r="GI151" s="456"/>
      <c r="GJ151" s="456"/>
      <c r="GK151" s="456"/>
      <c r="GL151" s="456"/>
      <c r="GM151" s="456"/>
      <c r="GN151" s="456"/>
      <c r="GO151" s="456"/>
      <c r="GP151" s="456"/>
      <c r="GQ151" s="456"/>
      <c r="GR151" s="456"/>
      <c r="GS151" s="456"/>
      <c r="GT151" s="456"/>
      <c r="GU151" s="456"/>
      <c r="GV151" s="456"/>
      <c r="GW151" s="456"/>
      <c r="GX151" s="456"/>
      <c r="GY151" s="456"/>
      <c r="GZ151" s="456"/>
      <c r="HA151" s="456"/>
      <c r="HB151" s="456"/>
      <c r="HC151" s="456"/>
      <c r="HD151" s="456"/>
      <c r="HE151" s="456"/>
      <c r="HF151" s="456"/>
      <c r="HG151" s="456"/>
      <c r="HH151" s="456"/>
      <c r="HI151" s="456"/>
      <c r="HJ151" s="456"/>
      <c r="HK151" s="456"/>
      <c r="HL151" s="456"/>
      <c r="HM151" s="456"/>
      <c r="HN151" s="456"/>
      <c r="HO151" s="456"/>
      <c r="HP151" s="456"/>
      <c r="HQ151" s="456"/>
      <c r="HR151" s="456"/>
      <c r="HS151" s="456"/>
      <c r="HT151" s="456"/>
      <c r="HU151" s="456"/>
      <c r="HV151" s="456"/>
      <c r="HW151" s="456"/>
      <c r="HX151" s="456"/>
      <c r="HY151" s="456"/>
      <c r="HZ151" s="456"/>
      <c r="IA151" s="456"/>
      <c r="IB151" s="456"/>
      <c r="IC151" s="456"/>
      <c r="ID151" s="456"/>
      <c r="IE151" s="456"/>
      <c r="IF151" s="456"/>
      <c r="IG151" s="456"/>
      <c r="IH151" s="456"/>
      <c r="II151" s="456"/>
      <c r="IJ151" s="456"/>
      <c r="IK151" s="456"/>
      <c r="IL151" s="456"/>
      <c r="IM151" s="456"/>
      <c r="IN151" s="456"/>
      <c r="IO151" s="456"/>
      <c r="IP151" s="456"/>
      <c r="IQ151" s="456"/>
      <c r="IR151" s="456"/>
      <c r="IS151" s="456"/>
      <c r="IT151" s="456"/>
      <c r="IU151" s="456"/>
      <c r="IV151" s="456"/>
      <c r="IW151" s="456"/>
      <c r="IX151" s="456"/>
      <c r="IY151" s="456"/>
      <c r="IZ151" s="456"/>
      <c r="JA151" s="456"/>
      <c r="JB151" s="456"/>
      <c r="JC151" s="456"/>
      <c r="JD151" s="456"/>
      <c r="JE151" s="456"/>
      <c r="JF151" s="456"/>
      <c r="JG151" s="456"/>
      <c r="JH151" s="456"/>
      <c r="JI151" s="456"/>
      <c r="JJ151" s="456"/>
      <c r="JK151" s="456"/>
      <c r="JL151" s="456"/>
      <c r="JM151" s="456"/>
      <c r="JN151" s="456"/>
      <c r="JO151" s="456"/>
      <c r="JP151" s="456"/>
      <c r="JQ151" s="456"/>
      <c r="JR151" s="456"/>
      <c r="JS151" s="456"/>
      <c r="JT151" s="456"/>
      <c r="JU151" s="456"/>
      <c r="JV151" s="456"/>
      <c r="JW151" s="456"/>
      <c r="JX151" s="456"/>
      <c r="JY151" s="456"/>
      <c r="JZ151" s="456"/>
      <c r="KA151" s="456"/>
      <c r="KB151" s="456"/>
      <c r="KC151" s="456"/>
      <c r="KD151" s="456"/>
      <c r="KE151" s="456"/>
      <c r="KF151" s="456"/>
      <c r="KG151" s="456"/>
      <c r="KH151" s="456"/>
      <c r="KI151" s="456"/>
      <c r="KJ151" s="456"/>
      <c r="KK151" s="456"/>
      <c r="KL151" s="456"/>
      <c r="KM151" s="456"/>
      <c r="KN151" s="456"/>
      <c r="KO151" s="456"/>
      <c r="KP151" s="456"/>
      <c r="KQ151" s="456"/>
      <c r="KR151" s="456"/>
      <c r="KS151" s="456"/>
      <c r="KT151" s="456"/>
      <c r="KU151" s="456"/>
      <c r="KV151" s="456"/>
      <c r="KW151" s="456"/>
      <c r="KX151" s="456"/>
      <c r="KY151" s="456"/>
      <c r="KZ151" s="456"/>
      <c r="LA151" s="456"/>
      <c r="LB151" s="456"/>
      <c r="LC151" s="456"/>
      <c r="LD151" s="456"/>
      <c r="LE151" s="456"/>
      <c r="LF151" s="456"/>
      <c r="LG151" s="456"/>
      <c r="LH151" s="456"/>
      <c r="LI151" s="456"/>
      <c r="LJ151" s="456"/>
      <c r="LK151" s="456"/>
      <c r="LL151" s="456"/>
      <c r="LM151" s="456"/>
      <c r="LN151" s="456"/>
      <c r="LO151" s="456"/>
      <c r="LP151" s="456"/>
      <c r="LQ151" s="456"/>
      <c r="LR151" s="456"/>
      <c r="LS151" s="456"/>
      <c r="LT151" s="456"/>
      <c r="LU151" s="456"/>
      <c r="LV151" s="456"/>
      <c r="LW151" s="456"/>
      <c r="LX151" s="456"/>
      <c r="LY151" s="456"/>
      <c r="LZ151" s="456"/>
      <c r="MA151" s="456"/>
      <c r="MB151" s="456"/>
      <c r="MC151" s="456"/>
      <c r="MD151" s="456"/>
      <c r="ME151" s="456"/>
      <c r="MF151" s="456"/>
      <c r="MG151" s="456"/>
      <c r="MH151" s="456"/>
      <c r="MI151" s="456"/>
      <c r="MJ151" s="456"/>
      <c r="MK151" s="456"/>
      <c r="ML151" s="456"/>
      <c r="MM151" s="456"/>
      <c r="MN151" s="456"/>
      <c r="MO151" s="456"/>
      <c r="MP151" s="456"/>
      <c r="MQ151" s="456"/>
      <c r="MR151" s="456"/>
      <c r="MS151" s="456"/>
      <c r="MT151" s="456"/>
      <c r="MU151" s="456"/>
      <c r="MV151" s="456"/>
      <c r="MW151" s="456"/>
      <c r="MX151" s="456"/>
      <c r="MY151" s="456"/>
      <c r="MZ151" s="456"/>
      <c r="NA151" s="456"/>
      <c r="NB151" s="456"/>
      <c r="NC151" s="456"/>
      <c r="ND151" s="456"/>
      <c r="NE151" s="456"/>
      <c r="NF151" s="456"/>
      <c r="NG151" s="456"/>
      <c r="NH151" s="456"/>
      <c r="NI151" s="456"/>
      <c r="NJ151" s="456"/>
      <c r="NK151" s="456"/>
      <c r="NL151" s="456"/>
      <c r="NM151" s="456"/>
      <c r="NN151" s="456"/>
      <c r="NO151" s="456"/>
      <c r="NP151" s="456"/>
      <c r="NQ151" s="456"/>
      <c r="NR151" s="456"/>
      <c r="NS151" s="456"/>
      <c r="NT151" s="456"/>
      <c r="NU151" s="456"/>
      <c r="NV151" s="456"/>
      <c r="NW151" s="456"/>
      <c r="NX151" s="456"/>
      <c r="NY151" s="456"/>
      <c r="NZ151" s="456"/>
      <c r="OA151" s="456"/>
      <c r="OB151" s="456"/>
      <c r="OC151" s="456"/>
      <c r="OD151" s="456"/>
      <c r="OE151" s="456"/>
      <c r="OF151" s="456"/>
      <c r="OG151" s="456"/>
      <c r="OH151" s="456"/>
      <c r="OI151" s="456"/>
      <c r="OJ151" s="456"/>
      <c r="OK151" s="456"/>
      <c r="OL151" s="456"/>
      <c r="OM151" s="456"/>
      <c r="ON151" s="456"/>
      <c r="OO151" s="456"/>
      <c r="OP151" s="456"/>
      <c r="OQ151" s="456"/>
      <c r="OR151" s="456"/>
      <c r="OS151" s="456"/>
      <c r="OT151" s="456"/>
      <c r="OU151" s="456"/>
      <c r="OV151" s="456"/>
      <c r="OW151" s="456"/>
      <c r="OX151" s="456"/>
      <c r="OY151" s="456"/>
      <c r="OZ151" s="456"/>
      <c r="PA151" s="456"/>
      <c r="PB151" s="456"/>
      <c r="PC151" s="456"/>
      <c r="PD151" s="456"/>
      <c r="PE151" s="456"/>
      <c r="PF151" s="456"/>
      <c r="PG151" s="456"/>
      <c r="PH151" s="456"/>
      <c r="PI151" s="456"/>
      <c r="PJ151" s="456"/>
      <c r="PK151" s="456"/>
      <c r="PL151" s="456"/>
      <c r="PM151" s="456"/>
      <c r="PN151" s="456"/>
      <c r="PO151" s="456"/>
      <c r="PP151" s="456"/>
      <c r="PQ151" s="456"/>
      <c r="PR151" s="456"/>
      <c r="PS151" s="456"/>
      <c r="PT151" s="456"/>
      <c r="PU151" s="456"/>
      <c r="PV151" s="456"/>
      <c r="PW151" s="456"/>
      <c r="PX151" s="456"/>
      <c r="PY151" s="456"/>
      <c r="PZ151" s="456"/>
      <c r="QA151" s="456"/>
      <c r="QB151" s="456"/>
      <c r="QC151" s="456"/>
      <c r="QD151" s="456"/>
      <c r="QE151" s="456"/>
      <c r="QF151" s="456"/>
      <c r="QG151" s="456"/>
      <c r="QH151" s="456"/>
      <c r="QI151" s="456"/>
      <c r="QJ151" s="456"/>
      <c r="QK151" s="456"/>
      <c r="QL151" s="456"/>
      <c r="QM151" s="456"/>
      <c r="QN151" s="456"/>
      <c r="QO151" s="456"/>
      <c r="QP151" s="456"/>
      <c r="QQ151" s="456"/>
      <c r="QR151" s="456"/>
      <c r="QS151" s="456"/>
      <c r="QT151" s="456"/>
      <c r="QU151" s="456"/>
      <c r="QV151" s="456"/>
      <c r="QW151" s="456"/>
      <c r="QX151" s="456"/>
      <c r="QY151" s="456"/>
      <c r="QZ151" s="456"/>
      <c r="RA151" s="456"/>
      <c r="RB151" s="456"/>
      <c r="RC151" s="456"/>
      <c r="RD151" s="456"/>
      <c r="RE151" s="456"/>
      <c r="RF151" s="456"/>
      <c r="RG151" s="456"/>
      <c r="RH151" s="456"/>
      <c r="RI151" s="456"/>
      <c r="RJ151" s="456"/>
      <c r="RK151" s="456"/>
      <c r="RL151" s="456"/>
      <c r="RM151" s="456"/>
      <c r="RN151" s="456"/>
      <c r="RO151" s="456"/>
      <c r="RP151" s="456"/>
      <c r="RQ151" s="456"/>
      <c r="RR151" s="456"/>
      <c r="RS151" s="456"/>
      <c r="RT151" s="456"/>
      <c r="RU151" s="456"/>
      <c r="RV151" s="456"/>
      <c r="RW151" s="456"/>
      <c r="RX151" s="456"/>
      <c r="RY151" s="456"/>
      <c r="RZ151" s="456"/>
      <c r="SA151" s="456"/>
      <c r="SB151" s="456"/>
      <c r="SC151" s="456"/>
      <c r="SD151" s="456"/>
      <c r="SE151" s="456"/>
      <c r="SF151" s="456"/>
      <c r="SG151" s="456"/>
      <c r="SH151" s="456"/>
      <c r="SI151" s="456"/>
      <c r="SJ151" s="456"/>
      <c r="SK151" s="456"/>
      <c r="SL151" s="456"/>
      <c r="SM151" s="456"/>
      <c r="SN151" s="456"/>
      <c r="SO151" s="456"/>
      <c r="SP151" s="456"/>
      <c r="SQ151" s="456"/>
      <c r="SR151" s="456"/>
      <c r="SS151" s="456"/>
      <c r="ST151" s="456"/>
      <c r="SU151" s="456"/>
      <c r="SV151" s="456"/>
      <c r="SW151" s="456"/>
      <c r="SX151" s="456"/>
      <c r="SY151" s="456"/>
      <c r="SZ151" s="456"/>
      <c r="TA151" s="456"/>
      <c r="TB151" s="456"/>
      <c r="TC151" s="456"/>
      <c r="TD151" s="456"/>
      <c r="TE151" s="456"/>
      <c r="TF151" s="456"/>
      <c r="TG151" s="456"/>
      <c r="TH151" s="456"/>
      <c r="TI151" s="456"/>
      <c r="TJ151" s="456"/>
      <c r="TK151" s="456"/>
      <c r="TL151" s="456"/>
      <c r="TM151" s="456"/>
      <c r="TN151" s="456"/>
      <c r="TO151" s="456"/>
      <c r="TP151" s="456"/>
      <c r="TQ151" s="456"/>
      <c r="TR151" s="456"/>
      <c r="TS151" s="456"/>
      <c r="TT151" s="456"/>
      <c r="TU151" s="456"/>
      <c r="TV151" s="456"/>
      <c r="TW151" s="456"/>
      <c r="TX151" s="456"/>
      <c r="TY151" s="456"/>
      <c r="TZ151" s="456"/>
      <c r="UA151" s="456"/>
      <c r="UB151" s="456"/>
      <c r="UC151" s="456"/>
      <c r="UD151" s="456"/>
      <c r="UE151" s="456"/>
      <c r="UF151" s="456"/>
      <c r="UG151" s="456"/>
      <c r="UH151" s="456"/>
      <c r="UI151" s="456"/>
      <c r="UJ151" s="456"/>
      <c r="UK151" s="456"/>
      <c r="UL151" s="456"/>
      <c r="UM151" s="456"/>
      <c r="UN151" s="456"/>
      <c r="UO151" s="456"/>
      <c r="UP151" s="456"/>
      <c r="UQ151" s="456"/>
      <c r="UR151" s="456"/>
      <c r="US151" s="456"/>
      <c r="UT151" s="456"/>
      <c r="UU151" s="456"/>
      <c r="UV151" s="456"/>
      <c r="UW151" s="456"/>
      <c r="UX151" s="456"/>
      <c r="UY151" s="456"/>
      <c r="UZ151" s="456"/>
      <c r="VA151" s="456"/>
      <c r="VB151" s="456"/>
      <c r="VC151" s="456"/>
      <c r="VD151" s="456"/>
      <c r="VE151" s="456"/>
      <c r="VF151" s="456"/>
      <c r="VG151" s="456"/>
      <c r="VH151" s="456"/>
      <c r="VI151" s="456"/>
      <c r="VJ151" s="456"/>
      <c r="VK151" s="456"/>
      <c r="VL151" s="456"/>
      <c r="VM151" s="456"/>
      <c r="VN151" s="456"/>
      <c r="VO151" s="456"/>
      <c r="VP151" s="456"/>
      <c r="VQ151" s="456"/>
      <c r="VR151" s="456"/>
      <c r="VS151" s="456"/>
      <c r="VT151" s="456"/>
      <c r="VU151" s="456"/>
      <c r="VV151" s="456"/>
      <c r="VW151" s="456"/>
      <c r="VX151" s="456"/>
      <c r="VY151" s="456"/>
      <c r="VZ151" s="456"/>
      <c r="WA151" s="456"/>
      <c r="WB151" s="456"/>
      <c r="WC151" s="456"/>
      <c r="WD151" s="456"/>
      <c r="WE151" s="456"/>
      <c r="WF151" s="456"/>
      <c r="WG151" s="456"/>
      <c r="WH151" s="456"/>
      <c r="WI151" s="456"/>
      <c r="WJ151" s="456"/>
      <c r="WK151" s="456"/>
      <c r="WL151" s="456"/>
      <c r="WM151" s="456"/>
      <c r="WN151" s="456"/>
      <c r="WO151" s="456"/>
      <c r="WP151" s="456"/>
      <c r="WQ151" s="456"/>
      <c r="WR151" s="456"/>
      <c r="WS151" s="456"/>
      <c r="WT151" s="456"/>
      <c r="WU151" s="456"/>
      <c r="WV151" s="456"/>
      <c r="WW151" s="456"/>
      <c r="WX151" s="456"/>
      <c r="WY151" s="456"/>
      <c r="WZ151" s="456"/>
      <c r="XA151" s="456"/>
      <c r="XB151" s="456"/>
      <c r="XC151" s="456"/>
      <c r="XD151" s="456"/>
      <c r="XE151" s="456"/>
      <c r="XF151" s="456"/>
      <c r="XG151" s="456"/>
      <c r="XH151" s="456"/>
      <c r="XI151" s="456"/>
      <c r="XJ151" s="456"/>
      <c r="XK151" s="456"/>
      <c r="XL151" s="456"/>
      <c r="XM151" s="456"/>
      <c r="XN151" s="456"/>
      <c r="XO151" s="456"/>
      <c r="XP151" s="456"/>
      <c r="XQ151" s="456"/>
      <c r="XR151" s="456"/>
      <c r="XS151" s="456"/>
      <c r="XT151" s="456"/>
      <c r="XU151" s="456"/>
      <c r="XV151" s="456"/>
      <c r="XW151" s="456"/>
      <c r="XX151" s="456"/>
      <c r="XY151" s="456"/>
      <c r="XZ151" s="456"/>
      <c r="YA151" s="456"/>
      <c r="YB151" s="456"/>
      <c r="YC151" s="456"/>
      <c r="YD151" s="456"/>
      <c r="YE151" s="456"/>
      <c r="YF151" s="456"/>
      <c r="YG151" s="456"/>
      <c r="YH151" s="456"/>
      <c r="YI151" s="456"/>
      <c r="YJ151" s="456"/>
      <c r="YK151" s="456"/>
      <c r="YL151" s="456"/>
      <c r="YM151" s="456"/>
      <c r="YN151" s="456"/>
      <c r="YO151" s="456"/>
      <c r="YP151" s="456"/>
      <c r="YQ151" s="456"/>
      <c r="YR151" s="456"/>
      <c r="YS151" s="456"/>
      <c r="YT151" s="456"/>
      <c r="YU151" s="456"/>
      <c r="YV151" s="456"/>
      <c r="YW151" s="456"/>
      <c r="YX151" s="456"/>
      <c r="YY151" s="456"/>
      <c r="YZ151" s="456"/>
      <c r="ZA151" s="456"/>
      <c r="ZB151" s="456"/>
      <c r="ZC151" s="456"/>
      <c r="ZD151" s="456"/>
      <c r="ZE151" s="456"/>
      <c r="ZF151" s="456"/>
      <c r="ZG151" s="456"/>
      <c r="ZH151" s="456"/>
      <c r="ZI151" s="456"/>
      <c r="ZJ151" s="456"/>
      <c r="ZK151" s="456"/>
      <c r="ZL151" s="456"/>
      <c r="ZM151" s="456"/>
      <c r="ZN151" s="456"/>
      <c r="ZO151" s="456"/>
      <c r="ZP151" s="456"/>
      <c r="ZQ151" s="456"/>
      <c r="ZR151" s="456"/>
      <c r="ZS151" s="456"/>
      <c r="ZT151" s="456"/>
      <c r="ZU151" s="456"/>
      <c r="ZV151" s="456"/>
      <c r="ZW151" s="456"/>
      <c r="ZX151" s="456"/>
      <c r="ZY151" s="456"/>
      <c r="ZZ151" s="456"/>
      <c r="AAA151" s="456"/>
      <c r="AAB151" s="456"/>
      <c r="AAC151" s="456"/>
      <c r="AAD151" s="456"/>
      <c r="AAE151" s="456"/>
      <c r="AAF151" s="456"/>
      <c r="AAG151" s="456"/>
      <c r="AAH151" s="456"/>
      <c r="AAI151" s="456"/>
      <c r="AAJ151" s="456"/>
      <c r="AAK151" s="456"/>
      <c r="AAL151" s="456"/>
      <c r="AAM151" s="456"/>
      <c r="AAN151" s="456"/>
      <c r="AAO151" s="456"/>
      <c r="AAP151" s="456"/>
      <c r="AAQ151" s="456"/>
      <c r="AAR151" s="456"/>
      <c r="AAS151" s="456"/>
      <c r="AAT151" s="456"/>
      <c r="AAU151" s="456"/>
      <c r="AAV151" s="456"/>
      <c r="AAW151" s="456"/>
      <c r="AAX151" s="456"/>
      <c r="AAY151" s="456"/>
      <c r="AAZ151" s="456"/>
      <c r="ABA151" s="456"/>
      <c r="ABB151" s="456"/>
      <c r="ABC151" s="456"/>
      <c r="ABD151" s="456"/>
      <c r="ABE151" s="456"/>
      <c r="ABF151" s="456"/>
      <c r="ABG151" s="456"/>
      <c r="ABH151" s="456"/>
      <c r="ABI151" s="456"/>
      <c r="ABJ151" s="456"/>
      <c r="ABK151" s="456"/>
      <c r="ABL151" s="456"/>
      <c r="ABM151" s="456"/>
      <c r="ABN151" s="456"/>
      <c r="ABO151" s="456"/>
      <c r="ABP151" s="456"/>
      <c r="ABQ151" s="456"/>
      <c r="ABR151" s="456"/>
      <c r="ABS151" s="456"/>
      <c r="ABT151" s="456"/>
      <c r="ABU151" s="456"/>
      <c r="ABV151" s="456"/>
      <c r="ABW151" s="456"/>
      <c r="ABX151" s="456"/>
      <c r="ABY151" s="456"/>
      <c r="ABZ151" s="456"/>
      <c r="ACA151" s="456"/>
      <c r="ACB151" s="456"/>
      <c r="ACC151" s="456"/>
      <c r="ACD151" s="456"/>
      <c r="ACE151" s="456"/>
      <c r="ACF151" s="456"/>
      <c r="ACG151" s="456"/>
      <c r="ACH151" s="456"/>
      <c r="ACI151" s="456"/>
      <c r="ACJ151" s="456"/>
      <c r="ACK151" s="456"/>
      <c r="ACL151" s="456"/>
      <c r="ACM151" s="456"/>
      <c r="ACN151" s="456"/>
      <c r="ACO151" s="456"/>
      <c r="ACP151" s="456"/>
      <c r="ACQ151" s="456"/>
      <c r="ACR151" s="456"/>
      <c r="ACS151" s="456"/>
      <c r="ACT151" s="456"/>
      <c r="ACU151" s="456"/>
      <c r="ACV151" s="456"/>
      <c r="ACW151" s="456"/>
      <c r="ACX151" s="456"/>
      <c r="ACY151" s="456"/>
      <c r="ACZ151" s="456"/>
      <c r="ADA151" s="456"/>
      <c r="ADB151" s="456"/>
      <c r="ADC151" s="456"/>
      <c r="ADD151" s="456"/>
      <c r="ADE151" s="456"/>
      <c r="ADF151" s="456"/>
      <c r="ADG151" s="456"/>
      <c r="ADH151" s="456"/>
      <c r="ADI151" s="456"/>
      <c r="ADJ151" s="456"/>
      <c r="ADK151" s="456"/>
      <c r="ADL151" s="456"/>
      <c r="ADM151" s="456"/>
      <c r="ADN151" s="456"/>
      <c r="ADO151" s="456"/>
      <c r="ADP151" s="456"/>
      <c r="ADQ151" s="456"/>
      <c r="ADR151" s="456"/>
      <c r="ADS151" s="456"/>
      <c r="ADT151" s="456"/>
      <c r="ADU151" s="456"/>
      <c r="ADV151" s="456"/>
      <c r="ADW151" s="456"/>
      <c r="ADX151" s="456"/>
      <c r="ADY151" s="456"/>
      <c r="ADZ151" s="456"/>
      <c r="AEA151" s="456"/>
      <c r="AEB151" s="456"/>
      <c r="AEC151" s="456"/>
      <c r="AED151" s="456"/>
      <c r="AEE151" s="456"/>
      <c r="AEF151" s="456"/>
      <c r="AEG151" s="456"/>
      <c r="AEH151" s="456"/>
      <c r="AEI151" s="456"/>
      <c r="AEJ151" s="456"/>
      <c r="AEK151" s="456"/>
      <c r="AEL151" s="456"/>
      <c r="AEM151" s="456"/>
      <c r="AEN151" s="456"/>
      <c r="AEO151" s="456"/>
      <c r="AEP151" s="456"/>
      <c r="AEQ151" s="456"/>
      <c r="AER151" s="456"/>
      <c r="AES151" s="456"/>
      <c r="AET151" s="456"/>
      <c r="AEU151" s="456"/>
      <c r="AEV151" s="456"/>
      <c r="AEW151" s="456"/>
      <c r="AEX151" s="456"/>
      <c r="AEY151" s="456"/>
      <c r="AEZ151" s="456"/>
      <c r="AFA151" s="456"/>
      <c r="AFB151" s="456"/>
      <c r="AFC151" s="456"/>
      <c r="AFD151" s="456"/>
      <c r="AFE151" s="456"/>
      <c r="AFF151" s="456"/>
      <c r="AFG151" s="456"/>
      <c r="AFH151" s="456"/>
      <c r="AFI151" s="456"/>
      <c r="AFJ151" s="456"/>
      <c r="AFK151" s="456"/>
      <c r="AFL151" s="456"/>
      <c r="AFM151" s="456"/>
      <c r="AFN151" s="456"/>
      <c r="AFO151" s="456"/>
      <c r="AFP151" s="456"/>
      <c r="AFQ151" s="456"/>
      <c r="AFR151" s="456"/>
      <c r="AFS151" s="456"/>
      <c r="AFT151" s="456"/>
      <c r="AFU151" s="456"/>
      <c r="AFV151" s="456"/>
      <c r="AFW151" s="456"/>
      <c r="AFX151" s="456"/>
      <c r="AFY151" s="456"/>
      <c r="AFZ151" s="456"/>
      <c r="AGA151" s="456"/>
      <c r="AGB151" s="456"/>
      <c r="AGC151" s="456"/>
      <c r="AGD151" s="456"/>
      <c r="AGE151" s="456"/>
      <c r="AGF151" s="456"/>
      <c r="AGG151" s="456"/>
      <c r="AGH151" s="456"/>
      <c r="AGI151" s="456"/>
      <c r="AGJ151" s="456"/>
      <c r="AGK151" s="456"/>
      <c r="AGL151" s="456"/>
      <c r="AGM151" s="456"/>
      <c r="AGN151" s="456"/>
      <c r="AGO151" s="456"/>
      <c r="AGP151" s="456"/>
      <c r="AGQ151" s="456"/>
      <c r="AGR151" s="456"/>
      <c r="AGS151" s="456"/>
      <c r="AGT151" s="456"/>
      <c r="AGU151" s="456"/>
      <c r="AGV151" s="456"/>
      <c r="AGW151" s="456"/>
      <c r="AGX151" s="456"/>
      <c r="AGY151" s="456"/>
      <c r="AGZ151" s="456"/>
      <c r="AHA151" s="456"/>
      <c r="AHB151" s="456"/>
      <c r="AHC151" s="456"/>
      <c r="AHD151" s="456"/>
      <c r="AHE151" s="456"/>
      <c r="AHF151" s="456"/>
      <c r="AHG151" s="456"/>
      <c r="AHH151" s="456"/>
      <c r="AHI151" s="456"/>
      <c r="AHJ151" s="456"/>
      <c r="AHK151" s="456"/>
      <c r="AHL151" s="456"/>
      <c r="AHM151" s="456"/>
      <c r="AHN151" s="456"/>
      <c r="AHO151" s="456"/>
      <c r="AHP151" s="456"/>
      <c r="AHQ151" s="456"/>
      <c r="AHR151" s="456"/>
      <c r="AHS151" s="456"/>
      <c r="AHT151" s="456"/>
      <c r="AHU151" s="456"/>
      <c r="AHV151" s="456"/>
      <c r="AHW151" s="456"/>
      <c r="AHX151" s="456"/>
      <c r="AHY151" s="456"/>
      <c r="AHZ151" s="456"/>
      <c r="AIA151" s="456"/>
      <c r="AIB151" s="456"/>
      <c r="AIC151" s="456"/>
      <c r="AID151" s="456"/>
      <c r="AIE151" s="456"/>
      <c r="AIF151" s="456"/>
      <c r="AIG151" s="456"/>
      <c r="AIH151" s="456"/>
      <c r="AII151" s="456"/>
      <c r="AIJ151" s="456"/>
      <c r="AIK151" s="456"/>
      <c r="AIL151" s="456"/>
      <c r="AIM151" s="456"/>
      <c r="AIN151" s="456"/>
      <c r="AIO151" s="456"/>
      <c r="AIP151" s="456"/>
      <c r="AIQ151" s="456"/>
      <c r="AIR151" s="456"/>
      <c r="AIS151" s="456"/>
      <c r="AIT151" s="456"/>
      <c r="AIU151" s="456"/>
      <c r="AIV151" s="456"/>
      <c r="AIW151" s="456"/>
      <c r="AIX151" s="456"/>
      <c r="AIY151" s="456"/>
      <c r="AIZ151" s="456"/>
      <c r="AJA151" s="456"/>
      <c r="AJB151" s="456"/>
      <c r="AJC151" s="456"/>
      <c r="AJD151" s="456"/>
      <c r="AJE151" s="456"/>
      <c r="AJF151" s="456"/>
      <c r="AJG151" s="456"/>
      <c r="AJH151" s="456"/>
      <c r="AJI151" s="456"/>
      <c r="AJJ151" s="456"/>
      <c r="AJK151" s="456"/>
      <c r="AJL151" s="456"/>
      <c r="AJM151" s="456"/>
      <c r="AJN151" s="456"/>
      <c r="AJO151" s="456"/>
      <c r="AJP151" s="456"/>
      <c r="AJQ151" s="456"/>
      <c r="AJR151" s="456"/>
      <c r="AJS151" s="456"/>
      <c r="AJT151" s="456"/>
      <c r="AJU151" s="456"/>
      <c r="AJV151" s="456"/>
      <c r="AJW151" s="456"/>
      <c r="AJX151" s="456"/>
      <c r="AJY151" s="456"/>
      <c r="AJZ151" s="456"/>
      <c r="AKA151" s="456"/>
      <c r="AKB151" s="456"/>
      <c r="AKC151" s="456"/>
      <c r="AKD151" s="456"/>
      <c r="AKE151" s="456"/>
      <c r="AKF151" s="456"/>
      <c r="AKG151" s="456"/>
      <c r="AKH151" s="456"/>
      <c r="AKI151" s="456"/>
      <c r="AKJ151" s="456"/>
      <c r="AKK151" s="456"/>
      <c r="AKL151" s="456"/>
      <c r="AKM151" s="456"/>
      <c r="AKN151" s="456"/>
      <c r="AKO151" s="456"/>
      <c r="AKP151" s="456"/>
      <c r="AKQ151" s="456"/>
      <c r="AKR151" s="456"/>
      <c r="AKS151" s="456"/>
      <c r="AKT151" s="456"/>
      <c r="AKU151" s="456"/>
      <c r="AKV151" s="456"/>
      <c r="AKW151" s="456"/>
      <c r="AKX151" s="456"/>
      <c r="AKY151" s="456"/>
      <c r="AKZ151" s="456"/>
      <c r="ALA151" s="456"/>
      <c r="ALB151" s="456"/>
      <c r="ALC151" s="456"/>
      <c r="ALD151" s="456"/>
      <c r="ALE151" s="456"/>
      <c r="ALF151" s="456"/>
      <c r="ALG151" s="456"/>
      <c r="ALH151" s="456"/>
      <c r="ALI151" s="456"/>
      <c r="ALJ151" s="456"/>
      <c r="ALK151" s="456"/>
      <c r="ALL151" s="456"/>
      <c r="ALM151" s="456"/>
      <c r="ALN151" s="456"/>
      <c r="ALO151" s="456"/>
      <c r="ALP151" s="456"/>
      <c r="ALQ151" s="456"/>
      <c r="ALR151" s="456"/>
      <c r="ALS151" s="456"/>
      <c r="ALT151" s="456"/>
      <c r="ALU151" s="456"/>
      <c r="ALV151" s="456"/>
      <c r="ALW151" s="456"/>
      <c r="ALX151" s="456"/>
      <c r="ALY151" s="456"/>
      <c r="ALZ151" s="456"/>
      <c r="AMA151" s="456"/>
      <c r="AMB151" s="456"/>
      <c r="AMC151" s="456"/>
      <c r="AMD151" s="456"/>
      <c r="AME151" s="456"/>
      <c r="AMF151" s="456"/>
      <c r="AMG151" s="456"/>
      <c r="AMH151" s="456"/>
      <c r="AMI151" s="456"/>
      <c r="AMJ151" s="456"/>
      <c r="AMK151" s="456"/>
      <c r="AML151" s="456"/>
      <c r="AMM151" s="456"/>
      <c r="AMN151" s="456"/>
      <c r="AMO151" s="456"/>
      <c r="AMP151" s="456"/>
      <c r="AMQ151" s="456"/>
      <c r="AMR151" s="456"/>
      <c r="AMS151" s="456"/>
      <c r="AMT151" s="456"/>
      <c r="AMU151" s="456"/>
      <c r="AMV151" s="456"/>
      <c r="AMW151" s="456"/>
      <c r="AMX151" s="456"/>
      <c r="AMY151" s="456"/>
      <c r="AMZ151" s="456"/>
      <c r="ANA151" s="456"/>
      <c r="ANB151" s="456"/>
      <c r="ANC151" s="456"/>
      <c r="AND151" s="456"/>
      <c r="ANE151" s="456"/>
      <c r="ANF151" s="456"/>
      <c r="ANG151" s="456"/>
      <c r="ANH151" s="456"/>
      <c r="ANI151" s="456"/>
      <c r="ANJ151" s="456"/>
      <c r="ANK151" s="456"/>
      <c r="ANL151" s="456"/>
      <c r="ANM151" s="456"/>
      <c r="ANN151" s="456"/>
      <c r="ANO151" s="456"/>
      <c r="ANP151" s="456"/>
      <c r="ANQ151" s="456"/>
      <c r="ANR151" s="456"/>
      <c r="ANS151" s="456"/>
      <c r="ANT151" s="456"/>
      <c r="ANU151" s="456"/>
      <c r="ANV151" s="456"/>
      <c r="ANW151" s="456"/>
      <c r="ANX151" s="456"/>
      <c r="ANY151" s="456"/>
      <c r="ANZ151" s="456"/>
      <c r="AOA151" s="456"/>
      <c r="AOB151" s="456"/>
      <c r="AOC151" s="456"/>
      <c r="AOD151" s="456"/>
      <c r="AOE151" s="456"/>
      <c r="AOF151" s="456"/>
      <c r="AOG151" s="456"/>
      <c r="AOH151" s="456"/>
      <c r="AOI151" s="456"/>
      <c r="AOJ151" s="456"/>
      <c r="AOK151" s="456"/>
      <c r="AOL151" s="456"/>
      <c r="AOM151" s="456"/>
      <c r="AON151" s="456"/>
      <c r="AOO151" s="456"/>
      <c r="AOP151" s="456"/>
      <c r="AOQ151" s="456"/>
      <c r="AOR151" s="456"/>
      <c r="AOS151" s="456"/>
      <c r="AOT151" s="456"/>
      <c r="AOU151" s="456"/>
      <c r="AOV151" s="456"/>
      <c r="AOW151" s="456"/>
      <c r="AOX151" s="456"/>
      <c r="AOY151" s="456"/>
      <c r="AOZ151" s="456"/>
      <c r="APA151" s="456"/>
      <c r="APB151" s="456"/>
      <c r="APC151" s="456"/>
      <c r="APD151" s="456"/>
      <c r="APE151" s="456"/>
      <c r="APF151" s="456"/>
      <c r="APG151" s="456"/>
      <c r="APH151" s="456"/>
      <c r="API151" s="456"/>
      <c r="APJ151" s="456"/>
      <c r="APK151" s="456"/>
      <c r="APL151" s="456"/>
      <c r="APM151" s="456"/>
      <c r="APN151" s="456"/>
      <c r="APO151" s="456"/>
      <c r="APP151" s="456"/>
      <c r="APQ151" s="456"/>
      <c r="APR151" s="456"/>
      <c r="APS151" s="456"/>
      <c r="APT151" s="456"/>
      <c r="APU151" s="456"/>
      <c r="APV151" s="456"/>
      <c r="APW151" s="456"/>
      <c r="APX151" s="456"/>
      <c r="APY151" s="456"/>
      <c r="APZ151" s="456"/>
      <c r="AQA151" s="456"/>
      <c r="AQB151" s="456"/>
      <c r="AQC151" s="456"/>
      <c r="AQD151" s="456"/>
      <c r="AQE151" s="456"/>
      <c r="AQF151" s="456"/>
      <c r="AQG151" s="456"/>
      <c r="AQH151" s="456"/>
      <c r="AQI151" s="456"/>
      <c r="AQJ151" s="456"/>
      <c r="AQK151" s="456"/>
      <c r="AQL151" s="456"/>
      <c r="AQM151" s="456"/>
      <c r="AQN151" s="456"/>
      <c r="AQO151" s="456"/>
      <c r="AQP151" s="456"/>
      <c r="AQQ151" s="456"/>
      <c r="AQR151" s="456"/>
      <c r="AQS151" s="456"/>
      <c r="AQT151" s="456"/>
      <c r="AQU151" s="456"/>
      <c r="AQV151" s="456"/>
      <c r="AQW151" s="456"/>
      <c r="AQX151" s="456"/>
      <c r="AQY151" s="456"/>
      <c r="AQZ151" s="456"/>
      <c r="ARA151" s="456"/>
      <c r="ARB151" s="456"/>
      <c r="ARC151" s="456"/>
      <c r="ARD151" s="456"/>
      <c r="ARE151" s="456"/>
      <c r="ARF151" s="456"/>
      <c r="ARG151" s="456"/>
      <c r="ARH151" s="456"/>
      <c r="ARI151" s="456"/>
      <c r="ARJ151" s="456"/>
      <c r="ARK151" s="456"/>
      <c r="ARL151" s="456"/>
      <c r="ARM151" s="456"/>
      <c r="ARN151" s="456"/>
      <c r="ARO151" s="456"/>
      <c r="ARP151" s="456"/>
      <c r="ARQ151" s="456"/>
      <c r="ARR151" s="456"/>
      <c r="ARS151" s="456"/>
      <c r="ART151" s="456"/>
      <c r="ARU151" s="456"/>
      <c r="ARV151" s="456"/>
      <c r="ARW151" s="456"/>
      <c r="ARX151" s="456"/>
      <c r="ARY151" s="456"/>
      <c r="ARZ151" s="456"/>
      <c r="ASA151" s="456"/>
      <c r="ASB151" s="456"/>
      <c r="ASC151" s="456"/>
      <c r="ASD151" s="456"/>
      <c r="ASE151" s="456"/>
      <c r="ASF151" s="456"/>
      <c r="ASG151" s="456"/>
      <c r="ASH151" s="456"/>
      <c r="ASI151" s="456"/>
      <c r="ASJ151" s="456"/>
      <c r="ASK151" s="456"/>
      <c r="ASL151" s="456"/>
      <c r="ASM151" s="456"/>
      <c r="ASN151" s="456"/>
      <c r="ASO151" s="456"/>
      <c r="ASP151" s="456"/>
      <c r="ASQ151" s="456"/>
      <c r="ASR151" s="456"/>
      <c r="ASS151" s="456"/>
      <c r="AST151" s="456"/>
      <c r="ASU151" s="456"/>
      <c r="ASV151" s="456"/>
      <c r="ASW151" s="456"/>
      <c r="ASX151" s="456"/>
      <c r="ASY151" s="456"/>
      <c r="ASZ151" s="456"/>
      <c r="ATA151" s="456"/>
      <c r="ATB151" s="456"/>
      <c r="ATC151" s="456"/>
      <c r="ATD151" s="456"/>
      <c r="ATE151" s="456"/>
      <c r="ATF151" s="456"/>
      <c r="ATG151" s="456"/>
      <c r="ATH151" s="456"/>
      <c r="ATI151" s="456"/>
      <c r="ATJ151" s="456"/>
      <c r="ATK151" s="456"/>
      <c r="ATL151" s="456"/>
      <c r="ATM151" s="456"/>
      <c r="ATN151" s="456"/>
      <c r="ATO151" s="456"/>
      <c r="ATP151" s="456"/>
      <c r="ATQ151" s="456"/>
      <c r="ATR151" s="456"/>
      <c r="ATS151" s="456"/>
      <c r="ATT151" s="456"/>
      <c r="ATU151" s="456"/>
      <c r="ATV151" s="456"/>
      <c r="ATW151" s="456"/>
      <c r="ATX151" s="456"/>
      <c r="ATY151" s="456"/>
      <c r="ATZ151" s="456"/>
      <c r="AUA151" s="456"/>
      <c r="AUB151" s="456"/>
      <c r="AUC151" s="456"/>
      <c r="AUD151" s="456"/>
      <c r="AUE151" s="456"/>
      <c r="AUF151" s="456"/>
      <c r="AUG151" s="456"/>
      <c r="AUH151" s="456"/>
      <c r="AUI151" s="456"/>
      <c r="AUJ151" s="456"/>
      <c r="AUK151" s="456"/>
      <c r="AUL151" s="456"/>
      <c r="AUM151" s="456"/>
      <c r="AUN151" s="456"/>
      <c r="AUO151" s="456"/>
      <c r="AUP151" s="456"/>
      <c r="AUQ151" s="456"/>
      <c r="AUR151" s="456"/>
      <c r="AUS151" s="456"/>
      <c r="AUT151" s="456"/>
      <c r="AUU151" s="456"/>
      <c r="AUV151" s="456"/>
      <c r="AUW151" s="456"/>
      <c r="AUX151" s="456"/>
      <c r="AUY151" s="456"/>
      <c r="AUZ151" s="456"/>
      <c r="AVA151" s="456"/>
      <c r="AVB151" s="456"/>
      <c r="AVC151" s="456"/>
      <c r="AVD151" s="456"/>
      <c r="AVE151" s="456"/>
      <c r="AVF151" s="456"/>
      <c r="AVG151" s="456"/>
      <c r="AVH151" s="456"/>
      <c r="AVI151" s="456"/>
      <c r="AVJ151" s="456"/>
      <c r="AVK151" s="456"/>
      <c r="AVL151" s="456"/>
      <c r="AVM151" s="456"/>
      <c r="AVN151" s="456"/>
      <c r="AVO151" s="456"/>
      <c r="AVP151" s="456"/>
      <c r="AVQ151" s="456"/>
      <c r="AVR151" s="456"/>
      <c r="AVS151" s="456"/>
      <c r="AVT151" s="456"/>
      <c r="AVU151" s="456"/>
      <c r="AVV151" s="456"/>
      <c r="AVW151" s="456"/>
      <c r="AVX151" s="456"/>
      <c r="AVY151" s="456"/>
      <c r="AVZ151" s="456"/>
      <c r="AWA151" s="456"/>
      <c r="AWB151" s="456"/>
      <c r="AWC151" s="456"/>
      <c r="AWD151" s="456"/>
      <c r="AWE151" s="456"/>
      <c r="AWF151" s="456"/>
      <c r="AWG151" s="456"/>
      <c r="AWH151" s="456"/>
      <c r="AWI151" s="456"/>
      <c r="AWJ151" s="456"/>
      <c r="AWK151" s="456"/>
      <c r="AWL151" s="456"/>
      <c r="AWM151" s="456"/>
      <c r="AWN151" s="456"/>
      <c r="AWO151" s="456"/>
      <c r="AWP151" s="456"/>
      <c r="AWQ151" s="456"/>
      <c r="AWR151" s="456"/>
      <c r="AWS151" s="456"/>
      <c r="AWT151" s="456"/>
      <c r="AWU151" s="456"/>
      <c r="AWV151" s="456"/>
      <c r="AWW151" s="456"/>
      <c r="AWX151" s="456"/>
      <c r="AWY151" s="456"/>
      <c r="AWZ151" s="456"/>
      <c r="AXA151" s="456"/>
      <c r="AXB151" s="456"/>
      <c r="AXC151" s="456"/>
      <c r="AXD151" s="456"/>
      <c r="AXE151" s="456"/>
      <c r="AXF151" s="456"/>
      <c r="AXG151" s="456"/>
      <c r="AXH151" s="456"/>
      <c r="AXI151" s="456"/>
      <c r="AXJ151" s="456"/>
      <c r="AXK151" s="456"/>
      <c r="AXL151" s="456"/>
      <c r="AXM151" s="456"/>
      <c r="AXN151" s="456"/>
      <c r="AXO151" s="456"/>
      <c r="AXP151" s="456"/>
      <c r="AXQ151" s="456"/>
      <c r="AXR151" s="456"/>
      <c r="AXS151" s="456"/>
      <c r="AXT151" s="456"/>
      <c r="AXU151" s="456"/>
      <c r="AXV151" s="456"/>
      <c r="AXW151" s="456"/>
      <c r="AXX151" s="456"/>
      <c r="AXY151" s="456"/>
      <c r="AXZ151" s="456"/>
      <c r="AYA151" s="456"/>
      <c r="AYB151" s="456"/>
      <c r="AYC151" s="456"/>
      <c r="AYD151" s="456"/>
      <c r="AYE151" s="456"/>
      <c r="AYF151" s="456"/>
      <c r="AYG151" s="456"/>
      <c r="AYH151" s="456"/>
      <c r="AYI151" s="456"/>
      <c r="AYJ151" s="456"/>
      <c r="AYK151" s="456"/>
      <c r="AYL151" s="456"/>
      <c r="AYM151" s="456"/>
      <c r="AYN151" s="456"/>
      <c r="AYO151" s="456"/>
      <c r="AYP151" s="456"/>
      <c r="AYQ151" s="456"/>
      <c r="AYR151" s="456"/>
      <c r="AYS151" s="456"/>
      <c r="AYT151" s="456"/>
      <c r="AYU151" s="456"/>
      <c r="AYV151" s="456"/>
      <c r="AYW151" s="456"/>
      <c r="AYX151" s="456"/>
      <c r="AYY151" s="456"/>
      <c r="AYZ151" s="456"/>
      <c r="AZA151" s="456"/>
      <c r="AZB151" s="456"/>
      <c r="AZC151" s="456"/>
      <c r="AZD151" s="456"/>
      <c r="AZE151" s="456"/>
      <c r="AZF151" s="456"/>
      <c r="AZG151" s="456"/>
      <c r="AZH151" s="456"/>
      <c r="AZI151" s="456"/>
      <c r="AZJ151" s="456"/>
      <c r="AZK151" s="456"/>
      <c r="AZL151" s="456"/>
      <c r="AZM151" s="456"/>
      <c r="AZN151" s="456"/>
      <c r="AZO151" s="456"/>
      <c r="AZP151" s="456"/>
      <c r="AZQ151" s="456"/>
      <c r="AZR151" s="456"/>
      <c r="AZS151" s="456"/>
      <c r="AZT151" s="456"/>
      <c r="AZU151" s="456"/>
      <c r="AZV151" s="456"/>
      <c r="AZW151" s="456"/>
      <c r="AZX151" s="456"/>
      <c r="AZY151" s="456"/>
      <c r="AZZ151" s="456"/>
      <c r="BAA151" s="456"/>
      <c r="BAB151" s="456"/>
      <c r="BAC151" s="456"/>
      <c r="BAD151" s="456"/>
      <c r="BAE151" s="456"/>
      <c r="BAF151" s="456"/>
      <c r="BAG151" s="456"/>
      <c r="BAH151" s="456"/>
      <c r="BAI151" s="456"/>
      <c r="BAJ151" s="456"/>
      <c r="BAK151" s="456"/>
      <c r="BAL151" s="456"/>
      <c r="BAM151" s="456"/>
      <c r="BAN151" s="456"/>
      <c r="BAO151" s="456"/>
      <c r="BAP151" s="456"/>
      <c r="BAQ151" s="456"/>
      <c r="BAR151" s="456"/>
      <c r="BAS151" s="456"/>
      <c r="BAT151" s="456"/>
      <c r="BAU151" s="456"/>
      <c r="BAV151" s="456"/>
      <c r="BAW151" s="456"/>
      <c r="BAX151" s="456"/>
      <c r="BAY151" s="456"/>
      <c r="BAZ151" s="456"/>
      <c r="BBA151" s="456"/>
      <c r="BBB151" s="456"/>
      <c r="BBC151" s="456"/>
      <c r="BBD151" s="456"/>
      <c r="BBE151" s="456"/>
      <c r="BBF151" s="456"/>
      <c r="BBG151" s="456"/>
      <c r="BBH151" s="456"/>
      <c r="BBI151" s="456"/>
      <c r="BBJ151" s="456"/>
      <c r="BBK151" s="456"/>
      <c r="BBL151" s="456"/>
      <c r="BBM151" s="456"/>
      <c r="BBN151" s="456"/>
      <c r="BBO151" s="456"/>
      <c r="BBP151" s="456"/>
      <c r="BBQ151" s="456"/>
      <c r="BBR151" s="456"/>
      <c r="BBS151" s="456"/>
      <c r="BBT151" s="456"/>
      <c r="BBU151" s="456"/>
      <c r="BBV151" s="456"/>
      <c r="BBW151" s="456"/>
      <c r="BBX151" s="456"/>
      <c r="BBY151" s="456"/>
      <c r="BBZ151" s="456"/>
      <c r="BCA151" s="456"/>
      <c r="BCB151" s="456"/>
      <c r="BCC151" s="456"/>
      <c r="BCD151" s="456"/>
      <c r="BCE151" s="456"/>
      <c r="BCF151" s="456"/>
      <c r="BCG151" s="456"/>
      <c r="BCH151" s="456"/>
      <c r="BCI151" s="456"/>
      <c r="BCJ151" s="456"/>
      <c r="BCK151" s="456"/>
      <c r="BCL151" s="456"/>
      <c r="BCM151" s="456"/>
      <c r="BCN151" s="456"/>
      <c r="BCO151" s="456"/>
      <c r="BCP151" s="456"/>
      <c r="BCQ151" s="456"/>
      <c r="BCR151" s="456"/>
      <c r="BCS151" s="456"/>
      <c r="BCT151" s="456"/>
      <c r="BCU151" s="456"/>
      <c r="BCV151" s="456"/>
      <c r="BCW151" s="456"/>
      <c r="BCX151" s="456"/>
      <c r="BCY151" s="456"/>
      <c r="BCZ151" s="456"/>
      <c r="BDA151" s="456"/>
      <c r="BDB151" s="456"/>
      <c r="BDC151" s="456"/>
      <c r="BDD151" s="456"/>
      <c r="BDE151" s="456"/>
      <c r="BDF151" s="456"/>
      <c r="BDG151" s="456"/>
      <c r="BDH151" s="456"/>
      <c r="BDI151" s="456"/>
      <c r="BDJ151" s="456"/>
      <c r="BDK151" s="456"/>
      <c r="BDL151" s="456"/>
      <c r="BDM151" s="456"/>
      <c r="BDN151" s="456"/>
      <c r="BDO151" s="456"/>
      <c r="BDP151" s="456"/>
      <c r="BDQ151" s="456"/>
      <c r="BDR151" s="456"/>
      <c r="BDS151" s="456"/>
      <c r="BDT151" s="456"/>
      <c r="BDU151" s="456"/>
      <c r="BDV151" s="456"/>
      <c r="BDW151" s="456"/>
      <c r="BDX151" s="456"/>
      <c r="BDY151" s="456"/>
      <c r="BDZ151" s="456"/>
      <c r="BEA151" s="456"/>
      <c r="BEB151" s="456"/>
      <c r="BEC151" s="456"/>
      <c r="BED151" s="456"/>
      <c r="BEE151" s="456"/>
      <c r="BEF151" s="456"/>
      <c r="BEG151" s="456"/>
      <c r="BEH151" s="456"/>
      <c r="BEI151" s="456"/>
      <c r="BEJ151" s="456"/>
      <c r="BEK151" s="456"/>
      <c r="BEL151" s="456"/>
      <c r="BEM151" s="456"/>
      <c r="BEN151" s="456"/>
      <c r="BEO151" s="456"/>
      <c r="BEP151" s="456"/>
      <c r="BEQ151" s="456"/>
      <c r="BER151" s="456"/>
      <c r="BES151" s="456"/>
      <c r="BET151" s="456"/>
      <c r="BEU151" s="456"/>
      <c r="BEV151" s="456"/>
      <c r="BEW151" s="456"/>
      <c r="BEX151" s="456"/>
      <c r="BEY151" s="456"/>
      <c r="BEZ151" s="456"/>
      <c r="BFA151" s="456"/>
      <c r="BFB151" s="456"/>
      <c r="BFC151" s="456"/>
      <c r="BFD151" s="456"/>
      <c r="BFE151" s="456"/>
      <c r="BFF151" s="456"/>
      <c r="BFG151" s="456"/>
      <c r="BFH151" s="456"/>
      <c r="BFI151" s="456"/>
      <c r="BFJ151" s="456"/>
      <c r="BFK151" s="456"/>
      <c r="BFL151" s="456"/>
      <c r="BFM151" s="456"/>
      <c r="BFN151" s="456"/>
      <c r="BFO151" s="456"/>
      <c r="BFP151" s="456"/>
      <c r="BFQ151" s="456"/>
      <c r="BFR151" s="456"/>
      <c r="BFS151" s="456"/>
      <c r="BFT151" s="456"/>
      <c r="BFU151" s="456"/>
      <c r="BFV151" s="456"/>
      <c r="BFW151" s="456"/>
      <c r="BFX151" s="456"/>
      <c r="BFY151" s="456"/>
      <c r="BFZ151" s="456"/>
      <c r="BGA151" s="456"/>
      <c r="BGB151" s="456"/>
      <c r="BGC151" s="456"/>
      <c r="BGD151" s="456"/>
      <c r="BGE151" s="456"/>
      <c r="BGF151" s="456"/>
      <c r="BGG151" s="456"/>
      <c r="BGH151" s="456"/>
      <c r="BGI151" s="456"/>
      <c r="BGJ151" s="456"/>
      <c r="BGK151" s="456"/>
      <c r="BGL151" s="456"/>
      <c r="BGM151" s="456"/>
      <c r="BGN151" s="456"/>
      <c r="BGO151" s="456"/>
      <c r="BGP151" s="456"/>
      <c r="BGQ151" s="456"/>
      <c r="BGR151" s="456"/>
      <c r="BGS151" s="456"/>
      <c r="BGT151" s="456"/>
      <c r="BGU151" s="456"/>
      <c r="BGV151" s="456"/>
      <c r="BGW151" s="456"/>
      <c r="BGX151" s="456"/>
      <c r="BGY151" s="456"/>
      <c r="BGZ151" s="456"/>
      <c r="BHA151" s="456"/>
      <c r="BHB151" s="456"/>
      <c r="BHC151" s="456"/>
      <c r="BHD151" s="456"/>
      <c r="BHE151" s="456"/>
      <c r="BHF151" s="456"/>
      <c r="BHG151" s="456"/>
      <c r="BHH151" s="456"/>
      <c r="BHI151" s="456"/>
      <c r="BHJ151" s="456"/>
      <c r="BHK151" s="456"/>
      <c r="BHL151" s="456"/>
      <c r="BHM151" s="456"/>
      <c r="BHN151" s="456"/>
      <c r="BHO151" s="456"/>
      <c r="BHP151" s="456"/>
      <c r="BHQ151" s="456"/>
      <c r="BHR151" s="456"/>
      <c r="BHS151" s="456"/>
      <c r="BHT151" s="456"/>
      <c r="BHU151" s="456"/>
      <c r="BHV151" s="456"/>
      <c r="BHW151" s="456"/>
      <c r="BHX151" s="456"/>
      <c r="BHY151" s="456"/>
      <c r="BHZ151" s="456"/>
      <c r="BIA151" s="456"/>
      <c r="BIB151" s="456"/>
      <c r="BIC151" s="456"/>
      <c r="BID151" s="456"/>
      <c r="BIE151" s="456"/>
      <c r="BIF151" s="456"/>
      <c r="BIG151" s="456"/>
      <c r="BIH151" s="456"/>
      <c r="BII151" s="456"/>
      <c r="BIJ151" s="456"/>
      <c r="BIK151" s="456"/>
      <c r="BIL151" s="456"/>
      <c r="BIM151" s="456"/>
      <c r="BIN151" s="456"/>
      <c r="BIO151" s="456"/>
      <c r="BIP151" s="456"/>
      <c r="BIQ151" s="456"/>
      <c r="BIR151" s="456"/>
      <c r="BIS151" s="456"/>
      <c r="BIT151" s="456"/>
      <c r="BIU151" s="456"/>
      <c r="BIV151" s="456"/>
      <c r="BIW151" s="456"/>
      <c r="BIX151" s="456"/>
      <c r="BIY151" s="456"/>
      <c r="BIZ151" s="456"/>
      <c r="BJA151" s="456"/>
      <c r="BJB151" s="456"/>
      <c r="BJC151" s="456"/>
      <c r="BJD151" s="456"/>
      <c r="BJE151" s="456"/>
      <c r="BJF151" s="456"/>
      <c r="BJG151" s="456"/>
      <c r="BJH151" s="456"/>
      <c r="BJI151" s="456"/>
      <c r="BJJ151" s="456"/>
      <c r="BJK151" s="456"/>
      <c r="BJL151" s="456"/>
      <c r="BJM151" s="456"/>
      <c r="BJN151" s="456"/>
      <c r="BJO151" s="456"/>
      <c r="BJP151" s="456"/>
      <c r="BJQ151" s="456"/>
      <c r="BJR151" s="456"/>
      <c r="BJS151" s="456"/>
      <c r="BJT151" s="456"/>
      <c r="BJU151" s="456"/>
      <c r="BJV151" s="456"/>
      <c r="BJW151" s="456"/>
      <c r="BJX151" s="456"/>
      <c r="BJY151" s="456"/>
      <c r="BJZ151" s="456"/>
      <c r="BKA151" s="456"/>
      <c r="BKB151" s="456"/>
      <c r="BKC151" s="456"/>
      <c r="BKD151" s="456"/>
      <c r="BKE151" s="456"/>
      <c r="BKF151" s="456"/>
      <c r="BKG151" s="456"/>
      <c r="BKH151" s="456"/>
      <c r="BKI151" s="456"/>
      <c r="BKJ151" s="456"/>
      <c r="BKK151" s="456"/>
      <c r="BKL151" s="456"/>
      <c r="BKM151" s="456"/>
      <c r="BKN151" s="456"/>
      <c r="BKO151" s="456"/>
      <c r="BKP151" s="456"/>
      <c r="BKQ151" s="456"/>
      <c r="BKR151" s="456"/>
      <c r="BKS151" s="456"/>
      <c r="BKT151" s="456"/>
      <c r="BKU151" s="456"/>
      <c r="BKV151" s="456"/>
      <c r="BKW151" s="456"/>
      <c r="BKX151" s="456"/>
      <c r="BKY151" s="456"/>
      <c r="BKZ151" s="456"/>
      <c r="BLA151" s="456"/>
      <c r="BLB151" s="456"/>
      <c r="BLC151" s="456"/>
      <c r="BLD151" s="456"/>
      <c r="BLE151" s="456"/>
      <c r="BLF151" s="456"/>
      <c r="BLG151" s="456"/>
      <c r="BLH151" s="456"/>
      <c r="BLI151" s="456"/>
      <c r="BLJ151" s="456"/>
      <c r="BLK151" s="456"/>
      <c r="BLL151" s="456"/>
      <c r="BLM151" s="456"/>
      <c r="BLN151" s="456"/>
      <c r="BLO151" s="456"/>
      <c r="BLP151" s="456"/>
      <c r="BLQ151" s="456"/>
      <c r="BLR151" s="456"/>
      <c r="BLS151" s="456"/>
      <c r="BLT151" s="456"/>
      <c r="BLU151" s="456"/>
      <c r="BLV151" s="456"/>
      <c r="BLW151" s="456"/>
      <c r="BLX151" s="456"/>
      <c r="BLY151" s="456"/>
      <c r="BLZ151" s="456"/>
      <c r="BMA151" s="456"/>
      <c r="BMB151" s="456"/>
      <c r="BMC151" s="456"/>
      <c r="BMD151" s="456"/>
      <c r="BME151" s="456"/>
      <c r="BMF151" s="456"/>
      <c r="BMG151" s="456"/>
      <c r="BMH151" s="456"/>
      <c r="BMI151" s="456"/>
      <c r="BMJ151" s="456"/>
      <c r="BMK151" s="456"/>
      <c r="BML151" s="456"/>
      <c r="BMM151" s="456"/>
      <c r="BMN151" s="456"/>
      <c r="BMO151" s="456"/>
      <c r="BMP151" s="456"/>
      <c r="BMQ151" s="456"/>
      <c r="BMR151" s="456"/>
      <c r="BMS151" s="456"/>
      <c r="BMT151" s="456"/>
      <c r="BMU151" s="456"/>
      <c r="BMV151" s="456"/>
      <c r="BMW151" s="456"/>
      <c r="BMX151" s="456"/>
      <c r="BMY151" s="456"/>
      <c r="BMZ151" s="456"/>
      <c r="BNA151" s="456"/>
      <c r="BNB151" s="456"/>
      <c r="BNC151" s="456"/>
      <c r="BND151" s="456"/>
      <c r="BNE151" s="456"/>
      <c r="BNF151" s="456"/>
      <c r="BNG151" s="456"/>
      <c r="BNH151" s="456"/>
      <c r="BNI151" s="456"/>
      <c r="BNJ151" s="456"/>
      <c r="BNK151" s="456"/>
      <c r="BNL151" s="456"/>
      <c r="BNM151" s="456"/>
      <c r="BNN151" s="456"/>
      <c r="BNO151" s="456"/>
      <c r="BNP151" s="456"/>
      <c r="BNQ151" s="456"/>
      <c r="BNR151" s="456"/>
      <c r="BNS151" s="456"/>
      <c r="BNT151" s="456"/>
      <c r="BNU151" s="456"/>
      <c r="BNV151" s="456"/>
      <c r="BNW151" s="456"/>
      <c r="BNX151" s="456"/>
      <c r="BNY151" s="456"/>
      <c r="BNZ151" s="456"/>
      <c r="BOA151" s="456"/>
      <c r="BOB151" s="456"/>
      <c r="BOC151" s="456"/>
      <c r="BOD151" s="456"/>
      <c r="BOE151" s="456"/>
      <c r="BOF151" s="456"/>
      <c r="BOG151" s="456"/>
      <c r="BOH151" s="456"/>
      <c r="BOI151" s="456"/>
      <c r="BOJ151" s="456"/>
      <c r="BOK151" s="456"/>
      <c r="BOL151" s="456"/>
      <c r="BOM151" s="456"/>
      <c r="BON151" s="456"/>
      <c r="BOO151" s="456"/>
      <c r="BOP151" s="456"/>
      <c r="BOQ151" s="456"/>
      <c r="BOR151" s="456"/>
      <c r="BOS151" s="456"/>
      <c r="BOT151" s="456"/>
      <c r="BOU151" s="456"/>
      <c r="BOV151" s="456"/>
      <c r="BOW151" s="456"/>
      <c r="BOX151" s="456"/>
      <c r="BOY151" s="456"/>
      <c r="BOZ151" s="456"/>
      <c r="BPA151" s="456"/>
      <c r="BPB151" s="456"/>
      <c r="BPC151" s="456"/>
      <c r="BPD151" s="456"/>
      <c r="BPE151" s="456"/>
      <c r="BPF151" s="456"/>
      <c r="BPG151" s="456"/>
      <c r="BPH151" s="456"/>
      <c r="BPI151" s="456"/>
      <c r="BPJ151" s="456"/>
      <c r="BPK151" s="456"/>
      <c r="BPL151" s="456"/>
      <c r="BPM151" s="456"/>
      <c r="BPN151" s="456"/>
      <c r="BPO151" s="456"/>
      <c r="BPP151" s="456"/>
      <c r="BPQ151" s="456"/>
      <c r="BPR151" s="456"/>
      <c r="BPS151" s="456"/>
      <c r="BPT151" s="456"/>
      <c r="BPU151" s="456"/>
      <c r="BPV151" s="456"/>
      <c r="BPW151" s="456"/>
      <c r="BPX151" s="456"/>
      <c r="BPY151" s="456"/>
      <c r="BPZ151" s="456"/>
      <c r="BQA151" s="456"/>
      <c r="BQB151" s="456"/>
      <c r="BQC151" s="456"/>
      <c r="BQD151" s="456"/>
      <c r="BQE151" s="456"/>
      <c r="BQF151" s="456"/>
      <c r="BQG151" s="456"/>
      <c r="BQH151" s="456"/>
      <c r="BQI151" s="456"/>
      <c r="BQJ151" s="456"/>
      <c r="BQK151" s="456"/>
      <c r="BQL151" s="456"/>
      <c r="BQM151" s="456"/>
      <c r="BQN151" s="456"/>
      <c r="BQO151" s="456"/>
      <c r="BQP151" s="456"/>
      <c r="BQQ151" s="456"/>
      <c r="BQR151" s="456"/>
      <c r="BQS151" s="456"/>
      <c r="BQT151" s="456"/>
      <c r="BQU151" s="456"/>
      <c r="BQV151" s="456"/>
      <c r="BQW151" s="456"/>
      <c r="BQX151" s="456"/>
      <c r="BQY151" s="456"/>
      <c r="BQZ151" s="456"/>
      <c r="BRA151" s="456"/>
      <c r="BRB151" s="456"/>
      <c r="BRC151" s="456"/>
      <c r="BRD151" s="456"/>
      <c r="BRE151" s="456"/>
      <c r="BRF151" s="456"/>
      <c r="BRG151" s="456"/>
      <c r="BRH151" s="456"/>
      <c r="BRI151" s="456"/>
      <c r="BRJ151" s="456"/>
      <c r="BRK151" s="456"/>
      <c r="BRL151" s="456"/>
      <c r="BRM151" s="456"/>
      <c r="BRN151" s="456"/>
      <c r="BRO151" s="456"/>
      <c r="BRP151" s="456"/>
      <c r="BRQ151" s="456"/>
      <c r="BRR151" s="456"/>
      <c r="BRS151" s="456"/>
      <c r="BRT151" s="456"/>
      <c r="BRU151" s="456"/>
      <c r="BRV151" s="456"/>
      <c r="BRW151" s="456"/>
      <c r="BRX151" s="456"/>
      <c r="BRY151" s="456"/>
      <c r="BRZ151" s="456"/>
      <c r="BSA151" s="456"/>
      <c r="BSB151" s="456"/>
      <c r="BSC151" s="456"/>
      <c r="BSD151" s="456"/>
      <c r="BSE151" s="456"/>
      <c r="BSF151" s="456"/>
      <c r="BSG151" s="456"/>
      <c r="BSH151" s="456"/>
      <c r="BSI151" s="456"/>
      <c r="BSJ151" s="456"/>
      <c r="BSK151" s="456"/>
      <c r="BSL151" s="456"/>
      <c r="BSM151" s="456"/>
      <c r="BSN151" s="456"/>
      <c r="BSO151" s="456"/>
      <c r="BSP151" s="456"/>
      <c r="BSQ151" s="456"/>
      <c r="BSR151" s="456"/>
      <c r="BSS151" s="456"/>
      <c r="BST151" s="456"/>
      <c r="BSU151" s="456"/>
      <c r="BSV151" s="456"/>
      <c r="BSW151" s="456"/>
      <c r="BSX151" s="456"/>
      <c r="BSY151" s="456"/>
      <c r="BSZ151" s="456"/>
      <c r="BTA151" s="456"/>
      <c r="BTB151" s="456"/>
      <c r="BTC151" s="456"/>
      <c r="BTD151" s="456"/>
      <c r="BTE151" s="456"/>
      <c r="BTF151" s="456"/>
      <c r="BTG151" s="456"/>
      <c r="BTH151" s="456"/>
      <c r="BTI151" s="456"/>
      <c r="BTJ151" s="456"/>
      <c r="BTK151" s="456"/>
      <c r="BTL151" s="456"/>
      <c r="BTM151" s="456"/>
      <c r="BTN151" s="456"/>
      <c r="BTO151" s="456"/>
      <c r="BTP151" s="456"/>
      <c r="BTQ151" s="456"/>
      <c r="BTR151" s="456"/>
      <c r="BTS151" s="456"/>
      <c r="BTT151" s="456"/>
      <c r="BTU151" s="456"/>
      <c r="BTV151" s="456"/>
      <c r="BTW151" s="456"/>
      <c r="BTX151" s="456"/>
      <c r="BTY151" s="456"/>
      <c r="BTZ151" s="456"/>
      <c r="BUA151" s="456"/>
      <c r="BUB151" s="456"/>
      <c r="BUC151" s="456"/>
      <c r="BUD151" s="456"/>
      <c r="BUE151" s="456"/>
      <c r="BUF151" s="456"/>
      <c r="BUG151" s="456"/>
      <c r="BUH151" s="456"/>
      <c r="BUI151" s="456"/>
      <c r="BUJ151" s="456"/>
      <c r="BUK151" s="456"/>
      <c r="BUL151" s="456"/>
      <c r="BUM151" s="456"/>
      <c r="BUN151" s="456"/>
      <c r="BUO151" s="456"/>
      <c r="BUP151" s="456"/>
      <c r="BUQ151" s="456"/>
      <c r="BUR151" s="456"/>
      <c r="BUS151" s="456"/>
      <c r="BUT151" s="456"/>
      <c r="BUU151" s="456"/>
      <c r="BUV151" s="456"/>
      <c r="BUW151" s="456"/>
      <c r="BUX151" s="456"/>
      <c r="BUY151" s="456"/>
      <c r="BUZ151" s="456"/>
      <c r="BVA151" s="456"/>
      <c r="BVB151" s="456"/>
      <c r="BVC151" s="456"/>
      <c r="BVD151" s="456"/>
      <c r="BVE151" s="456"/>
      <c r="BVF151" s="456"/>
      <c r="BVG151" s="456"/>
      <c r="BVH151" s="456"/>
      <c r="BVI151" s="456"/>
      <c r="BVJ151" s="456"/>
      <c r="BVK151" s="456"/>
      <c r="BVL151" s="456"/>
      <c r="BVM151" s="456"/>
      <c r="BVN151" s="456"/>
      <c r="BVO151" s="456"/>
      <c r="BVP151" s="456"/>
      <c r="BVQ151" s="456"/>
      <c r="BVR151" s="456"/>
      <c r="BVS151" s="456"/>
      <c r="BVT151" s="456"/>
      <c r="BVU151" s="456"/>
      <c r="BVV151" s="456"/>
      <c r="BVW151" s="456"/>
      <c r="BVX151" s="456"/>
      <c r="BVY151" s="456"/>
      <c r="BVZ151" s="456"/>
      <c r="BWA151" s="456"/>
      <c r="BWB151" s="456"/>
      <c r="BWC151" s="456"/>
      <c r="BWD151" s="456"/>
      <c r="BWE151" s="456"/>
      <c r="BWF151" s="456"/>
      <c r="BWG151" s="456"/>
      <c r="BWH151" s="456"/>
      <c r="BWI151" s="456"/>
      <c r="BWJ151" s="456"/>
      <c r="BWK151" s="456"/>
      <c r="BWL151" s="456"/>
      <c r="BWM151" s="456"/>
      <c r="BWN151" s="456"/>
      <c r="BWO151" s="456"/>
      <c r="BWP151" s="456"/>
      <c r="BWQ151" s="456"/>
      <c r="BWR151" s="456"/>
      <c r="BWS151" s="456"/>
      <c r="BWT151" s="456"/>
      <c r="BWU151" s="456"/>
      <c r="BWV151" s="456"/>
      <c r="BWW151" s="456"/>
      <c r="BWX151" s="456"/>
      <c r="BWY151" s="456"/>
      <c r="BWZ151" s="456"/>
      <c r="BXA151" s="456"/>
      <c r="BXB151" s="456"/>
      <c r="BXC151" s="456"/>
      <c r="BXD151" s="456"/>
      <c r="BXE151" s="456"/>
      <c r="BXF151" s="456"/>
      <c r="BXG151" s="456"/>
      <c r="BXH151" s="456"/>
      <c r="BXI151" s="456"/>
      <c r="BXJ151" s="456"/>
      <c r="BXK151" s="456"/>
      <c r="BXL151" s="456"/>
      <c r="BXM151" s="456"/>
      <c r="BXN151" s="456"/>
      <c r="BXO151" s="456"/>
      <c r="BXP151" s="456"/>
      <c r="BXQ151" s="456"/>
      <c r="BXR151" s="456"/>
      <c r="BXS151" s="456"/>
      <c r="BXT151" s="456"/>
      <c r="BXU151" s="456"/>
      <c r="BXV151" s="456"/>
      <c r="BXW151" s="456"/>
      <c r="BXX151" s="456"/>
      <c r="BXY151" s="456"/>
      <c r="BXZ151" s="456"/>
    </row>
    <row r="152" spans="1:1024 1025:2002">
      <c r="A152" s="474"/>
      <c r="B152" s="75">
        <v>1129</v>
      </c>
      <c r="C152" s="213">
        <v>46199</v>
      </c>
      <c r="D152" s="18" t="s">
        <v>91</v>
      </c>
      <c r="E152" s="18" t="s">
        <v>92</v>
      </c>
      <c r="F152" s="18" t="s">
        <v>93</v>
      </c>
      <c r="G152" s="18"/>
      <c r="H152" s="75">
        <v>1.2085</v>
      </c>
      <c r="I152" s="75">
        <v>1.2085</v>
      </c>
      <c r="J152" s="18" t="s">
        <v>49</v>
      </c>
      <c r="K152" s="192">
        <v>2200</v>
      </c>
      <c r="L152" s="192">
        <v>105</v>
      </c>
      <c r="M152" s="75">
        <v>4400</v>
      </c>
      <c r="N152" s="75" t="s">
        <v>66</v>
      </c>
      <c r="O152" s="75" t="s">
        <v>67</v>
      </c>
      <c r="P152" s="75">
        <v>9067</v>
      </c>
      <c r="Q152" s="75">
        <v>8055</v>
      </c>
      <c r="R152" s="75">
        <f t="shared" si="9"/>
        <v>1012</v>
      </c>
      <c r="S152" s="75">
        <v>2500</v>
      </c>
      <c r="T152" s="75" t="s">
        <v>94</v>
      </c>
      <c r="U152" s="137">
        <v>20053867</v>
      </c>
      <c r="V152" s="193">
        <v>46199</v>
      </c>
      <c r="W152" s="18" t="s">
        <v>44</v>
      </c>
      <c r="X152" s="18"/>
      <c r="Y152" s="114">
        <v>46235</v>
      </c>
      <c r="Z152" s="18" t="s">
        <v>95</v>
      </c>
      <c r="AA152" s="24" t="s">
        <v>46</v>
      </c>
      <c r="AB152" s="18"/>
      <c r="AC152" s="137"/>
      <c r="AD152" s="77"/>
      <c r="AE152" s="18" t="s">
        <v>48</v>
      </c>
      <c r="AF152" s="18"/>
      <c r="AG152" s="18"/>
    </row>
    <row r="153" s="25" customFormat="1" spans="1:1024 1025:2002">
      <c r="A153" s="473"/>
      <c r="B153" s="19">
        <v>1129</v>
      </c>
      <c r="C153" s="183">
        <v>46199</v>
      </c>
      <c r="D153" s="17" t="s">
        <v>91</v>
      </c>
      <c r="E153" s="17" t="s">
        <v>92</v>
      </c>
      <c r="F153" s="17" t="s">
        <v>93</v>
      </c>
      <c r="G153" s="17"/>
      <c r="H153" s="19">
        <v>1.2085</v>
      </c>
      <c r="I153" s="19">
        <v>1.2085</v>
      </c>
      <c r="J153" s="17" t="s">
        <v>49</v>
      </c>
      <c r="K153" s="168">
        <v>2200</v>
      </c>
      <c r="L153" s="168">
        <v>110</v>
      </c>
      <c r="M153" s="19">
        <v>4100</v>
      </c>
      <c r="N153" s="19" t="s">
        <v>66</v>
      </c>
      <c r="O153" s="19" t="s">
        <v>67</v>
      </c>
      <c r="P153" s="19">
        <v>9499</v>
      </c>
      <c r="Q153" s="19">
        <v>7800</v>
      </c>
      <c r="R153" s="19">
        <f t="shared" si="9"/>
        <v>1699</v>
      </c>
      <c r="S153" s="19">
        <v>2500</v>
      </c>
      <c r="T153" s="19" t="s">
        <v>94</v>
      </c>
      <c r="U153" s="102">
        <v>20053867</v>
      </c>
      <c r="V153" s="186">
        <v>46199</v>
      </c>
      <c r="W153" s="17" t="s">
        <v>44</v>
      </c>
      <c r="X153" s="17"/>
      <c r="Y153" s="68">
        <v>46235</v>
      </c>
      <c r="Z153" s="17" t="s">
        <v>95</v>
      </c>
      <c r="AA153" s="17" t="s">
        <v>46</v>
      </c>
      <c r="AB153" s="102">
        <v>26201115941</v>
      </c>
      <c r="AC153" s="217">
        <v>46239</v>
      </c>
      <c r="AD153" s="65">
        <v>1844</v>
      </c>
      <c r="AE153" s="17" t="s">
        <v>48</v>
      </c>
      <c r="AF153" s="17"/>
      <c r="AG153" s="17"/>
      <c r="AH153" s="456"/>
      <c r="AI153" s="456"/>
      <c r="AJ153" s="456"/>
      <c r="AK153" s="456"/>
      <c r="AL153" s="456"/>
      <c r="AM153" s="456"/>
      <c r="AN153" s="456"/>
      <c r="AO153" s="456"/>
      <c r="AP153" s="456"/>
      <c r="AQ153" s="456"/>
      <c r="AR153" s="456"/>
      <c r="AS153" s="456"/>
      <c r="AT153" s="456"/>
      <c r="AU153" s="456"/>
      <c r="AV153" s="456"/>
      <c r="AW153" s="456"/>
      <c r="AX153" s="456"/>
      <c r="AY153" s="456"/>
      <c r="AZ153" s="456"/>
      <c r="BA153" s="456"/>
      <c r="BB153" s="456"/>
      <c r="BC153" s="456"/>
      <c r="BD153" s="456"/>
      <c r="BE153" s="456"/>
      <c r="BF153" s="456"/>
      <c r="BG153" s="456"/>
      <c r="BH153" s="456"/>
      <c r="BI153" s="456"/>
      <c r="BJ153" s="456"/>
      <c r="BK153" s="456"/>
      <c r="BL153" s="456"/>
      <c r="BM153" s="456"/>
      <c r="BN153" s="456"/>
      <c r="BO153" s="456"/>
      <c r="BP153" s="456"/>
      <c r="BQ153" s="456"/>
      <c r="BR153" s="456"/>
      <c r="BS153" s="456"/>
      <c r="BT153" s="456"/>
      <c r="BU153" s="456"/>
      <c r="BV153" s="456"/>
      <c r="BW153" s="456"/>
      <c r="BX153" s="456"/>
      <c r="BY153" s="456"/>
      <c r="BZ153" s="456"/>
      <c r="CA153" s="456"/>
      <c r="CB153" s="456"/>
      <c r="CC153" s="456"/>
      <c r="CD153" s="456"/>
      <c r="CE153" s="456"/>
      <c r="CF153" s="456"/>
      <c r="CG153" s="456"/>
      <c r="CH153" s="456"/>
      <c r="CI153" s="456"/>
      <c r="CJ153" s="456"/>
      <c r="CK153" s="456"/>
      <c r="CL153" s="456"/>
      <c r="CM153" s="456"/>
      <c r="CN153" s="456"/>
      <c r="CO153" s="456"/>
      <c r="CP153" s="456"/>
      <c r="CQ153" s="456"/>
      <c r="CR153" s="456"/>
      <c r="CS153" s="456"/>
      <c r="CT153" s="456"/>
      <c r="CU153" s="456"/>
      <c r="CV153" s="456"/>
      <c r="CW153" s="456"/>
      <c r="CX153" s="456"/>
      <c r="CY153" s="456"/>
      <c r="CZ153" s="456"/>
      <c r="DA153" s="456"/>
      <c r="DB153" s="456"/>
      <c r="DC153" s="456"/>
      <c r="DD153" s="456"/>
      <c r="DE153" s="456"/>
      <c r="DF153" s="456"/>
      <c r="DG153" s="456"/>
      <c r="DH153" s="456"/>
      <c r="DI153" s="456"/>
      <c r="DJ153" s="456"/>
      <c r="DK153" s="456"/>
      <c r="DL153" s="456"/>
      <c r="DM153" s="456"/>
      <c r="DN153" s="456"/>
      <c r="DO153" s="456"/>
      <c r="DP153" s="456"/>
      <c r="DQ153" s="456"/>
      <c r="DR153" s="456"/>
      <c r="DS153" s="456"/>
      <c r="DT153" s="456"/>
      <c r="DU153" s="456"/>
      <c r="DV153" s="456"/>
      <c r="DW153" s="456"/>
      <c r="DX153" s="456"/>
      <c r="DY153" s="456"/>
      <c r="DZ153" s="456"/>
      <c r="EA153" s="456"/>
      <c r="EB153" s="456"/>
      <c r="EC153" s="456"/>
      <c r="ED153" s="456"/>
      <c r="EE153" s="456"/>
      <c r="EF153" s="456"/>
      <c r="EG153" s="456"/>
      <c r="EH153" s="456"/>
      <c r="EI153" s="456"/>
      <c r="EJ153" s="456"/>
      <c r="EK153" s="456"/>
      <c r="EL153" s="456"/>
      <c r="EM153" s="456"/>
      <c r="EN153" s="456"/>
      <c r="EO153" s="456"/>
      <c r="EP153" s="456"/>
      <c r="EQ153" s="456"/>
      <c r="ER153" s="456"/>
      <c r="ES153" s="456"/>
      <c r="ET153" s="456"/>
      <c r="EU153" s="456"/>
      <c r="EV153" s="456"/>
      <c r="EW153" s="456"/>
      <c r="EX153" s="456"/>
      <c r="EY153" s="456"/>
      <c r="EZ153" s="456"/>
      <c r="FA153" s="456"/>
      <c r="FB153" s="456"/>
      <c r="FC153" s="456"/>
      <c r="FD153" s="456"/>
      <c r="FE153" s="456"/>
      <c r="FF153" s="456"/>
      <c r="FG153" s="456"/>
      <c r="FH153" s="456"/>
      <c r="FI153" s="456"/>
      <c r="FJ153" s="456"/>
      <c r="FK153" s="456"/>
      <c r="FL153" s="456"/>
      <c r="FM153" s="456"/>
      <c r="FN153" s="456"/>
      <c r="FO153" s="456"/>
      <c r="FP153" s="456"/>
      <c r="FQ153" s="456"/>
      <c r="FR153" s="456"/>
      <c r="FS153" s="456"/>
      <c r="FT153" s="456"/>
      <c r="FU153" s="456"/>
      <c r="FV153" s="456"/>
      <c r="FW153" s="456"/>
      <c r="FX153" s="456"/>
      <c r="FY153" s="456"/>
      <c r="FZ153" s="456"/>
      <c r="GA153" s="456"/>
      <c r="GB153" s="456"/>
      <c r="GC153" s="456"/>
      <c r="GD153" s="456"/>
      <c r="GE153" s="456"/>
      <c r="GF153" s="456"/>
      <c r="GG153" s="456"/>
      <c r="GH153" s="456"/>
      <c r="GI153" s="456"/>
      <c r="GJ153" s="456"/>
      <c r="GK153" s="456"/>
      <c r="GL153" s="456"/>
      <c r="GM153" s="456"/>
      <c r="GN153" s="456"/>
      <c r="GO153" s="456"/>
      <c r="GP153" s="456"/>
      <c r="GQ153" s="456"/>
      <c r="GR153" s="456"/>
      <c r="GS153" s="456"/>
      <c r="GT153" s="456"/>
      <c r="GU153" s="456"/>
      <c r="GV153" s="456"/>
      <c r="GW153" s="456"/>
      <c r="GX153" s="456"/>
      <c r="GY153" s="456"/>
      <c r="GZ153" s="456"/>
      <c r="HA153" s="456"/>
      <c r="HB153" s="456"/>
      <c r="HC153" s="456"/>
      <c r="HD153" s="456"/>
      <c r="HE153" s="456"/>
      <c r="HF153" s="456"/>
      <c r="HG153" s="456"/>
      <c r="HH153" s="456"/>
      <c r="HI153" s="456"/>
      <c r="HJ153" s="456"/>
      <c r="HK153" s="456"/>
      <c r="HL153" s="456"/>
      <c r="HM153" s="456"/>
      <c r="HN153" s="456"/>
      <c r="HO153" s="456"/>
      <c r="HP153" s="456"/>
      <c r="HQ153" s="456"/>
      <c r="HR153" s="456"/>
      <c r="HS153" s="456"/>
      <c r="HT153" s="456"/>
      <c r="HU153" s="456"/>
      <c r="HV153" s="456"/>
      <c r="HW153" s="456"/>
      <c r="HX153" s="456"/>
      <c r="HY153" s="456"/>
      <c r="HZ153" s="456"/>
      <c r="IA153" s="456"/>
      <c r="IB153" s="456"/>
      <c r="IC153" s="456"/>
      <c r="ID153" s="456"/>
      <c r="IE153" s="456"/>
      <c r="IF153" s="456"/>
      <c r="IG153" s="456"/>
      <c r="IH153" s="456"/>
      <c r="II153" s="456"/>
      <c r="IJ153" s="456"/>
      <c r="IK153" s="456"/>
      <c r="IL153" s="456"/>
      <c r="IM153" s="456"/>
      <c r="IN153" s="456"/>
      <c r="IO153" s="456"/>
      <c r="IP153" s="456"/>
      <c r="IQ153" s="456"/>
      <c r="IR153" s="456"/>
      <c r="IS153" s="456"/>
      <c r="IT153" s="456"/>
      <c r="IU153" s="456"/>
      <c r="IV153" s="456"/>
      <c r="IW153" s="456"/>
      <c r="IX153" s="456"/>
      <c r="IY153" s="456"/>
      <c r="IZ153" s="456"/>
      <c r="JA153" s="456"/>
      <c r="JB153" s="456"/>
      <c r="JC153" s="456"/>
      <c r="JD153" s="456"/>
      <c r="JE153" s="456"/>
      <c r="JF153" s="456"/>
      <c r="JG153" s="456"/>
      <c r="JH153" s="456"/>
      <c r="JI153" s="456"/>
      <c r="JJ153" s="456"/>
      <c r="JK153" s="456"/>
      <c r="JL153" s="456"/>
      <c r="JM153" s="456"/>
      <c r="JN153" s="456"/>
      <c r="JO153" s="456"/>
      <c r="JP153" s="456"/>
      <c r="JQ153" s="456"/>
      <c r="JR153" s="456"/>
      <c r="JS153" s="456"/>
      <c r="JT153" s="456"/>
      <c r="JU153" s="456"/>
      <c r="JV153" s="456"/>
      <c r="JW153" s="456"/>
      <c r="JX153" s="456"/>
      <c r="JY153" s="456"/>
      <c r="JZ153" s="456"/>
      <c r="KA153" s="456"/>
      <c r="KB153" s="456"/>
      <c r="KC153" s="456"/>
      <c r="KD153" s="456"/>
      <c r="KE153" s="456"/>
      <c r="KF153" s="456"/>
      <c r="KG153" s="456"/>
      <c r="KH153" s="456"/>
      <c r="KI153" s="456"/>
      <c r="KJ153" s="456"/>
      <c r="KK153" s="456"/>
      <c r="KL153" s="456"/>
      <c r="KM153" s="456"/>
      <c r="KN153" s="456"/>
      <c r="KO153" s="456"/>
      <c r="KP153" s="456"/>
      <c r="KQ153" s="456"/>
      <c r="KR153" s="456"/>
      <c r="KS153" s="456"/>
      <c r="KT153" s="456"/>
      <c r="KU153" s="456"/>
      <c r="KV153" s="456"/>
      <c r="KW153" s="456"/>
      <c r="KX153" s="456"/>
      <c r="KY153" s="456"/>
      <c r="KZ153" s="456"/>
      <c r="LA153" s="456"/>
      <c r="LB153" s="456"/>
      <c r="LC153" s="456"/>
      <c r="LD153" s="456"/>
      <c r="LE153" s="456"/>
      <c r="LF153" s="456"/>
      <c r="LG153" s="456"/>
      <c r="LH153" s="456"/>
      <c r="LI153" s="456"/>
      <c r="LJ153" s="456"/>
      <c r="LK153" s="456"/>
      <c r="LL153" s="456"/>
      <c r="LM153" s="456"/>
      <c r="LN153" s="456"/>
      <c r="LO153" s="456"/>
      <c r="LP153" s="456"/>
      <c r="LQ153" s="456"/>
      <c r="LR153" s="456"/>
      <c r="LS153" s="456"/>
      <c r="LT153" s="456"/>
      <c r="LU153" s="456"/>
      <c r="LV153" s="456"/>
      <c r="LW153" s="456"/>
      <c r="LX153" s="456"/>
      <c r="LY153" s="456"/>
      <c r="LZ153" s="456"/>
      <c r="MA153" s="456"/>
      <c r="MB153" s="456"/>
      <c r="MC153" s="456"/>
      <c r="MD153" s="456"/>
      <c r="ME153" s="456"/>
      <c r="MF153" s="456"/>
      <c r="MG153" s="456"/>
      <c r="MH153" s="456"/>
      <c r="MI153" s="456"/>
      <c r="MJ153" s="456"/>
      <c r="MK153" s="456"/>
      <c r="ML153" s="456"/>
      <c r="MM153" s="456"/>
      <c r="MN153" s="456"/>
      <c r="MO153" s="456"/>
      <c r="MP153" s="456"/>
      <c r="MQ153" s="456"/>
      <c r="MR153" s="456"/>
      <c r="MS153" s="456"/>
      <c r="MT153" s="456"/>
      <c r="MU153" s="456"/>
      <c r="MV153" s="456"/>
      <c r="MW153" s="456"/>
      <c r="MX153" s="456"/>
      <c r="MY153" s="456"/>
      <c r="MZ153" s="456"/>
      <c r="NA153" s="456"/>
      <c r="NB153" s="456"/>
      <c r="NC153" s="456"/>
      <c r="ND153" s="456"/>
      <c r="NE153" s="456"/>
      <c r="NF153" s="456"/>
      <c r="NG153" s="456"/>
      <c r="NH153" s="456"/>
      <c r="NI153" s="456"/>
      <c r="NJ153" s="456"/>
      <c r="NK153" s="456"/>
      <c r="NL153" s="456"/>
      <c r="NM153" s="456"/>
      <c r="NN153" s="456"/>
      <c r="NO153" s="456"/>
      <c r="NP153" s="456"/>
      <c r="NQ153" s="456"/>
      <c r="NR153" s="456"/>
      <c r="NS153" s="456"/>
      <c r="NT153" s="456"/>
      <c r="NU153" s="456"/>
      <c r="NV153" s="456"/>
      <c r="NW153" s="456"/>
      <c r="NX153" s="456"/>
      <c r="NY153" s="456"/>
      <c r="NZ153" s="456"/>
      <c r="OA153" s="456"/>
      <c r="OB153" s="456"/>
      <c r="OC153" s="456"/>
      <c r="OD153" s="456"/>
      <c r="OE153" s="456"/>
      <c r="OF153" s="456"/>
      <c r="OG153" s="456"/>
      <c r="OH153" s="456"/>
      <c r="OI153" s="456"/>
      <c r="OJ153" s="456"/>
      <c r="OK153" s="456"/>
      <c r="OL153" s="456"/>
      <c r="OM153" s="456"/>
      <c r="ON153" s="456"/>
      <c r="OO153" s="456"/>
      <c r="OP153" s="456"/>
      <c r="OQ153" s="456"/>
      <c r="OR153" s="456"/>
      <c r="OS153" s="456"/>
      <c r="OT153" s="456"/>
      <c r="OU153" s="456"/>
      <c r="OV153" s="456"/>
      <c r="OW153" s="456"/>
      <c r="OX153" s="456"/>
      <c r="OY153" s="456"/>
      <c r="OZ153" s="456"/>
      <c r="PA153" s="456"/>
      <c r="PB153" s="456"/>
      <c r="PC153" s="456"/>
      <c r="PD153" s="456"/>
      <c r="PE153" s="456"/>
      <c r="PF153" s="456"/>
      <c r="PG153" s="456"/>
      <c r="PH153" s="456"/>
      <c r="PI153" s="456"/>
      <c r="PJ153" s="456"/>
      <c r="PK153" s="456"/>
      <c r="PL153" s="456"/>
      <c r="PM153" s="456"/>
      <c r="PN153" s="456"/>
      <c r="PO153" s="456"/>
      <c r="PP153" s="456"/>
      <c r="PQ153" s="456"/>
      <c r="PR153" s="456"/>
      <c r="PS153" s="456"/>
      <c r="PT153" s="456"/>
      <c r="PU153" s="456"/>
      <c r="PV153" s="456"/>
      <c r="PW153" s="456"/>
      <c r="PX153" s="456"/>
      <c r="PY153" s="456"/>
      <c r="PZ153" s="456"/>
      <c r="QA153" s="456"/>
      <c r="QB153" s="456"/>
      <c r="QC153" s="456"/>
      <c r="QD153" s="456"/>
      <c r="QE153" s="456"/>
      <c r="QF153" s="456"/>
      <c r="QG153" s="456"/>
      <c r="QH153" s="456"/>
      <c r="QI153" s="456"/>
      <c r="QJ153" s="456"/>
      <c r="QK153" s="456"/>
      <c r="QL153" s="456"/>
      <c r="QM153" s="456"/>
      <c r="QN153" s="456"/>
      <c r="QO153" s="456"/>
      <c r="QP153" s="456"/>
      <c r="QQ153" s="456"/>
      <c r="QR153" s="456"/>
      <c r="QS153" s="456"/>
      <c r="QT153" s="456"/>
      <c r="QU153" s="456"/>
      <c r="QV153" s="456"/>
      <c r="QW153" s="456"/>
      <c r="QX153" s="456"/>
      <c r="QY153" s="456"/>
      <c r="QZ153" s="456"/>
      <c r="RA153" s="456"/>
      <c r="RB153" s="456"/>
      <c r="RC153" s="456"/>
      <c r="RD153" s="456"/>
      <c r="RE153" s="456"/>
      <c r="RF153" s="456"/>
      <c r="RG153" s="456"/>
      <c r="RH153" s="456"/>
      <c r="RI153" s="456"/>
      <c r="RJ153" s="456"/>
      <c r="RK153" s="456"/>
      <c r="RL153" s="456"/>
      <c r="RM153" s="456"/>
      <c r="RN153" s="456"/>
      <c r="RO153" s="456"/>
      <c r="RP153" s="456"/>
      <c r="RQ153" s="456"/>
      <c r="RR153" s="456"/>
      <c r="RS153" s="456"/>
      <c r="RT153" s="456"/>
      <c r="RU153" s="456"/>
      <c r="RV153" s="456"/>
      <c r="RW153" s="456"/>
      <c r="RX153" s="456"/>
      <c r="RY153" s="456"/>
      <c r="RZ153" s="456"/>
      <c r="SA153" s="456"/>
      <c r="SB153" s="456"/>
      <c r="SC153" s="456"/>
      <c r="SD153" s="456"/>
      <c r="SE153" s="456"/>
      <c r="SF153" s="456"/>
      <c r="SG153" s="456"/>
      <c r="SH153" s="456"/>
      <c r="SI153" s="456"/>
      <c r="SJ153" s="456"/>
      <c r="SK153" s="456"/>
      <c r="SL153" s="456"/>
      <c r="SM153" s="456"/>
      <c r="SN153" s="456"/>
      <c r="SO153" s="456"/>
      <c r="SP153" s="456"/>
      <c r="SQ153" s="456"/>
      <c r="SR153" s="456"/>
      <c r="SS153" s="456"/>
      <c r="ST153" s="456"/>
      <c r="SU153" s="456"/>
      <c r="SV153" s="456"/>
      <c r="SW153" s="456"/>
      <c r="SX153" s="456"/>
      <c r="SY153" s="456"/>
      <c r="SZ153" s="456"/>
      <c r="TA153" s="456"/>
      <c r="TB153" s="456"/>
      <c r="TC153" s="456"/>
      <c r="TD153" s="456"/>
      <c r="TE153" s="456"/>
      <c r="TF153" s="456"/>
      <c r="TG153" s="456"/>
      <c r="TH153" s="456"/>
      <c r="TI153" s="456"/>
      <c r="TJ153" s="456"/>
      <c r="TK153" s="456"/>
      <c r="TL153" s="456"/>
      <c r="TM153" s="456"/>
      <c r="TN153" s="456"/>
      <c r="TO153" s="456"/>
      <c r="TP153" s="456"/>
      <c r="TQ153" s="456"/>
      <c r="TR153" s="456"/>
      <c r="TS153" s="456"/>
      <c r="TT153" s="456"/>
      <c r="TU153" s="456"/>
      <c r="TV153" s="456"/>
      <c r="TW153" s="456"/>
      <c r="TX153" s="456"/>
      <c r="TY153" s="456"/>
      <c r="TZ153" s="456"/>
      <c r="UA153" s="456"/>
      <c r="UB153" s="456"/>
      <c r="UC153" s="456"/>
      <c r="UD153" s="456"/>
      <c r="UE153" s="456"/>
      <c r="UF153" s="456"/>
      <c r="UG153" s="456"/>
      <c r="UH153" s="456"/>
      <c r="UI153" s="456"/>
      <c r="UJ153" s="456"/>
      <c r="UK153" s="456"/>
      <c r="UL153" s="456"/>
      <c r="UM153" s="456"/>
      <c r="UN153" s="456"/>
      <c r="UO153" s="456"/>
      <c r="UP153" s="456"/>
      <c r="UQ153" s="456"/>
      <c r="UR153" s="456"/>
      <c r="US153" s="456"/>
      <c r="UT153" s="456"/>
      <c r="UU153" s="456"/>
      <c r="UV153" s="456"/>
      <c r="UW153" s="456"/>
      <c r="UX153" s="456"/>
      <c r="UY153" s="456"/>
      <c r="UZ153" s="456"/>
      <c r="VA153" s="456"/>
      <c r="VB153" s="456"/>
      <c r="VC153" s="456"/>
      <c r="VD153" s="456"/>
      <c r="VE153" s="456"/>
      <c r="VF153" s="456"/>
      <c r="VG153" s="456"/>
      <c r="VH153" s="456"/>
      <c r="VI153" s="456"/>
      <c r="VJ153" s="456"/>
      <c r="VK153" s="456"/>
      <c r="VL153" s="456"/>
      <c r="VM153" s="456"/>
      <c r="VN153" s="456"/>
      <c r="VO153" s="456"/>
      <c r="VP153" s="456"/>
      <c r="VQ153" s="456"/>
      <c r="VR153" s="456"/>
      <c r="VS153" s="456"/>
      <c r="VT153" s="456"/>
      <c r="VU153" s="456"/>
      <c r="VV153" s="456"/>
      <c r="VW153" s="456"/>
      <c r="VX153" s="456"/>
      <c r="VY153" s="456"/>
      <c r="VZ153" s="456"/>
      <c r="WA153" s="456"/>
      <c r="WB153" s="456"/>
      <c r="WC153" s="456"/>
      <c r="WD153" s="456"/>
      <c r="WE153" s="456"/>
      <c r="WF153" s="456"/>
      <c r="WG153" s="456"/>
      <c r="WH153" s="456"/>
      <c r="WI153" s="456"/>
      <c r="WJ153" s="456"/>
      <c r="WK153" s="456"/>
      <c r="WL153" s="456"/>
      <c r="WM153" s="456"/>
      <c r="WN153" s="456"/>
      <c r="WO153" s="456"/>
      <c r="WP153" s="456"/>
      <c r="WQ153" s="456"/>
      <c r="WR153" s="456"/>
      <c r="WS153" s="456"/>
      <c r="WT153" s="456"/>
      <c r="WU153" s="456"/>
      <c r="WV153" s="456"/>
      <c r="WW153" s="456"/>
      <c r="WX153" s="456"/>
      <c r="WY153" s="456"/>
      <c r="WZ153" s="456"/>
      <c r="XA153" s="456"/>
      <c r="XB153" s="456"/>
      <c r="XC153" s="456"/>
      <c r="XD153" s="456"/>
      <c r="XE153" s="456"/>
      <c r="XF153" s="456"/>
      <c r="XG153" s="456"/>
      <c r="XH153" s="456"/>
      <c r="XI153" s="456"/>
      <c r="XJ153" s="456"/>
      <c r="XK153" s="456"/>
      <c r="XL153" s="456"/>
      <c r="XM153" s="456"/>
      <c r="XN153" s="456"/>
      <c r="XO153" s="456"/>
      <c r="XP153" s="456"/>
      <c r="XQ153" s="456"/>
      <c r="XR153" s="456"/>
      <c r="XS153" s="456"/>
      <c r="XT153" s="456"/>
      <c r="XU153" s="456"/>
      <c r="XV153" s="456"/>
      <c r="XW153" s="456"/>
      <c r="XX153" s="456"/>
      <c r="XY153" s="456"/>
      <c r="XZ153" s="456"/>
      <c r="YA153" s="456"/>
      <c r="YB153" s="456"/>
      <c r="YC153" s="456"/>
      <c r="YD153" s="456"/>
      <c r="YE153" s="456"/>
      <c r="YF153" s="456"/>
      <c r="YG153" s="456"/>
      <c r="YH153" s="456"/>
      <c r="YI153" s="456"/>
      <c r="YJ153" s="456"/>
      <c r="YK153" s="456"/>
      <c r="YL153" s="456"/>
      <c r="YM153" s="456"/>
      <c r="YN153" s="456"/>
      <c r="YO153" s="456"/>
      <c r="YP153" s="456"/>
      <c r="YQ153" s="456"/>
      <c r="YR153" s="456"/>
      <c r="YS153" s="456"/>
      <c r="YT153" s="456"/>
      <c r="YU153" s="456"/>
      <c r="YV153" s="456"/>
      <c r="YW153" s="456"/>
      <c r="YX153" s="456"/>
      <c r="YY153" s="456"/>
      <c r="YZ153" s="456"/>
      <c r="ZA153" s="456"/>
      <c r="ZB153" s="456"/>
      <c r="ZC153" s="456"/>
      <c r="ZD153" s="456"/>
      <c r="ZE153" s="456"/>
      <c r="ZF153" s="456"/>
      <c r="ZG153" s="456"/>
      <c r="ZH153" s="456"/>
      <c r="ZI153" s="456"/>
      <c r="ZJ153" s="456"/>
      <c r="ZK153" s="456"/>
      <c r="ZL153" s="456"/>
      <c r="ZM153" s="456"/>
      <c r="ZN153" s="456"/>
      <c r="ZO153" s="456"/>
      <c r="ZP153" s="456"/>
      <c r="ZQ153" s="456"/>
      <c r="ZR153" s="456"/>
      <c r="ZS153" s="456"/>
      <c r="ZT153" s="456"/>
      <c r="ZU153" s="456"/>
      <c r="ZV153" s="456"/>
      <c r="ZW153" s="456"/>
      <c r="ZX153" s="456"/>
      <c r="ZY153" s="456"/>
      <c r="ZZ153" s="456"/>
      <c r="AAA153" s="456"/>
      <c r="AAB153" s="456"/>
      <c r="AAC153" s="456"/>
      <c r="AAD153" s="456"/>
      <c r="AAE153" s="456"/>
      <c r="AAF153" s="456"/>
      <c r="AAG153" s="456"/>
      <c r="AAH153" s="456"/>
      <c r="AAI153" s="456"/>
      <c r="AAJ153" s="456"/>
      <c r="AAK153" s="456"/>
      <c r="AAL153" s="456"/>
      <c r="AAM153" s="456"/>
      <c r="AAN153" s="456"/>
      <c r="AAO153" s="456"/>
      <c r="AAP153" s="456"/>
      <c r="AAQ153" s="456"/>
      <c r="AAR153" s="456"/>
      <c r="AAS153" s="456"/>
      <c r="AAT153" s="456"/>
      <c r="AAU153" s="456"/>
      <c r="AAV153" s="456"/>
      <c r="AAW153" s="456"/>
      <c r="AAX153" s="456"/>
      <c r="AAY153" s="456"/>
      <c r="AAZ153" s="456"/>
      <c r="ABA153" s="456"/>
      <c r="ABB153" s="456"/>
      <c r="ABC153" s="456"/>
      <c r="ABD153" s="456"/>
      <c r="ABE153" s="456"/>
      <c r="ABF153" s="456"/>
      <c r="ABG153" s="456"/>
      <c r="ABH153" s="456"/>
      <c r="ABI153" s="456"/>
      <c r="ABJ153" s="456"/>
      <c r="ABK153" s="456"/>
      <c r="ABL153" s="456"/>
      <c r="ABM153" s="456"/>
      <c r="ABN153" s="456"/>
      <c r="ABO153" s="456"/>
      <c r="ABP153" s="456"/>
      <c r="ABQ153" s="456"/>
      <c r="ABR153" s="456"/>
      <c r="ABS153" s="456"/>
      <c r="ABT153" s="456"/>
      <c r="ABU153" s="456"/>
      <c r="ABV153" s="456"/>
      <c r="ABW153" s="456"/>
      <c r="ABX153" s="456"/>
      <c r="ABY153" s="456"/>
      <c r="ABZ153" s="456"/>
      <c r="ACA153" s="456"/>
      <c r="ACB153" s="456"/>
      <c r="ACC153" s="456"/>
      <c r="ACD153" s="456"/>
      <c r="ACE153" s="456"/>
      <c r="ACF153" s="456"/>
      <c r="ACG153" s="456"/>
      <c r="ACH153" s="456"/>
      <c r="ACI153" s="456"/>
      <c r="ACJ153" s="456"/>
      <c r="ACK153" s="456"/>
      <c r="ACL153" s="456"/>
      <c r="ACM153" s="456"/>
      <c r="ACN153" s="456"/>
      <c r="ACO153" s="456"/>
      <c r="ACP153" s="456"/>
      <c r="ACQ153" s="456"/>
      <c r="ACR153" s="456"/>
      <c r="ACS153" s="456"/>
      <c r="ACT153" s="456"/>
      <c r="ACU153" s="456"/>
      <c r="ACV153" s="456"/>
      <c r="ACW153" s="456"/>
      <c r="ACX153" s="456"/>
      <c r="ACY153" s="456"/>
      <c r="ACZ153" s="456"/>
      <c r="ADA153" s="456"/>
      <c r="ADB153" s="456"/>
      <c r="ADC153" s="456"/>
      <c r="ADD153" s="456"/>
      <c r="ADE153" s="456"/>
      <c r="ADF153" s="456"/>
      <c r="ADG153" s="456"/>
      <c r="ADH153" s="456"/>
      <c r="ADI153" s="456"/>
      <c r="ADJ153" s="456"/>
      <c r="ADK153" s="456"/>
      <c r="ADL153" s="456"/>
      <c r="ADM153" s="456"/>
      <c r="ADN153" s="456"/>
      <c r="ADO153" s="456"/>
      <c r="ADP153" s="456"/>
      <c r="ADQ153" s="456"/>
      <c r="ADR153" s="456"/>
      <c r="ADS153" s="456"/>
      <c r="ADT153" s="456"/>
      <c r="ADU153" s="456"/>
      <c r="ADV153" s="456"/>
      <c r="ADW153" s="456"/>
      <c r="ADX153" s="456"/>
      <c r="ADY153" s="456"/>
      <c r="ADZ153" s="456"/>
      <c r="AEA153" s="456"/>
      <c r="AEB153" s="456"/>
      <c r="AEC153" s="456"/>
      <c r="AED153" s="456"/>
      <c r="AEE153" s="456"/>
      <c r="AEF153" s="456"/>
      <c r="AEG153" s="456"/>
      <c r="AEH153" s="456"/>
      <c r="AEI153" s="456"/>
      <c r="AEJ153" s="456"/>
      <c r="AEK153" s="456"/>
      <c r="AEL153" s="456"/>
      <c r="AEM153" s="456"/>
      <c r="AEN153" s="456"/>
      <c r="AEO153" s="456"/>
      <c r="AEP153" s="456"/>
      <c r="AEQ153" s="456"/>
      <c r="AER153" s="456"/>
      <c r="AES153" s="456"/>
      <c r="AET153" s="456"/>
      <c r="AEU153" s="456"/>
      <c r="AEV153" s="456"/>
      <c r="AEW153" s="456"/>
      <c r="AEX153" s="456"/>
      <c r="AEY153" s="456"/>
      <c r="AEZ153" s="456"/>
      <c r="AFA153" s="456"/>
      <c r="AFB153" s="456"/>
      <c r="AFC153" s="456"/>
      <c r="AFD153" s="456"/>
      <c r="AFE153" s="456"/>
      <c r="AFF153" s="456"/>
      <c r="AFG153" s="456"/>
      <c r="AFH153" s="456"/>
      <c r="AFI153" s="456"/>
      <c r="AFJ153" s="456"/>
      <c r="AFK153" s="456"/>
      <c r="AFL153" s="456"/>
      <c r="AFM153" s="456"/>
      <c r="AFN153" s="456"/>
      <c r="AFO153" s="456"/>
      <c r="AFP153" s="456"/>
      <c r="AFQ153" s="456"/>
      <c r="AFR153" s="456"/>
      <c r="AFS153" s="456"/>
      <c r="AFT153" s="456"/>
      <c r="AFU153" s="456"/>
      <c r="AFV153" s="456"/>
      <c r="AFW153" s="456"/>
      <c r="AFX153" s="456"/>
      <c r="AFY153" s="456"/>
      <c r="AFZ153" s="456"/>
      <c r="AGA153" s="456"/>
      <c r="AGB153" s="456"/>
      <c r="AGC153" s="456"/>
      <c r="AGD153" s="456"/>
      <c r="AGE153" s="456"/>
      <c r="AGF153" s="456"/>
      <c r="AGG153" s="456"/>
      <c r="AGH153" s="456"/>
      <c r="AGI153" s="456"/>
      <c r="AGJ153" s="456"/>
      <c r="AGK153" s="456"/>
      <c r="AGL153" s="456"/>
      <c r="AGM153" s="456"/>
      <c r="AGN153" s="456"/>
      <c r="AGO153" s="456"/>
      <c r="AGP153" s="456"/>
      <c r="AGQ153" s="456"/>
      <c r="AGR153" s="456"/>
      <c r="AGS153" s="456"/>
      <c r="AGT153" s="456"/>
      <c r="AGU153" s="456"/>
      <c r="AGV153" s="456"/>
      <c r="AGW153" s="456"/>
      <c r="AGX153" s="456"/>
      <c r="AGY153" s="456"/>
      <c r="AGZ153" s="456"/>
      <c r="AHA153" s="456"/>
      <c r="AHB153" s="456"/>
      <c r="AHC153" s="456"/>
      <c r="AHD153" s="456"/>
      <c r="AHE153" s="456"/>
      <c r="AHF153" s="456"/>
      <c r="AHG153" s="456"/>
      <c r="AHH153" s="456"/>
      <c r="AHI153" s="456"/>
      <c r="AHJ153" s="456"/>
      <c r="AHK153" s="456"/>
      <c r="AHL153" s="456"/>
      <c r="AHM153" s="456"/>
      <c r="AHN153" s="456"/>
      <c r="AHO153" s="456"/>
      <c r="AHP153" s="456"/>
      <c r="AHQ153" s="456"/>
      <c r="AHR153" s="456"/>
      <c r="AHS153" s="456"/>
      <c r="AHT153" s="456"/>
      <c r="AHU153" s="456"/>
      <c r="AHV153" s="456"/>
      <c r="AHW153" s="456"/>
      <c r="AHX153" s="456"/>
      <c r="AHY153" s="456"/>
      <c r="AHZ153" s="456"/>
      <c r="AIA153" s="456"/>
      <c r="AIB153" s="456"/>
      <c r="AIC153" s="456"/>
      <c r="AID153" s="456"/>
      <c r="AIE153" s="456"/>
      <c r="AIF153" s="456"/>
      <c r="AIG153" s="456"/>
      <c r="AIH153" s="456"/>
      <c r="AII153" s="456"/>
      <c r="AIJ153" s="456"/>
      <c r="AIK153" s="456"/>
      <c r="AIL153" s="456"/>
      <c r="AIM153" s="456"/>
      <c r="AIN153" s="456"/>
      <c r="AIO153" s="456"/>
      <c r="AIP153" s="456"/>
      <c r="AIQ153" s="456"/>
      <c r="AIR153" s="456"/>
      <c r="AIS153" s="456"/>
      <c r="AIT153" s="456"/>
      <c r="AIU153" s="456"/>
      <c r="AIV153" s="456"/>
      <c r="AIW153" s="456"/>
      <c r="AIX153" s="456"/>
      <c r="AIY153" s="456"/>
      <c r="AIZ153" s="456"/>
      <c r="AJA153" s="456"/>
      <c r="AJB153" s="456"/>
      <c r="AJC153" s="456"/>
      <c r="AJD153" s="456"/>
      <c r="AJE153" s="456"/>
      <c r="AJF153" s="456"/>
      <c r="AJG153" s="456"/>
      <c r="AJH153" s="456"/>
      <c r="AJI153" s="456"/>
      <c r="AJJ153" s="456"/>
      <c r="AJK153" s="456"/>
      <c r="AJL153" s="456"/>
      <c r="AJM153" s="456"/>
      <c r="AJN153" s="456"/>
      <c r="AJO153" s="456"/>
      <c r="AJP153" s="456"/>
      <c r="AJQ153" s="456"/>
      <c r="AJR153" s="456"/>
      <c r="AJS153" s="456"/>
      <c r="AJT153" s="456"/>
      <c r="AJU153" s="456"/>
      <c r="AJV153" s="456"/>
      <c r="AJW153" s="456"/>
      <c r="AJX153" s="456"/>
      <c r="AJY153" s="456"/>
      <c r="AJZ153" s="456"/>
      <c r="AKA153" s="456"/>
      <c r="AKB153" s="456"/>
      <c r="AKC153" s="456"/>
      <c r="AKD153" s="456"/>
      <c r="AKE153" s="456"/>
      <c r="AKF153" s="456"/>
      <c r="AKG153" s="456"/>
      <c r="AKH153" s="456"/>
      <c r="AKI153" s="456"/>
      <c r="AKJ153" s="456"/>
      <c r="AKK153" s="456"/>
      <c r="AKL153" s="456"/>
      <c r="AKM153" s="456"/>
      <c r="AKN153" s="456"/>
      <c r="AKO153" s="456"/>
      <c r="AKP153" s="456"/>
      <c r="AKQ153" s="456"/>
      <c r="AKR153" s="456"/>
      <c r="AKS153" s="456"/>
      <c r="AKT153" s="456"/>
      <c r="AKU153" s="456"/>
      <c r="AKV153" s="456"/>
      <c r="AKW153" s="456"/>
      <c r="AKX153" s="456"/>
      <c r="AKY153" s="456"/>
      <c r="AKZ153" s="456"/>
      <c r="ALA153" s="456"/>
      <c r="ALB153" s="456"/>
      <c r="ALC153" s="456"/>
      <c r="ALD153" s="456"/>
      <c r="ALE153" s="456"/>
      <c r="ALF153" s="456"/>
      <c r="ALG153" s="456"/>
      <c r="ALH153" s="456"/>
      <c r="ALI153" s="456"/>
      <c r="ALJ153" s="456"/>
      <c r="ALK153" s="456"/>
      <c r="ALL153" s="456"/>
      <c r="ALM153" s="456"/>
      <c r="ALN153" s="456"/>
      <c r="ALO153" s="456"/>
      <c r="ALP153" s="456"/>
      <c r="ALQ153" s="456"/>
      <c r="ALR153" s="456"/>
      <c r="ALS153" s="456"/>
      <c r="ALT153" s="456"/>
      <c r="ALU153" s="456"/>
      <c r="ALV153" s="456"/>
      <c r="ALW153" s="456"/>
      <c r="ALX153" s="456"/>
      <c r="ALY153" s="456"/>
      <c r="ALZ153" s="456"/>
      <c r="AMA153" s="456"/>
      <c r="AMB153" s="456"/>
      <c r="AMC153" s="456"/>
      <c r="AMD153" s="456"/>
      <c r="AME153" s="456"/>
      <c r="AMF153" s="456"/>
      <c r="AMG153" s="456"/>
      <c r="AMH153" s="456"/>
      <c r="AMI153" s="456"/>
      <c r="AMJ153" s="456"/>
      <c r="AMK153" s="456"/>
      <c r="AML153" s="456"/>
      <c r="AMM153" s="456"/>
      <c r="AMN153" s="456"/>
      <c r="AMO153" s="456"/>
      <c r="AMP153" s="456"/>
      <c r="AMQ153" s="456"/>
      <c r="AMR153" s="456"/>
      <c r="AMS153" s="456"/>
      <c r="AMT153" s="456"/>
      <c r="AMU153" s="456"/>
      <c r="AMV153" s="456"/>
      <c r="AMW153" s="456"/>
      <c r="AMX153" s="456"/>
      <c r="AMY153" s="456"/>
      <c r="AMZ153" s="456"/>
      <c r="ANA153" s="456"/>
      <c r="ANB153" s="456"/>
      <c r="ANC153" s="456"/>
      <c r="AND153" s="456"/>
      <c r="ANE153" s="456"/>
      <c r="ANF153" s="456"/>
      <c r="ANG153" s="456"/>
      <c r="ANH153" s="456"/>
      <c r="ANI153" s="456"/>
      <c r="ANJ153" s="456"/>
      <c r="ANK153" s="456"/>
      <c r="ANL153" s="456"/>
      <c r="ANM153" s="456"/>
      <c r="ANN153" s="456"/>
      <c r="ANO153" s="456"/>
      <c r="ANP153" s="456"/>
      <c r="ANQ153" s="456"/>
      <c r="ANR153" s="456"/>
      <c r="ANS153" s="456"/>
      <c r="ANT153" s="456"/>
      <c r="ANU153" s="456"/>
      <c r="ANV153" s="456"/>
      <c r="ANW153" s="456"/>
      <c r="ANX153" s="456"/>
      <c r="ANY153" s="456"/>
      <c r="ANZ153" s="456"/>
      <c r="AOA153" s="456"/>
      <c r="AOB153" s="456"/>
      <c r="AOC153" s="456"/>
      <c r="AOD153" s="456"/>
      <c r="AOE153" s="456"/>
      <c r="AOF153" s="456"/>
      <c r="AOG153" s="456"/>
      <c r="AOH153" s="456"/>
      <c r="AOI153" s="456"/>
      <c r="AOJ153" s="456"/>
      <c r="AOK153" s="456"/>
      <c r="AOL153" s="456"/>
      <c r="AOM153" s="456"/>
      <c r="AON153" s="456"/>
      <c r="AOO153" s="456"/>
      <c r="AOP153" s="456"/>
      <c r="AOQ153" s="456"/>
      <c r="AOR153" s="456"/>
      <c r="AOS153" s="456"/>
      <c r="AOT153" s="456"/>
      <c r="AOU153" s="456"/>
      <c r="AOV153" s="456"/>
      <c r="AOW153" s="456"/>
      <c r="AOX153" s="456"/>
      <c r="AOY153" s="456"/>
      <c r="AOZ153" s="456"/>
      <c r="APA153" s="456"/>
      <c r="APB153" s="456"/>
      <c r="APC153" s="456"/>
      <c r="APD153" s="456"/>
      <c r="APE153" s="456"/>
      <c r="APF153" s="456"/>
      <c r="APG153" s="456"/>
      <c r="APH153" s="456"/>
      <c r="API153" s="456"/>
      <c r="APJ153" s="456"/>
      <c r="APK153" s="456"/>
      <c r="APL153" s="456"/>
      <c r="APM153" s="456"/>
      <c r="APN153" s="456"/>
      <c r="APO153" s="456"/>
      <c r="APP153" s="456"/>
      <c r="APQ153" s="456"/>
      <c r="APR153" s="456"/>
      <c r="APS153" s="456"/>
      <c r="APT153" s="456"/>
      <c r="APU153" s="456"/>
      <c r="APV153" s="456"/>
      <c r="APW153" s="456"/>
      <c r="APX153" s="456"/>
      <c r="APY153" s="456"/>
      <c r="APZ153" s="456"/>
      <c r="AQA153" s="456"/>
      <c r="AQB153" s="456"/>
      <c r="AQC153" s="456"/>
      <c r="AQD153" s="456"/>
      <c r="AQE153" s="456"/>
      <c r="AQF153" s="456"/>
      <c r="AQG153" s="456"/>
      <c r="AQH153" s="456"/>
      <c r="AQI153" s="456"/>
      <c r="AQJ153" s="456"/>
      <c r="AQK153" s="456"/>
      <c r="AQL153" s="456"/>
      <c r="AQM153" s="456"/>
      <c r="AQN153" s="456"/>
      <c r="AQO153" s="456"/>
      <c r="AQP153" s="456"/>
      <c r="AQQ153" s="456"/>
      <c r="AQR153" s="456"/>
      <c r="AQS153" s="456"/>
      <c r="AQT153" s="456"/>
      <c r="AQU153" s="456"/>
      <c r="AQV153" s="456"/>
      <c r="AQW153" s="456"/>
      <c r="AQX153" s="456"/>
      <c r="AQY153" s="456"/>
      <c r="AQZ153" s="456"/>
      <c r="ARA153" s="456"/>
      <c r="ARB153" s="456"/>
      <c r="ARC153" s="456"/>
      <c r="ARD153" s="456"/>
      <c r="ARE153" s="456"/>
      <c r="ARF153" s="456"/>
      <c r="ARG153" s="456"/>
      <c r="ARH153" s="456"/>
      <c r="ARI153" s="456"/>
      <c r="ARJ153" s="456"/>
      <c r="ARK153" s="456"/>
      <c r="ARL153" s="456"/>
      <c r="ARM153" s="456"/>
      <c r="ARN153" s="456"/>
      <c r="ARO153" s="456"/>
      <c r="ARP153" s="456"/>
      <c r="ARQ153" s="456"/>
      <c r="ARR153" s="456"/>
      <c r="ARS153" s="456"/>
      <c r="ART153" s="456"/>
      <c r="ARU153" s="456"/>
      <c r="ARV153" s="456"/>
      <c r="ARW153" s="456"/>
      <c r="ARX153" s="456"/>
      <c r="ARY153" s="456"/>
      <c r="ARZ153" s="456"/>
      <c r="ASA153" s="456"/>
      <c r="ASB153" s="456"/>
      <c r="ASC153" s="456"/>
      <c r="ASD153" s="456"/>
      <c r="ASE153" s="456"/>
      <c r="ASF153" s="456"/>
      <c r="ASG153" s="456"/>
      <c r="ASH153" s="456"/>
      <c r="ASI153" s="456"/>
      <c r="ASJ153" s="456"/>
      <c r="ASK153" s="456"/>
      <c r="ASL153" s="456"/>
      <c r="ASM153" s="456"/>
      <c r="ASN153" s="456"/>
      <c r="ASO153" s="456"/>
      <c r="ASP153" s="456"/>
      <c r="ASQ153" s="456"/>
      <c r="ASR153" s="456"/>
      <c r="ASS153" s="456"/>
      <c r="AST153" s="456"/>
      <c r="ASU153" s="456"/>
      <c r="ASV153" s="456"/>
      <c r="ASW153" s="456"/>
      <c r="ASX153" s="456"/>
      <c r="ASY153" s="456"/>
      <c r="ASZ153" s="456"/>
      <c r="ATA153" s="456"/>
      <c r="ATB153" s="456"/>
      <c r="ATC153" s="456"/>
      <c r="ATD153" s="456"/>
      <c r="ATE153" s="456"/>
      <c r="ATF153" s="456"/>
      <c r="ATG153" s="456"/>
      <c r="ATH153" s="456"/>
      <c r="ATI153" s="456"/>
      <c r="ATJ153" s="456"/>
      <c r="ATK153" s="456"/>
      <c r="ATL153" s="456"/>
      <c r="ATM153" s="456"/>
      <c r="ATN153" s="456"/>
      <c r="ATO153" s="456"/>
      <c r="ATP153" s="456"/>
      <c r="ATQ153" s="456"/>
      <c r="ATR153" s="456"/>
      <c r="ATS153" s="456"/>
      <c r="ATT153" s="456"/>
      <c r="ATU153" s="456"/>
      <c r="ATV153" s="456"/>
      <c r="ATW153" s="456"/>
      <c r="ATX153" s="456"/>
      <c r="ATY153" s="456"/>
      <c r="ATZ153" s="456"/>
      <c r="AUA153" s="456"/>
      <c r="AUB153" s="456"/>
      <c r="AUC153" s="456"/>
      <c r="AUD153" s="456"/>
      <c r="AUE153" s="456"/>
      <c r="AUF153" s="456"/>
      <c r="AUG153" s="456"/>
      <c r="AUH153" s="456"/>
      <c r="AUI153" s="456"/>
      <c r="AUJ153" s="456"/>
      <c r="AUK153" s="456"/>
      <c r="AUL153" s="456"/>
      <c r="AUM153" s="456"/>
      <c r="AUN153" s="456"/>
      <c r="AUO153" s="456"/>
      <c r="AUP153" s="456"/>
      <c r="AUQ153" s="456"/>
      <c r="AUR153" s="456"/>
      <c r="AUS153" s="456"/>
      <c r="AUT153" s="456"/>
      <c r="AUU153" s="456"/>
      <c r="AUV153" s="456"/>
      <c r="AUW153" s="456"/>
      <c r="AUX153" s="456"/>
      <c r="AUY153" s="456"/>
      <c r="AUZ153" s="456"/>
      <c r="AVA153" s="456"/>
      <c r="AVB153" s="456"/>
      <c r="AVC153" s="456"/>
      <c r="AVD153" s="456"/>
      <c r="AVE153" s="456"/>
      <c r="AVF153" s="456"/>
      <c r="AVG153" s="456"/>
      <c r="AVH153" s="456"/>
      <c r="AVI153" s="456"/>
      <c r="AVJ153" s="456"/>
      <c r="AVK153" s="456"/>
      <c r="AVL153" s="456"/>
      <c r="AVM153" s="456"/>
      <c r="AVN153" s="456"/>
      <c r="AVO153" s="456"/>
      <c r="AVP153" s="456"/>
      <c r="AVQ153" s="456"/>
      <c r="AVR153" s="456"/>
      <c r="AVS153" s="456"/>
      <c r="AVT153" s="456"/>
      <c r="AVU153" s="456"/>
      <c r="AVV153" s="456"/>
      <c r="AVW153" s="456"/>
      <c r="AVX153" s="456"/>
      <c r="AVY153" s="456"/>
      <c r="AVZ153" s="456"/>
      <c r="AWA153" s="456"/>
      <c r="AWB153" s="456"/>
      <c r="AWC153" s="456"/>
      <c r="AWD153" s="456"/>
      <c r="AWE153" s="456"/>
      <c r="AWF153" s="456"/>
      <c r="AWG153" s="456"/>
      <c r="AWH153" s="456"/>
      <c r="AWI153" s="456"/>
      <c r="AWJ153" s="456"/>
      <c r="AWK153" s="456"/>
      <c r="AWL153" s="456"/>
      <c r="AWM153" s="456"/>
      <c r="AWN153" s="456"/>
      <c r="AWO153" s="456"/>
      <c r="AWP153" s="456"/>
      <c r="AWQ153" s="456"/>
      <c r="AWR153" s="456"/>
      <c r="AWS153" s="456"/>
      <c r="AWT153" s="456"/>
      <c r="AWU153" s="456"/>
      <c r="AWV153" s="456"/>
      <c r="AWW153" s="456"/>
      <c r="AWX153" s="456"/>
      <c r="AWY153" s="456"/>
      <c r="AWZ153" s="456"/>
      <c r="AXA153" s="456"/>
      <c r="AXB153" s="456"/>
      <c r="AXC153" s="456"/>
      <c r="AXD153" s="456"/>
      <c r="AXE153" s="456"/>
      <c r="AXF153" s="456"/>
      <c r="AXG153" s="456"/>
      <c r="AXH153" s="456"/>
      <c r="AXI153" s="456"/>
      <c r="AXJ153" s="456"/>
      <c r="AXK153" s="456"/>
      <c r="AXL153" s="456"/>
      <c r="AXM153" s="456"/>
      <c r="AXN153" s="456"/>
      <c r="AXO153" s="456"/>
      <c r="AXP153" s="456"/>
      <c r="AXQ153" s="456"/>
      <c r="AXR153" s="456"/>
      <c r="AXS153" s="456"/>
      <c r="AXT153" s="456"/>
      <c r="AXU153" s="456"/>
      <c r="AXV153" s="456"/>
      <c r="AXW153" s="456"/>
      <c r="AXX153" s="456"/>
      <c r="AXY153" s="456"/>
      <c r="AXZ153" s="456"/>
      <c r="AYA153" s="456"/>
      <c r="AYB153" s="456"/>
      <c r="AYC153" s="456"/>
      <c r="AYD153" s="456"/>
      <c r="AYE153" s="456"/>
      <c r="AYF153" s="456"/>
      <c r="AYG153" s="456"/>
      <c r="AYH153" s="456"/>
      <c r="AYI153" s="456"/>
      <c r="AYJ153" s="456"/>
      <c r="AYK153" s="456"/>
      <c r="AYL153" s="456"/>
      <c r="AYM153" s="456"/>
      <c r="AYN153" s="456"/>
      <c r="AYO153" s="456"/>
      <c r="AYP153" s="456"/>
      <c r="AYQ153" s="456"/>
      <c r="AYR153" s="456"/>
      <c r="AYS153" s="456"/>
      <c r="AYT153" s="456"/>
      <c r="AYU153" s="456"/>
      <c r="AYV153" s="456"/>
      <c r="AYW153" s="456"/>
      <c r="AYX153" s="456"/>
      <c r="AYY153" s="456"/>
      <c r="AYZ153" s="456"/>
      <c r="AZA153" s="456"/>
      <c r="AZB153" s="456"/>
      <c r="AZC153" s="456"/>
      <c r="AZD153" s="456"/>
      <c r="AZE153" s="456"/>
      <c r="AZF153" s="456"/>
      <c r="AZG153" s="456"/>
      <c r="AZH153" s="456"/>
      <c r="AZI153" s="456"/>
      <c r="AZJ153" s="456"/>
      <c r="AZK153" s="456"/>
      <c r="AZL153" s="456"/>
      <c r="AZM153" s="456"/>
      <c r="AZN153" s="456"/>
      <c r="AZO153" s="456"/>
      <c r="AZP153" s="456"/>
      <c r="AZQ153" s="456"/>
      <c r="AZR153" s="456"/>
      <c r="AZS153" s="456"/>
      <c r="AZT153" s="456"/>
      <c r="AZU153" s="456"/>
      <c r="AZV153" s="456"/>
      <c r="AZW153" s="456"/>
      <c r="AZX153" s="456"/>
      <c r="AZY153" s="456"/>
      <c r="AZZ153" s="456"/>
      <c r="BAA153" s="456"/>
      <c r="BAB153" s="456"/>
      <c r="BAC153" s="456"/>
      <c r="BAD153" s="456"/>
      <c r="BAE153" s="456"/>
      <c r="BAF153" s="456"/>
      <c r="BAG153" s="456"/>
      <c r="BAH153" s="456"/>
      <c r="BAI153" s="456"/>
      <c r="BAJ153" s="456"/>
      <c r="BAK153" s="456"/>
      <c r="BAL153" s="456"/>
      <c r="BAM153" s="456"/>
      <c r="BAN153" s="456"/>
      <c r="BAO153" s="456"/>
      <c r="BAP153" s="456"/>
      <c r="BAQ153" s="456"/>
      <c r="BAR153" s="456"/>
      <c r="BAS153" s="456"/>
      <c r="BAT153" s="456"/>
      <c r="BAU153" s="456"/>
      <c r="BAV153" s="456"/>
      <c r="BAW153" s="456"/>
      <c r="BAX153" s="456"/>
      <c r="BAY153" s="456"/>
      <c r="BAZ153" s="456"/>
      <c r="BBA153" s="456"/>
      <c r="BBB153" s="456"/>
      <c r="BBC153" s="456"/>
      <c r="BBD153" s="456"/>
      <c r="BBE153" s="456"/>
      <c r="BBF153" s="456"/>
      <c r="BBG153" s="456"/>
      <c r="BBH153" s="456"/>
      <c r="BBI153" s="456"/>
      <c r="BBJ153" s="456"/>
      <c r="BBK153" s="456"/>
      <c r="BBL153" s="456"/>
      <c r="BBM153" s="456"/>
      <c r="BBN153" s="456"/>
      <c r="BBO153" s="456"/>
      <c r="BBP153" s="456"/>
      <c r="BBQ153" s="456"/>
      <c r="BBR153" s="456"/>
      <c r="BBS153" s="456"/>
      <c r="BBT153" s="456"/>
      <c r="BBU153" s="456"/>
      <c r="BBV153" s="456"/>
      <c r="BBW153" s="456"/>
      <c r="BBX153" s="456"/>
      <c r="BBY153" s="456"/>
      <c r="BBZ153" s="456"/>
      <c r="BCA153" s="456"/>
      <c r="BCB153" s="456"/>
      <c r="BCC153" s="456"/>
      <c r="BCD153" s="456"/>
      <c r="BCE153" s="456"/>
      <c r="BCF153" s="456"/>
      <c r="BCG153" s="456"/>
      <c r="BCH153" s="456"/>
      <c r="BCI153" s="456"/>
      <c r="BCJ153" s="456"/>
      <c r="BCK153" s="456"/>
      <c r="BCL153" s="456"/>
      <c r="BCM153" s="456"/>
      <c r="BCN153" s="456"/>
      <c r="BCO153" s="456"/>
      <c r="BCP153" s="456"/>
      <c r="BCQ153" s="456"/>
      <c r="BCR153" s="456"/>
      <c r="BCS153" s="456"/>
      <c r="BCT153" s="456"/>
      <c r="BCU153" s="456"/>
      <c r="BCV153" s="456"/>
      <c r="BCW153" s="456"/>
      <c r="BCX153" s="456"/>
      <c r="BCY153" s="456"/>
      <c r="BCZ153" s="456"/>
      <c r="BDA153" s="456"/>
      <c r="BDB153" s="456"/>
      <c r="BDC153" s="456"/>
      <c r="BDD153" s="456"/>
      <c r="BDE153" s="456"/>
      <c r="BDF153" s="456"/>
      <c r="BDG153" s="456"/>
      <c r="BDH153" s="456"/>
      <c r="BDI153" s="456"/>
      <c r="BDJ153" s="456"/>
      <c r="BDK153" s="456"/>
      <c r="BDL153" s="456"/>
      <c r="BDM153" s="456"/>
      <c r="BDN153" s="456"/>
      <c r="BDO153" s="456"/>
      <c r="BDP153" s="456"/>
      <c r="BDQ153" s="456"/>
      <c r="BDR153" s="456"/>
      <c r="BDS153" s="456"/>
      <c r="BDT153" s="456"/>
      <c r="BDU153" s="456"/>
      <c r="BDV153" s="456"/>
      <c r="BDW153" s="456"/>
      <c r="BDX153" s="456"/>
      <c r="BDY153" s="456"/>
      <c r="BDZ153" s="456"/>
      <c r="BEA153" s="456"/>
      <c r="BEB153" s="456"/>
      <c r="BEC153" s="456"/>
      <c r="BED153" s="456"/>
      <c r="BEE153" s="456"/>
      <c r="BEF153" s="456"/>
      <c r="BEG153" s="456"/>
      <c r="BEH153" s="456"/>
      <c r="BEI153" s="456"/>
      <c r="BEJ153" s="456"/>
      <c r="BEK153" s="456"/>
      <c r="BEL153" s="456"/>
      <c r="BEM153" s="456"/>
      <c r="BEN153" s="456"/>
      <c r="BEO153" s="456"/>
      <c r="BEP153" s="456"/>
      <c r="BEQ153" s="456"/>
      <c r="BER153" s="456"/>
      <c r="BES153" s="456"/>
      <c r="BET153" s="456"/>
      <c r="BEU153" s="456"/>
      <c r="BEV153" s="456"/>
      <c r="BEW153" s="456"/>
      <c r="BEX153" s="456"/>
      <c r="BEY153" s="456"/>
      <c r="BEZ153" s="456"/>
      <c r="BFA153" s="456"/>
      <c r="BFB153" s="456"/>
      <c r="BFC153" s="456"/>
      <c r="BFD153" s="456"/>
      <c r="BFE153" s="456"/>
      <c r="BFF153" s="456"/>
      <c r="BFG153" s="456"/>
      <c r="BFH153" s="456"/>
      <c r="BFI153" s="456"/>
      <c r="BFJ153" s="456"/>
      <c r="BFK153" s="456"/>
      <c r="BFL153" s="456"/>
      <c r="BFM153" s="456"/>
      <c r="BFN153" s="456"/>
      <c r="BFO153" s="456"/>
      <c r="BFP153" s="456"/>
      <c r="BFQ153" s="456"/>
      <c r="BFR153" s="456"/>
      <c r="BFS153" s="456"/>
      <c r="BFT153" s="456"/>
      <c r="BFU153" s="456"/>
      <c r="BFV153" s="456"/>
      <c r="BFW153" s="456"/>
      <c r="BFX153" s="456"/>
      <c r="BFY153" s="456"/>
      <c r="BFZ153" s="456"/>
      <c r="BGA153" s="456"/>
      <c r="BGB153" s="456"/>
      <c r="BGC153" s="456"/>
      <c r="BGD153" s="456"/>
      <c r="BGE153" s="456"/>
      <c r="BGF153" s="456"/>
      <c r="BGG153" s="456"/>
      <c r="BGH153" s="456"/>
      <c r="BGI153" s="456"/>
      <c r="BGJ153" s="456"/>
      <c r="BGK153" s="456"/>
      <c r="BGL153" s="456"/>
      <c r="BGM153" s="456"/>
      <c r="BGN153" s="456"/>
      <c r="BGO153" s="456"/>
      <c r="BGP153" s="456"/>
      <c r="BGQ153" s="456"/>
      <c r="BGR153" s="456"/>
      <c r="BGS153" s="456"/>
      <c r="BGT153" s="456"/>
      <c r="BGU153" s="456"/>
      <c r="BGV153" s="456"/>
      <c r="BGW153" s="456"/>
      <c r="BGX153" s="456"/>
      <c r="BGY153" s="456"/>
      <c r="BGZ153" s="456"/>
      <c r="BHA153" s="456"/>
      <c r="BHB153" s="456"/>
      <c r="BHC153" s="456"/>
      <c r="BHD153" s="456"/>
      <c r="BHE153" s="456"/>
      <c r="BHF153" s="456"/>
      <c r="BHG153" s="456"/>
      <c r="BHH153" s="456"/>
      <c r="BHI153" s="456"/>
      <c r="BHJ153" s="456"/>
      <c r="BHK153" s="456"/>
      <c r="BHL153" s="456"/>
      <c r="BHM153" s="456"/>
      <c r="BHN153" s="456"/>
      <c r="BHO153" s="456"/>
      <c r="BHP153" s="456"/>
      <c r="BHQ153" s="456"/>
      <c r="BHR153" s="456"/>
      <c r="BHS153" s="456"/>
      <c r="BHT153" s="456"/>
      <c r="BHU153" s="456"/>
      <c r="BHV153" s="456"/>
      <c r="BHW153" s="456"/>
      <c r="BHX153" s="456"/>
      <c r="BHY153" s="456"/>
      <c r="BHZ153" s="456"/>
      <c r="BIA153" s="456"/>
      <c r="BIB153" s="456"/>
      <c r="BIC153" s="456"/>
      <c r="BID153" s="456"/>
      <c r="BIE153" s="456"/>
      <c r="BIF153" s="456"/>
      <c r="BIG153" s="456"/>
      <c r="BIH153" s="456"/>
      <c r="BII153" s="456"/>
      <c r="BIJ153" s="456"/>
      <c r="BIK153" s="456"/>
      <c r="BIL153" s="456"/>
      <c r="BIM153" s="456"/>
      <c r="BIN153" s="456"/>
      <c r="BIO153" s="456"/>
      <c r="BIP153" s="456"/>
      <c r="BIQ153" s="456"/>
      <c r="BIR153" s="456"/>
      <c r="BIS153" s="456"/>
      <c r="BIT153" s="456"/>
      <c r="BIU153" s="456"/>
      <c r="BIV153" s="456"/>
      <c r="BIW153" s="456"/>
      <c r="BIX153" s="456"/>
      <c r="BIY153" s="456"/>
      <c r="BIZ153" s="456"/>
      <c r="BJA153" s="456"/>
      <c r="BJB153" s="456"/>
      <c r="BJC153" s="456"/>
      <c r="BJD153" s="456"/>
      <c r="BJE153" s="456"/>
      <c r="BJF153" s="456"/>
      <c r="BJG153" s="456"/>
      <c r="BJH153" s="456"/>
      <c r="BJI153" s="456"/>
      <c r="BJJ153" s="456"/>
      <c r="BJK153" s="456"/>
      <c r="BJL153" s="456"/>
      <c r="BJM153" s="456"/>
      <c r="BJN153" s="456"/>
      <c r="BJO153" s="456"/>
      <c r="BJP153" s="456"/>
      <c r="BJQ153" s="456"/>
      <c r="BJR153" s="456"/>
      <c r="BJS153" s="456"/>
      <c r="BJT153" s="456"/>
      <c r="BJU153" s="456"/>
      <c r="BJV153" s="456"/>
      <c r="BJW153" s="456"/>
      <c r="BJX153" s="456"/>
      <c r="BJY153" s="456"/>
      <c r="BJZ153" s="456"/>
      <c r="BKA153" s="456"/>
      <c r="BKB153" s="456"/>
      <c r="BKC153" s="456"/>
      <c r="BKD153" s="456"/>
      <c r="BKE153" s="456"/>
      <c r="BKF153" s="456"/>
      <c r="BKG153" s="456"/>
      <c r="BKH153" s="456"/>
      <c r="BKI153" s="456"/>
      <c r="BKJ153" s="456"/>
      <c r="BKK153" s="456"/>
      <c r="BKL153" s="456"/>
      <c r="BKM153" s="456"/>
      <c r="BKN153" s="456"/>
      <c r="BKO153" s="456"/>
      <c r="BKP153" s="456"/>
      <c r="BKQ153" s="456"/>
      <c r="BKR153" s="456"/>
      <c r="BKS153" s="456"/>
      <c r="BKT153" s="456"/>
      <c r="BKU153" s="456"/>
      <c r="BKV153" s="456"/>
      <c r="BKW153" s="456"/>
      <c r="BKX153" s="456"/>
      <c r="BKY153" s="456"/>
      <c r="BKZ153" s="456"/>
      <c r="BLA153" s="456"/>
      <c r="BLB153" s="456"/>
      <c r="BLC153" s="456"/>
      <c r="BLD153" s="456"/>
      <c r="BLE153" s="456"/>
      <c r="BLF153" s="456"/>
      <c r="BLG153" s="456"/>
      <c r="BLH153" s="456"/>
      <c r="BLI153" s="456"/>
      <c r="BLJ153" s="456"/>
      <c r="BLK153" s="456"/>
      <c r="BLL153" s="456"/>
      <c r="BLM153" s="456"/>
      <c r="BLN153" s="456"/>
      <c r="BLO153" s="456"/>
      <c r="BLP153" s="456"/>
      <c r="BLQ153" s="456"/>
      <c r="BLR153" s="456"/>
      <c r="BLS153" s="456"/>
      <c r="BLT153" s="456"/>
      <c r="BLU153" s="456"/>
      <c r="BLV153" s="456"/>
      <c r="BLW153" s="456"/>
      <c r="BLX153" s="456"/>
      <c r="BLY153" s="456"/>
      <c r="BLZ153" s="456"/>
      <c r="BMA153" s="456"/>
      <c r="BMB153" s="456"/>
      <c r="BMC153" s="456"/>
      <c r="BMD153" s="456"/>
      <c r="BME153" s="456"/>
      <c r="BMF153" s="456"/>
      <c r="BMG153" s="456"/>
      <c r="BMH153" s="456"/>
      <c r="BMI153" s="456"/>
      <c r="BMJ153" s="456"/>
      <c r="BMK153" s="456"/>
      <c r="BML153" s="456"/>
      <c r="BMM153" s="456"/>
      <c r="BMN153" s="456"/>
      <c r="BMO153" s="456"/>
      <c r="BMP153" s="456"/>
      <c r="BMQ153" s="456"/>
      <c r="BMR153" s="456"/>
      <c r="BMS153" s="456"/>
      <c r="BMT153" s="456"/>
      <c r="BMU153" s="456"/>
      <c r="BMV153" s="456"/>
      <c r="BMW153" s="456"/>
      <c r="BMX153" s="456"/>
      <c r="BMY153" s="456"/>
      <c r="BMZ153" s="456"/>
      <c r="BNA153" s="456"/>
      <c r="BNB153" s="456"/>
      <c r="BNC153" s="456"/>
      <c r="BND153" s="456"/>
      <c r="BNE153" s="456"/>
      <c r="BNF153" s="456"/>
      <c r="BNG153" s="456"/>
      <c r="BNH153" s="456"/>
      <c r="BNI153" s="456"/>
      <c r="BNJ153" s="456"/>
      <c r="BNK153" s="456"/>
      <c r="BNL153" s="456"/>
      <c r="BNM153" s="456"/>
      <c r="BNN153" s="456"/>
      <c r="BNO153" s="456"/>
      <c r="BNP153" s="456"/>
      <c r="BNQ153" s="456"/>
      <c r="BNR153" s="456"/>
      <c r="BNS153" s="456"/>
      <c r="BNT153" s="456"/>
      <c r="BNU153" s="456"/>
      <c r="BNV153" s="456"/>
      <c r="BNW153" s="456"/>
      <c r="BNX153" s="456"/>
      <c r="BNY153" s="456"/>
      <c r="BNZ153" s="456"/>
      <c r="BOA153" s="456"/>
      <c r="BOB153" s="456"/>
      <c r="BOC153" s="456"/>
      <c r="BOD153" s="456"/>
      <c r="BOE153" s="456"/>
      <c r="BOF153" s="456"/>
      <c r="BOG153" s="456"/>
      <c r="BOH153" s="456"/>
      <c r="BOI153" s="456"/>
      <c r="BOJ153" s="456"/>
      <c r="BOK153" s="456"/>
      <c r="BOL153" s="456"/>
      <c r="BOM153" s="456"/>
      <c r="BON153" s="456"/>
      <c r="BOO153" s="456"/>
      <c r="BOP153" s="456"/>
      <c r="BOQ153" s="456"/>
      <c r="BOR153" s="456"/>
      <c r="BOS153" s="456"/>
      <c r="BOT153" s="456"/>
      <c r="BOU153" s="456"/>
      <c r="BOV153" s="456"/>
      <c r="BOW153" s="456"/>
      <c r="BOX153" s="456"/>
      <c r="BOY153" s="456"/>
      <c r="BOZ153" s="456"/>
      <c r="BPA153" s="456"/>
      <c r="BPB153" s="456"/>
      <c r="BPC153" s="456"/>
      <c r="BPD153" s="456"/>
      <c r="BPE153" s="456"/>
      <c r="BPF153" s="456"/>
      <c r="BPG153" s="456"/>
      <c r="BPH153" s="456"/>
      <c r="BPI153" s="456"/>
      <c r="BPJ153" s="456"/>
      <c r="BPK153" s="456"/>
      <c r="BPL153" s="456"/>
      <c r="BPM153" s="456"/>
      <c r="BPN153" s="456"/>
      <c r="BPO153" s="456"/>
      <c r="BPP153" s="456"/>
      <c r="BPQ153" s="456"/>
      <c r="BPR153" s="456"/>
      <c r="BPS153" s="456"/>
      <c r="BPT153" s="456"/>
      <c r="BPU153" s="456"/>
      <c r="BPV153" s="456"/>
      <c r="BPW153" s="456"/>
      <c r="BPX153" s="456"/>
      <c r="BPY153" s="456"/>
      <c r="BPZ153" s="456"/>
      <c r="BQA153" s="456"/>
      <c r="BQB153" s="456"/>
      <c r="BQC153" s="456"/>
      <c r="BQD153" s="456"/>
      <c r="BQE153" s="456"/>
      <c r="BQF153" s="456"/>
      <c r="BQG153" s="456"/>
      <c r="BQH153" s="456"/>
      <c r="BQI153" s="456"/>
      <c r="BQJ153" s="456"/>
      <c r="BQK153" s="456"/>
      <c r="BQL153" s="456"/>
      <c r="BQM153" s="456"/>
      <c r="BQN153" s="456"/>
      <c r="BQO153" s="456"/>
      <c r="BQP153" s="456"/>
      <c r="BQQ153" s="456"/>
      <c r="BQR153" s="456"/>
      <c r="BQS153" s="456"/>
      <c r="BQT153" s="456"/>
      <c r="BQU153" s="456"/>
      <c r="BQV153" s="456"/>
      <c r="BQW153" s="456"/>
      <c r="BQX153" s="456"/>
      <c r="BQY153" s="456"/>
      <c r="BQZ153" s="456"/>
      <c r="BRA153" s="456"/>
      <c r="BRB153" s="456"/>
      <c r="BRC153" s="456"/>
      <c r="BRD153" s="456"/>
      <c r="BRE153" s="456"/>
      <c r="BRF153" s="456"/>
      <c r="BRG153" s="456"/>
      <c r="BRH153" s="456"/>
      <c r="BRI153" s="456"/>
      <c r="BRJ153" s="456"/>
      <c r="BRK153" s="456"/>
      <c r="BRL153" s="456"/>
      <c r="BRM153" s="456"/>
      <c r="BRN153" s="456"/>
      <c r="BRO153" s="456"/>
      <c r="BRP153" s="456"/>
      <c r="BRQ153" s="456"/>
      <c r="BRR153" s="456"/>
      <c r="BRS153" s="456"/>
      <c r="BRT153" s="456"/>
      <c r="BRU153" s="456"/>
      <c r="BRV153" s="456"/>
      <c r="BRW153" s="456"/>
      <c r="BRX153" s="456"/>
      <c r="BRY153" s="456"/>
      <c r="BRZ153" s="456"/>
      <c r="BSA153" s="456"/>
      <c r="BSB153" s="456"/>
      <c r="BSC153" s="456"/>
      <c r="BSD153" s="456"/>
      <c r="BSE153" s="456"/>
      <c r="BSF153" s="456"/>
      <c r="BSG153" s="456"/>
      <c r="BSH153" s="456"/>
      <c r="BSI153" s="456"/>
      <c r="BSJ153" s="456"/>
      <c r="BSK153" s="456"/>
      <c r="BSL153" s="456"/>
      <c r="BSM153" s="456"/>
      <c r="BSN153" s="456"/>
      <c r="BSO153" s="456"/>
      <c r="BSP153" s="456"/>
      <c r="BSQ153" s="456"/>
      <c r="BSR153" s="456"/>
      <c r="BSS153" s="456"/>
      <c r="BST153" s="456"/>
      <c r="BSU153" s="456"/>
      <c r="BSV153" s="456"/>
      <c r="BSW153" s="456"/>
      <c r="BSX153" s="456"/>
      <c r="BSY153" s="456"/>
      <c r="BSZ153" s="456"/>
      <c r="BTA153" s="456"/>
      <c r="BTB153" s="456"/>
      <c r="BTC153" s="456"/>
      <c r="BTD153" s="456"/>
      <c r="BTE153" s="456"/>
      <c r="BTF153" s="456"/>
      <c r="BTG153" s="456"/>
      <c r="BTH153" s="456"/>
      <c r="BTI153" s="456"/>
      <c r="BTJ153" s="456"/>
      <c r="BTK153" s="456"/>
      <c r="BTL153" s="456"/>
      <c r="BTM153" s="456"/>
      <c r="BTN153" s="456"/>
      <c r="BTO153" s="456"/>
      <c r="BTP153" s="456"/>
      <c r="BTQ153" s="456"/>
      <c r="BTR153" s="456"/>
      <c r="BTS153" s="456"/>
      <c r="BTT153" s="456"/>
      <c r="BTU153" s="456"/>
      <c r="BTV153" s="456"/>
      <c r="BTW153" s="456"/>
      <c r="BTX153" s="456"/>
      <c r="BTY153" s="456"/>
      <c r="BTZ153" s="456"/>
      <c r="BUA153" s="456"/>
      <c r="BUB153" s="456"/>
      <c r="BUC153" s="456"/>
      <c r="BUD153" s="456"/>
      <c r="BUE153" s="456"/>
      <c r="BUF153" s="456"/>
      <c r="BUG153" s="456"/>
      <c r="BUH153" s="456"/>
      <c r="BUI153" s="456"/>
      <c r="BUJ153" s="456"/>
      <c r="BUK153" s="456"/>
      <c r="BUL153" s="456"/>
      <c r="BUM153" s="456"/>
      <c r="BUN153" s="456"/>
      <c r="BUO153" s="456"/>
      <c r="BUP153" s="456"/>
      <c r="BUQ153" s="456"/>
      <c r="BUR153" s="456"/>
      <c r="BUS153" s="456"/>
      <c r="BUT153" s="456"/>
      <c r="BUU153" s="456"/>
      <c r="BUV153" s="456"/>
      <c r="BUW153" s="456"/>
      <c r="BUX153" s="456"/>
      <c r="BUY153" s="456"/>
      <c r="BUZ153" s="456"/>
      <c r="BVA153" s="456"/>
      <c r="BVB153" s="456"/>
      <c r="BVC153" s="456"/>
      <c r="BVD153" s="456"/>
      <c r="BVE153" s="456"/>
      <c r="BVF153" s="456"/>
      <c r="BVG153" s="456"/>
      <c r="BVH153" s="456"/>
      <c r="BVI153" s="456"/>
      <c r="BVJ153" s="456"/>
      <c r="BVK153" s="456"/>
      <c r="BVL153" s="456"/>
      <c r="BVM153" s="456"/>
      <c r="BVN153" s="456"/>
      <c r="BVO153" s="456"/>
      <c r="BVP153" s="456"/>
      <c r="BVQ153" s="456"/>
      <c r="BVR153" s="456"/>
      <c r="BVS153" s="456"/>
      <c r="BVT153" s="456"/>
      <c r="BVU153" s="456"/>
      <c r="BVV153" s="456"/>
      <c r="BVW153" s="456"/>
      <c r="BVX153" s="456"/>
      <c r="BVY153" s="456"/>
      <c r="BVZ153" s="456"/>
      <c r="BWA153" s="456"/>
      <c r="BWB153" s="456"/>
      <c r="BWC153" s="456"/>
      <c r="BWD153" s="456"/>
      <c r="BWE153" s="456"/>
      <c r="BWF153" s="456"/>
      <c r="BWG153" s="456"/>
      <c r="BWH153" s="456"/>
      <c r="BWI153" s="456"/>
      <c r="BWJ153" s="456"/>
      <c r="BWK153" s="456"/>
      <c r="BWL153" s="456"/>
      <c r="BWM153" s="456"/>
      <c r="BWN153" s="456"/>
      <c r="BWO153" s="456"/>
      <c r="BWP153" s="456"/>
      <c r="BWQ153" s="456"/>
      <c r="BWR153" s="456"/>
      <c r="BWS153" s="456"/>
      <c r="BWT153" s="456"/>
      <c r="BWU153" s="456"/>
      <c r="BWV153" s="456"/>
      <c r="BWW153" s="456"/>
      <c r="BWX153" s="456"/>
      <c r="BWY153" s="456"/>
      <c r="BWZ153" s="456"/>
      <c r="BXA153" s="456"/>
      <c r="BXB153" s="456"/>
      <c r="BXC153" s="456"/>
      <c r="BXD153" s="456"/>
      <c r="BXE153" s="456"/>
      <c r="BXF153" s="456"/>
      <c r="BXG153" s="456"/>
      <c r="BXH153" s="456"/>
      <c r="BXI153" s="456"/>
      <c r="BXJ153" s="456"/>
      <c r="BXK153" s="456"/>
      <c r="BXL153" s="456"/>
      <c r="BXM153" s="456"/>
      <c r="BXN153" s="456"/>
      <c r="BXO153" s="456"/>
      <c r="BXP153" s="456"/>
      <c r="BXQ153" s="456"/>
      <c r="BXR153" s="456"/>
      <c r="BXS153" s="456"/>
      <c r="BXT153" s="456"/>
      <c r="BXU153" s="456"/>
      <c r="BXV153" s="456"/>
      <c r="BXW153" s="456"/>
      <c r="BXX153" s="456"/>
      <c r="BXY153" s="456"/>
      <c r="BXZ153" s="456"/>
    </row>
    <row r="154" s="25" customFormat="1" spans="1:1024 1025:2002">
      <c r="A154" s="473"/>
      <c r="B154" s="19">
        <v>1129</v>
      </c>
      <c r="C154" s="183">
        <v>46199</v>
      </c>
      <c r="D154" s="17" t="s">
        <v>91</v>
      </c>
      <c r="E154" s="17" t="s">
        <v>92</v>
      </c>
      <c r="F154" s="17" t="s">
        <v>93</v>
      </c>
      <c r="G154" s="17"/>
      <c r="H154" s="19">
        <v>1.2085</v>
      </c>
      <c r="I154" s="19">
        <v>1.2085</v>
      </c>
      <c r="J154" s="17" t="s">
        <v>49</v>
      </c>
      <c r="K154" s="91">
        <v>2200</v>
      </c>
      <c r="L154" s="91">
        <v>120</v>
      </c>
      <c r="M154" s="19">
        <v>3800</v>
      </c>
      <c r="N154" s="19" t="s">
        <v>66</v>
      </c>
      <c r="O154" s="19" t="s">
        <v>67</v>
      </c>
      <c r="P154" s="19">
        <v>10362</v>
      </c>
      <c r="Q154" s="19">
        <v>7530</v>
      </c>
      <c r="R154" s="99">
        <f t="shared" si="9"/>
        <v>2832</v>
      </c>
      <c r="S154" s="19">
        <v>2500</v>
      </c>
      <c r="T154" s="19" t="s">
        <v>94</v>
      </c>
      <c r="U154" s="102">
        <v>20053867</v>
      </c>
      <c r="V154" s="186">
        <v>46199</v>
      </c>
      <c r="W154" s="17" t="s">
        <v>44</v>
      </c>
      <c r="X154" s="17"/>
      <c r="Y154" s="68">
        <v>46235</v>
      </c>
      <c r="Z154" s="17" t="s">
        <v>95</v>
      </c>
      <c r="AA154" s="17" t="s">
        <v>46</v>
      </c>
      <c r="AB154" s="17"/>
      <c r="AC154" s="102"/>
      <c r="AD154" s="65">
        <v>1868</v>
      </c>
      <c r="AE154" s="17" t="s">
        <v>48</v>
      </c>
      <c r="AF154" s="17"/>
      <c r="AG154" s="17"/>
      <c r="AH154" s="456"/>
      <c r="AI154" s="456"/>
      <c r="AJ154" s="456"/>
      <c r="AK154" s="456"/>
      <c r="AL154" s="456"/>
      <c r="AM154" s="456"/>
      <c r="AN154" s="456"/>
      <c r="AO154" s="456"/>
      <c r="AP154" s="456"/>
      <c r="AQ154" s="456"/>
      <c r="AR154" s="456"/>
      <c r="AS154" s="456"/>
      <c r="AT154" s="456"/>
      <c r="AU154" s="456"/>
      <c r="AV154" s="456"/>
      <c r="AW154" s="456"/>
      <c r="AX154" s="456"/>
      <c r="AY154" s="456"/>
      <c r="AZ154" s="456"/>
      <c r="BA154" s="456"/>
      <c r="BB154" s="456"/>
      <c r="BC154" s="456"/>
      <c r="BD154" s="456"/>
      <c r="BE154" s="456"/>
      <c r="BF154" s="456"/>
      <c r="BG154" s="456"/>
      <c r="BH154" s="456"/>
      <c r="BI154" s="456"/>
      <c r="BJ154" s="456"/>
      <c r="BK154" s="456"/>
      <c r="BL154" s="456"/>
      <c r="BM154" s="456"/>
      <c r="BN154" s="456"/>
      <c r="BO154" s="456"/>
      <c r="BP154" s="456"/>
      <c r="BQ154" s="456"/>
      <c r="BR154" s="456"/>
      <c r="BS154" s="456"/>
      <c r="BT154" s="456"/>
      <c r="BU154" s="456"/>
      <c r="BV154" s="456"/>
      <c r="BW154" s="456"/>
      <c r="BX154" s="456"/>
      <c r="BY154" s="456"/>
      <c r="BZ154" s="456"/>
      <c r="CA154" s="456"/>
      <c r="CB154" s="456"/>
      <c r="CC154" s="456"/>
      <c r="CD154" s="456"/>
      <c r="CE154" s="456"/>
      <c r="CF154" s="456"/>
      <c r="CG154" s="456"/>
      <c r="CH154" s="456"/>
      <c r="CI154" s="456"/>
      <c r="CJ154" s="456"/>
      <c r="CK154" s="456"/>
      <c r="CL154" s="456"/>
      <c r="CM154" s="456"/>
      <c r="CN154" s="456"/>
      <c r="CO154" s="456"/>
      <c r="CP154" s="456"/>
      <c r="CQ154" s="456"/>
      <c r="CR154" s="456"/>
      <c r="CS154" s="456"/>
      <c r="CT154" s="456"/>
      <c r="CU154" s="456"/>
      <c r="CV154" s="456"/>
      <c r="CW154" s="456"/>
      <c r="CX154" s="456"/>
      <c r="CY154" s="456"/>
      <c r="CZ154" s="456"/>
      <c r="DA154" s="456"/>
      <c r="DB154" s="456"/>
      <c r="DC154" s="456"/>
      <c r="DD154" s="456"/>
      <c r="DE154" s="456"/>
      <c r="DF154" s="456"/>
      <c r="DG154" s="456"/>
      <c r="DH154" s="456"/>
      <c r="DI154" s="456"/>
      <c r="DJ154" s="456"/>
      <c r="DK154" s="456"/>
      <c r="DL154" s="456"/>
      <c r="DM154" s="456"/>
      <c r="DN154" s="456"/>
      <c r="DO154" s="456"/>
      <c r="DP154" s="456"/>
      <c r="DQ154" s="456"/>
      <c r="DR154" s="456"/>
      <c r="DS154" s="456"/>
      <c r="DT154" s="456"/>
      <c r="DU154" s="456"/>
      <c r="DV154" s="456"/>
      <c r="DW154" s="456"/>
      <c r="DX154" s="456"/>
      <c r="DY154" s="456"/>
      <c r="DZ154" s="456"/>
      <c r="EA154" s="456"/>
      <c r="EB154" s="456"/>
      <c r="EC154" s="456"/>
      <c r="ED154" s="456"/>
      <c r="EE154" s="456"/>
      <c r="EF154" s="456"/>
      <c r="EG154" s="456"/>
      <c r="EH154" s="456"/>
      <c r="EI154" s="456"/>
      <c r="EJ154" s="456"/>
      <c r="EK154" s="456"/>
      <c r="EL154" s="456"/>
      <c r="EM154" s="456"/>
      <c r="EN154" s="456"/>
      <c r="EO154" s="456"/>
      <c r="EP154" s="456"/>
      <c r="EQ154" s="456"/>
      <c r="ER154" s="456"/>
      <c r="ES154" s="456"/>
      <c r="ET154" s="456"/>
      <c r="EU154" s="456"/>
      <c r="EV154" s="456"/>
      <c r="EW154" s="456"/>
      <c r="EX154" s="456"/>
      <c r="EY154" s="456"/>
      <c r="EZ154" s="456"/>
      <c r="FA154" s="456"/>
      <c r="FB154" s="456"/>
      <c r="FC154" s="456"/>
      <c r="FD154" s="456"/>
      <c r="FE154" s="456"/>
      <c r="FF154" s="456"/>
      <c r="FG154" s="456"/>
      <c r="FH154" s="456"/>
      <c r="FI154" s="456"/>
      <c r="FJ154" s="456"/>
      <c r="FK154" s="456"/>
      <c r="FL154" s="456"/>
      <c r="FM154" s="456"/>
      <c r="FN154" s="456"/>
      <c r="FO154" s="456"/>
      <c r="FP154" s="456"/>
      <c r="FQ154" s="456"/>
      <c r="FR154" s="456"/>
      <c r="FS154" s="456"/>
      <c r="FT154" s="456"/>
      <c r="FU154" s="456"/>
      <c r="FV154" s="456"/>
      <c r="FW154" s="456"/>
      <c r="FX154" s="456"/>
      <c r="FY154" s="456"/>
      <c r="FZ154" s="456"/>
      <c r="GA154" s="456"/>
      <c r="GB154" s="456"/>
      <c r="GC154" s="456"/>
      <c r="GD154" s="456"/>
      <c r="GE154" s="456"/>
      <c r="GF154" s="456"/>
      <c r="GG154" s="456"/>
      <c r="GH154" s="456"/>
      <c r="GI154" s="456"/>
      <c r="GJ154" s="456"/>
      <c r="GK154" s="456"/>
      <c r="GL154" s="456"/>
      <c r="GM154" s="456"/>
      <c r="GN154" s="456"/>
      <c r="GO154" s="456"/>
      <c r="GP154" s="456"/>
      <c r="GQ154" s="456"/>
      <c r="GR154" s="456"/>
      <c r="GS154" s="456"/>
      <c r="GT154" s="456"/>
      <c r="GU154" s="456"/>
      <c r="GV154" s="456"/>
      <c r="GW154" s="456"/>
      <c r="GX154" s="456"/>
      <c r="GY154" s="456"/>
      <c r="GZ154" s="456"/>
      <c r="HA154" s="456"/>
      <c r="HB154" s="456"/>
      <c r="HC154" s="456"/>
      <c r="HD154" s="456"/>
      <c r="HE154" s="456"/>
      <c r="HF154" s="456"/>
      <c r="HG154" s="456"/>
      <c r="HH154" s="456"/>
      <c r="HI154" s="456"/>
      <c r="HJ154" s="456"/>
      <c r="HK154" s="456"/>
      <c r="HL154" s="456"/>
      <c r="HM154" s="456"/>
      <c r="HN154" s="456"/>
      <c r="HO154" s="456"/>
      <c r="HP154" s="456"/>
      <c r="HQ154" s="456"/>
      <c r="HR154" s="456"/>
      <c r="HS154" s="456"/>
      <c r="HT154" s="456"/>
      <c r="HU154" s="456"/>
      <c r="HV154" s="456"/>
      <c r="HW154" s="456"/>
      <c r="HX154" s="456"/>
      <c r="HY154" s="456"/>
      <c r="HZ154" s="456"/>
      <c r="IA154" s="456"/>
      <c r="IB154" s="456"/>
      <c r="IC154" s="456"/>
      <c r="ID154" s="456"/>
      <c r="IE154" s="456"/>
      <c r="IF154" s="456"/>
      <c r="IG154" s="456"/>
      <c r="IH154" s="456"/>
      <c r="II154" s="456"/>
      <c r="IJ154" s="456"/>
      <c r="IK154" s="456"/>
      <c r="IL154" s="456"/>
      <c r="IM154" s="456"/>
      <c r="IN154" s="456"/>
      <c r="IO154" s="456"/>
      <c r="IP154" s="456"/>
      <c r="IQ154" s="456"/>
      <c r="IR154" s="456"/>
      <c r="IS154" s="456"/>
      <c r="IT154" s="456"/>
      <c r="IU154" s="456"/>
      <c r="IV154" s="456"/>
      <c r="IW154" s="456"/>
      <c r="IX154" s="456"/>
      <c r="IY154" s="456"/>
      <c r="IZ154" s="456"/>
      <c r="JA154" s="456"/>
      <c r="JB154" s="456"/>
      <c r="JC154" s="456"/>
      <c r="JD154" s="456"/>
      <c r="JE154" s="456"/>
      <c r="JF154" s="456"/>
      <c r="JG154" s="456"/>
      <c r="JH154" s="456"/>
      <c r="JI154" s="456"/>
      <c r="JJ154" s="456"/>
      <c r="JK154" s="456"/>
      <c r="JL154" s="456"/>
      <c r="JM154" s="456"/>
      <c r="JN154" s="456"/>
      <c r="JO154" s="456"/>
      <c r="JP154" s="456"/>
      <c r="JQ154" s="456"/>
      <c r="JR154" s="456"/>
      <c r="JS154" s="456"/>
      <c r="JT154" s="456"/>
      <c r="JU154" s="456"/>
      <c r="JV154" s="456"/>
      <c r="JW154" s="456"/>
      <c r="JX154" s="456"/>
      <c r="JY154" s="456"/>
      <c r="JZ154" s="456"/>
      <c r="KA154" s="456"/>
      <c r="KB154" s="456"/>
      <c r="KC154" s="456"/>
      <c r="KD154" s="456"/>
      <c r="KE154" s="456"/>
      <c r="KF154" s="456"/>
      <c r="KG154" s="456"/>
      <c r="KH154" s="456"/>
      <c r="KI154" s="456"/>
      <c r="KJ154" s="456"/>
      <c r="KK154" s="456"/>
      <c r="KL154" s="456"/>
      <c r="KM154" s="456"/>
      <c r="KN154" s="456"/>
      <c r="KO154" s="456"/>
      <c r="KP154" s="456"/>
      <c r="KQ154" s="456"/>
      <c r="KR154" s="456"/>
      <c r="KS154" s="456"/>
      <c r="KT154" s="456"/>
      <c r="KU154" s="456"/>
      <c r="KV154" s="456"/>
      <c r="KW154" s="456"/>
      <c r="KX154" s="456"/>
      <c r="KY154" s="456"/>
      <c r="KZ154" s="456"/>
      <c r="LA154" s="456"/>
      <c r="LB154" s="456"/>
      <c r="LC154" s="456"/>
      <c r="LD154" s="456"/>
      <c r="LE154" s="456"/>
      <c r="LF154" s="456"/>
      <c r="LG154" s="456"/>
      <c r="LH154" s="456"/>
      <c r="LI154" s="456"/>
      <c r="LJ154" s="456"/>
      <c r="LK154" s="456"/>
      <c r="LL154" s="456"/>
      <c r="LM154" s="456"/>
      <c r="LN154" s="456"/>
      <c r="LO154" s="456"/>
      <c r="LP154" s="456"/>
      <c r="LQ154" s="456"/>
      <c r="LR154" s="456"/>
      <c r="LS154" s="456"/>
      <c r="LT154" s="456"/>
      <c r="LU154" s="456"/>
      <c r="LV154" s="456"/>
      <c r="LW154" s="456"/>
      <c r="LX154" s="456"/>
      <c r="LY154" s="456"/>
      <c r="LZ154" s="456"/>
      <c r="MA154" s="456"/>
      <c r="MB154" s="456"/>
      <c r="MC154" s="456"/>
      <c r="MD154" s="456"/>
      <c r="ME154" s="456"/>
      <c r="MF154" s="456"/>
      <c r="MG154" s="456"/>
      <c r="MH154" s="456"/>
      <c r="MI154" s="456"/>
      <c r="MJ154" s="456"/>
      <c r="MK154" s="456"/>
      <c r="ML154" s="456"/>
      <c r="MM154" s="456"/>
      <c r="MN154" s="456"/>
      <c r="MO154" s="456"/>
      <c r="MP154" s="456"/>
      <c r="MQ154" s="456"/>
      <c r="MR154" s="456"/>
      <c r="MS154" s="456"/>
      <c r="MT154" s="456"/>
      <c r="MU154" s="456"/>
      <c r="MV154" s="456"/>
      <c r="MW154" s="456"/>
      <c r="MX154" s="456"/>
      <c r="MY154" s="456"/>
      <c r="MZ154" s="456"/>
      <c r="NA154" s="456"/>
      <c r="NB154" s="456"/>
      <c r="NC154" s="456"/>
      <c r="ND154" s="456"/>
      <c r="NE154" s="456"/>
      <c r="NF154" s="456"/>
      <c r="NG154" s="456"/>
      <c r="NH154" s="456"/>
      <c r="NI154" s="456"/>
      <c r="NJ154" s="456"/>
      <c r="NK154" s="456"/>
      <c r="NL154" s="456"/>
      <c r="NM154" s="456"/>
      <c r="NN154" s="456"/>
      <c r="NO154" s="456"/>
      <c r="NP154" s="456"/>
      <c r="NQ154" s="456"/>
      <c r="NR154" s="456"/>
      <c r="NS154" s="456"/>
      <c r="NT154" s="456"/>
      <c r="NU154" s="456"/>
      <c r="NV154" s="456"/>
      <c r="NW154" s="456"/>
      <c r="NX154" s="456"/>
      <c r="NY154" s="456"/>
      <c r="NZ154" s="456"/>
      <c r="OA154" s="456"/>
      <c r="OB154" s="456"/>
      <c r="OC154" s="456"/>
      <c r="OD154" s="456"/>
      <c r="OE154" s="456"/>
      <c r="OF154" s="456"/>
      <c r="OG154" s="456"/>
      <c r="OH154" s="456"/>
      <c r="OI154" s="456"/>
      <c r="OJ154" s="456"/>
      <c r="OK154" s="456"/>
      <c r="OL154" s="456"/>
      <c r="OM154" s="456"/>
      <c r="ON154" s="456"/>
      <c r="OO154" s="456"/>
      <c r="OP154" s="456"/>
      <c r="OQ154" s="456"/>
      <c r="OR154" s="456"/>
      <c r="OS154" s="456"/>
      <c r="OT154" s="456"/>
      <c r="OU154" s="456"/>
      <c r="OV154" s="456"/>
      <c r="OW154" s="456"/>
      <c r="OX154" s="456"/>
      <c r="OY154" s="456"/>
      <c r="OZ154" s="456"/>
      <c r="PA154" s="456"/>
      <c r="PB154" s="456"/>
      <c r="PC154" s="456"/>
      <c r="PD154" s="456"/>
      <c r="PE154" s="456"/>
      <c r="PF154" s="456"/>
      <c r="PG154" s="456"/>
      <c r="PH154" s="456"/>
      <c r="PI154" s="456"/>
      <c r="PJ154" s="456"/>
      <c r="PK154" s="456"/>
      <c r="PL154" s="456"/>
      <c r="PM154" s="456"/>
      <c r="PN154" s="456"/>
      <c r="PO154" s="456"/>
      <c r="PP154" s="456"/>
      <c r="PQ154" s="456"/>
      <c r="PR154" s="456"/>
      <c r="PS154" s="456"/>
      <c r="PT154" s="456"/>
      <c r="PU154" s="456"/>
      <c r="PV154" s="456"/>
      <c r="PW154" s="456"/>
      <c r="PX154" s="456"/>
      <c r="PY154" s="456"/>
      <c r="PZ154" s="456"/>
      <c r="QA154" s="456"/>
      <c r="QB154" s="456"/>
      <c r="QC154" s="456"/>
      <c r="QD154" s="456"/>
      <c r="QE154" s="456"/>
      <c r="QF154" s="456"/>
      <c r="QG154" s="456"/>
      <c r="QH154" s="456"/>
      <c r="QI154" s="456"/>
      <c r="QJ154" s="456"/>
      <c r="QK154" s="456"/>
      <c r="QL154" s="456"/>
      <c r="QM154" s="456"/>
      <c r="QN154" s="456"/>
      <c r="QO154" s="456"/>
      <c r="QP154" s="456"/>
      <c r="QQ154" s="456"/>
      <c r="QR154" s="456"/>
      <c r="QS154" s="456"/>
      <c r="QT154" s="456"/>
      <c r="QU154" s="456"/>
      <c r="QV154" s="456"/>
      <c r="QW154" s="456"/>
      <c r="QX154" s="456"/>
      <c r="QY154" s="456"/>
      <c r="QZ154" s="456"/>
      <c r="RA154" s="456"/>
      <c r="RB154" s="456"/>
      <c r="RC154" s="456"/>
      <c r="RD154" s="456"/>
      <c r="RE154" s="456"/>
      <c r="RF154" s="456"/>
      <c r="RG154" s="456"/>
      <c r="RH154" s="456"/>
      <c r="RI154" s="456"/>
      <c r="RJ154" s="456"/>
      <c r="RK154" s="456"/>
      <c r="RL154" s="456"/>
      <c r="RM154" s="456"/>
      <c r="RN154" s="456"/>
      <c r="RO154" s="456"/>
      <c r="RP154" s="456"/>
      <c r="RQ154" s="456"/>
      <c r="RR154" s="456"/>
      <c r="RS154" s="456"/>
      <c r="RT154" s="456"/>
      <c r="RU154" s="456"/>
      <c r="RV154" s="456"/>
      <c r="RW154" s="456"/>
      <c r="RX154" s="456"/>
      <c r="RY154" s="456"/>
      <c r="RZ154" s="456"/>
      <c r="SA154" s="456"/>
      <c r="SB154" s="456"/>
      <c r="SC154" s="456"/>
      <c r="SD154" s="456"/>
      <c r="SE154" s="456"/>
      <c r="SF154" s="456"/>
      <c r="SG154" s="456"/>
      <c r="SH154" s="456"/>
      <c r="SI154" s="456"/>
      <c r="SJ154" s="456"/>
      <c r="SK154" s="456"/>
      <c r="SL154" s="456"/>
      <c r="SM154" s="456"/>
      <c r="SN154" s="456"/>
      <c r="SO154" s="456"/>
      <c r="SP154" s="456"/>
      <c r="SQ154" s="456"/>
      <c r="SR154" s="456"/>
      <c r="SS154" s="456"/>
      <c r="ST154" s="456"/>
      <c r="SU154" s="456"/>
      <c r="SV154" s="456"/>
      <c r="SW154" s="456"/>
      <c r="SX154" s="456"/>
      <c r="SY154" s="456"/>
      <c r="SZ154" s="456"/>
      <c r="TA154" s="456"/>
      <c r="TB154" s="456"/>
      <c r="TC154" s="456"/>
      <c r="TD154" s="456"/>
      <c r="TE154" s="456"/>
      <c r="TF154" s="456"/>
      <c r="TG154" s="456"/>
      <c r="TH154" s="456"/>
      <c r="TI154" s="456"/>
      <c r="TJ154" s="456"/>
      <c r="TK154" s="456"/>
      <c r="TL154" s="456"/>
      <c r="TM154" s="456"/>
      <c r="TN154" s="456"/>
      <c r="TO154" s="456"/>
      <c r="TP154" s="456"/>
      <c r="TQ154" s="456"/>
      <c r="TR154" s="456"/>
      <c r="TS154" s="456"/>
      <c r="TT154" s="456"/>
      <c r="TU154" s="456"/>
      <c r="TV154" s="456"/>
      <c r="TW154" s="456"/>
      <c r="TX154" s="456"/>
      <c r="TY154" s="456"/>
      <c r="TZ154" s="456"/>
      <c r="UA154" s="456"/>
      <c r="UB154" s="456"/>
      <c r="UC154" s="456"/>
      <c r="UD154" s="456"/>
      <c r="UE154" s="456"/>
      <c r="UF154" s="456"/>
      <c r="UG154" s="456"/>
      <c r="UH154" s="456"/>
      <c r="UI154" s="456"/>
      <c r="UJ154" s="456"/>
      <c r="UK154" s="456"/>
      <c r="UL154" s="456"/>
      <c r="UM154" s="456"/>
      <c r="UN154" s="456"/>
      <c r="UO154" s="456"/>
      <c r="UP154" s="456"/>
      <c r="UQ154" s="456"/>
      <c r="UR154" s="456"/>
      <c r="US154" s="456"/>
      <c r="UT154" s="456"/>
      <c r="UU154" s="456"/>
      <c r="UV154" s="456"/>
      <c r="UW154" s="456"/>
      <c r="UX154" s="456"/>
      <c r="UY154" s="456"/>
      <c r="UZ154" s="456"/>
      <c r="VA154" s="456"/>
      <c r="VB154" s="456"/>
      <c r="VC154" s="456"/>
      <c r="VD154" s="456"/>
      <c r="VE154" s="456"/>
      <c r="VF154" s="456"/>
      <c r="VG154" s="456"/>
      <c r="VH154" s="456"/>
      <c r="VI154" s="456"/>
      <c r="VJ154" s="456"/>
      <c r="VK154" s="456"/>
      <c r="VL154" s="456"/>
      <c r="VM154" s="456"/>
      <c r="VN154" s="456"/>
      <c r="VO154" s="456"/>
      <c r="VP154" s="456"/>
      <c r="VQ154" s="456"/>
      <c r="VR154" s="456"/>
      <c r="VS154" s="456"/>
      <c r="VT154" s="456"/>
      <c r="VU154" s="456"/>
      <c r="VV154" s="456"/>
      <c r="VW154" s="456"/>
      <c r="VX154" s="456"/>
      <c r="VY154" s="456"/>
      <c r="VZ154" s="456"/>
      <c r="WA154" s="456"/>
      <c r="WB154" s="456"/>
      <c r="WC154" s="456"/>
      <c r="WD154" s="456"/>
      <c r="WE154" s="456"/>
      <c r="WF154" s="456"/>
      <c r="WG154" s="456"/>
      <c r="WH154" s="456"/>
      <c r="WI154" s="456"/>
      <c r="WJ154" s="456"/>
      <c r="WK154" s="456"/>
      <c r="WL154" s="456"/>
      <c r="WM154" s="456"/>
      <c r="WN154" s="456"/>
      <c r="WO154" s="456"/>
      <c r="WP154" s="456"/>
      <c r="WQ154" s="456"/>
      <c r="WR154" s="456"/>
      <c r="WS154" s="456"/>
      <c r="WT154" s="456"/>
      <c r="WU154" s="456"/>
      <c r="WV154" s="456"/>
      <c r="WW154" s="456"/>
      <c r="WX154" s="456"/>
      <c r="WY154" s="456"/>
      <c r="WZ154" s="456"/>
      <c r="XA154" s="456"/>
      <c r="XB154" s="456"/>
      <c r="XC154" s="456"/>
      <c r="XD154" s="456"/>
      <c r="XE154" s="456"/>
      <c r="XF154" s="456"/>
      <c r="XG154" s="456"/>
      <c r="XH154" s="456"/>
      <c r="XI154" s="456"/>
      <c r="XJ154" s="456"/>
      <c r="XK154" s="456"/>
      <c r="XL154" s="456"/>
      <c r="XM154" s="456"/>
      <c r="XN154" s="456"/>
      <c r="XO154" s="456"/>
      <c r="XP154" s="456"/>
      <c r="XQ154" s="456"/>
      <c r="XR154" s="456"/>
      <c r="XS154" s="456"/>
      <c r="XT154" s="456"/>
      <c r="XU154" s="456"/>
      <c r="XV154" s="456"/>
      <c r="XW154" s="456"/>
      <c r="XX154" s="456"/>
      <c r="XY154" s="456"/>
      <c r="XZ154" s="456"/>
      <c r="YA154" s="456"/>
      <c r="YB154" s="456"/>
      <c r="YC154" s="456"/>
      <c r="YD154" s="456"/>
      <c r="YE154" s="456"/>
      <c r="YF154" s="456"/>
      <c r="YG154" s="456"/>
      <c r="YH154" s="456"/>
      <c r="YI154" s="456"/>
      <c r="YJ154" s="456"/>
      <c r="YK154" s="456"/>
      <c r="YL154" s="456"/>
      <c r="YM154" s="456"/>
      <c r="YN154" s="456"/>
      <c r="YO154" s="456"/>
      <c r="YP154" s="456"/>
      <c r="YQ154" s="456"/>
      <c r="YR154" s="456"/>
      <c r="YS154" s="456"/>
      <c r="YT154" s="456"/>
      <c r="YU154" s="456"/>
      <c r="YV154" s="456"/>
      <c r="YW154" s="456"/>
      <c r="YX154" s="456"/>
      <c r="YY154" s="456"/>
      <c r="YZ154" s="456"/>
      <c r="ZA154" s="456"/>
      <c r="ZB154" s="456"/>
      <c r="ZC154" s="456"/>
      <c r="ZD154" s="456"/>
      <c r="ZE154" s="456"/>
      <c r="ZF154" s="456"/>
      <c r="ZG154" s="456"/>
      <c r="ZH154" s="456"/>
      <c r="ZI154" s="456"/>
      <c r="ZJ154" s="456"/>
      <c r="ZK154" s="456"/>
      <c r="ZL154" s="456"/>
      <c r="ZM154" s="456"/>
      <c r="ZN154" s="456"/>
      <c r="ZO154" s="456"/>
      <c r="ZP154" s="456"/>
      <c r="ZQ154" s="456"/>
      <c r="ZR154" s="456"/>
      <c r="ZS154" s="456"/>
      <c r="ZT154" s="456"/>
      <c r="ZU154" s="456"/>
      <c r="ZV154" s="456"/>
      <c r="ZW154" s="456"/>
      <c r="ZX154" s="456"/>
      <c r="ZY154" s="456"/>
      <c r="ZZ154" s="456"/>
      <c r="AAA154" s="456"/>
      <c r="AAB154" s="456"/>
      <c r="AAC154" s="456"/>
      <c r="AAD154" s="456"/>
      <c r="AAE154" s="456"/>
      <c r="AAF154" s="456"/>
      <c r="AAG154" s="456"/>
      <c r="AAH154" s="456"/>
      <c r="AAI154" s="456"/>
      <c r="AAJ154" s="456"/>
      <c r="AAK154" s="456"/>
      <c r="AAL154" s="456"/>
      <c r="AAM154" s="456"/>
      <c r="AAN154" s="456"/>
      <c r="AAO154" s="456"/>
      <c r="AAP154" s="456"/>
      <c r="AAQ154" s="456"/>
      <c r="AAR154" s="456"/>
      <c r="AAS154" s="456"/>
      <c r="AAT154" s="456"/>
      <c r="AAU154" s="456"/>
      <c r="AAV154" s="456"/>
      <c r="AAW154" s="456"/>
      <c r="AAX154" s="456"/>
      <c r="AAY154" s="456"/>
      <c r="AAZ154" s="456"/>
      <c r="ABA154" s="456"/>
      <c r="ABB154" s="456"/>
      <c r="ABC154" s="456"/>
      <c r="ABD154" s="456"/>
      <c r="ABE154" s="456"/>
      <c r="ABF154" s="456"/>
      <c r="ABG154" s="456"/>
      <c r="ABH154" s="456"/>
      <c r="ABI154" s="456"/>
      <c r="ABJ154" s="456"/>
      <c r="ABK154" s="456"/>
      <c r="ABL154" s="456"/>
      <c r="ABM154" s="456"/>
      <c r="ABN154" s="456"/>
      <c r="ABO154" s="456"/>
      <c r="ABP154" s="456"/>
      <c r="ABQ154" s="456"/>
      <c r="ABR154" s="456"/>
      <c r="ABS154" s="456"/>
      <c r="ABT154" s="456"/>
      <c r="ABU154" s="456"/>
      <c r="ABV154" s="456"/>
      <c r="ABW154" s="456"/>
      <c r="ABX154" s="456"/>
      <c r="ABY154" s="456"/>
      <c r="ABZ154" s="456"/>
      <c r="ACA154" s="456"/>
      <c r="ACB154" s="456"/>
      <c r="ACC154" s="456"/>
      <c r="ACD154" s="456"/>
      <c r="ACE154" s="456"/>
      <c r="ACF154" s="456"/>
      <c r="ACG154" s="456"/>
      <c r="ACH154" s="456"/>
      <c r="ACI154" s="456"/>
      <c r="ACJ154" s="456"/>
      <c r="ACK154" s="456"/>
      <c r="ACL154" s="456"/>
      <c r="ACM154" s="456"/>
      <c r="ACN154" s="456"/>
      <c r="ACO154" s="456"/>
      <c r="ACP154" s="456"/>
      <c r="ACQ154" s="456"/>
      <c r="ACR154" s="456"/>
      <c r="ACS154" s="456"/>
      <c r="ACT154" s="456"/>
      <c r="ACU154" s="456"/>
      <c r="ACV154" s="456"/>
      <c r="ACW154" s="456"/>
      <c r="ACX154" s="456"/>
      <c r="ACY154" s="456"/>
      <c r="ACZ154" s="456"/>
      <c r="ADA154" s="456"/>
      <c r="ADB154" s="456"/>
      <c r="ADC154" s="456"/>
      <c r="ADD154" s="456"/>
      <c r="ADE154" s="456"/>
      <c r="ADF154" s="456"/>
      <c r="ADG154" s="456"/>
      <c r="ADH154" s="456"/>
      <c r="ADI154" s="456"/>
      <c r="ADJ154" s="456"/>
      <c r="ADK154" s="456"/>
      <c r="ADL154" s="456"/>
      <c r="ADM154" s="456"/>
      <c r="ADN154" s="456"/>
      <c r="ADO154" s="456"/>
      <c r="ADP154" s="456"/>
      <c r="ADQ154" s="456"/>
      <c r="ADR154" s="456"/>
      <c r="ADS154" s="456"/>
      <c r="ADT154" s="456"/>
      <c r="ADU154" s="456"/>
      <c r="ADV154" s="456"/>
      <c r="ADW154" s="456"/>
      <c r="ADX154" s="456"/>
      <c r="ADY154" s="456"/>
      <c r="ADZ154" s="456"/>
      <c r="AEA154" s="456"/>
      <c r="AEB154" s="456"/>
      <c r="AEC154" s="456"/>
      <c r="AED154" s="456"/>
      <c r="AEE154" s="456"/>
      <c r="AEF154" s="456"/>
      <c r="AEG154" s="456"/>
      <c r="AEH154" s="456"/>
      <c r="AEI154" s="456"/>
      <c r="AEJ154" s="456"/>
      <c r="AEK154" s="456"/>
      <c r="AEL154" s="456"/>
      <c r="AEM154" s="456"/>
      <c r="AEN154" s="456"/>
      <c r="AEO154" s="456"/>
      <c r="AEP154" s="456"/>
      <c r="AEQ154" s="456"/>
      <c r="AER154" s="456"/>
      <c r="AES154" s="456"/>
      <c r="AET154" s="456"/>
      <c r="AEU154" s="456"/>
      <c r="AEV154" s="456"/>
      <c r="AEW154" s="456"/>
      <c r="AEX154" s="456"/>
      <c r="AEY154" s="456"/>
      <c r="AEZ154" s="456"/>
      <c r="AFA154" s="456"/>
      <c r="AFB154" s="456"/>
      <c r="AFC154" s="456"/>
      <c r="AFD154" s="456"/>
      <c r="AFE154" s="456"/>
      <c r="AFF154" s="456"/>
      <c r="AFG154" s="456"/>
      <c r="AFH154" s="456"/>
      <c r="AFI154" s="456"/>
      <c r="AFJ154" s="456"/>
      <c r="AFK154" s="456"/>
      <c r="AFL154" s="456"/>
      <c r="AFM154" s="456"/>
      <c r="AFN154" s="456"/>
      <c r="AFO154" s="456"/>
      <c r="AFP154" s="456"/>
      <c r="AFQ154" s="456"/>
      <c r="AFR154" s="456"/>
      <c r="AFS154" s="456"/>
      <c r="AFT154" s="456"/>
      <c r="AFU154" s="456"/>
      <c r="AFV154" s="456"/>
      <c r="AFW154" s="456"/>
      <c r="AFX154" s="456"/>
      <c r="AFY154" s="456"/>
      <c r="AFZ154" s="456"/>
      <c r="AGA154" s="456"/>
      <c r="AGB154" s="456"/>
      <c r="AGC154" s="456"/>
      <c r="AGD154" s="456"/>
      <c r="AGE154" s="456"/>
      <c r="AGF154" s="456"/>
      <c r="AGG154" s="456"/>
      <c r="AGH154" s="456"/>
      <c r="AGI154" s="456"/>
      <c r="AGJ154" s="456"/>
      <c r="AGK154" s="456"/>
      <c r="AGL154" s="456"/>
      <c r="AGM154" s="456"/>
      <c r="AGN154" s="456"/>
      <c r="AGO154" s="456"/>
      <c r="AGP154" s="456"/>
      <c r="AGQ154" s="456"/>
      <c r="AGR154" s="456"/>
      <c r="AGS154" s="456"/>
      <c r="AGT154" s="456"/>
      <c r="AGU154" s="456"/>
      <c r="AGV154" s="456"/>
      <c r="AGW154" s="456"/>
      <c r="AGX154" s="456"/>
      <c r="AGY154" s="456"/>
      <c r="AGZ154" s="456"/>
      <c r="AHA154" s="456"/>
      <c r="AHB154" s="456"/>
      <c r="AHC154" s="456"/>
      <c r="AHD154" s="456"/>
      <c r="AHE154" s="456"/>
      <c r="AHF154" s="456"/>
      <c r="AHG154" s="456"/>
      <c r="AHH154" s="456"/>
      <c r="AHI154" s="456"/>
      <c r="AHJ154" s="456"/>
      <c r="AHK154" s="456"/>
      <c r="AHL154" s="456"/>
      <c r="AHM154" s="456"/>
      <c r="AHN154" s="456"/>
      <c r="AHO154" s="456"/>
      <c r="AHP154" s="456"/>
      <c r="AHQ154" s="456"/>
      <c r="AHR154" s="456"/>
      <c r="AHS154" s="456"/>
      <c r="AHT154" s="456"/>
      <c r="AHU154" s="456"/>
      <c r="AHV154" s="456"/>
      <c r="AHW154" s="456"/>
      <c r="AHX154" s="456"/>
      <c r="AHY154" s="456"/>
      <c r="AHZ154" s="456"/>
      <c r="AIA154" s="456"/>
      <c r="AIB154" s="456"/>
      <c r="AIC154" s="456"/>
      <c r="AID154" s="456"/>
      <c r="AIE154" s="456"/>
      <c r="AIF154" s="456"/>
      <c r="AIG154" s="456"/>
      <c r="AIH154" s="456"/>
      <c r="AII154" s="456"/>
      <c r="AIJ154" s="456"/>
      <c r="AIK154" s="456"/>
      <c r="AIL154" s="456"/>
      <c r="AIM154" s="456"/>
      <c r="AIN154" s="456"/>
      <c r="AIO154" s="456"/>
      <c r="AIP154" s="456"/>
      <c r="AIQ154" s="456"/>
      <c r="AIR154" s="456"/>
      <c r="AIS154" s="456"/>
      <c r="AIT154" s="456"/>
      <c r="AIU154" s="456"/>
      <c r="AIV154" s="456"/>
      <c r="AIW154" s="456"/>
      <c r="AIX154" s="456"/>
      <c r="AIY154" s="456"/>
      <c r="AIZ154" s="456"/>
      <c r="AJA154" s="456"/>
      <c r="AJB154" s="456"/>
      <c r="AJC154" s="456"/>
      <c r="AJD154" s="456"/>
      <c r="AJE154" s="456"/>
      <c r="AJF154" s="456"/>
      <c r="AJG154" s="456"/>
      <c r="AJH154" s="456"/>
      <c r="AJI154" s="456"/>
      <c r="AJJ154" s="456"/>
      <c r="AJK154" s="456"/>
      <c r="AJL154" s="456"/>
      <c r="AJM154" s="456"/>
      <c r="AJN154" s="456"/>
      <c r="AJO154" s="456"/>
      <c r="AJP154" s="456"/>
      <c r="AJQ154" s="456"/>
      <c r="AJR154" s="456"/>
      <c r="AJS154" s="456"/>
      <c r="AJT154" s="456"/>
      <c r="AJU154" s="456"/>
      <c r="AJV154" s="456"/>
      <c r="AJW154" s="456"/>
      <c r="AJX154" s="456"/>
      <c r="AJY154" s="456"/>
      <c r="AJZ154" s="456"/>
      <c r="AKA154" s="456"/>
      <c r="AKB154" s="456"/>
      <c r="AKC154" s="456"/>
      <c r="AKD154" s="456"/>
      <c r="AKE154" s="456"/>
      <c r="AKF154" s="456"/>
      <c r="AKG154" s="456"/>
      <c r="AKH154" s="456"/>
      <c r="AKI154" s="456"/>
      <c r="AKJ154" s="456"/>
      <c r="AKK154" s="456"/>
      <c r="AKL154" s="456"/>
      <c r="AKM154" s="456"/>
      <c r="AKN154" s="456"/>
      <c r="AKO154" s="456"/>
      <c r="AKP154" s="456"/>
      <c r="AKQ154" s="456"/>
      <c r="AKR154" s="456"/>
      <c r="AKS154" s="456"/>
      <c r="AKT154" s="456"/>
      <c r="AKU154" s="456"/>
      <c r="AKV154" s="456"/>
      <c r="AKW154" s="456"/>
      <c r="AKX154" s="456"/>
      <c r="AKY154" s="456"/>
      <c r="AKZ154" s="456"/>
      <c r="ALA154" s="456"/>
      <c r="ALB154" s="456"/>
      <c r="ALC154" s="456"/>
      <c r="ALD154" s="456"/>
      <c r="ALE154" s="456"/>
      <c r="ALF154" s="456"/>
      <c r="ALG154" s="456"/>
      <c r="ALH154" s="456"/>
      <c r="ALI154" s="456"/>
      <c r="ALJ154" s="456"/>
      <c r="ALK154" s="456"/>
      <c r="ALL154" s="456"/>
      <c r="ALM154" s="456"/>
      <c r="ALN154" s="456"/>
      <c r="ALO154" s="456"/>
      <c r="ALP154" s="456"/>
      <c r="ALQ154" s="456"/>
      <c r="ALR154" s="456"/>
      <c r="ALS154" s="456"/>
      <c r="ALT154" s="456"/>
      <c r="ALU154" s="456"/>
      <c r="ALV154" s="456"/>
      <c r="ALW154" s="456"/>
      <c r="ALX154" s="456"/>
      <c r="ALY154" s="456"/>
      <c r="ALZ154" s="456"/>
      <c r="AMA154" s="456"/>
      <c r="AMB154" s="456"/>
      <c r="AMC154" s="456"/>
      <c r="AMD154" s="456"/>
      <c r="AME154" s="456"/>
      <c r="AMF154" s="456"/>
      <c r="AMG154" s="456"/>
      <c r="AMH154" s="456"/>
      <c r="AMI154" s="456"/>
      <c r="AMJ154" s="456"/>
      <c r="AMK154" s="456"/>
      <c r="AML154" s="456"/>
      <c r="AMM154" s="456"/>
      <c r="AMN154" s="456"/>
      <c r="AMO154" s="456"/>
      <c r="AMP154" s="456"/>
      <c r="AMQ154" s="456"/>
      <c r="AMR154" s="456"/>
      <c r="AMS154" s="456"/>
      <c r="AMT154" s="456"/>
      <c r="AMU154" s="456"/>
      <c r="AMV154" s="456"/>
      <c r="AMW154" s="456"/>
      <c r="AMX154" s="456"/>
      <c r="AMY154" s="456"/>
      <c r="AMZ154" s="456"/>
      <c r="ANA154" s="456"/>
      <c r="ANB154" s="456"/>
      <c r="ANC154" s="456"/>
      <c r="AND154" s="456"/>
      <c r="ANE154" s="456"/>
      <c r="ANF154" s="456"/>
      <c r="ANG154" s="456"/>
      <c r="ANH154" s="456"/>
      <c r="ANI154" s="456"/>
      <c r="ANJ154" s="456"/>
      <c r="ANK154" s="456"/>
      <c r="ANL154" s="456"/>
      <c r="ANM154" s="456"/>
      <c r="ANN154" s="456"/>
      <c r="ANO154" s="456"/>
      <c r="ANP154" s="456"/>
      <c r="ANQ154" s="456"/>
      <c r="ANR154" s="456"/>
      <c r="ANS154" s="456"/>
      <c r="ANT154" s="456"/>
      <c r="ANU154" s="456"/>
      <c r="ANV154" s="456"/>
      <c r="ANW154" s="456"/>
      <c r="ANX154" s="456"/>
      <c r="ANY154" s="456"/>
      <c r="ANZ154" s="456"/>
      <c r="AOA154" s="456"/>
      <c r="AOB154" s="456"/>
      <c r="AOC154" s="456"/>
      <c r="AOD154" s="456"/>
      <c r="AOE154" s="456"/>
      <c r="AOF154" s="456"/>
      <c r="AOG154" s="456"/>
      <c r="AOH154" s="456"/>
      <c r="AOI154" s="456"/>
      <c r="AOJ154" s="456"/>
      <c r="AOK154" s="456"/>
      <c r="AOL154" s="456"/>
      <c r="AOM154" s="456"/>
      <c r="AON154" s="456"/>
      <c r="AOO154" s="456"/>
      <c r="AOP154" s="456"/>
      <c r="AOQ154" s="456"/>
      <c r="AOR154" s="456"/>
      <c r="AOS154" s="456"/>
      <c r="AOT154" s="456"/>
      <c r="AOU154" s="456"/>
      <c r="AOV154" s="456"/>
      <c r="AOW154" s="456"/>
      <c r="AOX154" s="456"/>
      <c r="AOY154" s="456"/>
      <c r="AOZ154" s="456"/>
      <c r="APA154" s="456"/>
      <c r="APB154" s="456"/>
      <c r="APC154" s="456"/>
      <c r="APD154" s="456"/>
      <c r="APE154" s="456"/>
      <c r="APF154" s="456"/>
      <c r="APG154" s="456"/>
      <c r="APH154" s="456"/>
      <c r="API154" s="456"/>
      <c r="APJ154" s="456"/>
      <c r="APK154" s="456"/>
      <c r="APL154" s="456"/>
      <c r="APM154" s="456"/>
      <c r="APN154" s="456"/>
      <c r="APO154" s="456"/>
      <c r="APP154" s="456"/>
      <c r="APQ154" s="456"/>
      <c r="APR154" s="456"/>
      <c r="APS154" s="456"/>
      <c r="APT154" s="456"/>
      <c r="APU154" s="456"/>
      <c r="APV154" s="456"/>
      <c r="APW154" s="456"/>
      <c r="APX154" s="456"/>
      <c r="APY154" s="456"/>
      <c r="APZ154" s="456"/>
      <c r="AQA154" s="456"/>
      <c r="AQB154" s="456"/>
      <c r="AQC154" s="456"/>
      <c r="AQD154" s="456"/>
      <c r="AQE154" s="456"/>
      <c r="AQF154" s="456"/>
      <c r="AQG154" s="456"/>
      <c r="AQH154" s="456"/>
      <c r="AQI154" s="456"/>
      <c r="AQJ154" s="456"/>
      <c r="AQK154" s="456"/>
      <c r="AQL154" s="456"/>
      <c r="AQM154" s="456"/>
      <c r="AQN154" s="456"/>
      <c r="AQO154" s="456"/>
      <c r="AQP154" s="456"/>
      <c r="AQQ154" s="456"/>
      <c r="AQR154" s="456"/>
      <c r="AQS154" s="456"/>
      <c r="AQT154" s="456"/>
      <c r="AQU154" s="456"/>
      <c r="AQV154" s="456"/>
      <c r="AQW154" s="456"/>
      <c r="AQX154" s="456"/>
      <c r="AQY154" s="456"/>
      <c r="AQZ154" s="456"/>
      <c r="ARA154" s="456"/>
      <c r="ARB154" s="456"/>
      <c r="ARC154" s="456"/>
      <c r="ARD154" s="456"/>
      <c r="ARE154" s="456"/>
      <c r="ARF154" s="456"/>
      <c r="ARG154" s="456"/>
      <c r="ARH154" s="456"/>
      <c r="ARI154" s="456"/>
      <c r="ARJ154" s="456"/>
      <c r="ARK154" s="456"/>
      <c r="ARL154" s="456"/>
      <c r="ARM154" s="456"/>
      <c r="ARN154" s="456"/>
      <c r="ARO154" s="456"/>
      <c r="ARP154" s="456"/>
      <c r="ARQ154" s="456"/>
      <c r="ARR154" s="456"/>
      <c r="ARS154" s="456"/>
      <c r="ART154" s="456"/>
      <c r="ARU154" s="456"/>
      <c r="ARV154" s="456"/>
      <c r="ARW154" s="456"/>
      <c r="ARX154" s="456"/>
      <c r="ARY154" s="456"/>
      <c r="ARZ154" s="456"/>
      <c r="ASA154" s="456"/>
      <c r="ASB154" s="456"/>
      <c r="ASC154" s="456"/>
      <c r="ASD154" s="456"/>
      <c r="ASE154" s="456"/>
      <c r="ASF154" s="456"/>
      <c r="ASG154" s="456"/>
      <c r="ASH154" s="456"/>
      <c r="ASI154" s="456"/>
      <c r="ASJ154" s="456"/>
      <c r="ASK154" s="456"/>
      <c r="ASL154" s="456"/>
      <c r="ASM154" s="456"/>
      <c r="ASN154" s="456"/>
      <c r="ASO154" s="456"/>
      <c r="ASP154" s="456"/>
      <c r="ASQ154" s="456"/>
      <c r="ASR154" s="456"/>
      <c r="ASS154" s="456"/>
      <c r="AST154" s="456"/>
      <c r="ASU154" s="456"/>
      <c r="ASV154" s="456"/>
      <c r="ASW154" s="456"/>
      <c r="ASX154" s="456"/>
      <c r="ASY154" s="456"/>
      <c r="ASZ154" s="456"/>
      <c r="ATA154" s="456"/>
      <c r="ATB154" s="456"/>
      <c r="ATC154" s="456"/>
      <c r="ATD154" s="456"/>
      <c r="ATE154" s="456"/>
      <c r="ATF154" s="456"/>
      <c r="ATG154" s="456"/>
      <c r="ATH154" s="456"/>
      <c r="ATI154" s="456"/>
      <c r="ATJ154" s="456"/>
      <c r="ATK154" s="456"/>
      <c r="ATL154" s="456"/>
      <c r="ATM154" s="456"/>
      <c r="ATN154" s="456"/>
      <c r="ATO154" s="456"/>
      <c r="ATP154" s="456"/>
      <c r="ATQ154" s="456"/>
      <c r="ATR154" s="456"/>
      <c r="ATS154" s="456"/>
      <c r="ATT154" s="456"/>
      <c r="ATU154" s="456"/>
      <c r="ATV154" s="456"/>
      <c r="ATW154" s="456"/>
      <c r="ATX154" s="456"/>
      <c r="ATY154" s="456"/>
      <c r="ATZ154" s="456"/>
      <c r="AUA154" s="456"/>
      <c r="AUB154" s="456"/>
      <c r="AUC154" s="456"/>
      <c r="AUD154" s="456"/>
      <c r="AUE154" s="456"/>
      <c r="AUF154" s="456"/>
      <c r="AUG154" s="456"/>
      <c r="AUH154" s="456"/>
      <c r="AUI154" s="456"/>
      <c r="AUJ154" s="456"/>
      <c r="AUK154" s="456"/>
      <c r="AUL154" s="456"/>
      <c r="AUM154" s="456"/>
      <c r="AUN154" s="456"/>
      <c r="AUO154" s="456"/>
      <c r="AUP154" s="456"/>
      <c r="AUQ154" s="456"/>
      <c r="AUR154" s="456"/>
      <c r="AUS154" s="456"/>
      <c r="AUT154" s="456"/>
      <c r="AUU154" s="456"/>
      <c r="AUV154" s="456"/>
      <c r="AUW154" s="456"/>
      <c r="AUX154" s="456"/>
      <c r="AUY154" s="456"/>
      <c r="AUZ154" s="456"/>
      <c r="AVA154" s="456"/>
      <c r="AVB154" s="456"/>
      <c r="AVC154" s="456"/>
      <c r="AVD154" s="456"/>
      <c r="AVE154" s="456"/>
      <c r="AVF154" s="456"/>
      <c r="AVG154" s="456"/>
      <c r="AVH154" s="456"/>
      <c r="AVI154" s="456"/>
      <c r="AVJ154" s="456"/>
      <c r="AVK154" s="456"/>
      <c r="AVL154" s="456"/>
      <c r="AVM154" s="456"/>
      <c r="AVN154" s="456"/>
      <c r="AVO154" s="456"/>
      <c r="AVP154" s="456"/>
      <c r="AVQ154" s="456"/>
      <c r="AVR154" s="456"/>
      <c r="AVS154" s="456"/>
      <c r="AVT154" s="456"/>
      <c r="AVU154" s="456"/>
      <c r="AVV154" s="456"/>
      <c r="AVW154" s="456"/>
      <c r="AVX154" s="456"/>
      <c r="AVY154" s="456"/>
      <c r="AVZ154" s="456"/>
      <c r="AWA154" s="456"/>
      <c r="AWB154" s="456"/>
      <c r="AWC154" s="456"/>
      <c r="AWD154" s="456"/>
      <c r="AWE154" s="456"/>
      <c r="AWF154" s="456"/>
      <c r="AWG154" s="456"/>
      <c r="AWH154" s="456"/>
      <c r="AWI154" s="456"/>
      <c r="AWJ154" s="456"/>
      <c r="AWK154" s="456"/>
      <c r="AWL154" s="456"/>
      <c r="AWM154" s="456"/>
      <c r="AWN154" s="456"/>
      <c r="AWO154" s="456"/>
      <c r="AWP154" s="456"/>
      <c r="AWQ154" s="456"/>
      <c r="AWR154" s="456"/>
      <c r="AWS154" s="456"/>
      <c r="AWT154" s="456"/>
      <c r="AWU154" s="456"/>
      <c r="AWV154" s="456"/>
      <c r="AWW154" s="456"/>
      <c r="AWX154" s="456"/>
      <c r="AWY154" s="456"/>
      <c r="AWZ154" s="456"/>
      <c r="AXA154" s="456"/>
      <c r="AXB154" s="456"/>
      <c r="AXC154" s="456"/>
      <c r="AXD154" s="456"/>
      <c r="AXE154" s="456"/>
      <c r="AXF154" s="456"/>
      <c r="AXG154" s="456"/>
      <c r="AXH154" s="456"/>
      <c r="AXI154" s="456"/>
      <c r="AXJ154" s="456"/>
      <c r="AXK154" s="456"/>
      <c r="AXL154" s="456"/>
      <c r="AXM154" s="456"/>
      <c r="AXN154" s="456"/>
      <c r="AXO154" s="456"/>
      <c r="AXP154" s="456"/>
      <c r="AXQ154" s="456"/>
      <c r="AXR154" s="456"/>
      <c r="AXS154" s="456"/>
      <c r="AXT154" s="456"/>
      <c r="AXU154" s="456"/>
      <c r="AXV154" s="456"/>
      <c r="AXW154" s="456"/>
      <c r="AXX154" s="456"/>
      <c r="AXY154" s="456"/>
      <c r="AXZ154" s="456"/>
      <c r="AYA154" s="456"/>
      <c r="AYB154" s="456"/>
      <c r="AYC154" s="456"/>
      <c r="AYD154" s="456"/>
      <c r="AYE154" s="456"/>
      <c r="AYF154" s="456"/>
      <c r="AYG154" s="456"/>
      <c r="AYH154" s="456"/>
      <c r="AYI154" s="456"/>
      <c r="AYJ154" s="456"/>
      <c r="AYK154" s="456"/>
      <c r="AYL154" s="456"/>
      <c r="AYM154" s="456"/>
      <c r="AYN154" s="456"/>
      <c r="AYO154" s="456"/>
      <c r="AYP154" s="456"/>
      <c r="AYQ154" s="456"/>
      <c r="AYR154" s="456"/>
      <c r="AYS154" s="456"/>
      <c r="AYT154" s="456"/>
      <c r="AYU154" s="456"/>
      <c r="AYV154" s="456"/>
      <c r="AYW154" s="456"/>
      <c r="AYX154" s="456"/>
      <c r="AYY154" s="456"/>
      <c r="AYZ154" s="456"/>
      <c r="AZA154" s="456"/>
      <c r="AZB154" s="456"/>
      <c r="AZC154" s="456"/>
      <c r="AZD154" s="456"/>
      <c r="AZE154" s="456"/>
      <c r="AZF154" s="456"/>
      <c r="AZG154" s="456"/>
      <c r="AZH154" s="456"/>
      <c r="AZI154" s="456"/>
      <c r="AZJ154" s="456"/>
      <c r="AZK154" s="456"/>
      <c r="AZL154" s="456"/>
      <c r="AZM154" s="456"/>
      <c r="AZN154" s="456"/>
      <c r="AZO154" s="456"/>
      <c r="AZP154" s="456"/>
      <c r="AZQ154" s="456"/>
      <c r="AZR154" s="456"/>
      <c r="AZS154" s="456"/>
      <c r="AZT154" s="456"/>
      <c r="AZU154" s="456"/>
      <c r="AZV154" s="456"/>
      <c r="AZW154" s="456"/>
      <c r="AZX154" s="456"/>
      <c r="AZY154" s="456"/>
      <c r="AZZ154" s="456"/>
      <c r="BAA154" s="456"/>
      <c r="BAB154" s="456"/>
      <c r="BAC154" s="456"/>
      <c r="BAD154" s="456"/>
      <c r="BAE154" s="456"/>
      <c r="BAF154" s="456"/>
      <c r="BAG154" s="456"/>
      <c r="BAH154" s="456"/>
      <c r="BAI154" s="456"/>
      <c r="BAJ154" s="456"/>
      <c r="BAK154" s="456"/>
      <c r="BAL154" s="456"/>
      <c r="BAM154" s="456"/>
      <c r="BAN154" s="456"/>
      <c r="BAO154" s="456"/>
      <c r="BAP154" s="456"/>
      <c r="BAQ154" s="456"/>
      <c r="BAR154" s="456"/>
      <c r="BAS154" s="456"/>
      <c r="BAT154" s="456"/>
      <c r="BAU154" s="456"/>
      <c r="BAV154" s="456"/>
      <c r="BAW154" s="456"/>
      <c r="BAX154" s="456"/>
      <c r="BAY154" s="456"/>
      <c r="BAZ154" s="456"/>
      <c r="BBA154" s="456"/>
      <c r="BBB154" s="456"/>
      <c r="BBC154" s="456"/>
      <c r="BBD154" s="456"/>
      <c r="BBE154" s="456"/>
      <c r="BBF154" s="456"/>
      <c r="BBG154" s="456"/>
      <c r="BBH154" s="456"/>
      <c r="BBI154" s="456"/>
      <c r="BBJ154" s="456"/>
      <c r="BBK154" s="456"/>
      <c r="BBL154" s="456"/>
      <c r="BBM154" s="456"/>
      <c r="BBN154" s="456"/>
      <c r="BBO154" s="456"/>
      <c r="BBP154" s="456"/>
      <c r="BBQ154" s="456"/>
      <c r="BBR154" s="456"/>
      <c r="BBS154" s="456"/>
      <c r="BBT154" s="456"/>
      <c r="BBU154" s="456"/>
      <c r="BBV154" s="456"/>
      <c r="BBW154" s="456"/>
      <c r="BBX154" s="456"/>
      <c r="BBY154" s="456"/>
      <c r="BBZ154" s="456"/>
      <c r="BCA154" s="456"/>
      <c r="BCB154" s="456"/>
      <c r="BCC154" s="456"/>
      <c r="BCD154" s="456"/>
      <c r="BCE154" s="456"/>
      <c r="BCF154" s="456"/>
      <c r="BCG154" s="456"/>
      <c r="BCH154" s="456"/>
      <c r="BCI154" s="456"/>
      <c r="BCJ154" s="456"/>
      <c r="BCK154" s="456"/>
      <c r="BCL154" s="456"/>
      <c r="BCM154" s="456"/>
      <c r="BCN154" s="456"/>
      <c r="BCO154" s="456"/>
      <c r="BCP154" s="456"/>
      <c r="BCQ154" s="456"/>
      <c r="BCR154" s="456"/>
      <c r="BCS154" s="456"/>
      <c r="BCT154" s="456"/>
      <c r="BCU154" s="456"/>
      <c r="BCV154" s="456"/>
      <c r="BCW154" s="456"/>
      <c r="BCX154" s="456"/>
      <c r="BCY154" s="456"/>
      <c r="BCZ154" s="456"/>
      <c r="BDA154" s="456"/>
      <c r="BDB154" s="456"/>
      <c r="BDC154" s="456"/>
      <c r="BDD154" s="456"/>
      <c r="BDE154" s="456"/>
      <c r="BDF154" s="456"/>
      <c r="BDG154" s="456"/>
      <c r="BDH154" s="456"/>
      <c r="BDI154" s="456"/>
      <c r="BDJ154" s="456"/>
      <c r="BDK154" s="456"/>
      <c r="BDL154" s="456"/>
      <c r="BDM154" s="456"/>
      <c r="BDN154" s="456"/>
      <c r="BDO154" s="456"/>
      <c r="BDP154" s="456"/>
      <c r="BDQ154" s="456"/>
      <c r="BDR154" s="456"/>
      <c r="BDS154" s="456"/>
      <c r="BDT154" s="456"/>
      <c r="BDU154" s="456"/>
      <c r="BDV154" s="456"/>
      <c r="BDW154" s="456"/>
      <c r="BDX154" s="456"/>
      <c r="BDY154" s="456"/>
      <c r="BDZ154" s="456"/>
      <c r="BEA154" s="456"/>
      <c r="BEB154" s="456"/>
      <c r="BEC154" s="456"/>
      <c r="BED154" s="456"/>
      <c r="BEE154" s="456"/>
      <c r="BEF154" s="456"/>
      <c r="BEG154" s="456"/>
      <c r="BEH154" s="456"/>
      <c r="BEI154" s="456"/>
      <c r="BEJ154" s="456"/>
      <c r="BEK154" s="456"/>
      <c r="BEL154" s="456"/>
      <c r="BEM154" s="456"/>
      <c r="BEN154" s="456"/>
      <c r="BEO154" s="456"/>
      <c r="BEP154" s="456"/>
      <c r="BEQ154" s="456"/>
      <c r="BER154" s="456"/>
      <c r="BES154" s="456"/>
      <c r="BET154" s="456"/>
      <c r="BEU154" s="456"/>
      <c r="BEV154" s="456"/>
      <c r="BEW154" s="456"/>
      <c r="BEX154" s="456"/>
      <c r="BEY154" s="456"/>
      <c r="BEZ154" s="456"/>
      <c r="BFA154" s="456"/>
      <c r="BFB154" s="456"/>
      <c r="BFC154" s="456"/>
      <c r="BFD154" s="456"/>
      <c r="BFE154" s="456"/>
      <c r="BFF154" s="456"/>
      <c r="BFG154" s="456"/>
      <c r="BFH154" s="456"/>
      <c r="BFI154" s="456"/>
      <c r="BFJ154" s="456"/>
      <c r="BFK154" s="456"/>
      <c r="BFL154" s="456"/>
      <c r="BFM154" s="456"/>
      <c r="BFN154" s="456"/>
      <c r="BFO154" s="456"/>
      <c r="BFP154" s="456"/>
      <c r="BFQ154" s="456"/>
      <c r="BFR154" s="456"/>
      <c r="BFS154" s="456"/>
      <c r="BFT154" s="456"/>
      <c r="BFU154" s="456"/>
      <c r="BFV154" s="456"/>
      <c r="BFW154" s="456"/>
      <c r="BFX154" s="456"/>
      <c r="BFY154" s="456"/>
      <c r="BFZ154" s="456"/>
      <c r="BGA154" s="456"/>
      <c r="BGB154" s="456"/>
      <c r="BGC154" s="456"/>
      <c r="BGD154" s="456"/>
      <c r="BGE154" s="456"/>
      <c r="BGF154" s="456"/>
      <c r="BGG154" s="456"/>
      <c r="BGH154" s="456"/>
      <c r="BGI154" s="456"/>
      <c r="BGJ154" s="456"/>
      <c r="BGK154" s="456"/>
      <c r="BGL154" s="456"/>
      <c r="BGM154" s="456"/>
      <c r="BGN154" s="456"/>
      <c r="BGO154" s="456"/>
      <c r="BGP154" s="456"/>
      <c r="BGQ154" s="456"/>
      <c r="BGR154" s="456"/>
      <c r="BGS154" s="456"/>
      <c r="BGT154" s="456"/>
      <c r="BGU154" s="456"/>
      <c r="BGV154" s="456"/>
      <c r="BGW154" s="456"/>
      <c r="BGX154" s="456"/>
      <c r="BGY154" s="456"/>
      <c r="BGZ154" s="456"/>
      <c r="BHA154" s="456"/>
      <c r="BHB154" s="456"/>
      <c r="BHC154" s="456"/>
      <c r="BHD154" s="456"/>
      <c r="BHE154" s="456"/>
      <c r="BHF154" s="456"/>
      <c r="BHG154" s="456"/>
      <c r="BHH154" s="456"/>
      <c r="BHI154" s="456"/>
      <c r="BHJ154" s="456"/>
      <c r="BHK154" s="456"/>
      <c r="BHL154" s="456"/>
      <c r="BHM154" s="456"/>
      <c r="BHN154" s="456"/>
      <c r="BHO154" s="456"/>
      <c r="BHP154" s="456"/>
      <c r="BHQ154" s="456"/>
      <c r="BHR154" s="456"/>
      <c r="BHS154" s="456"/>
      <c r="BHT154" s="456"/>
      <c r="BHU154" s="456"/>
      <c r="BHV154" s="456"/>
      <c r="BHW154" s="456"/>
      <c r="BHX154" s="456"/>
      <c r="BHY154" s="456"/>
      <c r="BHZ154" s="456"/>
      <c r="BIA154" s="456"/>
      <c r="BIB154" s="456"/>
      <c r="BIC154" s="456"/>
      <c r="BID154" s="456"/>
      <c r="BIE154" s="456"/>
      <c r="BIF154" s="456"/>
      <c r="BIG154" s="456"/>
      <c r="BIH154" s="456"/>
      <c r="BII154" s="456"/>
      <c r="BIJ154" s="456"/>
      <c r="BIK154" s="456"/>
      <c r="BIL154" s="456"/>
      <c r="BIM154" s="456"/>
      <c r="BIN154" s="456"/>
      <c r="BIO154" s="456"/>
      <c r="BIP154" s="456"/>
      <c r="BIQ154" s="456"/>
      <c r="BIR154" s="456"/>
      <c r="BIS154" s="456"/>
      <c r="BIT154" s="456"/>
      <c r="BIU154" s="456"/>
      <c r="BIV154" s="456"/>
      <c r="BIW154" s="456"/>
      <c r="BIX154" s="456"/>
      <c r="BIY154" s="456"/>
      <c r="BIZ154" s="456"/>
      <c r="BJA154" s="456"/>
      <c r="BJB154" s="456"/>
      <c r="BJC154" s="456"/>
      <c r="BJD154" s="456"/>
      <c r="BJE154" s="456"/>
      <c r="BJF154" s="456"/>
      <c r="BJG154" s="456"/>
      <c r="BJH154" s="456"/>
      <c r="BJI154" s="456"/>
      <c r="BJJ154" s="456"/>
      <c r="BJK154" s="456"/>
      <c r="BJL154" s="456"/>
      <c r="BJM154" s="456"/>
      <c r="BJN154" s="456"/>
      <c r="BJO154" s="456"/>
      <c r="BJP154" s="456"/>
      <c r="BJQ154" s="456"/>
      <c r="BJR154" s="456"/>
      <c r="BJS154" s="456"/>
      <c r="BJT154" s="456"/>
      <c r="BJU154" s="456"/>
      <c r="BJV154" s="456"/>
      <c r="BJW154" s="456"/>
      <c r="BJX154" s="456"/>
      <c r="BJY154" s="456"/>
      <c r="BJZ154" s="456"/>
      <c r="BKA154" s="456"/>
      <c r="BKB154" s="456"/>
      <c r="BKC154" s="456"/>
      <c r="BKD154" s="456"/>
      <c r="BKE154" s="456"/>
      <c r="BKF154" s="456"/>
      <c r="BKG154" s="456"/>
      <c r="BKH154" s="456"/>
      <c r="BKI154" s="456"/>
      <c r="BKJ154" s="456"/>
      <c r="BKK154" s="456"/>
      <c r="BKL154" s="456"/>
      <c r="BKM154" s="456"/>
      <c r="BKN154" s="456"/>
      <c r="BKO154" s="456"/>
      <c r="BKP154" s="456"/>
      <c r="BKQ154" s="456"/>
      <c r="BKR154" s="456"/>
      <c r="BKS154" s="456"/>
      <c r="BKT154" s="456"/>
      <c r="BKU154" s="456"/>
      <c r="BKV154" s="456"/>
      <c r="BKW154" s="456"/>
      <c r="BKX154" s="456"/>
      <c r="BKY154" s="456"/>
      <c r="BKZ154" s="456"/>
      <c r="BLA154" s="456"/>
      <c r="BLB154" s="456"/>
      <c r="BLC154" s="456"/>
      <c r="BLD154" s="456"/>
      <c r="BLE154" s="456"/>
      <c r="BLF154" s="456"/>
      <c r="BLG154" s="456"/>
      <c r="BLH154" s="456"/>
      <c r="BLI154" s="456"/>
      <c r="BLJ154" s="456"/>
      <c r="BLK154" s="456"/>
      <c r="BLL154" s="456"/>
      <c r="BLM154" s="456"/>
      <c r="BLN154" s="456"/>
      <c r="BLO154" s="456"/>
      <c r="BLP154" s="456"/>
      <c r="BLQ154" s="456"/>
      <c r="BLR154" s="456"/>
      <c r="BLS154" s="456"/>
      <c r="BLT154" s="456"/>
      <c r="BLU154" s="456"/>
      <c r="BLV154" s="456"/>
      <c r="BLW154" s="456"/>
      <c r="BLX154" s="456"/>
      <c r="BLY154" s="456"/>
      <c r="BLZ154" s="456"/>
      <c r="BMA154" s="456"/>
      <c r="BMB154" s="456"/>
      <c r="BMC154" s="456"/>
      <c r="BMD154" s="456"/>
      <c r="BME154" s="456"/>
      <c r="BMF154" s="456"/>
      <c r="BMG154" s="456"/>
      <c r="BMH154" s="456"/>
      <c r="BMI154" s="456"/>
      <c r="BMJ154" s="456"/>
      <c r="BMK154" s="456"/>
      <c r="BML154" s="456"/>
      <c r="BMM154" s="456"/>
      <c r="BMN154" s="456"/>
      <c r="BMO154" s="456"/>
      <c r="BMP154" s="456"/>
      <c r="BMQ154" s="456"/>
      <c r="BMR154" s="456"/>
      <c r="BMS154" s="456"/>
      <c r="BMT154" s="456"/>
      <c r="BMU154" s="456"/>
      <c r="BMV154" s="456"/>
      <c r="BMW154" s="456"/>
      <c r="BMX154" s="456"/>
      <c r="BMY154" s="456"/>
      <c r="BMZ154" s="456"/>
      <c r="BNA154" s="456"/>
      <c r="BNB154" s="456"/>
      <c r="BNC154" s="456"/>
      <c r="BND154" s="456"/>
      <c r="BNE154" s="456"/>
      <c r="BNF154" s="456"/>
      <c r="BNG154" s="456"/>
      <c r="BNH154" s="456"/>
      <c r="BNI154" s="456"/>
      <c r="BNJ154" s="456"/>
      <c r="BNK154" s="456"/>
      <c r="BNL154" s="456"/>
      <c r="BNM154" s="456"/>
      <c r="BNN154" s="456"/>
      <c r="BNO154" s="456"/>
      <c r="BNP154" s="456"/>
      <c r="BNQ154" s="456"/>
      <c r="BNR154" s="456"/>
      <c r="BNS154" s="456"/>
      <c r="BNT154" s="456"/>
      <c r="BNU154" s="456"/>
      <c r="BNV154" s="456"/>
      <c r="BNW154" s="456"/>
      <c r="BNX154" s="456"/>
      <c r="BNY154" s="456"/>
      <c r="BNZ154" s="456"/>
      <c r="BOA154" s="456"/>
      <c r="BOB154" s="456"/>
      <c r="BOC154" s="456"/>
      <c r="BOD154" s="456"/>
      <c r="BOE154" s="456"/>
      <c r="BOF154" s="456"/>
      <c r="BOG154" s="456"/>
      <c r="BOH154" s="456"/>
      <c r="BOI154" s="456"/>
      <c r="BOJ154" s="456"/>
      <c r="BOK154" s="456"/>
      <c r="BOL154" s="456"/>
      <c r="BOM154" s="456"/>
      <c r="BON154" s="456"/>
      <c r="BOO154" s="456"/>
      <c r="BOP154" s="456"/>
      <c r="BOQ154" s="456"/>
      <c r="BOR154" s="456"/>
      <c r="BOS154" s="456"/>
      <c r="BOT154" s="456"/>
      <c r="BOU154" s="456"/>
      <c r="BOV154" s="456"/>
      <c r="BOW154" s="456"/>
      <c r="BOX154" s="456"/>
      <c r="BOY154" s="456"/>
      <c r="BOZ154" s="456"/>
      <c r="BPA154" s="456"/>
      <c r="BPB154" s="456"/>
      <c r="BPC154" s="456"/>
      <c r="BPD154" s="456"/>
      <c r="BPE154" s="456"/>
      <c r="BPF154" s="456"/>
      <c r="BPG154" s="456"/>
      <c r="BPH154" s="456"/>
      <c r="BPI154" s="456"/>
      <c r="BPJ154" s="456"/>
      <c r="BPK154" s="456"/>
      <c r="BPL154" s="456"/>
      <c r="BPM154" s="456"/>
      <c r="BPN154" s="456"/>
      <c r="BPO154" s="456"/>
      <c r="BPP154" s="456"/>
      <c r="BPQ154" s="456"/>
      <c r="BPR154" s="456"/>
      <c r="BPS154" s="456"/>
      <c r="BPT154" s="456"/>
      <c r="BPU154" s="456"/>
      <c r="BPV154" s="456"/>
      <c r="BPW154" s="456"/>
      <c r="BPX154" s="456"/>
      <c r="BPY154" s="456"/>
      <c r="BPZ154" s="456"/>
      <c r="BQA154" s="456"/>
      <c r="BQB154" s="456"/>
      <c r="BQC154" s="456"/>
      <c r="BQD154" s="456"/>
      <c r="BQE154" s="456"/>
      <c r="BQF154" s="456"/>
      <c r="BQG154" s="456"/>
      <c r="BQH154" s="456"/>
      <c r="BQI154" s="456"/>
      <c r="BQJ154" s="456"/>
      <c r="BQK154" s="456"/>
      <c r="BQL154" s="456"/>
      <c r="BQM154" s="456"/>
      <c r="BQN154" s="456"/>
      <c r="BQO154" s="456"/>
      <c r="BQP154" s="456"/>
      <c r="BQQ154" s="456"/>
      <c r="BQR154" s="456"/>
      <c r="BQS154" s="456"/>
      <c r="BQT154" s="456"/>
      <c r="BQU154" s="456"/>
      <c r="BQV154" s="456"/>
      <c r="BQW154" s="456"/>
      <c r="BQX154" s="456"/>
      <c r="BQY154" s="456"/>
      <c r="BQZ154" s="456"/>
      <c r="BRA154" s="456"/>
      <c r="BRB154" s="456"/>
      <c r="BRC154" s="456"/>
      <c r="BRD154" s="456"/>
      <c r="BRE154" s="456"/>
      <c r="BRF154" s="456"/>
      <c r="BRG154" s="456"/>
      <c r="BRH154" s="456"/>
      <c r="BRI154" s="456"/>
      <c r="BRJ154" s="456"/>
      <c r="BRK154" s="456"/>
      <c r="BRL154" s="456"/>
      <c r="BRM154" s="456"/>
      <c r="BRN154" s="456"/>
      <c r="BRO154" s="456"/>
      <c r="BRP154" s="456"/>
      <c r="BRQ154" s="456"/>
      <c r="BRR154" s="456"/>
      <c r="BRS154" s="456"/>
      <c r="BRT154" s="456"/>
      <c r="BRU154" s="456"/>
      <c r="BRV154" s="456"/>
      <c r="BRW154" s="456"/>
      <c r="BRX154" s="456"/>
      <c r="BRY154" s="456"/>
      <c r="BRZ154" s="456"/>
      <c r="BSA154" s="456"/>
      <c r="BSB154" s="456"/>
      <c r="BSC154" s="456"/>
      <c r="BSD154" s="456"/>
      <c r="BSE154" s="456"/>
      <c r="BSF154" s="456"/>
      <c r="BSG154" s="456"/>
      <c r="BSH154" s="456"/>
      <c r="BSI154" s="456"/>
      <c r="BSJ154" s="456"/>
      <c r="BSK154" s="456"/>
      <c r="BSL154" s="456"/>
      <c r="BSM154" s="456"/>
      <c r="BSN154" s="456"/>
      <c r="BSO154" s="456"/>
      <c r="BSP154" s="456"/>
      <c r="BSQ154" s="456"/>
      <c r="BSR154" s="456"/>
      <c r="BSS154" s="456"/>
      <c r="BST154" s="456"/>
      <c r="BSU154" s="456"/>
      <c r="BSV154" s="456"/>
      <c r="BSW154" s="456"/>
      <c r="BSX154" s="456"/>
      <c r="BSY154" s="456"/>
      <c r="BSZ154" s="456"/>
      <c r="BTA154" s="456"/>
      <c r="BTB154" s="456"/>
      <c r="BTC154" s="456"/>
      <c r="BTD154" s="456"/>
      <c r="BTE154" s="456"/>
      <c r="BTF154" s="456"/>
      <c r="BTG154" s="456"/>
      <c r="BTH154" s="456"/>
      <c r="BTI154" s="456"/>
      <c r="BTJ154" s="456"/>
      <c r="BTK154" s="456"/>
      <c r="BTL154" s="456"/>
      <c r="BTM154" s="456"/>
      <c r="BTN154" s="456"/>
      <c r="BTO154" s="456"/>
      <c r="BTP154" s="456"/>
      <c r="BTQ154" s="456"/>
      <c r="BTR154" s="456"/>
      <c r="BTS154" s="456"/>
      <c r="BTT154" s="456"/>
      <c r="BTU154" s="456"/>
      <c r="BTV154" s="456"/>
      <c r="BTW154" s="456"/>
      <c r="BTX154" s="456"/>
      <c r="BTY154" s="456"/>
      <c r="BTZ154" s="456"/>
      <c r="BUA154" s="456"/>
      <c r="BUB154" s="456"/>
      <c r="BUC154" s="456"/>
      <c r="BUD154" s="456"/>
      <c r="BUE154" s="456"/>
      <c r="BUF154" s="456"/>
      <c r="BUG154" s="456"/>
      <c r="BUH154" s="456"/>
      <c r="BUI154" s="456"/>
      <c r="BUJ154" s="456"/>
      <c r="BUK154" s="456"/>
      <c r="BUL154" s="456"/>
      <c r="BUM154" s="456"/>
      <c r="BUN154" s="456"/>
      <c r="BUO154" s="456"/>
      <c r="BUP154" s="456"/>
      <c r="BUQ154" s="456"/>
      <c r="BUR154" s="456"/>
      <c r="BUS154" s="456"/>
      <c r="BUT154" s="456"/>
      <c r="BUU154" s="456"/>
      <c r="BUV154" s="456"/>
      <c r="BUW154" s="456"/>
      <c r="BUX154" s="456"/>
      <c r="BUY154" s="456"/>
      <c r="BUZ154" s="456"/>
      <c r="BVA154" s="456"/>
      <c r="BVB154" s="456"/>
      <c r="BVC154" s="456"/>
      <c r="BVD154" s="456"/>
      <c r="BVE154" s="456"/>
      <c r="BVF154" s="456"/>
      <c r="BVG154" s="456"/>
      <c r="BVH154" s="456"/>
      <c r="BVI154" s="456"/>
      <c r="BVJ154" s="456"/>
      <c r="BVK154" s="456"/>
      <c r="BVL154" s="456"/>
      <c r="BVM154" s="456"/>
      <c r="BVN154" s="456"/>
      <c r="BVO154" s="456"/>
      <c r="BVP154" s="456"/>
      <c r="BVQ154" s="456"/>
      <c r="BVR154" s="456"/>
      <c r="BVS154" s="456"/>
      <c r="BVT154" s="456"/>
      <c r="BVU154" s="456"/>
      <c r="BVV154" s="456"/>
      <c r="BVW154" s="456"/>
      <c r="BVX154" s="456"/>
      <c r="BVY154" s="456"/>
      <c r="BVZ154" s="456"/>
      <c r="BWA154" s="456"/>
      <c r="BWB154" s="456"/>
      <c r="BWC154" s="456"/>
      <c r="BWD154" s="456"/>
      <c r="BWE154" s="456"/>
      <c r="BWF154" s="456"/>
      <c r="BWG154" s="456"/>
      <c r="BWH154" s="456"/>
      <c r="BWI154" s="456"/>
      <c r="BWJ154" s="456"/>
      <c r="BWK154" s="456"/>
      <c r="BWL154" s="456"/>
      <c r="BWM154" s="456"/>
      <c r="BWN154" s="456"/>
      <c r="BWO154" s="456"/>
      <c r="BWP154" s="456"/>
      <c r="BWQ154" s="456"/>
      <c r="BWR154" s="456"/>
      <c r="BWS154" s="456"/>
      <c r="BWT154" s="456"/>
      <c r="BWU154" s="456"/>
      <c r="BWV154" s="456"/>
      <c r="BWW154" s="456"/>
      <c r="BWX154" s="456"/>
      <c r="BWY154" s="456"/>
      <c r="BWZ154" s="456"/>
      <c r="BXA154" s="456"/>
      <c r="BXB154" s="456"/>
      <c r="BXC154" s="456"/>
      <c r="BXD154" s="456"/>
      <c r="BXE154" s="456"/>
      <c r="BXF154" s="456"/>
      <c r="BXG154" s="456"/>
      <c r="BXH154" s="456"/>
      <c r="BXI154" s="456"/>
      <c r="BXJ154" s="456"/>
      <c r="BXK154" s="456"/>
      <c r="BXL154" s="456"/>
      <c r="BXM154" s="456"/>
      <c r="BXN154" s="456"/>
      <c r="BXO154" s="456"/>
      <c r="BXP154" s="456"/>
      <c r="BXQ154" s="456"/>
      <c r="BXR154" s="456"/>
      <c r="BXS154" s="456"/>
      <c r="BXT154" s="456"/>
      <c r="BXU154" s="456"/>
      <c r="BXV154" s="456"/>
      <c r="BXW154" s="456"/>
      <c r="BXX154" s="456"/>
      <c r="BXY154" s="456"/>
      <c r="BXZ154" s="456"/>
    </row>
    <row r="155" s="25" customFormat="1" spans="1:1024 1025:2002">
      <c r="A155" s="473" t="s">
        <v>34</v>
      </c>
      <c r="B155" s="19">
        <v>1130</v>
      </c>
      <c r="C155" s="183">
        <v>46205</v>
      </c>
      <c r="D155" s="17" t="s">
        <v>52</v>
      </c>
      <c r="E155" s="17" t="s">
        <v>104</v>
      </c>
      <c r="F155" s="17" t="s">
        <v>54</v>
      </c>
      <c r="G155" s="17"/>
      <c r="H155" s="19">
        <v>1.2316</v>
      </c>
      <c r="I155" s="19" t="s">
        <v>114</v>
      </c>
      <c r="J155" s="17" t="s">
        <v>49</v>
      </c>
      <c r="K155" s="489">
        <v>1050</v>
      </c>
      <c r="L155" s="489">
        <v>20</v>
      </c>
      <c r="M155" s="489">
        <v>2200</v>
      </c>
      <c r="N155" s="19" t="s">
        <v>66</v>
      </c>
      <c r="O155" s="19" t="s">
        <v>67</v>
      </c>
      <c r="P155" s="490">
        <v>329.7</v>
      </c>
      <c r="Q155" s="19">
        <v>345</v>
      </c>
      <c r="R155" s="99">
        <f t="shared" si="9"/>
        <v>-15.3</v>
      </c>
      <c r="S155" s="19">
        <f>2920-50</f>
        <v>2870</v>
      </c>
      <c r="T155" s="19" t="s">
        <v>42</v>
      </c>
      <c r="U155" s="102" t="s">
        <v>115</v>
      </c>
      <c r="V155" s="186">
        <v>46208</v>
      </c>
      <c r="W155" s="17" t="s">
        <v>44</v>
      </c>
      <c r="X155" s="17"/>
      <c r="Y155" s="68">
        <v>46235</v>
      </c>
      <c r="Z155" s="17" t="s">
        <v>45</v>
      </c>
      <c r="AA155" s="17" t="s">
        <v>46</v>
      </c>
      <c r="AB155" s="17" t="s">
        <v>116</v>
      </c>
      <c r="AC155" s="217">
        <v>46241</v>
      </c>
      <c r="AD155" s="65">
        <v>1848</v>
      </c>
      <c r="AE155" s="17" t="s">
        <v>48</v>
      </c>
      <c r="AF155" s="17" t="s">
        <v>61</v>
      </c>
      <c r="AG155" s="17"/>
      <c r="AH155" s="456"/>
      <c r="AI155" s="456"/>
      <c r="AJ155" s="456"/>
      <c r="AK155" s="456"/>
      <c r="AL155" s="456"/>
      <c r="AM155" s="456"/>
      <c r="AN155" s="456"/>
      <c r="AO155" s="456"/>
      <c r="AP155" s="456"/>
      <c r="AQ155" s="456"/>
      <c r="AR155" s="456"/>
      <c r="AS155" s="456"/>
      <c r="AT155" s="456"/>
      <c r="AU155" s="456"/>
      <c r="AV155" s="456"/>
      <c r="AW155" s="456"/>
      <c r="AX155" s="456"/>
      <c r="AY155" s="456"/>
      <c r="AZ155" s="456"/>
      <c r="BA155" s="456"/>
      <c r="BB155" s="456"/>
      <c r="BC155" s="456"/>
      <c r="BD155" s="456"/>
      <c r="BE155" s="456"/>
      <c r="BF155" s="456"/>
      <c r="BG155" s="456"/>
      <c r="BH155" s="456"/>
      <c r="BI155" s="456"/>
      <c r="BJ155" s="456"/>
      <c r="BK155" s="456"/>
      <c r="BL155" s="456"/>
      <c r="BM155" s="456"/>
      <c r="BN155" s="456"/>
      <c r="BO155" s="456"/>
      <c r="BP155" s="456"/>
      <c r="BQ155" s="456"/>
      <c r="BR155" s="456"/>
      <c r="BS155" s="456"/>
      <c r="BT155" s="456"/>
      <c r="BU155" s="456"/>
      <c r="BV155" s="456"/>
      <c r="BW155" s="456"/>
      <c r="BX155" s="456"/>
      <c r="BY155" s="456"/>
      <c r="BZ155" s="456"/>
      <c r="CA155" s="456"/>
      <c r="CB155" s="456"/>
      <c r="CC155" s="456"/>
      <c r="CD155" s="456"/>
      <c r="CE155" s="456"/>
      <c r="CF155" s="456"/>
      <c r="CG155" s="456"/>
      <c r="CH155" s="456"/>
      <c r="CI155" s="456"/>
      <c r="CJ155" s="456"/>
      <c r="CK155" s="456"/>
      <c r="CL155" s="456"/>
      <c r="CM155" s="456"/>
      <c r="CN155" s="456"/>
      <c r="CO155" s="456"/>
      <c r="CP155" s="456"/>
      <c r="CQ155" s="456"/>
      <c r="CR155" s="456"/>
      <c r="CS155" s="456"/>
      <c r="CT155" s="456"/>
      <c r="CU155" s="456"/>
      <c r="CV155" s="456"/>
      <c r="CW155" s="456"/>
      <c r="CX155" s="456"/>
      <c r="CY155" s="456"/>
      <c r="CZ155" s="456"/>
      <c r="DA155" s="456"/>
      <c r="DB155" s="456"/>
      <c r="DC155" s="456"/>
      <c r="DD155" s="456"/>
      <c r="DE155" s="456"/>
      <c r="DF155" s="456"/>
      <c r="DG155" s="456"/>
      <c r="DH155" s="456"/>
      <c r="DI155" s="456"/>
      <c r="DJ155" s="456"/>
      <c r="DK155" s="456"/>
      <c r="DL155" s="456"/>
      <c r="DM155" s="456"/>
      <c r="DN155" s="456"/>
      <c r="DO155" s="456"/>
      <c r="DP155" s="456"/>
      <c r="DQ155" s="456"/>
      <c r="DR155" s="456"/>
      <c r="DS155" s="456"/>
      <c r="DT155" s="456"/>
      <c r="DU155" s="456"/>
      <c r="DV155" s="456"/>
      <c r="DW155" s="456"/>
      <c r="DX155" s="456"/>
      <c r="DY155" s="456"/>
      <c r="DZ155" s="456"/>
      <c r="EA155" s="456"/>
      <c r="EB155" s="456"/>
      <c r="EC155" s="456"/>
      <c r="ED155" s="456"/>
      <c r="EE155" s="456"/>
      <c r="EF155" s="456"/>
      <c r="EG155" s="456"/>
      <c r="EH155" s="456"/>
      <c r="EI155" s="456"/>
      <c r="EJ155" s="456"/>
      <c r="EK155" s="456"/>
      <c r="EL155" s="456"/>
      <c r="EM155" s="456"/>
      <c r="EN155" s="456"/>
      <c r="EO155" s="456"/>
      <c r="EP155" s="456"/>
      <c r="EQ155" s="456"/>
      <c r="ER155" s="456"/>
      <c r="ES155" s="456"/>
      <c r="ET155" s="456"/>
      <c r="EU155" s="456"/>
      <c r="EV155" s="456"/>
      <c r="EW155" s="456"/>
      <c r="EX155" s="456"/>
      <c r="EY155" s="456"/>
      <c r="EZ155" s="456"/>
      <c r="FA155" s="456"/>
      <c r="FB155" s="456"/>
      <c r="FC155" s="456"/>
      <c r="FD155" s="456"/>
      <c r="FE155" s="456"/>
      <c r="FF155" s="456"/>
      <c r="FG155" s="456"/>
      <c r="FH155" s="456"/>
      <c r="FI155" s="456"/>
      <c r="FJ155" s="456"/>
      <c r="FK155" s="456"/>
      <c r="FL155" s="456"/>
      <c r="FM155" s="456"/>
      <c r="FN155" s="456"/>
      <c r="FO155" s="456"/>
      <c r="FP155" s="456"/>
      <c r="FQ155" s="456"/>
      <c r="FR155" s="456"/>
      <c r="FS155" s="456"/>
      <c r="FT155" s="456"/>
      <c r="FU155" s="456"/>
      <c r="FV155" s="456"/>
      <c r="FW155" s="456"/>
      <c r="FX155" s="456"/>
      <c r="FY155" s="456"/>
      <c r="FZ155" s="456"/>
      <c r="GA155" s="456"/>
      <c r="GB155" s="456"/>
      <c r="GC155" s="456"/>
      <c r="GD155" s="456"/>
      <c r="GE155" s="456"/>
      <c r="GF155" s="456"/>
      <c r="GG155" s="456"/>
      <c r="GH155" s="456"/>
      <c r="GI155" s="456"/>
      <c r="GJ155" s="456"/>
      <c r="GK155" s="456"/>
      <c r="GL155" s="456"/>
      <c r="GM155" s="456"/>
      <c r="GN155" s="456"/>
      <c r="GO155" s="456"/>
      <c r="GP155" s="456"/>
      <c r="GQ155" s="456"/>
      <c r="GR155" s="456"/>
      <c r="GS155" s="456"/>
      <c r="GT155" s="456"/>
      <c r="GU155" s="456"/>
      <c r="GV155" s="456"/>
      <c r="GW155" s="456"/>
      <c r="GX155" s="456"/>
      <c r="GY155" s="456"/>
      <c r="GZ155" s="456"/>
      <c r="HA155" s="456"/>
      <c r="HB155" s="456"/>
      <c r="HC155" s="456"/>
      <c r="HD155" s="456"/>
      <c r="HE155" s="456"/>
      <c r="HF155" s="456"/>
      <c r="HG155" s="456"/>
      <c r="HH155" s="456"/>
      <c r="HI155" s="456"/>
      <c r="HJ155" s="456"/>
      <c r="HK155" s="456"/>
      <c r="HL155" s="456"/>
      <c r="HM155" s="456"/>
      <c r="HN155" s="456"/>
      <c r="HO155" s="456"/>
      <c r="HP155" s="456"/>
      <c r="HQ155" s="456"/>
      <c r="HR155" s="456"/>
      <c r="HS155" s="456"/>
      <c r="HT155" s="456"/>
      <c r="HU155" s="456"/>
      <c r="HV155" s="456"/>
      <c r="HW155" s="456"/>
      <c r="HX155" s="456"/>
      <c r="HY155" s="456"/>
      <c r="HZ155" s="456"/>
      <c r="IA155" s="456"/>
      <c r="IB155" s="456"/>
      <c r="IC155" s="456"/>
      <c r="ID155" s="456"/>
      <c r="IE155" s="456"/>
      <c r="IF155" s="456"/>
      <c r="IG155" s="456"/>
      <c r="IH155" s="456"/>
      <c r="II155" s="456"/>
      <c r="IJ155" s="456"/>
      <c r="IK155" s="456"/>
      <c r="IL155" s="456"/>
      <c r="IM155" s="456"/>
      <c r="IN155" s="456"/>
      <c r="IO155" s="456"/>
      <c r="IP155" s="456"/>
      <c r="IQ155" s="456"/>
      <c r="IR155" s="456"/>
      <c r="IS155" s="456"/>
      <c r="IT155" s="456"/>
      <c r="IU155" s="456"/>
      <c r="IV155" s="456"/>
      <c r="IW155" s="456"/>
      <c r="IX155" s="456"/>
      <c r="IY155" s="456"/>
      <c r="IZ155" s="456"/>
      <c r="JA155" s="456"/>
      <c r="JB155" s="456"/>
      <c r="JC155" s="456"/>
      <c r="JD155" s="456"/>
      <c r="JE155" s="456"/>
      <c r="JF155" s="456"/>
      <c r="JG155" s="456"/>
      <c r="JH155" s="456"/>
      <c r="JI155" s="456"/>
      <c r="JJ155" s="456"/>
      <c r="JK155" s="456"/>
      <c r="JL155" s="456"/>
      <c r="JM155" s="456"/>
      <c r="JN155" s="456"/>
      <c r="JO155" s="456"/>
      <c r="JP155" s="456"/>
      <c r="JQ155" s="456"/>
      <c r="JR155" s="456"/>
      <c r="JS155" s="456"/>
      <c r="JT155" s="456"/>
      <c r="JU155" s="456"/>
      <c r="JV155" s="456"/>
      <c r="JW155" s="456"/>
      <c r="JX155" s="456"/>
      <c r="JY155" s="456"/>
      <c r="JZ155" s="456"/>
      <c r="KA155" s="456"/>
      <c r="KB155" s="456"/>
      <c r="KC155" s="456"/>
      <c r="KD155" s="456"/>
      <c r="KE155" s="456"/>
      <c r="KF155" s="456"/>
      <c r="KG155" s="456"/>
      <c r="KH155" s="456"/>
      <c r="KI155" s="456"/>
      <c r="KJ155" s="456"/>
      <c r="KK155" s="456"/>
      <c r="KL155" s="456"/>
      <c r="KM155" s="456"/>
      <c r="KN155" s="456"/>
      <c r="KO155" s="456"/>
      <c r="KP155" s="456"/>
      <c r="KQ155" s="456"/>
      <c r="KR155" s="456"/>
      <c r="KS155" s="456"/>
      <c r="KT155" s="456"/>
      <c r="KU155" s="456"/>
      <c r="KV155" s="456"/>
      <c r="KW155" s="456"/>
      <c r="KX155" s="456"/>
      <c r="KY155" s="456"/>
      <c r="KZ155" s="456"/>
      <c r="LA155" s="456"/>
      <c r="LB155" s="456"/>
      <c r="LC155" s="456"/>
      <c r="LD155" s="456"/>
      <c r="LE155" s="456"/>
      <c r="LF155" s="456"/>
      <c r="LG155" s="456"/>
      <c r="LH155" s="456"/>
      <c r="LI155" s="456"/>
      <c r="LJ155" s="456"/>
      <c r="LK155" s="456"/>
      <c r="LL155" s="456"/>
      <c r="LM155" s="456"/>
      <c r="LN155" s="456"/>
      <c r="LO155" s="456"/>
      <c r="LP155" s="456"/>
      <c r="LQ155" s="456"/>
      <c r="LR155" s="456"/>
      <c r="LS155" s="456"/>
      <c r="LT155" s="456"/>
      <c r="LU155" s="456"/>
      <c r="LV155" s="456"/>
      <c r="LW155" s="456"/>
      <c r="LX155" s="456"/>
      <c r="LY155" s="456"/>
      <c r="LZ155" s="456"/>
      <c r="MA155" s="456"/>
      <c r="MB155" s="456"/>
      <c r="MC155" s="456"/>
      <c r="MD155" s="456"/>
      <c r="ME155" s="456"/>
      <c r="MF155" s="456"/>
      <c r="MG155" s="456"/>
      <c r="MH155" s="456"/>
      <c r="MI155" s="456"/>
      <c r="MJ155" s="456"/>
      <c r="MK155" s="456"/>
      <c r="ML155" s="456"/>
      <c r="MM155" s="456"/>
      <c r="MN155" s="456"/>
      <c r="MO155" s="456"/>
      <c r="MP155" s="456"/>
      <c r="MQ155" s="456"/>
      <c r="MR155" s="456"/>
      <c r="MS155" s="456"/>
      <c r="MT155" s="456"/>
      <c r="MU155" s="456"/>
      <c r="MV155" s="456"/>
      <c r="MW155" s="456"/>
      <c r="MX155" s="456"/>
      <c r="MY155" s="456"/>
      <c r="MZ155" s="456"/>
      <c r="NA155" s="456"/>
      <c r="NB155" s="456"/>
      <c r="NC155" s="456"/>
      <c r="ND155" s="456"/>
      <c r="NE155" s="456"/>
      <c r="NF155" s="456"/>
      <c r="NG155" s="456"/>
      <c r="NH155" s="456"/>
      <c r="NI155" s="456"/>
      <c r="NJ155" s="456"/>
      <c r="NK155" s="456"/>
      <c r="NL155" s="456"/>
      <c r="NM155" s="456"/>
      <c r="NN155" s="456"/>
      <c r="NO155" s="456"/>
      <c r="NP155" s="456"/>
      <c r="NQ155" s="456"/>
      <c r="NR155" s="456"/>
      <c r="NS155" s="456"/>
      <c r="NT155" s="456"/>
      <c r="NU155" s="456"/>
      <c r="NV155" s="456"/>
      <c r="NW155" s="456"/>
      <c r="NX155" s="456"/>
      <c r="NY155" s="456"/>
      <c r="NZ155" s="456"/>
      <c r="OA155" s="456"/>
      <c r="OB155" s="456"/>
      <c r="OC155" s="456"/>
      <c r="OD155" s="456"/>
      <c r="OE155" s="456"/>
      <c r="OF155" s="456"/>
      <c r="OG155" s="456"/>
      <c r="OH155" s="456"/>
      <c r="OI155" s="456"/>
      <c r="OJ155" s="456"/>
      <c r="OK155" s="456"/>
      <c r="OL155" s="456"/>
      <c r="OM155" s="456"/>
      <c r="ON155" s="456"/>
      <c r="OO155" s="456"/>
      <c r="OP155" s="456"/>
      <c r="OQ155" s="456"/>
      <c r="OR155" s="456"/>
      <c r="OS155" s="456"/>
      <c r="OT155" s="456"/>
      <c r="OU155" s="456"/>
      <c r="OV155" s="456"/>
      <c r="OW155" s="456"/>
      <c r="OX155" s="456"/>
      <c r="OY155" s="456"/>
      <c r="OZ155" s="456"/>
      <c r="PA155" s="456"/>
      <c r="PB155" s="456"/>
      <c r="PC155" s="456"/>
      <c r="PD155" s="456"/>
      <c r="PE155" s="456"/>
      <c r="PF155" s="456"/>
      <c r="PG155" s="456"/>
      <c r="PH155" s="456"/>
      <c r="PI155" s="456"/>
      <c r="PJ155" s="456"/>
      <c r="PK155" s="456"/>
      <c r="PL155" s="456"/>
      <c r="PM155" s="456"/>
      <c r="PN155" s="456"/>
      <c r="PO155" s="456"/>
      <c r="PP155" s="456"/>
      <c r="PQ155" s="456"/>
      <c r="PR155" s="456"/>
      <c r="PS155" s="456"/>
      <c r="PT155" s="456"/>
      <c r="PU155" s="456"/>
      <c r="PV155" s="456"/>
      <c r="PW155" s="456"/>
      <c r="PX155" s="456"/>
      <c r="PY155" s="456"/>
      <c r="PZ155" s="456"/>
      <c r="QA155" s="456"/>
      <c r="QB155" s="456"/>
      <c r="QC155" s="456"/>
      <c r="QD155" s="456"/>
      <c r="QE155" s="456"/>
      <c r="QF155" s="456"/>
      <c r="QG155" s="456"/>
      <c r="QH155" s="456"/>
      <c r="QI155" s="456"/>
      <c r="QJ155" s="456"/>
      <c r="QK155" s="456"/>
      <c r="QL155" s="456"/>
      <c r="QM155" s="456"/>
      <c r="QN155" s="456"/>
      <c r="QO155" s="456"/>
      <c r="QP155" s="456"/>
      <c r="QQ155" s="456"/>
      <c r="QR155" s="456"/>
      <c r="QS155" s="456"/>
      <c r="QT155" s="456"/>
      <c r="QU155" s="456"/>
      <c r="QV155" s="456"/>
      <c r="QW155" s="456"/>
      <c r="QX155" s="456"/>
      <c r="QY155" s="456"/>
      <c r="QZ155" s="456"/>
      <c r="RA155" s="456"/>
      <c r="RB155" s="456"/>
      <c r="RC155" s="456"/>
      <c r="RD155" s="456"/>
      <c r="RE155" s="456"/>
      <c r="RF155" s="456"/>
      <c r="RG155" s="456"/>
      <c r="RH155" s="456"/>
      <c r="RI155" s="456"/>
      <c r="RJ155" s="456"/>
      <c r="RK155" s="456"/>
      <c r="RL155" s="456"/>
      <c r="RM155" s="456"/>
      <c r="RN155" s="456"/>
      <c r="RO155" s="456"/>
      <c r="RP155" s="456"/>
      <c r="RQ155" s="456"/>
      <c r="RR155" s="456"/>
      <c r="RS155" s="456"/>
      <c r="RT155" s="456"/>
      <c r="RU155" s="456"/>
      <c r="RV155" s="456"/>
      <c r="RW155" s="456"/>
      <c r="RX155" s="456"/>
      <c r="RY155" s="456"/>
      <c r="RZ155" s="456"/>
      <c r="SA155" s="456"/>
      <c r="SB155" s="456"/>
      <c r="SC155" s="456"/>
      <c r="SD155" s="456"/>
      <c r="SE155" s="456"/>
      <c r="SF155" s="456"/>
      <c r="SG155" s="456"/>
      <c r="SH155" s="456"/>
      <c r="SI155" s="456"/>
      <c r="SJ155" s="456"/>
      <c r="SK155" s="456"/>
      <c r="SL155" s="456"/>
      <c r="SM155" s="456"/>
      <c r="SN155" s="456"/>
      <c r="SO155" s="456"/>
      <c r="SP155" s="456"/>
      <c r="SQ155" s="456"/>
      <c r="SR155" s="456"/>
      <c r="SS155" s="456"/>
      <c r="ST155" s="456"/>
      <c r="SU155" s="456"/>
      <c r="SV155" s="456"/>
      <c r="SW155" s="456"/>
      <c r="SX155" s="456"/>
      <c r="SY155" s="456"/>
      <c r="SZ155" s="456"/>
      <c r="TA155" s="456"/>
      <c r="TB155" s="456"/>
      <c r="TC155" s="456"/>
      <c r="TD155" s="456"/>
      <c r="TE155" s="456"/>
      <c r="TF155" s="456"/>
      <c r="TG155" s="456"/>
      <c r="TH155" s="456"/>
      <c r="TI155" s="456"/>
      <c r="TJ155" s="456"/>
      <c r="TK155" s="456"/>
      <c r="TL155" s="456"/>
      <c r="TM155" s="456"/>
      <c r="TN155" s="456"/>
      <c r="TO155" s="456"/>
      <c r="TP155" s="456"/>
      <c r="TQ155" s="456"/>
      <c r="TR155" s="456"/>
      <c r="TS155" s="456"/>
      <c r="TT155" s="456"/>
      <c r="TU155" s="456"/>
      <c r="TV155" s="456"/>
      <c r="TW155" s="456"/>
      <c r="TX155" s="456"/>
      <c r="TY155" s="456"/>
      <c r="TZ155" s="456"/>
      <c r="UA155" s="456"/>
      <c r="UB155" s="456"/>
      <c r="UC155" s="456"/>
      <c r="UD155" s="456"/>
      <c r="UE155" s="456"/>
      <c r="UF155" s="456"/>
      <c r="UG155" s="456"/>
      <c r="UH155" s="456"/>
      <c r="UI155" s="456"/>
      <c r="UJ155" s="456"/>
      <c r="UK155" s="456"/>
      <c r="UL155" s="456"/>
      <c r="UM155" s="456"/>
      <c r="UN155" s="456"/>
      <c r="UO155" s="456"/>
      <c r="UP155" s="456"/>
      <c r="UQ155" s="456"/>
      <c r="UR155" s="456"/>
      <c r="US155" s="456"/>
      <c r="UT155" s="456"/>
      <c r="UU155" s="456"/>
      <c r="UV155" s="456"/>
      <c r="UW155" s="456"/>
      <c r="UX155" s="456"/>
      <c r="UY155" s="456"/>
      <c r="UZ155" s="456"/>
      <c r="VA155" s="456"/>
      <c r="VB155" s="456"/>
      <c r="VC155" s="456"/>
      <c r="VD155" s="456"/>
      <c r="VE155" s="456"/>
      <c r="VF155" s="456"/>
      <c r="VG155" s="456"/>
      <c r="VH155" s="456"/>
      <c r="VI155" s="456"/>
      <c r="VJ155" s="456"/>
      <c r="VK155" s="456"/>
      <c r="VL155" s="456"/>
      <c r="VM155" s="456"/>
      <c r="VN155" s="456"/>
      <c r="VO155" s="456"/>
      <c r="VP155" s="456"/>
      <c r="VQ155" s="456"/>
      <c r="VR155" s="456"/>
      <c r="VS155" s="456"/>
      <c r="VT155" s="456"/>
      <c r="VU155" s="456"/>
      <c r="VV155" s="456"/>
      <c r="VW155" s="456"/>
      <c r="VX155" s="456"/>
      <c r="VY155" s="456"/>
      <c r="VZ155" s="456"/>
      <c r="WA155" s="456"/>
      <c r="WB155" s="456"/>
      <c r="WC155" s="456"/>
      <c r="WD155" s="456"/>
      <c r="WE155" s="456"/>
      <c r="WF155" s="456"/>
      <c r="WG155" s="456"/>
      <c r="WH155" s="456"/>
      <c r="WI155" s="456"/>
      <c r="WJ155" s="456"/>
      <c r="WK155" s="456"/>
      <c r="WL155" s="456"/>
      <c r="WM155" s="456"/>
      <c r="WN155" s="456"/>
      <c r="WO155" s="456"/>
      <c r="WP155" s="456"/>
      <c r="WQ155" s="456"/>
      <c r="WR155" s="456"/>
      <c r="WS155" s="456"/>
      <c r="WT155" s="456"/>
      <c r="WU155" s="456"/>
      <c r="WV155" s="456"/>
      <c r="WW155" s="456"/>
      <c r="WX155" s="456"/>
      <c r="WY155" s="456"/>
      <c r="WZ155" s="456"/>
      <c r="XA155" s="456"/>
      <c r="XB155" s="456"/>
      <c r="XC155" s="456"/>
      <c r="XD155" s="456"/>
      <c r="XE155" s="456"/>
      <c r="XF155" s="456"/>
      <c r="XG155" s="456"/>
      <c r="XH155" s="456"/>
      <c r="XI155" s="456"/>
      <c r="XJ155" s="456"/>
      <c r="XK155" s="456"/>
      <c r="XL155" s="456"/>
      <c r="XM155" s="456"/>
      <c r="XN155" s="456"/>
      <c r="XO155" s="456"/>
      <c r="XP155" s="456"/>
      <c r="XQ155" s="456"/>
      <c r="XR155" s="456"/>
      <c r="XS155" s="456"/>
      <c r="XT155" s="456"/>
      <c r="XU155" s="456"/>
      <c r="XV155" s="456"/>
      <c r="XW155" s="456"/>
      <c r="XX155" s="456"/>
      <c r="XY155" s="456"/>
      <c r="XZ155" s="456"/>
      <c r="YA155" s="456"/>
      <c r="YB155" s="456"/>
      <c r="YC155" s="456"/>
      <c r="YD155" s="456"/>
      <c r="YE155" s="456"/>
      <c r="YF155" s="456"/>
      <c r="YG155" s="456"/>
      <c r="YH155" s="456"/>
      <c r="YI155" s="456"/>
      <c r="YJ155" s="456"/>
      <c r="YK155" s="456"/>
      <c r="YL155" s="456"/>
      <c r="YM155" s="456"/>
      <c r="YN155" s="456"/>
      <c r="YO155" s="456"/>
      <c r="YP155" s="456"/>
      <c r="YQ155" s="456"/>
      <c r="YR155" s="456"/>
      <c r="YS155" s="456"/>
      <c r="YT155" s="456"/>
      <c r="YU155" s="456"/>
      <c r="YV155" s="456"/>
      <c r="YW155" s="456"/>
      <c r="YX155" s="456"/>
      <c r="YY155" s="456"/>
      <c r="YZ155" s="456"/>
      <c r="ZA155" s="456"/>
      <c r="ZB155" s="456"/>
      <c r="ZC155" s="456"/>
      <c r="ZD155" s="456"/>
      <c r="ZE155" s="456"/>
      <c r="ZF155" s="456"/>
      <c r="ZG155" s="456"/>
      <c r="ZH155" s="456"/>
      <c r="ZI155" s="456"/>
      <c r="ZJ155" s="456"/>
      <c r="ZK155" s="456"/>
      <c r="ZL155" s="456"/>
      <c r="ZM155" s="456"/>
      <c r="ZN155" s="456"/>
      <c r="ZO155" s="456"/>
      <c r="ZP155" s="456"/>
      <c r="ZQ155" s="456"/>
      <c r="ZR155" s="456"/>
      <c r="ZS155" s="456"/>
      <c r="ZT155" s="456"/>
      <c r="ZU155" s="456"/>
      <c r="ZV155" s="456"/>
      <c r="ZW155" s="456"/>
      <c r="ZX155" s="456"/>
      <c r="ZY155" s="456"/>
      <c r="ZZ155" s="456"/>
      <c r="AAA155" s="456"/>
      <c r="AAB155" s="456"/>
      <c r="AAC155" s="456"/>
      <c r="AAD155" s="456"/>
      <c r="AAE155" s="456"/>
      <c r="AAF155" s="456"/>
      <c r="AAG155" s="456"/>
      <c r="AAH155" s="456"/>
      <c r="AAI155" s="456"/>
      <c r="AAJ155" s="456"/>
      <c r="AAK155" s="456"/>
      <c r="AAL155" s="456"/>
      <c r="AAM155" s="456"/>
      <c r="AAN155" s="456"/>
      <c r="AAO155" s="456"/>
      <c r="AAP155" s="456"/>
      <c r="AAQ155" s="456"/>
      <c r="AAR155" s="456"/>
      <c r="AAS155" s="456"/>
      <c r="AAT155" s="456"/>
      <c r="AAU155" s="456"/>
      <c r="AAV155" s="456"/>
      <c r="AAW155" s="456"/>
      <c r="AAX155" s="456"/>
      <c r="AAY155" s="456"/>
      <c r="AAZ155" s="456"/>
      <c r="ABA155" s="456"/>
      <c r="ABB155" s="456"/>
      <c r="ABC155" s="456"/>
      <c r="ABD155" s="456"/>
      <c r="ABE155" s="456"/>
      <c r="ABF155" s="456"/>
      <c r="ABG155" s="456"/>
      <c r="ABH155" s="456"/>
      <c r="ABI155" s="456"/>
      <c r="ABJ155" s="456"/>
      <c r="ABK155" s="456"/>
      <c r="ABL155" s="456"/>
      <c r="ABM155" s="456"/>
      <c r="ABN155" s="456"/>
      <c r="ABO155" s="456"/>
      <c r="ABP155" s="456"/>
      <c r="ABQ155" s="456"/>
      <c r="ABR155" s="456"/>
      <c r="ABS155" s="456"/>
      <c r="ABT155" s="456"/>
      <c r="ABU155" s="456"/>
      <c r="ABV155" s="456"/>
      <c r="ABW155" s="456"/>
      <c r="ABX155" s="456"/>
      <c r="ABY155" s="456"/>
      <c r="ABZ155" s="456"/>
      <c r="ACA155" s="456"/>
      <c r="ACB155" s="456"/>
      <c r="ACC155" s="456"/>
      <c r="ACD155" s="456"/>
      <c r="ACE155" s="456"/>
      <c r="ACF155" s="456"/>
      <c r="ACG155" s="456"/>
      <c r="ACH155" s="456"/>
      <c r="ACI155" s="456"/>
      <c r="ACJ155" s="456"/>
      <c r="ACK155" s="456"/>
      <c r="ACL155" s="456"/>
      <c r="ACM155" s="456"/>
      <c r="ACN155" s="456"/>
      <c r="ACO155" s="456"/>
      <c r="ACP155" s="456"/>
      <c r="ACQ155" s="456"/>
      <c r="ACR155" s="456"/>
      <c r="ACS155" s="456"/>
      <c r="ACT155" s="456"/>
      <c r="ACU155" s="456"/>
      <c r="ACV155" s="456"/>
      <c r="ACW155" s="456"/>
      <c r="ACX155" s="456"/>
      <c r="ACY155" s="456"/>
      <c r="ACZ155" s="456"/>
      <c r="ADA155" s="456"/>
      <c r="ADB155" s="456"/>
      <c r="ADC155" s="456"/>
      <c r="ADD155" s="456"/>
      <c r="ADE155" s="456"/>
      <c r="ADF155" s="456"/>
      <c r="ADG155" s="456"/>
      <c r="ADH155" s="456"/>
      <c r="ADI155" s="456"/>
      <c r="ADJ155" s="456"/>
      <c r="ADK155" s="456"/>
      <c r="ADL155" s="456"/>
      <c r="ADM155" s="456"/>
      <c r="ADN155" s="456"/>
      <c r="ADO155" s="456"/>
      <c r="ADP155" s="456"/>
      <c r="ADQ155" s="456"/>
      <c r="ADR155" s="456"/>
      <c r="ADS155" s="456"/>
      <c r="ADT155" s="456"/>
      <c r="ADU155" s="456"/>
      <c r="ADV155" s="456"/>
      <c r="ADW155" s="456"/>
      <c r="ADX155" s="456"/>
      <c r="ADY155" s="456"/>
      <c r="ADZ155" s="456"/>
      <c r="AEA155" s="456"/>
      <c r="AEB155" s="456"/>
      <c r="AEC155" s="456"/>
      <c r="AED155" s="456"/>
      <c r="AEE155" s="456"/>
      <c r="AEF155" s="456"/>
      <c r="AEG155" s="456"/>
      <c r="AEH155" s="456"/>
      <c r="AEI155" s="456"/>
      <c r="AEJ155" s="456"/>
      <c r="AEK155" s="456"/>
      <c r="AEL155" s="456"/>
      <c r="AEM155" s="456"/>
      <c r="AEN155" s="456"/>
      <c r="AEO155" s="456"/>
      <c r="AEP155" s="456"/>
      <c r="AEQ155" s="456"/>
      <c r="AER155" s="456"/>
      <c r="AES155" s="456"/>
      <c r="AET155" s="456"/>
      <c r="AEU155" s="456"/>
      <c r="AEV155" s="456"/>
      <c r="AEW155" s="456"/>
      <c r="AEX155" s="456"/>
      <c r="AEY155" s="456"/>
      <c r="AEZ155" s="456"/>
      <c r="AFA155" s="456"/>
      <c r="AFB155" s="456"/>
      <c r="AFC155" s="456"/>
      <c r="AFD155" s="456"/>
      <c r="AFE155" s="456"/>
      <c r="AFF155" s="456"/>
      <c r="AFG155" s="456"/>
      <c r="AFH155" s="456"/>
      <c r="AFI155" s="456"/>
      <c r="AFJ155" s="456"/>
      <c r="AFK155" s="456"/>
      <c r="AFL155" s="456"/>
      <c r="AFM155" s="456"/>
      <c r="AFN155" s="456"/>
      <c r="AFO155" s="456"/>
      <c r="AFP155" s="456"/>
      <c r="AFQ155" s="456"/>
      <c r="AFR155" s="456"/>
      <c r="AFS155" s="456"/>
      <c r="AFT155" s="456"/>
      <c r="AFU155" s="456"/>
      <c r="AFV155" s="456"/>
      <c r="AFW155" s="456"/>
      <c r="AFX155" s="456"/>
      <c r="AFY155" s="456"/>
      <c r="AFZ155" s="456"/>
      <c r="AGA155" s="456"/>
      <c r="AGB155" s="456"/>
      <c r="AGC155" s="456"/>
      <c r="AGD155" s="456"/>
      <c r="AGE155" s="456"/>
      <c r="AGF155" s="456"/>
      <c r="AGG155" s="456"/>
      <c r="AGH155" s="456"/>
      <c r="AGI155" s="456"/>
      <c r="AGJ155" s="456"/>
      <c r="AGK155" s="456"/>
      <c r="AGL155" s="456"/>
      <c r="AGM155" s="456"/>
      <c r="AGN155" s="456"/>
      <c r="AGO155" s="456"/>
      <c r="AGP155" s="456"/>
      <c r="AGQ155" s="456"/>
      <c r="AGR155" s="456"/>
      <c r="AGS155" s="456"/>
      <c r="AGT155" s="456"/>
      <c r="AGU155" s="456"/>
      <c r="AGV155" s="456"/>
      <c r="AGW155" s="456"/>
      <c r="AGX155" s="456"/>
      <c r="AGY155" s="456"/>
      <c r="AGZ155" s="456"/>
      <c r="AHA155" s="456"/>
      <c r="AHB155" s="456"/>
      <c r="AHC155" s="456"/>
      <c r="AHD155" s="456"/>
      <c r="AHE155" s="456"/>
      <c r="AHF155" s="456"/>
      <c r="AHG155" s="456"/>
      <c r="AHH155" s="456"/>
      <c r="AHI155" s="456"/>
      <c r="AHJ155" s="456"/>
      <c r="AHK155" s="456"/>
      <c r="AHL155" s="456"/>
      <c r="AHM155" s="456"/>
      <c r="AHN155" s="456"/>
      <c r="AHO155" s="456"/>
      <c r="AHP155" s="456"/>
      <c r="AHQ155" s="456"/>
      <c r="AHR155" s="456"/>
      <c r="AHS155" s="456"/>
      <c r="AHT155" s="456"/>
      <c r="AHU155" s="456"/>
      <c r="AHV155" s="456"/>
      <c r="AHW155" s="456"/>
      <c r="AHX155" s="456"/>
      <c r="AHY155" s="456"/>
      <c r="AHZ155" s="456"/>
      <c r="AIA155" s="456"/>
      <c r="AIB155" s="456"/>
      <c r="AIC155" s="456"/>
      <c r="AID155" s="456"/>
      <c r="AIE155" s="456"/>
      <c r="AIF155" s="456"/>
      <c r="AIG155" s="456"/>
      <c r="AIH155" s="456"/>
      <c r="AII155" s="456"/>
      <c r="AIJ155" s="456"/>
      <c r="AIK155" s="456"/>
      <c r="AIL155" s="456"/>
      <c r="AIM155" s="456"/>
      <c r="AIN155" s="456"/>
      <c r="AIO155" s="456"/>
      <c r="AIP155" s="456"/>
      <c r="AIQ155" s="456"/>
      <c r="AIR155" s="456"/>
      <c r="AIS155" s="456"/>
      <c r="AIT155" s="456"/>
      <c r="AIU155" s="456"/>
      <c r="AIV155" s="456"/>
      <c r="AIW155" s="456"/>
      <c r="AIX155" s="456"/>
      <c r="AIY155" s="456"/>
      <c r="AIZ155" s="456"/>
      <c r="AJA155" s="456"/>
      <c r="AJB155" s="456"/>
      <c r="AJC155" s="456"/>
      <c r="AJD155" s="456"/>
      <c r="AJE155" s="456"/>
      <c r="AJF155" s="456"/>
      <c r="AJG155" s="456"/>
      <c r="AJH155" s="456"/>
      <c r="AJI155" s="456"/>
      <c r="AJJ155" s="456"/>
      <c r="AJK155" s="456"/>
      <c r="AJL155" s="456"/>
      <c r="AJM155" s="456"/>
      <c r="AJN155" s="456"/>
      <c r="AJO155" s="456"/>
      <c r="AJP155" s="456"/>
      <c r="AJQ155" s="456"/>
      <c r="AJR155" s="456"/>
      <c r="AJS155" s="456"/>
      <c r="AJT155" s="456"/>
      <c r="AJU155" s="456"/>
      <c r="AJV155" s="456"/>
      <c r="AJW155" s="456"/>
      <c r="AJX155" s="456"/>
      <c r="AJY155" s="456"/>
      <c r="AJZ155" s="456"/>
      <c r="AKA155" s="456"/>
      <c r="AKB155" s="456"/>
      <c r="AKC155" s="456"/>
      <c r="AKD155" s="456"/>
      <c r="AKE155" s="456"/>
      <c r="AKF155" s="456"/>
      <c r="AKG155" s="456"/>
      <c r="AKH155" s="456"/>
      <c r="AKI155" s="456"/>
      <c r="AKJ155" s="456"/>
      <c r="AKK155" s="456"/>
      <c r="AKL155" s="456"/>
      <c r="AKM155" s="456"/>
      <c r="AKN155" s="456"/>
      <c r="AKO155" s="456"/>
      <c r="AKP155" s="456"/>
      <c r="AKQ155" s="456"/>
      <c r="AKR155" s="456"/>
      <c r="AKS155" s="456"/>
      <c r="AKT155" s="456"/>
      <c r="AKU155" s="456"/>
      <c r="AKV155" s="456"/>
      <c r="AKW155" s="456"/>
      <c r="AKX155" s="456"/>
      <c r="AKY155" s="456"/>
      <c r="AKZ155" s="456"/>
      <c r="ALA155" s="456"/>
      <c r="ALB155" s="456"/>
      <c r="ALC155" s="456"/>
      <c r="ALD155" s="456"/>
      <c r="ALE155" s="456"/>
      <c r="ALF155" s="456"/>
      <c r="ALG155" s="456"/>
      <c r="ALH155" s="456"/>
      <c r="ALI155" s="456"/>
      <c r="ALJ155" s="456"/>
      <c r="ALK155" s="456"/>
      <c r="ALL155" s="456"/>
      <c r="ALM155" s="456"/>
      <c r="ALN155" s="456"/>
      <c r="ALO155" s="456"/>
      <c r="ALP155" s="456"/>
      <c r="ALQ155" s="456"/>
      <c r="ALR155" s="456"/>
      <c r="ALS155" s="456"/>
      <c r="ALT155" s="456"/>
      <c r="ALU155" s="456"/>
      <c r="ALV155" s="456"/>
      <c r="ALW155" s="456"/>
      <c r="ALX155" s="456"/>
      <c r="ALY155" s="456"/>
      <c r="ALZ155" s="456"/>
      <c r="AMA155" s="456"/>
      <c r="AMB155" s="456"/>
      <c r="AMC155" s="456"/>
      <c r="AMD155" s="456"/>
      <c r="AME155" s="456"/>
      <c r="AMF155" s="456"/>
      <c r="AMG155" s="456"/>
      <c r="AMH155" s="456"/>
      <c r="AMI155" s="456"/>
      <c r="AMJ155" s="456"/>
      <c r="AMK155" s="456"/>
      <c r="AML155" s="456"/>
      <c r="AMM155" s="456"/>
      <c r="AMN155" s="456"/>
      <c r="AMO155" s="456"/>
      <c r="AMP155" s="456"/>
      <c r="AMQ155" s="456"/>
      <c r="AMR155" s="456"/>
      <c r="AMS155" s="456"/>
      <c r="AMT155" s="456"/>
      <c r="AMU155" s="456"/>
      <c r="AMV155" s="456"/>
      <c r="AMW155" s="456"/>
      <c r="AMX155" s="456"/>
      <c r="AMY155" s="456"/>
      <c r="AMZ155" s="456"/>
      <c r="ANA155" s="456"/>
      <c r="ANB155" s="456"/>
      <c r="ANC155" s="456"/>
      <c r="AND155" s="456"/>
      <c r="ANE155" s="456"/>
      <c r="ANF155" s="456"/>
      <c r="ANG155" s="456"/>
      <c r="ANH155" s="456"/>
      <c r="ANI155" s="456"/>
      <c r="ANJ155" s="456"/>
      <c r="ANK155" s="456"/>
      <c r="ANL155" s="456"/>
      <c r="ANM155" s="456"/>
      <c r="ANN155" s="456"/>
      <c r="ANO155" s="456"/>
      <c r="ANP155" s="456"/>
      <c r="ANQ155" s="456"/>
      <c r="ANR155" s="456"/>
      <c r="ANS155" s="456"/>
      <c r="ANT155" s="456"/>
      <c r="ANU155" s="456"/>
      <c r="ANV155" s="456"/>
      <c r="ANW155" s="456"/>
      <c r="ANX155" s="456"/>
      <c r="ANY155" s="456"/>
      <c r="ANZ155" s="456"/>
      <c r="AOA155" s="456"/>
      <c r="AOB155" s="456"/>
      <c r="AOC155" s="456"/>
      <c r="AOD155" s="456"/>
      <c r="AOE155" s="456"/>
      <c r="AOF155" s="456"/>
      <c r="AOG155" s="456"/>
      <c r="AOH155" s="456"/>
      <c r="AOI155" s="456"/>
      <c r="AOJ155" s="456"/>
      <c r="AOK155" s="456"/>
      <c r="AOL155" s="456"/>
      <c r="AOM155" s="456"/>
      <c r="AON155" s="456"/>
      <c r="AOO155" s="456"/>
      <c r="AOP155" s="456"/>
      <c r="AOQ155" s="456"/>
      <c r="AOR155" s="456"/>
      <c r="AOS155" s="456"/>
      <c r="AOT155" s="456"/>
      <c r="AOU155" s="456"/>
      <c r="AOV155" s="456"/>
      <c r="AOW155" s="456"/>
      <c r="AOX155" s="456"/>
      <c r="AOY155" s="456"/>
      <c r="AOZ155" s="456"/>
      <c r="APA155" s="456"/>
      <c r="APB155" s="456"/>
      <c r="APC155" s="456"/>
      <c r="APD155" s="456"/>
      <c r="APE155" s="456"/>
      <c r="APF155" s="456"/>
      <c r="APG155" s="456"/>
      <c r="APH155" s="456"/>
      <c r="API155" s="456"/>
      <c r="APJ155" s="456"/>
      <c r="APK155" s="456"/>
      <c r="APL155" s="456"/>
      <c r="APM155" s="456"/>
      <c r="APN155" s="456"/>
      <c r="APO155" s="456"/>
      <c r="APP155" s="456"/>
      <c r="APQ155" s="456"/>
      <c r="APR155" s="456"/>
      <c r="APS155" s="456"/>
      <c r="APT155" s="456"/>
      <c r="APU155" s="456"/>
      <c r="APV155" s="456"/>
      <c r="APW155" s="456"/>
      <c r="APX155" s="456"/>
      <c r="APY155" s="456"/>
      <c r="APZ155" s="456"/>
      <c r="AQA155" s="456"/>
      <c r="AQB155" s="456"/>
      <c r="AQC155" s="456"/>
      <c r="AQD155" s="456"/>
      <c r="AQE155" s="456"/>
      <c r="AQF155" s="456"/>
      <c r="AQG155" s="456"/>
      <c r="AQH155" s="456"/>
      <c r="AQI155" s="456"/>
      <c r="AQJ155" s="456"/>
      <c r="AQK155" s="456"/>
      <c r="AQL155" s="456"/>
      <c r="AQM155" s="456"/>
      <c r="AQN155" s="456"/>
      <c r="AQO155" s="456"/>
      <c r="AQP155" s="456"/>
      <c r="AQQ155" s="456"/>
      <c r="AQR155" s="456"/>
      <c r="AQS155" s="456"/>
      <c r="AQT155" s="456"/>
      <c r="AQU155" s="456"/>
      <c r="AQV155" s="456"/>
      <c r="AQW155" s="456"/>
      <c r="AQX155" s="456"/>
      <c r="AQY155" s="456"/>
      <c r="AQZ155" s="456"/>
      <c r="ARA155" s="456"/>
      <c r="ARB155" s="456"/>
      <c r="ARC155" s="456"/>
      <c r="ARD155" s="456"/>
      <c r="ARE155" s="456"/>
      <c r="ARF155" s="456"/>
      <c r="ARG155" s="456"/>
      <c r="ARH155" s="456"/>
      <c r="ARI155" s="456"/>
      <c r="ARJ155" s="456"/>
      <c r="ARK155" s="456"/>
      <c r="ARL155" s="456"/>
      <c r="ARM155" s="456"/>
      <c r="ARN155" s="456"/>
      <c r="ARO155" s="456"/>
      <c r="ARP155" s="456"/>
      <c r="ARQ155" s="456"/>
      <c r="ARR155" s="456"/>
      <c r="ARS155" s="456"/>
      <c r="ART155" s="456"/>
      <c r="ARU155" s="456"/>
      <c r="ARV155" s="456"/>
      <c r="ARW155" s="456"/>
      <c r="ARX155" s="456"/>
      <c r="ARY155" s="456"/>
      <c r="ARZ155" s="456"/>
      <c r="ASA155" s="456"/>
      <c r="ASB155" s="456"/>
      <c r="ASC155" s="456"/>
      <c r="ASD155" s="456"/>
      <c r="ASE155" s="456"/>
      <c r="ASF155" s="456"/>
      <c r="ASG155" s="456"/>
      <c r="ASH155" s="456"/>
      <c r="ASI155" s="456"/>
      <c r="ASJ155" s="456"/>
      <c r="ASK155" s="456"/>
      <c r="ASL155" s="456"/>
      <c r="ASM155" s="456"/>
      <c r="ASN155" s="456"/>
      <c r="ASO155" s="456"/>
      <c r="ASP155" s="456"/>
      <c r="ASQ155" s="456"/>
      <c r="ASR155" s="456"/>
      <c r="ASS155" s="456"/>
      <c r="AST155" s="456"/>
      <c r="ASU155" s="456"/>
      <c r="ASV155" s="456"/>
      <c r="ASW155" s="456"/>
      <c r="ASX155" s="456"/>
      <c r="ASY155" s="456"/>
      <c r="ASZ155" s="456"/>
      <c r="ATA155" s="456"/>
      <c r="ATB155" s="456"/>
      <c r="ATC155" s="456"/>
      <c r="ATD155" s="456"/>
      <c r="ATE155" s="456"/>
      <c r="ATF155" s="456"/>
      <c r="ATG155" s="456"/>
      <c r="ATH155" s="456"/>
      <c r="ATI155" s="456"/>
      <c r="ATJ155" s="456"/>
      <c r="ATK155" s="456"/>
      <c r="ATL155" s="456"/>
      <c r="ATM155" s="456"/>
      <c r="ATN155" s="456"/>
      <c r="ATO155" s="456"/>
      <c r="ATP155" s="456"/>
      <c r="ATQ155" s="456"/>
      <c r="ATR155" s="456"/>
      <c r="ATS155" s="456"/>
      <c r="ATT155" s="456"/>
      <c r="ATU155" s="456"/>
      <c r="ATV155" s="456"/>
      <c r="ATW155" s="456"/>
      <c r="ATX155" s="456"/>
      <c r="ATY155" s="456"/>
      <c r="ATZ155" s="456"/>
      <c r="AUA155" s="456"/>
      <c r="AUB155" s="456"/>
      <c r="AUC155" s="456"/>
      <c r="AUD155" s="456"/>
      <c r="AUE155" s="456"/>
      <c r="AUF155" s="456"/>
      <c r="AUG155" s="456"/>
      <c r="AUH155" s="456"/>
      <c r="AUI155" s="456"/>
      <c r="AUJ155" s="456"/>
      <c r="AUK155" s="456"/>
      <c r="AUL155" s="456"/>
      <c r="AUM155" s="456"/>
      <c r="AUN155" s="456"/>
      <c r="AUO155" s="456"/>
      <c r="AUP155" s="456"/>
      <c r="AUQ155" s="456"/>
      <c r="AUR155" s="456"/>
      <c r="AUS155" s="456"/>
      <c r="AUT155" s="456"/>
      <c r="AUU155" s="456"/>
      <c r="AUV155" s="456"/>
      <c r="AUW155" s="456"/>
      <c r="AUX155" s="456"/>
      <c r="AUY155" s="456"/>
      <c r="AUZ155" s="456"/>
      <c r="AVA155" s="456"/>
      <c r="AVB155" s="456"/>
      <c r="AVC155" s="456"/>
      <c r="AVD155" s="456"/>
      <c r="AVE155" s="456"/>
      <c r="AVF155" s="456"/>
      <c r="AVG155" s="456"/>
      <c r="AVH155" s="456"/>
      <c r="AVI155" s="456"/>
      <c r="AVJ155" s="456"/>
      <c r="AVK155" s="456"/>
      <c r="AVL155" s="456"/>
      <c r="AVM155" s="456"/>
      <c r="AVN155" s="456"/>
      <c r="AVO155" s="456"/>
      <c r="AVP155" s="456"/>
      <c r="AVQ155" s="456"/>
      <c r="AVR155" s="456"/>
      <c r="AVS155" s="456"/>
      <c r="AVT155" s="456"/>
      <c r="AVU155" s="456"/>
      <c r="AVV155" s="456"/>
      <c r="AVW155" s="456"/>
      <c r="AVX155" s="456"/>
      <c r="AVY155" s="456"/>
      <c r="AVZ155" s="456"/>
      <c r="AWA155" s="456"/>
      <c r="AWB155" s="456"/>
      <c r="AWC155" s="456"/>
      <c r="AWD155" s="456"/>
      <c r="AWE155" s="456"/>
      <c r="AWF155" s="456"/>
      <c r="AWG155" s="456"/>
      <c r="AWH155" s="456"/>
      <c r="AWI155" s="456"/>
      <c r="AWJ155" s="456"/>
      <c r="AWK155" s="456"/>
      <c r="AWL155" s="456"/>
      <c r="AWM155" s="456"/>
      <c r="AWN155" s="456"/>
      <c r="AWO155" s="456"/>
      <c r="AWP155" s="456"/>
      <c r="AWQ155" s="456"/>
      <c r="AWR155" s="456"/>
      <c r="AWS155" s="456"/>
      <c r="AWT155" s="456"/>
      <c r="AWU155" s="456"/>
      <c r="AWV155" s="456"/>
      <c r="AWW155" s="456"/>
      <c r="AWX155" s="456"/>
      <c r="AWY155" s="456"/>
      <c r="AWZ155" s="456"/>
      <c r="AXA155" s="456"/>
      <c r="AXB155" s="456"/>
      <c r="AXC155" s="456"/>
      <c r="AXD155" s="456"/>
      <c r="AXE155" s="456"/>
      <c r="AXF155" s="456"/>
      <c r="AXG155" s="456"/>
      <c r="AXH155" s="456"/>
      <c r="AXI155" s="456"/>
      <c r="AXJ155" s="456"/>
      <c r="AXK155" s="456"/>
      <c r="AXL155" s="456"/>
      <c r="AXM155" s="456"/>
      <c r="AXN155" s="456"/>
      <c r="AXO155" s="456"/>
      <c r="AXP155" s="456"/>
      <c r="AXQ155" s="456"/>
      <c r="AXR155" s="456"/>
      <c r="AXS155" s="456"/>
      <c r="AXT155" s="456"/>
      <c r="AXU155" s="456"/>
      <c r="AXV155" s="456"/>
      <c r="AXW155" s="456"/>
      <c r="AXX155" s="456"/>
      <c r="AXY155" s="456"/>
      <c r="AXZ155" s="456"/>
      <c r="AYA155" s="456"/>
      <c r="AYB155" s="456"/>
      <c r="AYC155" s="456"/>
      <c r="AYD155" s="456"/>
      <c r="AYE155" s="456"/>
      <c r="AYF155" s="456"/>
      <c r="AYG155" s="456"/>
      <c r="AYH155" s="456"/>
      <c r="AYI155" s="456"/>
      <c r="AYJ155" s="456"/>
      <c r="AYK155" s="456"/>
      <c r="AYL155" s="456"/>
      <c r="AYM155" s="456"/>
      <c r="AYN155" s="456"/>
      <c r="AYO155" s="456"/>
      <c r="AYP155" s="456"/>
      <c r="AYQ155" s="456"/>
      <c r="AYR155" s="456"/>
      <c r="AYS155" s="456"/>
      <c r="AYT155" s="456"/>
      <c r="AYU155" s="456"/>
      <c r="AYV155" s="456"/>
      <c r="AYW155" s="456"/>
      <c r="AYX155" s="456"/>
      <c r="AYY155" s="456"/>
      <c r="AYZ155" s="456"/>
      <c r="AZA155" s="456"/>
      <c r="AZB155" s="456"/>
      <c r="AZC155" s="456"/>
      <c r="AZD155" s="456"/>
      <c r="AZE155" s="456"/>
      <c r="AZF155" s="456"/>
      <c r="AZG155" s="456"/>
      <c r="AZH155" s="456"/>
      <c r="AZI155" s="456"/>
      <c r="AZJ155" s="456"/>
      <c r="AZK155" s="456"/>
      <c r="AZL155" s="456"/>
      <c r="AZM155" s="456"/>
      <c r="AZN155" s="456"/>
      <c r="AZO155" s="456"/>
      <c r="AZP155" s="456"/>
      <c r="AZQ155" s="456"/>
      <c r="AZR155" s="456"/>
      <c r="AZS155" s="456"/>
      <c r="AZT155" s="456"/>
      <c r="AZU155" s="456"/>
      <c r="AZV155" s="456"/>
      <c r="AZW155" s="456"/>
      <c r="AZX155" s="456"/>
      <c r="AZY155" s="456"/>
      <c r="AZZ155" s="456"/>
      <c r="BAA155" s="456"/>
      <c r="BAB155" s="456"/>
      <c r="BAC155" s="456"/>
      <c r="BAD155" s="456"/>
      <c r="BAE155" s="456"/>
      <c r="BAF155" s="456"/>
      <c r="BAG155" s="456"/>
      <c r="BAH155" s="456"/>
      <c r="BAI155" s="456"/>
      <c r="BAJ155" s="456"/>
      <c r="BAK155" s="456"/>
      <c r="BAL155" s="456"/>
      <c r="BAM155" s="456"/>
      <c r="BAN155" s="456"/>
      <c r="BAO155" s="456"/>
      <c r="BAP155" s="456"/>
      <c r="BAQ155" s="456"/>
      <c r="BAR155" s="456"/>
      <c r="BAS155" s="456"/>
      <c r="BAT155" s="456"/>
      <c r="BAU155" s="456"/>
      <c r="BAV155" s="456"/>
      <c r="BAW155" s="456"/>
      <c r="BAX155" s="456"/>
      <c r="BAY155" s="456"/>
      <c r="BAZ155" s="456"/>
      <c r="BBA155" s="456"/>
      <c r="BBB155" s="456"/>
      <c r="BBC155" s="456"/>
      <c r="BBD155" s="456"/>
      <c r="BBE155" s="456"/>
      <c r="BBF155" s="456"/>
      <c r="BBG155" s="456"/>
      <c r="BBH155" s="456"/>
      <c r="BBI155" s="456"/>
      <c r="BBJ155" s="456"/>
      <c r="BBK155" s="456"/>
      <c r="BBL155" s="456"/>
      <c r="BBM155" s="456"/>
      <c r="BBN155" s="456"/>
      <c r="BBO155" s="456"/>
      <c r="BBP155" s="456"/>
      <c r="BBQ155" s="456"/>
      <c r="BBR155" s="456"/>
      <c r="BBS155" s="456"/>
      <c r="BBT155" s="456"/>
      <c r="BBU155" s="456"/>
      <c r="BBV155" s="456"/>
      <c r="BBW155" s="456"/>
      <c r="BBX155" s="456"/>
      <c r="BBY155" s="456"/>
      <c r="BBZ155" s="456"/>
      <c r="BCA155" s="456"/>
      <c r="BCB155" s="456"/>
      <c r="BCC155" s="456"/>
      <c r="BCD155" s="456"/>
      <c r="BCE155" s="456"/>
      <c r="BCF155" s="456"/>
      <c r="BCG155" s="456"/>
      <c r="BCH155" s="456"/>
      <c r="BCI155" s="456"/>
      <c r="BCJ155" s="456"/>
      <c r="BCK155" s="456"/>
      <c r="BCL155" s="456"/>
      <c r="BCM155" s="456"/>
      <c r="BCN155" s="456"/>
      <c r="BCO155" s="456"/>
      <c r="BCP155" s="456"/>
      <c r="BCQ155" s="456"/>
      <c r="BCR155" s="456"/>
      <c r="BCS155" s="456"/>
      <c r="BCT155" s="456"/>
      <c r="BCU155" s="456"/>
      <c r="BCV155" s="456"/>
      <c r="BCW155" s="456"/>
      <c r="BCX155" s="456"/>
      <c r="BCY155" s="456"/>
      <c r="BCZ155" s="456"/>
      <c r="BDA155" s="456"/>
      <c r="BDB155" s="456"/>
      <c r="BDC155" s="456"/>
      <c r="BDD155" s="456"/>
      <c r="BDE155" s="456"/>
      <c r="BDF155" s="456"/>
      <c r="BDG155" s="456"/>
      <c r="BDH155" s="456"/>
      <c r="BDI155" s="456"/>
      <c r="BDJ155" s="456"/>
      <c r="BDK155" s="456"/>
      <c r="BDL155" s="456"/>
      <c r="BDM155" s="456"/>
      <c r="BDN155" s="456"/>
      <c r="BDO155" s="456"/>
      <c r="BDP155" s="456"/>
      <c r="BDQ155" s="456"/>
      <c r="BDR155" s="456"/>
      <c r="BDS155" s="456"/>
      <c r="BDT155" s="456"/>
      <c r="BDU155" s="456"/>
      <c r="BDV155" s="456"/>
      <c r="BDW155" s="456"/>
      <c r="BDX155" s="456"/>
      <c r="BDY155" s="456"/>
      <c r="BDZ155" s="456"/>
      <c r="BEA155" s="456"/>
      <c r="BEB155" s="456"/>
      <c r="BEC155" s="456"/>
      <c r="BED155" s="456"/>
      <c r="BEE155" s="456"/>
      <c r="BEF155" s="456"/>
      <c r="BEG155" s="456"/>
      <c r="BEH155" s="456"/>
      <c r="BEI155" s="456"/>
      <c r="BEJ155" s="456"/>
      <c r="BEK155" s="456"/>
      <c r="BEL155" s="456"/>
      <c r="BEM155" s="456"/>
      <c r="BEN155" s="456"/>
      <c r="BEO155" s="456"/>
      <c r="BEP155" s="456"/>
      <c r="BEQ155" s="456"/>
      <c r="BER155" s="456"/>
      <c r="BES155" s="456"/>
      <c r="BET155" s="456"/>
      <c r="BEU155" s="456"/>
      <c r="BEV155" s="456"/>
      <c r="BEW155" s="456"/>
      <c r="BEX155" s="456"/>
      <c r="BEY155" s="456"/>
      <c r="BEZ155" s="456"/>
      <c r="BFA155" s="456"/>
      <c r="BFB155" s="456"/>
      <c r="BFC155" s="456"/>
      <c r="BFD155" s="456"/>
      <c r="BFE155" s="456"/>
      <c r="BFF155" s="456"/>
      <c r="BFG155" s="456"/>
      <c r="BFH155" s="456"/>
      <c r="BFI155" s="456"/>
      <c r="BFJ155" s="456"/>
      <c r="BFK155" s="456"/>
      <c r="BFL155" s="456"/>
      <c r="BFM155" s="456"/>
      <c r="BFN155" s="456"/>
      <c r="BFO155" s="456"/>
      <c r="BFP155" s="456"/>
      <c r="BFQ155" s="456"/>
      <c r="BFR155" s="456"/>
      <c r="BFS155" s="456"/>
      <c r="BFT155" s="456"/>
      <c r="BFU155" s="456"/>
      <c r="BFV155" s="456"/>
      <c r="BFW155" s="456"/>
      <c r="BFX155" s="456"/>
      <c r="BFY155" s="456"/>
      <c r="BFZ155" s="456"/>
      <c r="BGA155" s="456"/>
      <c r="BGB155" s="456"/>
      <c r="BGC155" s="456"/>
      <c r="BGD155" s="456"/>
      <c r="BGE155" s="456"/>
      <c r="BGF155" s="456"/>
      <c r="BGG155" s="456"/>
      <c r="BGH155" s="456"/>
      <c r="BGI155" s="456"/>
      <c r="BGJ155" s="456"/>
      <c r="BGK155" s="456"/>
      <c r="BGL155" s="456"/>
      <c r="BGM155" s="456"/>
      <c r="BGN155" s="456"/>
      <c r="BGO155" s="456"/>
      <c r="BGP155" s="456"/>
      <c r="BGQ155" s="456"/>
      <c r="BGR155" s="456"/>
      <c r="BGS155" s="456"/>
      <c r="BGT155" s="456"/>
      <c r="BGU155" s="456"/>
      <c r="BGV155" s="456"/>
      <c r="BGW155" s="456"/>
      <c r="BGX155" s="456"/>
      <c r="BGY155" s="456"/>
      <c r="BGZ155" s="456"/>
      <c r="BHA155" s="456"/>
      <c r="BHB155" s="456"/>
      <c r="BHC155" s="456"/>
      <c r="BHD155" s="456"/>
      <c r="BHE155" s="456"/>
      <c r="BHF155" s="456"/>
      <c r="BHG155" s="456"/>
      <c r="BHH155" s="456"/>
      <c r="BHI155" s="456"/>
      <c r="BHJ155" s="456"/>
      <c r="BHK155" s="456"/>
      <c r="BHL155" s="456"/>
      <c r="BHM155" s="456"/>
      <c r="BHN155" s="456"/>
      <c r="BHO155" s="456"/>
      <c r="BHP155" s="456"/>
      <c r="BHQ155" s="456"/>
      <c r="BHR155" s="456"/>
      <c r="BHS155" s="456"/>
      <c r="BHT155" s="456"/>
      <c r="BHU155" s="456"/>
      <c r="BHV155" s="456"/>
      <c r="BHW155" s="456"/>
      <c r="BHX155" s="456"/>
      <c r="BHY155" s="456"/>
      <c r="BHZ155" s="456"/>
      <c r="BIA155" s="456"/>
      <c r="BIB155" s="456"/>
      <c r="BIC155" s="456"/>
      <c r="BID155" s="456"/>
      <c r="BIE155" s="456"/>
      <c r="BIF155" s="456"/>
      <c r="BIG155" s="456"/>
      <c r="BIH155" s="456"/>
      <c r="BII155" s="456"/>
      <c r="BIJ155" s="456"/>
      <c r="BIK155" s="456"/>
      <c r="BIL155" s="456"/>
      <c r="BIM155" s="456"/>
      <c r="BIN155" s="456"/>
      <c r="BIO155" s="456"/>
      <c r="BIP155" s="456"/>
      <c r="BIQ155" s="456"/>
      <c r="BIR155" s="456"/>
      <c r="BIS155" s="456"/>
      <c r="BIT155" s="456"/>
      <c r="BIU155" s="456"/>
      <c r="BIV155" s="456"/>
      <c r="BIW155" s="456"/>
      <c r="BIX155" s="456"/>
      <c r="BIY155" s="456"/>
      <c r="BIZ155" s="456"/>
      <c r="BJA155" s="456"/>
      <c r="BJB155" s="456"/>
      <c r="BJC155" s="456"/>
      <c r="BJD155" s="456"/>
      <c r="BJE155" s="456"/>
      <c r="BJF155" s="456"/>
      <c r="BJG155" s="456"/>
      <c r="BJH155" s="456"/>
      <c r="BJI155" s="456"/>
      <c r="BJJ155" s="456"/>
      <c r="BJK155" s="456"/>
      <c r="BJL155" s="456"/>
      <c r="BJM155" s="456"/>
      <c r="BJN155" s="456"/>
      <c r="BJO155" s="456"/>
      <c r="BJP155" s="456"/>
      <c r="BJQ155" s="456"/>
      <c r="BJR155" s="456"/>
      <c r="BJS155" s="456"/>
      <c r="BJT155" s="456"/>
      <c r="BJU155" s="456"/>
      <c r="BJV155" s="456"/>
      <c r="BJW155" s="456"/>
      <c r="BJX155" s="456"/>
      <c r="BJY155" s="456"/>
      <c r="BJZ155" s="456"/>
      <c r="BKA155" s="456"/>
      <c r="BKB155" s="456"/>
      <c r="BKC155" s="456"/>
      <c r="BKD155" s="456"/>
      <c r="BKE155" s="456"/>
      <c r="BKF155" s="456"/>
      <c r="BKG155" s="456"/>
      <c r="BKH155" s="456"/>
      <c r="BKI155" s="456"/>
      <c r="BKJ155" s="456"/>
      <c r="BKK155" s="456"/>
      <c r="BKL155" s="456"/>
      <c r="BKM155" s="456"/>
      <c r="BKN155" s="456"/>
      <c r="BKO155" s="456"/>
      <c r="BKP155" s="456"/>
      <c r="BKQ155" s="456"/>
      <c r="BKR155" s="456"/>
      <c r="BKS155" s="456"/>
      <c r="BKT155" s="456"/>
      <c r="BKU155" s="456"/>
      <c r="BKV155" s="456"/>
      <c r="BKW155" s="456"/>
      <c r="BKX155" s="456"/>
      <c r="BKY155" s="456"/>
      <c r="BKZ155" s="456"/>
      <c r="BLA155" s="456"/>
      <c r="BLB155" s="456"/>
      <c r="BLC155" s="456"/>
      <c r="BLD155" s="456"/>
      <c r="BLE155" s="456"/>
      <c r="BLF155" s="456"/>
      <c r="BLG155" s="456"/>
      <c r="BLH155" s="456"/>
      <c r="BLI155" s="456"/>
      <c r="BLJ155" s="456"/>
      <c r="BLK155" s="456"/>
      <c r="BLL155" s="456"/>
      <c r="BLM155" s="456"/>
      <c r="BLN155" s="456"/>
      <c r="BLO155" s="456"/>
      <c r="BLP155" s="456"/>
      <c r="BLQ155" s="456"/>
      <c r="BLR155" s="456"/>
      <c r="BLS155" s="456"/>
      <c r="BLT155" s="456"/>
      <c r="BLU155" s="456"/>
      <c r="BLV155" s="456"/>
      <c r="BLW155" s="456"/>
      <c r="BLX155" s="456"/>
      <c r="BLY155" s="456"/>
      <c r="BLZ155" s="456"/>
      <c r="BMA155" s="456"/>
      <c r="BMB155" s="456"/>
      <c r="BMC155" s="456"/>
      <c r="BMD155" s="456"/>
      <c r="BME155" s="456"/>
      <c r="BMF155" s="456"/>
      <c r="BMG155" s="456"/>
      <c r="BMH155" s="456"/>
      <c r="BMI155" s="456"/>
      <c r="BMJ155" s="456"/>
      <c r="BMK155" s="456"/>
      <c r="BML155" s="456"/>
      <c r="BMM155" s="456"/>
      <c r="BMN155" s="456"/>
      <c r="BMO155" s="456"/>
      <c r="BMP155" s="456"/>
      <c r="BMQ155" s="456"/>
      <c r="BMR155" s="456"/>
      <c r="BMS155" s="456"/>
      <c r="BMT155" s="456"/>
      <c r="BMU155" s="456"/>
      <c r="BMV155" s="456"/>
      <c r="BMW155" s="456"/>
      <c r="BMX155" s="456"/>
      <c r="BMY155" s="456"/>
      <c r="BMZ155" s="456"/>
      <c r="BNA155" s="456"/>
      <c r="BNB155" s="456"/>
      <c r="BNC155" s="456"/>
      <c r="BND155" s="456"/>
      <c r="BNE155" s="456"/>
      <c r="BNF155" s="456"/>
      <c r="BNG155" s="456"/>
      <c r="BNH155" s="456"/>
      <c r="BNI155" s="456"/>
      <c r="BNJ155" s="456"/>
      <c r="BNK155" s="456"/>
      <c r="BNL155" s="456"/>
      <c r="BNM155" s="456"/>
      <c r="BNN155" s="456"/>
      <c r="BNO155" s="456"/>
      <c r="BNP155" s="456"/>
      <c r="BNQ155" s="456"/>
      <c r="BNR155" s="456"/>
      <c r="BNS155" s="456"/>
      <c r="BNT155" s="456"/>
      <c r="BNU155" s="456"/>
      <c r="BNV155" s="456"/>
      <c r="BNW155" s="456"/>
      <c r="BNX155" s="456"/>
      <c r="BNY155" s="456"/>
      <c r="BNZ155" s="456"/>
      <c r="BOA155" s="456"/>
      <c r="BOB155" s="456"/>
      <c r="BOC155" s="456"/>
      <c r="BOD155" s="456"/>
      <c r="BOE155" s="456"/>
      <c r="BOF155" s="456"/>
      <c r="BOG155" s="456"/>
      <c r="BOH155" s="456"/>
      <c r="BOI155" s="456"/>
      <c r="BOJ155" s="456"/>
      <c r="BOK155" s="456"/>
      <c r="BOL155" s="456"/>
      <c r="BOM155" s="456"/>
      <c r="BON155" s="456"/>
      <c r="BOO155" s="456"/>
      <c r="BOP155" s="456"/>
      <c r="BOQ155" s="456"/>
      <c r="BOR155" s="456"/>
      <c r="BOS155" s="456"/>
      <c r="BOT155" s="456"/>
      <c r="BOU155" s="456"/>
      <c r="BOV155" s="456"/>
      <c r="BOW155" s="456"/>
      <c r="BOX155" s="456"/>
      <c r="BOY155" s="456"/>
      <c r="BOZ155" s="456"/>
      <c r="BPA155" s="456"/>
      <c r="BPB155" s="456"/>
      <c r="BPC155" s="456"/>
      <c r="BPD155" s="456"/>
      <c r="BPE155" s="456"/>
      <c r="BPF155" s="456"/>
      <c r="BPG155" s="456"/>
      <c r="BPH155" s="456"/>
      <c r="BPI155" s="456"/>
      <c r="BPJ155" s="456"/>
      <c r="BPK155" s="456"/>
      <c r="BPL155" s="456"/>
      <c r="BPM155" s="456"/>
      <c r="BPN155" s="456"/>
      <c r="BPO155" s="456"/>
      <c r="BPP155" s="456"/>
      <c r="BPQ155" s="456"/>
      <c r="BPR155" s="456"/>
      <c r="BPS155" s="456"/>
      <c r="BPT155" s="456"/>
      <c r="BPU155" s="456"/>
      <c r="BPV155" s="456"/>
      <c r="BPW155" s="456"/>
      <c r="BPX155" s="456"/>
      <c r="BPY155" s="456"/>
      <c r="BPZ155" s="456"/>
      <c r="BQA155" s="456"/>
      <c r="BQB155" s="456"/>
      <c r="BQC155" s="456"/>
      <c r="BQD155" s="456"/>
      <c r="BQE155" s="456"/>
      <c r="BQF155" s="456"/>
      <c r="BQG155" s="456"/>
      <c r="BQH155" s="456"/>
      <c r="BQI155" s="456"/>
      <c r="BQJ155" s="456"/>
      <c r="BQK155" s="456"/>
      <c r="BQL155" s="456"/>
      <c r="BQM155" s="456"/>
      <c r="BQN155" s="456"/>
      <c r="BQO155" s="456"/>
      <c r="BQP155" s="456"/>
      <c r="BQQ155" s="456"/>
      <c r="BQR155" s="456"/>
      <c r="BQS155" s="456"/>
      <c r="BQT155" s="456"/>
      <c r="BQU155" s="456"/>
      <c r="BQV155" s="456"/>
      <c r="BQW155" s="456"/>
      <c r="BQX155" s="456"/>
      <c r="BQY155" s="456"/>
      <c r="BQZ155" s="456"/>
      <c r="BRA155" s="456"/>
      <c r="BRB155" s="456"/>
      <c r="BRC155" s="456"/>
      <c r="BRD155" s="456"/>
      <c r="BRE155" s="456"/>
      <c r="BRF155" s="456"/>
      <c r="BRG155" s="456"/>
      <c r="BRH155" s="456"/>
      <c r="BRI155" s="456"/>
      <c r="BRJ155" s="456"/>
      <c r="BRK155" s="456"/>
      <c r="BRL155" s="456"/>
      <c r="BRM155" s="456"/>
      <c r="BRN155" s="456"/>
      <c r="BRO155" s="456"/>
      <c r="BRP155" s="456"/>
      <c r="BRQ155" s="456"/>
      <c r="BRR155" s="456"/>
      <c r="BRS155" s="456"/>
      <c r="BRT155" s="456"/>
      <c r="BRU155" s="456"/>
      <c r="BRV155" s="456"/>
      <c r="BRW155" s="456"/>
      <c r="BRX155" s="456"/>
      <c r="BRY155" s="456"/>
      <c r="BRZ155" s="456"/>
      <c r="BSA155" s="456"/>
      <c r="BSB155" s="456"/>
      <c r="BSC155" s="456"/>
      <c r="BSD155" s="456"/>
      <c r="BSE155" s="456"/>
      <c r="BSF155" s="456"/>
      <c r="BSG155" s="456"/>
      <c r="BSH155" s="456"/>
      <c r="BSI155" s="456"/>
      <c r="BSJ155" s="456"/>
      <c r="BSK155" s="456"/>
      <c r="BSL155" s="456"/>
      <c r="BSM155" s="456"/>
      <c r="BSN155" s="456"/>
      <c r="BSO155" s="456"/>
      <c r="BSP155" s="456"/>
      <c r="BSQ155" s="456"/>
      <c r="BSR155" s="456"/>
      <c r="BSS155" s="456"/>
      <c r="BST155" s="456"/>
      <c r="BSU155" s="456"/>
      <c r="BSV155" s="456"/>
      <c r="BSW155" s="456"/>
      <c r="BSX155" s="456"/>
      <c r="BSY155" s="456"/>
      <c r="BSZ155" s="456"/>
      <c r="BTA155" s="456"/>
      <c r="BTB155" s="456"/>
      <c r="BTC155" s="456"/>
      <c r="BTD155" s="456"/>
      <c r="BTE155" s="456"/>
      <c r="BTF155" s="456"/>
      <c r="BTG155" s="456"/>
      <c r="BTH155" s="456"/>
      <c r="BTI155" s="456"/>
      <c r="BTJ155" s="456"/>
      <c r="BTK155" s="456"/>
      <c r="BTL155" s="456"/>
      <c r="BTM155" s="456"/>
      <c r="BTN155" s="456"/>
      <c r="BTO155" s="456"/>
      <c r="BTP155" s="456"/>
      <c r="BTQ155" s="456"/>
      <c r="BTR155" s="456"/>
      <c r="BTS155" s="456"/>
      <c r="BTT155" s="456"/>
      <c r="BTU155" s="456"/>
      <c r="BTV155" s="456"/>
      <c r="BTW155" s="456"/>
      <c r="BTX155" s="456"/>
      <c r="BTY155" s="456"/>
      <c r="BTZ155" s="456"/>
      <c r="BUA155" s="456"/>
      <c r="BUB155" s="456"/>
      <c r="BUC155" s="456"/>
      <c r="BUD155" s="456"/>
      <c r="BUE155" s="456"/>
      <c r="BUF155" s="456"/>
      <c r="BUG155" s="456"/>
      <c r="BUH155" s="456"/>
      <c r="BUI155" s="456"/>
      <c r="BUJ155" s="456"/>
      <c r="BUK155" s="456"/>
      <c r="BUL155" s="456"/>
      <c r="BUM155" s="456"/>
      <c r="BUN155" s="456"/>
      <c r="BUO155" s="456"/>
      <c r="BUP155" s="456"/>
      <c r="BUQ155" s="456"/>
      <c r="BUR155" s="456"/>
      <c r="BUS155" s="456"/>
      <c r="BUT155" s="456"/>
      <c r="BUU155" s="456"/>
      <c r="BUV155" s="456"/>
      <c r="BUW155" s="456"/>
      <c r="BUX155" s="456"/>
      <c r="BUY155" s="456"/>
      <c r="BUZ155" s="456"/>
      <c r="BVA155" s="456"/>
      <c r="BVB155" s="456"/>
      <c r="BVC155" s="456"/>
      <c r="BVD155" s="456"/>
      <c r="BVE155" s="456"/>
      <c r="BVF155" s="456"/>
      <c r="BVG155" s="456"/>
      <c r="BVH155" s="456"/>
      <c r="BVI155" s="456"/>
      <c r="BVJ155" s="456"/>
      <c r="BVK155" s="456"/>
      <c r="BVL155" s="456"/>
      <c r="BVM155" s="456"/>
      <c r="BVN155" s="456"/>
      <c r="BVO155" s="456"/>
      <c r="BVP155" s="456"/>
      <c r="BVQ155" s="456"/>
      <c r="BVR155" s="456"/>
      <c r="BVS155" s="456"/>
      <c r="BVT155" s="456"/>
      <c r="BVU155" s="456"/>
      <c r="BVV155" s="456"/>
      <c r="BVW155" s="456"/>
      <c r="BVX155" s="456"/>
      <c r="BVY155" s="456"/>
      <c r="BVZ155" s="456"/>
      <c r="BWA155" s="456"/>
      <c r="BWB155" s="456"/>
      <c r="BWC155" s="456"/>
      <c r="BWD155" s="456"/>
      <c r="BWE155" s="456"/>
      <c r="BWF155" s="456"/>
      <c r="BWG155" s="456"/>
      <c r="BWH155" s="456"/>
      <c r="BWI155" s="456"/>
      <c r="BWJ155" s="456"/>
      <c r="BWK155" s="456"/>
      <c r="BWL155" s="456"/>
      <c r="BWM155" s="456"/>
      <c r="BWN155" s="456"/>
      <c r="BWO155" s="456"/>
      <c r="BWP155" s="456"/>
      <c r="BWQ155" s="456"/>
      <c r="BWR155" s="456"/>
      <c r="BWS155" s="456"/>
      <c r="BWT155" s="456"/>
      <c r="BWU155" s="456"/>
      <c r="BWV155" s="456"/>
      <c r="BWW155" s="456"/>
      <c r="BWX155" s="456"/>
      <c r="BWY155" s="456"/>
      <c r="BWZ155" s="456"/>
      <c r="BXA155" s="456"/>
      <c r="BXB155" s="456"/>
      <c r="BXC155" s="456"/>
      <c r="BXD155" s="456"/>
      <c r="BXE155" s="456"/>
      <c r="BXF155" s="456"/>
      <c r="BXG155" s="456"/>
      <c r="BXH155" s="456"/>
      <c r="BXI155" s="456"/>
      <c r="BXJ155" s="456"/>
      <c r="BXK155" s="456"/>
      <c r="BXL155" s="456"/>
      <c r="BXM155" s="456"/>
      <c r="BXN155" s="456"/>
      <c r="BXO155" s="456"/>
      <c r="BXP155" s="456"/>
      <c r="BXQ155" s="456"/>
      <c r="BXR155" s="456"/>
      <c r="BXS155" s="456"/>
      <c r="BXT155" s="456"/>
      <c r="BXU155" s="456"/>
      <c r="BXV155" s="456"/>
      <c r="BXW155" s="456"/>
      <c r="BXX155" s="456"/>
      <c r="BXY155" s="456"/>
      <c r="BXZ155" s="456"/>
    </row>
    <row r="156" s="25" customFormat="1" spans="1:1024 1025:2002">
      <c r="A156" s="473" t="s">
        <v>34</v>
      </c>
      <c r="B156" s="19">
        <v>1130</v>
      </c>
      <c r="C156" s="183">
        <v>46205</v>
      </c>
      <c r="D156" s="17" t="s">
        <v>52</v>
      </c>
      <c r="E156" s="17" t="s">
        <v>104</v>
      </c>
      <c r="F156" s="17" t="s">
        <v>54</v>
      </c>
      <c r="G156" s="17"/>
      <c r="H156" s="19">
        <v>1.2316</v>
      </c>
      <c r="I156" s="19" t="s">
        <v>114</v>
      </c>
      <c r="J156" s="17" t="s">
        <v>49</v>
      </c>
      <c r="K156" s="489">
        <v>1050</v>
      </c>
      <c r="L156" s="489">
        <v>26</v>
      </c>
      <c r="M156" s="489">
        <v>2200</v>
      </c>
      <c r="N156" s="19" t="s">
        <v>66</v>
      </c>
      <c r="O156" s="19" t="s">
        <v>67</v>
      </c>
      <c r="P156" s="490">
        <v>428.61</v>
      </c>
      <c r="Q156" s="19">
        <v>430</v>
      </c>
      <c r="R156" s="99">
        <f t="shared" si="9"/>
        <v>-1.39000000000004</v>
      </c>
      <c r="S156" s="19">
        <f t="shared" ref="S156:S169" si="11">2920-50</f>
        <v>2870</v>
      </c>
      <c r="T156" s="19" t="s">
        <v>42</v>
      </c>
      <c r="U156" s="102" t="s">
        <v>115</v>
      </c>
      <c r="V156" s="186">
        <v>46208</v>
      </c>
      <c r="W156" s="17" t="s">
        <v>44</v>
      </c>
      <c r="X156" s="17"/>
      <c r="Y156" s="68">
        <v>46235</v>
      </c>
      <c r="Z156" s="17" t="s">
        <v>45</v>
      </c>
      <c r="AA156" s="17" t="s">
        <v>46</v>
      </c>
      <c r="AB156" s="17" t="s">
        <v>116</v>
      </c>
      <c r="AC156" s="217">
        <v>46241</v>
      </c>
      <c r="AD156" s="65">
        <v>1848</v>
      </c>
      <c r="AE156" s="17" t="s">
        <v>48</v>
      </c>
      <c r="AF156" s="17" t="s">
        <v>61</v>
      </c>
      <c r="AG156" s="17"/>
      <c r="AH156" s="456"/>
      <c r="AI156" s="456"/>
      <c r="AJ156" s="456"/>
      <c r="AK156" s="456"/>
      <c r="AL156" s="456"/>
      <c r="AM156" s="456"/>
      <c r="AN156" s="456"/>
      <c r="AO156" s="456"/>
      <c r="AP156" s="456"/>
      <c r="AQ156" s="456"/>
      <c r="AR156" s="456"/>
      <c r="AS156" s="456"/>
      <c r="AT156" s="456"/>
      <c r="AU156" s="456"/>
      <c r="AV156" s="456"/>
      <c r="AW156" s="456"/>
      <c r="AX156" s="456"/>
      <c r="AY156" s="456"/>
      <c r="AZ156" s="456"/>
      <c r="BA156" s="456"/>
      <c r="BB156" s="456"/>
      <c r="BC156" s="456"/>
      <c r="BD156" s="456"/>
      <c r="BE156" s="456"/>
      <c r="BF156" s="456"/>
      <c r="BG156" s="456"/>
      <c r="BH156" s="456"/>
      <c r="BI156" s="456"/>
      <c r="BJ156" s="456"/>
      <c r="BK156" s="456"/>
      <c r="BL156" s="456"/>
      <c r="BM156" s="456"/>
      <c r="BN156" s="456"/>
      <c r="BO156" s="456"/>
      <c r="BP156" s="456"/>
      <c r="BQ156" s="456"/>
      <c r="BR156" s="456"/>
      <c r="BS156" s="456"/>
      <c r="BT156" s="456"/>
      <c r="BU156" s="456"/>
      <c r="BV156" s="456"/>
      <c r="BW156" s="456"/>
      <c r="BX156" s="456"/>
      <c r="BY156" s="456"/>
      <c r="BZ156" s="456"/>
      <c r="CA156" s="456"/>
      <c r="CB156" s="456"/>
      <c r="CC156" s="456"/>
      <c r="CD156" s="456"/>
      <c r="CE156" s="456"/>
      <c r="CF156" s="456"/>
      <c r="CG156" s="456"/>
      <c r="CH156" s="456"/>
      <c r="CI156" s="456"/>
      <c r="CJ156" s="456"/>
      <c r="CK156" s="456"/>
      <c r="CL156" s="456"/>
      <c r="CM156" s="456"/>
      <c r="CN156" s="456"/>
      <c r="CO156" s="456"/>
      <c r="CP156" s="456"/>
      <c r="CQ156" s="456"/>
      <c r="CR156" s="456"/>
      <c r="CS156" s="456"/>
      <c r="CT156" s="456"/>
      <c r="CU156" s="456"/>
      <c r="CV156" s="456"/>
      <c r="CW156" s="456"/>
      <c r="CX156" s="456"/>
      <c r="CY156" s="456"/>
      <c r="CZ156" s="456"/>
      <c r="DA156" s="456"/>
      <c r="DB156" s="456"/>
      <c r="DC156" s="456"/>
      <c r="DD156" s="456"/>
      <c r="DE156" s="456"/>
      <c r="DF156" s="456"/>
      <c r="DG156" s="456"/>
      <c r="DH156" s="456"/>
      <c r="DI156" s="456"/>
      <c r="DJ156" s="456"/>
      <c r="DK156" s="456"/>
      <c r="DL156" s="456"/>
      <c r="DM156" s="456"/>
      <c r="DN156" s="456"/>
      <c r="DO156" s="456"/>
      <c r="DP156" s="456"/>
      <c r="DQ156" s="456"/>
      <c r="DR156" s="456"/>
      <c r="DS156" s="456"/>
      <c r="DT156" s="456"/>
      <c r="DU156" s="456"/>
      <c r="DV156" s="456"/>
      <c r="DW156" s="456"/>
      <c r="DX156" s="456"/>
      <c r="DY156" s="456"/>
      <c r="DZ156" s="456"/>
      <c r="EA156" s="456"/>
      <c r="EB156" s="456"/>
      <c r="EC156" s="456"/>
      <c r="ED156" s="456"/>
      <c r="EE156" s="456"/>
      <c r="EF156" s="456"/>
      <c r="EG156" s="456"/>
      <c r="EH156" s="456"/>
      <c r="EI156" s="456"/>
      <c r="EJ156" s="456"/>
      <c r="EK156" s="456"/>
      <c r="EL156" s="456"/>
      <c r="EM156" s="456"/>
      <c r="EN156" s="456"/>
      <c r="EO156" s="456"/>
      <c r="EP156" s="456"/>
      <c r="EQ156" s="456"/>
      <c r="ER156" s="456"/>
      <c r="ES156" s="456"/>
      <c r="ET156" s="456"/>
      <c r="EU156" s="456"/>
      <c r="EV156" s="456"/>
      <c r="EW156" s="456"/>
      <c r="EX156" s="456"/>
      <c r="EY156" s="456"/>
      <c r="EZ156" s="456"/>
      <c r="FA156" s="456"/>
      <c r="FB156" s="456"/>
      <c r="FC156" s="456"/>
      <c r="FD156" s="456"/>
      <c r="FE156" s="456"/>
      <c r="FF156" s="456"/>
      <c r="FG156" s="456"/>
      <c r="FH156" s="456"/>
      <c r="FI156" s="456"/>
      <c r="FJ156" s="456"/>
      <c r="FK156" s="456"/>
      <c r="FL156" s="456"/>
      <c r="FM156" s="456"/>
      <c r="FN156" s="456"/>
      <c r="FO156" s="456"/>
      <c r="FP156" s="456"/>
      <c r="FQ156" s="456"/>
      <c r="FR156" s="456"/>
      <c r="FS156" s="456"/>
      <c r="FT156" s="456"/>
      <c r="FU156" s="456"/>
      <c r="FV156" s="456"/>
      <c r="FW156" s="456"/>
      <c r="FX156" s="456"/>
      <c r="FY156" s="456"/>
      <c r="FZ156" s="456"/>
      <c r="GA156" s="456"/>
      <c r="GB156" s="456"/>
      <c r="GC156" s="456"/>
      <c r="GD156" s="456"/>
      <c r="GE156" s="456"/>
      <c r="GF156" s="456"/>
      <c r="GG156" s="456"/>
      <c r="GH156" s="456"/>
      <c r="GI156" s="456"/>
      <c r="GJ156" s="456"/>
      <c r="GK156" s="456"/>
      <c r="GL156" s="456"/>
      <c r="GM156" s="456"/>
      <c r="GN156" s="456"/>
      <c r="GO156" s="456"/>
      <c r="GP156" s="456"/>
      <c r="GQ156" s="456"/>
      <c r="GR156" s="456"/>
      <c r="GS156" s="456"/>
      <c r="GT156" s="456"/>
      <c r="GU156" s="456"/>
      <c r="GV156" s="456"/>
      <c r="GW156" s="456"/>
      <c r="GX156" s="456"/>
      <c r="GY156" s="456"/>
      <c r="GZ156" s="456"/>
      <c r="HA156" s="456"/>
      <c r="HB156" s="456"/>
      <c r="HC156" s="456"/>
      <c r="HD156" s="456"/>
      <c r="HE156" s="456"/>
      <c r="HF156" s="456"/>
      <c r="HG156" s="456"/>
      <c r="HH156" s="456"/>
      <c r="HI156" s="456"/>
      <c r="HJ156" s="456"/>
      <c r="HK156" s="456"/>
      <c r="HL156" s="456"/>
      <c r="HM156" s="456"/>
      <c r="HN156" s="456"/>
      <c r="HO156" s="456"/>
      <c r="HP156" s="456"/>
      <c r="HQ156" s="456"/>
      <c r="HR156" s="456"/>
      <c r="HS156" s="456"/>
      <c r="HT156" s="456"/>
      <c r="HU156" s="456"/>
      <c r="HV156" s="456"/>
      <c r="HW156" s="456"/>
      <c r="HX156" s="456"/>
      <c r="HY156" s="456"/>
      <c r="HZ156" s="456"/>
      <c r="IA156" s="456"/>
      <c r="IB156" s="456"/>
      <c r="IC156" s="456"/>
      <c r="ID156" s="456"/>
      <c r="IE156" s="456"/>
      <c r="IF156" s="456"/>
      <c r="IG156" s="456"/>
      <c r="IH156" s="456"/>
      <c r="II156" s="456"/>
      <c r="IJ156" s="456"/>
      <c r="IK156" s="456"/>
      <c r="IL156" s="456"/>
      <c r="IM156" s="456"/>
      <c r="IN156" s="456"/>
      <c r="IO156" s="456"/>
      <c r="IP156" s="456"/>
      <c r="IQ156" s="456"/>
      <c r="IR156" s="456"/>
      <c r="IS156" s="456"/>
      <c r="IT156" s="456"/>
      <c r="IU156" s="456"/>
      <c r="IV156" s="456"/>
      <c r="IW156" s="456"/>
      <c r="IX156" s="456"/>
      <c r="IY156" s="456"/>
      <c r="IZ156" s="456"/>
      <c r="JA156" s="456"/>
      <c r="JB156" s="456"/>
      <c r="JC156" s="456"/>
      <c r="JD156" s="456"/>
      <c r="JE156" s="456"/>
      <c r="JF156" s="456"/>
      <c r="JG156" s="456"/>
      <c r="JH156" s="456"/>
      <c r="JI156" s="456"/>
      <c r="JJ156" s="456"/>
      <c r="JK156" s="456"/>
      <c r="JL156" s="456"/>
      <c r="JM156" s="456"/>
      <c r="JN156" s="456"/>
      <c r="JO156" s="456"/>
      <c r="JP156" s="456"/>
      <c r="JQ156" s="456"/>
      <c r="JR156" s="456"/>
      <c r="JS156" s="456"/>
      <c r="JT156" s="456"/>
      <c r="JU156" s="456"/>
      <c r="JV156" s="456"/>
      <c r="JW156" s="456"/>
      <c r="JX156" s="456"/>
      <c r="JY156" s="456"/>
      <c r="JZ156" s="456"/>
      <c r="KA156" s="456"/>
      <c r="KB156" s="456"/>
      <c r="KC156" s="456"/>
      <c r="KD156" s="456"/>
      <c r="KE156" s="456"/>
      <c r="KF156" s="456"/>
      <c r="KG156" s="456"/>
      <c r="KH156" s="456"/>
      <c r="KI156" s="456"/>
      <c r="KJ156" s="456"/>
      <c r="KK156" s="456"/>
      <c r="KL156" s="456"/>
      <c r="KM156" s="456"/>
      <c r="KN156" s="456"/>
      <c r="KO156" s="456"/>
      <c r="KP156" s="456"/>
      <c r="KQ156" s="456"/>
      <c r="KR156" s="456"/>
      <c r="KS156" s="456"/>
      <c r="KT156" s="456"/>
      <c r="KU156" s="456"/>
      <c r="KV156" s="456"/>
      <c r="KW156" s="456"/>
      <c r="KX156" s="456"/>
      <c r="KY156" s="456"/>
      <c r="KZ156" s="456"/>
      <c r="LA156" s="456"/>
      <c r="LB156" s="456"/>
      <c r="LC156" s="456"/>
      <c r="LD156" s="456"/>
      <c r="LE156" s="456"/>
      <c r="LF156" s="456"/>
      <c r="LG156" s="456"/>
      <c r="LH156" s="456"/>
      <c r="LI156" s="456"/>
      <c r="LJ156" s="456"/>
      <c r="LK156" s="456"/>
      <c r="LL156" s="456"/>
      <c r="LM156" s="456"/>
      <c r="LN156" s="456"/>
      <c r="LO156" s="456"/>
      <c r="LP156" s="456"/>
      <c r="LQ156" s="456"/>
      <c r="LR156" s="456"/>
      <c r="LS156" s="456"/>
      <c r="LT156" s="456"/>
      <c r="LU156" s="456"/>
      <c r="LV156" s="456"/>
      <c r="LW156" s="456"/>
      <c r="LX156" s="456"/>
      <c r="LY156" s="456"/>
      <c r="LZ156" s="456"/>
      <c r="MA156" s="456"/>
      <c r="MB156" s="456"/>
      <c r="MC156" s="456"/>
      <c r="MD156" s="456"/>
      <c r="ME156" s="456"/>
      <c r="MF156" s="456"/>
      <c r="MG156" s="456"/>
      <c r="MH156" s="456"/>
      <c r="MI156" s="456"/>
      <c r="MJ156" s="456"/>
      <c r="MK156" s="456"/>
      <c r="ML156" s="456"/>
      <c r="MM156" s="456"/>
      <c r="MN156" s="456"/>
      <c r="MO156" s="456"/>
      <c r="MP156" s="456"/>
      <c r="MQ156" s="456"/>
      <c r="MR156" s="456"/>
      <c r="MS156" s="456"/>
      <c r="MT156" s="456"/>
      <c r="MU156" s="456"/>
      <c r="MV156" s="456"/>
      <c r="MW156" s="456"/>
      <c r="MX156" s="456"/>
      <c r="MY156" s="456"/>
      <c r="MZ156" s="456"/>
      <c r="NA156" s="456"/>
      <c r="NB156" s="456"/>
      <c r="NC156" s="456"/>
      <c r="ND156" s="456"/>
      <c r="NE156" s="456"/>
      <c r="NF156" s="456"/>
      <c r="NG156" s="456"/>
      <c r="NH156" s="456"/>
      <c r="NI156" s="456"/>
      <c r="NJ156" s="456"/>
      <c r="NK156" s="456"/>
      <c r="NL156" s="456"/>
      <c r="NM156" s="456"/>
      <c r="NN156" s="456"/>
      <c r="NO156" s="456"/>
      <c r="NP156" s="456"/>
      <c r="NQ156" s="456"/>
      <c r="NR156" s="456"/>
      <c r="NS156" s="456"/>
      <c r="NT156" s="456"/>
      <c r="NU156" s="456"/>
      <c r="NV156" s="456"/>
      <c r="NW156" s="456"/>
      <c r="NX156" s="456"/>
      <c r="NY156" s="456"/>
      <c r="NZ156" s="456"/>
      <c r="OA156" s="456"/>
      <c r="OB156" s="456"/>
      <c r="OC156" s="456"/>
      <c r="OD156" s="456"/>
      <c r="OE156" s="456"/>
      <c r="OF156" s="456"/>
      <c r="OG156" s="456"/>
      <c r="OH156" s="456"/>
      <c r="OI156" s="456"/>
      <c r="OJ156" s="456"/>
      <c r="OK156" s="456"/>
      <c r="OL156" s="456"/>
      <c r="OM156" s="456"/>
      <c r="ON156" s="456"/>
      <c r="OO156" s="456"/>
      <c r="OP156" s="456"/>
      <c r="OQ156" s="456"/>
      <c r="OR156" s="456"/>
      <c r="OS156" s="456"/>
      <c r="OT156" s="456"/>
      <c r="OU156" s="456"/>
      <c r="OV156" s="456"/>
      <c r="OW156" s="456"/>
      <c r="OX156" s="456"/>
      <c r="OY156" s="456"/>
      <c r="OZ156" s="456"/>
      <c r="PA156" s="456"/>
      <c r="PB156" s="456"/>
      <c r="PC156" s="456"/>
      <c r="PD156" s="456"/>
      <c r="PE156" s="456"/>
      <c r="PF156" s="456"/>
      <c r="PG156" s="456"/>
      <c r="PH156" s="456"/>
      <c r="PI156" s="456"/>
      <c r="PJ156" s="456"/>
      <c r="PK156" s="456"/>
      <c r="PL156" s="456"/>
      <c r="PM156" s="456"/>
      <c r="PN156" s="456"/>
      <c r="PO156" s="456"/>
      <c r="PP156" s="456"/>
      <c r="PQ156" s="456"/>
      <c r="PR156" s="456"/>
      <c r="PS156" s="456"/>
      <c r="PT156" s="456"/>
      <c r="PU156" s="456"/>
      <c r="PV156" s="456"/>
      <c r="PW156" s="456"/>
      <c r="PX156" s="456"/>
      <c r="PY156" s="456"/>
      <c r="PZ156" s="456"/>
      <c r="QA156" s="456"/>
      <c r="QB156" s="456"/>
      <c r="QC156" s="456"/>
      <c r="QD156" s="456"/>
      <c r="QE156" s="456"/>
      <c r="QF156" s="456"/>
      <c r="QG156" s="456"/>
      <c r="QH156" s="456"/>
      <c r="QI156" s="456"/>
      <c r="QJ156" s="456"/>
      <c r="QK156" s="456"/>
      <c r="QL156" s="456"/>
      <c r="QM156" s="456"/>
      <c r="QN156" s="456"/>
      <c r="QO156" s="456"/>
      <c r="QP156" s="456"/>
      <c r="QQ156" s="456"/>
      <c r="QR156" s="456"/>
      <c r="QS156" s="456"/>
      <c r="QT156" s="456"/>
      <c r="QU156" s="456"/>
      <c r="QV156" s="456"/>
      <c r="QW156" s="456"/>
      <c r="QX156" s="456"/>
      <c r="QY156" s="456"/>
      <c r="QZ156" s="456"/>
      <c r="RA156" s="456"/>
      <c r="RB156" s="456"/>
      <c r="RC156" s="456"/>
      <c r="RD156" s="456"/>
      <c r="RE156" s="456"/>
      <c r="RF156" s="456"/>
      <c r="RG156" s="456"/>
      <c r="RH156" s="456"/>
      <c r="RI156" s="456"/>
      <c r="RJ156" s="456"/>
      <c r="RK156" s="456"/>
      <c r="RL156" s="456"/>
      <c r="RM156" s="456"/>
      <c r="RN156" s="456"/>
      <c r="RO156" s="456"/>
      <c r="RP156" s="456"/>
      <c r="RQ156" s="456"/>
      <c r="RR156" s="456"/>
      <c r="RS156" s="456"/>
      <c r="RT156" s="456"/>
      <c r="RU156" s="456"/>
      <c r="RV156" s="456"/>
      <c r="RW156" s="456"/>
      <c r="RX156" s="456"/>
      <c r="RY156" s="456"/>
      <c r="RZ156" s="456"/>
      <c r="SA156" s="456"/>
      <c r="SB156" s="456"/>
      <c r="SC156" s="456"/>
      <c r="SD156" s="456"/>
      <c r="SE156" s="456"/>
      <c r="SF156" s="456"/>
      <c r="SG156" s="456"/>
      <c r="SH156" s="456"/>
      <c r="SI156" s="456"/>
      <c r="SJ156" s="456"/>
      <c r="SK156" s="456"/>
      <c r="SL156" s="456"/>
      <c r="SM156" s="456"/>
      <c r="SN156" s="456"/>
      <c r="SO156" s="456"/>
      <c r="SP156" s="456"/>
      <c r="SQ156" s="456"/>
      <c r="SR156" s="456"/>
      <c r="SS156" s="456"/>
      <c r="ST156" s="456"/>
      <c r="SU156" s="456"/>
      <c r="SV156" s="456"/>
      <c r="SW156" s="456"/>
      <c r="SX156" s="456"/>
      <c r="SY156" s="456"/>
      <c r="SZ156" s="456"/>
      <c r="TA156" s="456"/>
      <c r="TB156" s="456"/>
      <c r="TC156" s="456"/>
      <c r="TD156" s="456"/>
      <c r="TE156" s="456"/>
      <c r="TF156" s="456"/>
      <c r="TG156" s="456"/>
      <c r="TH156" s="456"/>
      <c r="TI156" s="456"/>
      <c r="TJ156" s="456"/>
      <c r="TK156" s="456"/>
      <c r="TL156" s="456"/>
      <c r="TM156" s="456"/>
      <c r="TN156" s="456"/>
      <c r="TO156" s="456"/>
      <c r="TP156" s="456"/>
      <c r="TQ156" s="456"/>
      <c r="TR156" s="456"/>
      <c r="TS156" s="456"/>
      <c r="TT156" s="456"/>
      <c r="TU156" s="456"/>
      <c r="TV156" s="456"/>
      <c r="TW156" s="456"/>
      <c r="TX156" s="456"/>
      <c r="TY156" s="456"/>
      <c r="TZ156" s="456"/>
      <c r="UA156" s="456"/>
      <c r="UB156" s="456"/>
      <c r="UC156" s="456"/>
      <c r="UD156" s="456"/>
      <c r="UE156" s="456"/>
      <c r="UF156" s="456"/>
      <c r="UG156" s="456"/>
      <c r="UH156" s="456"/>
      <c r="UI156" s="456"/>
      <c r="UJ156" s="456"/>
      <c r="UK156" s="456"/>
      <c r="UL156" s="456"/>
      <c r="UM156" s="456"/>
      <c r="UN156" s="456"/>
      <c r="UO156" s="456"/>
      <c r="UP156" s="456"/>
      <c r="UQ156" s="456"/>
      <c r="UR156" s="456"/>
      <c r="US156" s="456"/>
      <c r="UT156" s="456"/>
      <c r="UU156" s="456"/>
      <c r="UV156" s="456"/>
      <c r="UW156" s="456"/>
      <c r="UX156" s="456"/>
      <c r="UY156" s="456"/>
      <c r="UZ156" s="456"/>
      <c r="VA156" s="456"/>
      <c r="VB156" s="456"/>
      <c r="VC156" s="456"/>
      <c r="VD156" s="456"/>
      <c r="VE156" s="456"/>
      <c r="VF156" s="456"/>
      <c r="VG156" s="456"/>
      <c r="VH156" s="456"/>
      <c r="VI156" s="456"/>
      <c r="VJ156" s="456"/>
      <c r="VK156" s="456"/>
      <c r="VL156" s="456"/>
      <c r="VM156" s="456"/>
      <c r="VN156" s="456"/>
      <c r="VO156" s="456"/>
      <c r="VP156" s="456"/>
      <c r="VQ156" s="456"/>
      <c r="VR156" s="456"/>
      <c r="VS156" s="456"/>
      <c r="VT156" s="456"/>
      <c r="VU156" s="456"/>
      <c r="VV156" s="456"/>
      <c r="VW156" s="456"/>
      <c r="VX156" s="456"/>
      <c r="VY156" s="456"/>
      <c r="VZ156" s="456"/>
      <c r="WA156" s="456"/>
      <c r="WB156" s="456"/>
      <c r="WC156" s="456"/>
      <c r="WD156" s="456"/>
      <c r="WE156" s="456"/>
      <c r="WF156" s="456"/>
      <c r="WG156" s="456"/>
      <c r="WH156" s="456"/>
      <c r="WI156" s="456"/>
      <c r="WJ156" s="456"/>
      <c r="WK156" s="456"/>
      <c r="WL156" s="456"/>
      <c r="WM156" s="456"/>
      <c r="WN156" s="456"/>
      <c r="WO156" s="456"/>
      <c r="WP156" s="456"/>
      <c r="WQ156" s="456"/>
      <c r="WR156" s="456"/>
      <c r="WS156" s="456"/>
      <c r="WT156" s="456"/>
      <c r="WU156" s="456"/>
      <c r="WV156" s="456"/>
      <c r="WW156" s="456"/>
      <c r="WX156" s="456"/>
      <c r="WY156" s="456"/>
      <c r="WZ156" s="456"/>
      <c r="XA156" s="456"/>
      <c r="XB156" s="456"/>
      <c r="XC156" s="456"/>
      <c r="XD156" s="456"/>
      <c r="XE156" s="456"/>
      <c r="XF156" s="456"/>
      <c r="XG156" s="456"/>
      <c r="XH156" s="456"/>
      <c r="XI156" s="456"/>
      <c r="XJ156" s="456"/>
      <c r="XK156" s="456"/>
      <c r="XL156" s="456"/>
      <c r="XM156" s="456"/>
      <c r="XN156" s="456"/>
      <c r="XO156" s="456"/>
      <c r="XP156" s="456"/>
      <c r="XQ156" s="456"/>
      <c r="XR156" s="456"/>
      <c r="XS156" s="456"/>
      <c r="XT156" s="456"/>
      <c r="XU156" s="456"/>
      <c r="XV156" s="456"/>
      <c r="XW156" s="456"/>
      <c r="XX156" s="456"/>
      <c r="XY156" s="456"/>
      <c r="XZ156" s="456"/>
      <c r="YA156" s="456"/>
      <c r="YB156" s="456"/>
      <c r="YC156" s="456"/>
      <c r="YD156" s="456"/>
      <c r="YE156" s="456"/>
      <c r="YF156" s="456"/>
      <c r="YG156" s="456"/>
      <c r="YH156" s="456"/>
      <c r="YI156" s="456"/>
      <c r="YJ156" s="456"/>
      <c r="YK156" s="456"/>
      <c r="YL156" s="456"/>
      <c r="YM156" s="456"/>
      <c r="YN156" s="456"/>
      <c r="YO156" s="456"/>
      <c r="YP156" s="456"/>
      <c r="YQ156" s="456"/>
      <c r="YR156" s="456"/>
      <c r="YS156" s="456"/>
      <c r="YT156" s="456"/>
      <c r="YU156" s="456"/>
      <c r="YV156" s="456"/>
      <c r="YW156" s="456"/>
      <c r="YX156" s="456"/>
      <c r="YY156" s="456"/>
      <c r="YZ156" s="456"/>
      <c r="ZA156" s="456"/>
      <c r="ZB156" s="456"/>
      <c r="ZC156" s="456"/>
      <c r="ZD156" s="456"/>
      <c r="ZE156" s="456"/>
      <c r="ZF156" s="456"/>
      <c r="ZG156" s="456"/>
      <c r="ZH156" s="456"/>
      <c r="ZI156" s="456"/>
      <c r="ZJ156" s="456"/>
      <c r="ZK156" s="456"/>
      <c r="ZL156" s="456"/>
      <c r="ZM156" s="456"/>
      <c r="ZN156" s="456"/>
      <c r="ZO156" s="456"/>
      <c r="ZP156" s="456"/>
      <c r="ZQ156" s="456"/>
      <c r="ZR156" s="456"/>
      <c r="ZS156" s="456"/>
      <c r="ZT156" s="456"/>
      <c r="ZU156" s="456"/>
      <c r="ZV156" s="456"/>
      <c r="ZW156" s="456"/>
      <c r="ZX156" s="456"/>
      <c r="ZY156" s="456"/>
      <c r="ZZ156" s="456"/>
      <c r="AAA156" s="456"/>
      <c r="AAB156" s="456"/>
      <c r="AAC156" s="456"/>
      <c r="AAD156" s="456"/>
      <c r="AAE156" s="456"/>
      <c r="AAF156" s="456"/>
      <c r="AAG156" s="456"/>
      <c r="AAH156" s="456"/>
      <c r="AAI156" s="456"/>
      <c r="AAJ156" s="456"/>
      <c r="AAK156" s="456"/>
      <c r="AAL156" s="456"/>
      <c r="AAM156" s="456"/>
      <c r="AAN156" s="456"/>
      <c r="AAO156" s="456"/>
      <c r="AAP156" s="456"/>
      <c r="AAQ156" s="456"/>
      <c r="AAR156" s="456"/>
      <c r="AAS156" s="456"/>
      <c r="AAT156" s="456"/>
      <c r="AAU156" s="456"/>
      <c r="AAV156" s="456"/>
      <c r="AAW156" s="456"/>
      <c r="AAX156" s="456"/>
      <c r="AAY156" s="456"/>
      <c r="AAZ156" s="456"/>
      <c r="ABA156" s="456"/>
      <c r="ABB156" s="456"/>
      <c r="ABC156" s="456"/>
      <c r="ABD156" s="456"/>
      <c r="ABE156" s="456"/>
      <c r="ABF156" s="456"/>
      <c r="ABG156" s="456"/>
      <c r="ABH156" s="456"/>
      <c r="ABI156" s="456"/>
      <c r="ABJ156" s="456"/>
      <c r="ABK156" s="456"/>
      <c r="ABL156" s="456"/>
      <c r="ABM156" s="456"/>
      <c r="ABN156" s="456"/>
      <c r="ABO156" s="456"/>
      <c r="ABP156" s="456"/>
      <c r="ABQ156" s="456"/>
      <c r="ABR156" s="456"/>
      <c r="ABS156" s="456"/>
      <c r="ABT156" s="456"/>
      <c r="ABU156" s="456"/>
      <c r="ABV156" s="456"/>
      <c r="ABW156" s="456"/>
      <c r="ABX156" s="456"/>
      <c r="ABY156" s="456"/>
      <c r="ABZ156" s="456"/>
      <c r="ACA156" s="456"/>
      <c r="ACB156" s="456"/>
      <c r="ACC156" s="456"/>
      <c r="ACD156" s="456"/>
      <c r="ACE156" s="456"/>
      <c r="ACF156" s="456"/>
      <c r="ACG156" s="456"/>
      <c r="ACH156" s="456"/>
      <c r="ACI156" s="456"/>
      <c r="ACJ156" s="456"/>
      <c r="ACK156" s="456"/>
      <c r="ACL156" s="456"/>
      <c r="ACM156" s="456"/>
      <c r="ACN156" s="456"/>
      <c r="ACO156" s="456"/>
      <c r="ACP156" s="456"/>
      <c r="ACQ156" s="456"/>
      <c r="ACR156" s="456"/>
      <c r="ACS156" s="456"/>
      <c r="ACT156" s="456"/>
      <c r="ACU156" s="456"/>
      <c r="ACV156" s="456"/>
      <c r="ACW156" s="456"/>
      <c r="ACX156" s="456"/>
      <c r="ACY156" s="456"/>
      <c r="ACZ156" s="456"/>
      <c r="ADA156" s="456"/>
      <c r="ADB156" s="456"/>
      <c r="ADC156" s="456"/>
      <c r="ADD156" s="456"/>
      <c r="ADE156" s="456"/>
      <c r="ADF156" s="456"/>
      <c r="ADG156" s="456"/>
      <c r="ADH156" s="456"/>
      <c r="ADI156" s="456"/>
      <c r="ADJ156" s="456"/>
      <c r="ADK156" s="456"/>
      <c r="ADL156" s="456"/>
      <c r="ADM156" s="456"/>
      <c r="ADN156" s="456"/>
      <c r="ADO156" s="456"/>
      <c r="ADP156" s="456"/>
      <c r="ADQ156" s="456"/>
      <c r="ADR156" s="456"/>
      <c r="ADS156" s="456"/>
      <c r="ADT156" s="456"/>
      <c r="ADU156" s="456"/>
      <c r="ADV156" s="456"/>
      <c r="ADW156" s="456"/>
      <c r="ADX156" s="456"/>
      <c r="ADY156" s="456"/>
      <c r="ADZ156" s="456"/>
      <c r="AEA156" s="456"/>
      <c r="AEB156" s="456"/>
      <c r="AEC156" s="456"/>
      <c r="AED156" s="456"/>
      <c r="AEE156" s="456"/>
      <c r="AEF156" s="456"/>
      <c r="AEG156" s="456"/>
      <c r="AEH156" s="456"/>
      <c r="AEI156" s="456"/>
      <c r="AEJ156" s="456"/>
      <c r="AEK156" s="456"/>
      <c r="AEL156" s="456"/>
      <c r="AEM156" s="456"/>
      <c r="AEN156" s="456"/>
      <c r="AEO156" s="456"/>
      <c r="AEP156" s="456"/>
      <c r="AEQ156" s="456"/>
      <c r="AER156" s="456"/>
      <c r="AES156" s="456"/>
      <c r="AET156" s="456"/>
      <c r="AEU156" s="456"/>
      <c r="AEV156" s="456"/>
      <c r="AEW156" s="456"/>
      <c r="AEX156" s="456"/>
      <c r="AEY156" s="456"/>
      <c r="AEZ156" s="456"/>
      <c r="AFA156" s="456"/>
      <c r="AFB156" s="456"/>
      <c r="AFC156" s="456"/>
      <c r="AFD156" s="456"/>
      <c r="AFE156" s="456"/>
      <c r="AFF156" s="456"/>
      <c r="AFG156" s="456"/>
      <c r="AFH156" s="456"/>
      <c r="AFI156" s="456"/>
      <c r="AFJ156" s="456"/>
      <c r="AFK156" s="456"/>
      <c r="AFL156" s="456"/>
      <c r="AFM156" s="456"/>
      <c r="AFN156" s="456"/>
      <c r="AFO156" s="456"/>
      <c r="AFP156" s="456"/>
      <c r="AFQ156" s="456"/>
      <c r="AFR156" s="456"/>
      <c r="AFS156" s="456"/>
      <c r="AFT156" s="456"/>
      <c r="AFU156" s="456"/>
      <c r="AFV156" s="456"/>
      <c r="AFW156" s="456"/>
      <c r="AFX156" s="456"/>
      <c r="AFY156" s="456"/>
      <c r="AFZ156" s="456"/>
      <c r="AGA156" s="456"/>
      <c r="AGB156" s="456"/>
      <c r="AGC156" s="456"/>
      <c r="AGD156" s="456"/>
      <c r="AGE156" s="456"/>
      <c r="AGF156" s="456"/>
      <c r="AGG156" s="456"/>
      <c r="AGH156" s="456"/>
      <c r="AGI156" s="456"/>
      <c r="AGJ156" s="456"/>
      <c r="AGK156" s="456"/>
      <c r="AGL156" s="456"/>
      <c r="AGM156" s="456"/>
      <c r="AGN156" s="456"/>
      <c r="AGO156" s="456"/>
      <c r="AGP156" s="456"/>
      <c r="AGQ156" s="456"/>
      <c r="AGR156" s="456"/>
      <c r="AGS156" s="456"/>
      <c r="AGT156" s="456"/>
      <c r="AGU156" s="456"/>
      <c r="AGV156" s="456"/>
      <c r="AGW156" s="456"/>
      <c r="AGX156" s="456"/>
      <c r="AGY156" s="456"/>
      <c r="AGZ156" s="456"/>
      <c r="AHA156" s="456"/>
      <c r="AHB156" s="456"/>
      <c r="AHC156" s="456"/>
      <c r="AHD156" s="456"/>
      <c r="AHE156" s="456"/>
      <c r="AHF156" s="456"/>
      <c r="AHG156" s="456"/>
      <c r="AHH156" s="456"/>
      <c r="AHI156" s="456"/>
      <c r="AHJ156" s="456"/>
      <c r="AHK156" s="456"/>
      <c r="AHL156" s="456"/>
      <c r="AHM156" s="456"/>
      <c r="AHN156" s="456"/>
      <c r="AHO156" s="456"/>
      <c r="AHP156" s="456"/>
      <c r="AHQ156" s="456"/>
      <c r="AHR156" s="456"/>
      <c r="AHS156" s="456"/>
      <c r="AHT156" s="456"/>
      <c r="AHU156" s="456"/>
      <c r="AHV156" s="456"/>
      <c r="AHW156" s="456"/>
      <c r="AHX156" s="456"/>
      <c r="AHY156" s="456"/>
      <c r="AHZ156" s="456"/>
      <c r="AIA156" s="456"/>
      <c r="AIB156" s="456"/>
      <c r="AIC156" s="456"/>
      <c r="AID156" s="456"/>
      <c r="AIE156" s="456"/>
      <c r="AIF156" s="456"/>
      <c r="AIG156" s="456"/>
      <c r="AIH156" s="456"/>
      <c r="AII156" s="456"/>
      <c r="AIJ156" s="456"/>
      <c r="AIK156" s="456"/>
      <c r="AIL156" s="456"/>
      <c r="AIM156" s="456"/>
      <c r="AIN156" s="456"/>
      <c r="AIO156" s="456"/>
      <c r="AIP156" s="456"/>
      <c r="AIQ156" s="456"/>
      <c r="AIR156" s="456"/>
      <c r="AIS156" s="456"/>
      <c r="AIT156" s="456"/>
      <c r="AIU156" s="456"/>
      <c r="AIV156" s="456"/>
      <c r="AIW156" s="456"/>
      <c r="AIX156" s="456"/>
      <c r="AIY156" s="456"/>
      <c r="AIZ156" s="456"/>
      <c r="AJA156" s="456"/>
      <c r="AJB156" s="456"/>
      <c r="AJC156" s="456"/>
      <c r="AJD156" s="456"/>
      <c r="AJE156" s="456"/>
      <c r="AJF156" s="456"/>
      <c r="AJG156" s="456"/>
      <c r="AJH156" s="456"/>
      <c r="AJI156" s="456"/>
      <c r="AJJ156" s="456"/>
      <c r="AJK156" s="456"/>
      <c r="AJL156" s="456"/>
      <c r="AJM156" s="456"/>
      <c r="AJN156" s="456"/>
      <c r="AJO156" s="456"/>
      <c r="AJP156" s="456"/>
      <c r="AJQ156" s="456"/>
      <c r="AJR156" s="456"/>
      <c r="AJS156" s="456"/>
      <c r="AJT156" s="456"/>
      <c r="AJU156" s="456"/>
      <c r="AJV156" s="456"/>
      <c r="AJW156" s="456"/>
      <c r="AJX156" s="456"/>
      <c r="AJY156" s="456"/>
      <c r="AJZ156" s="456"/>
      <c r="AKA156" s="456"/>
      <c r="AKB156" s="456"/>
      <c r="AKC156" s="456"/>
      <c r="AKD156" s="456"/>
      <c r="AKE156" s="456"/>
      <c r="AKF156" s="456"/>
      <c r="AKG156" s="456"/>
      <c r="AKH156" s="456"/>
      <c r="AKI156" s="456"/>
      <c r="AKJ156" s="456"/>
      <c r="AKK156" s="456"/>
      <c r="AKL156" s="456"/>
      <c r="AKM156" s="456"/>
      <c r="AKN156" s="456"/>
      <c r="AKO156" s="456"/>
      <c r="AKP156" s="456"/>
      <c r="AKQ156" s="456"/>
      <c r="AKR156" s="456"/>
      <c r="AKS156" s="456"/>
      <c r="AKT156" s="456"/>
      <c r="AKU156" s="456"/>
      <c r="AKV156" s="456"/>
      <c r="AKW156" s="456"/>
      <c r="AKX156" s="456"/>
      <c r="AKY156" s="456"/>
      <c r="AKZ156" s="456"/>
      <c r="ALA156" s="456"/>
      <c r="ALB156" s="456"/>
      <c r="ALC156" s="456"/>
      <c r="ALD156" s="456"/>
      <c r="ALE156" s="456"/>
      <c r="ALF156" s="456"/>
      <c r="ALG156" s="456"/>
      <c r="ALH156" s="456"/>
      <c r="ALI156" s="456"/>
      <c r="ALJ156" s="456"/>
      <c r="ALK156" s="456"/>
      <c r="ALL156" s="456"/>
      <c r="ALM156" s="456"/>
      <c r="ALN156" s="456"/>
      <c r="ALO156" s="456"/>
      <c r="ALP156" s="456"/>
      <c r="ALQ156" s="456"/>
      <c r="ALR156" s="456"/>
      <c r="ALS156" s="456"/>
      <c r="ALT156" s="456"/>
      <c r="ALU156" s="456"/>
      <c r="ALV156" s="456"/>
      <c r="ALW156" s="456"/>
      <c r="ALX156" s="456"/>
      <c r="ALY156" s="456"/>
      <c r="ALZ156" s="456"/>
      <c r="AMA156" s="456"/>
      <c r="AMB156" s="456"/>
      <c r="AMC156" s="456"/>
      <c r="AMD156" s="456"/>
      <c r="AME156" s="456"/>
      <c r="AMF156" s="456"/>
      <c r="AMG156" s="456"/>
      <c r="AMH156" s="456"/>
      <c r="AMI156" s="456"/>
      <c r="AMJ156" s="456"/>
      <c r="AMK156" s="456"/>
      <c r="AML156" s="456"/>
      <c r="AMM156" s="456"/>
      <c r="AMN156" s="456"/>
      <c r="AMO156" s="456"/>
      <c r="AMP156" s="456"/>
      <c r="AMQ156" s="456"/>
      <c r="AMR156" s="456"/>
      <c r="AMS156" s="456"/>
      <c r="AMT156" s="456"/>
      <c r="AMU156" s="456"/>
      <c r="AMV156" s="456"/>
      <c r="AMW156" s="456"/>
      <c r="AMX156" s="456"/>
      <c r="AMY156" s="456"/>
      <c r="AMZ156" s="456"/>
      <c r="ANA156" s="456"/>
      <c r="ANB156" s="456"/>
      <c r="ANC156" s="456"/>
      <c r="AND156" s="456"/>
      <c r="ANE156" s="456"/>
      <c r="ANF156" s="456"/>
      <c r="ANG156" s="456"/>
      <c r="ANH156" s="456"/>
      <c r="ANI156" s="456"/>
      <c r="ANJ156" s="456"/>
      <c r="ANK156" s="456"/>
      <c r="ANL156" s="456"/>
      <c r="ANM156" s="456"/>
      <c r="ANN156" s="456"/>
      <c r="ANO156" s="456"/>
      <c r="ANP156" s="456"/>
      <c r="ANQ156" s="456"/>
      <c r="ANR156" s="456"/>
      <c r="ANS156" s="456"/>
      <c r="ANT156" s="456"/>
      <c r="ANU156" s="456"/>
      <c r="ANV156" s="456"/>
      <c r="ANW156" s="456"/>
      <c r="ANX156" s="456"/>
      <c r="ANY156" s="456"/>
      <c r="ANZ156" s="456"/>
      <c r="AOA156" s="456"/>
      <c r="AOB156" s="456"/>
      <c r="AOC156" s="456"/>
      <c r="AOD156" s="456"/>
      <c r="AOE156" s="456"/>
      <c r="AOF156" s="456"/>
      <c r="AOG156" s="456"/>
      <c r="AOH156" s="456"/>
      <c r="AOI156" s="456"/>
      <c r="AOJ156" s="456"/>
      <c r="AOK156" s="456"/>
      <c r="AOL156" s="456"/>
      <c r="AOM156" s="456"/>
      <c r="AON156" s="456"/>
      <c r="AOO156" s="456"/>
      <c r="AOP156" s="456"/>
      <c r="AOQ156" s="456"/>
      <c r="AOR156" s="456"/>
      <c r="AOS156" s="456"/>
      <c r="AOT156" s="456"/>
      <c r="AOU156" s="456"/>
      <c r="AOV156" s="456"/>
      <c r="AOW156" s="456"/>
      <c r="AOX156" s="456"/>
      <c r="AOY156" s="456"/>
      <c r="AOZ156" s="456"/>
      <c r="APA156" s="456"/>
      <c r="APB156" s="456"/>
      <c r="APC156" s="456"/>
      <c r="APD156" s="456"/>
      <c r="APE156" s="456"/>
      <c r="APF156" s="456"/>
      <c r="APG156" s="456"/>
      <c r="APH156" s="456"/>
      <c r="API156" s="456"/>
      <c r="APJ156" s="456"/>
      <c r="APK156" s="456"/>
      <c r="APL156" s="456"/>
      <c r="APM156" s="456"/>
      <c r="APN156" s="456"/>
      <c r="APO156" s="456"/>
      <c r="APP156" s="456"/>
      <c r="APQ156" s="456"/>
      <c r="APR156" s="456"/>
      <c r="APS156" s="456"/>
      <c r="APT156" s="456"/>
      <c r="APU156" s="456"/>
      <c r="APV156" s="456"/>
      <c r="APW156" s="456"/>
      <c r="APX156" s="456"/>
      <c r="APY156" s="456"/>
      <c r="APZ156" s="456"/>
      <c r="AQA156" s="456"/>
      <c r="AQB156" s="456"/>
      <c r="AQC156" s="456"/>
      <c r="AQD156" s="456"/>
      <c r="AQE156" s="456"/>
      <c r="AQF156" s="456"/>
      <c r="AQG156" s="456"/>
      <c r="AQH156" s="456"/>
      <c r="AQI156" s="456"/>
      <c r="AQJ156" s="456"/>
      <c r="AQK156" s="456"/>
      <c r="AQL156" s="456"/>
      <c r="AQM156" s="456"/>
      <c r="AQN156" s="456"/>
      <c r="AQO156" s="456"/>
      <c r="AQP156" s="456"/>
      <c r="AQQ156" s="456"/>
      <c r="AQR156" s="456"/>
      <c r="AQS156" s="456"/>
      <c r="AQT156" s="456"/>
      <c r="AQU156" s="456"/>
      <c r="AQV156" s="456"/>
      <c r="AQW156" s="456"/>
      <c r="AQX156" s="456"/>
      <c r="AQY156" s="456"/>
      <c r="AQZ156" s="456"/>
      <c r="ARA156" s="456"/>
      <c r="ARB156" s="456"/>
      <c r="ARC156" s="456"/>
      <c r="ARD156" s="456"/>
      <c r="ARE156" s="456"/>
      <c r="ARF156" s="456"/>
      <c r="ARG156" s="456"/>
      <c r="ARH156" s="456"/>
      <c r="ARI156" s="456"/>
      <c r="ARJ156" s="456"/>
      <c r="ARK156" s="456"/>
      <c r="ARL156" s="456"/>
      <c r="ARM156" s="456"/>
      <c r="ARN156" s="456"/>
      <c r="ARO156" s="456"/>
      <c r="ARP156" s="456"/>
      <c r="ARQ156" s="456"/>
      <c r="ARR156" s="456"/>
      <c r="ARS156" s="456"/>
      <c r="ART156" s="456"/>
      <c r="ARU156" s="456"/>
      <c r="ARV156" s="456"/>
      <c r="ARW156" s="456"/>
      <c r="ARX156" s="456"/>
      <c r="ARY156" s="456"/>
      <c r="ARZ156" s="456"/>
      <c r="ASA156" s="456"/>
      <c r="ASB156" s="456"/>
      <c r="ASC156" s="456"/>
      <c r="ASD156" s="456"/>
      <c r="ASE156" s="456"/>
      <c r="ASF156" s="456"/>
      <c r="ASG156" s="456"/>
      <c r="ASH156" s="456"/>
      <c r="ASI156" s="456"/>
      <c r="ASJ156" s="456"/>
      <c r="ASK156" s="456"/>
      <c r="ASL156" s="456"/>
      <c r="ASM156" s="456"/>
      <c r="ASN156" s="456"/>
      <c r="ASO156" s="456"/>
      <c r="ASP156" s="456"/>
      <c r="ASQ156" s="456"/>
      <c r="ASR156" s="456"/>
      <c r="ASS156" s="456"/>
      <c r="AST156" s="456"/>
      <c r="ASU156" s="456"/>
      <c r="ASV156" s="456"/>
      <c r="ASW156" s="456"/>
      <c r="ASX156" s="456"/>
      <c r="ASY156" s="456"/>
      <c r="ASZ156" s="456"/>
      <c r="ATA156" s="456"/>
      <c r="ATB156" s="456"/>
      <c r="ATC156" s="456"/>
      <c r="ATD156" s="456"/>
      <c r="ATE156" s="456"/>
      <c r="ATF156" s="456"/>
      <c r="ATG156" s="456"/>
      <c r="ATH156" s="456"/>
      <c r="ATI156" s="456"/>
      <c r="ATJ156" s="456"/>
      <c r="ATK156" s="456"/>
      <c r="ATL156" s="456"/>
      <c r="ATM156" s="456"/>
      <c r="ATN156" s="456"/>
      <c r="ATO156" s="456"/>
      <c r="ATP156" s="456"/>
      <c r="ATQ156" s="456"/>
      <c r="ATR156" s="456"/>
      <c r="ATS156" s="456"/>
      <c r="ATT156" s="456"/>
      <c r="ATU156" s="456"/>
      <c r="ATV156" s="456"/>
      <c r="ATW156" s="456"/>
      <c r="ATX156" s="456"/>
      <c r="ATY156" s="456"/>
      <c r="ATZ156" s="456"/>
      <c r="AUA156" s="456"/>
      <c r="AUB156" s="456"/>
      <c r="AUC156" s="456"/>
      <c r="AUD156" s="456"/>
      <c r="AUE156" s="456"/>
      <c r="AUF156" s="456"/>
      <c r="AUG156" s="456"/>
      <c r="AUH156" s="456"/>
      <c r="AUI156" s="456"/>
      <c r="AUJ156" s="456"/>
      <c r="AUK156" s="456"/>
      <c r="AUL156" s="456"/>
      <c r="AUM156" s="456"/>
      <c r="AUN156" s="456"/>
      <c r="AUO156" s="456"/>
      <c r="AUP156" s="456"/>
      <c r="AUQ156" s="456"/>
      <c r="AUR156" s="456"/>
      <c r="AUS156" s="456"/>
      <c r="AUT156" s="456"/>
      <c r="AUU156" s="456"/>
      <c r="AUV156" s="456"/>
      <c r="AUW156" s="456"/>
      <c r="AUX156" s="456"/>
      <c r="AUY156" s="456"/>
      <c r="AUZ156" s="456"/>
      <c r="AVA156" s="456"/>
      <c r="AVB156" s="456"/>
      <c r="AVC156" s="456"/>
      <c r="AVD156" s="456"/>
      <c r="AVE156" s="456"/>
      <c r="AVF156" s="456"/>
      <c r="AVG156" s="456"/>
      <c r="AVH156" s="456"/>
      <c r="AVI156" s="456"/>
      <c r="AVJ156" s="456"/>
      <c r="AVK156" s="456"/>
      <c r="AVL156" s="456"/>
      <c r="AVM156" s="456"/>
      <c r="AVN156" s="456"/>
      <c r="AVO156" s="456"/>
      <c r="AVP156" s="456"/>
      <c r="AVQ156" s="456"/>
      <c r="AVR156" s="456"/>
      <c r="AVS156" s="456"/>
      <c r="AVT156" s="456"/>
      <c r="AVU156" s="456"/>
      <c r="AVV156" s="456"/>
      <c r="AVW156" s="456"/>
      <c r="AVX156" s="456"/>
      <c r="AVY156" s="456"/>
      <c r="AVZ156" s="456"/>
      <c r="AWA156" s="456"/>
      <c r="AWB156" s="456"/>
      <c r="AWC156" s="456"/>
      <c r="AWD156" s="456"/>
      <c r="AWE156" s="456"/>
      <c r="AWF156" s="456"/>
      <c r="AWG156" s="456"/>
      <c r="AWH156" s="456"/>
      <c r="AWI156" s="456"/>
      <c r="AWJ156" s="456"/>
      <c r="AWK156" s="456"/>
      <c r="AWL156" s="456"/>
      <c r="AWM156" s="456"/>
      <c r="AWN156" s="456"/>
      <c r="AWO156" s="456"/>
      <c r="AWP156" s="456"/>
      <c r="AWQ156" s="456"/>
      <c r="AWR156" s="456"/>
      <c r="AWS156" s="456"/>
      <c r="AWT156" s="456"/>
      <c r="AWU156" s="456"/>
      <c r="AWV156" s="456"/>
      <c r="AWW156" s="456"/>
      <c r="AWX156" s="456"/>
      <c r="AWY156" s="456"/>
      <c r="AWZ156" s="456"/>
      <c r="AXA156" s="456"/>
      <c r="AXB156" s="456"/>
      <c r="AXC156" s="456"/>
      <c r="AXD156" s="456"/>
      <c r="AXE156" s="456"/>
      <c r="AXF156" s="456"/>
      <c r="AXG156" s="456"/>
      <c r="AXH156" s="456"/>
      <c r="AXI156" s="456"/>
      <c r="AXJ156" s="456"/>
      <c r="AXK156" s="456"/>
      <c r="AXL156" s="456"/>
      <c r="AXM156" s="456"/>
      <c r="AXN156" s="456"/>
      <c r="AXO156" s="456"/>
      <c r="AXP156" s="456"/>
      <c r="AXQ156" s="456"/>
      <c r="AXR156" s="456"/>
      <c r="AXS156" s="456"/>
      <c r="AXT156" s="456"/>
      <c r="AXU156" s="456"/>
      <c r="AXV156" s="456"/>
      <c r="AXW156" s="456"/>
      <c r="AXX156" s="456"/>
      <c r="AXY156" s="456"/>
      <c r="AXZ156" s="456"/>
      <c r="AYA156" s="456"/>
      <c r="AYB156" s="456"/>
      <c r="AYC156" s="456"/>
      <c r="AYD156" s="456"/>
      <c r="AYE156" s="456"/>
      <c r="AYF156" s="456"/>
      <c r="AYG156" s="456"/>
      <c r="AYH156" s="456"/>
      <c r="AYI156" s="456"/>
      <c r="AYJ156" s="456"/>
      <c r="AYK156" s="456"/>
      <c r="AYL156" s="456"/>
      <c r="AYM156" s="456"/>
      <c r="AYN156" s="456"/>
      <c r="AYO156" s="456"/>
      <c r="AYP156" s="456"/>
      <c r="AYQ156" s="456"/>
      <c r="AYR156" s="456"/>
      <c r="AYS156" s="456"/>
      <c r="AYT156" s="456"/>
      <c r="AYU156" s="456"/>
      <c r="AYV156" s="456"/>
      <c r="AYW156" s="456"/>
      <c r="AYX156" s="456"/>
      <c r="AYY156" s="456"/>
      <c r="AYZ156" s="456"/>
      <c r="AZA156" s="456"/>
      <c r="AZB156" s="456"/>
      <c r="AZC156" s="456"/>
      <c r="AZD156" s="456"/>
      <c r="AZE156" s="456"/>
      <c r="AZF156" s="456"/>
      <c r="AZG156" s="456"/>
      <c r="AZH156" s="456"/>
      <c r="AZI156" s="456"/>
      <c r="AZJ156" s="456"/>
      <c r="AZK156" s="456"/>
      <c r="AZL156" s="456"/>
      <c r="AZM156" s="456"/>
      <c r="AZN156" s="456"/>
      <c r="AZO156" s="456"/>
      <c r="AZP156" s="456"/>
      <c r="AZQ156" s="456"/>
      <c r="AZR156" s="456"/>
      <c r="AZS156" s="456"/>
      <c r="AZT156" s="456"/>
      <c r="AZU156" s="456"/>
      <c r="AZV156" s="456"/>
      <c r="AZW156" s="456"/>
      <c r="AZX156" s="456"/>
      <c r="AZY156" s="456"/>
      <c r="AZZ156" s="456"/>
      <c r="BAA156" s="456"/>
      <c r="BAB156" s="456"/>
      <c r="BAC156" s="456"/>
      <c r="BAD156" s="456"/>
      <c r="BAE156" s="456"/>
      <c r="BAF156" s="456"/>
      <c r="BAG156" s="456"/>
      <c r="BAH156" s="456"/>
      <c r="BAI156" s="456"/>
      <c r="BAJ156" s="456"/>
      <c r="BAK156" s="456"/>
      <c r="BAL156" s="456"/>
      <c r="BAM156" s="456"/>
      <c r="BAN156" s="456"/>
      <c r="BAO156" s="456"/>
      <c r="BAP156" s="456"/>
      <c r="BAQ156" s="456"/>
      <c r="BAR156" s="456"/>
      <c r="BAS156" s="456"/>
      <c r="BAT156" s="456"/>
      <c r="BAU156" s="456"/>
      <c r="BAV156" s="456"/>
      <c r="BAW156" s="456"/>
      <c r="BAX156" s="456"/>
      <c r="BAY156" s="456"/>
      <c r="BAZ156" s="456"/>
      <c r="BBA156" s="456"/>
      <c r="BBB156" s="456"/>
      <c r="BBC156" s="456"/>
      <c r="BBD156" s="456"/>
      <c r="BBE156" s="456"/>
      <c r="BBF156" s="456"/>
      <c r="BBG156" s="456"/>
      <c r="BBH156" s="456"/>
      <c r="BBI156" s="456"/>
      <c r="BBJ156" s="456"/>
      <c r="BBK156" s="456"/>
      <c r="BBL156" s="456"/>
      <c r="BBM156" s="456"/>
      <c r="BBN156" s="456"/>
      <c r="BBO156" s="456"/>
      <c r="BBP156" s="456"/>
      <c r="BBQ156" s="456"/>
      <c r="BBR156" s="456"/>
      <c r="BBS156" s="456"/>
      <c r="BBT156" s="456"/>
      <c r="BBU156" s="456"/>
      <c r="BBV156" s="456"/>
      <c r="BBW156" s="456"/>
      <c r="BBX156" s="456"/>
      <c r="BBY156" s="456"/>
      <c r="BBZ156" s="456"/>
      <c r="BCA156" s="456"/>
      <c r="BCB156" s="456"/>
      <c r="BCC156" s="456"/>
      <c r="BCD156" s="456"/>
      <c r="BCE156" s="456"/>
      <c r="BCF156" s="456"/>
      <c r="BCG156" s="456"/>
      <c r="BCH156" s="456"/>
      <c r="BCI156" s="456"/>
      <c r="BCJ156" s="456"/>
      <c r="BCK156" s="456"/>
      <c r="BCL156" s="456"/>
      <c r="BCM156" s="456"/>
      <c r="BCN156" s="456"/>
      <c r="BCO156" s="456"/>
      <c r="BCP156" s="456"/>
      <c r="BCQ156" s="456"/>
      <c r="BCR156" s="456"/>
      <c r="BCS156" s="456"/>
      <c r="BCT156" s="456"/>
      <c r="BCU156" s="456"/>
      <c r="BCV156" s="456"/>
      <c r="BCW156" s="456"/>
      <c r="BCX156" s="456"/>
      <c r="BCY156" s="456"/>
      <c r="BCZ156" s="456"/>
      <c r="BDA156" s="456"/>
      <c r="BDB156" s="456"/>
      <c r="BDC156" s="456"/>
      <c r="BDD156" s="456"/>
      <c r="BDE156" s="456"/>
      <c r="BDF156" s="456"/>
      <c r="BDG156" s="456"/>
      <c r="BDH156" s="456"/>
      <c r="BDI156" s="456"/>
      <c r="BDJ156" s="456"/>
      <c r="BDK156" s="456"/>
      <c r="BDL156" s="456"/>
      <c r="BDM156" s="456"/>
      <c r="BDN156" s="456"/>
      <c r="BDO156" s="456"/>
      <c r="BDP156" s="456"/>
      <c r="BDQ156" s="456"/>
      <c r="BDR156" s="456"/>
      <c r="BDS156" s="456"/>
      <c r="BDT156" s="456"/>
      <c r="BDU156" s="456"/>
      <c r="BDV156" s="456"/>
      <c r="BDW156" s="456"/>
      <c r="BDX156" s="456"/>
      <c r="BDY156" s="456"/>
      <c r="BDZ156" s="456"/>
      <c r="BEA156" s="456"/>
      <c r="BEB156" s="456"/>
      <c r="BEC156" s="456"/>
      <c r="BED156" s="456"/>
      <c r="BEE156" s="456"/>
      <c r="BEF156" s="456"/>
      <c r="BEG156" s="456"/>
      <c r="BEH156" s="456"/>
      <c r="BEI156" s="456"/>
      <c r="BEJ156" s="456"/>
      <c r="BEK156" s="456"/>
      <c r="BEL156" s="456"/>
      <c r="BEM156" s="456"/>
      <c r="BEN156" s="456"/>
      <c r="BEO156" s="456"/>
      <c r="BEP156" s="456"/>
      <c r="BEQ156" s="456"/>
      <c r="BER156" s="456"/>
      <c r="BES156" s="456"/>
      <c r="BET156" s="456"/>
      <c r="BEU156" s="456"/>
      <c r="BEV156" s="456"/>
      <c r="BEW156" s="456"/>
      <c r="BEX156" s="456"/>
      <c r="BEY156" s="456"/>
      <c r="BEZ156" s="456"/>
      <c r="BFA156" s="456"/>
      <c r="BFB156" s="456"/>
      <c r="BFC156" s="456"/>
      <c r="BFD156" s="456"/>
      <c r="BFE156" s="456"/>
      <c r="BFF156" s="456"/>
      <c r="BFG156" s="456"/>
      <c r="BFH156" s="456"/>
      <c r="BFI156" s="456"/>
      <c r="BFJ156" s="456"/>
      <c r="BFK156" s="456"/>
      <c r="BFL156" s="456"/>
      <c r="BFM156" s="456"/>
      <c r="BFN156" s="456"/>
      <c r="BFO156" s="456"/>
      <c r="BFP156" s="456"/>
      <c r="BFQ156" s="456"/>
      <c r="BFR156" s="456"/>
      <c r="BFS156" s="456"/>
      <c r="BFT156" s="456"/>
      <c r="BFU156" s="456"/>
      <c r="BFV156" s="456"/>
      <c r="BFW156" s="456"/>
      <c r="BFX156" s="456"/>
      <c r="BFY156" s="456"/>
      <c r="BFZ156" s="456"/>
      <c r="BGA156" s="456"/>
      <c r="BGB156" s="456"/>
      <c r="BGC156" s="456"/>
      <c r="BGD156" s="456"/>
      <c r="BGE156" s="456"/>
      <c r="BGF156" s="456"/>
      <c r="BGG156" s="456"/>
      <c r="BGH156" s="456"/>
      <c r="BGI156" s="456"/>
      <c r="BGJ156" s="456"/>
      <c r="BGK156" s="456"/>
      <c r="BGL156" s="456"/>
      <c r="BGM156" s="456"/>
      <c r="BGN156" s="456"/>
      <c r="BGO156" s="456"/>
      <c r="BGP156" s="456"/>
      <c r="BGQ156" s="456"/>
      <c r="BGR156" s="456"/>
      <c r="BGS156" s="456"/>
      <c r="BGT156" s="456"/>
      <c r="BGU156" s="456"/>
      <c r="BGV156" s="456"/>
      <c r="BGW156" s="456"/>
      <c r="BGX156" s="456"/>
      <c r="BGY156" s="456"/>
      <c r="BGZ156" s="456"/>
      <c r="BHA156" s="456"/>
      <c r="BHB156" s="456"/>
      <c r="BHC156" s="456"/>
      <c r="BHD156" s="456"/>
      <c r="BHE156" s="456"/>
      <c r="BHF156" s="456"/>
      <c r="BHG156" s="456"/>
      <c r="BHH156" s="456"/>
      <c r="BHI156" s="456"/>
      <c r="BHJ156" s="456"/>
      <c r="BHK156" s="456"/>
      <c r="BHL156" s="456"/>
      <c r="BHM156" s="456"/>
      <c r="BHN156" s="456"/>
      <c r="BHO156" s="456"/>
      <c r="BHP156" s="456"/>
      <c r="BHQ156" s="456"/>
      <c r="BHR156" s="456"/>
      <c r="BHS156" s="456"/>
      <c r="BHT156" s="456"/>
      <c r="BHU156" s="456"/>
      <c r="BHV156" s="456"/>
      <c r="BHW156" s="456"/>
      <c r="BHX156" s="456"/>
      <c r="BHY156" s="456"/>
      <c r="BHZ156" s="456"/>
      <c r="BIA156" s="456"/>
      <c r="BIB156" s="456"/>
      <c r="BIC156" s="456"/>
      <c r="BID156" s="456"/>
      <c r="BIE156" s="456"/>
      <c r="BIF156" s="456"/>
      <c r="BIG156" s="456"/>
      <c r="BIH156" s="456"/>
      <c r="BII156" s="456"/>
      <c r="BIJ156" s="456"/>
      <c r="BIK156" s="456"/>
      <c r="BIL156" s="456"/>
      <c r="BIM156" s="456"/>
      <c r="BIN156" s="456"/>
      <c r="BIO156" s="456"/>
      <c r="BIP156" s="456"/>
      <c r="BIQ156" s="456"/>
      <c r="BIR156" s="456"/>
      <c r="BIS156" s="456"/>
      <c r="BIT156" s="456"/>
      <c r="BIU156" s="456"/>
      <c r="BIV156" s="456"/>
      <c r="BIW156" s="456"/>
      <c r="BIX156" s="456"/>
      <c r="BIY156" s="456"/>
      <c r="BIZ156" s="456"/>
      <c r="BJA156" s="456"/>
      <c r="BJB156" s="456"/>
      <c r="BJC156" s="456"/>
      <c r="BJD156" s="456"/>
      <c r="BJE156" s="456"/>
      <c r="BJF156" s="456"/>
      <c r="BJG156" s="456"/>
      <c r="BJH156" s="456"/>
      <c r="BJI156" s="456"/>
      <c r="BJJ156" s="456"/>
      <c r="BJK156" s="456"/>
      <c r="BJL156" s="456"/>
      <c r="BJM156" s="456"/>
      <c r="BJN156" s="456"/>
      <c r="BJO156" s="456"/>
      <c r="BJP156" s="456"/>
      <c r="BJQ156" s="456"/>
      <c r="BJR156" s="456"/>
      <c r="BJS156" s="456"/>
      <c r="BJT156" s="456"/>
      <c r="BJU156" s="456"/>
      <c r="BJV156" s="456"/>
      <c r="BJW156" s="456"/>
      <c r="BJX156" s="456"/>
      <c r="BJY156" s="456"/>
      <c r="BJZ156" s="456"/>
      <c r="BKA156" s="456"/>
      <c r="BKB156" s="456"/>
      <c r="BKC156" s="456"/>
      <c r="BKD156" s="456"/>
      <c r="BKE156" s="456"/>
      <c r="BKF156" s="456"/>
      <c r="BKG156" s="456"/>
      <c r="BKH156" s="456"/>
      <c r="BKI156" s="456"/>
      <c r="BKJ156" s="456"/>
      <c r="BKK156" s="456"/>
      <c r="BKL156" s="456"/>
      <c r="BKM156" s="456"/>
      <c r="BKN156" s="456"/>
      <c r="BKO156" s="456"/>
      <c r="BKP156" s="456"/>
      <c r="BKQ156" s="456"/>
      <c r="BKR156" s="456"/>
      <c r="BKS156" s="456"/>
      <c r="BKT156" s="456"/>
      <c r="BKU156" s="456"/>
      <c r="BKV156" s="456"/>
      <c r="BKW156" s="456"/>
      <c r="BKX156" s="456"/>
      <c r="BKY156" s="456"/>
      <c r="BKZ156" s="456"/>
      <c r="BLA156" s="456"/>
      <c r="BLB156" s="456"/>
      <c r="BLC156" s="456"/>
      <c r="BLD156" s="456"/>
      <c r="BLE156" s="456"/>
      <c r="BLF156" s="456"/>
      <c r="BLG156" s="456"/>
      <c r="BLH156" s="456"/>
      <c r="BLI156" s="456"/>
      <c r="BLJ156" s="456"/>
      <c r="BLK156" s="456"/>
      <c r="BLL156" s="456"/>
      <c r="BLM156" s="456"/>
      <c r="BLN156" s="456"/>
      <c r="BLO156" s="456"/>
      <c r="BLP156" s="456"/>
      <c r="BLQ156" s="456"/>
      <c r="BLR156" s="456"/>
      <c r="BLS156" s="456"/>
      <c r="BLT156" s="456"/>
      <c r="BLU156" s="456"/>
      <c r="BLV156" s="456"/>
      <c r="BLW156" s="456"/>
      <c r="BLX156" s="456"/>
      <c r="BLY156" s="456"/>
      <c r="BLZ156" s="456"/>
      <c r="BMA156" s="456"/>
      <c r="BMB156" s="456"/>
      <c r="BMC156" s="456"/>
      <c r="BMD156" s="456"/>
      <c r="BME156" s="456"/>
      <c r="BMF156" s="456"/>
      <c r="BMG156" s="456"/>
      <c r="BMH156" s="456"/>
      <c r="BMI156" s="456"/>
      <c r="BMJ156" s="456"/>
      <c r="BMK156" s="456"/>
      <c r="BML156" s="456"/>
      <c r="BMM156" s="456"/>
      <c r="BMN156" s="456"/>
      <c r="BMO156" s="456"/>
      <c r="BMP156" s="456"/>
      <c r="BMQ156" s="456"/>
      <c r="BMR156" s="456"/>
      <c r="BMS156" s="456"/>
      <c r="BMT156" s="456"/>
      <c r="BMU156" s="456"/>
      <c r="BMV156" s="456"/>
      <c r="BMW156" s="456"/>
      <c r="BMX156" s="456"/>
      <c r="BMY156" s="456"/>
      <c r="BMZ156" s="456"/>
      <c r="BNA156" s="456"/>
      <c r="BNB156" s="456"/>
      <c r="BNC156" s="456"/>
      <c r="BND156" s="456"/>
      <c r="BNE156" s="456"/>
      <c r="BNF156" s="456"/>
      <c r="BNG156" s="456"/>
      <c r="BNH156" s="456"/>
      <c r="BNI156" s="456"/>
      <c r="BNJ156" s="456"/>
      <c r="BNK156" s="456"/>
      <c r="BNL156" s="456"/>
      <c r="BNM156" s="456"/>
      <c r="BNN156" s="456"/>
      <c r="BNO156" s="456"/>
      <c r="BNP156" s="456"/>
      <c r="BNQ156" s="456"/>
      <c r="BNR156" s="456"/>
      <c r="BNS156" s="456"/>
      <c r="BNT156" s="456"/>
      <c r="BNU156" s="456"/>
      <c r="BNV156" s="456"/>
      <c r="BNW156" s="456"/>
      <c r="BNX156" s="456"/>
      <c r="BNY156" s="456"/>
      <c r="BNZ156" s="456"/>
      <c r="BOA156" s="456"/>
      <c r="BOB156" s="456"/>
      <c r="BOC156" s="456"/>
      <c r="BOD156" s="456"/>
      <c r="BOE156" s="456"/>
      <c r="BOF156" s="456"/>
      <c r="BOG156" s="456"/>
      <c r="BOH156" s="456"/>
      <c r="BOI156" s="456"/>
      <c r="BOJ156" s="456"/>
      <c r="BOK156" s="456"/>
      <c r="BOL156" s="456"/>
      <c r="BOM156" s="456"/>
      <c r="BON156" s="456"/>
      <c r="BOO156" s="456"/>
      <c r="BOP156" s="456"/>
      <c r="BOQ156" s="456"/>
      <c r="BOR156" s="456"/>
      <c r="BOS156" s="456"/>
      <c r="BOT156" s="456"/>
      <c r="BOU156" s="456"/>
      <c r="BOV156" s="456"/>
      <c r="BOW156" s="456"/>
      <c r="BOX156" s="456"/>
      <c r="BOY156" s="456"/>
      <c r="BOZ156" s="456"/>
      <c r="BPA156" s="456"/>
      <c r="BPB156" s="456"/>
      <c r="BPC156" s="456"/>
      <c r="BPD156" s="456"/>
      <c r="BPE156" s="456"/>
      <c r="BPF156" s="456"/>
      <c r="BPG156" s="456"/>
      <c r="BPH156" s="456"/>
      <c r="BPI156" s="456"/>
      <c r="BPJ156" s="456"/>
      <c r="BPK156" s="456"/>
      <c r="BPL156" s="456"/>
      <c r="BPM156" s="456"/>
      <c r="BPN156" s="456"/>
      <c r="BPO156" s="456"/>
      <c r="BPP156" s="456"/>
      <c r="BPQ156" s="456"/>
      <c r="BPR156" s="456"/>
      <c r="BPS156" s="456"/>
      <c r="BPT156" s="456"/>
      <c r="BPU156" s="456"/>
      <c r="BPV156" s="456"/>
      <c r="BPW156" s="456"/>
      <c r="BPX156" s="456"/>
      <c r="BPY156" s="456"/>
      <c r="BPZ156" s="456"/>
      <c r="BQA156" s="456"/>
      <c r="BQB156" s="456"/>
      <c r="BQC156" s="456"/>
      <c r="BQD156" s="456"/>
      <c r="BQE156" s="456"/>
      <c r="BQF156" s="456"/>
      <c r="BQG156" s="456"/>
      <c r="BQH156" s="456"/>
      <c r="BQI156" s="456"/>
      <c r="BQJ156" s="456"/>
      <c r="BQK156" s="456"/>
      <c r="BQL156" s="456"/>
      <c r="BQM156" s="456"/>
      <c r="BQN156" s="456"/>
      <c r="BQO156" s="456"/>
      <c r="BQP156" s="456"/>
      <c r="BQQ156" s="456"/>
      <c r="BQR156" s="456"/>
      <c r="BQS156" s="456"/>
      <c r="BQT156" s="456"/>
      <c r="BQU156" s="456"/>
      <c r="BQV156" s="456"/>
      <c r="BQW156" s="456"/>
      <c r="BQX156" s="456"/>
      <c r="BQY156" s="456"/>
      <c r="BQZ156" s="456"/>
      <c r="BRA156" s="456"/>
      <c r="BRB156" s="456"/>
      <c r="BRC156" s="456"/>
      <c r="BRD156" s="456"/>
      <c r="BRE156" s="456"/>
      <c r="BRF156" s="456"/>
      <c r="BRG156" s="456"/>
      <c r="BRH156" s="456"/>
      <c r="BRI156" s="456"/>
      <c r="BRJ156" s="456"/>
      <c r="BRK156" s="456"/>
      <c r="BRL156" s="456"/>
      <c r="BRM156" s="456"/>
      <c r="BRN156" s="456"/>
      <c r="BRO156" s="456"/>
      <c r="BRP156" s="456"/>
      <c r="BRQ156" s="456"/>
      <c r="BRR156" s="456"/>
      <c r="BRS156" s="456"/>
      <c r="BRT156" s="456"/>
      <c r="BRU156" s="456"/>
      <c r="BRV156" s="456"/>
      <c r="BRW156" s="456"/>
      <c r="BRX156" s="456"/>
      <c r="BRY156" s="456"/>
      <c r="BRZ156" s="456"/>
      <c r="BSA156" s="456"/>
      <c r="BSB156" s="456"/>
      <c r="BSC156" s="456"/>
      <c r="BSD156" s="456"/>
      <c r="BSE156" s="456"/>
      <c r="BSF156" s="456"/>
      <c r="BSG156" s="456"/>
      <c r="BSH156" s="456"/>
      <c r="BSI156" s="456"/>
      <c r="BSJ156" s="456"/>
      <c r="BSK156" s="456"/>
      <c r="BSL156" s="456"/>
      <c r="BSM156" s="456"/>
      <c r="BSN156" s="456"/>
      <c r="BSO156" s="456"/>
      <c r="BSP156" s="456"/>
      <c r="BSQ156" s="456"/>
      <c r="BSR156" s="456"/>
      <c r="BSS156" s="456"/>
      <c r="BST156" s="456"/>
      <c r="BSU156" s="456"/>
      <c r="BSV156" s="456"/>
      <c r="BSW156" s="456"/>
      <c r="BSX156" s="456"/>
      <c r="BSY156" s="456"/>
      <c r="BSZ156" s="456"/>
      <c r="BTA156" s="456"/>
      <c r="BTB156" s="456"/>
      <c r="BTC156" s="456"/>
      <c r="BTD156" s="456"/>
      <c r="BTE156" s="456"/>
      <c r="BTF156" s="456"/>
      <c r="BTG156" s="456"/>
      <c r="BTH156" s="456"/>
      <c r="BTI156" s="456"/>
      <c r="BTJ156" s="456"/>
      <c r="BTK156" s="456"/>
      <c r="BTL156" s="456"/>
      <c r="BTM156" s="456"/>
      <c r="BTN156" s="456"/>
      <c r="BTO156" s="456"/>
      <c r="BTP156" s="456"/>
      <c r="BTQ156" s="456"/>
      <c r="BTR156" s="456"/>
      <c r="BTS156" s="456"/>
      <c r="BTT156" s="456"/>
      <c r="BTU156" s="456"/>
      <c r="BTV156" s="456"/>
      <c r="BTW156" s="456"/>
      <c r="BTX156" s="456"/>
      <c r="BTY156" s="456"/>
      <c r="BTZ156" s="456"/>
      <c r="BUA156" s="456"/>
      <c r="BUB156" s="456"/>
      <c r="BUC156" s="456"/>
      <c r="BUD156" s="456"/>
      <c r="BUE156" s="456"/>
      <c r="BUF156" s="456"/>
      <c r="BUG156" s="456"/>
      <c r="BUH156" s="456"/>
      <c r="BUI156" s="456"/>
      <c r="BUJ156" s="456"/>
      <c r="BUK156" s="456"/>
      <c r="BUL156" s="456"/>
      <c r="BUM156" s="456"/>
      <c r="BUN156" s="456"/>
      <c r="BUO156" s="456"/>
      <c r="BUP156" s="456"/>
      <c r="BUQ156" s="456"/>
      <c r="BUR156" s="456"/>
      <c r="BUS156" s="456"/>
      <c r="BUT156" s="456"/>
      <c r="BUU156" s="456"/>
      <c r="BUV156" s="456"/>
      <c r="BUW156" s="456"/>
      <c r="BUX156" s="456"/>
      <c r="BUY156" s="456"/>
      <c r="BUZ156" s="456"/>
      <c r="BVA156" s="456"/>
      <c r="BVB156" s="456"/>
      <c r="BVC156" s="456"/>
      <c r="BVD156" s="456"/>
      <c r="BVE156" s="456"/>
      <c r="BVF156" s="456"/>
      <c r="BVG156" s="456"/>
      <c r="BVH156" s="456"/>
      <c r="BVI156" s="456"/>
      <c r="BVJ156" s="456"/>
      <c r="BVK156" s="456"/>
      <c r="BVL156" s="456"/>
      <c r="BVM156" s="456"/>
      <c r="BVN156" s="456"/>
      <c r="BVO156" s="456"/>
      <c r="BVP156" s="456"/>
      <c r="BVQ156" s="456"/>
      <c r="BVR156" s="456"/>
      <c r="BVS156" s="456"/>
      <c r="BVT156" s="456"/>
      <c r="BVU156" s="456"/>
      <c r="BVV156" s="456"/>
      <c r="BVW156" s="456"/>
      <c r="BVX156" s="456"/>
      <c r="BVY156" s="456"/>
      <c r="BVZ156" s="456"/>
      <c r="BWA156" s="456"/>
      <c r="BWB156" s="456"/>
      <c r="BWC156" s="456"/>
      <c r="BWD156" s="456"/>
      <c r="BWE156" s="456"/>
      <c r="BWF156" s="456"/>
      <c r="BWG156" s="456"/>
      <c r="BWH156" s="456"/>
      <c r="BWI156" s="456"/>
      <c r="BWJ156" s="456"/>
      <c r="BWK156" s="456"/>
      <c r="BWL156" s="456"/>
      <c r="BWM156" s="456"/>
      <c r="BWN156" s="456"/>
      <c r="BWO156" s="456"/>
      <c r="BWP156" s="456"/>
      <c r="BWQ156" s="456"/>
      <c r="BWR156" s="456"/>
      <c r="BWS156" s="456"/>
      <c r="BWT156" s="456"/>
      <c r="BWU156" s="456"/>
      <c r="BWV156" s="456"/>
      <c r="BWW156" s="456"/>
      <c r="BWX156" s="456"/>
      <c r="BWY156" s="456"/>
      <c r="BWZ156" s="456"/>
      <c r="BXA156" s="456"/>
      <c r="BXB156" s="456"/>
      <c r="BXC156" s="456"/>
      <c r="BXD156" s="456"/>
      <c r="BXE156" s="456"/>
      <c r="BXF156" s="456"/>
      <c r="BXG156" s="456"/>
      <c r="BXH156" s="456"/>
      <c r="BXI156" s="456"/>
      <c r="BXJ156" s="456"/>
      <c r="BXK156" s="456"/>
      <c r="BXL156" s="456"/>
      <c r="BXM156" s="456"/>
      <c r="BXN156" s="456"/>
      <c r="BXO156" s="456"/>
      <c r="BXP156" s="456"/>
      <c r="BXQ156" s="456"/>
      <c r="BXR156" s="456"/>
      <c r="BXS156" s="456"/>
      <c r="BXT156" s="456"/>
      <c r="BXU156" s="456"/>
      <c r="BXV156" s="456"/>
      <c r="BXW156" s="456"/>
      <c r="BXX156" s="456"/>
      <c r="BXY156" s="456"/>
      <c r="BXZ156" s="456"/>
    </row>
    <row r="157" s="25" customFormat="1" spans="1:1024 1025:2002">
      <c r="A157" s="473" t="s">
        <v>34</v>
      </c>
      <c r="B157" s="19">
        <v>1130</v>
      </c>
      <c r="C157" s="183">
        <v>46205</v>
      </c>
      <c r="D157" s="17" t="s">
        <v>52</v>
      </c>
      <c r="E157" s="17" t="s">
        <v>104</v>
      </c>
      <c r="F157" s="17" t="s">
        <v>54</v>
      </c>
      <c r="G157" s="17"/>
      <c r="H157" s="19">
        <v>1.2316</v>
      </c>
      <c r="I157" s="19" t="s">
        <v>114</v>
      </c>
      <c r="J157" s="17" t="s">
        <v>49</v>
      </c>
      <c r="K157" s="489">
        <v>1050</v>
      </c>
      <c r="L157" s="489">
        <v>32</v>
      </c>
      <c r="M157" s="489">
        <v>2200</v>
      </c>
      <c r="N157" s="19" t="s">
        <v>66</v>
      </c>
      <c r="O157" s="19" t="s">
        <v>67</v>
      </c>
      <c r="P157" s="490">
        <v>527.52</v>
      </c>
      <c r="Q157" s="19">
        <v>510</v>
      </c>
      <c r="R157" s="99">
        <f t="shared" si="9"/>
        <v>17.52</v>
      </c>
      <c r="S157" s="19">
        <f t="shared" si="11"/>
        <v>2870</v>
      </c>
      <c r="T157" s="19" t="s">
        <v>42</v>
      </c>
      <c r="U157" s="102" t="s">
        <v>115</v>
      </c>
      <c r="V157" s="186">
        <v>46208</v>
      </c>
      <c r="W157" s="17" t="s">
        <v>44</v>
      </c>
      <c r="X157" s="17"/>
      <c r="Y157" s="68">
        <v>46235</v>
      </c>
      <c r="Z157" s="17" t="s">
        <v>45</v>
      </c>
      <c r="AA157" s="17" t="s">
        <v>46</v>
      </c>
      <c r="AB157" s="17" t="s">
        <v>116</v>
      </c>
      <c r="AC157" s="217">
        <v>46241</v>
      </c>
      <c r="AD157" s="65">
        <v>1848</v>
      </c>
      <c r="AE157" s="17" t="s">
        <v>48</v>
      </c>
      <c r="AF157" s="17" t="s">
        <v>61</v>
      </c>
      <c r="AG157" s="17"/>
      <c r="AH157" s="456"/>
      <c r="AI157" s="456"/>
      <c r="AJ157" s="456"/>
      <c r="AK157" s="456"/>
      <c r="AL157" s="456"/>
      <c r="AM157" s="456"/>
      <c r="AN157" s="456"/>
      <c r="AO157" s="456"/>
      <c r="AP157" s="456"/>
      <c r="AQ157" s="456"/>
      <c r="AR157" s="456"/>
      <c r="AS157" s="456"/>
      <c r="AT157" s="456"/>
      <c r="AU157" s="456"/>
      <c r="AV157" s="456"/>
      <c r="AW157" s="456"/>
      <c r="AX157" s="456"/>
      <c r="AY157" s="456"/>
      <c r="AZ157" s="456"/>
      <c r="BA157" s="456"/>
      <c r="BB157" s="456"/>
      <c r="BC157" s="456"/>
      <c r="BD157" s="456"/>
      <c r="BE157" s="456"/>
      <c r="BF157" s="456"/>
      <c r="BG157" s="456"/>
      <c r="BH157" s="456"/>
      <c r="BI157" s="456"/>
      <c r="BJ157" s="456"/>
      <c r="BK157" s="456"/>
      <c r="BL157" s="456"/>
      <c r="BM157" s="456"/>
      <c r="BN157" s="456"/>
      <c r="BO157" s="456"/>
      <c r="BP157" s="456"/>
      <c r="BQ157" s="456"/>
      <c r="BR157" s="456"/>
      <c r="BS157" s="456"/>
      <c r="BT157" s="456"/>
      <c r="BU157" s="456"/>
      <c r="BV157" s="456"/>
      <c r="BW157" s="456"/>
      <c r="BX157" s="456"/>
      <c r="BY157" s="456"/>
      <c r="BZ157" s="456"/>
      <c r="CA157" s="456"/>
      <c r="CB157" s="456"/>
      <c r="CC157" s="456"/>
      <c r="CD157" s="456"/>
      <c r="CE157" s="456"/>
      <c r="CF157" s="456"/>
      <c r="CG157" s="456"/>
      <c r="CH157" s="456"/>
      <c r="CI157" s="456"/>
      <c r="CJ157" s="456"/>
      <c r="CK157" s="456"/>
      <c r="CL157" s="456"/>
      <c r="CM157" s="456"/>
      <c r="CN157" s="456"/>
      <c r="CO157" s="456"/>
      <c r="CP157" s="456"/>
      <c r="CQ157" s="456"/>
      <c r="CR157" s="456"/>
      <c r="CS157" s="456"/>
      <c r="CT157" s="456"/>
      <c r="CU157" s="456"/>
      <c r="CV157" s="456"/>
      <c r="CW157" s="456"/>
      <c r="CX157" s="456"/>
      <c r="CY157" s="456"/>
      <c r="CZ157" s="456"/>
      <c r="DA157" s="456"/>
      <c r="DB157" s="456"/>
      <c r="DC157" s="456"/>
      <c r="DD157" s="456"/>
      <c r="DE157" s="456"/>
      <c r="DF157" s="456"/>
      <c r="DG157" s="456"/>
      <c r="DH157" s="456"/>
      <c r="DI157" s="456"/>
      <c r="DJ157" s="456"/>
      <c r="DK157" s="456"/>
      <c r="DL157" s="456"/>
      <c r="DM157" s="456"/>
      <c r="DN157" s="456"/>
      <c r="DO157" s="456"/>
      <c r="DP157" s="456"/>
      <c r="DQ157" s="456"/>
      <c r="DR157" s="456"/>
      <c r="DS157" s="456"/>
      <c r="DT157" s="456"/>
      <c r="DU157" s="456"/>
      <c r="DV157" s="456"/>
      <c r="DW157" s="456"/>
      <c r="DX157" s="456"/>
      <c r="DY157" s="456"/>
      <c r="DZ157" s="456"/>
      <c r="EA157" s="456"/>
      <c r="EB157" s="456"/>
      <c r="EC157" s="456"/>
      <c r="ED157" s="456"/>
      <c r="EE157" s="456"/>
      <c r="EF157" s="456"/>
      <c r="EG157" s="456"/>
      <c r="EH157" s="456"/>
      <c r="EI157" s="456"/>
      <c r="EJ157" s="456"/>
      <c r="EK157" s="456"/>
      <c r="EL157" s="456"/>
      <c r="EM157" s="456"/>
      <c r="EN157" s="456"/>
      <c r="EO157" s="456"/>
      <c r="EP157" s="456"/>
      <c r="EQ157" s="456"/>
      <c r="ER157" s="456"/>
      <c r="ES157" s="456"/>
      <c r="ET157" s="456"/>
      <c r="EU157" s="456"/>
      <c r="EV157" s="456"/>
      <c r="EW157" s="456"/>
      <c r="EX157" s="456"/>
      <c r="EY157" s="456"/>
      <c r="EZ157" s="456"/>
      <c r="FA157" s="456"/>
      <c r="FB157" s="456"/>
      <c r="FC157" s="456"/>
      <c r="FD157" s="456"/>
      <c r="FE157" s="456"/>
      <c r="FF157" s="456"/>
      <c r="FG157" s="456"/>
      <c r="FH157" s="456"/>
      <c r="FI157" s="456"/>
      <c r="FJ157" s="456"/>
      <c r="FK157" s="456"/>
      <c r="FL157" s="456"/>
      <c r="FM157" s="456"/>
      <c r="FN157" s="456"/>
      <c r="FO157" s="456"/>
      <c r="FP157" s="456"/>
      <c r="FQ157" s="456"/>
      <c r="FR157" s="456"/>
      <c r="FS157" s="456"/>
      <c r="FT157" s="456"/>
      <c r="FU157" s="456"/>
      <c r="FV157" s="456"/>
      <c r="FW157" s="456"/>
      <c r="FX157" s="456"/>
      <c r="FY157" s="456"/>
      <c r="FZ157" s="456"/>
      <c r="GA157" s="456"/>
      <c r="GB157" s="456"/>
      <c r="GC157" s="456"/>
      <c r="GD157" s="456"/>
      <c r="GE157" s="456"/>
      <c r="GF157" s="456"/>
      <c r="GG157" s="456"/>
      <c r="GH157" s="456"/>
      <c r="GI157" s="456"/>
      <c r="GJ157" s="456"/>
      <c r="GK157" s="456"/>
      <c r="GL157" s="456"/>
      <c r="GM157" s="456"/>
      <c r="GN157" s="456"/>
      <c r="GO157" s="456"/>
      <c r="GP157" s="456"/>
      <c r="GQ157" s="456"/>
      <c r="GR157" s="456"/>
      <c r="GS157" s="456"/>
      <c r="GT157" s="456"/>
      <c r="GU157" s="456"/>
      <c r="GV157" s="456"/>
      <c r="GW157" s="456"/>
      <c r="GX157" s="456"/>
      <c r="GY157" s="456"/>
      <c r="GZ157" s="456"/>
      <c r="HA157" s="456"/>
      <c r="HB157" s="456"/>
      <c r="HC157" s="456"/>
      <c r="HD157" s="456"/>
      <c r="HE157" s="456"/>
      <c r="HF157" s="456"/>
      <c r="HG157" s="456"/>
      <c r="HH157" s="456"/>
      <c r="HI157" s="456"/>
      <c r="HJ157" s="456"/>
      <c r="HK157" s="456"/>
      <c r="HL157" s="456"/>
      <c r="HM157" s="456"/>
      <c r="HN157" s="456"/>
      <c r="HO157" s="456"/>
      <c r="HP157" s="456"/>
      <c r="HQ157" s="456"/>
      <c r="HR157" s="456"/>
      <c r="HS157" s="456"/>
      <c r="HT157" s="456"/>
      <c r="HU157" s="456"/>
      <c r="HV157" s="456"/>
      <c r="HW157" s="456"/>
      <c r="HX157" s="456"/>
      <c r="HY157" s="456"/>
      <c r="HZ157" s="456"/>
      <c r="IA157" s="456"/>
      <c r="IB157" s="456"/>
      <c r="IC157" s="456"/>
      <c r="ID157" s="456"/>
      <c r="IE157" s="456"/>
      <c r="IF157" s="456"/>
      <c r="IG157" s="456"/>
      <c r="IH157" s="456"/>
      <c r="II157" s="456"/>
      <c r="IJ157" s="456"/>
      <c r="IK157" s="456"/>
      <c r="IL157" s="456"/>
      <c r="IM157" s="456"/>
      <c r="IN157" s="456"/>
      <c r="IO157" s="456"/>
      <c r="IP157" s="456"/>
      <c r="IQ157" s="456"/>
      <c r="IR157" s="456"/>
      <c r="IS157" s="456"/>
      <c r="IT157" s="456"/>
      <c r="IU157" s="456"/>
      <c r="IV157" s="456"/>
      <c r="IW157" s="456"/>
      <c r="IX157" s="456"/>
      <c r="IY157" s="456"/>
      <c r="IZ157" s="456"/>
      <c r="JA157" s="456"/>
      <c r="JB157" s="456"/>
      <c r="JC157" s="456"/>
      <c r="JD157" s="456"/>
      <c r="JE157" s="456"/>
      <c r="JF157" s="456"/>
      <c r="JG157" s="456"/>
      <c r="JH157" s="456"/>
      <c r="JI157" s="456"/>
      <c r="JJ157" s="456"/>
      <c r="JK157" s="456"/>
      <c r="JL157" s="456"/>
      <c r="JM157" s="456"/>
      <c r="JN157" s="456"/>
      <c r="JO157" s="456"/>
      <c r="JP157" s="456"/>
      <c r="JQ157" s="456"/>
      <c r="JR157" s="456"/>
      <c r="JS157" s="456"/>
      <c r="JT157" s="456"/>
      <c r="JU157" s="456"/>
      <c r="JV157" s="456"/>
      <c r="JW157" s="456"/>
      <c r="JX157" s="456"/>
      <c r="JY157" s="456"/>
      <c r="JZ157" s="456"/>
      <c r="KA157" s="456"/>
      <c r="KB157" s="456"/>
      <c r="KC157" s="456"/>
      <c r="KD157" s="456"/>
      <c r="KE157" s="456"/>
      <c r="KF157" s="456"/>
      <c r="KG157" s="456"/>
      <c r="KH157" s="456"/>
      <c r="KI157" s="456"/>
      <c r="KJ157" s="456"/>
      <c r="KK157" s="456"/>
      <c r="KL157" s="456"/>
      <c r="KM157" s="456"/>
      <c r="KN157" s="456"/>
      <c r="KO157" s="456"/>
      <c r="KP157" s="456"/>
      <c r="KQ157" s="456"/>
      <c r="KR157" s="456"/>
      <c r="KS157" s="456"/>
      <c r="KT157" s="456"/>
      <c r="KU157" s="456"/>
      <c r="KV157" s="456"/>
      <c r="KW157" s="456"/>
      <c r="KX157" s="456"/>
      <c r="KY157" s="456"/>
      <c r="KZ157" s="456"/>
      <c r="LA157" s="456"/>
      <c r="LB157" s="456"/>
      <c r="LC157" s="456"/>
      <c r="LD157" s="456"/>
      <c r="LE157" s="456"/>
      <c r="LF157" s="456"/>
      <c r="LG157" s="456"/>
      <c r="LH157" s="456"/>
      <c r="LI157" s="456"/>
      <c r="LJ157" s="456"/>
      <c r="LK157" s="456"/>
      <c r="LL157" s="456"/>
      <c r="LM157" s="456"/>
      <c r="LN157" s="456"/>
      <c r="LO157" s="456"/>
      <c r="LP157" s="456"/>
      <c r="LQ157" s="456"/>
      <c r="LR157" s="456"/>
      <c r="LS157" s="456"/>
      <c r="LT157" s="456"/>
      <c r="LU157" s="456"/>
      <c r="LV157" s="456"/>
      <c r="LW157" s="456"/>
      <c r="LX157" s="456"/>
      <c r="LY157" s="456"/>
      <c r="LZ157" s="456"/>
      <c r="MA157" s="456"/>
      <c r="MB157" s="456"/>
      <c r="MC157" s="456"/>
      <c r="MD157" s="456"/>
      <c r="ME157" s="456"/>
      <c r="MF157" s="456"/>
      <c r="MG157" s="456"/>
      <c r="MH157" s="456"/>
      <c r="MI157" s="456"/>
      <c r="MJ157" s="456"/>
      <c r="MK157" s="456"/>
      <c r="ML157" s="456"/>
      <c r="MM157" s="456"/>
      <c r="MN157" s="456"/>
      <c r="MO157" s="456"/>
      <c r="MP157" s="456"/>
      <c r="MQ157" s="456"/>
      <c r="MR157" s="456"/>
      <c r="MS157" s="456"/>
      <c r="MT157" s="456"/>
      <c r="MU157" s="456"/>
      <c r="MV157" s="456"/>
      <c r="MW157" s="456"/>
      <c r="MX157" s="456"/>
      <c r="MY157" s="456"/>
      <c r="MZ157" s="456"/>
      <c r="NA157" s="456"/>
      <c r="NB157" s="456"/>
      <c r="NC157" s="456"/>
      <c r="ND157" s="456"/>
      <c r="NE157" s="456"/>
      <c r="NF157" s="456"/>
      <c r="NG157" s="456"/>
      <c r="NH157" s="456"/>
      <c r="NI157" s="456"/>
      <c r="NJ157" s="456"/>
      <c r="NK157" s="456"/>
      <c r="NL157" s="456"/>
      <c r="NM157" s="456"/>
      <c r="NN157" s="456"/>
      <c r="NO157" s="456"/>
      <c r="NP157" s="456"/>
      <c r="NQ157" s="456"/>
      <c r="NR157" s="456"/>
      <c r="NS157" s="456"/>
      <c r="NT157" s="456"/>
      <c r="NU157" s="456"/>
      <c r="NV157" s="456"/>
      <c r="NW157" s="456"/>
      <c r="NX157" s="456"/>
      <c r="NY157" s="456"/>
      <c r="NZ157" s="456"/>
      <c r="OA157" s="456"/>
      <c r="OB157" s="456"/>
      <c r="OC157" s="456"/>
      <c r="OD157" s="456"/>
      <c r="OE157" s="456"/>
      <c r="OF157" s="456"/>
      <c r="OG157" s="456"/>
      <c r="OH157" s="456"/>
      <c r="OI157" s="456"/>
      <c r="OJ157" s="456"/>
      <c r="OK157" s="456"/>
      <c r="OL157" s="456"/>
      <c r="OM157" s="456"/>
      <c r="ON157" s="456"/>
      <c r="OO157" s="456"/>
      <c r="OP157" s="456"/>
      <c r="OQ157" s="456"/>
      <c r="OR157" s="456"/>
      <c r="OS157" s="456"/>
      <c r="OT157" s="456"/>
      <c r="OU157" s="456"/>
      <c r="OV157" s="456"/>
      <c r="OW157" s="456"/>
      <c r="OX157" s="456"/>
      <c r="OY157" s="456"/>
      <c r="OZ157" s="456"/>
      <c r="PA157" s="456"/>
      <c r="PB157" s="456"/>
      <c r="PC157" s="456"/>
      <c r="PD157" s="456"/>
      <c r="PE157" s="456"/>
      <c r="PF157" s="456"/>
      <c r="PG157" s="456"/>
      <c r="PH157" s="456"/>
      <c r="PI157" s="456"/>
      <c r="PJ157" s="456"/>
      <c r="PK157" s="456"/>
      <c r="PL157" s="456"/>
      <c r="PM157" s="456"/>
      <c r="PN157" s="456"/>
      <c r="PO157" s="456"/>
      <c r="PP157" s="456"/>
      <c r="PQ157" s="456"/>
      <c r="PR157" s="456"/>
      <c r="PS157" s="456"/>
      <c r="PT157" s="456"/>
      <c r="PU157" s="456"/>
      <c r="PV157" s="456"/>
      <c r="PW157" s="456"/>
      <c r="PX157" s="456"/>
      <c r="PY157" s="456"/>
      <c r="PZ157" s="456"/>
      <c r="QA157" s="456"/>
      <c r="QB157" s="456"/>
      <c r="QC157" s="456"/>
      <c r="QD157" s="456"/>
      <c r="QE157" s="456"/>
      <c r="QF157" s="456"/>
      <c r="QG157" s="456"/>
      <c r="QH157" s="456"/>
      <c r="QI157" s="456"/>
      <c r="QJ157" s="456"/>
      <c r="QK157" s="456"/>
      <c r="QL157" s="456"/>
      <c r="QM157" s="456"/>
      <c r="QN157" s="456"/>
      <c r="QO157" s="456"/>
      <c r="QP157" s="456"/>
      <c r="QQ157" s="456"/>
      <c r="QR157" s="456"/>
      <c r="QS157" s="456"/>
      <c r="QT157" s="456"/>
      <c r="QU157" s="456"/>
      <c r="QV157" s="456"/>
      <c r="QW157" s="456"/>
      <c r="QX157" s="456"/>
      <c r="QY157" s="456"/>
      <c r="QZ157" s="456"/>
      <c r="RA157" s="456"/>
      <c r="RB157" s="456"/>
      <c r="RC157" s="456"/>
      <c r="RD157" s="456"/>
      <c r="RE157" s="456"/>
      <c r="RF157" s="456"/>
      <c r="RG157" s="456"/>
      <c r="RH157" s="456"/>
      <c r="RI157" s="456"/>
      <c r="RJ157" s="456"/>
      <c r="RK157" s="456"/>
      <c r="RL157" s="456"/>
      <c r="RM157" s="456"/>
      <c r="RN157" s="456"/>
      <c r="RO157" s="456"/>
      <c r="RP157" s="456"/>
      <c r="RQ157" s="456"/>
      <c r="RR157" s="456"/>
      <c r="RS157" s="456"/>
      <c r="RT157" s="456"/>
      <c r="RU157" s="456"/>
      <c r="RV157" s="456"/>
      <c r="RW157" s="456"/>
      <c r="RX157" s="456"/>
      <c r="RY157" s="456"/>
      <c r="RZ157" s="456"/>
      <c r="SA157" s="456"/>
      <c r="SB157" s="456"/>
      <c r="SC157" s="456"/>
      <c r="SD157" s="456"/>
      <c r="SE157" s="456"/>
      <c r="SF157" s="456"/>
      <c r="SG157" s="456"/>
      <c r="SH157" s="456"/>
      <c r="SI157" s="456"/>
      <c r="SJ157" s="456"/>
      <c r="SK157" s="456"/>
      <c r="SL157" s="456"/>
      <c r="SM157" s="456"/>
      <c r="SN157" s="456"/>
      <c r="SO157" s="456"/>
      <c r="SP157" s="456"/>
      <c r="SQ157" s="456"/>
      <c r="SR157" s="456"/>
      <c r="SS157" s="456"/>
      <c r="ST157" s="456"/>
      <c r="SU157" s="456"/>
      <c r="SV157" s="456"/>
      <c r="SW157" s="456"/>
      <c r="SX157" s="456"/>
      <c r="SY157" s="456"/>
      <c r="SZ157" s="456"/>
      <c r="TA157" s="456"/>
      <c r="TB157" s="456"/>
      <c r="TC157" s="456"/>
      <c r="TD157" s="456"/>
      <c r="TE157" s="456"/>
      <c r="TF157" s="456"/>
      <c r="TG157" s="456"/>
      <c r="TH157" s="456"/>
      <c r="TI157" s="456"/>
      <c r="TJ157" s="456"/>
      <c r="TK157" s="456"/>
      <c r="TL157" s="456"/>
      <c r="TM157" s="456"/>
      <c r="TN157" s="456"/>
      <c r="TO157" s="456"/>
      <c r="TP157" s="456"/>
      <c r="TQ157" s="456"/>
      <c r="TR157" s="456"/>
      <c r="TS157" s="456"/>
      <c r="TT157" s="456"/>
      <c r="TU157" s="456"/>
      <c r="TV157" s="456"/>
      <c r="TW157" s="456"/>
      <c r="TX157" s="456"/>
      <c r="TY157" s="456"/>
      <c r="TZ157" s="456"/>
      <c r="UA157" s="456"/>
      <c r="UB157" s="456"/>
      <c r="UC157" s="456"/>
      <c r="UD157" s="456"/>
      <c r="UE157" s="456"/>
      <c r="UF157" s="456"/>
      <c r="UG157" s="456"/>
      <c r="UH157" s="456"/>
      <c r="UI157" s="456"/>
      <c r="UJ157" s="456"/>
      <c r="UK157" s="456"/>
      <c r="UL157" s="456"/>
      <c r="UM157" s="456"/>
      <c r="UN157" s="456"/>
      <c r="UO157" s="456"/>
      <c r="UP157" s="456"/>
      <c r="UQ157" s="456"/>
      <c r="UR157" s="456"/>
      <c r="US157" s="456"/>
      <c r="UT157" s="456"/>
      <c r="UU157" s="456"/>
      <c r="UV157" s="456"/>
      <c r="UW157" s="456"/>
      <c r="UX157" s="456"/>
      <c r="UY157" s="456"/>
      <c r="UZ157" s="456"/>
      <c r="VA157" s="456"/>
      <c r="VB157" s="456"/>
      <c r="VC157" s="456"/>
      <c r="VD157" s="456"/>
      <c r="VE157" s="456"/>
      <c r="VF157" s="456"/>
      <c r="VG157" s="456"/>
      <c r="VH157" s="456"/>
      <c r="VI157" s="456"/>
      <c r="VJ157" s="456"/>
      <c r="VK157" s="456"/>
      <c r="VL157" s="456"/>
      <c r="VM157" s="456"/>
      <c r="VN157" s="456"/>
      <c r="VO157" s="456"/>
      <c r="VP157" s="456"/>
      <c r="VQ157" s="456"/>
      <c r="VR157" s="456"/>
      <c r="VS157" s="456"/>
      <c r="VT157" s="456"/>
      <c r="VU157" s="456"/>
      <c r="VV157" s="456"/>
      <c r="VW157" s="456"/>
      <c r="VX157" s="456"/>
      <c r="VY157" s="456"/>
      <c r="VZ157" s="456"/>
      <c r="WA157" s="456"/>
      <c r="WB157" s="456"/>
      <c r="WC157" s="456"/>
      <c r="WD157" s="456"/>
      <c r="WE157" s="456"/>
      <c r="WF157" s="456"/>
      <c r="WG157" s="456"/>
      <c r="WH157" s="456"/>
      <c r="WI157" s="456"/>
      <c r="WJ157" s="456"/>
      <c r="WK157" s="456"/>
      <c r="WL157" s="456"/>
      <c r="WM157" s="456"/>
      <c r="WN157" s="456"/>
      <c r="WO157" s="456"/>
      <c r="WP157" s="456"/>
      <c r="WQ157" s="456"/>
      <c r="WR157" s="456"/>
      <c r="WS157" s="456"/>
      <c r="WT157" s="456"/>
      <c r="WU157" s="456"/>
      <c r="WV157" s="456"/>
      <c r="WW157" s="456"/>
      <c r="WX157" s="456"/>
      <c r="WY157" s="456"/>
      <c r="WZ157" s="456"/>
      <c r="XA157" s="456"/>
      <c r="XB157" s="456"/>
      <c r="XC157" s="456"/>
      <c r="XD157" s="456"/>
      <c r="XE157" s="456"/>
      <c r="XF157" s="456"/>
      <c r="XG157" s="456"/>
      <c r="XH157" s="456"/>
      <c r="XI157" s="456"/>
      <c r="XJ157" s="456"/>
      <c r="XK157" s="456"/>
      <c r="XL157" s="456"/>
      <c r="XM157" s="456"/>
      <c r="XN157" s="456"/>
      <c r="XO157" s="456"/>
      <c r="XP157" s="456"/>
      <c r="XQ157" s="456"/>
      <c r="XR157" s="456"/>
      <c r="XS157" s="456"/>
      <c r="XT157" s="456"/>
      <c r="XU157" s="456"/>
      <c r="XV157" s="456"/>
      <c r="XW157" s="456"/>
      <c r="XX157" s="456"/>
      <c r="XY157" s="456"/>
      <c r="XZ157" s="456"/>
      <c r="YA157" s="456"/>
      <c r="YB157" s="456"/>
      <c r="YC157" s="456"/>
      <c r="YD157" s="456"/>
      <c r="YE157" s="456"/>
      <c r="YF157" s="456"/>
      <c r="YG157" s="456"/>
      <c r="YH157" s="456"/>
      <c r="YI157" s="456"/>
      <c r="YJ157" s="456"/>
      <c r="YK157" s="456"/>
      <c r="YL157" s="456"/>
      <c r="YM157" s="456"/>
      <c r="YN157" s="456"/>
      <c r="YO157" s="456"/>
      <c r="YP157" s="456"/>
      <c r="YQ157" s="456"/>
      <c r="YR157" s="456"/>
      <c r="YS157" s="456"/>
      <c r="YT157" s="456"/>
      <c r="YU157" s="456"/>
      <c r="YV157" s="456"/>
      <c r="YW157" s="456"/>
      <c r="YX157" s="456"/>
      <c r="YY157" s="456"/>
      <c r="YZ157" s="456"/>
      <c r="ZA157" s="456"/>
      <c r="ZB157" s="456"/>
      <c r="ZC157" s="456"/>
      <c r="ZD157" s="456"/>
      <c r="ZE157" s="456"/>
      <c r="ZF157" s="456"/>
      <c r="ZG157" s="456"/>
      <c r="ZH157" s="456"/>
      <c r="ZI157" s="456"/>
      <c r="ZJ157" s="456"/>
      <c r="ZK157" s="456"/>
      <c r="ZL157" s="456"/>
      <c r="ZM157" s="456"/>
      <c r="ZN157" s="456"/>
      <c r="ZO157" s="456"/>
      <c r="ZP157" s="456"/>
      <c r="ZQ157" s="456"/>
      <c r="ZR157" s="456"/>
      <c r="ZS157" s="456"/>
      <c r="ZT157" s="456"/>
      <c r="ZU157" s="456"/>
      <c r="ZV157" s="456"/>
      <c r="ZW157" s="456"/>
      <c r="ZX157" s="456"/>
      <c r="ZY157" s="456"/>
      <c r="ZZ157" s="456"/>
      <c r="AAA157" s="456"/>
      <c r="AAB157" s="456"/>
      <c r="AAC157" s="456"/>
      <c r="AAD157" s="456"/>
      <c r="AAE157" s="456"/>
      <c r="AAF157" s="456"/>
      <c r="AAG157" s="456"/>
      <c r="AAH157" s="456"/>
      <c r="AAI157" s="456"/>
      <c r="AAJ157" s="456"/>
      <c r="AAK157" s="456"/>
      <c r="AAL157" s="456"/>
      <c r="AAM157" s="456"/>
      <c r="AAN157" s="456"/>
      <c r="AAO157" s="456"/>
      <c r="AAP157" s="456"/>
      <c r="AAQ157" s="456"/>
      <c r="AAR157" s="456"/>
      <c r="AAS157" s="456"/>
      <c r="AAT157" s="456"/>
      <c r="AAU157" s="456"/>
      <c r="AAV157" s="456"/>
      <c r="AAW157" s="456"/>
      <c r="AAX157" s="456"/>
      <c r="AAY157" s="456"/>
      <c r="AAZ157" s="456"/>
      <c r="ABA157" s="456"/>
      <c r="ABB157" s="456"/>
      <c r="ABC157" s="456"/>
      <c r="ABD157" s="456"/>
      <c r="ABE157" s="456"/>
      <c r="ABF157" s="456"/>
      <c r="ABG157" s="456"/>
      <c r="ABH157" s="456"/>
      <c r="ABI157" s="456"/>
      <c r="ABJ157" s="456"/>
      <c r="ABK157" s="456"/>
      <c r="ABL157" s="456"/>
      <c r="ABM157" s="456"/>
      <c r="ABN157" s="456"/>
      <c r="ABO157" s="456"/>
      <c r="ABP157" s="456"/>
      <c r="ABQ157" s="456"/>
      <c r="ABR157" s="456"/>
      <c r="ABS157" s="456"/>
      <c r="ABT157" s="456"/>
      <c r="ABU157" s="456"/>
      <c r="ABV157" s="456"/>
      <c r="ABW157" s="456"/>
      <c r="ABX157" s="456"/>
      <c r="ABY157" s="456"/>
      <c r="ABZ157" s="456"/>
      <c r="ACA157" s="456"/>
      <c r="ACB157" s="456"/>
      <c r="ACC157" s="456"/>
      <c r="ACD157" s="456"/>
      <c r="ACE157" s="456"/>
      <c r="ACF157" s="456"/>
      <c r="ACG157" s="456"/>
      <c r="ACH157" s="456"/>
      <c r="ACI157" s="456"/>
      <c r="ACJ157" s="456"/>
      <c r="ACK157" s="456"/>
      <c r="ACL157" s="456"/>
      <c r="ACM157" s="456"/>
      <c r="ACN157" s="456"/>
      <c r="ACO157" s="456"/>
      <c r="ACP157" s="456"/>
      <c r="ACQ157" s="456"/>
      <c r="ACR157" s="456"/>
      <c r="ACS157" s="456"/>
      <c r="ACT157" s="456"/>
      <c r="ACU157" s="456"/>
      <c r="ACV157" s="456"/>
      <c r="ACW157" s="456"/>
      <c r="ACX157" s="456"/>
      <c r="ACY157" s="456"/>
      <c r="ACZ157" s="456"/>
      <c r="ADA157" s="456"/>
      <c r="ADB157" s="456"/>
      <c r="ADC157" s="456"/>
      <c r="ADD157" s="456"/>
      <c r="ADE157" s="456"/>
      <c r="ADF157" s="456"/>
      <c r="ADG157" s="456"/>
      <c r="ADH157" s="456"/>
      <c r="ADI157" s="456"/>
      <c r="ADJ157" s="456"/>
      <c r="ADK157" s="456"/>
      <c r="ADL157" s="456"/>
      <c r="ADM157" s="456"/>
      <c r="ADN157" s="456"/>
      <c r="ADO157" s="456"/>
      <c r="ADP157" s="456"/>
      <c r="ADQ157" s="456"/>
      <c r="ADR157" s="456"/>
      <c r="ADS157" s="456"/>
      <c r="ADT157" s="456"/>
      <c r="ADU157" s="456"/>
      <c r="ADV157" s="456"/>
      <c r="ADW157" s="456"/>
      <c r="ADX157" s="456"/>
      <c r="ADY157" s="456"/>
      <c r="ADZ157" s="456"/>
      <c r="AEA157" s="456"/>
      <c r="AEB157" s="456"/>
      <c r="AEC157" s="456"/>
      <c r="AED157" s="456"/>
      <c r="AEE157" s="456"/>
      <c r="AEF157" s="456"/>
      <c r="AEG157" s="456"/>
      <c r="AEH157" s="456"/>
      <c r="AEI157" s="456"/>
      <c r="AEJ157" s="456"/>
      <c r="AEK157" s="456"/>
      <c r="AEL157" s="456"/>
      <c r="AEM157" s="456"/>
      <c r="AEN157" s="456"/>
      <c r="AEO157" s="456"/>
      <c r="AEP157" s="456"/>
      <c r="AEQ157" s="456"/>
      <c r="AER157" s="456"/>
      <c r="AES157" s="456"/>
      <c r="AET157" s="456"/>
      <c r="AEU157" s="456"/>
      <c r="AEV157" s="456"/>
      <c r="AEW157" s="456"/>
      <c r="AEX157" s="456"/>
      <c r="AEY157" s="456"/>
      <c r="AEZ157" s="456"/>
      <c r="AFA157" s="456"/>
      <c r="AFB157" s="456"/>
      <c r="AFC157" s="456"/>
      <c r="AFD157" s="456"/>
      <c r="AFE157" s="456"/>
      <c r="AFF157" s="456"/>
      <c r="AFG157" s="456"/>
      <c r="AFH157" s="456"/>
      <c r="AFI157" s="456"/>
      <c r="AFJ157" s="456"/>
      <c r="AFK157" s="456"/>
      <c r="AFL157" s="456"/>
      <c r="AFM157" s="456"/>
      <c r="AFN157" s="456"/>
      <c r="AFO157" s="456"/>
      <c r="AFP157" s="456"/>
      <c r="AFQ157" s="456"/>
      <c r="AFR157" s="456"/>
      <c r="AFS157" s="456"/>
      <c r="AFT157" s="456"/>
      <c r="AFU157" s="456"/>
      <c r="AFV157" s="456"/>
      <c r="AFW157" s="456"/>
      <c r="AFX157" s="456"/>
      <c r="AFY157" s="456"/>
      <c r="AFZ157" s="456"/>
      <c r="AGA157" s="456"/>
      <c r="AGB157" s="456"/>
      <c r="AGC157" s="456"/>
      <c r="AGD157" s="456"/>
      <c r="AGE157" s="456"/>
      <c r="AGF157" s="456"/>
      <c r="AGG157" s="456"/>
      <c r="AGH157" s="456"/>
      <c r="AGI157" s="456"/>
      <c r="AGJ157" s="456"/>
      <c r="AGK157" s="456"/>
      <c r="AGL157" s="456"/>
      <c r="AGM157" s="456"/>
      <c r="AGN157" s="456"/>
      <c r="AGO157" s="456"/>
      <c r="AGP157" s="456"/>
      <c r="AGQ157" s="456"/>
      <c r="AGR157" s="456"/>
      <c r="AGS157" s="456"/>
      <c r="AGT157" s="456"/>
      <c r="AGU157" s="456"/>
      <c r="AGV157" s="456"/>
      <c r="AGW157" s="456"/>
      <c r="AGX157" s="456"/>
      <c r="AGY157" s="456"/>
      <c r="AGZ157" s="456"/>
      <c r="AHA157" s="456"/>
      <c r="AHB157" s="456"/>
      <c r="AHC157" s="456"/>
      <c r="AHD157" s="456"/>
      <c r="AHE157" s="456"/>
      <c r="AHF157" s="456"/>
      <c r="AHG157" s="456"/>
      <c r="AHH157" s="456"/>
      <c r="AHI157" s="456"/>
      <c r="AHJ157" s="456"/>
      <c r="AHK157" s="456"/>
      <c r="AHL157" s="456"/>
      <c r="AHM157" s="456"/>
      <c r="AHN157" s="456"/>
      <c r="AHO157" s="456"/>
      <c r="AHP157" s="456"/>
      <c r="AHQ157" s="456"/>
      <c r="AHR157" s="456"/>
      <c r="AHS157" s="456"/>
      <c r="AHT157" s="456"/>
      <c r="AHU157" s="456"/>
      <c r="AHV157" s="456"/>
      <c r="AHW157" s="456"/>
      <c r="AHX157" s="456"/>
      <c r="AHY157" s="456"/>
      <c r="AHZ157" s="456"/>
      <c r="AIA157" s="456"/>
      <c r="AIB157" s="456"/>
      <c r="AIC157" s="456"/>
      <c r="AID157" s="456"/>
      <c r="AIE157" s="456"/>
      <c r="AIF157" s="456"/>
      <c r="AIG157" s="456"/>
      <c r="AIH157" s="456"/>
      <c r="AII157" s="456"/>
      <c r="AIJ157" s="456"/>
      <c r="AIK157" s="456"/>
      <c r="AIL157" s="456"/>
      <c r="AIM157" s="456"/>
      <c r="AIN157" s="456"/>
      <c r="AIO157" s="456"/>
      <c r="AIP157" s="456"/>
      <c r="AIQ157" s="456"/>
      <c r="AIR157" s="456"/>
      <c r="AIS157" s="456"/>
      <c r="AIT157" s="456"/>
      <c r="AIU157" s="456"/>
      <c r="AIV157" s="456"/>
      <c r="AIW157" s="456"/>
      <c r="AIX157" s="456"/>
      <c r="AIY157" s="456"/>
      <c r="AIZ157" s="456"/>
      <c r="AJA157" s="456"/>
      <c r="AJB157" s="456"/>
      <c r="AJC157" s="456"/>
      <c r="AJD157" s="456"/>
      <c r="AJE157" s="456"/>
      <c r="AJF157" s="456"/>
      <c r="AJG157" s="456"/>
      <c r="AJH157" s="456"/>
      <c r="AJI157" s="456"/>
      <c r="AJJ157" s="456"/>
      <c r="AJK157" s="456"/>
      <c r="AJL157" s="456"/>
      <c r="AJM157" s="456"/>
      <c r="AJN157" s="456"/>
      <c r="AJO157" s="456"/>
      <c r="AJP157" s="456"/>
      <c r="AJQ157" s="456"/>
      <c r="AJR157" s="456"/>
      <c r="AJS157" s="456"/>
      <c r="AJT157" s="456"/>
      <c r="AJU157" s="456"/>
      <c r="AJV157" s="456"/>
      <c r="AJW157" s="456"/>
      <c r="AJX157" s="456"/>
      <c r="AJY157" s="456"/>
      <c r="AJZ157" s="456"/>
      <c r="AKA157" s="456"/>
      <c r="AKB157" s="456"/>
      <c r="AKC157" s="456"/>
      <c r="AKD157" s="456"/>
      <c r="AKE157" s="456"/>
      <c r="AKF157" s="456"/>
      <c r="AKG157" s="456"/>
      <c r="AKH157" s="456"/>
      <c r="AKI157" s="456"/>
      <c r="AKJ157" s="456"/>
      <c r="AKK157" s="456"/>
      <c r="AKL157" s="456"/>
      <c r="AKM157" s="456"/>
      <c r="AKN157" s="456"/>
      <c r="AKO157" s="456"/>
      <c r="AKP157" s="456"/>
      <c r="AKQ157" s="456"/>
      <c r="AKR157" s="456"/>
      <c r="AKS157" s="456"/>
      <c r="AKT157" s="456"/>
      <c r="AKU157" s="456"/>
      <c r="AKV157" s="456"/>
      <c r="AKW157" s="456"/>
      <c r="AKX157" s="456"/>
      <c r="AKY157" s="456"/>
      <c r="AKZ157" s="456"/>
      <c r="ALA157" s="456"/>
      <c r="ALB157" s="456"/>
      <c r="ALC157" s="456"/>
      <c r="ALD157" s="456"/>
      <c r="ALE157" s="456"/>
      <c r="ALF157" s="456"/>
      <c r="ALG157" s="456"/>
      <c r="ALH157" s="456"/>
      <c r="ALI157" s="456"/>
      <c r="ALJ157" s="456"/>
      <c r="ALK157" s="456"/>
      <c r="ALL157" s="456"/>
      <c r="ALM157" s="456"/>
      <c r="ALN157" s="456"/>
      <c r="ALO157" s="456"/>
      <c r="ALP157" s="456"/>
      <c r="ALQ157" s="456"/>
      <c r="ALR157" s="456"/>
      <c r="ALS157" s="456"/>
      <c r="ALT157" s="456"/>
      <c r="ALU157" s="456"/>
      <c r="ALV157" s="456"/>
      <c r="ALW157" s="456"/>
      <c r="ALX157" s="456"/>
      <c r="ALY157" s="456"/>
      <c r="ALZ157" s="456"/>
      <c r="AMA157" s="456"/>
      <c r="AMB157" s="456"/>
      <c r="AMC157" s="456"/>
      <c r="AMD157" s="456"/>
      <c r="AME157" s="456"/>
      <c r="AMF157" s="456"/>
      <c r="AMG157" s="456"/>
      <c r="AMH157" s="456"/>
      <c r="AMI157" s="456"/>
      <c r="AMJ157" s="456"/>
      <c r="AMK157" s="456"/>
      <c r="AML157" s="456"/>
      <c r="AMM157" s="456"/>
      <c r="AMN157" s="456"/>
      <c r="AMO157" s="456"/>
      <c r="AMP157" s="456"/>
      <c r="AMQ157" s="456"/>
      <c r="AMR157" s="456"/>
      <c r="AMS157" s="456"/>
      <c r="AMT157" s="456"/>
      <c r="AMU157" s="456"/>
      <c r="AMV157" s="456"/>
      <c r="AMW157" s="456"/>
      <c r="AMX157" s="456"/>
      <c r="AMY157" s="456"/>
      <c r="AMZ157" s="456"/>
      <c r="ANA157" s="456"/>
      <c r="ANB157" s="456"/>
      <c r="ANC157" s="456"/>
      <c r="AND157" s="456"/>
      <c r="ANE157" s="456"/>
      <c r="ANF157" s="456"/>
      <c r="ANG157" s="456"/>
      <c r="ANH157" s="456"/>
      <c r="ANI157" s="456"/>
      <c r="ANJ157" s="456"/>
      <c r="ANK157" s="456"/>
      <c r="ANL157" s="456"/>
      <c r="ANM157" s="456"/>
      <c r="ANN157" s="456"/>
      <c r="ANO157" s="456"/>
      <c r="ANP157" s="456"/>
      <c r="ANQ157" s="456"/>
      <c r="ANR157" s="456"/>
      <c r="ANS157" s="456"/>
      <c r="ANT157" s="456"/>
      <c r="ANU157" s="456"/>
      <c r="ANV157" s="456"/>
      <c r="ANW157" s="456"/>
      <c r="ANX157" s="456"/>
      <c r="ANY157" s="456"/>
      <c r="ANZ157" s="456"/>
      <c r="AOA157" s="456"/>
      <c r="AOB157" s="456"/>
      <c r="AOC157" s="456"/>
      <c r="AOD157" s="456"/>
      <c r="AOE157" s="456"/>
      <c r="AOF157" s="456"/>
      <c r="AOG157" s="456"/>
      <c r="AOH157" s="456"/>
      <c r="AOI157" s="456"/>
      <c r="AOJ157" s="456"/>
      <c r="AOK157" s="456"/>
      <c r="AOL157" s="456"/>
      <c r="AOM157" s="456"/>
      <c r="AON157" s="456"/>
      <c r="AOO157" s="456"/>
      <c r="AOP157" s="456"/>
      <c r="AOQ157" s="456"/>
      <c r="AOR157" s="456"/>
      <c r="AOS157" s="456"/>
      <c r="AOT157" s="456"/>
      <c r="AOU157" s="456"/>
      <c r="AOV157" s="456"/>
      <c r="AOW157" s="456"/>
      <c r="AOX157" s="456"/>
      <c r="AOY157" s="456"/>
      <c r="AOZ157" s="456"/>
      <c r="APA157" s="456"/>
      <c r="APB157" s="456"/>
      <c r="APC157" s="456"/>
      <c r="APD157" s="456"/>
      <c r="APE157" s="456"/>
      <c r="APF157" s="456"/>
      <c r="APG157" s="456"/>
      <c r="APH157" s="456"/>
      <c r="API157" s="456"/>
      <c r="APJ157" s="456"/>
      <c r="APK157" s="456"/>
      <c r="APL157" s="456"/>
      <c r="APM157" s="456"/>
      <c r="APN157" s="456"/>
      <c r="APO157" s="456"/>
      <c r="APP157" s="456"/>
      <c r="APQ157" s="456"/>
      <c r="APR157" s="456"/>
      <c r="APS157" s="456"/>
      <c r="APT157" s="456"/>
      <c r="APU157" s="456"/>
      <c r="APV157" s="456"/>
      <c r="APW157" s="456"/>
      <c r="APX157" s="456"/>
      <c r="APY157" s="456"/>
      <c r="APZ157" s="456"/>
      <c r="AQA157" s="456"/>
      <c r="AQB157" s="456"/>
      <c r="AQC157" s="456"/>
      <c r="AQD157" s="456"/>
      <c r="AQE157" s="456"/>
      <c r="AQF157" s="456"/>
      <c r="AQG157" s="456"/>
      <c r="AQH157" s="456"/>
      <c r="AQI157" s="456"/>
      <c r="AQJ157" s="456"/>
      <c r="AQK157" s="456"/>
      <c r="AQL157" s="456"/>
      <c r="AQM157" s="456"/>
      <c r="AQN157" s="456"/>
      <c r="AQO157" s="456"/>
      <c r="AQP157" s="456"/>
      <c r="AQQ157" s="456"/>
      <c r="AQR157" s="456"/>
      <c r="AQS157" s="456"/>
      <c r="AQT157" s="456"/>
      <c r="AQU157" s="456"/>
      <c r="AQV157" s="456"/>
      <c r="AQW157" s="456"/>
      <c r="AQX157" s="456"/>
      <c r="AQY157" s="456"/>
      <c r="AQZ157" s="456"/>
      <c r="ARA157" s="456"/>
      <c r="ARB157" s="456"/>
      <c r="ARC157" s="456"/>
      <c r="ARD157" s="456"/>
      <c r="ARE157" s="456"/>
      <c r="ARF157" s="456"/>
      <c r="ARG157" s="456"/>
      <c r="ARH157" s="456"/>
      <c r="ARI157" s="456"/>
      <c r="ARJ157" s="456"/>
      <c r="ARK157" s="456"/>
      <c r="ARL157" s="456"/>
      <c r="ARM157" s="456"/>
      <c r="ARN157" s="456"/>
      <c r="ARO157" s="456"/>
      <c r="ARP157" s="456"/>
      <c r="ARQ157" s="456"/>
      <c r="ARR157" s="456"/>
      <c r="ARS157" s="456"/>
      <c r="ART157" s="456"/>
      <c r="ARU157" s="456"/>
      <c r="ARV157" s="456"/>
      <c r="ARW157" s="456"/>
      <c r="ARX157" s="456"/>
      <c r="ARY157" s="456"/>
      <c r="ARZ157" s="456"/>
      <c r="ASA157" s="456"/>
      <c r="ASB157" s="456"/>
      <c r="ASC157" s="456"/>
      <c r="ASD157" s="456"/>
      <c r="ASE157" s="456"/>
      <c r="ASF157" s="456"/>
      <c r="ASG157" s="456"/>
      <c r="ASH157" s="456"/>
      <c r="ASI157" s="456"/>
      <c r="ASJ157" s="456"/>
      <c r="ASK157" s="456"/>
      <c r="ASL157" s="456"/>
      <c r="ASM157" s="456"/>
      <c r="ASN157" s="456"/>
      <c r="ASO157" s="456"/>
      <c r="ASP157" s="456"/>
      <c r="ASQ157" s="456"/>
      <c r="ASR157" s="456"/>
      <c r="ASS157" s="456"/>
      <c r="AST157" s="456"/>
      <c r="ASU157" s="456"/>
      <c r="ASV157" s="456"/>
      <c r="ASW157" s="456"/>
      <c r="ASX157" s="456"/>
      <c r="ASY157" s="456"/>
      <c r="ASZ157" s="456"/>
      <c r="ATA157" s="456"/>
      <c r="ATB157" s="456"/>
      <c r="ATC157" s="456"/>
      <c r="ATD157" s="456"/>
      <c r="ATE157" s="456"/>
      <c r="ATF157" s="456"/>
      <c r="ATG157" s="456"/>
      <c r="ATH157" s="456"/>
      <c r="ATI157" s="456"/>
      <c r="ATJ157" s="456"/>
      <c r="ATK157" s="456"/>
      <c r="ATL157" s="456"/>
      <c r="ATM157" s="456"/>
      <c r="ATN157" s="456"/>
      <c r="ATO157" s="456"/>
      <c r="ATP157" s="456"/>
      <c r="ATQ157" s="456"/>
      <c r="ATR157" s="456"/>
      <c r="ATS157" s="456"/>
      <c r="ATT157" s="456"/>
      <c r="ATU157" s="456"/>
      <c r="ATV157" s="456"/>
      <c r="ATW157" s="456"/>
      <c r="ATX157" s="456"/>
      <c r="ATY157" s="456"/>
      <c r="ATZ157" s="456"/>
      <c r="AUA157" s="456"/>
      <c r="AUB157" s="456"/>
      <c r="AUC157" s="456"/>
      <c r="AUD157" s="456"/>
      <c r="AUE157" s="456"/>
      <c r="AUF157" s="456"/>
      <c r="AUG157" s="456"/>
      <c r="AUH157" s="456"/>
      <c r="AUI157" s="456"/>
      <c r="AUJ157" s="456"/>
      <c r="AUK157" s="456"/>
      <c r="AUL157" s="456"/>
      <c r="AUM157" s="456"/>
      <c r="AUN157" s="456"/>
      <c r="AUO157" s="456"/>
      <c r="AUP157" s="456"/>
      <c r="AUQ157" s="456"/>
      <c r="AUR157" s="456"/>
      <c r="AUS157" s="456"/>
      <c r="AUT157" s="456"/>
      <c r="AUU157" s="456"/>
      <c r="AUV157" s="456"/>
      <c r="AUW157" s="456"/>
      <c r="AUX157" s="456"/>
      <c r="AUY157" s="456"/>
      <c r="AUZ157" s="456"/>
      <c r="AVA157" s="456"/>
      <c r="AVB157" s="456"/>
      <c r="AVC157" s="456"/>
      <c r="AVD157" s="456"/>
      <c r="AVE157" s="456"/>
      <c r="AVF157" s="456"/>
      <c r="AVG157" s="456"/>
      <c r="AVH157" s="456"/>
      <c r="AVI157" s="456"/>
      <c r="AVJ157" s="456"/>
      <c r="AVK157" s="456"/>
      <c r="AVL157" s="456"/>
      <c r="AVM157" s="456"/>
      <c r="AVN157" s="456"/>
      <c r="AVO157" s="456"/>
      <c r="AVP157" s="456"/>
      <c r="AVQ157" s="456"/>
      <c r="AVR157" s="456"/>
      <c r="AVS157" s="456"/>
      <c r="AVT157" s="456"/>
      <c r="AVU157" s="456"/>
      <c r="AVV157" s="456"/>
      <c r="AVW157" s="456"/>
      <c r="AVX157" s="456"/>
      <c r="AVY157" s="456"/>
      <c r="AVZ157" s="456"/>
      <c r="AWA157" s="456"/>
      <c r="AWB157" s="456"/>
      <c r="AWC157" s="456"/>
      <c r="AWD157" s="456"/>
      <c r="AWE157" s="456"/>
      <c r="AWF157" s="456"/>
      <c r="AWG157" s="456"/>
      <c r="AWH157" s="456"/>
      <c r="AWI157" s="456"/>
      <c r="AWJ157" s="456"/>
      <c r="AWK157" s="456"/>
      <c r="AWL157" s="456"/>
      <c r="AWM157" s="456"/>
      <c r="AWN157" s="456"/>
      <c r="AWO157" s="456"/>
      <c r="AWP157" s="456"/>
      <c r="AWQ157" s="456"/>
      <c r="AWR157" s="456"/>
      <c r="AWS157" s="456"/>
      <c r="AWT157" s="456"/>
      <c r="AWU157" s="456"/>
      <c r="AWV157" s="456"/>
      <c r="AWW157" s="456"/>
      <c r="AWX157" s="456"/>
      <c r="AWY157" s="456"/>
      <c r="AWZ157" s="456"/>
      <c r="AXA157" s="456"/>
      <c r="AXB157" s="456"/>
      <c r="AXC157" s="456"/>
      <c r="AXD157" s="456"/>
      <c r="AXE157" s="456"/>
      <c r="AXF157" s="456"/>
      <c r="AXG157" s="456"/>
      <c r="AXH157" s="456"/>
      <c r="AXI157" s="456"/>
      <c r="AXJ157" s="456"/>
      <c r="AXK157" s="456"/>
      <c r="AXL157" s="456"/>
      <c r="AXM157" s="456"/>
      <c r="AXN157" s="456"/>
      <c r="AXO157" s="456"/>
      <c r="AXP157" s="456"/>
      <c r="AXQ157" s="456"/>
      <c r="AXR157" s="456"/>
      <c r="AXS157" s="456"/>
      <c r="AXT157" s="456"/>
      <c r="AXU157" s="456"/>
      <c r="AXV157" s="456"/>
      <c r="AXW157" s="456"/>
      <c r="AXX157" s="456"/>
      <c r="AXY157" s="456"/>
      <c r="AXZ157" s="456"/>
      <c r="AYA157" s="456"/>
      <c r="AYB157" s="456"/>
      <c r="AYC157" s="456"/>
      <c r="AYD157" s="456"/>
      <c r="AYE157" s="456"/>
      <c r="AYF157" s="456"/>
      <c r="AYG157" s="456"/>
      <c r="AYH157" s="456"/>
      <c r="AYI157" s="456"/>
      <c r="AYJ157" s="456"/>
      <c r="AYK157" s="456"/>
      <c r="AYL157" s="456"/>
      <c r="AYM157" s="456"/>
      <c r="AYN157" s="456"/>
      <c r="AYO157" s="456"/>
      <c r="AYP157" s="456"/>
      <c r="AYQ157" s="456"/>
      <c r="AYR157" s="456"/>
      <c r="AYS157" s="456"/>
      <c r="AYT157" s="456"/>
      <c r="AYU157" s="456"/>
      <c r="AYV157" s="456"/>
      <c r="AYW157" s="456"/>
      <c r="AYX157" s="456"/>
      <c r="AYY157" s="456"/>
      <c r="AYZ157" s="456"/>
      <c r="AZA157" s="456"/>
      <c r="AZB157" s="456"/>
      <c r="AZC157" s="456"/>
      <c r="AZD157" s="456"/>
      <c r="AZE157" s="456"/>
      <c r="AZF157" s="456"/>
      <c r="AZG157" s="456"/>
      <c r="AZH157" s="456"/>
      <c r="AZI157" s="456"/>
      <c r="AZJ157" s="456"/>
      <c r="AZK157" s="456"/>
      <c r="AZL157" s="456"/>
      <c r="AZM157" s="456"/>
      <c r="AZN157" s="456"/>
      <c r="AZO157" s="456"/>
      <c r="AZP157" s="456"/>
      <c r="AZQ157" s="456"/>
      <c r="AZR157" s="456"/>
      <c r="AZS157" s="456"/>
      <c r="AZT157" s="456"/>
      <c r="AZU157" s="456"/>
      <c r="AZV157" s="456"/>
      <c r="AZW157" s="456"/>
      <c r="AZX157" s="456"/>
      <c r="AZY157" s="456"/>
      <c r="AZZ157" s="456"/>
      <c r="BAA157" s="456"/>
      <c r="BAB157" s="456"/>
      <c r="BAC157" s="456"/>
      <c r="BAD157" s="456"/>
      <c r="BAE157" s="456"/>
      <c r="BAF157" s="456"/>
      <c r="BAG157" s="456"/>
      <c r="BAH157" s="456"/>
      <c r="BAI157" s="456"/>
      <c r="BAJ157" s="456"/>
      <c r="BAK157" s="456"/>
      <c r="BAL157" s="456"/>
      <c r="BAM157" s="456"/>
      <c r="BAN157" s="456"/>
      <c r="BAO157" s="456"/>
      <c r="BAP157" s="456"/>
      <c r="BAQ157" s="456"/>
      <c r="BAR157" s="456"/>
      <c r="BAS157" s="456"/>
      <c r="BAT157" s="456"/>
      <c r="BAU157" s="456"/>
      <c r="BAV157" s="456"/>
      <c r="BAW157" s="456"/>
      <c r="BAX157" s="456"/>
      <c r="BAY157" s="456"/>
      <c r="BAZ157" s="456"/>
      <c r="BBA157" s="456"/>
      <c r="BBB157" s="456"/>
      <c r="BBC157" s="456"/>
      <c r="BBD157" s="456"/>
      <c r="BBE157" s="456"/>
      <c r="BBF157" s="456"/>
      <c r="BBG157" s="456"/>
      <c r="BBH157" s="456"/>
      <c r="BBI157" s="456"/>
      <c r="BBJ157" s="456"/>
      <c r="BBK157" s="456"/>
      <c r="BBL157" s="456"/>
      <c r="BBM157" s="456"/>
      <c r="BBN157" s="456"/>
      <c r="BBO157" s="456"/>
      <c r="BBP157" s="456"/>
      <c r="BBQ157" s="456"/>
      <c r="BBR157" s="456"/>
      <c r="BBS157" s="456"/>
      <c r="BBT157" s="456"/>
      <c r="BBU157" s="456"/>
      <c r="BBV157" s="456"/>
      <c r="BBW157" s="456"/>
      <c r="BBX157" s="456"/>
      <c r="BBY157" s="456"/>
      <c r="BBZ157" s="456"/>
      <c r="BCA157" s="456"/>
      <c r="BCB157" s="456"/>
      <c r="BCC157" s="456"/>
      <c r="BCD157" s="456"/>
      <c r="BCE157" s="456"/>
      <c r="BCF157" s="456"/>
      <c r="BCG157" s="456"/>
      <c r="BCH157" s="456"/>
      <c r="BCI157" s="456"/>
      <c r="BCJ157" s="456"/>
      <c r="BCK157" s="456"/>
      <c r="BCL157" s="456"/>
      <c r="BCM157" s="456"/>
      <c r="BCN157" s="456"/>
      <c r="BCO157" s="456"/>
      <c r="BCP157" s="456"/>
      <c r="BCQ157" s="456"/>
      <c r="BCR157" s="456"/>
      <c r="BCS157" s="456"/>
      <c r="BCT157" s="456"/>
      <c r="BCU157" s="456"/>
      <c r="BCV157" s="456"/>
      <c r="BCW157" s="456"/>
      <c r="BCX157" s="456"/>
      <c r="BCY157" s="456"/>
      <c r="BCZ157" s="456"/>
      <c r="BDA157" s="456"/>
      <c r="BDB157" s="456"/>
      <c r="BDC157" s="456"/>
      <c r="BDD157" s="456"/>
      <c r="BDE157" s="456"/>
      <c r="BDF157" s="456"/>
      <c r="BDG157" s="456"/>
      <c r="BDH157" s="456"/>
      <c r="BDI157" s="456"/>
      <c r="BDJ157" s="456"/>
      <c r="BDK157" s="456"/>
      <c r="BDL157" s="456"/>
      <c r="BDM157" s="456"/>
      <c r="BDN157" s="456"/>
      <c r="BDO157" s="456"/>
      <c r="BDP157" s="456"/>
      <c r="BDQ157" s="456"/>
      <c r="BDR157" s="456"/>
      <c r="BDS157" s="456"/>
      <c r="BDT157" s="456"/>
      <c r="BDU157" s="456"/>
      <c r="BDV157" s="456"/>
      <c r="BDW157" s="456"/>
      <c r="BDX157" s="456"/>
      <c r="BDY157" s="456"/>
      <c r="BDZ157" s="456"/>
      <c r="BEA157" s="456"/>
      <c r="BEB157" s="456"/>
      <c r="BEC157" s="456"/>
      <c r="BED157" s="456"/>
      <c r="BEE157" s="456"/>
      <c r="BEF157" s="456"/>
      <c r="BEG157" s="456"/>
      <c r="BEH157" s="456"/>
      <c r="BEI157" s="456"/>
      <c r="BEJ157" s="456"/>
      <c r="BEK157" s="456"/>
      <c r="BEL157" s="456"/>
      <c r="BEM157" s="456"/>
      <c r="BEN157" s="456"/>
      <c r="BEO157" s="456"/>
      <c r="BEP157" s="456"/>
      <c r="BEQ157" s="456"/>
      <c r="BER157" s="456"/>
      <c r="BES157" s="456"/>
      <c r="BET157" s="456"/>
      <c r="BEU157" s="456"/>
      <c r="BEV157" s="456"/>
      <c r="BEW157" s="456"/>
      <c r="BEX157" s="456"/>
      <c r="BEY157" s="456"/>
      <c r="BEZ157" s="456"/>
      <c r="BFA157" s="456"/>
      <c r="BFB157" s="456"/>
      <c r="BFC157" s="456"/>
      <c r="BFD157" s="456"/>
      <c r="BFE157" s="456"/>
      <c r="BFF157" s="456"/>
      <c r="BFG157" s="456"/>
      <c r="BFH157" s="456"/>
      <c r="BFI157" s="456"/>
      <c r="BFJ157" s="456"/>
      <c r="BFK157" s="456"/>
      <c r="BFL157" s="456"/>
      <c r="BFM157" s="456"/>
      <c r="BFN157" s="456"/>
      <c r="BFO157" s="456"/>
      <c r="BFP157" s="456"/>
      <c r="BFQ157" s="456"/>
      <c r="BFR157" s="456"/>
      <c r="BFS157" s="456"/>
      <c r="BFT157" s="456"/>
      <c r="BFU157" s="456"/>
      <c r="BFV157" s="456"/>
      <c r="BFW157" s="456"/>
      <c r="BFX157" s="456"/>
      <c r="BFY157" s="456"/>
      <c r="BFZ157" s="456"/>
      <c r="BGA157" s="456"/>
      <c r="BGB157" s="456"/>
      <c r="BGC157" s="456"/>
      <c r="BGD157" s="456"/>
      <c r="BGE157" s="456"/>
      <c r="BGF157" s="456"/>
      <c r="BGG157" s="456"/>
      <c r="BGH157" s="456"/>
      <c r="BGI157" s="456"/>
      <c r="BGJ157" s="456"/>
      <c r="BGK157" s="456"/>
      <c r="BGL157" s="456"/>
      <c r="BGM157" s="456"/>
      <c r="BGN157" s="456"/>
      <c r="BGO157" s="456"/>
      <c r="BGP157" s="456"/>
      <c r="BGQ157" s="456"/>
      <c r="BGR157" s="456"/>
      <c r="BGS157" s="456"/>
      <c r="BGT157" s="456"/>
      <c r="BGU157" s="456"/>
      <c r="BGV157" s="456"/>
      <c r="BGW157" s="456"/>
      <c r="BGX157" s="456"/>
      <c r="BGY157" s="456"/>
      <c r="BGZ157" s="456"/>
      <c r="BHA157" s="456"/>
      <c r="BHB157" s="456"/>
      <c r="BHC157" s="456"/>
      <c r="BHD157" s="456"/>
      <c r="BHE157" s="456"/>
      <c r="BHF157" s="456"/>
      <c r="BHG157" s="456"/>
      <c r="BHH157" s="456"/>
      <c r="BHI157" s="456"/>
      <c r="BHJ157" s="456"/>
      <c r="BHK157" s="456"/>
      <c r="BHL157" s="456"/>
      <c r="BHM157" s="456"/>
      <c r="BHN157" s="456"/>
      <c r="BHO157" s="456"/>
      <c r="BHP157" s="456"/>
      <c r="BHQ157" s="456"/>
      <c r="BHR157" s="456"/>
      <c r="BHS157" s="456"/>
      <c r="BHT157" s="456"/>
      <c r="BHU157" s="456"/>
      <c r="BHV157" s="456"/>
      <c r="BHW157" s="456"/>
      <c r="BHX157" s="456"/>
      <c r="BHY157" s="456"/>
      <c r="BHZ157" s="456"/>
      <c r="BIA157" s="456"/>
      <c r="BIB157" s="456"/>
      <c r="BIC157" s="456"/>
      <c r="BID157" s="456"/>
      <c r="BIE157" s="456"/>
      <c r="BIF157" s="456"/>
      <c r="BIG157" s="456"/>
      <c r="BIH157" s="456"/>
      <c r="BII157" s="456"/>
      <c r="BIJ157" s="456"/>
      <c r="BIK157" s="456"/>
      <c r="BIL157" s="456"/>
      <c r="BIM157" s="456"/>
      <c r="BIN157" s="456"/>
      <c r="BIO157" s="456"/>
      <c r="BIP157" s="456"/>
      <c r="BIQ157" s="456"/>
      <c r="BIR157" s="456"/>
      <c r="BIS157" s="456"/>
      <c r="BIT157" s="456"/>
      <c r="BIU157" s="456"/>
      <c r="BIV157" s="456"/>
      <c r="BIW157" s="456"/>
      <c r="BIX157" s="456"/>
      <c r="BIY157" s="456"/>
      <c r="BIZ157" s="456"/>
      <c r="BJA157" s="456"/>
      <c r="BJB157" s="456"/>
      <c r="BJC157" s="456"/>
      <c r="BJD157" s="456"/>
      <c r="BJE157" s="456"/>
      <c r="BJF157" s="456"/>
      <c r="BJG157" s="456"/>
      <c r="BJH157" s="456"/>
      <c r="BJI157" s="456"/>
      <c r="BJJ157" s="456"/>
      <c r="BJK157" s="456"/>
      <c r="BJL157" s="456"/>
      <c r="BJM157" s="456"/>
      <c r="BJN157" s="456"/>
      <c r="BJO157" s="456"/>
      <c r="BJP157" s="456"/>
      <c r="BJQ157" s="456"/>
      <c r="BJR157" s="456"/>
      <c r="BJS157" s="456"/>
      <c r="BJT157" s="456"/>
      <c r="BJU157" s="456"/>
      <c r="BJV157" s="456"/>
      <c r="BJW157" s="456"/>
      <c r="BJX157" s="456"/>
      <c r="BJY157" s="456"/>
      <c r="BJZ157" s="456"/>
      <c r="BKA157" s="456"/>
      <c r="BKB157" s="456"/>
      <c r="BKC157" s="456"/>
      <c r="BKD157" s="456"/>
      <c r="BKE157" s="456"/>
      <c r="BKF157" s="456"/>
      <c r="BKG157" s="456"/>
      <c r="BKH157" s="456"/>
      <c r="BKI157" s="456"/>
      <c r="BKJ157" s="456"/>
      <c r="BKK157" s="456"/>
      <c r="BKL157" s="456"/>
      <c r="BKM157" s="456"/>
      <c r="BKN157" s="456"/>
      <c r="BKO157" s="456"/>
      <c r="BKP157" s="456"/>
      <c r="BKQ157" s="456"/>
      <c r="BKR157" s="456"/>
      <c r="BKS157" s="456"/>
      <c r="BKT157" s="456"/>
      <c r="BKU157" s="456"/>
      <c r="BKV157" s="456"/>
      <c r="BKW157" s="456"/>
      <c r="BKX157" s="456"/>
      <c r="BKY157" s="456"/>
      <c r="BKZ157" s="456"/>
      <c r="BLA157" s="456"/>
      <c r="BLB157" s="456"/>
      <c r="BLC157" s="456"/>
      <c r="BLD157" s="456"/>
      <c r="BLE157" s="456"/>
      <c r="BLF157" s="456"/>
      <c r="BLG157" s="456"/>
      <c r="BLH157" s="456"/>
      <c r="BLI157" s="456"/>
      <c r="BLJ157" s="456"/>
      <c r="BLK157" s="456"/>
      <c r="BLL157" s="456"/>
      <c r="BLM157" s="456"/>
      <c r="BLN157" s="456"/>
      <c r="BLO157" s="456"/>
      <c r="BLP157" s="456"/>
      <c r="BLQ157" s="456"/>
      <c r="BLR157" s="456"/>
      <c r="BLS157" s="456"/>
      <c r="BLT157" s="456"/>
      <c r="BLU157" s="456"/>
      <c r="BLV157" s="456"/>
      <c r="BLW157" s="456"/>
      <c r="BLX157" s="456"/>
      <c r="BLY157" s="456"/>
      <c r="BLZ157" s="456"/>
      <c r="BMA157" s="456"/>
      <c r="BMB157" s="456"/>
      <c r="BMC157" s="456"/>
      <c r="BMD157" s="456"/>
      <c r="BME157" s="456"/>
      <c r="BMF157" s="456"/>
      <c r="BMG157" s="456"/>
      <c r="BMH157" s="456"/>
      <c r="BMI157" s="456"/>
      <c r="BMJ157" s="456"/>
      <c r="BMK157" s="456"/>
      <c r="BML157" s="456"/>
      <c r="BMM157" s="456"/>
      <c r="BMN157" s="456"/>
      <c r="BMO157" s="456"/>
      <c r="BMP157" s="456"/>
      <c r="BMQ157" s="456"/>
      <c r="BMR157" s="456"/>
      <c r="BMS157" s="456"/>
      <c r="BMT157" s="456"/>
      <c r="BMU157" s="456"/>
      <c r="BMV157" s="456"/>
      <c r="BMW157" s="456"/>
      <c r="BMX157" s="456"/>
      <c r="BMY157" s="456"/>
      <c r="BMZ157" s="456"/>
      <c r="BNA157" s="456"/>
      <c r="BNB157" s="456"/>
      <c r="BNC157" s="456"/>
      <c r="BND157" s="456"/>
      <c r="BNE157" s="456"/>
      <c r="BNF157" s="456"/>
      <c r="BNG157" s="456"/>
      <c r="BNH157" s="456"/>
      <c r="BNI157" s="456"/>
      <c r="BNJ157" s="456"/>
      <c r="BNK157" s="456"/>
      <c r="BNL157" s="456"/>
      <c r="BNM157" s="456"/>
      <c r="BNN157" s="456"/>
      <c r="BNO157" s="456"/>
      <c r="BNP157" s="456"/>
      <c r="BNQ157" s="456"/>
      <c r="BNR157" s="456"/>
      <c r="BNS157" s="456"/>
      <c r="BNT157" s="456"/>
      <c r="BNU157" s="456"/>
      <c r="BNV157" s="456"/>
      <c r="BNW157" s="456"/>
      <c r="BNX157" s="456"/>
      <c r="BNY157" s="456"/>
      <c r="BNZ157" s="456"/>
      <c r="BOA157" s="456"/>
      <c r="BOB157" s="456"/>
      <c r="BOC157" s="456"/>
      <c r="BOD157" s="456"/>
      <c r="BOE157" s="456"/>
      <c r="BOF157" s="456"/>
      <c r="BOG157" s="456"/>
      <c r="BOH157" s="456"/>
      <c r="BOI157" s="456"/>
      <c r="BOJ157" s="456"/>
      <c r="BOK157" s="456"/>
      <c r="BOL157" s="456"/>
      <c r="BOM157" s="456"/>
      <c r="BON157" s="456"/>
      <c r="BOO157" s="456"/>
      <c r="BOP157" s="456"/>
      <c r="BOQ157" s="456"/>
      <c r="BOR157" s="456"/>
      <c r="BOS157" s="456"/>
      <c r="BOT157" s="456"/>
      <c r="BOU157" s="456"/>
      <c r="BOV157" s="456"/>
      <c r="BOW157" s="456"/>
      <c r="BOX157" s="456"/>
      <c r="BOY157" s="456"/>
      <c r="BOZ157" s="456"/>
      <c r="BPA157" s="456"/>
      <c r="BPB157" s="456"/>
      <c r="BPC157" s="456"/>
      <c r="BPD157" s="456"/>
      <c r="BPE157" s="456"/>
      <c r="BPF157" s="456"/>
      <c r="BPG157" s="456"/>
      <c r="BPH157" s="456"/>
      <c r="BPI157" s="456"/>
      <c r="BPJ157" s="456"/>
      <c r="BPK157" s="456"/>
      <c r="BPL157" s="456"/>
      <c r="BPM157" s="456"/>
      <c r="BPN157" s="456"/>
      <c r="BPO157" s="456"/>
      <c r="BPP157" s="456"/>
      <c r="BPQ157" s="456"/>
      <c r="BPR157" s="456"/>
      <c r="BPS157" s="456"/>
      <c r="BPT157" s="456"/>
      <c r="BPU157" s="456"/>
      <c r="BPV157" s="456"/>
      <c r="BPW157" s="456"/>
      <c r="BPX157" s="456"/>
      <c r="BPY157" s="456"/>
      <c r="BPZ157" s="456"/>
      <c r="BQA157" s="456"/>
      <c r="BQB157" s="456"/>
      <c r="BQC157" s="456"/>
      <c r="BQD157" s="456"/>
      <c r="BQE157" s="456"/>
      <c r="BQF157" s="456"/>
      <c r="BQG157" s="456"/>
      <c r="BQH157" s="456"/>
      <c r="BQI157" s="456"/>
      <c r="BQJ157" s="456"/>
      <c r="BQK157" s="456"/>
      <c r="BQL157" s="456"/>
      <c r="BQM157" s="456"/>
      <c r="BQN157" s="456"/>
      <c r="BQO157" s="456"/>
      <c r="BQP157" s="456"/>
      <c r="BQQ157" s="456"/>
      <c r="BQR157" s="456"/>
      <c r="BQS157" s="456"/>
      <c r="BQT157" s="456"/>
      <c r="BQU157" s="456"/>
      <c r="BQV157" s="456"/>
      <c r="BQW157" s="456"/>
      <c r="BQX157" s="456"/>
      <c r="BQY157" s="456"/>
      <c r="BQZ157" s="456"/>
      <c r="BRA157" s="456"/>
      <c r="BRB157" s="456"/>
      <c r="BRC157" s="456"/>
      <c r="BRD157" s="456"/>
      <c r="BRE157" s="456"/>
      <c r="BRF157" s="456"/>
      <c r="BRG157" s="456"/>
      <c r="BRH157" s="456"/>
      <c r="BRI157" s="456"/>
      <c r="BRJ157" s="456"/>
      <c r="BRK157" s="456"/>
      <c r="BRL157" s="456"/>
      <c r="BRM157" s="456"/>
      <c r="BRN157" s="456"/>
      <c r="BRO157" s="456"/>
      <c r="BRP157" s="456"/>
      <c r="BRQ157" s="456"/>
      <c r="BRR157" s="456"/>
      <c r="BRS157" s="456"/>
      <c r="BRT157" s="456"/>
      <c r="BRU157" s="456"/>
      <c r="BRV157" s="456"/>
      <c r="BRW157" s="456"/>
      <c r="BRX157" s="456"/>
      <c r="BRY157" s="456"/>
      <c r="BRZ157" s="456"/>
      <c r="BSA157" s="456"/>
      <c r="BSB157" s="456"/>
      <c r="BSC157" s="456"/>
      <c r="BSD157" s="456"/>
      <c r="BSE157" s="456"/>
      <c r="BSF157" s="456"/>
      <c r="BSG157" s="456"/>
      <c r="BSH157" s="456"/>
      <c r="BSI157" s="456"/>
      <c r="BSJ157" s="456"/>
      <c r="BSK157" s="456"/>
      <c r="BSL157" s="456"/>
      <c r="BSM157" s="456"/>
      <c r="BSN157" s="456"/>
      <c r="BSO157" s="456"/>
      <c r="BSP157" s="456"/>
      <c r="BSQ157" s="456"/>
      <c r="BSR157" s="456"/>
      <c r="BSS157" s="456"/>
      <c r="BST157" s="456"/>
      <c r="BSU157" s="456"/>
      <c r="BSV157" s="456"/>
      <c r="BSW157" s="456"/>
      <c r="BSX157" s="456"/>
      <c r="BSY157" s="456"/>
      <c r="BSZ157" s="456"/>
      <c r="BTA157" s="456"/>
      <c r="BTB157" s="456"/>
      <c r="BTC157" s="456"/>
      <c r="BTD157" s="456"/>
      <c r="BTE157" s="456"/>
      <c r="BTF157" s="456"/>
      <c r="BTG157" s="456"/>
      <c r="BTH157" s="456"/>
      <c r="BTI157" s="456"/>
      <c r="BTJ157" s="456"/>
      <c r="BTK157" s="456"/>
      <c r="BTL157" s="456"/>
      <c r="BTM157" s="456"/>
      <c r="BTN157" s="456"/>
      <c r="BTO157" s="456"/>
      <c r="BTP157" s="456"/>
      <c r="BTQ157" s="456"/>
      <c r="BTR157" s="456"/>
      <c r="BTS157" s="456"/>
      <c r="BTT157" s="456"/>
      <c r="BTU157" s="456"/>
      <c r="BTV157" s="456"/>
      <c r="BTW157" s="456"/>
      <c r="BTX157" s="456"/>
      <c r="BTY157" s="456"/>
      <c r="BTZ157" s="456"/>
      <c r="BUA157" s="456"/>
      <c r="BUB157" s="456"/>
      <c r="BUC157" s="456"/>
      <c r="BUD157" s="456"/>
      <c r="BUE157" s="456"/>
      <c r="BUF157" s="456"/>
      <c r="BUG157" s="456"/>
      <c r="BUH157" s="456"/>
      <c r="BUI157" s="456"/>
      <c r="BUJ157" s="456"/>
      <c r="BUK157" s="456"/>
      <c r="BUL157" s="456"/>
      <c r="BUM157" s="456"/>
      <c r="BUN157" s="456"/>
      <c r="BUO157" s="456"/>
      <c r="BUP157" s="456"/>
      <c r="BUQ157" s="456"/>
      <c r="BUR157" s="456"/>
      <c r="BUS157" s="456"/>
      <c r="BUT157" s="456"/>
      <c r="BUU157" s="456"/>
      <c r="BUV157" s="456"/>
      <c r="BUW157" s="456"/>
      <c r="BUX157" s="456"/>
      <c r="BUY157" s="456"/>
      <c r="BUZ157" s="456"/>
      <c r="BVA157" s="456"/>
      <c r="BVB157" s="456"/>
      <c r="BVC157" s="456"/>
      <c r="BVD157" s="456"/>
      <c r="BVE157" s="456"/>
      <c r="BVF157" s="456"/>
      <c r="BVG157" s="456"/>
      <c r="BVH157" s="456"/>
      <c r="BVI157" s="456"/>
      <c r="BVJ157" s="456"/>
      <c r="BVK157" s="456"/>
      <c r="BVL157" s="456"/>
      <c r="BVM157" s="456"/>
      <c r="BVN157" s="456"/>
      <c r="BVO157" s="456"/>
      <c r="BVP157" s="456"/>
      <c r="BVQ157" s="456"/>
      <c r="BVR157" s="456"/>
      <c r="BVS157" s="456"/>
      <c r="BVT157" s="456"/>
      <c r="BVU157" s="456"/>
      <c r="BVV157" s="456"/>
      <c r="BVW157" s="456"/>
      <c r="BVX157" s="456"/>
      <c r="BVY157" s="456"/>
      <c r="BVZ157" s="456"/>
      <c r="BWA157" s="456"/>
      <c r="BWB157" s="456"/>
      <c r="BWC157" s="456"/>
      <c r="BWD157" s="456"/>
      <c r="BWE157" s="456"/>
      <c r="BWF157" s="456"/>
      <c r="BWG157" s="456"/>
      <c r="BWH157" s="456"/>
      <c r="BWI157" s="456"/>
      <c r="BWJ157" s="456"/>
      <c r="BWK157" s="456"/>
      <c r="BWL157" s="456"/>
      <c r="BWM157" s="456"/>
      <c r="BWN157" s="456"/>
      <c r="BWO157" s="456"/>
      <c r="BWP157" s="456"/>
      <c r="BWQ157" s="456"/>
      <c r="BWR157" s="456"/>
      <c r="BWS157" s="456"/>
      <c r="BWT157" s="456"/>
      <c r="BWU157" s="456"/>
      <c r="BWV157" s="456"/>
      <c r="BWW157" s="456"/>
      <c r="BWX157" s="456"/>
      <c r="BWY157" s="456"/>
      <c r="BWZ157" s="456"/>
      <c r="BXA157" s="456"/>
      <c r="BXB157" s="456"/>
      <c r="BXC157" s="456"/>
      <c r="BXD157" s="456"/>
      <c r="BXE157" s="456"/>
      <c r="BXF157" s="456"/>
      <c r="BXG157" s="456"/>
      <c r="BXH157" s="456"/>
      <c r="BXI157" s="456"/>
      <c r="BXJ157" s="456"/>
      <c r="BXK157" s="456"/>
      <c r="BXL157" s="456"/>
      <c r="BXM157" s="456"/>
      <c r="BXN157" s="456"/>
      <c r="BXO157" s="456"/>
      <c r="BXP157" s="456"/>
      <c r="BXQ157" s="456"/>
      <c r="BXR157" s="456"/>
      <c r="BXS157" s="456"/>
      <c r="BXT157" s="456"/>
      <c r="BXU157" s="456"/>
      <c r="BXV157" s="456"/>
      <c r="BXW157" s="456"/>
      <c r="BXX157" s="456"/>
      <c r="BXY157" s="456"/>
      <c r="BXZ157" s="456"/>
    </row>
    <row r="158" s="25" customFormat="1" spans="1:1024 1025:2002">
      <c r="A158" s="473" t="s">
        <v>34</v>
      </c>
      <c r="B158" s="19">
        <v>1130</v>
      </c>
      <c r="C158" s="183">
        <v>46205</v>
      </c>
      <c r="D158" s="17" t="s">
        <v>52</v>
      </c>
      <c r="E158" s="17" t="s">
        <v>104</v>
      </c>
      <c r="F158" s="17" t="s">
        <v>54</v>
      </c>
      <c r="G158" s="17"/>
      <c r="H158" s="19">
        <v>1.2316</v>
      </c>
      <c r="I158" s="19" t="s">
        <v>114</v>
      </c>
      <c r="J158" s="17" t="s">
        <v>49</v>
      </c>
      <c r="K158" s="489">
        <v>1050</v>
      </c>
      <c r="L158" s="489">
        <v>36</v>
      </c>
      <c r="M158" s="489">
        <v>2200</v>
      </c>
      <c r="N158" s="19" t="s">
        <v>66</v>
      </c>
      <c r="O158" s="19" t="s">
        <v>67</v>
      </c>
      <c r="P158" s="490">
        <v>593.46</v>
      </c>
      <c r="Q158" s="19">
        <v>605</v>
      </c>
      <c r="R158" s="99">
        <f t="shared" si="9"/>
        <v>-11.5400000000001</v>
      </c>
      <c r="S158" s="19">
        <f t="shared" si="11"/>
        <v>2870</v>
      </c>
      <c r="T158" s="19" t="s">
        <v>42</v>
      </c>
      <c r="U158" s="102" t="s">
        <v>115</v>
      </c>
      <c r="V158" s="186">
        <v>46208</v>
      </c>
      <c r="W158" s="17" t="s">
        <v>44</v>
      </c>
      <c r="X158" s="17"/>
      <c r="Y158" s="68">
        <v>46235</v>
      </c>
      <c r="Z158" s="17" t="s">
        <v>45</v>
      </c>
      <c r="AA158" s="17" t="s">
        <v>46</v>
      </c>
      <c r="AB158" s="17" t="s">
        <v>116</v>
      </c>
      <c r="AC158" s="217">
        <v>46241</v>
      </c>
      <c r="AD158" s="65">
        <v>1848</v>
      </c>
      <c r="AE158" s="17" t="s">
        <v>48</v>
      </c>
      <c r="AF158" s="17" t="s">
        <v>61</v>
      </c>
      <c r="AG158" s="17"/>
      <c r="AH158" s="456"/>
      <c r="AI158" s="456"/>
      <c r="AJ158" s="456"/>
      <c r="AK158" s="456"/>
      <c r="AL158" s="456"/>
      <c r="AM158" s="456"/>
      <c r="AN158" s="456"/>
      <c r="AO158" s="456"/>
      <c r="AP158" s="456"/>
      <c r="AQ158" s="456"/>
      <c r="AR158" s="456"/>
      <c r="AS158" s="456"/>
      <c r="AT158" s="456"/>
      <c r="AU158" s="456"/>
      <c r="AV158" s="456"/>
      <c r="AW158" s="456"/>
      <c r="AX158" s="456"/>
      <c r="AY158" s="456"/>
      <c r="AZ158" s="456"/>
      <c r="BA158" s="456"/>
      <c r="BB158" s="456"/>
      <c r="BC158" s="456"/>
      <c r="BD158" s="456"/>
      <c r="BE158" s="456"/>
      <c r="BF158" s="456"/>
      <c r="BG158" s="456"/>
      <c r="BH158" s="456"/>
      <c r="BI158" s="456"/>
      <c r="BJ158" s="456"/>
      <c r="BK158" s="456"/>
      <c r="BL158" s="456"/>
      <c r="BM158" s="456"/>
      <c r="BN158" s="456"/>
      <c r="BO158" s="456"/>
      <c r="BP158" s="456"/>
      <c r="BQ158" s="456"/>
      <c r="BR158" s="456"/>
      <c r="BS158" s="456"/>
      <c r="BT158" s="456"/>
      <c r="BU158" s="456"/>
      <c r="BV158" s="456"/>
      <c r="BW158" s="456"/>
      <c r="BX158" s="456"/>
      <c r="BY158" s="456"/>
      <c r="BZ158" s="456"/>
      <c r="CA158" s="456"/>
      <c r="CB158" s="456"/>
      <c r="CC158" s="456"/>
      <c r="CD158" s="456"/>
      <c r="CE158" s="456"/>
      <c r="CF158" s="456"/>
      <c r="CG158" s="456"/>
      <c r="CH158" s="456"/>
      <c r="CI158" s="456"/>
      <c r="CJ158" s="456"/>
      <c r="CK158" s="456"/>
      <c r="CL158" s="456"/>
      <c r="CM158" s="456"/>
      <c r="CN158" s="456"/>
      <c r="CO158" s="456"/>
      <c r="CP158" s="456"/>
      <c r="CQ158" s="456"/>
      <c r="CR158" s="456"/>
      <c r="CS158" s="456"/>
      <c r="CT158" s="456"/>
      <c r="CU158" s="456"/>
      <c r="CV158" s="456"/>
      <c r="CW158" s="456"/>
      <c r="CX158" s="456"/>
      <c r="CY158" s="456"/>
      <c r="CZ158" s="456"/>
      <c r="DA158" s="456"/>
      <c r="DB158" s="456"/>
      <c r="DC158" s="456"/>
      <c r="DD158" s="456"/>
      <c r="DE158" s="456"/>
      <c r="DF158" s="456"/>
      <c r="DG158" s="456"/>
      <c r="DH158" s="456"/>
      <c r="DI158" s="456"/>
      <c r="DJ158" s="456"/>
      <c r="DK158" s="456"/>
      <c r="DL158" s="456"/>
      <c r="DM158" s="456"/>
      <c r="DN158" s="456"/>
      <c r="DO158" s="456"/>
      <c r="DP158" s="456"/>
      <c r="DQ158" s="456"/>
      <c r="DR158" s="456"/>
      <c r="DS158" s="456"/>
      <c r="DT158" s="456"/>
      <c r="DU158" s="456"/>
      <c r="DV158" s="456"/>
      <c r="DW158" s="456"/>
      <c r="DX158" s="456"/>
      <c r="DY158" s="456"/>
      <c r="DZ158" s="456"/>
      <c r="EA158" s="456"/>
      <c r="EB158" s="456"/>
      <c r="EC158" s="456"/>
      <c r="ED158" s="456"/>
      <c r="EE158" s="456"/>
      <c r="EF158" s="456"/>
      <c r="EG158" s="456"/>
      <c r="EH158" s="456"/>
      <c r="EI158" s="456"/>
      <c r="EJ158" s="456"/>
      <c r="EK158" s="456"/>
      <c r="EL158" s="456"/>
      <c r="EM158" s="456"/>
      <c r="EN158" s="456"/>
      <c r="EO158" s="456"/>
      <c r="EP158" s="456"/>
      <c r="EQ158" s="456"/>
      <c r="ER158" s="456"/>
      <c r="ES158" s="456"/>
      <c r="ET158" s="456"/>
      <c r="EU158" s="456"/>
      <c r="EV158" s="456"/>
      <c r="EW158" s="456"/>
      <c r="EX158" s="456"/>
      <c r="EY158" s="456"/>
      <c r="EZ158" s="456"/>
      <c r="FA158" s="456"/>
      <c r="FB158" s="456"/>
      <c r="FC158" s="456"/>
      <c r="FD158" s="456"/>
      <c r="FE158" s="456"/>
      <c r="FF158" s="456"/>
      <c r="FG158" s="456"/>
      <c r="FH158" s="456"/>
      <c r="FI158" s="456"/>
      <c r="FJ158" s="456"/>
      <c r="FK158" s="456"/>
      <c r="FL158" s="456"/>
      <c r="FM158" s="456"/>
      <c r="FN158" s="456"/>
      <c r="FO158" s="456"/>
      <c r="FP158" s="456"/>
      <c r="FQ158" s="456"/>
      <c r="FR158" s="456"/>
      <c r="FS158" s="456"/>
      <c r="FT158" s="456"/>
      <c r="FU158" s="456"/>
      <c r="FV158" s="456"/>
      <c r="FW158" s="456"/>
      <c r="FX158" s="456"/>
      <c r="FY158" s="456"/>
      <c r="FZ158" s="456"/>
      <c r="GA158" s="456"/>
      <c r="GB158" s="456"/>
      <c r="GC158" s="456"/>
      <c r="GD158" s="456"/>
      <c r="GE158" s="456"/>
      <c r="GF158" s="456"/>
      <c r="GG158" s="456"/>
      <c r="GH158" s="456"/>
      <c r="GI158" s="456"/>
      <c r="GJ158" s="456"/>
      <c r="GK158" s="456"/>
      <c r="GL158" s="456"/>
      <c r="GM158" s="456"/>
      <c r="GN158" s="456"/>
      <c r="GO158" s="456"/>
      <c r="GP158" s="456"/>
      <c r="GQ158" s="456"/>
      <c r="GR158" s="456"/>
      <c r="GS158" s="456"/>
      <c r="GT158" s="456"/>
      <c r="GU158" s="456"/>
      <c r="GV158" s="456"/>
      <c r="GW158" s="456"/>
      <c r="GX158" s="456"/>
      <c r="GY158" s="456"/>
      <c r="GZ158" s="456"/>
      <c r="HA158" s="456"/>
      <c r="HB158" s="456"/>
      <c r="HC158" s="456"/>
      <c r="HD158" s="456"/>
      <c r="HE158" s="456"/>
      <c r="HF158" s="456"/>
      <c r="HG158" s="456"/>
      <c r="HH158" s="456"/>
      <c r="HI158" s="456"/>
      <c r="HJ158" s="456"/>
      <c r="HK158" s="456"/>
      <c r="HL158" s="456"/>
      <c r="HM158" s="456"/>
      <c r="HN158" s="456"/>
      <c r="HO158" s="456"/>
      <c r="HP158" s="456"/>
      <c r="HQ158" s="456"/>
      <c r="HR158" s="456"/>
      <c r="HS158" s="456"/>
      <c r="HT158" s="456"/>
      <c r="HU158" s="456"/>
      <c r="HV158" s="456"/>
      <c r="HW158" s="456"/>
      <c r="HX158" s="456"/>
      <c r="HY158" s="456"/>
      <c r="HZ158" s="456"/>
      <c r="IA158" s="456"/>
      <c r="IB158" s="456"/>
      <c r="IC158" s="456"/>
      <c r="ID158" s="456"/>
      <c r="IE158" s="456"/>
      <c r="IF158" s="456"/>
      <c r="IG158" s="456"/>
      <c r="IH158" s="456"/>
      <c r="II158" s="456"/>
      <c r="IJ158" s="456"/>
      <c r="IK158" s="456"/>
      <c r="IL158" s="456"/>
      <c r="IM158" s="456"/>
      <c r="IN158" s="456"/>
      <c r="IO158" s="456"/>
      <c r="IP158" s="456"/>
      <c r="IQ158" s="456"/>
      <c r="IR158" s="456"/>
      <c r="IS158" s="456"/>
      <c r="IT158" s="456"/>
      <c r="IU158" s="456"/>
      <c r="IV158" s="456"/>
      <c r="IW158" s="456"/>
      <c r="IX158" s="456"/>
      <c r="IY158" s="456"/>
      <c r="IZ158" s="456"/>
      <c r="JA158" s="456"/>
      <c r="JB158" s="456"/>
      <c r="JC158" s="456"/>
      <c r="JD158" s="456"/>
      <c r="JE158" s="456"/>
      <c r="JF158" s="456"/>
      <c r="JG158" s="456"/>
      <c r="JH158" s="456"/>
      <c r="JI158" s="456"/>
      <c r="JJ158" s="456"/>
      <c r="JK158" s="456"/>
      <c r="JL158" s="456"/>
      <c r="JM158" s="456"/>
      <c r="JN158" s="456"/>
      <c r="JO158" s="456"/>
      <c r="JP158" s="456"/>
      <c r="JQ158" s="456"/>
      <c r="JR158" s="456"/>
      <c r="JS158" s="456"/>
      <c r="JT158" s="456"/>
      <c r="JU158" s="456"/>
      <c r="JV158" s="456"/>
      <c r="JW158" s="456"/>
      <c r="JX158" s="456"/>
      <c r="JY158" s="456"/>
      <c r="JZ158" s="456"/>
      <c r="KA158" s="456"/>
      <c r="KB158" s="456"/>
      <c r="KC158" s="456"/>
      <c r="KD158" s="456"/>
      <c r="KE158" s="456"/>
      <c r="KF158" s="456"/>
      <c r="KG158" s="456"/>
      <c r="KH158" s="456"/>
      <c r="KI158" s="456"/>
      <c r="KJ158" s="456"/>
      <c r="KK158" s="456"/>
      <c r="KL158" s="456"/>
      <c r="KM158" s="456"/>
      <c r="KN158" s="456"/>
      <c r="KO158" s="456"/>
      <c r="KP158" s="456"/>
      <c r="KQ158" s="456"/>
      <c r="KR158" s="456"/>
      <c r="KS158" s="456"/>
      <c r="KT158" s="456"/>
      <c r="KU158" s="456"/>
      <c r="KV158" s="456"/>
      <c r="KW158" s="456"/>
      <c r="KX158" s="456"/>
      <c r="KY158" s="456"/>
      <c r="KZ158" s="456"/>
      <c r="LA158" s="456"/>
      <c r="LB158" s="456"/>
      <c r="LC158" s="456"/>
      <c r="LD158" s="456"/>
      <c r="LE158" s="456"/>
      <c r="LF158" s="456"/>
      <c r="LG158" s="456"/>
      <c r="LH158" s="456"/>
      <c r="LI158" s="456"/>
      <c r="LJ158" s="456"/>
      <c r="LK158" s="456"/>
      <c r="LL158" s="456"/>
      <c r="LM158" s="456"/>
      <c r="LN158" s="456"/>
      <c r="LO158" s="456"/>
      <c r="LP158" s="456"/>
      <c r="LQ158" s="456"/>
      <c r="LR158" s="456"/>
      <c r="LS158" s="456"/>
      <c r="LT158" s="456"/>
      <c r="LU158" s="456"/>
      <c r="LV158" s="456"/>
      <c r="LW158" s="456"/>
      <c r="LX158" s="456"/>
      <c r="LY158" s="456"/>
      <c r="LZ158" s="456"/>
      <c r="MA158" s="456"/>
      <c r="MB158" s="456"/>
      <c r="MC158" s="456"/>
      <c r="MD158" s="456"/>
      <c r="ME158" s="456"/>
      <c r="MF158" s="456"/>
      <c r="MG158" s="456"/>
      <c r="MH158" s="456"/>
      <c r="MI158" s="456"/>
      <c r="MJ158" s="456"/>
      <c r="MK158" s="456"/>
      <c r="ML158" s="456"/>
      <c r="MM158" s="456"/>
      <c r="MN158" s="456"/>
      <c r="MO158" s="456"/>
      <c r="MP158" s="456"/>
      <c r="MQ158" s="456"/>
      <c r="MR158" s="456"/>
      <c r="MS158" s="456"/>
      <c r="MT158" s="456"/>
      <c r="MU158" s="456"/>
      <c r="MV158" s="456"/>
      <c r="MW158" s="456"/>
      <c r="MX158" s="456"/>
      <c r="MY158" s="456"/>
      <c r="MZ158" s="456"/>
      <c r="NA158" s="456"/>
      <c r="NB158" s="456"/>
      <c r="NC158" s="456"/>
      <c r="ND158" s="456"/>
      <c r="NE158" s="456"/>
      <c r="NF158" s="456"/>
      <c r="NG158" s="456"/>
      <c r="NH158" s="456"/>
      <c r="NI158" s="456"/>
      <c r="NJ158" s="456"/>
      <c r="NK158" s="456"/>
      <c r="NL158" s="456"/>
      <c r="NM158" s="456"/>
      <c r="NN158" s="456"/>
      <c r="NO158" s="456"/>
      <c r="NP158" s="456"/>
      <c r="NQ158" s="456"/>
      <c r="NR158" s="456"/>
      <c r="NS158" s="456"/>
      <c r="NT158" s="456"/>
      <c r="NU158" s="456"/>
      <c r="NV158" s="456"/>
      <c r="NW158" s="456"/>
      <c r="NX158" s="456"/>
      <c r="NY158" s="456"/>
      <c r="NZ158" s="456"/>
      <c r="OA158" s="456"/>
      <c r="OB158" s="456"/>
      <c r="OC158" s="456"/>
      <c r="OD158" s="456"/>
      <c r="OE158" s="456"/>
      <c r="OF158" s="456"/>
      <c r="OG158" s="456"/>
      <c r="OH158" s="456"/>
      <c r="OI158" s="456"/>
      <c r="OJ158" s="456"/>
      <c r="OK158" s="456"/>
      <c r="OL158" s="456"/>
      <c r="OM158" s="456"/>
      <c r="ON158" s="456"/>
      <c r="OO158" s="456"/>
      <c r="OP158" s="456"/>
      <c r="OQ158" s="456"/>
      <c r="OR158" s="456"/>
      <c r="OS158" s="456"/>
      <c r="OT158" s="456"/>
      <c r="OU158" s="456"/>
      <c r="OV158" s="456"/>
      <c r="OW158" s="456"/>
      <c r="OX158" s="456"/>
      <c r="OY158" s="456"/>
      <c r="OZ158" s="456"/>
      <c r="PA158" s="456"/>
      <c r="PB158" s="456"/>
      <c r="PC158" s="456"/>
      <c r="PD158" s="456"/>
      <c r="PE158" s="456"/>
      <c r="PF158" s="456"/>
      <c r="PG158" s="456"/>
      <c r="PH158" s="456"/>
      <c r="PI158" s="456"/>
      <c r="PJ158" s="456"/>
      <c r="PK158" s="456"/>
      <c r="PL158" s="456"/>
      <c r="PM158" s="456"/>
      <c r="PN158" s="456"/>
      <c r="PO158" s="456"/>
      <c r="PP158" s="456"/>
      <c r="PQ158" s="456"/>
      <c r="PR158" s="456"/>
      <c r="PS158" s="456"/>
      <c r="PT158" s="456"/>
      <c r="PU158" s="456"/>
      <c r="PV158" s="456"/>
      <c r="PW158" s="456"/>
      <c r="PX158" s="456"/>
      <c r="PY158" s="456"/>
      <c r="PZ158" s="456"/>
      <c r="QA158" s="456"/>
      <c r="QB158" s="456"/>
      <c r="QC158" s="456"/>
      <c r="QD158" s="456"/>
      <c r="QE158" s="456"/>
      <c r="QF158" s="456"/>
      <c r="QG158" s="456"/>
      <c r="QH158" s="456"/>
      <c r="QI158" s="456"/>
      <c r="QJ158" s="456"/>
      <c r="QK158" s="456"/>
      <c r="QL158" s="456"/>
      <c r="QM158" s="456"/>
      <c r="QN158" s="456"/>
      <c r="QO158" s="456"/>
      <c r="QP158" s="456"/>
      <c r="QQ158" s="456"/>
      <c r="QR158" s="456"/>
      <c r="QS158" s="456"/>
      <c r="QT158" s="456"/>
      <c r="QU158" s="456"/>
      <c r="QV158" s="456"/>
      <c r="QW158" s="456"/>
      <c r="QX158" s="456"/>
      <c r="QY158" s="456"/>
      <c r="QZ158" s="456"/>
      <c r="RA158" s="456"/>
      <c r="RB158" s="456"/>
      <c r="RC158" s="456"/>
      <c r="RD158" s="456"/>
      <c r="RE158" s="456"/>
      <c r="RF158" s="456"/>
      <c r="RG158" s="456"/>
      <c r="RH158" s="456"/>
      <c r="RI158" s="456"/>
      <c r="RJ158" s="456"/>
      <c r="RK158" s="456"/>
      <c r="RL158" s="456"/>
      <c r="RM158" s="456"/>
      <c r="RN158" s="456"/>
      <c r="RO158" s="456"/>
      <c r="RP158" s="456"/>
      <c r="RQ158" s="456"/>
      <c r="RR158" s="456"/>
      <c r="RS158" s="456"/>
      <c r="RT158" s="456"/>
      <c r="RU158" s="456"/>
      <c r="RV158" s="456"/>
      <c r="RW158" s="456"/>
      <c r="RX158" s="456"/>
      <c r="RY158" s="456"/>
      <c r="RZ158" s="456"/>
      <c r="SA158" s="456"/>
      <c r="SB158" s="456"/>
      <c r="SC158" s="456"/>
      <c r="SD158" s="456"/>
      <c r="SE158" s="456"/>
      <c r="SF158" s="456"/>
      <c r="SG158" s="456"/>
      <c r="SH158" s="456"/>
      <c r="SI158" s="456"/>
      <c r="SJ158" s="456"/>
      <c r="SK158" s="456"/>
      <c r="SL158" s="456"/>
      <c r="SM158" s="456"/>
      <c r="SN158" s="456"/>
      <c r="SO158" s="456"/>
      <c r="SP158" s="456"/>
      <c r="SQ158" s="456"/>
      <c r="SR158" s="456"/>
      <c r="SS158" s="456"/>
      <c r="ST158" s="456"/>
      <c r="SU158" s="456"/>
      <c r="SV158" s="456"/>
      <c r="SW158" s="456"/>
      <c r="SX158" s="456"/>
      <c r="SY158" s="456"/>
      <c r="SZ158" s="456"/>
      <c r="TA158" s="456"/>
      <c r="TB158" s="456"/>
      <c r="TC158" s="456"/>
      <c r="TD158" s="456"/>
      <c r="TE158" s="456"/>
      <c r="TF158" s="456"/>
      <c r="TG158" s="456"/>
      <c r="TH158" s="456"/>
      <c r="TI158" s="456"/>
      <c r="TJ158" s="456"/>
      <c r="TK158" s="456"/>
      <c r="TL158" s="456"/>
      <c r="TM158" s="456"/>
      <c r="TN158" s="456"/>
      <c r="TO158" s="456"/>
      <c r="TP158" s="456"/>
      <c r="TQ158" s="456"/>
      <c r="TR158" s="456"/>
      <c r="TS158" s="456"/>
      <c r="TT158" s="456"/>
      <c r="TU158" s="456"/>
      <c r="TV158" s="456"/>
      <c r="TW158" s="456"/>
      <c r="TX158" s="456"/>
      <c r="TY158" s="456"/>
      <c r="TZ158" s="456"/>
      <c r="UA158" s="456"/>
      <c r="UB158" s="456"/>
      <c r="UC158" s="456"/>
      <c r="UD158" s="456"/>
      <c r="UE158" s="456"/>
      <c r="UF158" s="456"/>
      <c r="UG158" s="456"/>
      <c r="UH158" s="456"/>
      <c r="UI158" s="456"/>
      <c r="UJ158" s="456"/>
      <c r="UK158" s="456"/>
      <c r="UL158" s="456"/>
      <c r="UM158" s="456"/>
      <c r="UN158" s="456"/>
      <c r="UO158" s="456"/>
      <c r="UP158" s="456"/>
      <c r="UQ158" s="456"/>
      <c r="UR158" s="456"/>
      <c r="US158" s="456"/>
      <c r="UT158" s="456"/>
      <c r="UU158" s="456"/>
      <c r="UV158" s="456"/>
      <c r="UW158" s="456"/>
      <c r="UX158" s="456"/>
      <c r="UY158" s="456"/>
      <c r="UZ158" s="456"/>
      <c r="VA158" s="456"/>
      <c r="VB158" s="456"/>
      <c r="VC158" s="456"/>
      <c r="VD158" s="456"/>
      <c r="VE158" s="456"/>
      <c r="VF158" s="456"/>
      <c r="VG158" s="456"/>
      <c r="VH158" s="456"/>
      <c r="VI158" s="456"/>
      <c r="VJ158" s="456"/>
      <c r="VK158" s="456"/>
      <c r="VL158" s="456"/>
      <c r="VM158" s="456"/>
      <c r="VN158" s="456"/>
      <c r="VO158" s="456"/>
      <c r="VP158" s="456"/>
      <c r="VQ158" s="456"/>
      <c r="VR158" s="456"/>
      <c r="VS158" s="456"/>
      <c r="VT158" s="456"/>
      <c r="VU158" s="456"/>
      <c r="VV158" s="456"/>
      <c r="VW158" s="456"/>
      <c r="VX158" s="456"/>
      <c r="VY158" s="456"/>
      <c r="VZ158" s="456"/>
      <c r="WA158" s="456"/>
      <c r="WB158" s="456"/>
      <c r="WC158" s="456"/>
      <c r="WD158" s="456"/>
      <c r="WE158" s="456"/>
      <c r="WF158" s="456"/>
      <c r="WG158" s="456"/>
      <c r="WH158" s="456"/>
      <c r="WI158" s="456"/>
      <c r="WJ158" s="456"/>
      <c r="WK158" s="456"/>
      <c r="WL158" s="456"/>
      <c r="WM158" s="456"/>
      <c r="WN158" s="456"/>
      <c r="WO158" s="456"/>
      <c r="WP158" s="456"/>
      <c r="WQ158" s="456"/>
      <c r="WR158" s="456"/>
      <c r="WS158" s="456"/>
      <c r="WT158" s="456"/>
      <c r="WU158" s="456"/>
      <c r="WV158" s="456"/>
      <c r="WW158" s="456"/>
      <c r="WX158" s="456"/>
      <c r="WY158" s="456"/>
      <c r="WZ158" s="456"/>
      <c r="XA158" s="456"/>
      <c r="XB158" s="456"/>
      <c r="XC158" s="456"/>
      <c r="XD158" s="456"/>
      <c r="XE158" s="456"/>
      <c r="XF158" s="456"/>
      <c r="XG158" s="456"/>
      <c r="XH158" s="456"/>
      <c r="XI158" s="456"/>
      <c r="XJ158" s="456"/>
      <c r="XK158" s="456"/>
      <c r="XL158" s="456"/>
      <c r="XM158" s="456"/>
      <c r="XN158" s="456"/>
      <c r="XO158" s="456"/>
      <c r="XP158" s="456"/>
      <c r="XQ158" s="456"/>
      <c r="XR158" s="456"/>
      <c r="XS158" s="456"/>
      <c r="XT158" s="456"/>
      <c r="XU158" s="456"/>
      <c r="XV158" s="456"/>
      <c r="XW158" s="456"/>
      <c r="XX158" s="456"/>
      <c r="XY158" s="456"/>
      <c r="XZ158" s="456"/>
      <c r="YA158" s="456"/>
      <c r="YB158" s="456"/>
      <c r="YC158" s="456"/>
      <c r="YD158" s="456"/>
      <c r="YE158" s="456"/>
      <c r="YF158" s="456"/>
      <c r="YG158" s="456"/>
      <c r="YH158" s="456"/>
      <c r="YI158" s="456"/>
      <c r="YJ158" s="456"/>
      <c r="YK158" s="456"/>
      <c r="YL158" s="456"/>
      <c r="YM158" s="456"/>
      <c r="YN158" s="456"/>
      <c r="YO158" s="456"/>
      <c r="YP158" s="456"/>
      <c r="YQ158" s="456"/>
      <c r="YR158" s="456"/>
      <c r="YS158" s="456"/>
      <c r="YT158" s="456"/>
      <c r="YU158" s="456"/>
      <c r="YV158" s="456"/>
      <c r="YW158" s="456"/>
      <c r="YX158" s="456"/>
      <c r="YY158" s="456"/>
      <c r="YZ158" s="456"/>
      <c r="ZA158" s="456"/>
      <c r="ZB158" s="456"/>
      <c r="ZC158" s="456"/>
      <c r="ZD158" s="456"/>
      <c r="ZE158" s="456"/>
      <c r="ZF158" s="456"/>
      <c r="ZG158" s="456"/>
      <c r="ZH158" s="456"/>
      <c r="ZI158" s="456"/>
      <c r="ZJ158" s="456"/>
      <c r="ZK158" s="456"/>
      <c r="ZL158" s="456"/>
      <c r="ZM158" s="456"/>
      <c r="ZN158" s="456"/>
      <c r="ZO158" s="456"/>
      <c r="ZP158" s="456"/>
      <c r="ZQ158" s="456"/>
      <c r="ZR158" s="456"/>
      <c r="ZS158" s="456"/>
      <c r="ZT158" s="456"/>
      <c r="ZU158" s="456"/>
      <c r="ZV158" s="456"/>
      <c r="ZW158" s="456"/>
      <c r="ZX158" s="456"/>
      <c r="ZY158" s="456"/>
      <c r="ZZ158" s="456"/>
      <c r="AAA158" s="456"/>
      <c r="AAB158" s="456"/>
      <c r="AAC158" s="456"/>
      <c r="AAD158" s="456"/>
      <c r="AAE158" s="456"/>
      <c r="AAF158" s="456"/>
      <c r="AAG158" s="456"/>
      <c r="AAH158" s="456"/>
      <c r="AAI158" s="456"/>
      <c r="AAJ158" s="456"/>
      <c r="AAK158" s="456"/>
      <c r="AAL158" s="456"/>
      <c r="AAM158" s="456"/>
      <c r="AAN158" s="456"/>
      <c r="AAO158" s="456"/>
      <c r="AAP158" s="456"/>
      <c r="AAQ158" s="456"/>
      <c r="AAR158" s="456"/>
      <c r="AAS158" s="456"/>
      <c r="AAT158" s="456"/>
      <c r="AAU158" s="456"/>
      <c r="AAV158" s="456"/>
      <c r="AAW158" s="456"/>
      <c r="AAX158" s="456"/>
      <c r="AAY158" s="456"/>
      <c r="AAZ158" s="456"/>
      <c r="ABA158" s="456"/>
      <c r="ABB158" s="456"/>
      <c r="ABC158" s="456"/>
      <c r="ABD158" s="456"/>
      <c r="ABE158" s="456"/>
      <c r="ABF158" s="456"/>
      <c r="ABG158" s="456"/>
      <c r="ABH158" s="456"/>
      <c r="ABI158" s="456"/>
      <c r="ABJ158" s="456"/>
      <c r="ABK158" s="456"/>
      <c r="ABL158" s="456"/>
      <c r="ABM158" s="456"/>
      <c r="ABN158" s="456"/>
      <c r="ABO158" s="456"/>
      <c r="ABP158" s="456"/>
      <c r="ABQ158" s="456"/>
      <c r="ABR158" s="456"/>
      <c r="ABS158" s="456"/>
      <c r="ABT158" s="456"/>
      <c r="ABU158" s="456"/>
      <c r="ABV158" s="456"/>
      <c r="ABW158" s="456"/>
      <c r="ABX158" s="456"/>
      <c r="ABY158" s="456"/>
      <c r="ABZ158" s="456"/>
      <c r="ACA158" s="456"/>
      <c r="ACB158" s="456"/>
      <c r="ACC158" s="456"/>
      <c r="ACD158" s="456"/>
      <c r="ACE158" s="456"/>
      <c r="ACF158" s="456"/>
      <c r="ACG158" s="456"/>
      <c r="ACH158" s="456"/>
      <c r="ACI158" s="456"/>
      <c r="ACJ158" s="456"/>
      <c r="ACK158" s="456"/>
      <c r="ACL158" s="456"/>
      <c r="ACM158" s="456"/>
      <c r="ACN158" s="456"/>
      <c r="ACO158" s="456"/>
      <c r="ACP158" s="456"/>
      <c r="ACQ158" s="456"/>
      <c r="ACR158" s="456"/>
      <c r="ACS158" s="456"/>
      <c r="ACT158" s="456"/>
      <c r="ACU158" s="456"/>
      <c r="ACV158" s="456"/>
      <c r="ACW158" s="456"/>
      <c r="ACX158" s="456"/>
      <c r="ACY158" s="456"/>
      <c r="ACZ158" s="456"/>
      <c r="ADA158" s="456"/>
      <c r="ADB158" s="456"/>
      <c r="ADC158" s="456"/>
      <c r="ADD158" s="456"/>
      <c r="ADE158" s="456"/>
      <c r="ADF158" s="456"/>
      <c r="ADG158" s="456"/>
      <c r="ADH158" s="456"/>
      <c r="ADI158" s="456"/>
      <c r="ADJ158" s="456"/>
      <c r="ADK158" s="456"/>
      <c r="ADL158" s="456"/>
      <c r="ADM158" s="456"/>
      <c r="ADN158" s="456"/>
      <c r="ADO158" s="456"/>
      <c r="ADP158" s="456"/>
      <c r="ADQ158" s="456"/>
      <c r="ADR158" s="456"/>
      <c r="ADS158" s="456"/>
      <c r="ADT158" s="456"/>
      <c r="ADU158" s="456"/>
      <c r="ADV158" s="456"/>
      <c r="ADW158" s="456"/>
      <c r="ADX158" s="456"/>
      <c r="ADY158" s="456"/>
      <c r="ADZ158" s="456"/>
      <c r="AEA158" s="456"/>
      <c r="AEB158" s="456"/>
      <c r="AEC158" s="456"/>
      <c r="AED158" s="456"/>
      <c r="AEE158" s="456"/>
      <c r="AEF158" s="456"/>
      <c r="AEG158" s="456"/>
      <c r="AEH158" s="456"/>
      <c r="AEI158" s="456"/>
      <c r="AEJ158" s="456"/>
      <c r="AEK158" s="456"/>
      <c r="AEL158" s="456"/>
      <c r="AEM158" s="456"/>
      <c r="AEN158" s="456"/>
      <c r="AEO158" s="456"/>
      <c r="AEP158" s="456"/>
      <c r="AEQ158" s="456"/>
      <c r="AER158" s="456"/>
      <c r="AES158" s="456"/>
      <c r="AET158" s="456"/>
      <c r="AEU158" s="456"/>
      <c r="AEV158" s="456"/>
      <c r="AEW158" s="456"/>
      <c r="AEX158" s="456"/>
      <c r="AEY158" s="456"/>
      <c r="AEZ158" s="456"/>
      <c r="AFA158" s="456"/>
      <c r="AFB158" s="456"/>
      <c r="AFC158" s="456"/>
      <c r="AFD158" s="456"/>
      <c r="AFE158" s="456"/>
      <c r="AFF158" s="456"/>
      <c r="AFG158" s="456"/>
      <c r="AFH158" s="456"/>
      <c r="AFI158" s="456"/>
      <c r="AFJ158" s="456"/>
      <c r="AFK158" s="456"/>
      <c r="AFL158" s="456"/>
      <c r="AFM158" s="456"/>
      <c r="AFN158" s="456"/>
      <c r="AFO158" s="456"/>
      <c r="AFP158" s="456"/>
      <c r="AFQ158" s="456"/>
      <c r="AFR158" s="456"/>
      <c r="AFS158" s="456"/>
      <c r="AFT158" s="456"/>
      <c r="AFU158" s="456"/>
      <c r="AFV158" s="456"/>
      <c r="AFW158" s="456"/>
      <c r="AFX158" s="456"/>
      <c r="AFY158" s="456"/>
      <c r="AFZ158" s="456"/>
      <c r="AGA158" s="456"/>
      <c r="AGB158" s="456"/>
      <c r="AGC158" s="456"/>
      <c r="AGD158" s="456"/>
      <c r="AGE158" s="456"/>
      <c r="AGF158" s="456"/>
      <c r="AGG158" s="456"/>
      <c r="AGH158" s="456"/>
      <c r="AGI158" s="456"/>
      <c r="AGJ158" s="456"/>
      <c r="AGK158" s="456"/>
      <c r="AGL158" s="456"/>
      <c r="AGM158" s="456"/>
      <c r="AGN158" s="456"/>
      <c r="AGO158" s="456"/>
      <c r="AGP158" s="456"/>
      <c r="AGQ158" s="456"/>
      <c r="AGR158" s="456"/>
      <c r="AGS158" s="456"/>
      <c r="AGT158" s="456"/>
      <c r="AGU158" s="456"/>
      <c r="AGV158" s="456"/>
      <c r="AGW158" s="456"/>
      <c r="AGX158" s="456"/>
      <c r="AGY158" s="456"/>
      <c r="AGZ158" s="456"/>
      <c r="AHA158" s="456"/>
      <c r="AHB158" s="456"/>
      <c r="AHC158" s="456"/>
      <c r="AHD158" s="456"/>
      <c r="AHE158" s="456"/>
      <c r="AHF158" s="456"/>
      <c r="AHG158" s="456"/>
      <c r="AHH158" s="456"/>
      <c r="AHI158" s="456"/>
      <c r="AHJ158" s="456"/>
      <c r="AHK158" s="456"/>
      <c r="AHL158" s="456"/>
      <c r="AHM158" s="456"/>
      <c r="AHN158" s="456"/>
      <c r="AHO158" s="456"/>
      <c r="AHP158" s="456"/>
      <c r="AHQ158" s="456"/>
      <c r="AHR158" s="456"/>
      <c r="AHS158" s="456"/>
      <c r="AHT158" s="456"/>
      <c r="AHU158" s="456"/>
      <c r="AHV158" s="456"/>
      <c r="AHW158" s="456"/>
      <c r="AHX158" s="456"/>
      <c r="AHY158" s="456"/>
      <c r="AHZ158" s="456"/>
      <c r="AIA158" s="456"/>
      <c r="AIB158" s="456"/>
      <c r="AIC158" s="456"/>
      <c r="AID158" s="456"/>
      <c r="AIE158" s="456"/>
      <c r="AIF158" s="456"/>
      <c r="AIG158" s="456"/>
      <c r="AIH158" s="456"/>
      <c r="AII158" s="456"/>
      <c r="AIJ158" s="456"/>
      <c r="AIK158" s="456"/>
      <c r="AIL158" s="456"/>
      <c r="AIM158" s="456"/>
      <c r="AIN158" s="456"/>
      <c r="AIO158" s="456"/>
      <c r="AIP158" s="456"/>
      <c r="AIQ158" s="456"/>
      <c r="AIR158" s="456"/>
      <c r="AIS158" s="456"/>
      <c r="AIT158" s="456"/>
      <c r="AIU158" s="456"/>
      <c r="AIV158" s="456"/>
      <c r="AIW158" s="456"/>
      <c r="AIX158" s="456"/>
      <c r="AIY158" s="456"/>
      <c r="AIZ158" s="456"/>
      <c r="AJA158" s="456"/>
      <c r="AJB158" s="456"/>
      <c r="AJC158" s="456"/>
      <c r="AJD158" s="456"/>
      <c r="AJE158" s="456"/>
      <c r="AJF158" s="456"/>
      <c r="AJG158" s="456"/>
      <c r="AJH158" s="456"/>
      <c r="AJI158" s="456"/>
      <c r="AJJ158" s="456"/>
      <c r="AJK158" s="456"/>
      <c r="AJL158" s="456"/>
      <c r="AJM158" s="456"/>
      <c r="AJN158" s="456"/>
      <c r="AJO158" s="456"/>
      <c r="AJP158" s="456"/>
      <c r="AJQ158" s="456"/>
      <c r="AJR158" s="456"/>
      <c r="AJS158" s="456"/>
      <c r="AJT158" s="456"/>
      <c r="AJU158" s="456"/>
      <c r="AJV158" s="456"/>
      <c r="AJW158" s="456"/>
      <c r="AJX158" s="456"/>
      <c r="AJY158" s="456"/>
      <c r="AJZ158" s="456"/>
      <c r="AKA158" s="456"/>
      <c r="AKB158" s="456"/>
      <c r="AKC158" s="456"/>
      <c r="AKD158" s="456"/>
      <c r="AKE158" s="456"/>
      <c r="AKF158" s="456"/>
      <c r="AKG158" s="456"/>
      <c r="AKH158" s="456"/>
      <c r="AKI158" s="456"/>
      <c r="AKJ158" s="456"/>
      <c r="AKK158" s="456"/>
      <c r="AKL158" s="456"/>
      <c r="AKM158" s="456"/>
      <c r="AKN158" s="456"/>
      <c r="AKO158" s="456"/>
      <c r="AKP158" s="456"/>
      <c r="AKQ158" s="456"/>
      <c r="AKR158" s="456"/>
      <c r="AKS158" s="456"/>
      <c r="AKT158" s="456"/>
      <c r="AKU158" s="456"/>
      <c r="AKV158" s="456"/>
      <c r="AKW158" s="456"/>
      <c r="AKX158" s="456"/>
      <c r="AKY158" s="456"/>
      <c r="AKZ158" s="456"/>
      <c r="ALA158" s="456"/>
      <c r="ALB158" s="456"/>
      <c r="ALC158" s="456"/>
      <c r="ALD158" s="456"/>
      <c r="ALE158" s="456"/>
      <c r="ALF158" s="456"/>
      <c r="ALG158" s="456"/>
      <c r="ALH158" s="456"/>
      <c r="ALI158" s="456"/>
      <c r="ALJ158" s="456"/>
      <c r="ALK158" s="456"/>
      <c r="ALL158" s="456"/>
      <c r="ALM158" s="456"/>
      <c r="ALN158" s="456"/>
      <c r="ALO158" s="456"/>
      <c r="ALP158" s="456"/>
      <c r="ALQ158" s="456"/>
      <c r="ALR158" s="456"/>
      <c r="ALS158" s="456"/>
      <c r="ALT158" s="456"/>
      <c r="ALU158" s="456"/>
      <c r="ALV158" s="456"/>
      <c r="ALW158" s="456"/>
      <c r="ALX158" s="456"/>
      <c r="ALY158" s="456"/>
      <c r="ALZ158" s="456"/>
      <c r="AMA158" s="456"/>
      <c r="AMB158" s="456"/>
      <c r="AMC158" s="456"/>
      <c r="AMD158" s="456"/>
      <c r="AME158" s="456"/>
      <c r="AMF158" s="456"/>
      <c r="AMG158" s="456"/>
      <c r="AMH158" s="456"/>
      <c r="AMI158" s="456"/>
      <c r="AMJ158" s="456"/>
      <c r="AMK158" s="456"/>
      <c r="AML158" s="456"/>
      <c r="AMM158" s="456"/>
      <c r="AMN158" s="456"/>
      <c r="AMO158" s="456"/>
      <c r="AMP158" s="456"/>
      <c r="AMQ158" s="456"/>
      <c r="AMR158" s="456"/>
      <c r="AMS158" s="456"/>
      <c r="AMT158" s="456"/>
      <c r="AMU158" s="456"/>
      <c r="AMV158" s="456"/>
      <c r="AMW158" s="456"/>
      <c r="AMX158" s="456"/>
      <c r="AMY158" s="456"/>
      <c r="AMZ158" s="456"/>
      <c r="ANA158" s="456"/>
      <c r="ANB158" s="456"/>
      <c r="ANC158" s="456"/>
      <c r="AND158" s="456"/>
      <c r="ANE158" s="456"/>
      <c r="ANF158" s="456"/>
      <c r="ANG158" s="456"/>
      <c r="ANH158" s="456"/>
      <c r="ANI158" s="456"/>
      <c r="ANJ158" s="456"/>
      <c r="ANK158" s="456"/>
      <c r="ANL158" s="456"/>
      <c r="ANM158" s="456"/>
      <c r="ANN158" s="456"/>
      <c r="ANO158" s="456"/>
      <c r="ANP158" s="456"/>
      <c r="ANQ158" s="456"/>
      <c r="ANR158" s="456"/>
      <c r="ANS158" s="456"/>
      <c r="ANT158" s="456"/>
      <c r="ANU158" s="456"/>
      <c r="ANV158" s="456"/>
      <c r="ANW158" s="456"/>
      <c r="ANX158" s="456"/>
      <c r="ANY158" s="456"/>
      <c r="ANZ158" s="456"/>
      <c r="AOA158" s="456"/>
      <c r="AOB158" s="456"/>
      <c r="AOC158" s="456"/>
      <c r="AOD158" s="456"/>
      <c r="AOE158" s="456"/>
      <c r="AOF158" s="456"/>
      <c r="AOG158" s="456"/>
      <c r="AOH158" s="456"/>
      <c r="AOI158" s="456"/>
      <c r="AOJ158" s="456"/>
      <c r="AOK158" s="456"/>
      <c r="AOL158" s="456"/>
      <c r="AOM158" s="456"/>
      <c r="AON158" s="456"/>
      <c r="AOO158" s="456"/>
      <c r="AOP158" s="456"/>
      <c r="AOQ158" s="456"/>
      <c r="AOR158" s="456"/>
      <c r="AOS158" s="456"/>
      <c r="AOT158" s="456"/>
      <c r="AOU158" s="456"/>
      <c r="AOV158" s="456"/>
      <c r="AOW158" s="456"/>
      <c r="AOX158" s="456"/>
      <c r="AOY158" s="456"/>
      <c r="AOZ158" s="456"/>
      <c r="APA158" s="456"/>
      <c r="APB158" s="456"/>
      <c r="APC158" s="456"/>
      <c r="APD158" s="456"/>
      <c r="APE158" s="456"/>
      <c r="APF158" s="456"/>
      <c r="APG158" s="456"/>
      <c r="APH158" s="456"/>
      <c r="API158" s="456"/>
      <c r="APJ158" s="456"/>
      <c r="APK158" s="456"/>
      <c r="APL158" s="456"/>
      <c r="APM158" s="456"/>
      <c r="APN158" s="456"/>
      <c r="APO158" s="456"/>
      <c r="APP158" s="456"/>
      <c r="APQ158" s="456"/>
      <c r="APR158" s="456"/>
      <c r="APS158" s="456"/>
      <c r="APT158" s="456"/>
      <c r="APU158" s="456"/>
      <c r="APV158" s="456"/>
      <c r="APW158" s="456"/>
      <c r="APX158" s="456"/>
      <c r="APY158" s="456"/>
      <c r="APZ158" s="456"/>
      <c r="AQA158" s="456"/>
      <c r="AQB158" s="456"/>
      <c r="AQC158" s="456"/>
      <c r="AQD158" s="456"/>
      <c r="AQE158" s="456"/>
      <c r="AQF158" s="456"/>
      <c r="AQG158" s="456"/>
      <c r="AQH158" s="456"/>
      <c r="AQI158" s="456"/>
      <c r="AQJ158" s="456"/>
      <c r="AQK158" s="456"/>
      <c r="AQL158" s="456"/>
      <c r="AQM158" s="456"/>
      <c r="AQN158" s="456"/>
      <c r="AQO158" s="456"/>
      <c r="AQP158" s="456"/>
      <c r="AQQ158" s="456"/>
      <c r="AQR158" s="456"/>
      <c r="AQS158" s="456"/>
      <c r="AQT158" s="456"/>
      <c r="AQU158" s="456"/>
      <c r="AQV158" s="456"/>
      <c r="AQW158" s="456"/>
      <c r="AQX158" s="456"/>
      <c r="AQY158" s="456"/>
      <c r="AQZ158" s="456"/>
      <c r="ARA158" s="456"/>
      <c r="ARB158" s="456"/>
      <c r="ARC158" s="456"/>
      <c r="ARD158" s="456"/>
      <c r="ARE158" s="456"/>
      <c r="ARF158" s="456"/>
      <c r="ARG158" s="456"/>
      <c r="ARH158" s="456"/>
      <c r="ARI158" s="456"/>
      <c r="ARJ158" s="456"/>
      <c r="ARK158" s="456"/>
      <c r="ARL158" s="456"/>
      <c r="ARM158" s="456"/>
      <c r="ARN158" s="456"/>
      <c r="ARO158" s="456"/>
      <c r="ARP158" s="456"/>
      <c r="ARQ158" s="456"/>
      <c r="ARR158" s="456"/>
      <c r="ARS158" s="456"/>
      <c r="ART158" s="456"/>
      <c r="ARU158" s="456"/>
      <c r="ARV158" s="456"/>
      <c r="ARW158" s="456"/>
      <c r="ARX158" s="456"/>
      <c r="ARY158" s="456"/>
      <c r="ARZ158" s="456"/>
      <c r="ASA158" s="456"/>
      <c r="ASB158" s="456"/>
      <c r="ASC158" s="456"/>
      <c r="ASD158" s="456"/>
      <c r="ASE158" s="456"/>
      <c r="ASF158" s="456"/>
      <c r="ASG158" s="456"/>
      <c r="ASH158" s="456"/>
      <c r="ASI158" s="456"/>
      <c r="ASJ158" s="456"/>
      <c r="ASK158" s="456"/>
      <c r="ASL158" s="456"/>
      <c r="ASM158" s="456"/>
      <c r="ASN158" s="456"/>
      <c r="ASO158" s="456"/>
      <c r="ASP158" s="456"/>
      <c r="ASQ158" s="456"/>
      <c r="ASR158" s="456"/>
      <c r="ASS158" s="456"/>
      <c r="AST158" s="456"/>
      <c r="ASU158" s="456"/>
      <c r="ASV158" s="456"/>
      <c r="ASW158" s="456"/>
      <c r="ASX158" s="456"/>
      <c r="ASY158" s="456"/>
      <c r="ASZ158" s="456"/>
      <c r="ATA158" s="456"/>
      <c r="ATB158" s="456"/>
      <c r="ATC158" s="456"/>
      <c r="ATD158" s="456"/>
      <c r="ATE158" s="456"/>
      <c r="ATF158" s="456"/>
      <c r="ATG158" s="456"/>
      <c r="ATH158" s="456"/>
      <c r="ATI158" s="456"/>
      <c r="ATJ158" s="456"/>
      <c r="ATK158" s="456"/>
      <c r="ATL158" s="456"/>
      <c r="ATM158" s="456"/>
      <c r="ATN158" s="456"/>
      <c r="ATO158" s="456"/>
      <c r="ATP158" s="456"/>
      <c r="ATQ158" s="456"/>
      <c r="ATR158" s="456"/>
      <c r="ATS158" s="456"/>
      <c r="ATT158" s="456"/>
      <c r="ATU158" s="456"/>
      <c r="ATV158" s="456"/>
      <c r="ATW158" s="456"/>
      <c r="ATX158" s="456"/>
      <c r="ATY158" s="456"/>
      <c r="ATZ158" s="456"/>
      <c r="AUA158" s="456"/>
      <c r="AUB158" s="456"/>
      <c r="AUC158" s="456"/>
      <c r="AUD158" s="456"/>
      <c r="AUE158" s="456"/>
      <c r="AUF158" s="456"/>
      <c r="AUG158" s="456"/>
      <c r="AUH158" s="456"/>
      <c r="AUI158" s="456"/>
      <c r="AUJ158" s="456"/>
      <c r="AUK158" s="456"/>
      <c r="AUL158" s="456"/>
      <c r="AUM158" s="456"/>
      <c r="AUN158" s="456"/>
      <c r="AUO158" s="456"/>
      <c r="AUP158" s="456"/>
      <c r="AUQ158" s="456"/>
      <c r="AUR158" s="456"/>
      <c r="AUS158" s="456"/>
      <c r="AUT158" s="456"/>
      <c r="AUU158" s="456"/>
      <c r="AUV158" s="456"/>
      <c r="AUW158" s="456"/>
      <c r="AUX158" s="456"/>
      <c r="AUY158" s="456"/>
      <c r="AUZ158" s="456"/>
      <c r="AVA158" s="456"/>
      <c r="AVB158" s="456"/>
      <c r="AVC158" s="456"/>
      <c r="AVD158" s="456"/>
      <c r="AVE158" s="456"/>
      <c r="AVF158" s="456"/>
      <c r="AVG158" s="456"/>
      <c r="AVH158" s="456"/>
      <c r="AVI158" s="456"/>
      <c r="AVJ158" s="456"/>
      <c r="AVK158" s="456"/>
      <c r="AVL158" s="456"/>
      <c r="AVM158" s="456"/>
      <c r="AVN158" s="456"/>
      <c r="AVO158" s="456"/>
      <c r="AVP158" s="456"/>
      <c r="AVQ158" s="456"/>
      <c r="AVR158" s="456"/>
      <c r="AVS158" s="456"/>
      <c r="AVT158" s="456"/>
      <c r="AVU158" s="456"/>
      <c r="AVV158" s="456"/>
      <c r="AVW158" s="456"/>
      <c r="AVX158" s="456"/>
      <c r="AVY158" s="456"/>
      <c r="AVZ158" s="456"/>
      <c r="AWA158" s="456"/>
      <c r="AWB158" s="456"/>
      <c r="AWC158" s="456"/>
      <c r="AWD158" s="456"/>
      <c r="AWE158" s="456"/>
      <c r="AWF158" s="456"/>
      <c r="AWG158" s="456"/>
      <c r="AWH158" s="456"/>
      <c r="AWI158" s="456"/>
      <c r="AWJ158" s="456"/>
      <c r="AWK158" s="456"/>
      <c r="AWL158" s="456"/>
      <c r="AWM158" s="456"/>
      <c r="AWN158" s="456"/>
      <c r="AWO158" s="456"/>
      <c r="AWP158" s="456"/>
      <c r="AWQ158" s="456"/>
      <c r="AWR158" s="456"/>
      <c r="AWS158" s="456"/>
      <c r="AWT158" s="456"/>
      <c r="AWU158" s="456"/>
      <c r="AWV158" s="456"/>
      <c r="AWW158" s="456"/>
      <c r="AWX158" s="456"/>
      <c r="AWY158" s="456"/>
      <c r="AWZ158" s="456"/>
      <c r="AXA158" s="456"/>
      <c r="AXB158" s="456"/>
      <c r="AXC158" s="456"/>
      <c r="AXD158" s="456"/>
      <c r="AXE158" s="456"/>
      <c r="AXF158" s="456"/>
      <c r="AXG158" s="456"/>
      <c r="AXH158" s="456"/>
      <c r="AXI158" s="456"/>
      <c r="AXJ158" s="456"/>
      <c r="AXK158" s="456"/>
      <c r="AXL158" s="456"/>
      <c r="AXM158" s="456"/>
      <c r="AXN158" s="456"/>
      <c r="AXO158" s="456"/>
      <c r="AXP158" s="456"/>
      <c r="AXQ158" s="456"/>
      <c r="AXR158" s="456"/>
      <c r="AXS158" s="456"/>
      <c r="AXT158" s="456"/>
      <c r="AXU158" s="456"/>
      <c r="AXV158" s="456"/>
      <c r="AXW158" s="456"/>
      <c r="AXX158" s="456"/>
      <c r="AXY158" s="456"/>
      <c r="AXZ158" s="456"/>
      <c r="AYA158" s="456"/>
      <c r="AYB158" s="456"/>
      <c r="AYC158" s="456"/>
      <c r="AYD158" s="456"/>
      <c r="AYE158" s="456"/>
      <c r="AYF158" s="456"/>
      <c r="AYG158" s="456"/>
      <c r="AYH158" s="456"/>
      <c r="AYI158" s="456"/>
      <c r="AYJ158" s="456"/>
      <c r="AYK158" s="456"/>
      <c r="AYL158" s="456"/>
      <c r="AYM158" s="456"/>
      <c r="AYN158" s="456"/>
      <c r="AYO158" s="456"/>
      <c r="AYP158" s="456"/>
      <c r="AYQ158" s="456"/>
      <c r="AYR158" s="456"/>
      <c r="AYS158" s="456"/>
      <c r="AYT158" s="456"/>
      <c r="AYU158" s="456"/>
      <c r="AYV158" s="456"/>
      <c r="AYW158" s="456"/>
      <c r="AYX158" s="456"/>
      <c r="AYY158" s="456"/>
      <c r="AYZ158" s="456"/>
      <c r="AZA158" s="456"/>
      <c r="AZB158" s="456"/>
      <c r="AZC158" s="456"/>
      <c r="AZD158" s="456"/>
      <c r="AZE158" s="456"/>
      <c r="AZF158" s="456"/>
      <c r="AZG158" s="456"/>
      <c r="AZH158" s="456"/>
      <c r="AZI158" s="456"/>
      <c r="AZJ158" s="456"/>
      <c r="AZK158" s="456"/>
      <c r="AZL158" s="456"/>
      <c r="AZM158" s="456"/>
      <c r="AZN158" s="456"/>
      <c r="AZO158" s="456"/>
      <c r="AZP158" s="456"/>
      <c r="AZQ158" s="456"/>
      <c r="AZR158" s="456"/>
      <c r="AZS158" s="456"/>
      <c r="AZT158" s="456"/>
      <c r="AZU158" s="456"/>
      <c r="AZV158" s="456"/>
      <c r="AZW158" s="456"/>
      <c r="AZX158" s="456"/>
      <c r="AZY158" s="456"/>
      <c r="AZZ158" s="456"/>
      <c r="BAA158" s="456"/>
      <c r="BAB158" s="456"/>
      <c r="BAC158" s="456"/>
      <c r="BAD158" s="456"/>
      <c r="BAE158" s="456"/>
      <c r="BAF158" s="456"/>
      <c r="BAG158" s="456"/>
      <c r="BAH158" s="456"/>
      <c r="BAI158" s="456"/>
      <c r="BAJ158" s="456"/>
      <c r="BAK158" s="456"/>
      <c r="BAL158" s="456"/>
      <c r="BAM158" s="456"/>
      <c r="BAN158" s="456"/>
      <c r="BAO158" s="456"/>
      <c r="BAP158" s="456"/>
      <c r="BAQ158" s="456"/>
      <c r="BAR158" s="456"/>
      <c r="BAS158" s="456"/>
      <c r="BAT158" s="456"/>
      <c r="BAU158" s="456"/>
      <c r="BAV158" s="456"/>
      <c r="BAW158" s="456"/>
      <c r="BAX158" s="456"/>
      <c r="BAY158" s="456"/>
      <c r="BAZ158" s="456"/>
      <c r="BBA158" s="456"/>
      <c r="BBB158" s="456"/>
      <c r="BBC158" s="456"/>
      <c r="BBD158" s="456"/>
      <c r="BBE158" s="456"/>
      <c r="BBF158" s="456"/>
      <c r="BBG158" s="456"/>
      <c r="BBH158" s="456"/>
      <c r="BBI158" s="456"/>
      <c r="BBJ158" s="456"/>
      <c r="BBK158" s="456"/>
      <c r="BBL158" s="456"/>
      <c r="BBM158" s="456"/>
      <c r="BBN158" s="456"/>
      <c r="BBO158" s="456"/>
      <c r="BBP158" s="456"/>
      <c r="BBQ158" s="456"/>
      <c r="BBR158" s="456"/>
      <c r="BBS158" s="456"/>
      <c r="BBT158" s="456"/>
      <c r="BBU158" s="456"/>
      <c r="BBV158" s="456"/>
      <c r="BBW158" s="456"/>
      <c r="BBX158" s="456"/>
      <c r="BBY158" s="456"/>
      <c r="BBZ158" s="456"/>
      <c r="BCA158" s="456"/>
      <c r="BCB158" s="456"/>
      <c r="BCC158" s="456"/>
      <c r="BCD158" s="456"/>
      <c r="BCE158" s="456"/>
      <c r="BCF158" s="456"/>
      <c r="BCG158" s="456"/>
      <c r="BCH158" s="456"/>
      <c r="BCI158" s="456"/>
      <c r="BCJ158" s="456"/>
      <c r="BCK158" s="456"/>
      <c r="BCL158" s="456"/>
      <c r="BCM158" s="456"/>
      <c r="BCN158" s="456"/>
      <c r="BCO158" s="456"/>
      <c r="BCP158" s="456"/>
      <c r="BCQ158" s="456"/>
      <c r="BCR158" s="456"/>
      <c r="BCS158" s="456"/>
      <c r="BCT158" s="456"/>
      <c r="BCU158" s="456"/>
      <c r="BCV158" s="456"/>
      <c r="BCW158" s="456"/>
      <c r="BCX158" s="456"/>
      <c r="BCY158" s="456"/>
      <c r="BCZ158" s="456"/>
      <c r="BDA158" s="456"/>
      <c r="BDB158" s="456"/>
      <c r="BDC158" s="456"/>
      <c r="BDD158" s="456"/>
      <c r="BDE158" s="456"/>
      <c r="BDF158" s="456"/>
      <c r="BDG158" s="456"/>
      <c r="BDH158" s="456"/>
      <c r="BDI158" s="456"/>
      <c r="BDJ158" s="456"/>
      <c r="BDK158" s="456"/>
      <c r="BDL158" s="456"/>
      <c r="BDM158" s="456"/>
      <c r="BDN158" s="456"/>
      <c r="BDO158" s="456"/>
      <c r="BDP158" s="456"/>
      <c r="BDQ158" s="456"/>
      <c r="BDR158" s="456"/>
      <c r="BDS158" s="456"/>
      <c r="BDT158" s="456"/>
      <c r="BDU158" s="456"/>
      <c r="BDV158" s="456"/>
      <c r="BDW158" s="456"/>
      <c r="BDX158" s="456"/>
      <c r="BDY158" s="456"/>
      <c r="BDZ158" s="456"/>
      <c r="BEA158" s="456"/>
      <c r="BEB158" s="456"/>
      <c r="BEC158" s="456"/>
      <c r="BED158" s="456"/>
      <c r="BEE158" s="456"/>
      <c r="BEF158" s="456"/>
      <c r="BEG158" s="456"/>
      <c r="BEH158" s="456"/>
      <c r="BEI158" s="456"/>
      <c r="BEJ158" s="456"/>
      <c r="BEK158" s="456"/>
      <c r="BEL158" s="456"/>
      <c r="BEM158" s="456"/>
      <c r="BEN158" s="456"/>
      <c r="BEO158" s="456"/>
      <c r="BEP158" s="456"/>
      <c r="BEQ158" s="456"/>
      <c r="BER158" s="456"/>
      <c r="BES158" s="456"/>
      <c r="BET158" s="456"/>
      <c r="BEU158" s="456"/>
      <c r="BEV158" s="456"/>
      <c r="BEW158" s="456"/>
      <c r="BEX158" s="456"/>
      <c r="BEY158" s="456"/>
      <c r="BEZ158" s="456"/>
      <c r="BFA158" s="456"/>
      <c r="BFB158" s="456"/>
      <c r="BFC158" s="456"/>
      <c r="BFD158" s="456"/>
      <c r="BFE158" s="456"/>
      <c r="BFF158" s="456"/>
      <c r="BFG158" s="456"/>
      <c r="BFH158" s="456"/>
      <c r="BFI158" s="456"/>
      <c r="BFJ158" s="456"/>
      <c r="BFK158" s="456"/>
      <c r="BFL158" s="456"/>
      <c r="BFM158" s="456"/>
      <c r="BFN158" s="456"/>
      <c r="BFO158" s="456"/>
      <c r="BFP158" s="456"/>
      <c r="BFQ158" s="456"/>
      <c r="BFR158" s="456"/>
      <c r="BFS158" s="456"/>
      <c r="BFT158" s="456"/>
      <c r="BFU158" s="456"/>
      <c r="BFV158" s="456"/>
      <c r="BFW158" s="456"/>
      <c r="BFX158" s="456"/>
      <c r="BFY158" s="456"/>
      <c r="BFZ158" s="456"/>
      <c r="BGA158" s="456"/>
      <c r="BGB158" s="456"/>
      <c r="BGC158" s="456"/>
      <c r="BGD158" s="456"/>
      <c r="BGE158" s="456"/>
      <c r="BGF158" s="456"/>
      <c r="BGG158" s="456"/>
      <c r="BGH158" s="456"/>
      <c r="BGI158" s="456"/>
      <c r="BGJ158" s="456"/>
      <c r="BGK158" s="456"/>
      <c r="BGL158" s="456"/>
      <c r="BGM158" s="456"/>
      <c r="BGN158" s="456"/>
      <c r="BGO158" s="456"/>
      <c r="BGP158" s="456"/>
      <c r="BGQ158" s="456"/>
      <c r="BGR158" s="456"/>
      <c r="BGS158" s="456"/>
      <c r="BGT158" s="456"/>
      <c r="BGU158" s="456"/>
      <c r="BGV158" s="456"/>
      <c r="BGW158" s="456"/>
      <c r="BGX158" s="456"/>
      <c r="BGY158" s="456"/>
      <c r="BGZ158" s="456"/>
      <c r="BHA158" s="456"/>
      <c r="BHB158" s="456"/>
      <c r="BHC158" s="456"/>
      <c r="BHD158" s="456"/>
      <c r="BHE158" s="456"/>
      <c r="BHF158" s="456"/>
      <c r="BHG158" s="456"/>
      <c r="BHH158" s="456"/>
      <c r="BHI158" s="456"/>
      <c r="BHJ158" s="456"/>
      <c r="BHK158" s="456"/>
      <c r="BHL158" s="456"/>
      <c r="BHM158" s="456"/>
      <c r="BHN158" s="456"/>
      <c r="BHO158" s="456"/>
      <c r="BHP158" s="456"/>
      <c r="BHQ158" s="456"/>
      <c r="BHR158" s="456"/>
      <c r="BHS158" s="456"/>
      <c r="BHT158" s="456"/>
      <c r="BHU158" s="456"/>
      <c r="BHV158" s="456"/>
      <c r="BHW158" s="456"/>
      <c r="BHX158" s="456"/>
      <c r="BHY158" s="456"/>
      <c r="BHZ158" s="456"/>
      <c r="BIA158" s="456"/>
      <c r="BIB158" s="456"/>
      <c r="BIC158" s="456"/>
      <c r="BID158" s="456"/>
      <c r="BIE158" s="456"/>
      <c r="BIF158" s="456"/>
      <c r="BIG158" s="456"/>
      <c r="BIH158" s="456"/>
      <c r="BII158" s="456"/>
      <c r="BIJ158" s="456"/>
      <c r="BIK158" s="456"/>
      <c r="BIL158" s="456"/>
      <c r="BIM158" s="456"/>
      <c r="BIN158" s="456"/>
      <c r="BIO158" s="456"/>
      <c r="BIP158" s="456"/>
      <c r="BIQ158" s="456"/>
      <c r="BIR158" s="456"/>
      <c r="BIS158" s="456"/>
      <c r="BIT158" s="456"/>
      <c r="BIU158" s="456"/>
      <c r="BIV158" s="456"/>
      <c r="BIW158" s="456"/>
      <c r="BIX158" s="456"/>
      <c r="BIY158" s="456"/>
      <c r="BIZ158" s="456"/>
      <c r="BJA158" s="456"/>
      <c r="BJB158" s="456"/>
      <c r="BJC158" s="456"/>
      <c r="BJD158" s="456"/>
      <c r="BJE158" s="456"/>
      <c r="BJF158" s="456"/>
      <c r="BJG158" s="456"/>
      <c r="BJH158" s="456"/>
      <c r="BJI158" s="456"/>
      <c r="BJJ158" s="456"/>
      <c r="BJK158" s="456"/>
      <c r="BJL158" s="456"/>
      <c r="BJM158" s="456"/>
      <c r="BJN158" s="456"/>
      <c r="BJO158" s="456"/>
      <c r="BJP158" s="456"/>
      <c r="BJQ158" s="456"/>
      <c r="BJR158" s="456"/>
      <c r="BJS158" s="456"/>
      <c r="BJT158" s="456"/>
      <c r="BJU158" s="456"/>
      <c r="BJV158" s="456"/>
      <c r="BJW158" s="456"/>
      <c r="BJX158" s="456"/>
      <c r="BJY158" s="456"/>
      <c r="BJZ158" s="456"/>
      <c r="BKA158" s="456"/>
      <c r="BKB158" s="456"/>
      <c r="BKC158" s="456"/>
      <c r="BKD158" s="456"/>
      <c r="BKE158" s="456"/>
      <c r="BKF158" s="456"/>
      <c r="BKG158" s="456"/>
      <c r="BKH158" s="456"/>
      <c r="BKI158" s="456"/>
      <c r="BKJ158" s="456"/>
      <c r="BKK158" s="456"/>
      <c r="BKL158" s="456"/>
      <c r="BKM158" s="456"/>
      <c r="BKN158" s="456"/>
      <c r="BKO158" s="456"/>
      <c r="BKP158" s="456"/>
      <c r="BKQ158" s="456"/>
      <c r="BKR158" s="456"/>
      <c r="BKS158" s="456"/>
      <c r="BKT158" s="456"/>
      <c r="BKU158" s="456"/>
      <c r="BKV158" s="456"/>
      <c r="BKW158" s="456"/>
      <c r="BKX158" s="456"/>
      <c r="BKY158" s="456"/>
      <c r="BKZ158" s="456"/>
      <c r="BLA158" s="456"/>
      <c r="BLB158" s="456"/>
      <c r="BLC158" s="456"/>
      <c r="BLD158" s="456"/>
      <c r="BLE158" s="456"/>
      <c r="BLF158" s="456"/>
      <c r="BLG158" s="456"/>
      <c r="BLH158" s="456"/>
      <c r="BLI158" s="456"/>
      <c r="BLJ158" s="456"/>
      <c r="BLK158" s="456"/>
      <c r="BLL158" s="456"/>
      <c r="BLM158" s="456"/>
      <c r="BLN158" s="456"/>
      <c r="BLO158" s="456"/>
      <c r="BLP158" s="456"/>
      <c r="BLQ158" s="456"/>
      <c r="BLR158" s="456"/>
      <c r="BLS158" s="456"/>
      <c r="BLT158" s="456"/>
      <c r="BLU158" s="456"/>
      <c r="BLV158" s="456"/>
      <c r="BLW158" s="456"/>
      <c r="BLX158" s="456"/>
      <c r="BLY158" s="456"/>
      <c r="BLZ158" s="456"/>
      <c r="BMA158" s="456"/>
      <c r="BMB158" s="456"/>
      <c r="BMC158" s="456"/>
      <c r="BMD158" s="456"/>
      <c r="BME158" s="456"/>
      <c r="BMF158" s="456"/>
      <c r="BMG158" s="456"/>
      <c r="BMH158" s="456"/>
      <c r="BMI158" s="456"/>
      <c r="BMJ158" s="456"/>
      <c r="BMK158" s="456"/>
      <c r="BML158" s="456"/>
      <c r="BMM158" s="456"/>
      <c r="BMN158" s="456"/>
      <c r="BMO158" s="456"/>
      <c r="BMP158" s="456"/>
      <c r="BMQ158" s="456"/>
      <c r="BMR158" s="456"/>
      <c r="BMS158" s="456"/>
      <c r="BMT158" s="456"/>
      <c r="BMU158" s="456"/>
      <c r="BMV158" s="456"/>
      <c r="BMW158" s="456"/>
      <c r="BMX158" s="456"/>
      <c r="BMY158" s="456"/>
      <c r="BMZ158" s="456"/>
      <c r="BNA158" s="456"/>
      <c r="BNB158" s="456"/>
      <c r="BNC158" s="456"/>
      <c r="BND158" s="456"/>
      <c r="BNE158" s="456"/>
      <c r="BNF158" s="456"/>
      <c r="BNG158" s="456"/>
      <c r="BNH158" s="456"/>
      <c r="BNI158" s="456"/>
      <c r="BNJ158" s="456"/>
      <c r="BNK158" s="456"/>
      <c r="BNL158" s="456"/>
      <c r="BNM158" s="456"/>
      <c r="BNN158" s="456"/>
      <c r="BNO158" s="456"/>
      <c r="BNP158" s="456"/>
      <c r="BNQ158" s="456"/>
      <c r="BNR158" s="456"/>
      <c r="BNS158" s="456"/>
      <c r="BNT158" s="456"/>
      <c r="BNU158" s="456"/>
      <c r="BNV158" s="456"/>
      <c r="BNW158" s="456"/>
      <c r="BNX158" s="456"/>
      <c r="BNY158" s="456"/>
      <c r="BNZ158" s="456"/>
      <c r="BOA158" s="456"/>
      <c r="BOB158" s="456"/>
      <c r="BOC158" s="456"/>
      <c r="BOD158" s="456"/>
      <c r="BOE158" s="456"/>
      <c r="BOF158" s="456"/>
      <c r="BOG158" s="456"/>
      <c r="BOH158" s="456"/>
      <c r="BOI158" s="456"/>
      <c r="BOJ158" s="456"/>
      <c r="BOK158" s="456"/>
      <c r="BOL158" s="456"/>
      <c r="BOM158" s="456"/>
      <c r="BON158" s="456"/>
      <c r="BOO158" s="456"/>
      <c r="BOP158" s="456"/>
      <c r="BOQ158" s="456"/>
      <c r="BOR158" s="456"/>
      <c r="BOS158" s="456"/>
      <c r="BOT158" s="456"/>
      <c r="BOU158" s="456"/>
      <c r="BOV158" s="456"/>
      <c r="BOW158" s="456"/>
      <c r="BOX158" s="456"/>
      <c r="BOY158" s="456"/>
      <c r="BOZ158" s="456"/>
      <c r="BPA158" s="456"/>
      <c r="BPB158" s="456"/>
      <c r="BPC158" s="456"/>
      <c r="BPD158" s="456"/>
      <c r="BPE158" s="456"/>
      <c r="BPF158" s="456"/>
      <c r="BPG158" s="456"/>
      <c r="BPH158" s="456"/>
      <c r="BPI158" s="456"/>
      <c r="BPJ158" s="456"/>
      <c r="BPK158" s="456"/>
      <c r="BPL158" s="456"/>
      <c r="BPM158" s="456"/>
      <c r="BPN158" s="456"/>
      <c r="BPO158" s="456"/>
      <c r="BPP158" s="456"/>
      <c r="BPQ158" s="456"/>
      <c r="BPR158" s="456"/>
      <c r="BPS158" s="456"/>
      <c r="BPT158" s="456"/>
      <c r="BPU158" s="456"/>
      <c r="BPV158" s="456"/>
      <c r="BPW158" s="456"/>
      <c r="BPX158" s="456"/>
      <c r="BPY158" s="456"/>
      <c r="BPZ158" s="456"/>
      <c r="BQA158" s="456"/>
      <c r="BQB158" s="456"/>
      <c r="BQC158" s="456"/>
      <c r="BQD158" s="456"/>
      <c r="BQE158" s="456"/>
      <c r="BQF158" s="456"/>
      <c r="BQG158" s="456"/>
      <c r="BQH158" s="456"/>
      <c r="BQI158" s="456"/>
      <c r="BQJ158" s="456"/>
      <c r="BQK158" s="456"/>
      <c r="BQL158" s="456"/>
      <c r="BQM158" s="456"/>
      <c r="BQN158" s="456"/>
      <c r="BQO158" s="456"/>
      <c r="BQP158" s="456"/>
      <c r="BQQ158" s="456"/>
      <c r="BQR158" s="456"/>
      <c r="BQS158" s="456"/>
      <c r="BQT158" s="456"/>
      <c r="BQU158" s="456"/>
      <c r="BQV158" s="456"/>
      <c r="BQW158" s="456"/>
      <c r="BQX158" s="456"/>
      <c r="BQY158" s="456"/>
      <c r="BQZ158" s="456"/>
      <c r="BRA158" s="456"/>
      <c r="BRB158" s="456"/>
      <c r="BRC158" s="456"/>
      <c r="BRD158" s="456"/>
      <c r="BRE158" s="456"/>
      <c r="BRF158" s="456"/>
      <c r="BRG158" s="456"/>
      <c r="BRH158" s="456"/>
      <c r="BRI158" s="456"/>
      <c r="BRJ158" s="456"/>
      <c r="BRK158" s="456"/>
      <c r="BRL158" s="456"/>
      <c r="BRM158" s="456"/>
      <c r="BRN158" s="456"/>
      <c r="BRO158" s="456"/>
      <c r="BRP158" s="456"/>
      <c r="BRQ158" s="456"/>
      <c r="BRR158" s="456"/>
      <c r="BRS158" s="456"/>
      <c r="BRT158" s="456"/>
      <c r="BRU158" s="456"/>
      <c r="BRV158" s="456"/>
      <c r="BRW158" s="456"/>
      <c r="BRX158" s="456"/>
      <c r="BRY158" s="456"/>
      <c r="BRZ158" s="456"/>
      <c r="BSA158" s="456"/>
      <c r="BSB158" s="456"/>
      <c r="BSC158" s="456"/>
      <c r="BSD158" s="456"/>
      <c r="BSE158" s="456"/>
      <c r="BSF158" s="456"/>
      <c r="BSG158" s="456"/>
      <c r="BSH158" s="456"/>
      <c r="BSI158" s="456"/>
      <c r="BSJ158" s="456"/>
      <c r="BSK158" s="456"/>
      <c r="BSL158" s="456"/>
      <c r="BSM158" s="456"/>
      <c r="BSN158" s="456"/>
      <c r="BSO158" s="456"/>
      <c r="BSP158" s="456"/>
      <c r="BSQ158" s="456"/>
      <c r="BSR158" s="456"/>
      <c r="BSS158" s="456"/>
      <c r="BST158" s="456"/>
      <c r="BSU158" s="456"/>
      <c r="BSV158" s="456"/>
      <c r="BSW158" s="456"/>
      <c r="BSX158" s="456"/>
      <c r="BSY158" s="456"/>
      <c r="BSZ158" s="456"/>
      <c r="BTA158" s="456"/>
      <c r="BTB158" s="456"/>
      <c r="BTC158" s="456"/>
      <c r="BTD158" s="456"/>
      <c r="BTE158" s="456"/>
      <c r="BTF158" s="456"/>
      <c r="BTG158" s="456"/>
      <c r="BTH158" s="456"/>
      <c r="BTI158" s="456"/>
      <c r="BTJ158" s="456"/>
      <c r="BTK158" s="456"/>
      <c r="BTL158" s="456"/>
      <c r="BTM158" s="456"/>
      <c r="BTN158" s="456"/>
      <c r="BTO158" s="456"/>
      <c r="BTP158" s="456"/>
      <c r="BTQ158" s="456"/>
      <c r="BTR158" s="456"/>
      <c r="BTS158" s="456"/>
      <c r="BTT158" s="456"/>
      <c r="BTU158" s="456"/>
      <c r="BTV158" s="456"/>
      <c r="BTW158" s="456"/>
      <c r="BTX158" s="456"/>
      <c r="BTY158" s="456"/>
      <c r="BTZ158" s="456"/>
      <c r="BUA158" s="456"/>
      <c r="BUB158" s="456"/>
      <c r="BUC158" s="456"/>
      <c r="BUD158" s="456"/>
      <c r="BUE158" s="456"/>
      <c r="BUF158" s="456"/>
      <c r="BUG158" s="456"/>
      <c r="BUH158" s="456"/>
      <c r="BUI158" s="456"/>
      <c r="BUJ158" s="456"/>
      <c r="BUK158" s="456"/>
      <c r="BUL158" s="456"/>
      <c r="BUM158" s="456"/>
      <c r="BUN158" s="456"/>
      <c r="BUO158" s="456"/>
      <c r="BUP158" s="456"/>
      <c r="BUQ158" s="456"/>
      <c r="BUR158" s="456"/>
      <c r="BUS158" s="456"/>
      <c r="BUT158" s="456"/>
      <c r="BUU158" s="456"/>
      <c r="BUV158" s="456"/>
      <c r="BUW158" s="456"/>
      <c r="BUX158" s="456"/>
      <c r="BUY158" s="456"/>
      <c r="BUZ158" s="456"/>
      <c r="BVA158" s="456"/>
      <c r="BVB158" s="456"/>
      <c r="BVC158" s="456"/>
      <c r="BVD158" s="456"/>
      <c r="BVE158" s="456"/>
      <c r="BVF158" s="456"/>
      <c r="BVG158" s="456"/>
      <c r="BVH158" s="456"/>
      <c r="BVI158" s="456"/>
      <c r="BVJ158" s="456"/>
      <c r="BVK158" s="456"/>
      <c r="BVL158" s="456"/>
      <c r="BVM158" s="456"/>
      <c r="BVN158" s="456"/>
      <c r="BVO158" s="456"/>
      <c r="BVP158" s="456"/>
      <c r="BVQ158" s="456"/>
      <c r="BVR158" s="456"/>
      <c r="BVS158" s="456"/>
      <c r="BVT158" s="456"/>
      <c r="BVU158" s="456"/>
      <c r="BVV158" s="456"/>
      <c r="BVW158" s="456"/>
      <c r="BVX158" s="456"/>
      <c r="BVY158" s="456"/>
      <c r="BVZ158" s="456"/>
      <c r="BWA158" s="456"/>
      <c r="BWB158" s="456"/>
      <c r="BWC158" s="456"/>
      <c r="BWD158" s="456"/>
      <c r="BWE158" s="456"/>
      <c r="BWF158" s="456"/>
      <c r="BWG158" s="456"/>
      <c r="BWH158" s="456"/>
      <c r="BWI158" s="456"/>
      <c r="BWJ158" s="456"/>
      <c r="BWK158" s="456"/>
      <c r="BWL158" s="456"/>
      <c r="BWM158" s="456"/>
      <c r="BWN158" s="456"/>
      <c r="BWO158" s="456"/>
      <c r="BWP158" s="456"/>
      <c r="BWQ158" s="456"/>
      <c r="BWR158" s="456"/>
      <c r="BWS158" s="456"/>
      <c r="BWT158" s="456"/>
      <c r="BWU158" s="456"/>
      <c r="BWV158" s="456"/>
      <c r="BWW158" s="456"/>
      <c r="BWX158" s="456"/>
      <c r="BWY158" s="456"/>
      <c r="BWZ158" s="456"/>
      <c r="BXA158" s="456"/>
      <c r="BXB158" s="456"/>
      <c r="BXC158" s="456"/>
      <c r="BXD158" s="456"/>
      <c r="BXE158" s="456"/>
      <c r="BXF158" s="456"/>
      <c r="BXG158" s="456"/>
      <c r="BXH158" s="456"/>
      <c r="BXI158" s="456"/>
      <c r="BXJ158" s="456"/>
      <c r="BXK158" s="456"/>
      <c r="BXL158" s="456"/>
      <c r="BXM158" s="456"/>
      <c r="BXN158" s="456"/>
      <c r="BXO158" s="456"/>
      <c r="BXP158" s="456"/>
      <c r="BXQ158" s="456"/>
      <c r="BXR158" s="456"/>
      <c r="BXS158" s="456"/>
      <c r="BXT158" s="456"/>
      <c r="BXU158" s="456"/>
      <c r="BXV158" s="456"/>
      <c r="BXW158" s="456"/>
      <c r="BXX158" s="456"/>
      <c r="BXY158" s="456"/>
      <c r="BXZ158" s="456"/>
    </row>
    <row r="159" s="25" customFormat="1" spans="1:1024 1025:2002">
      <c r="A159" s="473" t="s">
        <v>34</v>
      </c>
      <c r="B159" s="19">
        <v>1130</v>
      </c>
      <c r="C159" s="183">
        <v>46205</v>
      </c>
      <c r="D159" s="17" t="s">
        <v>52</v>
      </c>
      <c r="E159" s="17" t="s">
        <v>104</v>
      </c>
      <c r="F159" s="17" t="s">
        <v>54</v>
      </c>
      <c r="G159" s="17"/>
      <c r="H159" s="19">
        <v>1.2316</v>
      </c>
      <c r="I159" s="19" t="s">
        <v>114</v>
      </c>
      <c r="J159" s="17" t="s">
        <v>49</v>
      </c>
      <c r="K159" s="489">
        <v>1050</v>
      </c>
      <c r="L159" s="489">
        <v>40</v>
      </c>
      <c r="M159" s="489">
        <v>2200</v>
      </c>
      <c r="N159" s="19" t="s">
        <v>66</v>
      </c>
      <c r="O159" s="19" t="s">
        <v>67</v>
      </c>
      <c r="P159" s="490">
        <v>659.4</v>
      </c>
      <c r="Q159" s="19">
        <v>635</v>
      </c>
      <c r="R159" s="99">
        <f t="shared" si="9"/>
        <v>24.4</v>
      </c>
      <c r="S159" s="19">
        <f t="shared" si="11"/>
        <v>2870</v>
      </c>
      <c r="T159" s="19" t="s">
        <v>42</v>
      </c>
      <c r="U159" s="102" t="s">
        <v>115</v>
      </c>
      <c r="V159" s="186">
        <v>46208</v>
      </c>
      <c r="W159" s="17" t="s">
        <v>44</v>
      </c>
      <c r="X159" s="17"/>
      <c r="Y159" s="68">
        <v>46235</v>
      </c>
      <c r="Z159" s="17" t="s">
        <v>45</v>
      </c>
      <c r="AA159" s="17" t="s">
        <v>46</v>
      </c>
      <c r="AB159" s="17" t="s">
        <v>116</v>
      </c>
      <c r="AC159" s="217">
        <v>46241</v>
      </c>
      <c r="AD159" s="65">
        <v>1848</v>
      </c>
      <c r="AE159" s="17" t="s">
        <v>48</v>
      </c>
      <c r="AF159" s="17" t="s">
        <v>61</v>
      </c>
      <c r="AG159" s="17"/>
      <c r="AH159" s="456"/>
      <c r="AI159" s="456"/>
      <c r="AJ159" s="456"/>
      <c r="AK159" s="456"/>
      <c r="AL159" s="456"/>
      <c r="AM159" s="456"/>
      <c r="AN159" s="456"/>
      <c r="AO159" s="456"/>
      <c r="AP159" s="456"/>
      <c r="AQ159" s="456"/>
      <c r="AR159" s="456"/>
      <c r="AS159" s="456"/>
      <c r="AT159" s="456"/>
      <c r="AU159" s="456"/>
      <c r="AV159" s="456"/>
      <c r="AW159" s="456"/>
      <c r="AX159" s="456"/>
      <c r="AY159" s="456"/>
      <c r="AZ159" s="456"/>
      <c r="BA159" s="456"/>
      <c r="BB159" s="456"/>
      <c r="BC159" s="456"/>
      <c r="BD159" s="456"/>
      <c r="BE159" s="456"/>
      <c r="BF159" s="456"/>
      <c r="BG159" s="456"/>
      <c r="BH159" s="456"/>
      <c r="BI159" s="456"/>
      <c r="BJ159" s="456"/>
      <c r="BK159" s="456"/>
      <c r="BL159" s="456"/>
      <c r="BM159" s="456"/>
      <c r="BN159" s="456"/>
      <c r="BO159" s="456"/>
      <c r="BP159" s="456"/>
      <c r="BQ159" s="456"/>
      <c r="BR159" s="456"/>
      <c r="BS159" s="456"/>
      <c r="BT159" s="456"/>
      <c r="BU159" s="456"/>
      <c r="BV159" s="456"/>
      <c r="BW159" s="456"/>
      <c r="BX159" s="456"/>
      <c r="BY159" s="456"/>
      <c r="BZ159" s="456"/>
      <c r="CA159" s="456"/>
      <c r="CB159" s="456"/>
      <c r="CC159" s="456"/>
      <c r="CD159" s="456"/>
      <c r="CE159" s="456"/>
      <c r="CF159" s="456"/>
      <c r="CG159" s="456"/>
      <c r="CH159" s="456"/>
      <c r="CI159" s="456"/>
      <c r="CJ159" s="456"/>
      <c r="CK159" s="456"/>
      <c r="CL159" s="456"/>
      <c r="CM159" s="456"/>
      <c r="CN159" s="456"/>
      <c r="CO159" s="456"/>
      <c r="CP159" s="456"/>
      <c r="CQ159" s="456"/>
      <c r="CR159" s="456"/>
      <c r="CS159" s="456"/>
      <c r="CT159" s="456"/>
      <c r="CU159" s="456"/>
      <c r="CV159" s="456"/>
      <c r="CW159" s="456"/>
      <c r="CX159" s="456"/>
      <c r="CY159" s="456"/>
      <c r="CZ159" s="456"/>
      <c r="DA159" s="456"/>
      <c r="DB159" s="456"/>
      <c r="DC159" s="456"/>
      <c r="DD159" s="456"/>
      <c r="DE159" s="456"/>
      <c r="DF159" s="456"/>
      <c r="DG159" s="456"/>
      <c r="DH159" s="456"/>
      <c r="DI159" s="456"/>
      <c r="DJ159" s="456"/>
      <c r="DK159" s="456"/>
      <c r="DL159" s="456"/>
      <c r="DM159" s="456"/>
      <c r="DN159" s="456"/>
      <c r="DO159" s="456"/>
      <c r="DP159" s="456"/>
      <c r="DQ159" s="456"/>
      <c r="DR159" s="456"/>
      <c r="DS159" s="456"/>
      <c r="DT159" s="456"/>
      <c r="DU159" s="456"/>
      <c r="DV159" s="456"/>
      <c r="DW159" s="456"/>
      <c r="DX159" s="456"/>
      <c r="DY159" s="456"/>
      <c r="DZ159" s="456"/>
      <c r="EA159" s="456"/>
      <c r="EB159" s="456"/>
      <c r="EC159" s="456"/>
      <c r="ED159" s="456"/>
      <c r="EE159" s="456"/>
      <c r="EF159" s="456"/>
      <c r="EG159" s="456"/>
      <c r="EH159" s="456"/>
      <c r="EI159" s="456"/>
      <c r="EJ159" s="456"/>
      <c r="EK159" s="456"/>
      <c r="EL159" s="456"/>
      <c r="EM159" s="456"/>
      <c r="EN159" s="456"/>
      <c r="EO159" s="456"/>
      <c r="EP159" s="456"/>
      <c r="EQ159" s="456"/>
      <c r="ER159" s="456"/>
      <c r="ES159" s="456"/>
      <c r="ET159" s="456"/>
      <c r="EU159" s="456"/>
      <c r="EV159" s="456"/>
      <c r="EW159" s="456"/>
      <c r="EX159" s="456"/>
      <c r="EY159" s="456"/>
      <c r="EZ159" s="456"/>
      <c r="FA159" s="456"/>
      <c r="FB159" s="456"/>
      <c r="FC159" s="456"/>
      <c r="FD159" s="456"/>
      <c r="FE159" s="456"/>
      <c r="FF159" s="456"/>
      <c r="FG159" s="456"/>
      <c r="FH159" s="456"/>
      <c r="FI159" s="456"/>
      <c r="FJ159" s="456"/>
      <c r="FK159" s="456"/>
      <c r="FL159" s="456"/>
      <c r="FM159" s="456"/>
      <c r="FN159" s="456"/>
      <c r="FO159" s="456"/>
      <c r="FP159" s="456"/>
      <c r="FQ159" s="456"/>
      <c r="FR159" s="456"/>
      <c r="FS159" s="456"/>
      <c r="FT159" s="456"/>
      <c r="FU159" s="456"/>
      <c r="FV159" s="456"/>
      <c r="FW159" s="456"/>
      <c r="FX159" s="456"/>
      <c r="FY159" s="456"/>
      <c r="FZ159" s="456"/>
      <c r="GA159" s="456"/>
      <c r="GB159" s="456"/>
      <c r="GC159" s="456"/>
      <c r="GD159" s="456"/>
      <c r="GE159" s="456"/>
      <c r="GF159" s="456"/>
      <c r="GG159" s="456"/>
      <c r="GH159" s="456"/>
      <c r="GI159" s="456"/>
      <c r="GJ159" s="456"/>
      <c r="GK159" s="456"/>
      <c r="GL159" s="456"/>
      <c r="GM159" s="456"/>
      <c r="GN159" s="456"/>
      <c r="GO159" s="456"/>
      <c r="GP159" s="456"/>
      <c r="GQ159" s="456"/>
      <c r="GR159" s="456"/>
      <c r="GS159" s="456"/>
      <c r="GT159" s="456"/>
      <c r="GU159" s="456"/>
      <c r="GV159" s="456"/>
      <c r="GW159" s="456"/>
      <c r="GX159" s="456"/>
      <c r="GY159" s="456"/>
      <c r="GZ159" s="456"/>
      <c r="HA159" s="456"/>
      <c r="HB159" s="456"/>
      <c r="HC159" s="456"/>
      <c r="HD159" s="456"/>
      <c r="HE159" s="456"/>
      <c r="HF159" s="456"/>
      <c r="HG159" s="456"/>
      <c r="HH159" s="456"/>
      <c r="HI159" s="456"/>
      <c r="HJ159" s="456"/>
      <c r="HK159" s="456"/>
      <c r="HL159" s="456"/>
      <c r="HM159" s="456"/>
      <c r="HN159" s="456"/>
      <c r="HO159" s="456"/>
      <c r="HP159" s="456"/>
      <c r="HQ159" s="456"/>
      <c r="HR159" s="456"/>
      <c r="HS159" s="456"/>
      <c r="HT159" s="456"/>
      <c r="HU159" s="456"/>
      <c r="HV159" s="456"/>
      <c r="HW159" s="456"/>
      <c r="HX159" s="456"/>
      <c r="HY159" s="456"/>
      <c r="HZ159" s="456"/>
      <c r="IA159" s="456"/>
      <c r="IB159" s="456"/>
      <c r="IC159" s="456"/>
      <c r="ID159" s="456"/>
      <c r="IE159" s="456"/>
      <c r="IF159" s="456"/>
      <c r="IG159" s="456"/>
      <c r="IH159" s="456"/>
      <c r="II159" s="456"/>
      <c r="IJ159" s="456"/>
      <c r="IK159" s="456"/>
      <c r="IL159" s="456"/>
      <c r="IM159" s="456"/>
      <c r="IN159" s="456"/>
      <c r="IO159" s="456"/>
      <c r="IP159" s="456"/>
      <c r="IQ159" s="456"/>
      <c r="IR159" s="456"/>
      <c r="IS159" s="456"/>
      <c r="IT159" s="456"/>
      <c r="IU159" s="456"/>
      <c r="IV159" s="456"/>
      <c r="IW159" s="456"/>
      <c r="IX159" s="456"/>
      <c r="IY159" s="456"/>
      <c r="IZ159" s="456"/>
      <c r="JA159" s="456"/>
      <c r="JB159" s="456"/>
      <c r="JC159" s="456"/>
      <c r="JD159" s="456"/>
      <c r="JE159" s="456"/>
      <c r="JF159" s="456"/>
      <c r="JG159" s="456"/>
      <c r="JH159" s="456"/>
      <c r="JI159" s="456"/>
      <c r="JJ159" s="456"/>
      <c r="JK159" s="456"/>
      <c r="JL159" s="456"/>
      <c r="JM159" s="456"/>
      <c r="JN159" s="456"/>
      <c r="JO159" s="456"/>
      <c r="JP159" s="456"/>
      <c r="JQ159" s="456"/>
      <c r="JR159" s="456"/>
      <c r="JS159" s="456"/>
      <c r="JT159" s="456"/>
      <c r="JU159" s="456"/>
      <c r="JV159" s="456"/>
      <c r="JW159" s="456"/>
      <c r="JX159" s="456"/>
      <c r="JY159" s="456"/>
      <c r="JZ159" s="456"/>
      <c r="KA159" s="456"/>
      <c r="KB159" s="456"/>
      <c r="KC159" s="456"/>
      <c r="KD159" s="456"/>
      <c r="KE159" s="456"/>
      <c r="KF159" s="456"/>
      <c r="KG159" s="456"/>
      <c r="KH159" s="456"/>
      <c r="KI159" s="456"/>
      <c r="KJ159" s="456"/>
      <c r="KK159" s="456"/>
      <c r="KL159" s="456"/>
      <c r="KM159" s="456"/>
      <c r="KN159" s="456"/>
      <c r="KO159" s="456"/>
      <c r="KP159" s="456"/>
      <c r="KQ159" s="456"/>
      <c r="KR159" s="456"/>
      <c r="KS159" s="456"/>
      <c r="KT159" s="456"/>
      <c r="KU159" s="456"/>
      <c r="KV159" s="456"/>
      <c r="KW159" s="456"/>
      <c r="KX159" s="456"/>
      <c r="KY159" s="456"/>
      <c r="KZ159" s="456"/>
      <c r="LA159" s="456"/>
      <c r="LB159" s="456"/>
      <c r="LC159" s="456"/>
      <c r="LD159" s="456"/>
      <c r="LE159" s="456"/>
      <c r="LF159" s="456"/>
      <c r="LG159" s="456"/>
      <c r="LH159" s="456"/>
      <c r="LI159" s="456"/>
      <c r="LJ159" s="456"/>
      <c r="LK159" s="456"/>
      <c r="LL159" s="456"/>
      <c r="LM159" s="456"/>
      <c r="LN159" s="456"/>
      <c r="LO159" s="456"/>
      <c r="LP159" s="456"/>
      <c r="LQ159" s="456"/>
      <c r="LR159" s="456"/>
      <c r="LS159" s="456"/>
      <c r="LT159" s="456"/>
      <c r="LU159" s="456"/>
      <c r="LV159" s="456"/>
      <c r="LW159" s="456"/>
      <c r="LX159" s="456"/>
      <c r="LY159" s="456"/>
      <c r="LZ159" s="456"/>
      <c r="MA159" s="456"/>
      <c r="MB159" s="456"/>
      <c r="MC159" s="456"/>
      <c r="MD159" s="456"/>
      <c r="ME159" s="456"/>
      <c r="MF159" s="456"/>
      <c r="MG159" s="456"/>
      <c r="MH159" s="456"/>
      <c r="MI159" s="456"/>
      <c r="MJ159" s="456"/>
      <c r="MK159" s="456"/>
      <c r="ML159" s="456"/>
      <c r="MM159" s="456"/>
      <c r="MN159" s="456"/>
      <c r="MO159" s="456"/>
      <c r="MP159" s="456"/>
      <c r="MQ159" s="456"/>
      <c r="MR159" s="456"/>
      <c r="MS159" s="456"/>
      <c r="MT159" s="456"/>
      <c r="MU159" s="456"/>
      <c r="MV159" s="456"/>
      <c r="MW159" s="456"/>
      <c r="MX159" s="456"/>
      <c r="MY159" s="456"/>
      <c r="MZ159" s="456"/>
      <c r="NA159" s="456"/>
      <c r="NB159" s="456"/>
      <c r="NC159" s="456"/>
      <c r="ND159" s="456"/>
      <c r="NE159" s="456"/>
      <c r="NF159" s="456"/>
      <c r="NG159" s="456"/>
      <c r="NH159" s="456"/>
      <c r="NI159" s="456"/>
      <c r="NJ159" s="456"/>
      <c r="NK159" s="456"/>
      <c r="NL159" s="456"/>
      <c r="NM159" s="456"/>
      <c r="NN159" s="456"/>
      <c r="NO159" s="456"/>
      <c r="NP159" s="456"/>
      <c r="NQ159" s="456"/>
      <c r="NR159" s="456"/>
      <c r="NS159" s="456"/>
      <c r="NT159" s="456"/>
      <c r="NU159" s="456"/>
      <c r="NV159" s="456"/>
      <c r="NW159" s="456"/>
      <c r="NX159" s="456"/>
      <c r="NY159" s="456"/>
      <c r="NZ159" s="456"/>
      <c r="OA159" s="456"/>
      <c r="OB159" s="456"/>
      <c r="OC159" s="456"/>
      <c r="OD159" s="456"/>
      <c r="OE159" s="456"/>
      <c r="OF159" s="456"/>
      <c r="OG159" s="456"/>
      <c r="OH159" s="456"/>
      <c r="OI159" s="456"/>
      <c r="OJ159" s="456"/>
      <c r="OK159" s="456"/>
      <c r="OL159" s="456"/>
      <c r="OM159" s="456"/>
      <c r="ON159" s="456"/>
      <c r="OO159" s="456"/>
      <c r="OP159" s="456"/>
      <c r="OQ159" s="456"/>
      <c r="OR159" s="456"/>
      <c r="OS159" s="456"/>
      <c r="OT159" s="456"/>
      <c r="OU159" s="456"/>
      <c r="OV159" s="456"/>
      <c r="OW159" s="456"/>
      <c r="OX159" s="456"/>
      <c r="OY159" s="456"/>
      <c r="OZ159" s="456"/>
      <c r="PA159" s="456"/>
      <c r="PB159" s="456"/>
      <c r="PC159" s="456"/>
      <c r="PD159" s="456"/>
      <c r="PE159" s="456"/>
      <c r="PF159" s="456"/>
      <c r="PG159" s="456"/>
      <c r="PH159" s="456"/>
      <c r="PI159" s="456"/>
      <c r="PJ159" s="456"/>
      <c r="PK159" s="456"/>
      <c r="PL159" s="456"/>
      <c r="PM159" s="456"/>
      <c r="PN159" s="456"/>
      <c r="PO159" s="456"/>
      <c r="PP159" s="456"/>
      <c r="PQ159" s="456"/>
      <c r="PR159" s="456"/>
      <c r="PS159" s="456"/>
      <c r="PT159" s="456"/>
      <c r="PU159" s="456"/>
      <c r="PV159" s="456"/>
      <c r="PW159" s="456"/>
      <c r="PX159" s="456"/>
      <c r="PY159" s="456"/>
      <c r="PZ159" s="456"/>
      <c r="QA159" s="456"/>
      <c r="QB159" s="456"/>
      <c r="QC159" s="456"/>
      <c r="QD159" s="456"/>
      <c r="QE159" s="456"/>
      <c r="QF159" s="456"/>
      <c r="QG159" s="456"/>
      <c r="QH159" s="456"/>
      <c r="QI159" s="456"/>
      <c r="QJ159" s="456"/>
      <c r="QK159" s="456"/>
      <c r="QL159" s="456"/>
      <c r="QM159" s="456"/>
      <c r="QN159" s="456"/>
      <c r="QO159" s="456"/>
      <c r="QP159" s="456"/>
      <c r="QQ159" s="456"/>
      <c r="QR159" s="456"/>
      <c r="QS159" s="456"/>
      <c r="QT159" s="456"/>
      <c r="QU159" s="456"/>
      <c r="QV159" s="456"/>
      <c r="QW159" s="456"/>
      <c r="QX159" s="456"/>
      <c r="QY159" s="456"/>
      <c r="QZ159" s="456"/>
      <c r="RA159" s="456"/>
      <c r="RB159" s="456"/>
      <c r="RC159" s="456"/>
      <c r="RD159" s="456"/>
      <c r="RE159" s="456"/>
      <c r="RF159" s="456"/>
      <c r="RG159" s="456"/>
      <c r="RH159" s="456"/>
      <c r="RI159" s="456"/>
      <c r="RJ159" s="456"/>
      <c r="RK159" s="456"/>
      <c r="RL159" s="456"/>
      <c r="RM159" s="456"/>
      <c r="RN159" s="456"/>
      <c r="RO159" s="456"/>
      <c r="RP159" s="456"/>
      <c r="RQ159" s="456"/>
      <c r="RR159" s="456"/>
      <c r="RS159" s="456"/>
      <c r="RT159" s="456"/>
      <c r="RU159" s="456"/>
      <c r="RV159" s="456"/>
      <c r="RW159" s="456"/>
      <c r="RX159" s="456"/>
      <c r="RY159" s="456"/>
      <c r="RZ159" s="456"/>
      <c r="SA159" s="456"/>
      <c r="SB159" s="456"/>
      <c r="SC159" s="456"/>
      <c r="SD159" s="456"/>
      <c r="SE159" s="456"/>
      <c r="SF159" s="456"/>
      <c r="SG159" s="456"/>
      <c r="SH159" s="456"/>
      <c r="SI159" s="456"/>
      <c r="SJ159" s="456"/>
      <c r="SK159" s="456"/>
      <c r="SL159" s="456"/>
      <c r="SM159" s="456"/>
      <c r="SN159" s="456"/>
      <c r="SO159" s="456"/>
      <c r="SP159" s="456"/>
      <c r="SQ159" s="456"/>
      <c r="SR159" s="456"/>
      <c r="SS159" s="456"/>
      <c r="ST159" s="456"/>
      <c r="SU159" s="456"/>
      <c r="SV159" s="456"/>
      <c r="SW159" s="456"/>
      <c r="SX159" s="456"/>
      <c r="SY159" s="456"/>
      <c r="SZ159" s="456"/>
      <c r="TA159" s="456"/>
      <c r="TB159" s="456"/>
      <c r="TC159" s="456"/>
      <c r="TD159" s="456"/>
      <c r="TE159" s="456"/>
      <c r="TF159" s="456"/>
      <c r="TG159" s="456"/>
      <c r="TH159" s="456"/>
      <c r="TI159" s="456"/>
      <c r="TJ159" s="456"/>
      <c r="TK159" s="456"/>
      <c r="TL159" s="456"/>
      <c r="TM159" s="456"/>
      <c r="TN159" s="456"/>
      <c r="TO159" s="456"/>
      <c r="TP159" s="456"/>
      <c r="TQ159" s="456"/>
      <c r="TR159" s="456"/>
      <c r="TS159" s="456"/>
      <c r="TT159" s="456"/>
      <c r="TU159" s="456"/>
      <c r="TV159" s="456"/>
      <c r="TW159" s="456"/>
      <c r="TX159" s="456"/>
      <c r="TY159" s="456"/>
      <c r="TZ159" s="456"/>
      <c r="UA159" s="456"/>
      <c r="UB159" s="456"/>
      <c r="UC159" s="456"/>
      <c r="UD159" s="456"/>
      <c r="UE159" s="456"/>
      <c r="UF159" s="456"/>
      <c r="UG159" s="456"/>
      <c r="UH159" s="456"/>
      <c r="UI159" s="456"/>
      <c r="UJ159" s="456"/>
      <c r="UK159" s="456"/>
      <c r="UL159" s="456"/>
      <c r="UM159" s="456"/>
      <c r="UN159" s="456"/>
      <c r="UO159" s="456"/>
      <c r="UP159" s="456"/>
      <c r="UQ159" s="456"/>
      <c r="UR159" s="456"/>
      <c r="US159" s="456"/>
      <c r="UT159" s="456"/>
      <c r="UU159" s="456"/>
      <c r="UV159" s="456"/>
      <c r="UW159" s="456"/>
      <c r="UX159" s="456"/>
      <c r="UY159" s="456"/>
      <c r="UZ159" s="456"/>
      <c r="VA159" s="456"/>
      <c r="VB159" s="456"/>
      <c r="VC159" s="456"/>
      <c r="VD159" s="456"/>
      <c r="VE159" s="456"/>
      <c r="VF159" s="456"/>
      <c r="VG159" s="456"/>
      <c r="VH159" s="456"/>
      <c r="VI159" s="456"/>
      <c r="VJ159" s="456"/>
      <c r="VK159" s="456"/>
      <c r="VL159" s="456"/>
      <c r="VM159" s="456"/>
      <c r="VN159" s="456"/>
      <c r="VO159" s="456"/>
      <c r="VP159" s="456"/>
      <c r="VQ159" s="456"/>
      <c r="VR159" s="456"/>
      <c r="VS159" s="456"/>
      <c r="VT159" s="456"/>
      <c r="VU159" s="456"/>
      <c r="VV159" s="456"/>
      <c r="VW159" s="456"/>
      <c r="VX159" s="456"/>
      <c r="VY159" s="456"/>
      <c r="VZ159" s="456"/>
      <c r="WA159" s="456"/>
      <c r="WB159" s="456"/>
      <c r="WC159" s="456"/>
      <c r="WD159" s="456"/>
      <c r="WE159" s="456"/>
      <c r="WF159" s="456"/>
      <c r="WG159" s="456"/>
      <c r="WH159" s="456"/>
      <c r="WI159" s="456"/>
      <c r="WJ159" s="456"/>
      <c r="WK159" s="456"/>
      <c r="WL159" s="456"/>
      <c r="WM159" s="456"/>
      <c r="WN159" s="456"/>
      <c r="WO159" s="456"/>
      <c r="WP159" s="456"/>
      <c r="WQ159" s="456"/>
      <c r="WR159" s="456"/>
      <c r="WS159" s="456"/>
      <c r="WT159" s="456"/>
      <c r="WU159" s="456"/>
      <c r="WV159" s="456"/>
      <c r="WW159" s="456"/>
      <c r="WX159" s="456"/>
      <c r="WY159" s="456"/>
      <c r="WZ159" s="456"/>
      <c r="XA159" s="456"/>
      <c r="XB159" s="456"/>
      <c r="XC159" s="456"/>
      <c r="XD159" s="456"/>
      <c r="XE159" s="456"/>
      <c r="XF159" s="456"/>
      <c r="XG159" s="456"/>
      <c r="XH159" s="456"/>
      <c r="XI159" s="456"/>
      <c r="XJ159" s="456"/>
      <c r="XK159" s="456"/>
      <c r="XL159" s="456"/>
      <c r="XM159" s="456"/>
      <c r="XN159" s="456"/>
      <c r="XO159" s="456"/>
      <c r="XP159" s="456"/>
      <c r="XQ159" s="456"/>
      <c r="XR159" s="456"/>
      <c r="XS159" s="456"/>
      <c r="XT159" s="456"/>
      <c r="XU159" s="456"/>
      <c r="XV159" s="456"/>
      <c r="XW159" s="456"/>
      <c r="XX159" s="456"/>
      <c r="XY159" s="456"/>
      <c r="XZ159" s="456"/>
      <c r="YA159" s="456"/>
      <c r="YB159" s="456"/>
      <c r="YC159" s="456"/>
      <c r="YD159" s="456"/>
      <c r="YE159" s="456"/>
      <c r="YF159" s="456"/>
      <c r="YG159" s="456"/>
      <c r="YH159" s="456"/>
      <c r="YI159" s="456"/>
      <c r="YJ159" s="456"/>
      <c r="YK159" s="456"/>
      <c r="YL159" s="456"/>
      <c r="YM159" s="456"/>
      <c r="YN159" s="456"/>
      <c r="YO159" s="456"/>
      <c r="YP159" s="456"/>
      <c r="YQ159" s="456"/>
      <c r="YR159" s="456"/>
      <c r="YS159" s="456"/>
      <c r="YT159" s="456"/>
      <c r="YU159" s="456"/>
      <c r="YV159" s="456"/>
      <c r="YW159" s="456"/>
      <c r="YX159" s="456"/>
      <c r="YY159" s="456"/>
      <c r="YZ159" s="456"/>
      <c r="ZA159" s="456"/>
      <c r="ZB159" s="456"/>
      <c r="ZC159" s="456"/>
      <c r="ZD159" s="456"/>
      <c r="ZE159" s="456"/>
      <c r="ZF159" s="456"/>
      <c r="ZG159" s="456"/>
      <c r="ZH159" s="456"/>
      <c r="ZI159" s="456"/>
      <c r="ZJ159" s="456"/>
      <c r="ZK159" s="456"/>
      <c r="ZL159" s="456"/>
      <c r="ZM159" s="456"/>
      <c r="ZN159" s="456"/>
      <c r="ZO159" s="456"/>
      <c r="ZP159" s="456"/>
      <c r="ZQ159" s="456"/>
      <c r="ZR159" s="456"/>
      <c r="ZS159" s="456"/>
      <c r="ZT159" s="456"/>
      <c r="ZU159" s="456"/>
      <c r="ZV159" s="456"/>
      <c r="ZW159" s="456"/>
      <c r="ZX159" s="456"/>
      <c r="ZY159" s="456"/>
      <c r="ZZ159" s="456"/>
      <c r="AAA159" s="456"/>
      <c r="AAB159" s="456"/>
      <c r="AAC159" s="456"/>
      <c r="AAD159" s="456"/>
      <c r="AAE159" s="456"/>
      <c r="AAF159" s="456"/>
      <c r="AAG159" s="456"/>
      <c r="AAH159" s="456"/>
      <c r="AAI159" s="456"/>
      <c r="AAJ159" s="456"/>
      <c r="AAK159" s="456"/>
      <c r="AAL159" s="456"/>
      <c r="AAM159" s="456"/>
      <c r="AAN159" s="456"/>
      <c r="AAO159" s="456"/>
      <c r="AAP159" s="456"/>
      <c r="AAQ159" s="456"/>
      <c r="AAR159" s="456"/>
      <c r="AAS159" s="456"/>
      <c r="AAT159" s="456"/>
      <c r="AAU159" s="456"/>
      <c r="AAV159" s="456"/>
      <c r="AAW159" s="456"/>
      <c r="AAX159" s="456"/>
      <c r="AAY159" s="456"/>
      <c r="AAZ159" s="456"/>
      <c r="ABA159" s="456"/>
      <c r="ABB159" s="456"/>
      <c r="ABC159" s="456"/>
      <c r="ABD159" s="456"/>
      <c r="ABE159" s="456"/>
      <c r="ABF159" s="456"/>
      <c r="ABG159" s="456"/>
      <c r="ABH159" s="456"/>
      <c r="ABI159" s="456"/>
      <c r="ABJ159" s="456"/>
      <c r="ABK159" s="456"/>
      <c r="ABL159" s="456"/>
      <c r="ABM159" s="456"/>
      <c r="ABN159" s="456"/>
      <c r="ABO159" s="456"/>
      <c r="ABP159" s="456"/>
      <c r="ABQ159" s="456"/>
      <c r="ABR159" s="456"/>
      <c r="ABS159" s="456"/>
      <c r="ABT159" s="456"/>
      <c r="ABU159" s="456"/>
      <c r="ABV159" s="456"/>
      <c r="ABW159" s="456"/>
      <c r="ABX159" s="456"/>
      <c r="ABY159" s="456"/>
      <c r="ABZ159" s="456"/>
      <c r="ACA159" s="456"/>
      <c r="ACB159" s="456"/>
      <c r="ACC159" s="456"/>
      <c r="ACD159" s="456"/>
      <c r="ACE159" s="456"/>
      <c r="ACF159" s="456"/>
      <c r="ACG159" s="456"/>
      <c r="ACH159" s="456"/>
      <c r="ACI159" s="456"/>
      <c r="ACJ159" s="456"/>
      <c r="ACK159" s="456"/>
      <c r="ACL159" s="456"/>
      <c r="ACM159" s="456"/>
      <c r="ACN159" s="456"/>
      <c r="ACO159" s="456"/>
      <c r="ACP159" s="456"/>
      <c r="ACQ159" s="456"/>
      <c r="ACR159" s="456"/>
      <c r="ACS159" s="456"/>
      <c r="ACT159" s="456"/>
      <c r="ACU159" s="456"/>
      <c r="ACV159" s="456"/>
      <c r="ACW159" s="456"/>
      <c r="ACX159" s="456"/>
      <c r="ACY159" s="456"/>
      <c r="ACZ159" s="456"/>
      <c r="ADA159" s="456"/>
      <c r="ADB159" s="456"/>
      <c r="ADC159" s="456"/>
      <c r="ADD159" s="456"/>
      <c r="ADE159" s="456"/>
      <c r="ADF159" s="456"/>
      <c r="ADG159" s="456"/>
      <c r="ADH159" s="456"/>
      <c r="ADI159" s="456"/>
      <c r="ADJ159" s="456"/>
      <c r="ADK159" s="456"/>
      <c r="ADL159" s="456"/>
      <c r="ADM159" s="456"/>
      <c r="ADN159" s="456"/>
      <c r="ADO159" s="456"/>
      <c r="ADP159" s="456"/>
      <c r="ADQ159" s="456"/>
      <c r="ADR159" s="456"/>
      <c r="ADS159" s="456"/>
      <c r="ADT159" s="456"/>
      <c r="ADU159" s="456"/>
      <c r="ADV159" s="456"/>
      <c r="ADW159" s="456"/>
      <c r="ADX159" s="456"/>
      <c r="ADY159" s="456"/>
      <c r="ADZ159" s="456"/>
      <c r="AEA159" s="456"/>
      <c r="AEB159" s="456"/>
      <c r="AEC159" s="456"/>
      <c r="AED159" s="456"/>
      <c r="AEE159" s="456"/>
      <c r="AEF159" s="456"/>
      <c r="AEG159" s="456"/>
      <c r="AEH159" s="456"/>
      <c r="AEI159" s="456"/>
      <c r="AEJ159" s="456"/>
      <c r="AEK159" s="456"/>
      <c r="AEL159" s="456"/>
      <c r="AEM159" s="456"/>
      <c r="AEN159" s="456"/>
      <c r="AEO159" s="456"/>
      <c r="AEP159" s="456"/>
      <c r="AEQ159" s="456"/>
      <c r="AER159" s="456"/>
      <c r="AES159" s="456"/>
      <c r="AET159" s="456"/>
      <c r="AEU159" s="456"/>
      <c r="AEV159" s="456"/>
      <c r="AEW159" s="456"/>
      <c r="AEX159" s="456"/>
      <c r="AEY159" s="456"/>
      <c r="AEZ159" s="456"/>
      <c r="AFA159" s="456"/>
      <c r="AFB159" s="456"/>
      <c r="AFC159" s="456"/>
      <c r="AFD159" s="456"/>
      <c r="AFE159" s="456"/>
      <c r="AFF159" s="456"/>
      <c r="AFG159" s="456"/>
      <c r="AFH159" s="456"/>
      <c r="AFI159" s="456"/>
      <c r="AFJ159" s="456"/>
      <c r="AFK159" s="456"/>
      <c r="AFL159" s="456"/>
      <c r="AFM159" s="456"/>
      <c r="AFN159" s="456"/>
      <c r="AFO159" s="456"/>
      <c r="AFP159" s="456"/>
      <c r="AFQ159" s="456"/>
      <c r="AFR159" s="456"/>
      <c r="AFS159" s="456"/>
      <c r="AFT159" s="456"/>
      <c r="AFU159" s="456"/>
      <c r="AFV159" s="456"/>
      <c r="AFW159" s="456"/>
      <c r="AFX159" s="456"/>
      <c r="AFY159" s="456"/>
      <c r="AFZ159" s="456"/>
      <c r="AGA159" s="456"/>
      <c r="AGB159" s="456"/>
      <c r="AGC159" s="456"/>
      <c r="AGD159" s="456"/>
      <c r="AGE159" s="456"/>
      <c r="AGF159" s="456"/>
      <c r="AGG159" s="456"/>
      <c r="AGH159" s="456"/>
      <c r="AGI159" s="456"/>
      <c r="AGJ159" s="456"/>
      <c r="AGK159" s="456"/>
      <c r="AGL159" s="456"/>
      <c r="AGM159" s="456"/>
      <c r="AGN159" s="456"/>
      <c r="AGO159" s="456"/>
      <c r="AGP159" s="456"/>
      <c r="AGQ159" s="456"/>
      <c r="AGR159" s="456"/>
      <c r="AGS159" s="456"/>
      <c r="AGT159" s="456"/>
      <c r="AGU159" s="456"/>
      <c r="AGV159" s="456"/>
      <c r="AGW159" s="456"/>
      <c r="AGX159" s="456"/>
      <c r="AGY159" s="456"/>
      <c r="AGZ159" s="456"/>
      <c r="AHA159" s="456"/>
      <c r="AHB159" s="456"/>
      <c r="AHC159" s="456"/>
      <c r="AHD159" s="456"/>
      <c r="AHE159" s="456"/>
      <c r="AHF159" s="456"/>
      <c r="AHG159" s="456"/>
      <c r="AHH159" s="456"/>
      <c r="AHI159" s="456"/>
      <c r="AHJ159" s="456"/>
      <c r="AHK159" s="456"/>
      <c r="AHL159" s="456"/>
      <c r="AHM159" s="456"/>
      <c r="AHN159" s="456"/>
      <c r="AHO159" s="456"/>
      <c r="AHP159" s="456"/>
      <c r="AHQ159" s="456"/>
      <c r="AHR159" s="456"/>
      <c r="AHS159" s="456"/>
      <c r="AHT159" s="456"/>
      <c r="AHU159" s="456"/>
      <c r="AHV159" s="456"/>
      <c r="AHW159" s="456"/>
      <c r="AHX159" s="456"/>
      <c r="AHY159" s="456"/>
      <c r="AHZ159" s="456"/>
      <c r="AIA159" s="456"/>
      <c r="AIB159" s="456"/>
      <c r="AIC159" s="456"/>
      <c r="AID159" s="456"/>
      <c r="AIE159" s="456"/>
      <c r="AIF159" s="456"/>
      <c r="AIG159" s="456"/>
      <c r="AIH159" s="456"/>
      <c r="AII159" s="456"/>
      <c r="AIJ159" s="456"/>
      <c r="AIK159" s="456"/>
      <c r="AIL159" s="456"/>
      <c r="AIM159" s="456"/>
      <c r="AIN159" s="456"/>
      <c r="AIO159" s="456"/>
      <c r="AIP159" s="456"/>
      <c r="AIQ159" s="456"/>
      <c r="AIR159" s="456"/>
      <c r="AIS159" s="456"/>
      <c r="AIT159" s="456"/>
      <c r="AIU159" s="456"/>
      <c r="AIV159" s="456"/>
      <c r="AIW159" s="456"/>
      <c r="AIX159" s="456"/>
      <c r="AIY159" s="456"/>
      <c r="AIZ159" s="456"/>
      <c r="AJA159" s="456"/>
      <c r="AJB159" s="456"/>
      <c r="AJC159" s="456"/>
      <c r="AJD159" s="456"/>
      <c r="AJE159" s="456"/>
      <c r="AJF159" s="456"/>
      <c r="AJG159" s="456"/>
      <c r="AJH159" s="456"/>
      <c r="AJI159" s="456"/>
      <c r="AJJ159" s="456"/>
      <c r="AJK159" s="456"/>
      <c r="AJL159" s="456"/>
      <c r="AJM159" s="456"/>
      <c r="AJN159" s="456"/>
      <c r="AJO159" s="456"/>
      <c r="AJP159" s="456"/>
      <c r="AJQ159" s="456"/>
      <c r="AJR159" s="456"/>
      <c r="AJS159" s="456"/>
      <c r="AJT159" s="456"/>
      <c r="AJU159" s="456"/>
      <c r="AJV159" s="456"/>
      <c r="AJW159" s="456"/>
      <c r="AJX159" s="456"/>
      <c r="AJY159" s="456"/>
      <c r="AJZ159" s="456"/>
      <c r="AKA159" s="456"/>
      <c r="AKB159" s="456"/>
      <c r="AKC159" s="456"/>
      <c r="AKD159" s="456"/>
      <c r="AKE159" s="456"/>
      <c r="AKF159" s="456"/>
      <c r="AKG159" s="456"/>
      <c r="AKH159" s="456"/>
      <c r="AKI159" s="456"/>
      <c r="AKJ159" s="456"/>
      <c r="AKK159" s="456"/>
      <c r="AKL159" s="456"/>
      <c r="AKM159" s="456"/>
      <c r="AKN159" s="456"/>
      <c r="AKO159" s="456"/>
      <c r="AKP159" s="456"/>
      <c r="AKQ159" s="456"/>
      <c r="AKR159" s="456"/>
      <c r="AKS159" s="456"/>
      <c r="AKT159" s="456"/>
      <c r="AKU159" s="456"/>
      <c r="AKV159" s="456"/>
      <c r="AKW159" s="456"/>
      <c r="AKX159" s="456"/>
      <c r="AKY159" s="456"/>
      <c r="AKZ159" s="456"/>
      <c r="ALA159" s="456"/>
      <c r="ALB159" s="456"/>
      <c r="ALC159" s="456"/>
      <c r="ALD159" s="456"/>
      <c r="ALE159" s="456"/>
      <c r="ALF159" s="456"/>
      <c r="ALG159" s="456"/>
      <c r="ALH159" s="456"/>
      <c r="ALI159" s="456"/>
      <c r="ALJ159" s="456"/>
      <c r="ALK159" s="456"/>
      <c r="ALL159" s="456"/>
      <c r="ALM159" s="456"/>
      <c r="ALN159" s="456"/>
      <c r="ALO159" s="456"/>
      <c r="ALP159" s="456"/>
      <c r="ALQ159" s="456"/>
      <c r="ALR159" s="456"/>
      <c r="ALS159" s="456"/>
      <c r="ALT159" s="456"/>
      <c r="ALU159" s="456"/>
      <c r="ALV159" s="456"/>
      <c r="ALW159" s="456"/>
      <c r="ALX159" s="456"/>
      <c r="ALY159" s="456"/>
      <c r="ALZ159" s="456"/>
      <c r="AMA159" s="456"/>
      <c r="AMB159" s="456"/>
      <c r="AMC159" s="456"/>
      <c r="AMD159" s="456"/>
      <c r="AME159" s="456"/>
      <c r="AMF159" s="456"/>
      <c r="AMG159" s="456"/>
      <c r="AMH159" s="456"/>
      <c r="AMI159" s="456"/>
      <c r="AMJ159" s="456"/>
      <c r="AMK159" s="456"/>
      <c r="AML159" s="456"/>
      <c r="AMM159" s="456"/>
      <c r="AMN159" s="456"/>
      <c r="AMO159" s="456"/>
      <c r="AMP159" s="456"/>
      <c r="AMQ159" s="456"/>
      <c r="AMR159" s="456"/>
      <c r="AMS159" s="456"/>
      <c r="AMT159" s="456"/>
      <c r="AMU159" s="456"/>
      <c r="AMV159" s="456"/>
      <c r="AMW159" s="456"/>
      <c r="AMX159" s="456"/>
      <c r="AMY159" s="456"/>
      <c r="AMZ159" s="456"/>
      <c r="ANA159" s="456"/>
      <c r="ANB159" s="456"/>
      <c r="ANC159" s="456"/>
      <c r="AND159" s="456"/>
      <c r="ANE159" s="456"/>
      <c r="ANF159" s="456"/>
      <c r="ANG159" s="456"/>
      <c r="ANH159" s="456"/>
      <c r="ANI159" s="456"/>
      <c r="ANJ159" s="456"/>
      <c r="ANK159" s="456"/>
      <c r="ANL159" s="456"/>
      <c r="ANM159" s="456"/>
      <c r="ANN159" s="456"/>
      <c r="ANO159" s="456"/>
      <c r="ANP159" s="456"/>
      <c r="ANQ159" s="456"/>
      <c r="ANR159" s="456"/>
      <c r="ANS159" s="456"/>
      <c r="ANT159" s="456"/>
      <c r="ANU159" s="456"/>
      <c r="ANV159" s="456"/>
      <c r="ANW159" s="456"/>
      <c r="ANX159" s="456"/>
      <c r="ANY159" s="456"/>
      <c r="ANZ159" s="456"/>
      <c r="AOA159" s="456"/>
      <c r="AOB159" s="456"/>
      <c r="AOC159" s="456"/>
      <c r="AOD159" s="456"/>
      <c r="AOE159" s="456"/>
      <c r="AOF159" s="456"/>
      <c r="AOG159" s="456"/>
      <c r="AOH159" s="456"/>
      <c r="AOI159" s="456"/>
      <c r="AOJ159" s="456"/>
      <c r="AOK159" s="456"/>
      <c r="AOL159" s="456"/>
      <c r="AOM159" s="456"/>
      <c r="AON159" s="456"/>
      <c r="AOO159" s="456"/>
      <c r="AOP159" s="456"/>
      <c r="AOQ159" s="456"/>
      <c r="AOR159" s="456"/>
      <c r="AOS159" s="456"/>
      <c r="AOT159" s="456"/>
      <c r="AOU159" s="456"/>
      <c r="AOV159" s="456"/>
      <c r="AOW159" s="456"/>
      <c r="AOX159" s="456"/>
      <c r="AOY159" s="456"/>
      <c r="AOZ159" s="456"/>
      <c r="APA159" s="456"/>
      <c r="APB159" s="456"/>
      <c r="APC159" s="456"/>
      <c r="APD159" s="456"/>
      <c r="APE159" s="456"/>
      <c r="APF159" s="456"/>
      <c r="APG159" s="456"/>
      <c r="APH159" s="456"/>
      <c r="API159" s="456"/>
      <c r="APJ159" s="456"/>
      <c r="APK159" s="456"/>
      <c r="APL159" s="456"/>
      <c r="APM159" s="456"/>
      <c r="APN159" s="456"/>
      <c r="APO159" s="456"/>
      <c r="APP159" s="456"/>
      <c r="APQ159" s="456"/>
      <c r="APR159" s="456"/>
      <c r="APS159" s="456"/>
      <c r="APT159" s="456"/>
      <c r="APU159" s="456"/>
      <c r="APV159" s="456"/>
      <c r="APW159" s="456"/>
      <c r="APX159" s="456"/>
      <c r="APY159" s="456"/>
      <c r="APZ159" s="456"/>
      <c r="AQA159" s="456"/>
      <c r="AQB159" s="456"/>
      <c r="AQC159" s="456"/>
      <c r="AQD159" s="456"/>
      <c r="AQE159" s="456"/>
      <c r="AQF159" s="456"/>
      <c r="AQG159" s="456"/>
      <c r="AQH159" s="456"/>
      <c r="AQI159" s="456"/>
      <c r="AQJ159" s="456"/>
      <c r="AQK159" s="456"/>
      <c r="AQL159" s="456"/>
      <c r="AQM159" s="456"/>
      <c r="AQN159" s="456"/>
      <c r="AQO159" s="456"/>
      <c r="AQP159" s="456"/>
      <c r="AQQ159" s="456"/>
      <c r="AQR159" s="456"/>
      <c r="AQS159" s="456"/>
      <c r="AQT159" s="456"/>
      <c r="AQU159" s="456"/>
      <c r="AQV159" s="456"/>
      <c r="AQW159" s="456"/>
      <c r="AQX159" s="456"/>
      <c r="AQY159" s="456"/>
      <c r="AQZ159" s="456"/>
      <c r="ARA159" s="456"/>
      <c r="ARB159" s="456"/>
      <c r="ARC159" s="456"/>
      <c r="ARD159" s="456"/>
      <c r="ARE159" s="456"/>
      <c r="ARF159" s="456"/>
      <c r="ARG159" s="456"/>
      <c r="ARH159" s="456"/>
      <c r="ARI159" s="456"/>
      <c r="ARJ159" s="456"/>
      <c r="ARK159" s="456"/>
      <c r="ARL159" s="456"/>
      <c r="ARM159" s="456"/>
      <c r="ARN159" s="456"/>
      <c r="ARO159" s="456"/>
      <c r="ARP159" s="456"/>
      <c r="ARQ159" s="456"/>
      <c r="ARR159" s="456"/>
      <c r="ARS159" s="456"/>
      <c r="ART159" s="456"/>
      <c r="ARU159" s="456"/>
      <c r="ARV159" s="456"/>
      <c r="ARW159" s="456"/>
      <c r="ARX159" s="456"/>
      <c r="ARY159" s="456"/>
      <c r="ARZ159" s="456"/>
      <c r="ASA159" s="456"/>
      <c r="ASB159" s="456"/>
      <c r="ASC159" s="456"/>
      <c r="ASD159" s="456"/>
      <c r="ASE159" s="456"/>
      <c r="ASF159" s="456"/>
      <c r="ASG159" s="456"/>
      <c r="ASH159" s="456"/>
      <c r="ASI159" s="456"/>
      <c r="ASJ159" s="456"/>
      <c r="ASK159" s="456"/>
      <c r="ASL159" s="456"/>
      <c r="ASM159" s="456"/>
      <c r="ASN159" s="456"/>
      <c r="ASO159" s="456"/>
      <c r="ASP159" s="456"/>
      <c r="ASQ159" s="456"/>
      <c r="ASR159" s="456"/>
      <c r="ASS159" s="456"/>
      <c r="AST159" s="456"/>
      <c r="ASU159" s="456"/>
      <c r="ASV159" s="456"/>
      <c r="ASW159" s="456"/>
      <c r="ASX159" s="456"/>
      <c r="ASY159" s="456"/>
      <c r="ASZ159" s="456"/>
      <c r="ATA159" s="456"/>
      <c r="ATB159" s="456"/>
      <c r="ATC159" s="456"/>
      <c r="ATD159" s="456"/>
      <c r="ATE159" s="456"/>
      <c r="ATF159" s="456"/>
      <c r="ATG159" s="456"/>
      <c r="ATH159" s="456"/>
      <c r="ATI159" s="456"/>
      <c r="ATJ159" s="456"/>
      <c r="ATK159" s="456"/>
      <c r="ATL159" s="456"/>
      <c r="ATM159" s="456"/>
      <c r="ATN159" s="456"/>
      <c r="ATO159" s="456"/>
      <c r="ATP159" s="456"/>
      <c r="ATQ159" s="456"/>
      <c r="ATR159" s="456"/>
      <c r="ATS159" s="456"/>
      <c r="ATT159" s="456"/>
      <c r="ATU159" s="456"/>
      <c r="ATV159" s="456"/>
      <c r="ATW159" s="456"/>
      <c r="ATX159" s="456"/>
      <c r="ATY159" s="456"/>
      <c r="ATZ159" s="456"/>
      <c r="AUA159" s="456"/>
      <c r="AUB159" s="456"/>
      <c r="AUC159" s="456"/>
      <c r="AUD159" s="456"/>
      <c r="AUE159" s="456"/>
      <c r="AUF159" s="456"/>
      <c r="AUG159" s="456"/>
      <c r="AUH159" s="456"/>
      <c r="AUI159" s="456"/>
      <c r="AUJ159" s="456"/>
      <c r="AUK159" s="456"/>
      <c r="AUL159" s="456"/>
      <c r="AUM159" s="456"/>
      <c r="AUN159" s="456"/>
      <c r="AUO159" s="456"/>
      <c r="AUP159" s="456"/>
      <c r="AUQ159" s="456"/>
      <c r="AUR159" s="456"/>
      <c r="AUS159" s="456"/>
      <c r="AUT159" s="456"/>
      <c r="AUU159" s="456"/>
      <c r="AUV159" s="456"/>
      <c r="AUW159" s="456"/>
      <c r="AUX159" s="456"/>
      <c r="AUY159" s="456"/>
      <c r="AUZ159" s="456"/>
      <c r="AVA159" s="456"/>
      <c r="AVB159" s="456"/>
      <c r="AVC159" s="456"/>
      <c r="AVD159" s="456"/>
      <c r="AVE159" s="456"/>
      <c r="AVF159" s="456"/>
      <c r="AVG159" s="456"/>
      <c r="AVH159" s="456"/>
      <c r="AVI159" s="456"/>
      <c r="AVJ159" s="456"/>
      <c r="AVK159" s="456"/>
      <c r="AVL159" s="456"/>
      <c r="AVM159" s="456"/>
      <c r="AVN159" s="456"/>
      <c r="AVO159" s="456"/>
      <c r="AVP159" s="456"/>
      <c r="AVQ159" s="456"/>
      <c r="AVR159" s="456"/>
      <c r="AVS159" s="456"/>
      <c r="AVT159" s="456"/>
      <c r="AVU159" s="456"/>
      <c r="AVV159" s="456"/>
      <c r="AVW159" s="456"/>
      <c r="AVX159" s="456"/>
      <c r="AVY159" s="456"/>
      <c r="AVZ159" s="456"/>
      <c r="AWA159" s="456"/>
      <c r="AWB159" s="456"/>
      <c r="AWC159" s="456"/>
      <c r="AWD159" s="456"/>
      <c r="AWE159" s="456"/>
      <c r="AWF159" s="456"/>
      <c r="AWG159" s="456"/>
      <c r="AWH159" s="456"/>
      <c r="AWI159" s="456"/>
      <c r="AWJ159" s="456"/>
      <c r="AWK159" s="456"/>
      <c r="AWL159" s="456"/>
      <c r="AWM159" s="456"/>
      <c r="AWN159" s="456"/>
      <c r="AWO159" s="456"/>
      <c r="AWP159" s="456"/>
      <c r="AWQ159" s="456"/>
      <c r="AWR159" s="456"/>
      <c r="AWS159" s="456"/>
      <c r="AWT159" s="456"/>
      <c r="AWU159" s="456"/>
      <c r="AWV159" s="456"/>
      <c r="AWW159" s="456"/>
      <c r="AWX159" s="456"/>
      <c r="AWY159" s="456"/>
      <c r="AWZ159" s="456"/>
      <c r="AXA159" s="456"/>
      <c r="AXB159" s="456"/>
      <c r="AXC159" s="456"/>
      <c r="AXD159" s="456"/>
      <c r="AXE159" s="456"/>
      <c r="AXF159" s="456"/>
      <c r="AXG159" s="456"/>
      <c r="AXH159" s="456"/>
      <c r="AXI159" s="456"/>
      <c r="AXJ159" s="456"/>
      <c r="AXK159" s="456"/>
      <c r="AXL159" s="456"/>
      <c r="AXM159" s="456"/>
      <c r="AXN159" s="456"/>
      <c r="AXO159" s="456"/>
      <c r="AXP159" s="456"/>
      <c r="AXQ159" s="456"/>
      <c r="AXR159" s="456"/>
      <c r="AXS159" s="456"/>
      <c r="AXT159" s="456"/>
      <c r="AXU159" s="456"/>
      <c r="AXV159" s="456"/>
      <c r="AXW159" s="456"/>
      <c r="AXX159" s="456"/>
      <c r="AXY159" s="456"/>
      <c r="AXZ159" s="456"/>
      <c r="AYA159" s="456"/>
      <c r="AYB159" s="456"/>
      <c r="AYC159" s="456"/>
      <c r="AYD159" s="456"/>
      <c r="AYE159" s="456"/>
      <c r="AYF159" s="456"/>
      <c r="AYG159" s="456"/>
      <c r="AYH159" s="456"/>
      <c r="AYI159" s="456"/>
      <c r="AYJ159" s="456"/>
      <c r="AYK159" s="456"/>
      <c r="AYL159" s="456"/>
      <c r="AYM159" s="456"/>
      <c r="AYN159" s="456"/>
      <c r="AYO159" s="456"/>
      <c r="AYP159" s="456"/>
      <c r="AYQ159" s="456"/>
      <c r="AYR159" s="456"/>
      <c r="AYS159" s="456"/>
      <c r="AYT159" s="456"/>
      <c r="AYU159" s="456"/>
      <c r="AYV159" s="456"/>
      <c r="AYW159" s="456"/>
      <c r="AYX159" s="456"/>
      <c r="AYY159" s="456"/>
      <c r="AYZ159" s="456"/>
      <c r="AZA159" s="456"/>
      <c r="AZB159" s="456"/>
      <c r="AZC159" s="456"/>
      <c r="AZD159" s="456"/>
      <c r="AZE159" s="456"/>
      <c r="AZF159" s="456"/>
      <c r="AZG159" s="456"/>
      <c r="AZH159" s="456"/>
      <c r="AZI159" s="456"/>
      <c r="AZJ159" s="456"/>
      <c r="AZK159" s="456"/>
      <c r="AZL159" s="456"/>
      <c r="AZM159" s="456"/>
      <c r="AZN159" s="456"/>
      <c r="AZO159" s="456"/>
      <c r="AZP159" s="456"/>
      <c r="AZQ159" s="456"/>
      <c r="AZR159" s="456"/>
      <c r="AZS159" s="456"/>
      <c r="AZT159" s="456"/>
      <c r="AZU159" s="456"/>
      <c r="AZV159" s="456"/>
      <c r="AZW159" s="456"/>
      <c r="AZX159" s="456"/>
      <c r="AZY159" s="456"/>
      <c r="AZZ159" s="456"/>
      <c r="BAA159" s="456"/>
      <c r="BAB159" s="456"/>
      <c r="BAC159" s="456"/>
      <c r="BAD159" s="456"/>
      <c r="BAE159" s="456"/>
      <c r="BAF159" s="456"/>
      <c r="BAG159" s="456"/>
      <c r="BAH159" s="456"/>
      <c r="BAI159" s="456"/>
      <c r="BAJ159" s="456"/>
      <c r="BAK159" s="456"/>
      <c r="BAL159" s="456"/>
      <c r="BAM159" s="456"/>
      <c r="BAN159" s="456"/>
      <c r="BAO159" s="456"/>
      <c r="BAP159" s="456"/>
      <c r="BAQ159" s="456"/>
      <c r="BAR159" s="456"/>
      <c r="BAS159" s="456"/>
      <c r="BAT159" s="456"/>
      <c r="BAU159" s="456"/>
      <c r="BAV159" s="456"/>
      <c r="BAW159" s="456"/>
      <c r="BAX159" s="456"/>
      <c r="BAY159" s="456"/>
      <c r="BAZ159" s="456"/>
      <c r="BBA159" s="456"/>
      <c r="BBB159" s="456"/>
      <c r="BBC159" s="456"/>
      <c r="BBD159" s="456"/>
      <c r="BBE159" s="456"/>
      <c r="BBF159" s="456"/>
      <c r="BBG159" s="456"/>
      <c r="BBH159" s="456"/>
      <c r="BBI159" s="456"/>
      <c r="BBJ159" s="456"/>
      <c r="BBK159" s="456"/>
      <c r="BBL159" s="456"/>
      <c r="BBM159" s="456"/>
      <c r="BBN159" s="456"/>
      <c r="BBO159" s="456"/>
      <c r="BBP159" s="456"/>
      <c r="BBQ159" s="456"/>
      <c r="BBR159" s="456"/>
      <c r="BBS159" s="456"/>
      <c r="BBT159" s="456"/>
      <c r="BBU159" s="456"/>
      <c r="BBV159" s="456"/>
      <c r="BBW159" s="456"/>
      <c r="BBX159" s="456"/>
      <c r="BBY159" s="456"/>
      <c r="BBZ159" s="456"/>
      <c r="BCA159" s="456"/>
      <c r="BCB159" s="456"/>
      <c r="BCC159" s="456"/>
      <c r="BCD159" s="456"/>
      <c r="BCE159" s="456"/>
      <c r="BCF159" s="456"/>
      <c r="BCG159" s="456"/>
      <c r="BCH159" s="456"/>
      <c r="BCI159" s="456"/>
      <c r="BCJ159" s="456"/>
      <c r="BCK159" s="456"/>
      <c r="BCL159" s="456"/>
      <c r="BCM159" s="456"/>
      <c r="BCN159" s="456"/>
      <c r="BCO159" s="456"/>
      <c r="BCP159" s="456"/>
      <c r="BCQ159" s="456"/>
      <c r="BCR159" s="456"/>
      <c r="BCS159" s="456"/>
      <c r="BCT159" s="456"/>
      <c r="BCU159" s="456"/>
      <c r="BCV159" s="456"/>
      <c r="BCW159" s="456"/>
      <c r="BCX159" s="456"/>
      <c r="BCY159" s="456"/>
      <c r="BCZ159" s="456"/>
      <c r="BDA159" s="456"/>
      <c r="BDB159" s="456"/>
      <c r="BDC159" s="456"/>
      <c r="BDD159" s="456"/>
      <c r="BDE159" s="456"/>
      <c r="BDF159" s="456"/>
      <c r="BDG159" s="456"/>
      <c r="BDH159" s="456"/>
      <c r="BDI159" s="456"/>
      <c r="BDJ159" s="456"/>
      <c r="BDK159" s="456"/>
      <c r="BDL159" s="456"/>
      <c r="BDM159" s="456"/>
      <c r="BDN159" s="456"/>
      <c r="BDO159" s="456"/>
      <c r="BDP159" s="456"/>
      <c r="BDQ159" s="456"/>
      <c r="BDR159" s="456"/>
      <c r="BDS159" s="456"/>
      <c r="BDT159" s="456"/>
      <c r="BDU159" s="456"/>
      <c r="BDV159" s="456"/>
      <c r="BDW159" s="456"/>
      <c r="BDX159" s="456"/>
      <c r="BDY159" s="456"/>
      <c r="BDZ159" s="456"/>
      <c r="BEA159" s="456"/>
      <c r="BEB159" s="456"/>
      <c r="BEC159" s="456"/>
      <c r="BED159" s="456"/>
      <c r="BEE159" s="456"/>
      <c r="BEF159" s="456"/>
      <c r="BEG159" s="456"/>
      <c r="BEH159" s="456"/>
      <c r="BEI159" s="456"/>
      <c r="BEJ159" s="456"/>
      <c r="BEK159" s="456"/>
      <c r="BEL159" s="456"/>
      <c r="BEM159" s="456"/>
      <c r="BEN159" s="456"/>
      <c r="BEO159" s="456"/>
      <c r="BEP159" s="456"/>
      <c r="BEQ159" s="456"/>
      <c r="BER159" s="456"/>
      <c r="BES159" s="456"/>
      <c r="BET159" s="456"/>
      <c r="BEU159" s="456"/>
      <c r="BEV159" s="456"/>
      <c r="BEW159" s="456"/>
      <c r="BEX159" s="456"/>
      <c r="BEY159" s="456"/>
      <c r="BEZ159" s="456"/>
      <c r="BFA159" s="456"/>
      <c r="BFB159" s="456"/>
      <c r="BFC159" s="456"/>
      <c r="BFD159" s="456"/>
      <c r="BFE159" s="456"/>
      <c r="BFF159" s="456"/>
      <c r="BFG159" s="456"/>
      <c r="BFH159" s="456"/>
      <c r="BFI159" s="456"/>
      <c r="BFJ159" s="456"/>
      <c r="BFK159" s="456"/>
      <c r="BFL159" s="456"/>
      <c r="BFM159" s="456"/>
      <c r="BFN159" s="456"/>
      <c r="BFO159" s="456"/>
      <c r="BFP159" s="456"/>
      <c r="BFQ159" s="456"/>
      <c r="BFR159" s="456"/>
      <c r="BFS159" s="456"/>
      <c r="BFT159" s="456"/>
      <c r="BFU159" s="456"/>
      <c r="BFV159" s="456"/>
      <c r="BFW159" s="456"/>
      <c r="BFX159" s="456"/>
      <c r="BFY159" s="456"/>
      <c r="BFZ159" s="456"/>
      <c r="BGA159" s="456"/>
      <c r="BGB159" s="456"/>
      <c r="BGC159" s="456"/>
      <c r="BGD159" s="456"/>
      <c r="BGE159" s="456"/>
      <c r="BGF159" s="456"/>
      <c r="BGG159" s="456"/>
      <c r="BGH159" s="456"/>
      <c r="BGI159" s="456"/>
      <c r="BGJ159" s="456"/>
      <c r="BGK159" s="456"/>
      <c r="BGL159" s="456"/>
      <c r="BGM159" s="456"/>
      <c r="BGN159" s="456"/>
      <c r="BGO159" s="456"/>
      <c r="BGP159" s="456"/>
      <c r="BGQ159" s="456"/>
      <c r="BGR159" s="456"/>
      <c r="BGS159" s="456"/>
      <c r="BGT159" s="456"/>
      <c r="BGU159" s="456"/>
      <c r="BGV159" s="456"/>
      <c r="BGW159" s="456"/>
      <c r="BGX159" s="456"/>
      <c r="BGY159" s="456"/>
      <c r="BGZ159" s="456"/>
      <c r="BHA159" s="456"/>
      <c r="BHB159" s="456"/>
      <c r="BHC159" s="456"/>
      <c r="BHD159" s="456"/>
      <c r="BHE159" s="456"/>
      <c r="BHF159" s="456"/>
      <c r="BHG159" s="456"/>
      <c r="BHH159" s="456"/>
      <c r="BHI159" s="456"/>
      <c r="BHJ159" s="456"/>
      <c r="BHK159" s="456"/>
      <c r="BHL159" s="456"/>
      <c r="BHM159" s="456"/>
      <c r="BHN159" s="456"/>
      <c r="BHO159" s="456"/>
      <c r="BHP159" s="456"/>
      <c r="BHQ159" s="456"/>
      <c r="BHR159" s="456"/>
      <c r="BHS159" s="456"/>
      <c r="BHT159" s="456"/>
      <c r="BHU159" s="456"/>
      <c r="BHV159" s="456"/>
      <c r="BHW159" s="456"/>
      <c r="BHX159" s="456"/>
      <c r="BHY159" s="456"/>
      <c r="BHZ159" s="456"/>
      <c r="BIA159" s="456"/>
      <c r="BIB159" s="456"/>
      <c r="BIC159" s="456"/>
      <c r="BID159" s="456"/>
      <c r="BIE159" s="456"/>
      <c r="BIF159" s="456"/>
      <c r="BIG159" s="456"/>
      <c r="BIH159" s="456"/>
      <c r="BII159" s="456"/>
      <c r="BIJ159" s="456"/>
      <c r="BIK159" s="456"/>
      <c r="BIL159" s="456"/>
      <c r="BIM159" s="456"/>
      <c r="BIN159" s="456"/>
      <c r="BIO159" s="456"/>
      <c r="BIP159" s="456"/>
      <c r="BIQ159" s="456"/>
      <c r="BIR159" s="456"/>
      <c r="BIS159" s="456"/>
      <c r="BIT159" s="456"/>
      <c r="BIU159" s="456"/>
      <c r="BIV159" s="456"/>
      <c r="BIW159" s="456"/>
      <c r="BIX159" s="456"/>
      <c r="BIY159" s="456"/>
      <c r="BIZ159" s="456"/>
      <c r="BJA159" s="456"/>
      <c r="BJB159" s="456"/>
      <c r="BJC159" s="456"/>
      <c r="BJD159" s="456"/>
      <c r="BJE159" s="456"/>
      <c r="BJF159" s="456"/>
      <c r="BJG159" s="456"/>
      <c r="BJH159" s="456"/>
      <c r="BJI159" s="456"/>
      <c r="BJJ159" s="456"/>
      <c r="BJK159" s="456"/>
      <c r="BJL159" s="456"/>
      <c r="BJM159" s="456"/>
      <c r="BJN159" s="456"/>
      <c r="BJO159" s="456"/>
      <c r="BJP159" s="456"/>
      <c r="BJQ159" s="456"/>
      <c r="BJR159" s="456"/>
      <c r="BJS159" s="456"/>
      <c r="BJT159" s="456"/>
      <c r="BJU159" s="456"/>
      <c r="BJV159" s="456"/>
      <c r="BJW159" s="456"/>
      <c r="BJX159" s="456"/>
      <c r="BJY159" s="456"/>
      <c r="BJZ159" s="456"/>
      <c r="BKA159" s="456"/>
      <c r="BKB159" s="456"/>
      <c r="BKC159" s="456"/>
      <c r="BKD159" s="456"/>
      <c r="BKE159" s="456"/>
      <c r="BKF159" s="456"/>
      <c r="BKG159" s="456"/>
      <c r="BKH159" s="456"/>
      <c r="BKI159" s="456"/>
      <c r="BKJ159" s="456"/>
      <c r="BKK159" s="456"/>
      <c r="BKL159" s="456"/>
      <c r="BKM159" s="456"/>
      <c r="BKN159" s="456"/>
      <c r="BKO159" s="456"/>
      <c r="BKP159" s="456"/>
      <c r="BKQ159" s="456"/>
      <c r="BKR159" s="456"/>
      <c r="BKS159" s="456"/>
      <c r="BKT159" s="456"/>
      <c r="BKU159" s="456"/>
      <c r="BKV159" s="456"/>
      <c r="BKW159" s="456"/>
      <c r="BKX159" s="456"/>
      <c r="BKY159" s="456"/>
      <c r="BKZ159" s="456"/>
      <c r="BLA159" s="456"/>
      <c r="BLB159" s="456"/>
      <c r="BLC159" s="456"/>
      <c r="BLD159" s="456"/>
      <c r="BLE159" s="456"/>
      <c r="BLF159" s="456"/>
      <c r="BLG159" s="456"/>
      <c r="BLH159" s="456"/>
      <c r="BLI159" s="456"/>
      <c r="BLJ159" s="456"/>
      <c r="BLK159" s="456"/>
      <c r="BLL159" s="456"/>
      <c r="BLM159" s="456"/>
      <c r="BLN159" s="456"/>
      <c r="BLO159" s="456"/>
      <c r="BLP159" s="456"/>
      <c r="BLQ159" s="456"/>
      <c r="BLR159" s="456"/>
      <c r="BLS159" s="456"/>
      <c r="BLT159" s="456"/>
      <c r="BLU159" s="456"/>
      <c r="BLV159" s="456"/>
      <c r="BLW159" s="456"/>
      <c r="BLX159" s="456"/>
      <c r="BLY159" s="456"/>
      <c r="BLZ159" s="456"/>
      <c r="BMA159" s="456"/>
      <c r="BMB159" s="456"/>
      <c r="BMC159" s="456"/>
      <c r="BMD159" s="456"/>
      <c r="BME159" s="456"/>
      <c r="BMF159" s="456"/>
      <c r="BMG159" s="456"/>
      <c r="BMH159" s="456"/>
      <c r="BMI159" s="456"/>
      <c r="BMJ159" s="456"/>
      <c r="BMK159" s="456"/>
      <c r="BML159" s="456"/>
      <c r="BMM159" s="456"/>
      <c r="BMN159" s="456"/>
      <c r="BMO159" s="456"/>
      <c r="BMP159" s="456"/>
      <c r="BMQ159" s="456"/>
      <c r="BMR159" s="456"/>
      <c r="BMS159" s="456"/>
      <c r="BMT159" s="456"/>
      <c r="BMU159" s="456"/>
      <c r="BMV159" s="456"/>
      <c r="BMW159" s="456"/>
      <c r="BMX159" s="456"/>
      <c r="BMY159" s="456"/>
      <c r="BMZ159" s="456"/>
      <c r="BNA159" s="456"/>
      <c r="BNB159" s="456"/>
      <c r="BNC159" s="456"/>
      <c r="BND159" s="456"/>
      <c r="BNE159" s="456"/>
      <c r="BNF159" s="456"/>
      <c r="BNG159" s="456"/>
      <c r="BNH159" s="456"/>
      <c r="BNI159" s="456"/>
      <c r="BNJ159" s="456"/>
      <c r="BNK159" s="456"/>
      <c r="BNL159" s="456"/>
      <c r="BNM159" s="456"/>
      <c r="BNN159" s="456"/>
      <c r="BNO159" s="456"/>
      <c r="BNP159" s="456"/>
      <c r="BNQ159" s="456"/>
      <c r="BNR159" s="456"/>
      <c r="BNS159" s="456"/>
      <c r="BNT159" s="456"/>
      <c r="BNU159" s="456"/>
      <c r="BNV159" s="456"/>
      <c r="BNW159" s="456"/>
      <c r="BNX159" s="456"/>
      <c r="BNY159" s="456"/>
      <c r="BNZ159" s="456"/>
      <c r="BOA159" s="456"/>
      <c r="BOB159" s="456"/>
      <c r="BOC159" s="456"/>
      <c r="BOD159" s="456"/>
      <c r="BOE159" s="456"/>
      <c r="BOF159" s="456"/>
      <c r="BOG159" s="456"/>
      <c r="BOH159" s="456"/>
      <c r="BOI159" s="456"/>
      <c r="BOJ159" s="456"/>
      <c r="BOK159" s="456"/>
      <c r="BOL159" s="456"/>
      <c r="BOM159" s="456"/>
      <c r="BON159" s="456"/>
      <c r="BOO159" s="456"/>
      <c r="BOP159" s="456"/>
      <c r="BOQ159" s="456"/>
      <c r="BOR159" s="456"/>
      <c r="BOS159" s="456"/>
      <c r="BOT159" s="456"/>
      <c r="BOU159" s="456"/>
      <c r="BOV159" s="456"/>
      <c r="BOW159" s="456"/>
      <c r="BOX159" s="456"/>
      <c r="BOY159" s="456"/>
      <c r="BOZ159" s="456"/>
      <c r="BPA159" s="456"/>
      <c r="BPB159" s="456"/>
      <c r="BPC159" s="456"/>
      <c r="BPD159" s="456"/>
      <c r="BPE159" s="456"/>
      <c r="BPF159" s="456"/>
      <c r="BPG159" s="456"/>
      <c r="BPH159" s="456"/>
      <c r="BPI159" s="456"/>
      <c r="BPJ159" s="456"/>
      <c r="BPK159" s="456"/>
      <c r="BPL159" s="456"/>
      <c r="BPM159" s="456"/>
      <c r="BPN159" s="456"/>
      <c r="BPO159" s="456"/>
      <c r="BPP159" s="456"/>
      <c r="BPQ159" s="456"/>
      <c r="BPR159" s="456"/>
      <c r="BPS159" s="456"/>
      <c r="BPT159" s="456"/>
      <c r="BPU159" s="456"/>
      <c r="BPV159" s="456"/>
      <c r="BPW159" s="456"/>
      <c r="BPX159" s="456"/>
      <c r="BPY159" s="456"/>
      <c r="BPZ159" s="456"/>
      <c r="BQA159" s="456"/>
      <c r="BQB159" s="456"/>
      <c r="BQC159" s="456"/>
      <c r="BQD159" s="456"/>
      <c r="BQE159" s="456"/>
      <c r="BQF159" s="456"/>
      <c r="BQG159" s="456"/>
      <c r="BQH159" s="456"/>
      <c r="BQI159" s="456"/>
      <c r="BQJ159" s="456"/>
      <c r="BQK159" s="456"/>
      <c r="BQL159" s="456"/>
      <c r="BQM159" s="456"/>
      <c r="BQN159" s="456"/>
      <c r="BQO159" s="456"/>
      <c r="BQP159" s="456"/>
      <c r="BQQ159" s="456"/>
      <c r="BQR159" s="456"/>
      <c r="BQS159" s="456"/>
      <c r="BQT159" s="456"/>
      <c r="BQU159" s="456"/>
      <c r="BQV159" s="456"/>
      <c r="BQW159" s="456"/>
      <c r="BQX159" s="456"/>
      <c r="BQY159" s="456"/>
      <c r="BQZ159" s="456"/>
      <c r="BRA159" s="456"/>
      <c r="BRB159" s="456"/>
      <c r="BRC159" s="456"/>
      <c r="BRD159" s="456"/>
      <c r="BRE159" s="456"/>
      <c r="BRF159" s="456"/>
      <c r="BRG159" s="456"/>
      <c r="BRH159" s="456"/>
      <c r="BRI159" s="456"/>
      <c r="BRJ159" s="456"/>
      <c r="BRK159" s="456"/>
      <c r="BRL159" s="456"/>
      <c r="BRM159" s="456"/>
      <c r="BRN159" s="456"/>
      <c r="BRO159" s="456"/>
      <c r="BRP159" s="456"/>
      <c r="BRQ159" s="456"/>
      <c r="BRR159" s="456"/>
      <c r="BRS159" s="456"/>
      <c r="BRT159" s="456"/>
      <c r="BRU159" s="456"/>
      <c r="BRV159" s="456"/>
      <c r="BRW159" s="456"/>
      <c r="BRX159" s="456"/>
      <c r="BRY159" s="456"/>
      <c r="BRZ159" s="456"/>
      <c r="BSA159" s="456"/>
      <c r="BSB159" s="456"/>
      <c r="BSC159" s="456"/>
      <c r="BSD159" s="456"/>
      <c r="BSE159" s="456"/>
      <c r="BSF159" s="456"/>
      <c r="BSG159" s="456"/>
      <c r="BSH159" s="456"/>
      <c r="BSI159" s="456"/>
      <c r="BSJ159" s="456"/>
      <c r="BSK159" s="456"/>
      <c r="BSL159" s="456"/>
      <c r="BSM159" s="456"/>
      <c r="BSN159" s="456"/>
      <c r="BSO159" s="456"/>
      <c r="BSP159" s="456"/>
      <c r="BSQ159" s="456"/>
      <c r="BSR159" s="456"/>
      <c r="BSS159" s="456"/>
      <c r="BST159" s="456"/>
      <c r="BSU159" s="456"/>
      <c r="BSV159" s="456"/>
      <c r="BSW159" s="456"/>
      <c r="BSX159" s="456"/>
      <c r="BSY159" s="456"/>
      <c r="BSZ159" s="456"/>
      <c r="BTA159" s="456"/>
      <c r="BTB159" s="456"/>
      <c r="BTC159" s="456"/>
      <c r="BTD159" s="456"/>
      <c r="BTE159" s="456"/>
      <c r="BTF159" s="456"/>
      <c r="BTG159" s="456"/>
      <c r="BTH159" s="456"/>
      <c r="BTI159" s="456"/>
      <c r="BTJ159" s="456"/>
      <c r="BTK159" s="456"/>
      <c r="BTL159" s="456"/>
      <c r="BTM159" s="456"/>
      <c r="BTN159" s="456"/>
      <c r="BTO159" s="456"/>
      <c r="BTP159" s="456"/>
      <c r="BTQ159" s="456"/>
      <c r="BTR159" s="456"/>
      <c r="BTS159" s="456"/>
      <c r="BTT159" s="456"/>
      <c r="BTU159" s="456"/>
      <c r="BTV159" s="456"/>
      <c r="BTW159" s="456"/>
      <c r="BTX159" s="456"/>
      <c r="BTY159" s="456"/>
      <c r="BTZ159" s="456"/>
      <c r="BUA159" s="456"/>
      <c r="BUB159" s="456"/>
      <c r="BUC159" s="456"/>
      <c r="BUD159" s="456"/>
      <c r="BUE159" s="456"/>
      <c r="BUF159" s="456"/>
      <c r="BUG159" s="456"/>
      <c r="BUH159" s="456"/>
      <c r="BUI159" s="456"/>
      <c r="BUJ159" s="456"/>
      <c r="BUK159" s="456"/>
      <c r="BUL159" s="456"/>
      <c r="BUM159" s="456"/>
      <c r="BUN159" s="456"/>
      <c r="BUO159" s="456"/>
      <c r="BUP159" s="456"/>
      <c r="BUQ159" s="456"/>
      <c r="BUR159" s="456"/>
      <c r="BUS159" s="456"/>
      <c r="BUT159" s="456"/>
      <c r="BUU159" s="456"/>
      <c r="BUV159" s="456"/>
      <c r="BUW159" s="456"/>
      <c r="BUX159" s="456"/>
      <c r="BUY159" s="456"/>
      <c r="BUZ159" s="456"/>
      <c r="BVA159" s="456"/>
      <c r="BVB159" s="456"/>
      <c r="BVC159" s="456"/>
      <c r="BVD159" s="456"/>
      <c r="BVE159" s="456"/>
      <c r="BVF159" s="456"/>
      <c r="BVG159" s="456"/>
      <c r="BVH159" s="456"/>
      <c r="BVI159" s="456"/>
      <c r="BVJ159" s="456"/>
      <c r="BVK159" s="456"/>
      <c r="BVL159" s="456"/>
      <c r="BVM159" s="456"/>
      <c r="BVN159" s="456"/>
      <c r="BVO159" s="456"/>
      <c r="BVP159" s="456"/>
      <c r="BVQ159" s="456"/>
      <c r="BVR159" s="456"/>
      <c r="BVS159" s="456"/>
      <c r="BVT159" s="456"/>
      <c r="BVU159" s="456"/>
      <c r="BVV159" s="456"/>
      <c r="BVW159" s="456"/>
      <c r="BVX159" s="456"/>
      <c r="BVY159" s="456"/>
      <c r="BVZ159" s="456"/>
      <c r="BWA159" s="456"/>
      <c r="BWB159" s="456"/>
      <c r="BWC159" s="456"/>
      <c r="BWD159" s="456"/>
      <c r="BWE159" s="456"/>
      <c r="BWF159" s="456"/>
      <c r="BWG159" s="456"/>
      <c r="BWH159" s="456"/>
      <c r="BWI159" s="456"/>
      <c r="BWJ159" s="456"/>
      <c r="BWK159" s="456"/>
      <c r="BWL159" s="456"/>
      <c r="BWM159" s="456"/>
      <c r="BWN159" s="456"/>
      <c r="BWO159" s="456"/>
      <c r="BWP159" s="456"/>
      <c r="BWQ159" s="456"/>
      <c r="BWR159" s="456"/>
      <c r="BWS159" s="456"/>
      <c r="BWT159" s="456"/>
      <c r="BWU159" s="456"/>
      <c r="BWV159" s="456"/>
      <c r="BWW159" s="456"/>
      <c r="BWX159" s="456"/>
      <c r="BWY159" s="456"/>
      <c r="BWZ159" s="456"/>
      <c r="BXA159" s="456"/>
      <c r="BXB159" s="456"/>
      <c r="BXC159" s="456"/>
      <c r="BXD159" s="456"/>
      <c r="BXE159" s="456"/>
      <c r="BXF159" s="456"/>
      <c r="BXG159" s="456"/>
      <c r="BXH159" s="456"/>
      <c r="BXI159" s="456"/>
      <c r="BXJ159" s="456"/>
      <c r="BXK159" s="456"/>
      <c r="BXL159" s="456"/>
      <c r="BXM159" s="456"/>
      <c r="BXN159" s="456"/>
      <c r="BXO159" s="456"/>
      <c r="BXP159" s="456"/>
      <c r="BXQ159" s="456"/>
      <c r="BXR159" s="456"/>
      <c r="BXS159" s="456"/>
      <c r="BXT159" s="456"/>
      <c r="BXU159" s="456"/>
      <c r="BXV159" s="456"/>
      <c r="BXW159" s="456"/>
      <c r="BXX159" s="456"/>
      <c r="BXY159" s="456"/>
      <c r="BXZ159" s="456"/>
    </row>
    <row r="160" s="25" customFormat="1" spans="1:1024 1025:2002">
      <c r="A160" s="473" t="s">
        <v>34</v>
      </c>
      <c r="B160" s="19">
        <v>1130</v>
      </c>
      <c r="C160" s="183">
        <v>46205</v>
      </c>
      <c r="D160" s="17" t="s">
        <v>52</v>
      </c>
      <c r="E160" s="17" t="s">
        <v>104</v>
      </c>
      <c r="F160" s="17" t="s">
        <v>54</v>
      </c>
      <c r="G160" s="17"/>
      <c r="H160" s="19">
        <v>1.2316</v>
      </c>
      <c r="I160" s="19" t="s">
        <v>114</v>
      </c>
      <c r="J160" s="17" t="s">
        <v>49</v>
      </c>
      <c r="K160" s="489">
        <v>1050</v>
      </c>
      <c r="L160" s="489">
        <v>45</v>
      </c>
      <c r="M160" s="489">
        <v>2200</v>
      </c>
      <c r="N160" s="19" t="s">
        <v>66</v>
      </c>
      <c r="O160" s="19" t="s">
        <v>67</v>
      </c>
      <c r="P160" s="490">
        <v>741.825</v>
      </c>
      <c r="Q160" s="19">
        <v>755</v>
      </c>
      <c r="R160" s="99">
        <f t="shared" si="9"/>
        <v>-13.1750000000001</v>
      </c>
      <c r="S160" s="19">
        <f t="shared" si="11"/>
        <v>2870</v>
      </c>
      <c r="T160" s="19" t="s">
        <v>42</v>
      </c>
      <c r="U160" s="102" t="s">
        <v>115</v>
      </c>
      <c r="V160" s="186">
        <v>46208</v>
      </c>
      <c r="W160" s="17" t="s">
        <v>44</v>
      </c>
      <c r="X160" s="17"/>
      <c r="Y160" s="68">
        <v>46235</v>
      </c>
      <c r="Z160" s="17" t="s">
        <v>45</v>
      </c>
      <c r="AA160" s="17" t="s">
        <v>46</v>
      </c>
      <c r="AB160" s="17" t="s">
        <v>116</v>
      </c>
      <c r="AC160" s="217">
        <v>46241</v>
      </c>
      <c r="AD160" s="65">
        <v>1848</v>
      </c>
      <c r="AE160" s="17" t="s">
        <v>48</v>
      </c>
      <c r="AF160" s="17" t="s">
        <v>61</v>
      </c>
      <c r="AG160" s="17"/>
      <c r="AH160" s="456"/>
      <c r="AI160" s="456"/>
      <c r="AJ160" s="456"/>
      <c r="AK160" s="456"/>
      <c r="AL160" s="456"/>
      <c r="AM160" s="456"/>
      <c r="AN160" s="456"/>
      <c r="AO160" s="456"/>
      <c r="AP160" s="456"/>
      <c r="AQ160" s="456"/>
      <c r="AR160" s="456"/>
      <c r="AS160" s="456"/>
      <c r="AT160" s="456"/>
      <c r="AU160" s="456"/>
      <c r="AV160" s="456"/>
      <c r="AW160" s="456"/>
      <c r="AX160" s="456"/>
      <c r="AY160" s="456"/>
      <c r="AZ160" s="456"/>
      <c r="BA160" s="456"/>
      <c r="BB160" s="456"/>
      <c r="BC160" s="456"/>
      <c r="BD160" s="456"/>
      <c r="BE160" s="456"/>
      <c r="BF160" s="456"/>
      <c r="BG160" s="456"/>
      <c r="BH160" s="456"/>
      <c r="BI160" s="456"/>
      <c r="BJ160" s="456"/>
      <c r="BK160" s="456"/>
      <c r="BL160" s="456"/>
      <c r="BM160" s="456"/>
      <c r="BN160" s="456"/>
      <c r="BO160" s="456"/>
      <c r="BP160" s="456"/>
      <c r="BQ160" s="456"/>
      <c r="BR160" s="456"/>
      <c r="BS160" s="456"/>
      <c r="BT160" s="456"/>
      <c r="BU160" s="456"/>
      <c r="BV160" s="456"/>
      <c r="BW160" s="456"/>
      <c r="BX160" s="456"/>
      <c r="BY160" s="456"/>
      <c r="BZ160" s="456"/>
      <c r="CA160" s="456"/>
      <c r="CB160" s="456"/>
      <c r="CC160" s="456"/>
      <c r="CD160" s="456"/>
      <c r="CE160" s="456"/>
      <c r="CF160" s="456"/>
      <c r="CG160" s="456"/>
      <c r="CH160" s="456"/>
      <c r="CI160" s="456"/>
      <c r="CJ160" s="456"/>
      <c r="CK160" s="456"/>
      <c r="CL160" s="456"/>
      <c r="CM160" s="456"/>
      <c r="CN160" s="456"/>
      <c r="CO160" s="456"/>
      <c r="CP160" s="456"/>
      <c r="CQ160" s="456"/>
      <c r="CR160" s="456"/>
      <c r="CS160" s="456"/>
      <c r="CT160" s="456"/>
      <c r="CU160" s="456"/>
      <c r="CV160" s="456"/>
      <c r="CW160" s="456"/>
      <c r="CX160" s="456"/>
      <c r="CY160" s="456"/>
      <c r="CZ160" s="456"/>
      <c r="DA160" s="456"/>
      <c r="DB160" s="456"/>
      <c r="DC160" s="456"/>
      <c r="DD160" s="456"/>
      <c r="DE160" s="456"/>
      <c r="DF160" s="456"/>
      <c r="DG160" s="456"/>
      <c r="DH160" s="456"/>
      <c r="DI160" s="456"/>
      <c r="DJ160" s="456"/>
      <c r="DK160" s="456"/>
      <c r="DL160" s="456"/>
      <c r="DM160" s="456"/>
      <c r="DN160" s="456"/>
      <c r="DO160" s="456"/>
      <c r="DP160" s="456"/>
      <c r="DQ160" s="456"/>
      <c r="DR160" s="456"/>
      <c r="DS160" s="456"/>
      <c r="DT160" s="456"/>
      <c r="DU160" s="456"/>
      <c r="DV160" s="456"/>
      <c r="DW160" s="456"/>
      <c r="DX160" s="456"/>
      <c r="DY160" s="456"/>
      <c r="DZ160" s="456"/>
      <c r="EA160" s="456"/>
      <c r="EB160" s="456"/>
      <c r="EC160" s="456"/>
      <c r="ED160" s="456"/>
      <c r="EE160" s="456"/>
      <c r="EF160" s="456"/>
      <c r="EG160" s="456"/>
      <c r="EH160" s="456"/>
      <c r="EI160" s="456"/>
      <c r="EJ160" s="456"/>
      <c r="EK160" s="456"/>
      <c r="EL160" s="456"/>
      <c r="EM160" s="456"/>
      <c r="EN160" s="456"/>
      <c r="EO160" s="456"/>
      <c r="EP160" s="456"/>
      <c r="EQ160" s="456"/>
      <c r="ER160" s="456"/>
      <c r="ES160" s="456"/>
      <c r="ET160" s="456"/>
      <c r="EU160" s="456"/>
      <c r="EV160" s="456"/>
      <c r="EW160" s="456"/>
      <c r="EX160" s="456"/>
      <c r="EY160" s="456"/>
      <c r="EZ160" s="456"/>
      <c r="FA160" s="456"/>
      <c r="FB160" s="456"/>
      <c r="FC160" s="456"/>
      <c r="FD160" s="456"/>
      <c r="FE160" s="456"/>
      <c r="FF160" s="456"/>
      <c r="FG160" s="456"/>
      <c r="FH160" s="456"/>
      <c r="FI160" s="456"/>
      <c r="FJ160" s="456"/>
      <c r="FK160" s="456"/>
      <c r="FL160" s="456"/>
      <c r="FM160" s="456"/>
      <c r="FN160" s="456"/>
      <c r="FO160" s="456"/>
      <c r="FP160" s="456"/>
      <c r="FQ160" s="456"/>
      <c r="FR160" s="456"/>
      <c r="FS160" s="456"/>
      <c r="FT160" s="456"/>
      <c r="FU160" s="456"/>
      <c r="FV160" s="456"/>
      <c r="FW160" s="456"/>
      <c r="FX160" s="456"/>
      <c r="FY160" s="456"/>
      <c r="FZ160" s="456"/>
      <c r="GA160" s="456"/>
      <c r="GB160" s="456"/>
      <c r="GC160" s="456"/>
      <c r="GD160" s="456"/>
      <c r="GE160" s="456"/>
      <c r="GF160" s="456"/>
      <c r="GG160" s="456"/>
      <c r="GH160" s="456"/>
      <c r="GI160" s="456"/>
      <c r="GJ160" s="456"/>
      <c r="GK160" s="456"/>
      <c r="GL160" s="456"/>
      <c r="GM160" s="456"/>
      <c r="GN160" s="456"/>
      <c r="GO160" s="456"/>
      <c r="GP160" s="456"/>
      <c r="GQ160" s="456"/>
      <c r="GR160" s="456"/>
      <c r="GS160" s="456"/>
      <c r="GT160" s="456"/>
      <c r="GU160" s="456"/>
      <c r="GV160" s="456"/>
      <c r="GW160" s="456"/>
      <c r="GX160" s="456"/>
      <c r="GY160" s="456"/>
      <c r="GZ160" s="456"/>
      <c r="HA160" s="456"/>
      <c r="HB160" s="456"/>
      <c r="HC160" s="456"/>
      <c r="HD160" s="456"/>
      <c r="HE160" s="456"/>
      <c r="HF160" s="456"/>
      <c r="HG160" s="456"/>
      <c r="HH160" s="456"/>
      <c r="HI160" s="456"/>
      <c r="HJ160" s="456"/>
      <c r="HK160" s="456"/>
      <c r="HL160" s="456"/>
      <c r="HM160" s="456"/>
      <c r="HN160" s="456"/>
      <c r="HO160" s="456"/>
      <c r="HP160" s="456"/>
      <c r="HQ160" s="456"/>
      <c r="HR160" s="456"/>
      <c r="HS160" s="456"/>
      <c r="HT160" s="456"/>
      <c r="HU160" s="456"/>
      <c r="HV160" s="456"/>
      <c r="HW160" s="456"/>
      <c r="HX160" s="456"/>
      <c r="HY160" s="456"/>
      <c r="HZ160" s="456"/>
      <c r="IA160" s="456"/>
      <c r="IB160" s="456"/>
      <c r="IC160" s="456"/>
      <c r="ID160" s="456"/>
      <c r="IE160" s="456"/>
      <c r="IF160" s="456"/>
      <c r="IG160" s="456"/>
      <c r="IH160" s="456"/>
      <c r="II160" s="456"/>
      <c r="IJ160" s="456"/>
      <c r="IK160" s="456"/>
      <c r="IL160" s="456"/>
      <c r="IM160" s="456"/>
      <c r="IN160" s="456"/>
      <c r="IO160" s="456"/>
      <c r="IP160" s="456"/>
      <c r="IQ160" s="456"/>
      <c r="IR160" s="456"/>
      <c r="IS160" s="456"/>
      <c r="IT160" s="456"/>
      <c r="IU160" s="456"/>
      <c r="IV160" s="456"/>
      <c r="IW160" s="456"/>
      <c r="IX160" s="456"/>
      <c r="IY160" s="456"/>
      <c r="IZ160" s="456"/>
      <c r="JA160" s="456"/>
      <c r="JB160" s="456"/>
      <c r="JC160" s="456"/>
      <c r="JD160" s="456"/>
      <c r="JE160" s="456"/>
      <c r="JF160" s="456"/>
      <c r="JG160" s="456"/>
      <c r="JH160" s="456"/>
      <c r="JI160" s="456"/>
      <c r="JJ160" s="456"/>
      <c r="JK160" s="456"/>
      <c r="JL160" s="456"/>
      <c r="JM160" s="456"/>
      <c r="JN160" s="456"/>
      <c r="JO160" s="456"/>
      <c r="JP160" s="456"/>
      <c r="JQ160" s="456"/>
      <c r="JR160" s="456"/>
      <c r="JS160" s="456"/>
      <c r="JT160" s="456"/>
      <c r="JU160" s="456"/>
      <c r="JV160" s="456"/>
      <c r="JW160" s="456"/>
      <c r="JX160" s="456"/>
      <c r="JY160" s="456"/>
      <c r="JZ160" s="456"/>
      <c r="KA160" s="456"/>
      <c r="KB160" s="456"/>
      <c r="KC160" s="456"/>
      <c r="KD160" s="456"/>
      <c r="KE160" s="456"/>
      <c r="KF160" s="456"/>
      <c r="KG160" s="456"/>
      <c r="KH160" s="456"/>
      <c r="KI160" s="456"/>
      <c r="KJ160" s="456"/>
      <c r="KK160" s="456"/>
      <c r="KL160" s="456"/>
      <c r="KM160" s="456"/>
      <c r="KN160" s="456"/>
      <c r="KO160" s="456"/>
      <c r="KP160" s="456"/>
      <c r="KQ160" s="456"/>
      <c r="KR160" s="456"/>
      <c r="KS160" s="456"/>
      <c r="KT160" s="456"/>
      <c r="KU160" s="456"/>
      <c r="KV160" s="456"/>
      <c r="KW160" s="456"/>
      <c r="KX160" s="456"/>
      <c r="KY160" s="456"/>
      <c r="KZ160" s="456"/>
      <c r="LA160" s="456"/>
      <c r="LB160" s="456"/>
      <c r="LC160" s="456"/>
      <c r="LD160" s="456"/>
      <c r="LE160" s="456"/>
      <c r="LF160" s="456"/>
      <c r="LG160" s="456"/>
      <c r="LH160" s="456"/>
      <c r="LI160" s="456"/>
      <c r="LJ160" s="456"/>
      <c r="LK160" s="456"/>
      <c r="LL160" s="456"/>
      <c r="LM160" s="456"/>
      <c r="LN160" s="456"/>
      <c r="LO160" s="456"/>
      <c r="LP160" s="456"/>
      <c r="LQ160" s="456"/>
      <c r="LR160" s="456"/>
      <c r="LS160" s="456"/>
      <c r="LT160" s="456"/>
      <c r="LU160" s="456"/>
      <c r="LV160" s="456"/>
      <c r="LW160" s="456"/>
      <c r="LX160" s="456"/>
      <c r="LY160" s="456"/>
      <c r="LZ160" s="456"/>
      <c r="MA160" s="456"/>
      <c r="MB160" s="456"/>
      <c r="MC160" s="456"/>
      <c r="MD160" s="456"/>
      <c r="ME160" s="456"/>
      <c r="MF160" s="456"/>
      <c r="MG160" s="456"/>
      <c r="MH160" s="456"/>
      <c r="MI160" s="456"/>
      <c r="MJ160" s="456"/>
      <c r="MK160" s="456"/>
      <c r="ML160" s="456"/>
      <c r="MM160" s="456"/>
      <c r="MN160" s="456"/>
      <c r="MO160" s="456"/>
      <c r="MP160" s="456"/>
      <c r="MQ160" s="456"/>
      <c r="MR160" s="456"/>
      <c r="MS160" s="456"/>
      <c r="MT160" s="456"/>
      <c r="MU160" s="456"/>
      <c r="MV160" s="456"/>
      <c r="MW160" s="456"/>
      <c r="MX160" s="456"/>
      <c r="MY160" s="456"/>
      <c r="MZ160" s="456"/>
      <c r="NA160" s="456"/>
      <c r="NB160" s="456"/>
      <c r="NC160" s="456"/>
      <c r="ND160" s="456"/>
      <c r="NE160" s="456"/>
      <c r="NF160" s="456"/>
      <c r="NG160" s="456"/>
      <c r="NH160" s="456"/>
      <c r="NI160" s="456"/>
      <c r="NJ160" s="456"/>
      <c r="NK160" s="456"/>
      <c r="NL160" s="456"/>
      <c r="NM160" s="456"/>
      <c r="NN160" s="456"/>
      <c r="NO160" s="456"/>
      <c r="NP160" s="456"/>
      <c r="NQ160" s="456"/>
      <c r="NR160" s="456"/>
      <c r="NS160" s="456"/>
      <c r="NT160" s="456"/>
      <c r="NU160" s="456"/>
      <c r="NV160" s="456"/>
      <c r="NW160" s="456"/>
      <c r="NX160" s="456"/>
      <c r="NY160" s="456"/>
      <c r="NZ160" s="456"/>
      <c r="OA160" s="456"/>
      <c r="OB160" s="456"/>
      <c r="OC160" s="456"/>
      <c r="OD160" s="456"/>
      <c r="OE160" s="456"/>
      <c r="OF160" s="456"/>
      <c r="OG160" s="456"/>
      <c r="OH160" s="456"/>
      <c r="OI160" s="456"/>
      <c r="OJ160" s="456"/>
      <c r="OK160" s="456"/>
      <c r="OL160" s="456"/>
      <c r="OM160" s="456"/>
      <c r="ON160" s="456"/>
      <c r="OO160" s="456"/>
      <c r="OP160" s="456"/>
      <c r="OQ160" s="456"/>
      <c r="OR160" s="456"/>
      <c r="OS160" s="456"/>
      <c r="OT160" s="456"/>
      <c r="OU160" s="456"/>
      <c r="OV160" s="456"/>
      <c r="OW160" s="456"/>
      <c r="OX160" s="456"/>
      <c r="OY160" s="456"/>
      <c r="OZ160" s="456"/>
      <c r="PA160" s="456"/>
      <c r="PB160" s="456"/>
      <c r="PC160" s="456"/>
      <c r="PD160" s="456"/>
      <c r="PE160" s="456"/>
      <c r="PF160" s="456"/>
      <c r="PG160" s="456"/>
      <c r="PH160" s="456"/>
      <c r="PI160" s="456"/>
      <c r="PJ160" s="456"/>
      <c r="PK160" s="456"/>
      <c r="PL160" s="456"/>
      <c r="PM160" s="456"/>
      <c r="PN160" s="456"/>
      <c r="PO160" s="456"/>
      <c r="PP160" s="456"/>
      <c r="PQ160" s="456"/>
      <c r="PR160" s="456"/>
      <c r="PS160" s="456"/>
      <c r="PT160" s="456"/>
      <c r="PU160" s="456"/>
      <c r="PV160" s="456"/>
      <c r="PW160" s="456"/>
      <c r="PX160" s="456"/>
      <c r="PY160" s="456"/>
      <c r="PZ160" s="456"/>
      <c r="QA160" s="456"/>
      <c r="QB160" s="456"/>
      <c r="QC160" s="456"/>
      <c r="QD160" s="456"/>
      <c r="QE160" s="456"/>
      <c r="QF160" s="456"/>
      <c r="QG160" s="456"/>
      <c r="QH160" s="456"/>
      <c r="QI160" s="456"/>
      <c r="QJ160" s="456"/>
      <c r="QK160" s="456"/>
      <c r="QL160" s="456"/>
      <c r="QM160" s="456"/>
      <c r="QN160" s="456"/>
      <c r="QO160" s="456"/>
      <c r="QP160" s="456"/>
      <c r="QQ160" s="456"/>
      <c r="QR160" s="456"/>
      <c r="QS160" s="456"/>
      <c r="QT160" s="456"/>
      <c r="QU160" s="456"/>
      <c r="QV160" s="456"/>
      <c r="QW160" s="456"/>
      <c r="QX160" s="456"/>
      <c r="QY160" s="456"/>
      <c r="QZ160" s="456"/>
      <c r="RA160" s="456"/>
      <c r="RB160" s="456"/>
      <c r="RC160" s="456"/>
      <c r="RD160" s="456"/>
      <c r="RE160" s="456"/>
      <c r="RF160" s="456"/>
      <c r="RG160" s="456"/>
      <c r="RH160" s="456"/>
      <c r="RI160" s="456"/>
      <c r="RJ160" s="456"/>
      <c r="RK160" s="456"/>
      <c r="RL160" s="456"/>
      <c r="RM160" s="456"/>
      <c r="RN160" s="456"/>
      <c r="RO160" s="456"/>
      <c r="RP160" s="456"/>
      <c r="RQ160" s="456"/>
      <c r="RR160" s="456"/>
      <c r="RS160" s="456"/>
      <c r="RT160" s="456"/>
      <c r="RU160" s="456"/>
      <c r="RV160" s="456"/>
      <c r="RW160" s="456"/>
      <c r="RX160" s="456"/>
      <c r="RY160" s="456"/>
      <c r="RZ160" s="456"/>
      <c r="SA160" s="456"/>
      <c r="SB160" s="456"/>
      <c r="SC160" s="456"/>
      <c r="SD160" s="456"/>
      <c r="SE160" s="456"/>
      <c r="SF160" s="456"/>
      <c r="SG160" s="456"/>
      <c r="SH160" s="456"/>
      <c r="SI160" s="456"/>
      <c r="SJ160" s="456"/>
      <c r="SK160" s="456"/>
      <c r="SL160" s="456"/>
      <c r="SM160" s="456"/>
      <c r="SN160" s="456"/>
      <c r="SO160" s="456"/>
      <c r="SP160" s="456"/>
      <c r="SQ160" s="456"/>
      <c r="SR160" s="456"/>
      <c r="SS160" s="456"/>
      <c r="ST160" s="456"/>
      <c r="SU160" s="456"/>
      <c r="SV160" s="456"/>
      <c r="SW160" s="456"/>
      <c r="SX160" s="456"/>
      <c r="SY160" s="456"/>
      <c r="SZ160" s="456"/>
      <c r="TA160" s="456"/>
      <c r="TB160" s="456"/>
      <c r="TC160" s="456"/>
      <c r="TD160" s="456"/>
      <c r="TE160" s="456"/>
      <c r="TF160" s="456"/>
      <c r="TG160" s="456"/>
      <c r="TH160" s="456"/>
      <c r="TI160" s="456"/>
      <c r="TJ160" s="456"/>
      <c r="TK160" s="456"/>
      <c r="TL160" s="456"/>
      <c r="TM160" s="456"/>
      <c r="TN160" s="456"/>
      <c r="TO160" s="456"/>
      <c r="TP160" s="456"/>
      <c r="TQ160" s="456"/>
      <c r="TR160" s="456"/>
      <c r="TS160" s="456"/>
      <c r="TT160" s="456"/>
      <c r="TU160" s="456"/>
      <c r="TV160" s="456"/>
      <c r="TW160" s="456"/>
      <c r="TX160" s="456"/>
      <c r="TY160" s="456"/>
      <c r="TZ160" s="456"/>
      <c r="UA160" s="456"/>
      <c r="UB160" s="456"/>
      <c r="UC160" s="456"/>
      <c r="UD160" s="456"/>
      <c r="UE160" s="456"/>
      <c r="UF160" s="456"/>
      <c r="UG160" s="456"/>
      <c r="UH160" s="456"/>
      <c r="UI160" s="456"/>
      <c r="UJ160" s="456"/>
      <c r="UK160" s="456"/>
      <c r="UL160" s="456"/>
      <c r="UM160" s="456"/>
      <c r="UN160" s="456"/>
      <c r="UO160" s="456"/>
      <c r="UP160" s="456"/>
      <c r="UQ160" s="456"/>
      <c r="UR160" s="456"/>
      <c r="US160" s="456"/>
      <c r="UT160" s="456"/>
      <c r="UU160" s="456"/>
      <c r="UV160" s="456"/>
      <c r="UW160" s="456"/>
      <c r="UX160" s="456"/>
      <c r="UY160" s="456"/>
      <c r="UZ160" s="456"/>
      <c r="VA160" s="456"/>
      <c r="VB160" s="456"/>
      <c r="VC160" s="456"/>
      <c r="VD160" s="456"/>
      <c r="VE160" s="456"/>
      <c r="VF160" s="456"/>
      <c r="VG160" s="456"/>
      <c r="VH160" s="456"/>
      <c r="VI160" s="456"/>
      <c r="VJ160" s="456"/>
      <c r="VK160" s="456"/>
      <c r="VL160" s="456"/>
      <c r="VM160" s="456"/>
      <c r="VN160" s="456"/>
      <c r="VO160" s="456"/>
      <c r="VP160" s="456"/>
      <c r="VQ160" s="456"/>
      <c r="VR160" s="456"/>
      <c r="VS160" s="456"/>
      <c r="VT160" s="456"/>
      <c r="VU160" s="456"/>
      <c r="VV160" s="456"/>
      <c r="VW160" s="456"/>
      <c r="VX160" s="456"/>
      <c r="VY160" s="456"/>
      <c r="VZ160" s="456"/>
      <c r="WA160" s="456"/>
      <c r="WB160" s="456"/>
      <c r="WC160" s="456"/>
      <c r="WD160" s="456"/>
      <c r="WE160" s="456"/>
      <c r="WF160" s="456"/>
      <c r="WG160" s="456"/>
      <c r="WH160" s="456"/>
      <c r="WI160" s="456"/>
      <c r="WJ160" s="456"/>
      <c r="WK160" s="456"/>
      <c r="WL160" s="456"/>
      <c r="WM160" s="456"/>
      <c r="WN160" s="456"/>
      <c r="WO160" s="456"/>
      <c r="WP160" s="456"/>
      <c r="WQ160" s="456"/>
      <c r="WR160" s="456"/>
      <c r="WS160" s="456"/>
      <c r="WT160" s="456"/>
      <c r="WU160" s="456"/>
      <c r="WV160" s="456"/>
      <c r="WW160" s="456"/>
      <c r="WX160" s="456"/>
      <c r="WY160" s="456"/>
      <c r="WZ160" s="456"/>
      <c r="XA160" s="456"/>
      <c r="XB160" s="456"/>
      <c r="XC160" s="456"/>
      <c r="XD160" s="456"/>
      <c r="XE160" s="456"/>
      <c r="XF160" s="456"/>
      <c r="XG160" s="456"/>
      <c r="XH160" s="456"/>
      <c r="XI160" s="456"/>
      <c r="XJ160" s="456"/>
      <c r="XK160" s="456"/>
      <c r="XL160" s="456"/>
      <c r="XM160" s="456"/>
      <c r="XN160" s="456"/>
      <c r="XO160" s="456"/>
      <c r="XP160" s="456"/>
      <c r="XQ160" s="456"/>
      <c r="XR160" s="456"/>
      <c r="XS160" s="456"/>
      <c r="XT160" s="456"/>
      <c r="XU160" s="456"/>
      <c r="XV160" s="456"/>
      <c r="XW160" s="456"/>
      <c r="XX160" s="456"/>
      <c r="XY160" s="456"/>
      <c r="XZ160" s="456"/>
      <c r="YA160" s="456"/>
      <c r="YB160" s="456"/>
      <c r="YC160" s="456"/>
      <c r="YD160" s="456"/>
      <c r="YE160" s="456"/>
      <c r="YF160" s="456"/>
      <c r="YG160" s="456"/>
      <c r="YH160" s="456"/>
      <c r="YI160" s="456"/>
      <c r="YJ160" s="456"/>
      <c r="YK160" s="456"/>
      <c r="YL160" s="456"/>
      <c r="YM160" s="456"/>
      <c r="YN160" s="456"/>
      <c r="YO160" s="456"/>
      <c r="YP160" s="456"/>
      <c r="YQ160" s="456"/>
      <c r="YR160" s="456"/>
      <c r="YS160" s="456"/>
      <c r="YT160" s="456"/>
      <c r="YU160" s="456"/>
      <c r="YV160" s="456"/>
      <c r="YW160" s="456"/>
      <c r="YX160" s="456"/>
      <c r="YY160" s="456"/>
      <c r="YZ160" s="456"/>
      <c r="ZA160" s="456"/>
      <c r="ZB160" s="456"/>
      <c r="ZC160" s="456"/>
      <c r="ZD160" s="456"/>
      <c r="ZE160" s="456"/>
      <c r="ZF160" s="456"/>
      <c r="ZG160" s="456"/>
      <c r="ZH160" s="456"/>
      <c r="ZI160" s="456"/>
      <c r="ZJ160" s="456"/>
      <c r="ZK160" s="456"/>
      <c r="ZL160" s="456"/>
      <c r="ZM160" s="456"/>
      <c r="ZN160" s="456"/>
      <c r="ZO160" s="456"/>
      <c r="ZP160" s="456"/>
      <c r="ZQ160" s="456"/>
      <c r="ZR160" s="456"/>
      <c r="ZS160" s="456"/>
      <c r="ZT160" s="456"/>
      <c r="ZU160" s="456"/>
      <c r="ZV160" s="456"/>
      <c r="ZW160" s="456"/>
      <c r="ZX160" s="456"/>
      <c r="ZY160" s="456"/>
      <c r="ZZ160" s="456"/>
      <c r="AAA160" s="456"/>
      <c r="AAB160" s="456"/>
      <c r="AAC160" s="456"/>
      <c r="AAD160" s="456"/>
      <c r="AAE160" s="456"/>
      <c r="AAF160" s="456"/>
      <c r="AAG160" s="456"/>
      <c r="AAH160" s="456"/>
      <c r="AAI160" s="456"/>
      <c r="AAJ160" s="456"/>
      <c r="AAK160" s="456"/>
      <c r="AAL160" s="456"/>
      <c r="AAM160" s="456"/>
      <c r="AAN160" s="456"/>
      <c r="AAO160" s="456"/>
      <c r="AAP160" s="456"/>
      <c r="AAQ160" s="456"/>
      <c r="AAR160" s="456"/>
      <c r="AAS160" s="456"/>
      <c r="AAT160" s="456"/>
      <c r="AAU160" s="456"/>
      <c r="AAV160" s="456"/>
      <c r="AAW160" s="456"/>
      <c r="AAX160" s="456"/>
      <c r="AAY160" s="456"/>
      <c r="AAZ160" s="456"/>
      <c r="ABA160" s="456"/>
      <c r="ABB160" s="456"/>
      <c r="ABC160" s="456"/>
      <c r="ABD160" s="456"/>
      <c r="ABE160" s="456"/>
      <c r="ABF160" s="456"/>
      <c r="ABG160" s="456"/>
      <c r="ABH160" s="456"/>
      <c r="ABI160" s="456"/>
      <c r="ABJ160" s="456"/>
      <c r="ABK160" s="456"/>
      <c r="ABL160" s="456"/>
      <c r="ABM160" s="456"/>
      <c r="ABN160" s="456"/>
      <c r="ABO160" s="456"/>
      <c r="ABP160" s="456"/>
      <c r="ABQ160" s="456"/>
      <c r="ABR160" s="456"/>
      <c r="ABS160" s="456"/>
      <c r="ABT160" s="456"/>
      <c r="ABU160" s="456"/>
      <c r="ABV160" s="456"/>
      <c r="ABW160" s="456"/>
      <c r="ABX160" s="456"/>
      <c r="ABY160" s="456"/>
      <c r="ABZ160" s="456"/>
      <c r="ACA160" s="456"/>
      <c r="ACB160" s="456"/>
      <c r="ACC160" s="456"/>
      <c r="ACD160" s="456"/>
      <c r="ACE160" s="456"/>
      <c r="ACF160" s="456"/>
      <c r="ACG160" s="456"/>
      <c r="ACH160" s="456"/>
      <c r="ACI160" s="456"/>
      <c r="ACJ160" s="456"/>
      <c r="ACK160" s="456"/>
      <c r="ACL160" s="456"/>
      <c r="ACM160" s="456"/>
      <c r="ACN160" s="456"/>
      <c r="ACO160" s="456"/>
      <c r="ACP160" s="456"/>
      <c r="ACQ160" s="456"/>
      <c r="ACR160" s="456"/>
      <c r="ACS160" s="456"/>
      <c r="ACT160" s="456"/>
      <c r="ACU160" s="456"/>
      <c r="ACV160" s="456"/>
      <c r="ACW160" s="456"/>
      <c r="ACX160" s="456"/>
      <c r="ACY160" s="456"/>
      <c r="ACZ160" s="456"/>
      <c r="ADA160" s="456"/>
      <c r="ADB160" s="456"/>
      <c r="ADC160" s="456"/>
      <c r="ADD160" s="456"/>
      <c r="ADE160" s="456"/>
      <c r="ADF160" s="456"/>
      <c r="ADG160" s="456"/>
      <c r="ADH160" s="456"/>
      <c r="ADI160" s="456"/>
      <c r="ADJ160" s="456"/>
      <c r="ADK160" s="456"/>
      <c r="ADL160" s="456"/>
      <c r="ADM160" s="456"/>
      <c r="ADN160" s="456"/>
      <c r="ADO160" s="456"/>
      <c r="ADP160" s="456"/>
      <c r="ADQ160" s="456"/>
      <c r="ADR160" s="456"/>
      <c r="ADS160" s="456"/>
      <c r="ADT160" s="456"/>
      <c r="ADU160" s="456"/>
      <c r="ADV160" s="456"/>
      <c r="ADW160" s="456"/>
      <c r="ADX160" s="456"/>
      <c r="ADY160" s="456"/>
      <c r="ADZ160" s="456"/>
      <c r="AEA160" s="456"/>
      <c r="AEB160" s="456"/>
      <c r="AEC160" s="456"/>
      <c r="AED160" s="456"/>
      <c r="AEE160" s="456"/>
      <c r="AEF160" s="456"/>
      <c r="AEG160" s="456"/>
      <c r="AEH160" s="456"/>
      <c r="AEI160" s="456"/>
      <c r="AEJ160" s="456"/>
      <c r="AEK160" s="456"/>
      <c r="AEL160" s="456"/>
      <c r="AEM160" s="456"/>
      <c r="AEN160" s="456"/>
      <c r="AEO160" s="456"/>
      <c r="AEP160" s="456"/>
      <c r="AEQ160" s="456"/>
      <c r="AER160" s="456"/>
      <c r="AES160" s="456"/>
      <c r="AET160" s="456"/>
      <c r="AEU160" s="456"/>
      <c r="AEV160" s="456"/>
      <c r="AEW160" s="456"/>
      <c r="AEX160" s="456"/>
      <c r="AEY160" s="456"/>
      <c r="AEZ160" s="456"/>
      <c r="AFA160" s="456"/>
      <c r="AFB160" s="456"/>
      <c r="AFC160" s="456"/>
      <c r="AFD160" s="456"/>
      <c r="AFE160" s="456"/>
      <c r="AFF160" s="456"/>
      <c r="AFG160" s="456"/>
      <c r="AFH160" s="456"/>
      <c r="AFI160" s="456"/>
      <c r="AFJ160" s="456"/>
      <c r="AFK160" s="456"/>
      <c r="AFL160" s="456"/>
      <c r="AFM160" s="456"/>
      <c r="AFN160" s="456"/>
      <c r="AFO160" s="456"/>
      <c r="AFP160" s="456"/>
      <c r="AFQ160" s="456"/>
      <c r="AFR160" s="456"/>
      <c r="AFS160" s="456"/>
      <c r="AFT160" s="456"/>
      <c r="AFU160" s="456"/>
      <c r="AFV160" s="456"/>
      <c r="AFW160" s="456"/>
      <c r="AFX160" s="456"/>
      <c r="AFY160" s="456"/>
      <c r="AFZ160" s="456"/>
      <c r="AGA160" s="456"/>
      <c r="AGB160" s="456"/>
      <c r="AGC160" s="456"/>
      <c r="AGD160" s="456"/>
      <c r="AGE160" s="456"/>
      <c r="AGF160" s="456"/>
      <c r="AGG160" s="456"/>
      <c r="AGH160" s="456"/>
      <c r="AGI160" s="456"/>
      <c r="AGJ160" s="456"/>
      <c r="AGK160" s="456"/>
      <c r="AGL160" s="456"/>
      <c r="AGM160" s="456"/>
      <c r="AGN160" s="456"/>
      <c r="AGO160" s="456"/>
      <c r="AGP160" s="456"/>
      <c r="AGQ160" s="456"/>
      <c r="AGR160" s="456"/>
      <c r="AGS160" s="456"/>
      <c r="AGT160" s="456"/>
      <c r="AGU160" s="456"/>
      <c r="AGV160" s="456"/>
      <c r="AGW160" s="456"/>
      <c r="AGX160" s="456"/>
      <c r="AGY160" s="456"/>
      <c r="AGZ160" s="456"/>
      <c r="AHA160" s="456"/>
      <c r="AHB160" s="456"/>
      <c r="AHC160" s="456"/>
      <c r="AHD160" s="456"/>
      <c r="AHE160" s="456"/>
      <c r="AHF160" s="456"/>
      <c r="AHG160" s="456"/>
      <c r="AHH160" s="456"/>
      <c r="AHI160" s="456"/>
      <c r="AHJ160" s="456"/>
      <c r="AHK160" s="456"/>
      <c r="AHL160" s="456"/>
      <c r="AHM160" s="456"/>
      <c r="AHN160" s="456"/>
      <c r="AHO160" s="456"/>
      <c r="AHP160" s="456"/>
      <c r="AHQ160" s="456"/>
      <c r="AHR160" s="456"/>
      <c r="AHS160" s="456"/>
      <c r="AHT160" s="456"/>
      <c r="AHU160" s="456"/>
      <c r="AHV160" s="456"/>
      <c r="AHW160" s="456"/>
      <c r="AHX160" s="456"/>
      <c r="AHY160" s="456"/>
      <c r="AHZ160" s="456"/>
      <c r="AIA160" s="456"/>
      <c r="AIB160" s="456"/>
      <c r="AIC160" s="456"/>
      <c r="AID160" s="456"/>
      <c r="AIE160" s="456"/>
      <c r="AIF160" s="456"/>
      <c r="AIG160" s="456"/>
      <c r="AIH160" s="456"/>
      <c r="AII160" s="456"/>
      <c r="AIJ160" s="456"/>
      <c r="AIK160" s="456"/>
      <c r="AIL160" s="456"/>
      <c r="AIM160" s="456"/>
      <c r="AIN160" s="456"/>
      <c r="AIO160" s="456"/>
      <c r="AIP160" s="456"/>
      <c r="AIQ160" s="456"/>
      <c r="AIR160" s="456"/>
      <c r="AIS160" s="456"/>
      <c r="AIT160" s="456"/>
      <c r="AIU160" s="456"/>
      <c r="AIV160" s="456"/>
      <c r="AIW160" s="456"/>
      <c r="AIX160" s="456"/>
      <c r="AIY160" s="456"/>
      <c r="AIZ160" s="456"/>
      <c r="AJA160" s="456"/>
      <c r="AJB160" s="456"/>
      <c r="AJC160" s="456"/>
      <c r="AJD160" s="456"/>
      <c r="AJE160" s="456"/>
      <c r="AJF160" s="456"/>
      <c r="AJG160" s="456"/>
      <c r="AJH160" s="456"/>
      <c r="AJI160" s="456"/>
      <c r="AJJ160" s="456"/>
      <c r="AJK160" s="456"/>
      <c r="AJL160" s="456"/>
      <c r="AJM160" s="456"/>
      <c r="AJN160" s="456"/>
      <c r="AJO160" s="456"/>
      <c r="AJP160" s="456"/>
      <c r="AJQ160" s="456"/>
      <c r="AJR160" s="456"/>
      <c r="AJS160" s="456"/>
      <c r="AJT160" s="456"/>
      <c r="AJU160" s="456"/>
      <c r="AJV160" s="456"/>
      <c r="AJW160" s="456"/>
      <c r="AJX160" s="456"/>
      <c r="AJY160" s="456"/>
      <c r="AJZ160" s="456"/>
      <c r="AKA160" s="456"/>
      <c r="AKB160" s="456"/>
      <c r="AKC160" s="456"/>
      <c r="AKD160" s="456"/>
      <c r="AKE160" s="456"/>
      <c r="AKF160" s="456"/>
      <c r="AKG160" s="456"/>
      <c r="AKH160" s="456"/>
      <c r="AKI160" s="456"/>
      <c r="AKJ160" s="456"/>
      <c r="AKK160" s="456"/>
      <c r="AKL160" s="456"/>
      <c r="AKM160" s="456"/>
      <c r="AKN160" s="456"/>
      <c r="AKO160" s="456"/>
      <c r="AKP160" s="456"/>
      <c r="AKQ160" s="456"/>
      <c r="AKR160" s="456"/>
      <c r="AKS160" s="456"/>
      <c r="AKT160" s="456"/>
      <c r="AKU160" s="456"/>
      <c r="AKV160" s="456"/>
      <c r="AKW160" s="456"/>
      <c r="AKX160" s="456"/>
      <c r="AKY160" s="456"/>
      <c r="AKZ160" s="456"/>
      <c r="ALA160" s="456"/>
      <c r="ALB160" s="456"/>
      <c r="ALC160" s="456"/>
      <c r="ALD160" s="456"/>
      <c r="ALE160" s="456"/>
      <c r="ALF160" s="456"/>
      <c r="ALG160" s="456"/>
      <c r="ALH160" s="456"/>
      <c r="ALI160" s="456"/>
      <c r="ALJ160" s="456"/>
      <c r="ALK160" s="456"/>
      <c r="ALL160" s="456"/>
      <c r="ALM160" s="456"/>
      <c r="ALN160" s="456"/>
      <c r="ALO160" s="456"/>
      <c r="ALP160" s="456"/>
      <c r="ALQ160" s="456"/>
      <c r="ALR160" s="456"/>
      <c r="ALS160" s="456"/>
      <c r="ALT160" s="456"/>
      <c r="ALU160" s="456"/>
      <c r="ALV160" s="456"/>
      <c r="ALW160" s="456"/>
      <c r="ALX160" s="456"/>
      <c r="ALY160" s="456"/>
      <c r="ALZ160" s="456"/>
      <c r="AMA160" s="456"/>
      <c r="AMB160" s="456"/>
      <c r="AMC160" s="456"/>
      <c r="AMD160" s="456"/>
      <c r="AME160" s="456"/>
      <c r="AMF160" s="456"/>
      <c r="AMG160" s="456"/>
      <c r="AMH160" s="456"/>
      <c r="AMI160" s="456"/>
      <c r="AMJ160" s="456"/>
      <c r="AMK160" s="456"/>
      <c r="AML160" s="456"/>
      <c r="AMM160" s="456"/>
      <c r="AMN160" s="456"/>
      <c r="AMO160" s="456"/>
      <c r="AMP160" s="456"/>
      <c r="AMQ160" s="456"/>
      <c r="AMR160" s="456"/>
      <c r="AMS160" s="456"/>
      <c r="AMT160" s="456"/>
      <c r="AMU160" s="456"/>
      <c r="AMV160" s="456"/>
      <c r="AMW160" s="456"/>
      <c r="AMX160" s="456"/>
      <c r="AMY160" s="456"/>
      <c r="AMZ160" s="456"/>
      <c r="ANA160" s="456"/>
      <c r="ANB160" s="456"/>
      <c r="ANC160" s="456"/>
      <c r="AND160" s="456"/>
      <c r="ANE160" s="456"/>
      <c r="ANF160" s="456"/>
      <c r="ANG160" s="456"/>
      <c r="ANH160" s="456"/>
      <c r="ANI160" s="456"/>
      <c r="ANJ160" s="456"/>
      <c r="ANK160" s="456"/>
      <c r="ANL160" s="456"/>
      <c r="ANM160" s="456"/>
      <c r="ANN160" s="456"/>
      <c r="ANO160" s="456"/>
      <c r="ANP160" s="456"/>
      <c r="ANQ160" s="456"/>
      <c r="ANR160" s="456"/>
      <c r="ANS160" s="456"/>
      <c r="ANT160" s="456"/>
      <c r="ANU160" s="456"/>
      <c r="ANV160" s="456"/>
      <c r="ANW160" s="456"/>
      <c r="ANX160" s="456"/>
      <c r="ANY160" s="456"/>
      <c r="ANZ160" s="456"/>
      <c r="AOA160" s="456"/>
      <c r="AOB160" s="456"/>
      <c r="AOC160" s="456"/>
      <c r="AOD160" s="456"/>
      <c r="AOE160" s="456"/>
      <c r="AOF160" s="456"/>
      <c r="AOG160" s="456"/>
      <c r="AOH160" s="456"/>
      <c r="AOI160" s="456"/>
      <c r="AOJ160" s="456"/>
      <c r="AOK160" s="456"/>
      <c r="AOL160" s="456"/>
      <c r="AOM160" s="456"/>
      <c r="AON160" s="456"/>
      <c r="AOO160" s="456"/>
      <c r="AOP160" s="456"/>
      <c r="AOQ160" s="456"/>
      <c r="AOR160" s="456"/>
      <c r="AOS160" s="456"/>
      <c r="AOT160" s="456"/>
      <c r="AOU160" s="456"/>
      <c r="AOV160" s="456"/>
      <c r="AOW160" s="456"/>
      <c r="AOX160" s="456"/>
      <c r="AOY160" s="456"/>
      <c r="AOZ160" s="456"/>
      <c r="APA160" s="456"/>
      <c r="APB160" s="456"/>
      <c r="APC160" s="456"/>
      <c r="APD160" s="456"/>
      <c r="APE160" s="456"/>
      <c r="APF160" s="456"/>
      <c r="APG160" s="456"/>
      <c r="APH160" s="456"/>
      <c r="API160" s="456"/>
      <c r="APJ160" s="456"/>
      <c r="APK160" s="456"/>
      <c r="APL160" s="456"/>
      <c r="APM160" s="456"/>
      <c r="APN160" s="456"/>
      <c r="APO160" s="456"/>
      <c r="APP160" s="456"/>
      <c r="APQ160" s="456"/>
      <c r="APR160" s="456"/>
      <c r="APS160" s="456"/>
      <c r="APT160" s="456"/>
      <c r="APU160" s="456"/>
      <c r="APV160" s="456"/>
      <c r="APW160" s="456"/>
      <c r="APX160" s="456"/>
      <c r="APY160" s="456"/>
      <c r="APZ160" s="456"/>
      <c r="AQA160" s="456"/>
      <c r="AQB160" s="456"/>
      <c r="AQC160" s="456"/>
      <c r="AQD160" s="456"/>
      <c r="AQE160" s="456"/>
      <c r="AQF160" s="456"/>
      <c r="AQG160" s="456"/>
      <c r="AQH160" s="456"/>
      <c r="AQI160" s="456"/>
      <c r="AQJ160" s="456"/>
      <c r="AQK160" s="456"/>
      <c r="AQL160" s="456"/>
      <c r="AQM160" s="456"/>
      <c r="AQN160" s="456"/>
      <c r="AQO160" s="456"/>
      <c r="AQP160" s="456"/>
      <c r="AQQ160" s="456"/>
      <c r="AQR160" s="456"/>
      <c r="AQS160" s="456"/>
      <c r="AQT160" s="456"/>
      <c r="AQU160" s="456"/>
      <c r="AQV160" s="456"/>
      <c r="AQW160" s="456"/>
      <c r="AQX160" s="456"/>
      <c r="AQY160" s="456"/>
      <c r="AQZ160" s="456"/>
      <c r="ARA160" s="456"/>
      <c r="ARB160" s="456"/>
      <c r="ARC160" s="456"/>
      <c r="ARD160" s="456"/>
      <c r="ARE160" s="456"/>
      <c r="ARF160" s="456"/>
      <c r="ARG160" s="456"/>
      <c r="ARH160" s="456"/>
      <c r="ARI160" s="456"/>
      <c r="ARJ160" s="456"/>
      <c r="ARK160" s="456"/>
      <c r="ARL160" s="456"/>
      <c r="ARM160" s="456"/>
      <c r="ARN160" s="456"/>
      <c r="ARO160" s="456"/>
      <c r="ARP160" s="456"/>
      <c r="ARQ160" s="456"/>
      <c r="ARR160" s="456"/>
      <c r="ARS160" s="456"/>
      <c r="ART160" s="456"/>
      <c r="ARU160" s="456"/>
      <c r="ARV160" s="456"/>
      <c r="ARW160" s="456"/>
      <c r="ARX160" s="456"/>
      <c r="ARY160" s="456"/>
      <c r="ARZ160" s="456"/>
      <c r="ASA160" s="456"/>
      <c r="ASB160" s="456"/>
      <c r="ASC160" s="456"/>
      <c r="ASD160" s="456"/>
      <c r="ASE160" s="456"/>
      <c r="ASF160" s="456"/>
      <c r="ASG160" s="456"/>
      <c r="ASH160" s="456"/>
      <c r="ASI160" s="456"/>
      <c r="ASJ160" s="456"/>
      <c r="ASK160" s="456"/>
      <c r="ASL160" s="456"/>
      <c r="ASM160" s="456"/>
      <c r="ASN160" s="456"/>
      <c r="ASO160" s="456"/>
      <c r="ASP160" s="456"/>
      <c r="ASQ160" s="456"/>
      <c r="ASR160" s="456"/>
      <c r="ASS160" s="456"/>
      <c r="AST160" s="456"/>
      <c r="ASU160" s="456"/>
      <c r="ASV160" s="456"/>
      <c r="ASW160" s="456"/>
      <c r="ASX160" s="456"/>
      <c r="ASY160" s="456"/>
      <c r="ASZ160" s="456"/>
      <c r="ATA160" s="456"/>
      <c r="ATB160" s="456"/>
      <c r="ATC160" s="456"/>
      <c r="ATD160" s="456"/>
      <c r="ATE160" s="456"/>
      <c r="ATF160" s="456"/>
      <c r="ATG160" s="456"/>
      <c r="ATH160" s="456"/>
      <c r="ATI160" s="456"/>
      <c r="ATJ160" s="456"/>
      <c r="ATK160" s="456"/>
      <c r="ATL160" s="456"/>
      <c r="ATM160" s="456"/>
      <c r="ATN160" s="456"/>
      <c r="ATO160" s="456"/>
      <c r="ATP160" s="456"/>
      <c r="ATQ160" s="456"/>
      <c r="ATR160" s="456"/>
      <c r="ATS160" s="456"/>
      <c r="ATT160" s="456"/>
      <c r="ATU160" s="456"/>
      <c r="ATV160" s="456"/>
      <c r="ATW160" s="456"/>
      <c r="ATX160" s="456"/>
      <c r="ATY160" s="456"/>
      <c r="ATZ160" s="456"/>
      <c r="AUA160" s="456"/>
      <c r="AUB160" s="456"/>
      <c r="AUC160" s="456"/>
      <c r="AUD160" s="456"/>
      <c r="AUE160" s="456"/>
      <c r="AUF160" s="456"/>
      <c r="AUG160" s="456"/>
      <c r="AUH160" s="456"/>
      <c r="AUI160" s="456"/>
      <c r="AUJ160" s="456"/>
      <c r="AUK160" s="456"/>
      <c r="AUL160" s="456"/>
      <c r="AUM160" s="456"/>
      <c r="AUN160" s="456"/>
      <c r="AUO160" s="456"/>
      <c r="AUP160" s="456"/>
      <c r="AUQ160" s="456"/>
      <c r="AUR160" s="456"/>
      <c r="AUS160" s="456"/>
      <c r="AUT160" s="456"/>
      <c r="AUU160" s="456"/>
      <c r="AUV160" s="456"/>
      <c r="AUW160" s="456"/>
      <c r="AUX160" s="456"/>
      <c r="AUY160" s="456"/>
      <c r="AUZ160" s="456"/>
      <c r="AVA160" s="456"/>
      <c r="AVB160" s="456"/>
      <c r="AVC160" s="456"/>
      <c r="AVD160" s="456"/>
      <c r="AVE160" s="456"/>
      <c r="AVF160" s="456"/>
      <c r="AVG160" s="456"/>
      <c r="AVH160" s="456"/>
      <c r="AVI160" s="456"/>
      <c r="AVJ160" s="456"/>
      <c r="AVK160" s="456"/>
      <c r="AVL160" s="456"/>
      <c r="AVM160" s="456"/>
      <c r="AVN160" s="456"/>
      <c r="AVO160" s="456"/>
      <c r="AVP160" s="456"/>
      <c r="AVQ160" s="456"/>
      <c r="AVR160" s="456"/>
      <c r="AVS160" s="456"/>
      <c r="AVT160" s="456"/>
      <c r="AVU160" s="456"/>
      <c r="AVV160" s="456"/>
      <c r="AVW160" s="456"/>
      <c r="AVX160" s="456"/>
      <c r="AVY160" s="456"/>
      <c r="AVZ160" s="456"/>
      <c r="AWA160" s="456"/>
      <c r="AWB160" s="456"/>
      <c r="AWC160" s="456"/>
      <c r="AWD160" s="456"/>
      <c r="AWE160" s="456"/>
      <c r="AWF160" s="456"/>
      <c r="AWG160" s="456"/>
      <c r="AWH160" s="456"/>
      <c r="AWI160" s="456"/>
      <c r="AWJ160" s="456"/>
      <c r="AWK160" s="456"/>
      <c r="AWL160" s="456"/>
      <c r="AWM160" s="456"/>
      <c r="AWN160" s="456"/>
      <c r="AWO160" s="456"/>
      <c r="AWP160" s="456"/>
      <c r="AWQ160" s="456"/>
      <c r="AWR160" s="456"/>
      <c r="AWS160" s="456"/>
      <c r="AWT160" s="456"/>
      <c r="AWU160" s="456"/>
      <c r="AWV160" s="456"/>
      <c r="AWW160" s="456"/>
      <c r="AWX160" s="456"/>
      <c r="AWY160" s="456"/>
      <c r="AWZ160" s="456"/>
      <c r="AXA160" s="456"/>
      <c r="AXB160" s="456"/>
      <c r="AXC160" s="456"/>
      <c r="AXD160" s="456"/>
      <c r="AXE160" s="456"/>
      <c r="AXF160" s="456"/>
      <c r="AXG160" s="456"/>
      <c r="AXH160" s="456"/>
      <c r="AXI160" s="456"/>
      <c r="AXJ160" s="456"/>
      <c r="AXK160" s="456"/>
      <c r="AXL160" s="456"/>
      <c r="AXM160" s="456"/>
      <c r="AXN160" s="456"/>
      <c r="AXO160" s="456"/>
      <c r="AXP160" s="456"/>
      <c r="AXQ160" s="456"/>
      <c r="AXR160" s="456"/>
      <c r="AXS160" s="456"/>
      <c r="AXT160" s="456"/>
      <c r="AXU160" s="456"/>
      <c r="AXV160" s="456"/>
      <c r="AXW160" s="456"/>
      <c r="AXX160" s="456"/>
      <c r="AXY160" s="456"/>
      <c r="AXZ160" s="456"/>
      <c r="AYA160" s="456"/>
      <c r="AYB160" s="456"/>
      <c r="AYC160" s="456"/>
      <c r="AYD160" s="456"/>
      <c r="AYE160" s="456"/>
      <c r="AYF160" s="456"/>
      <c r="AYG160" s="456"/>
      <c r="AYH160" s="456"/>
      <c r="AYI160" s="456"/>
      <c r="AYJ160" s="456"/>
      <c r="AYK160" s="456"/>
      <c r="AYL160" s="456"/>
      <c r="AYM160" s="456"/>
      <c r="AYN160" s="456"/>
      <c r="AYO160" s="456"/>
      <c r="AYP160" s="456"/>
      <c r="AYQ160" s="456"/>
      <c r="AYR160" s="456"/>
      <c r="AYS160" s="456"/>
      <c r="AYT160" s="456"/>
      <c r="AYU160" s="456"/>
      <c r="AYV160" s="456"/>
      <c r="AYW160" s="456"/>
      <c r="AYX160" s="456"/>
      <c r="AYY160" s="456"/>
      <c r="AYZ160" s="456"/>
      <c r="AZA160" s="456"/>
      <c r="AZB160" s="456"/>
      <c r="AZC160" s="456"/>
      <c r="AZD160" s="456"/>
      <c r="AZE160" s="456"/>
      <c r="AZF160" s="456"/>
      <c r="AZG160" s="456"/>
      <c r="AZH160" s="456"/>
      <c r="AZI160" s="456"/>
      <c r="AZJ160" s="456"/>
      <c r="AZK160" s="456"/>
      <c r="AZL160" s="456"/>
      <c r="AZM160" s="456"/>
      <c r="AZN160" s="456"/>
      <c r="AZO160" s="456"/>
      <c r="AZP160" s="456"/>
      <c r="AZQ160" s="456"/>
      <c r="AZR160" s="456"/>
      <c r="AZS160" s="456"/>
      <c r="AZT160" s="456"/>
      <c r="AZU160" s="456"/>
      <c r="AZV160" s="456"/>
      <c r="AZW160" s="456"/>
      <c r="AZX160" s="456"/>
      <c r="AZY160" s="456"/>
      <c r="AZZ160" s="456"/>
      <c r="BAA160" s="456"/>
      <c r="BAB160" s="456"/>
      <c r="BAC160" s="456"/>
      <c r="BAD160" s="456"/>
      <c r="BAE160" s="456"/>
      <c r="BAF160" s="456"/>
      <c r="BAG160" s="456"/>
      <c r="BAH160" s="456"/>
      <c r="BAI160" s="456"/>
      <c r="BAJ160" s="456"/>
      <c r="BAK160" s="456"/>
      <c r="BAL160" s="456"/>
      <c r="BAM160" s="456"/>
      <c r="BAN160" s="456"/>
      <c r="BAO160" s="456"/>
      <c r="BAP160" s="456"/>
      <c r="BAQ160" s="456"/>
      <c r="BAR160" s="456"/>
      <c r="BAS160" s="456"/>
      <c r="BAT160" s="456"/>
      <c r="BAU160" s="456"/>
      <c r="BAV160" s="456"/>
      <c r="BAW160" s="456"/>
      <c r="BAX160" s="456"/>
      <c r="BAY160" s="456"/>
      <c r="BAZ160" s="456"/>
      <c r="BBA160" s="456"/>
      <c r="BBB160" s="456"/>
      <c r="BBC160" s="456"/>
      <c r="BBD160" s="456"/>
      <c r="BBE160" s="456"/>
      <c r="BBF160" s="456"/>
      <c r="BBG160" s="456"/>
      <c r="BBH160" s="456"/>
      <c r="BBI160" s="456"/>
      <c r="BBJ160" s="456"/>
      <c r="BBK160" s="456"/>
      <c r="BBL160" s="456"/>
      <c r="BBM160" s="456"/>
      <c r="BBN160" s="456"/>
      <c r="BBO160" s="456"/>
      <c r="BBP160" s="456"/>
      <c r="BBQ160" s="456"/>
      <c r="BBR160" s="456"/>
      <c r="BBS160" s="456"/>
      <c r="BBT160" s="456"/>
      <c r="BBU160" s="456"/>
      <c r="BBV160" s="456"/>
      <c r="BBW160" s="456"/>
      <c r="BBX160" s="456"/>
      <c r="BBY160" s="456"/>
      <c r="BBZ160" s="456"/>
      <c r="BCA160" s="456"/>
      <c r="BCB160" s="456"/>
      <c r="BCC160" s="456"/>
      <c r="BCD160" s="456"/>
      <c r="BCE160" s="456"/>
      <c r="BCF160" s="456"/>
      <c r="BCG160" s="456"/>
      <c r="BCH160" s="456"/>
      <c r="BCI160" s="456"/>
      <c r="BCJ160" s="456"/>
      <c r="BCK160" s="456"/>
      <c r="BCL160" s="456"/>
      <c r="BCM160" s="456"/>
      <c r="BCN160" s="456"/>
      <c r="BCO160" s="456"/>
      <c r="BCP160" s="456"/>
      <c r="BCQ160" s="456"/>
      <c r="BCR160" s="456"/>
      <c r="BCS160" s="456"/>
      <c r="BCT160" s="456"/>
      <c r="BCU160" s="456"/>
      <c r="BCV160" s="456"/>
      <c r="BCW160" s="456"/>
      <c r="BCX160" s="456"/>
      <c r="BCY160" s="456"/>
      <c r="BCZ160" s="456"/>
      <c r="BDA160" s="456"/>
      <c r="BDB160" s="456"/>
      <c r="BDC160" s="456"/>
      <c r="BDD160" s="456"/>
      <c r="BDE160" s="456"/>
      <c r="BDF160" s="456"/>
      <c r="BDG160" s="456"/>
      <c r="BDH160" s="456"/>
      <c r="BDI160" s="456"/>
      <c r="BDJ160" s="456"/>
      <c r="BDK160" s="456"/>
      <c r="BDL160" s="456"/>
      <c r="BDM160" s="456"/>
      <c r="BDN160" s="456"/>
      <c r="BDO160" s="456"/>
      <c r="BDP160" s="456"/>
      <c r="BDQ160" s="456"/>
      <c r="BDR160" s="456"/>
      <c r="BDS160" s="456"/>
      <c r="BDT160" s="456"/>
      <c r="BDU160" s="456"/>
      <c r="BDV160" s="456"/>
      <c r="BDW160" s="456"/>
      <c r="BDX160" s="456"/>
      <c r="BDY160" s="456"/>
      <c r="BDZ160" s="456"/>
      <c r="BEA160" s="456"/>
      <c r="BEB160" s="456"/>
      <c r="BEC160" s="456"/>
      <c r="BED160" s="456"/>
      <c r="BEE160" s="456"/>
      <c r="BEF160" s="456"/>
      <c r="BEG160" s="456"/>
      <c r="BEH160" s="456"/>
      <c r="BEI160" s="456"/>
      <c r="BEJ160" s="456"/>
      <c r="BEK160" s="456"/>
      <c r="BEL160" s="456"/>
      <c r="BEM160" s="456"/>
      <c r="BEN160" s="456"/>
      <c r="BEO160" s="456"/>
      <c r="BEP160" s="456"/>
      <c r="BEQ160" s="456"/>
      <c r="BER160" s="456"/>
      <c r="BES160" s="456"/>
      <c r="BET160" s="456"/>
      <c r="BEU160" s="456"/>
      <c r="BEV160" s="456"/>
      <c r="BEW160" s="456"/>
      <c r="BEX160" s="456"/>
      <c r="BEY160" s="456"/>
      <c r="BEZ160" s="456"/>
      <c r="BFA160" s="456"/>
      <c r="BFB160" s="456"/>
      <c r="BFC160" s="456"/>
      <c r="BFD160" s="456"/>
      <c r="BFE160" s="456"/>
      <c r="BFF160" s="456"/>
      <c r="BFG160" s="456"/>
      <c r="BFH160" s="456"/>
      <c r="BFI160" s="456"/>
      <c r="BFJ160" s="456"/>
      <c r="BFK160" s="456"/>
      <c r="BFL160" s="456"/>
      <c r="BFM160" s="456"/>
      <c r="BFN160" s="456"/>
      <c r="BFO160" s="456"/>
      <c r="BFP160" s="456"/>
      <c r="BFQ160" s="456"/>
      <c r="BFR160" s="456"/>
      <c r="BFS160" s="456"/>
      <c r="BFT160" s="456"/>
      <c r="BFU160" s="456"/>
      <c r="BFV160" s="456"/>
      <c r="BFW160" s="456"/>
      <c r="BFX160" s="456"/>
      <c r="BFY160" s="456"/>
      <c r="BFZ160" s="456"/>
      <c r="BGA160" s="456"/>
      <c r="BGB160" s="456"/>
      <c r="BGC160" s="456"/>
      <c r="BGD160" s="456"/>
      <c r="BGE160" s="456"/>
      <c r="BGF160" s="456"/>
      <c r="BGG160" s="456"/>
      <c r="BGH160" s="456"/>
      <c r="BGI160" s="456"/>
      <c r="BGJ160" s="456"/>
      <c r="BGK160" s="456"/>
      <c r="BGL160" s="456"/>
      <c r="BGM160" s="456"/>
      <c r="BGN160" s="456"/>
      <c r="BGO160" s="456"/>
      <c r="BGP160" s="456"/>
      <c r="BGQ160" s="456"/>
      <c r="BGR160" s="456"/>
      <c r="BGS160" s="456"/>
      <c r="BGT160" s="456"/>
      <c r="BGU160" s="456"/>
      <c r="BGV160" s="456"/>
      <c r="BGW160" s="456"/>
      <c r="BGX160" s="456"/>
      <c r="BGY160" s="456"/>
      <c r="BGZ160" s="456"/>
      <c r="BHA160" s="456"/>
      <c r="BHB160" s="456"/>
      <c r="BHC160" s="456"/>
      <c r="BHD160" s="456"/>
      <c r="BHE160" s="456"/>
      <c r="BHF160" s="456"/>
      <c r="BHG160" s="456"/>
      <c r="BHH160" s="456"/>
      <c r="BHI160" s="456"/>
      <c r="BHJ160" s="456"/>
      <c r="BHK160" s="456"/>
      <c r="BHL160" s="456"/>
      <c r="BHM160" s="456"/>
      <c r="BHN160" s="456"/>
      <c r="BHO160" s="456"/>
      <c r="BHP160" s="456"/>
      <c r="BHQ160" s="456"/>
      <c r="BHR160" s="456"/>
      <c r="BHS160" s="456"/>
      <c r="BHT160" s="456"/>
      <c r="BHU160" s="456"/>
      <c r="BHV160" s="456"/>
      <c r="BHW160" s="456"/>
      <c r="BHX160" s="456"/>
      <c r="BHY160" s="456"/>
      <c r="BHZ160" s="456"/>
      <c r="BIA160" s="456"/>
      <c r="BIB160" s="456"/>
      <c r="BIC160" s="456"/>
      <c r="BID160" s="456"/>
      <c r="BIE160" s="456"/>
      <c r="BIF160" s="456"/>
      <c r="BIG160" s="456"/>
      <c r="BIH160" s="456"/>
      <c r="BII160" s="456"/>
      <c r="BIJ160" s="456"/>
      <c r="BIK160" s="456"/>
      <c r="BIL160" s="456"/>
      <c r="BIM160" s="456"/>
      <c r="BIN160" s="456"/>
      <c r="BIO160" s="456"/>
      <c r="BIP160" s="456"/>
      <c r="BIQ160" s="456"/>
      <c r="BIR160" s="456"/>
      <c r="BIS160" s="456"/>
      <c r="BIT160" s="456"/>
      <c r="BIU160" s="456"/>
      <c r="BIV160" s="456"/>
      <c r="BIW160" s="456"/>
      <c r="BIX160" s="456"/>
      <c r="BIY160" s="456"/>
      <c r="BIZ160" s="456"/>
      <c r="BJA160" s="456"/>
      <c r="BJB160" s="456"/>
      <c r="BJC160" s="456"/>
      <c r="BJD160" s="456"/>
      <c r="BJE160" s="456"/>
      <c r="BJF160" s="456"/>
      <c r="BJG160" s="456"/>
      <c r="BJH160" s="456"/>
      <c r="BJI160" s="456"/>
      <c r="BJJ160" s="456"/>
      <c r="BJK160" s="456"/>
      <c r="BJL160" s="456"/>
      <c r="BJM160" s="456"/>
      <c r="BJN160" s="456"/>
      <c r="BJO160" s="456"/>
      <c r="BJP160" s="456"/>
      <c r="BJQ160" s="456"/>
      <c r="BJR160" s="456"/>
      <c r="BJS160" s="456"/>
      <c r="BJT160" s="456"/>
      <c r="BJU160" s="456"/>
      <c r="BJV160" s="456"/>
      <c r="BJW160" s="456"/>
      <c r="BJX160" s="456"/>
      <c r="BJY160" s="456"/>
      <c r="BJZ160" s="456"/>
      <c r="BKA160" s="456"/>
      <c r="BKB160" s="456"/>
      <c r="BKC160" s="456"/>
      <c r="BKD160" s="456"/>
      <c r="BKE160" s="456"/>
      <c r="BKF160" s="456"/>
      <c r="BKG160" s="456"/>
      <c r="BKH160" s="456"/>
      <c r="BKI160" s="456"/>
      <c r="BKJ160" s="456"/>
      <c r="BKK160" s="456"/>
      <c r="BKL160" s="456"/>
      <c r="BKM160" s="456"/>
      <c r="BKN160" s="456"/>
      <c r="BKO160" s="456"/>
      <c r="BKP160" s="456"/>
      <c r="BKQ160" s="456"/>
      <c r="BKR160" s="456"/>
      <c r="BKS160" s="456"/>
      <c r="BKT160" s="456"/>
      <c r="BKU160" s="456"/>
      <c r="BKV160" s="456"/>
      <c r="BKW160" s="456"/>
      <c r="BKX160" s="456"/>
      <c r="BKY160" s="456"/>
      <c r="BKZ160" s="456"/>
      <c r="BLA160" s="456"/>
      <c r="BLB160" s="456"/>
      <c r="BLC160" s="456"/>
      <c r="BLD160" s="456"/>
      <c r="BLE160" s="456"/>
      <c r="BLF160" s="456"/>
      <c r="BLG160" s="456"/>
      <c r="BLH160" s="456"/>
      <c r="BLI160" s="456"/>
      <c r="BLJ160" s="456"/>
      <c r="BLK160" s="456"/>
      <c r="BLL160" s="456"/>
      <c r="BLM160" s="456"/>
      <c r="BLN160" s="456"/>
      <c r="BLO160" s="456"/>
      <c r="BLP160" s="456"/>
      <c r="BLQ160" s="456"/>
      <c r="BLR160" s="456"/>
      <c r="BLS160" s="456"/>
      <c r="BLT160" s="456"/>
      <c r="BLU160" s="456"/>
      <c r="BLV160" s="456"/>
      <c r="BLW160" s="456"/>
      <c r="BLX160" s="456"/>
      <c r="BLY160" s="456"/>
      <c r="BLZ160" s="456"/>
      <c r="BMA160" s="456"/>
      <c r="BMB160" s="456"/>
      <c r="BMC160" s="456"/>
      <c r="BMD160" s="456"/>
      <c r="BME160" s="456"/>
      <c r="BMF160" s="456"/>
      <c r="BMG160" s="456"/>
      <c r="BMH160" s="456"/>
      <c r="BMI160" s="456"/>
      <c r="BMJ160" s="456"/>
      <c r="BMK160" s="456"/>
      <c r="BML160" s="456"/>
      <c r="BMM160" s="456"/>
      <c r="BMN160" s="456"/>
      <c r="BMO160" s="456"/>
      <c r="BMP160" s="456"/>
      <c r="BMQ160" s="456"/>
      <c r="BMR160" s="456"/>
      <c r="BMS160" s="456"/>
      <c r="BMT160" s="456"/>
      <c r="BMU160" s="456"/>
      <c r="BMV160" s="456"/>
      <c r="BMW160" s="456"/>
      <c r="BMX160" s="456"/>
      <c r="BMY160" s="456"/>
      <c r="BMZ160" s="456"/>
      <c r="BNA160" s="456"/>
      <c r="BNB160" s="456"/>
      <c r="BNC160" s="456"/>
      <c r="BND160" s="456"/>
      <c r="BNE160" s="456"/>
      <c r="BNF160" s="456"/>
      <c r="BNG160" s="456"/>
      <c r="BNH160" s="456"/>
      <c r="BNI160" s="456"/>
      <c r="BNJ160" s="456"/>
      <c r="BNK160" s="456"/>
      <c r="BNL160" s="456"/>
      <c r="BNM160" s="456"/>
      <c r="BNN160" s="456"/>
      <c r="BNO160" s="456"/>
      <c r="BNP160" s="456"/>
      <c r="BNQ160" s="456"/>
      <c r="BNR160" s="456"/>
      <c r="BNS160" s="456"/>
      <c r="BNT160" s="456"/>
      <c r="BNU160" s="456"/>
      <c r="BNV160" s="456"/>
      <c r="BNW160" s="456"/>
      <c r="BNX160" s="456"/>
      <c r="BNY160" s="456"/>
      <c r="BNZ160" s="456"/>
      <c r="BOA160" s="456"/>
      <c r="BOB160" s="456"/>
      <c r="BOC160" s="456"/>
      <c r="BOD160" s="456"/>
      <c r="BOE160" s="456"/>
      <c r="BOF160" s="456"/>
      <c r="BOG160" s="456"/>
      <c r="BOH160" s="456"/>
      <c r="BOI160" s="456"/>
      <c r="BOJ160" s="456"/>
      <c r="BOK160" s="456"/>
      <c r="BOL160" s="456"/>
      <c r="BOM160" s="456"/>
      <c r="BON160" s="456"/>
      <c r="BOO160" s="456"/>
      <c r="BOP160" s="456"/>
      <c r="BOQ160" s="456"/>
      <c r="BOR160" s="456"/>
      <c r="BOS160" s="456"/>
      <c r="BOT160" s="456"/>
      <c r="BOU160" s="456"/>
      <c r="BOV160" s="456"/>
      <c r="BOW160" s="456"/>
      <c r="BOX160" s="456"/>
      <c r="BOY160" s="456"/>
      <c r="BOZ160" s="456"/>
      <c r="BPA160" s="456"/>
      <c r="BPB160" s="456"/>
      <c r="BPC160" s="456"/>
      <c r="BPD160" s="456"/>
      <c r="BPE160" s="456"/>
      <c r="BPF160" s="456"/>
      <c r="BPG160" s="456"/>
      <c r="BPH160" s="456"/>
      <c r="BPI160" s="456"/>
      <c r="BPJ160" s="456"/>
      <c r="BPK160" s="456"/>
      <c r="BPL160" s="456"/>
      <c r="BPM160" s="456"/>
      <c r="BPN160" s="456"/>
      <c r="BPO160" s="456"/>
      <c r="BPP160" s="456"/>
      <c r="BPQ160" s="456"/>
      <c r="BPR160" s="456"/>
      <c r="BPS160" s="456"/>
      <c r="BPT160" s="456"/>
      <c r="BPU160" s="456"/>
      <c r="BPV160" s="456"/>
      <c r="BPW160" s="456"/>
      <c r="BPX160" s="456"/>
      <c r="BPY160" s="456"/>
      <c r="BPZ160" s="456"/>
      <c r="BQA160" s="456"/>
      <c r="BQB160" s="456"/>
      <c r="BQC160" s="456"/>
      <c r="BQD160" s="456"/>
      <c r="BQE160" s="456"/>
      <c r="BQF160" s="456"/>
      <c r="BQG160" s="456"/>
      <c r="BQH160" s="456"/>
      <c r="BQI160" s="456"/>
      <c r="BQJ160" s="456"/>
      <c r="BQK160" s="456"/>
      <c r="BQL160" s="456"/>
      <c r="BQM160" s="456"/>
      <c r="BQN160" s="456"/>
      <c r="BQO160" s="456"/>
      <c r="BQP160" s="456"/>
      <c r="BQQ160" s="456"/>
      <c r="BQR160" s="456"/>
      <c r="BQS160" s="456"/>
      <c r="BQT160" s="456"/>
      <c r="BQU160" s="456"/>
      <c r="BQV160" s="456"/>
      <c r="BQW160" s="456"/>
      <c r="BQX160" s="456"/>
      <c r="BQY160" s="456"/>
      <c r="BQZ160" s="456"/>
      <c r="BRA160" s="456"/>
      <c r="BRB160" s="456"/>
      <c r="BRC160" s="456"/>
      <c r="BRD160" s="456"/>
      <c r="BRE160" s="456"/>
      <c r="BRF160" s="456"/>
      <c r="BRG160" s="456"/>
      <c r="BRH160" s="456"/>
      <c r="BRI160" s="456"/>
      <c r="BRJ160" s="456"/>
      <c r="BRK160" s="456"/>
      <c r="BRL160" s="456"/>
      <c r="BRM160" s="456"/>
      <c r="BRN160" s="456"/>
      <c r="BRO160" s="456"/>
      <c r="BRP160" s="456"/>
      <c r="BRQ160" s="456"/>
      <c r="BRR160" s="456"/>
      <c r="BRS160" s="456"/>
      <c r="BRT160" s="456"/>
      <c r="BRU160" s="456"/>
      <c r="BRV160" s="456"/>
      <c r="BRW160" s="456"/>
      <c r="BRX160" s="456"/>
      <c r="BRY160" s="456"/>
      <c r="BRZ160" s="456"/>
      <c r="BSA160" s="456"/>
      <c r="BSB160" s="456"/>
      <c r="BSC160" s="456"/>
      <c r="BSD160" s="456"/>
      <c r="BSE160" s="456"/>
      <c r="BSF160" s="456"/>
      <c r="BSG160" s="456"/>
      <c r="BSH160" s="456"/>
      <c r="BSI160" s="456"/>
      <c r="BSJ160" s="456"/>
      <c r="BSK160" s="456"/>
      <c r="BSL160" s="456"/>
      <c r="BSM160" s="456"/>
      <c r="BSN160" s="456"/>
      <c r="BSO160" s="456"/>
      <c r="BSP160" s="456"/>
      <c r="BSQ160" s="456"/>
      <c r="BSR160" s="456"/>
      <c r="BSS160" s="456"/>
      <c r="BST160" s="456"/>
      <c r="BSU160" s="456"/>
      <c r="BSV160" s="456"/>
      <c r="BSW160" s="456"/>
      <c r="BSX160" s="456"/>
      <c r="BSY160" s="456"/>
      <c r="BSZ160" s="456"/>
      <c r="BTA160" s="456"/>
      <c r="BTB160" s="456"/>
      <c r="BTC160" s="456"/>
      <c r="BTD160" s="456"/>
      <c r="BTE160" s="456"/>
      <c r="BTF160" s="456"/>
      <c r="BTG160" s="456"/>
      <c r="BTH160" s="456"/>
      <c r="BTI160" s="456"/>
      <c r="BTJ160" s="456"/>
      <c r="BTK160" s="456"/>
      <c r="BTL160" s="456"/>
      <c r="BTM160" s="456"/>
      <c r="BTN160" s="456"/>
      <c r="BTO160" s="456"/>
      <c r="BTP160" s="456"/>
      <c r="BTQ160" s="456"/>
      <c r="BTR160" s="456"/>
      <c r="BTS160" s="456"/>
      <c r="BTT160" s="456"/>
      <c r="BTU160" s="456"/>
      <c r="BTV160" s="456"/>
      <c r="BTW160" s="456"/>
      <c r="BTX160" s="456"/>
      <c r="BTY160" s="456"/>
      <c r="BTZ160" s="456"/>
      <c r="BUA160" s="456"/>
      <c r="BUB160" s="456"/>
      <c r="BUC160" s="456"/>
      <c r="BUD160" s="456"/>
      <c r="BUE160" s="456"/>
      <c r="BUF160" s="456"/>
      <c r="BUG160" s="456"/>
      <c r="BUH160" s="456"/>
      <c r="BUI160" s="456"/>
      <c r="BUJ160" s="456"/>
      <c r="BUK160" s="456"/>
      <c r="BUL160" s="456"/>
      <c r="BUM160" s="456"/>
      <c r="BUN160" s="456"/>
      <c r="BUO160" s="456"/>
      <c r="BUP160" s="456"/>
      <c r="BUQ160" s="456"/>
      <c r="BUR160" s="456"/>
      <c r="BUS160" s="456"/>
      <c r="BUT160" s="456"/>
      <c r="BUU160" s="456"/>
      <c r="BUV160" s="456"/>
      <c r="BUW160" s="456"/>
      <c r="BUX160" s="456"/>
      <c r="BUY160" s="456"/>
      <c r="BUZ160" s="456"/>
      <c r="BVA160" s="456"/>
      <c r="BVB160" s="456"/>
      <c r="BVC160" s="456"/>
      <c r="BVD160" s="456"/>
      <c r="BVE160" s="456"/>
      <c r="BVF160" s="456"/>
      <c r="BVG160" s="456"/>
      <c r="BVH160" s="456"/>
      <c r="BVI160" s="456"/>
      <c r="BVJ160" s="456"/>
      <c r="BVK160" s="456"/>
      <c r="BVL160" s="456"/>
      <c r="BVM160" s="456"/>
      <c r="BVN160" s="456"/>
      <c r="BVO160" s="456"/>
      <c r="BVP160" s="456"/>
      <c r="BVQ160" s="456"/>
      <c r="BVR160" s="456"/>
      <c r="BVS160" s="456"/>
      <c r="BVT160" s="456"/>
      <c r="BVU160" s="456"/>
      <c r="BVV160" s="456"/>
      <c r="BVW160" s="456"/>
      <c r="BVX160" s="456"/>
      <c r="BVY160" s="456"/>
      <c r="BVZ160" s="456"/>
      <c r="BWA160" s="456"/>
      <c r="BWB160" s="456"/>
      <c r="BWC160" s="456"/>
      <c r="BWD160" s="456"/>
      <c r="BWE160" s="456"/>
      <c r="BWF160" s="456"/>
      <c r="BWG160" s="456"/>
      <c r="BWH160" s="456"/>
      <c r="BWI160" s="456"/>
      <c r="BWJ160" s="456"/>
      <c r="BWK160" s="456"/>
      <c r="BWL160" s="456"/>
      <c r="BWM160" s="456"/>
      <c r="BWN160" s="456"/>
      <c r="BWO160" s="456"/>
      <c r="BWP160" s="456"/>
      <c r="BWQ160" s="456"/>
      <c r="BWR160" s="456"/>
      <c r="BWS160" s="456"/>
      <c r="BWT160" s="456"/>
      <c r="BWU160" s="456"/>
      <c r="BWV160" s="456"/>
      <c r="BWW160" s="456"/>
      <c r="BWX160" s="456"/>
      <c r="BWY160" s="456"/>
      <c r="BWZ160" s="456"/>
      <c r="BXA160" s="456"/>
      <c r="BXB160" s="456"/>
      <c r="BXC160" s="456"/>
      <c r="BXD160" s="456"/>
      <c r="BXE160" s="456"/>
      <c r="BXF160" s="456"/>
      <c r="BXG160" s="456"/>
      <c r="BXH160" s="456"/>
      <c r="BXI160" s="456"/>
      <c r="BXJ160" s="456"/>
      <c r="BXK160" s="456"/>
      <c r="BXL160" s="456"/>
      <c r="BXM160" s="456"/>
      <c r="BXN160" s="456"/>
      <c r="BXO160" s="456"/>
      <c r="BXP160" s="456"/>
      <c r="BXQ160" s="456"/>
      <c r="BXR160" s="456"/>
      <c r="BXS160" s="456"/>
      <c r="BXT160" s="456"/>
      <c r="BXU160" s="456"/>
      <c r="BXV160" s="456"/>
      <c r="BXW160" s="456"/>
      <c r="BXX160" s="456"/>
      <c r="BXY160" s="456"/>
      <c r="BXZ160" s="456"/>
    </row>
    <row r="161" s="25" customFormat="1" spans="1:1024 1025:2002">
      <c r="A161" s="473" t="s">
        <v>34</v>
      </c>
      <c r="B161" s="19">
        <v>1130</v>
      </c>
      <c r="C161" s="183">
        <v>46205</v>
      </c>
      <c r="D161" s="17" t="s">
        <v>52</v>
      </c>
      <c r="E161" s="17" t="s">
        <v>104</v>
      </c>
      <c r="F161" s="17" t="s">
        <v>54</v>
      </c>
      <c r="G161" s="17"/>
      <c r="H161" s="19">
        <v>1.2316</v>
      </c>
      <c r="I161" s="19" t="s">
        <v>114</v>
      </c>
      <c r="J161" s="17" t="s">
        <v>49</v>
      </c>
      <c r="K161" s="489">
        <v>1050</v>
      </c>
      <c r="L161" s="489">
        <v>50</v>
      </c>
      <c r="M161" s="489">
        <v>2200</v>
      </c>
      <c r="N161" s="19" t="s">
        <v>66</v>
      </c>
      <c r="O161" s="19" t="s">
        <v>67</v>
      </c>
      <c r="P161" s="490">
        <v>824.25</v>
      </c>
      <c r="Q161" s="19">
        <v>945</v>
      </c>
      <c r="R161" s="99">
        <f t="shared" si="9"/>
        <v>-120.75</v>
      </c>
      <c r="S161" s="19">
        <f t="shared" si="11"/>
        <v>2870</v>
      </c>
      <c r="T161" s="19" t="s">
        <v>42</v>
      </c>
      <c r="U161" s="102" t="s">
        <v>115</v>
      </c>
      <c r="V161" s="186">
        <v>46208</v>
      </c>
      <c r="W161" s="17" t="s">
        <v>44</v>
      </c>
      <c r="X161" s="17"/>
      <c r="Y161" s="68">
        <v>46235</v>
      </c>
      <c r="Z161" s="17" t="s">
        <v>45</v>
      </c>
      <c r="AA161" s="17" t="s">
        <v>46</v>
      </c>
      <c r="AB161" s="17" t="s">
        <v>116</v>
      </c>
      <c r="AC161" s="217">
        <v>46241</v>
      </c>
      <c r="AD161" s="65">
        <v>1848</v>
      </c>
      <c r="AE161" s="17" t="s">
        <v>48</v>
      </c>
      <c r="AF161" s="17" t="s">
        <v>61</v>
      </c>
      <c r="AG161" s="17"/>
      <c r="AH161" s="456"/>
      <c r="AI161" s="456"/>
      <c r="AJ161" s="456"/>
      <c r="AK161" s="456"/>
      <c r="AL161" s="456"/>
      <c r="AM161" s="456"/>
      <c r="AN161" s="456"/>
      <c r="AO161" s="456"/>
      <c r="AP161" s="456"/>
      <c r="AQ161" s="456"/>
      <c r="AR161" s="456"/>
      <c r="AS161" s="456"/>
      <c r="AT161" s="456"/>
      <c r="AU161" s="456"/>
      <c r="AV161" s="456"/>
      <c r="AW161" s="456"/>
      <c r="AX161" s="456"/>
      <c r="AY161" s="456"/>
      <c r="AZ161" s="456"/>
      <c r="BA161" s="456"/>
      <c r="BB161" s="456"/>
      <c r="BC161" s="456"/>
      <c r="BD161" s="456"/>
      <c r="BE161" s="456"/>
      <c r="BF161" s="456"/>
      <c r="BG161" s="456"/>
      <c r="BH161" s="456"/>
      <c r="BI161" s="456"/>
      <c r="BJ161" s="456"/>
      <c r="BK161" s="456"/>
      <c r="BL161" s="456"/>
      <c r="BM161" s="456"/>
      <c r="BN161" s="456"/>
      <c r="BO161" s="456"/>
      <c r="BP161" s="456"/>
      <c r="BQ161" s="456"/>
      <c r="BR161" s="456"/>
      <c r="BS161" s="456"/>
      <c r="BT161" s="456"/>
      <c r="BU161" s="456"/>
      <c r="BV161" s="456"/>
      <c r="BW161" s="456"/>
      <c r="BX161" s="456"/>
      <c r="BY161" s="456"/>
      <c r="BZ161" s="456"/>
      <c r="CA161" s="456"/>
      <c r="CB161" s="456"/>
      <c r="CC161" s="456"/>
      <c r="CD161" s="456"/>
      <c r="CE161" s="456"/>
      <c r="CF161" s="456"/>
      <c r="CG161" s="456"/>
      <c r="CH161" s="456"/>
      <c r="CI161" s="456"/>
      <c r="CJ161" s="456"/>
      <c r="CK161" s="456"/>
      <c r="CL161" s="456"/>
      <c r="CM161" s="456"/>
      <c r="CN161" s="456"/>
      <c r="CO161" s="456"/>
      <c r="CP161" s="456"/>
      <c r="CQ161" s="456"/>
      <c r="CR161" s="456"/>
      <c r="CS161" s="456"/>
      <c r="CT161" s="456"/>
      <c r="CU161" s="456"/>
      <c r="CV161" s="456"/>
      <c r="CW161" s="456"/>
      <c r="CX161" s="456"/>
      <c r="CY161" s="456"/>
      <c r="CZ161" s="456"/>
      <c r="DA161" s="456"/>
      <c r="DB161" s="456"/>
      <c r="DC161" s="456"/>
      <c r="DD161" s="456"/>
      <c r="DE161" s="456"/>
      <c r="DF161" s="456"/>
      <c r="DG161" s="456"/>
      <c r="DH161" s="456"/>
      <c r="DI161" s="456"/>
      <c r="DJ161" s="456"/>
      <c r="DK161" s="456"/>
      <c r="DL161" s="456"/>
      <c r="DM161" s="456"/>
      <c r="DN161" s="456"/>
      <c r="DO161" s="456"/>
      <c r="DP161" s="456"/>
      <c r="DQ161" s="456"/>
      <c r="DR161" s="456"/>
      <c r="DS161" s="456"/>
      <c r="DT161" s="456"/>
      <c r="DU161" s="456"/>
      <c r="DV161" s="456"/>
      <c r="DW161" s="456"/>
      <c r="DX161" s="456"/>
      <c r="DY161" s="456"/>
      <c r="DZ161" s="456"/>
      <c r="EA161" s="456"/>
      <c r="EB161" s="456"/>
      <c r="EC161" s="456"/>
      <c r="ED161" s="456"/>
      <c r="EE161" s="456"/>
      <c r="EF161" s="456"/>
      <c r="EG161" s="456"/>
      <c r="EH161" s="456"/>
      <c r="EI161" s="456"/>
      <c r="EJ161" s="456"/>
      <c r="EK161" s="456"/>
      <c r="EL161" s="456"/>
      <c r="EM161" s="456"/>
      <c r="EN161" s="456"/>
      <c r="EO161" s="456"/>
      <c r="EP161" s="456"/>
      <c r="EQ161" s="456"/>
      <c r="ER161" s="456"/>
      <c r="ES161" s="456"/>
      <c r="ET161" s="456"/>
      <c r="EU161" s="456"/>
      <c r="EV161" s="456"/>
      <c r="EW161" s="456"/>
      <c r="EX161" s="456"/>
      <c r="EY161" s="456"/>
      <c r="EZ161" s="456"/>
      <c r="FA161" s="456"/>
      <c r="FB161" s="456"/>
      <c r="FC161" s="456"/>
      <c r="FD161" s="456"/>
      <c r="FE161" s="456"/>
      <c r="FF161" s="456"/>
      <c r="FG161" s="456"/>
      <c r="FH161" s="456"/>
      <c r="FI161" s="456"/>
      <c r="FJ161" s="456"/>
      <c r="FK161" s="456"/>
      <c r="FL161" s="456"/>
      <c r="FM161" s="456"/>
      <c r="FN161" s="456"/>
      <c r="FO161" s="456"/>
      <c r="FP161" s="456"/>
      <c r="FQ161" s="456"/>
      <c r="FR161" s="456"/>
      <c r="FS161" s="456"/>
      <c r="FT161" s="456"/>
      <c r="FU161" s="456"/>
      <c r="FV161" s="456"/>
      <c r="FW161" s="456"/>
      <c r="FX161" s="456"/>
      <c r="FY161" s="456"/>
      <c r="FZ161" s="456"/>
      <c r="GA161" s="456"/>
      <c r="GB161" s="456"/>
      <c r="GC161" s="456"/>
      <c r="GD161" s="456"/>
      <c r="GE161" s="456"/>
      <c r="GF161" s="456"/>
      <c r="GG161" s="456"/>
      <c r="GH161" s="456"/>
      <c r="GI161" s="456"/>
      <c r="GJ161" s="456"/>
      <c r="GK161" s="456"/>
      <c r="GL161" s="456"/>
      <c r="GM161" s="456"/>
      <c r="GN161" s="456"/>
      <c r="GO161" s="456"/>
      <c r="GP161" s="456"/>
      <c r="GQ161" s="456"/>
      <c r="GR161" s="456"/>
      <c r="GS161" s="456"/>
      <c r="GT161" s="456"/>
      <c r="GU161" s="456"/>
      <c r="GV161" s="456"/>
      <c r="GW161" s="456"/>
      <c r="GX161" s="456"/>
      <c r="GY161" s="456"/>
      <c r="GZ161" s="456"/>
      <c r="HA161" s="456"/>
      <c r="HB161" s="456"/>
      <c r="HC161" s="456"/>
      <c r="HD161" s="456"/>
      <c r="HE161" s="456"/>
      <c r="HF161" s="456"/>
      <c r="HG161" s="456"/>
      <c r="HH161" s="456"/>
      <c r="HI161" s="456"/>
      <c r="HJ161" s="456"/>
      <c r="HK161" s="456"/>
      <c r="HL161" s="456"/>
      <c r="HM161" s="456"/>
      <c r="HN161" s="456"/>
      <c r="HO161" s="456"/>
      <c r="HP161" s="456"/>
      <c r="HQ161" s="456"/>
      <c r="HR161" s="456"/>
      <c r="HS161" s="456"/>
      <c r="HT161" s="456"/>
      <c r="HU161" s="456"/>
      <c r="HV161" s="456"/>
      <c r="HW161" s="456"/>
      <c r="HX161" s="456"/>
      <c r="HY161" s="456"/>
      <c r="HZ161" s="456"/>
      <c r="IA161" s="456"/>
      <c r="IB161" s="456"/>
      <c r="IC161" s="456"/>
      <c r="ID161" s="456"/>
      <c r="IE161" s="456"/>
      <c r="IF161" s="456"/>
      <c r="IG161" s="456"/>
      <c r="IH161" s="456"/>
      <c r="II161" s="456"/>
      <c r="IJ161" s="456"/>
      <c r="IK161" s="456"/>
      <c r="IL161" s="456"/>
      <c r="IM161" s="456"/>
      <c r="IN161" s="456"/>
      <c r="IO161" s="456"/>
      <c r="IP161" s="456"/>
      <c r="IQ161" s="456"/>
      <c r="IR161" s="456"/>
      <c r="IS161" s="456"/>
      <c r="IT161" s="456"/>
      <c r="IU161" s="456"/>
      <c r="IV161" s="456"/>
      <c r="IW161" s="456"/>
      <c r="IX161" s="456"/>
      <c r="IY161" s="456"/>
      <c r="IZ161" s="456"/>
      <c r="JA161" s="456"/>
      <c r="JB161" s="456"/>
      <c r="JC161" s="456"/>
      <c r="JD161" s="456"/>
      <c r="JE161" s="456"/>
      <c r="JF161" s="456"/>
      <c r="JG161" s="456"/>
      <c r="JH161" s="456"/>
      <c r="JI161" s="456"/>
      <c r="JJ161" s="456"/>
      <c r="JK161" s="456"/>
      <c r="JL161" s="456"/>
      <c r="JM161" s="456"/>
      <c r="JN161" s="456"/>
      <c r="JO161" s="456"/>
      <c r="JP161" s="456"/>
      <c r="JQ161" s="456"/>
      <c r="JR161" s="456"/>
      <c r="JS161" s="456"/>
      <c r="JT161" s="456"/>
      <c r="JU161" s="456"/>
      <c r="JV161" s="456"/>
      <c r="JW161" s="456"/>
      <c r="JX161" s="456"/>
      <c r="JY161" s="456"/>
      <c r="JZ161" s="456"/>
      <c r="KA161" s="456"/>
      <c r="KB161" s="456"/>
      <c r="KC161" s="456"/>
      <c r="KD161" s="456"/>
      <c r="KE161" s="456"/>
      <c r="KF161" s="456"/>
      <c r="KG161" s="456"/>
      <c r="KH161" s="456"/>
      <c r="KI161" s="456"/>
      <c r="KJ161" s="456"/>
      <c r="KK161" s="456"/>
      <c r="KL161" s="456"/>
      <c r="KM161" s="456"/>
      <c r="KN161" s="456"/>
      <c r="KO161" s="456"/>
      <c r="KP161" s="456"/>
      <c r="KQ161" s="456"/>
      <c r="KR161" s="456"/>
      <c r="KS161" s="456"/>
      <c r="KT161" s="456"/>
      <c r="KU161" s="456"/>
      <c r="KV161" s="456"/>
      <c r="KW161" s="456"/>
      <c r="KX161" s="456"/>
      <c r="KY161" s="456"/>
      <c r="KZ161" s="456"/>
      <c r="LA161" s="456"/>
      <c r="LB161" s="456"/>
      <c r="LC161" s="456"/>
      <c r="LD161" s="456"/>
      <c r="LE161" s="456"/>
      <c r="LF161" s="456"/>
      <c r="LG161" s="456"/>
      <c r="LH161" s="456"/>
      <c r="LI161" s="456"/>
      <c r="LJ161" s="456"/>
      <c r="LK161" s="456"/>
      <c r="LL161" s="456"/>
      <c r="LM161" s="456"/>
      <c r="LN161" s="456"/>
      <c r="LO161" s="456"/>
      <c r="LP161" s="456"/>
      <c r="LQ161" s="456"/>
      <c r="LR161" s="456"/>
      <c r="LS161" s="456"/>
      <c r="LT161" s="456"/>
      <c r="LU161" s="456"/>
      <c r="LV161" s="456"/>
      <c r="LW161" s="456"/>
      <c r="LX161" s="456"/>
      <c r="LY161" s="456"/>
      <c r="LZ161" s="456"/>
      <c r="MA161" s="456"/>
      <c r="MB161" s="456"/>
      <c r="MC161" s="456"/>
      <c r="MD161" s="456"/>
      <c r="ME161" s="456"/>
      <c r="MF161" s="456"/>
      <c r="MG161" s="456"/>
      <c r="MH161" s="456"/>
      <c r="MI161" s="456"/>
      <c r="MJ161" s="456"/>
      <c r="MK161" s="456"/>
      <c r="ML161" s="456"/>
      <c r="MM161" s="456"/>
      <c r="MN161" s="456"/>
      <c r="MO161" s="456"/>
      <c r="MP161" s="456"/>
      <c r="MQ161" s="456"/>
      <c r="MR161" s="456"/>
      <c r="MS161" s="456"/>
      <c r="MT161" s="456"/>
      <c r="MU161" s="456"/>
      <c r="MV161" s="456"/>
      <c r="MW161" s="456"/>
      <c r="MX161" s="456"/>
      <c r="MY161" s="456"/>
      <c r="MZ161" s="456"/>
      <c r="NA161" s="456"/>
      <c r="NB161" s="456"/>
      <c r="NC161" s="456"/>
      <c r="ND161" s="456"/>
      <c r="NE161" s="456"/>
      <c r="NF161" s="456"/>
      <c r="NG161" s="456"/>
      <c r="NH161" s="456"/>
      <c r="NI161" s="456"/>
      <c r="NJ161" s="456"/>
      <c r="NK161" s="456"/>
      <c r="NL161" s="456"/>
      <c r="NM161" s="456"/>
      <c r="NN161" s="456"/>
      <c r="NO161" s="456"/>
      <c r="NP161" s="456"/>
      <c r="NQ161" s="456"/>
      <c r="NR161" s="456"/>
      <c r="NS161" s="456"/>
      <c r="NT161" s="456"/>
      <c r="NU161" s="456"/>
      <c r="NV161" s="456"/>
      <c r="NW161" s="456"/>
      <c r="NX161" s="456"/>
      <c r="NY161" s="456"/>
      <c r="NZ161" s="456"/>
      <c r="OA161" s="456"/>
      <c r="OB161" s="456"/>
      <c r="OC161" s="456"/>
      <c r="OD161" s="456"/>
      <c r="OE161" s="456"/>
      <c r="OF161" s="456"/>
      <c r="OG161" s="456"/>
      <c r="OH161" s="456"/>
      <c r="OI161" s="456"/>
      <c r="OJ161" s="456"/>
      <c r="OK161" s="456"/>
      <c r="OL161" s="456"/>
      <c r="OM161" s="456"/>
      <c r="ON161" s="456"/>
      <c r="OO161" s="456"/>
      <c r="OP161" s="456"/>
      <c r="OQ161" s="456"/>
      <c r="OR161" s="456"/>
      <c r="OS161" s="456"/>
      <c r="OT161" s="456"/>
      <c r="OU161" s="456"/>
      <c r="OV161" s="456"/>
      <c r="OW161" s="456"/>
      <c r="OX161" s="456"/>
      <c r="OY161" s="456"/>
      <c r="OZ161" s="456"/>
      <c r="PA161" s="456"/>
      <c r="PB161" s="456"/>
      <c r="PC161" s="456"/>
      <c r="PD161" s="456"/>
      <c r="PE161" s="456"/>
      <c r="PF161" s="456"/>
      <c r="PG161" s="456"/>
      <c r="PH161" s="456"/>
      <c r="PI161" s="456"/>
      <c r="PJ161" s="456"/>
      <c r="PK161" s="456"/>
      <c r="PL161" s="456"/>
      <c r="PM161" s="456"/>
      <c r="PN161" s="456"/>
      <c r="PO161" s="456"/>
      <c r="PP161" s="456"/>
      <c r="PQ161" s="456"/>
      <c r="PR161" s="456"/>
      <c r="PS161" s="456"/>
      <c r="PT161" s="456"/>
      <c r="PU161" s="456"/>
      <c r="PV161" s="456"/>
      <c r="PW161" s="456"/>
      <c r="PX161" s="456"/>
      <c r="PY161" s="456"/>
      <c r="PZ161" s="456"/>
      <c r="QA161" s="456"/>
      <c r="QB161" s="456"/>
      <c r="QC161" s="456"/>
      <c r="QD161" s="456"/>
      <c r="QE161" s="456"/>
      <c r="QF161" s="456"/>
      <c r="QG161" s="456"/>
      <c r="QH161" s="456"/>
      <c r="QI161" s="456"/>
      <c r="QJ161" s="456"/>
      <c r="QK161" s="456"/>
      <c r="QL161" s="456"/>
      <c r="QM161" s="456"/>
      <c r="QN161" s="456"/>
      <c r="QO161" s="456"/>
      <c r="QP161" s="456"/>
      <c r="QQ161" s="456"/>
      <c r="QR161" s="456"/>
      <c r="QS161" s="456"/>
      <c r="QT161" s="456"/>
      <c r="QU161" s="456"/>
      <c r="QV161" s="456"/>
      <c r="QW161" s="456"/>
      <c r="QX161" s="456"/>
      <c r="QY161" s="456"/>
      <c r="QZ161" s="456"/>
      <c r="RA161" s="456"/>
      <c r="RB161" s="456"/>
      <c r="RC161" s="456"/>
      <c r="RD161" s="456"/>
      <c r="RE161" s="456"/>
      <c r="RF161" s="456"/>
      <c r="RG161" s="456"/>
      <c r="RH161" s="456"/>
      <c r="RI161" s="456"/>
      <c r="RJ161" s="456"/>
      <c r="RK161" s="456"/>
      <c r="RL161" s="456"/>
      <c r="RM161" s="456"/>
      <c r="RN161" s="456"/>
      <c r="RO161" s="456"/>
      <c r="RP161" s="456"/>
      <c r="RQ161" s="456"/>
      <c r="RR161" s="456"/>
      <c r="RS161" s="456"/>
      <c r="RT161" s="456"/>
      <c r="RU161" s="456"/>
      <c r="RV161" s="456"/>
      <c r="RW161" s="456"/>
      <c r="RX161" s="456"/>
      <c r="RY161" s="456"/>
      <c r="RZ161" s="456"/>
      <c r="SA161" s="456"/>
      <c r="SB161" s="456"/>
      <c r="SC161" s="456"/>
      <c r="SD161" s="456"/>
      <c r="SE161" s="456"/>
      <c r="SF161" s="456"/>
      <c r="SG161" s="456"/>
      <c r="SH161" s="456"/>
      <c r="SI161" s="456"/>
      <c r="SJ161" s="456"/>
      <c r="SK161" s="456"/>
      <c r="SL161" s="456"/>
      <c r="SM161" s="456"/>
      <c r="SN161" s="456"/>
      <c r="SO161" s="456"/>
      <c r="SP161" s="456"/>
      <c r="SQ161" s="456"/>
      <c r="SR161" s="456"/>
      <c r="SS161" s="456"/>
      <c r="ST161" s="456"/>
      <c r="SU161" s="456"/>
      <c r="SV161" s="456"/>
      <c r="SW161" s="456"/>
      <c r="SX161" s="456"/>
      <c r="SY161" s="456"/>
      <c r="SZ161" s="456"/>
      <c r="TA161" s="456"/>
      <c r="TB161" s="456"/>
      <c r="TC161" s="456"/>
      <c r="TD161" s="456"/>
      <c r="TE161" s="456"/>
      <c r="TF161" s="456"/>
      <c r="TG161" s="456"/>
      <c r="TH161" s="456"/>
      <c r="TI161" s="456"/>
      <c r="TJ161" s="456"/>
      <c r="TK161" s="456"/>
      <c r="TL161" s="456"/>
      <c r="TM161" s="456"/>
      <c r="TN161" s="456"/>
      <c r="TO161" s="456"/>
      <c r="TP161" s="456"/>
      <c r="TQ161" s="456"/>
      <c r="TR161" s="456"/>
      <c r="TS161" s="456"/>
      <c r="TT161" s="456"/>
      <c r="TU161" s="456"/>
      <c r="TV161" s="456"/>
      <c r="TW161" s="456"/>
      <c r="TX161" s="456"/>
      <c r="TY161" s="456"/>
      <c r="TZ161" s="456"/>
      <c r="UA161" s="456"/>
      <c r="UB161" s="456"/>
      <c r="UC161" s="456"/>
      <c r="UD161" s="456"/>
      <c r="UE161" s="456"/>
      <c r="UF161" s="456"/>
      <c r="UG161" s="456"/>
      <c r="UH161" s="456"/>
      <c r="UI161" s="456"/>
      <c r="UJ161" s="456"/>
      <c r="UK161" s="456"/>
      <c r="UL161" s="456"/>
      <c r="UM161" s="456"/>
      <c r="UN161" s="456"/>
      <c r="UO161" s="456"/>
      <c r="UP161" s="456"/>
      <c r="UQ161" s="456"/>
      <c r="UR161" s="456"/>
      <c r="US161" s="456"/>
      <c r="UT161" s="456"/>
      <c r="UU161" s="456"/>
      <c r="UV161" s="456"/>
      <c r="UW161" s="456"/>
      <c r="UX161" s="456"/>
      <c r="UY161" s="456"/>
      <c r="UZ161" s="456"/>
      <c r="VA161" s="456"/>
      <c r="VB161" s="456"/>
      <c r="VC161" s="456"/>
      <c r="VD161" s="456"/>
      <c r="VE161" s="456"/>
      <c r="VF161" s="456"/>
      <c r="VG161" s="456"/>
      <c r="VH161" s="456"/>
      <c r="VI161" s="456"/>
      <c r="VJ161" s="456"/>
      <c r="VK161" s="456"/>
      <c r="VL161" s="456"/>
      <c r="VM161" s="456"/>
      <c r="VN161" s="456"/>
      <c r="VO161" s="456"/>
      <c r="VP161" s="456"/>
      <c r="VQ161" s="456"/>
      <c r="VR161" s="456"/>
      <c r="VS161" s="456"/>
      <c r="VT161" s="456"/>
      <c r="VU161" s="456"/>
      <c r="VV161" s="456"/>
      <c r="VW161" s="456"/>
      <c r="VX161" s="456"/>
      <c r="VY161" s="456"/>
      <c r="VZ161" s="456"/>
      <c r="WA161" s="456"/>
      <c r="WB161" s="456"/>
      <c r="WC161" s="456"/>
      <c r="WD161" s="456"/>
      <c r="WE161" s="456"/>
      <c r="WF161" s="456"/>
      <c r="WG161" s="456"/>
      <c r="WH161" s="456"/>
      <c r="WI161" s="456"/>
      <c r="WJ161" s="456"/>
      <c r="WK161" s="456"/>
      <c r="WL161" s="456"/>
      <c r="WM161" s="456"/>
      <c r="WN161" s="456"/>
      <c r="WO161" s="456"/>
      <c r="WP161" s="456"/>
      <c r="WQ161" s="456"/>
      <c r="WR161" s="456"/>
      <c r="WS161" s="456"/>
      <c r="WT161" s="456"/>
      <c r="WU161" s="456"/>
      <c r="WV161" s="456"/>
      <c r="WW161" s="456"/>
      <c r="WX161" s="456"/>
      <c r="WY161" s="456"/>
      <c r="WZ161" s="456"/>
      <c r="XA161" s="456"/>
      <c r="XB161" s="456"/>
      <c r="XC161" s="456"/>
      <c r="XD161" s="456"/>
      <c r="XE161" s="456"/>
      <c r="XF161" s="456"/>
      <c r="XG161" s="456"/>
      <c r="XH161" s="456"/>
      <c r="XI161" s="456"/>
      <c r="XJ161" s="456"/>
      <c r="XK161" s="456"/>
      <c r="XL161" s="456"/>
      <c r="XM161" s="456"/>
      <c r="XN161" s="456"/>
      <c r="XO161" s="456"/>
      <c r="XP161" s="456"/>
      <c r="XQ161" s="456"/>
      <c r="XR161" s="456"/>
      <c r="XS161" s="456"/>
      <c r="XT161" s="456"/>
      <c r="XU161" s="456"/>
      <c r="XV161" s="456"/>
      <c r="XW161" s="456"/>
      <c r="XX161" s="456"/>
      <c r="XY161" s="456"/>
      <c r="XZ161" s="456"/>
      <c r="YA161" s="456"/>
      <c r="YB161" s="456"/>
      <c r="YC161" s="456"/>
      <c r="YD161" s="456"/>
      <c r="YE161" s="456"/>
      <c r="YF161" s="456"/>
      <c r="YG161" s="456"/>
      <c r="YH161" s="456"/>
      <c r="YI161" s="456"/>
      <c r="YJ161" s="456"/>
      <c r="YK161" s="456"/>
      <c r="YL161" s="456"/>
      <c r="YM161" s="456"/>
      <c r="YN161" s="456"/>
      <c r="YO161" s="456"/>
      <c r="YP161" s="456"/>
      <c r="YQ161" s="456"/>
      <c r="YR161" s="456"/>
      <c r="YS161" s="456"/>
      <c r="YT161" s="456"/>
      <c r="YU161" s="456"/>
      <c r="YV161" s="456"/>
      <c r="YW161" s="456"/>
      <c r="YX161" s="456"/>
      <c r="YY161" s="456"/>
      <c r="YZ161" s="456"/>
      <c r="ZA161" s="456"/>
      <c r="ZB161" s="456"/>
      <c r="ZC161" s="456"/>
      <c r="ZD161" s="456"/>
      <c r="ZE161" s="456"/>
      <c r="ZF161" s="456"/>
      <c r="ZG161" s="456"/>
      <c r="ZH161" s="456"/>
      <c r="ZI161" s="456"/>
      <c r="ZJ161" s="456"/>
      <c r="ZK161" s="456"/>
      <c r="ZL161" s="456"/>
      <c r="ZM161" s="456"/>
      <c r="ZN161" s="456"/>
      <c r="ZO161" s="456"/>
      <c r="ZP161" s="456"/>
      <c r="ZQ161" s="456"/>
      <c r="ZR161" s="456"/>
      <c r="ZS161" s="456"/>
      <c r="ZT161" s="456"/>
      <c r="ZU161" s="456"/>
      <c r="ZV161" s="456"/>
      <c r="ZW161" s="456"/>
      <c r="ZX161" s="456"/>
      <c r="ZY161" s="456"/>
      <c r="ZZ161" s="456"/>
      <c r="AAA161" s="456"/>
      <c r="AAB161" s="456"/>
      <c r="AAC161" s="456"/>
      <c r="AAD161" s="456"/>
      <c r="AAE161" s="456"/>
      <c r="AAF161" s="456"/>
      <c r="AAG161" s="456"/>
      <c r="AAH161" s="456"/>
      <c r="AAI161" s="456"/>
      <c r="AAJ161" s="456"/>
      <c r="AAK161" s="456"/>
      <c r="AAL161" s="456"/>
      <c r="AAM161" s="456"/>
      <c r="AAN161" s="456"/>
      <c r="AAO161" s="456"/>
      <c r="AAP161" s="456"/>
      <c r="AAQ161" s="456"/>
      <c r="AAR161" s="456"/>
      <c r="AAS161" s="456"/>
      <c r="AAT161" s="456"/>
      <c r="AAU161" s="456"/>
      <c r="AAV161" s="456"/>
      <c r="AAW161" s="456"/>
      <c r="AAX161" s="456"/>
      <c r="AAY161" s="456"/>
      <c r="AAZ161" s="456"/>
      <c r="ABA161" s="456"/>
      <c r="ABB161" s="456"/>
      <c r="ABC161" s="456"/>
      <c r="ABD161" s="456"/>
      <c r="ABE161" s="456"/>
      <c r="ABF161" s="456"/>
      <c r="ABG161" s="456"/>
      <c r="ABH161" s="456"/>
      <c r="ABI161" s="456"/>
      <c r="ABJ161" s="456"/>
      <c r="ABK161" s="456"/>
      <c r="ABL161" s="456"/>
      <c r="ABM161" s="456"/>
      <c r="ABN161" s="456"/>
      <c r="ABO161" s="456"/>
      <c r="ABP161" s="456"/>
      <c r="ABQ161" s="456"/>
      <c r="ABR161" s="456"/>
      <c r="ABS161" s="456"/>
      <c r="ABT161" s="456"/>
      <c r="ABU161" s="456"/>
      <c r="ABV161" s="456"/>
      <c r="ABW161" s="456"/>
      <c r="ABX161" s="456"/>
      <c r="ABY161" s="456"/>
      <c r="ABZ161" s="456"/>
      <c r="ACA161" s="456"/>
      <c r="ACB161" s="456"/>
      <c r="ACC161" s="456"/>
      <c r="ACD161" s="456"/>
      <c r="ACE161" s="456"/>
      <c r="ACF161" s="456"/>
      <c r="ACG161" s="456"/>
      <c r="ACH161" s="456"/>
      <c r="ACI161" s="456"/>
      <c r="ACJ161" s="456"/>
      <c r="ACK161" s="456"/>
      <c r="ACL161" s="456"/>
      <c r="ACM161" s="456"/>
      <c r="ACN161" s="456"/>
      <c r="ACO161" s="456"/>
      <c r="ACP161" s="456"/>
      <c r="ACQ161" s="456"/>
      <c r="ACR161" s="456"/>
      <c r="ACS161" s="456"/>
      <c r="ACT161" s="456"/>
      <c r="ACU161" s="456"/>
      <c r="ACV161" s="456"/>
      <c r="ACW161" s="456"/>
      <c r="ACX161" s="456"/>
      <c r="ACY161" s="456"/>
      <c r="ACZ161" s="456"/>
      <c r="ADA161" s="456"/>
      <c r="ADB161" s="456"/>
      <c r="ADC161" s="456"/>
      <c r="ADD161" s="456"/>
      <c r="ADE161" s="456"/>
      <c r="ADF161" s="456"/>
      <c r="ADG161" s="456"/>
      <c r="ADH161" s="456"/>
      <c r="ADI161" s="456"/>
      <c r="ADJ161" s="456"/>
      <c r="ADK161" s="456"/>
      <c r="ADL161" s="456"/>
      <c r="ADM161" s="456"/>
      <c r="ADN161" s="456"/>
      <c r="ADO161" s="456"/>
      <c r="ADP161" s="456"/>
      <c r="ADQ161" s="456"/>
      <c r="ADR161" s="456"/>
      <c r="ADS161" s="456"/>
      <c r="ADT161" s="456"/>
      <c r="ADU161" s="456"/>
      <c r="ADV161" s="456"/>
      <c r="ADW161" s="456"/>
      <c r="ADX161" s="456"/>
      <c r="ADY161" s="456"/>
      <c r="ADZ161" s="456"/>
      <c r="AEA161" s="456"/>
      <c r="AEB161" s="456"/>
      <c r="AEC161" s="456"/>
      <c r="AED161" s="456"/>
      <c r="AEE161" s="456"/>
      <c r="AEF161" s="456"/>
      <c r="AEG161" s="456"/>
      <c r="AEH161" s="456"/>
      <c r="AEI161" s="456"/>
      <c r="AEJ161" s="456"/>
      <c r="AEK161" s="456"/>
      <c r="AEL161" s="456"/>
      <c r="AEM161" s="456"/>
      <c r="AEN161" s="456"/>
      <c r="AEO161" s="456"/>
      <c r="AEP161" s="456"/>
      <c r="AEQ161" s="456"/>
      <c r="AER161" s="456"/>
      <c r="AES161" s="456"/>
      <c r="AET161" s="456"/>
      <c r="AEU161" s="456"/>
      <c r="AEV161" s="456"/>
      <c r="AEW161" s="456"/>
      <c r="AEX161" s="456"/>
      <c r="AEY161" s="456"/>
      <c r="AEZ161" s="456"/>
      <c r="AFA161" s="456"/>
      <c r="AFB161" s="456"/>
      <c r="AFC161" s="456"/>
      <c r="AFD161" s="456"/>
      <c r="AFE161" s="456"/>
      <c r="AFF161" s="456"/>
      <c r="AFG161" s="456"/>
      <c r="AFH161" s="456"/>
      <c r="AFI161" s="456"/>
      <c r="AFJ161" s="456"/>
      <c r="AFK161" s="456"/>
      <c r="AFL161" s="456"/>
      <c r="AFM161" s="456"/>
      <c r="AFN161" s="456"/>
      <c r="AFO161" s="456"/>
      <c r="AFP161" s="456"/>
      <c r="AFQ161" s="456"/>
      <c r="AFR161" s="456"/>
      <c r="AFS161" s="456"/>
      <c r="AFT161" s="456"/>
      <c r="AFU161" s="456"/>
      <c r="AFV161" s="456"/>
      <c r="AFW161" s="456"/>
      <c r="AFX161" s="456"/>
      <c r="AFY161" s="456"/>
      <c r="AFZ161" s="456"/>
      <c r="AGA161" s="456"/>
      <c r="AGB161" s="456"/>
      <c r="AGC161" s="456"/>
      <c r="AGD161" s="456"/>
      <c r="AGE161" s="456"/>
      <c r="AGF161" s="456"/>
      <c r="AGG161" s="456"/>
      <c r="AGH161" s="456"/>
      <c r="AGI161" s="456"/>
      <c r="AGJ161" s="456"/>
      <c r="AGK161" s="456"/>
      <c r="AGL161" s="456"/>
      <c r="AGM161" s="456"/>
      <c r="AGN161" s="456"/>
      <c r="AGO161" s="456"/>
      <c r="AGP161" s="456"/>
      <c r="AGQ161" s="456"/>
      <c r="AGR161" s="456"/>
      <c r="AGS161" s="456"/>
      <c r="AGT161" s="456"/>
      <c r="AGU161" s="456"/>
      <c r="AGV161" s="456"/>
      <c r="AGW161" s="456"/>
      <c r="AGX161" s="456"/>
      <c r="AGY161" s="456"/>
      <c r="AGZ161" s="456"/>
      <c r="AHA161" s="456"/>
      <c r="AHB161" s="456"/>
      <c r="AHC161" s="456"/>
      <c r="AHD161" s="456"/>
      <c r="AHE161" s="456"/>
      <c r="AHF161" s="456"/>
      <c r="AHG161" s="456"/>
      <c r="AHH161" s="456"/>
      <c r="AHI161" s="456"/>
      <c r="AHJ161" s="456"/>
      <c r="AHK161" s="456"/>
      <c r="AHL161" s="456"/>
      <c r="AHM161" s="456"/>
      <c r="AHN161" s="456"/>
      <c r="AHO161" s="456"/>
      <c r="AHP161" s="456"/>
      <c r="AHQ161" s="456"/>
      <c r="AHR161" s="456"/>
      <c r="AHS161" s="456"/>
      <c r="AHT161" s="456"/>
      <c r="AHU161" s="456"/>
      <c r="AHV161" s="456"/>
      <c r="AHW161" s="456"/>
      <c r="AHX161" s="456"/>
      <c r="AHY161" s="456"/>
      <c r="AHZ161" s="456"/>
      <c r="AIA161" s="456"/>
      <c r="AIB161" s="456"/>
      <c r="AIC161" s="456"/>
      <c r="AID161" s="456"/>
      <c r="AIE161" s="456"/>
      <c r="AIF161" s="456"/>
      <c r="AIG161" s="456"/>
      <c r="AIH161" s="456"/>
      <c r="AII161" s="456"/>
      <c r="AIJ161" s="456"/>
      <c r="AIK161" s="456"/>
      <c r="AIL161" s="456"/>
      <c r="AIM161" s="456"/>
      <c r="AIN161" s="456"/>
      <c r="AIO161" s="456"/>
      <c r="AIP161" s="456"/>
      <c r="AIQ161" s="456"/>
      <c r="AIR161" s="456"/>
      <c r="AIS161" s="456"/>
      <c r="AIT161" s="456"/>
      <c r="AIU161" s="456"/>
      <c r="AIV161" s="456"/>
      <c r="AIW161" s="456"/>
      <c r="AIX161" s="456"/>
      <c r="AIY161" s="456"/>
      <c r="AIZ161" s="456"/>
      <c r="AJA161" s="456"/>
      <c r="AJB161" s="456"/>
      <c r="AJC161" s="456"/>
      <c r="AJD161" s="456"/>
      <c r="AJE161" s="456"/>
      <c r="AJF161" s="456"/>
      <c r="AJG161" s="456"/>
      <c r="AJH161" s="456"/>
      <c r="AJI161" s="456"/>
      <c r="AJJ161" s="456"/>
      <c r="AJK161" s="456"/>
      <c r="AJL161" s="456"/>
      <c r="AJM161" s="456"/>
      <c r="AJN161" s="456"/>
      <c r="AJO161" s="456"/>
      <c r="AJP161" s="456"/>
      <c r="AJQ161" s="456"/>
      <c r="AJR161" s="456"/>
      <c r="AJS161" s="456"/>
      <c r="AJT161" s="456"/>
      <c r="AJU161" s="456"/>
      <c r="AJV161" s="456"/>
      <c r="AJW161" s="456"/>
      <c r="AJX161" s="456"/>
      <c r="AJY161" s="456"/>
      <c r="AJZ161" s="456"/>
      <c r="AKA161" s="456"/>
      <c r="AKB161" s="456"/>
      <c r="AKC161" s="456"/>
      <c r="AKD161" s="456"/>
      <c r="AKE161" s="456"/>
      <c r="AKF161" s="456"/>
      <c r="AKG161" s="456"/>
      <c r="AKH161" s="456"/>
      <c r="AKI161" s="456"/>
      <c r="AKJ161" s="456"/>
      <c r="AKK161" s="456"/>
      <c r="AKL161" s="456"/>
      <c r="AKM161" s="456"/>
      <c r="AKN161" s="456"/>
      <c r="AKO161" s="456"/>
      <c r="AKP161" s="456"/>
      <c r="AKQ161" s="456"/>
      <c r="AKR161" s="456"/>
      <c r="AKS161" s="456"/>
      <c r="AKT161" s="456"/>
      <c r="AKU161" s="456"/>
      <c r="AKV161" s="456"/>
      <c r="AKW161" s="456"/>
      <c r="AKX161" s="456"/>
      <c r="AKY161" s="456"/>
      <c r="AKZ161" s="456"/>
      <c r="ALA161" s="456"/>
      <c r="ALB161" s="456"/>
      <c r="ALC161" s="456"/>
      <c r="ALD161" s="456"/>
      <c r="ALE161" s="456"/>
      <c r="ALF161" s="456"/>
      <c r="ALG161" s="456"/>
      <c r="ALH161" s="456"/>
      <c r="ALI161" s="456"/>
      <c r="ALJ161" s="456"/>
      <c r="ALK161" s="456"/>
      <c r="ALL161" s="456"/>
      <c r="ALM161" s="456"/>
      <c r="ALN161" s="456"/>
      <c r="ALO161" s="456"/>
      <c r="ALP161" s="456"/>
      <c r="ALQ161" s="456"/>
      <c r="ALR161" s="456"/>
      <c r="ALS161" s="456"/>
      <c r="ALT161" s="456"/>
      <c r="ALU161" s="456"/>
      <c r="ALV161" s="456"/>
      <c r="ALW161" s="456"/>
      <c r="ALX161" s="456"/>
      <c r="ALY161" s="456"/>
      <c r="ALZ161" s="456"/>
      <c r="AMA161" s="456"/>
      <c r="AMB161" s="456"/>
      <c r="AMC161" s="456"/>
      <c r="AMD161" s="456"/>
      <c r="AME161" s="456"/>
      <c r="AMF161" s="456"/>
      <c r="AMG161" s="456"/>
      <c r="AMH161" s="456"/>
      <c r="AMI161" s="456"/>
      <c r="AMJ161" s="456"/>
      <c r="AMK161" s="456"/>
      <c r="AML161" s="456"/>
      <c r="AMM161" s="456"/>
      <c r="AMN161" s="456"/>
      <c r="AMO161" s="456"/>
      <c r="AMP161" s="456"/>
      <c r="AMQ161" s="456"/>
      <c r="AMR161" s="456"/>
      <c r="AMS161" s="456"/>
      <c r="AMT161" s="456"/>
      <c r="AMU161" s="456"/>
      <c r="AMV161" s="456"/>
      <c r="AMW161" s="456"/>
      <c r="AMX161" s="456"/>
      <c r="AMY161" s="456"/>
      <c r="AMZ161" s="456"/>
      <c r="ANA161" s="456"/>
      <c r="ANB161" s="456"/>
      <c r="ANC161" s="456"/>
      <c r="AND161" s="456"/>
      <c r="ANE161" s="456"/>
      <c r="ANF161" s="456"/>
      <c r="ANG161" s="456"/>
      <c r="ANH161" s="456"/>
      <c r="ANI161" s="456"/>
      <c r="ANJ161" s="456"/>
      <c r="ANK161" s="456"/>
      <c r="ANL161" s="456"/>
      <c r="ANM161" s="456"/>
      <c r="ANN161" s="456"/>
      <c r="ANO161" s="456"/>
      <c r="ANP161" s="456"/>
      <c r="ANQ161" s="456"/>
      <c r="ANR161" s="456"/>
      <c r="ANS161" s="456"/>
      <c r="ANT161" s="456"/>
      <c r="ANU161" s="456"/>
      <c r="ANV161" s="456"/>
      <c r="ANW161" s="456"/>
      <c r="ANX161" s="456"/>
      <c r="ANY161" s="456"/>
      <c r="ANZ161" s="456"/>
      <c r="AOA161" s="456"/>
      <c r="AOB161" s="456"/>
      <c r="AOC161" s="456"/>
      <c r="AOD161" s="456"/>
      <c r="AOE161" s="456"/>
      <c r="AOF161" s="456"/>
      <c r="AOG161" s="456"/>
      <c r="AOH161" s="456"/>
      <c r="AOI161" s="456"/>
      <c r="AOJ161" s="456"/>
      <c r="AOK161" s="456"/>
      <c r="AOL161" s="456"/>
      <c r="AOM161" s="456"/>
      <c r="AON161" s="456"/>
      <c r="AOO161" s="456"/>
      <c r="AOP161" s="456"/>
      <c r="AOQ161" s="456"/>
      <c r="AOR161" s="456"/>
      <c r="AOS161" s="456"/>
      <c r="AOT161" s="456"/>
      <c r="AOU161" s="456"/>
      <c r="AOV161" s="456"/>
      <c r="AOW161" s="456"/>
      <c r="AOX161" s="456"/>
      <c r="AOY161" s="456"/>
      <c r="AOZ161" s="456"/>
      <c r="APA161" s="456"/>
      <c r="APB161" s="456"/>
      <c r="APC161" s="456"/>
      <c r="APD161" s="456"/>
      <c r="APE161" s="456"/>
      <c r="APF161" s="456"/>
      <c r="APG161" s="456"/>
      <c r="APH161" s="456"/>
      <c r="API161" s="456"/>
      <c r="APJ161" s="456"/>
      <c r="APK161" s="456"/>
      <c r="APL161" s="456"/>
      <c r="APM161" s="456"/>
      <c r="APN161" s="456"/>
      <c r="APO161" s="456"/>
      <c r="APP161" s="456"/>
      <c r="APQ161" s="456"/>
      <c r="APR161" s="456"/>
      <c r="APS161" s="456"/>
      <c r="APT161" s="456"/>
      <c r="APU161" s="456"/>
      <c r="APV161" s="456"/>
      <c r="APW161" s="456"/>
      <c r="APX161" s="456"/>
      <c r="APY161" s="456"/>
      <c r="APZ161" s="456"/>
      <c r="AQA161" s="456"/>
      <c r="AQB161" s="456"/>
      <c r="AQC161" s="456"/>
      <c r="AQD161" s="456"/>
      <c r="AQE161" s="456"/>
      <c r="AQF161" s="456"/>
      <c r="AQG161" s="456"/>
      <c r="AQH161" s="456"/>
      <c r="AQI161" s="456"/>
      <c r="AQJ161" s="456"/>
      <c r="AQK161" s="456"/>
      <c r="AQL161" s="456"/>
      <c r="AQM161" s="456"/>
      <c r="AQN161" s="456"/>
      <c r="AQO161" s="456"/>
      <c r="AQP161" s="456"/>
      <c r="AQQ161" s="456"/>
      <c r="AQR161" s="456"/>
      <c r="AQS161" s="456"/>
      <c r="AQT161" s="456"/>
      <c r="AQU161" s="456"/>
      <c r="AQV161" s="456"/>
      <c r="AQW161" s="456"/>
      <c r="AQX161" s="456"/>
      <c r="AQY161" s="456"/>
      <c r="AQZ161" s="456"/>
      <c r="ARA161" s="456"/>
      <c r="ARB161" s="456"/>
      <c r="ARC161" s="456"/>
      <c r="ARD161" s="456"/>
      <c r="ARE161" s="456"/>
      <c r="ARF161" s="456"/>
      <c r="ARG161" s="456"/>
      <c r="ARH161" s="456"/>
      <c r="ARI161" s="456"/>
      <c r="ARJ161" s="456"/>
      <c r="ARK161" s="456"/>
      <c r="ARL161" s="456"/>
      <c r="ARM161" s="456"/>
      <c r="ARN161" s="456"/>
      <c r="ARO161" s="456"/>
      <c r="ARP161" s="456"/>
      <c r="ARQ161" s="456"/>
      <c r="ARR161" s="456"/>
      <c r="ARS161" s="456"/>
      <c r="ART161" s="456"/>
      <c r="ARU161" s="456"/>
      <c r="ARV161" s="456"/>
      <c r="ARW161" s="456"/>
      <c r="ARX161" s="456"/>
      <c r="ARY161" s="456"/>
      <c r="ARZ161" s="456"/>
      <c r="ASA161" s="456"/>
      <c r="ASB161" s="456"/>
      <c r="ASC161" s="456"/>
      <c r="ASD161" s="456"/>
      <c r="ASE161" s="456"/>
      <c r="ASF161" s="456"/>
      <c r="ASG161" s="456"/>
      <c r="ASH161" s="456"/>
      <c r="ASI161" s="456"/>
      <c r="ASJ161" s="456"/>
      <c r="ASK161" s="456"/>
      <c r="ASL161" s="456"/>
      <c r="ASM161" s="456"/>
      <c r="ASN161" s="456"/>
      <c r="ASO161" s="456"/>
      <c r="ASP161" s="456"/>
      <c r="ASQ161" s="456"/>
      <c r="ASR161" s="456"/>
      <c r="ASS161" s="456"/>
      <c r="AST161" s="456"/>
      <c r="ASU161" s="456"/>
      <c r="ASV161" s="456"/>
      <c r="ASW161" s="456"/>
      <c r="ASX161" s="456"/>
      <c r="ASY161" s="456"/>
      <c r="ASZ161" s="456"/>
      <c r="ATA161" s="456"/>
      <c r="ATB161" s="456"/>
      <c r="ATC161" s="456"/>
      <c r="ATD161" s="456"/>
      <c r="ATE161" s="456"/>
      <c r="ATF161" s="456"/>
      <c r="ATG161" s="456"/>
      <c r="ATH161" s="456"/>
      <c r="ATI161" s="456"/>
      <c r="ATJ161" s="456"/>
      <c r="ATK161" s="456"/>
      <c r="ATL161" s="456"/>
      <c r="ATM161" s="456"/>
      <c r="ATN161" s="456"/>
      <c r="ATO161" s="456"/>
      <c r="ATP161" s="456"/>
      <c r="ATQ161" s="456"/>
      <c r="ATR161" s="456"/>
      <c r="ATS161" s="456"/>
      <c r="ATT161" s="456"/>
      <c r="ATU161" s="456"/>
      <c r="ATV161" s="456"/>
      <c r="ATW161" s="456"/>
      <c r="ATX161" s="456"/>
      <c r="ATY161" s="456"/>
      <c r="ATZ161" s="456"/>
      <c r="AUA161" s="456"/>
      <c r="AUB161" s="456"/>
      <c r="AUC161" s="456"/>
      <c r="AUD161" s="456"/>
      <c r="AUE161" s="456"/>
      <c r="AUF161" s="456"/>
      <c r="AUG161" s="456"/>
      <c r="AUH161" s="456"/>
      <c r="AUI161" s="456"/>
      <c r="AUJ161" s="456"/>
      <c r="AUK161" s="456"/>
      <c r="AUL161" s="456"/>
      <c r="AUM161" s="456"/>
      <c r="AUN161" s="456"/>
      <c r="AUO161" s="456"/>
      <c r="AUP161" s="456"/>
      <c r="AUQ161" s="456"/>
      <c r="AUR161" s="456"/>
      <c r="AUS161" s="456"/>
      <c r="AUT161" s="456"/>
      <c r="AUU161" s="456"/>
      <c r="AUV161" s="456"/>
      <c r="AUW161" s="456"/>
      <c r="AUX161" s="456"/>
      <c r="AUY161" s="456"/>
      <c r="AUZ161" s="456"/>
      <c r="AVA161" s="456"/>
      <c r="AVB161" s="456"/>
      <c r="AVC161" s="456"/>
      <c r="AVD161" s="456"/>
      <c r="AVE161" s="456"/>
      <c r="AVF161" s="456"/>
      <c r="AVG161" s="456"/>
      <c r="AVH161" s="456"/>
      <c r="AVI161" s="456"/>
      <c r="AVJ161" s="456"/>
      <c r="AVK161" s="456"/>
      <c r="AVL161" s="456"/>
      <c r="AVM161" s="456"/>
      <c r="AVN161" s="456"/>
      <c r="AVO161" s="456"/>
      <c r="AVP161" s="456"/>
      <c r="AVQ161" s="456"/>
      <c r="AVR161" s="456"/>
      <c r="AVS161" s="456"/>
      <c r="AVT161" s="456"/>
      <c r="AVU161" s="456"/>
      <c r="AVV161" s="456"/>
      <c r="AVW161" s="456"/>
      <c r="AVX161" s="456"/>
      <c r="AVY161" s="456"/>
      <c r="AVZ161" s="456"/>
      <c r="AWA161" s="456"/>
      <c r="AWB161" s="456"/>
      <c r="AWC161" s="456"/>
      <c r="AWD161" s="456"/>
      <c r="AWE161" s="456"/>
      <c r="AWF161" s="456"/>
      <c r="AWG161" s="456"/>
      <c r="AWH161" s="456"/>
      <c r="AWI161" s="456"/>
      <c r="AWJ161" s="456"/>
      <c r="AWK161" s="456"/>
      <c r="AWL161" s="456"/>
      <c r="AWM161" s="456"/>
      <c r="AWN161" s="456"/>
      <c r="AWO161" s="456"/>
      <c r="AWP161" s="456"/>
      <c r="AWQ161" s="456"/>
      <c r="AWR161" s="456"/>
      <c r="AWS161" s="456"/>
      <c r="AWT161" s="456"/>
      <c r="AWU161" s="456"/>
      <c r="AWV161" s="456"/>
      <c r="AWW161" s="456"/>
      <c r="AWX161" s="456"/>
      <c r="AWY161" s="456"/>
      <c r="AWZ161" s="456"/>
      <c r="AXA161" s="456"/>
      <c r="AXB161" s="456"/>
      <c r="AXC161" s="456"/>
      <c r="AXD161" s="456"/>
      <c r="AXE161" s="456"/>
      <c r="AXF161" s="456"/>
      <c r="AXG161" s="456"/>
      <c r="AXH161" s="456"/>
      <c r="AXI161" s="456"/>
      <c r="AXJ161" s="456"/>
      <c r="AXK161" s="456"/>
      <c r="AXL161" s="456"/>
      <c r="AXM161" s="456"/>
      <c r="AXN161" s="456"/>
      <c r="AXO161" s="456"/>
      <c r="AXP161" s="456"/>
      <c r="AXQ161" s="456"/>
      <c r="AXR161" s="456"/>
      <c r="AXS161" s="456"/>
      <c r="AXT161" s="456"/>
      <c r="AXU161" s="456"/>
      <c r="AXV161" s="456"/>
      <c r="AXW161" s="456"/>
      <c r="AXX161" s="456"/>
      <c r="AXY161" s="456"/>
      <c r="AXZ161" s="456"/>
      <c r="AYA161" s="456"/>
      <c r="AYB161" s="456"/>
      <c r="AYC161" s="456"/>
      <c r="AYD161" s="456"/>
      <c r="AYE161" s="456"/>
      <c r="AYF161" s="456"/>
      <c r="AYG161" s="456"/>
      <c r="AYH161" s="456"/>
      <c r="AYI161" s="456"/>
      <c r="AYJ161" s="456"/>
      <c r="AYK161" s="456"/>
      <c r="AYL161" s="456"/>
      <c r="AYM161" s="456"/>
      <c r="AYN161" s="456"/>
      <c r="AYO161" s="456"/>
      <c r="AYP161" s="456"/>
      <c r="AYQ161" s="456"/>
      <c r="AYR161" s="456"/>
      <c r="AYS161" s="456"/>
      <c r="AYT161" s="456"/>
      <c r="AYU161" s="456"/>
      <c r="AYV161" s="456"/>
      <c r="AYW161" s="456"/>
      <c r="AYX161" s="456"/>
      <c r="AYY161" s="456"/>
      <c r="AYZ161" s="456"/>
      <c r="AZA161" s="456"/>
      <c r="AZB161" s="456"/>
      <c r="AZC161" s="456"/>
      <c r="AZD161" s="456"/>
      <c r="AZE161" s="456"/>
      <c r="AZF161" s="456"/>
      <c r="AZG161" s="456"/>
      <c r="AZH161" s="456"/>
      <c r="AZI161" s="456"/>
      <c r="AZJ161" s="456"/>
      <c r="AZK161" s="456"/>
      <c r="AZL161" s="456"/>
      <c r="AZM161" s="456"/>
      <c r="AZN161" s="456"/>
      <c r="AZO161" s="456"/>
      <c r="AZP161" s="456"/>
      <c r="AZQ161" s="456"/>
      <c r="AZR161" s="456"/>
      <c r="AZS161" s="456"/>
      <c r="AZT161" s="456"/>
      <c r="AZU161" s="456"/>
      <c r="AZV161" s="456"/>
      <c r="AZW161" s="456"/>
      <c r="AZX161" s="456"/>
      <c r="AZY161" s="456"/>
      <c r="AZZ161" s="456"/>
      <c r="BAA161" s="456"/>
      <c r="BAB161" s="456"/>
      <c r="BAC161" s="456"/>
      <c r="BAD161" s="456"/>
      <c r="BAE161" s="456"/>
      <c r="BAF161" s="456"/>
      <c r="BAG161" s="456"/>
      <c r="BAH161" s="456"/>
      <c r="BAI161" s="456"/>
      <c r="BAJ161" s="456"/>
      <c r="BAK161" s="456"/>
      <c r="BAL161" s="456"/>
      <c r="BAM161" s="456"/>
      <c r="BAN161" s="456"/>
      <c r="BAO161" s="456"/>
      <c r="BAP161" s="456"/>
      <c r="BAQ161" s="456"/>
      <c r="BAR161" s="456"/>
      <c r="BAS161" s="456"/>
      <c r="BAT161" s="456"/>
      <c r="BAU161" s="456"/>
      <c r="BAV161" s="456"/>
      <c r="BAW161" s="456"/>
      <c r="BAX161" s="456"/>
      <c r="BAY161" s="456"/>
      <c r="BAZ161" s="456"/>
      <c r="BBA161" s="456"/>
      <c r="BBB161" s="456"/>
      <c r="BBC161" s="456"/>
      <c r="BBD161" s="456"/>
      <c r="BBE161" s="456"/>
      <c r="BBF161" s="456"/>
      <c r="BBG161" s="456"/>
      <c r="BBH161" s="456"/>
      <c r="BBI161" s="456"/>
      <c r="BBJ161" s="456"/>
      <c r="BBK161" s="456"/>
      <c r="BBL161" s="456"/>
      <c r="BBM161" s="456"/>
      <c r="BBN161" s="456"/>
      <c r="BBO161" s="456"/>
      <c r="BBP161" s="456"/>
      <c r="BBQ161" s="456"/>
      <c r="BBR161" s="456"/>
      <c r="BBS161" s="456"/>
      <c r="BBT161" s="456"/>
      <c r="BBU161" s="456"/>
      <c r="BBV161" s="456"/>
      <c r="BBW161" s="456"/>
      <c r="BBX161" s="456"/>
      <c r="BBY161" s="456"/>
      <c r="BBZ161" s="456"/>
      <c r="BCA161" s="456"/>
      <c r="BCB161" s="456"/>
      <c r="BCC161" s="456"/>
      <c r="BCD161" s="456"/>
      <c r="BCE161" s="456"/>
      <c r="BCF161" s="456"/>
      <c r="BCG161" s="456"/>
      <c r="BCH161" s="456"/>
      <c r="BCI161" s="456"/>
      <c r="BCJ161" s="456"/>
      <c r="BCK161" s="456"/>
      <c r="BCL161" s="456"/>
      <c r="BCM161" s="456"/>
      <c r="BCN161" s="456"/>
      <c r="BCO161" s="456"/>
      <c r="BCP161" s="456"/>
      <c r="BCQ161" s="456"/>
      <c r="BCR161" s="456"/>
      <c r="BCS161" s="456"/>
      <c r="BCT161" s="456"/>
      <c r="BCU161" s="456"/>
      <c r="BCV161" s="456"/>
      <c r="BCW161" s="456"/>
      <c r="BCX161" s="456"/>
      <c r="BCY161" s="456"/>
      <c r="BCZ161" s="456"/>
      <c r="BDA161" s="456"/>
      <c r="BDB161" s="456"/>
      <c r="BDC161" s="456"/>
      <c r="BDD161" s="456"/>
      <c r="BDE161" s="456"/>
      <c r="BDF161" s="456"/>
      <c r="BDG161" s="456"/>
      <c r="BDH161" s="456"/>
      <c r="BDI161" s="456"/>
      <c r="BDJ161" s="456"/>
      <c r="BDK161" s="456"/>
      <c r="BDL161" s="456"/>
      <c r="BDM161" s="456"/>
      <c r="BDN161" s="456"/>
      <c r="BDO161" s="456"/>
      <c r="BDP161" s="456"/>
      <c r="BDQ161" s="456"/>
      <c r="BDR161" s="456"/>
      <c r="BDS161" s="456"/>
      <c r="BDT161" s="456"/>
      <c r="BDU161" s="456"/>
      <c r="BDV161" s="456"/>
      <c r="BDW161" s="456"/>
      <c r="BDX161" s="456"/>
      <c r="BDY161" s="456"/>
      <c r="BDZ161" s="456"/>
      <c r="BEA161" s="456"/>
      <c r="BEB161" s="456"/>
      <c r="BEC161" s="456"/>
      <c r="BED161" s="456"/>
      <c r="BEE161" s="456"/>
      <c r="BEF161" s="456"/>
      <c r="BEG161" s="456"/>
      <c r="BEH161" s="456"/>
      <c r="BEI161" s="456"/>
      <c r="BEJ161" s="456"/>
      <c r="BEK161" s="456"/>
      <c r="BEL161" s="456"/>
      <c r="BEM161" s="456"/>
      <c r="BEN161" s="456"/>
      <c r="BEO161" s="456"/>
      <c r="BEP161" s="456"/>
      <c r="BEQ161" s="456"/>
      <c r="BER161" s="456"/>
      <c r="BES161" s="456"/>
      <c r="BET161" s="456"/>
      <c r="BEU161" s="456"/>
      <c r="BEV161" s="456"/>
      <c r="BEW161" s="456"/>
      <c r="BEX161" s="456"/>
      <c r="BEY161" s="456"/>
      <c r="BEZ161" s="456"/>
      <c r="BFA161" s="456"/>
      <c r="BFB161" s="456"/>
      <c r="BFC161" s="456"/>
      <c r="BFD161" s="456"/>
      <c r="BFE161" s="456"/>
      <c r="BFF161" s="456"/>
      <c r="BFG161" s="456"/>
      <c r="BFH161" s="456"/>
      <c r="BFI161" s="456"/>
      <c r="BFJ161" s="456"/>
      <c r="BFK161" s="456"/>
      <c r="BFL161" s="456"/>
      <c r="BFM161" s="456"/>
      <c r="BFN161" s="456"/>
      <c r="BFO161" s="456"/>
      <c r="BFP161" s="456"/>
      <c r="BFQ161" s="456"/>
      <c r="BFR161" s="456"/>
      <c r="BFS161" s="456"/>
      <c r="BFT161" s="456"/>
      <c r="BFU161" s="456"/>
      <c r="BFV161" s="456"/>
      <c r="BFW161" s="456"/>
      <c r="BFX161" s="456"/>
      <c r="BFY161" s="456"/>
      <c r="BFZ161" s="456"/>
      <c r="BGA161" s="456"/>
      <c r="BGB161" s="456"/>
      <c r="BGC161" s="456"/>
      <c r="BGD161" s="456"/>
      <c r="BGE161" s="456"/>
      <c r="BGF161" s="456"/>
      <c r="BGG161" s="456"/>
      <c r="BGH161" s="456"/>
      <c r="BGI161" s="456"/>
      <c r="BGJ161" s="456"/>
      <c r="BGK161" s="456"/>
      <c r="BGL161" s="456"/>
      <c r="BGM161" s="456"/>
      <c r="BGN161" s="456"/>
      <c r="BGO161" s="456"/>
      <c r="BGP161" s="456"/>
      <c r="BGQ161" s="456"/>
      <c r="BGR161" s="456"/>
      <c r="BGS161" s="456"/>
      <c r="BGT161" s="456"/>
      <c r="BGU161" s="456"/>
      <c r="BGV161" s="456"/>
      <c r="BGW161" s="456"/>
      <c r="BGX161" s="456"/>
      <c r="BGY161" s="456"/>
      <c r="BGZ161" s="456"/>
      <c r="BHA161" s="456"/>
      <c r="BHB161" s="456"/>
      <c r="BHC161" s="456"/>
      <c r="BHD161" s="456"/>
      <c r="BHE161" s="456"/>
      <c r="BHF161" s="456"/>
      <c r="BHG161" s="456"/>
      <c r="BHH161" s="456"/>
      <c r="BHI161" s="456"/>
      <c r="BHJ161" s="456"/>
      <c r="BHK161" s="456"/>
      <c r="BHL161" s="456"/>
      <c r="BHM161" s="456"/>
      <c r="BHN161" s="456"/>
      <c r="BHO161" s="456"/>
      <c r="BHP161" s="456"/>
      <c r="BHQ161" s="456"/>
      <c r="BHR161" s="456"/>
      <c r="BHS161" s="456"/>
      <c r="BHT161" s="456"/>
      <c r="BHU161" s="456"/>
      <c r="BHV161" s="456"/>
      <c r="BHW161" s="456"/>
      <c r="BHX161" s="456"/>
      <c r="BHY161" s="456"/>
      <c r="BHZ161" s="456"/>
      <c r="BIA161" s="456"/>
      <c r="BIB161" s="456"/>
      <c r="BIC161" s="456"/>
      <c r="BID161" s="456"/>
      <c r="BIE161" s="456"/>
      <c r="BIF161" s="456"/>
      <c r="BIG161" s="456"/>
      <c r="BIH161" s="456"/>
      <c r="BII161" s="456"/>
      <c r="BIJ161" s="456"/>
      <c r="BIK161" s="456"/>
      <c r="BIL161" s="456"/>
      <c r="BIM161" s="456"/>
      <c r="BIN161" s="456"/>
      <c r="BIO161" s="456"/>
      <c r="BIP161" s="456"/>
      <c r="BIQ161" s="456"/>
      <c r="BIR161" s="456"/>
      <c r="BIS161" s="456"/>
      <c r="BIT161" s="456"/>
      <c r="BIU161" s="456"/>
      <c r="BIV161" s="456"/>
      <c r="BIW161" s="456"/>
      <c r="BIX161" s="456"/>
      <c r="BIY161" s="456"/>
      <c r="BIZ161" s="456"/>
      <c r="BJA161" s="456"/>
      <c r="BJB161" s="456"/>
      <c r="BJC161" s="456"/>
      <c r="BJD161" s="456"/>
      <c r="BJE161" s="456"/>
      <c r="BJF161" s="456"/>
      <c r="BJG161" s="456"/>
      <c r="BJH161" s="456"/>
      <c r="BJI161" s="456"/>
      <c r="BJJ161" s="456"/>
      <c r="BJK161" s="456"/>
      <c r="BJL161" s="456"/>
      <c r="BJM161" s="456"/>
      <c r="BJN161" s="456"/>
      <c r="BJO161" s="456"/>
      <c r="BJP161" s="456"/>
      <c r="BJQ161" s="456"/>
      <c r="BJR161" s="456"/>
      <c r="BJS161" s="456"/>
      <c r="BJT161" s="456"/>
      <c r="BJU161" s="456"/>
      <c r="BJV161" s="456"/>
      <c r="BJW161" s="456"/>
      <c r="BJX161" s="456"/>
      <c r="BJY161" s="456"/>
      <c r="BJZ161" s="456"/>
      <c r="BKA161" s="456"/>
      <c r="BKB161" s="456"/>
      <c r="BKC161" s="456"/>
      <c r="BKD161" s="456"/>
      <c r="BKE161" s="456"/>
      <c r="BKF161" s="456"/>
      <c r="BKG161" s="456"/>
      <c r="BKH161" s="456"/>
      <c r="BKI161" s="456"/>
      <c r="BKJ161" s="456"/>
      <c r="BKK161" s="456"/>
      <c r="BKL161" s="456"/>
      <c r="BKM161" s="456"/>
      <c r="BKN161" s="456"/>
      <c r="BKO161" s="456"/>
      <c r="BKP161" s="456"/>
      <c r="BKQ161" s="456"/>
      <c r="BKR161" s="456"/>
      <c r="BKS161" s="456"/>
      <c r="BKT161" s="456"/>
      <c r="BKU161" s="456"/>
      <c r="BKV161" s="456"/>
      <c r="BKW161" s="456"/>
      <c r="BKX161" s="456"/>
      <c r="BKY161" s="456"/>
      <c r="BKZ161" s="456"/>
      <c r="BLA161" s="456"/>
      <c r="BLB161" s="456"/>
      <c r="BLC161" s="456"/>
      <c r="BLD161" s="456"/>
      <c r="BLE161" s="456"/>
      <c r="BLF161" s="456"/>
      <c r="BLG161" s="456"/>
      <c r="BLH161" s="456"/>
      <c r="BLI161" s="456"/>
      <c r="BLJ161" s="456"/>
      <c r="BLK161" s="456"/>
      <c r="BLL161" s="456"/>
      <c r="BLM161" s="456"/>
      <c r="BLN161" s="456"/>
      <c r="BLO161" s="456"/>
      <c r="BLP161" s="456"/>
      <c r="BLQ161" s="456"/>
      <c r="BLR161" s="456"/>
      <c r="BLS161" s="456"/>
      <c r="BLT161" s="456"/>
      <c r="BLU161" s="456"/>
      <c r="BLV161" s="456"/>
      <c r="BLW161" s="456"/>
      <c r="BLX161" s="456"/>
      <c r="BLY161" s="456"/>
      <c r="BLZ161" s="456"/>
      <c r="BMA161" s="456"/>
      <c r="BMB161" s="456"/>
      <c r="BMC161" s="456"/>
      <c r="BMD161" s="456"/>
      <c r="BME161" s="456"/>
      <c r="BMF161" s="456"/>
      <c r="BMG161" s="456"/>
      <c r="BMH161" s="456"/>
      <c r="BMI161" s="456"/>
      <c r="BMJ161" s="456"/>
      <c r="BMK161" s="456"/>
      <c r="BML161" s="456"/>
      <c r="BMM161" s="456"/>
      <c r="BMN161" s="456"/>
      <c r="BMO161" s="456"/>
      <c r="BMP161" s="456"/>
      <c r="BMQ161" s="456"/>
      <c r="BMR161" s="456"/>
      <c r="BMS161" s="456"/>
      <c r="BMT161" s="456"/>
      <c r="BMU161" s="456"/>
      <c r="BMV161" s="456"/>
      <c r="BMW161" s="456"/>
      <c r="BMX161" s="456"/>
      <c r="BMY161" s="456"/>
      <c r="BMZ161" s="456"/>
      <c r="BNA161" s="456"/>
      <c r="BNB161" s="456"/>
      <c r="BNC161" s="456"/>
      <c r="BND161" s="456"/>
      <c r="BNE161" s="456"/>
      <c r="BNF161" s="456"/>
      <c r="BNG161" s="456"/>
      <c r="BNH161" s="456"/>
      <c r="BNI161" s="456"/>
      <c r="BNJ161" s="456"/>
      <c r="BNK161" s="456"/>
      <c r="BNL161" s="456"/>
      <c r="BNM161" s="456"/>
      <c r="BNN161" s="456"/>
      <c r="BNO161" s="456"/>
      <c r="BNP161" s="456"/>
      <c r="BNQ161" s="456"/>
      <c r="BNR161" s="456"/>
      <c r="BNS161" s="456"/>
      <c r="BNT161" s="456"/>
      <c r="BNU161" s="456"/>
      <c r="BNV161" s="456"/>
      <c r="BNW161" s="456"/>
      <c r="BNX161" s="456"/>
      <c r="BNY161" s="456"/>
      <c r="BNZ161" s="456"/>
      <c r="BOA161" s="456"/>
      <c r="BOB161" s="456"/>
      <c r="BOC161" s="456"/>
      <c r="BOD161" s="456"/>
      <c r="BOE161" s="456"/>
      <c r="BOF161" s="456"/>
      <c r="BOG161" s="456"/>
      <c r="BOH161" s="456"/>
      <c r="BOI161" s="456"/>
      <c r="BOJ161" s="456"/>
      <c r="BOK161" s="456"/>
      <c r="BOL161" s="456"/>
      <c r="BOM161" s="456"/>
      <c r="BON161" s="456"/>
      <c r="BOO161" s="456"/>
      <c r="BOP161" s="456"/>
      <c r="BOQ161" s="456"/>
      <c r="BOR161" s="456"/>
      <c r="BOS161" s="456"/>
      <c r="BOT161" s="456"/>
      <c r="BOU161" s="456"/>
      <c r="BOV161" s="456"/>
      <c r="BOW161" s="456"/>
      <c r="BOX161" s="456"/>
      <c r="BOY161" s="456"/>
      <c r="BOZ161" s="456"/>
      <c r="BPA161" s="456"/>
      <c r="BPB161" s="456"/>
      <c r="BPC161" s="456"/>
      <c r="BPD161" s="456"/>
      <c r="BPE161" s="456"/>
      <c r="BPF161" s="456"/>
      <c r="BPG161" s="456"/>
      <c r="BPH161" s="456"/>
      <c r="BPI161" s="456"/>
      <c r="BPJ161" s="456"/>
      <c r="BPK161" s="456"/>
      <c r="BPL161" s="456"/>
      <c r="BPM161" s="456"/>
      <c r="BPN161" s="456"/>
      <c r="BPO161" s="456"/>
      <c r="BPP161" s="456"/>
      <c r="BPQ161" s="456"/>
      <c r="BPR161" s="456"/>
      <c r="BPS161" s="456"/>
      <c r="BPT161" s="456"/>
      <c r="BPU161" s="456"/>
      <c r="BPV161" s="456"/>
      <c r="BPW161" s="456"/>
      <c r="BPX161" s="456"/>
      <c r="BPY161" s="456"/>
      <c r="BPZ161" s="456"/>
      <c r="BQA161" s="456"/>
      <c r="BQB161" s="456"/>
      <c r="BQC161" s="456"/>
      <c r="BQD161" s="456"/>
      <c r="BQE161" s="456"/>
      <c r="BQF161" s="456"/>
      <c r="BQG161" s="456"/>
      <c r="BQH161" s="456"/>
      <c r="BQI161" s="456"/>
      <c r="BQJ161" s="456"/>
      <c r="BQK161" s="456"/>
      <c r="BQL161" s="456"/>
      <c r="BQM161" s="456"/>
      <c r="BQN161" s="456"/>
      <c r="BQO161" s="456"/>
      <c r="BQP161" s="456"/>
      <c r="BQQ161" s="456"/>
      <c r="BQR161" s="456"/>
      <c r="BQS161" s="456"/>
      <c r="BQT161" s="456"/>
      <c r="BQU161" s="456"/>
      <c r="BQV161" s="456"/>
      <c r="BQW161" s="456"/>
      <c r="BQX161" s="456"/>
      <c r="BQY161" s="456"/>
      <c r="BQZ161" s="456"/>
      <c r="BRA161" s="456"/>
      <c r="BRB161" s="456"/>
      <c r="BRC161" s="456"/>
      <c r="BRD161" s="456"/>
      <c r="BRE161" s="456"/>
      <c r="BRF161" s="456"/>
      <c r="BRG161" s="456"/>
      <c r="BRH161" s="456"/>
      <c r="BRI161" s="456"/>
      <c r="BRJ161" s="456"/>
      <c r="BRK161" s="456"/>
      <c r="BRL161" s="456"/>
      <c r="BRM161" s="456"/>
      <c r="BRN161" s="456"/>
      <c r="BRO161" s="456"/>
      <c r="BRP161" s="456"/>
      <c r="BRQ161" s="456"/>
      <c r="BRR161" s="456"/>
      <c r="BRS161" s="456"/>
      <c r="BRT161" s="456"/>
      <c r="BRU161" s="456"/>
      <c r="BRV161" s="456"/>
      <c r="BRW161" s="456"/>
      <c r="BRX161" s="456"/>
      <c r="BRY161" s="456"/>
      <c r="BRZ161" s="456"/>
      <c r="BSA161" s="456"/>
      <c r="BSB161" s="456"/>
      <c r="BSC161" s="456"/>
      <c r="BSD161" s="456"/>
      <c r="BSE161" s="456"/>
      <c r="BSF161" s="456"/>
      <c r="BSG161" s="456"/>
      <c r="BSH161" s="456"/>
      <c r="BSI161" s="456"/>
      <c r="BSJ161" s="456"/>
      <c r="BSK161" s="456"/>
      <c r="BSL161" s="456"/>
      <c r="BSM161" s="456"/>
      <c r="BSN161" s="456"/>
      <c r="BSO161" s="456"/>
      <c r="BSP161" s="456"/>
      <c r="BSQ161" s="456"/>
      <c r="BSR161" s="456"/>
      <c r="BSS161" s="456"/>
      <c r="BST161" s="456"/>
      <c r="BSU161" s="456"/>
      <c r="BSV161" s="456"/>
      <c r="BSW161" s="456"/>
      <c r="BSX161" s="456"/>
      <c r="BSY161" s="456"/>
      <c r="BSZ161" s="456"/>
      <c r="BTA161" s="456"/>
      <c r="BTB161" s="456"/>
      <c r="BTC161" s="456"/>
      <c r="BTD161" s="456"/>
      <c r="BTE161" s="456"/>
      <c r="BTF161" s="456"/>
      <c r="BTG161" s="456"/>
      <c r="BTH161" s="456"/>
      <c r="BTI161" s="456"/>
      <c r="BTJ161" s="456"/>
      <c r="BTK161" s="456"/>
      <c r="BTL161" s="456"/>
      <c r="BTM161" s="456"/>
      <c r="BTN161" s="456"/>
      <c r="BTO161" s="456"/>
      <c r="BTP161" s="456"/>
      <c r="BTQ161" s="456"/>
      <c r="BTR161" s="456"/>
      <c r="BTS161" s="456"/>
      <c r="BTT161" s="456"/>
      <c r="BTU161" s="456"/>
      <c r="BTV161" s="456"/>
      <c r="BTW161" s="456"/>
      <c r="BTX161" s="456"/>
      <c r="BTY161" s="456"/>
      <c r="BTZ161" s="456"/>
      <c r="BUA161" s="456"/>
      <c r="BUB161" s="456"/>
      <c r="BUC161" s="456"/>
      <c r="BUD161" s="456"/>
      <c r="BUE161" s="456"/>
      <c r="BUF161" s="456"/>
      <c r="BUG161" s="456"/>
      <c r="BUH161" s="456"/>
      <c r="BUI161" s="456"/>
      <c r="BUJ161" s="456"/>
      <c r="BUK161" s="456"/>
      <c r="BUL161" s="456"/>
      <c r="BUM161" s="456"/>
      <c r="BUN161" s="456"/>
      <c r="BUO161" s="456"/>
      <c r="BUP161" s="456"/>
      <c r="BUQ161" s="456"/>
      <c r="BUR161" s="456"/>
      <c r="BUS161" s="456"/>
      <c r="BUT161" s="456"/>
      <c r="BUU161" s="456"/>
      <c r="BUV161" s="456"/>
      <c r="BUW161" s="456"/>
      <c r="BUX161" s="456"/>
      <c r="BUY161" s="456"/>
      <c r="BUZ161" s="456"/>
      <c r="BVA161" s="456"/>
      <c r="BVB161" s="456"/>
      <c r="BVC161" s="456"/>
      <c r="BVD161" s="456"/>
      <c r="BVE161" s="456"/>
      <c r="BVF161" s="456"/>
      <c r="BVG161" s="456"/>
      <c r="BVH161" s="456"/>
      <c r="BVI161" s="456"/>
      <c r="BVJ161" s="456"/>
      <c r="BVK161" s="456"/>
      <c r="BVL161" s="456"/>
      <c r="BVM161" s="456"/>
      <c r="BVN161" s="456"/>
      <c r="BVO161" s="456"/>
      <c r="BVP161" s="456"/>
      <c r="BVQ161" s="456"/>
      <c r="BVR161" s="456"/>
      <c r="BVS161" s="456"/>
      <c r="BVT161" s="456"/>
      <c r="BVU161" s="456"/>
      <c r="BVV161" s="456"/>
      <c r="BVW161" s="456"/>
      <c r="BVX161" s="456"/>
      <c r="BVY161" s="456"/>
      <c r="BVZ161" s="456"/>
      <c r="BWA161" s="456"/>
      <c r="BWB161" s="456"/>
      <c r="BWC161" s="456"/>
      <c r="BWD161" s="456"/>
      <c r="BWE161" s="456"/>
      <c r="BWF161" s="456"/>
      <c r="BWG161" s="456"/>
      <c r="BWH161" s="456"/>
      <c r="BWI161" s="456"/>
      <c r="BWJ161" s="456"/>
      <c r="BWK161" s="456"/>
      <c r="BWL161" s="456"/>
      <c r="BWM161" s="456"/>
      <c r="BWN161" s="456"/>
      <c r="BWO161" s="456"/>
      <c r="BWP161" s="456"/>
      <c r="BWQ161" s="456"/>
      <c r="BWR161" s="456"/>
      <c r="BWS161" s="456"/>
      <c r="BWT161" s="456"/>
      <c r="BWU161" s="456"/>
      <c r="BWV161" s="456"/>
      <c r="BWW161" s="456"/>
      <c r="BWX161" s="456"/>
      <c r="BWY161" s="456"/>
      <c r="BWZ161" s="456"/>
      <c r="BXA161" s="456"/>
      <c r="BXB161" s="456"/>
      <c r="BXC161" s="456"/>
      <c r="BXD161" s="456"/>
      <c r="BXE161" s="456"/>
      <c r="BXF161" s="456"/>
      <c r="BXG161" s="456"/>
      <c r="BXH161" s="456"/>
      <c r="BXI161" s="456"/>
      <c r="BXJ161" s="456"/>
      <c r="BXK161" s="456"/>
      <c r="BXL161" s="456"/>
      <c r="BXM161" s="456"/>
      <c r="BXN161" s="456"/>
      <c r="BXO161" s="456"/>
      <c r="BXP161" s="456"/>
      <c r="BXQ161" s="456"/>
      <c r="BXR161" s="456"/>
      <c r="BXS161" s="456"/>
      <c r="BXT161" s="456"/>
      <c r="BXU161" s="456"/>
      <c r="BXV161" s="456"/>
      <c r="BXW161" s="456"/>
      <c r="BXX161" s="456"/>
      <c r="BXY161" s="456"/>
      <c r="BXZ161" s="456"/>
    </row>
    <row r="162" s="25" customFormat="1" spans="1:1024 1025:2002">
      <c r="A162" s="473" t="s">
        <v>34</v>
      </c>
      <c r="B162" s="19">
        <v>1130</v>
      </c>
      <c r="C162" s="183">
        <v>46205</v>
      </c>
      <c r="D162" s="17" t="s">
        <v>52</v>
      </c>
      <c r="E162" s="17" t="s">
        <v>104</v>
      </c>
      <c r="F162" s="17" t="s">
        <v>54</v>
      </c>
      <c r="G162" s="17"/>
      <c r="H162" s="19">
        <v>1.2316</v>
      </c>
      <c r="I162" s="19" t="s">
        <v>114</v>
      </c>
      <c r="J162" s="17" t="s">
        <v>49</v>
      </c>
      <c r="K162" s="489">
        <v>1050</v>
      </c>
      <c r="L162" s="489">
        <v>56</v>
      </c>
      <c r="M162" s="489">
        <v>2200</v>
      </c>
      <c r="N162" s="19" t="s">
        <v>66</v>
      </c>
      <c r="O162" s="19" t="s">
        <v>67</v>
      </c>
      <c r="P162" s="490">
        <v>923.16</v>
      </c>
      <c r="Q162" s="19">
        <v>945</v>
      </c>
      <c r="R162" s="99">
        <f t="shared" si="9"/>
        <v>-21.84</v>
      </c>
      <c r="S162" s="19">
        <f t="shared" si="11"/>
        <v>2870</v>
      </c>
      <c r="T162" s="19" t="s">
        <v>42</v>
      </c>
      <c r="U162" s="102" t="s">
        <v>115</v>
      </c>
      <c r="V162" s="186">
        <v>46208</v>
      </c>
      <c r="W162" s="17" t="s">
        <v>44</v>
      </c>
      <c r="X162" s="17"/>
      <c r="Y162" s="68">
        <v>46235</v>
      </c>
      <c r="Z162" s="17" t="s">
        <v>45</v>
      </c>
      <c r="AA162" s="17" t="s">
        <v>46</v>
      </c>
      <c r="AB162" s="17" t="s">
        <v>116</v>
      </c>
      <c r="AC162" s="217">
        <v>46241</v>
      </c>
      <c r="AD162" s="65">
        <v>1848</v>
      </c>
      <c r="AE162" s="17" t="s">
        <v>48</v>
      </c>
      <c r="AF162" s="17" t="s">
        <v>61</v>
      </c>
      <c r="AG162" s="17"/>
      <c r="AH162" s="456"/>
      <c r="AI162" s="456"/>
      <c r="AJ162" s="456"/>
      <c r="AK162" s="456"/>
      <c r="AL162" s="456"/>
      <c r="AM162" s="456"/>
      <c r="AN162" s="456"/>
      <c r="AO162" s="456"/>
      <c r="AP162" s="456"/>
      <c r="AQ162" s="456"/>
      <c r="AR162" s="456"/>
      <c r="AS162" s="456"/>
      <c r="AT162" s="456"/>
      <c r="AU162" s="456"/>
      <c r="AV162" s="456"/>
      <c r="AW162" s="456"/>
      <c r="AX162" s="456"/>
      <c r="AY162" s="456"/>
      <c r="AZ162" s="456"/>
      <c r="BA162" s="456"/>
      <c r="BB162" s="456"/>
      <c r="BC162" s="456"/>
      <c r="BD162" s="456"/>
      <c r="BE162" s="456"/>
      <c r="BF162" s="456"/>
      <c r="BG162" s="456"/>
      <c r="BH162" s="456"/>
      <c r="BI162" s="456"/>
      <c r="BJ162" s="456"/>
      <c r="BK162" s="456"/>
      <c r="BL162" s="456"/>
      <c r="BM162" s="456"/>
      <c r="BN162" s="456"/>
      <c r="BO162" s="456"/>
      <c r="BP162" s="456"/>
      <c r="BQ162" s="456"/>
      <c r="BR162" s="456"/>
      <c r="BS162" s="456"/>
      <c r="BT162" s="456"/>
      <c r="BU162" s="456"/>
      <c r="BV162" s="456"/>
      <c r="BW162" s="456"/>
      <c r="BX162" s="456"/>
      <c r="BY162" s="456"/>
      <c r="BZ162" s="456"/>
      <c r="CA162" s="456"/>
      <c r="CB162" s="456"/>
      <c r="CC162" s="456"/>
      <c r="CD162" s="456"/>
      <c r="CE162" s="456"/>
      <c r="CF162" s="456"/>
      <c r="CG162" s="456"/>
      <c r="CH162" s="456"/>
      <c r="CI162" s="456"/>
      <c r="CJ162" s="456"/>
      <c r="CK162" s="456"/>
      <c r="CL162" s="456"/>
      <c r="CM162" s="456"/>
      <c r="CN162" s="456"/>
      <c r="CO162" s="456"/>
      <c r="CP162" s="456"/>
      <c r="CQ162" s="456"/>
      <c r="CR162" s="456"/>
      <c r="CS162" s="456"/>
      <c r="CT162" s="456"/>
      <c r="CU162" s="456"/>
      <c r="CV162" s="456"/>
      <c r="CW162" s="456"/>
      <c r="CX162" s="456"/>
      <c r="CY162" s="456"/>
      <c r="CZ162" s="456"/>
      <c r="DA162" s="456"/>
      <c r="DB162" s="456"/>
      <c r="DC162" s="456"/>
      <c r="DD162" s="456"/>
      <c r="DE162" s="456"/>
      <c r="DF162" s="456"/>
      <c r="DG162" s="456"/>
      <c r="DH162" s="456"/>
      <c r="DI162" s="456"/>
      <c r="DJ162" s="456"/>
      <c r="DK162" s="456"/>
      <c r="DL162" s="456"/>
      <c r="DM162" s="456"/>
      <c r="DN162" s="456"/>
      <c r="DO162" s="456"/>
      <c r="DP162" s="456"/>
      <c r="DQ162" s="456"/>
      <c r="DR162" s="456"/>
      <c r="DS162" s="456"/>
      <c r="DT162" s="456"/>
      <c r="DU162" s="456"/>
      <c r="DV162" s="456"/>
      <c r="DW162" s="456"/>
      <c r="DX162" s="456"/>
      <c r="DY162" s="456"/>
      <c r="DZ162" s="456"/>
      <c r="EA162" s="456"/>
      <c r="EB162" s="456"/>
      <c r="EC162" s="456"/>
      <c r="ED162" s="456"/>
      <c r="EE162" s="456"/>
      <c r="EF162" s="456"/>
      <c r="EG162" s="456"/>
      <c r="EH162" s="456"/>
      <c r="EI162" s="456"/>
      <c r="EJ162" s="456"/>
      <c r="EK162" s="456"/>
      <c r="EL162" s="456"/>
      <c r="EM162" s="456"/>
      <c r="EN162" s="456"/>
      <c r="EO162" s="456"/>
      <c r="EP162" s="456"/>
      <c r="EQ162" s="456"/>
      <c r="ER162" s="456"/>
      <c r="ES162" s="456"/>
      <c r="ET162" s="456"/>
      <c r="EU162" s="456"/>
      <c r="EV162" s="456"/>
      <c r="EW162" s="456"/>
      <c r="EX162" s="456"/>
      <c r="EY162" s="456"/>
      <c r="EZ162" s="456"/>
      <c r="FA162" s="456"/>
      <c r="FB162" s="456"/>
      <c r="FC162" s="456"/>
      <c r="FD162" s="456"/>
      <c r="FE162" s="456"/>
      <c r="FF162" s="456"/>
      <c r="FG162" s="456"/>
      <c r="FH162" s="456"/>
      <c r="FI162" s="456"/>
      <c r="FJ162" s="456"/>
      <c r="FK162" s="456"/>
      <c r="FL162" s="456"/>
      <c r="FM162" s="456"/>
      <c r="FN162" s="456"/>
      <c r="FO162" s="456"/>
      <c r="FP162" s="456"/>
      <c r="FQ162" s="456"/>
      <c r="FR162" s="456"/>
      <c r="FS162" s="456"/>
      <c r="FT162" s="456"/>
      <c r="FU162" s="456"/>
      <c r="FV162" s="456"/>
      <c r="FW162" s="456"/>
      <c r="FX162" s="456"/>
      <c r="FY162" s="456"/>
      <c r="FZ162" s="456"/>
      <c r="GA162" s="456"/>
      <c r="GB162" s="456"/>
      <c r="GC162" s="456"/>
      <c r="GD162" s="456"/>
      <c r="GE162" s="456"/>
      <c r="GF162" s="456"/>
      <c r="GG162" s="456"/>
      <c r="GH162" s="456"/>
      <c r="GI162" s="456"/>
      <c r="GJ162" s="456"/>
      <c r="GK162" s="456"/>
      <c r="GL162" s="456"/>
      <c r="GM162" s="456"/>
      <c r="GN162" s="456"/>
      <c r="GO162" s="456"/>
      <c r="GP162" s="456"/>
      <c r="GQ162" s="456"/>
      <c r="GR162" s="456"/>
      <c r="GS162" s="456"/>
      <c r="GT162" s="456"/>
      <c r="GU162" s="456"/>
      <c r="GV162" s="456"/>
      <c r="GW162" s="456"/>
      <c r="GX162" s="456"/>
      <c r="GY162" s="456"/>
      <c r="GZ162" s="456"/>
      <c r="HA162" s="456"/>
      <c r="HB162" s="456"/>
      <c r="HC162" s="456"/>
      <c r="HD162" s="456"/>
      <c r="HE162" s="456"/>
      <c r="HF162" s="456"/>
      <c r="HG162" s="456"/>
      <c r="HH162" s="456"/>
      <c r="HI162" s="456"/>
      <c r="HJ162" s="456"/>
      <c r="HK162" s="456"/>
      <c r="HL162" s="456"/>
      <c r="HM162" s="456"/>
      <c r="HN162" s="456"/>
      <c r="HO162" s="456"/>
      <c r="HP162" s="456"/>
      <c r="HQ162" s="456"/>
      <c r="HR162" s="456"/>
      <c r="HS162" s="456"/>
      <c r="HT162" s="456"/>
      <c r="HU162" s="456"/>
      <c r="HV162" s="456"/>
      <c r="HW162" s="456"/>
      <c r="HX162" s="456"/>
      <c r="HY162" s="456"/>
      <c r="HZ162" s="456"/>
      <c r="IA162" s="456"/>
      <c r="IB162" s="456"/>
      <c r="IC162" s="456"/>
      <c r="ID162" s="456"/>
      <c r="IE162" s="456"/>
      <c r="IF162" s="456"/>
      <c r="IG162" s="456"/>
      <c r="IH162" s="456"/>
      <c r="II162" s="456"/>
      <c r="IJ162" s="456"/>
      <c r="IK162" s="456"/>
      <c r="IL162" s="456"/>
      <c r="IM162" s="456"/>
      <c r="IN162" s="456"/>
      <c r="IO162" s="456"/>
      <c r="IP162" s="456"/>
      <c r="IQ162" s="456"/>
      <c r="IR162" s="456"/>
      <c r="IS162" s="456"/>
      <c r="IT162" s="456"/>
      <c r="IU162" s="456"/>
      <c r="IV162" s="456"/>
      <c r="IW162" s="456"/>
      <c r="IX162" s="456"/>
      <c r="IY162" s="456"/>
      <c r="IZ162" s="456"/>
      <c r="JA162" s="456"/>
      <c r="JB162" s="456"/>
      <c r="JC162" s="456"/>
      <c r="JD162" s="456"/>
      <c r="JE162" s="456"/>
      <c r="JF162" s="456"/>
      <c r="JG162" s="456"/>
      <c r="JH162" s="456"/>
      <c r="JI162" s="456"/>
      <c r="JJ162" s="456"/>
      <c r="JK162" s="456"/>
      <c r="JL162" s="456"/>
      <c r="JM162" s="456"/>
      <c r="JN162" s="456"/>
      <c r="JO162" s="456"/>
      <c r="JP162" s="456"/>
      <c r="JQ162" s="456"/>
      <c r="JR162" s="456"/>
      <c r="JS162" s="456"/>
      <c r="JT162" s="456"/>
      <c r="JU162" s="456"/>
      <c r="JV162" s="456"/>
      <c r="JW162" s="456"/>
      <c r="JX162" s="456"/>
      <c r="JY162" s="456"/>
      <c r="JZ162" s="456"/>
      <c r="KA162" s="456"/>
      <c r="KB162" s="456"/>
      <c r="KC162" s="456"/>
      <c r="KD162" s="456"/>
      <c r="KE162" s="456"/>
      <c r="KF162" s="456"/>
      <c r="KG162" s="456"/>
      <c r="KH162" s="456"/>
      <c r="KI162" s="456"/>
      <c r="KJ162" s="456"/>
      <c r="KK162" s="456"/>
      <c r="KL162" s="456"/>
      <c r="KM162" s="456"/>
      <c r="KN162" s="456"/>
      <c r="KO162" s="456"/>
      <c r="KP162" s="456"/>
      <c r="KQ162" s="456"/>
      <c r="KR162" s="456"/>
      <c r="KS162" s="456"/>
      <c r="KT162" s="456"/>
      <c r="KU162" s="456"/>
      <c r="KV162" s="456"/>
      <c r="KW162" s="456"/>
      <c r="KX162" s="456"/>
      <c r="KY162" s="456"/>
      <c r="KZ162" s="456"/>
      <c r="LA162" s="456"/>
      <c r="LB162" s="456"/>
      <c r="LC162" s="456"/>
      <c r="LD162" s="456"/>
      <c r="LE162" s="456"/>
      <c r="LF162" s="456"/>
      <c r="LG162" s="456"/>
      <c r="LH162" s="456"/>
      <c r="LI162" s="456"/>
      <c r="LJ162" s="456"/>
      <c r="LK162" s="456"/>
      <c r="LL162" s="456"/>
      <c r="LM162" s="456"/>
      <c r="LN162" s="456"/>
      <c r="LO162" s="456"/>
      <c r="LP162" s="456"/>
      <c r="LQ162" s="456"/>
      <c r="LR162" s="456"/>
      <c r="LS162" s="456"/>
      <c r="LT162" s="456"/>
      <c r="LU162" s="456"/>
      <c r="LV162" s="456"/>
      <c r="LW162" s="456"/>
      <c r="LX162" s="456"/>
      <c r="LY162" s="456"/>
      <c r="LZ162" s="456"/>
      <c r="MA162" s="456"/>
      <c r="MB162" s="456"/>
      <c r="MC162" s="456"/>
      <c r="MD162" s="456"/>
      <c r="ME162" s="456"/>
      <c r="MF162" s="456"/>
      <c r="MG162" s="456"/>
      <c r="MH162" s="456"/>
      <c r="MI162" s="456"/>
      <c r="MJ162" s="456"/>
      <c r="MK162" s="456"/>
      <c r="ML162" s="456"/>
      <c r="MM162" s="456"/>
      <c r="MN162" s="456"/>
      <c r="MO162" s="456"/>
      <c r="MP162" s="456"/>
      <c r="MQ162" s="456"/>
      <c r="MR162" s="456"/>
      <c r="MS162" s="456"/>
      <c r="MT162" s="456"/>
      <c r="MU162" s="456"/>
      <c r="MV162" s="456"/>
      <c r="MW162" s="456"/>
      <c r="MX162" s="456"/>
      <c r="MY162" s="456"/>
      <c r="MZ162" s="456"/>
      <c r="NA162" s="456"/>
      <c r="NB162" s="456"/>
      <c r="NC162" s="456"/>
      <c r="ND162" s="456"/>
      <c r="NE162" s="456"/>
      <c r="NF162" s="456"/>
      <c r="NG162" s="456"/>
      <c r="NH162" s="456"/>
      <c r="NI162" s="456"/>
      <c r="NJ162" s="456"/>
      <c r="NK162" s="456"/>
      <c r="NL162" s="456"/>
      <c r="NM162" s="456"/>
      <c r="NN162" s="456"/>
      <c r="NO162" s="456"/>
      <c r="NP162" s="456"/>
      <c r="NQ162" s="456"/>
      <c r="NR162" s="456"/>
      <c r="NS162" s="456"/>
      <c r="NT162" s="456"/>
      <c r="NU162" s="456"/>
      <c r="NV162" s="456"/>
      <c r="NW162" s="456"/>
      <c r="NX162" s="456"/>
      <c r="NY162" s="456"/>
      <c r="NZ162" s="456"/>
      <c r="OA162" s="456"/>
      <c r="OB162" s="456"/>
      <c r="OC162" s="456"/>
      <c r="OD162" s="456"/>
      <c r="OE162" s="456"/>
      <c r="OF162" s="456"/>
      <c r="OG162" s="456"/>
      <c r="OH162" s="456"/>
      <c r="OI162" s="456"/>
      <c r="OJ162" s="456"/>
      <c r="OK162" s="456"/>
      <c r="OL162" s="456"/>
      <c r="OM162" s="456"/>
      <c r="ON162" s="456"/>
      <c r="OO162" s="456"/>
      <c r="OP162" s="456"/>
      <c r="OQ162" s="456"/>
      <c r="OR162" s="456"/>
      <c r="OS162" s="456"/>
      <c r="OT162" s="456"/>
      <c r="OU162" s="456"/>
      <c r="OV162" s="456"/>
      <c r="OW162" s="456"/>
      <c r="OX162" s="456"/>
      <c r="OY162" s="456"/>
      <c r="OZ162" s="456"/>
      <c r="PA162" s="456"/>
      <c r="PB162" s="456"/>
      <c r="PC162" s="456"/>
      <c r="PD162" s="456"/>
      <c r="PE162" s="456"/>
      <c r="PF162" s="456"/>
      <c r="PG162" s="456"/>
      <c r="PH162" s="456"/>
      <c r="PI162" s="456"/>
      <c r="PJ162" s="456"/>
      <c r="PK162" s="456"/>
      <c r="PL162" s="456"/>
      <c r="PM162" s="456"/>
      <c r="PN162" s="456"/>
      <c r="PO162" s="456"/>
      <c r="PP162" s="456"/>
      <c r="PQ162" s="456"/>
      <c r="PR162" s="456"/>
      <c r="PS162" s="456"/>
      <c r="PT162" s="456"/>
      <c r="PU162" s="456"/>
      <c r="PV162" s="456"/>
      <c r="PW162" s="456"/>
      <c r="PX162" s="456"/>
      <c r="PY162" s="456"/>
      <c r="PZ162" s="456"/>
      <c r="QA162" s="456"/>
      <c r="QB162" s="456"/>
      <c r="QC162" s="456"/>
      <c r="QD162" s="456"/>
      <c r="QE162" s="456"/>
      <c r="QF162" s="456"/>
      <c r="QG162" s="456"/>
      <c r="QH162" s="456"/>
      <c r="QI162" s="456"/>
      <c r="QJ162" s="456"/>
      <c r="QK162" s="456"/>
      <c r="QL162" s="456"/>
      <c r="QM162" s="456"/>
      <c r="QN162" s="456"/>
      <c r="QO162" s="456"/>
      <c r="QP162" s="456"/>
      <c r="QQ162" s="456"/>
      <c r="QR162" s="456"/>
      <c r="QS162" s="456"/>
      <c r="QT162" s="456"/>
      <c r="QU162" s="456"/>
      <c r="QV162" s="456"/>
      <c r="QW162" s="456"/>
      <c r="QX162" s="456"/>
      <c r="QY162" s="456"/>
      <c r="QZ162" s="456"/>
      <c r="RA162" s="456"/>
      <c r="RB162" s="456"/>
      <c r="RC162" s="456"/>
      <c r="RD162" s="456"/>
      <c r="RE162" s="456"/>
      <c r="RF162" s="456"/>
      <c r="RG162" s="456"/>
      <c r="RH162" s="456"/>
      <c r="RI162" s="456"/>
      <c r="RJ162" s="456"/>
      <c r="RK162" s="456"/>
      <c r="RL162" s="456"/>
      <c r="RM162" s="456"/>
      <c r="RN162" s="456"/>
      <c r="RO162" s="456"/>
      <c r="RP162" s="456"/>
      <c r="RQ162" s="456"/>
      <c r="RR162" s="456"/>
      <c r="RS162" s="456"/>
      <c r="RT162" s="456"/>
      <c r="RU162" s="456"/>
      <c r="RV162" s="456"/>
      <c r="RW162" s="456"/>
      <c r="RX162" s="456"/>
      <c r="RY162" s="456"/>
      <c r="RZ162" s="456"/>
      <c r="SA162" s="456"/>
      <c r="SB162" s="456"/>
      <c r="SC162" s="456"/>
      <c r="SD162" s="456"/>
      <c r="SE162" s="456"/>
      <c r="SF162" s="456"/>
      <c r="SG162" s="456"/>
      <c r="SH162" s="456"/>
      <c r="SI162" s="456"/>
      <c r="SJ162" s="456"/>
      <c r="SK162" s="456"/>
      <c r="SL162" s="456"/>
      <c r="SM162" s="456"/>
      <c r="SN162" s="456"/>
      <c r="SO162" s="456"/>
      <c r="SP162" s="456"/>
      <c r="SQ162" s="456"/>
      <c r="SR162" s="456"/>
      <c r="SS162" s="456"/>
      <c r="ST162" s="456"/>
      <c r="SU162" s="456"/>
      <c r="SV162" s="456"/>
      <c r="SW162" s="456"/>
      <c r="SX162" s="456"/>
      <c r="SY162" s="456"/>
      <c r="SZ162" s="456"/>
      <c r="TA162" s="456"/>
      <c r="TB162" s="456"/>
      <c r="TC162" s="456"/>
      <c r="TD162" s="456"/>
      <c r="TE162" s="456"/>
      <c r="TF162" s="456"/>
      <c r="TG162" s="456"/>
      <c r="TH162" s="456"/>
      <c r="TI162" s="456"/>
      <c r="TJ162" s="456"/>
      <c r="TK162" s="456"/>
      <c r="TL162" s="456"/>
      <c r="TM162" s="456"/>
      <c r="TN162" s="456"/>
      <c r="TO162" s="456"/>
      <c r="TP162" s="456"/>
      <c r="TQ162" s="456"/>
      <c r="TR162" s="456"/>
      <c r="TS162" s="456"/>
      <c r="TT162" s="456"/>
      <c r="TU162" s="456"/>
      <c r="TV162" s="456"/>
      <c r="TW162" s="456"/>
      <c r="TX162" s="456"/>
      <c r="TY162" s="456"/>
      <c r="TZ162" s="456"/>
      <c r="UA162" s="456"/>
      <c r="UB162" s="456"/>
      <c r="UC162" s="456"/>
      <c r="UD162" s="456"/>
      <c r="UE162" s="456"/>
      <c r="UF162" s="456"/>
      <c r="UG162" s="456"/>
      <c r="UH162" s="456"/>
      <c r="UI162" s="456"/>
      <c r="UJ162" s="456"/>
      <c r="UK162" s="456"/>
      <c r="UL162" s="456"/>
      <c r="UM162" s="456"/>
      <c r="UN162" s="456"/>
      <c r="UO162" s="456"/>
      <c r="UP162" s="456"/>
      <c r="UQ162" s="456"/>
      <c r="UR162" s="456"/>
      <c r="US162" s="456"/>
      <c r="UT162" s="456"/>
      <c r="UU162" s="456"/>
      <c r="UV162" s="456"/>
      <c r="UW162" s="456"/>
      <c r="UX162" s="456"/>
      <c r="UY162" s="456"/>
      <c r="UZ162" s="456"/>
      <c r="VA162" s="456"/>
      <c r="VB162" s="456"/>
      <c r="VC162" s="456"/>
      <c r="VD162" s="456"/>
      <c r="VE162" s="456"/>
      <c r="VF162" s="456"/>
      <c r="VG162" s="456"/>
      <c r="VH162" s="456"/>
      <c r="VI162" s="456"/>
      <c r="VJ162" s="456"/>
      <c r="VK162" s="456"/>
      <c r="VL162" s="456"/>
      <c r="VM162" s="456"/>
      <c r="VN162" s="456"/>
      <c r="VO162" s="456"/>
      <c r="VP162" s="456"/>
      <c r="VQ162" s="456"/>
      <c r="VR162" s="456"/>
      <c r="VS162" s="456"/>
      <c r="VT162" s="456"/>
      <c r="VU162" s="456"/>
      <c r="VV162" s="456"/>
      <c r="VW162" s="456"/>
      <c r="VX162" s="456"/>
      <c r="VY162" s="456"/>
      <c r="VZ162" s="456"/>
      <c r="WA162" s="456"/>
      <c r="WB162" s="456"/>
      <c r="WC162" s="456"/>
      <c r="WD162" s="456"/>
      <c r="WE162" s="456"/>
      <c r="WF162" s="456"/>
      <c r="WG162" s="456"/>
      <c r="WH162" s="456"/>
      <c r="WI162" s="456"/>
      <c r="WJ162" s="456"/>
      <c r="WK162" s="456"/>
      <c r="WL162" s="456"/>
      <c r="WM162" s="456"/>
      <c r="WN162" s="456"/>
      <c r="WO162" s="456"/>
      <c r="WP162" s="456"/>
      <c r="WQ162" s="456"/>
      <c r="WR162" s="456"/>
      <c r="WS162" s="456"/>
      <c r="WT162" s="456"/>
      <c r="WU162" s="456"/>
      <c r="WV162" s="456"/>
      <c r="WW162" s="456"/>
      <c r="WX162" s="456"/>
      <c r="WY162" s="456"/>
      <c r="WZ162" s="456"/>
      <c r="XA162" s="456"/>
      <c r="XB162" s="456"/>
      <c r="XC162" s="456"/>
      <c r="XD162" s="456"/>
      <c r="XE162" s="456"/>
      <c r="XF162" s="456"/>
      <c r="XG162" s="456"/>
      <c r="XH162" s="456"/>
      <c r="XI162" s="456"/>
      <c r="XJ162" s="456"/>
      <c r="XK162" s="456"/>
      <c r="XL162" s="456"/>
      <c r="XM162" s="456"/>
      <c r="XN162" s="456"/>
      <c r="XO162" s="456"/>
      <c r="XP162" s="456"/>
      <c r="XQ162" s="456"/>
      <c r="XR162" s="456"/>
      <c r="XS162" s="456"/>
      <c r="XT162" s="456"/>
      <c r="XU162" s="456"/>
      <c r="XV162" s="456"/>
      <c r="XW162" s="456"/>
      <c r="XX162" s="456"/>
      <c r="XY162" s="456"/>
      <c r="XZ162" s="456"/>
      <c r="YA162" s="456"/>
      <c r="YB162" s="456"/>
      <c r="YC162" s="456"/>
      <c r="YD162" s="456"/>
      <c r="YE162" s="456"/>
      <c r="YF162" s="456"/>
      <c r="YG162" s="456"/>
      <c r="YH162" s="456"/>
      <c r="YI162" s="456"/>
      <c r="YJ162" s="456"/>
      <c r="YK162" s="456"/>
      <c r="YL162" s="456"/>
      <c r="YM162" s="456"/>
      <c r="YN162" s="456"/>
      <c r="YO162" s="456"/>
      <c r="YP162" s="456"/>
      <c r="YQ162" s="456"/>
      <c r="YR162" s="456"/>
      <c r="YS162" s="456"/>
      <c r="YT162" s="456"/>
      <c r="YU162" s="456"/>
      <c r="YV162" s="456"/>
      <c r="YW162" s="456"/>
      <c r="YX162" s="456"/>
      <c r="YY162" s="456"/>
      <c r="YZ162" s="456"/>
      <c r="ZA162" s="456"/>
      <c r="ZB162" s="456"/>
      <c r="ZC162" s="456"/>
      <c r="ZD162" s="456"/>
      <c r="ZE162" s="456"/>
      <c r="ZF162" s="456"/>
      <c r="ZG162" s="456"/>
      <c r="ZH162" s="456"/>
      <c r="ZI162" s="456"/>
      <c r="ZJ162" s="456"/>
      <c r="ZK162" s="456"/>
      <c r="ZL162" s="456"/>
      <c r="ZM162" s="456"/>
      <c r="ZN162" s="456"/>
      <c r="ZO162" s="456"/>
      <c r="ZP162" s="456"/>
      <c r="ZQ162" s="456"/>
      <c r="ZR162" s="456"/>
      <c r="ZS162" s="456"/>
      <c r="ZT162" s="456"/>
      <c r="ZU162" s="456"/>
      <c r="ZV162" s="456"/>
      <c r="ZW162" s="456"/>
      <c r="ZX162" s="456"/>
      <c r="ZY162" s="456"/>
      <c r="ZZ162" s="456"/>
      <c r="AAA162" s="456"/>
      <c r="AAB162" s="456"/>
      <c r="AAC162" s="456"/>
      <c r="AAD162" s="456"/>
      <c r="AAE162" s="456"/>
      <c r="AAF162" s="456"/>
      <c r="AAG162" s="456"/>
      <c r="AAH162" s="456"/>
      <c r="AAI162" s="456"/>
      <c r="AAJ162" s="456"/>
      <c r="AAK162" s="456"/>
      <c r="AAL162" s="456"/>
      <c r="AAM162" s="456"/>
      <c r="AAN162" s="456"/>
      <c r="AAO162" s="456"/>
      <c r="AAP162" s="456"/>
      <c r="AAQ162" s="456"/>
      <c r="AAR162" s="456"/>
      <c r="AAS162" s="456"/>
      <c r="AAT162" s="456"/>
      <c r="AAU162" s="456"/>
      <c r="AAV162" s="456"/>
      <c r="AAW162" s="456"/>
      <c r="AAX162" s="456"/>
      <c r="AAY162" s="456"/>
      <c r="AAZ162" s="456"/>
      <c r="ABA162" s="456"/>
      <c r="ABB162" s="456"/>
      <c r="ABC162" s="456"/>
      <c r="ABD162" s="456"/>
      <c r="ABE162" s="456"/>
      <c r="ABF162" s="456"/>
      <c r="ABG162" s="456"/>
      <c r="ABH162" s="456"/>
      <c r="ABI162" s="456"/>
      <c r="ABJ162" s="456"/>
      <c r="ABK162" s="456"/>
      <c r="ABL162" s="456"/>
      <c r="ABM162" s="456"/>
      <c r="ABN162" s="456"/>
      <c r="ABO162" s="456"/>
      <c r="ABP162" s="456"/>
      <c r="ABQ162" s="456"/>
      <c r="ABR162" s="456"/>
      <c r="ABS162" s="456"/>
      <c r="ABT162" s="456"/>
      <c r="ABU162" s="456"/>
      <c r="ABV162" s="456"/>
      <c r="ABW162" s="456"/>
      <c r="ABX162" s="456"/>
      <c r="ABY162" s="456"/>
      <c r="ABZ162" s="456"/>
      <c r="ACA162" s="456"/>
      <c r="ACB162" s="456"/>
      <c r="ACC162" s="456"/>
      <c r="ACD162" s="456"/>
      <c r="ACE162" s="456"/>
      <c r="ACF162" s="456"/>
      <c r="ACG162" s="456"/>
      <c r="ACH162" s="456"/>
      <c r="ACI162" s="456"/>
      <c r="ACJ162" s="456"/>
      <c r="ACK162" s="456"/>
      <c r="ACL162" s="456"/>
      <c r="ACM162" s="456"/>
      <c r="ACN162" s="456"/>
      <c r="ACO162" s="456"/>
      <c r="ACP162" s="456"/>
      <c r="ACQ162" s="456"/>
      <c r="ACR162" s="456"/>
      <c r="ACS162" s="456"/>
      <c r="ACT162" s="456"/>
      <c r="ACU162" s="456"/>
      <c r="ACV162" s="456"/>
      <c r="ACW162" s="456"/>
      <c r="ACX162" s="456"/>
      <c r="ACY162" s="456"/>
      <c r="ACZ162" s="456"/>
      <c r="ADA162" s="456"/>
      <c r="ADB162" s="456"/>
      <c r="ADC162" s="456"/>
      <c r="ADD162" s="456"/>
      <c r="ADE162" s="456"/>
      <c r="ADF162" s="456"/>
      <c r="ADG162" s="456"/>
      <c r="ADH162" s="456"/>
      <c r="ADI162" s="456"/>
      <c r="ADJ162" s="456"/>
      <c r="ADK162" s="456"/>
      <c r="ADL162" s="456"/>
      <c r="ADM162" s="456"/>
      <c r="ADN162" s="456"/>
      <c r="ADO162" s="456"/>
      <c r="ADP162" s="456"/>
      <c r="ADQ162" s="456"/>
      <c r="ADR162" s="456"/>
      <c r="ADS162" s="456"/>
      <c r="ADT162" s="456"/>
      <c r="ADU162" s="456"/>
      <c r="ADV162" s="456"/>
      <c r="ADW162" s="456"/>
      <c r="ADX162" s="456"/>
      <c r="ADY162" s="456"/>
      <c r="ADZ162" s="456"/>
      <c r="AEA162" s="456"/>
      <c r="AEB162" s="456"/>
      <c r="AEC162" s="456"/>
      <c r="AED162" s="456"/>
      <c r="AEE162" s="456"/>
      <c r="AEF162" s="456"/>
      <c r="AEG162" s="456"/>
      <c r="AEH162" s="456"/>
      <c r="AEI162" s="456"/>
      <c r="AEJ162" s="456"/>
      <c r="AEK162" s="456"/>
      <c r="AEL162" s="456"/>
      <c r="AEM162" s="456"/>
      <c r="AEN162" s="456"/>
      <c r="AEO162" s="456"/>
      <c r="AEP162" s="456"/>
      <c r="AEQ162" s="456"/>
      <c r="AER162" s="456"/>
      <c r="AES162" s="456"/>
      <c r="AET162" s="456"/>
      <c r="AEU162" s="456"/>
      <c r="AEV162" s="456"/>
      <c r="AEW162" s="456"/>
      <c r="AEX162" s="456"/>
      <c r="AEY162" s="456"/>
      <c r="AEZ162" s="456"/>
      <c r="AFA162" s="456"/>
      <c r="AFB162" s="456"/>
      <c r="AFC162" s="456"/>
      <c r="AFD162" s="456"/>
      <c r="AFE162" s="456"/>
      <c r="AFF162" s="456"/>
      <c r="AFG162" s="456"/>
      <c r="AFH162" s="456"/>
      <c r="AFI162" s="456"/>
      <c r="AFJ162" s="456"/>
      <c r="AFK162" s="456"/>
      <c r="AFL162" s="456"/>
      <c r="AFM162" s="456"/>
      <c r="AFN162" s="456"/>
      <c r="AFO162" s="456"/>
      <c r="AFP162" s="456"/>
      <c r="AFQ162" s="456"/>
      <c r="AFR162" s="456"/>
      <c r="AFS162" s="456"/>
      <c r="AFT162" s="456"/>
      <c r="AFU162" s="456"/>
      <c r="AFV162" s="456"/>
      <c r="AFW162" s="456"/>
      <c r="AFX162" s="456"/>
      <c r="AFY162" s="456"/>
      <c r="AFZ162" s="456"/>
      <c r="AGA162" s="456"/>
      <c r="AGB162" s="456"/>
      <c r="AGC162" s="456"/>
      <c r="AGD162" s="456"/>
      <c r="AGE162" s="456"/>
      <c r="AGF162" s="456"/>
      <c r="AGG162" s="456"/>
      <c r="AGH162" s="456"/>
      <c r="AGI162" s="456"/>
      <c r="AGJ162" s="456"/>
      <c r="AGK162" s="456"/>
      <c r="AGL162" s="456"/>
      <c r="AGM162" s="456"/>
      <c r="AGN162" s="456"/>
      <c r="AGO162" s="456"/>
      <c r="AGP162" s="456"/>
      <c r="AGQ162" s="456"/>
      <c r="AGR162" s="456"/>
      <c r="AGS162" s="456"/>
      <c r="AGT162" s="456"/>
      <c r="AGU162" s="456"/>
      <c r="AGV162" s="456"/>
      <c r="AGW162" s="456"/>
      <c r="AGX162" s="456"/>
      <c r="AGY162" s="456"/>
      <c r="AGZ162" s="456"/>
      <c r="AHA162" s="456"/>
      <c r="AHB162" s="456"/>
      <c r="AHC162" s="456"/>
      <c r="AHD162" s="456"/>
      <c r="AHE162" s="456"/>
      <c r="AHF162" s="456"/>
      <c r="AHG162" s="456"/>
      <c r="AHH162" s="456"/>
      <c r="AHI162" s="456"/>
      <c r="AHJ162" s="456"/>
      <c r="AHK162" s="456"/>
      <c r="AHL162" s="456"/>
      <c r="AHM162" s="456"/>
      <c r="AHN162" s="456"/>
      <c r="AHO162" s="456"/>
      <c r="AHP162" s="456"/>
      <c r="AHQ162" s="456"/>
      <c r="AHR162" s="456"/>
      <c r="AHS162" s="456"/>
      <c r="AHT162" s="456"/>
      <c r="AHU162" s="456"/>
      <c r="AHV162" s="456"/>
      <c r="AHW162" s="456"/>
      <c r="AHX162" s="456"/>
      <c r="AHY162" s="456"/>
      <c r="AHZ162" s="456"/>
      <c r="AIA162" s="456"/>
      <c r="AIB162" s="456"/>
      <c r="AIC162" s="456"/>
      <c r="AID162" s="456"/>
      <c r="AIE162" s="456"/>
      <c r="AIF162" s="456"/>
      <c r="AIG162" s="456"/>
      <c r="AIH162" s="456"/>
      <c r="AII162" s="456"/>
      <c r="AIJ162" s="456"/>
      <c r="AIK162" s="456"/>
      <c r="AIL162" s="456"/>
      <c r="AIM162" s="456"/>
      <c r="AIN162" s="456"/>
      <c r="AIO162" s="456"/>
      <c r="AIP162" s="456"/>
      <c r="AIQ162" s="456"/>
      <c r="AIR162" s="456"/>
      <c r="AIS162" s="456"/>
      <c r="AIT162" s="456"/>
      <c r="AIU162" s="456"/>
      <c r="AIV162" s="456"/>
      <c r="AIW162" s="456"/>
      <c r="AIX162" s="456"/>
      <c r="AIY162" s="456"/>
      <c r="AIZ162" s="456"/>
      <c r="AJA162" s="456"/>
      <c r="AJB162" s="456"/>
      <c r="AJC162" s="456"/>
      <c r="AJD162" s="456"/>
      <c r="AJE162" s="456"/>
      <c r="AJF162" s="456"/>
      <c r="AJG162" s="456"/>
      <c r="AJH162" s="456"/>
      <c r="AJI162" s="456"/>
      <c r="AJJ162" s="456"/>
      <c r="AJK162" s="456"/>
      <c r="AJL162" s="456"/>
      <c r="AJM162" s="456"/>
      <c r="AJN162" s="456"/>
      <c r="AJO162" s="456"/>
      <c r="AJP162" s="456"/>
      <c r="AJQ162" s="456"/>
      <c r="AJR162" s="456"/>
      <c r="AJS162" s="456"/>
      <c r="AJT162" s="456"/>
      <c r="AJU162" s="456"/>
      <c r="AJV162" s="456"/>
      <c r="AJW162" s="456"/>
      <c r="AJX162" s="456"/>
      <c r="AJY162" s="456"/>
      <c r="AJZ162" s="456"/>
      <c r="AKA162" s="456"/>
      <c r="AKB162" s="456"/>
      <c r="AKC162" s="456"/>
      <c r="AKD162" s="456"/>
      <c r="AKE162" s="456"/>
      <c r="AKF162" s="456"/>
      <c r="AKG162" s="456"/>
      <c r="AKH162" s="456"/>
      <c r="AKI162" s="456"/>
      <c r="AKJ162" s="456"/>
      <c r="AKK162" s="456"/>
      <c r="AKL162" s="456"/>
      <c r="AKM162" s="456"/>
      <c r="AKN162" s="456"/>
      <c r="AKO162" s="456"/>
      <c r="AKP162" s="456"/>
      <c r="AKQ162" s="456"/>
      <c r="AKR162" s="456"/>
      <c r="AKS162" s="456"/>
      <c r="AKT162" s="456"/>
      <c r="AKU162" s="456"/>
      <c r="AKV162" s="456"/>
      <c r="AKW162" s="456"/>
      <c r="AKX162" s="456"/>
      <c r="AKY162" s="456"/>
      <c r="AKZ162" s="456"/>
      <c r="ALA162" s="456"/>
      <c r="ALB162" s="456"/>
      <c r="ALC162" s="456"/>
      <c r="ALD162" s="456"/>
      <c r="ALE162" s="456"/>
      <c r="ALF162" s="456"/>
      <c r="ALG162" s="456"/>
      <c r="ALH162" s="456"/>
      <c r="ALI162" s="456"/>
      <c r="ALJ162" s="456"/>
      <c r="ALK162" s="456"/>
      <c r="ALL162" s="456"/>
      <c r="ALM162" s="456"/>
      <c r="ALN162" s="456"/>
      <c r="ALO162" s="456"/>
      <c r="ALP162" s="456"/>
      <c r="ALQ162" s="456"/>
      <c r="ALR162" s="456"/>
      <c r="ALS162" s="456"/>
      <c r="ALT162" s="456"/>
      <c r="ALU162" s="456"/>
      <c r="ALV162" s="456"/>
      <c r="ALW162" s="456"/>
      <c r="ALX162" s="456"/>
      <c r="ALY162" s="456"/>
      <c r="ALZ162" s="456"/>
      <c r="AMA162" s="456"/>
      <c r="AMB162" s="456"/>
      <c r="AMC162" s="456"/>
      <c r="AMD162" s="456"/>
      <c r="AME162" s="456"/>
      <c r="AMF162" s="456"/>
      <c r="AMG162" s="456"/>
      <c r="AMH162" s="456"/>
      <c r="AMI162" s="456"/>
      <c r="AMJ162" s="456"/>
      <c r="AMK162" s="456"/>
      <c r="AML162" s="456"/>
      <c r="AMM162" s="456"/>
      <c r="AMN162" s="456"/>
      <c r="AMO162" s="456"/>
      <c r="AMP162" s="456"/>
      <c r="AMQ162" s="456"/>
      <c r="AMR162" s="456"/>
      <c r="AMS162" s="456"/>
      <c r="AMT162" s="456"/>
      <c r="AMU162" s="456"/>
      <c r="AMV162" s="456"/>
      <c r="AMW162" s="456"/>
      <c r="AMX162" s="456"/>
      <c r="AMY162" s="456"/>
      <c r="AMZ162" s="456"/>
      <c r="ANA162" s="456"/>
      <c r="ANB162" s="456"/>
      <c r="ANC162" s="456"/>
      <c r="AND162" s="456"/>
      <c r="ANE162" s="456"/>
      <c r="ANF162" s="456"/>
      <c r="ANG162" s="456"/>
      <c r="ANH162" s="456"/>
      <c r="ANI162" s="456"/>
      <c r="ANJ162" s="456"/>
      <c r="ANK162" s="456"/>
      <c r="ANL162" s="456"/>
      <c r="ANM162" s="456"/>
      <c r="ANN162" s="456"/>
      <c r="ANO162" s="456"/>
      <c r="ANP162" s="456"/>
      <c r="ANQ162" s="456"/>
      <c r="ANR162" s="456"/>
      <c r="ANS162" s="456"/>
      <c r="ANT162" s="456"/>
      <c r="ANU162" s="456"/>
      <c r="ANV162" s="456"/>
      <c r="ANW162" s="456"/>
      <c r="ANX162" s="456"/>
      <c r="ANY162" s="456"/>
      <c r="ANZ162" s="456"/>
      <c r="AOA162" s="456"/>
      <c r="AOB162" s="456"/>
      <c r="AOC162" s="456"/>
      <c r="AOD162" s="456"/>
      <c r="AOE162" s="456"/>
      <c r="AOF162" s="456"/>
      <c r="AOG162" s="456"/>
      <c r="AOH162" s="456"/>
      <c r="AOI162" s="456"/>
      <c r="AOJ162" s="456"/>
      <c r="AOK162" s="456"/>
      <c r="AOL162" s="456"/>
      <c r="AOM162" s="456"/>
      <c r="AON162" s="456"/>
      <c r="AOO162" s="456"/>
      <c r="AOP162" s="456"/>
      <c r="AOQ162" s="456"/>
      <c r="AOR162" s="456"/>
      <c r="AOS162" s="456"/>
      <c r="AOT162" s="456"/>
      <c r="AOU162" s="456"/>
      <c r="AOV162" s="456"/>
      <c r="AOW162" s="456"/>
      <c r="AOX162" s="456"/>
      <c r="AOY162" s="456"/>
      <c r="AOZ162" s="456"/>
      <c r="APA162" s="456"/>
      <c r="APB162" s="456"/>
      <c r="APC162" s="456"/>
      <c r="APD162" s="456"/>
      <c r="APE162" s="456"/>
      <c r="APF162" s="456"/>
      <c r="APG162" s="456"/>
      <c r="APH162" s="456"/>
      <c r="API162" s="456"/>
      <c r="APJ162" s="456"/>
      <c r="APK162" s="456"/>
      <c r="APL162" s="456"/>
      <c r="APM162" s="456"/>
      <c r="APN162" s="456"/>
      <c r="APO162" s="456"/>
      <c r="APP162" s="456"/>
      <c r="APQ162" s="456"/>
      <c r="APR162" s="456"/>
      <c r="APS162" s="456"/>
      <c r="APT162" s="456"/>
      <c r="APU162" s="456"/>
      <c r="APV162" s="456"/>
      <c r="APW162" s="456"/>
      <c r="APX162" s="456"/>
      <c r="APY162" s="456"/>
      <c r="APZ162" s="456"/>
      <c r="AQA162" s="456"/>
      <c r="AQB162" s="456"/>
      <c r="AQC162" s="456"/>
      <c r="AQD162" s="456"/>
      <c r="AQE162" s="456"/>
      <c r="AQF162" s="456"/>
      <c r="AQG162" s="456"/>
      <c r="AQH162" s="456"/>
      <c r="AQI162" s="456"/>
      <c r="AQJ162" s="456"/>
      <c r="AQK162" s="456"/>
      <c r="AQL162" s="456"/>
      <c r="AQM162" s="456"/>
      <c r="AQN162" s="456"/>
      <c r="AQO162" s="456"/>
      <c r="AQP162" s="456"/>
      <c r="AQQ162" s="456"/>
      <c r="AQR162" s="456"/>
      <c r="AQS162" s="456"/>
      <c r="AQT162" s="456"/>
      <c r="AQU162" s="456"/>
      <c r="AQV162" s="456"/>
      <c r="AQW162" s="456"/>
      <c r="AQX162" s="456"/>
      <c r="AQY162" s="456"/>
      <c r="AQZ162" s="456"/>
      <c r="ARA162" s="456"/>
      <c r="ARB162" s="456"/>
      <c r="ARC162" s="456"/>
      <c r="ARD162" s="456"/>
      <c r="ARE162" s="456"/>
      <c r="ARF162" s="456"/>
      <c r="ARG162" s="456"/>
      <c r="ARH162" s="456"/>
      <c r="ARI162" s="456"/>
      <c r="ARJ162" s="456"/>
      <c r="ARK162" s="456"/>
      <c r="ARL162" s="456"/>
      <c r="ARM162" s="456"/>
      <c r="ARN162" s="456"/>
      <c r="ARO162" s="456"/>
      <c r="ARP162" s="456"/>
      <c r="ARQ162" s="456"/>
      <c r="ARR162" s="456"/>
      <c r="ARS162" s="456"/>
      <c r="ART162" s="456"/>
      <c r="ARU162" s="456"/>
      <c r="ARV162" s="456"/>
      <c r="ARW162" s="456"/>
      <c r="ARX162" s="456"/>
      <c r="ARY162" s="456"/>
      <c r="ARZ162" s="456"/>
      <c r="ASA162" s="456"/>
      <c r="ASB162" s="456"/>
      <c r="ASC162" s="456"/>
      <c r="ASD162" s="456"/>
      <c r="ASE162" s="456"/>
      <c r="ASF162" s="456"/>
      <c r="ASG162" s="456"/>
      <c r="ASH162" s="456"/>
      <c r="ASI162" s="456"/>
      <c r="ASJ162" s="456"/>
      <c r="ASK162" s="456"/>
      <c r="ASL162" s="456"/>
      <c r="ASM162" s="456"/>
      <c r="ASN162" s="456"/>
      <c r="ASO162" s="456"/>
      <c r="ASP162" s="456"/>
      <c r="ASQ162" s="456"/>
      <c r="ASR162" s="456"/>
      <c r="ASS162" s="456"/>
      <c r="AST162" s="456"/>
      <c r="ASU162" s="456"/>
      <c r="ASV162" s="456"/>
      <c r="ASW162" s="456"/>
      <c r="ASX162" s="456"/>
      <c r="ASY162" s="456"/>
      <c r="ASZ162" s="456"/>
      <c r="ATA162" s="456"/>
      <c r="ATB162" s="456"/>
      <c r="ATC162" s="456"/>
      <c r="ATD162" s="456"/>
      <c r="ATE162" s="456"/>
      <c r="ATF162" s="456"/>
      <c r="ATG162" s="456"/>
      <c r="ATH162" s="456"/>
      <c r="ATI162" s="456"/>
      <c r="ATJ162" s="456"/>
      <c r="ATK162" s="456"/>
      <c r="ATL162" s="456"/>
      <c r="ATM162" s="456"/>
      <c r="ATN162" s="456"/>
      <c r="ATO162" s="456"/>
      <c r="ATP162" s="456"/>
      <c r="ATQ162" s="456"/>
      <c r="ATR162" s="456"/>
      <c r="ATS162" s="456"/>
      <c r="ATT162" s="456"/>
      <c r="ATU162" s="456"/>
      <c r="ATV162" s="456"/>
      <c r="ATW162" s="456"/>
      <c r="ATX162" s="456"/>
      <c r="ATY162" s="456"/>
      <c r="ATZ162" s="456"/>
      <c r="AUA162" s="456"/>
      <c r="AUB162" s="456"/>
      <c r="AUC162" s="456"/>
      <c r="AUD162" s="456"/>
      <c r="AUE162" s="456"/>
      <c r="AUF162" s="456"/>
      <c r="AUG162" s="456"/>
      <c r="AUH162" s="456"/>
      <c r="AUI162" s="456"/>
      <c r="AUJ162" s="456"/>
      <c r="AUK162" s="456"/>
      <c r="AUL162" s="456"/>
      <c r="AUM162" s="456"/>
      <c r="AUN162" s="456"/>
      <c r="AUO162" s="456"/>
      <c r="AUP162" s="456"/>
      <c r="AUQ162" s="456"/>
      <c r="AUR162" s="456"/>
      <c r="AUS162" s="456"/>
      <c r="AUT162" s="456"/>
      <c r="AUU162" s="456"/>
      <c r="AUV162" s="456"/>
      <c r="AUW162" s="456"/>
      <c r="AUX162" s="456"/>
      <c r="AUY162" s="456"/>
      <c r="AUZ162" s="456"/>
      <c r="AVA162" s="456"/>
      <c r="AVB162" s="456"/>
      <c r="AVC162" s="456"/>
      <c r="AVD162" s="456"/>
      <c r="AVE162" s="456"/>
      <c r="AVF162" s="456"/>
      <c r="AVG162" s="456"/>
      <c r="AVH162" s="456"/>
      <c r="AVI162" s="456"/>
      <c r="AVJ162" s="456"/>
      <c r="AVK162" s="456"/>
      <c r="AVL162" s="456"/>
      <c r="AVM162" s="456"/>
      <c r="AVN162" s="456"/>
      <c r="AVO162" s="456"/>
      <c r="AVP162" s="456"/>
      <c r="AVQ162" s="456"/>
      <c r="AVR162" s="456"/>
      <c r="AVS162" s="456"/>
      <c r="AVT162" s="456"/>
      <c r="AVU162" s="456"/>
      <c r="AVV162" s="456"/>
      <c r="AVW162" s="456"/>
      <c r="AVX162" s="456"/>
      <c r="AVY162" s="456"/>
      <c r="AVZ162" s="456"/>
      <c r="AWA162" s="456"/>
      <c r="AWB162" s="456"/>
      <c r="AWC162" s="456"/>
      <c r="AWD162" s="456"/>
      <c r="AWE162" s="456"/>
      <c r="AWF162" s="456"/>
      <c r="AWG162" s="456"/>
      <c r="AWH162" s="456"/>
      <c r="AWI162" s="456"/>
      <c r="AWJ162" s="456"/>
      <c r="AWK162" s="456"/>
      <c r="AWL162" s="456"/>
      <c r="AWM162" s="456"/>
      <c r="AWN162" s="456"/>
      <c r="AWO162" s="456"/>
      <c r="AWP162" s="456"/>
      <c r="AWQ162" s="456"/>
      <c r="AWR162" s="456"/>
      <c r="AWS162" s="456"/>
      <c r="AWT162" s="456"/>
      <c r="AWU162" s="456"/>
      <c r="AWV162" s="456"/>
      <c r="AWW162" s="456"/>
      <c r="AWX162" s="456"/>
      <c r="AWY162" s="456"/>
      <c r="AWZ162" s="456"/>
      <c r="AXA162" s="456"/>
      <c r="AXB162" s="456"/>
      <c r="AXC162" s="456"/>
      <c r="AXD162" s="456"/>
      <c r="AXE162" s="456"/>
      <c r="AXF162" s="456"/>
      <c r="AXG162" s="456"/>
      <c r="AXH162" s="456"/>
      <c r="AXI162" s="456"/>
      <c r="AXJ162" s="456"/>
      <c r="AXK162" s="456"/>
      <c r="AXL162" s="456"/>
      <c r="AXM162" s="456"/>
      <c r="AXN162" s="456"/>
      <c r="AXO162" s="456"/>
      <c r="AXP162" s="456"/>
      <c r="AXQ162" s="456"/>
      <c r="AXR162" s="456"/>
      <c r="AXS162" s="456"/>
      <c r="AXT162" s="456"/>
      <c r="AXU162" s="456"/>
      <c r="AXV162" s="456"/>
      <c r="AXW162" s="456"/>
      <c r="AXX162" s="456"/>
      <c r="AXY162" s="456"/>
      <c r="AXZ162" s="456"/>
      <c r="AYA162" s="456"/>
      <c r="AYB162" s="456"/>
      <c r="AYC162" s="456"/>
      <c r="AYD162" s="456"/>
      <c r="AYE162" s="456"/>
      <c r="AYF162" s="456"/>
      <c r="AYG162" s="456"/>
      <c r="AYH162" s="456"/>
      <c r="AYI162" s="456"/>
      <c r="AYJ162" s="456"/>
      <c r="AYK162" s="456"/>
      <c r="AYL162" s="456"/>
      <c r="AYM162" s="456"/>
      <c r="AYN162" s="456"/>
      <c r="AYO162" s="456"/>
      <c r="AYP162" s="456"/>
      <c r="AYQ162" s="456"/>
      <c r="AYR162" s="456"/>
      <c r="AYS162" s="456"/>
      <c r="AYT162" s="456"/>
      <c r="AYU162" s="456"/>
      <c r="AYV162" s="456"/>
      <c r="AYW162" s="456"/>
      <c r="AYX162" s="456"/>
      <c r="AYY162" s="456"/>
      <c r="AYZ162" s="456"/>
      <c r="AZA162" s="456"/>
      <c r="AZB162" s="456"/>
      <c r="AZC162" s="456"/>
      <c r="AZD162" s="456"/>
      <c r="AZE162" s="456"/>
      <c r="AZF162" s="456"/>
      <c r="AZG162" s="456"/>
      <c r="AZH162" s="456"/>
      <c r="AZI162" s="456"/>
      <c r="AZJ162" s="456"/>
      <c r="AZK162" s="456"/>
      <c r="AZL162" s="456"/>
      <c r="AZM162" s="456"/>
      <c r="AZN162" s="456"/>
      <c r="AZO162" s="456"/>
      <c r="AZP162" s="456"/>
      <c r="AZQ162" s="456"/>
      <c r="AZR162" s="456"/>
      <c r="AZS162" s="456"/>
      <c r="AZT162" s="456"/>
      <c r="AZU162" s="456"/>
      <c r="AZV162" s="456"/>
      <c r="AZW162" s="456"/>
      <c r="AZX162" s="456"/>
      <c r="AZY162" s="456"/>
      <c r="AZZ162" s="456"/>
      <c r="BAA162" s="456"/>
      <c r="BAB162" s="456"/>
      <c r="BAC162" s="456"/>
      <c r="BAD162" s="456"/>
      <c r="BAE162" s="456"/>
      <c r="BAF162" s="456"/>
      <c r="BAG162" s="456"/>
      <c r="BAH162" s="456"/>
      <c r="BAI162" s="456"/>
      <c r="BAJ162" s="456"/>
      <c r="BAK162" s="456"/>
      <c r="BAL162" s="456"/>
      <c r="BAM162" s="456"/>
      <c r="BAN162" s="456"/>
      <c r="BAO162" s="456"/>
      <c r="BAP162" s="456"/>
      <c r="BAQ162" s="456"/>
      <c r="BAR162" s="456"/>
      <c r="BAS162" s="456"/>
      <c r="BAT162" s="456"/>
      <c r="BAU162" s="456"/>
      <c r="BAV162" s="456"/>
      <c r="BAW162" s="456"/>
      <c r="BAX162" s="456"/>
      <c r="BAY162" s="456"/>
      <c r="BAZ162" s="456"/>
      <c r="BBA162" s="456"/>
      <c r="BBB162" s="456"/>
      <c r="BBC162" s="456"/>
      <c r="BBD162" s="456"/>
      <c r="BBE162" s="456"/>
      <c r="BBF162" s="456"/>
      <c r="BBG162" s="456"/>
      <c r="BBH162" s="456"/>
      <c r="BBI162" s="456"/>
      <c r="BBJ162" s="456"/>
      <c r="BBK162" s="456"/>
      <c r="BBL162" s="456"/>
      <c r="BBM162" s="456"/>
      <c r="BBN162" s="456"/>
      <c r="BBO162" s="456"/>
      <c r="BBP162" s="456"/>
      <c r="BBQ162" s="456"/>
      <c r="BBR162" s="456"/>
      <c r="BBS162" s="456"/>
      <c r="BBT162" s="456"/>
      <c r="BBU162" s="456"/>
      <c r="BBV162" s="456"/>
      <c r="BBW162" s="456"/>
      <c r="BBX162" s="456"/>
      <c r="BBY162" s="456"/>
      <c r="BBZ162" s="456"/>
      <c r="BCA162" s="456"/>
      <c r="BCB162" s="456"/>
      <c r="BCC162" s="456"/>
      <c r="BCD162" s="456"/>
      <c r="BCE162" s="456"/>
      <c r="BCF162" s="456"/>
      <c r="BCG162" s="456"/>
      <c r="BCH162" s="456"/>
      <c r="BCI162" s="456"/>
      <c r="BCJ162" s="456"/>
      <c r="BCK162" s="456"/>
      <c r="BCL162" s="456"/>
      <c r="BCM162" s="456"/>
      <c r="BCN162" s="456"/>
      <c r="BCO162" s="456"/>
      <c r="BCP162" s="456"/>
      <c r="BCQ162" s="456"/>
      <c r="BCR162" s="456"/>
      <c r="BCS162" s="456"/>
      <c r="BCT162" s="456"/>
      <c r="BCU162" s="456"/>
      <c r="BCV162" s="456"/>
      <c r="BCW162" s="456"/>
      <c r="BCX162" s="456"/>
      <c r="BCY162" s="456"/>
      <c r="BCZ162" s="456"/>
      <c r="BDA162" s="456"/>
      <c r="BDB162" s="456"/>
      <c r="BDC162" s="456"/>
      <c r="BDD162" s="456"/>
      <c r="BDE162" s="456"/>
      <c r="BDF162" s="456"/>
      <c r="BDG162" s="456"/>
      <c r="BDH162" s="456"/>
      <c r="BDI162" s="456"/>
      <c r="BDJ162" s="456"/>
      <c r="BDK162" s="456"/>
      <c r="BDL162" s="456"/>
      <c r="BDM162" s="456"/>
      <c r="BDN162" s="456"/>
      <c r="BDO162" s="456"/>
      <c r="BDP162" s="456"/>
      <c r="BDQ162" s="456"/>
      <c r="BDR162" s="456"/>
      <c r="BDS162" s="456"/>
      <c r="BDT162" s="456"/>
      <c r="BDU162" s="456"/>
      <c r="BDV162" s="456"/>
      <c r="BDW162" s="456"/>
      <c r="BDX162" s="456"/>
      <c r="BDY162" s="456"/>
      <c r="BDZ162" s="456"/>
      <c r="BEA162" s="456"/>
      <c r="BEB162" s="456"/>
      <c r="BEC162" s="456"/>
      <c r="BED162" s="456"/>
      <c r="BEE162" s="456"/>
      <c r="BEF162" s="456"/>
      <c r="BEG162" s="456"/>
      <c r="BEH162" s="456"/>
      <c r="BEI162" s="456"/>
      <c r="BEJ162" s="456"/>
      <c r="BEK162" s="456"/>
      <c r="BEL162" s="456"/>
      <c r="BEM162" s="456"/>
      <c r="BEN162" s="456"/>
      <c r="BEO162" s="456"/>
      <c r="BEP162" s="456"/>
      <c r="BEQ162" s="456"/>
      <c r="BER162" s="456"/>
      <c r="BES162" s="456"/>
      <c r="BET162" s="456"/>
      <c r="BEU162" s="456"/>
      <c r="BEV162" s="456"/>
      <c r="BEW162" s="456"/>
      <c r="BEX162" s="456"/>
      <c r="BEY162" s="456"/>
      <c r="BEZ162" s="456"/>
      <c r="BFA162" s="456"/>
      <c r="BFB162" s="456"/>
      <c r="BFC162" s="456"/>
      <c r="BFD162" s="456"/>
      <c r="BFE162" s="456"/>
      <c r="BFF162" s="456"/>
      <c r="BFG162" s="456"/>
      <c r="BFH162" s="456"/>
      <c r="BFI162" s="456"/>
      <c r="BFJ162" s="456"/>
      <c r="BFK162" s="456"/>
      <c r="BFL162" s="456"/>
      <c r="BFM162" s="456"/>
      <c r="BFN162" s="456"/>
      <c r="BFO162" s="456"/>
      <c r="BFP162" s="456"/>
      <c r="BFQ162" s="456"/>
      <c r="BFR162" s="456"/>
      <c r="BFS162" s="456"/>
      <c r="BFT162" s="456"/>
      <c r="BFU162" s="456"/>
      <c r="BFV162" s="456"/>
      <c r="BFW162" s="456"/>
      <c r="BFX162" s="456"/>
      <c r="BFY162" s="456"/>
      <c r="BFZ162" s="456"/>
      <c r="BGA162" s="456"/>
      <c r="BGB162" s="456"/>
      <c r="BGC162" s="456"/>
      <c r="BGD162" s="456"/>
      <c r="BGE162" s="456"/>
      <c r="BGF162" s="456"/>
      <c r="BGG162" s="456"/>
      <c r="BGH162" s="456"/>
      <c r="BGI162" s="456"/>
      <c r="BGJ162" s="456"/>
      <c r="BGK162" s="456"/>
      <c r="BGL162" s="456"/>
      <c r="BGM162" s="456"/>
      <c r="BGN162" s="456"/>
      <c r="BGO162" s="456"/>
      <c r="BGP162" s="456"/>
      <c r="BGQ162" s="456"/>
      <c r="BGR162" s="456"/>
      <c r="BGS162" s="456"/>
      <c r="BGT162" s="456"/>
      <c r="BGU162" s="456"/>
      <c r="BGV162" s="456"/>
      <c r="BGW162" s="456"/>
      <c r="BGX162" s="456"/>
      <c r="BGY162" s="456"/>
      <c r="BGZ162" s="456"/>
      <c r="BHA162" s="456"/>
      <c r="BHB162" s="456"/>
      <c r="BHC162" s="456"/>
      <c r="BHD162" s="456"/>
      <c r="BHE162" s="456"/>
      <c r="BHF162" s="456"/>
      <c r="BHG162" s="456"/>
      <c r="BHH162" s="456"/>
      <c r="BHI162" s="456"/>
      <c r="BHJ162" s="456"/>
      <c r="BHK162" s="456"/>
      <c r="BHL162" s="456"/>
      <c r="BHM162" s="456"/>
      <c r="BHN162" s="456"/>
      <c r="BHO162" s="456"/>
      <c r="BHP162" s="456"/>
      <c r="BHQ162" s="456"/>
      <c r="BHR162" s="456"/>
      <c r="BHS162" s="456"/>
      <c r="BHT162" s="456"/>
      <c r="BHU162" s="456"/>
      <c r="BHV162" s="456"/>
      <c r="BHW162" s="456"/>
      <c r="BHX162" s="456"/>
      <c r="BHY162" s="456"/>
      <c r="BHZ162" s="456"/>
      <c r="BIA162" s="456"/>
      <c r="BIB162" s="456"/>
      <c r="BIC162" s="456"/>
      <c r="BID162" s="456"/>
      <c r="BIE162" s="456"/>
      <c r="BIF162" s="456"/>
      <c r="BIG162" s="456"/>
      <c r="BIH162" s="456"/>
      <c r="BII162" s="456"/>
      <c r="BIJ162" s="456"/>
      <c r="BIK162" s="456"/>
      <c r="BIL162" s="456"/>
      <c r="BIM162" s="456"/>
      <c r="BIN162" s="456"/>
      <c r="BIO162" s="456"/>
      <c r="BIP162" s="456"/>
      <c r="BIQ162" s="456"/>
      <c r="BIR162" s="456"/>
      <c r="BIS162" s="456"/>
      <c r="BIT162" s="456"/>
      <c r="BIU162" s="456"/>
      <c r="BIV162" s="456"/>
      <c r="BIW162" s="456"/>
      <c r="BIX162" s="456"/>
      <c r="BIY162" s="456"/>
      <c r="BIZ162" s="456"/>
      <c r="BJA162" s="456"/>
      <c r="BJB162" s="456"/>
      <c r="BJC162" s="456"/>
      <c r="BJD162" s="456"/>
      <c r="BJE162" s="456"/>
      <c r="BJF162" s="456"/>
      <c r="BJG162" s="456"/>
      <c r="BJH162" s="456"/>
      <c r="BJI162" s="456"/>
      <c r="BJJ162" s="456"/>
      <c r="BJK162" s="456"/>
      <c r="BJL162" s="456"/>
      <c r="BJM162" s="456"/>
      <c r="BJN162" s="456"/>
      <c r="BJO162" s="456"/>
      <c r="BJP162" s="456"/>
      <c r="BJQ162" s="456"/>
      <c r="BJR162" s="456"/>
      <c r="BJS162" s="456"/>
      <c r="BJT162" s="456"/>
      <c r="BJU162" s="456"/>
      <c r="BJV162" s="456"/>
      <c r="BJW162" s="456"/>
      <c r="BJX162" s="456"/>
      <c r="BJY162" s="456"/>
      <c r="BJZ162" s="456"/>
      <c r="BKA162" s="456"/>
      <c r="BKB162" s="456"/>
      <c r="BKC162" s="456"/>
      <c r="BKD162" s="456"/>
      <c r="BKE162" s="456"/>
      <c r="BKF162" s="456"/>
      <c r="BKG162" s="456"/>
      <c r="BKH162" s="456"/>
      <c r="BKI162" s="456"/>
      <c r="BKJ162" s="456"/>
      <c r="BKK162" s="456"/>
      <c r="BKL162" s="456"/>
      <c r="BKM162" s="456"/>
      <c r="BKN162" s="456"/>
      <c r="BKO162" s="456"/>
      <c r="BKP162" s="456"/>
      <c r="BKQ162" s="456"/>
      <c r="BKR162" s="456"/>
      <c r="BKS162" s="456"/>
      <c r="BKT162" s="456"/>
      <c r="BKU162" s="456"/>
      <c r="BKV162" s="456"/>
      <c r="BKW162" s="456"/>
      <c r="BKX162" s="456"/>
      <c r="BKY162" s="456"/>
      <c r="BKZ162" s="456"/>
      <c r="BLA162" s="456"/>
      <c r="BLB162" s="456"/>
      <c r="BLC162" s="456"/>
      <c r="BLD162" s="456"/>
      <c r="BLE162" s="456"/>
      <c r="BLF162" s="456"/>
      <c r="BLG162" s="456"/>
      <c r="BLH162" s="456"/>
      <c r="BLI162" s="456"/>
      <c r="BLJ162" s="456"/>
      <c r="BLK162" s="456"/>
      <c r="BLL162" s="456"/>
      <c r="BLM162" s="456"/>
      <c r="BLN162" s="456"/>
      <c r="BLO162" s="456"/>
      <c r="BLP162" s="456"/>
      <c r="BLQ162" s="456"/>
      <c r="BLR162" s="456"/>
      <c r="BLS162" s="456"/>
      <c r="BLT162" s="456"/>
      <c r="BLU162" s="456"/>
      <c r="BLV162" s="456"/>
      <c r="BLW162" s="456"/>
      <c r="BLX162" s="456"/>
      <c r="BLY162" s="456"/>
      <c r="BLZ162" s="456"/>
      <c r="BMA162" s="456"/>
      <c r="BMB162" s="456"/>
      <c r="BMC162" s="456"/>
      <c r="BMD162" s="456"/>
      <c r="BME162" s="456"/>
      <c r="BMF162" s="456"/>
      <c r="BMG162" s="456"/>
      <c r="BMH162" s="456"/>
      <c r="BMI162" s="456"/>
      <c r="BMJ162" s="456"/>
      <c r="BMK162" s="456"/>
      <c r="BML162" s="456"/>
      <c r="BMM162" s="456"/>
      <c r="BMN162" s="456"/>
      <c r="BMO162" s="456"/>
      <c r="BMP162" s="456"/>
      <c r="BMQ162" s="456"/>
      <c r="BMR162" s="456"/>
      <c r="BMS162" s="456"/>
      <c r="BMT162" s="456"/>
      <c r="BMU162" s="456"/>
      <c r="BMV162" s="456"/>
      <c r="BMW162" s="456"/>
      <c r="BMX162" s="456"/>
      <c r="BMY162" s="456"/>
      <c r="BMZ162" s="456"/>
      <c r="BNA162" s="456"/>
      <c r="BNB162" s="456"/>
      <c r="BNC162" s="456"/>
      <c r="BND162" s="456"/>
      <c r="BNE162" s="456"/>
      <c r="BNF162" s="456"/>
      <c r="BNG162" s="456"/>
      <c r="BNH162" s="456"/>
      <c r="BNI162" s="456"/>
      <c r="BNJ162" s="456"/>
      <c r="BNK162" s="456"/>
      <c r="BNL162" s="456"/>
      <c r="BNM162" s="456"/>
      <c r="BNN162" s="456"/>
      <c r="BNO162" s="456"/>
      <c r="BNP162" s="456"/>
      <c r="BNQ162" s="456"/>
      <c r="BNR162" s="456"/>
      <c r="BNS162" s="456"/>
      <c r="BNT162" s="456"/>
      <c r="BNU162" s="456"/>
      <c r="BNV162" s="456"/>
      <c r="BNW162" s="456"/>
      <c r="BNX162" s="456"/>
      <c r="BNY162" s="456"/>
      <c r="BNZ162" s="456"/>
      <c r="BOA162" s="456"/>
      <c r="BOB162" s="456"/>
      <c r="BOC162" s="456"/>
      <c r="BOD162" s="456"/>
      <c r="BOE162" s="456"/>
      <c r="BOF162" s="456"/>
      <c r="BOG162" s="456"/>
      <c r="BOH162" s="456"/>
      <c r="BOI162" s="456"/>
      <c r="BOJ162" s="456"/>
      <c r="BOK162" s="456"/>
      <c r="BOL162" s="456"/>
      <c r="BOM162" s="456"/>
      <c r="BON162" s="456"/>
      <c r="BOO162" s="456"/>
      <c r="BOP162" s="456"/>
      <c r="BOQ162" s="456"/>
      <c r="BOR162" s="456"/>
      <c r="BOS162" s="456"/>
      <c r="BOT162" s="456"/>
      <c r="BOU162" s="456"/>
      <c r="BOV162" s="456"/>
      <c r="BOW162" s="456"/>
      <c r="BOX162" s="456"/>
      <c r="BOY162" s="456"/>
      <c r="BOZ162" s="456"/>
      <c r="BPA162" s="456"/>
      <c r="BPB162" s="456"/>
      <c r="BPC162" s="456"/>
      <c r="BPD162" s="456"/>
      <c r="BPE162" s="456"/>
      <c r="BPF162" s="456"/>
      <c r="BPG162" s="456"/>
      <c r="BPH162" s="456"/>
      <c r="BPI162" s="456"/>
      <c r="BPJ162" s="456"/>
      <c r="BPK162" s="456"/>
      <c r="BPL162" s="456"/>
      <c r="BPM162" s="456"/>
      <c r="BPN162" s="456"/>
      <c r="BPO162" s="456"/>
      <c r="BPP162" s="456"/>
      <c r="BPQ162" s="456"/>
      <c r="BPR162" s="456"/>
      <c r="BPS162" s="456"/>
      <c r="BPT162" s="456"/>
      <c r="BPU162" s="456"/>
      <c r="BPV162" s="456"/>
      <c r="BPW162" s="456"/>
      <c r="BPX162" s="456"/>
      <c r="BPY162" s="456"/>
      <c r="BPZ162" s="456"/>
      <c r="BQA162" s="456"/>
      <c r="BQB162" s="456"/>
      <c r="BQC162" s="456"/>
      <c r="BQD162" s="456"/>
      <c r="BQE162" s="456"/>
      <c r="BQF162" s="456"/>
      <c r="BQG162" s="456"/>
      <c r="BQH162" s="456"/>
      <c r="BQI162" s="456"/>
      <c r="BQJ162" s="456"/>
      <c r="BQK162" s="456"/>
      <c r="BQL162" s="456"/>
      <c r="BQM162" s="456"/>
      <c r="BQN162" s="456"/>
      <c r="BQO162" s="456"/>
      <c r="BQP162" s="456"/>
      <c r="BQQ162" s="456"/>
      <c r="BQR162" s="456"/>
      <c r="BQS162" s="456"/>
      <c r="BQT162" s="456"/>
      <c r="BQU162" s="456"/>
      <c r="BQV162" s="456"/>
      <c r="BQW162" s="456"/>
      <c r="BQX162" s="456"/>
      <c r="BQY162" s="456"/>
      <c r="BQZ162" s="456"/>
      <c r="BRA162" s="456"/>
      <c r="BRB162" s="456"/>
      <c r="BRC162" s="456"/>
      <c r="BRD162" s="456"/>
      <c r="BRE162" s="456"/>
      <c r="BRF162" s="456"/>
      <c r="BRG162" s="456"/>
      <c r="BRH162" s="456"/>
      <c r="BRI162" s="456"/>
      <c r="BRJ162" s="456"/>
      <c r="BRK162" s="456"/>
      <c r="BRL162" s="456"/>
      <c r="BRM162" s="456"/>
      <c r="BRN162" s="456"/>
      <c r="BRO162" s="456"/>
      <c r="BRP162" s="456"/>
      <c r="BRQ162" s="456"/>
      <c r="BRR162" s="456"/>
      <c r="BRS162" s="456"/>
      <c r="BRT162" s="456"/>
      <c r="BRU162" s="456"/>
      <c r="BRV162" s="456"/>
      <c r="BRW162" s="456"/>
      <c r="BRX162" s="456"/>
      <c r="BRY162" s="456"/>
      <c r="BRZ162" s="456"/>
      <c r="BSA162" s="456"/>
      <c r="BSB162" s="456"/>
      <c r="BSC162" s="456"/>
      <c r="BSD162" s="456"/>
      <c r="BSE162" s="456"/>
      <c r="BSF162" s="456"/>
      <c r="BSG162" s="456"/>
      <c r="BSH162" s="456"/>
      <c r="BSI162" s="456"/>
      <c r="BSJ162" s="456"/>
      <c r="BSK162" s="456"/>
      <c r="BSL162" s="456"/>
      <c r="BSM162" s="456"/>
      <c r="BSN162" s="456"/>
      <c r="BSO162" s="456"/>
      <c r="BSP162" s="456"/>
      <c r="BSQ162" s="456"/>
      <c r="BSR162" s="456"/>
      <c r="BSS162" s="456"/>
      <c r="BST162" s="456"/>
      <c r="BSU162" s="456"/>
      <c r="BSV162" s="456"/>
      <c r="BSW162" s="456"/>
      <c r="BSX162" s="456"/>
      <c r="BSY162" s="456"/>
      <c r="BSZ162" s="456"/>
      <c r="BTA162" s="456"/>
      <c r="BTB162" s="456"/>
      <c r="BTC162" s="456"/>
      <c r="BTD162" s="456"/>
      <c r="BTE162" s="456"/>
      <c r="BTF162" s="456"/>
      <c r="BTG162" s="456"/>
      <c r="BTH162" s="456"/>
      <c r="BTI162" s="456"/>
      <c r="BTJ162" s="456"/>
      <c r="BTK162" s="456"/>
      <c r="BTL162" s="456"/>
      <c r="BTM162" s="456"/>
      <c r="BTN162" s="456"/>
      <c r="BTO162" s="456"/>
      <c r="BTP162" s="456"/>
      <c r="BTQ162" s="456"/>
      <c r="BTR162" s="456"/>
      <c r="BTS162" s="456"/>
      <c r="BTT162" s="456"/>
      <c r="BTU162" s="456"/>
      <c r="BTV162" s="456"/>
      <c r="BTW162" s="456"/>
      <c r="BTX162" s="456"/>
      <c r="BTY162" s="456"/>
      <c r="BTZ162" s="456"/>
      <c r="BUA162" s="456"/>
      <c r="BUB162" s="456"/>
      <c r="BUC162" s="456"/>
      <c r="BUD162" s="456"/>
      <c r="BUE162" s="456"/>
      <c r="BUF162" s="456"/>
      <c r="BUG162" s="456"/>
      <c r="BUH162" s="456"/>
      <c r="BUI162" s="456"/>
      <c r="BUJ162" s="456"/>
      <c r="BUK162" s="456"/>
      <c r="BUL162" s="456"/>
      <c r="BUM162" s="456"/>
      <c r="BUN162" s="456"/>
      <c r="BUO162" s="456"/>
      <c r="BUP162" s="456"/>
      <c r="BUQ162" s="456"/>
      <c r="BUR162" s="456"/>
      <c r="BUS162" s="456"/>
      <c r="BUT162" s="456"/>
      <c r="BUU162" s="456"/>
      <c r="BUV162" s="456"/>
      <c r="BUW162" s="456"/>
      <c r="BUX162" s="456"/>
      <c r="BUY162" s="456"/>
      <c r="BUZ162" s="456"/>
      <c r="BVA162" s="456"/>
      <c r="BVB162" s="456"/>
      <c r="BVC162" s="456"/>
      <c r="BVD162" s="456"/>
      <c r="BVE162" s="456"/>
      <c r="BVF162" s="456"/>
      <c r="BVG162" s="456"/>
      <c r="BVH162" s="456"/>
      <c r="BVI162" s="456"/>
      <c r="BVJ162" s="456"/>
      <c r="BVK162" s="456"/>
      <c r="BVL162" s="456"/>
      <c r="BVM162" s="456"/>
      <c r="BVN162" s="456"/>
      <c r="BVO162" s="456"/>
      <c r="BVP162" s="456"/>
      <c r="BVQ162" s="456"/>
      <c r="BVR162" s="456"/>
      <c r="BVS162" s="456"/>
      <c r="BVT162" s="456"/>
      <c r="BVU162" s="456"/>
      <c r="BVV162" s="456"/>
      <c r="BVW162" s="456"/>
      <c r="BVX162" s="456"/>
      <c r="BVY162" s="456"/>
      <c r="BVZ162" s="456"/>
      <c r="BWA162" s="456"/>
      <c r="BWB162" s="456"/>
      <c r="BWC162" s="456"/>
      <c r="BWD162" s="456"/>
      <c r="BWE162" s="456"/>
      <c r="BWF162" s="456"/>
      <c r="BWG162" s="456"/>
      <c r="BWH162" s="456"/>
      <c r="BWI162" s="456"/>
      <c r="BWJ162" s="456"/>
      <c r="BWK162" s="456"/>
      <c r="BWL162" s="456"/>
      <c r="BWM162" s="456"/>
      <c r="BWN162" s="456"/>
      <c r="BWO162" s="456"/>
      <c r="BWP162" s="456"/>
      <c r="BWQ162" s="456"/>
      <c r="BWR162" s="456"/>
      <c r="BWS162" s="456"/>
      <c r="BWT162" s="456"/>
      <c r="BWU162" s="456"/>
      <c r="BWV162" s="456"/>
      <c r="BWW162" s="456"/>
      <c r="BWX162" s="456"/>
      <c r="BWY162" s="456"/>
      <c r="BWZ162" s="456"/>
      <c r="BXA162" s="456"/>
      <c r="BXB162" s="456"/>
      <c r="BXC162" s="456"/>
      <c r="BXD162" s="456"/>
      <c r="BXE162" s="456"/>
      <c r="BXF162" s="456"/>
      <c r="BXG162" s="456"/>
      <c r="BXH162" s="456"/>
      <c r="BXI162" s="456"/>
      <c r="BXJ162" s="456"/>
      <c r="BXK162" s="456"/>
      <c r="BXL162" s="456"/>
      <c r="BXM162" s="456"/>
      <c r="BXN162" s="456"/>
      <c r="BXO162" s="456"/>
      <c r="BXP162" s="456"/>
      <c r="BXQ162" s="456"/>
      <c r="BXR162" s="456"/>
      <c r="BXS162" s="456"/>
      <c r="BXT162" s="456"/>
      <c r="BXU162" s="456"/>
      <c r="BXV162" s="456"/>
      <c r="BXW162" s="456"/>
      <c r="BXX162" s="456"/>
      <c r="BXY162" s="456"/>
      <c r="BXZ162" s="456"/>
    </row>
    <row r="163" s="25" customFormat="1" spans="1:1024 1025:2002">
      <c r="A163" s="473" t="s">
        <v>34</v>
      </c>
      <c r="B163" s="19">
        <v>1130</v>
      </c>
      <c r="C163" s="183">
        <v>46205</v>
      </c>
      <c r="D163" s="17" t="s">
        <v>52</v>
      </c>
      <c r="E163" s="17" t="s">
        <v>104</v>
      </c>
      <c r="F163" s="17" t="s">
        <v>54</v>
      </c>
      <c r="G163" s="17"/>
      <c r="H163" s="19">
        <v>1.2316</v>
      </c>
      <c r="I163" s="19" t="s">
        <v>114</v>
      </c>
      <c r="J163" s="17" t="s">
        <v>49</v>
      </c>
      <c r="K163" s="489">
        <v>1050</v>
      </c>
      <c r="L163" s="489">
        <v>60</v>
      </c>
      <c r="M163" s="489">
        <v>2200</v>
      </c>
      <c r="N163" s="19" t="s">
        <v>66</v>
      </c>
      <c r="O163" s="19" t="s">
        <v>67</v>
      </c>
      <c r="P163" s="490">
        <v>989.1</v>
      </c>
      <c r="Q163" s="19">
        <v>1085</v>
      </c>
      <c r="R163" s="99">
        <f t="shared" si="9"/>
        <v>-95.9000000000001</v>
      </c>
      <c r="S163" s="19">
        <f t="shared" si="11"/>
        <v>2870</v>
      </c>
      <c r="T163" s="19" t="s">
        <v>42</v>
      </c>
      <c r="U163" s="102" t="s">
        <v>115</v>
      </c>
      <c r="V163" s="186">
        <v>46208</v>
      </c>
      <c r="W163" s="17" t="s">
        <v>44</v>
      </c>
      <c r="X163" s="17"/>
      <c r="Y163" s="68">
        <v>46235</v>
      </c>
      <c r="Z163" s="17" t="s">
        <v>45</v>
      </c>
      <c r="AA163" s="17" t="s">
        <v>46</v>
      </c>
      <c r="AB163" s="17" t="s">
        <v>116</v>
      </c>
      <c r="AC163" s="217">
        <v>46241</v>
      </c>
      <c r="AD163" s="65">
        <v>1848</v>
      </c>
      <c r="AE163" s="17" t="s">
        <v>48</v>
      </c>
      <c r="AF163" s="17" t="s">
        <v>61</v>
      </c>
      <c r="AG163" s="17"/>
      <c r="AH163" s="456"/>
      <c r="AI163" s="456"/>
      <c r="AJ163" s="456"/>
      <c r="AK163" s="456"/>
      <c r="AL163" s="456"/>
      <c r="AM163" s="456"/>
      <c r="AN163" s="456"/>
      <c r="AO163" s="456"/>
      <c r="AP163" s="456"/>
      <c r="AQ163" s="456"/>
      <c r="AR163" s="456"/>
      <c r="AS163" s="456"/>
      <c r="AT163" s="456"/>
      <c r="AU163" s="456"/>
      <c r="AV163" s="456"/>
      <c r="AW163" s="456"/>
      <c r="AX163" s="456"/>
      <c r="AY163" s="456"/>
      <c r="AZ163" s="456"/>
      <c r="BA163" s="456"/>
      <c r="BB163" s="456"/>
      <c r="BC163" s="456"/>
      <c r="BD163" s="456"/>
      <c r="BE163" s="456"/>
      <c r="BF163" s="456"/>
      <c r="BG163" s="456"/>
      <c r="BH163" s="456"/>
      <c r="BI163" s="456"/>
      <c r="BJ163" s="456"/>
      <c r="BK163" s="456"/>
      <c r="BL163" s="456"/>
      <c r="BM163" s="456"/>
      <c r="BN163" s="456"/>
      <c r="BO163" s="456"/>
      <c r="BP163" s="456"/>
      <c r="BQ163" s="456"/>
      <c r="BR163" s="456"/>
      <c r="BS163" s="456"/>
      <c r="BT163" s="456"/>
      <c r="BU163" s="456"/>
      <c r="BV163" s="456"/>
      <c r="BW163" s="456"/>
      <c r="BX163" s="456"/>
      <c r="BY163" s="456"/>
      <c r="BZ163" s="456"/>
      <c r="CA163" s="456"/>
      <c r="CB163" s="456"/>
      <c r="CC163" s="456"/>
      <c r="CD163" s="456"/>
      <c r="CE163" s="456"/>
      <c r="CF163" s="456"/>
      <c r="CG163" s="456"/>
      <c r="CH163" s="456"/>
      <c r="CI163" s="456"/>
      <c r="CJ163" s="456"/>
      <c r="CK163" s="456"/>
      <c r="CL163" s="456"/>
      <c r="CM163" s="456"/>
      <c r="CN163" s="456"/>
      <c r="CO163" s="456"/>
      <c r="CP163" s="456"/>
      <c r="CQ163" s="456"/>
      <c r="CR163" s="456"/>
      <c r="CS163" s="456"/>
      <c r="CT163" s="456"/>
      <c r="CU163" s="456"/>
      <c r="CV163" s="456"/>
      <c r="CW163" s="456"/>
      <c r="CX163" s="456"/>
      <c r="CY163" s="456"/>
      <c r="CZ163" s="456"/>
      <c r="DA163" s="456"/>
      <c r="DB163" s="456"/>
      <c r="DC163" s="456"/>
      <c r="DD163" s="456"/>
      <c r="DE163" s="456"/>
      <c r="DF163" s="456"/>
      <c r="DG163" s="456"/>
      <c r="DH163" s="456"/>
      <c r="DI163" s="456"/>
      <c r="DJ163" s="456"/>
      <c r="DK163" s="456"/>
      <c r="DL163" s="456"/>
      <c r="DM163" s="456"/>
      <c r="DN163" s="456"/>
      <c r="DO163" s="456"/>
      <c r="DP163" s="456"/>
      <c r="DQ163" s="456"/>
      <c r="DR163" s="456"/>
      <c r="DS163" s="456"/>
      <c r="DT163" s="456"/>
      <c r="DU163" s="456"/>
      <c r="DV163" s="456"/>
      <c r="DW163" s="456"/>
      <c r="DX163" s="456"/>
      <c r="DY163" s="456"/>
      <c r="DZ163" s="456"/>
      <c r="EA163" s="456"/>
      <c r="EB163" s="456"/>
      <c r="EC163" s="456"/>
      <c r="ED163" s="456"/>
      <c r="EE163" s="456"/>
      <c r="EF163" s="456"/>
      <c r="EG163" s="456"/>
      <c r="EH163" s="456"/>
      <c r="EI163" s="456"/>
      <c r="EJ163" s="456"/>
      <c r="EK163" s="456"/>
      <c r="EL163" s="456"/>
      <c r="EM163" s="456"/>
      <c r="EN163" s="456"/>
      <c r="EO163" s="456"/>
      <c r="EP163" s="456"/>
      <c r="EQ163" s="456"/>
      <c r="ER163" s="456"/>
      <c r="ES163" s="456"/>
      <c r="ET163" s="456"/>
      <c r="EU163" s="456"/>
      <c r="EV163" s="456"/>
      <c r="EW163" s="456"/>
      <c r="EX163" s="456"/>
      <c r="EY163" s="456"/>
      <c r="EZ163" s="456"/>
      <c r="FA163" s="456"/>
      <c r="FB163" s="456"/>
      <c r="FC163" s="456"/>
      <c r="FD163" s="456"/>
      <c r="FE163" s="456"/>
      <c r="FF163" s="456"/>
      <c r="FG163" s="456"/>
      <c r="FH163" s="456"/>
      <c r="FI163" s="456"/>
      <c r="FJ163" s="456"/>
      <c r="FK163" s="456"/>
      <c r="FL163" s="456"/>
      <c r="FM163" s="456"/>
      <c r="FN163" s="456"/>
      <c r="FO163" s="456"/>
      <c r="FP163" s="456"/>
      <c r="FQ163" s="456"/>
      <c r="FR163" s="456"/>
      <c r="FS163" s="456"/>
      <c r="FT163" s="456"/>
      <c r="FU163" s="456"/>
      <c r="FV163" s="456"/>
      <c r="FW163" s="456"/>
      <c r="FX163" s="456"/>
      <c r="FY163" s="456"/>
      <c r="FZ163" s="456"/>
      <c r="GA163" s="456"/>
      <c r="GB163" s="456"/>
      <c r="GC163" s="456"/>
      <c r="GD163" s="456"/>
      <c r="GE163" s="456"/>
      <c r="GF163" s="456"/>
      <c r="GG163" s="456"/>
      <c r="GH163" s="456"/>
      <c r="GI163" s="456"/>
      <c r="GJ163" s="456"/>
      <c r="GK163" s="456"/>
      <c r="GL163" s="456"/>
      <c r="GM163" s="456"/>
      <c r="GN163" s="456"/>
      <c r="GO163" s="456"/>
      <c r="GP163" s="456"/>
      <c r="GQ163" s="456"/>
      <c r="GR163" s="456"/>
      <c r="GS163" s="456"/>
      <c r="GT163" s="456"/>
      <c r="GU163" s="456"/>
      <c r="GV163" s="456"/>
      <c r="GW163" s="456"/>
      <c r="GX163" s="456"/>
      <c r="GY163" s="456"/>
      <c r="GZ163" s="456"/>
      <c r="HA163" s="456"/>
      <c r="HB163" s="456"/>
      <c r="HC163" s="456"/>
      <c r="HD163" s="456"/>
      <c r="HE163" s="456"/>
      <c r="HF163" s="456"/>
      <c r="HG163" s="456"/>
      <c r="HH163" s="456"/>
      <c r="HI163" s="456"/>
      <c r="HJ163" s="456"/>
      <c r="HK163" s="456"/>
      <c r="HL163" s="456"/>
      <c r="HM163" s="456"/>
      <c r="HN163" s="456"/>
      <c r="HO163" s="456"/>
      <c r="HP163" s="456"/>
      <c r="HQ163" s="456"/>
      <c r="HR163" s="456"/>
      <c r="HS163" s="456"/>
      <c r="HT163" s="456"/>
      <c r="HU163" s="456"/>
      <c r="HV163" s="456"/>
      <c r="HW163" s="456"/>
      <c r="HX163" s="456"/>
      <c r="HY163" s="456"/>
      <c r="HZ163" s="456"/>
      <c r="IA163" s="456"/>
      <c r="IB163" s="456"/>
      <c r="IC163" s="456"/>
      <c r="ID163" s="456"/>
      <c r="IE163" s="456"/>
      <c r="IF163" s="456"/>
      <c r="IG163" s="456"/>
      <c r="IH163" s="456"/>
      <c r="II163" s="456"/>
      <c r="IJ163" s="456"/>
      <c r="IK163" s="456"/>
      <c r="IL163" s="456"/>
      <c r="IM163" s="456"/>
      <c r="IN163" s="456"/>
      <c r="IO163" s="456"/>
      <c r="IP163" s="456"/>
      <c r="IQ163" s="456"/>
      <c r="IR163" s="456"/>
      <c r="IS163" s="456"/>
      <c r="IT163" s="456"/>
      <c r="IU163" s="456"/>
      <c r="IV163" s="456"/>
      <c r="IW163" s="456"/>
      <c r="IX163" s="456"/>
      <c r="IY163" s="456"/>
      <c r="IZ163" s="456"/>
      <c r="JA163" s="456"/>
      <c r="JB163" s="456"/>
      <c r="JC163" s="456"/>
      <c r="JD163" s="456"/>
      <c r="JE163" s="456"/>
      <c r="JF163" s="456"/>
      <c r="JG163" s="456"/>
      <c r="JH163" s="456"/>
      <c r="JI163" s="456"/>
      <c r="JJ163" s="456"/>
      <c r="JK163" s="456"/>
      <c r="JL163" s="456"/>
      <c r="JM163" s="456"/>
      <c r="JN163" s="456"/>
      <c r="JO163" s="456"/>
      <c r="JP163" s="456"/>
      <c r="JQ163" s="456"/>
      <c r="JR163" s="456"/>
      <c r="JS163" s="456"/>
      <c r="JT163" s="456"/>
      <c r="JU163" s="456"/>
      <c r="JV163" s="456"/>
      <c r="JW163" s="456"/>
      <c r="JX163" s="456"/>
      <c r="JY163" s="456"/>
      <c r="JZ163" s="456"/>
      <c r="KA163" s="456"/>
      <c r="KB163" s="456"/>
      <c r="KC163" s="456"/>
      <c r="KD163" s="456"/>
      <c r="KE163" s="456"/>
      <c r="KF163" s="456"/>
      <c r="KG163" s="456"/>
      <c r="KH163" s="456"/>
      <c r="KI163" s="456"/>
      <c r="KJ163" s="456"/>
      <c r="KK163" s="456"/>
      <c r="KL163" s="456"/>
      <c r="KM163" s="456"/>
      <c r="KN163" s="456"/>
      <c r="KO163" s="456"/>
      <c r="KP163" s="456"/>
      <c r="KQ163" s="456"/>
      <c r="KR163" s="456"/>
      <c r="KS163" s="456"/>
      <c r="KT163" s="456"/>
      <c r="KU163" s="456"/>
      <c r="KV163" s="456"/>
      <c r="KW163" s="456"/>
      <c r="KX163" s="456"/>
      <c r="KY163" s="456"/>
      <c r="KZ163" s="456"/>
      <c r="LA163" s="456"/>
      <c r="LB163" s="456"/>
      <c r="LC163" s="456"/>
      <c r="LD163" s="456"/>
      <c r="LE163" s="456"/>
      <c r="LF163" s="456"/>
      <c r="LG163" s="456"/>
      <c r="LH163" s="456"/>
      <c r="LI163" s="456"/>
      <c r="LJ163" s="456"/>
      <c r="LK163" s="456"/>
      <c r="LL163" s="456"/>
      <c r="LM163" s="456"/>
      <c r="LN163" s="456"/>
      <c r="LO163" s="456"/>
      <c r="LP163" s="456"/>
      <c r="LQ163" s="456"/>
      <c r="LR163" s="456"/>
      <c r="LS163" s="456"/>
      <c r="LT163" s="456"/>
      <c r="LU163" s="456"/>
      <c r="LV163" s="456"/>
      <c r="LW163" s="456"/>
      <c r="LX163" s="456"/>
      <c r="LY163" s="456"/>
      <c r="LZ163" s="456"/>
      <c r="MA163" s="456"/>
      <c r="MB163" s="456"/>
      <c r="MC163" s="456"/>
      <c r="MD163" s="456"/>
      <c r="ME163" s="456"/>
      <c r="MF163" s="456"/>
      <c r="MG163" s="456"/>
      <c r="MH163" s="456"/>
      <c r="MI163" s="456"/>
      <c r="MJ163" s="456"/>
      <c r="MK163" s="456"/>
      <c r="ML163" s="456"/>
      <c r="MM163" s="456"/>
      <c r="MN163" s="456"/>
      <c r="MO163" s="456"/>
      <c r="MP163" s="456"/>
      <c r="MQ163" s="456"/>
      <c r="MR163" s="456"/>
      <c r="MS163" s="456"/>
      <c r="MT163" s="456"/>
      <c r="MU163" s="456"/>
      <c r="MV163" s="456"/>
      <c r="MW163" s="456"/>
      <c r="MX163" s="456"/>
      <c r="MY163" s="456"/>
      <c r="MZ163" s="456"/>
      <c r="NA163" s="456"/>
      <c r="NB163" s="456"/>
      <c r="NC163" s="456"/>
      <c r="ND163" s="456"/>
      <c r="NE163" s="456"/>
      <c r="NF163" s="456"/>
      <c r="NG163" s="456"/>
      <c r="NH163" s="456"/>
      <c r="NI163" s="456"/>
      <c r="NJ163" s="456"/>
      <c r="NK163" s="456"/>
      <c r="NL163" s="456"/>
      <c r="NM163" s="456"/>
      <c r="NN163" s="456"/>
      <c r="NO163" s="456"/>
      <c r="NP163" s="456"/>
      <c r="NQ163" s="456"/>
      <c r="NR163" s="456"/>
      <c r="NS163" s="456"/>
      <c r="NT163" s="456"/>
      <c r="NU163" s="456"/>
      <c r="NV163" s="456"/>
      <c r="NW163" s="456"/>
      <c r="NX163" s="456"/>
      <c r="NY163" s="456"/>
      <c r="NZ163" s="456"/>
      <c r="OA163" s="456"/>
      <c r="OB163" s="456"/>
      <c r="OC163" s="456"/>
      <c r="OD163" s="456"/>
      <c r="OE163" s="456"/>
      <c r="OF163" s="456"/>
      <c r="OG163" s="456"/>
      <c r="OH163" s="456"/>
      <c r="OI163" s="456"/>
      <c r="OJ163" s="456"/>
      <c r="OK163" s="456"/>
      <c r="OL163" s="456"/>
      <c r="OM163" s="456"/>
      <c r="ON163" s="456"/>
      <c r="OO163" s="456"/>
      <c r="OP163" s="456"/>
      <c r="OQ163" s="456"/>
      <c r="OR163" s="456"/>
      <c r="OS163" s="456"/>
      <c r="OT163" s="456"/>
      <c r="OU163" s="456"/>
      <c r="OV163" s="456"/>
      <c r="OW163" s="456"/>
      <c r="OX163" s="456"/>
      <c r="OY163" s="456"/>
      <c r="OZ163" s="456"/>
      <c r="PA163" s="456"/>
      <c r="PB163" s="456"/>
      <c r="PC163" s="456"/>
      <c r="PD163" s="456"/>
      <c r="PE163" s="456"/>
      <c r="PF163" s="456"/>
      <c r="PG163" s="456"/>
      <c r="PH163" s="456"/>
      <c r="PI163" s="456"/>
      <c r="PJ163" s="456"/>
      <c r="PK163" s="456"/>
      <c r="PL163" s="456"/>
      <c r="PM163" s="456"/>
      <c r="PN163" s="456"/>
      <c r="PO163" s="456"/>
      <c r="PP163" s="456"/>
      <c r="PQ163" s="456"/>
      <c r="PR163" s="456"/>
      <c r="PS163" s="456"/>
      <c r="PT163" s="456"/>
      <c r="PU163" s="456"/>
      <c r="PV163" s="456"/>
      <c r="PW163" s="456"/>
      <c r="PX163" s="456"/>
      <c r="PY163" s="456"/>
      <c r="PZ163" s="456"/>
      <c r="QA163" s="456"/>
      <c r="QB163" s="456"/>
      <c r="QC163" s="456"/>
      <c r="QD163" s="456"/>
      <c r="QE163" s="456"/>
      <c r="QF163" s="456"/>
      <c r="QG163" s="456"/>
      <c r="QH163" s="456"/>
      <c r="QI163" s="456"/>
      <c r="QJ163" s="456"/>
      <c r="QK163" s="456"/>
      <c r="QL163" s="456"/>
      <c r="QM163" s="456"/>
      <c r="QN163" s="456"/>
      <c r="QO163" s="456"/>
      <c r="QP163" s="456"/>
      <c r="QQ163" s="456"/>
      <c r="QR163" s="456"/>
      <c r="QS163" s="456"/>
      <c r="QT163" s="456"/>
      <c r="QU163" s="456"/>
      <c r="QV163" s="456"/>
      <c r="QW163" s="456"/>
      <c r="QX163" s="456"/>
      <c r="QY163" s="456"/>
      <c r="QZ163" s="456"/>
      <c r="RA163" s="456"/>
      <c r="RB163" s="456"/>
      <c r="RC163" s="456"/>
      <c r="RD163" s="456"/>
      <c r="RE163" s="456"/>
      <c r="RF163" s="456"/>
      <c r="RG163" s="456"/>
      <c r="RH163" s="456"/>
      <c r="RI163" s="456"/>
      <c r="RJ163" s="456"/>
      <c r="RK163" s="456"/>
      <c r="RL163" s="456"/>
      <c r="RM163" s="456"/>
      <c r="RN163" s="456"/>
      <c r="RO163" s="456"/>
      <c r="RP163" s="456"/>
      <c r="RQ163" s="456"/>
      <c r="RR163" s="456"/>
      <c r="RS163" s="456"/>
      <c r="RT163" s="456"/>
      <c r="RU163" s="456"/>
      <c r="RV163" s="456"/>
      <c r="RW163" s="456"/>
      <c r="RX163" s="456"/>
      <c r="RY163" s="456"/>
      <c r="RZ163" s="456"/>
      <c r="SA163" s="456"/>
      <c r="SB163" s="456"/>
      <c r="SC163" s="456"/>
      <c r="SD163" s="456"/>
      <c r="SE163" s="456"/>
      <c r="SF163" s="456"/>
      <c r="SG163" s="456"/>
      <c r="SH163" s="456"/>
      <c r="SI163" s="456"/>
      <c r="SJ163" s="456"/>
      <c r="SK163" s="456"/>
      <c r="SL163" s="456"/>
      <c r="SM163" s="456"/>
      <c r="SN163" s="456"/>
      <c r="SO163" s="456"/>
      <c r="SP163" s="456"/>
      <c r="SQ163" s="456"/>
      <c r="SR163" s="456"/>
      <c r="SS163" s="456"/>
      <c r="ST163" s="456"/>
      <c r="SU163" s="456"/>
      <c r="SV163" s="456"/>
      <c r="SW163" s="456"/>
      <c r="SX163" s="456"/>
      <c r="SY163" s="456"/>
      <c r="SZ163" s="456"/>
      <c r="TA163" s="456"/>
      <c r="TB163" s="456"/>
      <c r="TC163" s="456"/>
      <c r="TD163" s="456"/>
      <c r="TE163" s="456"/>
      <c r="TF163" s="456"/>
      <c r="TG163" s="456"/>
      <c r="TH163" s="456"/>
      <c r="TI163" s="456"/>
      <c r="TJ163" s="456"/>
      <c r="TK163" s="456"/>
      <c r="TL163" s="456"/>
      <c r="TM163" s="456"/>
      <c r="TN163" s="456"/>
      <c r="TO163" s="456"/>
      <c r="TP163" s="456"/>
      <c r="TQ163" s="456"/>
      <c r="TR163" s="456"/>
      <c r="TS163" s="456"/>
      <c r="TT163" s="456"/>
      <c r="TU163" s="456"/>
      <c r="TV163" s="456"/>
      <c r="TW163" s="456"/>
      <c r="TX163" s="456"/>
      <c r="TY163" s="456"/>
      <c r="TZ163" s="456"/>
      <c r="UA163" s="456"/>
      <c r="UB163" s="456"/>
      <c r="UC163" s="456"/>
      <c r="UD163" s="456"/>
      <c r="UE163" s="456"/>
      <c r="UF163" s="456"/>
      <c r="UG163" s="456"/>
      <c r="UH163" s="456"/>
      <c r="UI163" s="456"/>
      <c r="UJ163" s="456"/>
      <c r="UK163" s="456"/>
      <c r="UL163" s="456"/>
      <c r="UM163" s="456"/>
      <c r="UN163" s="456"/>
      <c r="UO163" s="456"/>
      <c r="UP163" s="456"/>
      <c r="UQ163" s="456"/>
      <c r="UR163" s="456"/>
      <c r="US163" s="456"/>
      <c r="UT163" s="456"/>
      <c r="UU163" s="456"/>
      <c r="UV163" s="456"/>
      <c r="UW163" s="456"/>
      <c r="UX163" s="456"/>
      <c r="UY163" s="456"/>
      <c r="UZ163" s="456"/>
      <c r="VA163" s="456"/>
      <c r="VB163" s="456"/>
      <c r="VC163" s="456"/>
      <c r="VD163" s="456"/>
      <c r="VE163" s="456"/>
      <c r="VF163" s="456"/>
      <c r="VG163" s="456"/>
      <c r="VH163" s="456"/>
      <c r="VI163" s="456"/>
      <c r="VJ163" s="456"/>
      <c r="VK163" s="456"/>
      <c r="VL163" s="456"/>
      <c r="VM163" s="456"/>
      <c r="VN163" s="456"/>
      <c r="VO163" s="456"/>
      <c r="VP163" s="456"/>
      <c r="VQ163" s="456"/>
      <c r="VR163" s="456"/>
      <c r="VS163" s="456"/>
      <c r="VT163" s="456"/>
      <c r="VU163" s="456"/>
      <c r="VV163" s="456"/>
      <c r="VW163" s="456"/>
      <c r="VX163" s="456"/>
      <c r="VY163" s="456"/>
      <c r="VZ163" s="456"/>
      <c r="WA163" s="456"/>
      <c r="WB163" s="456"/>
      <c r="WC163" s="456"/>
      <c r="WD163" s="456"/>
      <c r="WE163" s="456"/>
      <c r="WF163" s="456"/>
      <c r="WG163" s="456"/>
      <c r="WH163" s="456"/>
      <c r="WI163" s="456"/>
      <c r="WJ163" s="456"/>
      <c r="WK163" s="456"/>
      <c r="WL163" s="456"/>
      <c r="WM163" s="456"/>
      <c r="WN163" s="456"/>
      <c r="WO163" s="456"/>
      <c r="WP163" s="456"/>
      <c r="WQ163" s="456"/>
      <c r="WR163" s="456"/>
      <c r="WS163" s="456"/>
      <c r="WT163" s="456"/>
      <c r="WU163" s="456"/>
      <c r="WV163" s="456"/>
      <c r="WW163" s="456"/>
      <c r="WX163" s="456"/>
      <c r="WY163" s="456"/>
      <c r="WZ163" s="456"/>
      <c r="XA163" s="456"/>
      <c r="XB163" s="456"/>
      <c r="XC163" s="456"/>
      <c r="XD163" s="456"/>
      <c r="XE163" s="456"/>
      <c r="XF163" s="456"/>
      <c r="XG163" s="456"/>
      <c r="XH163" s="456"/>
      <c r="XI163" s="456"/>
      <c r="XJ163" s="456"/>
      <c r="XK163" s="456"/>
      <c r="XL163" s="456"/>
      <c r="XM163" s="456"/>
      <c r="XN163" s="456"/>
      <c r="XO163" s="456"/>
      <c r="XP163" s="456"/>
      <c r="XQ163" s="456"/>
      <c r="XR163" s="456"/>
      <c r="XS163" s="456"/>
      <c r="XT163" s="456"/>
      <c r="XU163" s="456"/>
      <c r="XV163" s="456"/>
      <c r="XW163" s="456"/>
      <c r="XX163" s="456"/>
      <c r="XY163" s="456"/>
      <c r="XZ163" s="456"/>
      <c r="YA163" s="456"/>
      <c r="YB163" s="456"/>
      <c r="YC163" s="456"/>
      <c r="YD163" s="456"/>
      <c r="YE163" s="456"/>
      <c r="YF163" s="456"/>
      <c r="YG163" s="456"/>
      <c r="YH163" s="456"/>
      <c r="YI163" s="456"/>
      <c r="YJ163" s="456"/>
      <c r="YK163" s="456"/>
      <c r="YL163" s="456"/>
      <c r="YM163" s="456"/>
      <c r="YN163" s="456"/>
      <c r="YO163" s="456"/>
      <c r="YP163" s="456"/>
      <c r="YQ163" s="456"/>
      <c r="YR163" s="456"/>
      <c r="YS163" s="456"/>
      <c r="YT163" s="456"/>
      <c r="YU163" s="456"/>
      <c r="YV163" s="456"/>
      <c r="YW163" s="456"/>
      <c r="YX163" s="456"/>
      <c r="YY163" s="456"/>
      <c r="YZ163" s="456"/>
      <c r="ZA163" s="456"/>
      <c r="ZB163" s="456"/>
      <c r="ZC163" s="456"/>
      <c r="ZD163" s="456"/>
      <c r="ZE163" s="456"/>
      <c r="ZF163" s="456"/>
      <c r="ZG163" s="456"/>
      <c r="ZH163" s="456"/>
      <c r="ZI163" s="456"/>
      <c r="ZJ163" s="456"/>
      <c r="ZK163" s="456"/>
      <c r="ZL163" s="456"/>
      <c r="ZM163" s="456"/>
      <c r="ZN163" s="456"/>
      <c r="ZO163" s="456"/>
      <c r="ZP163" s="456"/>
      <c r="ZQ163" s="456"/>
      <c r="ZR163" s="456"/>
      <c r="ZS163" s="456"/>
      <c r="ZT163" s="456"/>
      <c r="ZU163" s="456"/>
      <c r="ZV163" s="456"/>
      <c r="ZW163" s="456"/>
      <c r="ZX163" s="456"/>
      <c r="ZY163" s="456"/>
      <c r="ZZ163" s="456"/>
      <c r="AAA163" s="456"/>
      <c r="AAB163" s="456"/>
      <c r="AAC163" s="456"/>
      <c r="AAD163" s="456"/>
      <c r="AAE163" s="456"/>
      <c r="AAF163" s="456"/>
      <c r="AAG163" s="456"/>
      <c r="AAH163" s="456"/>
      <c r="AAI163" s="456"/>
      <c r="AAJ163" s="456"/>
      <c r="AAK163" s="456"/>
      <c r="AAL163" s="456"/>
      <c r="AAM163" s="456"/>
      <c r="AAN163" s="456"/>
      <c r="AAO163" s="456"/>
      <c r="AAP163" s="456"/>
      <c r="AAQ163" s="456"/>
      <c r="AAR163" s="456"/>
      <c r="AAS163" s="456"/>
      <c r="AAT163" s="456"/>
      <c r="AAU163" s="456"/>
      <c r="AAV163" s="456"/>
      <c r="AAW163" s="456"/>
      <c r="AAX163" s="456"/>
      <c r="AAY163" s="456"/>
      <c r="AAZ163" s="456"/>
      <c r="ABA163" s="456"/>
      <c r="ABB163" s="456"/>
      <c r="ABC163" s="456"/>
      <c r="ABD163" s="456"/>
      <c r="ABE163" s="456"/>
      <c r="ABF163" s="456"/>
      <c r="ABG163" s="456"/>
      <c r="ABH163" s="456"/>
      <c r="ABI163" s="456"/>
      <c r="ABJ163" s="456"/>
      <c r="ABK163" s="456"/>
      <c r="ABL163" s="456"/>
      <c r="ABM163" s="456"/>
      <c r="ABN163" s="456"/>
      <c r="ABO163" s="456"/>
      <c r="ABP163" s="456"/>
      <c r="ABQ163" s="456"/>
      <c r="ABR163" s="456"/>
      <c r="ABS163" s="456"/>
      <c r="ABT163" s="456"/>
      <c r="ABU163" s="456"/>
      <c r="ABV163" s="456"/>
      <c r="ABW163" s="456"/>
      <c r="ABX163" s="456"/>
      <c r="ABY163" s="456"/>
      <c r="ABZ163" s="456"/>
      <c r="ACA163" s="456"/>
      <c r="ACB163" s="456"/>
      <c r="ACC163" s="456"/>
      <c r="ACD163" s="456"/>
      <c r="ACE163" s="456"/>
      <c r="ACF163" s="456"/>
      <c r="ACG163" s="456"/>
      <c r="ACH163" s="456"/>
      <c r="ACI163" s="456"/>
      <c r="ACJ163" s="456"/>
      <c r="ACK163" s="456"/>
      <c r="ACL163" s="456"/>
      <c r="ACM163" s="456"/>
      <c r="ACN163" s="456"/>
      <c r="ACO163" s="456"/>
      <c r="ACP163" s="456"/>
      <c r="ACQ163" s="456"/>
      <c r="ACR163" s="456"/>
      <c r="ACS163" s="456"/>
      <c r="ACT163" s="456"/>
      <c r="ACU163" s="456"/>
      <c r="ACV163" s="456"/>
      <c r="ACW163" s="456"/>
      <c r="ACX163" s="456"/>
      <c r="ACY163" s="456"/>
      <c r="ACZ163" s="456"/>
      <c r="ADA163" s="456"/>
      <c r="ADB163" s="456"/>
      <c r="ADC163" s="456"/>
      <c r="ADD163" s="456"/>
      <c r="ADE163" s="456"/>
      <c r="ADF163" s="456"/>
      <c r="ADG163" s="456"/>
      <c r="ADH163" s="456"/>
      <c r="ADI163" s="456"/>
      <c r="ADJ163" s="456"/>
      <c r="ADK163" s="456"/>
      <c r="ADL163" s="456"/>
      <c r="ADM163" s="456"/>
      <c r="ADN163" s="456"/>
      <c r="ADO163" s="456"/>
      <c r="ADP163" s="456"/>
      <c r="ADQ163" s="456"/>
      <c r="ADR163" s="456"/>
      <c r="ADS163" s="456"/>
      <c r="ADT163" s="456"/>
      <c r="ADU163" s="456"/>
      <c r="ADV163" s="456"/>
      <c r="ADW163" s="456"/>
      <c r="ADX163" s="456"/>
      <c r="ADY163" s="456"/>
      <c r="ADZ163" s="456"/>
      <c r="AEA163" s="456"/>
      <c r="AEB163" s="456"/>
      <c r="AEC163" s="456"/>
      <c r="AED163" s="456"/>
      <c r="AEE163" s="456"/>
      <c r="AEF163" s="456"/>
      <c r="AEG163" s="456"/>
      <c r="AEH163" s="456"/>
      <c r="AEI163" s="456"/>
      <c r="AEJ163" s="456"/>
      <c r="AEK163" s="456"/>
      <c r="AEL163" s="456"/>
      <c r="AEM163" s="456"/>
      <c r="AEN163" s="456"/>
      <c r="AEO163" s="456"/>
      <c r="AEP163" s="456"/>
      <c r="AEQ163" s="456"/>
      <c r="AER163" s="456"/>
      <c r="AES163" s="456"/>
      <c r="AET163" s="456"/>
      <c r="AEU163" s="456"/>
      <c r="AEV163" s="456"/>
      <c r="AEW163" s="456"/>
      <c r="AEX163" s="456"/>
      <c r="AEY163" s="456"/>
      <c r="AEZ163" s="456"/>
      <c r="AFA163" s="456"/>
      <c r="AFB163" s="456"/>
      <c r="AFC163" s="456"/>
      <c r="AFD163" s="456"/>
      <c r="AFE163" s="456"/>
      <c r="AFF163" s="456"/>
      <c r="AFG163" s="456"/>
      <c r="AFH163" s="456"/>
      <c r="AFI163" s="456"/>
      <c r="AFJ163" s="456"/>
      <c r="AFK163" s="456"/>
      <c r="AFL163" s="456"/>
      <c r="AFM163" s="456"/>
      <c r="AFN163" s="456"/>
      <c r="AFO163" s="456"/>
      <c r="AFP163" s="456"/>
      <c r="AFQ163" s="456"/>
      <c r="AFR163" s="456"/>
      <c r="AFS163" s="456"/>
      <c r="AFT163" s="456"/>
      <c r="AFU163" s="456"/>
      <c r="AFV163" s="456"/>
      <c r="AFW163" s="456"/>
      <c r="AFX163" s="456"/>
      <c r="AFY163" s="456"/>
      <c r="AFZ163" s="456"/>
      <c r="AGA163" s="456"/>
      <c r="AGB163" s="456"/>
      <c r="AGC163" s="456"/>
      <c r="AGD163" s="456"/>
      <c r="AGE163" s="456"/>
      <c r="AGF163" s="456"/>
      <c r="AGG163" s="456"/>
      <c r="AGH163" s="456"/>
      <c r="AGI163" s="456"/>
      <c r="AGJ163" s="456"/>
      <c r="AGK163" s="456"/>
      <c r="AGL163" s="456"/>
      <c r="AGM163" s="456"/>
      <c r="AGN163" s="456"/>
      <c r="AGO163" s="456"/>
      <c r="AGP163" s="456"/>
      <c r="AGQ163" s="456"/>
      <c r="AGR163" s="456"/>
      <c r="AGS163" s="456"/>
      <c r="AGT163" s="456"/>
      <c r="AGU163" s="456"/>
      <c r="AGV163" s="456"/>
      <c r="AGW163" s="456"/>
      <c r="AGX163" s="456"/>
      <c r="AGY163" s="456"/>
      <c r="AGZ163" s="456"/>
      <c r="AHA163" s="456"/>
      <c r="AHB163" s="456"/>
      <c r="AHC163" s="456"/>
      <c r="AHD163" s="456"/>
      <c r="AHE163" s="456"/>
      <c r="AHF163" s="456"/>
      <c r="AHG163" s="456"/>
      <c r="AHH163" s="456"/>
      <c r="AHI163" s="456"/>
      <c r="AHJ163" s="456"/>
      <c r="AHK163" s="456"/>
      <c r="AHL163" s="456"/>
      <c r="AHM163" s="456"/>
      <c r="AHN163" s="456"/>
      <c r="AHO163" s="456"/>
      <c r="AHP163" s="456"/>
      <c r="AHQ163" s="456"/>
      <c r="AHR163" s="456"/>
      <c r="AHS163" s="456"/>
      <c r="AHT163" s="456"/>
      <c r="AHU163" s="456"/>
      <c r="AHV163" s="456"/>
      <c r="AHW163" s="456"/>
      <c r="AHX163" s="456"/>
      <c r="AHY163" s="456"/>
      <c r="AHZ163" s="456"/>
      <c r="AIA163" s="456"/>
      <c r="AIB163" s="456"/>
      <c r="AIC163" s="456"/>
      <c r="AID163" s="456"/>
      <c r="AIE163" s="456"/>
      <c r="AIF163" s="456"/>
      <c r="AIG163" s="456"/>
      <c r="AIH163" s="456"/>
      <c r="AII163" s="456"/>
      <c r="AIJ163" s="456"/>
      <c r="AIK163" s="456"/>
      <c r="AIL163" s="456"/>
      <c r="AIM163" s="456"/>
      <c r="AIN163" s="456"/>
      <c r="AIO163" s="456"/>
      <c r="AIP163" s="456"/>
      <c r="AIQ163" s="456"/>
      <c r="AIR163" s="456"/>
      <c r="AIS163" s="456"/>
      <c r="AIT163" s="456"/>
      <c r="AIU163" s="456"/>
      <c r="AIV163" s="456"/>
      <c r="AIW163" s="456"/>
      <c r="AIX163" s="456"/>
      <c r="AIY163" s="456"/>
      <c r="AIZ163" s="456"/>
      <c r="AJA163" s="456"/>
      <c r="AJB163" s="456"/>
      <c r="AJC163" s="456"/>
      <c r="AJD163" s="456"/>
      <c r="AJE163" s="456"/>
      <c r="AJF163" s="456"/>
      <c r="AJG163" s="456"/>
      <c r="AJH163" s="456"/>
      <c r="AJI163" s="456"/>
      <c r="AJJ163" s="456"/>
      <c r="AJK163" s="456"/>
      <c r="AJL163" s="456"/>
      <c r="AJM163" s="456"/>
      <c r="AJN163" s="456"/>
      <c r="AJO163" s="456"/>
      <c r="AJP163" s="456"/>
      <c r="AJQ163" s="456"/>
      <c r="AJR163" s="456"/>
      <c r="AJS163" s="456"/>
      <c r="AJT163" s="456"/>
      <c r="AJU163" s="456"/>
      <c r="AJV163" s="456"/>
      <c r="AJW163" s="456"/>
      <c r="AJX163" s="456"/>
      <c r="AJY163" s="456"/>
      <c r="AJZ163" s="456"/>
      <c r="AKA163" s="456"/>
      <c r="AKB163" s="456"/>
      <c r="AKC163" s="456"/>
      <c r="AKD163" s="456"/>
      <c r="AKE163" s="456"/>
      <c r="AKF163" s="456"/>
      <c r="AKG163" s="456"/>
      <c r="AKH163" s="456"/>
      <c r="AKI163" s="456"/>
      <c r="AKJ163" s="456"/>
      <c r="AKK163" s="456"/>
      <c r="AKL163" s="456"/>
      <c r="AKM163" s="456"/>
      <c r="AKN163" s="456"/>
      <c r="AKO163" s="456"/>
      <c r="AKP163" s="456"/>
      <c r="AKQ163" s="456"/>
      <c r="AKR163" s="456"/>
      <c r="AKS163" s="456"/>
      <c r="AKT163" s="456"/>
      <c r="AKU163" s="456"/>
      <c r="AKV163" s="456"/>
      <c r="AKW163" s="456"/>
      <c r="AKX163" s="456"/>
      <c r="AKY163" s="456"/>
      <c r="AKZ163" s="456"/>
      <c r="ALA163" s="456"/>
      <c r="ALB163" s="456"/>
      <c r="ALC163" s="456"/>
      <c r="ALD163" s="456"/>
      <c r="ALE163" s="456"/>
      <c r="ALF163" s="456"/>
      <c r="ALG163" s="456"/>
      <c r="ALH163" s="456"/>
      <c r="ALI163" s="456"/>
      <c r="ALJ163" s="456"/>
      <c r="ALK163" s="456"/>
      <c r="ALL163" s="456"/>
      <c r="ALM163" s="456"/>
      <c r="ALN163" s="456"/>
      <c r="ALO163" s="456"/>
      <c r="ALP163" s="456"/>
      <c r="ALQ163" s="456"/>
      <c r="ALR163" s="456"/>
      <c r="ALS163" s="456"/>
      <c r="ALT163" s="456"/>
      <c r="ALU163" s="456"/>
      <c r="ALV163" s="456"/>
      <c r="ALW163" s="456"/>
      <c r="ALX163" s="456"/>
      <c r="ALY163" s="456"/>
      <c r="ALZ163" s="456"/>
      <c r="AMA163" s="456"/>
      <c r="AMB163" s="456"/>
      <c r="AMC163" s="456"/>
      <c r="AMD163" s="456"/>
      <c r="AME163" s="456"/>
      <c r="AMF163" s="456"/>
      <c r="AMG163" s="456"/>
      <c r="AMH163" s="456"/>
      <c r="AMI163" s="456"/>
      <c r="AMJ163" s="456"/>
      <c r="AMK163" s="456"/>
      <c r="AML163" s="456"/>
      <c r="AMM163" s="456"/>
      <c r="AMN163" s="456"/>
      <c r="AMO163" s="456"/>
      <c r="AMP163" s="456"/>
      <c r="AMQ163" s="456"/>
      <c r="AMR163" s="456"/>
      <c r="AMS163" s="456"/>
      <c r="AMT163" s="456"/>
      <c r="AMU163" s="456"/>
      <c r="AMV163" s="456"/>
      <c r="AMW163" s="456"/>
      <c r="AMX163" s="456"/>
      <c r="AMY163" s="456"/>
      <c r="AMZ163" s="456"/>
      <c r="ANA163" s="456"/>
      <c r="ANB163" s="456"/>
      <c r="ANC163" s="456"/>
      <c r="AND163" s="456"/>
      <c r="ANE163" s="456"/>
      <c r="ANF163" s="456"/>
      <c r="ANG163" s="456"/>
      <c r="ANH163" s="456"/>
      <c r="ANI163" s="456"/>
      <c r="ANJ163" s="456"/>
      <c r="ANK163" s="456"/>
      <c r="ANL163" s="456"/>
      <c r="ANM163" s="456"/>
      <c r="ANN163" s="456"/>
      <c r="ANO163" s="456"/>
      <c r="ANP163" s="456"/>
      <c r="ANQ163" s="456"/>
      <c r="ANR163" s="456"/>
      <c r="ANS163" s="456"/>
      <c r="ANT163" s="456"/>
      <c r="ANU163" s="456"/>
      <c r="ANV163" s="456"/>
      <c r="ANW163" s="456"/>
      <c r="ANX163" s="456"/>
      <c r="ANY163" s="456"/>
      <c r="ANZ163" s="456"/>
      <c r="AOA163" s="456"/>
      <c r="AOB163" s="456"/>
      <c r="AOC163" s="456"/>
      <c r="AOD163" s="456"/>
      <c r="AOE163" s="456"/>
      <c r="AOF163" s="456"/>
      <c r="AOG163" s="456"/>
      <c r="AOH163" s="456"/>
      <c r="AOI163" s="456"/>
      <c r="AOJ163" s="456"/>
      <c r="AOK163" s="456"/>
      <c r="AOL163" s="456"/>
      <c r="AOM163" s="456"/>
      <c r="AON163" s="456"/>
      <c r="AOO163" s="456"/>
      <c r="AOP163" s="456"/>
      <c r="AOQ163" s="456"/>
      <c r="AOR163" s="456"/>
      <c r="AOS163" s="456"/>
      <c r="AOT163" s="456"/>
      <c r="AOU163" s="456"/>
      <c r="AOV163" s="456"/>
      <c r="AOW163" s="456"/>
      <c r="AOX163" s="456"/>
      <c r="AOY163" s="456"/>
      <c r="AOZ163" s="456"/>
      <c r="APA163" s="456"/>
      <c r="APB163" s="456"/>
      <c r="APC163" s="456"/>
      <c r="APD163" s="456"/>
      <c r="APE163" s="456"/>
      <c r="APF163" s="456"/>
      <c r="APG163" s="456"/>
      <c r="APH163" s="456"/>
      <c r="API163" s="456"/>
      <c r="APJ163" s="456"/>
      <c r="APK163" s="456"/>
      <c r="APL163" s="456"/>
      <c r="APM163" s="456"/>
      <c r="APN163" s="456"/>
      <c r="APO163" s="456"/>
      <c r="APP163" s="456"/>
      <c r="APQ163" s="456"/>
      <c r="APR163" s="456"/>
      <c r="APS163" s="456"/>
      <c r="APT163" s="456"/>
      <c r="APU163" s="456"/>
      <c r="APV163" s="456"/>
      <c r="APW163" s="456"/>
      <c r="APX163" s="456"/>
      <c r="APY163" s="456"/>
      <c r="APZ163" s="456"/>
      <c r="AQA163" s="456"/>
      <c r="AQB163" s="456"/>
      <c r="AQC163" s="456"/>
      <c r="AQD163" s="456"/>
      <c r="AQE163" s="456"/>
      <c r="AQF163" s="456"/>
      <c r="AQG163" s="456"/>
      <c r="AQH163" s="456"/>
      <c r="AQI163" s="456"/>
      <c r="AQJ163" s="456"/>
      <c r="AQK163" s="456"/>
      <c r="AQL163" s="456"/>
      <c r="AQM163" s="456"/>
      <c r="AQN163" s="456"/>
      <c r="AQO163" s="456"/>
      <c r="AQP163" s="456"/>
      <c r="AQQ163" s="456"/>
      <c r="AQR163" s="456"/>
      <c r="AQS163" s="456"/>
      <c r="AQT163" s="456"/>
      <c r="AQU163" s="456"/>
      <c r="AQV163" s="456"/>
      <c r="AQW163" s="456"/>
      <c r="AQX163" s="456"/>
      <c r="AQY163" s="456"/>
      <c r="AQZ163" s="456"/>
      <c r="ARA163" s="456"/>
      <c r="ARB163" s="456"/>
      <c r="ARC163" s="456"/>
      <c r="ARD163" s="456"/>
      <c r="ARE163" s="456"/>
      <c r="ARF163" s="456"/>
      <c r="ARG163" s="456"/>
      <c r="ARH163" s="456"/>
      <c r="ARI163" s="456"/>
      <c r="ARJ163" s="456"/>
      <c r="ARK163" s="456"/>
      <c r="ARL163" s="456"/>
      <c r="ARM163" s="456"/>
      <c r="ARN163" s="456"/>
      <c r="ARO163" s="456"/>
      <c r="ARP163" s="456"/>
      <c r="ARQ163" s="456"/>
      <c r="ARR163" s="456"/>
      <c r="ARS163" s="456"/>
      <c r="ART163" s="456"/>
      <c r="ARU163" s="456"/>
      <c r="ARV163" s="456"/>
      <c r="ARW163" s="456"/>
      <c r="ARX163" s="456"/>
      <c r="ARY163" s="456"/>
      <c r="ARZ163" s="456"/>
      <c r="ASA163" s="456"/>
      <c r="ASB163" s="456"/>
      <c r="ASC163" s="456"/>
      <c r="ASD163" s="456"/>
      <c r="ASE163" s="456"/>
      <c r="ASF163" s="456"/>
      <c r="ASG163" s="456"/>
      <c r="ASH163" s="456"/>
      <c r="ASI163" s="456"/>
      <c r="ASJ163" s="456"/>
      <c r="ASK163" s="456"/>
      <c r="ASL163" s="456"/>
      <c r="ASM163" s="456"/>
      <c r="ASN163" s="456"/>
      <c r="ASO163" s="456"/>
      <c r="ASP163" s="456"/>
      <c r="ASQ163" s="456"/>
      <c r="ASR163" s="456"/>
      <c r="ASS163" s="456"/>
      <c r="AST163" s="456"/>
      <c r="ASU163" s="456"/>
      <c r="ASV163" s="456"/>
      <c r="ASW163" s="456"/>
      <c r="ASX163" s="456"/>
      <c r="ASY163" s="456"/>
      <c r="ASZ163" s="456"/>
      <c r="ATA163" s="456"/>
      <c r="ATB163" s="456"/>
      <c r="ATC163" s="456"/>
      <c r="ATD163" s="456"/>
      <c r="ATE163" s="456"/>
      <c r="ATF163" s="456"/>
      <c r="ATG163" s="456"/>
      <c r="ATH163" s="456"/>
      <c r="ATI163" s="456"/>
      <c r="ATJ163" s="456"/>
      <c r="ATK163" s="456"/>
      <c r="ATL163" s="456"/>
      <c r="ATM163" s="456"/>
      <c r="ATN163" s="456"/>
      <c r="ATO163" s="456"/>
      <c r="ATP163" s="456"/>
      <c r="ATQ163" s="456"/>
      <c r="ATR163" s="456"/>
      <c r="ATS163" s="456"/>
      <c r="ATT163" s="456"/>
      <c r="ATU163" s="456"/>
      <c r="ATV163" s="456"/>
      <c r="ATW163" s="456"/>
      <c r="ATX163" s="456"/>
      <c r="ATY163" s="456"/>
      <c r="ATZ163" s="456"/>
      <c r="AUA163" s="456"/>
      <c r="AUB163" s="456"/>
      <c r="AUC163" s="456"/>
      <c r="AUD163" s="456"/>
      <c r="AUE163" s="456"/>
      <c r="AUF163" s="456"/>
      <c r="AUG163" s="456"/>
      <c r="AUH163" s="456"/>
      <c r="AUI163" s="456"/>
      <c r="AUJ163" s="456"/>
      <c r="AUK163" s="456"/>
      <c r="AUL163" s="456"/>
      <c r="AUM163" s="456"/>
      <c r="AUN163" s="456"/>
      <c r="AUO163" s="456"/>
      <c r="AUP163" s="456"/>
      <c r="AUQ163" s="456"/>
      <c r="AUR163" s="456"/>
      <c r="AUS163" s="456"/>
      <c r="AUT163" s="456"/>
      <c r="AUU163" s="456"/>
      <c r="AUV163" s="456"/>
      <c r="AUW163" s="456"/>
      <c r="AUX163" s="456"/>
      <c r="AUY163" s="456"/>
      <c r="AUZ163" s="456"/>
      <c r="AVA163" s="456"/>
      <c r="AVB163" s="456"/>
      <c r="AVC163" s="456"/>
      <c r="AVD163" s="456"/>
      <c r="AVE163" s="456"/>
      <c r="AVF163" s="456"/>
      <c r="AVG163" s="456"/>
      <c r="AVH163" s="456"/>
      <c r="AVI163" s="456"/>
      <c r="AVJ163" s="456"/>
      <c r="AVK163" s="456"/>
      <c r="AVL163" s="456"/>
      <c r="AVM163" s="456"/>
      <c r="AVN163" s="456"/>
      <c r="AVO163" s="456"/>
      <c r="AVP163" s="456"/>
      <c r="AVQ163" s="456"/>
      <c r="AVR163" s="456"/>
      <c r="AVS163" s="456"/>
      <c r="AVT163" s="456"/>
      <c r="AVU163" s="456"/>
      <c r="AVV163" s="456"/>
      <c r="AVW163" s="456"/>
      <c r="AVX163" s="456"/>
      <c r="AVY163" s="456"/>
      <c r="AVZ163" s="456"/>
      <c r="AWA163" s="456"/>
      <c r="AWB163" s="456"/>
      <c r="AWC163" s="456"/>
      <c r="AWD163" s="456"/>
      <c r="AWE163" s="456"/>
      <c r="AWF163" s="456"/>
      <c r="AWG163" s="456"/>
      <c r="AWH163" s="456"/>
      <c r="AWI163" s="456"/>
      <c r="AWJ163" s="456"/>
      <c r="AWK163" s="456"/>
      <c r="AWL163" s="456"/>
      <c r="AWM163" s="456"/>
      <c r="AWN163" s="456"/>
      <c r="AWO163" s="456"/>
      <c r="AWP163" s="456"/>
      <c r="AWQ163" s="456"/>
      <c r="AWR163" s="456"/>
      <c r="AWS163" s="456"/>
      <c r="AWT163" s="456"/>
      <c r="AWU163" s="456"/>
      <c r="AWV163" s="456"/>
      <c r="AWW163" s="456"/>
      <c r="AWX163" s="456"/>
      <c r="AWY163" s="456"/>
      <c r="AWZ163" s="456"/>
      <c r="AXA163" s="456"/>
      <c r="AXB163" s="456"/>
      <c r="AXC163" s="456"/>
      <c r="AXD163" s="456"/>
      <c r="AXE163" s="456"/>
      <c r="AXF163" s="456"/>
      <c r="AXG163" s="456"/>
      <c r="AXH163" s="456"/>
      <c r="AXI163" s="456"/>
      <c r="AXJ163" s="456"/>
      <c r="AXK163" s="456"/>
      <c r="AXL163" s="456"/>
      <c r="AXM163" s="456"/>
      <c r="AXN163" s="456"/>
      <c r="AXO163" s="456"/>
      <c r="AXP163" s="456"/>
      <c r="AXQ163" s="456"/>
      <c r="AXR163" s="456"/>
      <c r="AXS163" s="456"/>
      <c r="AXT163" s="456"/>
      <c r="AXU163" s="456"/>
      <c r="AXV163" s="456"/>
      <c r="AXW163" s="456"/>
      <c r="AXX163" s="456"/>
      <c r="AXY163" s="456"/>
      <c r="AXZ163" s="456"/>
      <c r="AYA163" s="456"/>
      <c r="AYB163" s="456"/>
      <c r="AYC163" s="456"/>
      <c r="AYD163" s="456"/>
      <c r="AYE163" s="456"/>
      <c r="AYF163" s="456"/>
      <c r="AYG163" s="456"/>
      <c r="AYH163" s="456"/>
      <c r="AYI163" s="456"/>
      <c r="AYJ163" s="456"/>
      <c r="AYK163" s="456"/>
      <c r="AYL163" s="456"/>
      <c r="AYM163" s="456"/>
      <c r="AYN163" s="456"/>
      <c r="AYO163" s="456"/>
      <c r="AYP163" s="456"/>
      <c r="AYQ163" s="456"/>
      <c r="AYR163" s="456"/>
      <c r="AYS163" s="456"/>
      <c r="AYT163" s="456"/>
      <c r="AYU163" s="456"/>
      <c r="AYV163" s="456"/>
      <c r="AYW163" s="456"/>
      <c r="AYX163" s="456"/>
      <c r="AYY163" s="456"/>
      <c r="AYZ163" s="456"/>
      <c r="AZA163" s="456"/>
      <c r="AZB163" s="456"/>
      <c r="AZC163" s="456"/>
      <c r="AZD163" s="456"/>
      <c r="AZE163" s="456"/>
      <c r="AZF163" s="456"/>
      <c r="AZG163" s="456"/>
      <c r="AZH163" s="456"/>
      <c r="AZI163" s="456"/>
      <c r="AZJ163" s="456"/>
      <c r="AZK163" s="456"/>
      <c r="AZL163" s="456"/>
      <c r="AZM163" s="456"/>
      <c r="AZN163" s="456"/>
      <c r="AZO163" s="456"/>
      <c r="AZP163" s="456"/>
      <c r="AZQ163" s="456"/>
      <c r="AZR163" s="456"/>
      <c r="AZS163" s="456"/>
      <c r="AZT163" s="456"/>
      <c r="AZU163" s="456"/>
      <c r="AZV163" s="456"/>
      <c r="AZW163" s="456"/>
      <c r="AZX163" s="456"/>
      <c r="AZY163" s="456"/>
      <c r="AZZ163" s="456"/>
      <c r="BAA163" s="456"/>
      <c r="BAB163" s="456"/>
      <c r="BAC163" s="456"/>
      <c r="BAD163" s="456"/>
      <c r="BAE163" s="456"/>
      <c r="BAF163" s="456"/>
      <c r="BAG163" s="456"/>
      <c r="BAH163" s="456"/>
      <c r="BAI163" s="456"/>
      <c r="BAJ163" s="456"/>
      <c r="BAK163" s="456"/>
      <c r="BAL163" s="456"/>
      <c r="BAM163" s="456"/>
      <c r="BAN163" s="456"/>
      <c r="BAO163" s="456"/>
      <c r="BAP163" s="456"/>
      <c r="BAQ163" s="456"/>
      <c r="BAR163" s="456"/>
      <c r="BAS163" s="456"/>
      <c r="BAT163" s="456"/>
      <c r="BAU163" s="456"/>
      <c r="BAV163" s="456"/>
      <c r="BAW163" s="456"/>
      <c r="BAX163" s="456"/>
      <c r="BAY163" s="456"/>
      <c r="BAZ163" s="456"/>
      <c r="BBA163" s="456"/>
      <c r="BBB163" s="456"/>
      <c r="BBC163" s="456"/>
      <c r="BBD163" s="456"/>
      <c r="BBE163" s="456"/>
      <c r="BBF163" s="456"/>
      <c r="BBG163" s="456"/>
      <c r="BBH163" s="456"/>
      <c r="BBI163" s="456"/>
      <c r="BBJ163" s="456"/>
      <c r="BBK163" s="456"/>
      <c r="BBL163" s="456"/>
      <c r="BBM163" s="456"/>
      <c r="BBN163" s="456"/>
      <c r="BBO163" s="456"/>
      <c r="BBP163" s="456"/>
      <c r="BBQ163" s="456"/>
      <c r="BBR163" s="456"/>
      <c r="BBS163" s="456"/>
      <c r="BBT163" s="456"/>
      <c r="BBU163" s="456"/>
      <c r="BBV163" s="456"/>
      <c r="BBW163" s="456"/>
      <c r="BBX163" s="456"/>
      <c r="BBY163" s="456"/>
      <c r="BBZ163" s="456"/>
      <c r="BCA163" s="456"/>
      <c r="BCB163" s="456"/>
      <c r="BCC163" s="456"/>
      <c r="BCD163" s="456"/>
      <c r="BCE163" s="456"/>
      <c r="BCF163" s="456"/>
      <c r="BCG163" s="456"/>
      <c r="BCH163" s="456"/>
      <c r="BCI163" s="456"/>
      <c r="BCJ163" s="456"/>
      <c r="BCK163" s="456"/>
      <c r="BCL163" s="456"/>
      <c r="BCM163" s="456"/>
      <c r="BCN163" s="456"/>
      <c r="BCO163" s="456"/>
      <c r="BCP163" s="456"/>
      <c r="BCQ163" s="456"/>
      <c r="BCR163" s="456"/>
      <c r="BCS163" s="456"/>
      <c r="BCT163" s="456"/>
      <c r="BCU163" s="456"/>
      <c r="BCV163" s="456"/>
      <c r="BCW163" s="456"/>
      <c r="BCX163" s="456"/>
      <c r="BCY163" s="456"/>
      <c r="BCZ163" s="456"/>
      <c r="BDA163" s="456"/>
      <c r="BDB163" s="456"/>
      <c r="BDC163" s="456"/>
      <c r="BDD163" s="456"/>
      <c r="BDE163" s="456"/>
      <c r="BDF163" s="456"/>
      <c r="BDG163" s="456"/>
      <c r="BDH163" s="456"/>
      <c r="BDI163" s="456"/>
      <c r="BDJ163" s="456"/>
      <c r="BDK163" s="456"/>
      <c r="BDL163" s="456"/>
      <c r="BDM163" s="456"/>
      <c r="BDN163" s="456"/>
      <c r="BDO163" s="456"/>
      <c r="BDP163" s="456"/>
      <c r="BDQ163" s="456"/>
      <c r="BDR163" s="456"/>
      <c r="BDS163" s="456"/>
      <c r="BDT163" s="456"/>
      <c r="BDU163" s="456"/>
      <c r="BDV163" s="456"/>
      <c r="BDW163" s="456"/>
      <c r="BDX163" s="456"/>
      <c r="BDY163" s="456"/>
      <c r="BDZ163" s="456"/>
      <c r="BEA163" s="456"/>
      <c r="BEB163" s="456"/>
      <c r="BEC163" s="456"/>
      <c r="BED163" s="456"/>
      <c r="BEE163" s="456"/>
      <c r="BEF163" s="456"/>
      <c r="BEG163" s="456"/>
      <c r="BEH163" s="456"/>
      <c r="BEI163" s="456"/>
      <c r="BEJ163" s="456"/>
      <c r="BEK163" s="456"/>
      <c r="BEL163" s="456"/>
      <c r="BEM163" s="456"/>
      <c r="BEN163" s="456"/>
      <c r="BEO163" s="456"/>
      <c r="BEP163" s="456"/>
      <c r="BEQ163" s="456"/>
      <c r="BER163" s="456"/>
      <c r="BES163" s="456"/>
      <c r="BET163" s="456"/>
      <c r="BEU163" s="456"/>
      <c r="BEV163" s="456"/>
      <c r="BEW163" s="456"/>
      <c r="BEX163" s="456"/>
      <c r="BEY163" s="456"/>
      <c r="BEZ163" s="456"/>
      <c r="BFA163" s="456"/>
      <c r="BFB163" s="456"/>
      <c r="BFC163" s="456"/>
      <c r="BFD163" s="456"/>
      <c r="BFE163" s="456"/>
      <c r="BFF163" s="456"/>
      <c r="BFG163" s="456"/>
      <c r="BFH163" s="456"/>
      <c r="BFI163" s="456"/>
      <c r="BFJ163" s="456"/>
      <c r="BFK163" s="456"/>
      <c r="BFL163" s="456"/>
      <c r="BFM163" s="456"/>
      <c r="BFN163" s="456"/>
      <c r="BFO163" s="456"/>
      <c r="BFP163" s="456"/>
      <c r="BFQ163" s="456"/>
      <c r="BFR163" s="456"/>
      <c r="BFS163" s="456"/>
      <c r="BFT163" s="456"/>
      <c r="BFU163" s="456"/>
      <c r="BFV163" s="456"/>
      <c r="BFW163" s="456"/>
      <c r="BFX163" s="456"/>
      <c r="BFY163" s="456"/>
      <c r="BFZ163" s="456"/>
      <c r="BGA163" s="456"/>
      <c r="BGB163" s="456"/>
      <c r="BGC163" s="456"/>
      <c r="BGD163" s="456"/>
      <c r="BGE163" s="456"/>
      <c r="BGF163" s="456"/>
      <c r="BGG163" s="456"/>
      <c r="BGH163" s="456"/>
      <c r="BGI163" s="456"/>
      <c r="BGJ163" s="456"/>
      <c r="BGK163" s="456"/>
      <c r="BGL163" s="456"/>
      <c r="BGM163" s="456"/>
      <c r="BGN163" s="456"/>
      <c r="BGO163" s="456"/>
      <c r="BGP163" s="456"/>
      <c r="BGQ163" s="456"/>
      <c r="BGR163" s="456"/>
      <c r="BGS163" s="456"/>
      <c r="BGT163" s="456"/>
      <c r="BGU163" s="456"/>
      <c r="BGV163" s="456"/>
      <c r="BGW163" s="456"/>
      <c r="BGX163" s="456"/>
      <c r="BGY163" s="456"/>
      <c r="BGZ163" s="456"/>
      <c r="BHA163" s="456"/>
      <c r="BHB163" s="456"/>
      <c r="BHC163" s="456"/>
      <c r="BHD163" s="456"/>
      <c r="BHE163" s="456"/>
      <c r="BHF163" s="456"/>
      <c r="BHG163" s="456"/>
      <c r="BHH163" s="456"/>
      <c r="BHI163" s="456"/>
      <c r="BHJ163" s="456"/>
      <c r="BHK163" s="456"/>
      <c r="BHL163" s="456"/>
      <c r="BHM163" s="456"/>
      <c r="BHN163" s="456"/>
      <c r="BHO163" s="456"/>
      <c r="BHP163" s="456"/>
      <c r="BHQ163" s="456"/>
      <c r="BHR163" s="456"/>
      <c r="BHS163" s="456"/>
      <c r="BHT163" s="456"/>
      <c r="BHU163" s="456"/>
      <c r="BHV163" s="456"/>
      <c r="BHW163" s="456"/>
      <c r="BHX163" s="456"/>
      <c r="BHY163" s="456"/>
      <c r="BHZ163" s="456"/>
      <c r="BIA163" s="456"/>
      <c r="BIB163" s="456"/>
      <c r="BIC163" s="456"/>
      <c r="BID163" s="456"/>
      <c r="BIE163" s="456"/>
      <c r="BIF163" s="456"/>
      <c r="BIG163" s="456"/>
      <c r="BIH163" s="456"/>
      <c r="BII163" s="456"/>
      <c r="BIJ163" s="456"/>
      <c r="BIK163" s="456"/>
      <c r="BIL163" s="456"/>
      <c r="BIM163" s="456"/>
      <c r="BIN163" s="456"/>
      <c r="BIO163" s="456"/>
      <c r="BIP163" s="456"/>
      <c r="BIQ163" s="456"/>
      <c r="BIR163" s="456"/>
      <c r="BIS163" s="456"/>
      <c r="BIT163" s="456"/>
      <c r="BIU163" s="456"/>
      <c r="BIV163" s="456"/>
      <c r="BIW163" s="456"/>
      <c r="BIX163" s="456"/>
      <c r="BIY163" s="456"/>
      <c r="BIZ163" s="456"/>
      <c r="BJA163" s="456"/>
      <c r="BJB163" s="456"/>
      <c r="BJC163" s="456"/>
      <c r="BJD163" s="456"/>
      <c r="BJE163" s="456"/>
      <c r="BJF163" s="456"/>
      <c r="BJG163" s="456"/>
      <c r="BJH163" s="456"/>
      <c r="BJI163" s="456"/>
      <c r="BJJ163" s="456"/>
      <c r="BJK163" s="456"/>
      <c r="BJL163" s="456"/>
      <c r="BJM163" s="456"/>
      <c r="BJN163" s="456"/>
      <c r="BJO163" s="456"/>
      <c r="BJP163" s="456"/>
      <c r="BJQ163" s="456"/>
      <c r="BJR163" s="456"/>
      <c r="BJS163" s="456"/>
      <c r="BJT163" s="456"/>
      <c r="BJU163" s="456"/>
      <c r="BJV163" s="456"/>
      <c r="BJW163" s="456"/>
      <c r="BJX163" s="456"/>
      <c r="BJY163" s="456"/>
      <c r="BJZ163" s="456"/>
      <c r="BKA163" s="456"/>
      <c r="BKB163" s="456"/>
      <c r="BKC163" s="456"/>
      <c r="BKD163" s="456"/>
      <c r="BKE163" s="456"/>
      <c r="BKF163" s="456"/>
      <c r="BKG163" s="456"/>
      <c r="BKH163" s="456"/>
      <c r="BKI163" s="456"/>
      <c r="BKJ163" s="456"/>
      <c r="BKK163" s="456"/>
      <c r="BKL163" s="456"/>
      <c r="BKM163" s="456"/>
      <c r="BKN163" s="456"/>
      <c r="BKO163" s="456"/>
      <c r="BKP163" s="456"/>
      <c r="BKQ163" s="456"/>
      <c r="BKR163" s="456"/>
      <c r="BKS163" s="456"/>
      <c r="BKT163" s="456"/>
      <c r="BKU163" s="456"/>
      <c r="BKV163" s="456"/>
      <c r="BKW163" s="456"/>
      <c r="BKX163" s="456"/>
      <c r="BKY163" s="456"/>
      <c r="BKZ163" s="456"/>
      <c r="BLA163" s="456"/>
      <c r="BLB163" s="456"/>
      <c r="BLC163" s="456"/>
      <c r="BLD163" s="456"/>
      <c r="BLE163" s="456"/>
      <c r="BLF163" s="456"/>
      <c r="BLG163" s="456"/>
      <c r="BLH163" s="456"/>
      <c r="BLI163" s="456"/>
      <c r="BLJ163" s="456"/>
      <c r="BLK163" s="456"/>
      <c r="BLL163" s="456"/>
      <c r="BLM163" s="456"/>
      <c r="BLN163" s="456"/>
      <c r="BLO163" s="456"/>
      <c r="BLP163" s="456"/>
      <c r="BLQ163" s="456"/>
      <c r="BLR163" s="456"/>
      <c r="BLS163" s="456"/>
      <c r="BLT163" s="456"/>
      <c r="BLU163" s="456"/>
      <c r="BLV163" s="456"/>
      <c r="BLW163" s="456"/>
      <c r="BLX163" s="456"/>
      <c r="BLY163" s="456"/>
      <c r="BLZ163" s="456"/>
      <c r="BMA163" s="456"/>
      <c r="BMB163" s="456"/>
      <c r="BMC163" s="456"/>
      <c r="BMD163" s="456"/>
      <c r="BME163" s="456"/>
      <c r="BMF163" s="456"/>
      <c r="BMG163" s="456"/>
      <c r="BMH163" s="456"/>
      <c r="BMI163" s="456"/>
      <c r="BMJ163" s="456"/>
      <c r="BMK163" s="456"/>
      <c r="BML163" s="456"/>
      <c r="BMM163" s="456"/>
      <c r="BMN163" s="456"/>
      <c r="BMO163" s="456"/>
      <c r="BMP163" s="456"/>
      <c r="BMQ163" s="456"/>
      <c r="BMR163" s="456"/>
      <c r="BMS163" s="456"/>
      <c r="BMT163" s="456"/>
      <c r="BMU163" s="456"/>
      <c r="BMV163" s="456"/>
      <c r="BMW163" s="456"/>
      <c r="BMX163" s="456"/>
      <c r="BMY163" s="456"/>
      <c r="BMZ163" s="456"/>
      <c r="BNA163" s="456"/>
      <c r="BNB163" s="456"/>
      <c r="BNC163" s="456"/>
      <c r="BND163" s="456"/>
      <c r="BNE163" s="456"/>
      <c r="BNF163" s="456"/>
      <c r="BNG163" s="456"/>
      <c r="BNH163" s="456"/>
      <c r="BNI163" s="456"/>
      <c r="BNJ163" s="456"/>
      <c r="BNK163" s="456"/>
      <c r="BNL163" s="456"/>
      <c r="BNM163" s="456"/>
      <c r="BNN163" s="456"/>
      <c r="BNO163" s="456"/>
      <c r="BNP163" s="456"/>
      <c r="BNQ163" s="456"/>
      <c r="BNR163" s="456"/>
      <c r="BNS163" s="456"/>
      <c r="BNT163" s="456"/>
      <c r="BNU163" s="456"/>
      <c r="BNV163" s="456"/>
      <c r="BNW163" s="456"/>
      <c r="BNX163" s="456"/>
      <c r="BNY163" s="456"/>
      <c r="BNZ163" s="456"/>
      <c r="BOA163" s="456"/>
      <c r="BOB163" s="456"/>
      <c r="BOC163" s="456"/>
      <c r="BOD163" s="456"/>
      <c r="BOE163" s="456"/>
      <c r="BOF163" s="456"/>
      <c r="BOG163" s="456"/>
      <c r="BOH163" s="456"/>
      <c r="BOI163" s="456"/>
      <c r="BOJ163" s="456"/>
      <c r="BOK163" s="456"/>
      <c r="BOL163" s="456"/>
      <c r="BOM163" s="456"/>
      <c r="BON163" s="456"/>
      <c r="BOO163" s="456"/>
      <c r="BOP163" s="456"/>
      <c r="BOQ163" s="456"/>
      <c r="BOR163" s="456"/>
      <c r="BOS163" s="456"/>
      <c r="BOT163" s="456"/>
      <c r="BOU163" s="456"/>
      <c r="BOV163" s="456"/>
      <c r="BOW163" s="456"/>
      <c r="BOX163" s="456"/>
      <c r="BOY163" s="456"/>
      <c r="BOZ163" s="456"/>
      <c r="BPA163" s="456"/>
      <c r="BPB163" s="456"/>
      <c r="BPC163" s="456"/>
      <c r="BPD163" s="456"/>
      <c r="BPE163" s="456"/>
      <c r="BPF163" s="456"/>
      <c r="BPG163" s="456"/>
      <c r="BPH163" s="456"/>
      <c r="BPI163" s="456"/>
      <c r="BPJ163" s="456"/>
      <c r="BPK163" s="456"/>
      <c r="BPL163" s="456"/>
      <c r="BPM163" s="456"/>
      <c r="BPN163" s="456"/>
      <c r="BPO163" s="456"/>
      <c r="BPP163" s="456"/>
      <c r="BPQ163" s="456"/>
      <c r="BPR163" s="456"/>
      <c r="BPS163" s="456"/>
      <c r="BPT163" s="456"/>
      <c r="BPU163" s="456"/>
      <c r="BPV163" s="456"/>
      <c r="BPW163" s="456"/>
      <c r="BPX163" s="456"/>
      <c r="BPY163" s="456"/>
      <c r="BPZ163" s="456"/>
      <c r="BQA163" s="456"/>
      <c r="BQB163" s="456"/>
      <c r="BQC163" s="456"/>
      <c r="BQD163" s="456"/>
      <c r="BQE163" s="456"/>
      <c r="BQF163" s="456"/>
      <c r="BQG163" s="456"/>
      <c r="BQH163" s="456"/>
      <c r="BQI163" s="456"/>
      <c r="BQJ163" s="456"/>
      <c r="BQK163" s="456"/>
      <c r="BQL163" s="456"/>
      <c r="BQM163" s="456"/>
      <c r="BQN163" s="456"/>
      <c r="BQO163" s="456"/>
      <c r="BQP163" s="456"/>
      <c r="BQQ163" s="456"/>
      <c r="BQR163" s="456"/>
      <c r="BQS163" s="456"/>
      <c r="BQT163" s="456"/>
      <c r="BQU163" s="456"/>
      <c r="BQV163" s="456"/>
      <c r="BQW163" s="456"/>
      <c r="BQX163" s="456"/>
      <c r="BQY163" s="456"/>
      <c r="BQZ163" s="456"/>
      <c r="BRA163" s="456"/>
      <c r="BRB163" s="456"/>
      <c r="BRC163" s="456"/>
      <c r="BRD163" s="456"/>
      <c r="BRE163" s="456"/>
      <c r="BRF163" s="456"/>
      <c r="BRG163" s="456"/>
      <c r="BRH163" s="456"/>
      <c r="BRI163" s="456"/>
      <c r="BRJ163" s="456"/>
      <c r="BRK163" s="456"/>
      <c r="BRL163" s="456"/>
      <c r="BRM163" s="456"/>
      <c r="BRN163" s="456"/>
      <c r="BRO163" s="456"/>
      <c r="BRP163" s="456"/>
      <c r="BRQ163" s="456"/>
      <c r="BRR163" s="456"/>
      <c r="BRS163" s="456"/>
      <c r="BRT163" s="456"/>
      <c r="BRU163" s="456"/>
      <c r="BRV163" s="456"/>
      <c r="BRW163" s="456"/>
      <c r="BRX163" s="456"/>
      <c r="BRY163" s="456"/>
      <c r="BRZ163" s="456"/>
      <c r="BSA163" s="456"/>
      <c r="BSB163" s="456"/>
      <c r="BSC163" s="456"/>
      <c r="BSD163" s="456"/>
      <c r="BSE163" s="456"/>
      <c r="BSF163" s="456"/>
      <c r="BSG163" s="456"/>
      <c r="BSH163" s="456"/>
      <c r="BSI163" s="456"/>
      <c r="BSJ163" s="456"/>
      <c r="BSK163" s="456"/>
      <c r="BSL163" s="456"/>
      <c r="BSM163" s="456"/>
      <c r="BSN163" s="456"/>
      <c r="BSO163" s="456"/>
      <c r="BSP163" s="456"/>
      <c r="BSQ163" s="456"/>
      <c r="BSR163" s="456"/>
      <c r="BSS163" s="456"/>
      <c r="BST163" s="456"/>
      <c r="BSU163" s="456"/>
      <c r="BSV163" s="456"/>
      <c r="BSW163" s="456"/>
      <c r="BSX163" s="456"/>
      <c r="BSY163" s="456"/>
      <c r="BSZ163" s="456"/>
      <c r="BTA163" s="456"/>
      <c r="BTB163" s="456"/>
      <c r="BTC163" s="456"/>
      <c r="BTD163" s="456"/>
      <c r="BTE163" s="456"/>
      <c r="BTF163" s="456"/>
      <c r="BTG163" s="456"/>
      <c r="BTH163" s="456"/>
      <c r="BTI163" s="456"/>
      <c r="BTJ163" s="456"/>
      <c r="BTK163" s="456"/>
      <c r="BTL163" s="456"/>
      <c r="BTM163" s="456"/>
      <c r="BTN163" s="456"/>
      <c r="BTO163" s="456"/>
      <c r="BTP163" s="456"/>
      <c r="BTQ163" s="456"/>
      <c r="BTR163" s="456"/>
      <c r="BTS163" s="456"/>
      <c r="BTT163" s="456"/>
      <c r="BTU163" s="456"/>
      <c r="BTV163" s="456"/>
      <c r="BTW163" s="456"/>
      <c r="BTX163" s="456"/>
      <c r="BTY163" s="456"/>
      <c r="BTZ163" s="456"/>
      <c r="BUA163" s="456"/>
      <c r="BUB163" s="456"/>
      <c r="BUC163" s="456"/>
      <c r="BUD163" s="456"/>
      <c r="BUE163" s="456"/>
      <c r="BUF163" s="456"/>
      <c r="BUG163" s="456"/>
      <c r="BUH163" s="456"/>
      <c r="BUI163" s="456"/>
      <c r="BUJ163" s="456"/>
      <c r="BUK163" s="456"/>
      <c r="BUL163" s="456"/>
      <c r="BUM163" s="456"/>
      <c r="BUN163" s="456"/>
      <c r="BUO163" s="456"/>
      <c r="BUP163" s="456"/>
      <c r="BUQ163" s="456"/>
      <c r="BUR163" s="456"/>
      <c r="BUS163" s="456"/>
      <c r="BUT163" s="456"/>
      <c r="BUU163" s="456"/>
      <c r="BUV163" s="456"/>
      <c r="BUW163" s="456"/>
      <c r="BUX163" s="456"/>
      <c r="BUY163" s="456"/>
      <c r="BUZ163" s="456"/>
      <c r="BVA163" s="456"/>
      <c r="BVB163" s="456"/>
      <c r="BVC163" s="456"/>
      <c r="BVD163" s="456"/>
      <c r="BVE163" s="456"/>
      <c r="BVF163" s="456"/>
      <c r="BVG163" s="456"/>
      <c r="BVH163" s="456"/>
      <c r="BVI163" s="456"/>
      <c r="BVJ163" s="456"/>
      <c r="BVK163" s="456"/>
      <c r="BVL163" s="456"/>
      <c r="BVM163" s="456"/>
      <c r="BVN163" s="456"/>
      <c r="BVO163" s="456"/>
      <c r="BVP163" s="456"/>
      <c r="BVQ163" s="456"/>
      <c r="BVR163" s="456"/>
      <c r="BVS163" s="456"/>
      <c r="BVT163" s="456"/>
      <c r="BVU163" s="456"/>
      <c r="BVV163" s="456"/>
      <c r="BVW163" s="456"/>
      <c r="BVX163" s="456"/>
      <c r="BVY163" s="456"/>
      <c r="BVZ163" s="456"/>
      <c r="BWA163" s="456"/>
      <c r="BWB163" s="456"/>
      <c r="BWC163" s="456"/>
      <c r="BWD163" s="456"/>
      <c r="BWE163" s="456"/>
      <c r="BWF163" s="456"/>
      <c r="BWG163" s="456"/>
      <c r="BWH163" s="456"/>
      <c r="BWI163" s="456"/>
      <c r="BWJ163" s="456"/>
      <c r="BWK163" s="456"/>
      <c r="BWL163" s="456"/>
      <c r="BWM163" s="456"/>
      <c r="BWN163" s="456"/>
      <c r="BWO163" s="456"/>
      <c r="BWP163" s="456"/>
      <c r="BWQ163" s="456"/>
      <c r="BWR163" s="456"/>
      <c r="BWS163" s="456"/>
      <c r="BWT163" s="456"/>
      <c r="BWU163" s="456"/>
      <c r="BWV163" s="456"/>
      <c r="BWW163" s="456"/>
      <c r="BWX163" s="456"/>
      <c r="BWY163" s="456"/>
      <c r="BWZ163" s="456"/>
      <c r="BXA163" s="456"/>
      <c r="BXB163" s="456"/>
      <c r="BXC163" s="456"/>
      <c r="BXD163" s="456"/>
      <c r="BXE163" s="456"/>
      <c r="BXF163" s="456"/>
      <c r="BXG163" s="456"/>
      <c r="BXH163" s="456"/>
      <c r="BXI163" s="456"/>
      <c r="BXJ163" s="456"/>
      <c r="BXK163" s="456"/>
      <c r="BXL163" s="456"/>
      <c r="BXM163" s="456"/>
      <c r="BXN163" s="456"/>
      <c r="BXO163" s="456"/>
      <c r="BXP163" s="456"/>
      <c r="BXQ163" s="456"/>
      <c r="BXR163" s="456"/>
      <c r="BXS163" s="456"/>
      <c r="BXT163" s="456"/>
      <c r="BXU163" s="456"/>
      <c r="BXV163" s="456"/>
      <c r="BXW163" s="456"/>
      <c r="BXX163" s="456"/>
      <c r="BXY163" s="456"/>
      <c r="BXZ163" s="456"/>
    </row>
    <row r="164" s="25" customFormat="1" spans="1:1024 1025:2002">
      <c r="A164" s="473" t="s">
        <v>34</v>
      </c>
      <c r="B164" s="19">
        <v>1130</v>
      </c>
      <c r="C164" s="183">
        <v>46205</v>
      </c>
      <c r="D164" s="17" t="s">
        <v>52</v>
      </c>
      <c r="E164" s="17" t="s">
        <v>104</v>
      </c>
      <c r="F164" s="17" t="s">
        <v>54</v>
      </c>
      <c r="G164" s="17"/>
      <c r="H164" s="19">
        <v>1.2316</v>
      </c>
      <c r="I164" s="19" t="s">
        <v>114</v>
      </c>
      <c r="J164" s="17" t="s">
        <v>49</v>
      </c>
      <c r="K164" s="489">
        <v>1050</v>
      </c>
      <c r="L164" s="489">
        <v>65</v>
      </c>
      <c r="M164" s="489">
        <v>2200</v>
      </c>
      <c r="N164" s="19" t="s">
        <v>66</v>
      </c>
      <c r="O164" s="19" t="s">
        <v>67</v>
      </c>
      <c r="P164" s="490">
        <v>1071.525</v>
      </c>
      <c r="Q164" s="19">
        <v>1160</v>
      </c>
      <c r="R164" s="99">
        <f t="shared" si="9"/>
        <v>-88.4750000000001</v>
      </c>
      <c r="S164" s="19">
        <f t="shared" si="11"/>
        <v>2870</v>
      </c>
      <c r="T164" s="19" t="s">
        <v>42</v>
      </c>
      <c r="U164" s="102" t="s">
        <v>115</v>
      </c>
      <c r="V164" s="186">
        <v>46208</v>
      </c>
      <c r="W164" s="17" t="s">
        <v>44</v>
      </c>
      <c r="X164" s="17"/>
      <c r="Y164" s="68">
        <v>46235</v>
      </c>
      <c r="Z164" s="17" t="s">
        <v>45</v>
      </c>
      <c r="AA164" s="17" t="s">
        <v>46</v>
      </c>
      <c r="AB164" s="17" t="s">
        <v>116</v>
      </c>
      <c r="AC164" s="217">
        <v>46241</v>
      </c>
      <c r="AD164" s="65">
        <v>1848</v>
      </c>
      <c r="AE164" s="17" t="s">
        <v>48</v>
      </c>
      <c r="AF164" s="17" t="s">
        <v>61</v>
      </c>
      <c r="AG164" s="17"/>
      <c r="AH164" s="456"/>
      <c r="AI164" s="456"/>
      <c r="AJ164" s="456"/>
      <c r="AK164" s="456"/>
      <c r="AL164" s="456"/>
      <c r="AM164" s="456"/>
      <c r="AN164" s="456"/>
      <c r="AO164" s="456"/>
      <c r="AP164" s="456"/>
      <c r="AQ164" s="456"/>
      <c r="AR164" s="456"/>
      <c r="AS164" s="456"/>
      <c r="AT164" s="456"/>
      <c r="AU164" s="456"/>
      <c r="AV164" s="456"/>
      <c r="AW164" s="456"/>
      <c r="AX164" s="456"/>
      <c r="AY164" s="456"/>
      <c r="AZ164" s="456"/>
      <c r="BA164" s="456"/>
      <c r="BB164" s="456"/>
      <c r="BC164" s="456"/>
      <c r="BD164" s="456"/>
      <c r="BE164" s="456"/>
      <c r="BF164" s="456"/>
      <c r="BG164" s="456"/>
      <c r="BH164" s="456"/>
      <c r="BI164" s="456"/>
      <c r="BJ164" s="456"/>
      <c r="BK164" s="456"/>
      <c r="BL164" s="456"/>
      <c r="BM164" s="456"/>
      <c r="BN164" s="456"/>
      <c r="BO164" s="456"/>
      <c r="BP164" s="456"/>
      <c r="BQ164" s="456"/>
      <c r="BR164" s="456"/>
      <c r="BS164" s="456"/>
      <c r="BT164" s="456"/>
      <c r="BU164" s="456"/>
      <c r="BV164" s="456"/>
      <c r="BW164" s="456"/>
      <c r="BX164" s="456"/>
      <c r="BY164" s="456"/>
      <c r="BZ164" s="456"/>
      <c r="CA164" s="456"/>
      <c r="CB164" s="456"/>
      <c r="CC164" s="456"/>
      <c r="CD164" s="456"/>
      <c r="CE164" s="456"/>
      <c r="CF164" s="456"/>
      <c r="CG164" s="456"/>
      <c r="CH164" s="456"/>
      <c r="CI164" s="456"/>
      <c r="CJ164" s="456"/>
      <c r="CK164" s="456"/>
      <c r="CL164" s="456"/>
      <c r="CM164" s="456"/>
      <c r="CN164" s="456"/>
      <c r="CO164" s="456"/>
      <c r="CP164" s="456"/>
      <c r="CQ164" s="456"/>
      <c r="CR164" s="456"/>
      <c r="CS164" s="456"/>
      <c r="CT164" s="456"/>
      <c r="CU164" s="456"/>
      <c r="CV164" s="456"/>
      <c r="CW164" s="456"/>
      <c r="CX164" s="456"/>
      <c r="CY164" s="456"/>
      <c r="CZ164" s="456"/>
      <c r="DA164" s="456"/>
      <c r="DB164" s="456"/>
      <c r="DC164" s="456"/>
      <c r="DD164" s="456"/>
      <c r="DE164" s="456"/>
      <c r="DF164" s="456"/>
      <c r="DG164" s="456"/>
      <c r="DH164" s="456"/>
      <c r="DI164" s="456"/>
      <c r="DJ164" s="456"/>
      <c r="DK164" s="456"/>
      <c r="DL164" s="456"/>
      <c r="DM164" s="456"/>
      <c r="DN164" s="456"/>
      <c r="DO164" s="456"/>
      <c r="DP164" s="456"/>
      <c r="DQ164" s="456"/>
      <c r="DR164" s="456"/>
      <c r="DS164" s="456"/>
      <c r="DT164" s="456"/>
      <c r="DU164" s="456"/>
      <c r="DV164" s="456"/>
      <c r="DW164" s="456"/>
      <c r="DX164" s="456"/>
      <c r="DY164" s="456"/>
      <c r="DZ164" s="456"/>
      <c r="EA164" s="456"/>
      <c r="EB164" s="456"/>
      <c r="EC164" s="456"/>
      <c r="ED164" s="456"/>
      <c r="EE164" s="456"/>
      <c r="EF164" s="456"/>
      <c r="EG164" s="456"/>
      <c r="EH164" s="456"/>
      <c r="EI164" s="456"/>
      <c r="EJ164" s="456"/>
      <c r="EK164" s="456"/>
      <c r="EL164" s="456"/>
      <c r="EM164" s="456"/>
      <c r="EN164" s="456"/>
      <c r="EO164" s="456"/>
      <c r="EP164" s="456"/>
      <c r="EQ164" s="456"/>
      <c r="ER164" s="456"/>
      <c r="ES164" s="456"/>
      <c r="ET164" s="456"/>
      <c r="EU164" s="456"/>
      <c r="EV164" s="456"/>
      <c r="EW164" s="456"/>
      <c r="EX164" s="456"/>
      <c r="EY164" s="456"/>
      <c r="EZ164" s="456"/>
      <c r="FA164" s="456"/>
      <c r="FB164" s="456"/>
      <c r="FC164" s="456"/>
      <c r="FD164" s="456"/>
      <c r="FE164" s="456"/>
      <c r="FF164" s="456"/>
      <c r="FG164" s="456"/>
      <c r="FH164" s="456"/>
      <c r="FI164" s="456"/>
      <c r="FJ164" s="456"/>
      <c r="FK164" s="456"/>
      <c r="FL164" s="456"/>
      <c r="FM164" s="456"/>
      <c r="FN164" s="456"/>
      <c r="FO164" s="456"/>
      <c r="FP164" s="456"/>
      <c r="FQ164" s="456"/>
      <c r="FR164" s="456"/>
      <c r="FS164" s="456"/>
      <c r="FT164" s="456"/>
      <c r="FU164" s="456"/>
      <c r="FV164" s="456"/>
      <c r="FW164" s="456"/>
      <c r="FX164" s="456"/>
      <c r="FY164" s="456"/>
      <c r="FZ164" s="456"/>
      <c r="GA164" s="456"/>
      <c r="GB164" s="456"/>
      <c r="GC164" s="456"/>
      <c r="GD164" s="456"/>
      <c r="GE164" s="456"/>
      <c r="GF164" s="456"/>
      <c r="GG164" s="456"/>
      <c r="GH164" s="456"/>
      <c r="GI164" s="456"/>
      <c r="GJ164" s="456"/>
      <c r="GK164" s="456"/>
      <c r="GL164" s="456"/>
      <c r="GM164" s="456"/>
      <c r="GN164" s="456"/>
      <c r="GO164" s="456"/>
      <c r="GP164" s="456"/>
      <c r="GQ164" s="456"/>
      <c r="GR164" s="456"/>
      <c r="GS164" s="456"/>
      <c r="GT164" s="456"/>
      <c r="GU164" s="456"/>
      <c r="GV164" s="456"/>
      <c r="GW164" s="456"/>
      <c r="GX164" s="456"/>
      <c r="GY164" s="456"/>
      <c r="GZ164" s="456"/>
      <c r="HA164" s="456"/>
      <c r="HB164" s="456"/>
      <c r="HC164" s="456"/>
      <c r="HD164" s="456"/>
      <c r="HE164" s="456"/>
      <c r="HF164" s="456"/>
      <c r="HG164" s="456"/>
      <c r="HH164" s="456"/>
      <c r="HI164" s="456"/>
      <c r="HJ164" s="456"/>
      <c r="HK164" s="456"/>
      <c r="HL164" s="456"/>
      <c r="HM164" s="456"/>
      <c r="HN164" s="456"/>
      <c r="HO164" s="456"/>
      <c r="HP164" s="456"/>
      <c r="HQ164" s="456"/>
      <c r="HR164" s="456"/>
      <c r="HS164" s="456"/>
      <c r="HT164" s="456"/>
      <c r="HU164" s="456"/>
      <c r="HV164" s="456"/>
      <c r="HW164" s="456"/>
      <c r="HX164" s="456"/>
      <c r="HY164" s="456"/>
      <c r="HZ164" s="456"/>
      <c r="IA164" s="456"/>
      <c r="IB164" s="456"/>
      <c r="IC164" s="456"/>
      <c r="ID164" s="456"/>
      <c r="IE164" s="456"/>
      <c r="IF164" s="456"/>
      <c r="IG164" s="456"/>
      <c r="IH164" s="456"/>
      <c r="II164" s="456"/>
      <c r="IJ164" s="456"/>
      <c r="IK164" s="456"/>
      <c r="IL164" s="456"/>
      <c r="IM164" s="456"/>
      <c r="IN164" s="456"/>
      <c r="IO164" s="456"/>
      <c r="IP164" s="456"/>
      <c r="IQ164" s="456"/>
      <c r="IR164" s="456"/>
      <c r="IS164" s="456"/>
      <c r="IT164" s="456"/>
      <c r="IU164" s="456"/>
      <c r="IV164" s="456"/>
      <c r="IW164" s="456"/>
      <c r="IX164" s="456"/>
      <c r="IY164" s="456"/>
      <c r="IZ164" s="456"/>
      <c r="JA164" s="456"/>
      <c r="JB164" s="456"/>
      <c r="JC164" s="456"/>
      <c r="JD164" s="456"/>
      <c r="JE164" s="456"/>
      <c r="JF164" s="456"/>
      <c r="JG164" s="456"/>
      <c r="JH164" s="456"/>
      <c r="JI164" s="456"/>
      <c r="JJ164" s="456"/>
      <c r="JK164" s="456"/>
      <c r="JL164" s="456"/>
      <c r="JM164" s="456"/>
      <c r="JN164" s="456"/>
      <c r="JO164" s="456"/>
      <c r="JP164" s="456"/>
      <c r="JQ164" s="456"/>
      <c r="JR164" s="456"/>
      <c r="JS164" s="456"/>
      <c r="JT164" s="456"/>
      <c r="JU164" s="456"/>
      <c r="JV164" s="456"/>
      <c r="JW164" s="456"/>
      <c r="JX164" s="456"/>
      <c r="JY164" s="456"/>
      <c r="JZ164" s="456"/>
      <c r="KA164" s="456"/>
      <c r="KB164" s="456"/>
      <c r="KC164" s="456"/>
      <c r="KD164" s="456"/>
      <c r="KE164" s="456"/>
      <c r="KF164" s="456"/>
      <c r="KG164" s="456"/>
      <c r="KH164" s="456"/>
      <c r="KI164" s="456"/>
      <c r="KJ164" s="456"/>
      <c r="KK164" s="456"/>
      <c r="KL164" s="456"/>
      <c r="KM164" s="456"/>
      <c r="KN164" s="456"/>
      <c r="KO164" s="456"/>
      <c r="KP164" s="456"/>
      <c r="KQ164" s="456"/>
      <c r="KR164" s="456"/>
      <c r="KS164" s="456"/>
      <c r="KT164" s="456"/>
      <c r="KU164" s="456"/>
      <c r="KV164" s="456"/>
      <c r="KW164" s="456"/>
      <c r="KX164" s="456"/>
      <c r="KY164" s="456"/>
      <c r="KZ164" s="456"/>
      <c r="LA164" s="456"/>
      <c r="LB164" s="456"/>
      <c r="LC164" s="456"/>
      <c r="LD164" s="456"/>
      <c r="LE164" s="456"/>
      <c r="LF164" s="456"/>
      <c r="LG164" s="456"/>
      <c r="LH164" s="456"/>
      <c r="LI164" s="456"/>
      <c r="LJ164" s="456"/>
      <c r="LK164" s="456"/>
      <c r="LL164" s="456"/>
      <c r="LM164" s="456"/>
      <c r="LN164" s="456"/>
      <c r="LO164" s="456"/>
      <c r="LP164" s="456"/>
      <c r="LQ164" s="456"/>
      <c r="LR164" s="456"/>
      <c r="LS164" s="456"/>
      <c r="LT164" s="456"/>
      <c r="LU164" s="456"/>
      <c r="LV164" s="456"/>
      <c r="LW164" s="456"/>
      <c r="LX164" s="456"/>
      <c r="LY164" s="456"/>
      <c r="LZ164" s="456"/>
      <c r="MA164" s="456"/>
      <c r="MB164" s="456"/>
      <c r="MC164" s="456"/>
      <c r="MD164" s="456"/>
      <c r="ME164" s="456"/>
      <c r="MF164" s="456"/>
      <c r="MG164" s="456"/>
      <c r="MH164" s="456"/>
      <c r="MI164" s="456"/>
      <c r="MJ164" s="456"/>
      <c r="MK164" s="456"/>
      <c r="ML164" s="456"/>
      <c r="MM164" s="456"/>
      <c r="MN164" s="456"/>
      <c r="MO164" s="456"/>
      <c r="MP164" s="456"/>
      <c r="MQ164" s="456"/>
      <c r="MR164" s="456"/>
      <c r="MS164" s="456"/>
      <c r="MT164" s="456"/>
      <c r="MU164" s="456"/>
      <c r="MV164" s="456"/>
      <c r="MW164" s="456"/>
      <c r="MX164" s="456"/>
      <c r="MY164" s="456"/>
      <c r="MZ164" s="456"/>
      <c r="NA164" s="456"/>
      <c r="NB164" s="456"/>
      <c r="NC164" s="456"/>
      <c r="ND164" s="456"/>
      <c r="NE164" s="456"/>
      <c r="NF164" s="456"/>
      <c r="NG164" s="456"/>
      <c r="NH164" s="456"/>
      <c r="NI164" s="456"/>
      <c r="NJ164" s="456"/>
      <c r="NK164" s="456"/>
      <c r="NL164" s="456"/>
      <c r="NM164" s="456"/>
      <c r="NN164" s="456"/>
      <c r="NO164" s="456"/>
      <c r="NP164" s="456"/>
      <c r="NQ164" s="456"/>
      <c r="NR164" s="456"/>
      <c r="NS164" s="456"/>
      <c r="NT164" s="456"/>
      <c r="NU164" s="456"/>
      <c r="NV164" s="456"/>
      <c r="NW164" s="456"/>
      <c r="NX164" s="456"/>
      <c r="NY164" s="456"/>
      <c r="NZ164" s="456"/>
      <c r="OA164" s="456"/>
      <c r="OB164" s="456"/>
      <c r="OC164" s="456"/>
      <c r="OD164" s="456"/>
      <c r="OE164" s="456"/>
      <c r="OF164" s="456"/>
      <c r="OG164" s="456"/>
      <c r="OH164" s="456"/>
      <c r="OI164" s="456"/>
      <c r="OJ164" s="456"/>
      <c r="OK164" s="456"/>
      <c r="OL164" s="456"/>
      <c r="OM164" s="456"/>
      <c r="ON164" s="456"/>
      <c r="OO164" s="456"/>
      <c r="OP164" s="456"/>
      <c r="OQ164" s="456"/>
      <c r="OR164" s="456"/>
      <c r="OS164" s="456"/>
      <c r="OT164" s="456"/>
      <c r="OU164" s="456"/>
      <c r="OV164" s="456"/>
      <c r="OW164" s="456"/>
      <c r="OX164" s="456"/>
      <c r="OY164" s="456"/>
      <c r="OZ164" s="456"/>
      <c r="PA164" s="456"/>
      <c r="PB164" s="456"/>
      <c r="PC164" s="456"/>
      <c r="PD164" s="456"/>
      <c r="PE164" s="456"/>
      <c r="PF164" s="456"/>
      <c r="PG164" s="456"/>
      <c r="PH164" s="456"/>
      <c r="PI164" s="456"/>
      <c r="PJ164" s="456"/>
      <c r="PK164" s="456"/>
      <c r="PL164" s="456"/>
      <c r="PM164" s="456"/>
      <c r="PN164" s="456"/>
      <c r="PO164" s="456"/>
      <c r="PP164" s="456"/>
      <c r="PQ164" s="456"/>
      <c r="PR164" s="456"/>
      <c r="PS164" s="456"/>
      <c r="PT164" s="456"/>
      <c r="PU164" s="456"/>
      <c r="PV164" s="456"/>
      <c r="PW164" s="456"/>
      <c r="PX164" s="456"/>
      <c r="PY164" s="456"/>
      <c r="PZ164" s="456"/>
      <c r="QA164" s="456"/>
      <c r="QB164" s="456"/>
      <c r="QC164" s="456"/>
      <c r="QD164" s="456"/>
      <c r="QE164" s="456"/>
      <c r="QF164" s="456"/>
      <c r="QG164" s="456"/>
      <c r="QH164" s="456"/>
      <c r="QI164" s="456"/>
      <c r="QJ164" s="456"/>
      <c r="QK164" s="456"/>
      <c r="QL164" s="456"/>
      <c r="QM164" s="456"/>
      <c r="QN164" s="456"/>
      <c r="QO164" s="456"/>
      <c r="QP164" s="456"/>
      <c r="QQ164" s="456"/>
      <c r="QR164" s="456"/>
      <c r="QS164" s="456"/>
      <c r="QT164" s="456"/>
      <c r="QU164" s="456"/>
      <c r="QV164" s="456"/>
      <c r="QW164" s="456"/>
      <c r="QX164" s="456"/>
      <c r="QY164" s="456"/>
      <c r="QZ164" s="456"/>
      <c r="RA164" s="456"/>
      <c r="RB164" s="456"/>
      <c r="RC164" s="456"/>
      <c r="RD164" s="456"/>
      <c r="RE164" s="456"/>
      <c r="RF164" s="456"/>
      <c r="RG164" s="456"/>
      <c r="RH164" s="456"/>
      <c r="RI164" s="456"/>
      <c r="RJ164" s="456"/>
      <c r="RK164" s="456"/>
      <c r="RL164" s="456"/>
      <c r="RM164" s="456"/>
      <c r="RN164" s="456"/>
      <c r="RO164" s="456"/>
      <c r="RP164" s="456"/>
      <c r="RQ164" s="456"/>
      <c r="RR164" s="456"/>
      <c r="RS164" s="456"/>
      <c r="RT164" s="456"/>
      <c r="RU164" s="456"/>
      <c r="RV164" s="456"/>
      <c r="RW164" s="456"/>
      <c r="RX164" s="456"/>
      <c r="RY164" s="456"/>
      <c r="RZ164" s="456"/>
      <c r="SA164" s="456"/>
      <c r="SB164" s="456"/>
      <c r="SC164" s="456"/>
      <c r="SD164" s="456"/>
      <c r="SE164" s="456"/>
      <c r="SF164" s="456"/>
      <c r="SG164" s="456"/>
      <c r="SH164" s="456"/>
      <c r="SI164" s="456"/>
      <c r="SJ164" s="456"/>
      <c r="SK164" s="456"/>
      <c r="SL164" s="456"/>
      <c r="SM164" s="456"/>
      <c r="SN164" s="456"/>
      <c r="SO164" s="456"/>
      <c r="SP164" s="456"/>
      <c r="SQ164" s="456"/>
      <c r="SR164" s="456"/>
      <c r="SS164" s="456"/>
      <c r="ST164" s="456"/>
      <c r="SU164" s="456"/>
      <c r="SV164" s="456"/>
      <c r="SW164" s="456"/>
      <c r="SX164" s="456"/>
      <c r="SY164" s="456"/>
      <c r="SZ164" s="456"/>
      <c r="TA164" s="456"/>
      <c r="TB164" s="456"/>
      <c r="TC164" s="456"/>
      <c r="TD164" s="456"/>
      <c r="TE164" s="456"/>
      <c r="TF164" s="456"/>
      <c r="TG164" s="456"/>
      <c r="TH164" s="456"/>
      <c r="TI164" s="456"/>
      <c r="TJ164" s="456"/>
      <c r="TK164" s="456"/>
      <c r="TL164" s="456"/>
      <c r="TM164" s="456"/>
      <c r="TN164" s="456"/>
      <c r="TO164" s="456"/>
      <c r="TP164" s="456"/>
      <c r="TQ164" s="456"/>
      <c r="TR164" s="456"/>
      <c r="TS164" s="456"/>
      <c r="TT164" s="456"/>
      <c r="TU164" s="456"/>
      <c r="TV164" s="456"/>
      <c r="TW164" s="456"/>
      <c r="TX164" s="456"/>
      <c r="TY164" s="456"/>
      <c r="TZ164" s="456"/>
      <c r="UA164" s="456"/>
      <c r="UB164" s="456"/>
      <c r="UC164" s="456"/>
      <c r="UD164" s="456"/>
      <c r="UE164" s="456"/>
      <c r="UF164" s="456"/>
      <c r="UG164" s="456"/>
      <c r="UH164" s="456"/>
      <c r="UI164" s="456"/>
      <c r="UJ164" s="456"/>
      <c r="UK164" s="456"/>
      <c r="UL164" s="456"/>
      <c r="UM164" s="456"/>
      <c r="UN164" s="456"/>
      <c r="UO164" s="456"/>
      <c r="UP164" s="456"/>
      <c r="UQ164" s="456"/>
      <c r="UR164" s="456"/>
      <c r="US164" s="456"/>
      <c r="UT164" s="456"/>
      <c r="UU164" s="456"/>
      <c r="UV164" s="456"/>
      <c r="UW164" s="456"/>
      <c r="UX164" s="456"/>
      <c r="UY164" s="456"/>
      <c r="UZ164" s="456"/>
      <c r="VA164" s="456"/>
      <c r="VB164" s="456"/>
      <c r="VC164" s="456"/>
      <c r="VD164" s="456"/>
      <c r="VE164" s="456"/>
      <c r="VF164" s="456"/>
      <c r="VG164" s="456"/>
      <c r="VH164" s="456"/>
      <c r="VI164" s="456"/>
      <c r="VJ164" s="456"/>
      <c r="VK164" s="456"/>
      <c r="VL164" s="456"/>
      <c r="VM164" s="456"/>
      <c r="VN164" s="456"/>
      <c r="VO164" s="456"/>
      <c r="VP164" s="456"/>
      <c r="VQ164" s="456"/>
      <c r="VR164" s="456"/>
      <c r="VS164" s="456"/>
      <c r="VT164" s="456"/>
      <c r="VU164" s="456"/>
      <c r="VV164" s="456"/>
      <c r="VW164" s="456"/>
      <c r="VX164" s="456"/>
      <c r="VY164" s="456"/>
      <c r="VZ164" s="456"/>
      <c r="WA164" s="456"/>
      <c r="WB164" s="456"/>
      <c r="WC164" s="456"/>
      <c r="WD164" s="456"/>
      <c r="WE164" s="456"/>
      <c r="WF164" s="456"/>
      <c r="WG164" s="456"/>
      <c r="WH164" s="456"/>
      <c r="WI164" s="456"/>
      <c r="WJ164" s="456"/>
      <c r="WK164" s="456"/>
      <c r="WL164" s="456"/>
      <c r="WM164" s="456"/>
      <c r="WN164" s="456"/>
      <c r="WO164" s="456"/>
      <c r="WP164" s="456"/>
      <c r="WQ164" s="456"/>
      <c r="WR164" s="456"/>
      <c r="WS164" s="456"/>
      <c r="WT164" s="456"/>
      <c r="WU164" s="456"/>
      <c r="WV164" s="456"/>
      <c r="WW164" s="456"/>
      <c r="WX164" s="456"/>
      <c r="WY164" s="456"/>
      <c r="WZ164" s="456"/>
      <c r="XA164" s="456"/>
      <c r="XB164" s="456"/>
      <c r="XC164" s="456"/>
      <c r="XD164" s="456"/>
      <c r="XE164" s="456"/>
      <c r="XF164" s="456"/>
      <c r="XG164" s="456"/>
      <c r="XH164" s="456"/>
      <c r="XI164" s="456"/>
      <c r="XJ164" s="456"/>
      <c r="XK164" s="456"/>
      <c r="XL164" s="456"/>
      <c r="XM164" s="456"/>
      <c r="XN164" s="456"/>
      <c r="XO164" s="456"/>
      <c r="XP164" s="456"/>
      <c r="XQ164" s="456"/>
      <c r="XR164" s="456"/>
      <c r="XS164" s="456"/>
      <c r="XT164" s="456"/>
      <c r="XU164" s="456"/>
      <c r="XV164" s="456"/>
      <c r="XW164" s="456"/>
      <c r="XX164" s="456"/>
      <c r="XY164" s="456"/>
      <c r="XZ164" s="456"/>
      <c r="YA164" s="456"/>
      <c r="YB164" s="456"/>
      <c r="YC164" s="456"/>
      <c r="YD164" s="456"/>
      <c r="YE164" s="456"/>
      <c r="YF164" s="456"/>
      <c r="YG164" s="456"/>
      <c r="YH164" s="456"/>
      <c r="YI164" s="456"/>
      <c r="YJ164" s="456"/>
      <c r="YK164" s="456"/>
      <c r="YL164" s="456"/>
      <c r="YM164" s="456"/>
      <c r="YN164" s="456"/>
      <c r="YO164" s="456"/>
      <c r="YP164" s="456"/>
      <c r="YQ164" s="456"/>
      <c r="YR164" s="456"/>
      <c r="YS164" s="456"/>
      <c r="YT164" s="456"/>
      <c r="YU164" s="456"/>
      <c r="YV164" s="456"/>
      <c r="YW164" s="456"/>
      <c r="YX164" s="456"/>
      <c r="YY164" s="456"/>
      <c r="YZ164" s="456"/>
      <c r="ZA164" s="456"/>
      <c r="ZB164" s="456"/>
      <c r="ZC164" s="456"/>
      <c r="ZD164" s="456"/>
      <c r="ZE164" s="456"/>
      <c r="ZF164" s="456"/>
      <c r="ZG164" s="456"/>
      <c r="ZH164" s="456"/>
      <c r="ZI164" s="456"/>
      <c r="ZJ164" s="456"/>
      <c r="ZK164" s="456"/>
      <c r="ZL164" s="456"/>
      <c r="ZM164" s="456"/>
      <c r="ZN164" s="456"/>
      <c r="ZO164" s="456"/>
      <c r="ZP164" s="456"/>
      <c r="ZQ164" s="456"/>
      <c r="ZR164" s="456"/>
      <c r="ZS164" s="456"/>
      <c r="ZT164" s="456"/>
      <c r="ZU164" s="456"/>
      <c r="ZV164" s="456"/>
      <c r="ZW164" s="456"/>
      <c r="ZX164" s="456"/>
      <c r="ZY164" s="456"/>
      <c r="ZZ164" s="456"/>
      <c r="AAA164" s="456"/>
      <c r="AAB164" s="456"/>
      <c r="AAC164" s="456"/>
      <c r="AAD164" s="456"/>
      <c r="AAE164" s="456"/>
      <c r="AAF164" s="456"/>
      <c r="AAG164" s="456"/>
      <c r="AAH164" s="456"/>
      <c r="AAI164" s="456"/>
      <c r="AAJ164" s="456"/>
      <c r="AAK164" s="456"/>
      <c r="AAL164" s="456"/>
      <c r="AAM164" s="456"/>
      <c r="AAN164" s="456"/>
      <c r="AAO164" s="456"/>
      <c r="AAP164" s="456"/>
      <c r="AAQ164" s="456"/>
      <c r="AAR164" s="456"/>
      <c r="AAS164" s="456"/>
      <c r="AAT164" s="456"/>
      <c r="AAU164" s="456"/>
      <c r="AAV164" s="456"/>
      <c r="AAW164" s="456"/>
      <c r="AAX164" s="456"/>
      <c r="AAY164" s="456"/>
      <c r="AAZ164" s="456"/>
      <c r="ABA164" s="456"/>
      <c r="ABB164" s="456"/>
      <c r="ABC164" s="456"/>
      <c r="ABD164" s="456"/>
      <c r="ABE164" s="456"/>
      <c r="ABF164" s="456"/>
      <c r="ABG164" s="456"/>
      <c r="ABH164" s="456"/>
      <c r="ABI164" s="456"/>
      <c r="ABJ164" s="456"/>
      <c r="ABK164" s="456"/>
      <c r="ABL164" s="456"/>
      <c r="ABM164" s="456"/>
      <c r="ABN164" s="456"/>
      <c r="ABO164" s="456"/>
      <c r="ABP164" s="456"/>
      <c r="ABQ164" s="456"/>
      <c r="ABR164" s="456"/>
      <c r="ABS164" s="456"/>
      <c r="ABT164" s="456"/>
      <c r="ABU164" s="456"/>
      <c r="ABV164" s="456"/>
      <c r="ABW164" s="456"/>
      <c r="ABX164" s="456"/>
      <c r="ABY164" s="456"/>
      <c r="ABZ164" s="456"/>
      <c r="ACA164" s="456"/>
      <c r="ACB164" s="456"/>
      <c r="ACC164" s="456"/>
      <c r="ACD164" s="456"/>
      <c r="ACE164" s="456"/>
      <c r="ACF164" s="456"/>
      <c r="ACG164" s="456"/>
      <c r="ACH164" s="456"/>
      <c r="ACI164" s="456"/>
      <c r="ACJ164" s="456"/>
      <c r="ACK164" s="456"/>
      <c r="ACL164" s="456"/>
      <c r="ACM164" s="456"/>
      <c r="ACN164" s="456"/>
      <c r="ACO164" s="456"/>
      <c r="ACP164" s="456"/>
      <c r="ACQ164" s="456"/>
      <c r="ACR164" s="456"/>
      <c r="ACS164" s="456"/>
      <c r="ACT164" s="456"/>
      <c r="ACU164" s="456"/>
      <c r="ACV164" s="456"/>
      <c r="ACW164" s="456"/>
      <c r="ACX164" s="456"/>
      <c r="ACY164" s="456"/>
      <c r="ACZ164" s="456"/>
      <c r="ADA164" s="456"/>
      <c r="ADB164" s="456"/>
      <c r="ADC164" s="456"/>
      <c r="ADD164" s="456"/>
      <c r="ADE164" s="456"/>
      <c r="ADF164" s="456"/>
      <c r="ADG164" s="456"/>
      <c r="ADH164" s="456"/>
      <c r="ADI164" s="456"/>
      <c r="ADJ164" s="456"/>
      <c r="ADK164" s="456"/>
      <c r="ADL164" s="456"/>
      <c r="ADM164" s="456"/>
      <c r="ADN164" s="456"/>
      <c r="ADO164" s="456"/>
      <c r="ADP164" s="456"/>
      <c r="ADQ164" s="456"/>
      <c r="ADR164" s="456"/>
      <c r="ADS164" s="456"/>
      <c r="ADT164" s="456"/>
      <c r="ADU164" s="456"/>
      <c r="ADV164" s="456"/>
      <c r="ADW164" s="456"/>
      <c r="ADX164" s="456"/>
      <c r="ADY164" s="456"/>
      <c r="ADZ164" s="456"/>
      <c r="AEA164" s="456"/>
      <c r="AEB164" s="456"/>
      <c r="AEC164" s="456"/>
      <c r="AED164" s="456"/>
      <c r="AEE164" s="456"/>
      <c r="AEF164" s="456"/>
      <c r="AEG164" s="456"/>
      <c r="AEH164" s="456"/>
      <c r="AEI164" s="456"/>
      <c r="AEJ164" s="456"/>
      <c r="AEK164" s="456"/>
      <c r="AEL164" s="456"/>
      <c r="AEM164" s="456"/>
      <c r="AEN164" s="456"/>
      <c r="AEO164" s="456"/>
      <c r="AEP164" s="456"/>
      <c r="AEQ164" s="456"/>
      <c r="AER164" s="456"/>
      <c r="AES164" s="456"/>
      <c r="AET164" s="456"/>
      <c r="AEU164" s="456"/>
      <c r="AEV164" s="456"/>
      <c r="AEW164" s="456"/>
      <c r="AEX164" s="456"/>
      <c r="AEY164" s="456"/>
      <c r="AEZ164" s="456"/>
      <c r="AFA164" s="456"/>
      <c r="AFB164" s="456"/>
      <c r="AFC164" s="456"/>
      <c r="AFD164" s="456"/>
      <c r="AFE164" s="456"/>
      <c r="AFF164" s="456"/>
      <c r="AFG164" s="456"/>
      <c r="AFH164" s="456"/>
      <c r="AFI164" s="456"/>
      <c r="AFJ164" s="456"/>
      <c r="AFK164" s="456"/>
      <c r="AFL164" s="456"/>
      <c r="AFM164" s="456"/>
      <c r="AFN164" s="456"/>
      <c r="AFO164" s="456"/>
      <c r="AFP164" s="456"/>
      <c r="AFQ164" s="456"/>
      <c r="AFR164" s="456"/>
      <c r="AFS164" s="456"/>
      <c r="AFT164" s="456"/>
      <c r="AFU164" s="456"/>
      <c r="AFV164" s="456"/>
      <c r="AFW164" s="456"/>
      <c r="AFX164" s="456"/>
      <c r="AFY164" s="456"/>
      <c r="AFZ164" s="456"/>
      <c r="AGA164" s="456"/>
      <c r="AGB164" s="456"/>
      <c r="AGC164" s="456"/>
      <c r="AGD164" s="456"/>
      <c r="AGE164" s="456"/>
      <c r="AGF164" s="456"/>
      <c r="AGG164" s="456"/>
      <c r="AGH164" s="456"/>
      <c r="AGI164" s="456"/>
      <c r="AGJ164" s="456"/>
      <c r="AGK164" s="456"/>
      <c r="AGL164" s="456"/>
      <c r="AGM164" s="456"/>
      <c r="AGN164" s="456"/>
      <c r="AGO164" s="456"/>
      <c r="AGP164" s="456"/>
      <c r="AGQ164" s="456"/>
      <c r="AGR164" s="456"/>
      <c r="AGS164" s="456"/>
      <c r="AGT164" s="456"/>
      <c r="AGU164" s="456"/>
      <c r="AGV164" s="456"/>
      <c r="AGW164" s="456"/>
      <c r="AGX164" s="456"/>
      <c r="AGY164" s="456"/>
      <c r="AGZ164" s="456"/>
      <c r="AHA164" s="456"/>
      <c r="AHB164" s="456"/>
      <c r="AHC164" s="456"/>
      <c r="AHD164" s="456"/>
      <c r="AHE164" s="456"/>
      <c r="AHF164" s="456"/>
      <c r="AHG164" s="456"/>
      <c r="AHH164" s="456"/>
      <c r="AHI164" s="456"/>
      <c r="AHJ164" s="456"/>
      <c r="AHK164" s="456"/>
      <c r="AHL164" s="456"/>
      <c r="AHM164" s="456"/>
      <c r="AHN164" s="456"/>
      <c r="AHO164" s="456"/>
      <c r="AHP164" s="456"/>
      <c r="AHQ164" s="456"/>
      <c r="AHR164" s="456"/>
      <c r="AHS164" s="456"/>
      <c r="AHT164" s="456"/>
      <c r="AHU164" s="456"/>
      <c r="AHV164" s="456"/>
      <c r="AHW164" s="456"/>
      <c r="AHX164" s="456"/>
      <c r="AHY164" s="456"/>
      <c r="AHZ164" s="456"/>
      <c r="AIA164" s="456"/>
      <c r="AIB164" s="456"/>
      <c r="AIC164" s="456"/>
      <c r="AID164" s="456"/>
      <c r="AIE164" s="456"/>
      <c r="AIF164" s="456"/>
      <c r="AIG164" s="456"/>
      <c r="AIH164" s="456"/>
      <c r="AII164" s="456"/>
      <c r="AIJ164" s="456"/>
      <c r="AIK164" s="456"/>
      <c r="AIL164" s="456"/>
      <c r="AIM164" s="456"/>
      <c r="AIN164" s="456"/>
      <c r="AIO164" s="456"/>
      <c r="AIP164" s="456"/>
      <c r="AIQ164" s="456"/>
      <c r="AIR164" s="456"/>
      <c r="AIS164" s="456"/>
      <c r="AIT164" s="456"/>
      <c r="AIU164" s="456"/>
      <c r="AIV164" s="456"/>
      <c r="AIW164" s="456"/>
      <c r="AIX164" s="456"/>
      <c r="AIY164" s="456"/>
      <c r="AIZ164" s="456"/>
      <c r="AJA164" s="456"/>
      <c r="AJB164" s="456"/>
      <c r="AJC164" s="456"/>
      <c r="AJD164" s="456"/>
      <c r="AJE164" s="456"/>
      <c r="AJF164" s="456"/>
      <c r="AJG164" s="456"/>
      <c r="AJH164" s="456"/>
      <c r="AJI164" s="456"/>
      <c r="AJJ164" s="456"/>
      <c r="AJK164" s="456"/>
      <c r="AJL164" s="456"/>
      <c r="AJM164" s="456"/>
      <c r="AJN164" s="456"/>
      <c r="AJO164" s="456"/>
      <c r="AJP164" s="456"/>
      <c r="AJQ164" s="456"/>
      <c r="AJR164" s="456"/>
      <c r="AJS164" s="456"/>
      <c r="AJT164" s="456"/>
      <c r="AJU164" s="456"/>
      <c r="AJV164" s="456"/>
      <c r="AJW164" s="456"/>
      <c r="AJX164" s="456"/>
      <c r="AJY164" s="456"/>
      <c r="AJZ164" s="456"/>
      <c r="AKA164" s="456"/>
      <c r="AKB164" s="456"/>
      <c r="AKC164" s="456"/>
      <c r="AKD164" s="456"/>
      <c r="AKE164" s="456"/>
      <c r="AKF164" s="456"/>
      <c r="AKG164" s="456"/>
      <c r="AKH164" s="456"/>
      <c r="AKI164" s="456"/>
      <c r="AKJ164" s="456"/>
      <c r="AKK164" s="456"/>
      <c r="AKL164" s="456"/>
      <c r="AKM164" s="456"/>
      <c r="AKN164" s="456"/>
      <c r="AKO164" s="456"/>
      <c r="AKP164" s="456"/>
      <c r="AKQ164" s="456"/>
      <c r="AKR164" s="456"/>
      <c r="AKS164" s="456"/>
      <c r="AKT164" s="456"/>
      <c r="AKU164" s="456"/>
      <c r="AKV164" s="456"/>
      <c r="AKW164" s="456"/>
      <c r="AKX164" s="456"/>
      <c r="AKY164" s="456"/>
      <c r="AKZ164" s="456"/>
      <c r="ALA164" s="456"/>
      <c r="ALB164" s="456"/>
      <c r="ALC164" s="456"/>
      <c r="ALD164" s="456"/>
      <c r="ALE164" s="456"/>
      <c r="ALF164" s="456"/>
      <c r="ALG164" s="456"/>
      <c r="ALH164" s="456"/>
      <c r="ALI164" s="456"/>
      <c r="ALJ164" s="456"/>
      <c r="ALK164" s="456"/>
      <c r="ALL164" s="456"/>
      <c r="ALM164" s="456"/>
      <c r="ALN164" s="456"/>
      <c r="ALO164" s="456"/>
      <c r="ALP164" s="456"/>
      <c r="ALQ164" s="456"/>
      <c r="ALR164" s="456"/>
      <c r="ALS164" s="456"/>
      <c r="ALT164" s="456"/>
      <c r="ALU164" s="456"/>
      <c r="ALV164" s="456"/>
      <c r="ALW164" s="456"/>
      <c r="ALX164" s="456"/>
      <c r="ALY164" s="456"/>
      <c r="ALZ164" s="456"/>
      <c r="AMA164" s="456"/>
      <c r="AMB164" s="456"/>
      <c r="AMC164" s="456"/>
      <c r="AMD164" s="456"/>
      <c r="AME164" s="456"/>
      <c r="AMF164" s="456"/>
      <c r="AMG164" s="456"/>
      <c r="AMH164" s="456"/>
      <c r="AMI164" s="456"/>
      <c r="AMJ164" s="456"/>
      <c r="AMK164" s="456"/>
      <c r="AML164" s="456"/>
      <c r="AMM164" s="456"/>
      <c r="AMN164" s="456"/>
      <c r="AMO164" s="456"/>
      <c r="AMP164" s="456"/>
      <c r="AMQ164" s="456"/>
      <c r="AMR164" s="456"/>
      <c r="AMS164" s="456"/>
      <c r="AMT164" s="456"/>
      <c r="AMU164" s="456"/>
      <c r="AMV164" s="456"/>
      <c r="AMW164" s="456"/>
      <c r="AMX164" s="456"/>
      <c r="AMY164" s="456"/>
      <c r="AMZ164" s="456"/>
      <c r="ANA164" s="456"/>
      <c r="ANB164" s="456"/>
      <c r="ANC164" s="456"/>
      <c r="AND164" s="456"/>
      <c r="ANE164" s="456"/>
      <c r="ANF164" s="456"/>
      <c r="ANG164" s="456"/>
      <c r="ANH164" s="456"/>
      <c r="ANI164" s="456"/>
      <c r="ANJ164" s="456"/>
      <c r="ANK164" s="456"/>
      <c r="ANL164" s="456"/>
      <c r="ANM164" s="456"/>
      <c r="ANN164" s="456"/>
      <c r="ANO164" s="456"/>
      <c r="ANP164" s="456"/>
      <c r="ANQ164" s="456"/>
      <c r="ANR164" s="456"/>
      <c r="ANS164" s="456"/>
      <c r="ANT164" s="456"/>
      <c r="ANU164" s="456"/>
      <c r="ANV164" s="456"/>
      <c r="ANW164" s="456"/>
      <c r="ANX164" s="456"/>
      <c r="ANY164" s="456"/>
      <c r="ANZ164" s="456"/>
      <c r="AOA164" s="456"/>
      <c r="AOB164" s="456"/>
      <c r="AOC164" s="456"/>
      <c r="AOD164" s="456"/>
      <c r="AOE164" s="456"/>
      <c r="AOF164" s="456"/>
      <c r="AOG164" s="456"/>
      <c r="AOH164" s="456"/>
      <c r="AOI164" s="456"/>
      <c r="AOJ164" s="456"/>
      <c r="AOK164" s="456"/>
      <c r="AOL164" s="456"/>
      <c r="AOM164" s="456"/>
      <c r="AON164" s="456"/>
      <c r="AOO164" s="456"/>
      <c r="AOP164" s="456"/>
      <c r="AOQ164" s="456"/>
      <c r="AOR164" s="456"/>
      <c r="AOS164" s="456"/>
      <c r="AOT164" s="456"/>
      <c r="AOU164" s="456"/>
      <c r="AOV164" s="456"/>
      <c r="AOW164" s="456"/>
      <c r="AOX164" s="456"/>
      <c r="AOY164" s="456"/>
      <c r="AOZ164" s="456"/>
      <c r="APA164" s="456"/>
      <c r="APB164" s="456"/>
      <c r="APC164" s="456"/>
      <c r="APD164" s="456"/>
      <c r="APE164" s="456"/>
      <c r="APF164" s="456"/>
      <c r="APG164" s="456"/>
      <c r="APH164" s="456"/>
      <c r="API164" s="456"/>
      <c r="APJ164" s="456"/>
      <c r="APK164" s="456"/>
      <c r="APL164" s="456"/>
      <c r="APM164" s="456"/>
      <c r="APN164" s="456"/>
      <c r="APO164" s="456"/>
      <c r="APP164" s="456"/>
      <c r="APQ164" s="456"/>
      <c r="APR164" s="456"/>
      <c r="APS164" s="456"/>
      <c r="APT164" s="456"/>
      <c r="APU164" s="456"/>
      <c r="APV164" s="456"/>
      <c r="APW164" s="456"/>
      <c r="APX164" s="456"/>
      <c r="APY164" s="456"/>
      <c r="APZ164" s="456"/>
      <c r="AQA164" s="456"/>
      <c r="AQB164" s="456"/>
      <c r="AQC164" s="456"/>
      <c r="AQD164" s="456"/>
      <c r="AQE164" s="456"/>
      <c r="AQF164" s="456"/>
      <c r="AQG164" s="456"/>
      <c r="AQH164" s="456"/>
      <c r="AQI164" s="456"/>
      <c r="AQJ164" s="456"/>
      <c r="AQK164" s="456"/>
      <c r="AQL164" s="456"/>
      <c r="AQM164" s="456"/>
      <c r="AQN164" s="456"/>
      <c r="AQO164" s="456"/>
      <c r="AQP164" s="456"/>
      <c r="AQQ164" s="456"/>
      <c r="AQR164" s="456"/>
      <c r="AQS164" s="456"/>
      <c r="AQT164" s="456"/>
      <c r="AQU164" s="456"/>
      <c r="AQV164" s="456"/>
      <c r="AQW164" s="456"/>
      <c r="AQX164" s="456"/>
      <c r="AQY164" s="456"/>
      <c r="AQZ164" s="456"/>
      <c r="ARA164" s="456"/>
      <c r="ARB164" s="456"/>
      <c r="ARC164" s="456"/>
      <c r="ARD164" s="456"/>
      <c r="ARE164" s="456"/>
      <c r="ARF164" s="456"/>
      <c r="ARG164" s="456"/>
      <c r="ARH164" s="456"/>
      <c r="ARI164" s="456"/>
      <c r="ARJ164" s="456"/>
      <c r="ARK164" s="456"/>
      <c r="ARL164" s="456"/>
      <c r="ARM164" s="456"/>
      <c r="ARN164" s="456"/>
      <c r="ARO164" s="456"/>
      <c r="ARP164" s="456"/>
      <c r="ARQ164" s="456"/>
      <c r="ARR164" s="456"/>
      <c r="ARS164" s="456"/>
      <c r="ART164" s="456"/>
      <c r="ARU164" s="456"/>
      <c r="ARV164" s="456"/>
      <c r="ARW164" s="456"/>
      <c r="ARX164" s="456"/>
      <c r="ARY164" s="456"/>
      <c r="ARZ164" s="456"/>
      <c r="ASA164" s="456"/>
      <c r="ASB164" s="456"/>
      <c r="ASC164" s="456"/>
      <c r="ASD164" s="456"/>
      <c r="ASE164" s="456"/>
      <c r="ASF164" s="456"/>
      <c r="ASG164" s="456"/>
      <c r="ASH164" s="456"/>
      <c r="ASI164" s="456"/>
      <c r="ASJ164" s="456"/>
      <c r="ASK164" s="456"/>
      <c r="ASL164" s="456"/>
      <c r="ASM164" s="456"/>
      <c r="ASN164" s="456"/>
      <c r="ASO164" s="456"/>
      <c r="ASP164" s="456"/>
      <c r="ASQ164" s="456"/>
      <c r="ASR164" s="456"/>
      <c r="ASS164" s="456"/>
      <c r="AST164" s="456"/>
      <c r="ASU164" s="456"/>
      <c r="ASV164" s="456"/>
      <c r="ASW164" s="456"/>
      <c r="ASX164" s="456"/>
      <c r="ASY164" s="456"/>
      <c r="ASZ164" s="456"/>
      <c r="ATA164" s="456"/>
      <c r="ATB164" s="456"/>
      <c r="ATC164" s="456"/>
      <c r="ATD164" s="456"/>
      <c r="ATE164" s="456"/>
      <c r="ATF164" s="456"/>
      <c r="ATG164" s="456"/>
      <c r="ATH164" s="456"/>
      <c r="ATI164" s="456"/>
      <c r="ATJ164" s="456"/>
      <c r="ATK164" s="456"/>
      <c r="ATL164" s="456"/>
      <c r="ATM164" s="456"/>
      <c r="ATN164" s="456"/>
      <c r="ATO164" s="456"/>
      <c r="ATP164" s="456"/>
      <c r="ATQ164" s="456"/>
      <c r="ATR164" s="456"/>
      <c r="ATS164" s="456"/>
      <c r="ATT164" s="456"/>
      <c r="ATU164" s="456"/>
      <c r="ATV164" s="456"/>
      <c r="ATW164" s="456"/>
      <c r="ATX164" s="456"/>
      <c r="ATY164" s="456"/>
      <c r="ATZ164" s="456"/>
      <c r="AUA164" s="456"/>
      <c r="AUB164" s="456"/>
      <c r="AUC164" s="456"/>
      <c r="AUD164" s="456"/>
      <c r="AUE164" s="456"/>
      <c r="AUF164" s="456"/>
      <c r="AUG164" s="456"/>
      <c r="AUH164" s="456"/>
      <c r="AUI164" s="456"/>
      <c r="AUJ164" s="456"/>
      <c r="AUK164" s="456"/>
      <c r="AUL164" s="456"/>
      <c r="AUM164" s="456"/>
      <c r="AUN164" s="456"/>
      <c r="AUO164" s="456"/>
      <c r="AUP164" s="456"/>
      <c r="AUQ164" s="456"/>
      <c r="AUR164" s="456"/>
      <c r="AUS164" s="456"/>
      <c r="AUT164" s="456"/>
      <c r="AUU164" s="456"/>
      <c r="AUV164" s="456"/>
      <c r="AUW164" s="456"/>
      <c r="AUX164" s="456"/>
      <c r="AUY164" s="456"/>
      <c r="AUZ164" s="456"/>
      <c r="AVA164" s="456"/>
      <c r="AVB164" s="456"/>
      <c r="AVC164" s="456"/>
      <c r="AVD164" s="456"/>
      <c r="AVE164" s="456"/>
      <c r="AVF164" s="456"/>
      <c r="AVG164" s="456"/>
      <c r="AVH164" s="456"/>
      <c r="AVI164" s="456"/>
      <c r="AVJ164" s="456"/>
      <c r="AVK164" s="456"/>
      <c r="AVL164" s="456"/>
      <c r="AVM164" s="456"/>
      <c r="AVN164" s="456"/>
      <c r="AVO164" s="456"/>
      <c r="AVP164" s="456"/>
      <c r="AVQ164" s="456"/>
      <c r="AVR164" s="456"/>
      <c r="AVS164" s="456"/>
      <c r="AVT164" s="456"/>
      <c r="AVU164" s="456"/>
      <c r="AVV164" s="456"/>
      <c r="AVW164" s="456"/>
      <c r="AVX164" s="456"/>
      <c r="AVY164" s="456"/>
      <c r="AVZ164" s="456"/>
      <c r="AWA164" s="456"/>
      <c r="AWB164" s="456"/>
      <c r="AWC164" s="456"/>
      <c r="AWD164" s="456"/>
      <c r="AWE164" s="456"/>
      <c r="AWF164" s="456"/>
      <c r="AWG164" s="456"/>
      <c r="AWH164" s="456"/>
      <c r="AWI164" s="456"/>
      <c r="AWJ164" s="456"/>
      <c r="AWK164" s="456"/>
      <c r="AWL164" s="456"/>
      <c r="AWM164" s="456"/>
      <c r="AWN164" s="456"/>
      <c r="AWO164" s="456"/>
      <c r="AWP164" s="456"/>
      <c r="AWQ164" s="456"/>
      <c r="AWR164" s="456"/>
      <c r="AWS164" s="456"/>
      <c r="AWT164" s="456"/>
      <c r="AWU164" s="456"/>
      <c r="AWV164" s="456"/>
      <c r="AWW164" s="456"/>
      <c r="AWX164" s="456"/>
      <c r="AWY164" s="456"/>
      <c r="AWZ164" s="456"/>
      <c r="AXA164" s="456"/>
      <c r="AXB164" s="456"/>
      <c r="AXC164" s="456"/>
      <c r="AXD164" s="456"/>
      <c r="AXE164" s="456"/>
      <c r="AXF164" s="456"/>
      <c r="AXG164" s="456"/>
      <c r="AXH164" s="456"/>
      <c r="AXI164" s="456"/>
      <c r="AXJ164" s="456"/>
      <c r="AXK164" s="456"/>
      <c r="AXL164" s="456"/>
      <c r="AXM164" s="456"/>
      <c r="AXN164" s="456"/>
      <c r="AXO164" s="456"/>
      <c r="AXP164" s="456"/>
      <c r="AXQ164" s="456"/>
      <c r="AXR164" s="456"/>
      <c r="AXS164" s="456"/>
      <c r="AXT164" s="456"/>
      <c r="AXU164" s="456"/>
      <c r="AXV164" s="456"/>
      <c r="AXW164" s="456"/>
      <c r="AXX164" s="456"/>
      <c r="AXY164" s="456"/>
      <c r="AXZ164" s="456"/>
      <c r="AYA164" s="456"/>
      <c r="AYB164" s="456"/>
      <c r="AYC164" s="456"/>
      <c r="AYD164" s="456"/>
      <c r="AYE164" s="456"/>
      <c r="AYF164" s="456"/>
      <c r="AYG164" s="456"/>
      <c r="AYH164" s="456"/>
      <c r="AYI164" s="456"/>
      <c r="AYJ164" s="456"/>
      <c r="AYK164" s="456"/>
      <c r="AYL164" s="456"/>
      <c r="AYM164" s="456"/>
      <c r="AYN164" s="456"/>
      <c r="AYO164" s="456"/>
      <c r="AYP164" s="456"/>
      <c r="AYQ164" s="456"/>
      <c r="AYR164" s="456"/>
      <c r="AYS164" s="456"/>
      <c r="AYT164" s="456"/>
      <c r="AYU164" s="456"/>
      <c r="AYV164" s="456"/>
      <c r="AYW164" s="456"/>
      <c r="AYX164" s="456"/>
      <c r="AYY164" s="456"/>
      <c r="AYZ164" s="456"/>
      <c r="AZA164" s="456"/>
      <c r="AZB164" s="456"/>
      <c r="AZC164" s="456"/>
      <c r="AZD164" s="456"/>
      <c r="AZE164" s="456"/>
      <c r="AZF164" s="456"/>
      <c r="AZG164" s="456"/>
      <c r="AZH164" s="456"/>
      <c r="AZI164" s="456"/>
      <c r="AZJ164" s="456"/>
      <c r="AZK164" s="456"/>
      <c r="AZL164" s="456"/>
      <c r="AZM164" s="456"/>
      <c r="AZN164" s="456"/>
      <c r="AZO164" s="456"/>
      <c r="AZP164" s="456"/>
      <c r="AZQ164" s="456"/>
      <c r="AZR164" s="456"/>
      <c r="AZS164" s="456"/>
      <c r="AZT164" s="456"/>
      <c r="AZU164" s="456"/>
      <c r="AZV164" s="456"/>
      <c r="AZW164" s="456"/>
      <c r="AZX164" s="456"/>
      <c r="AZY164" s="456"/>
      <c r="AZZ164" s="456"/>
      <c r="BAA164" s="456"/>
      <c r="BAB164" s="456"/>
      <c r="BAC164" s="456"/>
      <c r="BAD164" s="456"/>
      <c r="BAE164" s="456"/>
      <c r="BAF164" s="456"/>
      <c r="BAG164" s="456"/>
      <c r="BAH164" s="456"/>
      <c r="BAI164" s="456"/>
      <c r="BAJ164" s="456"/>
      <c r="BAK164" s="456"/>
      <c r="BAL164" s="456"/>
      <c r="BAM164" s="456"/>
      <c r="BAN164" s="456"/>
      <c r="BAO164" s="456"/>
      <c r="BAP164" s="456"/>
      <c r="BAQ164" s="456"/>
      <c r="BAR164" s="456"/>
      <c r="BAS164" s="456"/>
      <c r="BAT164" s="456"/>
      <c r="BAU164" s="456"/>
      <c r="BAV164" s="456"/>
      <c r="BAW164" s="456"/>
      <c r="BAX164" s="456"/>
      <c r="BAY164" s="456"/>
      <c r="BAZ164" s="456"/>
      <c r="BBA164" s="456"/>
      <c r="BBB164" s="456"/>
      <c r="BBC164" s="456"/>
      <c r="BBD164" s="456"/>
      <c r="BBE164" s="456"/>
      <c r="BBF164" s="456"/>
      <c r="BBG164" s="456"/>
      <c r="BBH164" s="456"/>
      <c r="BBI164" s="456"/>
      <c r="BBJ164" s="456"/>
      <c r="BBK164" s="456"/>
      <c r="BBL164" s="456"/>
      <c r="BBM164" s="456"/>
      <c r="BBN164" s="456"/>
      <c r="BBO164" s="456"/>
      <c r="BBP164" s="456"/>
      <c r="BBQ164" s="456"/>
      <c r="BBR164" s="456"/>
      <c r="BBS164" s="456"/>
      <c r="BBT164" s="456"/>
      <c r="BBU164" s="456"/>
      <c r="BBV164" s="456"/>
      <c r="BBW164" s="456"/>
      <c r="BBX164" s="456"/>
      <c r="BBY164" s="456"/>
      <c r="BBZ164" s="456"/>
      <c r="BCA164" s="456"/>
      <c r="BCB164" s="456"/>
      <c r="BCC164" s="456"/>
      <c r="BCD164" s="456"/>
      <c r="BCE164" s="456"/>
      <c r="BCF164" s="456"/>
      <c r="BCG164" s="456"/>
      <c r="BCH164" s="456"/>
      <c r="BCI164" s="456"/>
      <c r="BCJ164" s="456"/>
      <c r="BCK164" s="456"/>
      <c r="BCL164" s="456"/>
      <c r="BCM164" s="456"/>
      <c r="BCN164" s="456"/>
      <c r="BCO164" s="456"/>
      <c r="BCP164" s="456"/>
      <c r="BCQ164" s="456"/>
      <c r="BCR164" s="456"/>
      <c r="BCS164" s="456"/>
      <c r="BCT164" s="456"/>
      <c r="BCU164" s="456"/>
      <c r="BCV164" s="456"/>
      <c r="BCW164" s="456"/>
      <c r="BCX164" s="456"/>
      <c r="BCY164" s="456"/>
      <c r="BCZ164" s="456"/>
      <c r="BDA164" s="456"/>
      <c r="BDB164" s="456"/>
      <c r="BDC164" s="456"/>
      <c r="BDD164" s="456"/>
      <c r="BDE164" s="456"/>
      <c r="BDF164" s="456"/>
      <c r="BDG164" s="456"/>
      <c r="BDH164" s="456"/>
      <c r="BDI164" s="456"/>
      <c r="BDJ164" s="456"/>
      <c r="BDK164" s="456"/>
      <c r="BDL164" s="456"/>
      <c r="BDM164" s="456"/>
      <c r="BDN164" s="456"/>
      <c r="BDO164" s="456"/>
      <c r="BDP164" s="456"/>
      <c r="BDQ164" s="456"/>
      <c r="BDR164" s="456"/>
      <c r="BDS164" s="456"/>
      <c r="BDT164" s="456"/>
      <c r="BDU164" s="456"/>
      <c r="BDV164" s="456"/>
      <c r="BDW164" s="456"/>
      <c r="BDX164" s="456"/>
      <c r="BDY164" s="456"/>
      <c r="BDZ164" s="456"/>
      <c r="BEA164" s="456"/>
      <c r="BEB164" s="456"/>
      <c r="BEC164" s="456"/>
      <c r="BED164" s="456"/>
      <c r="BEE164" s="456"/>
      <c r="BEF164" s="456"/>
      <c r="BEG164" s="456"/>
      <c r="BEH164" s="456"/>
      <c r="BEI164" s="456"/>
      <c r="BEJ164" s="456"/>
      <c r="BEK164" s="456"/>
      <c r="BEL164" s="456"/>
      <c r="BEM164" s="456"/>
      <c r="BEN164" s="456"/>
      <c r="BEO164" s="456"/>
      <c r="BEP164" s="456"/>
      <c r="BEQ164" s="456"/>
      <c r="BER164" s="456"/>
      <c r="BES164" s="456"/>
      <c r="BET164" s="456"/>
      <c r="BEU164" s="456"/>
      <c r="BEV164" s="456"/>
      <c r="BEW164" s="456"/>
      <c r="BEX164" s="456"/>
      <c r="BEY164" s="456"/>
      <c r="BEZ164" s="456"/>
      <c r="BFA164" s="456"/>
      <c r="BFB164" s="456"/>
      <c r="BFC164" s="456"/>
      <c r="BFD164" s="456"/>
      <c r="BFE164" s="456"/>
      <c r="BFF164" s="456"/>
      <c r="BFG164" s="456"/>
      <c r="BFH164" s="456"/>
      <c r="BFI164" s="456"/>
      <c r="BFJ164" s="456"/>
      <c r="BFK164" s="456"/>
      <c r="BFL164" s="456"/>
      <c r="BFM164" s="456"/>
      <c r="BFN164" s="456"/>
      <c r="BFO164" s="456"/>
      <c r="BFP164" s="456"/>
      <c r="BFQ164" s="456"/>
      <c r="BFR164" s="456"/>
      <c r="BFS164" s="456"/>
      <c r="BFT164" s="456"/>
      <c r="BFU164" s="456"/>
      <c r="BFV164" s="456"/>
      <c r="BFW164" s="456"/>
      <c r="BFX164" s="456"/>
      <c r="BFY164" s="456"/>
      <c r="BFZ164" s="456"/>
      <c r="BGA164" s="456"/>
      <c r="BGB164" s="456"/>
      <c r="BGC164" s="456"/>
      <c r="BGD164" s="456"/>
      <c r="BGE164" s="456"/>
      <c r="BGF164" s="456"/>
      <c r="BGG164" s="456"/>
      <c r="BGH164" s="456"/>
      <c r="BGI164" s="456"/>
      <c r="BGJ164" s="456"/>
      <c r="BGK164" s="456"/>
      <c r="BGL164" s="456"/>
      <c r="BGM164" s="456"/>
      <c r="BGN164" s="456"/>
      <c r="BGO164" s="456"/>
      <c r="BGP164" s="456"/>
      <c r="BGQ164" s="456"/>
      <c r="BGR164" s="456"/>
      <c r="BGS164" s="456"/>
      <c r="BGT164" s="456"/>
      <c r="BGU164" s="456"/>
      <c r="BGV164" s="456"/>
      <c r="BGW164" s="456"/>
      <c r="BGX164" s="456"/>
      <c r="BGY164" s="456"/>
      <c r="BGZ164" s="456"/>
      <c r="BHA164" s="456"/>
      <c r="BHB164" s="456"/>
      <c r="BHC164" s="456"/>
      <c r="BHD164" s="456"/>
      <c r="BHE164" s="456"/>
      <c r="BHF164" s="456"/>
      <c r="BHG164" s="456"/>
      <c r="BHH164" s="456"/>
      <c r="BHI164" s="456"/>
      <c r="BHJ164" s="456"/>
      <c r="BHK164" s="456"/>
      <c r="BHL164" s="456"/>
      <c r="BHM164" s="456"/>
      <c r="BHN164" s="456"/>
      <c r="BHO164" s="456"/>
      <c r="BHP164" s="456"/>
      <c r="BHQ164" s="456"/>
      <c r="BHR164" s="456"/>
      <c r="BHS164" s="456"/>
      <c r="BHT164" s="456"/>
      <c r="BHU164" s="456"/>
      <c r="BHV164" s="456"/>
      <c r="BHW164" s="456"/>
      <c r="BHX164" s="456"/>
      <c r="BHY164" s="456"/>
      <c r="BHZ164" s="456"/>
      <c r="BIA164" s="456"/>
      <c r="BIB164" s="456"/>
      <c r="BIC164" s="456"/>
      <c r="BID164" s="456"/>
      <c r="BIE164" s="456"/>
      <c r="BIF164" s="456"/>
      <c r="BIG164" s="456"/>
      <c r="BIH164" s="456"/>
      <c r="BII164" s="456"/>
      <c r="BIJ164" s="456"/>
      <c r="BIK164" s="456"/>
      <c r="BIL164" s="456"/>
      <c r="BIM164" s="456"/>
      <c r="BIN164" s="456"/>
      <c r="BIO164" s="456"/>
      <c r="BIP164" s="456"/>
      <c r="BIQ164" s="456"/>
      <c r="BIR164" s="456"/>
      <c r="BIS164" s="456"/>
      <c r="BIT164" s="456"/>
      <c r="BIU164" s="456"/>
      <c r="BIV164" s="456"/>
      <c r="BIW164" s="456"/>
      <c r="BIX164" s="456"/>
      <c r="BIY164" s="456"/>
      <c r="BIZ164" s="456"/>
      <c r="BJA164" s="456"/>
      <c r="BJB164" s="456"/>
      <c r="BJC164" s="456"/>
      <c r="BJD164" s="456"/>
      <c r="BJE164" s="456"/>
      <c r="BJF164" s="456"/>
      <c r="BJG164" s="456"/>
      <c r="BJH164" s="456"/>
      <c r="BJI164" s="456"/>
      <c r="BJJ164" s="456"/>
      <c r="BJK164" s="456"/>
      <c r="BJL164" s="456"/>
      <c r="BJM164" s="456"/>
      <c r="BJN164" s="456"/>
      <c r="BJO164" s="456"/>
      <c r="BJP164" s="456"/>
      <c r="BJQ164" s="456"/>
      <c r="BJR164" s="456"/>
      <c r="BJS164" s="456"/>
      <c r="BJT164" s="456"/>
      <c r="BJU164" s="456"/>
      <c r="BJV164" s="456"/>
      <c r="BJW164" s="456"/>
      <c r="BJX164" s="456"/>
      <c r="BJY164" s="456"/>
      <c r="BJZ164" s="456"/>
      <c r="BKA164" s="456"/>
      <c r="BKB164" s="456"/>
      <c r="BKC164" s="456"/>
      <c r="BKD164" s="456"/>
      <c r="BKE164" s="456"/>
      <c r="BKF164" s="456"/>
      <c r="BKG164" s="456"/>
      <c r="BKH164" s="456"/>
      <c r="BKI164" s="456"/>
      <c r="BKJ164" s="456"/>
      <c r="BKK164" s="456"/>
      <c r="BKL164" s="456"/>
      <c r="BKM164" s="456"/>
      <c r="BKN164" s="456"/>
      <c r="BKO164" s="456"/>
      <c r="BKP164" s="456"/>
      <c r="BKQ164" s="456"/>
      <c r="BKR164" s="456"/>
      <c r="BKS164" s="456"/>
      <c r="BKT164" s="456"/>
      <c r="BKU164" s="456"/>
      <c r="BKV164" s="456"/>
      <c r="BKW164" s="456"/>
      <c r="BKX164" s="456"/>
      <c r="BKY164" s="456"/>
      <c r="BKZ164" s="456"/>
      <c r="BLA164" s="456"/>
      <c r="BLB164" s="456"/>
      <c r="BLC164" s="456"/>
      <c r="BLD164" s="456"/>
      <c r="BLE164" s="456"/>
      <c r="BLF164" s="456"/>
      <c r="BLG164" s="456"/>
      <c r="BLH164" s="456"/>
      <c r="BLI164" s="456"/>
      <c r="BLJ164" s="456"/>
      <c r="BLK164" s="456"/>
      <c r="BLL164" s="456"/>
      <c r="BLM164" s="456"/>
      <c r="BLN164" s="456"/>
      <c r="BLO164" s="456"/>
      <c r="BLP164" s="456"/>
      <c r="BLQ164" s="456"/>
      <c r="BLR164" s="456"/>
      <c r="BLS164" s="456"/>
      <c r="BLT164" s="456"/>
      <c r="BLU164" s="456"/>
      <c r="BLV164" s="456"/>
      <c r="BLW164" s="456"/>
      <c r="BLX164" s="456"/>
      <c r="BLY164" s="456"/>
      <c r="BLZ164" s="456"/>
      <c r="BMA164" s="456"/>
      <c r="BMB164" s="456"/>
      <c r="BMC164" s="456"/>
      <c r="BMD164" s="456"/>
      <c r="BME164" s="456"/>
      <c r="BMF164" s="456"/>
      <c r="BMG164" s="456"/>
      <c r="BMH164" s="456"/>
      <c r="BMI164" s="456"/>
      <c r="BMJ164" s="456"/>
      <c r="BMK164" s="456"/>
      <c r="BML164" s="456"/>
      <c r="BMM164" s="456"/>
      <c r="BMN164" s="456"/>
      <c r="BMO164" s="456"/>
      <c r="BMP164" s="456"/>
      <c r="BMQ164" s="456"/>
      <c r="BMR164" s="456"/>
      <c r="BMS164" s="456"/>
      <c r="BMT164" s="456"/>
      <c r="BMU164" s="456"/>
      <c r="BMV164" s="456"/>
      <c r="BMW164" s="456"/>
      <c r="BMX164" s="456"/>
      <c r="BMY164" s="456"/>
      <c r="BMZ164" s="456"/>
      <c r="BNA164" s="456"/>
      <c r="BNB164" s="456"/>
      <c r="BNC164" s="456"/>
      <c r="BND164" s="456"/>
      <c r="BNE164" s="456"/>
      <c r="BNF164" s="456"/>
      <c r="BNG164" s="456"/>
      <c r="BNH164" s="456"/>
      <c r="BNI164" s="456"/>
      <c r="BNJ164" s="456"/>
      <c r="BNK164" s="456"/>
      <c r="BNL164" s="456"/>
      <c r="BNM164" s="456"/>
      <c r="BNN164" s="456"/>
      <c r="BNO164" s="456"/>
      <c r="BNP164" s="456"/>
      <c r="BNQ164" s="456"/>
      <c r="BNR164" s="456"/>
      <c r="BNS164" s="456"/>
      <c r="BNT164" s="456"/>
      <c r="BNU164" s="456"/>
      <c r="BNV164" s="456"/>
      <c r="BNW164" s="456"/>
      <c r="BNX164" s="456"/>
      <c r="BNY164" s="456"/>
      <c r="BNZ164" s="456"/>
      <c r="BOA164" s="456"/>
      <c r="BOB164" s="456"/>
      <c r="BOC164" s="456"/>
      <c r="BOD164" s="456"/>
      <c r="BOE164" s="456"/>
      <c r="BOF164" s="456"/>
      <c r="BOG164" s="456"/>
      <c r="BOH164" s="456"/>
      <c r="BOI164" s="456"/>
      <c r="BOJ164" s="456"/>
      <c r="BOK164" s="456"/>
      <c r="BOL164" s="456"/>
      <c r="BOM164" s="456"/>
      <c r="BON164" s="456"/>
      <c r="BOO164" s="456"/>
      <c r="BOP164" s="456"/>
      <c r="BOQ164" s="456"/>
      <c r="BOR164" s="456"/>
      <c r="BOS164" s="456"/>
      <c r="BOT164" s="456"/>
      <c r="BOU164" s="456"/>
      <c r="BOV164" s="456"/>
      <c r="BOW164" s="456"/>
      <c r="BOX164" s="456"/>
      <c r="BOY164" s="456"/>
      <c r="BOZ164" s="456"/>
      <c r="BPA164" s="456"/>
      <c r="BPB164" s="456"/>
      <c r="BPC164" s="456"/>
      <c r="BPD164" s="456"/>
      <c r="BPE164" s="456"/>
      <c r="BPF164" s="456"/>
      <c r="BPG164" s="456"/>
      <c r="BPH164" s="456"/>
      <c r="BPI164" s="456"/>
      <c r="BPJ164" s="456"/>
      <c r="BPK164" s="456"/>
      <c r="BPL164" s="456"/>
      <c r="BPM164" s="456"/>
      <c r="BPN164" s="456"/>
      <c r="BPO164" s="456"/>
      <c r="BPP164" s="456"/>
      <c r="BPQ164" s="456"/>
      <c r="BPR164" s="456"/>
      <c r="BPS164" s="456"/>
      <c r="BPT164" s="456"/>
      <c r="BPU164" s="456"/>
      <c r="BPV164" s="456"/>
      <c r="BPW164" s="456"/>
      <c r="BPX164" s="456"/>
      <c r="BPY164" s="456"/>
      <c r="BPZ164" s="456"/>
      <c r="BQA164" s="456"/>
      <c r="BQB164" s="456"/>
      <c r="BQC164" s="456"/>
      <c r="BQD164" s="456"/>
      <c r="BQE164" s="456"/>
      <c r="BQF164" s="456"/>
      <c r="BQG164" s="456"/>
      <c r="BQH164" s="456"/>
      <c r="BQI164" s="456"/>
      <c r="BQJ164" s="456"/>
      <c r="BQK164" s="456"/>
      <c r="BQL164" s="456"/>
      <c r="BQM164" s="456"/>
      <c r="BQN164" s="456"/>
      <c r="BQO164" s="456"/>
      <c r="BQP164" s="456"/>
      <c r="BQQ164" s="456"/>
      <c r="BQR164" s="456"/>
      <c r="BQS164" s="456"/>
      <c r="BQT164" s="456"/>
      <c r="BQU164" s="456"/>
      <c r="BQV164" s="456"/>
      <c r="BQW164" s="456"/>
      <c r="BQX164" s="456"/>
      <c r="BQY164" s="456"/>
      <c r="BQZ164" s="456"/>
      <c r="BRA164" s="456"/>
      <c r="BRB164" s="456"/>
      <c r="BRC164" s="456"/>
      <c r="BRD164" s="456"/>
      <c r="BRE164" s="456"/>
      <c r="BRF164" s="456"/>
      <c r="BRG164" s="456"/>
      <c r="BRH164" s="456"/>
      <c r="BRI164" s="456"/>
      <c r="BRJ164" s="456"/>
      <c r="BRK164" s="456"/>
      <c r="BRL164" s="456"/>
      <c r="BRM164" s="456"/>
      <c r="BRN164" s="456"/>
      <c r="BRO164" s="456"/>
      <c r="BRP164" s="456"/>
      <c r="BRQ164" s="456"/>
      <c r="BRR164" s="456"/>
      <c r="BRS164" s="456"/>
      <c r="BRT164" s="456"/>
      <c r="BRU164" s="456"/>
      <c r="BRV164" s="456"/>
      <c r="BRW164" s="456"/>
      <c r="BRX164" s="456"/>
      <c r="BRY164" s="456"/>
      <c r="BRZ164" s="456"/>
      <c r="BSA164" s="456"/>
      <c r="BSB164" s="456"/>
      <c r="BSC164" s="456"/>
      <c r="BSD164" s="456"/>
      <c r="BSE164" s="456"/>
      <c r="BSF164" s="456"/>
      <c r="BSG164" s="456"/>
      <c r="BSH164" s="456"/>
      <c r="BSI164" s="456"/>
      <c r="BSJ164" s="456"/>
      <c r="BSK164" s="456"/>
      <c r="BSL164" s="456"/>
      <c r="BSM164" s="456"/>
      <c r="BSN164" s="456"/>
      <c r="BSO164" s="456"/>
      <c r="BSP164" s="456"/>
      <c r="BSQ164" s="456"/>
      <c r="BSR164" s="456"/>
      <c r="BSS164" s="456"/>
      <c r="BST164" s="456"/>
      <c r="BSU164" s="456"/>
      <c r="BSV164" s="456"/>
      <c r="BSW164" s="456"/>
      <c r="BSX164" s="456"/>
      <c r="BSY164" s="456"/>
      <c r="BSZ164" s="456"/>
      <c r="BTA164" s="456"/>
      <c r="BTB164" s="456"/>
      <c r="BTC164" s="456"/>
      <c r="BTD164" s="456"/>
      <c r="BTE164" s="456"/>
      <c r="BTF164" s="456"/>
      <c r="BTG164" s="456"/>
      <c r="BTH164" s="456"/>
      <c r="BTI164" s="456"/>
      <c r="BTJ164" s="456"/>
      <c r="BTK164" s="456"/>
      <c r="BTL164" s="456"/>
      <c r="BTM164" s="456"/>
      <c r="BTN164" s="456"/>
      <c r="BTO164" s="456"/>
      <c r="BTP164" s="456"/>
      <c r="BTQ164" s="456"/>
      <c r="BTR164" s="456"/>
      <c r="BTS164" s="456"/>
      <c r="BTT164" s="456"/>
      <c r="BTU164" s="456"/>
      <c r="BTV164" s="456"/>
      <c r="BTW164" s="456"/>
      <c r="BTX164" s="456"/>
      <c r="BTY164" s="456"/>
      <c r="BTZ164" s="456"/>
      <c r="BUA164" s="456"/>
      <c r="BUB164" s="456"/>
      <c r="BUC164" s="456"/>
      <c r="BUD164" s="456"/>
      <c r="BUE164" s="456"/>
      <c r="BUF164" s="456"/>
      <c r="BUG164" s="456"/>
      <c r="BUH164" s="456"/>
      <c r="BUI164" s="456"/>
      <c r="BUJ164" s="456"/>
      <c r="BUK164" s="456"/>
      <c r="BUL164" s="456"/>
      <c r="BUM164" s="456"/>
      <c r="BUN164" s="456"/>
      <c r="BUO164" s="456"/>
      <c r="BUP164" s="456"/>
      <c r="BUQ164" s="456"/>
      <c r="BUR164" s="456"/>
      <c r="BUS164" s="456"/>
      <c r="BUT164" s="456"/>
      <c r="BUU164" s="456"/>
      <c r="BUV164" s="456"/>
      <c r="BUW164" s="456"/>
      <c r="BUX164" s="456"/>
      <c r="BUY164" s="456"/>
      <c r="BUZ164" s="456"/>
      <c r="BVA164" s="456"/>
      <c r="BVB164" s="456"/>
      <c r="BVC164" s="456"/>
      <c r="BVD164" s="456"/>
      <c r="BVE164" s="456"/>
      <c r="BVF164" s="456"/>
      <c r="BVG164" s="456"/>
      <c r="BVH164" s="456"/>
      <c r="BVI164" s="456"/>
      <c r="BVJ164" s="456"/>
      <c r="BVK164" s="456"/>
      <c r="BVL164" s="456"/>
      <c r="BVM164" s="456"/>
      <c r="BVN164" s="456"/>
      <c r="BVO164" s="456"/>
      <c r="BVP164" s="456"/>
      <c r="BVQ164" s="456"/>
      <c r="BVR164" s="456"/>
      <c r="BVS164" s="456"/>
      <c r="BVT164" s="456"/>
      <c r="BVU164" s="456"/>
      <c r="BVV164" s="456"/>
      <c r="BVW164" s="456"/>
      <c r="BVX164" s="456"/>
      <c r="BVY164" s="456"/>
      <c r="BVZ164" s="456"/>
      <c r="BWA164" s="456"/>
      <c r="BWB164" s="456"/>
      <c r="BWC164" s="456"/>
      <c r="BWD164" s="456"/>
      <c r="BWE164" s="456"/>
      <c r="BWF164" s="456"/>
      <c r="BWG164" s="456"/>
      <c r="BWH164" s="456"/>
      <c r="BWI164" s="456"/>
      <c r="BWJ164" s="456"/>
      <c r="BWK164" s="456"/>
      <c r="BWL164" s="456"/>
      <c r="BWM164" s="456"/>
      <c r="BWN164" s="456"/>
      <c r="BWO164" s="456"/>
      <c r="BWP164" s="456"/>
      <c r="BWQ164" s="456"/>
      <c r="BWR164" s="456"/>
      <c r="BWS164" s="456"/>
      <c r="BWT164" s="456"/>
      <c r="BWU164" s="456"/>
      <c r="BWV164" s="456"/>
      <c r="BWW164" s="456"/>
      <c r="BWX164" s="456"/>
      <c r="BWY164" s="456"/>
      <c r="BWZ164" s="456"/>
      <c r="BXA164" s="456"/>
      <c r="BXB164" s="456"/>
      <c r="BXC164" s="456"/>
      <c r="BXD164" s="456"/>
      <c r="BXE164" s="456"/>
      <c r="BXF164" s="456"/>
      <c r="BXG164" s="456"/>
      <c r="BXH164" s="456"/>
      <c r="BXI164" s="456"/>
      <c r="BXJ164" s="456"/>
      <c r="BXK164" s="456"/>
      <c r="BXL164" s="456"/>
      <c r="BXM164" s="456"/>
      <c r="BXN164" s="456"/>
      <c r="BXO164" s="456"/>
      <c r="BXP164" s="456"/>
      <c r="BXQ164" s="456"/>
      <c r="BXR164" s="456"/>
      <c r="BXS164" s="456"/>
      <c r="BXT164" s="456"/>
      <c r="BXU164" s="456"/>
      <c r="BXV164" s="456"/>
      <c r="BXW164" s="456"/>
      <c r="BXX164" s="456"/>
      <c r="BXY164" s="456"/>
      <c r="BXZ164" s="456"/>
    </row>
    <row r="165" s="25" customFormat="1" spans="1:1024 1025:2002">
      <c r="A165" s="473" t="s">
        <v>34</v>
      </c>
      <c r="B165" s="19">
        <v>1130</v>
      </c>
      <c r="C165" s="183">
        <v>46205</v>
      </c>
      <c r="D165" s="17" t="s">
        <v>52</v>
      </c>
      <c r="E165" s="17" t="s">
        <v>104</v>
      </c>
      <c r="F165" s="17" t="s">
        <v>54</v>
      </c>
      <c r="G165" s="17"/>
      <c r="H165" s="19">
        <v>1.2316</v>
      </c>
      <c r="I165" s="19" t="s">
        <v>114</v>
      </c>
      <c r="J165" s="17" t="s">
        <v>49</v>
      </c>
      <c r="K165" s="489">
        <v>1050</v>
      </c>
      <c r="L165" s="489">
        <v>70</v>
      </c>
      <c r="M165" s="489">
        <v>2200</v>
      </c>
      <c r="N165" s="19" t="s">
        <v>66</v>
      </c>
      <c r="O165" s="19" t="s">
        <v>67</v>
      </c>
      <c r="P165" s="490">
        <v>1153.95</v>
      </c>
      <c r="Q165" s="19">
        <v>1275</v>
      </c>
      <c r="R165" s="99">
        <f t="shared" si="9"/>
        <v>-121.05</v>
      </c>
      <c r="S165" s="19">
        <f t="shared" si="11"/>
        <v>2870</v>
      </c>
      <c r="T165" s="19" t="s">
        <v>42</v>
      </c>
      <c r="U165" s="102" t="s">
        <v>115</v>
      </c>
      <c r="V165" s="186">
        <v>46208</v>
      </c>
      <c r="W165" s="17" t="s">
        <v>44</v>
      </c>
      <c r="X165" s="17"/>
      <c r="Y165" s="68">
        <v>46235</v>
      </c>
      <c r="Z165" s="17" t="s">
        <v>45</v>
      </c>
      <c r="AA165" s="17" t="s">
        <v>46</v>
      </c>
      <c r="AB165" s="17" t="s">
        <v>116</v>
      </c>
      <c r="AC165" s="217">
        <v>46241</v>
      </c>
      <c r="AD165" s="65">
        <v>1848</v>
      </c>
      <c r="AE165" s="17" t="s">
        <v>48</v>
      </c>
      <c r="AF165" s="17" t="s">
        <v>61</v>
      </c>
      <c r="AG165" s="17"/>
      <c r="AH165" s="456"/>
      <c r="AI165" s="456"/>
      <c r="AJ165" s="456"/>
      <c r="AK165" s="456"/>
      <c r="AL165" s="456"/>
      <c r="AM165" s="456"/>
      <c r="AN165" s="456"/>
      <c r="AO165" s="456"/>
      <c r="AP165" s="456"/>
      <c r="AQ165" s="456"/>
      <c r="AR165" s="456"/>
      <c r="AS165" s="456"/>
      <c r="AT165" s="456"/>
      <c r="AU165" s="456"/>
      <c r="AV165" s="456"/>
      <c r="AW165" s="456"/>
      <c r="AX165" s="456"/>
      <c r="AY165" s="456"/>
      <c r="AZ165" s="456"/>
      <c r="BA165" s="456"/>
      <c r="BB165" s="456"/>
      <c r="BC165" s="456"/>
      <c r="BD165" s="456"/>
      <c r="BE165" s="456"/>
      <c r="BF165" s="456"/>
      <c r="BG165" s="456"/>
      <c r="BH165" s="456"/>
      <c r="BI165" s="456"/>
      <c r="BJ165" s="456"/>
      <c r="BK165" s="456"/>
      <c r="BL165" s="456"/>
      <c r="BM165" s="456"/>
      <c r="BN165" s="456"/>
      <c r="BO165" s="456"/>
      <c r="BP165" s="456"/>
      <c r="BQ165" s="456"/>
      <c r="BR165" s="456"/>
      <c r="BS165" s="456"/>
      <c r="BT165" s="456"/>
      <c r="BU165" s="456"/>
      <c r="BV165" s="456"/>
      <c r="BW165" s="456"/>
      <c r="BX165" s="456"/>
      <c r="BY165" s="456"/>
      <c r="BZ165" s="456"/>
      <c r="CA165" s="456"/>
      <c r="CB165" s="456"/>
      <c r="CC165" s="456"/>
      <c r="CD165" s="456"/>
      <c r="CE165" s="456"/>
      <c r="CF165" s="456"/>
      <c r="CG165" s="456"/>
      <c r="CH165" s="456"/>
      <c r="CI165" s="456"/>
      <c r="CJ165" s="456"/>
      <c r="CK165" s="456"/>
      <c r="CL165" s="456"/>
      <c r="CM165" s="456"/>
      <c r="CN165" s="456"/>
      <c r="CO165" s="456"/>
      <c r="CP165" s="456"/>
      <c r="CQ165" s="456"/>
      <c r="CR165" s="456"/>
      <c r="CS165" s="456"/>
      <c r="CT165" s="456"/>
      <c r="CU165" s="456"/>
      <c r="CV165" s="456"/>
      <c r="CW165" s="456"/>
      <c r="CX165" s="456"/>
      <c r="CY165" s="456"/>
      <c r="CZ165" s="456"/>
      <c r="DA165" s="456"/>
      <c r="DB165" s="456"/>
      <c r="DC165" s="456"/>
      <c r="DD165" s="456"/>
      <c r="DE165" s="456"/>
      <c r="DF165" s="456"/>
      <c r="DG165" s="456"/>
      <c r="DH165" s="456"/>
      <c r="DI165" s="456"/>
      <c r="DJ165" s="456"/>
      <c r="DK165" s="456"/>
      <c r="DL165" s="456"/>
      <c r="DM165" s="456"/>
      <c r="DN165" s="456"/>
      <c r="DO165" s="456"/>
      <c r="DP165" s="456"/>
      <c r="DQ165" s="456"/>
      <c r="DR165" s="456"/>
      <c r="DS165" s="456"/>
      <c r="DT165" s="456"/>
      <c r="DU165" s="456"/>
      <c r="DV165" s="456"/>
      <c r="DW165" s="456"/>
      <c r="DX165" s="456"/>
      <c r="DY165" s="456"/>
      <c r="DZ165" s="456"/>
      <c r="EA165" s="456"/>
      <c r="EB165" s="456"/>
      <c r="EC165" s="456"/>
      <c r="ED165" s="456"/>
      <c r="EE165" s="456"/>
      <c r="EF165" s="456"/>
      <c r="EG165" s="456"/>
      <c r="EH165" s="456"/>
      <c r="EI165" s="456"/>
      <c r="EJ165" s="456"/>
      <c r="EK165" s="456"/>
      <c r="EL165" s="456"/>
      <c r="EM165" s="456"/>
      <c r="EN165" s="456"/>
      <c r="EO165" s="456"/>
      <c r="EP165" s="456"/>
      <c r="EQ165" s="456"/>
      <c r="ER165" s="456"/>
      <c r="ES165" s="456"/>
      <c r="ET165" s="456"/>
      <c r="EU165" s="456"/>
      <c r="EV165" s="456"/>
      <c r="EW165" s="456"/>
      <c r="EX165" s="456"/>
      <c r="EY165" s="456"/>
      <c r="EZ165" s="456"/>
      <c r="FA165" s="456"/>
      <c r="FB165" s="456"/>
      <c r="FC165" s="456"/>
      <c r="FD165" s="456"/>
      <c r="FE165" s="456"/>
      <c r="FF165" s="456"/>
      <c r="FG165" s="456"/>
      <c r="FH165" s="456"/>
      <c r="FI165" s="456"/>
      <c r="FJ165" s="456"/>
      <c r="FK165" s="456"/>
      <c r="FL165" s="456"/>
      <c r="FM165" s="456"/>
      <c r="FN165" s="456"/>
      <c r="FO165" s="456"/>
      <c r="FP165" s="456"/>
      <c r="FQ165" s="456"/>
      <c r="FR165" s="456"/>
      <c r="FS165" s="456"/>
      <c r="FT165" s="456"/>
      <c r="FU165" s="456"/>
      <c r="FV165" s="456"/>
      <c r="FW165" s="456"/>
      <c r="FX165" s="456"/>
      <c r="FY165" s="456"/>
      <c r="FZ165" s="456"/>
      <c r="GA165" s="456"/>
      <c r="GB165" s="456"/>
      <c r="GC165" s="456"/>
      <c r="GD165" s="456"/>
      <c r="GE165" s="456"/>
      <c r="GF165" s="456"/>
      <c r="GG165" s="456"/>
      <c r="GH165" s="456"/>
      <c r="GI165" s="456"/>
      <c r="GJ165" s="456"/>
      <c r="GK165" s="456"/>
      <c r="GL165" s="456"/>
      <c r="GM165" s="456"/>
      <c r="GN165" s="456"/>
      <c r="GO165" s="456"/>
      <c r="GP165" s="456"/>
      <c r="GQ165" s="456"/>
      <c r="GR165" s="456"/>
      <c r="GS165" s="456"/>
      <c r="GT165" s="456"/>
      <c r="GU165" s="456"/>
      <c r="GV165" s="456"/>
      <c r="GW165" s="456"/>
      <c r="GX165" s="456"/>
      <c r="GY165" s="456"/>
      <c r="GZ165" s="456"/>
      <c r="HA165" s="456"/>
      <c r="HB165" s="456"/>
      <c r="HC165" s="456"/>
      <c r="HD165" s="456"/>
      <c r="HE165" s="456"/>
      <c r="HF165" s="456"/>
      <c r="HG165" s="456"/>
      <c r="HH165" s="456"/>
      <c r="HI165" s="456"/>
      <c r="HJ165" s="456"/>
      <c r="HK165" s="456"/>
      <c r="HL165" s="456"/>
      <c r="HM165" s="456"/>
      <c r="HN165" s="456"/>
      <c r="HO165" s="456"/>
      <c r="HP165" s="456"/>
      <c r="HQ165" s="456"/>
      <c r="HR165" s="456"/>
      <c r="HS165" s="456"/>
      <c r="HT165" s="456"/>
      <c r="HU165" s="456"/>
      <c r="HV165" s="456"/>
      <c r="HW165" s="456"/>
      <c r="HX165" s="456"/>
      <c r="HY165" s="456"/>
      <c r="HZ165" s="456"/>
      <c r="IA165" s="456"/>
      <c r="IB165" s="456"/>
      <c r="IC165" s="456"/>
      <c r="ID165" s="456"/>
      <c r="IE165" s="456"/>
      <c r="IF165" s="456"/>
      <c r="IG165" s="456"/>
      <c r="IH165" s="456"/>
      <c r="II165" s="456"/>
      <c r="IJ165" s="456"/>
      <c r="IK165" s="456"/>
      <c r="IL165" s="456"/>
      <c r="IM165" s="456"/>
      <c r="IN165" s="456"/>
      <c r="IO165" s="456"/>
      <c r="IP165" s="456"/>
      <c r="IQ165" s="456"/>
      <c r="IR165" s="456"/>
      <c r="IS165" s="456"/>
      <c r="IT165" s="456"/>
      <c r="IU165" s="456"/>
      <c r="IV165" s="456"/>
      <c r="IW165" s="456"/>
      <c r="IX165" s="456"/>
      <c r="IY165" s="456"/>
      <c r="IZ165" s="456"/>
      <c r="JA165" s="456"/>
      <c r="JB165" s="456"/>
      <c r="JC165" s="456"/>
      <c r="JD165" s="456"/>
      <c r="JE165" s="456"/>
      <c r="JF165" s="456"/>
      <c r="JG165" s="456"/>
      <c r="JH165" s="456"/>
      <c r="JI165" s="456"/>
      <c r="JJ165" s="456"/>
      <c r="JK165" s="456"/>
      <c r="JL165" s="456"/>
      <c r="JM165" s="456"/>
      <c r="JN165" s="456"/>
      <c r="JO165" s="456"/>
      <c r="JP165" s="456"/>
      <c r="JQ165" s="456"/>
      <c r="JR165" s="456"/>
      <c r="JS165" s="456"/>
      <c r="JT165" s="456"/>
      <c r="JU165" s="456"/>
      <c r="JV165" s="456"/>
      <c r="JW165" s="456"/>
      <c r="JX165" s="456"/>
      <c r="JY165" s="456"/>
      <c r="JZ165" s="456"/>
      <c r="KA165" s="456"/>
      <c r="KB165" s="456"/>
      <c r="KC165" s="456"/>
      <c r="KD165" s="456"/>
      <c r="KE165" s="456"/>
      <c r="KF165" s="456"/>
      <c r="KG165" s="456"/>
      <c r="KH165" s="456"/>
      <c r="KI165" s="456"/>
      <c r="KJ165" s="456"/>
      <c r="KK165" s="456"/>
      <c r="KL165" s="456"/>
      <c r="KM165" s="456"/>
      <c r="KN165" s="456"/>
      <c r="KO165" s="456"/>
      <c r="KP165" s="456"/>
      <c r="KQ165" s="456"/>
      <c r="KR165" s="456"/>
      <c r="KS165" s="456"/>
      <c r="KT165" s="456"/>
      <c r="KU165" s="456"/>
      <c r="KV165" s="456"/>
      <c r="KW165" s="456"/>
      <c r="KX165" s="456"/>
      <c r="KY165" s="456"/>
      <c r="KZ165" s="456"/>
      <c r="LA165" s="456"/>
      <c r="LB165" s="456"/>
      <c r="LC165" s="456"/>
      <c r="LD165" s="456"/>
      <c r="LE165" s="456"/>
      <c r="LF165" s="456"/>
      <c r="LG165" s="456"/>
      <c r="LH165" s="456"/>
      <c r="LI165" s="456"/>
      <c r="LJ165" s="456"/>
      <c r="LK165" s="456"/>
      <c r="LL165" s="456"/>
      <c r="LM165" s="456"/>
      <c r="LN165" s="456"/>
      <c r="LO165" s="456"/>
      <c r="LP165" s="456"/>
      <c r="LQ165" s="456"/>
      <c r="LR165" s="456"/>
      <c r="LS165" s="456"/>
      <c r="LT165" s="456"/>
      <c r="LU165" s="456"/>
      <c r="LV165" s="456"/>
      <c r="LW165" s="456"/>
      <c r="LX165" s="456"/>
      <c r="LY165" s="456"/>
      <c r="LZ165" s="456"/>
      <c r="MA165" s="456"/>
      <c r="MB165" s="456"/>
      <c r="MC165" s="456"/>
      <c r="MD165" s="456"/>
      <c r="ME165" s="456"/>
      <c r="MF165" s="456"/>
      <c r="MG165" s="456"/>
      <c r="MH165" s="456"/>
      <c r="MI165" s="456"/>
      <c r="MJ165" s="456"/>
      <c r="MK165" s="456"/>
      <c r="ML165" s="456"/>
      <c r="MM165" s="456"/>
      <c r="MN165" s="456"/>
      <c r="MO165" s="456"/>
      <c r="MP165" s="456"/>
      <c r="MQ165" s="456"/>
      <c r="MR165" s="456"/>
      <c r="MS165" s="456"/>
      <c r="MT165" s="456"/>
      <c r="MU165" s="456"/>
      <c r="MV165" s="456"/>
      <c r="MW165" s="456"/>
      <c r="MX165" s="456"/>
      <c r="MY165" s="456"/>
      <c r="MZ165" s="456"/>
      <c r="NA165" s="456"/>
      <c r="NB165" s="456"/>
      <c r="NC165" s="456"/>
      <c r="ND165" s="456"/>
      <c r="NE165" s="456"/>
      <c r="NF165" s="456"/>
      <c r="NG165" s="456"/>
      <c r="NH165" s="456"/>
      <c r="NI165" s="456"/>
      <c r="NJ165" s="456"/>
      <c r="NK165" s="456"/>
      <c r="NL165" s="456"/>
      <c r="NM165" s="456"/>
      <c r="NN165" s="456"/>
      <c r="NO165" s="456"/>
      <c r="NP165" s="456"/>
      <c r="NQ165" s="456"/>
      <c r="NR165" s="456"/>
      <c r="NS165" s="456"/>
      <c r="NT165" s="456"/>
      <c r="NU165" s="456"/>
      <c r="NV165" s="456"/>
      <c r="NW165" s="456"/>
      <c r="NX165" s="456"/>
      <c r="NY165" s="456"/>
      <c r="NZ165" s="456"/>
      <c r="OA165" s="456"/>
      <c r="OB165" s="456"/>
      <c r="OC165" s="456"/>
      <c r="OD165" s="456"/>
      <c r="OE165" s="456"/>
      <c r="OF165" s="456"/>
      <c r="OG165" s="456"/>
      <c r="OH165" s="456"/>
      <c r="OI165" s="456"/>
      <c r="OJ165" s="456"/>
      <c r="OK165" s="456"/>
      <c r="OL165" s="456"/>
      <c r="OM165" s="456"/>
      <c r="ON165" s="456"/>
      <c r="OO165" s="456"/>
      <c r="OP165" s="456"/>
      <c r="OQ165" s="456"/>
      <c r="OR165" s="456"/>
      <c r="OS165" s="456"/>
      <c r="OT165" s="456"/>
      <c r="OU165" s="456"/>
      <c r="OV165" s="456"/>
      <c r="OW165" s="456"/>
      <c r="OX165" s="456"/>
      <c r="OY165" s="456"/>
      <c r="OZ165" s="456"/>
      <c r="PA165" s="456"/>
      <c r="PB165" s="456"/>
      <c r="PC165" s="456"/>
      <c r="PD165" s="456"/>
      <c r="PE165" s="456"/>
      <c r="PF165" s="456"/>
      <c r="PG165" s="456"/>
      <c r="PH165" s="456"/>
      <c r="PI165" s="456"/>
      <c r="PJ165" s="456"/>
      <c r="PK165" s="456"/>
      <c r="PL165" s="456"/>
      <c r="PM165" s="456"/>
      <c r="PN165" s="456"/>
      <c r="PO165" s="456"/>
      <c r="PP165" s="456"/>
      <c r="PQ165" s="456"/>
      <c r="PR165" s="456"/>
      <c r="PS165" s="456"/>
      <c r="PT165" s="456"/>
      <c r="PU165" s="456"/>
      <c r="PV165" s="456"/>
      <c r="PW165" s="456"/>
      <c r="PX165" s="456"/>
      <c r="PY165" s="456"/>
      <c r="PZ165" s="456"/>
      <c r="QA165" s="456"/>
      <c r="QB165" s="456"/>
      <c r="QC165" s="456"/>
      <c r="QD165" s="456"/>
      <c r="QE165" s="456"/>
      <c r="QF165" s="456"/>
      <c r="QG165" s="456"/>
      <c r="QH165" s="456"/>
      <c r="QI165" s="456"/>
      <c r="QJ165" s="456"/>
      <c r="QK165" s="456"/>
      <c r="QL165" s="456"/>
      <c r="QM165" s="456"/>
      <c r="QN165" s="456"/>
      <c r="QO165" s="456"/>
      <c r="QP165" s="456"/>
      <c r="QQ165" s="456"/>
      <c r="QR165" s="456"/>
      <c r="QS165" s="456"/>
      <c r="QT165" s="456"/>
      <c r="QU165" s="456"/>
      <c r="QV165" s="456"/>
      <c r="QW165" s="456"/>
      <c r="QX165" s="456"/>
      <c r="QY165" s="456"/>
      <c r="QZ165" s="456"/>
      <c r="RA165" s="456"/>
      <c r="RB165" s="456"/>
      <c r="RC165" s="456"/>
      <c r="RD165" s="456"/>
      <c r="RE165" s="456"/>
      <c r="RF165" s="456"/>
      <c r="RG165" s="456"/>
      <c r="RH165" s="456"/>
      <c r="RI165" s="456"/>
      <c r="RJ165" s="456"/>
      <c r="RK165" s="456"/>
      <c r="RL165" s="456"/>
      <c r="RM165" s="456"/>
      <c r="RN165" s="456"/>
      <c r="RO165" s="456"/>
      <c r="RP165" s="456"/>
      <c r="RQ165" s="456"/>
      <c r="RR165" s="456"/>
      <c r="RS165" s="456"/>
      <c r="RT165" s="456"/>
      <c r="RU165" s="456"/>
      <c r="RV165" s="456"/>
      <c r="RW165" s="456"/>
      <c r="RX165" s="456"/>
      <c r="RY165" s="456"/>
      <c r="RZ165" s="456"/>
      <c r="SA165" s="456"/>
      <c r="SB165" s="456"/>
      <c r="SC165" s="456"/>
      <c r="SD165" s="456"/>
      <c r="SE165" s="456"/>
      <c r="SF165" s="456"/>
      <c r="SG165" s="456"/>
      <c r="SH165" s="456"/>
      <c r="SI165" s="456"/>
      <c r="SJ165" s="456"/>
      <c r="SK165" s="456"/>
      <c r="SL165" s="456"/>
      <c r="SM165" s="456"/>
      <c r="SN165" s="456"/>
      <c r="SO165" s="456"/>
      <c r="SP165" s="456"/>
      <c r="SQ165" s="456"/>
      <c r="SR165" s="456"/>
      <c r="SS165" s="456"/>
      <c r="ST165" s="456"/>
      <c r="SU165" s="456"/>
      <c r="SV165" s="456"/>
      <c r="SW165" s="456"/>
      <c r="SX165" s="456"/>
      <c r="SY165" s="456"/>
      <c r="SZ165" s="456"/>
      <c r="TA165" s="456"/>
      <c r="TB165" s="456"/>
      <c r="TC165" s="456"/>
      <c r="TD165" s="456"/>
      <c r="TE165" s="456"/>
      <c r="TF165" s="456"/>
      <c r="TG165" s="456"/>
      <c r="TH165" s="456"/>
      <c r="TI165" s="456"/>
      <c r="TJ165" s="456"/>
      <c r="TK165" s="456"/>
      <c r="TL165" s="456"/>
      <c r="TM165" s="456"/>
      <c r="TN165" s="456"/>
      <c r="TO165" s="456"/>
      <c r="TP165" s="456"/>
      <c r="TQ165" s="456"/>
      <c r="TR165" s="456"/>
      <c r="TS165" s="456"/>
      <c r="TT165" s="456"/>
      <c r="TU165" s="456"/>
      <c r="TV165" s="456"/>
      <c r="TW165" s="456"/>
      <c r="TX165" s="456"/>
      <c r="TY165" s="456"/>
      <c r="TZ165" s="456"/>
      <c r="UA165" s="456"/>
      <c r="UB165" s="456"/>
      <c r="UC165" s="456"/>
      <c r="UD165" s="456"/>
      <c r="UE165" s="456"/>
      <c r="UF165" s="456"/>
      <c r="UG165" s="456"/>
      <c r="UH165" s="456"/>
      <c r="UI165" s="456"/>
      <c r="UJ165" s="456"/>
      <c r="UK165" s="456"/>
      <c r="UL165" s="456"/>
      <c r="UM165" s="456"/>
      <c r="UN165" s="456"/>
      <c r="UO165" s="456"/>
      <c r="UP165" s="456"/>
      <c r="UQ165" s="456"/>
      <c r="UR165" s="456"/>
      <c r="US165" s="456"/>
      <c r="UT165" s="456"/>
      <c r="UU165" s="456"/>
      <c r="UV165" s="456"/>
      <c r="UW165" s="456"/>
      <c r="UX165" s="456"/>
      <c r="UY165" s="456"/>
      <c r="UZ165" s="456"/>
      <c r="VA165" s="456"/>
      <c r="VB165" s="456"/>
      <c r="VC165" s="456"/>
      <c r="VD165" s="456"/>
      <c r="VE165" s="456"/>
      <c r="VF165" s="456"/>
      <c r="VG165" s="456"/>
      <c r="VH165" s="456"/>
      <c r="VI165" s="456"/>
      <c r="VJ165" s="456"/>
      <c r="VK165" s="456"/>
      <c r="VL165" s="456"/>
      <c r="VM165" s="456"/>
      <c r="VN165" s="456"/>
      <c r="VO165" s="456"/>
      <c r="VP165" s="456"/>
      <c r="VQ165" s="456"/>
      <c r="VR165" s="456"/>
      <c r="VS165" s="456"/>
      <c r="VT165" s="456"/>
      <c r="VU165" s="456"/>
      <c r="VV165" s="456"/>
      <c r="VW165" s="456"/>
      <c r="VX165" s="456"/>
      <c r="VY165" s="456"/>
      <c r="VZ165" s="456"/>
      <c r="WA165" s="456"/>
      <c r="WB165" s="456"/>
      <c r="WC165" s="456"/>
      <c r="WD165" s="456"/>
      <c r="WE165" s="456"/>
      <c r="WF165" s="456"/>
      <c r="WG165" s="456"/>
      <c r="WH165" s="456"/>
      <c r="WI165" s="456"/>
      <c r="WJ165" s="456"/>
      <c r="WK165" s="456"/>
      <c r="WL165" s="456"/>
      <c r="WM165" s="456"/>
      <c r="WN165" s="456"/>
      <c r="WO165" s="456"/>
      <c r="WP165" s="456"/>
      <c r="WQ165" s="456"/>
      <c r="WR165" s="456"/>
      <c r="WS165" s="456"/>
      <c r="WT165" s="456"/>
      <c r="WU165" s="456"/>
      <c r="WV165" s="456"/>
      <c r="WW165" s="456"/>
      <c r="WX165" s="456"/>
      <c r="WY165" s="456"/>
      <c r="WZ165" s="456"/>
      <c r="XA165" s="456"/>
      <c r="XB165" s="456"/>
      <c r="XC165" s="456"/>
      <c r="XD165" s="456"/>
      <c r="XE165" s="456"/>
      <c r="XF165" s="456"/>
      <c r="XG165" s="456"/>
      <c r="XH165" s="456"/>
      <c r="XI165" s="456"/>
      <c r="XJ165" s="456"/>
      <c r="XK165" s="456"/>
      <c r="XL165" s="456"/>
      <c r="XM165" s="456"/>
      <c r="XN165" s="456"/>
      <c r="XO165" s="456"/>
      <c r="XP165" s="456"/>
      <c r="XQ165" s="456"/>
      <c r="XR165" s="456"/>
      <c r="XS165" s="456"/>
      <c r="XT165" s="456"/>
      <c r="XU165" s="456"/>
      <c r="XV165" s="456"/>
      <c r="XW165" s="456"/>
      <c r="XX165" s="456"/>
      <c r="XY165" s="456"/>
      <c r="XZ165" s="456"/>
      <c r="YA165" s="456"/>
      <c r="YB165" s="456"/>
      <c r="YC165" s="456"/>
      <c r="YD165" s="456"/>
      <c r="YE165" s="456"/>
      <c r="YF165" s="456"/>
      <c r="YG165" s="456"/>
      <c r="YH165" s="456"/>
      <c r="YI165" s="456"/>
      <c r="YJ165" s="456"/>
      <c r="YK165" s="456"/>
      <c r="YL165" s="456"/>
      <c r="YM165" s="456"/>
      <c r="YN165" s="456"/>
      <c r="YO165" s="456"/>
      <c r="YP165" s="456"/>
      <c r="YQ165" s="456"/>
      <c r="YR165" s="456"/>
      <c r="YS165" s="456"/>
      <c r="YT165" s="456"/>
      <c r="YU165" s="456"/>
      <c r="YV165" s="456"/>
      <c r="YW165" s="456"/>
      <c r="YX165" s="456"/>
      <c r="YY165" s="456"/>
      <c r="YZ165" s="456"/>
      <c r="ZA165" s="456"/>
      <c r="ZB165" s="456"/>
      <c r="ZC165" s="456"/>
      <c r="ZD165" s="456"/>
      <c r="ZE165" s="456"/>
      <c r="ZF165" s="456"/>
      <c r="ZG165" s="456"/>
      <c r="ZH165" s="456"/>
      <c r="ZI165" s="456"/>
      <c r="ZJ165" s="456"/>
      <c r="ZK165" s="456"/>
      <c r="ZL165" s="456"/>
      <c r="ZM165" s="456"/>
      <c r="ZN165" s="456"/>
      <c r="ZO165" s="456"/>
      <c r="ZP165" s="456"/>
      <c r="ZQ165" s="456"/>
      <c r="ZR165" s="456"/>
      <c r="ZS165" s="456"/>
      <c r="ZT165" s="456"/>
      <c r="ZU165" s="456"/>
      <c r="ZV165" s="456"/>
      <c r="ZW165" s="456"/>
      <c r="ZX165" s="456"/>
      <c r="ZY165" s="456"/>
      <c r="ZZ165" s="456"/>
      <c r="AAA165" s="456"/>
      <c r="AAB165" s="456"/>
      <c r="AAC165" s="456"/>
      <c r="AAD165" s="456"/>
      <c r="AAE165" s="456"/>
      <c r="AAF165" s="456"/>
      <c r="AAG165" s="456"/>
      <c r="AAH165" s="456"/>
      <c r="AAI165" s="456"/>
      <c r="AAJ165" s="456"/>
      <c r="AAK165" s="456"/>
      <c r="AAL165" s="456"/>
      <c r="AAM165" s="456"/>
      <c r="AAN165" s="456"/>
      <c r="AAO165" s="456"/>
      <c r="AAP165" s="456"/>
      <c r="AAQ165" s="456"/>
      <c r="AAR165" s="456"/>
      <c r="AAS165" s="456"/>
      <c r="AAT165" s="456"/>
      <c r="AAU165" s="456"/>
      <c r="AAV165" s="456"/>
      <c r="AAW165" s="456"/>
      <c r="AAX165" s="456"/>
      <c r="AAY165" s="456"/>
      <c r="AAZ165" s="456"/>
      <c r="ABA165" s="456"/>
      <c r="ABB165" s="456"/>
      <c r="ABC165" s="456"/>
      <c r="ABD165" s="456"/>
      <c r="ABE165" s="456"/>
      <c r="ABF165" s="456"/>
      <c r="ABG165" s="456"/>
      <c r="ABH165" s="456"/>
      <c r="ABI165" s="456"/>
      <c r="ABJ165" s="456"/>
      <c r="ABK165" s="456"/>
      <c r="ABL165" s="456"/>
      <c r="ABM165" s="456"/>
      <c r="ABN165" s="456"/>
      <c r="ABO165" s="456"/>
      <c r="ABP165" s="456"/>
      <c r="ABQ165" s="456"/>
      <c r="ABR165" s="456"/>
      <c r="ABS165" s="456"/>
      <c r="ABT165" s="456"/>
      <c r="ABU165" s="456"/>
      <c r="ABV165" s="456"/>
      <c r="ABW165" s="456"/>
      <c r="ABX165" s="456"/>
      <c r="ABY165" s="456"/>
      <c r="ABZ165" s="456"/>
      <c r="ACA165" s="456"/>
      <c r="ACB165" s="456"/>
      <c r="ACC165" s="456"/>
      <c r="ACD165" s="456"/>
      <c r="ACE165" s="456"/>
      <c r="ACF165" s="456"/>
      <c r="ACG165" s="456"/>
      <c r="ACH165" s="456"/>
      <c r="ACI165" s="456"/>
      <c r="ACJ165" s="456"/>
      <c r="ACK165" s="456"/>
      <c r="ACL165" s="456"/>
      <c r="ACM165" s="456"/>
      <c r="ACN165" s="456"/>
      <c r="ACO165" s="456"/>
      <c r="ACP165" s="456"/>
      <c r="ACQ165" s="456"/>
      <c r="ACR165" s="456"/>
      <c r="ACS165" s="456"/>
      <c r="ACT165" s="456"/>
      <c r="ACU165" s="456"/>
      <c r="ACV165" s="456"/>
      <c r="ACW165" s="456"/>
      <c r="ACX165" s="456"/>
      <c r="ACY165" s="456"/>
      <c r="ACZ165" s="456"/>
      <c r="ADA165" s="456"/>
      <c r="ADB165" s="456"/>
      <c r="ADC165" s="456"/>
      <c r="ADD165" s="456"/>
      <c r="ADE165" s="456"/>
      <c r="ADF165" s="456"/>
      <c r="ADG165" s="456"/>
      <c r="ADH165" s="456"/>
      <c r="ADI165" s="456"/>
      <c r="ADJ165" s="456"/>
      <c r="ADK165" s="456"/>
      <c r="ADL165" s="456"/>
      <c r="ADM165" s="456"/>
      <c r="ADN165" s="456"/>
      <c r="ADO165" s="456"/>
      <c r="ADP165" s="456"/>
      <c r="ADQ165" s="456"/>
      <c r="ADR165" s="456"/>
      <c r="ADS165" s="456"/>
      <c r="ADT165" s="456"/>
      <c r="ADU165" s="456"/>
      <c r="ADV165" s="456"/>
      <c r="ADW165" s="456"/>
      <c r="ADX165" s="456"/>
      <c r="ADY165" s="456"/>
      <c r="ADZ165" s="456"/>
      <c r="AEA165" s="456"/>
      <c r="AEB165" s="456"/>
      <c r="AEC165" s="456"/>
      <c r="AED165" s="456"/>
      <c r="AEE165" s="456"/>
      <c r="AEF165" s="456"/>
      <c r="AEG165" s="456"/>
      <c r="AEH165" s="456"/>
      <c r="AEI165" s="456"/>
      <c r="AEJ165" s="456"/>
      <c r="AEK165" s="456"/>
      <c r="AEL165" s="456"/>
      <c r="AEM165" s="456"/>
      <c r="AEN165" s="456"/>
      <c r="AEO165" s="456"/>
      <c r="AEP165" s="456"/>
      <c r="AEQ165" s="456"/>
      <c r="AER165" s="456"/>
      <c r="AES165" s="456"/>
      <c r="AET165" s="456"/>
      <c r="AEU165" s="456"/>
      <c r="AEV165" s="456"/>
      <c r="AEW165" s="456"/>
      <c r="AEX165" s="456"/>
      <c r="AEY165" s="456"/>
      <c r="AEZ165" s="456"/>
      <c r="AFA165" s="456"/>
      <c r="AFB165" s="456"/>
      <c r="AFC165" s="456"/>
      <c r="AFD165" s="456"/>
      <c r="AFE165" s="456"/>
      <c r="AFF165" s="456"/>
      <c r="AFG165" s="456"/>
      <c r="AFH165" s="456"/>
      <c r="AFI165" s="456"/>
      <c r="AFJ165" s="456"/>
      <c r="AFK165" s="456"/>
      <c r="AFL165" s="456"/>
      <c r="AFM165" s="456"/>
      <c r="AFN165" s="456"/>
      <c r="AFO165" s="456"/>
      <c r="AFP165" s="456"/>
      <c r="AFQ165" s="456"/>
      <c r="AFR165" s="456"/>
      <c r="AFS165" s="456"/>
      <c r="AFT165" s="456"/>
      <c r="AFU165" s="456"/>
      <c r="AFV165" s="456"/>
      <c r="AFW165" s="456"/>
      <c r="AFX165" s="456"/>
      <c r="AFY165" s="456"/>
      <c r="AFZ165" s="456"/>
      <c r="AGA165" s="456"/>
      <c r="AGB165" s="456"/>
      <c r="AGC165" s="456"/>
      <c r="AGD165" s="456"/>
      <c r="AGE165" s="456"/>
      <c r="AGF165" s="456"/>
      <c r="AGG165" s="456"/>
      <c r="AGH165" s="456"/>
      <c r="AGI165" s="456"/>
      <c r="AGJ165" s="456"/>
      <c r="AGK165" s="456"/>
      <c r="AGL165" s="456"/>
      <c r="AGM165" s="456"/>
      <c r="AGN165" s="456"/>
      <c r="AGO165" s="456"/>
      <c r="AGP165" s="456"/>
      <c r="AGQ165" s="456"/>
      <c r="AGR165" s="456"/>
      <c r="AGS165" s="456"/>
      <c r="AGT165" s="456"/>
      <c r="AGU165" s="456"/>
      <c r="AGV165" s="456"/>
      <c r="AGW165" s="456"/>
      <c r="AGX165" s="456"/>
      <c r="AGY165" s="456"/>
      <c r="AGZ165" s="456"/>
      <c r="AHA165" s="456"/>
      <c r="AHB165" s="456"/>
      <c r="AHC165" s="456"/>
      <c r="AHD165" s="456"/>
      <c r="AHE165" s="456"/>
      <c r="AHF165" s="456"/>
      <c r="AHG165" s="456"/>
      <c r="AHH165" s="456"/>
      <c r="AHI165" s="456"/>
      <c r="AHJ165" s="456"/>
      <c r="AHK165" s="456"/>
      <c r="AHL165" s="456"/>
      <c r="AHM165" s="456"/>
      <c r="AHN165" s="456"/>
      <c r="AHO165" s="456"/>
      <c r="AHP165" s="456"/>
      <c r="AHQ165" s="456"/>
      <c r="AHR165" s="456"/>
      <c r="AHS165" s="456"/>
      <c r="AHT165" s="456"/>
      <c r="AHU165" s="456"/>
      <c r="AHV165" s="456"/>
      <c r="AHW165" s="456"/>
      <c r="AHX165" s="456"/>
      <c r="AHY165" s="456"/>
      <c r="AHZ165" s="456"/>
      <c r="AIA165" s="456"/>
      <c r="AIB165" s="456"/>
      <c r="AIC165" s="456"/>
      <c r="AID165" s="456"/>
      <c r="AIE165" s="456"/>
      <c r="AIF165" s="456"/>
      <c r="AIG165" s="456"/>
      <c r="AIH165" s="456"/>
      <c r="AII165" s="456"/>
      <c r="AIJ165" s="456"/>
      <c r="AIK165" s="456"/>
      <c r="AIL165" s="456"/>
      <c r="AIM165" s="456"/>
      <c r="AIN165" s="456"/>
      <c r="AIO165" s="456"/>
      <c r="AIP165" s="456"/>
      <c r="AIQ165" s="456"/>
      <c r="AIR165" s="456"/>
      <c r="AIS165" s="456"/>
      <c r="AIT165" s="456"/>
      <c r="AIU165" s="456"/>
      <c r="AIV165" s="456"/>
      <c r="AIW165" s="456"/>
      <c r="AIX165" s="456"/>
      <c r="AIY165" s="456"/>
      <c r="AIZ165" s="456"/>
      <c r="AJA165" s="456"/>
      <c r="AJB165" s="456"/>
      <c r="AJC165" s="456"/>
      <c r="AJD165" s="456"/>
      <c r="AJE165" s="456"/>
      <c r="AJF165" s="456"/>
      <c r="AJG165" s="456"/>
      <c r="AJH165" s="456"/>
      <c r="AJI165" s="456"/>
      <c r="AJJ165" s="456"/>
      <c r="AJK165" s="456"/>
      <c r="AJL165" s="456"/>
      <c r="AJM165" s="456"/>
      <c r="AJN165" s="456"/>
      <c r="AJO165" s="456"/>
      <c r="AJP165" s="456"/>
      <c r="AJQ165" s="456"/>
      <c r="AJR165" s="456"/>
      <c r="AJS165" s="456"/>
      <c r="AJT165" s="456"/>
      <c r="AJU165" s="456"/>
      <c r="AJV165" s="456"/>
      <c r="AJW165" s="456"/>
      <c r="AJX165" s="456"/>
      <c r="AJY165" s="456"/>
      <c r="AJZ165" s="456"/>
      <c r="AKA165" s="456"/>
      <c r="AKB165" s="456"/>
      <c r="AKC165" s="456"/>
      <c r="AKD165" s="456"/>
      <c r="AKE165" s="456"/>
      <c r="AKF165" s="456"/>
      <c r="AKG165" s="456"/>
      <c r="AKH165" s="456"/>
      <c r="AKI165" s="456"/>
      <c r="AKJ165" s="456"/>
      <c r="AKK165" s="456"/>
      <c r="AKL165" s="456"/>
      <c r="AKM165" s="456"/>
      <c r="AKN165" s="456"/>
      <c r="AKO165" s="456"/>
      <c r="AKP165" s="456"/>
      <c r="AKQ165" s="456"/>
      <c r="AKR165" s="456"/>
      <c r="AKS165" s="456"/>
      <c r="AKT165" s="456"/>
      <c r="AKU165" s="456"/>
      <c r="AKV165" s="456"/>
      <c r="AKW165" s="456"/>
      <c r="AKX165" s="456"/>
      <c r="AKY165" s="456"/>
      <c r="AKZ165" s="456"/>
      <c r="ALA165" s="456"/>
      <c r="ALB165" s="456"/>
      <c r="ALC165" s="456"/>
      <c r="ALD165" s="456"/>
      <c r="ALE165" s="456"/>
      <c r="ALF165" s="456"/>
      <c r="ALG165" s="456"/>
      <c r="ALH165" s="456"/>
      <c r="ALI165" s="456"/>
      <c r="ALJ165" s="456"/>
      <c r="ALK165" s="456"/>
      <c r="ALL165" s="456"/>
      <c r="ALM165" s="456"/>
      <c r="ALN165" s="456"/>
      <c r="ALO165" s="456"/>
      <c r="ALP165" s="456"/>
      <c r="ALQ165" s="456"/>
      <c r="ALR165" s="456"/>
      <c r="ALS165" s="456"/>
      <c r="ALT165" s="456"/>
      <c r="ALU165" s="456"/>
      <c r="ALV165" s="456"/>
      <c r="ALW165" s="456"/>
      <c r="ALX165" s="456"/>
      <c r="ALY165" s="456"/>
      <c r="ALZ165" s="456"/>
      <c r="AMA165" s="456"/>
      <c r="AMB165" s="456"/>
      <c r="AMC165" s="456"/>
      <c r="AMD165" s="456"/>
      <c r="AME165" s="456"/>
      <c r="AMF165" s="456"/>
      <c r="AMG165" s="456"/>
      <c r="AMH165" s="456"/>
      <c r="AMI165" s="456"/>
      <c r="AMJ165" s="456"/>
      <c r="AMK165" s="456"/>
      <c r="AML165" s="456"/>
      <c r="AMM165" s="456"/>
      <c r="AMN165" s="456"/>
      <c r="AMO165" s="456"/>
      <c r="AMP165" s="456"/>
      <c r="AMQ165" s="456"/>
      <c r="AMR165" s="456"/>
      <c r="AMS165" s="456"/>
      <c r="AMT165" s="456"/>
      <c r="AMU165" s="456"/>
      <c r="AMV165" s="456"/>
      <c r="AMW165" s="456"/>
      <c r="AMX165" s="456"/>
      <c r="AMY165" s="456"/>
      <c r="AMZ165" s="456"/>
      <c r="ANA165" s="456"/>
      <c r="ANB165" s="456"/>
      <c r="ANC165" s="456"/>
      <c r="AND165" s="456"/>
      <c r="ANE165" s="456"/>
      <c r="ANF165" s="456"/>
      <c r="ANG165" s="456"/>
      <c r="ANH165" s="456"/>
      <c r="ANI165" s="456"/>
      <c r="ANJ165" s="456"/>
      <c r="ANK165" s="456"/>
      <c r="ANL165" s="456"/>
      <c r="ANM165" s="456"/>
      <c r="ANN165" s="456"/>
      <c r="ANO165" s="456"/>
      <c r="ANP165" s="456"/>
      <c r="ANQ165" s="456"/>
      <c r="ANR165" s="456"/>
      <c r="ANS165" s="456"/>
      <c r="ANT165" s="456"/>
      <c r="ANU165" s="456"/>
      <c r="ANV165" s="456"/>
      <c r="ANW165" s="456"/>
      <c r="ANX165" s="456"/>
      <c r="ANY165" s="456"/>
      <c r="ANZ165" s="456"/>
      <c r="AOA165" s="456"/>
      <c r="AOB165" s="456"/>
      <c r="AOC165" s="456"/>
      <c r="AOD165" s="456"/>
      <c r="AOE165" s="456"/>
      <c r="AOF165" s="456"/>
      <c r="AOG165" s="456"/>
      <c r="AOH165" s="456"/>
      <c r="AOI165" s="456"/>
      <c r="AOJ165" s="456"/>
      <c r="AOK165" s="456"/>
      <c r="AOL165" s="456"/>
      <c r="AOM165" s="456"/>
      <c r="AON165" s="456"/>
      <c r="AOO165" s="456"/>
      <c r="AOP165" s="456"/>
      <c r="AOQ165" s="456"/>
      <c r="AOR165" s="456"/>
      <c r="AOS165" s="456"/>
      <c r="AOT165" s="456"/>
      <c r="AOU165" s="456"/>
      <c r="AOV165" s="456"/>
      <c r="AOW165" s="456"/>
      <c r="AOX165" s="456"/>
      <c r="AOY165" s="456"/>
      <c r="AOZ165" s="456"/>
      <c r="APA165" s="456"/>
      <c r="APB165" s="456"/>
      <c r="APC165" s="456"/>
      <c r="APD165" s="456"/>
      <c r="APE165" s="456"/>
      <c r="APF165" s="456"/>
      <c r="APG165" s="456"/>
      <c r="APH165" s="456"/>
      <c r="API165" s="456"/>
      <c r="APJ165" s="456"/>
      <c r="APK165" s="456"/>
      <c r="APL165" s="456"/>
      <c r="APM165" s="456"/>
      <c r="APN165" s="456"/>
      <c r="APO165" s="456"/>
      <c r="APP165" s="456"/>
      <c r="APQ165" s="456"/>
      <c r="APR165" s="456"/>
      <c r="APS165" s="456"/>
      <c r="APT165" s="456"/>
      <c r="APU165" s="456"/>
      <c r="APV165" s="456"/>
      <c r="APW165" s="456"/>
      <c r="APX165" s="456"/>
      <c r="APY165" s="456"/>
      <c r="APZ165" s="456"/>
      <c r="AQA165" s="456"/>
      <c r="AQB165" s="456"/>
      <c r="AQC165" s="456"/>
      <c r="AQD165" s="456"/>
      <c r="AQE165" s="456"/>
      <c r="AQF165" s="456"/>
      <c r="AQG165" s="456"/>
      <c r="AQH165" s="456"/>
      <c r="AQI165" s="456"/>
      <c r="AQJ165" s="456"/>
      <c r="AQK165" s="456"/>
      <c r="AQL165" s="456"/>
      <c r="AQM165" s="456"/>
      <c r="AQN165" s="456"/>
      <c r="AQO165" s="456"/>
      <c r="AQP165" s="456"/>
      <c r="AQQ165" s="456"/>
      <c r="AQR165" s="456"/>
      <c r="AQS165" s="456"/>
      <c r="AQT165" s="456"/>
      <c r="AQU165" s="456"/>
      <c r="AQV165" s="456"/>
      <c r="AQW165" s="456"/>
      <c r="AQX165" s="456"/>
      <c r="AQY165" s="456"/>
      <c r="AQZ165" s="456"/>
      <c r="ARA165" s="456"/>
      <c r="ARB165" s="456"/>
      <c r="ARC165" s="456"/>
      <c r="ARD165" s="456"/>
      <c r="ARE165" s="456"/>
      <c r="ARF165" s="456"/>
      <c r="ARG165" s="456"/>
      <c r="ARH165" s="456"/>
      <c r="ARI165" s="456"/>
      <c r="ARJ165" s="456"/>
      <c r="ARK165" s="456"/>
      <c r="ARL165" s="456"/>
      <c r="ARM165" s="456"/>
      <c r="ARN165" s="456"/>
      <c r="ARO165" s="456"/>
      <c r="ARP165" s="456"/>
      <c r="ARQ165" s="456"/>
      <c r="ARR165" s="456"/>
      <c r="ARS165" s="456"/>
      <c r="ART165" s="456"/>
      <c r="ARU165" s="456"/>
      <c r="ARV165" s="456"/>
      <c r="ARW165" s="456"/>
      <c r="ARX165" s="456"/>
      <c r="ARY165" s="456"/>
      <c r="ARZ165" s="456"/>
      <c r="ASA165" s="456"/>
      <c r="ASB165" s="456"/>
      <c r="ASC165" s="456"/>
      <c r="ASD165" s="456"/>
      <c r="ASE165" s="456"/>
      <c r="ASF165" s="456"/>
      <c r="ASG165" s="456"/>
      <c r="ASH165" s="456"/>
      <c r="ASI165" s="456"/>
      <c r="ASJ165" s="456"/>
      <c r="ASK165" s="456"/>
      <c r="ASL165" s="456"/>
      <c r="ASM165" s="456"/>
      <c r="ASN165" s="456"/>
      <c r="ASO165" s="456"/>
      <c r="ASP165" s="456"/>
      <c r="ASQ165" s="456"/>
      <c r="ASR165" s="456"/>
      <c r="ASS165" s="456"/>
      <c r="AST165" s="456"/>
      <c r="ASU165" s="456"/>
      <c r="ASV165" s="456"/>
      <c r="ASW165" s="456"/>
      <c r="ASX165" s="456"/>
      <c r="ASY165" s="456"/>
      <c r="ASZ165" s="456"/>
      <c r="ATA165" s="456"/>
      <c r="ATB165" s="456"/>
      <c r="ATC165" s="456"/>
      <c r="ATD165" s="456"/>
      <c r="ATE165" s="456"/>
      <c r="ATF165" s="456"/>
      <c r="ATG165" s="456"/>
      <c r="ATH165" s="456"/>
      <c r="ATI165" s="456"/>
      <c r="ATJ165" s="456"/>
      <c r="ATK165" s="456"/>
      <c r="ATL165" s="456"/>
      <c r="ATM165" s="456"/>
      <c r="ATN165" s="456"/>
      <c r="ATO165" s="456"/>
      <c r="ATP165" s="456"/>
      <c r="ATQ165" s="456"/>
      <c r="ATR165" s="456"/>
      <c r="ATS165" s="456"/>
      <c r="ATT165" s="456"/>
      <c r="ATU165" s="456"/>
      <c r="ATV165" s="456"/>
      <c r="ATW165" s="456"/>
      <c r="ATX165" s="456"/>
      <c r="ATY165" s="456"/>
      <c r="ATZ165" s="456"/>
      <c r="AUA165" s="456"/>
      <c r="AUB165" s="456"/>
      <c r="AUC165" s="456"/>
      <c r="AUD165" s="456"/>
      <c r="AUE165" s="456"/>
      <c r="AUF165" s="456"/>
      <c r="AUG165" s="456"/>
      <c r="AUH165" s="456"/>
      <c r="AUI165" s="456"/>
      <c r="AUJ165" s="456"/>
      <c r="AUK165" s="456"/>
      <c r="AUL165" s="456"/>
      <c r="AUM165" s="456"/>
      <c r="AUN165" s="456"/>
      <c r="AUO165" s="456"/>
      <c r="AUP165" s="456"/>
      <c r="AUQ165" s="456"/>
      <c r="AUR165" s="456"/>
      <c r="AUS165" s="456"/>
      <c r="AUT165" s="456"/>
      <c r="AUU165" s="456"/>
      <c r="AUV165" s="456"/>
      <c r="AUW165" s="456"/>
      <c r="AUX165" s="456"/>
      <c r="AUY165" s="456"/>
      <c r="AUZ165" s="456"/>
      <c r="AVA165" s="456"/>
      <c r="AVB165" s="456"/>
      <c r="AVC165" s="456"/>
      <c r="AVD165" s="456"/>
      <c r="AVE165" s="456"/>
      <c r="AVF165" s="456"/>
      <c r="AVG165" s="456"/>
      <c r="AVH165" s="456"/>
      <c r="AVI165" s="456"/>
      <c r="AVJ165" s="456"/>
      <c r="AVK165" s="456"/>
      <c r="AVL165" s="456"/>
      <c r="AVM165" s="456"/>
      <c r="AVN165" s="456"/>
      <c r="AVO165" s="456"/>
      <c r="AVP165" s="456"/>
      <c r="AVQ165" s="456"/>
      <c r="AVR165" s="456"/>
      <c r="AVS165" s="456"/>
      <c r="AVT165" s="456"/>
      <c r="AVU165" s="456"/>
      <c r="AVV165" s="456"/>
      <c r="AVW165" s="456"/>
      <c r="AVX165" s="456"/>
      <c r="AVY165" s="456"/>
      <c r="AVZ165" s="456"/>
      <c r="AWA165" s="456"/>
      <c r="AWB165" s="456"/>
      <c r="AWC165" s="456"/>
      <c r="AWD165" s="456"/>
      <c r="AWE165" s="456"/>
      <c r="AWF165" s="456"/>
      <c r="AWG165" s="456"/>
      <c r="AWH165" s="456"/>
      <c r="AWI165" s="456"/>
      <c r="AWJ165" s="456"/>
      <c r="AWK165" s="456"/>
      <c r="AWL165" s="456"/>
      <c r="AWM165" s="456"/>
      <c r="AWN165" s="456"/>
      <c r="AWO165" s="456"/>
      <c r="AWP165" s="456"/>
      <c r="AWQ165" s="456"/>
      <c r="AWR165" s="456"/>
      <c r="AWS165" s="456"/>
      <c r="AWT165" s="456"/>
      <c r="AWU165" s="456"/>
      <c r="AWV165" s="456"/>
      <c r="AWW165" s="456"/>
      <c r="AWX165" s="456"/>
      <c r="AWY165" s="456"/>
      <c r="AWZ165" s="456"/>
      <c r="AXA165" s="456"/>
      <c r="AXB165" s="456"/>
      <c r="AXC165" s="456"/>
      <c r="AXD165" s="456"/>
      <c r="AXE165" s="456"/>
      <c r="AXF165" s="456"/>
      <c r="AXG165" s="456"/>
      <c r="AXH165" s="456"/>
      <c r="AXI165" s="456"/>
      <c r="AXJ165" s="456"/>
      <c r="AXK165" s="456"/>
      <c r="AXL165" s="456"/>
      <c r="AXM165" s="456"/>
      <c r="AXN165" s="456"/>
      <c r="AXO165" s="456"/>
      <c r="AXP165" s="456"/>
      <c r="AXQ165" s="456"/>
      <c r="AXR165" s="456"/>
      <c r="AXS165" s="456"/>
      <c r="AXT165" s="456"/>
      <c r="AXU165" s="456"/>
      <c r="AXV165" s="456"/>
      <c r="AXW165" s="456"/>
      <c r="AXX165" s="456"/>
      <c r="AXY165" s="456"/>
      <c r="AXZ165" s="456"/>
      <c r="AYA165" s="456"/>
      <c r="AYB165" s="456"/>
      <c r="AYC165" s="456"/>
      <c r="AYD165" s="456"/>
      <c r="AYE165" s="456"/>
      <c r="AYF165" s="456"/>
      <c r="AYG165" s="456"/>
      <c r="AYH165" s="456"/>
      <c r="AYI165" s="456"/>
      <c r="AYJ165" s="456"/>
      <c r="AYK165" s="456"/>
      <c r="AYL165" s="456"/>
      <c r="AYM165" s="456"/>
      <c r="AYN165" s="456"/>
      <c r="AYO165" s="456"/>
      <c r="AYP165" s="456"/>
      <c r="AYQ165" s="456"/>
      <c r="AYR165" s="456"/>
      <c r="AYS165" s="456"/>
      <c r="AYT165" s="456"/>
      <c r="AYU165" s="456"/>
      <c r="AYV165" s="456"/>
      <c r="AYW165" s="456"/>
      <c r="AYX165" s="456"/>
      <c r="AYY165" s="456"/>
      <c r="AYZ165" s="456"/>
      <c r="AZA165" s="456"/>
      <c r="AZB165" s="456"/>
      <c r="AZC165" s="456"/>
      <c r="AZD165" s="456"/>
      <c r="AZE165" s="456"/>
      <c r="AZF165" s="456"/>
      <c r="AZG165" s="456"/>
      <c r="AZH165" s="456"/>
      <c r="AZI165" s="456"/>
      <c r="AZJ165" s="456"/>
      <c r="AZK165" s="456"/>
      <c r="AZL165" s="456"/>
      <c r="AZM165" s="456"/>
      <c r="AZN165" s="456"/>
      <c r="AZO165" s="456"/>
      <c r="AZP165" s="456"/>
      <c r="AZQ165" s="456"/>
      <c r="AZR165" s="456"/>
      <c r="AZS165" s="456"/>
      <c r="AZT165" s="456"/>
      <c r="AZU165" s="456"/>
      <c r="AZV165" s="456"/>
      <c r="AZW165" s="456"/>
      <c r="AZX165" s="456"/>
      <c r="AZY165" s="456"/>
      <c r="AZZ165" s="456"/>
      <c r="BAA165" s="456"/>
      <c r="BAB165" s="456"/>
      <c r="BAC165" s="456"/>
      <c r="BAD165" s="456"/>
      <c r="BAE165" s="456"/>
      <c r="BAF165" s="456"/>
      <c r="BAG165" s="456"/>
      <c r="BAH165" s="456"/>
      <c r="BAI165" s="456"/>
      <c r="BAJ165" s="456"/>
      <c r="BAK165" s="456"/>
      <c r="BAL165" s="456"/>
      <c r="BAM165" s="456"/>
      <c r="BAN165" s="456"/>
      <c r="BAO165" s="456"/>
      <c r="BAP165" s="456"/>
      <c r="BAQ165" s="456"/>
      <c r="BAR165" s="456"/>
      <c r="BAS165" s="456"/>
      <c r="BAT165" s="456"/>
      <c r="BAU165" s="456"/>
      <c r="BAV165" s="456"/>
      <c r="BAW165" s="456"/>
      <c r="BAX165" s="456"/>
      <c r="BAY165" s="456"/>
      <c r="BAZ165" s="456"/>
      <c r="BBA165" s="456"/>
      <c r="BBB165" s="456"/>
      <c r="BBC165" s="456"/>
      <c r="BBD165" s="456"/>
      <c r="BBE165" s="456"/>
      <c r="BBF165" s="456"/>
      <c r="BBG165" s="456"/>
      <c r="BBH165" s="456"/>
      <c r="BBI165" s="456"/>
      <c r="BBJ165" s="456"/>
      <c r="BBK165" s="456"/>
      <c r="BBL165" s="456"/>
      <c r="BBM165" s="456"/>
      <c r="BBN165" s="456"/>
      <c r="BBO165" s="456"/>
      <c r="BBP165" s="456"/>
      <c r="BBQ165" s="456"/>
      <c r="BBR165" s="456"/>
      <c r="BBS165" s="456"/>
      <c r="BBT165" s="456"/>
      <c r="BBU165" s="456"/>
      <c r="BBV165" s="456"/>
      <c r="BBW165" s="456"/>
      <c r="BBX165" s="456"/>
      <c r="BBY165" s="456"/>
      <c r="BBZ165" s="456"/>
      <c r="BCA165" s="456"/>
      <c r="BCB165" s="456"/>
      <c r="BCC165" s="456"/>
      <c r="BCD165" s="456"/>
      <c r="BCE165" s="456"/>
      <c r="BCF165" s="456"/>
      <c r="BCG165" s="456"/>
      <c r="BCH165" s="456"/>
      <c r="BCI165" s="456"/>
      <c r="BCJ165" s="456"/>
      <c r="BCK165" s="456"/>
      <c r="BCL165" s="456"/>
      <c r="BCM165" s="456"/>
      <c r="BCN165" s="456"/>
      <c r="BCO165" s="456"/>
      <c r="BCP165" s="456"/>
      <c r="BCQ165" s="456"/>
      <c r="BCR165" s="456"/>
      <c r="BCS165" s="456"/>
      <c r="BCT165" s="456"/>
      <c r="BCU165" s="456"/>
      <c r="BCV165" s="456"/>
      <c r="BCW165" s="456"/>
      <c r="BCX165" s="456"/>
      <c r="BCY165" s="456"/>
      <c r="BCZ165" s="456"/>
      <c r="BDA165" s="456"/>
      <c r="BDB165" s="456"/>
      <c r="BDC165" s="456"/>
      <c r="BDD165" s="456"/>
      <c r="BDE165" s="456"/>
      <c r="BDF165" s="456"/>
      <c r="BDG165" s="456"/>
      <c r="BDH165" s="456"/>
      <c r="BDI165" s="456"/>
      <c r="BDJ165" s="456"/>
      <c r="BDK165" s="456"/>
      <c r="BDL165" s="456"/>
      <c r="BDM165" s="456"/>
      <c r="BDN165" s="456"/>
      <c r="BDO165" s="456"/>
      <c r="BDP165" s="456"/>
      <c r="BDQ165" s="456"/>
      <c r="BDR165" s="456"/>
      <c r="BDS165" s="456"/>
      <c r="BDT165" s="456"/>
      <c r="BDU165" s="456"/>
      <c r="BDV165" s="456"/>
      <c r="BDW165" s="456"/>
      <c r="BDX165" s="456"/>
      <c r="BDY165" s="456"/>
      <c r="BDZ165" s="456"/>
      <c r="BEA165" s="456"/>
      <c r="BEB165" s="456"/>
      <c r="BEC165" s="456"/>
      <c r="BED165" s="456"/>
      <c r="BEE165" s="456"/>
      <c r="BEF165" s="456"/>
      <c r="BEG165" s="456"/>
      <c r="BEH165" s="456"/>
      <c r="BEI165" s="456"/>
      <c r="BEJ165" s="456"/>
      <c r="BEK165" s="456"/>
      <c r="BEL165" s="456"/>
      <c r="BEM165" s="456"/>
      <c r="BEN165" s="456"/>
      <c r="BEO165" s="456"/>
      <c r="BEP165" s="456"/>
      <c r="BEQ165" s="456"/>
      <c r="BER165" s="456"/>
      <c r="BES165" s="456"/>
      <c r="BET165" s="456"/>
      <c r="BEU165" s="456"/>
      <c r="BEV165" s="456"/>
      <c r="BEW165" s="456"/>
      <c r="BEX165" s="456"/>
      <c r="BEY165" s="456"/>
      <c r="BEZ165" s="456"/>
      <c r="BFA165" s="456"/>
      <c r="BFB165" s="456"/>
      <c r="BFC165" s="456"/>
      <c r="BFD165" s="456"/>
      <c r="BFE165" s="456"/>
      <c r="BFF165" s="456"/>
      <c r="BFG165" s="456"/>
      <c r="BFH165" s="456"/>
      <c r="BFI165" s="456"/>
      <c r="BFJ165" s="456"/>
      <c r="BFK165" s="456"/>
      <c r="BFL165" s="456"/>
      <c r="BFM165" s="456"/>
      <c r="BFN165" s="456"/>
      <c r="BFO165" s="456"/>
      <c r="BFP165" s="456"/>
      <c r="BFQ165" s="456"/>
      <c r="BFR165" s="456"/>
      <c r="BFS165" s="456"/>
      <c r="BFT165" s="456"/>
      <c r="BFU165" s="456"/>
      <c r="BFV165" s="456"/>
      <c r="BFW165" s="456"/>
      <c r="BFX165" s="456"/>
      <c r="BFY165" s="456"/>
      <c r="BFZ165" s="456"/>
      <c r="BGA165" s="456"/>
      <c r="BGB165" s="456"/>
      <c r="BGC165" s="456"/>
      <c r="BGD165" s="456"/>
      <c r="BGE165" s="456"/>
      <c r="BGF165" s="456"/>
      <c r="BGG165" s="456"/>
      <c r="BGH165" s="456"/>
      <c r="BGI165" s="456"/>
      <c r="BGJ165" s="456"/>
      <c r="BGK165" s="456"/>
      <c r="BGL165" s="456"/>
      <c r="BGM165" s="456"/>
      <c r="BGN165" s="456"/>
      <c r="BGO165" s="456"/>
      <c r="BGP165" s="456"/>
      <c r="BGQ165" s="456"/>
      <c r="BGR165" s="456"/>
      <c r="BGS165" s="456"/>
      <c r="BGT165" s="456"/>
      <c r="BGU165" s="456"/>
      <c r="BGV165" s="456"/>
      <c r="BGW165" s="456"/>
      <c r="BGX165" s="456"/>
      <c r="BGY165" s="456"/>
      <c r="BGZ165" s="456"/>
      <c r="BHA165" s="456"/>
      <c r="BHB165" s="456"/>
      <c r="BHC165" s="456"/>
      <c r="BHD165" s="456"/>
      <c r="BHE165" s="456"/>
      <c r="BHF165" s="456"/>
      <c r="BHG165" s="456"/>
      <c r="BHH165" s="456"/>
      <c r="BHI165" s="456"/>
      <c r="BHJ165" s="456"/>
      <c r="BHK165" s="456"/>
      <c r="BHL165" s="456"/>
      <c r="BHM165" s="456"/>
      <c r="BHN165" s="456"/>
      <c r="BHO165" s="456"/>
      <c r="BHP165" s="456"/>
      <c r="BHQ165" s="456"/>
      <c r="BHR165" s="456"/>
      <c r="BHS165" s="456"/>
      <c r="BHT165" s="456"/>
      <c r="BHU165" s="456"/>
      <c r="BHV165" s="456"/>
      <c r="BHW165" s="456"/>
      <c r="BHX165" s="456"/>
      <c r="BHY165" s="456"/>
      <c r="BHZ165" s="456"/>
      <c r="BIA165" s="456"/>
      <c r="BIB165" s="456"/>
      <c r="BIC165" s="456"/>
      <c r="BID165" s="456"/>
      <c r="BIE165" s="456"/>
      <c r="BIF165" s="456"/>
      <c r="BIG165" s="456"/>
      <c r="BIH165" s="456"/>
      <c r="BII165" s="456"/>
      <c r="BIJ165" s="456"/>
      <c r="BIK165" s="456"/>
      <c r="BIL165" s="456"/>
      <c r="BIM165" s="456"/>
      <c r="BIN165" s="456"/>
      <c r="BIO165" s="456"/>
      <c r="BIP165" s="456"/>
      <c r="BIQ165" s="456"/>
      <c r="BIR165" s="456"/>
      <c r="BIS165" s="456"/>
      <c r="BIT165" s="456"/>
      <c r="BIU165" s="456"/>
      <c r="BIV165" s="456"/>
      <c r="BIW165" s="456"/>
      <c r="BIX165" s="456"/>
      <c r="BIY165" s="456"/>
      <c r="BIZ165" s="456"/>
      <c r="BJA165" s="456"/>
      <c r="BJB165" s="456"/>
      <c r="BJC165" s="456"/>
      <c r="BJD165" s="456"/>
      <c r="BJE165" s="456"/>
      <c r="BJF165" s="456"/>
      <c r="BJG165" s="456"/>
      <c r="BJH165" s="456"/>
      <c r="BJI165" s="456"/>
      <c r="BJJ165" s="456"/>
      <c r="BJK165" s="456"/>
      <c r="BJL165" s="456"/>
      <c r="BJM165" s="456"/>
      <c r="BJN165" s="456"/>
      <c r="BJO165" s="456"/>
      <c r="BJP165" s="456"/>
      <c r="BJQ165" s="456"/>
      <c r="BJR165" s="456"/>
      <c r="BJS165" s="456"/>
      <c r="BJT165" s="456"/>
      <c r="BJU165" s="456"/>
      <c r="BJV165" s="456"/>
      <c r="BJW165" s="456"/>
      <c r="BJX165" s="456"/>
      <c r="BJY165" s="456"/>
      <c r="BJZ165" s="456"/>
      <c r="BKA165" s="456"/>
      <c r="BKB165" s="456"/>
      <c r="BKC165" s="456"/>
      <c r="BKD165" s="456"/>
      <c r="BKE165" s="456"/>
      <c r="BKF165" s="456"/>
      <c r="BKG165" s="456"/>
      <c r="BKH165" s="456"/>
      <c r="BKI165" s="456"/>
      <c r="BKJ165" s="456"/>
      <c r="BKK165" s="456"/>
      <c r="BKL165" s="456"/>
      <c r="BKM165" s="456"/>
      <c r="BKN165" s="456"/>
      <c r="BKO165" s="456"/>
      <c r="BKP165" s="456"/>
      <c r="BKQ165" s="456"/>
      <c r="BKR165" s="456"/>
      <c r="BKS165" s="456"/>
      <c r="BKT165" s="456"/>
      <c r="BKU165" s="456"/>
      <c r="BKV165" s="456"/>
      <c r="BKW165" s="456"/>
      <c r="BKX165" s="456"/>
      <c r="BKY165" s="456"/>
      <c r="BKZ165" s="456"/>
      <c r="BLA165" s="456"/>
      <c r="BLB165" s="456"/>
      <c r="BLC165" s="456"/>
      <c r="BLD165" s="456"/>
      <c r="BLE165" s="456"/>
      <c r="BLF165" s="456"/>
      <c r="BLG165" s="456"/>
      <c r="BLH165" s="456"/>
      <c r="BLI165" s="456"/>
      <c r="BLJ165" s="456"/>
      <c r="BLK165" s="456"/>
      <c r="BLL165" s="456"/>
      <c r="BLM165" s="456"/>
      <c r="BLN165" s="456"/>
      <c r="BLO165" s="456"/>
      <c r="BLP165" s="456"/>
      <c r="BLQ165" s="456"/>
      <c r="BLR165" s="456"/>
      <c r="BLS165" s="456"/>
      <c r="BLT165" s="456"/>
      <c r="BLU165" s="456"/>
      <c r="BLV165" s="456"/>
      <c r="BLW165" s="456"/>
      <c r="BLX165" s="456"/>
      <c r="BLY165" s="456"/>
      <c r="BLZ165" s="456"/>
      <c r="BMA165" s="456"/>
      <c r="BMB165" s="456"/>
      <c r="BMC165" s="456"/>
      <c r="BMD165" s="456"/>
      <c r="BME165" s="456"/>
      <c r="BMF165" s="456"/>
      <c r="BMG165" s="456"/>
      <c r="BMH165" s="456"/>
      <c r="BMI165" s="456"/>
      <c r="BMJ165" s="456"/>
      <c r="BMK165" s="456"/>
      <c r="BML165" s="456"/>
      <c r="BMM165" s="456"/>
      <c r="BMN165" s="456"/>
      <c r="BMO165" s="456"/>
      <c r="BMP165" s="456"/>
      <c r="BMQ165" s="456"/>
      <c r="BMR165" s="456"/>
      <c r="BMS165" s="456"/>
      <c r="BMT165" s="456"/>
      <c r="BMU165" s="456"/>
      <c r="BMV165" s="456"/>
      <c r="BMW165" s="456"/>
      <c r="BMX165" s="456"/>
      <c r="BMY165" s="456"/>
      <c r="BMZ165" s="456"/>
      <c r="BNA165" s="456"/>
      <c r="BNB165" s="456"/>
      <c r="BNC165" s="456"/>
      <c r="BND165" s="456"/>
      <c r="BNE165" s="456"/>
      <c r="BNF165" s="456"/>
      <c r="BNG165" s="456"/>
      <c r="BNH165" s="456"/>
      <c r="BNI165" s="456"/>
      <c r="BNJ165" s="456"/>
      <c r="BNK165" s="456"/>
      <c r="BNL165" s="456"/>
      <c r="BNM165" s="456"/>
      <c r="BNN165" s="456"/>
      <c r="BNO165" s="456"/>
      <c r="BNP165" s="456"/>
      <c r="BNQ165" s="456"/>
      <c r="BNR165" s="456"/>
      <c r="BNS165" s="456"/>
      <c r="BNT165" s="456"/>
      <c r="BNU165" s="456"/>
      <c r="BNV165" s="456"/>
      <c r="BNW165" s="456"/>
      <c r="BNX165" s="456"/>
      <c r="BNY165" s="456"/>
      <c r="BNZ165" s="456"/>
      <c r="BOA165" s="456"/>
      <c r="BOB165" s="456"/>
      <c r="BOC165" s="456"/>
      <c r="BOD165" s="456"/>
      <c r="BOE165" s="456"/>
      <c r="BOF165" s="456"/>
      <c r="BOG165" s="456"/>
      <c r="BOH165" s="456"/>
      <c r="BOI165" s="456"/>
      <c r="BOJ165" s="456"/>
      <c r="BOK165" s="456"/>
      <c r="BOL165" s="456"/>
      <c r="BOM165" s="456"/>
      <c r="BON165" s="456"/>
      <c r="BOO165" s="456"/>
      <c r="BOP165" s="456"/>
      <c r="BOQ165" s="456"/>
      <c r="BOR165" s="456"/>
      <c r="BOS165" s="456"/>
      <c r="BOT165" s="456"/>
      <c r="BOU165" s="456"/>
      <c r="BOV165" s="456"/>
      <c r="BOW165" s="456"/>
      <c r="BOX165" s="456"/>
      <c r="BOY165" s="456"/>
      <c r="BOZ165" s="456"/>
      <c r="BPA165" s="456"/>
      <c r="BPB165" s="456"/>
      <c r="BPC165" s="456"/>
      <c r="BPD165" s="456"/>
      <c r="BPE165" s="456"/>
      <c r="BPF165" s="456"/>
      <c r="BPG165" s="456"/>
      <c r="BPH165" s="456"/>
      <c r="BPI165" s="456"/>
      <c r="BPJ165" s="456"/>
      <c r="BPK165" s="456"/>
      <c r="BPL165" s="456"/>
      <c r="BPM165" s="456"/>
      <c r="BPN165" s="456"/>
      <c r="BPO165" s="456"/>
      <c r="BPP165" s="456"/>
      <c r="BPQ165" s="456"/>
      <c r="BPR165" s="456"/>
      <c r="BPS165" s="456"/>
      <c r="BPT165" s="456"/>
      <c r="BPU165" s="456"/>
      <c r="BPV165" s="456"/>
      <c r="BPW165" s="456"/>
      <c r="BPX165" s="456"/>
      <c r="BPY165" s="456"/>
      <c r="BPZ165" s="456"/>
      <c r="BQA165" s="456"/>
      <c r="BQB165" s="456"/>
      <c r="BQC165" s="456"/>
      <c r="BQD165" s="456"/>
      <c r="BQE165" s="456"/>
      <c r="BQF165" s="456"/>
      <c r="BQG165" s="456"/>
      <c r="BQH165" s="456"/>
      <c r="BQI165" s="456"/>
      <c r="BQJ165" s="456"/>
      <c r="BQK165" s="456"/>
      <c r="BQL165" s="456"/>
      <c r="BQM165" s="456"/>
      <c r="BQN165" s="456"/>
      <c r="BQO165" s="456"/>
      <c r="BQP165" s="456"/>
      <c r="BQQ165" s="456"/>
      <c r="BQR165" s="456"/>
      <c r="BQS165" s="456"/>
      <c r="BQT165" s="456"/>
      <c r="BQU165" s="456"/>
      <c r="BQV165" s="456"/>
      <c r="BQW165" s="456"/>
      <c r="BQX165" s="456"/>
      <c r="BQY165" s="456"/>
      <c r="BQZ165" s="456"/>
      <c r="BRA165" s="456"/>
      <c r="BRB165" s="456"/>
      <c r="BRC165" s="456"/>
      <c r="BRD165" s="456"/>
      <c r="BRE165" s="456"/>
      <c r="BRF165" s="456"/>
      <c r="BRG165" s="456"/>
      <c r="BRH165" s="456"/>
      <c r="BRI165" s="456"/>
      <c r="BRJ165" s="456"/>
      <c r="BRK165" s="456"/>
      <c r="BRL165" s="456"/>
      <c r="BRM165" s="456"/>
      <c r="BRN165" s="456"/>
      <c r="BRO165" s="456"/>
      <c r="BRP165" s="456"/>
      <c r="BRQ165" s="456"/>
      <c r="BRR165" s="456"/>
      <c r="BRS165" s="456"/>
      <c r="BRT165" s="456"/>
      <c r="BRU165" s="456"/>
      <c r="BRV165" s="456"/>
      <c r="BRW165" s="456"/>
      <c r="BRX165" s="456"/>
      <c r="BRY165" s="456"/>
      <c r="BRZ165" s="456"/>
      <c r="BSA165" s="456"/>
      <c r="BSB165" s="456"/>
      <c r="BSC165" s="456"/>
      <c r="BSD165" s="456"/>
      <c r="BSE165" s="456"/>
      <c r="BSF165" s="456"/>
      <c r="BSG165" s="456"/>
      <c r="BSH165" s="456"/>
      <c r="BSI165" s="456"/>
      <c r="BSJ165" s="456"/>
      <c r="BSK165" s="456"/>
      <c r="BSL165" s="456"/>
      <c r="BSM165" s="456"/>
      <c r="BSN165" s="456"/>
      <c r="BSO165" s="456"/>
      <c r="BSP165" s="456"/>
      <c r="BSQ165" s="456"/>
      <c r="BSR165" s="456"/>
      <c r="BSS165" s="456"/>
      <c r="BST165" s="456"/>
      <c r="BSU165" s="456"/>
      <c r="BSV165" s="456"/>
      <c r="BSW165" s="456"/>
      <c r="BSX165" s="456"/>
      <c r="BSY165" s="456"/>
      <c r="BSZ165" s="456"/>
      <c r="BTA165" s="456"/>
      <c r="BTB165" s="456"/>
      <c r="BTC165" s="456"/>
      <c r="BTD165" s="456"/>
      <c r="BTE165" s="456"/>
      <c r="BTF165" s="456"/>
      <c r="BTG165" s="456"/>
      <c r="BTH165" s="456"/>
      <c r="BTI165" s="456"/>
      <c r="BTJ165" s="456"/>
      <c r="BTK165" s="456"/>
      <c r="BTL165" s="456"/>
      <c r="BTM165" s="456"/>
      <c r="BTN165" s="456"/>
      <c r="BTO165" s="456"/>
      <c r="BTP165" s="456"/>
      <c r="BTQ165" s="456"/>
      <c r="BTR165" s="456"/>
      <c r="BTS165" s="456"/>
      <c r="BTT165" s="456"/>
      <c r="BTU165" s="456"/>
      <c r="BTV165" s="456"/>
      <c r="BTW165" s="456"/>
      <c r="BTX165" s="456"/>
      <c r="BTY165" s="456"/>
      <c r="BTZ165" s="456"/>
      <c r="BUA165" s="456"/>
      <c r="BUB165" s="456"/>
      <c r="BUC165" s="456"/>
      <c r="BUD165" s="456"/>
      <c r="BUE165" s="456"/>
      <c r="BUF165" s="456"/>
      <c r="BUG165" s="456"/>
      <c r="BUH165" s="456"/>
      <c r="BUI165" s="456"/>
      <c r="BUJ165" s="456"/>
      <c r="BUK165" s="456"/>
      <c r="BUL165" s="456"/>
      <c r="BUM165" s="456"/>
      <c r="BUN165" s="456"/>
      <c r="BUO165" s="456"/>
      <c r="BUP165" s="456"/>
      <c r="BUQ165" s="456"/>
      <c r="BUR165" s="456"/>
      <c r="BUS165" s="456"/>
      <c r="BUT165" s="456"/>
      <c r="BUU165" s="456"/>
      <c r="BUV165" s="456"/>
      <c r="BUW165" s="456"/>
      <c r="BUX165" s="456"/>
      <c r="BUY165" s="456"/>
      <c r="BUZ165" s="456"/>
      <c r="BVA165" s="456"/>
      <c r="BVB165" s="456"/>
      <c r="BVC165" s="456"/>
      <c r="BVD165" s="456"/>
      <c r="BVE165" s="456"/>
      <c r="BVF165" s="456"/>
      <c r="BVG165" s="456"/>
      <c r="BVH165" s="456"/>
      <c r="BVI165" s="456"/>
      <c r="BVJ165" s="456"/>
      <c r="BVK165" s="456"/>
      <c r="BVL165" s="456"/>
      <c r="BVM165" s="456"/>
      <c r="BVN165" s="456"/>
      <c r="BVO165" s="456"/>
      <c r="BVP165" s="456"/>
      <c r="BVQ165" s="456"/>
      <c r="BVR165" s="456"/>
      <c r="BVS165" s="456"/>
      <c r="BVT165" s="456"/>
      <c r="BVU165" s="456"/>
      <c r="BVV165" s="456"/>
      <c r="BVW165" s="456"/>
      <c r="BVX165" s="456"/>
      <c r="BVY165" s="456"/>
      <c r="BVZ165" s="456"/>
      <c r="BWA165" s="456"/>
      <c r="BWB165" s="456"/>
      <c r="BWC165" s="456"/>
      <c r="BWD165" s="456"/>
      <c r="BWE165" s="456"/>
      <c r="BWF165" s="456"/>
      <c r="BWG165" s="456"/>
      <c r="BWH165" s="456"/>
      <c r="BWI165" s="456"/>
      <c r="BWJ165" s="456"/>
      <c r="BWK165" s="456"/>
      <c r="BWL165" s="456"/>
      <c r="BWM165" s="456"/>
      <c r="BWN165" s="456"/>
      <c r="BWO165" s="456"/>
      <c r="BWP165" s="456"/>
      <c r="BWQ165" s="456"/>
      <c r="BWR165" s="456"/>
      <c r="BWS165" s="456"/>
      <c r="BWT165" s="456"/>
      <c r="BWU165" s="456"/>
      <c r="BWV165" s="456"/>
      <c r="BWW165" s="456"/>
      <c r="BWX165" s="456"/>
      <c r="BWY165" s="456"/>
      <c r="BWZ165" s="456"/>
      <c r="BXA165" s="456"/>
      <c r="BXB165" s="456"/>
      <c r="BXC165" s="456"/>
      <c r="BXD165" s="456"/>
      <c r="BXE165" s="456"/>
      <c r="BXF165" s="456"/>
      <c r="BXG165" s="456"/>
      <c r="BXH165" s="456"/>
      <c r="BXI165" s="456"/>
      <c r="BXJ165" s="456"/>
      <c r="BXK165" s="456"/>
      <c r="BXL165" s="456"/>
      <c r="BXM165" s="456"/>
      <c r="BXN165" s="456"/>
      <c r="BXO165" s="456"/>
      <c r="BXP165" s="456"/>
      <c r="BXQ165" s="456"/>
      <c r="BXR165" s="456"/>
      <c r="BXS165" s="456"/>
      <c r="BXT165" s="456"/>
      <c r="BXU165" s="456"/>
      <c r="BXV165" s="456"/>
      <c r="BXW165" s="456"/>
      <c r="BXX165" s="456"/>
      <c r="BXY165" s="456"/>
      <c r="BXZ165" s="456"/>
    </row>
    <row r="166" s="25" customFormat="1" spans="1:1024 1025:2002">
      <c r="A166" s="473" t="s">
        <v>34</v>
      </c>
      <c r="B166" s="19">
        <v>1130</v>
      </c>
      <c r="C166" s="183">
        <v>46205</v>
      </c>
      <c r="D166" s="17" t="s">
        <v>52</v>
      </c>
      <c r="E166" s="17" t="s">
        <v>104</v>
      </c>
      <c r="F166" s="17" t="s">
        <v>54</v>
      </c>
      <c r="G166" s="17"/>
      <c r="H166" s="19">
        <v>1.2316</v>
      </c>
      <c r="I166" s="19" t="s">
        <v>114</v>
      </c>
      <c r="J166" s="17" t="s">
        <v>49</v>
      </c>
      <c r="K166" s="489">
        <v>1050</v>
      </c>
      <c r="L166" s="489">
        <v>75</v>
      </c>
      <c r="M166" s="489">
        <v>2200</v>
      </c>
      <c r="N166" s="19" t="s">
        <v>66</v>
      </c>
      <c r="O166" s="19" t="s">
        <v>67</v>
      </c>
      <c r="P166" s="490">
        <v>1236.375</v>
      </c>
      <c r="Q166" s="19">
        <v>1370</v>
      </c>
      <c r="R166" s="99">
        <f t="shared" si="9"/>
        <v>-133.625</v>
      </c>
      <c r="S166" s="19">
        <f t="shared" si="11"/>
        <v>2870</v>
      </c>
      <c r="T166" s="19" t="s">
        <v>42</v>
      </c>
      <c r="U166" s="102" t="s">
        <v>115</v>
      </c>
      <c r="V166" s="186">
        <v>46208</v>
      </c>
      <c r="W166" s="17" t="s">
        <v>44</v>
      </c>
      <c r="X166" s="17"/>
      <c r="Y166" s="68">
        <v>46235</v>
      </c>
      <c r="Z166" s="17" t="s">
        <v>45</v>
      </c>
      <c r="AA166" s="17" t="s">
        <v>46</v>
      </c>
      <c r="AB166" s="17" t="s">
        <v>116</v>
      </c>
      <c r="AC166" s="217">
        <v>46241</v>
      </c>
      <c r="AD166" s="65">
        <v>1848</v>
      </c>
      <c r="AE166" s="17" t="s">
        <v>48</v>
      </c>
      <c r="AF166" s="17" t="s">
        <v>61</v>
      </c>
      <c r="AG166" s="17"/>
      <c r="AH166" s="456"/>
      <c r="AI166" s="456"/>
      <c r="AJ166" s="456"/>
      <c r="AK166" s="456"/>
      <c r="AL166" s="456"/>
      <c r="AM166" s="456"/>
      <c r="AN166" s="456"/>
      <c r="AO166" s="456"/>
      <c r="AP166" s="456"/>
      <c r="AQ166" s="456"/>
      <c r="AR166" s="456"/>
      <c r="AS166" s="456"/>
      <c r="AT166" s="456"/>
      <c r="AU166" s="456"/>
      <c r="AV166" s="456"/>
      <c r="AW166" s="456"/>
      <c r="AX166" s="456"/>
      <c r="AY166" s="456"/>
      <c r="AZ166" s="456"/>
      <c r="BA166" s="456"/>
      <c r="BB166" s="456"/>
      <c r="BC166" s="456"/>
      <c r="BD166" s="456"/>
      <c r="BE166" s="456"/>
      <c r="BF166" s="456"/>
      <c r="BG166" s="456"/>
      <c r="BH166" s="456"/>
      <c r="BI166" s="456"/>
      <c r="BJ166" s="456"/>
      <c r="BK166" s="456"/>
      <c r="BL166" s="456"/>
      <c r="BM166" s="456"/>
      <c r="BN166" s="456"/>
      <c r="BO166" s="456"/>
      <c r="BP166" s="456"/>
      <c r="BQ166" s="456"/>
      <c r="BR166" s="456"/>
      <c r="BS166" s="456"/>
      <c r="BT166" s="456"/>
      <c r="BU166" s="456"/>
      <c r="BV166" s="456"/>
      <c r="BW166" s="456"/>
      <c r="BX166" s="456"/>
      <c r="BY166" s="456"/>
      <c r="BZ166" s="456"/>
      <c r="CA166" s="456"/>
      <c r="CB166" s="456"/>
      <c r="CC166" s="456"/>
      <c r="CD166" s="456"/>
      <c r="CE166" s="456"/>
      <c r="CF166" s="456"/>
      <c r="CG166" s="456"/>
      <c r="CH166" s="456"/>
      <c r="CI166" s="456"/>
      <c r="CJ166" s="456"/>
      <c r="CK166" s="456"/>
      <c r="CL166" s="456"/>
      <c r="CM166" s="456"/>
      <c r="CN166" s="456"/>
      <c r="CO166" s="456"/>
      <c r="CP166" s="456"/>
      <c r="CQ166" s="456"/>
      <c r="CR166" s="456"/>
      <c r="CS166" s="456"/>
      <c r="CT166" s="456"/>
      <c r="CU166" s="456"/>
      <c r="CV166" s="456"/>
      <c r="CW166" s="456"/>
      <c r="CX166" s="456"/>
      <c r="CY166" s="456"/>
      <c r="CZ166" s="456"/>
      <c r="DA166" s="456"/>
      <c r="DB166" s="456"/>
      <c r="DC166" s="456"/>
      <c r="DD166" s="456"/>
      <c r="DE166" s="456"/>
      <c r="DF166" s="456"/>
      <c r="DG166" s="456"/>
      <c r="DH166" s="456"/>
      <c r="DI166" s="456"/>
      <c r="DJ166" s="456"/>
      <c r="DK166" s="456"/>
      <c r="DL166" s="456"/>
      <c r="DM166" s="456"/>
      <c r="DN166" s="456"/>
      <c r="DO166" s="456"/>
      <c r="DP166" s="456"/>
      <c r="DQ166" s="456"/>
      <c r="DR166" s="456"/>
      <c r="DS166" s="456"/>
      <c r="DT166" s="456"/>
      <c r="DU166" s="456"/>
      <c r="DV166" s="456"/>
      <c r="DW166" s="456"/>
      <c r="DX166" s="456"/>
      <c r="DY166" s="456"/>
      <c r="DZ166" s="456"/>
      <c r="EA166" s="456"/>
      <c r="EB166" s="456"/>
      <c r="EC166" s="456"/>
      <c r="ED166" s="456"/>
      <c r="EE166" s="456"/>
      <c r="EF166" s="456"/>
      <c r="EG166" s="456"/>
      <c r="EH166" s="456"/>
      <c r="EI166" s="456"/>
      <c r="EJ166" s="456"/>
      <c r="EK166" s="456"/>
      <c r="EL166" s="456"/>
      <c r="EM166" s="456"/>
      <c r="EN166" s="456"/>
      <c r="EO166" s="456"/>
      <c r="EP166" s="456"/>
      <c r="EQ166" s="456"/>
      <c r="ER166" s="456"/>
      <c r="ES166" s="456"/>
      <c r="ET166" s="456"/>
      <c r="EU166" s="456"/>
      <c r="EV166" s="456"/>
      <c r="EW166" s="456"/>
      <c r="EX166" s="456"/>
      <c r="EY166" s="456"/>
      <c r="EZ166" s="456"/>
      <c r="FA166" s="456"/>
      <c r="FB166" s="456"/>
      <c r="FC166" s="456"/>
      <c r="FD166" s="456"/>
      <c r="FE166" s="456"/>
      <c r="FF166" s="456"/>
      <c r="FG166" s="456"/>
      <c r="FH166" s="456"/>
      <c r="FI166" s="456"/>
      <c r="FJ166" s="456"/>
      <c r="FK166" s="456"/>
      <c r="FL166" s="456"/>
      <c r="FM166" s="456"/>
      <c r="FN166" s="456"/>
      <c r="FO166" s="456"/>
      <c r="FP166" s="456"/>
      <c r="FQ166" s="456"/>
      <c r="FR166" s="456"/>
      <c r="FS166" s="456"/>
      <c r="FT166" s="456"/>
      <c r="FU166" s="456"/>
      <c r="FV166" s="456"/>
      <c r="FW166" s="456"/>
      <c r="FX166" s="456"/>
      <c r="FY166" s="456"/>
      <c r="FZ166" s="456"/>
      <c r="GA166" s="456"/>
      <c r="GB166" s="456"/>
      <c r="GC166" s="456"/>
      <c r="GD166" s="456"/>
      <c r="GE166" s="456"/>
      <c r="GF166" s="456"/>
      <c r="GG166" s="456"/>
      <c r="GH166" s="456"/>
      <c r="GI166" s="456"/>
      <c r="GJ166" s="456"/>
      <c r="GK166" s="456"/>
      <c r="GL166" s="456"/>
      <c r="GM166" s="456"/>
      <c r="GN166" s="456"/>
      <c r="GO166" s="456"/>
      <c r="GP166" s="456"/>
      <c r="GQ166" s="456"/>
      <c r="GR166" s="456"/>
      <c r="GS166" s="456"/>
      <c r="GT166" s="456"/>
      <c r="GU166" s="456"/>
      <c r="GV166" s="456"/>
      <c r="GW166" s="456"/>
      <c r="GX166" s="456"/>
      <c r="GY166" s="456"/>
      <c r="GZ166" s="456"/>
      <c r="HA166" s="456"/>
      <c r="HB166" s="456"/>
      <c r="HC166" s="456"/>
      <c r="HD166" s="456"/>
      <c r="HE166" s="456"/>
      <c r="HF166" s="456"/>
      <c r="HG166" s="456"/>
      <c r="HH166" s="456"/>
      <c r="HI166" s="456"/>
      <c r="HJ166" s="456"/>
      <c r="HK166" s="456"/>
      <c r="HL166" s="456"/>
      <c r="HM166" s="456"/>
      <c r="HN166" s="456"/>
      <c r="HO166" s="456"/>
      <c r="HP166" s="456"/>
      <c r="HQ166" s="456"/>
      <c r="HR166" s="456"/>
      <c r="HS166" s="456"/>
      <c r="HT166" s="456"/>
      <c r="HU166" s="456"/>
      <c r="HV166" s="456"/>
      <c r="HW166" s="456"/>
      <c r="HX166" s="456"/>
      <c r="HY166" s="456"/>
      <c r="HZ166" s="456"/>
      <c r="IA166" s="456"/>
      <c r="IB166" s="456"/>
      <c r="IC166" s="456"/>
      <c r="ID166" s="456"/>
      <c r="IE166" s="456"/>
      <c r="IF166" s="456"/>
      <c r="IG166" s="456"/>
      <c r="IH166" s="456"/>
      <c r="II166" s="456"/>
      <c r="IJ166" s="456"/>
      <c r="IK166" s="456"/>
      <c r="IL166" s="456"/>
      <c r="IM166" s="456"/>
      <c r="IN166" s="456"/>
      <c r="IO166" s="456"/>
      <c r="IP166" s="456"/>
      <c r="IQ166" s="456"/>
      <c r="IR166" s="456"/>
      <c r="IS166" s="456"/>
      <c r="IT166" s="456"/>
      <c r="IU166" s="456"/>
      <c r="IV166" s="456"/>
      <c r="IW166" s="456"/>
      <c r="IX166" s="456"/>
      <c r="IY166" s="456"/>
      <c r="IZ166" s="456"/>
      <c r="JA166" s="456"/>
      <c r="JB166" s="456"/>
      <c r="JC166" s="456"/>
      <c r="JD166" s="456"/>
      <c r="JE166" s="456"/>
      <c r="JF166" s="456"/>
      <c r="JG166" s="456"/>
      <c r="JH166" s="456"/>
      <c r="JI166" s="456"/>
      <c r="JJ166" s="456"/>
      <c r="JK166" s="456"/>
      <c r="JL166" s="456"/>
      <c r="JM166" s="456"/>
      <c r="JN166" s="456"/>
      <c r="JO166" s="456"/>
      <c r="JP166" s="456"/>
      <c r="JQ166" s="456"/>
      <c r="JR166" s="456"/>
      <c r="JS166" s="456"/>
      <c r="JT166" s="456"/>
      <c r="JU166" s="456"/>
      <c r="JV166" s="456"/>
      <c r="JW166" s="456"/>
      <c r="JX166" s="456"/>
      <c r="JY166" s="456"/>
      <c r="JZ166" s="456"/>
      <c r="KA166" s="456"/>
      <c r="KB166" s="456"/>
      <c r="KC166" s="456"/>
      <c r="KD166" s="456"/>
      <c r="KE166" s="456"/>
      <c r="KF166" s="456"/>
      <c r="KG166" s="456"/>
      <c r="KH166" s="456"/>
      <c r="KI166" s="456"/>
      <c r="KJ166" s="456"/>
      <c r="KK166" s="456"/>
      <c r="KL166" s="456"/>
      <c r="KM166" s="456"/>
      <c r="KN166" s="456"/>
      <c r="KO166" s="456"/>
      <c r="KP166" s="456"/>
      <c r="KQ166" s="456"/>
      <c r="KR166" s="456"/>
      <c r="KS166" s="456"/>
      <c r="KT166" s="456"/>
      <c r="KU166" s="456"/>
      <c r="KV166" s="456"/>
      <c r="KW166" s="456"/>
      <c r="KX166" s="456"/>
      <c r="KY166" s="456"/>
      <c r="KZ166" s="456"/>
      <c r="LA166" s="456"/>
      <c r="LB166" s="456"/>
      <c r="LC166" s="456"/>
      <c r="LD166" s="456"/>
      <c r="LE166" s="456"/>
      <c r="LF166" s="456"/>
      <c r="LG166" s="456"/>
      <c r="LH166" s="456"/>
      <c r="LI166" s="456"/>
      <c r="LJ166" s="456"/>
      <c r="LK166" s="456"/>
      <c r="LL166" s="456"/>
      <c r="LM166" s="456"/>
      <c r="LN166" s="456"/>
      <c r="LO166" s="456"/>
      <c r="LP166" s="456"/>
      <c r="LQ166" s="456"/>
      <c r="LR166" s="456"/>
      <c r="LS166" s="456"/>
      <c r="LT166" s="456"/>
      <c r="LU166" s="456"/>
      <c r="LV166" s="456"/>
      <c r="LW166" s="456"/>
      <c r="LX166" s="456"/>
      <c r="LY166" s="456"/>
      <c r="LZ166" s="456"/>
      <c r="MA166" s="456"/>
      <c r="MB166" s="456"/>
      <c r="MC166" s="456"/>
      <c r="MD166" s="456"/>
      <c r="ME166" s="456"/>
      <c r="MF166" s="456"/>
      <c r="MG166" s="456"/>
      <c r="MH166" s="456"/>
      <c r="MI166" s="456"/>
      <c r="MJ166" s="456"/>
      <c r="MK166" s="456"/>
      <c r="ML166" s="456"/>
      <c r="MM166" s="456"/>
      <c r="MN166" s="456"/>
      <c r="MO166" s="456"/>
      <c r="MP166" s="456"/>
      <c r="MQ166" s="456"/>
      <c r="MR166" s="456"/>
      <c r="MS166" s="456"/>
      <c r="MT166" s="456"/>
      <c r="MU166" s="456"/>
      <c r="MV166" s="456"/>
      <c r="MW166" s="456"/>
      <c r="MX166" s="456"/>
      <c r="MY166" s="456"/>
      <c r="MZ166" s="456"/>
      <c r="NA166" s="456"/>
      <c r="NB166" s="456"/>
      <c r="NC166" s="456"/>
      <c r="ND166" s="456"/>
      <c r="NE166" s="456"/>
      <c r="NF166" s="456"/>
      <c r="NG166" s="456"/>
      <c r="NH166" s="456"/>
      <c r="NI166" s="456"/>
      <c r="NJ166" s="456"/>
      <c r="NK166" s="456"/>
      <c r="NL166" s="456"/>
      <c r="NM166" s="456"/>
      <c r="NN166" s="456"/>
      <c r="NO166" s="456"/>
      <c r="NP166" s="456"/>
      <c r="NQ166" s="456"/>
      <c r="NR166" s="456"/>
      <c r="NS166" s="456"/>
      <c r="NT166" s="456"/>
      <c r="NU166" s="456"/>
      <c r="NV166" s="456"/>
      <c r="NW166" s="456"/>
      <c r="NX166" s="456"/>
      <c r="NY166" s="456"/>
      <c r="NZ166" s="456"/>
      <c r="OA166" s="456"/>
      <c r="OB166" s="456"/>
      <c r="OC166" s="456"/>
      <c r="OD166" s="456"/>
      <c r="OE166" s="456"/>
      <c r="OF166" s="456"/>
      <c r="OG166" s="456"/>
      <c r="OH166" s="456"/>
      <c r="OI166" s="456"/>
      <c r="OJ166" s="456"/>
      <c r="OK166" s="456"/>
      <c r="OL166" s="456"/>
      <c r="OM166" s="456"/>
      <c r="ON166" s="456"/>
      <c r="OO166" s="456"/>
      <c r="OP166" s="456"/>
      <c r="OQ166" s="456"/>
      <c r="OR166" s="456"/>
      <c r="OS166" s="456"/>
      <c r="OT166" s="456"/>
      <c r="OU166" s="456"/>
      <c r="OV166" s="456"/>
      <c r="OW166" s="456"/>
      <c r="OX166" s="456"/>
      <c r="OY166" s="456"/>
      <c r="OZ166" s="456"/>
      <c r="PA166" s="456"/>
      <c r="PB166" s="456"/>
      <c r="PC166" s="456"/>
      <c r="PD166" s="456"/>
      <c r="PE166" s="456"/>
      <c r="PF166" s="456"/>
      <c r="PG166" s="456"/>
      <c r="PH166" s="456"/>
      <c r="PI166" s="456"/>
      <c r="PJ166" s="456"/>
      <c r="PK166" s="456"/>
      <c r="PL166" s="456"/>
      <c r="PM166" s="456"/>
      <c r="PN166" s="456"/>
      <c r="PO166" s="456"/>
      <c r="PP166" s="456"/>
      <c r="PQ166" s="456"/>
      <c r="PR166" s="456"/>
      <c r="PS166" s="456"/>
      <c r="PT166" s="456"/>
      <c r="PU166" s="456"/>
      <c r="PV166" s="456"/>
      <c r="PW166" s="456"/>
      <c r="PX166" s="456"/>
      <c r="PY166" s="456"/>
      <c r="PZ166" s="456"/>
      <c r="QA166" s="456"/>
      <c r="QB166" s="456"/>
      <c r="QC166" s="456"/>
      <c r="QD166" s="456"/>
      <c r="QE166" s="456"/>
      <c r="QF166" s="456"/>
      <c r="QG166" s="456"/>
      <c r="QH166" s="456"/>
      <c r="QI166" s="456"/>
      <c r="QJ166" s="456"/>
      <c r="QK166" s="456"/>
      <c r="QL166" s="456"/>
      <c r="QM166" s="456"/>
      <c r="QN166" s="456"/>
      <c r="QO166" s="456"/>
      <c r="QP166" s="456"/>
      <c r="QQ166" s="456"/>
      <c r="QR166" s="456"/>
      <c r="QS166" s="456"/>
      <c r="QT166" s="456"/>
      <c r="QU166" s="456"/>
      <c r="QV166" s="456"/>
      <c r="QW166" s="456"/>
      <c r="QX166" s="456"/>
      <c r="QY166" s="456"/>
      <c r="QZ166" s="456"/>
      <c r="RA166" s="456"/>
      <c r="RB166" s="456"/>
      <c r="RC166" s="456"/>
      <c r="RD166" s="456"/>
      <c r="RE166" s="456"/>
      <c r="RF166" s="456"/>
      <c r="RG166" s="456"/>
      <c r="RH166" s="456"/>
      <c r="RI166" s="456"/>
      <c r="RJ166" s="456"/>
      <c r="RK166" s="456"/>
      <c r="RL166" s="456"/>
      <c r="RM166" s="456"/>
      <c r="RN166" s="456"/>
      <c r="RO166" s="456"/>
      <c r="RP166" s="456"/>
      <c r="RQ166" s="456"/>
      <c r="RR166" s="456"/>
      <c r="RS166" s="456"/>
      <c r="RT166" s="456"/>
      <c r="RU166" s="456"/>
      <c r="RV166" s="456"/>
      <c r="RW166" s="456"/>
      <c r="RX166" s="456"/>
      <c r="RY166" s="456"/>
      <c r="RZ166" s="456"/>
      <c r="SA166" s="456"/>
      <c r="SB166" s="456"/>
      <c r="SC166" s="456"/>
      <c r="SD166" s="456"/>
      <c r="SE166" s="456"/>
      <c r="SF166" s="456"/>
      <c r="SG166" s="456"/>
      <c r="SH166" s="456"/>
      <c r="SI166" s="456"/>
      <c r="SJ166" s="456"/>
      <c r="SK166" s="456"/>
      <c r="SL166" s="456"/>
      <c r="SM166" s="456"/>
      <c r="SN166" s="456"/>
      <c r="SO166" s="456"/>
      <c r="SP166" s="456"/>
      <c r="SQ166" s="456"/>
      <c r="SR166" s="456"/>
      <c r="SS166" s="456"/>
      <c r="ST166" s="456"/>
      <c r="SU166" s="456"/>
      <c r="SV166" s="456"/>
      <c r="SW166" s="456"/>
      <c r="SX166" s="456"/>
      <c r="SY166" s="456"/>
      <c r="SZ166" s="456"/>
      <c r="TA166" s="456"/>
      <c r="TB166" s="456"/>
      <c r="TC166" s="456"/>
      <c r="TD166" s="456"/>
      <c r="TE166" s="456"/>
      <c r="TF166" s="456"/>
      <c r="TG166" s="456"/>
      <c r="TH166" s="456"/>
      <c r="TI166" s="456"/>
      <c r="TJ166" s="456"/>
      <c r="TK166" s="456"/>
      <c r="TL166" s="456"/>
      <c r="TM166" s="456"/>
      <c r="TN166" s="456"/>
      <c r="TO166" s="456"/>
      <c r="TP166" s="456"/>
      <c r="TQ166" s="456"/>
      <c r="TR166" s="456"/>
      <c r="TS166" s="456"/>
      <c r="TT166" s="456"/>
      <c r="TU166" s="456"/>
      <c r="TV166" s="456"/>
      <c r="TW166" s="456"/>
      <c r="TX166" s="456"/>
      <c r="TY166" s="456"/>
      <c r="TZ166" s="456"/>
      <c r="UA166" s="456"/>
      <c r="UB166" s="456"/>
      <c r="UC166" s="456"/>
      <c r="UD166" s="456"/>
      <c r="UE166" s="456"/>
      <c r="UF166" s="456"/>
      <c r="UG166" s="456"/>
      <c r="UH166" s="456"/>
      <c r="UI166" s="456"/>
      <c r="UJ166" s="456"/>
      <c r="UK166" s="456"/>
      <c r="UL166" s="456"/>
      <c r="UM166" s="456"/>
      <c r="UN166" s="456"/>
      <c r="UO166" s="456"/>
      <c r="UP166" s="456"/>
      <c r="UQ166" s="456"/>
      <c r="UR166" s="456"/>
      <c r="US166" s="456"/>
      <c r="UT166" s="456"/>
      <c r="UU166" s="456"/>
      <c r="UV166" s="456"/>
      <c r="UW166" s="456"/>
      <c r="UX166" s="456"/>
      <c r="UY166" s="456"/>
      <c r="UZ166" s="456"/>
      <c r="VA166" s="456"/>
      <c r="VB166" s="456"/>
      <c r="VC166" s="456"/>
      <c r="VD166" s="456"/>
      <c r="VE166" s="456"/>
      <c r="VF166" s="456"/>
      <c r="VG166" s="456"/>
      <c r="VH166" s="456"/>
      <c r="VI166" s="456"/>
      <c r="VJ166" s="456"/>
      <c r="VK166" s="456"/>
      <c r="VL166" s="456"/>
      <c r="VM166" s="456"/>
      <c r="VN166" s="456"/>
      <c r="VO166" s="456"/>
      <c r="VP166" s="456"/>
      <c r="VQ166" s="456"/>
      <c r="VR166" s="456"/>
      <c r="VS166" s="456"/>
      <c r="VT166" s="456"/>
      <c r="VU166" s="456"/>
      <c r="VV166" s="456"/>
      <c r="VW166" s="456"/>
      <c r="VX166" s="456"/>
      <c r="VY166" s="456"/>
      <c r="VZ166" s="456"/>
      <c r="WA166" s="456"/>
      <c r="WB166" s="456"/>
      <c r="WC166" s="456"/>
      <c r="WD166" s="456"/>
      <c r="WE166" s="456"/>
      <c r="WF166" s="456"/>
      <c r="WG166" s="456"/>
      <c r="WH166" s="456"/>
      <c r="WI166" s="456"/>
      <c r="WJ166" s="456"/>
      <c r="WK166" s="456"/>
      <c r="WL166" s="456"/>
      <c r="WM166" s="456"/>
      <c r="WN166" s="456"/>
      <c r="WO166" s="456"/>
      <c r="WP166" s="456"/>
      <c r="WQ166" s="456"/>
      <c r="WR166" s="456"/>
      <c r="WS166" s="456"/>
      <c r="WT166" s="456"/>
      <c r="WU166" s="456"/>
      <c r="WV166" s="456"/>
      <c r="WW166" s="456"/>
      <c r="WX166" s="456"/>
      <c r="WY166" s="456"/>
      <c r="WZ166" s="456"/>
      <c r="XA166" s="456"/>
      <c r="XB166" s="456"/>
      <c r="XC166" s="456"/>
      <c r="XD166" s="456"/>
      <c r="XE166" s="456"/>
      <c r="XF166" s="456"/>
      <c r="XG166" s="456"/>
      <c r="XH166" s="456"/>
      <c r="XI166" s="456"/>
      <c r="XJ166" s="456"/>
      <c r="XK166" s="456"/>
      <c r="XL166" s="456"/>
      <c r="XM166" s="456"/>
      <c r="XN166" s="456"/>
      <c r="XO166" s="456"/>
      <c r="XP166" s="456"/>
      <c r="XQ166" s="456"/>
      <c r="XR166" s="456"/>
      <c r="XS166" s="456"/>
      <c r="XT166" s="456"/>
      <c r="XU166" s="456"/>
      <c r="XV166" s="456"/>
      <c r="XW166" s="456"/>
      <c r="XX166" s="456"/>
      <c r="XY166" s="456"/>
      <c r="XZ166" s="456"/>
      <c r="YA166" s="456"/>
      <c r="YB166" s="456"/>
      <c r="YC166" s="456"/>
      <c r="YD166" s="456"/>
      <c r="YE166" s="456"/>
      <c r="YF166" s="456"/>
      <c r="YG166" s="456"/>
      <c r="YH166" s="456"/>
      <c r="YI166" s="456"/>
      <c r="YJ166" s="456"/>
      <c r="YK166" s="456"/>
      <c r="YL166" s="456"/>
      <c r="YM166" s="456"/>
      <c r="YN166" s="456"/>
      <c r="YO166" s="456"/>
      <c r="YP166" s="456"/>
      <c r="YQ166" s="456"/>
      <c r="YR166" s="456"/>
      <c r="YS166" s="456"/>
      <c r="YT166" s="456"/>
      <c r="YU166" s="456"/>
      <c r="YV166" s="456"/>
      <c r="YW166" s="456"/>
      <c r="YX166" s="456"/>
      <c r="YY166" s="456"/>
      <c r="YZ166" s="456"/>
      <c r="ZA166" s="456"/>
      <c r="ZB166" s="456"/>
      <c r="ZC166" s="456"/>
      <c r="ZD166" s="456"/>
      <c r="ZE166" s="456"/>
      <c r="ZF166" s="456"/>
      <c r="ZG166" s="456"/>
      <c r="ZH166" s="456"/>
      <c r="ZI166" s="456"/>
      <c r="ZJ166" s="456"/>
      <c r="ZK166" s="456"/>
      <c r="ZL166" s="456"/>
      <c r="ZM166" s="456"/>
      <c r="ZN166" s="456"/>
      <c r="ZO166" s="456"/>
      <c r="ZP166" s="456"/>
      <c r="ZQ166" s="456"/>
      <c r="ZR166" s="456"/>
      <c r="ZS166" s="456"/>
      <c r="ZT166" s="456"/>
      <c r="ZU166" s="456"/>
      <c r="ZV166" s="456"/>
      <c r="ZW166" s="456"/>
      <c r="ZX166" s="456"/>
      <c r="ZY166" s="456"/>
      <c r="ZZ166" s="456"/>
      <c r="AAA166" s="456"/>
      <c r="AAB166" s="456"/>
      <c r="AAC166" s="456"/>
      <c r="AAD166" s="456"/>
      <c r="AAE166" s="456"/>
      <c r="AAF166" s="456"/>
      <c r="AAG166" s="456"/>
      <c r="AAH166" s="456"/>
      <c r="AAI166" s="456"/>
      <c r="AAJ166" s="456"/>
      <c r="AAK166" s="456"/>
      <c r="AAL166" s="456"/>
      <c r="AAM166" s="456"/>
      <c r="AAN166" s="456"/>
      <c r="AAO166" s="456"/>
      <c r="AAP166" s="456"/>
      <c r="AAQ166" s="456"/>
      <c r="AAR166" s="456"/>
      <c r="AAS166" s="456"/>
      <c r="AAT166" s="456"/>
      <c r="AAU166" s="456"/>
      <c r="AAV166" s="456"/>
      <c r="AAW166" s="456"/>
      <c r="AAX166" s="456"/>
      <c r="AAY166" s="456"/>
      <c r="AAZ166" s="456"/>
      <c r="ABA166" s="456"/>
      <c r="ABB166" s="456"/>
      <c r="ABC166" s="456"/>
      <c r="ABD166" s="456"/>
      <c r="ABE166" s="456"/>
      <c r="ABF166" s="456"/>
      <c r="ABG166" s="456"/>
      <c r="ABH166" s="456"/>
      <c r="ABI166" s="456"/>
      <c r="ABJ166" s="456"/>
      <c r="ABK166" s="456"/>
      <c r="ABL166" s="456"/>
      <c r="ABM166" s="456"/>
      <c r="ABN166" s="456"/>
      <c r="ABO166" s="456"/>
      <c r="ABP166" s="456"/>
      <c r="ABQ166" s="456"/>
      <c r="ABR166" s="456"/>
      <c r="ABS166" s="456"/>
      <c r="ABT166" s="456"/>
      <c r="ABU166" s="456"/>
      <c r="ABV166" s="456"/>
      <c r="ABW166" s="456"/>
      <c r="ABX166" s="456"/>
      <c r="ABY166" s="456"/>
      <c r="ABZ166" s="456"/>
      <c r="ACA166" s="456"/>
      <c r="ACB166" s="456"/>
      <c r="ACC166" s="456"/>
      <c r="ACD166" s="456"/>
      <c r="ACE166" s="456"/>
      <c r="ACF166" s="456"/>
      <c r="ACG166" s="456"/>
      <c r="ACH166" s="456"/>
      <c r="ACI166" s="456"/>
      <c r="ACJ166" s="456"/>
      <c r="ACK166" s="456"/>
      <c r="ACL166" s="456"/>
      <c r="ACM166" s="456"/>
      <c r="ACN166" s="456"/>
      <c r="ACO166" s="456"/>
      <c r="ACP166" s="456"/>
      <c r="ACQ166" s="456"/>
      <c r="ACR166" s="456"/>
      <c r="ACS166" s="456"/>
      <c r="ACT166" s="456"/>
      <c r="ACU166" s="456"/>
      <c r="ACV166" s="456"/>
      <c r="ACW166" s="456"/>
      <c r="ACX166" s="456"/>
      <c r="ACY166" s="456"/>
      <c r="ACZ166" s="456"/>
      <c r="ADA166" s="456"/>
      <c r="ADB166" s="456"/>
      <c r="ADC166" s="456"/>
      <c r="ADD166" s="456"/>
      <c r="ADE166" s="456"/>
      <c r="ADF166" s="456"/>
      <c r="ADG166" s="456"/>
      <c r="ADH166" s="456"/>
      <c r="ADI166" s="456"/>
      <c r="ADJ166" s="456"/>
      <c r="ADK166" s="456"/>
      <c r="ADL166" s="456"/>
      <c r="ADM166" s="456"/>
      <c r="ADN166" s="456"/>
      <c r="ADO166" s="456"/>
      <c r="ADP166" s="456"/>
      <c r="ADQ166" s="456"/>
      <c r="ADR166" s="456"/>
      <c r="ADS166" s="456"/>
      <c r="ADT166" s="456"/>
      <c r="ADU166" s="456"/>
      <c r="ADV166" s="456"/>
      <c r="ADW166" s="456"/>
      <c r="ADX166" s="456"/>
      <c r="ADY166" s="456"/>
      <c r="ADZ166" s="456"/>
      <c r="AEA166" s="456"/>
      <c r="AEB166" s="456"/>
      <c r="AEC166" s="456"/>
      <c r="AED166" s="456"/>
      <c r="AEE166" s="456"/>
      <c r="AEF166" s="456"/>
      <c r="AEG166" s="456"/>
      <c r="AEH166" s="456"/>
      <c r="AEI166" s="456"/>
      <c r="AEJ166" s="456"/>
      <c r="AEK166" s="456"/>
      <c r="AEL166" s="456"/>
      <c r="AEM166" s="456"/>
      <c r="AEN166" s="456"/>
      <c r="AEO166" s="456"/>
      <c r="AEP166" s="456"/>
      <c r="AEQ166" s="456"/>
      <c r="AER166" s="456"/>
      <c r="AES166" s="456"/>
      <c r="AET166" s="456"/>
      <c r="AEU166" s="456"/>
      <c r="AEV166" s="456"/>
      <c r="AEW166" s="456"/>
      <c r="AEX166" s="456"/>
      <c r="AEY166" s="456"/>
      <c r="AEZ166" s="456"/>
      <c r="AFA166" s="456"/>
      <c r="AFB166" s="456"/>
      <c r="AFC166" s="456"/>
      <c r="AFD166" s="456"/>
      <c r="AFE166" s="456"/>
      <c r="AFF166" s="456"/>
      <c r="AFG166" s="456"/>
      <c r="AFH166" s="456"/>
      <c r="AFI166" s="456"/>
      <c r="AFJ166" s="456"/>
      <c r="AFK166" s="456"/>
      <c r="AFL166" s="456"/>
      <c r="AFM166" s="456"/>
      <c r="AFN166" s="456"/>
      <c r="AFO166" s="456"/>
      <c r="AFP166" s="456"/>
      <c r="AFQ166" s="456"/>
      <c r="AFR166" s="456"/>
      <c r="AFS166" s="456"/>
      <c r="AFT166" s="456"/>
      <c r="AFU166" s="456"/>
      <c r="AFV166" s="456"/>
      <c r="AFW166" s="456"/>
      <c r="AFX166" s="456"/>
      <c r="AFY166" s="456"/>
      <c r="AFZ166" s="456"/>
      <c r="AGA166" s="456"/>
      <c r="AGB166" s="456"/>
      <c r="AGC166" s="456"/>
      <c r="AGD166" s="456"/>
      <c r="AGE166" s="456"/>
      <c r="AGF166" s="456"/>
      <c r="AGG166" s="456"/>
      <c r="AGH166" s="456"/>
      <c r="AGI166" s="456"/>
      <c r="AGJ166" s="456"/>
      <c r="AGK166" s="456"/>
      <c r="AGL166" s="456"/>
      <c r="AGM166" s="456"/>
      <c r="AGN166" s="456"/>
      <c r="AGO166" s="456"/>
      <c r="AGP166" s="456"/>
      <c r="AGQ166" s="456"/>
      <c r="AGR166" s="456"/>
      <c r="AGS166" s="456"/>
      <c r="AGT166" s="456"/>
      <c r="AGU166" s="456"/>
      <c r="AGV166" s="456"/>
      <c r="AGW166" s="456"/>
      <c r="AGX166" s="456"/>
      <c r="AGY166" s="456"/>
      <c r="AGZ166" s="456"/>
      <c r="AHA166" s="456"/>
      <c r="AHB166" s="456"/>
      <c r="AHC166" s="456"/>
      <c r="AHD166" s="456"/>
      <c r="AHE166" s="456"/>
      <c r="AHF166" s="456"/>
      <c r="AHG166" s="456"/>
      <c r="AHH166" s="456"/>
      <c r="AHI166" s="456"/>
      <c r="AHJ166" s="456"/>
      <c r="AHK166" s="456"/>
      <c r="AHL166" s="456"/>
      <c r="AHM166" s="456"/>
      <c r="AHN166" s="456"/>
      <c r="AHO166" s="456"/>
      <c r="AHP166" s="456"/>
      <c r="AHQ166" s="456"/>
      <c r="AHR166" s="456"/>
      <c r="AHS166" s="456"/>
      <c r="AHT166" s="456"/>
      <c r="AHU166" s="456"/>
      <c r="AHV166" s="456"/>
      <c r="AHW166" s="456"/>
      <c r="AHX166" s="456"/>
      <c r="AHY166" s="456"/>
      <c r="AHZ166" s="456"/>
      <c r="AIA166" s="456"/>
      <c r="AIB166" s="456"/>
      <c r="AIC166" s="456"/>
      <c r="AID166" s="456"/>
      <c r="AIE166" s="456"/>
      <c r="AIF166" s="456"/>
      <c r="AIG166" s="456"/>
      <c r="AIH166" s="456"/>
      <c r="AII166" s="456"/>
      <c r="AIJ166" s="456"/>
      <c r="AIK166" s="456"/>
      <c r="AIL166" s="456"/>
      <c r="AIM166" s="456"/>
      <c r="AIN166" s="456"/>
      <c r="AIO166" s="456"/>
      <c r="AIP166" s="456"/>
      <c r="AIQ166" s="456"/>
      <c r="AIR166" s="456"/>
      <c r="AIS166" s="456"/>
      <c r="AIT166" s="456"/>
      <c r="AIU166" s="456"/>
      <c r="AIV166" s="456"/>
      <c r="AIW166" s="456"/>
      <c r="AIX166" s="456"/>
      <c r="AIY166" s="456"/>
      <c r="AIZ166" s="456"/>
      <c r="AJA166" s="456"/>
      <c r="AJB166" s="456"/>
      <c r="AJC166" s="456"/>
      <c r="AJD166" s="456"/>
      <c r="AJE166" s="456"/>
      <c r="AJF166" s="456"/>
      <c r="AJG166" s="456"/>
      <c r="AJH166" s="456"/>
      <c r="AJI166" s="456"/>
      <c r="AJJ166" s="456"/>
      <c r="AJK166" s="456"/>
      <c r="AJL166" s="456"/>
      <c r="AJM166" s="456"/>
      <c r="AJN166" s="456"/>
      <c r="AJO166" s="456"/>
      <c r="AJP166" s="456"/>
      <c r="AJQ166" s="456"/>
      <c r="AJR166" s="456"/>
      <c r="AJS166" s="456"/>
      <c r="AJT166" s="456"/>
      <c r="AJU166" s="456"/>
      <c r="AJV166" s="456"/>
      <c r="AJW166" s="456"/>
      <c r="AJX166" s="456"/>
      <c r="AJY166" s="456"/>
      <c r="AJZ166" s="456"/>
      <c r="AKA166" s="456"/>
      <c r="AKB166" s="456"/>
      <c r="AKC166" s="456"/>
      <c r="AKD166" s="456"/>
      <c r="AKE166" s="456"/>
      <c r="AKF166" s="456"/>
      <c r="AKG166" s="456"/>
      <c r="AKH166" s="456"/>
      <c r="AKI166" s="456"/>
      <c r="AKJ166" s="456"/>
      <c r="AKK166" s="456"/>
      <c r="AKL166" s="456"/>
      <c r="AKM166" s="456"/>
      <c r="AKN166" s="456"/>
      <c r="AKO166" s="456"/>
      <c r="AKP166" s="456"/>
      <c r="AKQ166" s="456"/>
      <c r="AKR166" s="456"/>
      <c r="AKS166" s="456"/>
      <c r="AKT166" s="456"/>
      <c r="AKU166" s="456"/>
      <c r="AKV166" s="456"/>
      <c r="AKW166" s="456"/>
      <c r="AKX166" s="456"/>
      <c r="AKY166" s="456"/>
      <c r="AKZ166" s="456"/>
      <c r="ALA166" s="456"/>
      <c r="ALB166" s="456"/>
      <c r="ALC166" s="456"/>
      <c r="ALD166" s="456"/>
      <c r="ALE166" s="456"/>
      <c r="ALF166" s="456"/>
      <c r="ALG166" s="456"/>
      <c r="ALH166" s="456"/>
      <c r="ALI166" s="456"/>
      <c r="ALJ166" s="456"/>
      <c r="ALK166" s="456"/>
      <c r="ALL166" s="456"/>
      <c r="ALM166" s="456"/>
      <c r="ALN166" s="456"/>
      <c r="ALO166" s="456"/>
      <c r="ALP166" s="456"/>
      <c r="ALQ166" s="456"/>
      <c r="ALR166" s="456"/>
      <c r="ALS166" s="456"/>
      <c r="ALT166" s="456"/>
      <c r="ALU166" s="456"/>
      <c r="ALV166" s="456"/>
      <c r="ALW166" s="456"/>
      <c r="ALX166" s="456"/>
      <c r="ALY166" s="456"/>
      <c r="ALZ166" s="456"/>
      <c r="AMA166" s="456"/>
      <c r="AMB166" s="456"/>
      <c r="AMC166" s="456"/>
      <c r="AMD166" s="456"/>
      <c r="AME166" s="456"/>
      <c r="AMF166" s="456"/>
      <c r="AMG166" s="456"/>
      <c r="AMH166" s="456"/>
      <c r="AMI166" s="456"/>
      <c r="AMJ166" s="456"/>
      <c r="AMK166" s="456"/>
      <c r="AML166" s="456"/>
      <c r="AMM166" s="456"/>
      <c r="AMN166" s="456"/>
      <c r="AMO166" s="456"/>
      <c r="AMP166" s="456"/>
      <c r="AMQ166" s="456"/>
      <c r="AMR166" s="456"/>
      <c r="AMS166" s="456"/>
      <c r="AMT166" s="456"/>
      <c r="AMU166" s="456"/>
      <c r="AMV166" s="456"/>
      <c r="AMW166" s="456"/>
      <c r="AMX166" s="456"/>
      <c r="AMY166" s="456"/>
      <c r="AMZ166" s="456"/>
      <c r="ANA166" s="456"/>
      <c r="ANB166" s="456"/>
      <c r="ANC166" s="456"/>
      <c r="AND166" s="456"/>
      <c r="ANE166" s="456"/>
      <c r="ANF166" s="456"/>
      <c r="ANG166" s="456"/>
      <c r="ANH166" s="456"/>
      <c r="ANI166" s="456"/>
      <c r="ANJ166" s="456"/>
      <c r="ANK166" s="456"/>
      <c r="ANL166" s="456"/>
      <c r="ANM166" s="456"/>
      <c r="ANN166" s="456"/>
      <c r="ANO166" s="456"/>
      <c r="ANP166" s="456"/>
      <c r="ANQ166" s="456"/>
      <c r="ANR166" s="456"/>
      <c r="ANS166" s="456"/>
      <c r="ANT166" s="456"/>
      <c r="ANU166" s="456"/>
      <c r="ANV166" s="456"/>
      <c r="ANW166" s="456"/>
      <c r="ANX166" s="456"/>
      <c r="ANY166" s="456"/>
      <c r="ANZ166" s="456"/>
      <c r="AOA166" s="456"/>
      <c r="AOB166" s="456"/>
      <c r="AOC166" s="456"/>
      <c r="AOD166" s="456"/>
      <c r="AOE166" s="456"/>
      <c r="AOF166" s="456"/>
      <c r="AOG166" s="456"/>
      <c r="AOH166" s="456"/>
      <c r="AOI166" s="456"/>
      <c r="AOJ166" s="456"/>
      <c r="AOK166" s="456"/>
      <c r="AOL166" s="456"/>
      <c r="AOM166" s="456"/>
      <c r="AON166" s="456"/>
      <c r="AOO166" s="456"/>
      <c r="AOP166" s="456"/>
      <c r="AOQ166" s="456"/>
      <c r="AOR166" s="456"/>
      <c r="AOS166" s="456"/>
      <c r="AOT166" s="456"/>
      <c r="AOU166" s="456"/>
      <c r="AOV166" s="456"/>
      <c r="AOW166" s="456"/>
      <c r="AOX166" s="456"/>
      <c r="AOY166" s="456"/>
      <c r="AOZ166" s="456"/>
      <c r="APA166" s="456"/>
      <c r="APB166" s="456"/>
      <c r="APC166" s="456"/>
      <c r="APD166" s="456"/>
      <c r="APE166" s="456"/>
      <c r="APF166" s="456"/>
      <c r="APG166" s="456"/>
      <c r="APH166" s="456"/>
      <c r="API166" s="456"/>
      <c r="APJ166" s="456"/>
      <c r="APK166" s="456"/>
      <c r="APL166" s="456"/>
      <c r="APM166" s="456"/>
      <c r="APN166" s="456"/>
      <c r="APO166" s="456"/>
      <c r="APP166" s="456"/>
      <c r="APQ166" s="456"/>
      <c r="APR166" s="456"/>
      <c r="APS166" s="456"/>
      <c r="APT166" s="456"/>
      <c r="APU166" s="456"/>
      <c r="APV166" s="456"/>
      <c r="APW166" s="456"/>
      <c r="APX166" s="456"/>
      <c r="APY166" s="456"/>
      <c r="APZ166" s="456"/>
      <c r="AQA166" s="456"/>
      <c r="AQB166" s="456"/>
      <c r="AQC166" s="456"/>
      <c r="AQD166" s="456"/>
      <c r="AQE166" s="456"/>
      <c r="AQF166" s="456"/>
      <c r="AQG166" s="456"/>
      <c r="AQH166" s="456"/>
      <c r="AQI166" s="456"/>
      <c r="AQJ166" s="456"/>
      <c r="AQK166" s="456"/>
      <c r="AQL166" s="456"/>
      <c r="AQM166" s="456"/>
      <c r="AQN166" s="456"/>
      <c r="AQO166" s="456"/>
      <c r="AQP166" s="456"/>
      <c r="AQQ166" s="456"/>
      <c r="AQR166" s="456"/>
      <c r="AQS166" s="456"/>
      <c r="AQT166" s="456"/>
      <c r="AQU166" s="456"/>
      <c r="AQV166" s="456"/>
      <c r="AQW166" s="456"/>
      <c r="AQX166" s="456"/>
      <c r="AQY166" s="456"/>
      <c r="AQZ166" s="456"/>
      <c r="ARA166" s="456"/>
      <c r="ARB166" s="456"/>
      <c r="ARC166" s="456"/>
      <c r="ARD166" s="456"/>
      <c r="ARE166" s="456"/>
      <c r="ARF166" s="456"/>
      <c r="ARG166" s="456"/>
      <c r="ARH166" s="456"/>
      <c r="ARI166" s="456"/>
      <c r="ARJ166" s="456"/>
      <c r="ARK166" s="456"/>
      <c r="ARL166" s="456"/>
      <c r="ARM166" s="456"/>
      <c r="ARN166" s="456"/>
      <c r="ARO166" s="456"/>
      <c r="ARP166" s="456"/>
      <c r="ARQ166" s="456"/>
      <c r="ARR166" s="456"/>
      <c r="ARS166" s="456"/>
      <c r="ART166" s="456"/>
      <c r="ARU166" s="456"/>
      <c r="ARV166" s="456"/>
      <c r="ARW166" s="456"/>
      <c r="ARX166" s="456"/>
      <c r="ARY166" s="456"/>
      <c r="ARZ166" s="456"/>
      <c r="ASA166" s="456"/>
      <c r="ASB166" s="456"/>
      <c r="ASC166" s="456"/>
      <c r="ASD166" s="456"/>
      <c r="ASE166" s="456"/>
      <c r="ASF166" s="456"/>
      <c r="ASG166" s="456"/>
      <c r="ASH166" s="456"/>
      <c r="ASI166" s="456"/>
      <c r="ASJ166" s="456"/>
      <c r="ASK166" s="456"/>
      <c r="ASL166" s="456"/>
      <c r="ASM166" s="456"/>
      <c r="ASN166" s="456"/>
      <c r="ASO166" s="456"/>
      <c r="ASP166" s="456"/>
      <c r="ASQ166" s="456"/>
      <c r="ASR166" s="456"/>
      <c r="ASS166" s="456"/>
      <c r="AST166" s="456"/>
      <c r="ASU166" s="456"/>
      <c r="ASV166" s="456"/>
      <c r="ASW166" s="456"/>
      <c r="ASX166" s="456"/>
      <c r="ASY166" s="456"/>
      <c r="ASZ166" s="456"/>
      <c r="ATA166" s="456"/>
      <c r="ATB166" s="456"/>
      <c r="ATC166" s="456"/>
      <c r="ATD166" s="456"/>
      <c r="ATE166" s="456"/>
      <c r="ATF166" s="456"/>
      <c r="ATG166" s="456"/>
      <c r="ATH166" s="456"/>
      <c r="ATI166" s="456"/>
      <c r="ATJ166" s="456"/>
      <c r="ATK166" s="456"/>
      <c r="ATL166" s="456"/>
      <c r="ATM166" s="456"/>
      <c r="ATN166" s="456"/>
      <c r="ATO166" s="456"/>
      <c r="ATP166" s="456"/>
      <c r="ATQ166" s="456"/>
      <c r="ATR166" s="456"/>
      <c r="ATS166" s="456"/>
      <c r="ATT166" s="456"/>
      <c r="ATU166" s="456"/>
      <c r="ATV166" s="456"/>
      <c r="ATW166" s="456"/>
      <c r="ATX166" s="456"/>
      <c r="ATY166" s="456"/>
      <c r="ATZ166" s="456"/>
      <c r="AUA166" s="456"/>
      <c r="AUB166" s="456"/>
      <c r="AUC166" s="456"/>
      <c r="AUD166" s="456"/>
      <c r="AUE166" s="456"/>
      <c r="AUF166" s="456"/>
      <c r="AUG166" s="456"/>
      <c r="AUH166" s="456"/>
      <c r="AUI166" s="456"/>
      <c r="AUJ166" s="456"/>
      <c r="AUK166" s="456"/>
      <c r="AUL166" s="456"/>
      <c r="AUM166" s="456"/>
      <c r="AUN166" s="456"/>
      <c r="AUO166" s="456"/>
      <c r="AUP166" s="456"/>
      <c r="AUQ166" s="456"/>
      <c r="AUR166" s="456"/>
      <c r="AUS166" s="456"/>
      <c r="AUT166" s="456"/>
      <c r="AUU166" s="456"/>
      <c r="AUV166" s="456"/>
      <c r="AUW166" s="456"/>
      <c r="AUX166" s="456"/>
      <c r="AUY166" s="456"/>
      <c r="AUZ166" s="456"/>
      <c r="AVA166" s="456"/>
      <c r="AVB166" s="456"/>
      <c r="AVC166" s="456"/>
      <c r="AVD166" s="456"/>
      <c r="AVE166" s="456"/>
      <c r="AVF166" s="456"/>
      <c r="AVG166" s="456"/>
      <c r="AVH166" s="456"/>
      <c r="AVI166" s="456"/>
      <c r="AVJ166" s="456"/>
      <c r="AVK166" s="456"/>
      <c r="AVL166" s="456"/>
      <c r="AVM166" s="456"/>
      <c r="AVN166" s="456"/>
      <c r="AVO166" s="456"/>
      <c r="AVP166" s="456"/>
      <c r="AVQ166" s="456"/>
      <c r="AVR166" s="456"/>
      <c r="AVS166" s="456"/>
      <c r="AVT166" s="456"/>
      <c r="AVU166" s="456"/>
      <c r="AVV166" s="456"/>
      <c r="AVW166" s="456"/>
      <c r="AVX166" s="456"/>
      <c r="AVY166" s="456"/>
      <c r="AVZ166" s="456"/>
      <c r="AWA166" s="456"/>
      <c r="AWB166" s="456"/>
      <c r="AWC166" s="456"/>
      <c r="AWD166" s="456"/>
      <c r="AWE166" s="456"/>
      <c r="AWF166" s="456"/>
      <c r="AWG166" s="456"/>
      <c r="AWH166" s="456"/>
      <c r="AWI166" s="456"/>
      <c r="AWJ166" s="456"/>
      <c r="AWK166" s="456"/>
      <c r="AWL166" s="456"/>
      <c r="AWM166" s="456"/>
      <c r="AWN166" s="456"/>
      <c r="AWO166" s="456"/>
      <c r="AWP166" s="456"/>
      <c r="AWQ166" s="456"/>
      <c r="AWR166" s="456"/>
      <c r="AWS166" s="456"/>
      <c r="AWT166" s="456"/>
      <c r="AWU166" s="456"/>
      <c r="AWV166" s="456"/>
      <c r="AWW166" s="456"/>
      <c r="AWX166" s="456"/>
      <c r="AWY166" s="456"/>
      <c r="AWZ166" s="456"/>
      <c r="AXA166" s="456"/>
      <c r="AXB166" s="456"/>
      <c r="AXC166" s="456"/>
      <c r="AXD166" s="456"/>
      <c r="AXE166" s="456"/>
      <c r="AXF166" s="456"/>
      <c r="AXG166" s="456"/>
      <c r="AXH166" s="456"/>
      <c r="AXI166" s="456"/>
      <c r="AXJ166" s="456"/>
      <c r="AXK166" s="456"/>
      <c r="AXL166" s="456"/>
      <c r="AXM166" s="456"/>
      <c r="AXN166" s="456"/>
      <c r="AXO166" s="456"/>
      <c r="AXP166" s="456"/>
      <c r="AXQ166" s="456"/>
      <c r="AXR166" s="456"/>
      <c r="AXS166" s="456"/>
      <c r="AXT166" s="456"/>
      <c r="AXU166" s="456"/>
      <c r="AXV166" s="456"/>
      <c r="AXW166" s="456"/>
      <c r="AXX166" s="456"/>
      <c r="AXY166" s="456"/>
      <c r="AXZ166" s="456"/>
      <c r="AYA166" s="456"/>
      <c r="AYB166" s="456"/>
      <c r="AYC166" s="456"/>
      <c r="AYD166" s="456"/>
      <c r="AYE166" s="456"/>
      <c r="AYF166" s="456"/>
      <c r="AYG166" s="456"/>
      <c r="AYH166" s="456"/>
      <c r="AYI166" s="456"/>
      <c r="AYJ166" s="456"/>
      <c r="AYK166" s="456"/>
      <c r="AYL166" s="456"/>
      <c r="AYM166" s="456"/>
      <c r="AYN166" s="456"/>
      <c r="AYO166" s="456"/>
      <c r="AYP166" s="456"/>
      <c r="AYQ166" s="456"/>
      <c r="AYR166" s="456"/>
      <c r="AYS166" s="456"/>
      <c r="AYT166" s="456"/>
      <c r="AYU166" s="456"/>
      <c r="AYV166" s="456"/>
      <c r="AYW166" s="456"/>
      <c r="AYX166" s="456"/>
      <c r="AYY166" s="456"/>
      <c r="AYZ166" s="456"/>
      <c r="AZA166" s="456"/>
      <c r="AZB166" s="456"/>
      <c r="AZC166" s="456"/>
      <c r="AZD166" s="456"/>
      <c r="AZE166" s="456"/>
      <c r="AZF166" s="456"/>
      <c r="AZG166" s="456"/>
      <c r="AZH166" s="456"/>
      <c r="AZI166" s="456"/>
      <c r="AZJ166" s="456"/>
      <c r="AZK166" s="456"/>
      <c r="AZL166" s="456"/>
      <c r="AZM166" s="456"/>
      <c r="AZN166" s="456"/>
      <c r="AZO166" s="456"/>
      <c r="AZP166" s="456"/>
      <c r="AZQ166" s="456"/>
      <c r="AZR166" s="456"/>
      <c r="AZS166" s="456"/>
      <c r="AZT166" s="456"/>
      <c r="AZU166" s="456"/>
      <c r="AZV166" s="456"/>
      <c r="AZW166" s="456"/>
      <c r="AZX166" s="456"/>
      <c r="AZY166" s="456"/>
      <c r="AZZ166" s="456"/>
      <c r="BAA166" s="456"/>
      <c r="BAB166" s="456"/>
      <c r="BAC166" s="456"/>
      <c r="BAD166" s="456"/>
      <c r="BAE166" s="456"/>
      <c r="BAF166" s="456"/>
      <c r="BAG166" s="456"/>
      <c r="BAH166" s="456"/>
      <c r="BAI166" s="456"/>
      <c r="BAJ166" s="456"/>
      <c r="BAK166" s="456"/>
      <c r="BAL166" s="456"/>
      <c r="BAM166" s="456"/>
      <c r="BAN166" s="456"/>
      <c r="BAO166" s="456"/>
      <c r="BAP166" s="456"/>
      <c r="BAQ166" s="456"/>
      <c r="BAR166" s="456"/>
      <c r="BAS166" s="456"/>
      <c r="BAT166" s="456"/>
      <c r="BAU166" s="456"/>
      <c r="BAV166" s="456"/>
      <c r="BAW166" s="456"/>
      <c r="BAX166" s="456"/>
      <c r="BAY166" s="456"/>
      <c r="BAZ166" s="456"/>
      <c r="BBA166" s="456"/>
      <c r="BBB166" s="456"/>
      <c r="BBC166" s="456"/>
      <c r="BBD166" s="456"/>
      <c r="BBE166" s="456"/>
      <c r="BBF166" s="456"/>
      <c r="BBG166" s="456"/>
      <c r="BBH166" s="456"/>
      <c r="BBI166" s="456"/>
      <c r="BBJ166" s="456"/>
      <c r="BBK166" s="456"/>
      <c r="BBL166" s="456"/>
      <c r="BBM166" s="456"/>
      <c r="BBN166" s="456"/>
      <c r="BBO166" s="456"/>
      <c r="BBP166" s="456"/>
      <c r="BBQ166" s="456"/>
      <c r="BBR166" s="456"/>
      <c r="BBS166" s="456"/>
      <c r="BBT166" s="456"/>
      <c r="BBU166" s="456"/>
      <c r="BBV166" s="456"/>
      <c r="BBW166" s="456"/>
      <c r="BBX166" s="456"/>
      <c r="BBY166" s="456"/>
      <c r="BBZ166" s="456"/>
      <c r="BCA166" s="456"/>
      <c r="BCB166" s="456"/>
      <c r="BCC166" s="456"/>
      <c r="BCD166" s="456"/>
      <c r="BCE166" s="456"/>
      <c r="BCF166" s="456"/>
      <c r="BCG166" s="456"/>
      <c r="BCH166" s="456"/>
      <c r="BCI166" s="456"/>
      <c r="BCJ166" s="456"/>
      <c r="BCK166" s="456"/>
      <c r="BCL166" s="456"/>
      <c r="BCM166" s="456"/>
      <c r="BCN166" s="456"/>
      <c r="BCO166" s="456"/>
      <c r="BCP166" s="456"/>
      <c r="BCQ166" s="456"/>
      <c r="BCR166" s="456"/>
      <c r="BCS166" s="456"/>
      <c r="BCT166" s="456"/>
      <c r="BCU166" s="456"/>
      <c r="BCV166" s="456"/>
      <c r="BCW166" s="456"/>
      <c r="BCX166" s="456"/>
      <c r="BCY166" s="456"/>
      <c r="BCZ166" s="456"/>
      <c r="BDA166" s="456"/>
      <c r="BDB166" s="456"/>
      <c r="BDC166" s="456"/>
      <c r="BDD166" s="456"/>
      <c r="BDE166" s="456"/>
      <c r="BDF166" s="456"/>
      <c r="BDG166" s="456"/>
      <c r="BDH166" s="456"/>
      <c r="BDI166" s="456"/>
      <c r="BDJ166" s="456"/>
      <c r="BDK166" s="456"/>
      <c r="BDL166" s="456"/>
      <c r="BDM166" s="456"/>
      <c r="BDN166" s="456"/>
      <c r="BDO166" s="456"/>
      <c r="BDP166" s="456"/>
      <c r="BDQ166" s="456"/>
      <c r="BDR166" s="456"/>
      <c r="BDS166" s="456"/>
      <c r="BDT166" s="456"/>
      <c r="BDU166" s="456"/>
      <c r="BDV166" s="456"/>
      <c r="BDW166" s="456"/>
      <c r="BDX166" s="456"/>
      <c r="BDY166" s="456"/>
      <c r="BDZ166" s="456"/>
      <c r="BEA166" s="456"/>
      <c r="BEB166" s="456"/>
      <c r="BEC166" s="456"/>
      <c r="BED166" s="456"/>
      <c r="BEE166" s="456"/>
      <c r="BEF166" s="456"/>
      <c r="BEG166" s="456"/>
      <c r="BEH166" s="456"/>
      <c r="BEI166" s="456"/>
      <c r="BEJ166" s="456"/>
      <c r="BEK166" s="456"/>
      <c r="BEL166" s="456"/>
      <c r="BEM166" s="456"/>
      <c r="BEN166" s="456"/>
      <c r="BEO166" s="456"/>
      <c r="BEP166" s="456"/>
      <c r="BEQ166" s="456"/>
      <c r="BER166" s="456"/>
      <c r="BES166" s="456"/>
      <c r="BET166" s="456"/>
      <c r="BEU166" s="456"/>
      <c r="BEV166" s="456"/>
      <c r="BEW166" s="456"/>
      <c r="BEX166" s="456"/>
      <c r="BEY166" s="456"/>
      <c r="BEZ166" s="456"/>
      <c r="BFA166" s="456"/>
      <c r="BFB166" s="456"/>
      <c r="BFC166" s="456"/>
      <c r="BFD166" s="456"/>
      <c r="BFE166" s="456"/>
      <c r="BFF166" s="456"/>
      <c r="BFG166" s="456"/>
      <c r="BFH166" s="456"/>
      <c r="BFI166" s="456"/>
      <c r="BFJ166" s="456"/>
      <c r="BFK166" s="456"/>
      <c r="BFL166" s="456"/>
      <c r="BFM166" s="456"/>
      <c r="BFN166" s="456"/>
      <c r="BFO166" s="456"/>
      <c r="BFP166" s="456"/>
      <c r="BFQ166" s="456"/>
      <c r="BFR166" s="456"/>
      <c r="BFS166" s="456"/>
      <c r="BFT166" s="456"/>
      <c r="BFU166" s="456"/>
      <c r="BFV166" s="456"/>
      <c r="BFW166" s="456"/>
      <c r="BFX166" s="456"/>
      <c r="BFY166" s="456"/>
      <c r="BFZ166" s="456"/>
      <c r="BGA166" s="456"/>
      <c r="BGB166" s="456"/>
      <c r="BGC166" s="456"/>
      <c r="BGD166" s="456"/>
      <c r="BGE166" s="456"/>
      <c r="BGF166" s="456"/>
      <c r="BGG166" s="456"/>
      <c r="BGH166" s="456"/>
      <c r="BGI166" s="456"/>
      <c r="BGJ166" s="456"/>
      <c r="BGK166" s="456"/>
      <c r="BGL166" s="456"/>
      <c r="BGM166" s="456"/>
      <c r="BGN166" s="456"/>
      <c r="BGO166" s="456"/>
      <c r="BGP166" s="456"/>
      <c r="BGQ166" s="456"/>
      <c r="BGR166" s="456"/>
      <c r="BGS166" s="456"/>
      <c r="BGT166" s="456"/>
      <c r="BGU166" s="456"/>
      <c r="BGV166" s="456"/>
      <c r="BGW166" s="456"/>
      <c r="BGX166" s="456"/>
      <c r="BGY166" s="456"/>
      <c r="BGZ166" s="456"/>
      <c r="BHA166" s="456"/>
      <c r="BHB166" s="456"/>
      <c r="BHC166" s="456"/>
      <c r="BHD166" s="456"/>
      <c r="BHE166" s="456"/>
      <c r="BHF166" s="456"/>
      <c r="BHG166" s="456"/>
      <c r="BHH166" s="456"/>
      <c r="BHI166" s="456"/>
      <c r="BHJ166" s="456"/>
      <c r="BHK166" s="456"/>
      <c r="BHL166" s="456"/>
      <c r="BHM166" s="456"/>
      <c r="BHN166" s="456"/>
      <c r="BHO166" s="456"/>
      <c r="BHP166" s="456"/>
      <c r="BHQ166" s="456"/>
      <c r="BHR166" s="456"/>
      <c r="BHS166" s="456"/>
      <c r="BHT166" s="456"/>
      <c r="BHU166" s="456"/>
      <c r="BHV166" s="456"/>
      <c r="BHW166" s="456"/>
      <c r="BHX166" s="456"/>
      <c r="BHY166" s="456"/>
      <c r="BHZ166" s="456"/>
      <c r="BIA166" s="456"/>
      <c r="BIB166" s="456"/>
      <c r="BIC166" s="456"/>
      <c r="BID166" s="456"/>
      <c r="BIE166" s="456"/>
      <c r="BIF166" s="456"/>
      <c r="BIG166" s="456"/>
      <c r="BIH166" s="456"/>
      <c r="BII166" s="456"/>
      <c r="BIJ166" s="456"/>
      <c r="BIK166" s="456"/>
      <c r="BIL166" s="456"/>
      <c r="BIM166" s="456"/>
      <c r="BIN166" s="456"/>
      <c r="BIO166" s="456"/>
      <c r="BIP166" s="456"/>
      <c r="BIQ166" s="456"/>
      <c r="BIR166" s="456"/>
      <c r="BIS166" s="456"/>
      <c r="BIT166" s="456"/>
      <c r="BIU166" s="456"/>
      <c r="BIV166" s="456"/>
      <c r="BIW166" s="456"/>
      <c r="BIX166" s="456"/>
      <c r="BIY166" s="456"/>
      <c r="BIZ166" s="456"/>
      <c r="BJA166" s="456"/>
      <c r="BJB166" s="456"/>
      <c r="BJC166" s="456"/>
      <c r="BJD166" s="456"/>
      <c r="BJE166" s="456"/>
      <c r="BJF166" s="456"/>
      <c r="BJG166" s="456"/>
      <c r="BJH166" s="456"/>
      <c r="BJI166" s="456"/>
      <c r="BJJ166" s="456"/>
      <c r="BJK166" s="456"/>
      <c r="BJL166" s="456"/>
      <c r="BJM166" s="456"/>
      <c r="BJN166" s="456"/>
      <c r="BJO166" s="456"/>
      <c r="BJP166" s="456"/>
      <c r="BJQ166" s="456"/>
      <c r="BJR166" s="456"/>
      <c r="BJS166" s="456"/>
      <c r="BJT166" s="456"/>
      <c r="BJU166" s="456"/>
      <c r="BJV166" s="456"/>
      <c r="BJW166" s="456"/>
      <c r="BJX166" s="456"/>
      <c r="BJY166" s="456"/>
      <c r="BJZ166" s="456"/>
      <c r="BKA166" s="456"/>
      <c r="BKB166" s="456"/>
      <c r="BKC166" s="456"/>
      <c r="BKD166" s="456"/>
      <c r="BKE166" s="456"/>
      <c r="BKF166" s="456"/>
      <c r="BKG166" s="456"/>
      <c r="BKH166" s="456"/>
      <c r="BKI166" s="456"/>
      <c r="BKJ166" s="456"/>
      <c r="BKK166" s="456"/>
      <c r="BKL166" s="456"/>
      <c r="BKM166" s="456"/>
      <c r="BKN166" s="456"/>
      <c r="BKO166" s="456"/>
      <c r="BKP166" s="456"/>
      <c r="BKQ166" s="456"/>
      <c r="BKR166" s="456"/>
      <c r="BKS166" s="456"/>
      <c r="BKT166" s="456"/>
      <c r="BKU166" s="456"/>
      <c r="BKV166" s="456"/>
      <c r="BKW166" s="456"/>
      <c r="BKX166" s="456"/>
      <c r="BKY166" s="456"/>
      <c r="BKZ166" s="456"/>
      <c r="BLA166" s="456"/>
      <c r="BLB166" s="456"/>
      <c r="BLC166" s="456"/>
      <c r="BLD166" s="456"/>
      <c r="BLE166" s="456"/>
      <c r="BLF166" s="456"/>
      <c r="BLG166" s="456"/>
      <c r="BLH166" s="456"/>
      <c r="BLI166" s="456"/>
      <c r="BLJ166" s="456"/>
      <c r="BLK166" s="456"/>
      <c r="BLL166" s="456"/>
      <c r="BLM166" s="456"/>
      <c r="BLN166" s="456"/>
      <c r="BLO166" s="456"/>
      <c r="BLP166" s="456"/>
      <c r="BLQ166" s="456"/>
      <c r="BLR166" s="456"/>
      <c r="BLS166" s="456"/>
      <c r="BLT166" s="456"/>
      <c r="BLU166" s="456"/>
      <c r="BLV166" s="456"/>
      <c r="BLW166" s="456"/>
      <c r="BLX166" s="456"/>
      <c r="BLY166" s="456"/>
      <c r="BLZ166" s="456"/>
      <c r="BMA166" s="456"/>
      <c r="BMB166" s="456"/>
      <c r="BMC166" s="456"/>
      <c r="BMD166" s="456"/>
      <c r="BME166" s="456"/>
      <c r="BMF166" s="456"/>
      <c r="BMG166" s="456"/>
      <c r="BMH166" s="456"/>
      <c r="BMI166" s="456"/>
      <c r="BMJ166" s="456"/>
      <c r="BMK166" s="456"/>
      <c r="BML166" s="456"/>
      <c r="BMM166" s="456"/>
      <c r="BMN166" s="456"/>
      <c r="BMO166" s="456"/>
      <c r="BMP166" s="456"/>
      <c r="BMQ166" s="456"/>
      <c r="BMR166" s="456"/>
      <c r="BMS166" s="456"/>
      <c r="BMT166" s="456"/>
      <c r="BMU166" s="456"/>
      <c r="BMV166" s="456"/>
      <c r="BMW166" s="456"/>
      <c r="BMX166" s="456"/>
      <c r="BMY166" s="456"/>
      <c r="BMZ166" s="456"/>
      <c r="BNA166" s="456"/>
      <c r="BNB166" s="456"/>
      <c r="BNC166" s="456"/>
      <c r="BND166" s="456"/>
      <c r="BNE166" s="456"/>
      <c r="BNF166" s="456"/>
      <c r="BNG166" s="456"/>
      <c r="BNH166" s="456"/>
      <c r="BNI166" s="456"/>
      <c r="BNJ166" s="456"/>
      <c r="BNK166" s="456"/>
      <c r="BNL166" s="456"/>
      <c r="BNM166" s="456"/>
      <c r="BNN166" s="456"/>
      <c r="BNO166" s="456"/>
      <c r="BNP166" s="456"/>
      <c r="BNQ166" s="456"/>
      <c r="BNR166" s="456"/>
      <c r="BNS166" s="456"/>
      <c r="BNT166" s="456"/>
      <c r="BNU166" s="456"/>
      <c r="BNV166" s="456"/>
      <c r="BNW166" s="456"/>
      <c r="BNX166" s="456"/>
      <c r="BNY166" s="456"/>
      <c r="BNZ166" s="456"/>
      <c r="BOA166" s="456"/>
      <c r="BOB166" s="456"/>
      <c r="BOC166" s="456"/>
      <c r="BOD166" s="456"/>
      <c r="BOE166" s="456"/>
      <c r="BOF166" s="456"/>
      <c r="BOG166" s="456"/>
      <c r="BOH166" s="456"/>
      <c r="BOI166" s="456"/>
      <c r="BOJ166" s="456"/>
      <c r="BOK166" s="456"/>
      <c r="BOL166" s="456"/>
      <c r="BOM166" s="456"/>
      <c r="BON166" s="456"/>
      <c r="BOO166" s="456"/>
      <c r="BOP166" s="456"/>
      <c r="BOQ166" s="456"/>
      <c r="BOR166" s="456"/>
      <c r="BOS166" s="456"/>
      <c r="BOT166" s="456"/>
      <c r="BOU166" s="456"/>
      <c r="BOV166" s="456"/>
      <c r="BOW166" s="456"/>
      <c r="BOX166" s="456"/>
      <c r="BOY166" s="456"/>
      <c r="BOZ166" s="456"/>
      <c r="BPA166" s="456"/>
      <c r="BPB166" s="456"/>
      <c r="BPC166" s="456"/>
      <c r="BPD166" s="456"/>
      <c r="BPE166" s="456"/>
      <c r="BPF166" s="456"/>
      <c r="BPG166" s="456"/>
      <c r="BPH166" s="456"/>
      <c r="BPI166" s="456"/>
      <c r="BPJ166" s="456"/>
      <c r="BPK166" s="456"/>
      <c r="BPL166" s="456"/>
      <c r="BPM166" s="456"/>
      <c r="BPN166" s="456"/>
      <c r="BPO166" s="456"/>
      <c r="BPP166" s="456"/>
      <c r="BPQ166" s="456"/>
      <c r="BPR166" s="456"/>
      <c r="BPS166" s="456"/>
      <c r="BPT166" s="456"/>
      <c r="BPU166" s="456"/>
      <c r="BPV166" s="456"/>
      <c r="BPW166" s="456"/>
      <c r="BPX166" s="456"/>
      <c r="BPY166" s="456"/>
      <c r="BPZ166" s="456"/>
      <c r="BQA166" s="456"/>
      <c r="BQB166" s="456"/>
      <c r="BQC166" s="456"/>
      <c r="BQD166" s="456"/>
      <c r="BQE166" s="456"/>
      <c r="BQF166" s="456"/>
      <c r="BQG166" s="456"/>
      <c r="BQH166" s="456"/>
      <c r="BQI166" s="456"/>
      <c r="BQJ166" s="456"/>
      <c r="BQK166" s="456"/>
      <c r="BQL166" s="456"/>
      <c r="BQM166" s="456"/>
      <c r="BQN166" s="456"/>
      <c r="BQO166" s="456"/>
      <c r="BQP166" s="456"/>
      <c r="BQQ166" s="456"/>
      <c r="BQR166" s="456"/>
      <c r="BQS166" s="456"/>
      <c r="BQT166" s="456"/>
      <c r="BQU166" s="456"/>
      <c r="BQV166" s="456"/>
      <c r="BQW166" s="456"/>
      <c r="BQX166" s="456"/>
      <c r="BQY166" s="456"/>
      <c r="BQZ166" s="456"/>
      <c r="BRA166" s="456"/>
      <c r="BRB166" s="456"/>
      <c r="BRC166" s="456"/>
      <c r="BRD166" s="456"/>
      <c r="BRE166" s="456"/>
      <c r="BRF166" s="456"/>
      <c r="BRG166" s="456"/>
      <c r="BRH166" s="456"/>
      <c r="BRI166" s="456"/>
      <c r="BRJ166" s="456"/>
      <c r="BRK166" s="456"/>
      <c r="BRL166" s="456"/>
      <c r="BRM166" s="456"/>
      <c r="BRN166" s="456"/>
      <c r="BRO166" s="456"/>
      <c r="BRP166" s="456"/>
      <c r="BRQ166" s="456"/>
      <c r="BRR166" s="456"/>
      <c r="BRS166" s="456"/>
      <c r="BRT166" s="456"/>
      <c r="BRU166" s="456"/>
      <c r="BRV166" s="456"/>
      <c r="BRW166" s="456"/>
      <c r="BRX166" s="456"/>
      <c r="BRY166" s="456"/>
      <c r="BRZ166" s="456"/>
      <c r="BSA166" s="456"/>
      <c r="BSB166" s="456"/>
      <c r="BSC166" s="456"/>
      <c r="BSD166" s="456"/>
      <c r="BSE166" s="456"/>
      <c r="BSF166" s="456"/>
      <c r="BSG166" s="456"/>
      <c r="BSH166" s="456"/>
      <c r="BSI166" s="456"/>
      <c r="BSJ166" s="456"/>
      <c r="BSK166" s="456"/>
      <c r="BSL166" s="456"/>
      <c r="BSM166" s="456"/>
      <c r="BSN166" s="456"/>
      <c r="BSO166" s="456"/>
      <c r="BSP166" s="456"/>
      <c r="BSQ166" s="456"/>
      <c r="BSR166" s="456"/>
      <c r="BSS166" s="456"/>
      <c r="BST166" s="456"/>
      <c r="BSU166" s="456"/>
      <c r="BSV166" s="456"/>
      <c r="BSW166" s="456"/>
      <c r="BSX166" s="456"/>
      <c r="BSY166" s="456"/>
      <c r="BSZ166" s="456"/>
      <c r="BTA166" s="456"/>
      <c r="BTB166" s="456"/>
      <c r="BTC166" s="456"/>
      <c r="BTD166" s="456"/>
      <c r="BTE166" s="456"/>
      <c r="BTF166" s="456"/>
      <c r="BTG166" s="456"/>
      <c r="BTH166" s="456"/>
      <c r="BTI166" s="456"/>
      <c r="BTJ166" s="456"/>
      <c r="BTK166" s="456"/>
      <c r="BTL166" s="456"/>
      <c r="BTM166" s="456"/>
      <c r="BTN166" s="456"/>
      <c r="BTO166" s="456"/>
      <c r="BTP166" s="456"/>
      <c r="BTQ166" s="456"/>
      <c r="BTR166" s="456"/>
      <c r="BTS166" s="456"/>
      <c r="BTT166" s="456"/>
      <c r="BTU166" s="456"/>
      <c r="BTV166" s="456"/>
      <c r="BTW166" s="456"/>
      <c r="BTX166" s="456"/>
      <c r="BTY166" s="456"/>
      <c r="BTZ166" s="456"/>
      <c r="BUA166" s="456"/>
      <c r="BUB166" s="456"/>
      <c r="BUC166" s="456"/>
      <c r="BUD166" s="456"/>
      <c r="BUE166" s="456"/>
      <c r="BUF166" s="456"/>
      <c r="BUG166" s="456"/>
      <c r="BUH166" s="456"/>
      <c r="BUI166" s="456"/>
      <c r="BUJ166" s="456"/>
      <c r="BUK166" s="456"/>
      <c r="BUL166" s="456"/>
      <c r="BUM166" s="456"/>
      <c r="BUN166" s="456"/>
      <c r="BUO166" s="456"/>
      <c r="BUP166" s="456"/>
      <c r="BUQ166" s="456"/>
      <c r="BUR166" s="456"/>
      <c r="BUS166" s="456"/>
      <c r="BUT166" s="456"/>
      <c r="BUU166" s="456"/>
      <c r="BUV166" s="456"/>
      <c r="BUW166" s="456"/>
      <c r="BUX166" s="456"/>
      <c r="BUY166" s="456"/>
      <c r="BUZ166" s="456"/>
      <c r="BVA166" s="456"/>
      <c r="BVB166" s="456"/>
      <c r="BVC166" s="456"/>
      <c r="BVD166" s="456"/>
      <c r="BVE166" s="456"/>
      <c r="BVF166" s="456"/>
      <c r="BVG166" s="456"/>
      <c r="BVH166" s="456"/>
      <c r="BVI166" s="456"/>
      <c r="BVJ166" s="456"/>
      <c r="BVK166" s="456"/>
      <c r="BVL166" s="456"/>
      <c r="BVM166" s="456"/>
      <c r="BVN166" s="456"/>
      <c r="BVO166" s="456"/>
      <c r="BVP166" s="456"/>
      <c r="BVQ166" s="456"/>
      <c r="BVR166" s="456"/>
      <c r="BVS166" s="456"/>
      <c r="BVT166" s="456"/>
      <c r="BVU166" s="456"/>
      <c r="BVV166" s="456"/>
      <c r="BVW166" s="456"/>
      <c r="BVX166" s="456"/>
      <c r="BVY166" s="456"/>
      <c r="BVZ166" s="456"/>
      <c r="BWA166" s="456"/>
      <c r="BWB166" s="456"/>
      <c r="BWC166" s="456"/>
      <c r="BWD166" s="456"/>
      <c r="BWE166" s="456"/>
      <c r="BWF166" s="456"/>
      <c r="BWG166" s="456"/>
      <c r="BWH166" s="456"/>
      <c r="BWI166" s="456"/>
      <c r="BWJ166" s="456"/>
      <c r="BWK166" s="456"/>
      <c r="BWL166" s="456"/>
      <c r="BWM166" s="456"/>
      <c r="BWN166" s="456"/>
      <c r="BWO166" s="456"/>
      <c r="BWP166" s="456"/>
      <c r="BWQ166" s="456"/>
      <c r="BWR166" s="456"/>
      <c r="BWS166" s="456"/>
      <c r="BWT166" s="456"/>
      <c r="BWU166" s="456"/>
      <c r="BWV166" s="456"/>
      <c r="BWW166" s="456"/>
      <c r="BWX166" s="456"/>
      <c r="BWY166" s="456"/>
      <c r="BWZ166" s="456"/>
      <c r="BXA166" s="456"/>
      <c r="BXB166" s="456"/>
      <c r="BXC166" s="456"/>
      <c r="BXD166" s="456"/>
      <c r="BXE166" s="456"/>
      <c r="BXF166" s="456"/>
      <c r="BXG166" s="456"/>
      <c r="BXH166" s="456"/>
      <c r="BXI166" s="456"/>
      <c r="BXJ166" s="456"/>
      <c r="BXK166" s="456"/>
      <c r="BXL166" s="456"/>
      <c r="BXM166" s="456"/>
      <c r="BXN166" s="456"/>
      <c r="BXO166" s="456"/>
      <c r="BXP166" s="456"/>
      <c r="BXQ166" s="456"/>
      <c r="BXR166" s="456"/>
      <c r="BXS166" s="456"/>
      <c r="BXT166" s="456"/>
      <c r="BXU166" s="456"/>
      <c r="BXV166" s="456"/>
      <c r="BXW166" s="456"/>
      <c r="BXX166" s="456"/>
      <c r="BXY166" s="456"/>
      <c r="BXZ166" s="456"/>
    </row>
    <row r="167" spans="1:1024 1025:2002">
      <c r="A167" s="474"/>
      <c r="B167" s="75">
        <v>1130</v>
      </c>
      <c r="C167" s="213">
        <v>46205</v>
      </c>
      <c r="D167" s="18" t="s">
        <v>52</v>
      </c>
      <c r="E167" s="18" t="s">
        <v>104</v>
      </c>
      <c r="F167" s="18" t="s">
        <v>54</v>
      </c>
      <c r="G167" s="18"/>
      <c r="H167" s="75">
        <v>1.2316</v>
      </c>
      <c r="I167" s="75"/>
      <c r="J167" s="18" t="s">
        <v>49</v>
      </c>
      <c r="K167" s="491">
        <v>1050</v>
      </c>
      <c r="L167" s="491">
        <v>80</v>
      </c>
      <c r="M167" s="491">
        <v>2200</v>
      </c>
      <c r="N167" s="75" t="s">
        <v>66</v>
      </c>
      <c r="O167" s="75" t="s">
        <v>67</v>
      </c>
      <c r="P167" s="486">
        <v>1318.8</v>
      </c>
      <c r="Q167" s="75">
        <v>1375</v>
      </c>
      <c r="R167" s="112">
        <f t="shared" si="9"/>
        <v>-56.2</v>
      </c>
      <c r="S167" s="75">
        <f t="shared" si="11"/>
        <v>2870</v>
      </c>
      <c r="T167" s="75" t="s">
        <v>42</v>
      </c>
      <c r="U167" s="137" t="s">
        <v>115</v>
      </c>
      <c r="V167" s="193">
        <v>46208</v>
      </c>
      <c r="W167" s="18" t="s">
        <v>44</v>
      </c>
      <c r="X167" s="18"/>
      <c r="Y167" s="114">
        <v>46235</v>
      </c>
      <c r="Z167" s="18" t="s">
        <v>45</v>
      </c>
      <c r="AA167" s="24" t="s">
        <v>46</v>
      </c>
      <c r="AB167" s="18"/>
      <c r="AC167" s="137"/>
      <c r="AD167" s="77"/>
      <c r="AE167" s="18" t="s">
        <v>48</v>
      </c>
      <c r="AF167" s="24" t="s">
        <v>61</v>
      </c>
      <c r="AG167" s="18"/>
    </row>
    <row r="168" s="25" customFormat="1" spans="1:1024 1025:2002">
      <c r="A168" s="473" t="s">
        <v>34</v>
      </c>
      <c r="B168" s="19">
        <v>1130</v>
      </c>
      <c r="C168" s="183">
        <v>46205</v>
      </c>
      <c r="D168" s="17" t="s">
        <v>52</v>
      </c>
      <c r="E168" s="17" t="s">
        <v>104</v>
      </c>
      <c r="F168" s="17" t="s">
        <v>54</v>
      </c>
      <c r="G168" s="17"/>
      <c r="H168" s="19">
        <v>1.2316</v>
      </c>
      <c r="I168" s="19" t="s">
        <v>114</v>
      </c>
      <c r="J168" s="17" t="s">
        <v>49</v>
      </c>
      <c r="K168" s="489">
        <v>1050</v>
      </c>
      <c r="L168" s="489">
        <v>85</v>
      </c>
      <c r="M168" s="489">
        <v>2200</v>
      </c>
      <c r="N168" s="19" t="s">
        <v>66</v>
      </c>
      <c r="O168" s="19" t="s">
        <v>67</v>
      </c>
      <c r="P168" s="490">
        <v>1401.225</v>
      </c>
      <c r="Q168" s="19">
        <v>1530</v>
      </c>
      <c r="R168" s="99">
        <f t="shared" si="9"/>
        <v>-128.775</v>
      </c>
      <c r="S168" s="19">
        <f t="shared" si="11"/>
        <v>2870</v>
      </c>
      <c r="T168" s="19" t="s">
        <v>42</v>
      </c>
      <c r="U168" s="102" t="s">
        <v>115</v>
      </c>
      <c r="V168" s="186">
        <v>46208</v>
      </c>
      <c r="W168" s="17" t="s">
        <v>44</v>
      </c>
      <c r="X168" s="17"/>
      <c r="Y168" s="68">
        <v>46235</v>
      </c>
      <c r="Z168" s="17" t="s">
        <v>45</v>
      </c>
      <c r="AA168" s="17" t="s">
        <v>46</v>
      </c>
      <c r="AB168" s="17" t="s">
        <v>116</v>
      </c>
      <c r="AC168" s="217">
        <v>46241</v>
      </c>
      <c r="AD168" s="65">
        <v>1848</v>
      </c>
      <c r="AE168" s="17" t="s">
        <v>48</v>
      </c>
      <c r="AF168" s="17" t="s">
        <v>61</v>
      </c>
      <c r="AG168" s="17"/>
      <c r="AH168" s="456"/>
      <c r="AI168" s="456"/>
      <c r="AJ168" s="456"/>
      <c r="AK168" s="456"/>
      <c r="AL168" s="456"/>
      <c r="AM168" s="456"/>
      <c r="AN168" s="456"/>
      <c r="AO168" s="456"/>
      <c r="AP168" s="456"/>
      <c r="AQ168" s="456"/>
      <c r="AR168" s="456"/>
      <c r="AS168" s="456"/>
      <c r="AT168" s="456"/>
      <c r="AU168" s="456"/>
      <c r="AV168" s="456"/>
      <c r="AW168" s="456"/>
      <c r="AX168" s="456"/>
      <c r="AY168" s="456"/>
      <c r="AZ168" s="456"/>
      <c r="BA168" s="456"/>
      <c r="BB168" s="456"/>
      <c r="BC168" s="456"/>
      <c r="BD168" s="456"/>
      <c r="BE168" s="456"/>
      <c r="BF168" s="456"/>
      <c r="BG168" s="456"/>
      <c r="BH168" s="456"/>
      <c r="BI168" s="456"/>
      <c r="BJ168" s="456"/>
      <c r="BK168" s="456"/>
      <c r="BL168" s="456"/>
      <c r="BM168" s="456"/>
      <c r="BN168" s="456"/>
      <c r="BO168" s="456"/>
      <c r="BP168" s="456"/>
      <c r="BQ168" s="456"/>
      <c r="BR168" s="456"/>
      <c r="BS168" s="456"/>
      <c r="BT168" s="456"/>
      <c r="BU168" s="456"/>
      <c r="BV168" s="456"/>
      <c r="BW168" s="456"/>
      <c r="BX168" s="456"/>
      <c r="BY168" s="456"/>
      <c r="BZ168" s="456"/>
      <c r="CA168" s="456"/>
      <c r="CB168" s="456"/>
      <c r="CC168" s="456"/>
      <c r="CD168" s="456"/>
      <c r="CE168" s="456"/>
      <c r="CF168" s="456"/>
      <c r="CG168" s="456"/>
      <c r="CH168" s="456"/>
      <c r="CI168" s="456"/>
      <c r="CJ168" s="456"/>
      <c r="CK168" s="456"/>
      <c r="CL168" s="456"/>
      <c r="CM168" s="456"/>
      <c r="CN168" s="456"/>
      <c r="CO168" s="456"/>
      <c r="CP168" s="456"/>
      <c r="CQ168" s="456"/>
      <c r="CR168" s="456"/>
      <c r="CS168" s="456"/>
      <c r="CT168" s="456"/>
      <c r="CU168" s="456"/>
      <c r="CV168" s="456"/>
      <c r="CW168" s="456"/>
      <c r="CX168" s="456"/>
      <c r="CY168" s="456"/>
      <c r="CZ168" s="456"/>
      <c r="DA168" s="456"/>
      <c r="DB168" s="456"/>
      <c r="DC168" s="456"/>
      <c r="DD168" s="456"/>
      <c r="DE168" s="456"/>
      <c r="DF168" s="456"/>
      <c r="DG168" s="456"/>
      <c r="DH168" s="456"/>
      <c r="DI168" s="456"/>
      <c r="DJ168" s="456"/>
      <c r="DK168" s="456"/>
      <c r="DL168" s="456"/>
      <c r="DM168" s="456"/>
      <c r="DN168" s="456"/>
      <c r="DO168" s="456"/>
      <c r="DP168" s="456"/>
      <c r="DQ168" s="456"/>
      <c r="DR168" s="456"/>
      <c r="DS168" s="456"/>
      <c r="DT168" s="456"/>
      <c r="DU168" s="456"/>
      <c r="DV168" s="456"/>
      <c r="DW168" s="456"/>
      <c r="DX168" s="456"/>
      <c r="DY168" s="456"/>
      <c r="DZ168" s="456"/>
      <c r="EA168" s="456"/>
      <c r="EB168" s="456"/>
      <c r="EC168" s="456"/>
      <c r="ED168" s="456"/>
      <c r="EE168" s="456"/>
      <c r="EF168" s="456"/>
      <c r="EG168" s="456"/>
      <c r="EH168" s="456"/>
      <c r="EI168" s="456"/>
      <c r="EJ168" s="456"/>
      <c r="EK168" s="456"/>
      <c r="EL168" s="456"/>
      <c r="EM168" s="456"/>
      <c r="EN168" s="456"/>
      <c r="EO168" s="456"/>
      <c r="EP168" s="456"/>
      <c r="EQ168" s="456"/>
      <c r="ER168" s="456"/>
      <c r="ES168" s="456"/>
      <c r="ET168" s="456"/>
      <c r="EU168" s="456"/>
      <c r="EV168" s="456"/>
      <c r="EW168" s="456"/>
      <c r="EX168" s="456"/>
      <c r="EY168" s="456"/>
      <c r="EZ168" s="456"/>
      <c r="FA168" s="456"/>
      <c r="FB168" s="456"/>
      <c r="FC168" s="456"/>
      <c r="FD168" s="456"/>
      <c r="FE168" s="456"/>
      <c r="FF168" s="456"/>
      <c r="FG168" s="456"/>
      <c r="FH168" s="456"/>
      <c r="FI168" s="456"/>
      <c r="FJ168" s="456"/>
      <c r="FK168" s="456"/>
      <c r="FL168" s="456"/>
      <c r="FM168" s="456"/>
      <c r="FN168" s="456"/>
      <c r="FO168" s="456"/>
      <c r="FP168" s="456"/>
      <c r="FQ168" s="456"/>
      <c r="FR168" s="456"/>
      <c r="FS168" s="456"/>
      <c r="FT168" s="456"/>
      <c r="FU168" s="456"/>
      <c r="FV168" s="456"/>
      <c r="FW168" s="456"/>
      <c r="FX168" s="456"/>
      <c r="FY168" s="456"/>
      <c r="FZ168" s="456"/>
      <c r="GA168" s="456"/>
      <c r="GB168" s="456"/>
      <c r="GC168" s="456"/>
      <c r="GD168" s="456"/>
      <c r="GE168" s="456"/>
      <c r="GF168" s="456"/>
      <c r="GG168" s="456"/>
      <c r="GH168" s="456"/>
      <c r="GI168" s="456"/>
      <c r="GJ168" s="456"/>
      <c r="GK168" s="456"/>
      <c r="GL168" s="456"/>
      <c r="GM168" s="456"/>
      <c r="GN168" s="456"/>
      <c r="GO168" s="456"/>
      <c r="GP168" s="456"/>
      <c r="GQ168" s="456"/>
      <c r="GR168" s="456"/>
      <c r="GS168" s="456"/>
      <c r="GT168" s="456"/>
      <c r="GU168" s="456"/>
      <c r="GV168" s="456"/>
      <c r="GW168" s="456"/>
      <c r="GX168" s="456"/>
      <c r="GY168" s="456"/>
      <c r="GZ168" s="456"/>
      <c r="HA168" s="456"/>
      <c r="HB168" s="456"/>
      <c r="HC168" s="456"/>
      <c r="HD168" s="456"/>
      <c r="HE168" s="456"/>
      <c r="HF168" s="456"/>
      <c r="HG168" s="456"/>
      <c r="HH168" s="456"/>
      <c r="HI168" s="456"/>
      <c r="HJ168" s="456"/>
      <c r="HK168" s="456"/>
      <c r="HL168" s="456"/>
      <c r="HM168" s="456"/>
      <c r="HN168" s="456"/>
      <c r="HO168" s="456"/>
      <c r="HP168" s="456"/>
      <c r="HQ168" s="456"/>
      <c r="HR168" s="456"/>
      <c r="HS168" s="456"/>
      <c r="HT168" s="456"/>
      <c r="HU168" s="456"/>
      <c r="HV168" s="456"/>
      <c r="HW168" s="456"/>
      <c r="HX168" s="456"/>
      <c r="HY168" s="456"/>
      <c r="HZ168" s="456"/>
      <c r="IA168" s="456"/>
      <c r="IB168" s="456"/>
      <c r="IC168" s="456"/>
      <c r="ID168" s="456"/>
      <c r="IE168" s="456"/>
      <c r="IF168" s="456"/>
      <c r="IG168" s="456"/>
      <c r="IH168" s="456"/>
      <c r="II168" s="456"/>
      <c r="IJ168" s="456"/>
      <c r="IK168" s="456"/>
      <c r="IL168" s="456"/>
      <c r="IM168" s="456"/>
      <c r="IN168" s="456"/>
      <c r="IO168" s="456"/>
      <c r="IP168" s="456"/>
      <c r="IQ168" s="456"/>
      <c r="IR168" s="456"/>
      <c r="IS168" s="456"/>
      <c r="IT168" s="456"/>
      <c r="IU168" s="456"/>
      <c r="IV168" s="456"/>
      <c r="IW168" s="456"/>
      <c r="IX168" s="456"/>
      <c r="IY168" s="456"/>
      <c r="IZ168" s="456"/>
      <c r="JA168" s="456"/>
      <c r="JB168" s="456"/>
      <c r="JC168" s="456"/>
      <c r="JD168" s="456"/>
      <c r="JE168" s="456"/>
      <c r="JF168" s="456"/>
      <c r="JG168" s="456"/>
      <c r="JH168" s="456"/>
      <c r="JI168" s="456"/>
      <c r="JJ168" s="456"/>
      <c r="JK168" s="456"/>
      <c r="JL168" s="456"/>
      <c r="JM168" s="456"/>
      <c r="JN168" s="456"/>
      <c r="JO168" s="456"/>
      <c r="JP168" s="456"/>
      <c r="JQ168" s="456"/>
      <c r="JR168" s="456"/>
      <c r="JS168" s="456"/>
      <c r="JT168" s="456"/>
      <c r="JU168" s="456"/>
      <c r="JV168" s="456"/>
      <c r="JW168" s="456"/>
      <c r="JX168" s="456"/>
      <c r="JY168" s="456"/>
      <c r="JZ168" s="456"/>
      <c r="KA168" s="456"/>
      <c r="KB168" s="456"/>
      <c r="KC168" s="456"/>
      <c r="KD168" s="456"/>
      <c r="KE168" s="456"/>
      <c r="KF168" s="456"/>
      <c r="KG168" s="456"/>
      <c r="KH168" s="456"/>
      <c r="KI168" s="456"/>
      <c r="KJ168" s="456"/>
      <c r="KK168" s="456"/>
      <c r="KL168" s="456"/>
      <c r="KM168" s="456"/>
      <c r="KN168" s="456"/>
      <c r="KO168" s="456"/>
      <c r="KP168" s="456"/>
      <c r="KQ168" s="456"/>
      <c r="KR168" s="456"/>
      <c r="KS168" s="456"/>
      <c r="KT168" s="456"/>
      <c r="KU168" s="456"/>
      <c r="KV168" s="456"/>
      <c r="KW168" s="456"/>
      <c r="KX168" s="456"/>
      <c r="KY168" s="456"/>
      <c r="KZ168" s="456"/>
      <c r="LA168" s="456"/>
      <c r="LB168" s="456"/>
      <c r="LC168" s="456"/>
      <c r="LD168" s="456"/>
      <c r="LE168" s="456"/>
      <c r="LF168" s="456"/>
      <c r="LG168" s="456"/>
      <c r="LH168" s="456"/>
      <c r="LI168" s="456"/>
      <c r="LJ168" s="456"/>
      <c r="LK168" s="456"/>
      <c r="LL168" s="456"/>
      <c r="LM168" s="456"/>
      <c r="LN168" s="456"/>
      <c r="LO168" s="456"/>
      <c r="LP168" s="456"/>
      <c r="LQ168" s="456"/>
      <c r="LR168" s="456"/>
      <c r="LS168" s="456"/>
      <c r="LT168" s="456"/>
      <c r="LU168" s="456"/>
      <c r="LV168" s="456"/>
      <c r="LW168" s="456"/>
      <c r="LX168" s="456"/>
      <c r="LY168" s="456"/>
      <c r="LZ168" s="456"/>
      <c r="MA168" s="456"/>
      <c r="MB168" s="456"/>
      <c r="MC168" s="456"/>
      <c r="MD168" s="456"/>
      <c r="ME168" s="456"/>
      <c r="MF168" s="456"/>
      <c r="MG168" s="456"/>
      <c r="MH168" s="456"/>
      <c r="MI168" s="456"/>
      <c r="MJ168" s="456"/>
      <c r="MK168" s="456"/>
      <c r="ML168" s="456"/>
      <c r="MM168" s="456"/>
      <c r="MN168" s="456"/>
      <c r="MO168" s="456"/>
      <c r="MP168" s="456"/>
      <c r="MQ168" s="456"/>
      <c r="MR168" s="456"/>
      <c r="MS168" s="456"/>
      <c r="MT168" s="456"/>
      <c r="MU168" s="456"/>
      <c r="MV168" s="456"/>
      <c r="MW168" s="456"/>
      <c r="MX168" s="456"/>
      <c r="MY168" s="456"/>
      <c r="MZ168" s="456"/>
      <c r="NA168" s="456"/>
      <c r="NB168" s="456"/>
      <c r="NC168" s="456"/>
      <c r="ND168" s="456"/>
      <c r="NE168" s="456"/>
      <c r="NF168" s="456"/>
      <c r="NG168" s="456"/>
      <c r="NH168" s="456"/>
      <c r="NI168" s="456"/>
      <c r="NJ168" s="456"/>
      <c r="NK168" s="456"/>
      <c r="NL168" s="456"/>
      <c r="NM168" s="456"/>
      <c r="NN168" s="456"/>
      <c r="NO168" s="456"/>
      <c r="NP168" s="456"/>
      <c r="NQ168" s="456"/>
      <c r="NR168" s="456"/>
      <c r="NS168" s="456"/>
      <c r="NT168" s="456"/>
      <c r="NU168" s="456"/>
      <c r="NV168" s="456"/>
      <c r="NW168" s="456"/>
      <c r="NX168" s="456"/>
      <c r="NY168" s="456"/>
      <c r="NZ168" s="456"/>
      <c r="OA168" s="456"/>
      <c r="OB168" s="456"/>
      <c r="OC168" s="456"/>
      <c r="OD168" s="456"/>
      <c r="OE168" s="456"/>
      <c r="OF168" s="456"/>
      <c r="OG168" s="456"/>
      <c r="OH168" s="456"/>
      <c r="OI168" s="456"/>
      <c r="OJ168" s="456"/>
      <c r="OK168" s="456"/>
      <c r="OL168" s="456"/>
      <c r="OM168" s="456"/>
      <c r="ON168" s="456"/>
      <c r="OO168" s="456"/>
      <c r="OP168" s="456"/>
      <c r="OQ168" s="456"/>
      <c r="OR168" s="456"/>
      <c r="OS168" s="456"/>
      <c r="OT168" s="456"/>
      <c r="OU168" s="456"/>
      <c r="OV168" s="456"/>
      <c r="OW168" s="456"/>
      <c r="OX168" s="456"/>
      <c r="OY168" s="456"/>
      <c r="OZ168" s="456"/>
      <c r="PA168" s="456"/>
      <c r="PB168" s="456"/>
      <c r="PC168" s="456"/>
      <c r="PD168" s="456"/>
      <c r="PE168" s="456"/>
      <c r="PF168" s="456"/>
      <c r="PG168" s="456"/>
      <c r="PH168" s="456"/>
      <c r="PI168" s="456"/>
      <c r="PJ168" s="456"/>
      <c r="PK168" s="456"/>
      <c r="PL168" s="456"/>
      <c r="PM168" s="456"/>
      <c r="PN168" s="456"/>
      <c r="PO168" s="456"/>
      <c r="PP168" s="456"/>
      <c r="PQ168" s="456"/>
      <c r="PR168" s="456"/>
      <c r="PS168" s="456"/>
      <c r="PT168" s="456"/>
      <c r="PU168" s="456"/>
      <c r="PV168" s="456"/>
      <c r="PW168" s="456"/>
      <c r="PX168" s="456"/>
      <c r="PY168" s="456"/>
      <c r="PZ168" s="456"/>
      <c r="QA168" s="456"/>
      <c r="QB168" s="456"/>
      <c r="QC168" s="456"/>
      <c r="QD168" s="456"/>
      <c r="QE168" s="456"/>
      <c r="QF168" s="456"/>
      <c r="QG168" s="456"/>
      <c r="QH168" s="456"/>
      <c r="QI168" s="456"/>
      <c r="QJ168" s="456"/>
      <c r="QK168" s="456"/>
      <c r="QL168" s="456"/>
      <c r="QM168" s="456"/>
      <c r="QN168" s="456"/>
      <c r="QO168" s="456"/>
      <c r="QP168" s="456"/>
      <c r="QQ168" s="456"/>
      <c r="QR168" s="456"/>
      <c r="QS168" s="456"/>
      <c r="QT168" s="456"/>
      <c r="QU168" s="456"/>
      <c r="QV168" s="456"/>
      <c r="QW168" s="456"/>
      <c r="QX168" s="456"/>
      <c r="QY168" s="456"/>
      <c r="QZ168" s="456"/>
      <c r="RA168" s="456"/>
      <c r="RB168" s="456"/>
      <c r="RC168" s="456"/>
      <c r="RD168" s="456"/>
      <c r="RE168" s="456"/>
      <c r="RF168" s="456"/>
      <c r="RG168" s="456"/>
      <c r="RH168" s="456"/>
      <c r="RI168" s="456"/>
      <c r="RJ168" s="456"/>
      <c r="RK168" s="456"/>
      <c r="RL168" s="456"/>
      <c r="RM168" s="456"/>
      <c r="RN168" s="456"/>
      <c r="RO168" s="456"/>
      <c r="RP168" s="456"/>
      <c r="RQ168" s="456"/>
      <c r="RR168" s="456"/>
      <c r="RS168" s="456"/>
      <c r="RT168" s="456"/>
      <c r="RU168" s="456"/>
      <c r="RV168" s="456"/>
      <c r="RW168" s="456"/>
      <c r="RX168" s="456"/>
      <c r="RY168" s="456"/>
      <c r="RZ168" s="456"/>
      <c r="SA168" s="456"/>
      <c r="SB168" s="456"/>
      <c r="SC168" s="456"/>
      <c r="SD168" s="456"/>
      <c r="SE168" s="456"/>
      <c r="SF168" s="456"/>
      <c r="SG168" s="456"/>
      <c r="SH168" s="456"/>
      <c r="SI168" s="456"/>
      <c r="SJ168" s="456"/>
      <c r="SK168" s="456"/>
      <c r="SL168" s="456"/>
      <c r="SM168" s="456"/>
      <c r="SN168" s="456"/>
      <c r="SO168" s="456"/>
      <c r="SP168" s="456"/>
      <c r="SQ168" s="456"/>
      <c r="SR168" s="456"/>
      <c r="SS168" s="456"/>
      <c r="ST168" s="456"/>
      <c r="SU168" s="456"/>
      <c r="SV168" s="456"/>
      <c r="SW168" s="456"/>
      <c r="SX168" s="456"/>
      <c r="SY168" s="456"/>
      <c r="SZ168" s="456"/>
      <c r="TA168" s="456"/>
      <c r="TB168" s="456"/>
      <c r="TC168" s="456"/>
      <c r="TD168" s="456"/>
      <c r="TE168" s="456"/>
      <c r="TF168" s="456"/>
      <c r="TG168" s="456"/>
      <c r="TH168" s="456"/>
      <c r="TI168" s="456"/>
      <c r="TJ168" s="456"/>
      <c r="TK168" s="456"/>
      <c r="TL168" s="456"/>
      <c r="TM168" s="456"/>
      <c r="TN168" s="456"/>
      <c r="TO168" s="456"/>
      <c r="TP168" s="456"/>
      <c r="TQ168" s="456"/>
      <c r="TR168" s="456"/>
      <c r="TS168" s="456"/>
      <c r="TT168" s="456"/>
      <c r="TU168" s="456"/>
      <c r="TV168" s="456"/>
      <c r="TW168" s="456"/>
      <c r="TX168" s="456"/>
      <c r="TY168" s="456"/>
      <c r="TZ168" s="456"/>
      <c r="UA168" s="456"/>
      <c r="UB168" s="456"/>
      <c r="UC168" s="456"/>
      <c r="UD168" s="456"/>
      <c r="UE168" s="456"/>
      <c r="UF168" s="456"/>
      <c r="UG168" s="456"/>
      <c r="UH168" s="456"/>
      <c r="UI168" s="456"/>
      <c r="UJ168" s="456"/>
      <c r="UK168" s="456"/>
      <c r="UL168" s="456"/>
      <c r="UM168" s="456"/>
      <c r="UN168" s="456"/>
      <c r="UO168" s="456"/>
      <c r="UP168" s="456"/>
      <c r="UQ168" s="456"/>
      <c r="UR168" s="456"/>
      <c r="US168" s="456"/>
      <c r="UT168" s="456"/>
      <c r="UU168" s="456"/>
      <c r="UV168" s="456"/>
      <c r="UW168" s="456"/>
      <c r="UX168" s="456"/>
      <c r="UY168" s="456"/>
      <c r="UZ168" s="456"/>
      <c r="VA168" s="456"/>
      <c r="VB168" s="456"/>
      <c r="VC168" s="456"/>
      <c r="VD168" s="456"/>
      <c r="VE168" s="456"/>
      <c r="VF168" s="456"/>
      <c r="VG168" s="456"/>
      <c r="VH168" s="456"/>
      <c r="VI168" s="456"/>
      <c r="VJ168" s="456"/>
      <c r="VK168" s="456"/>
      <c r="VL168" s="456"/>
      <c r="VM168" s="456"/>
      <c r="VN168" s="456"/>
      <c r="VO168" s="456"/>
      <c r="VP168" s="456"/>
      <c r="VQ168" s="456"/>
      <c r="VR168" s="456"/>
      <c r="VS168" s="456"/>
      <c r="VT168" s="456"/>
      <c r="VU168" s="456"/>
      <c r="VV168" s="456"/>
      <c r="VW168" s="456"/>
      <c r="VX168" s="456"/>
      <c r="VY168" s="456"/>
      <c r="VZ168" s="456"/>
      <c r="WA168" s="456"/>
      <c r="WB168" s="456"/>
      <c r="WC168" s="456"/>
      <c r="WD168" s="456"/>
      <c r="WE168" s="456"/>
      <c r="WF168" s="456"/>
      <c r="WG168" s="456"/>
      <c r="WH168" s="456"/>
      <c r="WI168" s="456"/>
      <c r="WJ168" s="456"/>
      <c r="WK168" s="456"/>
      <c r="WL168" s="456"/>
      <c r="WM168" s="456"/>
      <c r="WN168" s="456"/>
      <c r="WO168" s="456"/>
      <c r="WP168" s="456"/>
      <c r="WQ168" s="456"/>
      <c r="WR168" s="456"/>
      <c r="WS168" s="456"/>
      <c r="WT168" s="456"/>
      <c r="WU168" s="456"/>
      <c r="WV168" s="456"/>
      <c r="WW168" s="456"/>
      <c r="WX168" s="456"/>
      <c r="WY168" s="456"/>
      <c r="WZ168" s="456"/>
      <c r="XA168" s="456"/>
      <c r="XB168" s="456"/>
      <c r="XC168" s="456"/>
      <c r="XD168" s="456"/>
      <c r="XE168" s="456"/>
      <c r="XF168" s="456"/>
      <c r="XG168" s="456"/>
      <c r="XH168" s="456"/>
      <c r="XI168" s="456"/>
      <c r="XJ168" s="456"/>
      <c r="XK168" s="456"/>
      <c r="XL168" s="456"/>
      <c r="XM168" s="456"/>
      <c r="XN168" s="456"/>
      <c r="XO168" s="456"/>
      <c r="XP168" s="456"/>
      <c r="XQ168" s="456"/>
      <c r="XR168" s="456"/>
      <c r="XS168" s="456"/>
      <c r="XT168" s="456"/>
      <c r="XU168" s="456"/>
      <c r="XV168" s="456"/>
      <c r="XW168" s="456"/>
      <c r="XX168" s="456"/>
      <c r="XY168" s="456"/>
      <c r="XZ168" s="456"/>
      <c r="YA168" s="456"/>
      <c r="YB168" s="456"/>
      <c r="YC168" s="456"/>
      <c r="YD168" s="456"/>
      <c r="YE168" s="456"/>
      <c r="YF168" s="456"/>
      <c r="YG168" s="456"/>
      <c r="YH168" s="456"/>
      <c r="YI168" s="456"/>
      <c r="YJ168" s="456"/>
      <c r="YK168" s="456"/>
      <c r="YL168" s="456"/>
      <c r="YM168" s="456"/>
      <c r="YN168" s="456"/>
      <c r="YO168" s="456"/>
      <c r="YP168" s="456"/>
      <c r="YQ168" s="456"/>
      <c r="YR168" s="456"/>
      <c r="YS168" s="456"/>
      <c r="YT168" s="456"/>
      <c r="YU168" s="456"/>
      <c r="YV168" s="456"/>
      <c r="YW168" s="456"/>
      <c r="YX168" s="456"/>
      <c r="YY168" s="456"/>
      <c r="YZ168" s="456"/>
      <c r="ZA168" s="456"/>
      <c r="ZB168" s="456"/>
      <c r="ZC168" s="456"/>
      <c r="ZD168" s="456"/>
      <c r="ZE168" s="456"/>
      <c r="ZF168" s="456"/>
      <c r="ZG168" s="456"/>
      <c r="ZH168" s="456"/>
      <c r="ZI168" s="456"/>
      <c r="ZJ168" s="456"/>
      <c r="ZK168" s="456"/>
      <c r="ZL168" s="456"/>
      <c r="ZM168" s="456"/>
      <c r="ZN168" s="456"/>
      <c r="ZO168" s="456"/>
      <c r="ZP168" s="456"/>
      <c r="ZQ168" s="456"/>
      <c r="ZR168" s="456"/>
      <c r="ZS168" s="456"/>
      <c r="ZT168" s="456"/>
      <c r="ZU168" s="456"/>
      <c r="ZV168" s="456"/>
      <c r="ZW168" s="456"/>
      <c r="ZX168" s="456"/>
      <c r="ZY168" s="456"/>
      <c r="ZZ168" s="456"/>
      <c r="AAA168" s="456"/>
      <c r="AAB168" s="456"/>
      <c r="AAC168" s="456"/>
      <c r="AAD168" s="456"/>
      <c r="AAE168" s="456"/>
      <c r="AAF168" s="456"/>
      <c r="AAG168" s="456"/>
      <c r="AAH168" s="456"/>
      <c r="AAI168" s="456"/>
      <c r="AAJ168" s="456"/>
      <c r="AAK168" s="456"/>
      <c r="AAL168" s="456"/>
      <c r="AAM168" s="456"/>
      <c r="AAN168" s="456"/>
      <c r="AAO168" s="456"/>
      <c r="AAP168" s="456"/>
      <c r="AAQ168" s="456"/>
      <c r="AAR168" s="456"/>
      <c r="AAS168" s="456"/>
      <c r="AAT168" s="456"/>
      <c r="AAU168" s="456"/>
      <c r="AAV168" s="456"/>
      <c r="AAW168" s="456"/>
      <c r="AAX168" s="456"/>
      <c r="AAY168" s="456"/>
      <c r="AAZ168" s="456"/>
      <c r="ABA168" s="456"/>
      <c r="ABB168" s="456"/>
      <c r="ABC168" s="456"/>
      <c r="ABD168" s="456"/>
      <c r="ABE168" s="456"/>
      <c r="ABF168" s="456"/>
      <c r="ABG168" s="456"/>
      <c r="ABH168" s="456"/>
      <c r="ABI168" s="456"/>
      <c r="ABJ168" s="456"/>
      <c r="ABK168" s="456"/>
      <c r="ABL168" s="456"/>
      <c r="ABM168" s="456"/>
      <c r="ABN168" s="456"/>
      <c r="ABO168" s="456"/>
      <c r="ABP168" s="456"/>
      <c r="ABQ168" s="456"/>
      <c r="ABR168" s="456"/>
      <c r="ABS168" s="456"/>
      <c r="ABT168" s="456"/>
      <c r="ABU168" s="456"/>
      <c r="ABV168" s="456"/>
      <c r="ABW168" s="456"/>
      <c r="ABX168" s="456"/>
      <c r="ABY168" s="456"/>
      <c r="ABZ168" s="456"/>
      <c r="ACA168" s="456"/>
      <c r="ACB168" s="456"/>
      <c r="ACC168" s="456"/>
      <c r="ACD168" s="456"/>
      <c r="ACE168" s="456"/>
      <c r="ACF168" s="456"/>
      <c r="ACG168" s="456"/>
      <c r="ACH168" s="456"/>
      <c r="ACI168" s="456"/>
      <c r="ACJ168" s="456"/>
      <c r="ACK168" s="456"/>
      <c r="ACL168" s="456"/>
      <c r="ACM168" s="456"/>
      <c r="ACN168" s="456"/>
      <c r="ACO168" s="456"/>
      <c r="ACP168" s="456"/>
      <c r="ACQ168" s="456"/>
      <c r="ACR168" s="456"/>
      <c r="ACS168" s="456"/>
      <c r="ACT168" s="456"/>
      <c r="ACU168" s="456"/>
      <c r="ACV168" s="456"/>
      <c r="ACW168" s="456"/>
      <c r="ACX168" s="456"/>
      <c r="ACY168" s="456"/>
      <c r="ACZ168" s="456"/>
      <c r="ADA168" s="456"/>
      <c r="ADB168" s="456"/>
      <c r="ADC168" s="456"/>
      <c r="ADD168" s="456"/>
      <c r="ADE168" s="456"/>
      <c r="ADF168" s="456"/>
      <c r="ADG168" s="456"/>
      <c r="ADH168" s="456"/>
      <c r="ADI168" s="456"/>
      <c r="ADJ168" s="456"/>
      <c r="ADK168" s="456"/>
      <c r="ADL168" s="456"/>
      <c r="ADM168" s="456"/>
      <c r="ADN168" s="456"/>
      <c r="ADO168" s="456"/>
      <c r="ADP168" s="456"/>
      <c r="ADQ168" s="456"/>
      <c r="ADR168" s="456"/>
      <c r="ADS168" s="456"/>
      <c r="ADT168" s="456"/>
      <c r="ADU168" s="456"/>
      <c r="ADV168" s="456"/>
      <c r="ADW168" s="456"/>
      <c r="ADX168" s="456"/>
      <c r="ADY168" s="456"/>
      <c r="ADZ168" s="456"/>
      <c r="AEA168" s="456"/>
      <c r="AEB168" s="456"/>
      <c r="AEC168" s="456"/>
      <c r="AED168" s="456"/>
      <c r="AEE168" s="456"/>
      <c r="AEF168" s="456"/>
      <c r="AEG168" s="456"/>
      <c r="AEH168" s="456"/>
      <c r="AEI168" s="456"/>
      <c r="AEJ168" s="456"/>
      <c r="AEK168" s="456"/>
      <c r="AEL168" s="456"/>
      <c r="AEM168" s="456"/>
      <c r="AEN168" s="456"/>
      <c r="AEO168" s="456"/>
      <c r="AEP168" s="456"/>
      <c r="AEQ168" s="456"/>
      <c r="AER168" s="456"/>
      <c r="AES168" s="456"/>
      <c r="AET168" s="456"/>
      <c r="AEU168" s="456"/>
      <c r="AEV168" s="456"/>
      <c r="AEW168" s="456"/>
      <c r="AEX168" s="456"/>
      <c r="AEY168" s="456"/>
      <c r="AEZ168" s="456"/>
      <c r="AFA168" s="456"/>
      <c r="AFB168" s="456"/>
      <c r="AFC168" s="456"/>
      <c r="AFD168" s="456"/>
      <c r="AFE168" s="456"/>
      <c r="AFF168" s="456"/>
      <c r="AFG168" s="456"/>
      <c r="AFH168" s="456"/>
      <c r="AFI168" s="456"/>
      <c r="AFJ168" s="456"/>
      <c r="AFK168" s="456"/>
      <c r="AFL168" s="456"/>
      <c r="AFM168" s="456"/>
      <c r="AFN168" s="456"/>
      <c r="AFO168" s="456"/>
      <c r="AFP168" s="456"/>
      <c r="AFQ168" s="456"/>
      <c r="AFR168" s="456"/>
      <c r="AFS168" s="456"/>
      <c r="AFT168" s="456"/>
      <c r="AFU168" s="456"/>
      <c r="AFV168" s="456"/>
      <c r="AFW168" s="456"/>
      <c r="AFX168" s="456"/>
      <c r="AFY168" s="456"/>
      <c r="AFZ168" s="456"/>
      <c r="AGA168" s="456"/>
      <c r="AGB168" s="456"/>
      <c r="AGC168" s="456"/>
      <c r="AGD168" s="456"/>
      <c r="AGE168" s="456"/>
      <c r="AGF168" s="456"/>
      <c r="AGG168" s="456"/>
      <c r="AGH168" s="456"/>
      <c r="AGI168" s="456"/>
      <c r="AGJ168" s="456"/>
      <c r="AGK168" s="456"/>
      <c r="AGL168" s="456"/>
      <c r="AGM168" s="456"/>
      <c r="AGN168" s="456"/>
      <c r="AGO168" s="456"/>
      <c r="AGP168" s="456"/>
      <c r="AGQ168" s="456"/>
      <c r="AGR168" s="456"/>
      <c r="AGS168" s="456"/>
      <c r="AGT168" s="456"/>
      <c r="AGU168" s="456"/>
      <c r="AGV168" s="456"/>
      <c r="AGW168" s="456"/>
      <c r="AGX168" s="456"/>
      <c r="AGY168" s="456"/>
      <c r="AGZ168" s="456"/>
      <c r="AHA168" s="456"/>
      <c r="AHB168" s="456"/>
      <c r="AHC168" s="456"/>
      <c r="AHD168" s="456"/>
      <c r="AHE168" s="456"/>
      <c r="AHF168" s="456"/>
      <c r="AHG168" s="456"/>
      <c r="AHH168" s="456"/>
      <c r="AHI168" s="456"/>
      <c r="AHJ168" s="456"/>
      <c r="AHK168" s="456"/>
      <c r="AHL168" s="456"/>
      <c r="AHM168" s="456"/>
      <c r="AHN168" s="456"/>
      <c r="AHO168" s="456"/>
      <c r="AHP168" s="456"/>
      <c r="AHQ168" s="456"/>
      <c r="AHR168" s="456"/>
      <c r="AHS168" s="456"/>
      <c r="AHT168" s="456"/>
      <c r="AHU168" s="456"/>
      <c r="AHV168" s="456"/>
      <c r="AHW168" s="456"/>
      <c r="AHX168" s="456"/>
      <c r="AHY168" s="456"/>
      <c r="AHZ168" s="456"/>
      <c r="AIA168" s="456"/>
      <c r="AIB168" s="456"/>
      <c r="AIC168" s="456"/>
      <c r="AID168" s="456"/>
      <c r="AIE168" s="456"/>
      <c r="AIF168" s="456"/>
      <c r="AIG168" s="456"/>
      <c r="AIH168" s="456"/>
      <c r="AII168" s="456"/>
      <c r="AIJ168" s="456"/>
      <c r="AIK168" s="456"/>
      <c r="AIL168" s="456"/>
      <c r="AIM168" s="456"/>
      <c r="AIN168" s="456"/>
      <c r="AIO168" s="456"/>
      <c r="AIP168" s="456"/>
      <c r="AIQ168" s="456"/>
      <c r="AIR168" s="456"/>
      <c r="AIS168" s="456"/>
      <c r="AIT168" s="456"/>
      <c r="AIU168" s="456"/>
      <c r="AIV168" s="456"/>
      <c r="AIW168" s="456"/>
      <c r="AIX168" s="456"/>
      <c r="AIY168" s="456"/>
      <c r="AIZ168" s="456"/>
      <c r="AJA168" s="456"/>
      <c r="AJB168" s="456"/>
      <c r="AJC168" s="456"/>
      <c r="AJD168" s="456"/>
      <c r="AJE168" s="456"/>
      <c r="AJF168" s="456"/>
      <c r="AJG168" s="456"/>
      <c r="AJH168" s="456"/>
      <c r="AJI168" s="456"/>
      <c r="AJJ168" s="456"/>
      <c r="AJK168" s="456"/>
      <c r="AJL168" s="456"/>
      <c r="AJM168" s="456"/>
      <c r="AJN168" s="456"/>
      <c r="AJO168" s="456"/>
      <c r="AJP168" s="456"/>
      <c r="AJQ168" s="456"/>
      <c r="AJR168" s="456"/>
      <c r="AJS168" s="456"/>
      <c r="AJT168" s="456"/>
      <c r="AJU168" s="456"/>
      <c r="AJV168" s="456"/>
      <c r="AJW168" s="456"/>
      <c r="AJX168" s="456"/>
      <c r="AJY168" s="456"/>
      <c r="AJZ168" s="456"/>
      <c r="AKA168" s="456"/>
      <c r="AKB168" s="456"/>
      <c r="AKC168" s="456"/>
      <c r="AKD168" s="456"/>
      <c r="AKE168" s="456"/>
      <c r="AKF168" s="456"/>
      <c r="AKG168" s="456"/>
      <c r="AKH168" s="456"/>
      <c r="AKI168" s="456"/>
      <c r="AKJ168" s="456"/>
      <c r="AKK168" s="456"/>
      <c r="AKL168" s="456"/>
      <c r="AKM168" s="456"/>
      <c r="AKN168" s="456"/>
      <c r="AKO168" s="456"/>
      <c r="AKP168" s="456"/>
      <c r="AKQ168" s="456"/>
      <c r="AKR168" s="456"/>
      <c r="AKS168" s="456"/>
      <c r="AKT168" s="456"/>
      <c r="AKU168" s="456"/>
      <c r="AKV168" s="456"/>
      <c r="AKW168" s="456"/>
      <c r="AKX168" s="456"/>
      <c r="AKY168" s="456"/>
      <c r="AKZ168" s="456"/>
      <c r="ALA168" s="456"/>
      <c r="ALB168" s="456"/>
      <c r="ALC168" s="456"/>
      <c r="ALD168" s="456"/>
      <c r="ALE168" s="456"/>
      <c r="ALF168" s="456"/>
      <c r="ALG168" s="456"/>
      <c r="ALH168" s="456"/>
      <c r="ALI168" s="456"/>
      <c r="ALJ168" s="456"/>
      <c r="ALK168" s="456"/>
      <c r="ALL168" s="456"/>
      <c r="ALM168" s="456"/>
      <c r="ALN168" s="456"/>
      <c r="ALO168" s="456"/>
      <c r="ALP168" s="456"/>
      <c r="ALQ168" s="456"/>
      <c r="ALR168" s="456"/>
      <c r="ALS168" s="456"/>
      <c r="ALT168" s="456"/>
      <c r="ALU168" s="456"/>
      <c r="ALV168" s="456"/>
      <c r="ALW168" s="456"/>
      <c r="ALX168" s="456"/>
      <c r="ALY168" s="456"/>
      <c r="ALZ168" s="456"/>
      <c r="AMA168" s="456"/>
      <c r="AMB168" s="456"/>
      <c r="AMC168" s="456"/>
      <c r="AMD168" s="456"/>
      <c r="AME168" s="456"/>
      <c r="AMF168" s="456"/>
      <c r="AMG168" s="456"/>
      <c r="AMH168" s="456"/>
      <c r="AMI168" s="456"/>
      <c r="AMJ168" s="456"/>
      <c r="AMK168" s="456"/>
      <c r="AML168" s="456"/>
      <c r="AMM168" s="456"/>
      <c r="AMN168" s="456"/>
      <c r="AMO168" s="456"/>
      <c r="AMP168" s="456"/>
      <c r="AMQ168" s="456"/>
      <c r="AMR168" s="456"/>
      <c r="AMS168" s="456"/>
      <c r="AMT168" s="456"/>
      <c r="AMU168" s="456"/>
      <c r="AMV168" s="456"/>
      <c r="AMW168" s="456"/>
      <c r="AMX168" s="456"/>
      <c r="AMY168" s="456"/>
      <c r="AMZ168" s="456"/>
      <c r="ANA168" s="456"/>
      <c r="ANB168" s="456"/>
      <c r="ANC168" s="456"/>
      <c r="AND168" s="456"/>
      <c r="ANE168" s="456"/>
      <c r="ANF168" s="456"/>
      <c r="ANG168" s="456"/>
      <c r="ANH168" s="456"/>
      <c r="ANI168" s="456"/>
      <c r="ANJ168" s="456"/>
      <c r="ANK168" s="456"/>
      <c r="ANL168" s="456"/>
      <c r="ANM168" s="456"/>
      <c r="ANN168" s="456"/>
      <c r="ANO168" s="456"/>
      <c r="ANP168" s="456"/>
      <c r="ANQ168" s="456"/>
      <c r="ANR168" s="456"/>
      <c r="ANS168" s="456"/>
      <c r="ANT168" s="456"/>
      <c r="ANU168" s="456"/>
      <c r="ANV168" s="456"/>
      <c r="ANW168" s="456"/>
      <c r="ANX168" s="456"/>
      <c r="ANY168" s="456"/>
      <c r="ANZ168" s="456"/>
      <c r="AOA168" s="456"/>
      <c r="AOB168" s="456"/>
      <c r="AOC168" s="456"/>
      <c r="AOD168" s="456"/>
      <c r="AOE168" s="456"/>
      <c r="AOF168" s="456"/>
      <c r="AOG168" s="456"/>
      <c r="AOH168" s="456"/>
      <c r="AOI168" s="456"/>
      <c r="AOJ168" s="456"/>
      <c r="AOK168" s="456"/>
      <c r="AOL168" s="456"/>
      <c r="AOM168" s="456"/>
      <c r="AON168" s="456"/>
      <c r="AOO168" s="456"/>
      <c r="AOP168" s="456"/>
      <c r="AOQ168" s="456"/>
      <c r="AOR168" s="456"/>
      <c r="AOS168" s="456"/>
      <c r="AOT168" s="456"/>
      <c r="AOU168" s="456"/>
      <c r="AOV168" s="456"/>
      <c r="AOW168" s="456"/>
      <c r="AOX168" s="456"/>
      <c r="AOY168" s="456"/>
      <c r="AOZ168" s="456"/>
      <c r="APA168" s="456"/>
      <c r="APB168" s="456"/>
      <c r="APC168" s="456"/>
      <c r="APD168" s="456"/>
      <c r="APE168" s="456"/>
      <c r="APF168" s="456"/>
      <c r="APG168" s="456"/>
      <c r="APH168" s="456"/>
      <c r="API168" s="456"/>
      <c r="APJ168" s="456"/>
      <c r="APK168" s="456"/>
      <c r="APL168" s="456"/>
      <c r="APM168" s="456"/>
      <c r="APN168" s="456"/>
      <c r="APO168" s="456"/>
      <c r="APP168" s="456"/>
      <c r="APQ168" s="456"/>
      <c r="APR168" s="456"/>
      <c r="APS168" s="456"/>
      <c r="APT168" s="456"/>
      <c r="APU168" s="456"/>
      <c r="APV168" s="456"/>
      <c r="APW168" s="456"/>
      <c r="APX168" s="456"/>
      <c r="APY168" s="456"/>
      <c r="APZ168" s="456"/>
      <c r="AQA168" s="456"/>
      <c r="AQB168" s="456"/>
      <c r="AQC168" s="456"/>
      <c r="AQD168" s="456"/>
      <c r="AQE168" s="456"/>
      <c r="AQF168" s="456"/>
      <c r="AQG168" s="456"/>
      <c r="AQH168" s="456"/>
      <c r="AQI168" s="456"/>
      <c r="AQJ168" s="456"/>
      <c r="AQK168" s="456"/>
      <c r="AQL168" s="456"/>
      <c r="AQM168" s="456"/>
      <c r="AQN168" s="456"/>
      <c r="AQO168" s="456"/>
      <c r="AQP168" s="456"/>
      <c r="AQQ168" s="456"/>
      <c r="AQR168" s="456"/>
      <c r="AQS168" s="456"/>
      <c r="AQT168" s="456"/>
      <c r="AQU168" s="456"/>
      <c r="AQV168" s="456"/>
      <c r="AQW168" s="456"/>
      <c r="AQX168" s="456"/>
      <c r="AQY168" s="456"/>
      <c r="AQZ168" s="456"/>
      <c r="ARA168" s="456"/>
      <c r="ARB168" s="456"/>
      <c r="ARC168" s="456"/>
      <c r="ARD168" s="456"/>
      <c r="ARE168" s="456"/>
      <c r="ARF168" s="456"/>
      <c r="ARG168" s="456"/>
      <c r="ARH168" s="456"/>
      <c r="ARI168" s="456"/>
      <c r="ARJ168" s="456"/>
      <c r="ARK168" s="456"/>
      <c r="ARL168" s="456"/>
      <c r="ARM168" s="456"/>
      <c r="ARN168" s="456"/>
      <c r="ARO168" s="456"/>
      <c r="ARP168" s="456"/>
      <c r="ARQ168" s="456"/>
      <c r="ARR168" s="456"/>
      <c r="ARS168" s="456"/>
      <c r="ART168" s="456"/>
      <c r="ARU168" s="456"/>
      <c r="ARV168" s="456"/>
      <c r="ARW168" s="456"/>
      <c r="ARX168" s="456"/>
      <c r="ARY168" s="456"/>
      <c r="ARZ168" s="456"/>
      <c r="ASA168" s="456"/>
      <c r="ASB168" s="456"/>
      <c r="ASC168" s="456"/>
      <c r="ASD168" s="456"/>
      <c r="ASE168" s="456"/>
      <c r="ASF168" s="456"/>
      <c r="ASG168" s="456"/>
      <c r="ASH168" s="456"/>
      <c r="ASI168" s="456"/>
      <c r="ASJ168" s="456"/>
      <c r="ASK168" s="456"/>
      <c r="ASL168" s="456"/>
      <c r="ASM168" s="456"/>
      <c r="ASN168" s="456"/>
      <c r="ASO168" s="456"/>
      <c r="ASP168" s="456"/>
      <c r="ASQ168" s="456"/>
      <c r="ASR168" s="456"/>
      <c r="ASS168" s="456"/>
      <c r="AST168" s="456"/>
      <c r="ASU168" s="456"/>
      <c r="ASV168" s="456"/>
      <c r="ASW168" s="456"/>
      <c r="ASX168" s="456"/>
      <c r="ASY168" s="456"/>
      <c r="ASZ168" s="456"/>
      <c r="ATA168" s="456"/>
      <c r="ATB168" s="456"/>
      <c r="ATC168" s="456"/>
      <c r="ATD168" s="456"/>
      <c r="ATE168" s="456"/>
      <c r="ATF168" s="456"/>
      <c r="ATG168" s="456"/>
      <c r="ATH168" s="456"/>
      <c r="ATI168" s="456"/>
      <c r="ATJ168" s="456"/>
      <c r="ATK168" s="456"/>
      <c r="ATL168" s="456"/>
      <c r="ATM168" s="456"/>
      <c r="ATN168" s="456"/>
      <c r="ATO168" s="456"/>
      <c r="ATP168" s="456"/>
      <c r="ATQ168" s="456"/>
      <c r="ATR168" s="456"/>
      <c r="ATS168" s="456"/>
      <c r="ATT168" s="456"/>
      <c r="ATU168" s="456"/>
      <c r="ATV168" s="456"/>
      <c r="ATW168" s="456"/>
      <c r="ATX168" s="456"/>
      <c r="ATY168" s="456"/>
      <c r="ATZ168" s="456"/>
      <c r="AUA168" s="456"/>
      <c r="AUB168" s="456"/>
      <c r="AUC168" s="456"/>
      <c r="AUD168" s="456"/>
      <c r="AUE168" s="456"/>
      <c r="AUF168" s="456"/>
      <c r="AUG168" s="456"/>
      <c r="AUH168" s="456"/>
      <c r="AUI168" s="456"/>
      <c r="AUJ168" s="456"/>
      <c r="AUK168" s="456"/>
      <c r="AUL168" s="456"/>
      <c r="AUM168" s="456"/>
      <c r="AUN168" s="456"/>
      <c r="AUO168" s="456"/>
      <c r="AUP168" s="456"/>
      <c r="AUQ168" s="456"/>
      <c r="AUR168" s="456"/>
      <c r="AUS168" s="456"/>
      <c r="AUT168" s="456"/>
      <c r="AUU168" s="456"/>
      <c r="AUV168" s="456"/>
      <c r="AUW168" s="456"/>
      <c r="AUX168" s="456"/>
      <c r="AUY168" s="456"/>
      <c r="AUZ168" s="456"/>
      <c r="AVA168" s="456"/>
      <c r="AVB168" s="456"/>
      <c r="AVC168" s="456"/>
      <c r="AVD168" s="456"/>
      <c r="AVE168" s="456"/>
      <c r="AVF168" s="456"/>
      <c r="AVG168" s="456"/>
      <c r="AVH168" s="456"/>
      <c r="AVI168" s="456"/>
      <c r="AVJ168" s="456"/>
      <c r="AVK168" s="456"/>
      <c r="AVL168" s="456"/>
      <c r="AVM168" s="456"/>
      <c r="AVN168" s="456"/>
      <c r="AVO168" s="456"/>
      <c r="AVP168" s="456"/>
      <c r="AVQ168" s="456"/>
      <c r="AVR168" s="456"/>
      <c r="AVS168" s="456"/>
      <c r="AVT168" s="456"/>
      <c r="AVU168" s="456"/>
      <c r="AVV168" s="456"/>
      <c r="AVW168" s="456"/>
      <c r="AVX168" s="456"/>
      <c r="AVY168" s="456"/>
      <c r="AVZ168" s="456"/>
      <c r="AWA168" s="456"/>
      <c r="AWB168" s="456"/>
      <c r="AWC168" s="456"/>
      <c r="AWD168" s="456"/>
      <c r="AWE168" s="456"/>
      <c r="AWF168" s="456"/>
      <c r="AWG168" s="456"/>
      <c r="AWH168" s="456"/>
      <c r="AWI168" s="456"/>
      <c r="AWJ168" s="456"/>
      <c r="AWK168" s="456"/>
      <c r="AWL168" s="456"/>
      <c r="AWM168" s="456"/>
      <c r="AWN168" s="456"/>
      <c r="AWO168" s="456"/>
      <c r="AWP168" s="456"/>
      <c r="AWQ168" s="456"/>
      <c r="AWR168" s="456"/>
      <c r="AWS168" s="456"/>
      <c r="AWT168" s="456"/>
      <c r="AWU168" s="456"/>
      <c r="AWV168" s="456"/>
      <c r="AWW168" s="456"/>
      <c r="AWX168" s="456"/>
      <c r="AWY168" s="456"/>
      <c r="AWZ168" s="456"/>
      <c r="AXA168" s="456"/>
      <c r="AXB168" s="456"/>
      <c r="AXC168" s="456"/>
      <c r="AXD168" s="456"/>
      <c r="AXE168" s="456"/>
      <c r="AXF168" s="456"/>
      <c r="AXG168" s="456"/>
      <c r="AXH168" s="456"/>
      <c r="AXI168" s="456"/>
      <c r="AXJ168" s="456"/>
      <c r="AXK168" s="456"/>
      <c r="AXL168" s="456"/>
      <c r="AXM168" s="456"/>
      <c r="AXN168" s="456"/>
      <c r="AXO168" s="456"/>
      <c r="AXP168" s="456"/>
      <c r="AXQ168" s="456"/>
      <c r="AXR168" s="456"/>
      <c r="AXS168" s="456"/>
      <c r="AXT168" s="456"/>
      <c r="AXU168" s="456"/>
      <c r="AXV168" s="456"/>
      <c r="AXW168" s="456"/>
      <c r="AXX168" s="456"/>
      <c r="AXY168" s="456"/>
      <c r="AXZ168" s="456"/>
      <c r="AYA168" s="456"/>
      <c r="AYB168" s="456"/>
      <c r="AYC168" s="456"/>
      <c r="AYD168" s="456"/>
      <c r="AYE168" s="456"/>
      <c r="AYF168" s="456"/>
      <c r="AYG168" s="456"/>
      <c r="AYH168" s="456"/>
      <c r="AYI168" s="456"/>
      <c r="AYJ168" s="456"/>
      <c r="AYK168" s="456"/>
      <c r="AYL168" s="456"/>
      <c r="AYM168" s="456"/>
      <c r="AYN168" s="456"/>
      <c r="AYO168" s="456"/>
      <c r="AYP168" s="456"/>
      <c r="AYQ168" s="456"/>
      <c r="AYR168" s="456"/>
      <c r="AYS168" s="456"/>
      <c r="AYT168" s="456"/>
      <c r="AYU168" s="456"/>
      <c r="AYV168" s="456"/>
      <c r="AYW168" s="456"/>
      <c r="AYX168" s="456"/>
      <c r="AYY168" s="456"/>
      <c r="AYZ168" s="456"/>
      <c r="AZA168" s="456"/>
      <c r="AZB168" s="456"/>
      <c r="AZC168" s="456"/>
      <c r="AZD168" s="456"/>
      <c r="AZE168" s="456"/>
      <c r="AZF168" s="456"/>
      <c r="AZG168" s="456"/>
      <c r="AZH168" s="456"/>
      <c r="AZI168" s="456"/>
      <c r="AZJ168" s="456"/>
      <c r="AZK168" s="456"/>
      <c r="AZL168" s="456"/>
      <c r="AZM168" s="456"/>
      <c r="AZN168" s="456"/>
      <c r="AZO168" s="456"/>
      <c r="AZP168" s="456"/>
      <c r="AZQ168" s="456"/>
      <c r="AZR168" s="456"/>
      <c r="AZS168" s="456"/>
      <c r="AZT168" s="456"/>
      <c r="AZU168" s="456"/>
      <c r="AZV168" s="456"/>
      <c r="AZW168" s="456"/>
      <c r="AZX168" s="456"/>
      <c r="AZY168" s="456"/>
      <c r="AZZ168" s="456"/>
      <c r="BAA168" s="456"/>
      <c r="BAB168" s="456"/>
      <c r="BAC168" s="456"/>
      <c r="BAD168" s="456"/>
      <c r="BAE168" s="456"/>
      <c r="BAF168" s="456"/>
      <c r="BAG168" s="456"/>
      <c r="BAH168" s="456"/>
      <c r="BAI168" s="456"/>
      <c r="BAJ168" s="456"/>
      <c r="BAK168" s="456"/>
      <c r="BAL168" s="456"/>
      <c r="BAM168" s="456"/>
      <c r="BAN168" s="456"/>
      <c r="BAO168" s="456"/>
      <c r="BAP168" s="456"/>
      <c r="BAQ168" s="456"/>
      <c r="BAR168" s="456"/>
      <c r="BAS168" s="456"/>
      <c r="BAT168" s="456"/>
      <c r="BAU168" s="456"/>
      <c r="BAV168" s="456"/>
      <c r="BAW168" s="456"/>
      <c r="BAX168" s="456"/>
      <c r="BAY168" s="456"/>
      <c r="BAZ168" s="456"/>
      <c r="BBA168" s="456"/>
      <c r="BBB168" s="456"/>
      <c r="BBC168" s="456"/>
      <c r="BBD168" s="456"/>
      <c r="BBE168" s="456"/>
      <c r="BBF168" s="456"/>
      <c r="BBG168" s="456"/>
      <c r="BBH168" s="456"/>
      <c r="BBI168" s="456"/>
      <c r="BBJ168" s="456"/>
      <c r="BBK168" s="456"/>
      <c r="BBL168" s="456"/>
      <c r="BBM168" s="456"/>
      <c r="BBN168" s="456"/>
      <c r="BBO168" s="456"/>
      <c r="BBP168" s="456"/>
      <c r="BBQ168" s="456"/>
      <c r="BBR168" s="456"/>
      <c r="BBS168" s="456"/>
      <c r="BBT168" s="456"/>
      <c r="BBU168" s="456"/>
      <c r="BBV168" s="456"/>
      <c r="BBW168" s="456"/>
      <c r="BBX168" s="456"/>
      <c r="BBY168" s="456"/>
      <c r="BBZ168" s="456"/>
      <c r="BCA168" s="456"/>
      <c r="BCB168" s="456"/>
      <c r="BCC168" s="456"/>
      <c r="BCD168" s="456"/>
      <c r="BCE168" s="456"/>
      <c r="BCF168" s="456"/>
      <c r="BCG168" s="456"/>
      <c r="BCH168" s="456"/>
      <c r="BCI168" s="456"/>
      <c r="BCJ168" s="456"/>
      <c r="BCK168" s="456"/>
      <c r="BCL168" s="456"/>
      <c r="BCM168" s="456"/>
      <c r="BCN168" s="456"/>
      <c r="BCO168" s="456"/>
      <c r="BCP168" s="456"/>
      <c r="BCQ168" s="456"/>
      <c r="BCR168" s="456"/>
      <c r="BCS168" s="456"/>
      <c r="BCT168" s="456"/>
      <c r="BCU168" s="456"/>
      <c r="BCV168" s="456"/>
      <c r="BCW168" s="456"/>
      <c r="BCX168" s="456"/>
      <c r="BCY168" s="456"/>
      <c r="BCZ168" s="456"/>
      <c r="BDA168" s="456"/>
      <c r="BDB168" s="456"/>
      <c r="BDC168" s="456"/>
      <c r="BDD168" s="456"/>
      <c r="BDE168" s="456"/>
      <c r="BDF168" s="456"/>
      <c r="BDG168" s="456"/>
      <c r="BDH168" s="456"/>
      <c r="BDI168" s="456"/>
      <c r="BDJ168" s="456"/>
      <c r="BDK168" s="456"/>
      <c r="BDL168" s="456"/>
      <c r="BDM168" s="456"/>
      <c r="BDN168" s="456"/>
      <c r="BDO168" s="456"/>
      <c r="BDP168" s="456"/>
      <c r="BDQ168" s="456"/>
      <c r="BDR168" s="456"/>
      <c r="BDS168" s="456"/>
      <c r="BDT168" s="456"/>
      <c r="BDU168" s="456"/>
      <c r="BDV168" s="456"/>
      <c r="BDW168" s="456"/>
      <c r="BDX168" s="456"/>
      <c r="BDY168" s="456"/>
      <c r="BDZ168" s="456"/>
      <c r="BEA168" s="456"/>
      <c r="BEB168" s="456"/>
      <c r="BEC168" s="456"/>
      <c r="BED168" s="456"/>
      <c r="BEE168" s="456"/>
      <c r="BEF168" s="456"/>
      <c r="BEG168" s="456"/>
      <c r="BEH168" s="456"/>
      <c r="BEI168" s="456"/>
      <c r="BEJ168" s="456"/>
      <c r="BEK168" s="456"/>
      <c r="BEL168" s="456"/>
      <c r="BEM168" s="456"/>
      <c r="BEN168" s="456"/>
      <c r="BEO168" s="456"/>
      <c r="BEP168" s="456"/>
      <c r="BEQ168" s="456"/>
      <c r="BER168" s="456"/>
      <c r="BES168" s="456"/>
      <c r="BET168" s="456"/>
      <c r="BEU168" s="456"/>
      <c r="BEV168" s="456"/>
      <c r="BEW168" s="456"/>
      <c r="BEX168" s="456"/>
      <c r="BEY168" s="456"/>
      <c r="BEZ168" s="456"/>
      <c r="BFA168" s="456"/>
      <c r="BFB168" s="456"/>
      <c r="BFC168" s="456"/>
      <c r="BFD168" s="456"/>
      <c r="BFE168" s="456"/>
      <c r="BFF168" s="456"/>
      <c r="BFG168" s="456"/>
      <c r="BFH168" s="456"/>
      <c r="BFI168" s="456"/>
      <c r="BFJ168" s="456"/>
      <c r="BFK168" s="456"/>
      <c r="BFL168" s="456"/>
      <c r="BFM168" s="456"/>
      <c r="BFN168" s="456"/>
      <c r="BFO168" s="456"/>
      <c r="BFP168" s="456"/>
      <c r="BFQ168" s="456"/>
      <c r="BFR168" s="456"/>
      <c r="BFS168" s="456"/>
      <c r="BFT168" s="456"/>
      <c r="BFU168" s="456"/>
      <c r="BFV168" s="456"/>
      <c r="BFW168" s="456"/>
      <c r="BFX168" s="456"/>
      <c r="BFY168" s="456"/>
      <c r="BFZ168" s="456"/>
      <c r="BGA168" s="456"/>
      <c r="BGB168" s="456"/>
      <c r="BGC168" s="456"/>
      <c r="BGD168" s="456"/>
      <c r="BGE168" s="456"/>
      <c r="BGF168" s="456"/>
      <c r="BGG168" s="456"/>
      <c r="BGH168" s="456"/>
      <c r="BGI168" s="456"/>
      <c r="BGJ168" s="456"/>
      <c r="BGK168" s="456"/>
      <c r="BGL168" s="456"/>
      <c r="BGM168" s="456"/>
      <c r="BGN168" s="456"/>
      <c r="BGO168" s="456"/>
      <c r="BGP168" s="456"/>
      <c r="BGQ168" s="456"/>
      <c r="BGR168" s="456"/>
      <c r="BGS168" s="456"/>
      <c r="BGT168" s="456"/>
      <c r="BGU168" s="456"/>
      <c r="BGV168" s="456"/>
      <c r="BGW168" s="456"/>
      <c r="BGX168" s="456"/>
      <c r="BGY168" s="456"/>
      <c r="BGZ168" s="456"/>
      <c r="BHA168" s="456"/>
      <c r="BHB168" s="456"/>
      <c r="BHC168" s="456"/>
      <c r="BHD168" s="456"/>
      <c r="BHE168" s="456"/>
      <c r="BHF168" s="456"/>
      <c r="BHG168" s="456"/>
      <c r="BHH168" s="456"/>
      <c r="BHI168" s="456"/>
      <c r="BHJ168" s="456"/>
      <c r="BHK168" s="456"/>
      <c r="BHL168" s="456"/>
      <c r="BHM168" s="456"/>
      <c r="BHN168" s="456"/>
      <c r="BHO168" s="456"/>
      <c r="BHP168" s="456"/>
      <c r="BHQ168" s="456"/>
      <c r="BHR168" s="456"/>
      <c r="BHS168" s="456"/>
      <c r="BHT168" s="456"/>
      <c r="BHU168" s="456"/>
      <c r="BHV168" s="456"/>
      <c r="BHW168" s="456"/>
      <c r="BHX168" s="456"/>
      <c r="BHY168" s="456"/>
      <c r="BHZ168" s="456"/>
      <c r="BIA168" s="456"/>
      <c r="BIB168" s="456"/>
      <c r="BIC168" s="456"/>
      <c r="BID168" s="456"/>
      <c r="BIE168" s="456"/>
      <c r="BIF168" s="456"/>
      <c r="BIG168" s="456"/>
      <c r="BIH168" s="456"/>
      <c r="BII168" s="456"/>
      <c r="BIJ168" s="456"/>
      <c r="BIK168" s="456"/>
      <c r="BIL168" s="456"/>
      <c r="BIM168" s="456"/>
      <c r="BIN168" s="456"/>
      <c r="BIO168" s="456"/>
      <c r="BIP168" s="456"/>
      <c r="BIQ168" s="456"/>
      <c r="BIR168" s="456"/>
      <c r="BIS168" s="456"/>
      <c r="BIT168" s="456"/>
      <c r="BIU168" s="456"/>
      <c r="BIV168" s="456"/>
      <c r="BIW168" s="456"/>
      <c r="BIX168" s="456"/>
      <c r="BIY168" s="456"/>
      <c r="BIZ168" s="456"/>
      <c r="BJA168" s="456"/>
      <c r="BJB168" s="456"/>
      <c r="BJC168" s="456"/>
      <c r="BJD168" s="456"/>
      <c r="BJE168" s="456"/>
      <c r="BJF168" s="456"/>
      <c r="BJG168" s="456"/>
      <c r="BJH168" s="456"/>
      <c r="BJI168" s="456"/>
      <c r="BJJ168" s="456"/>
      <c r="BJK168" s="456"/>
      <c r="BJL168" s="456"/>
      <c r="BJM168" s="456"/>
      <c r="BJN168" s="456"/>
      <c r="BJO168" s="456"/>
      <c r="BJP168" s="456"/>
      <c r="BJQ168" s="456"/>
      <c r="BJR168" s="456"/>
      <c r="BJS168" s="456"/>
      <c r="BJT168" s="456"/>
      <c r="BJU168" s="456"/>
      <c r="BJV168" s="456"/>
      <c r="BJW168" s="456"/>
      <c r="BJX168" s="456"/>
      <c r="BJY168" s="456"/>
      <c r="BJZ168" s="456"/>
      <c r="BKA168" s="456"/>
      <c r="BKB168" s="456"/>
      <c r="BKC168" s="456"/>
      <c r="BKD168" s="456"/>
      <c r="BKE168" s="456"/>
      <c r="BKF168" s="456"/>
      <c r="BKG168" s="456"/>
      <c r="BKH168" s="456"/>
      <c r="BKI168" s="456"/>
      <c r="BKJ168" s="456"/>
      <c r="BKK168" s="456"/>
      <c r="BKL168" s="456"/>
      <c r="BKM168" s="456"/>
      <c r="BKN168" s="456"/>
      <c r="BKO168" s="456"/>
      <c r="BKP168" s="456"/>
      <c r="BKQ168" s="456"/>
      <c r="BKR168" s="456"/>
      <c r="BKS168" s="456"/>
      <c r="BKT168" s="456"/>
      <c r="BKU168" s="456"/>
      <c r="BKV168" s="456"/>
      <c r="BKW168" s="456"/>
      <c r="BKX168" s="456"/>
      <c r="BKY168" s="456"/>
      <c r="BKZ168" s="456"/>
      <c r="BLA168" s="456"/>
      <c r="BLB168" s="456"/>
      <c r="BLC168" s="456"/>
      <c r="BLD168" s="456"/>
      <c r="BLE168" s="456"/>
      <c r="BLF168" s="456"/>
      <c r="BLG168" s="456"/>
      <c r="BLH168" s="456"/>
      <c r="BLI168" s="456"/>
      <c r="BLJ168" s="456"/>
      <c r="BLK168" s="456"/>
      <c r="BLL168" s="456"/>
      <c r="BLM168" s="456"/>
      <c r="BLN168" s="456"/>
      <c r="BLO168" s="456"/>
      <c r="BLP168" s="456"/>
      <c r="BLQ168" s="456"/>
      <c r="BLR168" s="456"/>
      <c r="BLS168" s="456"/>
      <c r="BLT168" s="456"/>
      <c r="BLU168" s="456"/>
      <c r="BLV168" s="456"/>
      <c r="BLW168" s="456"/>
      <c r="BLX168" s="456"/>
      <c r="BLY168" s="456"/>
      <c r="BLZ168" s="456"/>
      <c r="BMA168" s="456"/>
      <c r="BMB168" s="456"/>
      <c r="BMC168" s="456"/>
      <c r="BMD168" s="456"/>
      <c r="BME168" s="456"/>
      <c r="BMF168" s="456"/>
      <c r="BMG168" s="456"/>
      <c r="BMH168" s="456"/>
      <c r="BMI168" s="456"/>
      <c r="BMJ168" s="456"/>
      <c r="BMK168" s="456"/>
      <c r="BML168" s="456"/>
      <c r="BMM168" s="456"/>
      <c r="BMN168" s="456"/>
      <c r="BMO168" s="456"/>
      <c r="BMP168" s="456"/>
      <c r="BMQ168" s="456"/>
      <c r="BMR168" s="456"/>
      <c r="BMS168" s="456"/>
      <c r="BMT168" s="456"/>
      <c r="BMU168" s="456"/>
      <c r="BMV168" s="456"/>
      <c r="BMW168" s="456"/>
      <c r="BMX168" s="456"/>
      <c r="BMY168" s="456"/>
      <c r="BMZ168" s="456"/>
      <c r="BNA168" s="456"/>
      <c r="BNB168" s="456"/>
      <c r="BNC168" s="456"/>
      <c r="BND168" s="456"/>
      <c r="BNE168" s="456"/>
      <c r="BNF168" s="456"/>
      <c r="BNG168" s="456"/>
      <c r="BNH168" s="456"/>
      <c r="BNI168" s="456"/>
      <c r="BNJ168" s="456"/>
      <c r="BNK168" s="456"/>
      <c r="BNL168" s="456"/>
      <c r="BNM168" s="456"/>
      <c r="BNN168" s="456"/>
      <c r="BNO168" s="456"/>
      <c r="BNP168" s="456"/>
      <c r="BNQ168" s="456"/>
      <c r="BNR168" s="456"/>
      <c r="BNS168" s="456"/>
      <c r="BNT168" s="456"/>
      <c r="BNU168" s="456"/>
      <c r="BNV168" s="456"/>
      <c r="BNW168" s="456"/>
      <c r="BNX168" s="456"/>
      <c r="BNY168" s="456"/>
      <c r="BNZ168" s="456"/>
      <c r="BOA168" s="456"/>
      <c r="BOB168" s="456"/>
      <c r="BOC168" s="456"/>
      <c r="BOD168" s="456"/>
      <c r="BOE168" s="456"/>
      <c r="BOF168" s="456"/>
      <c r="BOG168" s="456"/>
      <c r="BOH168" s="456"/>
      <c r="BOI168" s="456"/>
      <c r="BOJ168" s="456"/>
      <c r="BOK168" s="456"/>
      <c r="BOL168" s="456"/>
      <c r="BOM168" s="456"/>
      <c r="BON168" s="456"/>
      <c r="BOO168" s="456"/>
      <c r="BOP168" s="456"/>
      <c r="BOQ168" s="456"/>
      <c r="BOR168" s="456"/>
      <c r="BOS168" s="456"/>
      <c r="BOT168" s="456"/>
      <c r="BOU168" s="456"/>
      <c r="BOV168" s="456"/>
      <c r="BOW168" s="456"/>
      <c r="BOX168" s="456"/>
      <c r="BOY168" s="456"/>
      <c r="BOZ168" s="456"/>
      <c r="BPA168" s="456"/>
      <c r="BPB168" s="456"/>
      <c r="BPC168" s="456"/>
      <c r="BPD168" s="456"/>
      <c r="BPE168" s="456"/>
      <c r="BPF168" s="456"/>
      <c r="BPG168" s="456"/>
      <c r="BPH168" s="456"/>
      <c r="BPI168" s="456"/>
      <c r="BPJ168" s="456"/>
      <c r="BPK168" s="456"/>
      <c r="BPL168" s="456"/>
      <c r="BPM168" s="456"/>
      <c r="BPN168" s="456"/>
      <c r="BPO168" s="456"/>
      <c r="BPP168" s="456"/>
      <c r="BPQ168" s="456"/>
      <c r="BPR168" s="456"/>
      <c r="BPS168" s="456"/>
      <c r="BPT168" s="456"/>
      <c r="BPU168" s="456"/>
      <c r="BPV168" s="456"/>
      <c r="BPW168" s="456"/>
      <c r="BPX168" s="456"/>
      <c r="BPY168" s="456"/>
      <c r="BPZ168" s="456"/>
      <c r="BQA168" s="456"/>
      <c r="BQB168" s="456"/>
      <c r="BQC168" s="456"/>
      <c r="BQD168" s="456"/>
      <c r="BQE168" s="456"/>
      <c r="BQF168" s="456"/>
      <c r="BQG168" s="456"/>
      <c r="BQH168" s="456"/>
      <c r="BQI168" s="456"/>
      <c r="BQJ168" s="456"/>
      <c r="BQK168" s="456"/>
      <c r="BQL168" s="456"/>
      <c r="BQM168" s="456"/>
      <c r="BQN168" s="456"/>
      <c r="BQO168" s="456"/>
      <c r="BQP168" s="456"/>
      <c r="BQQ168" s="456"/>
      <c r="BQR168" s="456"/>
      <c r="BQS168" s="456"/>
      <c r="BQT168" s="456"/>
      <c r="BQU168" s="456"/>
      <c r="BQV168" s="456"/>
      <c r="BQW168" s="456"/>
      <c r="BQX168" s="456"/>
      <c r="BQY168" s="456"/>
      <c r="BQZ168" s="456"/>
      <c r="BRA168" s="456"/>
      <c r="BRB168" s="456"/>
      <c r="BRC168" s="456"/>
      <c r="BRD168" s="456"/>
      <c r="BRE168" s="456"/>
      <c r="BRF168" s="456"/>
      <c r="BRG168" s="456"/>
      <c r="BRH168" s="456"/>
      <c r="BRI168" s="456"/>
      <c r="BRJ168" s="456"/>
      <c r="BRK168" s="456"/>
      <c r="BRL168" s="456"/>
      <c r="BRM168" s="456"/>
      <c r="BRN168" s="456"/>
      <c r="BRO168" s="456"/>
      <c r="BRP168" s="456"/>
      <c r="BRQ168" s="456"/>
      <c r="BRR168" s="456"/>
      <c r="BRS168" s="456"/>
      <c r="BRT168" s="456"/>
      <c r="BRU168" s="456"/>
      <c r="BRV168" s="456"/>
      <c r="BRW168" s="456"/>
      <c r="BRX168" s="456"/>
      <c r="BRY168" s="456"/>
      <c r="BRZ168" s="456"/>
      <c r="BSA168" s="456"/>
      <c r="BSB168" s="456"/>
      <c r="BSC168" s="456"/>
      <c r="BSD168" s="456"/>
      <c r="BSE168" s="456"/>
      <c r="BSF168" s="456"/>
      <c r="BSG168" s="456"/>
      <c r="BSH168" s="456"/>
      <c r="BSI168" s="456"/>
      <c r="BSJ168" s="456"/>
      <c r="BSK168" s="456"/>
      <c r="BSL168" s="456"/>
      <c r="BSM168" s="456"/>
      <c r="BSN168" s="456"/>
      <c r="BSO168" s="456"/>
      <c r="BSP168" s="456"/>
      <c r="BSQ168" s="456"/>
      <c r="BSR168" s="456"/>
      <c r="BSS168" s="456"/>
      <c r="BST168" s="456"/>
      <c r="BSU168" s="456"/>
      <c r="BSV168" s="456"/>
      <c r="BSW168" s="456"/>
      <c r="BSX168" s="456"/>
      <c r="BSY168" s="456"/>
      <c r="BSZ168" s="456"/>
      <c r="BTA168" s="456"/>
      <c r="BTB168" s="456"/>
      <c r="BTC168" s="456"/>
      <c r="BTD168" s="456"/>
      <c r="BTE168" s="456"/>
      <c r="BTF168" s="456"/>
      <c r="BTG168" s="456"/>
      <c r="BTH168" s="456"/>
      <c r="BTI168" s="456"/>
      <c r="BTJ168" s="456"/>
      <c r="BTK168" s="456"/>
      <c r="BTL168" s="456"/>
      <c r="BTM168" s="456"/>
      <c r="BTN168" s="456"/>
      <c r="BTO168" s="456"/>
      <c r="BTP168" s="456"/>
      <c r="BTQ168" s="456"/>
      <c r="BTR168" s="456"/>
      <c r="BTS168" s="456"/>
      <c r="BTT168" s="456"/>
      <c r="BTU168" s="456"/>
      <c r="BTV168" s="456"/>
      <c r="BTW168" s="456"/>
      <c r="BTX168" s="456"/>
      <c r="BTY168" s="456"/>
      <c r="BTZ168" s="456"/>
      <c r="BUA168" s="456"/>
      <c r="BUB168" s="456"/>
      <c r="BUC168" s="456"/>
      <c r="BUD168" s="456"/>
      <c r="BUE168" s="456"/>
      <c r="BUF168" s="456"/>
      <c r="BUG168" s="456"/>
      <c r="BUH168" s="456"/>
      <c r="BUI168" s="456"/>
      <c r="BUJ168" s="456"/>
      <c r="BUK168" s="456"/>
      <c r="BUL168" s="456"/>
      <c r="BUM168" s="456"/>
      <c r="BUN168" s="456"/>
      <c r="BUO168" s="456"/>
      <c r="BUP168" s="456"/>
      <c r="BUQ168" s="456"/>
      <c r="BUR168" s="456"/>
      <c r="BUS168" s="456"/>
      <c r="BUT168" s="456"/>
      <c r="BUU168" s="456"/>
      <c r="BUV168" s="456"/>
      <c r="BUW168" s="456"/>
      <c r="BUX168" s="456"/>
      <c r="BUY168" s="456"/>
      <c r="BUZ168" s="456"/>
      <c r="BVA168" s="456"/>
      <c r="BVB168" s="456"/>
      <c r="BVC168" s="456"/>
      <c r="BVD168" s="456"/>
      <c r="BVE168" s="456"/>
      <c r="BVF168" s="456"/>
      <c r="BVG168" s="456"/>
      <c r="BVH168" s="456"/>
      <c r="BVI168" s="456"/>
      <c r="BVJ168" s="456"/>
      <c r="BVK168" s="456"/>
      <c r="BVL168" s="456"/>
      <c r="BVM168" s="456"/>
      <c r="BVN168" s="456"/>
      <c r="BVO168" s="456"/>
      <c r="BVP168" s="456"/>
      <c r="BVQ168" s="456"/>
      <c r="BVR168" s="456"/>
      <c r="BVS168" s="456"/>
      <c r="BVT168" s="456"/>
      <c r="BVU168" s="456"/>
      <c r="BVV168" s="456"/>
      <c r="BVW168" s="456"/>
      <c r="BVX168" s="456"/>
      <c r="BVY168" s="456"/>
      <c r="BVZ168" s="456"/>
      <c r="BWA168" s="456"/>
      <c r="BWB168" s="456"/>
      <c r="BWC168" s="456"/>
      <c r="BWD168" s="456"/>
      <c r="BWE168" s="456"/>
      <c r="BWF168" s="456"/>
      <c r="BWG168" s="456"/>
      <c r="BWH168" s="456"/>
      <c r="BWI168" s="456"/>
      <c r="BWJ168" s="456"/>
      <c r="BWK168" s="456"/>
      <c r="BWL168" s="456"/>
      <c r="BWM168" s="456"/>
      <c r="BWN168" s="456"/>
      <c r="BWO168" s="456"/>
      <c r="BWP168" s="456"/>
      <c r="BWQ168" s="456"/>
      <c r="BWR168" s="456"/>
      <c r="BWS168" s="456"/>
      <c r="BWT168" s="456"/>
      <c r="BWU168" s="456"/>
      <c r="BWV168" s="456"/>
      <c r="BWW168" s="456"/>
      <c r="BWX168" s="456"/>
      <c r="BWY168" s="456"/>
      <c r="BWZ168" s="456"/>
      <c r="BXA168" s="456"/>
      <c r="BXB168" s="456"/>
      <c r="BXC168" s="456"/>
      <c r="BXD168" s="456"/>
      <c r="BXE168" s="456"/>
      <c r="BXF168" s="456"/>
      <c r="BXG168" s="456"/>
      <c r="BXH168" s="456"/>
      <c r="BXI168" s="456"/>
      <c r="BXJ168" s="456"/>
      <c r="BXK168" s="456"/>
      <c r="BXL168" s="456"/>
      <c r="BXM168" s="456"/>
      <c r="BXN168" s="456"/>
      <c r="BXO168" s="456"/>
      <c r="BXP168" s="456"/>
      <c r="BXQ168" s="456"/>
      <c r="BXR168" s="456"/>
      <c r="BXS168" s="456"/>
      <c r="BXT168" s="456"/>
      <c r="BXU168" s="456"/>
      <c r="BXV168" s="456"/>
      <c r="BXW168" s="456"/>
      <c r="BXX168" s="456"/>
      <c r="BXY168" s="456"/>
      <c r="BXZ168" s="456"/>
    </row>
    <row r="169" spans="1:1024 1025:2002">
      <c r="A169" s="474"/>
      <c r="B169" s="75">
        <v>1130</v>
      </c>
      <c r="C169" s="213">
        <v>46205</v>
      </c>
      <c r="D169" s="18" t="s">
        <v>52</v>
      </c>
      <c r="E169" s="18" t="s">
        <v>104</v>
      </c>
      <c r="F169" s="18" t="s">
        <v>54</v>
      </c>
      <c r="G169" s="18"/>
      <c r="H169" s="75">
        <v>1.2316</v>
      </c>
      <c r="I169" s="75"/>
      <c r="J169" s="18" t="s">
        <v>49</v>
      </c>
      <c r="K169" s="491">
        <v>800</v>
      </c>
      <c r="L169" s="491">
        <v>100</v>
      </c>
      <c r="M169" s="491">
        <v>2860</v>
      </c>
      <c r="N169" s="75" t="s">
        <v>66</v>
      </c>
      <c r="O169" s="75" t="s">
        <v>67</v>
      </c>
      <c r="P169" s="486">
        <v>1683.04</v>
      </c>
      <c r="Q169" s="75">
        <v>1705</v>
      </c>
      <c r="R169" s="112">
        <f t="shared" si="9"/>
        <v>-21.96</v>
      </c>
      <c r="S169" s="75">
        <f t="shared" si="11"/>
        <v>2870</v>
      </c>
      <c r="T169" s="75" t="s">
        <v>42</v>
      </c>
      <c r="U169" s="137" t="s">
        <v>115</v>
      </c>
      <c r="V169" s="193">
        <v>46208</v>
      </c>
      <c r="W169" s="18" t="s">
        <v>44</v>
      </c>
      <c r="X169" s="18"/>
      <c r="Y169" s="114">
        <v>46235</v>
      </c>
      <c r="Z169" s="18" t="s">
        <v>45</v>
      </c>
      <c r="AA169" s="24" t="s">
        <v>46</v>
      </c>
      <c r="AB169" s="18"/>
      <c r="AC169" s="137"/>
      <c r="AD169" s="77"/>
      <c r="AE169" s="18" t="s">
        <v>48</v>
      </c>
      <c r="AF169" s="24" t="s">
        <v>61</v>
      </c>
      <c r="AG169" s="18"/>
    </row>
    <row r="170" spans="1:1024 1025:2002">
      <c r="A170" s="474"/>
      <c r="B170" s="75">
        <v>1131</v>
      </c>
      <c r="C170" s="213">
        <v>46206</v>
      </c>
      <c r="D170" s="18" t="s">
        <v>52</v>
      </c>
      <c r="E170" s="18" t="s">
        <v>104</v>
      </c>
      <c r="F170" s="18" t="s">
        <v>54</v>
      </c>
      <c r="G170" s="18"/>
      <c r="H170" s="75" t="s">
        <v>117</v>
      </c>
      <c r="I170" s="75"/>
      <c r="J170" s="18" t="s">
        <v>49</v>
      </c>
      <c r="K170" s="203">
        <v>1300</v>
      </c>
      <c r="L170" s="192">
        <v>250</v>
      </c>
      <c r="M170" s="75">
        <v>2300</v>
      </c>
      <c r="N170" s="75" t="s">
        <v>66</v>
      </c>
      <c r="O170" s="75" t="s">
        <v>50</v>
      </c>
      <c r="P170" s="75">
        <v>7654</v>
      </c>
      <c r="Q170" s="75">
        <v>7712</v>
      </c>
      <c r="R170" s="75">
        <f t="shared" si="9"/>
        <v>-58</v>
      </c>
      <c r="S170" s="75">
        <v>3560</v>
      </c>
      <c r="T170" s="75" t="s">
        <v>42</v>
      </c>
      <c r="U170" s="137" t="s">
        <v>118</v>
      </c>
      <c r="V170" s="193">
        <v>46208</v>
      </c>
      <c r="W170" s="18" t="s">
        <v>44</v>
      </c>
      <c r="X170" s="18"/>
      <c r="Y170" s="114">
        <v>46266</v>
      </c>
      <c r="Z170" s="18" t="s">
        <v>45</v>
      </c>
      <c r="AA170" s="24" t="s">
        <v>46</v>
      </c>
      <c r="AB170" s="18"/>
      <c r="AC170" s="137"/>
      <c r="AD170" s="77"/>
      <c r="AE170" s="18" t="s">
        <v>48</v>
      </c>
      <c r="AF170" s="24" t="s">
        <v>61</v>
      </c>
      <c r="AG170" s="18"/>
    </row>
    <row r="171" spans="1:1024 1025:2002">
      <c r="A171" s="474"/>
      <c r="B171" s="75">
        <v>1131</v>
      </c>
      <c r="C171" s="213">
        <v>46206</v>
      </c>
      <c r="D171" s="18" t="s">
        <v>52</v>
      </c>
      <c r="E171" s="18" t="s">
        <v>104</v>
      </c>
      <c r="F171" s="18" t="s">
        <v>54</v>
      </c>
      <c r="G171" s="18"/>
      <c r="H171" s="75" t="s">
        <v>117</v>
      </c>
      <c r="I171" s="75"/>
      <c r="J171" s="18" t="s">
        <v>49</v>
      </c>
      <c r="K171" s="203">
        <v>1300</v>
      </c>
      <c r="L171" s="192">
        <v>255</v>
      </c>
      <c r="M171" s="75">
        <v>2300</v>
      </c>
      <c r="N171" s="75" t="s">
        <v>66</v>
      </c>
      <c r="O171" s="75" t="s">
        <v>50</v>
      </c>
      <c r="P171" s="75">
        <v>7807</v>
      </c>
      <c r="Q171" s="75">
        <v>8000</v>
      </c>
      <c r="R171" s="75">
        <f t="shared" si="9"/>
        <v>-193</v>
      </c>
      <c r="S171" s="75">
        <v>3560</v>
      </c>
      <c r="T171" s="75" t="s">
        <v>42</v>
      </c>
      <c r="U171" s="137" t="s">
        <v>118</v>
      </c>
      <c r="V171" s="193">
        <v>46208</v>
      </c>
      <c r="W171" s="18" t="s">
        <v>44</v>
      </c>
      <c r="X171" s="18"/>
      <c r="Y171" s="114">
        <v>46266</v>
      </c>
      <c r="Z171" s="18" t="s">
        <v>45</v>
      </c>
      <c r="AA171" s="24" t="s">
        <v>46</v>
      </c>
      <c r="AB171" s="18"/>
      <c r="AC171" s="137"/>
      <c r="AD171" s="77"/>
      <c r="AE171" s="18" t="s">
        <v>48</v>
      </c>
      <c r="AF171" s="24" t="s">
        <v>61</v>
      </c>
      <c r="AG171" s="18"/>
    </row>
    <row r="172" spans="1:1024 1025:2002">
      <c r="A172" s="474"/>
      <c r="B172" s="75">
        <v>1131</v>
      </c>
      <c r="C172" s="213">
        <v>46206</v>
      </c>
      <c r="D172" s="18" t="s">
        <v>52</v>
      </c>
      <c r="E172" s="18" t="s">
        <v>104</v>
      </c>
      <c r="F172" s="18" t="s">
        <v>54</v>
      </c>
      <c r="G172" s="18"/>
      <c r="H172" s="75" t="s">
        <v>117</v>
      </c>
      <c r="I172" s="75"/>
      <c r="J172" s="18" t="s">
        <v>49</v>
      </c>
      <c r="K172" s="203">
        <v>1300</v>
      </c>
      <c r="L172" s="192">
        <v>310</v>
      </c>
      <c r="M172" s="75">
        <v>2300</v>
      </c>
      <c r="N172" s="75" t="s">
        <v>66</v>
      </c>
      <c r="O172" s="75" t="s">
        <v>50</v>
      </c>
      <c r="P172" s="75">
        <v>9491</v>
      </c>
      <c r="Q172" s="75">
        <v>8256</v>
      </c>
      <c r="R172" s="75">
        <f t="shared" si="9"/>
        <v>1235</v>
      </c>
      <c r="S172" s="75">
        <v>3560</v>
      </c>
      <c r="T172" s="75" t="s">
        <v>42</v>
      </c>
      <c r="U172" s="137" t="s">
        <v>118</v>
      </c>
      <c r="V172" s="193">
        <v>46208</v>
      </c>
      <c r="W172" s="18" t="s">
        <v>44</v>
      </c>
      <c r="X172" s="18"/>
      <c r="Y172" s="114">
        <v>46266</v>
      </c>
      <c r="Z172" s="18" t="s">
        <v>45</v>
      </c>
      <c r="AA172" s="24" t="s">
        <v>46</v>
      </c>
      <c r="AB172" s="18"/>
      <c r="AC172" s="137"/>
      <c r="AD172" s="77"/>
      <c r="AE172" s="18" t="s">
        <v>48</v>
      </c>
      <c r="AF172" s="24" t="s">
        <v>61</v>
      </c>
      <c r="AG172" s="18"/>
    </row>
    <row r="173" s="25" customFormat="1" spans="1:1024 1025:2002">
      <c r="A173" s="473" t="s">
        <v>34</v>
      </c>
      <c r="B173" s="19">
        <v>1133</v>
      </c>
      <c r="C173" s="183">
        <v>46224</v>
      </c>
      <c r="D173" s="17" t="s">
        <v>52</v>
      </c>
      <c r="E173" s="17" t="s">
        <v>119</v>
      </c>
      <c r="F173" s="17" t="s">
        <v>54</v>
      </c>
      <c r="G173" s="17"/>
      <c r="H173" s="19" t="s">
        <v>120</v>
      </c>
      <c r="I173" s="102" t="s">
        <v>65</v>
      </c>
      <c r="J173" s="17" t="s">
        <v>49</v>
      </c>
      <c r="K173" s="19">
        <v>610</v>
      </c>
      <c r="L173" s="91">
        <v>300</v>
      </c>
      <c r="M173" s="19">
        <v>1000</v>
      </c>
      <c r="N173" s="19" t="s">
        <v>40</v>
      </c>
      <c r="O173" s="19" t="s">
        <v>98</v>
      </c>
      <c r="P173" s="19">
        <v>1437</v>
      </c>
      <c r="Q173" s="99">
        <v>1486</v>
      </c>
      <c r="R173" s="99">
        <f t="shared" si="9"/>
        <v>-49</v>
      </c>
      <c r="S173" s="19">
        <v>1300</v>
      </c>
      <c r="T173" s="19" t="s">
        <v>42</v>
      </c>
      <c r="U173" s="102" t="s">
        <v>121</v>
      </c>
      <c r="V173" s="186">
        <v>46230</v>
      </c>
      <c r="W173" s="17" t="s">
        <v>44</v>
      </c>
      <c r="X173" s="17"/>
      <c r="Y173" s="68">
        <v>46235</v>
      </c>
      <c r="Z173" s="17" t="s">
        <v>45</v>
      </c>
      <c r="AA173" s="17" t="s">
        <v>46</v>
      </c>
      <c r="AB173" s="17" t="s">
        <v>122</v>
      </c>
      <c r="AC173" s="217">
        <v>46243</v>
      </c>
      <c r="AD173" s="65">
        <v>1847</v>
      </c>
      <c r="AE173" s="17" t="s">
        <v>48</v>
      </c>
      <c r="AF173" s="17" t="s">
        <v>61</v>
      </c>
      <c r="AG173" s="17"/>
      <c r="AH173" s="456"/>
      <c r="AI173" s="456"/>
      <c r="AJ173" s="456"/>
      <c r="AK173" s="456"/>
      <c r="AL173" s="456"/>
      <c r="AM173" s="456"/>
      <c r="AN173" s="456"/>
      <c r="AO173" s="456"/>
      <c r="AP173" s="456"/>
      <c r="AQ173" s="456"/>
      <c r="AR173" s="456"/>
      <c r="AS173" s="456"/>
      <c r="AT173" s="456"/>
      <c r="AU173" s="456"/>
      <c r="AV173" s="456"/>
      <c r="AW173" s="456"/>
      <c r="AX173" s="456"/>
      <c r="AY173" s="456"/>
      <c r="AZ173" s="456"/>
      <c r="BA173" s="456"/>
      <c r="BB173" s="456"/>
      <c r="BC173" s="456"/>
      <c r="BD173" s="456"/>
      <c r="BE173" s="456"/>
      <c r="BF173" s="456"/>
      <c r="BG173" s="456"/>
      <c r="BH173" s="456"/>
      <c r="BI173" s="456"/>
      <c r="BJ173" s="456"/>
      <c r="BK173" s="456"/>
      <c r="BL173" s="456"/>
      <c r="BM173" s="456"/>
      <c r="BN173" s="456"/>
      <c r="BO173" s="456"/>
      <c r="BP173" s="456"/>
      <c r="BQ173" s="456"/>
      <c r="BR173" s="456"/>
      <c r="BS173" s="456"/>
      <c r="BT173" s="456"/>
      <c r="BU173" s="456"/>
      <c r="BV173" s="456"/>
      <c r="BW173" s="456"/>
      <c r="BX173" s="456"/>
      <c r="BY173" s="456"/>
      <c r="BZ173" s="456"/>
      <c r="CA173" s="456"/>
      <c r="CB173" s="456"/>
      <c r="CC173" s="456"/>
      <c r="CD173" s="456"/>
      <c r="CE173" s="456"/>
      <c r="CF173" s="456"/>
      <c r="CG173" s="456"/>
      <c r="CH173" s="456"/>
      <c r="CI173" s="456"/>
      <c r="CJ173" s="456"/>
      <c r="CK173" s="456"/>
      <c r="CL173" s="456"/>
      <c r="CM173" s="456"/>
      <c r="CN173" s="456"/>
      <c r="CO173" s="456"/>
      <c r="CP173" s="456"/>
      <c r="CQ173" s="456"/>
      <c r="CR173" s="456"/>
      <c r="CS173" s="456"/>
      <c r="CT173" s="456"/>
      <c r="CU173" s="456"/>
      <c r="CV173" s="456"/>
      <c r="CW173" s="456"/>
      <c r="CX173" s="456"/>
      <c r="CY173" s="456"/>
      <c r="CZ173" s="456"/>
      <c r="DA173" s="456"/>
      <c r="DB173" s="456"/>
      <c r="DC173" s="456"/>
      <c r="DD173" s="456"/>
      <c r="DE173" s="456"/>
      <c r="DF173" s="456"/>
      <c r="DG173" s="456"/>
      <c r="DH173" s="456"/>
      <c r="DI173" s="456"/>
      <c r="DJ173" s="456"/>
      <c r="DK173" s="456"/>
      <c r="DL173" s="456"/>
      <c r="DM173" s="456"/>
      <c r="DN173" s="456"/>
      <c r="DO173" s="456"/>
      <c r="DP173" s="456"/>
      <c r="DQ173" s="456"/>
      <c r="DR173" s="456"/>
      <c r="DS173" s="456"/>
      <c r="DT173" s="456"/>
      <c r="DU173" s="456"/>
      <c r="DV173" s="456"/>
      <c r="DW173" s="456"/>
      <c r="DX173" s="456"/>
      <c r="DY173" s="456"/>
      <c r="DZ173" s="456"/>
      <c r="EA173" s="456"/>
      <c r="EB173" s="456"/>
      <c r="EC173" s="456"/>
      <c r="ED173" s="456"/>
      <c r="EE173" s="456"/>
      <c r="EF173" s="456"/>
      <c r="EG173" s="456"/>
      <c r="EH173" s="456"/>
      <c r="EI173" s="456"/>
      <c r="EJ173" s="456"/>
      <c r="EK173" s="456"/>
      <c r="EL173" s="456"/>
      <c r="EM173" s="456"/>
      <c r="EN173" s="456"/>
      <c r="EO173" s="456"/>
      <c r="EP173" s="456"/>
      <c r="EQ173" s="456"/>
      <c r="ER173" s="456"/>
      <c r="ES173" s="456"/>
      <c r="ET173" s="456"/>
      <c r="EU173" s="456"/>
      <c r="EV173" s="456"/>
      <c r="EW173" s="456"/>
      <c r="EX173" s="456"/>
      <c r="EY173" s="456"/>
      <c r="EZ173" s="456"/>
      <c r="FA173" s="456"/>
      <c r="FB173" s="456"/>
      <c r="FC173" s="456"/>
      <c r="FD173" s="456"/>
      <c r="FE173" s="456"/>
      <c r="FF173" s="456"/>
      <c r="FG173" s="456"/>
      <c r="FH173" s="456"/>
      <c r="FI173" s="456"/>
      <c r="FJ173" s="456"/>
      <c r="FK173" s="456"/>
      <c r="FL173" s="456"/>
      <c r="FM173" s="456"/>
      <c r="FN173" s="456"/>
      <c r="FO173" s="456"/>
      <c r="FP173" s="456"/>
      <c r="FQ173" s="456"/>
      <c r="FR173" s="456"/>
      <c r="FS173" s="456"/>
      <c r="FT173" s="456"/>
      <c r="FU173" s="456"/>
      <c r="FV173" s="456"/>
      <c r="FW173" s="456"/>
      <c r="FX173" s="456"/>
      <c r="FY173" s="456"/>
      <c r="FZ173" s="456"/>
      <c r="GA173" s="456"/>
      <c r="GB173" s="456"/>
      <c r="GC173" s="456"/>
      <c r="GD173" s="456"/>
      <c r="GE173" s="456"/>
      <c r="GF173" s="456"/>
      <c r="GG173" s="456"/>
      <c r="GH173" s="456"/>
      <c r="GI173" s="456"/>
      <c r="GJ173" s="456"/>
      <c r="GK173" s="456"/>
      <c r="GL173" s="456"/>
      <c r="GM173" s="456"/>
      <c r="GN173" s="456"/>
      <c r="GO173" s="456"/>
      <c r="GP173" s="456"/>
      <c r="GQ173" s="456"/>
      <c r="GR173" s="456"/>
      <c r="GS173" s="456"/>
      <c r="GT173" s="456"/>
      <c r="GU173" s="456"/>
      <c r="GV173" s="456"/>
      <c r="GW173" s="456"/>
      <c r="GX173" s="456"/>
      <c r="GY173" s="456"/>
      <c r="GZ173" s="456"/>
      <c r="HA173" s="456"/>
      <c r="HB173" s="456"/>
      <c r="HC173" s="456"/>
      <c r="HD173" s="456"/>
      <c r="HE173" s="456"/>
      <c r="HF173" s="456"/>
      <c r="HG173" s="456"/>
      <c r="HH173" s="456"/>
      <c r="HI173" s="456"/>
      <c r="HJ173" s="456"/>
      <c r="HK173" s="456"/>
      <c r="HL173" s="456"/>
      <c r="HM173" s="456"/>
      <c r="HN173" s="456"/>
      <c r="HO173" s="456"/>
      <c r="HP173" s="456"/>
      <c r="HQ173" s="456"/>
      <c r="HR173" s="456"/>
      <c r="HS173" s="456"/>
      <c r="HT173" s="456"/>
      <c r="HU173" s="456"/>
      <c r="HV173" s="456"/>
      <c r="HW173" s="456"/>
      <c r="HX173" s="456"/>
      <c r="HY173" s="456"/>
      <c r="HZ173" s="456"/>
      <c r="IA173" s="456"/>
      <c r="IB173" s="456"/>
      <c r="IC173" s="456"/>
      <c r="ID173" s="456"/>
      <c r="IE173" s="456"/>
      <c r="IF173" s="456"/>
      <c r="IG173" s="456"/>
      <c r="IH173" s="456"/>
      <c r="II173" s="456"/>
      <c r="IJ173" s="456"/>
      <c r="IK173" s="456"/>
      <c r="IL173" s="456"/>
      <c r="IM173" s="456"/>
      <c r="IN173" s="456"/>
      <c r="IO173" s="456"/>
      <c r="IP173" s="456"/>
      <c r="IQ173" s="456"/>
      <c r="IR173" s="456"/>
      <c r="IS173" s="456"/>
      <c r="IT173" s="456"/>
      <c r="IU173" s="456"/>
      <c r="IV173" s="456"/>
      <c r="IW173" s="456"/>
      <c r="IX173" s="456"/>
      <c r="IY173" s="456"/>
      <c r="IZ173" s="456"/>
      <c r="JA173" s="456"/>
      <c r="JB173" s="456"/>
      <c r="JC173" s="456"/>
      <c r="JD173" s="456"/>
      <c r="JE173" s="456"/>
      <c r="JF173" s="456"/>
      <c r="JG173" s="456"/>
      <c r="JH173" s="456"/>
      <c r="JI173" s="456"/>
      <c r="JJ173" s="456"/>
      <c r="JK173" s="456"/>
      <c r="JL173" s="456"/>
      <c r="JM173" s="456"/>
      <c r="JN173" s="456"/>
      <c r="JO173" s="456"/>
      <c r="JP173" s="456"/>
      <c r="JQ173" s="456"/>
      <c r="JR173" s="456"/>
      <c r="JS173" s="456"/>
      <c r="JT173" s="456"/>
      <c r="JU173" s="456"/>
      <c r="JV173" s="456"/>
      <c r="JW173" s="456"/>
      <c r="JX173" s="456"/>
      <c r="JY173" s="456"/>
      <c r="JZ173" s="456"/>
      <c r="KA173" s="456"/>
      <c r="KB173" s="456"/>
      <c r="KC173" s="456"/>
      <c r="KD173" s="456"/>
      <c r="KE173" s="456"/>
      <c r="KF173" s="456"/>
      <c r="KG173" s="456"/>
      <c r="KH173" s="456"/>
      <c r="KI173" s="456"/>
      <c r="KJ173" s="456"/>
      <c r="KK173" s="456"/>
      <c r="KL173" s="456"/>
      <c r="KM173" s="456"/>
      <c r="KN173" s="456"/>
      <c r="KO173" s="456"/>
      <c r="KP173" s="456"/>
      <c r="KQ173" s="456"/>
      <c r="KR173" s="456"/>
      <c r="KS173" s="456"/>
      <c r="KT173" s="456"/>
      <c r="KU173" s="456"/>
      <c r="KV173" s="456"/>
      <c r="KW173" s="456"/>
      <c r="KX173" s="456"/>
      <c r="KY173" s="456"/>
      <c r="KZ173" s="456"/>
      <c r="LA173" s="456"/>
      <c r="LB173" s="456"/>
      <c r="LC173" s="456"/>
      <c r="LD173" s="456"/>
      <c r="LE173" s="456"/>
      <c r="LF173" s="456"/>
      <c r="LG173" s="456"/>
      <c r="LH173" s="456"/>
      <c r="LI173" s="456"/>
      <c r="LJ173" s="456"/>
      <c r="LK173" s="456"/>
      <c r="LL173" s="456"/>
      <c r="LM173" s="456"/>
      <c r="LN173" s="456"/>
      <c r="LO173" s="456"/>
      <c r="LP173" s="456"/>
      <c r="LQ173" s="456"/>
      <c r="LR173" s="456"/>
      <c r="LS173" s="456"/>
      <c r="LT173" s="456"/>
      <c r="LU173" s="456"/>
      <c r="LV173" s="456"/>
      <c r="LW173" s="456"/>
      <c r="LX173" s="456"/>
      <c r="LY173" s="456"/>
      <c r="LZ173" s="456"/>
      <c r="MA173" s="456"/>
      <c r="MB173" s="456"/>
      <c r="MC173" s="456"/>
      <c r="MD173" s="456"/>
      <c r="ME173" s="456"/>
      <c r="MF173" s="456"/>
      <c r="MG173" s="456"/>
      <c r="MH173" s="456"/>
      <c r="MI173" s="456"/>
      <c r="MJ173" s="456"/>
      <c r="MK173" s="456"/>
      <c r="ML173" s="456"/>
      <c r="MM173" s="456"/>
      <c r="MN173" s="456"/>
      <c r="MO173" s="456"/>
      <c r="MP173" s="456"/>
      <c r="MQ173" s="456"/>
      <c r="MR173" s="456"/>
      <c r="MS173" s="456"/>
      <c r="MT173" s="456"/>
      <c r="MU173" s="456"/>
      <c r="MV173" s="456"/>
      <c r="MW173" s="456"/>
      <c r="MX173" s="456"/>
      <c r="MY173" s="456"/>
      <c r="MZ173" s="456"/>
      <c r="NA173" s="456"/>
      <c r="NB173" s="456"/>
      <c r="NC173" s="456"/>
      <c r="ND173" s="456"/>
      <c r="NE173" s="456"/>
      <c r="NF173" s="456"/>
      <c r="NG173" s="456"/>
      <c r="NH173" s="456"/>
      <c r="NI173" s="456"/>
      <c r="NJ173" s="456"/>
      <c r="NK173" s="456"/>
      <c r="NL173" s="456"/>
      <c r="NM173" s="456"/>
      <c r="NN173" s="456"/>
      <c r="NO173" s="456"/>
      <c r="NP173" s="456"/>
      <c r="NQ173" s="456"/>
      <c r="NR173" s="456"/>
      <c r="NS173" s="456"/>
      <c r="NT173" s="456"/>
      <c r="NU173" s="456"/>
      <c r="NV173" s="456"/>
      <c r="NW173" s="456"/>
      <c r="NX173" s="456"/>
      <c r="NY173" s="456"/>
      <c r="NZ173" s="456"/>
      <c r="OA173" s="456"/>
      <c r="OB173" s="456"/>
      <c r="OC173" s="456"/>
      <c r="OD173" s="456"/>
      <c r="OE173" s="456"/>
      <c r="OF173" s="456"/>
      <c r="OG173" s="456"/>
      <c r="OH173" s="456"/>
      <c r="OI173" s="456"/>
      <c r="OJ173" s="456"/>
      <c r="OK173" s="456"/>
      <c r="OL173" s="456"/>
      <c r="OM173" s="456"/>
      <c r="ON173" s="456"/>
      <c r="OO173" s="456"/>
      <c r="OP173" s="456"/>
      <c r="OQ173" s="456"/>
      <c r="OR173" s="456"/>
      <c r="OS173" s="456"/>
      <c r="OT173" s="456"/>
      <c r="OU173" s="456"/>
      <c r="OV173" s="456"/>
      <c r="OW173" s="456"/>
      <c r="OX173" s="456"/>
      <c r="OY173" s="456"/>
      <c r="OZ173" s="456"/>
      <c r="PA173" s="456"/>
      <c r="PB173" s="456"/>
      <c r="PC173" s="456"/>
      <c r="PD173" s="456"/>
      <c r="PE173" s="456"/>
      <c r="PF173" s="456"/>
      <c r="PG173" s="456"/>
      <c r="PH173" s="456"/>
      <c r="PI173" s="456"/>
      <c r="PJ173" s="456"/>
      <c r="PK173" s="456"/>
      <c r="PL173" s="456"/>
      <c r="PM173" s="456"/>
      <c r="PN173" s="456"/>
      <c r="PO173" s="456"/>
      <c r="PP173" s="456"/>
      <c r="PQ173" s="456"/>
      <c r="PR173" s="456"/>
      <c r="PS173" s="456"/>
      <c r="PT173" s="456"/>
      <c r="PU173" s="456"/>
      <c r="PV173" s="456"/>
      <c r="PW173" s="456"/>
      <c r="PX173" s="456"/>
      <c r="PY173" s="456"/>
      <c r="PZ173" s="456"/>
      <c r="QA173" s="456"/>
      <c r="QB173" s="456"/>
      <c r="QC173" s="456"/>
      <c r="QD173" s="456"/>
      <c r="QE173" s="456"/>
      <c r="QF173" s="456"/>
      <c r="QG173" s="456"/>
      <c r="QH173" s="456"/>
      <c r="QI173" s="456"/>
      <c r="QJ173" s="456"/>
      <c r="QK173" s="456"/>
      <c r="QL173" s="456"/>
      <c r="QM173" s="456"/>
      <c r="QN173" s="456"/>
      <c r="QO173" s="456"/>
      <c r="QP173" s="456"/>
      <c r="QQ173" s="456"/>
      <c r="QR173" s="456"/>
      <c r="QS173" s="456"/>
      <c r="QT173" s="456"/>
      <c r="QU173" s="456"/>
      <c r="QV173" s="456"/>
      <c r="QW173" s="456"/>
      <c r="QX173" s="456"/>
      <c r="QY173" s="456"/>
      <c r="QZ173" s="456"/>
      <c r="RA173" s="456"/>
      <c r="RB173" s="456"/>
      <c r="RC173" s="456"/>
      <c r="RD173" s="456"/>
      <c r="RE173" s="456"/>
      <c r="RF173" s="456"/>
      <c r="RG173" s="456"/>
      <c r="RH173" s="456"/>
      <c r="RI173" s="456"/>
      <c r="RJ173" s="456"/>
      <c r="RK173" s="456"/>
      <c r="RL173" s="456"/>
      <c r="RM173" s="456"/>
      <c r="RN173" s="456"/>
      <c r="RO173" s="456"/>
      <c r="RP173" s="456"/>
      <c r="RQ173" s="456"/>
      <c r="RR173" s="456"/>
      <c r="RS173" s="456"/>
      <c r="RT173" s="456"/>
      <c r="RU173" s="456"/>
      <c r="RV173" s="456"/>
      <c r="RW173" s="456"/>
      <c r="RX173" s="456"/>
      <c r="RY173" s="456"/>
      <c r="RZ173" s="456"/>
      <c r="SA173" s="456"/>
      <c r="SB173" s="456"/>
      <c r="SC173" s="456"/>
      <c r="SD173" s="456"/>
      <c r="SE173" s="456"/>
      <c r="SF173" s="456"/>
      <c r="SG173" s="456"/>
      <c r="SH173" s="456"/>
      <c r="SI173" s="456"/>
      <c r="SJ173" s="456"/>
      <c r="SK173" s="456"/>
      <c r="SL173" s="456"/>
      <c r="SM173" s="456"/>
      <c r="SN173" s="456"/>
      <c r="SO173" s="456"/>
      <c r="SP173" s="456"/>
      <c r="SQ173" s="456"/>
      <c r="SR173" s="456"/>
      <c r="SS173" s="456"/>
      <c r="ST173" s="456"/>
      <c r="SU173" s="456"/>
      <c r="SV173" s="456"/>
      <c r="SW173" s="456"/>
      <c r="SX173" s="456"/>
      <c r="SY173" s="456"/>
      <c r="SZ173" s="456"/>
      <c r="TA173" s="456"/>
      <c r="TB173" s="456"/>
      <c r="TC173" s="456"/>
      <c r="TD173" s="456"/>
      <c r="TE173" s="456"/>
      <c r="TF173" s="456"/>
      <c r="TG173" s="456"/>
      <c r="TH173" s="456"/>
      <c r="TI173" s="456"/>
      <c r="TJ173" s="456"/>
      <c r="TK173" s="456"/>
      <c r="TL173" s="456"/>
      <c r="TM173" s="456"/>
      <c r="TN173" s="456"/>
      <c r="TO173" s="456"/>
      <c r="TP173" s="456"/>
      <c r="TQ173" s="456"/>
      <c r="TR173" s="456"/>
      <c r="TS173" s="456"/>
      <c r="TT173" s="456"/>
      <c r="TU173" s="456"/>
      <c r="TV173" s="456"/>
      <c r="TW173" s="456"/>
      <c r="TX173" s="456"/>
      <c r="TY173" s="456"/>
      <c r="TZ173" s="456"/>
      <c r="UA173" s="456"/>
      <c r="UB173" s="456"/>
      <c r="UC173" s="456"/>
      <c r="UD173" s="456"/>
      <c r="UE173" s="456"/>
      <c r="UF173" s="456"/>
      <c r="UG173" s="456"/>
      <c r="UH173" s="456"/>
      <c r="UI173" s="456"/>
      <c r="UJ173" s="456"/>
      <c r="UK173" s="456"/>
      <c r="UL173" s="456"/>
      <c r="UM173" s="456"/>
      <c r="UN173" s="456"/>
      <c r="UO173" s="456"/>
      <c r="UP173" s="456"/>
      <c r="UQ173" s="456"/>
      <c r="UR173" s="456"/>
      <c r="US173" s="456"/>
      <c r="UT173" s="456"/>
      <c r="UU173" s="456"/>
      <c r="UV173" s="456"/>
      <c r="UW173" s="456"/>
      <c r="UX173" s="456"/>
      <c r="UY173" s="456"/>
      <c r="UZ173" s="456"/>
      <c r="VA173" s="456"/>
      <c r="VB173" s="456"/>
      <c r="VC173" s="456"/>
      <c r="VD173" s="456"/>
      <c r="VE173" s="456"/>
      <c r="VF173" s="456"/>
      <c r="VG173" s="456"/>
      <c r="VH173" s="456"/>
      <c r="VI173" s="456"/>
      <c r="VJ173" s="456"/>
      <c r="VK173" s="456"/>
      <c r="VL173" s="456"/>
      <c r="VM173" s="456"/>
      <c r="VN173" s="456"/>
      <c r="VO173" s="456"/>
      <c r="VP173" s="456"/>
      <c r="VQ173" s="456"/>
      <c r="VR173" s="456"/>
      <c r="VS173" s="456"/>
      <c r="VT173" s="456"/>
      <c r="VU173" s="456"/>
      <c r="VV173" s="456"/>
      <c r="VW173" s="456"/>
      <c r="VX173" s="456"/>
      <c r="VY173" s="456"/>
      <c r="VZ173" s="456"/>
      <c r="WA173" s="456"/>
      <c r="WB173" s="456"/>
      <c r="WC173" s="456"/>
      <c r="WD173" s="456"/>
      <c r="WE173" s="456"/>
      <c r="WF173" s="456"/>
      <c r="WG173" s="456"/>
      <c r="WH173" s="456"/>
      <c r="WI173" s="456"/>
      <c r="WJ173" s="456"/>
      <c r="WK173" s="456"/>
      <c r="WL173" s="456"/>
      <c r="WM173" s="456"/>
      <c r="WN173" s="456"/>
      <c r="WO173" s="456"/>
      <c r="WP173" s="456"/>
      <c r="WQ173" s="456"/>
      <c r="WR173" s="456"/>
      <c r="WS173" s="456"/>
      <c r="WT173" s="456"/>
      <c r="WU173" s="456"/>
      <c r="WV173" s="456"/>
      <c r="WW173" s="456"/>
      <c r="WX173" s="456"/>
      <c r="WY173" s="456"/>
      <c r="WZ173" s="456"/>
      <c r="XA173" s="456"/>
      <c r="XB173" s="456"/>
      <c r="XC173" s="456"/>
      <c r="XD173" s="456"/>
      <c r="XE173" s="456"/>
      <c r="XF173" s="456"/>
      <c r="XG173" s="456"/>
      <c r="XH173" s="456"/>
      <c r="XI173" s="456"/>
      <c r="XJ173" s="456"/>
      <c r="XK173" s="456"/>
      <c r="XL173" s="456"/>
      <c r="XM173" s="456"/>
      <c r="XN173" s="456"/>
      <c r="XO173" s="456"/>
      <c r="XP173" s="456"/>
      <c r="XQ173" s="456"/>
      <c r="XR173" s="456"/>
      <c r="XS173" s="456"/>
      <c r="XT173" s="456"/>
      <c r="XU173" s="456"/>
      <c r="XV173" s="456"/>
      <c r="XW173" s="456"/>
      <c r="XX173" s="456"/>
      <c r="XY173" s="456"/>
      <c r="XZ173" s="456"/>
      <c r="YA173" s="456"/>
      <c r="YB173" s="456"/>
      <c r="YC173" s="456"/>
      <c r="YD173" s="456"/>
      <c r="YE173" s="456"/>
      <c r="YF173" s="456"/>
      <c r="YG173" s="456"/>
      <c r="YH173" s="456"/>
      <c r="YI173" s="456"/>
      <c r="YJ173" s="456"/>
      <c r="YK173" s="456"/>
      <c r="YL173" s="456"/>
      <c r="YM173" s="456"/>
      <c r="YN173" s="456"/>
      <c r="YO173" s="456"/>
      <c r="YP173" s="456"/>
      <c r="YQ173" s="456"/>
      <c r="YR173" s="456"/>
      <c r="YS173" s="456"/>
      <c r="YT173" s="456"/>
      <c r="YU173" s="456"/>
      <c r="YV173" s="456"/>
      <c r="YW173" s="456"/>
      <c r="YX173" s="456"/>
      <c r="YY173" s="456"/>
      <c r="YZ173" s="456"/>
      <c r="ZA173" s="456"/>
      <c r="ZB173" s="456"/>
      <c r="ZC173" s="456"/>
      <c r="ZD173" s="456"/>
      <c r="ZE173" s="456"/>
      <c r="ZF173" s="456"/>
      <c r="ZG173" s="456"/>
      <c r="ZH173" s="456"/>
      <c r="ZI173" s="456"/>
      <c r="ZJ173" s="456"/>
      <c r="ZK173" s="456"/>
      <c r="ZL173" s="456"/>
      <c r="ZM173" s="456"/>
      <c r="ZN173" s="456"/>
      <c r="ZO173" s="456"/>
      <c r="ZP173" s="456"/>
      <c r="ZQ173" s="456"/>
      <c r="ZR173" s="456"/>
      <c r="ZS173" s="456"/>
      <c r="ZT173" s="456"/>
      <c r="ZU173" s="456"/>
      <c r="ZV173" s="456"/>
      <c r="ZW173" s="456"/>
      <c r="ZX173" s="456"/>
      <c r="ZY173" s="456"/>
      <c r="ZZ173" s="456"/>
      <c r="AAA173" s="456"/>
      <c r="AAB173" s="456"/>
      <c r="AAC173" s="456"/>
      <c r="AAD173" s="456"/>
      <c r="AAE173" s="456"/>
      <c r="AAF173" s="456"/>
      <c r="AAG173" s="456"/>
      <c r="AAH173" s="456"/>
      <c r="AAI173" s="456"/>
      <c r="AAJ173" s="456"/>
      <c r="AAK173" s="456"/>
      <c r="AAL173" s="456"/>
      <c r="AAM173" s="456"/>
      <c r="AAN173" s="456"/>
      <c r="AAO173" s="456"/>
      <c r="AAP173" s="456"/>
      <c r="AAQ173" s="456"/>
      <c r="AAR173" s="456"/>
      <c r="AAS173" s="456"/>
      <c r="AAT173" s="456"/>
      <c r="AAU173" s="456"/>
      <c r="AAV173" s="456"/>
      <c r="AAW173" s="456"/>
      <c r="AAX173" s="456"/>
      <c r="AAY173" s="456"/>
      <c r="AAZ173" s="456"/>
      <c r="ABA173" s="456"/>
      <c r="ABB173" s="456"/>
      <c r="ABC173" s="456"/>
      <c r="ABD173" s="456"/>
      <c r="ABE173" s="456"/>
      <c r="ABF173" s="456"/>
      <c r="ABG173" s="456"/>
      <c r="ABH173" s="456"/>
      <c r="ABI173" s="456"/>
      <c r="ABJ173" s="456"/>
      <c r="ABK173" s="456"/>
      <c r="ABL173" s="456"/>
      <c r="ABM173" s="456"/>
      <c r="ABN173" s="456"/>
      <c r="ABO173" s="456"/>
      <c r="ABP173" s="456"/>
      <c r="ABQ173" s="456"/>
      <c r="ABR173" s="456"/>
      <c r="ABS173" s="456"/>
      <c r="ABT173" s="456"/>
      <c r="ABU173" s="456"/>
      <c r="ABV173" s="456"/>
      <c r="ABW173" s="456"/>
      <c r="ABX173" s="456"/>
      <c r="ABY173" s="456"/>
      <c r="ABZ173" s="456"/>
      <c r="ACA173" s="456"/>
      <c r="ACB173" s="456"/>
      <c r="ACC173" s="456"/>
      <c r="ACD173" s="456"/>
      <c r="ACE173" s="456"/>
      <c r="ACF173" s="456"/>
      <c r="ACG173" s="456"/>
      <c r="ACH173" s="456"/>
      <c r="ACI173" s="456"/>
      <c r="ACJ173" s="456"/>
      <c r="ACK173" s="456"/>
      <c r="ACL173" s="456"/>
      <c r="ACM173" s="456"/>
      <c r="ACN173" s="456"/>
      <c r="ACO173" s="456"/>
      <c r="ACP173" s="456"/>
      <c r="ACQ173" s="456"/>
      <c r="ACR173" s="456"/>
      <c r="ACS173" s="456"/>
      <c r="ACT173" s="456"/>
      <c r="ACU173" s="456"/>
      <c r="ACV173" s="456"/>
      <c r="ACW173" s="456"/>
      <c r="ACX173" s="456"/>
      <c r="ACY173" s="456"/>
      <c r="ACZ173" s="456"/>
      <c r="ADA173" s="456"/>
      <c r="ADB173" s="456"/>
      <c r="ADC173" s="456"/>
      <c r="ADD173" s="456"/>
      <c r="ADE173" s="456"/>
      <c r="ADF173" s="456"/>
      <c r="ADG173" s="456"/>
      <c r="ADH173" s="456"/>
      <c r="ADI173" s="456"/>
      <c r="ADJ173" s="456"/>
      <c r="ADK173" s="456"/>
      <c r="ADL173" s="456"/>
      <c r="ADM173" s="456"/>
      <c r="ADN173" s="456"/>
      <c r="ADO173" s="456"/>
      <c r="ADP173" s="456"/>
      <c r="ADQ173" s="456"/>
      <c r="ADR173" s="456"/>
      <c r="ADS173" s="456"/>
      <c r="ADT173" s="456"/>
      <c r="ADU173" s="456"/>
      <c r="ADV173" s="456"/>
      <c r="ADW173" s="456"/>
      <c r="ADX173" s="456"/>
      <c r="ADY173" s="456"/>
      <c r="ADZ173" s="456"/>
      <c r="AEA173" s="456"/>
      <c r="AEB173" s="456"/>
      <c r="AEC173" s="456"/>
      <c r="AED173" s="456"/>
      <c r="AEE173" s="456"/>
      <c r="AEF173" s="456"/>
      <c r="AEG173" s="456"/>
      <c r="AEH173" s="456"/>
      <c r="AEI173" s="456"/>
      <c r="AEJ173" s="456"/>
      <c r="AEK173" s="456"/>
      <c r="AEL173" s="456"/>
      <c r="AEM173" s="456"/>
      <c r="AEN173" s="456"/>
      <c r="AEO173" s="456"/>
      <c r="AEP173" s="456"/>
      <c r="AEQ173" s="456"/>
      <c r="AER173" s="456"/>
      <c r="AES173" s="456"/>
      <c r="AET173" s="456"/>
      <c r="AEU173" s="456"/>
      <c r="AEV173" s="456"/>
      <c r="AEW173" s="456"/>
      <c r="AEX173" s="456"/>
      <c r="AEY173" s="456"/>
      <c r="AEZ173" s="456"/>
      <c r="AFA173" s="456"/>
      <c r="AFB173" s="456"/>
      <c r="AFC173" s="456"/>
      <c r="AFD173" s="456"/>
      <c r="AFE173" s="456"/>
      <c r="AFF173" s="456"/>
      <c r="AFG173" s="456"/>
      <c r="AFH173" s="456"/>
      <c r="AFI173" s="456"/>
      <c r="AFJ173" s="456"/>
      <c r="AFK173" s="456"/>
      <c r="AFL173" s="456"/>
      <c r="AFM173" s="456"/>
      <c r="AFN173" s="456"/>
      <c r="AFO173" s="456"/>
      <c r="AFP173" s="456"/>
      <c r="AFQ173" s="456"/>
      <c r="AFR173" s="456"/>
      <c r="AFS173" s="456"/>
      <c r="AFT173" s="456"/>
      <c r="AFU173" s="456"/>
      <c r="AFV173" s="456"/>
      <c r="AFW173" s="456"/>
      <c r="AFX173" s="456"/>
      <c r="AFY173" s="456"/>
      <c r="AFZ173" s="456"/>
      <c r="AGA173" s="456"/>
      <c r="AGB173" s="456"/>
      <c r="AGC173" s="456"/>
      <c r="AGD173" s="456"/>
      <c r="AGE173" s="456"/>
      <c r="AGF173" s="456"/>
      <c r="AGG173" s="456"/>
      <c r="AGH173" s="456"/>
      <c r="AGI173" s="456"/>
      <c r="AGJ173" s="456"/>
      <c r="AGK173" s="456"/>
      <c r="AGL173" s="456"/>
      <c r="AGM173" s="456"/>
      <c r="AGN173" s="456"/>
      <c r="AGO173" s="456"/>
      <c r="AGP173" s="456"/>
      <c r="AGQ173" s="456"/>
      <c r="AGR173" s="456"/>
      <c r="AGS173" s="456"/>
      <c r="AGT173" s="456"/>
      <c r="AGU173" s="456"/>
      <c r="AGV173" s="456"/>
      <c r="AGW173" s="456"/>
      <c r="AGX173" s="456"/>
      <c r="AGY173" s="456"/>
      <c r="AGZ173" s="456"/>
      <c r="AHA173" s="456"/>
      <c r="AHB173" s="456"/>
      <c r="AHC173" s="456"/>
      <c r="AHD173" s="456"/>
      <c r="AHE173" s="456"/>
      <c r="AHF173" s="456"/>
      <c r="AHG173" s="456"/>
      <c r="AHH173" s="456"/>
      <c r="AHI173" s="456"/>
      <c r="AHJ173" s="456"/>
      <c r="AHK173" s="456"/>
      <c r="AHL173" s="456"/>
      <c r="AHM173" s="456"/>
      <c r="AHN173" s="456"/>
      <c r="AHO173" s="456"/>
      <c r="AHP173" s="456"/>
      <c r="AHQ173" s="456"/>
      <c r="AHR173" s="456"/>
      <c r="AHS173" s="456"/>
      <c r="AHT173" s="456"/>
      <c r="AHU173" s="456"/>
      <c r="AHV173" s="456"/>
      <c r="AHW173" s="456"/>
      <c r="AHX173" s="456"/>
      <c r="AHY173" s="456"/>
      <c r="AHZ173" s="456"/>
      <c r="AIA173" s="456"/>
      <c r="AIB173" s="456"/>
      <c r="AIC173" s="456"/>
      <c r="AID173" s="456"/>
      <c r="AIE173" s="456"/>
      <c r="AIF173" s="456"/>
      <c r="AIG173" s="456"/>
      <c r="AIH173" s="456"/>
      <c r="AII173" s="456"/>
      <c r="AIJ173" s="456"/>
      <c r="AIK173" s="456"/>
      <c r="AIL173" s="456"/>
      <c r="AIM173" s="456"/>
      <c r="AIN173" s="456"/>
      <c r="AIO173" s="456"/>
      <c r="AIP173" s="456"/>
      <c r="AIQ173" s="456"/>
      <c r="AIR173" s="456"/>
      <c r="AIS173" s="456"/>
      <c r="AIT173" s="456"/>
      <c r="AIU173" s="456"/>
      <c r="AIV173" s="456"/>
      <c r="AIW173" s="456"/>
      <c r="AIX173" s="456"/>
      <c r="AIY173" s="456"/>
      <c r="AIZ173" s="456"/>
      <c r="AJA173" s="456"/>
      <c r="AJB173" s="456"/>
      <c r="AJC173" s="456"/>
      <c r="AJD173" s="456"/>
      <c r="AJE173" s="456"/>
      <c r="AJF173" s="456"/>
      <c r="AJG173" s="456"/>
      <c r="AJH173" s="456"/>
      <c r="AJI173" s="456"/>
      <c r="AJJ173" s="456"/>
      <c r="AJK173" s="456"/>
      <c r="AJL173" s="456"/>
      <c r="AJM173" s="456"/>
      <c r="AJN173" s="456"/>
      <c r="AJO173" s="456"/>
      <c r="AJP173" s="456"/>
      <c r="AJQ173" s="456"/>
      <c r="AJR173" s="456"/>
      <c r="AJS173" s="456"/>
      <c r="AJT173" s="456"/>
      <c r="AJU173" s="456"/>
      <c r="AJV173" s="456"/>
      <c r="AJW173" s="456"/>
      <c r="AJX173" s="456"/>
      <c r="AJY173" s="456"/>
      <c r="AJZ173" s="456"/>
      <c r="AKA173" s="456"/>
      <c r="AKB173" s="456"/>
      <c r="AKC173" s="456"/>
      <c r="AKD173" s="456"/>
      <c r="AKE173" s="456"/>
      <c r="AKF173" s="456"/>
      <c r="AKG173" s="456"/>
      <c r="AKH173" s="456"/>
      <c r="AKI173" s="456"/>
      <c r="AKJ173" s="456"/>
      <c r="AKK173" s="456"/>
      <c r="AKL173" s="456"/>
      <c r="AKM173" s="456"/>
      <c r="AKN173" s="456"/>
      <c r="AKO173" s="456"/>
      <c r="AKP173" s="456"/>
      <c r="AKQ173" s="456"/>
      <c r="AKR173" s="456"/>
      <c r="AKS173" s="456"/>
      <c r="AKT173" s="456"/>
      <c r="AKU173" s="456"/>
      <c r="AKV173" s="456"/>
      <c r="AKW173" s="456"/>
      <c r="AKX173" s="456"/>
      <c r="AKY173" s="456"/>
      <c r="AKZ173" s="456"/>
      <c r="ALA173" s="456"/>
      <c r="ALB173" s="456"/>
      <c r="ALC173" s="456"/>
      <c r="ALD173" s="456"/>
      <c r="ALE173" s="456"/>
      <c r="ALF173" s="456"/>
      <c r="ALG173" s="456"/>
      <c r="ALH173" s="456"/>
      <c r="ALI173" s="456"/>
      <c r="ALJ173" s="456"/>
      <c r="ALK173" s="456"/>
      <c r="ALL173" s="456"/>
      <c r="ALM173" s="456"/>
      <c r="ALN173" s="456"/>
      <c r="ALO173" s="456"/>
      <c r="ALP173" s="456"/>
      <c r="ALQ173" s="456"/>
      <c r="ALR173" s="456"/>
      <c r="ALS173" s="456"/>
      <c r="ALT173" s="456"/>
      <c r="ALU173" s="456"/>
      <c r="ALV173" s="456"/>
      <c r="ALW173" s="456"/>
      <c r="ALX173" s="456"/>
      <c r="ALY173" s="456"/>
      <c r="ALZ173" s="456"/>
      <c r="AMA173" s="456"/>
      <c r="AMB173" s="456"/>
      <c r="AMC173" s="456"/>
      <c r="AMD173" s="456"/>
      <c r="AME173" s="456"/>
      <c r="AMF173" s="456"/>
      <c r="AMG173" s="456"/>
      <c r="AMH173" s="456"/>
      <c r="AMI173" s="456"/>
      <c r="AMJ173" s="456"/>
      <c r="AMK173" s="456"/>
      <c r="AML173" s="456"/>
      <c r="AMM173" s="456"/>
      <c r="AMN173" s="456"/>
      <c r="AMO173" s="456"/>
      <c r="AMP173" s="456"/>
      <c r="AMQ173" s="456"/>
      <c r="AMR173" s="456"/>
      <c r="AMS173" s="456"/>
      <c r="AMT173" s="456"/>
      <c r="AMU173" s="456"/>
      <c r="AMV173" s="456"/>
      <c r="AMW173" s="456"/>
      <c r="AMX173" s="456"/>
      <c r="AMY173" s="456"/>
      <c r="AMZ173" s="456"/>
      <c r="ANA173" s="456"/>
      <c r="ANB173" s="456"/>
      <c r="ANC173" s="456"/>
      <c r="AND173" s="456"/>
      <c r="ANE173" s="456"/>
      <c r="ANF173" s="456"/>
      <c r="ANG173" s="456"/>
      <c r="ANH173" s="456"/>
      <c r="ANI173" s="456"/>
      <c r="ANJ173" s="456"/>
      <c r="ANK173" s="456"/>
      <c r="ANL173" s="456"/>
      <c r="ANM173" s="456"/>
      <c r="ANN173" s="456"/>
      <c r="ANO173" s="456"/>
      <c r="ANP173" s="456"/>
      <c r="ANQ173" s="456"/>
      <c r="ANR173" s="456"/>
      <c r="ANS173" s="456"/>
      <c r="ANT173" s="456"/>
      <c r="ANU173" s="456"/>
      <c r="ANV173" s="456"/>
      <c r="ANW173" s="456"/>
      <c r="ANX173" s="456"/>
      <c r="ANY173" s="456"/>
      <c r="ANZ173" s="456"/>
      <c r="AOA173" s="456"/>
      <c r="AOB173" s="456"/>
      <c r="AOC173" s="456"/>
      <c r="AOD173" s="456"/>
      <c r="AOE173" s="456"/>
      <c r="AOF173" s="456"/>
      <c r="AOG173" s="456"/>
      <c r="AOH173" s="456"/>
      <c r="AOI173" s="456"/>
      <c r="AOJ173" s="456"/>
      <c r="AOK173" s="456"/>
      <c r="AOL173" s="456"/>
      <c r="AOM173" s="456"/>
      <c r="AON173" s="456"/>
      <c r="AOO173" s="456"/>
      <c r="AOP173" s="456"/>
      <c r="AOQ173" s="456"/>
      <c r="AOR173" s="456"/>
      <c r="AOS173" s="456"/>
      <c r="AOT173" s="456"/>
      <c r="AOU173" s="456"/>
      <c r="AOV173" s="456"/>
      <c r="AOW173" s="456"/>
      <c r="AOX173" s="456"/>
      <c r="AOY173" s="456"/>
      <c r="AOZ173" s="456"/>
      <c r="APA173" s="456"/>
      <c r="APB173" s="456"/>
      <c r="APC173" s="456"/>
      <c r="APD173" s="456"/>
      <c r="APE173" s="456"/>
      <c r="APF173" s="456"/>
      <c r="APG173" s="456"/>
      <c r="APH173" s="456"/>
      <c r="API173" s="456"/>
      <c r="APJ173" s="456"/>
      <c r="APK173" s="456"/>
      <c r="APL173" s="456"/>
      <c r="APM173" s="456"/>
      <c r="APN173" s="456"/>
      <c r="APO173" s="456"/>
      <c r="APP173" s="456"/>
      <c r="APQ173" s="456"/>
      <c r="APR173" s="456"/>
      <c r="APS173" s="456"/>
      <c r="APT173" s="456"/>
      <c r="APU173" s="456"/>
      <c r="APV173" s="456"/>
      <c r="APW173" s="456"/>
      <c r="APX173" s="456"/>
      <c r="APY173" s="456"/>
      <c r="APZ173" s="456"/>
      <c r="AQA173" s="456"/>
      <c r="AQB173" s="456"/>
      <c r="AQC173" s="456"/>
      <c r="AQD173" s="456"/>
      <c r="AQE173" s="456"/>
      <c r="AQF173" s="456"/>
      <c r="AQG173" s="456"/>
      <c r="AQH173" s="456"/>
      <c r="AQI173" s="456"/>
      <c r="AQJ173" s="456"/>
      <c r="AQK173" s="456"/>
      <c r="AQL173" s="456"/>
      <c r="AQM173" s="456"/>
      <c r="AQN173" s="456"/>
      <c r="AQO173" s="456"/>
      <c r="AQP173" s="456"/>
      <c r="AQQ173" s="456"/>
      <c r="AQR173" s="456"/>
      <c r="AQS173" s="456"/>
      <c r="AQT173" s="456"/>
      <c r="AQU173" s="456"/>
      <c r="AQV173" s="456"/>
      <c r="AQW173" s="456"/>
      <c r="AQX173" s="456"/>
      <c r="AQY173" s="456"/>
      <c r="AQZ173" s="456"/>
      <c r="ARA173" s="456"/>
      <c r="ARB173" s="456"/>
      <c r="ARC173" s="456"/>
      <c r="ARD173" s="456"/>
      <c r="ARE173" s="456"/>
      <c r="ARF173" s="456"/>
      <c r="ARG173" s="456"/>
      <c r="ARH173" s="456"/>
      <c r="ARI173" s="456"/>
      <c r="ARJ173" s="456"/>
      <c r="ARK173" s="456"/>
      <c r="ARL173" s="456"/>
      <c r="ARM173" s="456"/>
      <c r="ARN173" s="456"/>
      <c r="ARO173" s="456"/>
      <c r="ARP173" s="456"/>
      <c r="ARQ173" s="456"/>
      <c r="ARR173" s="456"/>
      <c r="ARS173" s="456"/>
      <c r="ART173" s="456"/>
      <c r="ARU173" s="456"/>
      <c r="ARV173" s="456"/>
      <c r="ARW173" s="456"/>
      <c r="ARX173" s="456"/>
      <c r="ARY173" s="456"/>
      <c r="ARZ173" s="456"/>
      <c r="ASA173" s="456"/>
      <c r="ASB173" s="456"/>
      <c r="ASC173" s="456"/>
      <c r="ASD173" s="456"/>
      <c r="ASE173" s="456"/>
      <c r="ASF173" s="456"/>
      <c r="ASG173" s="456"/>
      <c r="ASH173" s="456"/>
      <c r="ASI173" s="456"/>
      <c r="ASJ173" s="456"/>
      <c r="ASK173" s="456"/>
      <c r="ASL173" s="456"/>
      <c r="ASM173" s="456"/>
      <c r="ASN173" s="456"/>
      <c r="ASO173" s="456"/>
      <c r="ASP173" s="456"/>
      <c r="ASQ173" s="456"/>
      <c r="ASR173" s="456"/>
      <c r="ASS173" s="456"/>
      <c r="AST173" s="456"/>
      <c r="ASU173" s="456"/>
      <c r="ASV173" s="456"/>
      <c r="ASW173" s="456"/>
      <c r="ASX173" s="456"/>
      <c r="ASY173" s="456"/>
      <c r="ASZ173" s="456"/>
      <c r="ATA173" s="456"/>
      <c r="ATB173" s="456"/>
      <c r="ATC173" s="456"/>
      <c r="ATD173" s="456"/>
      <c r="ATE173" s="456"/>
      <c r="ATF173" s="456"/>
      <c r="ATG173" s="456"/>
      <c r="ATH173" s="456"/>
      <c r="ATI173" s="456"/>
      <c r="ATJ173" s="456"/>
      <c r="ATK173" s="456"/>
      <c r="ATL173" s="456"/>
      <c r="ATM173" s="456"/>
      <c r="ATN173" s="456"/>
      <c r="ATO173" s="456"/>
      <c r="ATP173" s="456"/>
      <c r="ATQ173" s="456"/>
      <c r="ATR173" s="456"/>
      <c r="ATS173" s="456"/>
      <c r="ATT173" s="456"/>
      <c r="ATU173" s="456"/>
      <c r="ATV173" s="456"/>
      <c r="ATW173" s="456"/>
      <c r="ATX173" s="456"/>
      <c r="ATY173" s="456"/>
      <c r="ATZ173" s="456"/>
      <c r="AUA173" s="456"/>
      <c r="AUB173" s="456"/>
      <c r="AUC173" s="456"/>
      <c r="AUD173" s="456"/>
      <c r="AUE173" s="456"/>
      <c r="AUF173" s="456"/>
      <c r="AUG173" s="456"/>
      <c r="AUH173" s="456"/>
      <c r="AUI173" s="456"/>
      <c r="AUJ173" s="456"/>
      <c r="AUK173" s="456"/>
      <c r="AUL173" s="456"/>
      <c r="AUM173" s="456"/>
      <c r="AUN173" s="456"/>
      <c r="AUO173" s="456"/>
      <c r="AUP173" s="456"/>
      <c r="AUQ173" s="456"/>
      <c r="AUR173" s="456"/>
      <c r="AUS173" s="456"/>
      <c r="AUT173" s="456"/>
      <c r="AUU173" s="456"/>
      <c r="AUV173" s="456"/>
      <c r="AUW173" s="456"/>
      <c r="AUX173" s="456"/>
      <c r="AUY173" s="456"/>
      <c r="AUZ173" s="456"/>
      <c r="AVA173" s="456"/>
      <c r="AVB173" s="456"/>
      <c r="AVC173" s="456"/>
      <c r="AVD173" s="456"/>
      <c r="AVE173" s="456"/>
      <c r="AVF173" s="456"/>
      <c r="AVG173" s="456"/>
      <c r="AVH173" s="456"/>
      <c r="AVI173" s="456"/>
      <c r="AVJ173" s="456"/>
      <c r="AVK173" s="456"/>
      <c r="AVL173" s="456"/>
      <c r="AVM173" s="456"/>
      <c r="AVN173" s="456"/>
      <c r="AVO173" s="456"/>
      <c r="AVP173" s="456"/>
      <c r="AVQ173" s="456"/>
      <c r="AVR173" s="456"/>
      <c r="AVS173" s="456"/>
      <c r="AVT173" s="456"/>
      <c r="AVU173" s="456"/>
      <c r="AVV173" s="456"/>
      <c r="AVW173" s="456"/>
      <c r="AVX173" s="456"/>
      <c r="AVY173" s="456"/>
      <c r="AVZ173" s="456"/>
      <c r="AWA173" s="456"/>
      <c r="AWB173" s="456"/>
      <c r="AWC173" s="456"/>
      <c r="AWD173" s="456"/>
      <c r="AWE173" s="456"/>
      <c r="AWF173" s="456"/>
      <c r="AWG173" s="456"/>
      <c r="AWH173" s="456"/>
      <c r="AWI173" s="456"/>
      <c r="AWJ173" s="456"/>
      <c r="AWK173" s="456"/>
      <c r="AWL173" s="456"/>
      <c r="AWM173" s="456"/>
      <c r="AWN173" s="456"/>
      <c r="AWO173" s="456"/>
      <c r="AWP173" s="456"/>
      <c r="AWQ173" s="456"/>
      <c r="AWR173" s="456"/>
      <c r="AWS173" s="456"/>
      <c r="AWT173" s="456"/>
      <c r="AWU173" s="456"/>
      <c r="AWV173" s="456"/>
      <c r="AWW173" s="456"/>
      <c r="AWX173" s="456"/>
      <c r="AWY173" s="456"/>
      <c r="AWZ173" s="456"/>
      <c r="AXA173" s="456"/>
      <c r="AXB173" s="456"/>
      <c r="AXC173" s="456"/>
      <c r="AXD173" s="456"/>
      <c r="AXE173" s="456"/>
      <c r="AXF173" s="456"/>
      <c r="AXG173" s="456"/>
      <c r="AXH173" s="456"/>
      <c r="AXI173" s="456"/>
      <c r="AXJ173" s="456"/>
      <c r="AXK173" s="456"/>
      <c r="AXL173" s="456"/>
      <c r="AXM173" s="456"/>
      <c r="AXN173" s="456"/>
      <c r="AXO173" s="456"/>
      <c r="AXP173" s="456"/>
      <c r="AXQ173" s="456"/>
      <c r="AXR173" s="456"/>
      <c r="AXS173" s="456"/>
      <c r="AXT173" s="456"/>
      <c r="AXU173" s="456"/>
      <c r="AXV173" s="456"/>
      <c r="AXW173" s="456"/>
      <c r="AXX173" s="456"/>
      <c r="AXY173" s="456"/>
      <c r="AXZ173" s="456"/>
      <c r="AYA173" s="456"/>
      <c r="AYB173" s="456"/>
      <c r="AYC173" s="456"/>
      <c r="AYD173" s="456"/>
      <c r="AYE173" s="456"/>
      <c r="AYF173" s="456"/>
      <c r="AYG173" s="456"/>
      <c r="AYH173" s="456"/>
      <c r="AYI173" s="456"/>
      <c r="AYJ173" s="456"/>
      <c r="AYK173" s="456"/>
      <c r="AYL173" s="456"/>
      <c r="AYM173" s="456"/>
      <c r="AYN173" s="456"/>
      <c r="AYO173" s="456"/>
      <c r="AYP173" s="456"/>
      <c r="AYQ173" s="456"/>
      <c r="AYR173" s="456"/>
      <c r="AYS173" s="456"/>
      <c r="AYT173" s="456"/>
      <c r="AYU173" s="456"/>
      <c r="AYV173" s="456"/>
      <c r="AYW173" s="456"/>
      <c r="AYX173" s="456"/>
      <c r="AYY173" s="456"/>
      <c r="AYZ173" s="456"/>
      <c r="AZA173" s="456"/>
      <c r="AZB173" s="456"/>
      <c r="AZC173" s="456"/>
      <c r="AZD173" s="456"/>
      <c r="AZE173" s="456"/>
      <c r="AZF173" s="456"/>
      <c r="AZG173" s="456"/>
      <c r="AZH173" s="456"/>
      <c r="AZI173" s="456"/>
      <c r="AZJ173" s="456"/>
      <c r="AZK173" s="456"/>
      <c r="AZL173" s="456"/>
      <c r="AZM173" s="456"/>
      <c r="AZN173" s="456"/>
      <c r="AZO173" s="456"/>
      <c r="AZP173" s="456"/>
      <c r="AZQ173" s="456"/>
      <c r="AZR173" s="456"/>
      <c r="AZS173" s="456"/>
      <c r="AZT173" s="456"/>
      <c r="AZU173" s="456"/>
      <c r="AZV173" s="456"/>
      <c r="AZW173" s="456"/>
      <c r="AZX173" s="456"/>
      <c r="AZY173" s="456"/>
      <c r="AZZ173" s="456"/>
      <c r="BAA173" s="456"/>
      <c r="BAB173" s="456"/>
      <c r="BAC173" s="456"/>
      <c r="BAD173" s="456"/>
      <c r="BAE173" s="456"/>
      <c r="BAF173" s="456"/>
      <c r="BAG173" s="456"/>
      <c r="BAH173" s="456"/>
      <c r="BAI173" s="456"/>
      <c r="BAJ173" s="456"/>
      <c r="BAK173" s="456"/>
      <c r="BAL173" s="456"/>
      <c r="BAM173" s="456"/>
      <c r="BAN173" s="456"/>
      <c r="BAO173" s="456"/>
      <c r="BAP173" s="456"/>
      <c r="BAQ173" s="456"/>
      <c r="BAR173" s="456"/>
      <c r="BAS173" s="456"/>
      <c r="BAT173" s="456"/>
      <c r="BAU173" s="456"/>
      <c r="BAV173" s="456"/>
      <c r="BAW173" s="456"/>
      <c r="BAX173" s="456"/>
      <c r="BAY173" s="456"/>
      <c r="BAZ173" s="456"/>
      <c r="BBA173" s="456"/>
      <c r="BBB173" s="456"/>
      <c r="BBC173" s="456"/>
      <c r="BBD173" s="456"/>
      <c r="BBE173" s="456"/>
      <c r="BBF173" s="456"/>
      <c r="BBG173" s="456"/>
      <c r="BBH173" s="456"/>
      <c r="BBI173" s="456"/>
      <c r="BBJ173" s="456"/>
      <c r="BBK173" s="456"/>
      <c r="BBL173" s="456"/>
      <c r="BBM173" s="456"/>
      <c r="BBN173" s="456"/>
      <c r="BBO173" s="456"/>
      <c r="BBP173" s="456"/>
      <c r="BBQ173" s="456"/>
      <c r="BBR173" s="456"/>
      <c r="BBS173" s="456"/>
      <c r="BBT173" s="456"/>
      <c r="BBU173" s="456"/>
      <c r="BBV173" s="456"/>
      <c r="BBW173" s="456"/>
      <c r="BBX173" s="456"/>
      <c r="BBY173" s="456"/>
      <c r="BBZ173" s="456"/>
      <c r="BCA173" s="456"/>
      <c r="BCB173" s="456"/>
      <c r="BCC173" s="456"/>
      <c r="BCD173" s="456"/>
      <c r="BCE173" s="456"/>
      <c r="BCF173" s="456"/>
      <c r="BCG173" s="456"/>
      <c r="BCH173" s="456"/>
      <c r="BCI173" s="456"/>
      <c r="BCJ173" s="456"/>
      <c r="BCK173" s="456"/>
      <c r="BCL173" s="456"/>
      <c r="BCM173" s="456"/>
      <c r="BCN173" s="456"/>
      <c r="BCO173" s="456"/>
      <c r="BCP173" s="456"/>
      <c r="BCQ173" s="456"/>
      <c r="BCR173" s="456"/>
      <c r="BCS173" s="456"/>
      <c r="BCT173" s="456"/>
      <c r="BCU173" s="456"/>
      <c r="BCV173" s="456"/>
      <c r="BCW173" s="456"/>
      <c r="BCX173" s="456"/>
      <c r="BCY173" s="456"/>
      <c r="BCZ173" s="456"/>
      <c r="BDA173" s="456"/>
      <c r="BDB173" s="456"/>
      <c r="BDC173" s="456"/>
      <c r="BDD173" s="456"/>
      <c r="BDE173" s="456"/>
      <c r="BDF173" s="456"/>
      <c r="BDG173" s="456"/>
      <c r="BDH173" s="456"/>
      <c r="BDI173" s="456"/>
      <c r="BDJ173" s="456"/>
      <c r="BDK173" s="456"/>
      <c r="BDL173" s="456"/>
      <c r="BDM173" s="456"/>
      <c r="BDN173" s="456"/>
      <c r="BDO173" s="456"/>
      <c r="BDP173" s="456"/>
      <c r="BDQ173" s="456"/>
      <c r="BDR173" s="456"/>
      <c r="BDS173" s="456"/>
      <c r="BDT173" s="456"/>
      <c r="BDU173" s="456"/>
      <c r="BDV173" s="456"/>
      <c r="BDW173" s="456"/>
      <c r="BDX173" s="456"/>
      <c r="BDY173" s="456"/>
      <c r="BDZ173" s="456"/>
      <c r="BEA173" s="456"/>
      <c r="BEB173" s="456"/>
      <c r="BEC173" s="456"/>
      <c r="BED173" s="456"/>
      <c r="BEE173" s="456"/>
      <c r="BEF173" s="456"/>
      <c r="BEG173" s="456"/>
      <c r="BEH173" s="456"/>
      <c r="BEI173" s="456"/>
      <c r="BEJ173" s="456"/>
      <c r="BEK173" s="456"/>
      <c r="BEL173" s="456"/>
      <c r="BEM173" s="456"/>
      <c r="BEN173" s="456"/>
      <c r="BEO173" s="456"/>
      <c r="BEP173" s="456"/>
      <c r="BEQ173" s="456"/>
      <c r="BER173" s="456"/>
      <c r="BES173" s="456"/>
      <c r="BET173" s="456"/>
      <c r="BEU173" s="456"/>
      <c r="BEV173" s="456"/>
      <c r="BEW173" s="456"/>
      <c r="BEX173" s="456"/>
      <c r="BEY173" s="456"/>
      <c r="BEZ173" s="456"/>
      <c r="BFA173" s="456"/>
      <c r="BFB173" s="456"/>
      <c r="BFC173" s="456"/>
      <c r="BFD173" s="456"/>
      <c r="BFE173" s="456"/>
      <c r="BFF173" s="456"/>
      <c r="BFG173" s="456"/>
      <c r="BFH173" s="456"/>
      <c r="BFI173" s="456"/>
      <c r="BFJ173" s="456"/>
      <c r="BFK173" s="456"/>
      <c r="BFL173" s="456"/>
      <c r="BFM173" s="456"/>
      <c r="BFN173" s="456"/>
      <c r="BFO173" s="456"/>
      <c r="BFP173" s="456"/>
      <c r="BFQ173" s="456"/>
      <c r="BFR173" s="456"/>
      <c r="BFS173" s="456"/>
      <c r="BFT173" s="456"/>
      <c r="BFU173" s="456"/>
      <c r="BFV173" s="456"/>
      <c r="BFW173" s="456"/>
      <c r="BFX173" s="456"/>
      <c r="BFY173" s="456"/>
      <c r="BFZ173" s="456"/>
      <c r="BGA173" s="456"/>
      <c r="BGB173" s="456"/>
      <c r="BGC173" s="456"/>
      <c r="BGD173" s="456"/>
      <c r="BGE173" s="456"/>
      <c r="BGF173" s="456"/>
      <c r="BGG173" s="456"/>
      <c r="BGH173" s="456"/>
      <c r="BGI173" s="456"/>
      <c r="BGJ173" s="456"/>
      <c r="BGK173" s="456"/>
      <c r="BGL173" s="456"/>
      <c r="BGM173" s="456"/>
      <c r="BGN173" s="456"/>
      <c r="BGO173" s="456"/>
      <c r="BGP173" s="456"/>
      <c r="BGQ173" s="456"/>
      <c r="BGR173" s="456"/>
      <c r="BGS173" s="456"/>
      <c r="BGT173" s="456"/>
      <c r="BGU173" s="456"/>
      <c r="BGV173" s="456"/>
      <c r="BGW173" s="456"/>
      <c r="BGX173" s="456"/>
      <c r="BGY173" s="456"/>
      <c r="BGZ173" s="456"/>
      <c r="BHA173" s="456"/>
      <c r="BHB173" s="456"/>
      <c r="BHC173" s="456"/>
      <c r="BHD173" s="456"/>
      <c r="BHE173" s="456"/>
      <c r="BHF173" s="456"/>
      <c r="BHG173" s="456"/>
      <c r="BHH173" s="456"/>
      <c r="BHI173" s="456"/>
      <c r="BHJ173" s="456"/>
      <c r="BHK173" s="456"/>
      <c r="BHL173" s="456"/>
      <c r="BHM173" s="456"/>
      <c r="BHN173" s="456"/>
      <c r="BHO173" s="456"/>
      <c r="BHP173" s="456"/>
      <c r="BHQ173" s="456"/>
      <c r="BHR173" s="456"/>
      <c r="BHS173" s="456"/>
      <c r="BHT173" s="456"/>
      <c r="BHU173" s="456"/>
      <c r="BHV173" s="456"/>
      <c r="BHW173" s="456"/>
      <c r="BHX173" s="456"/>
      <c r="BHY173" s="456"/>
      <c r="BHZ173" s="456"/>
      <c r="BIA173" s="456"/>
      <c r="BIB173" s="456"/>
      <c r="BIC173" s="456"/>
      <c r="BID173" s="456"/>
      <c r="BIE173" s="456"/>
      <c r="BIF173" s="456"/>
      <c r="BIG173" s="456"/>
      <c r="BIH173" s="456"/>
      <c r="BII173" s="456"/>
      <c r="BIJ173" s="456"/>
      <c r="BIK173" s="456"/>
      <c r="BIL173" s="456"/>
      <c r="BIM173" s="456"/>
      <c r="BIN173" s="456"/>
      <c r="BIO173" s="456"/>
      <c r="BIP173" s="456"/>
      <c r="BIQ173" s="456"/>
      <c r="BIR173" s="456"/>
      <c r="BIS173" s="456"/>
      <c r="BIT173" s="456"/>
      <c r="BIU173" s="456"/>
      <c r="BIV173" s="456"/>
      <c r="BIW173" s="456"/>
      <c r="BIX173" s="456"/>
      <c r="BIY173" s="456"/>
      <c r="BIZ173" s="456"/>
      <c r="BJA173" s="456"/>
      <c r="BJB173" s="456"/>
      <c r="BJC173" s="456"/>
      <c r="BJD173" s="456"/>
      <c r="BJE173" s="456"/>
      <c r="BJF173" s="456"/>
      <c r="BJG173" s="456"/>
      <c r="BJH173" s="456"/>
      <c r="BJI173" s="456"/>
      <c r="BJJ173" s="456"/>
      <c r="BJK173" s="456"/>
      <c r="BJL173" s="456"/>
      <c r="BJM173" s="456"/>
      <c r="BJN173" s="456"/>
      <c r="BJO173" s="456"/>
      <c r="BJP173" s="456"/>
      <c r="BJQ173" s="456"/>
      <c r="BJR173" s="456"/>
      <c r="BJS173" s="456"/>
      <c r="BJT173" s="456"/>
      <c r="BJU173" s="456"/>
      <c r="BJV173" s="456"/>
      <c r="BJW173" s="456"/>
      <c r="BJX173" s="456"/>
      <c r="BJY173" s="456"/>
      <c r="BJZ173" s="456"/>
      <c r="BKA173" s="456"/>
      <c r="BKB173" s="456"/>
      <c r="BKC173" s="456"/>
      <c r="BKD173" s="456"/>
      <c r="BKE173" s="456"/>
      <c r="BKF173" s="456"/>
      <c r="BKG173" s="456"/>
      <c r="BKH173" s="456"/>
      <c r="BKI173" s="456"/>
      <c r="BKJ173" s="456"/>
      <c r="BKK173" s="456"/>
      <c r="BKL173" s="456"/>
      <c r="BKM173" s="456"/>
      <c r="BKN173" s="456"/>
      <c r="BKO173" s="456"/>
      <c r="BKP173" s="456"/>
      <c r="BKQ173" s="456"/>
      <c r="BKR173" s="456"/>
      <c r="BKS173" s="456"/>
      <c r="BKT173" s="456"/>
      <c r="BKU173" s="456"/>
      <c r="BKV173" s="456"/>
      <c r="BKW173" s="456"/>
      <c r="BKX173" s="456"/>
      <c r="BKY173" s="456"/>
      <c r="BKZ173" s="456"/>
      <c r="BLA173" s="456"/>
      <c r="BLB173" s="456"/>
      <c r="BLC173" s="456"/>
      <c r="BLD173" s="456"/>
      <c r="BLE173" s="456"/>
      <c r="BLF173" s="456"/>
      <c r="BLG173" s="456"/>
      <c r="BLH173" s="456"/>
      <c r="BLI173" s="456"/>
      <c r="BLJ173" s="456"/>
      <c r="BLK173" s="456"/>
      <c r="BLL173" s="456"/>
      <c r="BLM173" s="456"/>
      <c r="BLN173" s="456"/>
      <c r="BLO173" s="456"/>
      <c r="BLP173" s="456"/>
      <c r="BLQ173" s="456"/>
      <c r="BLR173" s="456"/>
      <c r="BLS173" s="456"/>
      <c r="BLT173" s="456"/>
      <c r="BLU173" s="456"/>
      <c r="BLV173" s="456"/>
      <c r="BLW173" s="456"/>
      <c r="BLX173" s="456"/>
      <c r="BLY173" s="456"/>
      <c r="BLZ173" s="456"/>
      <c r="BMA173" s="456"/>
      <c r="BMB173" s="456"/>
      <c r="BMC173" s="456"/>
      <c r="BMD173" s="456"/>
      <c r="BME173" s="456"/>
      <c r="BMF173" s="456"/>
      <c r="BMG173" s="456"/>
      <c r="BMH173" s="456"/>
      <c r="BMI173" s="456"/>
      <c r="BMJ173" s="456"/>
      <c r="BMK173" s="456"/>
      <c r="BML173" s="456"/>
      <c r="BMM173" s="456"/>
      <c r="BMN173" s="456"/>
      <c r="BMO173" s="456"/>
      <c r="BMP173" s="456"/>
      <c r="BMQ173" s="456"/>
      <c r="BMR173" s="456"/>
      <c r="BMS173" s="456"/>
      <c r="BMT173" s="456"/>
      <c r="BMU173" s="456"/>
      <c r="BMV173" s="456"/>
      <c r="BMW173" s="456"/>
      <c r="BMX173" s="456"/>
      <c r="BMY173" s="456"/>
      <c r="BMZ173" s="456"/>
      <c r="BNA173" s="456"/>
      <c r="BNB173" s="456"/>
      <c r="BNC173" s="456"/>
      <c r="BND173" s="456"/>
      <c r="BNE173" s="456"/>
      <c r="BNF173" s="456"/>
      <c r="BNG173" s="456"/>
      <c r="BNH173" s="456"/>
      <c r="BNI173" s="456"/>
      <c r="BNJ173" s="456"/>
      <c r="BNK173" s="456"/>
      <c r="BNL173" s="456"/>
      <c r="BNM173" s="456"/>
      <c r="BNN173" s="456"/>
      <c r="BNO173" s="456"/>
      <c r="BNP173" s="456"/>
      <c r="BNQ173" s="456"/>
      <c r="BNR173" s="456"/>
      <c r="BNS173" s="456"/>
      <c r="BNT173" s="456"/>
      <c r="BNU173" s="456"/>
      <c r="BNV173" s="456"/>
      <c r="BNW173" s="456"/>
      <c r="BNX173" s="456"/>
      <c r="BNY173" s="456"/>
      <c r="BNZ173" s="456"/>
      <c r="BOA173" s="456"/>
      <c r="BOB173" s="456"/>
      <c r="BOC173" s="456"/>
      <c r="BOD173" s="456"/>
      <c r="BOE173" s="456"/>
      <c r="BOF173" s="456"/>
      <c r="BOG173" s="456"/>
      <c r="BOH173" s="456"/>
      <c r="BOI173" s="456"/>
      <c r="BOJ173" s="456"/>
      <c r="BOK173" s="456"/>
      <c r="BOL173" s="456"/>
      <c r="BOM173" s="456"/>
      <c r="BON173" s="456"/>
      <c r="BOO173" s="456"/>
      <c r="BOP173" s="456"/>
      <c r="BOQ173" s="456"/>
      <c r="BOR173" s="456"/>
      <c r="BOS173" s="456"/>
      <c r="BOT173" s="456"/>
      <c r="BOU173" s="456"/>
      <c r="BOV173" s="456"/>
      <c r="BOW173" s="456"/>
      <c r="BOX173" s="456"/>
      <c r="BOY173" s="456"/>
      <c r="BOZ173" s="456"/>
      <c r="BPA173" s="456"/>
      <c r="BPB173" s="456"/>
      <c r="BPC173" s="456"/>
      <c r="BPD173" s="456"/>
      <c r="BPE173" s="456"/>
      <c r="BPF173" s="456"/>
      <c r="BPG173" s="456"/>
      <c r="BPH173" s="456"/>
      <c r="BPI173" s="456"/>
      <c r="BPJ173" s="456"/>
      <c r="BPK173" s="456"/>
      <c r="BPL173" s="456"/>
      <c r="BPM173" s="456"/>
      <c r="BPN173" s="456"/>
      <c r="BPO173" s="456"/>
      <c r="BPP173" s="456"/>
      <c r="BPQ173" s="456"/>
      <c r="BPR173" s="456"/>
      <c r="BPS173" s="456"/>
      <c r="BPT173" s="456"/>
      <c r="BPU173" s="456"/>
      <c r="BPV173" s="456"/>
      <c r="BPW173" s="456"/>
      <c r="BPX173" s="456"/>
      <c r="BPY173" s="456"/>
      <c r="BPZ173" s="456"/>
      <c r="BQA173" s="456"/>
      <c r="BQB173" s="456"/>
      <c r="BQC173" s="456"/>
      <c r="BQD173" s="456"/>
      <c r="BQE173" s="456"/>
      <c r="BQF173" s="456"/>
      <c r="BQG173" s="456"/>
      <c r="BQH173" s="456"/>
      <c r="BQI173" s="456"/>
      <c r="BQJ173" s="456"/>
      <c r="BQK173" s="456"/>
      <c r="BQL173" s="456"/>
      <c r="BQM173" s="456"/>
      <c r="BQN173" s="456"/>
      <c r="BQO173" s="456"/>
      <c r="BQP173" s="456"/>
      <c r="BQQ173" s="456"/>
      <c r="BQR173" s="456"/>
      <c r="BQS173" s="456"/>
      <c r="BQT173" s="456"/>
      <c r="BQU173" s="456"/>
      <c r="BQV173" s="456"/>
      <c r="BQW173" s="456"/>
      <c r="BQX173" s="456"/>
      <c r="BQY173" s="456"/>
      <c r="BQZ173" s="456"/>
      <c r="BRA173" s="456"/>
      <c r="BRB173" s="456"/>
      <c r="BRC173" s="456"/>
      <c r="BRD173" s="456"/>
      <c r="BRE173" s="456"/>
      <c r="BRF173" s="456"/>
      <c r="BRG173" s="456"/>
      <c r="BRH173" s="456"/>
      <c r="BRI173" s="456"/>
      <c r="BRJ173" s="456"/>
      <c r="BRK173" s="456"/>
      <c r="BRL173" s="456"/>
      <c r="BRM173" s="456"/>
      <c r="BRN173" s="456"/>
      <c r="BRO173" s="456"/>
      <c r="BRP173" s="456"/>
      <c r="BRQ173" s="456"/>
      <c r="BRR173" s="456"/>
      <c r="BRS173" s="456"/>
      <c r="BRT173" s="456"/>
      <c r="BRU173" s="456"/>
      <c r="BRV173" s="456"/>
      <c r="BRW173" s="456"/>
      <c r="BRX173" s="456"/>
      <c r="BRY173" s="456"/>
      <c r="BRZ173" s="456"/>
      <c r="BSA173" s="456"/>
      <c r="BSB173" s="456"/>
      <c r="BSC173" s="456"/>
      <c r="BSD173" s="456"/>
      <c r="BSE173" s="456"/>
      <c r="BSF173" s="456"/>
      <c r="BSG173" s="456"/>
      <c r="BSH173" s="456"/>
      <c r="BSI173" s="456"/>
      <c r="BSJ173" s="456"/>
      <c r="BSK173" s="456"/>
      <c r="BSL173" s="456"/>
      <c r="BSM173" s="456"/>
      <c r="BSN173" s="456"/>
      <c r="BSO173" s="456"/>
      <c r="BSP173" s="456"/>
      <c r="BSQ173" s="456"/>
      <c r="BSR173" s="456"/>
      <c r="BSS173" s="456"/>
      <c r="BST173" s="456"/>
      <c r="BSU173" s="456"/>
      <c r="BSV173" s="456"/>
      <c r="BSW173" s="456"/>
      <c r="BSX173" s="456"/>
      <c r="BSY173" s="456"/>
      <c r="BSZ173" s="456"/>
      <c r="BTA173" s="456"/>
      <c r="BTB173" s="456"/>
      <c r="BTC173" s="456"/>
      <c r="BTD173" s="456"/>
      <c r="BTE173" s="456"/>
      <c r="BTF173" s="456"/>
      <c r="BTG173" s="456"/>
      <c r="BTH173" s="456"/>
      <c r="BTI173" s="456"/>
      <c r="BTJ173" s="456"/>
      <c r="BTK173" s="456"/>
      <c r="BTL173" s="456"/>
      <c r="BTM173" s="456"/>
      <c r="BTN173" s="456"/>
      <c r="BTO173" s="456"/>
      <c r="BTP173" s="456"/>
      <c r="BTQ173" s="456"/>
      <c r="BTR173" s="456"/>
      <c r="BTS173" s="456"/>
      <c r="BTT173" s="456"/>
      <c r="BTU173" s="456"/>
      <c r="BTV173" s="456"/>
      <c r="BTW173" s="456"/>
      <c r="BTX173" s="456"/>
      <c r="BTY173" s="456"/>
      <c r="BTZ173" s="456"/>
      <c r="BUA173" s="456"/>
      <c r="BUB173" s="456"/>
      <c r="BUC173" s="456"/>
      <c r="BUD173" s="456"/>
      <c r="BUE173" s="456"/>
      <c r="BUF173" s="456"/>
      <c r="BUG173" s="456"/>
      <c r="BUH173" s="456"/>
      <c r="BUI173" s="456"/>
      <c r="BUJ173" s="456"/>
      <c r="BUK173" s="456"/>
      <c r="BUL173" s="456"/>
      <c r="BUM173" s="456"/>
      <c r="BUN173" s="456"/>
      <c r="BUO173" s="456"/>
      <c r="BUP173" s="456"/>
      <c r="BUQ173" s="456"/>
      <c r="BUR173" s="456"/>
      <c r="BUS173" s="456"/>
      <c r="BUT173" s="456"/>
      <c r="BUU173" s="456"/>
      <c r="BUV173" s="456"/>
      <c r="BUW173" s="456"/>
      <c r="BUX173" s="456"/>
      <c r="BUY173" s="456"/>
      <c r="BUZ173" s="456"/>
      <c r="BVA173" s="456"/>
      <c r="BVB173" s="456"/>
      <c r="BVC173" s="456"/>
      <c r="BVD173" s="456"/>
      <c r="BVE173" s="456"/>
      <c r="BVF173" s="456"/>
      <c r="BVG173" s="456"/>
      <c r="BVH173" s="456"/>
      <c r="BVI173" s="456"/>
      <c r="BVJ173" s="456"/>
      <c r="BVK173" s="456"/>
      <c r="BVL173" s="456"/>
      <c r="BVM173" s="456"/>
      <c r="BVN173" s="456"/>
      <c r="BVO173" s="456"/>
      <c r="BVP173" s="456"/>
      <c r="BVQ173" s="456"/>
      <c r="BVR173" s="456"/>
      <c r="BVS173" s="456"/>
      <c r="BVT173" s="456"/>
      <c r="BVU173" s="456"/>
      <c r="BVV173" s="456"/>
      <c r="BVW173" s="456"/>
      <c r="BVX173" s="456"/>
      <c r="BVY173" s="456"/>
      <c r="BVZ173" s="456"/>
      <c r="BWA173" s="456"/>
      <c r="BWB173" s="456"/>
      <c r="BWC173" s="456"/>
      <c r="BWD173" s="456"/>
      <c r="BWE173" s="456"/>
      <c r="BWF173" s="456"/>
      <c r="BWG173" s="456"/>
      <c r="BWH173" s="456"/>
      <c r="BWI173" s="456"/>
      <c r="BWJ173" s="456"/>
      <c r="BWK173" s="456"/>
      <c r="BWL173" s="456"/>
      <c r="BWM173" s="456"/>
      <c r="BWN173" s="456"/>
      <c r="BWO173" s="456"/>
      <c r="BWP173" s="456"/>
      <c r="BWQ173" s="456"/>
      <c r="BWR173" s="456"/>
      <c r="BWS173" s="456"/>
      <c r="BWT173" s="456"/>
      <c r="BWU173" s="456"/>
      <c r="BWV173" s="456"/>
      <c r="BWW173" s="456"/>
      <c r="BWX173" s="456"/>
      <c r="BWY173" s="456"/>
      <c r="BWZ173" s="456"/>
      <c r="BXA173" s="456"/>
      <c r="BXB173" s="456"/>
      <c r="BXC173" s="456"/>
      <c r="BXD173" s="456"/>
      <c r="BXE173" s="456"/>
      <c r="BXF173" s="456"/>
      <c r="BXG173" s="456"/>
      <c r="BXH173" s="456"/>
      <c r="BXI173" s="456"/>
      <c r="BXJ173" s="456"/>
      <c r="BXK173" s="456"/>
      <c r="BXL173" s="456"/>
      <c r="BXM173" s="456"/>
      <c r="BXN173" s="456"/>
      <c r="BXO173" s="456"/>
      <c r="BXP173" s="456"/>
      <c r="BXQ173" s="456"/>
      <c r="BXR173" s="456"/>
      <c r="BXS173" s="456"/>
      <c r="BXT173" s="456"/>
      <c r="BXU173" s="456"/>
      <c r="BXV173" s="456"/>
      <c r="BXW173" s="456"/>
      <c r="BXX173" s="456"/>
      <c r="BXY173" s="456"/>
      <c r="BXZ173" s="456"/>
    </row>
    <row r="174" s="25" customFormat="1" spans="1:1024 1025:2002">
      <c r="A174" s="473" t="s">
        <v>34</v>
      </c>
      <c r="B174" s="19">
        <v>1134</v>
      </c>
      <c r="C174" s="183">
        <v>46224</v>
      </c>
      <c r="D174" s="17" t="s">
        <v>52</v>
      </c>
      <c r="E174" s="17" t="s">
        <v>119</v>
      </c>
      <c r="F174" s="17" t="s">
        <v>54</v>
      </c>
      <c r="G174" s="17"/>
      <c r="H174" s="19">
        <v>1.2738</v>
      </c>
      <c r="I174" s="102" t="s">
        <v>65</v>
      </c>
      <c r="J174" s="17" t="s">
        <v>49</v>
      </c>
      <c r="K174" s="167">
        <v>2200</v>
      </c>
      <c r="L174" s="167">
        <v>32</v>
      </c>
      <c r="M174" s="176">
        <v>3500</v>
      </c>
      <c r="N174" s="19" t="s">
        <v>66</v>
      </c>
      <c r="O174" s="19" t="s">
        <v>67</v>
      </c>
      <c r="P174" s="176">
        <v>2487</v>
      </c>
      <c r="Q174" s="99">
        <v>2530</v>
      </c>
      <c r="R174" s="99">
        <f t="shared" si="9"/>
        <v>-43</v>
      </c>
      <c r="S174" s="19">
        <v>970</v>
      </c>
      <c r="T174" s="19" t="s">
        <v>42</v>
      </c>
      <c r="U174" s="102" t="s">
        <v>123</v>
      </c>
      <c r="V174" s="186">
        <v>46230</v>
      </c>
      <c r="W174" s="17" t="s">
        <v>44</v>
      </c>
      <c r="X174" s="17"/>
      <c r="Y174" s="68">
        <v>46235</v>
      </c>
      <c r="Z174" s="17" t="s">
        <v>45</v>
      </c>
      <c r="AA174" s="17" t="s">
        <v>46</v>
      </c>
      <c r="AB174" s="17" t="s">
        <v>122</v>
      </c>
      <c r="AC174" s="217">
        <v>46243</v>
      </c>
      <c r="AD174" s="65">
        <v>1847</v>
      </c>
      <c r="AE174" s="17" t="s">
        <v>48</v>
      </c>
      <c r="AF174" s="17" t="s">
        <v>61</v>
      </c>
      <c r="AG174" s="17"/>
      <c r="AH174" s="456"/>
      <c r="AI174" s="456"/>
      <c r="AJ174" s="456"/>
      <c r="AK174" s="456"/>
      <c r="AL174" s="456"/>
      <c r="AM174" s="456"/>
      <c r="AN174" s="456"/>
      <c r="AO174" s="456"/>
      <c r="AP174" s="456"/>
      <c r="AQ174" s="456"/>
      <c r="AR174" s="456"/>
      <c r="AS174" s="456"/>
      <c r="AT174" s="456"/>
      <c r="AU174" s="456"/>
      <c r="AV174" s="456"/>
      <c r="AW174" s="456"/>
      <c r="AX174" s="456"/>
      <c r="AY174" s="456"/>
      <c r="AZ174" s="456"/>
      <c r="BA174" s="456"/>
      <c r="BB174" s="456"/>
      <c r="BC174" s="456"/>
      <c r="BD174" s="456"/>
      <c r="BE174" s="456"/>
      <c r="BF174" s="456"/>
      <c r="BG174" s="456"/>
      <c r="BH174" s="456"/>
      <c r="BI174" s="456"/>
      <c r="BJ174" s="456"/>
      <c r="BK174" s="456"/>
      <c r="BL174" s="456"/>
      <c r="BM174" s="456"/>
      <c r="BN174" s="456"/>
      <c r="BO174" s="456"/>
      <c r="BP174" s="456"/>
      <c r="BQ174" s="456"/>
      <c r="BR174" s="456"/>
      <c r="BS174" s="456"/>
      <c r="BT174" s="456"/>
      <c r="BU174" s="456"/>
      <c r="BV174" s="456"/>
      <c r="BW174" s="456"/>
      <c r="BX174" s="456"/>
      <c r="BY174" s="456"/>
      <c r="BZ174" s="456"/>
      <c r="CA174" s="456"/>
      <c r="CB174" s="456"/>
      <c r="CC174" s="456"/>
      <c r="CD174" s="456"/>
      <c r="CE174" s="456"/>
      <c r="CF174" s="456"/>
      <c r="CG174" s="456"/>
      <c r="CH174" s="456"/>
      <c r="CI174" s="456"/>
      <c r="CJ174" s="456"/>
      <c r="CK174" s="456"/>
      <c r="CL174" s="456"/>
      <c r="CM174" s="456"/>
      <c r="CN174" s="456"/>
      <c r="CO174" s="456"/>
      <c r="CP174" s="456"/>
      <c r="CQ174" s="456"/>
      <c r="CR174" s="456"/>
      <c r="CS174" s="456"/>
      <c r="CT174" s="456"/>
      <c r="CU174" s="456"/>
      <c r="CV174" s="456"/>
      <c r="CW174" s="456"/>
      <c r="CX174" s="456"/>
      <c r="CY174" s="456"/>
      <c r="CZ174" s="456"/>
      <c r="DA174" s="456"/>
      <c r="DB174" s="456"/>
      <c r="DC174" s="456"/>
      <c r="DD174" s="456"/>
      <c r="DE174" s="456"/>
      <c r="DF174" s="456"/>
      <c r="DG174" s="456"/>
      <c r="DH174" s="456"/>
      <c r="DI174" s="456"/>
      <c r="DJ174" s="456"/>
      <c r="DK174" s="456"/>
      <c r="DL174" s="456"/>
      <c r="DM174" s="456"/>
      <c r="DN174" s="456"/>
      <c r="DO174" s="456"/>
      <c r="DP174" s="456"/>
      <c r="DQ174" s="456"/>
      <c r="DR174" s="456"/>
      <c r="DS174" s="456"/>
      <c r="DT174" s="456"/>
      <c r="DU174" s="456"/>
      <c r="DV174" s="456"/>
      <c r="DW174" s="456"/>
      <c r="DX174" s="456"/>
      <c r="DY174" s="456"/>
      <c r="DZ174" s="456"/>
      <c r="EA174" s="456"/>
      <c r="EB174" s="456"/>
      <c r="EC174" s="456"/>
      <c r="ED174" s="456"/>
      <c r="EE174" s="456"/>
      <c r="EF174" s="456"/>
      <c r="EG174" s="456"/>
      <c r="EH174" s="456"/>
      <c r="EI174" s="456"/>
      <c r="EJ174" s="456"/>
      <c r="EK174" s="456"/>
      <c r="EL174" s="456"/>
      <c r="EM174" s="456"/>
      <c r="EN174" s="456"/>
      <c r="EO174" s="456"/>
      <c r="EP174" s="456"/>
      <c r="EQ174" s="456"/>
      <c r="ER174" s="456"/>
      <c r="ES174" s="456"/>
      <c r="ET174" s="456"/>
      <c r="EU174" s="456"/>
      <c r="EV174" s="456"/>
      <c r="EW174" s="456"/>
      <c r="EX174" s="456"/>
      <c r="EY174" s="456"/>
      <c r="EZ174" s="456"/>
      <c r="FA174" s="456"/>
      <c r="FB174" s="456"/>
      <c r="FC174" s="456"/>
      <c r="FD174" s="456"/>
      <c r="FE174" s="456"/>
      <c r="FF174" s="456"/>
      <c r="FG174" s="456"/>
      <c r="FH174" s="456"/>
      <c r="FI174" s="456"/>
      <c r="FJ174" s="456"/>
      <c r="FK174" s="456"/>
      <c r="FL174" s="456"/>
      <c r="FM174" s="456"/>
      <c r="FN174" s="456"/>
      <c r="FO174" s="456"/>
      <c r="FP174" s="456"/>
      <c r="FQ174" s="456"/>
      <c r="FR174" s="456"/>
      <c r="FS174" s="456"/>
      <c r="FT174" s="456"/>
      <c r="FU174" s="456"/>
      <c r="FV174" s="456"/>
      <c r="FW174" s="456"/>
      <c r="FX174" s="456"/>
      <c r="FY174" s="456"/>
      <c r="FZ174" s="456"/>
      <c r="GA174" s="456"/>
      <c r="GB174" s="456"/>
      <c r="GC174" s="456"/>
      <c r="GD174" s="456"/>
      <c r="GE174" s="456"/>
      <c r="GF174" s="456"/>
      <c r="GG174" s="456"/>
      <c r="GH174" s="456"/>
      <c r="GI174" s="456"/>
      <c r="GJ174" s="456"/>
      <c r="GK174" s="456"/>
      <c r="GL174" s="456"/>
      <c r="GM174" s="456"/>
      <c r="GN174" s="456"/>
      <c r="GO174" s="456"/>
      <c r="GP174" s="456"/>
      <c r="GQ174" s="456"/>
      <c r="GR174" s="456"/>
      <c r="GS174" s="456"/>
      <c r="GT174" s="456"/>
      <c r="GU174" s="456"/>
      <c r="GV174" s="456"/>
      <c r="GW174" s="456"/>
      <c r="GX174" s="456"/>
      <c r="GY174" s="456"/>
      <c r="GZ174" s="456"/>
      <c r="HA174" s="456"/>
      <c r="HB174" s="456"/>
      <c r="HC174" s="456"/>
      <c r="HD174" s="456"/>
      <c r="HE174" s="456"/>
      <c r="HF174" s="456"/>
      <c r="HG174" s="456"/>
      <c r="HH174" s="456"/>
      <c r="HI174" s="456"/>
      <c r="HJ174" s="456"/>
      <c r="HK174" s="456"/>
      <c r="HL174" s="456"/>
      <c r="HM174" s="456"/>
      <c r="HN174" s="456"/>
      <c r="HO174" s="456"/>
      <c r="HP174" s="456"/>
      <c r="HQ174" s="456"/>
      <c r="HR174" s="456"/>
      <c r="HS174" s="456"/>
      <c r="HT174" s="456"/>
      <c r="HU174" s="456"/>
      <c r="HV174" s="456"/>
      <c r="HW174" s="456"/>
      <c r="HX174" s="456"/>
      <c r="HY174" s="456"/>
      <c r="HZ174" s="456"/>
      <c r="IA174" s="456"/>
      <c r="IB174" s="456"/>
      <c r="IC174" s="456"/>
      <c r="ID174" s="456"/>
      <c r="IE174" s="456"/>
      <c r="IF174" s="456"/>
      <c r="IG174" s="456"/>
      <c r="IH174" s="456"/>
      <c r="II174" s="456"/>
      <c r="IJ174" s="456"/>
      <c r="IK174" s="456"/>
      <c r="IL174" s="456"/>
      <c r="IM174" s="456"/>
      <c r="IN174" s="456"/>
      <c r="IO174" s="456"/>
      <c r="IP174" s="456"/>
      <c r="IQ174" s="456"/>
      <c r="IR174" s="456"/>
      <c r="IS174" s="456"/>
      <c r="IT174" s="456"/>
      <c r="IU174" s="456"/>
      <c r="IV174" s="456"/>
      <c r="IW174" s="456"/>
      <c r="IX174" s="456"/>
      <c r="IY174" s="456"/>
      <c r="IZ174" s="456"/>
      <c r="JA174" s="456"/>
      <c r="JB174" s="456"/>
      <c r="JC174" s="456"/>
      <c r="JD174" s="456"/>
      <c r="JE174" s="456"/>
      <c r="JF174" s="456"/>
      <c r="JG174" s="456"/>
      <c r="JH174" s="456"/>
      <c r="JI174" s="456"/>
      <c r="JJ174" s="456"/>
      <c r="JK174" s="456"/>
      <c r="JL174" s="456"/>
      <c r="JM174" s="456"/>
      <c r="JN174" s="456"/>
      <c r="JO174" s="456"/>
      <c r="JP174" s="456"/>
      <c r="JQ174" s="456"/>
      <c r="JR174" s="456"/>
      <c r="JS174" s="456"/>
      <c r="JT174" s="456"/>
      <c r="JU174" s="456"/>
      <c r="JV174" s="456"/>
      <c r="JW174" s="456"/>
      <c r="JX174" s="456"/>
      <c r="JY174" s="456"/>
      <c r="JZ174" s="456"/>
      <c r="KA174" s="456"/>
      <c r="KB174" s="456"/>
      <c r="KC174" s="456"/>
      <c r="KD174" s="456"/>
      <c r="KE174" s="456"/>
      <c r="KF174" s="456"/>
      <c r="KG174" s="456"/>
      <c r="KH174" s="456"/>
      <c r="KI174" s="456"/>
      <c r="KJ174" s="456"/>
      <c r="KK174" s="456"/>
      <c r="KL174" s="456"/>
      <c r="KM174" s="456"/>
      <c r="KN174" s="456"/>
      <c r="KO174" s="456"/>
      <c r="KP174" s="456"/>
      <c r="KQ174" s="456"/>
      <c r="KR174" s="456"/>
      <c r="KS174" s="456"/>
      <c r="KT174" s="456"/>
      <c r="KU174" s="456"/>
      <c r="KV174" s="456"/>
      <c r="KW174" s="456"/>
      <c r="KX174" s="456"/>
      <c r="KY174" s="456"/>
      <c r="KZ174" s="456"/>
      <c r="LA174" s="456"/>
      <c r="LB174" s="456"/>
      <c r="LC174" s="456"/>
      <c r="LD174" s="456"/>
      <c r="LE174" s="456"/>
      <c r="LF174" s="456"/>
      <c r="LG174" s="456"/>
      <c r="LH174" s="456"/>
      <c r="LI174" s="456"/>
      <c r="LJ174" s="456"/>
      <c r="LK174" s="456"/>
      <c r="LL174" s="456"/>
      <c r="LM174" s="456"/>
      <c r="LN174" s="456"/>
      <c r="LO174" s="456"/>
      <c r="LP174" s="456"/>
      <c r="LQ174" s="456"/>
      <c r="LR174" s="456"/>
      <c r="LS174" s="456"/>
      <c r="LT174" s="456"/>
      <c r="LU174" s="456"/>
      <c r="LV174" s="456"/>
      <c r="LW174" s="456"/>
      <c r="LX174" s="456"/>
      <c r="LY174" s="456"/>
      <c r="LZ174" s="456"/>
      <c r="MA174" s="456"/>
      <c r="MB174" s="456"/>
      <c r="MC174" s="456"/>
      <c r="MD174" s="456"/>
      <c r="ME174" s="456"/>
      <c r="MF174" s="456"/>
      <c r="MG174" s="456"/>
      <c r="MH174" s="456"/>
      <c r="MI174" s="456"/>
      <c r="MJ174" s="456"/>
      <c r="MK174" s="456"/>
      <c r="ML174" s="456"/>
      <c r="MM174" s="456"/>
      <c r="MN174" s="456"/>
      <c r="MO174" s="456"/>
      <c r="MP174" s="456"/>
      <c r="MQ174" s="456"/>
      <c r="MR174" s="456"/>
      <c r="MS174" s="456"/>
      <c r="MT174" s="456"/>
      <c r="MU174" s="456"/>
      <c r="MV174" s="456"/>
      <c r="MW174" s="456"/>
      <c r="MX174" s="456"/>
      <c r="MY174" s="456"/>
      <c r="MZ174" s="456"/>
      <c r="NA174" s="456"/>
      <c r="NB174" s="456"/>
      <c r="NC174" s="456"/>
      <c r="ND174" s="456"/>
      <c r="NE174" s="456"/>
      <c r="NF174" s="456"/>
      <c r="NG174" s="456"/>
      <c r="NH174" s="456"/>
      <c r="NI174" s="456"/>
      <c r="NJ174" s="456"/>
      <c r="NK174" s="456"/>
      <c r="NL174" s="456"/>
      <c r="NM174" s="456"/>
      <c r="NN174" s="456"/>
      <c r="NO174" s="456"/>
      <c r="NP174" s="456"/>
      <c r="NQ174" s="456"/>
      <c r="NR174" s="456"/>
      <c r="NS174" s="456"/>
      <c r="NT174" s="456"/>
      <c r="NU174" s="456"/>
      <c r="NV174" s="456"/>
      <c r="NW174" s="456"/>
      <c r="NX174" s="456"/>
      <c r="NY174" s="456"/>
      <c r="NZ174" s="456"/>
      <c r="OA174" s="456"/>
      <c r="OB174" s="456"/>
      <c r="OC174" s="456"/>
      <c r="OD174" s="456"/>
      <c r="OE174" s="456"/>
      <c r="OF174" s="456"/>
      <c r="OG174" s="456"/>
      <c r="OH174" s="456"/>
      <c r="OI174" s="456"/>
      <c r="OJ174" s="456"/>
      <c r="OK174" s="456"/>
      <c r="OL174" s="456"/>
      <c r="OM174" s="456"/>
      <c r="ON174" s="456"/>
      <c r="OO174" s="456"/>
      <c r="OP174" s="456"/>
      <c r="OQ174" s="456"/>
      <c r="OR174" s="456"/>
      <c r="OS174" s="456"/>
      <c r="OT174" s="456"/>
      <c r="OU174" s="456"/>
      <c r="OV174" s="456"/>
      <c r="OW174" s="456"/>
      <c r="OX174" s="456"/>
      <c r="OY174" s="456"/>
      <c r="OZ174" s="456"/>
      <c r="PA174" s="456"/>
      <c r="PB174" s="456"/>
      <c r="PC174" s="456"/>
      <c r="PD174" s="456"/>
      <c r="PE174" s="456"/>
      <c r="PF174" s="456"/>
      <c r="PG174" s="456"/>
      <c r="PH174" s="456"/>
      <c r="PI174" s="456"/>
      <c r="PJ174" s="456"/>
      <c r="PK174" s="456"/>
      <c r="PL174" s="456"/>
      <c r="PM174" s="456"/>
      <c r="PN174" s="456"/>
      <c r="PO174" s="456"/>
      <c r="PP174" s="456"/>
      <c r="PQ174" s="456"/>
      <c r="PR174" s="456"/>
      <c r="PS174" s="456"/>
      <c r="PT174" s="456"/>
      <c r="PU174" s="456"/>
      <c r="PV174" s="456"/>
      <c r="PW174" s="456"/>
      <c r="PX174" s="456"/>
      <c r="PY174" s="456"/>
      <c r="PZ174" s="456"/>
      <c r="QA174" s="456"/>
      <c r="QB174" s="456"/>
      <c r="QC174" s="456"/>
      <c r="QD174" s="456"/>
      <c r="QE174" s="456"/>
      <c r="QF174" s="456"/>
      <c r="QG174" s="456"/>
      <c r="QH174" s="456"/>
      <c r="QI174" s="456"/>
      <c r="QJ174" s="456"/>
      <c r="QK174" s="456"/>
      <c r="QL174" s="456"/>
      <c r="QM174" s="456"/>
      <c r="QN174" s="456"/>
      <c r="QO174" s="456"/>
      <c r="QP174" s="456"/>
      <c r="QQ174" s="456"/>
      <c r="QR174" s="456"/>
      <c r="QS174" s="456"/>
      <c r="QT174" s="456"/>
      <c r="QU174" s="456"/>
      <c r="QV174" s="456"/>
      <c r="QW174" s="456"/>
      <c r="QX174" s="456"/>
      <c r="QY174" s="456"/>
      <c r="QZ174" s="456"/>
      <c r="RA174" s="456"/>
      <c r="RB174" s="456"/>
      <c r="RC174" s="456"/>
      <c r="RD174" s="456"/>
      <c r="RE174" s="456"/>
      <c r="RF174" s="456"/>
      <c r="RG174" s="456"/>
      <c r="RH174" s="456"/>
      <c r="RI174" s="456"/>
      <c r="RJ174" s="456"/>
      <c r="RK174" s="456"/>
      <c r="RL174" s="456"/>
      <c r="RM174" s="456"/>
      <c r="RN174" s="456"/>
      <c r="RO174" s="456"/>
      <c r="RP174" s="456"/>
      <c r="RQ174" s="456"/>
      <c r="RR174" s="456"/>
      <c r="RS174" s="456"/>
      <c r="RT174" s="456"/>
      <c r="RU174" s="456"/>
      <c r="RV174" s="456"/>
      <c r="RW174" s="456"/>
      <c r="RX174" s="456"/>
      <c r="RY174" s="456"/>
      <c r="RZ174" s="456"/>
      <c r="SA174" s="456"/>
      <c r="SB174" s="456"/>
      <c r="SC174" s="456"/>
      <c r="SD174" s="456"/>
      <c r="SE174" s="456"/>
      <c r="SF174" s="456"/>
      <c r="SG174" s="456"/>
      <c r="SH174" s="456"/>
      <c r="SI174" s="456"/>
      <c r="SJ174" s="456"/>
      <c r="SK174" s="456"/>
      <c r="SL174" s="456"/>
      <c r="SM174" s="456"/>
      <c r="SN174" s="456"/>
      <c r="SO174" s="456"/>
      <c r="SP174" s="456"/>
      <c r="SQ174" s="456"/>
      <c r="SR174" s="456"/>
      <c r="SS174" s="456"/>
      <c r="ST174" s="456"/>
      <c r="SU174" s="456"/>
      <c r="SV174" s="456"/>
      <c r="SW174" s="456"/>
      <c r="SX174" s="456"/>
      <c r="SY174" s="456"/>
      <c r="SZ174" s="456"/>
      <c r="TA174" s="456"/>
      <c r="TB174" s="456"/>
      <c r="TC174" s="456"/>
      <c r="TD174" s="456"/>
      <c r="TE174" s="456"/>
      <c r="TF174" s="456"/>
      <c r="TG174" s="456"/>
      <c r="TH174" s="456"/>
      <c r="TI174" s="456"/>
      <c r="TJ174" s="456"/>
      <c r="TK174" s="456"/>
      <c r="TL174" s="456"/>
      <c r="TM174" s="456"/>
      <c r="TN174" s="456"/>
      <c r="TO174" s="456"/>
      <c r="TP174" s="456"/>
      <c r="TQ174" s="456"/>
      <c r="TR174" s="456"/>
      <c r="TS174" s="456"/>
      <c r="TT174" s="456"/>
      <c r="TU174" s="456"/>
      <c r="TV174" s="456"/>
      <c r="TW174" s="456"/>
      <c r="TX174" s="456"/>
      <c r="TY174" s="456"/>
      <c r="TZ174" s="456"/>
      <c r="UA174" s="456"/>
      <c r="UB174" s="456"/>
      <c r="UC174" s="456"/>
      <c r="UD174" s="456"/>
      <c r="UE174" s="456"/>
      <c r="UF174" s="456"/>
      <c r="UG174" s="456"/>
      <c r="UH174" s="456"/>
      <c r="UI174" s="456"/>
      <c r="UJ174" s="456"/>
      <c r="UK174" s="456"/>
      <c r="UL174" s="456"/>
      <c r="UM174" s="456"/>
      <c r="UN174" s="456"/>
      <c r="UO174" s="456"/>
      <c r="UP174" s="456"/>
      <c r="UQ174" s="456"/>
      <c r="UR174" s="456"/>
      <c r="US174" s="456"/>
      <c r="UT174" s="456"/>
      <c r="UU174" s="456"/>
      <c r="UV174" s="456"/>
      <c r="UW174" s="456"/>
      <c r="UX174" s="456"/>
      <c r="UY174" s="456"/>
      <c r="UZ174" s="456"/>
      <c r="VA174" s="456"/>
      <c r="VB174" s="456"/>
      <c r="VC174" s="456"/>
      <c r="VD174" s="456"/>
      <c r="VE174" s="456"/>
      <c r="VF174" s="456"/>
      <c r="VG174" s="456"/>
      <c r="VH174" s="456"/>
      <c r="VI174" s="456"/>
      <c r="VJ174" s="456"/>
      <c r="VK174" s="456"/>
      <c r="VL174" s="456"/>
      <c r="VM174" s="456"/>
      <c r="VN174" s="456"/>
      <c r="VO174" s="456"/>
      <c r="VP174" s="456"/>
      <c r="VQ174" s="456"/>
      <c r="VR174" s="456"/>
      <c r="VS174" s="456"/>
      <c r="VT174" s="456"/>
      <c r="VU174" s="456"/>
      <c r="VV174" s="456"/>
      <c r="VW174" s="456"/>
      <c r="VX174" s="456"/>
      <c r="VY174" s="456"/>
      <c r="VZ174" s="456"/>
      <c r="WA174" s="456"/>
      <c r="WB174" s="456"/>
      <c r="WC174" s="456"/>
      <c r="WD174" s="456"/>
      <c r="WE174" s="456"/>
      <c r="WF174" s="456"/>
      <c r="WG174" s="456"/>
      <c r="WH174" s="456"/>
      <c r="WI174" s="456"/>
      <c r="WJ174" s="456"/>
      <c r="WK174" s="456"/>
      <c r="WL174" s="456"/>
      <c r="WM174" s="456"/>
      <c r="WN174" s="456"/>
      <c r="WO174" s="456"/>
      <c r="WP174" s="456"/>
      <c r="WQ174" s="456"/>
      <c r="WR174" s="456"/>
      <c r="WS174" s="456"/>
      <c r="WT174" s="456"/>
      <c r="WU174" s="456"/>
      <c r="WV174" s="456"/>
      <c r="WW174" s="456"/>
      <c r="WX174" s="456"/>
      <c r="WY174" s="456"/>
      <c r="WZ174" s="456"/>
      <c r="XA174" s="456"/>
      <c r="XB174" s="456"/>
      <c r="XC174" s="456"/>
      <c r="XD174" s="456"/>
      <c r="XE174" s="456"/>
      <c r="XF174" s="456"/>
      <c r="XG174" s="456"/>
      <c r="XH174" s="456"/>
      <c r="XI174" s="456"/>
      <c r="XJ174" s="456"/>
      <c r="XK174" s="456"/>
      <c r="XL174" s="456"/>
      <c r="XM174" s="456"/>
      <c r="XN174" s="456"/>
      <c r="XO174" s="456"/>
      <c r="XP174" s="456"/>
      <c r="XQ174" s="456"/>
      <c r="XR174" s="456"/>
      <c r="XS174" s="456"/>
      <c r="XT174" s="456"/>
      <c r="XU174" s="456"/>
      <c r="XV174" s="456"/>
      <c r="XW174" s="456"/>
      <c r="XX174" s="456"/>
      <c r="XY174" s="456"/>
      <c r="XZ174" s="456"/>
      <c r="YA174" s="456"/>
      <c r="YB174" s="456"/>
      <c r="YC174" s="456"/>
      <c r="YD174" s="456"/>
      <c r="YE174" s="456"/>
      <c r="YF174" s="456"/>
      <c r="YG174" s="456"/>
      <c r="YH174" s="456"/>
      <c r="YI174" s="456"/>
      <c r="YJ174" s="456"/>
      <c r="YK174" s="456"/>
      <c r="YL174" s="456"/>
      <c r="YM174" s="456"/>
      <c r="YN174" s="456"/>
      <c r="YO174" s="456"/>
      <c r="YP174" s="456"/>
      <c r="YQ174" s="456"/>
      <c r="YR174" s="456"/>
      <c r="YS174" s="456"/>
      <c r="YT174" s="456"/>
      <c r="YU174" s="456"/>
      <c r="YV174" s="456"/>
      <c r="YW174" s="456"/>
      <c r="YX174" s="456"/>
      <c r="YY174" s="456"/>
      <c r="YZ174" s="456"/>
      <c r="ZA174" s="456"/>
      <c r="ZB174" s="456"/>
      <c r="ZC174" s="456"/>
      <c r="ZD174" s="456"/>
      <c r="ZE174" s="456"/>
      <c r="ZF174" s="456"/>
      <c r="ZG174" s="456"/>
      <c r="ZH174" s="456"/>
      <c r="ZI174" s="456"/>
      <c r="ZJ174" s="456"/>
      <c r="ZK174" s="456"/>
      <c r="ZL174" s="456"/>
      <c r="ZM174" s="456"/>
      <c r="ZN174" s="456"/>
      <c r="ZO174" s="456"/>
      <c r="ZP174" s="456"/>
      <c r="ZQ174" s="456"/>
      <c r="ZR174" s="456"/>
      <c r="ZS174" s="456"/>
      <c r="ZT174" s="456"/>
      <c r="ZU174" s="456"/>
      <c r="ZV174" s="456"/>
      <c r="ZW174" s="456"/>
      <c r="ZX174" s="456"/>
      <c r="ZY174" s="456"/>
      <c r="ZZ174" s="456"/>
      <c r="AAA174" s="456"/>
      <c r="AAB174" s="456"/>
      <c r="AAC174" s="456"/>
      <c r="AAD174" s="456"/>
      <c r="AAE174" s="456"/>
      <c r="AAF174" s="456"/>
      <c r="AAG174" s="456"/>
      <c r="AAH174" s="456"/>
      <c r="AAI174" s="456"/>
      <c r="AAJ174" s="456"/>
      <c r="AAK174" s="456"/>
      <c r="AAL174" s="456"/>
      <c r="AAM174" s="456"/>
      <c r="AAN174" s="456"/>
      <c r="AAO174" s="456"/>
      <c r="AAP174" s="456"/>
      <c r="AAQ174" s="456"/>
      <c r="AAR174" s="456"/>
      <c r="AAS174" s="456"/>
      <c r="AAT174" s="456"/>
      <c r="AAU174" s="456"/>
      <c r="AAV174" s="456"/>
      <c r="AAW174" s="456"/>
      <c r="AAX174" s="456"/>
      <c r="AAY174" s="456"/>
      <c r="AAZ174" s="456"/>
      <c r="ABA174" s="456"/>
      <c r="ABB174" s="456"/>
      <c r="ABC174" s="456"/>
      <c r="ABD174" s="456"/>
      <c r="ABE174" s="456"/>
      <c r="ABF174" s="456"/>
      <c r="ABG174" s="456"/>
      <c r="ABH174" s="456"/>
      <c r="ABI174" s="456"/>
      <c r="ABJ174" s="456"/>
      <c r="ABK174" s="456"/>
      <c r="ABL174" s="456"/>
      <c r="ABM174" s="456"/>
      <c r="ABN174" s="456"/>
      <c r="ABO174" s="456"/>
      <c r="ABP174" s="456"/>
      <c r="ABQ174" s="456"/>
      <c r="ABR174" s="456"/>
      <c r="ABS174" s="456"/>
      <c r="ABT174" s="456"/>
      <c r="ABU174" s="456"/>
      <c r="ABV174" s="456"/>
      <c r="ABW174" s="456"/>
      <c r="ABX174" s="456"/>
      <c r="ABY174" s="456"/>
      <c r="ABZ174" s="456"/>
      <c r="ACA174" s="456"/>
      <c r="ACB174" s="456"/>
      <c r="ACC174" s="456"/>
      <c r="ACD174" s="456"/>
      <c r="ACE174" s="456"/>
      <c r="ACF174" s="456"/>
      <c r="ACG174" s="456"/>
      <c r="ACH174" s="456"/>
      <c r="ACI174" s="456"/>
      <c r="ACJ174" s="456"/>
      <c r="ACK174" s="456"/>
      <c r="ACL174" s="456"/>
      <c r="ACM174" s="456"/>
      <c r="ACN174" s="456"/>
      <c r="ACO174" s="456"/>
      <c r="ACP174" s="456"/>
      <c r="ACQ174" s="456"/>
      <c r="ACR174" s="456"/>
      <c r="ACS174" s="456"/>
      <c r="ACT174" s="456"/>
      <c r="ACU174" s="456"/>
      <c r="ACV174" s="456"/>
      <c r="ACW174" s="456"/>
      <c r="ACX174" s="456"/>
      <c r="ACY174" s="456"/>
      <c r="ACZ174" s="456"/>
      <c r="ADA174" s="456"/>
      <c r="ADB174" s="456"/>
      <c r="ADC174" s="456"/>
      <c r="ADD174" s="456"/>
      <c r="ADE174" s="456"/>
      <c r="ADF174" s="456"/>
      <c r="ADG174" s="456"/>
      <c r="ADH174" s="456"/>
      <c r="ADI174" s="456"/>
      <c r="ADJ174" s="456"/>
      <c r="ADK174" s="456"/>
      <c r="ADL174" s="456"/>
      <c r="ADM174" s="456"/>
      <c r="ADN174" s="456"/>
      <c r="ADO174" s="456"/>
      <c r="ADP174" s="456"/>
      <c r="ADQ174" s="456"/>
      <c r="ADR174" s="456"/>
      <c r="ADS174" s="456"/>
      <c r="ADT174" s="456"/>
      <c r="ADU174" s="456"/>
      <c r="ADV174" s="456"/>
      <c r="ADW174" s="456"/>
      <c r="ADX174" s="456"/>
      <c r="ADY174" s="456"/>
      <c r="ADZ174" s="456"/>
      <c r="AEA174" s="456"/>
      <c r="AEB174" s="456"/>
      <c r="AEC174" s="456"/>
      <c r="AED174" s="456"/>
      <c r="AEE174" s="456"/>
      <c r="AEF174" s="456"/>
      <c r="AEG174" s="456"/>
      <c r="AEH174" s="456"/>
      <c r="AEI174" s="456"/>
      <c r="AEJ174" s="456"/>
      <c r="AEK174" s="456"/>
      <c r="AEL174" s="456"/>
      <c r="AEM174" s="456"/>
      <c r="AEN174" s="456"/>
      <c r="AEO174" s="456"/>
      <c r="AEP174" s="456"/>
      <c r="AEQ174" s="456"/>
      <c r="AER174" s="456"/>
      <c r="AES174" s="456"/>
      <c r="AET174" s="456"/>
      <c r="AEU174" s="456"/>
      <c r="AEV174" s="456"/>
      <c r="AEW174" s="456"/>
      <c r="AEX174" s="456"/>
      <c r="AEY174" s="456"/>
      <c r="AEZ174" s="456"/>
      <c r="AFA174" s="456"/>
      <c r="AFB174" s="456"/>
      <c r="AFC174" s="456"/>
      <c r="AFD174" s="456"/>
      <c r="AFE174" s="456"/>
      <c r="AFF174" s="456"/>
      <c r="AFG174" s="456"/>
      <c r="AFH174" s="456"/>
      <c r="AFI174" s="456"/>
      <c r="AFJ174" s="456"/>
      <c r="AFK174" s="456"/>
      <c r="AFL174" s="456"/>
      <c r="AFM174" s="456"/>
      <c r="AFN174" s="456"/>
      <c r="AFO174" s="456"/>
      <c r="AFP174" s="456"/>
      <c r="AFQ174" s="456"/>
      <c r="AFR174" s="456"/>
      <c r="AFS174" s="456"/>
      <c r="AFT174" s="456"/>
      <c r="AFU174" s="456"/>
      <c r="AFV174" s="456"/>
      <c r="AFW174" s="456"/>
      <c r="AFX174" s="456"/>
      <c r="AFY174" s="456"/>
      <c r="AFZ174" s="456"/>
      <c r="AGA174" s="456"/>
      <c r="AGB174" s="456"/>
      <c r="AGC174" s="456"/>
      <c r="AGD174" s="456"/>
      <c r="AGE174" s="456"/>
      <c r="AGF174" s="456"/>
      <c r="AGG174" s="456"/>
      <c r="AGH174" s="456"/>
      <c r="AGI174" s="456"/>
      <c r="AGJ174" s="456"/>
      <c r="AGK174" s="456"/>
      <c r="AGL174" s="456"/>
      <c r="AGM174" s="456"/>
      <c r="AGN174" s="456"/>
      <c r="AGO174" s="456"/>
      <c r="AGP174" s="456"/>
      <c r="AGQ174" s="456"/>
      <c r="AGR174" s="456"/>
      <c r="AGS174" s="456"/>
      <c r="AGT174" s="456"/>
      <c r="AGU174" s="456"/>
      <c r="AGV174" s="456"/>
      <c r="AGW174" s="456"/>
      <c r="AGX174" s="456"/>
      <c r="AGY174" s="456"/>
      <c r="AGZ174" s="456"/>
      <c r="AHA174" s="456"/>
      <c r="AHB174" s="456"/>
      <c r="AHC174" s="456"/>
      <c r="AHD174" s="456"/>
      <c r="AHE174" s="456"/>
      <c r="AHF174" s="456"/>
      <c r="AHG174" s="456"/>
      <c r="AHH174" s="456"/>
      <c r="AHI174" s="456"/>
      <c r="AHJ174" s="456"/>
      <c r="AHK174" s="456"/>
      <c r="AHL174" s="456"/>
      <c r="AHM174" s="456"/>
      <c r="AHN174" s="456"/>
      <c r="AHO174" s="456"/>
      <c r="AHP174" s="456"/>
      <c r="AHQ174" s="456"/>
      <c r="AHR174" s="456"/>
      <c r="AHS174" s="456"/>
      <c r="AHT174" s="456"/>
      <c r="AHU174" s="456"/>
      <c r="AHV174" s="456"/>
      <c r="AHW174" s="456"/>
      <c r="AHX174" s="456"/>
      <c r="AHY174" s="456"/>
      <c r="AHZ174" s="456"/>
      <c r="AIA174" s="456"/>
      <c r="AIB174" s="456"/>
      <c r="AIC174" s="456"/>
      <c r="AID174" s="456"/>
      <c r="AIE174" s="456"/>
      <c r="AIF174" s="456"/>
      <c r="AIG174" s="456"/>
      <c r="AIH174" s="456"/>
      <c r="AII174" s="456"/>
      <c r="AIJ174" s="456"/>
      <c r="AIK174" s="456"/>
      <c r="AIL174" s="456"/>
      <c r="AIM174" s="456"/>
      <c r="AIN174" s="456"/>
      <c r="AIO174" s="456"/>
      <c r="AIP174" s="456"/>
      <c r="AIQ174" s="456"/>
      <c r="AIR174" s="456"/>
      <c r="AIS174" s="456"/>
      <c r="AIT174" s="456"/>
      <c r="AIU174" s="456"/>
      <c r="AIV174" s="456"/>
      <c r="AIW174" s="456"/>
      <c r="AIX174" s="456"/>
      <c r="AIY174" s="456"/>
      <c r="AIZ174" s="456"/>
      <c r="AJA174" s="456"/>
      <c r="AJB174" s="456"/>
      <c r="AJC174" s="456"/>
      <c r="AJD174" s="456"/>
      <c r="AJE174" s="456"/>
      <c r="AJF174" s="456"/>
      <c r="AJG174" s="456"/>
      <c r="AJH174" s="456"/>
      <c r="AJI174" s="456"/>
      <c r="AJJ174" s="456"/>
      <c r="AJK174" s="456"/>
      <c r="AJL174" s="456"/>
      <c r="AJM174" s="456"/>
      <c r="AJN174" s="456"/>
      <c r="AJO174" s="456"/>
      <c r="AJP174" s="456"/>
      <c r="AJQ174" s="456"/>
      <c r="AJR174" s="456"/>
      <c r="AJS174" s="456"/>
      <c r="AJT174" s="456"/>
      <c r="AJU174" s="456"/>
      <c r="AJV174" s="456"/>
      <c r="AJW174" s="456"/>
      <c r="AJX174" s="456"/>
      <c r="AJY174" s="456"/>
      <c r="AJZ174" s="456"/>
      <c r="AKA174" s="456"/>
      <c r="AKB174" s="456"/>
      <c r="AKC174" s="456"/>
      <c r="AKD174" s="456"/>
      <c r="AKE174" s="456"/>
      <c r="AKF174" s="456"/>
      <c r="AKG174" s="456"/>
      <c r="AKH174" s="456"/>
      <c r="AKI174" s="456"/>
      <c r="AKJ174" s="456"/>
      <c r="AKK174" s="456"/>
      <c r="AKL174" s="456"/>
      <c r="AKM174" s="456"/>
      <c r="AKN174" s="456"/>
      <c r="AKO174" s="456"/>
      <c r="AKP174" s="456"/>
      <c r="AKQ174" s="456"/>
      <c r="AKR174" s="456"/>
      <c r="AKS174" s="456"/>
      <c r="AKT174" s="456"/>
      <c r="AKU174" s="456"/>
      <c r="AKV174" s="456"/>
      <c r="AKW174" s="456"/>
      <c r="AKX174" s="456"/>
      <c r="AKY174" s="456"/>
      <c r="AKZ174" s="456"/>
      <c r="ALA174" s="456"/>
      <c r="ALB174" s="456"/>
      <c r="ALC174" s="456"/>
      <c r="ALD174" s="456"/>
      <c r="ALE174" s="456"/>
      <c r="ALF174" s="456"/>
      <c r="ALG174" s="456"/>
      <c r="ALH174" s="456"/>
      <c r="ALI174" s="456"/>
      <c r="ALJ174" s="456"/>
      <c r="ALK174" s="456"/>
      <c r="ALL174" s="456"/>
      <c r="ALM174" s="456"/>
      <c r="ALN174" s="456"/>
      <c r="ALO174" s="456"/>
      <c r="ALP174" s="456"/>
      <c r="ALQ174" s="456"/>
      <c r="ALR174" s="456"/>
      <c r="ALS174" s="456"/>
      <c r="ALT174" s="456"/>
      <c r="ALU174" s="456"/>
      <c r="ALV174" s="456"/>
      <c r="ALW174" s="456"/>
      <c r="ALX174" s="456"/>
      <c r="ALY174" s="456"/>
      <c r="ALZ174" s="456"/>
      <c r="AMA174" s="456"/>
      <c r="AMB174" s="456"/>
      <c r="AMC174" s="456"/>
      <c r="AMD174" s="456"/>
      <c r="AME174" s="456"/>
      <c r="AMF174" s="456"/>
      <c r="AMG174" s="456"/>
      <c r="AMH174" s="456"/>
      <c r="AMI174" s="456"/>
      <c r="AMJ174" s="456"/>
      <c r="AMK174" s="456"/>
      <c r="AML174" s="456"/>
      <c r="AMM174" s="456"/>
      <c r="AMN174" s="456"/>
      <c r="AMO174" s="456"/>
      <c r="AMP174" s="456"/>
      <c r="AMQ174" s="456"/>
      <c r="AMR174" s="456"/>
      <c r="AMS174" s="456"/>
      <c r="AMT174" s="456"/>
      <c r="AMU174" s="456"/>
      <c r="AMV174" s="456"/>
      <c r="AMW174" s="456"/>
      <c r="AMX174" s="456"/>
      <c r="AMY174" s="456"/>
      <c r="AMZ174" s="456"/>
      <c r="ANA174" s="456"/>
      <c r="ANB174" s="456"/>
      <c r="ANC174" s="456"/>
      <c r="AND174" s="456"/>
      <c r="ANE174" s="456"/>
      <c r="ANF174" s="456"/>
      <c r="ANG174" s="456"/>
      <c r="ANH174" s="456"/>
      <c r="ANI174" s="456"/>
      <c r="ANJ174" s="456"/>
      <c r="ANK174" s="456"/>
      <c r="ANL174" s="456"/>
      <c r="ANM174" s="456"/>
      <c r="ANN174" s="456"/>
      <c r="ANO174" s="456"/>
      <c r="ANP174" s="456"/>
      <c r="ANQ174" s="456"/>
      <c r="ANR174" s="456"/>
      <c r="ANS174" s="456"/>
      <c r="ANT174" s="456"/>
      <c r="ANU174" s="456"/>
      <c r="ANV174" s="456"/>
      <c r="ANW174" s="456"/>
      <c r="ANX174" s="456"/>
      <c r="ANY174" s="456"/>
      <c r="ANZ174" s="456"/>
      <c r="AOA174" s="456"/>
      <c r="AOB174" s="456"/>
      <c r="AOC174" s="456"/>
      <c r="AOD174" s="456"/>
      <c r="AOE174" s="456"/>
      <c r="AOF174" s="456"/>
      <c r="AOG174" s="456"/>
      <c r="AOH174" s="456"/>
      <c r="AOI174" s="456"/>
      <c r="AOJ174" s="456"/>
      <c r="AOK174" s="456"/>
      <c r="AOL174" s="456"/>
      <c r="AOM174" s="456"/>
      <c r="AON174" s="456"/>
      <c r="AOO174" s="456"/>
      <c r="AOP174" s="456"/>
      <c r="AOQ174" s="456"/>
      <c r="AOR174" s="456"/>
      <c r="AOS174" s="456"/>
      <c r="AOT174" s="456"/>
      <c r="AOU174" s="456"/>
      <c r="AOV174" s="456"/>
      <c r="AOW174" s="456"/>
      <c r="AOX174" s="456"/>
      <c r="AOY174" s="456"/>
      <c r="AOZ174" s="456"/>
      <c r="APA174" s="456"/>
      <c r="APB174" s="456"/>
      <c r="APC174" s="456"/>
      <c r="APD174" s="456"/>
      <c r="APE174" s="456"/>
      <c r="APF174" s="456"/>
      <c r="APG174" s="456"/>
      <c r="APH174" s="456"/>
      <c r="API174" s="456"/>
      <c r="APJ174" s="456"/>
      <c r="APK174" s="456"/>
      <c r="APL174" s="456"/>
      <c r="APM174" s="456"/>
      <c r="APN174" s="456"/>
      <c r="APO174" s="456"/>
      <c r="APP174" s="456"/>
      <c r="APQ174" s="456"/>
      <c r="APR174" s="456"/>
      <c r="APS174" s="456"/>
      <c r="APT174" s="456"/>
      <c r="APU174" s="456"/>
      <c r="APV174" s="456"/>
      <c r="APW174" s="456"/>
      <c r="APX174" s="456"/>
      <c r="APY174" s="456"/>
      <c r="APZ174" s="456"/>
      <c r="AQA174" s="456"/>
      <c r="AQB174" s="456"/>
      <c r="AQC174" s="456"/>
      <c r="AQD174" s="456"/>
      <c r="AQE174" s="456"/>
      <c r="AQF174" s="456"/>
      <c r="AQG174" s="456"/>
      <c r="AQH174" s="456"/>
      <c r="AQI174" s="456"/>
      <c r="AQJ174" s="456"/>
      <c r="AQK174" s="456"/>
      <c r="AQL174" s="456"/>
      <c r="AQM174" s="456"/>
      <c r="AQN174" s="456"/>
      <c r="AQO174" s="456"/>
      <c r="AQP174" s="456"/>
      <c r="AQQ174" s="456"/>
      <c r="AQR174" s="456"/>
      <c r="AQS174" s="456"/>
      <c r="AQT174" s="456"/>
      <c r="AQU174" s="456"/>
      <c r="AQV174" s="456"/>
      <c r="AQW174" s="456"/>
      <c r="AQX174" s="456"/>
      <c r="AQY174" s="456"/>
      <c r="AQZ174" s="456"/>
      <c r="ARA174" s="456"/>
      <c r="ARB174" s="456"/>
      <c r="ARC174" s="456"/>
      <c r="ARD174" s="456"/>
      <c r="ARE174" s="456"/>
      <c r="ARF174" s="456"/>
      <c r="ARG174" s="456"/>
      <c r="ARH174" s="456"/>
      <c r="ARI174" s="456"/>
      <c r="ARJ174" s="456"/>
      <c r="ARK174" s="456"/>
      <c r="ARL174" s="456"/>
      <c r="ARM174" s="456"/>
      <c r="ARN174" s="456"/>
      <c r="ARO174" s="456"/>
      <c r="ARP174" s="456"/>
      <c r="ARQ174" s="456"/>
      <c r="ARR174" s="456"/>
      <c r="ARS174" s="456"/>
      <c r="ART174" s="456"/>
      <c r="ARU174" s="456"/>
      <c r="ARV174" s="456"/>
      <c r="ARW174" s="456"/>
      <c r="ARX174" s="456"/>
      <c r="ARY174" s="456"/>
      <c r="ARZ174" s="456"/>
      <c r="ASA174" s="456"/>
      <c r="ASB174" s="456"/>
      <c r="ASC174" s="456"/>
      <c r="ASD174" s="456"/>
      <c r="ASE174" s="456"/>
      <c r="ASF174" s="456"/>
      <c r="ASG174" s="456"/>
      <c r="ASH174" s="456"/>
      <c r="ASI174" s="456"/>
      <c r="ASJ174" s="456"/>
      <c r="ASK174" s="456"/>
      <c r="ASL174" s="456"/>
      <c r="ASM174" s="456"/>
      <c r="ASN174" s="456"/>
      <c r="ASO174" s="456"/>
      <c r="ASP174" s="456"/>
      <c r="ASQ174" s="456"/>
      <c r="ASR174" s="456"/>
      <c r="ASS174" s="456"/>
      <c r="AST174" s="456"/>
      <c r="ASU174" s="456"/>
      <c r="ASV174" s="456"/>
      <c r="ASW174" s="456"/>
      <c r="ASX174" s="456"/>
      <c r="ASY174" s="456"/>
      <c r="ASZ174" s="456"/>
      <c r="ATA174" s="456"/>
      <c r="ATB174" s="456"/>
      <c r="ATC174" s="456"/>
      <c r="ATD174" s="456"/>
      <c r="ATE174" s="456"/>
      <c r="ATF174" s="456"/>
      <c r="ATG174" s="456"/>
      <c r="ATH174" s="456"/>
      <c r="ATI174" s="456"/>
      <c r="ATJ174" s="456"/>
      <c r="ATK174" s="456"/>
      <c r="ATL174" s="456"/>
      <c r="ATM174" s="456"/>
      <c r="ATN174" s="456"/>
      <c r="ATO174" s="456"/>
      <c r="ATP174" s="456"/>
      <c r="ATQ174" s="456"/>
      <c r="ATR174" s="456"/>
      <c r="ATS174" s="456"/>
      <c r="ATT174" s="456"/>
      <c r="ATU174" s="456"/>
      <c r="ATV174" s="456"/>
      <c r="ATW174" s="456"/>
      <c r="ATX174" s="456"/>
      <c r="ATY174" s="456"/>
      <c r="ATZ174" s="456"/>
      <c r="AUA174" s="456"/>
      <c r="AUB174" s="456"/>
      <c r="AUC174" s="456"/>
      <c r="AUD174" s="456"/>
      <c r="AUE174" s="456"/>
      <c r="AUF174" s="456"/>
      <c r="AUG174" s="456"/>
      <c r="AUH174" s="456"/>
      <c r="AUI174" s="456"/>
      <c r="AUJ174" s="456"/>
      <c r="AUK174" s="456"/>
      <c r="AUL174" s="456"/>
      <c r="AUM174" s="456"/>
      <c r="AUN174" s="456"/>
      <c r="AUO174" s="456"/>
      <c r="AUP174" s="456"/>
      <c r="AUQ174" s="456"/>
      <c r="AUR174" s="456"/>
      <c r="AUS174" s="456"/>
      <c r="AUT174" s="456"/>
      <c r="AUU174" s="456"/>
      <c r="AUV174" s="456"/>
      <c r="AUW174" s="456"/>
      <c r="AUX174" s="456"/>
      <c r="AUY174" s="456"/>
      <c r="AUZ174" s="456"/>
      <c r="AVA174" s="456"/>
      <c r="AVB174" s="456"/>
      <c r="AVC174" s="456"/>
      <c r="AVD174" s="456"/>
      <c r="AVE174" s="456"/>
      <c r="AVF174" s="456"/>
      <c r="AVG174" s="456"/>
      <c r="AVH174" s="456"/>
      <c r="AVI174" s="456"/>
      <c r="AVJ174" s="456"/>
      <c r="AVK174" s="456"/>
      <c r="AVL174" s="456"/>
      <c r="AVM174" s="456"/>
      <c r="AVN174" s="456"/>
      <c r="AVO174" s="456"/>
      <c r="AVP174" s="456"/>
      <c r="AVQ174" s="456"/>
      <c r="AVR174" s="456"/>
      <c r="AVS174" s="456"/>
      <c r="AVT174" s="456"/>
      <c r="AVU174" s="456"/>
      <c r="AVV174" s="456"/>
      <c r="AVW174" s="456"/>
      <c r="AVX174" s="456"/>
      <c r="AVY174" s="456"/>
      <c r="AVZ174" s="456"/>
      <c r="AWA174" s="456"/>
      <c r="AWB174" s="456"/>
      <c r="AWC174" s="456"/>
      <c r="AWD174" s="456"/>
      <c r="AWE174" s="456"/>
      <c r="AWF174" s="456"/>
      <c r="AWG174" s="456"/>
      <c r="AWH174" s="456"/>
      <c r="AWI174" s="456"/>
      <c r="AWJ174" s="456"/>
      <c r="AWK174" s="456"/>
      <c r="AWL174" s="456"/>
      <c r="AWM174" s="456"/>
      <c r="AWN174" s="456"/>
      <c r="AWO174" s="456"/>
      <c r="AWP174" s="456"/>
      <c r="AWQ174" s="456"/>
      <c r="AWR174" s="456"/>
      <c r="AWS174" s="456"/>
      <c r="AWT174" s="456"/>
      <c r="AWU174" s="456"/>
      <c r="AWV174" s="456"/>
      <c r="AWW174" s="456"/>
      <c r="AWX174" s="456"/>
      <c r="AWY174" s="456"/>
      <c r="AWZ174" s="456"/>
      <c r="AXA174" s="456"/>
      <c r="AXB174" s="456"/>
      <c r="AXC174" s="456"/>
      <c r="AXD174" s="456"/>
      <c r="AXE174" s="456"/>
      <c r="AXF174" s="456"/>
      <c r="AXG174" s="456"/>
      <c r="AXH174" s="456"/>
      <c r="AXI174" s="456"/>
      <c r="AXJ174" s="456"/>
      <c r="AXK174" s="456"/>
      <c r="AXL174" s="456"/>
      <c r="AXM174" s="456"/>
      <c r="AXN174" s="456"/>
      <c r="AXO174" s="456"/>
      <c r="AXP174" s="456"/>
      <c r="AXQ174" s="456"/>
      <c r="AXR174" s="456"/>
      <c r="AXS174" s="456"/>
      <c r="AXT174" s="456"/>
      <c r="AXU174" s="456"/>
      <c r="AXV174" s="456"/>
      <c r="AXW174" s="456"/>
      <c r="AXX174" s="456"/>
      <c r="AXY174" s="456"/>
      <c r="AXZ174" s="456"/>
      <c r="AYA174" s="456"/>
      <c r="AYB174" s="456"/>
      <c r="AYC174" s="456"/>
      <c r="AYD174" s="456"/>
      <c r="AYE174" s="456"/>
      <c r="AYF174" s="456"/>
      <c r="AYG174" s="456"/>
      <c r="AYH174" s="456"/>
      <c r="AYI174" s="456"/>
      <c r="AYJ174" s="456"/>
      <c r="AYK174" s="456"/>
      <c r="AYL174" s="456"/>
      <c r="AYM174" s="456"/>
      <c r="AYN174" s="456"/>
      <c r="AYO174" s="456"/>
      <c r="AYP174" s="456"/>
      <c r="AYQ174" s="456"/>
      <c r="AYR174" s="456"/>
      <c r="AYS174" s="456"/>
      <c r="AYT174" s="456"/>
      <c r="AYU174" s="456"/>
      <c r="AYV174" s="456"/>
      <c r="AYW174" s="456"/>
      <c r="AYX174" s="456"/>
      <c r="AYY174" s="456"/>
      <c r="AYZ174" s="456"/>
      <c r="AZA174" s="456"/>
      <c r="AZB174" s="456"/>
      <c r="AZC174" s="456"/>
      <c r="AZD174" s="456"/>
      <c r="AZE174" s="456"/>
      <c r="AZF174" s="456"/>
      <c r="AZG174" s="456"/>
      <c r="AZH174" s="456"/>
      <c r="AZI174" s="456"/>
      <c r="AZJ174" s="456"/>
      <c r="AZK174" s="456"/>
      <c r="AZL174" s="456"/>
      <c r="AZM174" s="456"/>
      <c r="AZN174" s="456"/>
      <c r="AZO174" s="456"/>
      <c r="AZP174" s="456"/>
      <c r="AZQ174" s="456"/>
      <c r="AZR174" s="456"/>
      <c r="AZS174" s="456"/>
      <c r="AZT174" s="456"/>
      <c r="AZU174" s="456"/>
      <c r="AZV174" s="456"/>
      <c r="AZW174" s="456"/>
      <c r="AZX174" s="456"/>
      <c r="AZY174" s="456"/>
      <c r="AZZ174" s="456"/>
      <c r="BAA174" s="456"/>
      <c r="BAB174" s="456"/>
      <c r="BAC174" s="456"/>
      <c r="BAD174" s="456"/>
      <c r="BAE174" s="456"/>
      <c r="BAF174" s="456"/>
      <c r="BAG174" s="456"/>
      <c r="BAH174" s="456"/>
      <c r="BAI174" s="456"/>
      <c r="BAJ174" s="456"/>
      <c r="BAK174" s="456"/>
      <c r="BAL174" s="456"/>
      <c r="BAM174" s="456"/>
      <c r="BAN174" s="456"/>
      <c r="BAO174" s="456"/>
      <c r="BAP174" s="456"/>
      <c r="BAQ174" s="456"/>
      <c r="BAR174" s="456"/>
      <c r="BAS174" s="456"/>
      <c r="BAT174" s="456"/>
      <c r="BAU174" s="456"/>
      <c r="BAV174" s="456"/>
      <c r="BAW174" s="456"/>
      <c r="BAX174" s="456"/>
      <c r="BAY174" s="456"/>
      <c r="BAZ174" s="456"/>
      <c r="BBA174" s="456"/>
      <c r="BBB174" s="456"/>
      <c r="BBC174" s="456"/>
      <c r="BBD174" s="456"/>
      <c r="BBE174" s="456"/>
      <c r="BBF174" s="456"/>
      <c r="BBG174" s="456"/>
      <c r="BBH174" s="456"/>
      <c r="BBI174" s="456"/>
      <c r="BBJ174" s="456"/>
      <c r="BBK174" s="456"/>
      <c r="BBL174" s="456"/>
      <c r="BBM174" s="456"/>
      <c r="BBN174" s="456"/>
      <c r="BBO174" s="456"/>
      <c r="BBP174" s="456"/>
      <c r="BBQ174" s="456"/>
      <c r="BBR174" s="456"/>
      <c r="BBS174" s="456"/>
      <c r="BBT174" s="456"/>
      <c r="BBU174" s="456"/>
      <c r="BBV174" s="456"/>
      <c r="BBW174" s="456"/>
      <c r="BBX174" s="456"/>
      <c r="BBY174" s="456"/>
      <c r="BBZ174" s="456"/>
      <c r="BCA174" s="456"/>
      <c r="BCB174" s="456"/>
      <c r="BCC174" s="456"/>
      <c r="BCD174" s="456"/>
      <c r="BCE174" s="456"/>
      <c r="BCF174" s="456"/>
      <c r="BCG174" s="456"/>
      <c r="BCH174" s="456"/>
      <c r="BCI174" s="456"/>
      <c r="BCJ174" s="456"/>
      <c r="BCK174" s="456"/>
      <c r="BCL174" s="456"/>
      <c r="BCM174" s="456"/>
      <c r="BCN174" s="456"/>
      <c r="BCO174" s="456"/>
      <c r="BCP174" s="456"/>
      <c r="BCQ174" s="456"/>
      <c r="BCR174" s="456"/>
      <c r="BCS174" s="456"/>
      <c r="BCT174" s="456"/>
      <c r="BCU174" s="456"/>
      <c r="BCV174" s="456"/>
      <c r="BCW174" s="456"/>
      <c r="BCX174" s="456"/>
      <c r="BCY174" s="456"/>
      <c r="BCZ174" s="456"/>
      <c r="BDA174" s="456"/>
      <c r="BDB174" s="456"/>
      <c r="BDC174" s="456"/>
      <c r="BDD174" s="456"/>
      <c r="BDE174" s="456"/>
      <c r="BDF174" s="456"/>
      <c r="BDG174" s="456"/>
      <c r="BDH174" s="456"/>
      <c r="BDI174" s="456"/>
      <c r="BDJ174" s="456"/>
      <c r="BDK174" s="456"/>
      <c r="BDL174" s="456"/>
      <c r="BDM174" s="456"/>
      <c r="BDN174" s="456"/>
      <c r="BDO174" s="456"/>
      <c r="BDP174" s="456"/>
      <c r="BDQ174" s="456"/>
      <c r="BDR174" s="456"/>
      <c r="BDS174" s="456"/>
      <c r="BDT174" s="456"/>
      <c r="BDU174" s="456"/>
      <c r="BDV174" s="456"/>
      <c r="BDW174" s="456"/>
      <c r="BDX174" s="456"/>
      <c r="BDY174" s="456"/>
      <c r="BDZ174" s="456"/>
      <c r="BEA174" s="456"/>
      <c r="BEB174" s="456"/>
      <c r="BEC174" s="456"/>
      <c r="BED174" s="456"/>
      <c r="BEE174" s="456"/>
      <c r="BEF174" s="456"/>
      <c r="BEG174" s="456"/>
      <c r="BEH174" s="456"/>
      <c r="BEI174" s="456"/>
      <c r="BEJ174" s="456"/>
      <c r="BEK174" s="456"/>
      <c r="BEL174" s="456"/>
      <c r="BEM174" s="456"/>
      <c r="BEN174" s="456"/>
      <c r="BEO174" s="456"/>
      <c r="BEP174" s="456"/>
      <c r="BEQ174" s="456"/>
      <c r="BER174" s="456"/>
      <c r="BES174" s="456"/>
      <c r="BET174" s="456"/>
      <c r="BEU174" s="456"/>
      <c r="BEV174" s="456"/>
      <c r="BEW174" s="456"/>
      <c r="BEX174" s="456"/>
      <c r="BEY174" s="456"/>
      <c r="BEZ174" s="456"/>
      <c r="BFA174" s="456"/>
      <c r="BFB174" s="456"/>
      <c r="BFC174" s="456"/>
      <c r="BFD174" s="456"/>
      <c r="BFE174" s="456"/>
      <c r="BFF174" s="456"/>
      <c r="BFG174" s="456"/>
      <c r="BFH174" s="456"/>
      <c r="BFI174" s="456"/>
      <c r="BFJ174" s="456"/>
      <c r="BFK174" s="456"/>
      <c r="BFL174" s="456"/>
      <c r="BFM174" s="456"/>
      <c r="BFN174" s="456"/>
      <c r="BFO174" s="456"/>
      <c r="BFP174" s="456"/>
      <c r="BFQ174" s="456"/>
      <c r="BFR174" s="456"/>
      <c r="BFS174" s="456"/>
      <c r="BFT174" s="456"/>
      <c r="BFU174" s="456"/>
      <c r="BFV174" s="456"/>
      <c r="BFW174" s="456"/>
      <c r="BFX174" s="456"/>
      <c r="BFY174" s="456"/>
      <c r="BFZ174" s="456"/>
      <c r="BGA174" s="456"/>
      <c r="BGB174" s="456"/>
      <c r="BGC174" s="456"/>
      <c r="BGD174" s="456"/>
      <c r="BGE174" s="456"/>
      <c r="BGF174" s="456"/>
      <c r="BGG174" s="456"/>
      <c r="BGH174" s="456"/>
      <c r="BGI174" s="456"/>
      <c r="BGJ174" s="456"/>
      <c r="BGK174" s="456"/>
      <c r="BGL174" s="456"/>
      <c r="BGM174" s="456"/>
      <c r="BGN174" s="456"/>
      <c r="BGO174" s="456"/>
      <c r="BGP174" s="456"/>
      <c r="BGQ174" s="456"/>
      <c r="BGR174" s="456"/>
      <c r="BGS174" s="456"/>
      <c r="BGT174" s="456"/>
      <c r="BGU174" s="456"/>
      <c r="BGV174" s="456"/>
      <c r="BGW174" s="456"/>
      <c r="BGX174" s="456"/>
      <c r="BGY174" s="456"/>
      <c r="BGZ174" s="456"/>
      <c r="BHA174" s="456"/>
      <c r="BHB174" s="456"/>
      <c r="BHC174" s="456"/>
      <c r="BHD174" s="456"/>
      <c r="BHE174" s="456"/>
      <c r="BHF174" s="456"/>
      <c r="BHG174" s="456"/>
      <c r="BHH174" s="456"/>
      <c r="BHI174" s="456"/>
      <c r="BHJ174" s="456"/>
      <c r="BHK174" s="456"/>
      <c r="BHL174" s="456"/>
      <c r="BHM174" s="456"/>
      <c r="BHN174" s="456"/>
      <c r="BHO174" s="456"/>
      <c r="BHP174" s="456"/>
      <c r="BHQ174" s="456"/>
      <c r="BHR174" s="456"/>
      <c r="BHS174" s="456"/>
      <c r="BHT174" s="456"/>
      <c r="BHU174" s="456"/>
      <c r="BHV174" s="456"/>
      <c r="BHW174" s="456"/>
      <c r="BHX174" s="456"/>
      <c r="BHY174" s="456"/>
      <c r="BHZ174" s="456"/>
      <c r="BIA174" s="456"/>
      <c r="BIB174" s="456"/>
      <c r="BIC174" s="456"/>
      <c r="BID174" s="456"/>
      <c r="BIE174" s="456"/>
      <c r="BIF174" s="456"/>
      <c r="BIG174" s="456"/>
      <c r="BIH174" s="456"/>
      <c r="BII174" s="456"/>
      <c r="BIJ174" s="456"/>
      <c r="BIK174" s="456"/>
      <c r="BIL174" s="456"/>
      <c r="BIM174" s="456"/>
      <c r="BIN174" s="456"/>
      <c r="BIO174" s="456"/>
      <c r="BIP174" s="456"/>
      <c r="BIQ174" s="456"/>
      <c r="BIR174" s="456"/>
      <c r="BIS174" s="456"/>
      <c r="BIT174" s="456"/>
      <c r="BIU174" s="456"/>
      <c r="BIV174" s="456"/>
      <c r="BIW174" s="456"/>
      <c r="BIX174" s="456"/>
      <c r="BIY174" s="456"/>
      <c r="BIZ174" s="456"/>
      <c r="BJA174" s="456"/>
      <c r="BJB174" s="456"/>
      <c r="BJC174" s="456"/>
      <c r="BJD174" s="456"/>
      <c r="BJE174" s="456"/>
      <c r="BJF174" s="456"/>
      <c r="BJG174" s="456"/>
      <c r="BJH174" s="456"/>
      <c r="BJI174" s="456"/>
      <c r="BJJ174" s="456"/>
      <c r="BJK174" s="456"/>
      <c r="BJL174" s="456"/>
      <c r="BJM174" s="456"/>
      <c r="BJN174" s="456"/>
      <c r="BJO174" s="456"/>
      <c r="BJP174" s="456"/>
      <c r="BJQ174" s="456"/>
      <c r="BJR174" s="456"/>
      <c r="BJS174" s="456"/>
      <c r="BJT174" s="456"/>
      <c r="BJU174" s="456"/>
      <c r="BJV174" s="456"/>
      <c r="BJW174" s="456"/>
      <c r="BJX174" s="456"/>
      <c r="BJY174" s="456"/>
      <c r="BJZ174" s="456"/>
      <c r="BKA174" s="456"/>
      <c r="BKB174" s="456"/>
      <c r="BKC174" s="456"/>
      <c r="BKD174" s="456"/>
      <c r="BKE174" s="456"/>
      <c r="BKF174" s="456"/>
      <c r="BKG174" s="456"/>
      <c r="BKH174" s="456"/>
      <c r="BKI174" s="456"/>
      <c r="BKJ174" s="456"/>
      <c r="BKK174" s="456"/>
      <c r="BKL174" s="456"/>
      <c r="BKM174" s="456"/>
      <c r="BKN174" s="456"/>
      <c r="BKO174" s="456"/>
      <c r="BKP174" s="456"/>
      <c r="BKQ174" s="456"/>
      <c r="BKR174" s="456"/>
      <c r="BKS174" s="456"/>
      <c r="BKT174" s="456"/>
      <c r="BKU174" s="456"/>
      <c r="BKV174" s="456"/>
      <c r="BKW174" s="456"/>
      <c r="BKX174" s="456"/>
      <c r="BKY174" s="456"/>
      <c r="BKZ174" s="456"/>
      <c r="BLA174" s="456"/>
      <c r="BLB174" s="456"/>
      <c r="BLC174" s="456"/>
      <c r="BLD174" s="456"/>
      <c r="BLE174" s="456"/>
      <c r="BLF174" s="456"/>
      <c r="BLG174" s="456"/>
      <c r="BLH174" s="456"/>
      <c r="BLI174" s="456"/>
      <c r="BLJ174" s="456"/>
      <c r="BLK174" s="456"/>
      <c r="BLL174" s="456"/>
      <c r="BLM174" s="456"/>
      <c r="BLN174" s="456"/>
      <c r="BLO174" s="456"/>
      <c r="BLP174" s="456"/>
      <c r="BLQ174" s="456"/>
      <c r="BLR174" s="456"/>
      <c r="BLS174" s="456"/>
      <c r="BLT174" s="456"/>
      <c r="BLU174" s="456"/>
      <c r="BLV174" s="456"/>
      <c r="BLW174" s="456"/>
      <c r="BLX174" s="456"/>
      <c r="BLY174" s="456"/>
      <c r="BLZ174" s="456"/>
      <c r="BMA174" s="456"/>
      <c r="BMB174" s="456"/>
      <c r="BMC174" s="456"/>
      <c r="BMD174" s="456"/>
      <c r="BME174" s="456"/>
      <c r="BMF174" s="456"/>
      <c r="BMG174" s="456"/>
      <c r="BMH174" s="456"/>
      <c r="BMI174" s="456"/>
      <c r="BMJ174" s="456"/>
      <c r="BMK174" s="456"/>
      <c r="BML174" s="456"/>
      <c r="BMM174" s="456"/>
      <c r="BMN174" s="456"/>
      <c r="BMO174" s="456"/>
      <c r="BMP174" s="456"/>
      <c r="BMQ174" s="456"/>
      <c r="BMR174" s="456"/>
      <c r="BMS174" s="456"/>
      <c r="BMT174" s="456"/>
      <c r="BMU174" s="456"/>
      <c r="BMV174" s="456"/>
      <c r="BMW174" s="456"/>
      <c r="BMX174" s="456"/>
      <c r="BMY174" s="456"/>
      <c r="BMZ174" s="456"/>
      <c r="BNA174" s="456"/>
      <c r="BNB174" s="456"/>
      <c r="BNC174" s="456"/>
      <c r="BND174" s="456"/>
      <c r="BNE174" s="456"/>
      <c r="BNF174" s="456"/>
      <c r="BNG174" s="456"/>
      <c r="BNH174" s="456"/>
      <c r="BNI174" s="456"/>
      <c r="BNJ174" s="456"/>
      <c r="BNK174" s="456"/>
      <c r="BNL174" s="456"/>
      <c r="BNM174" s="456"/>
      <c r="BNN174" s="456"/>
      <c r="BNO174" s="456"/>
      <c r="BNP174" s="456"/>
      <c r="BNQ174" s="456"/>
      <c r="BNR174" s="456"/>
      <c r="BNS174" s="456"/>
      <c r="BNT174" s="456"/>
      <c r="BNU174" s="456"/>
      <c r="BNV174" s="456"/>
      <c r="BNW174" s="456"/>
      <c r="BNX174" s="456"/>
      <c r="BNY174" s="456"/>
      <c r="BNZ174" s="456"/>
      <c r="BOA174" s="456"/>
      <c r="BOB174" s="456"/>
      <c r="BOC174" s="456"/>
      <c r="BOD174" s="456"/>
      <c r="BOE174" s="456"/>
      <c r="BOF174" s="456"/>
      <c r="BOG174" s="456"/>
      <c r="BOH174" s="456"/>
      <c r="BOI174" s="456"/>
      <c r="BOJ174" s="456"/>
      <c r="BOK174" s="456"/>
      <c r="BOL174" s="456"/>
      <c r="BOM174" s="456"/>
      <c r="BON174" s="456"/>
      <c r="BOO174" s="456"/>
      <c r="BOP174" s="456"/>
      <c r="BOQ174" s="456"/>
      <c r="BOR174" s="456"/>
      <c r="BOS174" s="456"/>
      <c r="BOT174" s="456"/>
      <c r="BOU174" s="456"/>
      <c r="BOV174" s="456"/>
      <c r="BOW174" s="456"/>
      <c r="BOX174" s="456"/>
      <c r="BOY174" s="456"/>
      <c r="BOZ174" s="456"/>
      <c r="BPA174" s="456"/>
      <c r="BPB174" s="456"/>
      <c r="BPC174" s="456"/>
      <c r="BPD174" s="456"/>
      <c r="BPE174" s="456"/>
      <c r="BPF174" s="456"/>
      <c r="BPG174" s="456"/>
      <c r="BPH174" s="456"/>
      <c r="BPI174" s="456"/>
      <c r="BPJ174" s="456"/>
      <c r="BPK174" s="456"/>
      <c r="BPL174" s="456"/>
      <c r="BPM174" s="456"/>
      <c r="BPN174" s="456"/>
      <c r="BPO174" s="456"/>
      <c r="BPP174" s="456"/>
      <c r="BPQ174" s="456"/>
      <c r="BPR174" s="456"/>
      <c r="BPS174" s="456"/>
      <c r="BPT174" s="456"/>
      <c r="BPU174" s="456"/>
      <c r="BPV174" s="456"/>
      <c r="BPW174" s="456"/>
      <c r="BPX174" s="456"/>
      <c r="BPY174" s="456"/>
      <c r="BPZ174" s="456"/>
      <c r="BQA174" s="456"/>
      <c r="BQB174" s="456"/>
      <c r="BQC174" s="456"/>
      <c r="BQD174" s="456"/>
      <c r="BQE174" s="456"/>
      <c r="BQF174" s="456"/>
      <c r="BQG174" s="456"/>
      <c r="BQH174" s="456"/>
      <c r="BQI174" s="456"/>
      <c r="BQJ174" s="456"/>
      <c r="BQK174" s="456"/>
      <c r="BQL174" s="456"/>
      <c r="BQM174" s="456"/>
      <c r="BQN174" s="456"/>
      <c r="BQO174" s="456"/>
      <c r="BQP174" s="456"/>
      <c r="BQQ174" s="456"/>
      <c r="BQR174" s="456"/>
      <c r="BQS174" s="456"/>
      <c r="BQT174" s="456"/>
      <c r="BQU174" s="456"/>
      <c r="BQV174" s="456"/>
      <c r="BQW174" s="456"/>
      <c r="BQX174" s="456"/>
      <c r="BQY174" s="456"/>
      <c r="BQZ174" s="456"/>
      <c r="BRA174" s="456"/>
      <c r="BRB174" s="456"/>
      <c r="BRC174" s="456"/>
      <c r="BRD174" s="456"/>
      <c r="BRE174" s="456"/>
      <c r="BRF174" s="456"/>
      <c r="BRG174" s="456"/>
      <c r="BRH174" s="456"/>
      <c r="BRI174" s="456"/>
      <c r="BRJ174" s="456"/>
      <c r="BRK174" s="456"/>
      <c r="BRL174" s="456"/>
      <c r="BRM174" s="456"/>
      <c r="BRN174" s="456"/>
      <c r="BRO174" s="456"/>
      <c r="BRP174" s="456"/>
      <c r="BRQ174" s="456"/>
      <c r="BRR174" s="456"/>
      <c r="BRS174" s="456"/>
      <c r="BRT174" s="456"/>
      <c r="BRU174" s="456"/>
      <c r="BRV174" s="456"/>
      <c r="BRW174" s="456"/>
      <c r="BRX174" s="456"/>
      <c r="BRY174" s="456"/>
      <c r="BRZ174" s="456"/>
      <c r="BSA174" s="456"/>
      <c r="BSB174" s="456"/>
      <c r="BSC174" s="456"/>
      <c r="BSD174" s="456"/>
      <c r="BSE174" s="456"/>
      <c r="BSF174" s="456"/>
      <c r="BSG174" s="456"/>
      <c r="BSH174" s="456"/>
      <c r="BSI174" s="456"/>
      <c r="BSJ174" s="456"/>
      <c r="BSK174" s="456"/>
      <c r="BSL174" s="456"/>
      <c r="BSM174" s="456"/>
      <c r="BSN174" s="456"/>
      <c r="BSO174" s="456"/>
      <c r="BSP174" s="456"/>
      <c r="BSQ174" s="456"/>
      <c r="BSR174" s="456"/>
      <c r="BSS174" s="456"/>
      <c r="BST174" s="456"/>
      <c r="BSU174" s="456"/>
      <c r="BSV174" s="456"/>
      <c r="BSW174" s="456"/>
      <c r="BSX174" s="456"/>
      <c r="BSY174" s="456"/>
      <c r="BSZ174" s="456"/>
      <c r="BTA174" s="456"/>
      <c r="BTB174" s="456"/>
      <c r="BTC174" s="456"/>
      <c r="BTD174" s="456"/>
      <c r="BTE174" s="456"/>
      <c r="BTF174" s="456"/>
      <c r="BTG174" s="456"/>
      <c r="BTH174" s="456"/>
      <c r="BTI174" s="456"/>
      <c r="BTJ174" s="456"/>
      <c r="BTK174" s="456"/>
      <c r="BTL174" s="456"/>
      <c r="BTM174" s="456"/>
      <c r="BTN174" s="456"/>
      <c r="BTO174" s="456"/>
      <c r="BTP174" s="456"/>
      <c r="BTQ174" s="456"/>
      <c r="BTR174" s="456"/>
      <c r="BTS174" s="456"/>
      <c r="BTT174" s="456"/>
      <c r="BTU174" s="456"/>
      <c r="BTV174" s="456"/>
      <c r="BTW174" s="456"/>
      <c r="BTX174" s="456"/>
      <c r="BTY174" s="456"/>
      <c r="BTZ174" s="456"/>
      <c r="BUA174" s="456"/>
      <c r="BUB174" s="456"/>
      <c r="BUC174" s="456"/>
      <c r="BUD174" s="456"/>
      <c r="BUE174" s="456"/>
      <c r="BUF174" s="456"/>
      <c r="BUG174" s="456"/>
      <c r="BUH174" s="456"/>
      <c r="BUI174" s="456"/>
      <c r="BUJ174" s="456"/>
      <c r="BUK174" s="456"/>
      <c r="BUL174" s="456"/>
      <c r="BUM174" s="456"/>
      <c r="BUN174" s="456"/>
      <c r="BUO174" s="456"/>
      <c r="BUP174" s="456"/>
      <c r="BUQ174" s="456"/>
      <c r="BUR174" s="456"/>
      <c r="BUS174" s="456"/>
      <c r="BUT174" s="456"/>
      <c r="BUU174" s="456"/>
      <c r="BUV174" s="456"/>
      <c r="BUW174" s="456"/>
      <c r="BUX174" s="456"/>
      <c r="BUY174" s="456"/>
      <c r="BUZ174" s="456"/>
      <c r="BVA174" s="456"/>
      <c r="BVB174" s="456"/>
      <c r="BVC174" s="456"/>
      <c r="BVD174" s="456"/>
      <c r="BVE174" s="456"/>
      <c r="BVF174" s="456"/>
      <c r="BVG174" s="456"/>
      <c r="BVH174" s="456"/>
      <c r="BVI174" s="456"/>
      <c r="BVJ174" s="456"/>
      <c r="BVK174" s="456"/>
      <c r="BVL174" s="456"/>
      <c r="BVM174" s="456"/>
      <c r="BVN174" s="456"/>
      <c r="BVO174" s="456"/>
      <c r="BVP174" s="456"/>
      <c r="BVQ174" s="456"/>
      <c r="BVR174" s="456"/>
      <c r="BVS174" s="456"/>
      <c r="BVT174" s="456"/>
      <c r="BVU174" s="456"/>
      <c r="BVV174" s="456"/>
      <c r="BVW174" s="456"/>
      <c r="BVX174" s="456"/>
      <c r="BVY174" s="456"/>
      <c r="BVZ174" s="456"/>
      <c r="BWA174" s="456"/>
      <c r="BWB174" s="456"/>
      <c r="BWC174" s="456"/>
      <c r="BWD174" s="456"/>
      <c r="BWE174" s="456"/>
      <c r="BWF174" s="456"/>
      <c r="BWG174" s="456"/>
      <c r="BWH174" s="456"/>
      <c r="BWI174" s="456"/>
      <c r="BWJ174" s="456"/>
      <c r="BWK174" s="456"/>
      <c r="BWL174" s="456"/>
      <c r="BWM174" s="456"/>
      <c r="BWN174" s="456"/>
      <c r="BWO174" s="456"/>
      <c r="BWP174" s="456"/>
      <c r="BWQ174" s="456"/>
      <c r="BWR174" s="456"/>
      <c r="BWS174" s="456"/>
      <c r="BWT174" s="456"/>
      <c r="BWU174" s="456"/>
      <c r="BWV174" s="456"/>
      <c r="BWW174" s="456"/>
      <c r="BWX174" s="456"/>
      <c r="BWY174" s="456"/>
      <c r="BWZ174" s="456"/>
      <c r="BXA174" s="456"/>
      <c r="BXB174" s="456"/>
      <c r="BXC174" s="456"/>
      <c r="BXD174" s="456"/>
      <c r="BXE174" s="456"/>
      <c r="BXF174" s="456"/>
      <c r="BXG174" s="456"/>
      <c r="BXH174" s="456"/>
      <c r="BXI174" s="456"/>
      <c r="BXJ174" s="456"/>
      <c r="BXK174" s="456"/>
      <c r="BXL174" s="456"/>
      <c r="BXM174" s="456"/>
      <c r="BXN174" s="456"/>
      <c r="BXO174" s="456"/>
      <c r="BXP174" s="456"/>
      <c r="BXQ174" s="456"/>
      <c r="BXR174" s="456"/>
      <c r="BXS174" s="456"/>
      <c r="BXT174" s="456"/>
      <c r="BXU174" s="456"/>
      <c r="BXV174" s="456"/>
      <c r="BXW174" s="456"/>
      <c r="BXX174" s="456"/>
      <c r="BXY174" s="456"/>
      <c r="BXZ174" s="456"/>
    </row>
    <row r="175" s="25" customFormat="1" spans="1:1024 1025:2002">
      <c r="A175" s="473" t="s">
        <v>34</v>
      </c>
      <c r="B175" s="19">
        <v>1134</v>
      </c>
      <c r="C175" s="183">
        <v>46224</v>
      </c>
      <c r="D175" s="17" t="s">
        <v>52</v>
      </c>
      <c r="E175" s="17" t="s">
        <v>119</v>
      </c>
      <c r="F175" s="17" t="s">
        <v>54</v>
      </c>
      <c r="G175" s="17"/>
      <c r="H175" s="19">
        <v>1.2738</v>
      </c>
      <c r="I175" s="102" t="s">
        <v>65</v>
      </c>
      <c r="J175" s="17" t="s">
        <v>49</v>
      </c>
      <c r="K175" s="167">
        <v>2200</v>
      </c>
      <c r="L175" s="167">
        <v>36</v>
      </c>
      <c r="M175" s="167">
        <v>3500</v>
      </c>
      <c r="N175" s="19" t="s">
        <v>66</v>
      </c>
      <c r="O175" s="19" t="s">
        <v>67</v>
      </c>
      <c r="P175" s="167">
        <v>2798</v>
      </c>
      <c r="Q175" s="99">
        <v>2940</v>
      </c>
      <c r="R175" s="99">
        <f t="shared" si="9"/>
        <v>-142</v>
      </c>
      <c r="S175" s="19">
        <v>970</v>
      </c>
      <c r="T175" s="19" t="s">
        <v>42</v>
      </c>
      <c r="U175" s="102" t="s">
        <v>123</v>
      </c>
      <c r="V175" s="186">
        <v>46230</v>
      </c>
      <c r="W175" s="17" t="s">
        <v>44</v>
      </c>
      <c r="X175" s="17"/>
      <c r="Y175" s="68">
        <v>46235</v>
      </c>
      <c r="Z175" s="17" t="s">
        <v>45</v>
      </c>
      <c r="AA175" s="17" t="s">
        <v>46</v>
      </c>
      <c r="AB175" s="17" t="s">
        <v>122</v>
      </c>
      <c r="AC175" s="217">
        <v>46243</v>
      </c>
      <c r="AD175" s="65">
        <v>1847</v>
      </c>
      <c r="AE175" s="17" t="s">
        <v>48</v>
      </c>
      <c r="AF175" s="17" t="s">
        <v>61</v>
      </c>
      <c r="AG175" s="17"/>
      <c r="AH175" s="456"/>
      <c r="AI175" s="456"/>
      <c r="AJ175" s="456"/>
      <c r="AK175" s="456"/>
      <c r="AL175" s="456"/>
      <c r="AM175" s="456"/>
      <c r="AN175" s="456"/>
      <c r="AO175" s="456"/>
      <c r="AP175" s="456"/>
      <c r="AQ175" s="456"/>
      <c r="AR175" s="456"/>
      <c r="AS175" s="456"/>
      <c r="AT175" s="456"/>
      <c r="AU175" s="456"/>
      <c r="AV175" s="456"/>
      <c r="AW175" s="456"/>
      <c r="AX175" s="456"/>
      <c r="AY175" s="456"/>
      <c r="AZ175" s="456"/>
      <c r="BA175" s="456"/>
      <c r="BB175" s="456"/>
      <c r="BC175" s="456"/>
      <c r="BD175" s="456"/>
      <c r="BE175" s="456"/>
      <c r="BF175" s="456"/>
      <c r="BG175" s="456"/>
      <c r="BH175" s="456"/>
      <c r="BI175" s="456"/>
      <c r="BJ175" s="456"/>
      <c r="BK175" s="456"/>
      <c r="BL175" s="456"/>
      <c r="BM175" s="456"/>
      <c r="BN175" s="456"/>
      <c r="BO175" s="456"/>
      <c r="BP175" s="456"/>
      <c r="BQ175" s="456"/>
      <c r="BR175" s="456"/>
      <c r="BS175" s="456"/>
      <c r="BT175" s="456"/>
      <c r="BU175" s="456"/>
      <c r="BV175" s="456"/>
      <c r="BW175" s="456"/>
      <c r="BX175" s="456"/>
      <c r="BY175" s="456"/>
      <c r="BZ175" s="456"/>
      <c r="CA175" s="456"/>
      <c r="CB175" s="456"/>
      <c r="CC175" s="456"/>
      <c r="CD175" s="456"/>
      <c r="CE175" s="456"/>
      <c r="CF175" s="456"/>
      <c r="CG175" s="456"/>
      <c r="CH175" s="456"/>
      <c r="CI175" s="456"/>
      <c r="CJ175" s="456"/>
      <c r="CK175" s="456"/>
      <c r="CL175" s="456"/>
      <c r="CM175" s="456"/>
      <c r="CN175" s="456"/>
      <c r="CO175" s="456"/>
      <c r="CP175" s="456"/>
      <c r="CQ175" s="456"/>
      <c r="CR175" s="456"/>
      <c r="CS175" s="456"/>
      <c r="CT175" s="456"/>
      <c r="CU175" s="456"/>
      <c r="CV175" s="456"/>
      <c r="CW175" s="456"/>
      <c r="CX175" s="456"/>
      <c r="CY175" s="456"/>
      <c r="CZ175" s="456"/>
      <c r="DA175" s="456"/>
      <c r="DB175" s="456"/>
      <c r="DC175" s="456"/>
      <c r="DD175" s="456"/>
      <c r="DE175" s="456"/>
      <c r="DF175" s="456"/>
      <c r="DG175" s="456"/>
      <c r="DH175" s="456"/>
      <c r="DI175" s="456"/>
      <c r="DJ175" s="456"/>
      <c r="DK175" s="456"/>
      <c r="DL175" s="456"/>
      <c r="DM175" s="456"/>
      <c r="DN175" s="456"/>
      <c r="DO175" s="456"/>
      <c r="DP175" s="456"/>
      <c r="DQ175" s="456"/>
      <c r="DR175" s="456"/>
      <c r="DS175" s="456"/>
      <c r="DT175" s="456"/>
      <c r="DU175" s="456"/>
      <c r="DV175" s="456"/>
      <c r="DW175" s="456"/>
      <c r="DX175" s="456"/>
      <c r="DY175" s="456"/>
      <c r="DZ175" s="456"/>
      <c r="EA175" s="456"/>
      <c r="EB175" s="456"/>
      <c r="EC175" s="456"/>
      <c r="ED175" s="456"/>
      <c r="EE175" s="456"/>
      <c r="EF175" s="456"/>
      <c r="EG175" s="456"/>
      <c r="EH175" s="456"/>
      <c r="EI175" s="456"/>
      <c r="EJ175" s="456"/>
      <c r="EK175" s="456"/>
      <c r="EL175" s="456"/>
      <c r="EM175" s="456"/>
      <c r="EN175" s="456"/>
      <c r="EO175" s="456"/>
      <c r="EP175" s="456"/>
      <c r="EQ175" s="456"/>
      <c r="ER175" s="456"/>
      <c r="ES175" s="456"/>
      <c r="ET175" s="456"/>
      <c r="EU175" s="456"/>
      <c r="EV175" s="456"/>
      <c r="EW175" s="456"/>
      <c r="EX175" s="456"/>
      <c r="EY175" s="456"/>
      <c r="EZ175" s="456"/>
      <c r="FA175" s="456"/>
      <c r="FB175" s="456"/>
      <c r="FC175" s="456"/>
      <c r="FD175" s="456"/>
      <c r="FE175" s="456"/>
      <c r="FF175" s="456"/>
      <c r="FG175" s="456"/>
      <c r="FH175" s="456"/>
      <c r="FI175" s="456"/>
      <c r="FJ175" s="456"/>
      <c r="FK175" s="456"/>
      <c r="FL175" s="456"/>
      <c r="FM175" s="456"/>
      <c r="FN175" s="456"/>
      <c r="FO175" s="456"/>
      <c r="FP175" s="456"/>
      <c r="FQ175" s="456"/>
      <c r="FR175" s="456"/>
      <c r="FS175" s="456"/>
      <c r="FT175" s="456"/>
      <c r="FU175" s="456"/>
      <c r="FV175" s="456"/>
      <c r="FW175" s="456"/>
      <c r="FX175" s="456"/>
      <c r="FY175" s="456"/>
      <c r="FZ175" s="456"/>
      <c r="GA175" s="456"/>
      <c r="GB175" s="456"/>
      <c r="GC175" s="456"/>
      <c r="GD175" s="456"/>
      <c r="GE175" s="456"/>
      <c r="GF175" s="456"/>
      <c r="GG175" s="456"/>
      <c r="GH175" s="456"/>
      <c r="GI175" s="456"/>
      <c r="GJ175" s="456"/>
      <c r="GK175" s="456"/>
      <c r="GL175" s="456"/>
      <c r="GM175" s="456"/>
      <c r="GN175" s="456"/>
      <c r="GO175" s="456"/>
      <c r="GP175" s="456"/>
      <c r="GQ175" s="456"/>
      <c r="GR175" s="456"/>
      <c r="GS175" s="456"/>
      <c r="GT175" s="456"/>
      <c r="GU175" s="456"/>
      <c r="GV175" s="456"/>
      <c r="GW175" s="456"/>
      <c r="GX175" s="456"/>
      <c r="GY175" s="456"/>
      <c r="GZ175" s="456"/>
      <c r="HA175" s="456"/>
      <c r="HB175" s="456"/>
      <c r="HC175" s="456"/>
      <c r="HD175" s="456"/>
      <c r="HE175" s="456"/>
      <c r="HF175" s="456"/>
      <c r="HG175" s="456"/>
      <c r="HH175" s="456"/>
      <c r="HI175" s="456"/>
      <c r="HJ175" s="456"/>
      <c r="HK175" s="456"/>
      <c r="HL175" s="456"/>
      <c r="HM175" s="456"/>
      <c r="HN175" s="456"/>
      <c r="HO175" s="456"/>
      <c r="HP175" s="456"/>
      <c r="HQ175" s="456"/>
      <c r="HR175" s="456"/>
      <c r="HS175" s="456"/>
      <c r="HT175" s="456"/>
      <c r="HU175" s="456"/>
      <c r="HV175" s="456"/>
      <c r="HW175" s="456"/>
      <c r="HX175" s="456"/>
      <c r="HY175" s="456"/>
      <c r="HZ175" s="456"/>
      <c r="IA175" s="456"/>
      <c r="IB175" s="456"/>
      <c r="IC175" s="456"/>
      <c r="ID175" s="456"/>
      <c r="IE175" s="456"/>
      <c r="IF175" s="456"/>
      <c r="IG175" s="456"/>
      <c r="IH175" s="456"/>
      <c r="II175" s="456"/>
      <c r="IJ175" s="456"/>
      <c r="IK175" s="456"/>
      <c r="IL175" s="456"/>
      <c r="IM175" s="456"/>
      <c r="IN175" s="456"/>
      <c r="IO175" s="456"/>
      <c r="IP175" s="456"/>
      <c r="IQ175" s="456"/>
      <c r="IR175" s="456"/>
      <c r="IS175" s="456"/>
      <c r="IT175" s="456"/>
      <c r="IU175" s="456"/>
      <c r="IV175" s="456"/>
      <c r="IW175" s="456"/>
      <c r="IX175" s="456"/>
      <c r="IY175" s="456"/>
      <c r="IZ175" s="456"/>
      <c r="JA175" s="456"/>
      <c r="JB175" s="456"/>
      <c r="JC175" s="456"/>
      <c r="JD175" s="456"/>
      <c r="JE175" s="456"/>
      <c r="JF175" s="456"/>
      <c r="JG175" s="456"/>
      <c r="JH175" s="456"/>
      <c r="JI175" s="456"/>
      <c r="JJ175" s="456"/>
      <c r="JK175" s="456"/>
      <c r="JL175" s="456"/>
      <c r="JM175" s="456"/>
      <c r="JN175" s="456"/>
      <c r="JO175" s="456"/>
      <c r="JP175" s="456"/>
      <c r="JQ175" s="456"/>
      <c r="JR175" s="456"/>
      <c r="JS175" s="456"/>
      <c r="JT175" s="456"/>
      <c r="JU175" s="456"/>
      <c r="JV175" s="456"/>
      <c r="JW175" s="456"/>
      <c r="JX175" s="456"/>
      <c r="JY175" s="456"/>
      <c r="JZ175" s="456"/>
      <c r="KA175" s="456"/>
      <c r="KB175" s="456"/>
      <c r="KC175" s="456"/>
      <c r="KD175" s="456"/>
      <c r="KE175" s="456"/>
      <c r="KF175" s="456"/>
      <c r="KG175" s="456"/>
      <c r="KH175" s="456"/>
      <c r="KI175" s="456"/>
      <c r="KJ175" s="456"/>
      <c r="KK175" s="456"/>
      <c r="KL175" s="456"/>
      <c r="KM175" s="456"/>
      <c r="KN175" s="456"/>
      <c r="KO175" s="456"/>
      <c r="KP175" s="456"/>
      <c r="KQ175" s="456"/>
      <c r="KR175" s="456"/>
      <c r="KS175" s="456"/>
      <c r="KT175" s="456"/>
      <c r="KU175" s="456"/>
      <c r="KV175" s="456"/>
      <c r="KW175" s="456"/>
      <c r="KX175" s="456"/>
      <c r="KY175" s="456"/>
      <c r="KZ175" s="456"/>
      <c r="LA175" s="456"/>
      <c r="LB175" s="456"/>
      <c r="LC175" s="456"/>
      <c r="LD175" s="456"/>
      <c r="LE175" s="456"/>
      <c r="LF175" s="456"/>
      <c r="LG175" s="456"/>
      <c r="LH175" s="456"/>
      <c r="LI175" s="456"/>
      <c r="LJ175" s="456"/>
      <c r="LK175" s="456"/>
      <c r="LL175" s="456"/>
      <c r="LM175" s="456"/>
      <c r="LN175" s="456"/>
      <c r="LO175" s="456"/>
      <c r="LP175" s="456"/>
      <c r="LQ175" s="456"/>
      <c r="LR175" s="456"/>
      <c r="LS175" s="456"/>
      <c r="LT175" s="456"/>
      <c r="LU175" s="456"/>
      <c r="LV175" s="456"/>
      <c r="LW175" s="456"/>
      <c r="LX175" s="456"/>
      <c r="LY175" s="456"/>
      <c r="LZ175" s="456"/>
      <c r="MA175" s="456"/>
      <c r="MB175" s="456"/>
      <c r="MC175" s="456"/>
      <c r="MD175" s="456"/>
      <c r="ME175" s="456"/>
      <c r="MF175" s="456"/>
      <c r="MG175" s="456"/>
      <c r="MH175" s="456"/>
      <c r="MI175" s="456"/>
      <c r="MJ175" s="456"/>
      <c r="MK175" s="456"/>
      <c r="ML175" s="456"/>
      <c r="MM175" s="456"/>
      <c r="MN175" s="456"/>
      <c r="MO175" s="456"/>
      <c r="MP175" s="456"/>
      <c r="MQ175" s="456"/>
      <c r="MR175" s="456"/>
      <c r="MS175" s="456"/>
      <c r="MT175" s="456"/>
      <c r="MU175" s="456"/>
      <c r="MV175" s="456"/>
      <c r="MW175" s="456"/>
      <c r="MX175" s="456"/>
      <c r="MY175" s="456"/>
      <c r="MZ175" s="456"/>
      <c r="NA175" s="456"/>
      <c r="NB175" s="456"/>
      <c r="NC175" s="456"/>
      <c r="ND175" s="456"/>
      <c r="NE175" s="456"/>
      <c r="NF175" s="456"/>
      <c r="NG175" s="456"/>
      <c r="NH175" s="456"/>
      <c r="NI175" s="456"/>
      <c r="NJ175" s="456"/>
      <c r="NK175" s="456"/>
      <c r="NL175" s="456"/>
      <c r="NM175" s="456"/>
      <c r="NN175" s="456"/>
      <c r="NO175" s="456"/>
      <c r="NP175" s="456"/>
      <c r="NQ175" s="456"/>
      <c r="NR175" s="456"/>
      <c r="NS175" s="456"/>
      <c r="NT175" s="456"/>
      <c r="NU175" s="456"/>
      <c r="NV175" s="456"/>
      <c r="NW175" s="456"/>
      <c r="NX175" s="456"/>
      <c r="NY175" s="456"/>
      <c r="NZ175" s="456"/>
      <c r="OA175" s="456"/>
      <c r="OB175" s="456"/>
      <c r="OC175" s="456"/>
      <c r="OD175" s="456"/>
      <c r="OE175" s="456"/>
      <c r="OF175" s="456"/>
      <c r="OG175" s="456"/>
      <c r="OH175" s="456"/>
      <c r="OI175" s="456"/>
      <c r="OJ175" s="456"/>
      <c r="OK175" s="456"/>
      <c r="OL175" s="456"/>
      <c r="OM175" s="456"/>
      <c r="ON175" s="456"/>
      <c r="OO175" s="456"/>
      <c r="OP175" s="456"/>
      <c r="OQ175" s="456"/>
      <c r="OR175" s="456"/>
      <c r="OS175" s="456"/>
      <c r="OT175" s="456"/>
      <c r="OU175" s="456"/>
      <c r="OV175" s="456"/>
      <c r="OW175" s="456"/>
      <c r="OX175" s="456"/>
      <c r="OY175" s="456"/>
      <c r="OZ175" s="456"/>
      <c r="PA175" s="456"/>
      <c r="PB175" s="456"/>
      <c r="PC175" s="456"/>
      <c r="PD175" s="456"/>
      <c r="PE175" s="456"/>
      <c r="PF175" s="456"/>
      <c r="PG175" s="456"/>
      <c r="PH175" s="456"/>
      <c r="PI175" s="456"/>
      <c r="PJ175" s="456"/>
      <c r="PK175" s="456"/>
      <c r="PL175" s="456"/>
      <c r="PM175" s="456"/>
      <c r="PN175" s="456"/>
      <c r="PO175" s="456"/>
      <c r="PP175" s="456"/>
      <c r="PQ175" s="456"/>
      <c r="PR175" s="456"/>
      <c r="PS175" s="456"/>
      <c r="PT175" s="456"/>
      <c r="PU175" s="456"/>
      <c r="PV175" s="456"/>
      <c r="PW175" s="456"/>
      <c r="PX175" s="456"/>
      <c r="PY175" s="456"/>
      <c r="PZ175" s="456"/>
      <c r="QA175" s="456"/>
      <c r="QB175" s="456"/>
      <c r="QC175" s="456"/>
      <c r="QD175" s="456"/>
      <c r="QE175" s="456"/>
      <c r="QF175" s="456"/>
      <c r="QG175" s="456"/>
      <c r="QH175" s="456"/>
      <c r="QI175" s="456"/>
      <c r="QJ175" s="456"/>
      <c r="QK175" s="456"/>
      <c r="QL175" s="456"/>
      <c r="QM175" s="456"/>
      <c r="QN175" s="456"/>
      <c r="QO175" s="456"/>
      <c r="QP175" s="456"/>
      <c r="QQ175" s="456"/>
      <c r="QR175" s="456"/>
      <c r="QS175" s="456"/>
      <c r="QT175" s="456"/>
      <c r="QU175" s="456"/>
      <c r="QV175" s="456"/>
      <c r="QW175" s="456"/>
      <c r="QX175" s="456"/>
      <c r="QY175" s="456"/>
      <c r="QZ175" s="456"/>
      <c r="RA175" s="456"/>
      <c r="RB175" s="456"/>
      <c r="RC175" s="456"/>
      <c r="RD175" s="456"/>
      <c r="RE175" s="456"/>
      <c r="RF175" s="456"/>
      <c r="RG175" s="456"/>
      <c r="RH175" s="456"/>
      <c r="RI175" s="456"/>
      <c r="RJ175" s="456"/>
      <c r="RK175" s="456"/>
      <c r="RL175" s="456"/>
      <c r="RM175" s="456"/>
      <c r="RN175" s="456"/>
      <c r="RO175" s="456"/>
      <c r="RP175" s="456"/>
      <c r="RQ175" s="456"/>
      <c r="RR175" s="456"/>
      <c r="RS175" s="456"/>
      <c r="RT175" s="456"/>
      <c r="RU175" s="456"/>
      <c r="RV175" s="456"/>
      <c r="RW175" s="456"/>
      <c r="RX175" s="456"/>
      <c r="RY175" s="456"/>
      <c r="RZ175" s="456"/>
      <c r="SA175" s="456"/>
      <c r="SB175" s="456"/>
      <c r="SC175" s="456"/>
      <c r="SD175" s="456"/>
      <c r="SE175" s="456"/>
      <c r="SF175" s="456"/>
      <c r="SG175" s="456"/>
      <c r="SH175" s="456"/>
      <c r="SI175" s="456"/>
      <c r="SJ175" s="456"/>
      <c r="SK175" s="456"/>
      <c r="SL175" s="456"/>
      <c r="SM175" s="456"/>
      <c r="SN175" s="456"/>
      <c r="SO175" s="456"/>
      <c r="SP175" s="456"/>
      <c r="SQ175" s="456"/>
      <c r="SR175" s="456"/>
      <c r="SS175" s="456"/>
      <c r="ST175" s="456"/>
      <c r="SU175" s="456"/>
      <c r="SV175" s="456"/>
      <c r="SW175" s="456"/>
      <c r="SX175" s="456"/>
      <c r="SY175" s="456"/>
      <c r="SZ175" s="456"/>
      <c r="TA175" s="456"/>
      <c r="TB175" s="456"/>
      <c r="TC175" s="456"/>
      <c r="TD175" s="456"/>
      <c r="TE175" s="456"/>
      <c r="TF175" s="456"/>
      <c r="TG175" s="456"/>
      <c r="TH175" s="456"/>
      <c r="TI175" s="456"/>
      <c r="TJ175" s="456"/>
      <c r="TK175" s="456"/>
      <c r="TL175" s="456"/>
      <c r="TM175" s="456"/>
      <c r="TN175" s="456"/>
      <c r="TO175" s="456"/>
      <c r="TP175" s="456"/>
      <c r="TQ175" s="456"/>
      <c r="TR175" s="456"/>
      <c r="TS175" s="456"/>
      <c r="TT175" s="456"/>
      <c r="TU175" s="456"/>
      <c r="TV175" s="456"/>
      <c r="TW175" s="456"/>
      <c r="TX175" s="456"/>
      <c r="TY175" s="456"/>
      <c r="TZ175" s="456"/>
      <c r="UA175" s="456"/>
      <c r="UB175" s="456"/>
      <c r="UC175" s="456"/>
      <c r="UD175" s="456"/>
      <c r="UE175" s="456"/>
      <c r="UF175" s="456"/>
      <c r="UG175" s="456"/>
      <c r="UH175" s="456"/>
      <c r="UI175" s="456"/>
      <c r="UJ175" s="456"/>
      <c r="UK175" s="456"/>
      <c r="UL175" s="456"/>
      <c r="UM175" s="456"/>
      <c r="UN175" s="456"/>
      <c r="UO175" s="456"/>
      <c r="UP175" s="456"/>
      <c r="UQ175" s="456"/>
      <c r="UR175" s="456"/>
      <c r="US175" s="456"/>
      <c r="UT175" s="456"/>
      <c r="UU175" s="456"/>
      <c r="UV175" s="456"/>
      <c r="UW175" s="456"/>
      <c r="UX175" s="456"/>
      <c r="UY175" s="456"/>
      <c r="UZ175" s="456"/>
      <c r="VA175" s="456"/>
      <c r="VB175" s="456"/>
      <c r="VC175" s="456"/>
      <c r="VD175" s="456"/>
      <c r="VE175" s="456"/>
      <c r="VF175" s="456"/>
      <c r="VG175" s="456"/>
      <c r="VH175" s="456"/>
      <c r="VI175" s="456"/>
      <c r="VJ175" s="456"/>
      <c r="VK175" s="456"/>
      <c r="VL175" s="456"/>
      <c r="VM175" s="456"/>
      <c r="VN175" s="456"/>
      <c r="VO175" s="456"/>
      <c r="VP175" s="456"/>
      <c r="VQ175" s="456"/>
      <c r="VR175" s="456"/>
      <c r="VS175" s="456"/>
      <c r="VT175" s="456"/>
      <c r="VU175" s="456"/>
      <c r="VV175" s="456"/>
      <c r="VW175" s="456"/>
      <c r="VX175" s="456"/>
      <c r="VY175" s="456"/>
      <c r="VZ175" s="456"/>
      <c r="WA175" s="456"/>
      <c r="WB175" s="456"/>
      <c r="WC175" s="456"/>
      <c r="WD175" s="456"/>
      <c r="WE175" s="456"/>
      <c r="WF175" s="456"/>
      <c r="WG175" s="456"/>
      <c r="WH175" s="456"/>
      <c r="WI175" s="456"/>
      <c r="WJ175" s="456"/>
      <c r="WK175" s="456"/>
      <c r="WL175" s="456"/>
      <c r="WM175" s="456"/>
      <c r="WN175" s="456"/>
      <c r="WO175" s="456"/>
      <c r="WP175" s="456"/>
      <c r="WQ175" s="456"/>
      <c r="WR175" s="456"/>
      <c r="WS175" s="456"/>
      <c r="WT175" s="456"/>
      <c r="WU175" s="456"/>
      <c r="WV175" s="456"/>
      <c r="WW175" s="456"/>
      <c r="WX175" s="456"/>
      <c r="WY175" s="456"/>
      <c r="WZ175" s="456"/>
      <c r="XA175" s="456"/>
      <c r="XB175" s="456"/>
      <c r="XC175" s="456"/>
      <c r="XD175" s="456"/>
      <c r="XE175" s="456"/>
      <c r="XF175" s="456"/>
      <c r="XG175" s="456"/>
      <c r="XH175" s="456"/>
      <c r="XI175" s="456"/>
      <c r="XJ175" s="456"/>
      <c r="XK175" s="456"/>
      <c r="XL175" s="456"/>
      <c r="XM175" s="456"/>
      <c r="XN175" s="456"/>
      <c r="XO175" s="456"/>
      <c r="XP175" s="456"/>
      <c r="XQ175" s="456"/>
      <c r="XR175" s="456"/>
      <c r="XS175" s="456"/>
      <c r="XT175" s="456"/>
      <c r="XU175" s="456"/>
      <c r="XV175" s="456"/>
      <c r="XW175" s="456"/>
      <c r="XX175" s="456"/>
      <c r="XY175" s="456"/>
      <c r="XZ175" s="456"/>
      <c r="YA175" s="456"/>
      <c r="YB175" s="456"/>
      <c r="YC175" s="456"/>
      <c r="YD175" s="456"/>
      <c r="YE175" s="456"/>
      <c r="YF175" s="456"/>
      <c r="YG175" s="456"/>
      <c r="YH175" s="456"/>
      <c r="YI175" s="456"/>
      <c r="YJ175" s="456"/>
      <c r="YK175" s="456"/>
      <c r="YL175" s="456"/>
      <c r="YM175" s="456"/>
      <c r="YN175" s="456"/>
      <c r="YO175" s="456"/>
      <c r="YP175" s="456"/>
      <c r="YQ175" s="456"/>
      <c r="YR175" s="456"/>
      <c r="YS175" s="456"/>
      <c r="YT175" s="456"/>
      <c r="YU175" s="456"/>
      <c r="YV175" s="456"/>
      <c r="YW175" s="456"/>
      <c r="YX175" s="456"/>
      <c r="YY175" s="456"/>
      <c r="YZ175" s="456"/>
      <c r="ZA175" s="456"/>
      <c r="ZB175" s="456"/>
      <c r="ZC175" s="456"/>
      <c r="ZD175" s="456"/>
      <c r="ZE175" s="456"/>
      <c r="ZF175" s="456"/>
      <c r="ZG175" s="456"/>
      <c r="ZH175" s="456"/>
      <c r="ZI175" s="456"/>
      <c r="ZJ175" s="456"/>
      <c r="ZK175" s="456"/>
      <c r="ZL175" s="456"/>
      <c r="ZM175" s="456"/>
      <c r="ZN175" s="456"/>
      <c r="ZO175" s="456"/>
      <c r="ZP175" s="456"/>
      <c r="ZQ175" s="456"/>
      <c r="ZR175" s="456"/>
      <c r="ZS175" s="456"/>
      <c r="ZT175" s="456"/>
      <c r="ZU175" s="456"/>
      <c r="ZV175" s="456"/>
      <c r="ZW175" s="456"/>
      <c r="ZX175" s="456"/>
      <c r="ZY175" s="456"/>
      <c r="ZZ175" s="456"/>
      <c r="AAA175" s="456"/>
      <c r="AAB175" s="456"/>
      <c r="AAC175" s="456"/>
      <c r="AAD175" s="456"/>
      <c r="AAE175" s="456"/>
      <c r="AAF175" s="456"/>
      <c r="AAG175" s="456"/>
      <c r="AAH175" s="456"/>
      <c r="AAI175" s="456"/>
      <c r="AAJ175" s="456"/>
      <c r="AAK175" s="456"/>
      <c r="AAL175" s="456"/>
      <c r="AAM175" s="456"/>
      <c r="AAN175" s="456"/>
      <c r="AAO175" s="456"/>
      <c r="AAP175" s="456"/>
      <c r="AAQ175" s="456"/>
      <c r="AAR175" s="456"/>
      <c r="AAS175" s="456"/>
      <c r="AAT175" s="456"/>
      <c r="AAU175" s="456"/>
      <c r="AAV175" s="456"/>
      <c r="AAW175" s="456"/>
      <c r="AAX175" s="456"/>
      <c r="AAY175" s="456"/>
      <c r="AAZ175" s="456"/>
      <c r="ABA175" s="456"/>
      <c r="ABB175" s="456"/>
      <c r="ABC175" s="456"/>
      <c r="ABD175" s="456"/>
      <c r="ABE175" s="456"/>
      <c r="ABF175" s="456"/>
      <c r="ABG175" s="456"/>
      <c r="ABH175" s="456"/>
      <c r="ABI175" s="456"/>
      <c r="ABJ175" s="456"/>
      <c r="ABK175" s="456"/>
      <c r="ABL175" s="456"/>
      <c r="ABM175" s="456"/>
      <c r="ABN175" s="456"/>
      <c r="ABO175" s="456"/>
      <c r="ABP175" s="456"/>
      <c r="ABQ175" s="456"/>
      <c r="ABR175" s="456"/>
      <c r="ABS175" s="456"/>
      <c r="ABT175" s="456"/>
      <c r="ABU175" s="456"/>
      <c r="ABV175" s="456"/>
      <c r="ABW175" s="456"/>
      <c r="ABX175" s="456"/>
      <c r="ABY175" s="456"/>
      <c r="ABZ175" s="456"/>
      <c r="ACA175" s="456"/>
      <c r="ACB175" s="456"/>
      <c r="ACC175" s="456"/>
      <c r="ACD175" s="456"/>
      <c r="ACE175" s="456"/>
      <c r="ACF175" s="456"/>
      <c r="ACG175" s="456"/>
      <c r="ACH175" s="456"/>
      <c r="ACI175" s="456"/>
      <c r="ACJ175" s="456"/>
      <c r="ACK175" s="456"/>
      <c r="ACL175" s="456"/>
      <c r="ACM175" s="456"/>
      <c r="ACN175" s="456"/>
      <c r="ACO175" s="456"/>
      <c r="ACP175" s="456"/>
      <c r="ACQ175" s="456"/>
      <c r="ACR175" s="456"/>
      <c r="ACS175" s="456"/>
      <c r="ACT175" s="456"/>
      <c r="ACU175" s="456"/>
      <c r="ACV175" s="456"/>
      <c r="ACW175" s="456"/>
      <c r="ACX175" s="456"/>
      <c r="ACY175" s="456"/>
      <c r="ACZ175" s="456"/>
      <c r="ADA175" s="456"/>
      <c r="ADB175" s="456"/>
      <c r="ADC175" s="456"/>
      <c r="ADD175" s="456"/>
      <c r="ADE175" s="456"/>
      <c r="ADF175" s="456"/>
      <c r="ADG175" s="456"/>
      <c r="ADH175" s="456"/>
      <c r="ADI175" s="456"/>
      <c r="ADJ175" s="456"/>
      <c r="ADK175" s="456"/>
      <c r="ADL175" s="456"/>
      <c r="ADM175" s="456"/>
      <c r="ADN175" s="456"/>
      <c r="ADO175" s="456"/>
      <c r="ADP175" s="456"/>
      <c r="ADQ175" s="456"/>
      <c r="ADR175" s="456"/>
      <c r="ADS175" s="456"/>
      <c r="ADT175" s="456"/>
      <c r="ADU175" s="456"/>
      <c r="ADV175" s="456"/>
      <c r="ADW175" s="456"/>
      <c r="ADX175" s="456"/>
      <c r="ADY175" s="456"/>
      <c r="ADZ175" s="456"/>
      <c r="AEA175" s="456"/>
      <c r="AEB175" s="456"/>
      <c r="AEC175" s="456"/>
      <c r="AED175" s="456"/>
      <c r="AEE175" s="456"/>
      <c r="AEF175" s="456"/>
      <c r="AEG175" s="456"/>
      <c r="AEH175" s="456"/>
      <c r="AEI175" s="456"/>
      <c r="AEJ175" s="456"/>
      <c r="AEK175" s="456"/>
      <c r="AEL175" s="456"/>
      <c r="AEM175" s="456"/>
      <c r="AEN175" s="456"/>
      <c r="AEO175" s="456"/>
      <c r="AEP175" s="456"/>
      <c r="AEQ175" s="456"/>
      <c r="AER175" s="456"/>
      <c r="AES175" s="456"/>
      <c r="AET175" s="456"/>
      <c r="AEU175" s="456"/>
      <c r="AEV175" s="456"/>
      <c r="AEW175" s="456"/>
      <c r="AEX175" s="456"/>
      <c r="AEY175" s="456"/>
      <c r="AEZ175" s="456"/>
      <c r="AFA175" s="456"/>
      <c r="AFB175" s="456"/>
      <c r="AFC175" s="456"/>
      <c r="AFD175" s="456"/>
      <c r="AFE175" s="456"/>
      <c r="AFF175" s="456"/>
      <c r="AFG175" s="456"/>
      <c r="AFH175" s="456"/>
      <c r="AFI175" s="456"/>
      <c r="AFJ175" s="456"/>
      <c r="AFK175" s="456"/>
      <c r="AFL175" s="456"/>
      <c r="AFM175" s="456"/>
      <c r="AFN175" s="456"/>
      <c r="AFO175" s="456"/>
      <c r="AFP175" s="456"/>
      <c r="AFQ175" s="456"/>
      <c r="AFR175" s="456"/>
      <c r="AFS175" s="456"/>
      <c r="AFT175" s="456"/>
      <c r="AFU175" s="456"/>
      <c r="AFV175" s="456"/>
      <c r="AFW175" s="456"/>
      <c r="AFX175" s="456"/>
      <c r="AFY175" s="456"/>
      <c r="AFZ175" s="456"/>
      <c r="AGA175" s="456"/>
      <c r="AGB175" s="456"/>
      <c r="AGC175" s="456"/>
      <c r="AGD175" s="456"/>
      <c r="AGE175" s="456"/>
      <c r="AGF175" s="456"/>
      <c r="AGG175" s="456"/>
      <c r="AGH175" s="456"/>
      <c r="AGI175" s="456"/>
      <c r="AGJ175" s="456"/>
      <c r="AGK175" s="456"/>
      <c r="AGL175" s="456"/>
      <c r="AGM175" s="456"/>
      <c r="AGN175" s="456"/>
      <c r="AGO175" s="456"/>
      <c r="AGP175" s="456"/>
      <c r="AGQ175" s="456"/>
      <c r="AGR175" s="456"/>
      <c r="AGS175" s="456"/>
      <c r="AGT175" s="456"/>
      <c r="AGU175" s="456"/>
      <c r="AGV175" s="456"/>
      <c r="AGW175" s="456"/>
      <c r="AGX175" s="456"/>
      <c r="AGY175" s="456"/>
      <c r="AGZ175" s="456"/>
      <c r="AHA175" s="456"/>
      <c r="AHB175" s="456"/>
      <c r="AHC175" s="456"/>
      <c r="AHD175" s="456"/>
      <c r="AHE175" s="456"/>
      <c r="AHF175" s="456"/>
      <c r="AHG175" s="456"/>
      <c r="AHH175" s="456"/>
      <c r="AHI175" s="456"/>
      <c r="AHJ175" s="456"/>
      <c r="AHK175" s="456"/>
      <c r="AHL175" s="456"/>
      <c r="AHM175" s="456"/>
      <c r="AHN175" s="456"/>
      <c r="AHO175" s="456"/>
      <c r="AHP175" s="456"/>
      <c r="AHQ175" s="456"/>
      <c r="AHR175" s="456"/>
      <c r="AHS175" s="456"/>
      <c r="AHT175" s="456"/>
      <c r="AHU175" s="456"/>
      <c r="AHV175" s="456"/>
      <c r="AHW175" s="456"/>
      <c r="AHX175" s="456"/>
      <c r="AHY175" s="456"/>
      <c r="AHZ175" s="456"/>
      <c r="AIA175" s="456"/>
      <c r="AIB175" s="456"/>
      <c r="AIC175" s="456"/>
      <c r="AID175" s="456"/>
      <c r="AIE175" s="456"/>
      <c r="AIF175" s="456"/>
      <c r="AIG175" s="456"/>
      <c r="AIH175" s="456"/>
      <c r="AII175" s="456"/>
      <c r="AIJ175" s="456"/>
      <c r="AIK175" s="456"/>
      <c r="AIL175" s="456"/>
      <c r="AIM175" s="456"/>
      <c r="AIN175" s="456"/>
      <c r="AIO175" s="456"/>
      <c r="AIP175" s="456"/>
      <c r="AIQ175" s="456"/>
      <c r="AIR175" s="456"/>
      <c r="AIS175" s="456"/>
      <c r="AIT175" s="456"/>
      <c r="AIU175" s="456"/>
      <c r="AIV175" s="456"/>
      <c r="AIW175" s="456"/>
      <c r="AIX175" s="456"/>
      <c r="AIY175" s="456"/>
      <c r="AIZ175" s="456"/>
      <c r="AJA175" s="456"/>
      <c r="AJB175" s="456"/>
      <c r="AJC175" s="456"/>
      <c r="AJD175" s="456"/>
      <c r="AJE175" s="456"/>
      <c r="AJF175" s="456"/>
      <c r="AJG175" s="456"/>
      <c r="AJH175" s="456"/>
      <c r="AJI175" s="456"/>
      <c r="AJJ175" s="456"/>
      <c r="AJK175" s="456"/>
      <c r="AJL175" s="456"/>
      <c r="AJM175" s="456"/>
      <c r="AJN175" s="456"/>
      <c r="AJO175" s="456"/>
      <c r="AJP175" s="456"/>
      <c r="AJQ175" s="456"/>
      <c r="AJR175" s="456"/>
      <c r="AJS175" s="456"/>
      <c r="AJT175" s="456"/>
      <c r="AJU175" s="456"/>
      <c r="AJV175" s="456"/>
      <c r="AJW175" s="456"/>
      <c r="AJX175" s="456"/>
      <c r="AJY175" s="456"/>
      <c r="AJZ175" s="456"/>
      <c r="AKA175" s="456"/>
      <c r="AKB175" s="456"/>
      <c r="AKC175" s="456"/>
      <c r="AKD175" s="456"/>
      <c r="AKE175" s="456"/>
      <c r="AKF175" s="456"/>
      <c r="AKG175" s="456"/>
      <c r="AKH175" s="456"/>
      <c r="AKI175" s="456"/>
      <c r="AKJ175" s="456"/>
      <c r="AKK175" s="456"/>
      <c r="AKL175" s="456"/>
      <c r="AKM175" s="456"/>
      <c r="AKN175" s="456"/>
      <c r="AKO175" s="456"/>
      <c r="AKP175" s="456"/>
      <c r="AKQ175" s="456"/>
      <c r="AKR175" s="456"/>
      <c r="AKS175" s="456"/>
      <c r="AKT175" s="456"/>
      <c r="AKU175" s="456"/>
      <c r="AKV175" s="456"/>
      <c r="AKW175" s="456"/>
      <c r="AKX175" s="456"/>
      <c r="AKY175" s="456"/>
      <c r="AKZ175" s="456"/>
      <c r="ALA175" s="456"/>
      <c r="ALB175" s="456"/>
      <c r="ALC175" s="456"/>
      <c r="ALD175" s="456"/>
      <c r="ALE175" s="456"/>
      <c r="ALF175" s="456"/>
      <c r="ALG175" s="456"/>
      <c r="ALH175" s="456"/>
      <c r="ALI175" s="456"/>
      <c r="ALJ175" s="456"/>
      <c r="ALK175" s="456"/>
      <c r="ALL175" s="456"/>
      <c r="ALM175" s="456"/>
      <c r="ALN175" s="456"/>
      <c r="ALO175" s="456"/>
      <c r="ALP175" s="456"/>
      <c r="ALQ175" s="456"/>
      <c r="ALR175" s="456"/>
      <c r="ALS175" s="456"/>
      <c r="ALT175" s="456"/>
      <c r="ALU175" s="456"/>
      <c r="ALV175" s="456"/>
      <c r="ALW175" s="456"/>
      <c r="ALX175" s="456"/>
      <c r="ALY175" s="456"/>
      <c r="ALZ175" s="456"/>
      <c r="AMA175" s="456"/>
      <c r="AMB175" s="456"/>
      <c r="AMC175" s="456"/>
      <c r="AMD175" s="456"/>
      <c r="AME175" s="456"/>
      <c r="AMF175" s="456"/>
      <c r="AMG175" s="456"/>
      <c r="AMH175" s="456"/>
      <c r="AMI175" s="456"/>
      <c r="AMJ175" s="456"/>
      <c r="AMK175" s="456"/>
      <c r="AML175" s="456"/>
      <c r="AMM175" s="456"/>
      <c r="AMN175" s="456"/>
      <c r="AMO175" s="456"/>
      <c r="AMP175" s="456"/>
      <c r="AMQ175" s="456"/>
      <c r="AMR175" s="456"/>
      <c r="AMS175" s="456"/>
      <c r="AMT175" s="456"/>
      <c r="AMU175" s="456"/>
      <c r="AMV175" s="456"/>
      <c r="AMW175" s="456"/>
      <c r="AMX175" s="456"/>
      <c r="AMY175" s="456"/>
      <c r="AMZ175" s="456"/>
      <c r="ANA175" s="456"/>
      <c r="ANB175" s="456"/>
      <c r="ANC175" s="456"/>
      <c r="AND175" s="456"/>
      <c r="ANE175" s="456"/>
      <c r="ANF175" s="456"/>
      <c r="ANG175" s="456"/>
      <c r="ANH175" s="456"/>
      <c r="ANI175" s="456"/>
      <c r="ANJ175" s="456"/>
      <c r="ANK175" s="456"/>
      <c r="ANL175" s="456"/>
      <c r="ANM175" s="456"/>
      <c r="ANN175" s="456"/>
      <c r="ANO175" s="456"/>
      <c r="ANP175" s="456"/>
      <c r="ANQ175" s="456"/>
      <c r="ANR175" s="456"/>
      <c r="ANS175" s="456"/>
      <c r="ANT175" s="456"/>
      <c r="ANU175" s="456"/>
      <c r="ANV175" s="456"/>
      <c r="ANW175" s="456"/>
      <c r="ANX175" s="456"/>
      <c r="ANY175" s="456"/>
      <c r="ANZ175" s="456"/>
      <c r="AOA175" s="456"/>
      <c r="AOB175" s="456"/>
      <c r="AOC175" s="456"/>
      <c r="AOD175" s="456"/>
      <c r="AOE175" s="456"/>
      <c r="AOF175" s="456"/>
      <c r="AOG175" s="456"/>
      <c r="AOH175" s="456"/>
      <c r="AOI175" s="456"/>
      <c r="AOJ175" s="456"/>
      <c r="AOK175" s="456"/>
      <c r="AOL175" s="456"/>
      <c r="AOM175" s="456"/>
      <c r="AON175" s="456"/>
      <c r="AOO175" s="456"/>
      <c r="AOP175" s="456"/>
      <c r="AOQ175" s="456"/>
      <c r="AOR175" s="456"/>
      <c r="AOS175" s="456"/>
      <c r="AOT175" s="456"/>
      <c r="AOU175" s="456"/>
      <c r="AOV175" s="456"/>
      <c r="AOW175" s="456"/>
      <c r="AOX175" s="456"/>
      <c r="AOY175" s="456"/>
      <c r="AOZ175" s="456"/>
      <c r="APA175" s="456"/>
      <c r="APB175" s="456"/>
      <c r="APC175" s="456"/>
      <c r="APD175" s="456"/>
      <c r="APE175" s="456"/>
      <c r="APF175" s="456"/>
      <c r="APG175" s="456"/>
      <c r="APH175" s="456"/>
      <c r="API175" s="456"/>
      <c r="APJ175" s="456"/>
      <c r="APK175" s="456"/>
      <c r="APL175" s="456"/>
      <c r="APM175" s="456"/>
      <c r="APN175" s="456"/>
      <c r="APO175" s="456"/>
      <c r="APP175" s="456"/>
      <c r="APQ175" s="456"/>
      <c r="APR175" s="456"/>
      <c r="APS175" s="456"/>
      <c r="APT175" s="456"/>
      <c r="APU175" s="456"/>
      <c r="APV175" s="456"/>
      <c r="APW175" s="456"/>
      <c r="APX175" s="456"/>
      <c r="APY175" s="456"/>
      <c r="APZ175" s="456"/>
      <c r="AQA175" s="456"/>
      <c r="AQB175" s="456"/>
      <c r="AQC175" s="456"/>
      <c r="AQD175" s="456"/>
      <c r="AQE175" s="456"/>
      <c r="AQF175" s="456"/>
      <c r="AQG175" s="456"/>
      <c r="AQH175" s="456"/>
      <c r="AQI175" s="456"/>
      <c r="AQJ175" s="456"/>
      <c r="AQK175" s="456"/>
      <c r="AQL175" s="456"/>
      <c r="AQM175" s="456"/>
      <c r="AQN175" s="456"/>
      <c r="AQO175" s="456"/>
      <c r="AQP175" s="456"/>
      <c r="AQQ175" s="456"/>
      <c r="AQR175" s="456"/>
      <c r="AQS175" s="456"/>
      <c r="AQT175" s="456"/>
      <c r="AQU175" s="456"/>
      <c r="AQV175" s="456"/>
      <c r="AQW175" s="456"/>
      <c r="AQX175" s="456"/>
      <c r="AQY175" s="456"/>
      <c r="AQZ175" s="456"/>
      <c r="ARA175" s="456"/>
      <c r="ARB175" s="456"/>
      <c r="ARC175" s="456"/>
      <c r="ARD175" s="456"/>
      <c r="ARE175" s="456"/>
      <c r="ARF175" s="456"/>
      <c r="ARG175" s="456"/>
      <c r="ARH175" s="456"/>
      <c r="ARI175" s="456"/>
      <c r="ARJ175" s="456"/>
      <c r="ARK175" s="456"/>
      <c r="ARL175" s="456"/>
      <c r="ARM175" s="456"/>
      <c r="ARN175" s="456"/>
      <c r="ARO175" s="456"/>
      <c r="ARP175" s="456"/>
      <c r="ARQ175" s="456"/>
      <c r="ARR175" s="456"/>
      <c r="ARS175" s="456"/>
      <c r="ART175" s="456"/>
      <c r="ARU175" s="456"/>
      <c r="ARV175" s="456"/>
      <c r="ARW175" s="456"/>
      <c r="ARX175" s="456"/>
      <c r="ARY175" s="456"/>
      <c r="ARZ175" s="456"/>
      <c r="ASA175" s="456"/>
      <c r="ASB175" s="456"/>
      <c r="ASC175" s="456"/>
      <c r="ASD175" s="456"/>
      <c r="ASE175" s="456"/>
      <c r="ASF175" s="456"/>
      <c r="ASG175" s="456"/>
      <c r="ASH175" s="456"/>
      <c r="ASI175" s="456"/>
      <c r="ASJ175" s="456"/>
      <c r="ASK175" s="456"/>
      <c r="ASL175" s="456"/>
      <c r="ASM175" s="456"/>
      <c r="ASN175" s="456"/>
      <c r="ASO175" s="456"/>
      <c r="ASP175" s="456"/>
      <c r="ASQ175" s="456"/>
      <c r="ASR175" s="456"/>
      <c r="ASS175" s="456"/>
      <c r="AST175" s="456"/>
      <c r="ASU175" s="456"/>
      <c r="ASV175" s="456"/>
      <c r="ASW175" s="456"/>
      <c r="ASX175" s="456"/>
      <c r="ASY175" s="456"/>
      <c r="ASZ175" s="456"/>
      <c r="ATA175" s="456"/>
      <c r="ATB175" s="456"/>
      <c r="ATC175" s="456"/>
      <c r="ATD175" s="456"/>
      <c r="ATE175" s="456"/>
      <c r="ATF175" s="456"/>
      <c r="ATG175" s="456"/>
      <c r="ATH175" s="456"/>
      <c r="ATI175" s="456"/>
      <c r="ATJ175" s="456"/>
      <c r="ATK175" s="456"/>
      <c r="ATL175" s="456"/>
      <c r="ATM175" s="456"/>
      <c r="ATN175" s="456"/>
      <c r="ATO175" s="456"/>
      <c r="ATP175" s="456"/>
      <c r="ATQ175" s="456"/>
      <c r="ATR175" s="456"/>
      <c r="ATS175" s="456"/>
      <c r="ATT175" s="456"/>
      <c r="ATU175" s="456"/>
      <c r="ATV175" s="456"/>
      <c r="ATW175" s="456"/>
      <c r="ATX175" s="456"/>
      <c r="ATY175" s="456"/>
      <c r="ATZ175" s="456"/>
      <c r="AUA175" s="456"/>
      <c r="AUB175" s="456"/>
      <c r="AUC175" s="456"/>
      <c r="AUD175" s="456"/>
      <c r="AUE175" s="456"/>
      <c r="AUF175" s="456"/>
      <c r="AUG175" s="456"/>
      <c r="AUH175" s="456"/>
      <c r="AUI175" s="456"/>
      <c r="AUJ175" s="456"/>
      <c r="AUK175" s="456"/>
      <c r="AUL175" s="456"/>
      <c r="AUM175" s="456"/>
      <c r="AUN175" s="456"/>
      <c r="AUO175" s="456"/>
      <c r="AUP175" s="456"/>
      <c r="AUQ175" s="456"/>
      <c r="AUR175" s="456"/>
      <c r="AUS175" s="456"/>
      <c r="AUT175" s="456"/>
      <c r="AUU175" s="456"/>
      <c r="AUV175" s="456"/>
      <c r="AUW175" s="456"/>
      <c r="AUX175" s="456"/>
      <c r="AUY175" s="456"/>
      <c r="AUZ175" s="456"/>
      <c r="AVA175" s="456"/>
      <c r="AVB175" s="456"/>
      <c r="AVC175" s="456"/>
      <c r="AVD175" s="456"/>
      <c r="AVE175" s="456"/>
      <c r="AVF175" s="456"/>
      <c r="AVG175" s="456"/>
      <c r="AVH175" s="456"/>
      <c r="AVI175" s="456"/>
      <c r="AVJ175" s="456"/>
      <c r="AVK175" s="456"/>
      <c r="AVL175" s="456"/>
      <c r="AVM175" s="456"/>
      <c r="AVN175" s="456"/>
      <c r="AVO175" s="456"/>
      <c r="AVP175" s="456"/>
      <c r="AVQ175" s="456"/>
      <c r="AVR175" s="456"/>
      <c r="AVS175" s="456"/>
      <c r="AVT175" s="456"/>
      <c r="AVU175" s="456"/>
      <c r="AVV175" s="456"/>
      <c r="AVW175" s="456"/>
      <c r="AVX175" s="456"/>
      <c r="AVY175" s="456"/>
      <c r="AVZ175" s="456"/>
      <c r="AWA175" s="456"/>
      <c r="AWB175" s="456"/>
      <c r="AWC175" s="456"/>
      <c r="AWD175" s="456"/>
      <c r="AWE175" s="456"/>
      <c r="AWF175" s="456"/>
      <c r="AWG175" s="456"/>
      <c r="AWH175" s="456"/>
      <c r="AWI175" s="456"/>
      <c r="AWJ175" s="456"/>
      <c r="AWK175" s="456"/>
      <c r="AWL175" s="456"/>
      <c r="AWM175" s="456"/>
      <c r="AWN175" s="456"/>
      <c r="AWO175" s="456"/>
      <c r="AWP175" s="456"/>
      <c r="AWQ175" s="456"/>
      <c r="AWR175" s="456"/>
      <c r="AWS175" s="456"/>
      <c r="AWT175" s="456"/>
      <c r="AWU175" s="456"/>
      <c r="AWV175" s="456"/>
      <c r="AWW175" s="456"/>
      <c r="AWX175" s="456"/>
      <c r="AWY175" s="456"/>
      <c r="AWZ175" s="456"/>
      <c r="AXA175" s="456"/>
      <c r="AXB175" s="456"/>
      <c r="AXC175" s="456"/>
      <c r="AXD175" s="456"/>
      <c r="AXE175" s="456"/>
      <c r="AXF175" s="456"/>
      <c r="AXG175" s="456"/>
      <c r="AXH175" s="456"/>
      <c r="AXI175" s="456"/>
      <c r="AXJ175" s="456"/>
      <c r="AXK175" s="456"/>
      <c r="AXL175" s="456"/>
      <c r="AXM175" s="456"/>
      <c r="AXN175" s="456"/>
      <c r="AXO175" s="456"/>
      <c r="AXP175" s="456"/>
      <c r="AXQ175" s="456"/>
      <c r="AXR175" s="456"/>
      <c r="AXS175" s="456"/>
      <c r="AXT175" s="456"/>
      <c r="AXU175" s="456"/>
      <c r="AXV175" s="456"/>
      <c r="AXW175" s="456"/>
      <c r="AXX175" s="456"/>
      <c r="AXY175" s="456"/>
      <c r="AXZ175" s="456"/>
      <c r="AYA175" s="456"/>
      <c r="AYB175" s="456"/>
      <c r="AYC175" s="456"/>
      <c r="AYD175" s="456"/>
      <c r="AYE175" s="456"/>
      <c r="AYF175" s="456"/>
      <c r="AYG175" s="456"/>
      <c r="AYH175" s="456"/>
      <c r="AYI175" s="456"/>
      <c r="AYJ175" s="456"/>
      <c r="AYK175" s="456"/>
      <c r="AYL175" s="456"/>
      <c r="AYM175" s="456"/>
      <c r="AYN175" s="456"/>
      <c r="AYO175" s="456"/>
      <c r="AYP175" s="456"/>
      <c r="AYQ175" s="456"/>
      <c r="AYR175" s="456"/>
      <c r="AYS175" s="456"/>
      <c r="AYT175" s="456"/>
      <c r="AYU175" s="456"/>
      <c r="AYV175" s="456"/>
      <c r="AYW175" s="456"/>
      <c r="AYX175" s="456"/>
      <c r="AYY175" s="456"/>
      <c r="AYZ175" s="456"/>
      <c r="AZA175" s="456"/>
      <c r="AZB175" s="456"/>
      <c r="AZC175" s="456"/>
      <c r="AZD175" s="456"/>
      <c r="AZE175" s="456"/>
      <c r="AZF175" s="456"/>
      <c r="AZG175" s="456"/>
      <c r="AZH175" s="456"/>
      <c r="AZI175" s="456"/>
      <c r="AZJ175" s="456"/>
      <c r="AZK175" s="456"/>
      <c r="AZL175" s="456"/>
      <c r="AZM175" s="456"/>
      <c r="AZN175" s="456"/>
      <c r="AZO175" s="456"/>
      <c r="AZP175" s="456"/>
      <c r="AZQ175" s="456"/>
      <c r="AZR175" s="456"/>
      <c r="AZS175" s="456"/>
      <c r="AZT175" s="456"/>
      <c r="AZU175" s="456"/>
      <c r="AZV175" s="456"/>
      <c r="AZW175" s="456"/>
      <c r="AZX175" s="456"/>
      <c r="AZY175" s="456"/>
      <c r="AZZ175" s="456"/>
      <c r="BAA175" s="456"/>
      <c r="BAB175" s="456"/>
      <c r="BAC175" s="456"/>
      <c r="BAD175" s="456"/>
      <c r="BAE175" s="456"/>
      <c r="BAF175" s="456"/>
      <c r="BAG175" s="456"/>
      <c r="BAH175" s="456"/>
      <c r="BAI175" s="456"/>
      <c r="BAJ175" s="456"/>
      <c r="BAK175" s="456"/>
      <c r="BAL175" s="456"/>
      <c r="BAM175" s="456"/>
      <c r="BAN175" s="456"/>
      <c r="BAO175" s="456"/>
      <c r="BAP175" s="456"/>
      <c r="BAQ175" s="456"/>
      <c r="BAR175" s="456"/>
      <c r="BAS175" s="456"/>
      <c r="BAT175" s="456"/>
      <c r="BAU175" s="456"/>
      <c r="BAV175" s="456"/>
      <c r="BAW175" s="456"/>
      <c r="BAX175" s="456"/>
      <c r="BAY175" s="456"/>
      <c r="BAZ175" s="456"/>
      <c r="BBA175" s="456"/>
      <c r="BBB175" s="456"/>
      <c r="BBC175" s="456"/>
      <c r="BBD175" s="456"/>
      <c r="BBE175" s="456"/>
      <c r="BBF175" s="456"/>
      <c r="BBG175" s="456"/>
      <c r="BBH175" s="456"/>
      <c r="BBI175" s="456"/>
      <c r="BBJ175" s="456"/>
      <c r="BBK175" s="456"/>
      <c r="BBL175" s="456"/>
      <c r="BBM175" s="456"/>
      <c r="BBN175" s="456"/>
      <c r="BBO175" s="456"/>
      <c r="BBP175" s="456"/>
      <c r="BBQ175" s="456"/>
      <c r="BBR175" s="456"/>
      <c r="BBS175" s="456"/>
      <c r="BBT175" s="456"/>
      <c r="BBU175" s="456"/>
      <c r="BBV175" s="456"/>
      <c r="BBW175" s="456"/>
      <c r="BBX175" s="456"/>
      <c r="BBY175" s="456"/>
      <c r="BBZ175" s="456"/>
      <c r="BCA175" s="456"/>
      <c r="BCB175" s="456"/>
      <c r="BCC175" s="456"/>
      <c r="BCD175" s="456"/>
      <c r="BCE175" s="456"/>
      <c r="BCF175" s="456"/>
      <c r="BCG175" s="456"/>
      <c r="BCH175" s="456"/>
      <c r="BCI175" s="456"/>
      <c r="BCJ175" s="456"/>
      <c r="BCK175" s="456"/>
      <c r="BCL175" s="456"/>
      <c r="BCM175" s="456"/>
      <c r="BCN175" s="456"/>
      <c r="BCO175" s="456"/>
      <c r="BCP175" s="456"/>
      <c r="BCQ175" s="456"/>
      <c r="BCR175" s="456"/>
      <c r="BCS175" s="456"/>
      <c r="BCT175" s="456"/>
      <c r="BCU175" s="456"/>
      <c r="BCV175" s="456"/>
      <c r="BCW175" s="456"/>
      <c r="BCX175" s="456"/>
      <c r="BCY175" s="456"/>
      <c r="BCZ175" s="456"/>
      <c r="BDA175" s="456"/>
      <c r="BDB175" s="456"/>
      <c r="BDC175" s="456"/>
      <c r="BDD175" s="456"/>
      <c r="BDE175" s="456"/>
      <c r="BDF175" s="456"/>
      <c r="BDG175" s="456"/>
      <c r="BDH175" s="456"/>
      <c r="BDI175" s="456"/>
      <c r="BDJ175" s="456"/>
      <c r="BDK175" s="456"/>
      <c r="BDL175" s="456"/>
      <c r="BDM175" s="456"/>
      <c r="BDN175" s="456"/>
      <c r="BDO175" s="456"/>
      <c r="BDP175" s="456"/>
      <c r="BDQ175" s="456"/>
      <c r="BDR175" s="456"/>
      <c r="BDS175" s="456"/>
      <c r="BDT175" s="456"/>
      <c r="BDU175" s="456"/>
      <c r="BDV175" s="456"/>
      <c r="BDW175" s="456"/>
      <c r="BDX175" s="456"/>
      <c r="BDY175" s="456"/>
      <c r="BDZ175" s="456"/>
      <c r="BEA175" s="456"/>
      <c r="BEB175" s="456"/>
      <c r="BEC175" s="456"/>
      <c r="BED175" s="456"/>
      <c r="BEE175" s="456"/>
      <c r="BEF175" s="456"/>
      <c r="BEG175" s="456"/>
      <c r="BEH175" s="456"/>
      <c r="BEI175" s="456"/>
      <c r="BEJ175" s="456"/>
      <c r="BEK175" s="456"/>
      <c r="BEL175" s="456"/>
      <c r="BEM175" s="456"/>
      <c r="BEN175" s="456"/>
      <c r="BEO175" s="456"/>
      <c r="BEP175" s="456"/>
      <c r="BEQ175" s="456"/>
      <c r="BER175" s="456"/>
      <c r="BES175" s="456"/>
      <c r="BET175" s="456"/>
      <c r="BEU175" s="456"/>
      <c r="BEV175" s="456"/>
      <c r="BEW175" s="456"/>
      <c r="BEX175" s="456"/>
      <c r="BEY175" s="456"/>
      <c r="BEZ175" s="456"/>
      <c r="BFA175" s="456"/>
      <c r="BFB175" s="456"/>
      <c r="BFC175" s="456"/>
      <c r="BFD175" s="456"/>
      <c r="BFE175" s="456"/>
      <c r="BFF175" s="456"/>
      <c r="BFG175" s="456"/>
      <c r="BFH175" s="456"/>
      <c r="BFI175" s="456"/>
      <c r="BFJ175" s="456"/>
      <c r="BFK175" s="456"/>
      <c r="BFL175" s="456"/>
      <c r="BFM175" s="456"/>
      <c r="BFN175" s="456"/>
      <c r="BFO175" s="456"/>
      <c r="BFP175" s="456"/>
      <c r="BFQ175" s="456"/>
      <c r="BFR175" s="456"/>
      <c r="BFS175" s="456"/>
      <c r="BFT175" s="456"/>
      <c r="BFU175" s="456"/>
      <c r="BFV175" s="456"/>
      <c r="BFW175" s="456"/>
      <c r="BFX175" s="456"/>
      <c r="BFY175" s="456"/>
      <c r="BFZ175" s="456"/>
      <c r="BGA175" s="456"/>
      <c r="BGB175" s="456"/>
      <c r="BGC175" s="456"/>
      <c r="BGD175" s="456"/>
      <c r="BGE175" s="456"/>
      <c r="BGF175" s="456"/>
      <c r="BGG175" s="456"/>
      <c r="BGH175" s="456"/>
      <c r="BGI175" s="456"/>
      <c r="BGJ175" s="456"/>
      <c r="BGK175" s="456"/>
      <c r="BGL175" s="456"/>
      <c r="BGM175" s="456"/>
      <c r="BGN175" s="456"/>
      <c r="BGO175" s="456"/>
      <c r="BGP175" s="456"/>
      <c r="BGQ175" s="456"/>
      <c r="BGR175" s="456"/>
      <c r="BGS175" s="456"/>
      <c r="BGT175" s="456"/>
      <c r="BGU175" s="456"/>
      <c r="BGV175" s="456"/>
      <c r="BGW175" s="456"/>
      <c r="BGX175" s="456"/>
      <c r="BGY175" s="456"/>
      <c r="BGZ175" s="456"/>
      <c r="BHA175" s="456"/>
      <c r="BHB175" s="456"/>
      <c r="BHC175" s="456"/>
      <c r="BHD175" s="456"/>
      <c r="BHE175" s="456"/>
      <c r="BHF175" s="456"/>
      <c r="BHG175" s="456"/>
      <c r="BHH175" s="456"/>
      <c r="BHI175" s="456"/>
      <c r="BHJ175" s="456"/>
      <c r="BHK175" s="456"/>
      <c r="BHL175" s="456"/>
      <c r="BHM175" s="456"/>
      <c r="BHN175" s="456"/>
      <c r="BHO175" s="456"/>
      <c r="BHP175" s="456"/>
      <c r="BHQ175" s="456"/>
      <c r="BHR175" s="456"/>
      <c r="BHS175" s="456"/>
      <c r="BHT175" s="456"/>
      <c r="BHU175" s="456"/>
      <c r="BHV175" s="456"/>
      <c r="BHW175" s="456"/>
      <c r="BHX175" s="456"/>
      <c r="BHY175" s="456"/>
      <c r="BHZ175" s="456"/>
      <c r="BIA175" s="456"/>
      <c r="BIB175" s="456"/>
      <c r="BIC175" s="456"/>
      <c r="BID175" s="456"/>
      <c r="BIE175" s="456"/>
      <c r="BIF175" s="456"/>
      <c r="BIG175" s="456"/>
      <c r="BIH175" s="456"/>
      <c r="BII175" s="456"/>
      <c r="BIJ175" s="456"/>
      <c r="BIK175" s="456"/>
      <c r="BIL175" s="456"/>
      <c r="BIM175" s="456"/>
      <c r="BIN175" s="456"/>
      <c r="BIO175" s="456"/>
      <c r="BIP175" s="456"/>
      <c r="BIQ175" s="456"/>
      <c r="BIR175" s="456"/>
      <c r="BIS175" s="456"/>
      <c r="BIT175" s="456"/>
      <c r="BIU175" s="456"/>
      <c r="BIV175" s="456"/>
      <c r="BIW175" s="456"/>
      <c r="BIX175" s="456"/>
      <c r="BIY175" s="456"/>
      <c r="BIZ175" s="456"/>
      <c r="BJA175" s="456"/>
      <c r="BJB175" s="456"/>
      <c r="BJC175" s="456"/>
      <c r="BJD175" s="456"/>
      <c r="BJE175" s="456"/>
      <c r="BJF175" s="456"/>
      <c r="BJG175" s="456"/>
      <c r="BJH175" s="456"/>
      <c r="BJI175" s="456"/>
      <c r="BJJ175" s="456"/>
      <c r="BJK175" s="456"/>
      <c r="BJL175" s="456"/>
      <c r="BJM175" s="456"/>
      <c r="BJN175" s="456"/>
      <c r="BJO175" s="456"/>
      <c r="BJP175" s="456"/>
      <c r="BJQ175" s="456"/>
      <c r="BJR175" s="456"/>
      <c r="BJS175" s="456"/>
      <c r="BJT175" s="456"/>
      <c r="BJU175" s="456"/>
      <c r="BJV175" s="456"/>
      <c r="BJW175" s="456"/>
      <c r="BJX175" s="456"/>
      <c r="BJY175" s="456"/>
      <c r="BJZ175" s="456"/>
      <c r="BKA175" s="456"/>
      <c r="BKB175" s="456"/>
      <c r="BKC175" s="456"/>
      <c r="BKD175" s="456"/>
      <c r="BKE175" s="456"/>
      <c r="BKF175" s="456"/>
      <c r="BKG175" s="456"/>
      <c r="BKH175" s="456"/>
      <c r="BKI175" s="456"/>
      <c r="BKJ175" s="456"/>
      <c r="BKK175" s="456"/>
      <c r="BKL175" s="456"/>
      <c r="BKM175" s="456"/>
      <c r="BKN175" s="456"/>
      <c r="BKO175" s="456"/>
      <c r="BKP175" s="456"/>
      <c r="BKQ175" s="456"/>
      <c r="BKR175" s="456"/>
      <c r="BKS175" s="456"/>
      <c r="BKT175" s="456"/>
      <c r="BKU175" s="456"/>
      <c r="BKV175" s="456"/>
      <c r="BKW175" s="456"/>
      <c r="BKX175" s="456"/>
      <c r="BKY175" s="456"/>
      <c r="BKZ175" s="456"/>
      <c r="BLA175" s="456"/>
      <c r="BLB175" s="456"/>
      <c r="BLC175" s="456"/>
      <c r="BLD175" s="456"/>
      <c r="BLE175" s="456"/>
      <c r="BLF175" s="456"/>
      <c r="BLG175" s="456"/>
      <c r="BLH175" s="456"/>
      <c r="BLI175" s="456"/>
      <c r="BLJ175" s="456"/>
      <c r="BLK175" s="456"/>
      <c r="BLL175" s="456"/>
      <c r="BLM175" s="456"/>
      <c r="BLN175" s="456"/>
      <c r="BLO175" s="456"/>
      <c r="BLP175" s="456"/>
      <c r="BLQ175" s="456"/>
      <c r="BLR175" s="456"/>
      <c r="BLS175" s="456"/>
      <c r="BLT175" s="456"/>
      <c r="BLU175" s="456"/>
      <c r="BLV175" s="456"/>
      <c r="BLW175" s="456"/>
      <c r="BLX175" s="456"/>
      <c r="BLY175" s="456"/>
      <c r="BLZ175" s="456"/>
      <c r="BMA175" s="456"/>
      <c r="BMB175" s="456"/>
      <c r="BMC175" s="456"/>
      <c r="BMD175" s="456"/>
      <c r="BME175" s="456"/>
      <c r="BMF175" s="456"/>
      <c r="BMG175" s="456"/>
      <c r="BMH175" s="456"/>
      <c r="BMI175" s="456"/>
      <c r="BMJ175" s="456"/>
      <c r="BMK175" s="456"/>
      <c r="BML175" s="456"/>
      <c r="BMM175" s="456"/>
      <c r="BMN175" s="456"/>
      <c r="BMO175" s="456"/>
      <c r="BMP175" s="456"/>
      <c r="BMQ175" s="456"/>
      <c r="BMR175" s="456"/>
      <c r="BMS175" s="456"/>
      <c r="BMT175" s="456"/>
      <c r="BMU175" s="456"/>
      <c r="BMV175" s="456"/>
      <c r="BMW175" s="456"/>
      <c r="BMX175" s="456"/>
      <c r="BMY175" s="456"/>
      <c r="BMZ175" s="456"/>
      <c r="BNA175" s="456"/>
      <c r="BNB175" s="456"/>
      <c r="BNC175" s="456"/>
      <c r="BND175" s="456"/>
      <c r="BNE175" s="456"/>
      <c r="BNF175" s="456"/>
      <c r="BNG175" s="456"/>
      <c r="BNH175" s="456"/>
      <c r="BNI175" s="456"/>
      <c r="BNJ175" s="456"/>
      <c r="BNK175" s="456"/>
      <c r="BNL175" s="456"/>
      <c r="BNM175" s="456"/>
      <c r="BNN175" s="456"/>
      <c r="BNO175" s="456"/>
      <c r="BNP175" s="456"/>
      <c r="BNQ175" s="456"/>
      <c r="BNR175" s="456"/>
      <c r="BNS175" s="456"/>
      <c r="BNT175" s="456"/>
      <c r="BNU175" s="456"/>
      <c r="BNV175" s="456"/>
      <c r="BNW175" s="456"/>
      <c r="BNX175" s="456"/>
      <c r="BNY175" s="456"/>
      <c r="BNZ175" s="456"/>
      <c r="BOA175" s="456"/>
      <c r="BOB175" s="456"/>
      <c r="BOC175" s="456"/>
      <c r="BOD175" s="456"/>
      <c r="BOE175" s="456"/>
      <c r="BOF175" s="456"/>
      <c r="BOG175" s="456"/>
      <c r="BOH175" s="456"/>
      <c r="BOI175" s="456"/>
      <c r="BOJ175" s="456"/>
      <c r="BOK175" s="456"/>
      <c r="BOL175" s="456"/>
      <c r="BOM175" s="456"/>
      <c r="BON175" s="456"/>
      <c r="BOO175" s="456"/>
      <c r="BOP175" s="456"/>
      <c r="BOQ175" s="456"/>
      <c r="BOR175" s="456"/>
      <c r="BOS175" s="456"/>
      <c r="BOT175" s="456"/>
      <c r="BOU175" s="456"/>
      <c r="BOV175" s="456"/>
      <c r="BOW175" s="456"/>
      <c r="BOX175" s="456"/>
      <c r="BOY175" s="456"/>
      <c r="BOZ175" s="456"/>
      <c r="BPA175" s="456"/>
      <c r="BPB175" s="456"/>
      <c r="BPC175" s="456"/>
      <c r="BPD175" s="456"/>
      <c r="BPE175" s="456"/>
      <c r="BPF175" s="456"/>
      <c r="BPG175" s="456"/>
      <c r="BPH175" s="456"/>
      <c r="BPI175" s="456"/>
      <c r="BPJ175" s="456"/>
      <c r="BPK175" s="456"/>
      <c r="BPL175" s="456"/>
      <c r="BPM175" s="456"/>
      <c r="BPN175" s="456"/>
      <c r="BPO175" s="456"/>
      <c r="BPP175" s="456"/>
      <c r="BPQ175" s="456"/>
      <c r="BPR175" s="456"/>
      <c r="BPS175" s="456"/>
      <c r="BPT175" s="456"/>
      <c r="BPU175" s="456"/>
      <c r="BPV175" s="456"/>
      <c r="BPW175" s="456"/>
      <c r="BPX175" s="456"/>
      <c r="BPY175" s="456"/>
      <c r="BPZ175" s="456"/>
      <c r="BQA175" s="456"/>
      <c r="BQB175" s="456"/>
      <c r="BQC175" s="456"/>
      <c r="BQD175" s="456"/>
      <c r="BQE175" s="456"/>
      <c r="BQF175" s="456"/>
      <c r="BQG175" s="456"/>
      <c r="BQH175" s="456"/>
      <c r="BQI175" s="456"/>
      <c r="BQJ175" s="456"/>
      <c r="BQK175" s="456"/>
      <c r="BQL175" s="456"/>
      <c r="BQM175" s="456"/>
      <c r="BQN175" s="456"/>
      <c r="BQO175" s="456"/>
      <c r="BQP175" s="456"/>
      <c r="BQQ175" s="456"/>
      <c r="BQR175" s="456"/>
      <c r="BQS175" s="456"/>
      <c r="BQT175" s="456"/>
      <c r="BQU175" s="456"/>
      <c r="BQV175" s="456"/>
      <c r="BQW175" s="456"/>
      <c r="BQX175" s="456"/>
      <c r="BQY175" s="456"/>
      <c r="BQZ175" s="456"/>
      <c r="BRA175" s="456"/>
      <c r="BRB175" s="456"/>
      <c r="BRC175" s="456"/>
      <c r="BRD175" s="456"/>
      <c r="BRE175" s="456"/>
      <c r="BRF175" s="456"/>
      <c r="BRG175" s="456"/>
      <c r="BRH175" s="456"/>
      <c r="BRI175" s="456"/>
      <c r="BRJ175" s="456"/>
      <c r="BRK175" s="456"/>
      <c r="BRL175" s="456"/>
      <c r="BRM175" s="456"/>
      <c r="BRN175" s="456"/>
      <c r="BRO175" s="456"/>
      <c r="BRP175" s="456"/>
      <c r="BRQ175" s="456"/>
      <c r="BRR175" s="456"/>
      <c r="BRS175" s="456"/>
      <c r="BRT175" s="456"/>
      <c r="BRU175" s="456"/>
      <c r="BRV175" s="456"/>
      <c r="BRW175" s="456"/>
      <c r="BRX175" s="456"/>
      <c r="BRY175" s="456"/>
      <c r="BRZ175" s="456"/>
      <c r="BSA175" s="456"/>
      <c r="BSB175" s="456"/>
      <c r="BSC175" s="456"/>
      <c r="BSD175" s="456"/>
      <c r="BSE175" s="456"/>
      <c r="BSF175" s="456"/>
      <c r="BSG175" s="456"/>
      <c r="BSH175" s="456"/>
      <c r="BSI175" s="456"/>
      <c r="BSJ175" s="456"/>
      <c r="BSK175" s="456"/>
      <c r="BSL175" s="456"/>
      <c r="BSM175" s="456"/>
      <c r="BSN175" s="456"/>
      <c r="BSO175" s="456"/>
      <c r="BSP175" s="456"/>
      <c r="BSQ175" s="456"/>
      <c r="BSR175" s="456"/>
      <c r="BSS175" s="456"/>
      <c r="BST175" s="456"/>
      <c r="BSU175" s="456"/>
      <c r="BSV175" s="456"/>
      <c r="BSW175" s="456"/>
      <c r="BSX175" s="456"/>
      <c r="BSY175" s="456"/>
      <c r="BSZ175" s="456"/>
      <c r="BTA175" s="456"/>
      <c r="BTB175" s="456"/>
      <c r="BTC175" s="456"/>
      <c r="BTD175" s="456"/>
      <c r="BTE175" s="456"/>
      <c r="BTF175" s="456"/>
      <c r="BTG175" s="456"/>
      <c r="BTH175" s="456"/>
      <c r="BTI175" s="456"/>
      <c r="BTJ175" s="456"/>
      <c r="BTK175" s="456"/>
      <c r="BTL175" s="456"/>
      <c r="BTM175" s="456"/>
      <c r="BTN175" s="456"/>
      <c r="BTO175" s="456"/>
      <c r="BTP175" s="456"/>
      <c r="BTQ175" s="456"/>
      <c r="BTR175" s="456"/>
      <c r="BTS175" s="456"/>
      <c r="BTT175" s="456"/>
      <c r="BTU175" s="456"/>
      <c r="BTV175" s="456"/>
      <c r="BTW175" s="456"/>
      <c r="BTX175" s="456"/>
      <c r="BTY175" s="456"/>
      <c r="BTZ175" s="456"/>
      <c r="BUA175" s="456"/>
      <c r="BUB175" s="456"/>
      <c r="BUC175" s="456"/>
      <c r="BUD175" s="456"/>
      <c r="BUE175" s="456"/>
      <c r="BUF175" s="456"/>
      <c r="BUG175" s="456"/>
      <c r="BUH175" s="456"/>
      <c r="BUI175" s="456"/>
      <c r="BUJ175" s="456"/>
      <c r="BUK175" s="456"/>
      <c r="BUL175" s="456"/>
      <c r="BUM175" s="456"/>
      <c r="BUN175" s="456"/>
      <c r="BUO175" s="456"/>
      <c r="BUP175" s="456"/>
      <c r="BUQ175" s="456"/>
      <c r="BUR175" s="456"/>
      <c r="BUS175" s="456"/>
      <c r="BUT175" s="456"/>
      <c r="BUU175" s="456"/>
      <c r="BUV175" s="456"/>
      <c r="BUW175" s="456"/>
      <c r="BUX175" s="456"/>
      <c r="BUY175" s="456"/>
      <c r="BUZ175" s="456"/>
      <c r="BVA175" s="456"/>
      <c r="BVB175" s="456"/>
      <c r="BVC175" s="456"/>
      <c r="BVD175" s="456"/>
      <c r="BVE175" s="456"/>
      <c r="BVF175" s="456"/>
      <c r="BVG175" s="456"/>
      <c r="BVH175" s="456"/>
      <c r="BVI175" s="456"/>
      <c r="BVJ175" s="456"/>
      <c r="BVK175" s="456"/>
      <c r="BVL175" s="456"/>
      <c r="BVM175" s="456"/>
      <c r="BVN175" s="456"/>
      <c r="BVO175" s="456"/>
      <c r="BVP175" s="456"/>
      <c r="BVQ175" s="456"/>
      <c r="BVR175" s="456"/>
      <c r="BVS175" s="456"/>
      <c r="BVT175" s="456"/>
      <c r="BVU175" s="456"/>
      <c r="BVV175" s="456"/>
      <c r="BVW175" s="456"/>
      <c r="BVX175" s="456"/>
      <c r="BVY175" s="456"/>
      <c r="BVZ175" s="456"/>
      <c r="BWA175" s="456"/>
      <c r="BWB175" s="456"/>
      <c r="BWC175" s="456"/>
      <c r="BWD175" s="456"/>
      <c r="BWE175" s="456"/>
      <c r="BWF175" s="456"/>
      <c r="BWG175" s="456"/>
      <c r="BWH175" s="456"/>
      <c r="BWI175" s="456"/>
      <c r="BWJ175" s="456"/>
      <c r="BWK175" s="456"/>
      <c r="BWL175" s="456"/>
      <c r="BWM175" s="456"/>
      <c r="BWN175" s="456"/>
      <c r="BWO175" s="456"/>
      <c r="BWP175" s="456"/>
      <c r="BWQ175" s="456"/>
      <c r="BWR175" s="456"/>
      <c r="BWS175" s="456"/>
      <c r="BWT175" s="456"/>
      <c r="BWU175" s="456"/>
      <c r="BWV175" s="456"/>
      <c r="BWW175" s="456"/>
      <c r="BWX175" s="456"/>
      <c r="BWY175" s="456"/>
      <c r="BWZ175" s="456"/>
      <c r="BXA175" s="456"/>
      <c r="BXB175" s="456"/>
      <c r="BXC175" s="456"/>
      <c r="BXD175" s="456"/>
      <c r="BXE175" s="456"/>
      <c r="BXF175" s="456"/>
      <c r="BXG175" s="456"/>
      <c r="BXH175" s="456"/>
      <c r="BXI175" s="456"/>
      <c r="BXJ175" s="456"/>
      <c r="BXK175" s="456"/>
      <c r="BXL175" s="456"/>
      <c r="BXM175" s="456"/>
      <c r="BXN175" s="456"/>
      <c r="BXO175" s="456"/>
      <c r="BXP175" s="456"/>
      <c r="BXQ175" s="456"/>
      <c r="BXR175" s="456"/>
      <c r="BXS175" s="456"/>
      <c r="BXT175" s="456"/>
      <c r="BXU175" s="456"/>
      <c r="BXV175" s="456"/>
      <c r="BXW175" s="456"/>
      <c r="BXX175" s="456"/>
      <c r="BXY175" s="456"/>
      <c r="BXZ175" s="456"/>
    </row>
    <row r="176" s="25" customFormat="1" spans="1:1024 1025:2002">
      <c r="A176" s="473" t="s">
        <v>34</v>
      </c>
      <c r="B176" s="19">
        <v>1134</v>
      </c>
      <c r="C176" s="183">
        <v>46224</v>
      </c>
      <c r="D176" s="17" t="s">
        <v>52</v>
      </c>
      <c r="E176" s="17" t="s">
        <v>119</v>
      </c>
      <c r="F176" s="17" t="s">
        <v>54</v>
      </c>
      <c r="G176" s="17"/>
      <c r="H176" s="19">
        <v>1.2738</v>
      </c>
      <c r="I176" s="102" t="s">
        <v>65</v>
      </c>
      <c r="J176" s="17" t="s">
        <v>49</v>
      </c>
      <c r="K176" s="167">
        <v>2200</v>
      </c>
      <c r="L176" s="167">
        <v>40</v>
      </c>
      <c r="M176" s="167">
        <v>3500</v>
      </c>
      <c r="N176" s="19" t="s">
        <v>66</v>
      </c>
      <c r="O176" s="19" t="s">
        <v>67</v>
      </c>
      <c r="P176" s="167">
        <v>3109</v>
      </c>
      <c r="Q176" s="99">
        <v>3300</v>
      </c>
      <c r="R176" s="99">
        <f t="shared" si="9"/>
        <v>-191</v>
      </c>
      <c r="S176" s="19">
        <v>970</v>
      </c>
      <c r="T176" s="19" t="s">
        <v>42</v>
      </c>
      <c r="U176" s="102" t="s">
        <v>123</v>
      </c>
      <c r="V176" s="186">
        <v>46230</v>
      </c>
      <c r="W176" s="17" t="s">
        <v>44</v>
      </c>
      <c r="X176" s="17"/>
      <c r="Y176" s="68">
        <v>46235</v>
      </c>
      <c r="Z176" s="17" t="s">
        <v>45</v>
      </c>
      <c r="AA176" s="17" t="s">
        <v>46</v>
      </c>
      <c r="AB176" s="17" t="s">
        <v>122</v>
      </c>
      <c r="AC176" s="217">
        <v>46243</v>
      </c>
      <c r="AD176" s="65">
        <v>1847</v>
      </c>
      <c r="AE176" s="17" t="s">
        <v>48</v>
      </c>
      <c r="AF176" s="17" t="s">
        <v>61</v>
      </c>
      <c r="AG176" s="17"/>
      <c r="AH176" s="456"/>
      <c r="AI176" s="456"/>
      <c r="AJ176" s="456"/>
      <c r="AK176" s="456"/>
      <c r="AL176" s="456"/>
      <c r="AM176" s="456"/>
      <c r="AN176" s="456"/>
      <c r="AO176" s="456"/>
      <c r="AP176" s="456"/>
      <c r="AQ176" s="456"/>
      <c r="AR176" s="456"/>
      <c r="AS176" s="456"/>
      <c r="AT176" s="456"/>
      <c r="AU176" s="456"/>
      <c r="AV176" s="456"/>
      <c r="AW176" s="456"/>
      <c r="AX176" s="456"/>
      <c r="AY176" s="456"/>
      <c r="AZ176" s="456"/>
      <c r="BA176" s="456"/>
      <c r="BB176" s="456"/>
      <c r="BC176" s="456"/>
      <c r="BD176" s="456"/>
      <c r="BE176" s="456"/>
      <c r="BF176" s="456"/>
      <c r="BG176" s="456"/>
      <c r="BH176" s="456"/>
      <c r="BI176" s="456"/>
      <c r="BJ176" s="456"/>
      <c r="BK176" s="456"/>
      <c r="BL176" s="456"/>
      <c r="BM176" s="456"/>
      <c r="BN176" s="456"/>
      <c r="BO176" s="456"/>
      <c r="BP176" s="456"/>
      <c r="BQ176" s="456"/>
      <c r="BR176" s="456"/>
      <c r="BS176" s="456"/>
      <c r="BT176" s="456"/>
      <c r="BU176" s="456"/>
      <c r="BV176" s="456"/>
      <c r="BW176" s="456"/>
      <c r="BX176" s="456"/>
      <c r="BY176" s="456"/>
      <c r="BZ176" s="456"/>
      <c r="CA176" s="456"/>
      <c r="CB176" s="456"/>
      <c r="CC176" s="456"/>
      <c r="CD176" s="456"/>
      <c r="CE176" s="456"/>
      <c r="CF176" s="456"/>
      <c r="CG176" s="456"/>
      <c r="CH176" s="456"/>
      <c r="CI176" s="456"/>
      <c r="CJ176" s="456"/>
      <c r="CK176" s="456"/>
      <c r="CL176" s="456"/>
      <c r="CM176" s="456"/>
      <c r="CN176" s="456"/>
      <c r="CO176" s="456"/>
      <c r="CP176" s="456"/>
      <c r="CQ176" s="456"/>
      <c r="CR176" s="456"/>
      <c r="CS176" s="456"/>
      <c r="CT176" s="456"/>
      <c r="CU176" s="456"/>
      <c r="CV176" s="456"/>
      <c r="CW176" s="456"/>
      <c r="CX176" s="456"/>
      <c r="CY176" s="456"/>
      <c r="CZ176" s="456"/>
      <c r="DA176" s="456"/>
      <c r="DB176" s="456"/>
      <c r="DC176" s="456"/>
      <c r="DD176" s="456"/>
      <c r="DE176" s="456"/>
      <c r="DF176" s="456"/>
      <c r="DG176" s="456"/>
      <c r="DH176" s="456"/>
      <c r="DI176" s="456"/>
      <c r="DJ176" s="456"/>
      <c r="DK176" s="456"/>
      <c r="DL176" s="456"/>
      <c r="DM176" s="456"/>
      <c r="DN176" s="456"/>
      <c r="DO176" s="456"/>
      <c r="DP176" s="456"/>
      <c r="DQ176" s="456"/>
      <c r="DR176" s="456"/>
      <c r="DS176" s="456"/>
      <c r="DT176" s="456"/>
      <c r="DU176" s="456"/>
      <c r="DV176" s="456"/>
      <c r="DW176" s="456"/>
      <c r="DX176" s="456"/>
      <c r="DY176" s="456"/>
      <c r="DZ176" s="456"/>
      <c r="EA176" s="456"/>
      <c r="EB176" s="456"/>
      <c r="EC176" s="456"/>
      <c r="ED176" s="456"/>
      <c r="EE176" s="456"/>
      <c r="EF176" s="456"/>
      <c r="EG176" s="456"/>
      <c r="EH176" s="456"/>
      <c r="EI176" s="456"/>
      <c r="EJ176" s="456"/>
      <c r="EK176" s="456"/>
      <c r="EL176" s="456"/>
      <c r="EM176" s="456"/>
      <c r="EN176" s="456"/>
      <c r="EO176" s="456"/>
      <c r="EP176" s="456"/>
      <c r="EQ176" s="456"/>
      <c r="ER176" s="456"/>
      <c r="ES176" s="456"/>
      <c r="ET176" s="456"/>
      <c r="EU176" s="456"/>
      <c r="EV176" s="456"/>
      <c r="EW176" s="456"/>
      <c r="EX176" s="456"/>
      <c r="EY176" s="456"/>
      <c r="EZ176" s="456"/>
      <c r="FA176" s="456"/>
      <c r="FB176" s="456"/>
      <c r="FC176" s="456"/>
      <c r="FD176" s="456"/>
      <c r="FE176" s="456"/>
      <c r="FF176" s="456"/>
      <c r="FG176" s="456"/>
      <c r="FH176" s="456"/>
      <c r="FI176" s="456"/>
      <c r="FJ176" s="456"/>
      <c r="FK176" s="456"/>
      <c r="FL176" s="456"/>
      <c r="FM176" s="456"/>
      <c r="FN176" s="456"/>
      <c r="FO176" s="456"/>
      <c r="FP176" s="456"/>
      <c r="FQ176" s="456"/>
      <c r="FR176" s="456"/>
      <c r="FS176" s="456"/>
      <c r="FT176" s="456"/>
      <c r="FU176" s="456"/>
      <c r="FV176" s="456"/>
      <c r="FW176" s="456"/>
      <c r="FX176" s="456"/>
      <c r="FY176" s="456"/>
      <c r="FZ176" s="456"/>
      <c r="GA176" s="456"/>
      <c r="GB176" s="456"/>
      <c r="GC176" s="456"/>
      <c r="GD176" s="456"/>
      <c r="GE176" s="456"/>
      <c r="GF176" s="456"/>
      <c r="GG176" s="456"/>
      <c r="GH176" s="456"/>
      <c r="GI176" s="456"/>
      <c r="GJ176" s="456"/>
      <c r="GK176" s="456"/>
      <c r="GL176" s="456"/>
      <c r="GM176" s="456"/>
      <c r="GN176" s="456"/>
      <c r="GO176" s="456"/>
      <c r="GP176" s="456"/>
      <c r="GQ176" s="456"/>
      <c r="GR176" s="456"/>
      <c r="GS176" s="456"/>
      <c r="GT176" s="456"/>
      <c r="GU176" s="456"/>
      <c r="GV176" s="456"/>
      <c r="GW176" s="456"/>
      <c r="GX176" s="456"/>
      <c r="GY176" s="456"/>
      <c r="GZ176" s="456"/>
      <c r="HA176" s="456"/>
      <c r="HB176" s="456"/>
      <c r="HC176" s="456"/>
      <c r="HD176" s="456"/>
      <c r="HE176" s="456"/>
      <c r="HF176" s="456"/>
      <c r="HG176" s="456"/>
      <c r="HH176" s="456"/>
      <c r="HI176" s="456"/>
      <c r="HJ176" s="456"/>
      <c r="HK176" s="456"/>
      <c r="HL176" s="456"/>
      <c r="HM176" s="456"/>
      <c r="HN176" s="456"/>
      <c r="HO176" s="456"/>
      <c r="HP176" s="456"/>
      <c r="HQ176" s="456"/>
      <c r="HR176" s="456"/>
      <c r="HS176" s="456"/>
      <c r="HT176" s="456"/>
      <c r="HU176" s="456"/>
      <c r="HV176" s="456"/>
      <c r="HW176" s="456"/>
      <c r="HX176" s="456"/>
      <c r="HY176" s="456"/>
      <c r="HZ176" s="456"/>
      <c r="IA176" s="456"/>
      <c r="IB176" s="456"/>
      <c r="IC176" s="456"/>
      <c r="ID176" s="456"/>
      <c r="IE176" s="456"/>
      <c r="IF176" s="456"/>
      <c r="IG176" s="456"/>
      <c r="IH176" s="456"/>
      <c r="II176" s="456"/>
      <c r="IJ176" s="456"/>
      <c r="IK176" s="456"/>
      <c r="IL176" s="456"/>
      <c r="IM176" s="456"/>
      <c r="IN176" s="456"/>
      <c r="IO176" s="456"/>
      <c r="IP176" s="456"/>
      <c r="IQ176" s="456"/>
      <c r="IR176" s="456"/>
      <c r="IS176" s="456"/>
      <c r="IT176" s="456"/>
      <c r="IU176" s="456"/>
      <c r="IV176" s="456"/>
      <c r="IW176" s="456"/>
      <c r="IX176" s="456"/>
      <c r="IY176" s="456"/>
      <c r="IZ176" s="456"/>
      <c r="JA176" s="456"/>
      <c r="JB176" s="456"/>
      <c r="JC176" s="456"/>
      <c r="JD176" s="456"/>
      <c r="JE176" s="456"/>
      <c r="JF176" s="456"/>
      <c r="JG176" s="456"/>
      <c r="JH176" s="456"/>
      <c r="JI176" s="456"/>
      <c r="JJ176" s="456"/>
      <c r="JK176" s="456"/>
      <c r="JL176" s="456"/>
      <c r="JM176" s="456"/>
      <c r="JN176" s="456"/>
      <c r="JO176" s="456"/>
      <c r="JP176" s="456"/>
      <c r="JQ176" s="456"/>
      <c r="JR176" s="456"/>
      <c r="JS176" s="456"/>
      <c r="JT176" s="456"/>
      <c r="JU176" s="456"/>
      <c r="JV176" s="456"/>
      <c r="JW176" s="456"/>
      <c r="JX176" s="456"/>
      <c r="JY176" s="456"/>
      <c r="JZ176" s="456"/>
      <c r="KA176" s="456"/>
      <c r="KB176" s="456"/>
      <c r="KC176" s="456"/>
      <c r="KD176" s="456"/>
      <c r="KE176" s="456"/>
      <c r="KF176" s="456"/>
      <c r="KG176" s="456"/>
      <c r="KH176" s="456"/>
      <c r="KI176" s="456"/>
      <c r="KJ176" s="456"/>
      <c r="KK176" s="456"/>
      <c r="KL176" s="456"/>
      <c r="KM176" s="456"/>
      <c r="KN176" s="456"/>
      <c r="KO176" s="456"/>
      <c r="KP176" s="456"/>
      <c r="KQ176" s="456"/>
      <c r="KR176" s="456"/>
      <c r="KS176" s="456"/>
      <c r="KT176" s="456"/>
      <c r="KU176" s="456"/>
      <c r="KV176" s="456"/>
      <c r="KW176" s="456"/>
      <c r="KX176" s="456"/>
      <c r="KY176" s="456"/>
      <c r="KZ176" s="456"/>
      <c r="LA176" s="456"/>
      <c r="LB176" s="456"/>
      <c r="LC176" s="456"/>
      <c r="LD176" s="456"/>
      <c r="LE176" s="456"/>
      <c r="LF176" s="456"/>
      <c r="LG176" s="456"/>
      <c r="LH176" s="456"/>
      <c r="LI176" s="456"/>
      <c r="LJ176" s="456"/>
      <c r="LK176" s="456"/>
      <c r="LL176" s="456"/>
      <c r="LM176" s="456"/>
      <c r="LN176" s="456"/>
      <c r="LO176" s="456"/>
      <c r="LP176" s="456"/>
      <c r="LQ176" s="456"/>
      <c r="LR176" s="456"/>
      <c r="LS176" s="456"/>
      <c r="LT176" s="456"/>
      <c r="LU176" s="456"/>
      <c r="LV176" s="456"/>
      <c r="LW176" s="456"/>
      <c r="LX176" s="456"/>
      <c r="LY176" s="456"/>
      <c r="LZ176" s="456"/>
      <c r="MA176" s="456"/>
      <c r="MB176" s="456"/>
      <c r="MC176" s="456"/>
      <c r="MD176" s="456"/>
      <c r="ME176" s="456"/>
      <c r="MF176" s="456"/>
      <c r="MG176" s="456"/>
      <c r="MH176" s="456"/>
      <c r="MI176" s="456"/>
      <c r="MJ176" s="456"/>
      <c r="MK176" s="456"/>
      <c r="ML176" s="456"/>
      <c r="MM176" s="456"/>
      <c r="MN176" s="456"/>
      <c r="MO176" s="456"/>
      <c r="MP176" s="456"/>
      <c r="MQ176" s="456"/>
      <c r="MR176" s="456"/>
      <c r="MS176" s="456"/>
      <c r="MT176" s="456"/>
      <c r="MU176" s="456"/>
      <c r="MV176" s="456"/>
      <c r="MW176" s="456"/>
      <c r="MX176" s="456"/>
      <c r="MY176" s="456"/>
      <c r="MZ176" s="456"/>
      <c r="NA176" s="456"/>
      <c r="NB176" s="456"/>
      <c r="NC176" s="456"/>
      <c r="ND176" s="456"/>
      <c r="NE176" s="456"/>
      <c r="NF176" s="456"/>
      <c r="NG176" s="456"/>
      <c r="NH176" s="456"/>
      <c r="NI176" s="456"/>
      <c r="NJ176" s="456"/>
      <c r="NK176" s="456"/>
      <c r="NL176" s="456"/>
      <c r="NM176" s="456"/>
      <c r="NN176" s="456"/>
      <c r="NO176" s="456"/>
      <c r="NP176" s="456"/>
      <c r="NQ176" s="456"/>
      <c r="NR176" s="456"/>
      <c r="NS176" s="456"/>
      <c r="NT176" s="456"/>
      <c r="NU176" s="456"/>
      <c r="NV176" s="456"/>
      <c r="NW176" s="456"/>
      <c r="NX176" s="456"/>
      <c r="NY176" s="456"/>
      <c r="NZ176" s="456"/>
      <c r="OA176" s="456"/>
      <c r="OB176" s="456"/>
      <c r="OC176" s="456"/>
      <c r="OD176" s="456"/>
      <c r="OE176" s="456"/>
      <c r="OF176" s="456"/>
      <c r="OG176" s="456"/>
      <c r="OH176" s="456"/>
      <c r="OI176" s="456"/>
      <c r="OJ176" s="456"/>
      <c r="OK176" s="456"/>
      <c r="OL176" s="456"/>
      <c r="OM176" s="456"/>
      <c r="ON176" s="456"/>
      <c r="OO176" s="456"/>
      <c r="OP176" s="456"/>
      <c r="OQ176" s="456"/>
      <c r="OR176" s="456"/>
      <c r="OS176" s="456"/>
      <c r="OT176" s="456"/>
      <c r="OU176" s="456"/>
      <c r="OV176" s="456"/>
      <c r="OW176" s="456"/>
      <c r="OX176" s="456"/>
      <c r="OY176" s="456"/>
      <c r="OZ176" s="456"/>
      <c r="PA176" s="456"/>
      <c r="PB176" s="456"/>
      <c r="PC176" s="456"/>
      <c r="PD176" s="456"/>
      <c r="PE176" s="456"/>
      <c r="PF176" s="456"/>
      <c r="PG176" s="456"/>
      <c r="PH176" s="456"/>
      <c r="PI176" s="456"/>
      <c r="PJ176" s="456"/>
      <c r="PK176" s="456"/>
      <c r="PL176" s="456"/>
      <c r="PM176" s="456"/>
      <c r="PN176" s="456"/>
      <c r="PO176" s="456"/>
      <c r="PP176" s="456"/>
      <c r="PQ176" s="456"/>
      <c r="PR176" s="456"/>
      <c r="PS176" s="456"/>
      <c r="PT176" s="456"/>
      <c r="PU176" s="456"/>
      <c r="PV176" s="456"/>
      <c r="PW176" s="456"/>
      <c r="PX176" s="456"/>
      <c r="PY176" s="456"/>
      <c r="PZ176" s="456"/>
      <c r="QA176" s="456"/>
      <c r="QB176" s="456"/>
      <c r="QC176" s="456"/>
      <c r="QD176" s="456"/>
      <c r="QE176" s="456"/>
      <c r="QF176" s="456"/>
      <c r="QG176" s="456"/>
      <c r="QH176" s="456"/>
      <c r="QI176" s="456"/>
      <c r="QJ176" s="456"/>
      <c r="QK176" s="456"/>
      <c r="QL176" s="456"/>
      <c r="QM176" s="456"/>
      <c r="QN176" s="456"/>
      <c r="QO176" s="456"/>
      <c r="QP176" s="456"/>
      <c r="QQ176" s="456"/>
      <c r="QR176" s="456"/>
      <c r="QS176" s="456"/>
      <c r="QT176" s="456"/>
      <c r="QU176" s="456"/>
      <c r="QV176" s="456"/>
      <c r="QW176" s="456"/>
      <c r="QX176" s="456"/>
      <c r="QY176" s="456"/>
      <c r="QZ176" s="456"/>
      <c r="RA176" s="456"/>
      <c r="RB176" s="456"/>
      <c r="RC176" s="456"/>
      <c r="RD176" s="456"/>
      <c r="RE176" s="456"/>
      <c r="RF176" s="456"/>
      <c r="RG176" s="456"/>
      <c r="RH176" s="456"/>
      <c r="RI176" s="456"/>
      <c r="RJ176" s="456"/>
      <c r="RK176" s="456"/>
      <c r="RL176" s="456"/>
      <c r="RM176" s="456"/>
      <c r="RN176" s="456"/>
      <c r="RO176" s="456"/>
      <c r="RP176" s="456"/>
      <c r="RQ176" s="456"/>
      <c r="RR176" s="456"/>
      <c r="RS176" s="456"/>
      <c r="RT176" s="456"/>
      <c r="RU176" s="456"/>
      <c r="RV176" s="456"/>
      <c r="RW176" s="456"/>
      <c r="RX176" s="456"/>
      <c r="RY176" s="456"/>
      <c r="RZ176" s="456"/>
      <c r="SA176" s="456"/>
      <c r="SB176" s="456"/>
      <c r="SC176" s="456"/>
      <c r="SD176" s="456"/>
      <c r="SE176" s="456"/>
      <c r="SF176" s="456"/>
      <c r="SG176" s="456"/>
      <c r="SH176" s="456"/>
      <c r="SI176" s="456"/>
      <c r="SJ176" s="456"/>
      <c r="SK176" s="456"/>
      <c r="SL176" s="456"/>
      <c r="SM176" s="456"/>
      <c r="SN176" s="456"/>
      <c r="SO176" s="456"/>
      <c r="SP176" s="456"/>
      <c r="SQ176" s="456"/>
      <c r="SR176" s="456"/>
      <c r="SS176" s="456"/>
      <c r="ST176" s="456"/>
      <c r="SU176" s="456"/>
      <c r="SV176" s="456"/>
      <c r="SW176" s="456"/>
      <c r="SX176" s="456"/>
      <c r="SY176" s="456"/>
      <c r="SZ176" s="456"/>
      <c r="TA176" s="456"/>
      <c r="TB176" s="456"/>
      <c r="TC176" s="456"/>
      <c r="TD176" s="456"/>
      <c r="TE176" s="456"/>
      <c r="TF176" s="456"/>
      <c r="TG176" s="456"/>
      <c r="TH176" s="456"/>
      <c r="TI176" s="456"/>
      <c r="TJ176" s="456"/>
      <c r="TK176" s="456"/>
      <c r="TL176" s="456"/>
      <c r="TM176" s="456"/>
      <c r="TN176" s="456"/>
      <c r="TO176" s="456"/>
      <c r="TP176" s="456"/>
      <c r="TQ176" s="456"/>
      <c r="TR176" s="456"/>
      <c r="TS176" s="456"/>
      <c r="TT176" s="456"/>
      <c r="TU176" s="456"/>
      <c r="TV176" s="456"/>
      <c r="TW176" s="456"/>
      <c r="TX176" s="456"/>
      <c r="TY176" s="456"/>
      <c r="TZ176" s="456"/>
      <c r="UA176" s="456"/>
      <c r="UB176" s="456"/>
      <c r="UC176" s="456"/>
      <c r="UD176" s="456"/>
      <c r="UE176" s="456"/>
      <c r="UF176" s="456"/>
      <c r="UG176" s="456"/>
      <c r="UH176" s="456"/>
      <c r="UI176" s="456"/>
      <c r="UJ176" s="456"/>
      <c r="UK176" s="456"/>
      <c r="UL176" s="456"/>
      <c r="UM176" s="456"/>
      <c r="UN176" s="456"/>
      <c r="UO176" s="456"/>
      <c r="UP176" s="456"/>
      <c r="UQ176" s="456"/>
      <c r="UR176" s="456"/>
      <c r="US176" s="456"/>
      <c r="UT176" s="456"/>
      <c r="UU176" s="456"/>
      <c r="UV176" s="456"/>
      <c r="UW176" s="456"/>
      <c r="UX176" s="456"/>
      <c r="UY176" s="456"/>
      <c r="UZ176" s="456"/>
      <c r="VA176" s="456"/>
      <c r="VB176" s="456"/>
      <c r="VC176" s="456"/>
      <c r="VD176" s="456"/>
      <c r="VE176" s="456"/>
      <c r="VF176" s="456"/>
      <c r="VG176" s="456"/>
      <c r="VH176" s="456"/>
      <c r="VI176" s="456"/>
      <c r="VJ176" s="456"/>
      <c r="VK176" s="456"/>
      <c r="VL176" s="456"/>
      <c r="VM176" s="456"/>
      <c r="VN176" s="456"/>
      <c r="VO176" s="456"/>
      <c r="VP176" s="456"/>
      <c r="VQ176" s="456"/>
      <c r="VR176" s="456"/>
      <c r="VS176" s="456"/>
      <c r="VT176" s="456"/>
      <c r="VU176" s="456"/>
      <c r="VV176" s="456"/>
      <c r="VW176" s="456"/>
      <c r="VX176" s="456"/>
      <c r="VY176" s="456"/>
      <c r="VZ176" s="456"/>
      <c r="WA176" s="456"/>
      <c r="WB176" s="456"/>
      <c r="WC176" s="456"/>
      <c r="WD176" s="456"/>
      <c r="WE176" s="456"/>
      <c r="WF176" s="456"/>
      <c r="WG176" s="456"/>
      <c r="WH176" s="456"/>
      <c r="WI176" s="456"/>
      <c r="WJ176" s="456"/>
      <c r="WK176" s="456"/>
      <c r="WL176" s="456"/>
      <c r="WM176" s="456"/>
      <c r="WN176" s="456"/>
      <c r="WO176" s="456"/>
      <c r="WP176" s="456"/>
      <c r="WQ176" s="456"/>
      <c r="WR176" s="456"/>
      <c r="WS176" s="456"/>
      <c r="WT176" s="456"/>
      <c r="WU176" s="456"/>
      <c r="WV176" s="456"/>
      <c r="WW176" s="456"/>
      <c r="WX176" s="456"/>
      <c r="WY176" s="456"/>
      <c r="WZ176" s="456"/>
      <c r="XA176" s="456"/>
      <c r="XB176" s="456"/>
      <c r="XC176" s="456"/>
      <c r="XD176" s="456"/>
      <c r="XE176" s="456"/>
      <c r="XF176" s="456"/>
      <c r="XG176" s="456"/>
      <c r="XH176" s="456"/>
      <c r="XI176" s="456"/>
      <c r="XJ176" s="456"/>
      <c r="XK176" s="456"/>
      <c r="XL176" s="456"/>
      <c r="XM176" s="456"/>
      <c r="XN176" s="456"/>
      <c r="XO176" s="456"/>
      <c r="XP176" s="456"/>
      <c r="XQ176" s="456"/>
      <c r="XR176" s="456"/>
      <c r="XS176" s="456"/>
      <c r="XT176" s="456"/>
      <c r="XU176" s="456"/>
      <c r="XV176" s="456"/>
      <c r="XW176" s="456"/>
      <c r="XX176" s="456"/>
      <c r="XY176" s="456"/>
      <c r="XZ176" s="456"/>
      <c r="YA176" s="456"/>
      <c r="YB176" s="456"/>
      <c r="YC176" s="456"/>
      <c r="YD176" s="456"/>
      <c r="YE176" s="456"/>
      <c r="YF176" s="456"/>
      <c r="YG176" s="456"/>
      <c r="YH176" s="456"/>
      <c r="YI176" s="456"/>
      <c r="YJ176" s="456"/>
      <c r="YK176" s="456"/>
      <c r="YL176" s="456"/>
      <c r="YM176" s="456"/>
      <c r="YN176" s="456"/>
      <c r="YO176" s="456"/>
      <c r="YP176" s="456"/>
      <c r="YQ176" s="456"/>
      <c r="YR176" s="456"/>
      <c r="YS176" s="456"/>
      <c r="YT176" s="456"/>
      <c r="YU176" s="456"/>
      <c r="YV176" s="456"/>
      <c r="YW176" s="456"/>
      <c r="YX176" s="456"/>
      <c r="YY176" s="456"/>
      <c r="YZ176" s="456"/>
      <c r="ZA176" s="456"/>
      <c r="ZB176" s="456"/>
      <c r="ZC176" s="456"/>
      <c r="ZD176" s="456"/>
      <c r="ZE176" s="456"/>
      <c r="ZF176" s="456"/>
      <c r="ZG176" s="456"/>
      <c r="ZH176" s="456"/>
      <c r="ZI176" s="456"/>
      <c r="ZJ176" s="456"/>
      <c r="ZK176" s="456"/>
      <c r="ZL176" s="456"/>
      <c r="ZM176" s="456"/>
      <c r="ZN176" s="456"/>
      <c r="ZO176" s="456"/>
      <c r="ZP176" s="456"/>
      <c r="ZQ176" s="456"/>
      <c r="ZR176" s="456"/>
      <c r="ZS176" s="456"/>
      <c r="ZT176" s="456"/>
      <c r="ZU176" s="456"/>
      <c r="ZV176" s="456"/>
      <c r="ZW176" s="456"/>
      <c r="ZX176" s="456"/>
      <c r="ZY176" s="456"/>
      <c r="ZZ176" s="456"/>
      <c r="AAA176" s="456"/>
      <c r="AAB176" s="456"/>
      <c r="AAC176" s="456"/>
      <c r="AAD176" s="456"/>
      <c r="AAE176" s="456"/>
      <c r="AAF176" s="456"/>
      <c r="AAG176" s="456"/>
      <c r="AAH176" s="456"/>
      <c r="AAI176" s="456"/>
      <c r="AAJ176" s="456"/>
      <c r="AAK176" s="456"/>
      <c r="AAL176" s="456"/>
      <c r="AAM176" s="456"/>
      <c r="AAN176" s="456"/>
      <c r="AAO176" s="456"/>
      <c r="AAP176" s="456"/>
      <c r="AAQ176" s="456"/>
      <c r="AAR176" s="456"/>
      <c r="AAS176" s="456"/>
      <c r="AAT176" s="456"/>
      <c r="AAU176" s="456"/>
      <c r="AAV176" s="456"/>
      <c r="AAW176" s="456"/>
      <c r="AAX176" s="456"/>
      <c r="AAY176" s="456"/>
      <c r="AAZ176" s="456"/>
      <c r="ABA176" s="456"/>
      <c r="ABB176" s="456"/>
      <c r="ABC176" s="456"/>
      <c r="ABD176" s="456"/>
      <c r="ABE176" s="456"/>
      <c r="ABF176" s="456"/>
      <c r="ABG176" s="456"/>
      <c r="ABH176" s="456"/>
      <c r="ABI176" s="456"/>
      <c r="ABJ176" s="456"/>
      <c r="ABK176" s="456"/>
      <c r="ABL176" s="456"/>
      <c r="ABM176" s="456"/>
      <c r="ABN176" s="456"/>
      <c r="ABO176" s="456"/>
      <c r="ABP176" s="456"/>
      <c r="ABQ176" s="456"/>
      <c r="ABR176" s="456"/>
      <c r="ABS176" s="456"/>
      <c r="ABT176" s="456"/>
      <c r="ABU176" s="456"/>
      <c r="ABV176" s="456"/>
      <c r="ABW176" s="456"/>
      <c r="ABX176" s="456"/>
      <c r="ABY176" s="456"/>
      <c r="ABZ176" s="456"/>
      <c r="ACA176" s="456"/>
      <c r="ACB176" s="456"/>
      <c r="ACC176" s="456"/>
      <c r="ACD176" s="456"/>
      <c r="ACE176" s="456"/>
      <c r="ACF176" s="456"/>
      <c r="ACG176" s="456"/>
      <c r="ACH176" s="456"/>
      <c r="ACI176" s="456"/>
      <c r="ACJ176" s="456"/>
      <c r="ACK176" s="456"/>
      <c r="ACL176" s="456"/>
      <c r="ACM176" s="456"/>
      <c r="ACN176" s="456"/>
      <c r="ACO176" s="456"/>
      <c r="ACP176" s="456"/>
      <c r="ACQ176" s="456"/>
      <c r="ACR176" s="456"/>
      <c r="ACS176" s="456"/>
      <c r="ACT176" s="456"/>
      <c r="ACU176" s="456"/>
      <c r="ACV176" s="456"/>
      <c r="ACW176" s="456"/>
      <c r="ACX176" s="456"/>
      <c r="ACY176" s="456"/>
      <c r="ACZ176" s="456"/>
      <c r="ADA176" s="456"/>
      <c r="ADB176" s="456"/>
      <c r="ADC176" s="456"/>
      <c r="ADD176" s="456"/>
      <c r="ADE176" s="456"/>
      <c r="ADF176" s="456"/>
      <c r="ADG176" s="456"/>
      <c r="ADH176" s="456"/>
      <c r="ADI176" s="456"/>
      <c r="ADJ176" s="456"/>
      <c r="ADK176" s="456"/>
      <c r="ADL176" s="456"/>
      <c r="ADM176" s="456"/>
      <c r="ADN176" s="456"/>
      <c r="ADO176" s="456"/>
      <c r="ADP176" s="456"/>
      <c r="ADQ176" s="456"/>
      <c r="ADR176" s="456"/>
      <c r="ADS176" s="456"/>
      <c r="ADT176" s="456"/>
      <c r="ADU176" s="456"/>
      <c r="ADV176" s="456"/>
      <c r="ADW176" s="456"/>
      <c r="ADX176" s="456"/>
      <c r="ADY176" s="456"/>
      <c r="ADZ176" s="456"/>
      <c r="AEA176" s="456"/>
      <c r="AEB176" s="456"/>
      <c r="AEC176" s="456"/>
      <c r="AED176" s="456"/>
      <c r="AEE176" s="456"/>
      <c r="AEF176" s="456"/>
      <c r="AEG176" s="456"/>
      <c r="AEH176" s="456"/>
      <c r="AEI176" s="456"/>
      <c r="AEJ176" s="456"/>
      <c r="AEK176" s="456"/>
      <c r="AEL176" s="456"/>
      <c r="AEM176" s="456"/>
      <c r="AEN176" s="456"/>
      <c r="AEO176" s="456"/>
      <c r="AEP176" s="456"/>
      <c r="AEQ176" s="456"/>
      <c r="AER176" s="456"/>
      <c r="AES176" s="456"/>
      <c r="AET176" s="456"/>
      <c r="AEU176" s="456"/>
      <c r="AEV176" s="456"/>
      <c r="AEW176" s="456"/>
      <c r="AEX176" s="456"/>
      <c r="AEY176" s="456"/>
      <c r="AEZ176" s="456"/>
      <c r="AFA176" s="456"/>
      <c r="AFB176" s="456"/>
      <c r="AFC176" s="456"/>
      <c r="AFD176" s="456"/>
      <c r="AFE176" s="456"/>
      <c r="AFF176" s="456"/>
      <c r="AFG176" s="456"/>
      <c r="AFH176" s="456"/>
      <c r="AFI176" s="456"/>
      <c r="AFJ176" s="456"/>
      <c r="AFK176" s="456"/>
      <c r="AFL176" s="456"/>
      <c r="AFM176" s="456"/>
      <c r="AFN176" s="456"/>
      <c r="AFO176" s="456"/>
      <c r="AFP176" s="456"/>
      <c r="AFQ176" s="456"/>
      <c r="AFR176" s="456"/>
      <c r="AFS176" s="456"/>
      <c r="AFT176" s="456"/>
      <c r="AFU176" s="456"/>
      <c r="AFV176" s="456"/>
      <c r="AFW176" s="456"/>
      <c r="AFX176" s="456"/>
      <c r="AFY176" s="456"/>
      <c r="AFZ176" s="456"/>
      <c r="AGA176" s="456"/>
      <c r="AGB176" s="456"/>
      <c r="AGC176" s="456"/>
      <c r="AGD176" s="456"/>
      <c r="AGE176" s="456"/>
      <c r="AGF176" s="456"/>
      <c r="AGG176" s="456"/>
      <c r="AGH176" s="456"/>
      <c r="AGI176" s="456"/>
      <c r="AGJ176" s="456"/>
      <c r="AGK176" s="456"/>
      <c r="AGL176" s="456"/>
      <c r="AGM176" s="456"/>
      <c r="AGN176" s="456"/>
      <c r="AGO176" s="456"/>
      <c r="AGP176" s="456"/>
      <c r="AGQ176" s="456"/>
      <c r="AGR176" s="456"/>
      <c r="AGS176" s="456"/>
      <c r="AGT176" s="456"/>
      <c r="AGU176" s="456"/>
      <c r="AGV176" s="456"/>
      <c r="AGW176" s="456"/>
      <c r="AGX176" s="456"/>
      <c r="AGY176" s="456"/>
      <c r="AGZ176" s="456"/>
      <c r="AHA176" s="456"/>
      <c r="AHB176" s="456"/>
      <c r="AHC176" s="456"/>
      <c r="AHD176" s="456"/>
      <c r="AHE176" s="456"/>
      <c r="AHF176" s="456"/>
      <c r="AHG176" s="456"/>
      <c r="AHH176" s="456"/>
      <c r="AHI176" s="456"/>
      <c r="AHJ176" s="456"/>
      <c r="AHK176" s="456"/>
      <c r="AHL176" s="456"/>
      <c r="AHM176" s="456"/>
      <c r="AHN176" s="456"/>
      <c r="AHO176" s="456"/>
      <c r="AHP176" s="456"/>
      <c r="AHQ176" s="456"/>
      <c r="AHR176" s="456"/>
      <c r="AHS176" s="456"/>
      <c r="AHT176" s="456"/>
      <c r="AHU176" s="456"/>
      <c r="AHV176" s="456"/>
      <c r="AHW176" s="456"/>
      <c r="AHX176" s="456"/>
      <c r="AHY176" s="456"/>
      <c r="AHZ176" s="456"/>
      <c r="AIA176" s="456"/>
      <c r="AIB176" s="456"/>
      <c r="AIC176" s="456"/>
      <c r="AID176" s="456"/>
      <c r="AIE176" s="456"/>
      <c r="AIF176" s="456"/>
      <c r="AIG176" s="456"/>
      <c r="AIH176" s="456"/>
      <c r="AII176" s="456"/>
      <c r="AIJ176" s="456"/>
      <c r="AIK176" s="456"/>
      <c r="AIL176" s="456"/>
      <c r="AIM176" s="456"/>
      <c r="AIN176" s="456"/>
      <c r="AIO176" s="456"/>
      <c r="AIP176" s="456"/>
      <c r="AIQ176" s="456"/>
      <c r="AIR176" s="456"/>
      <c r="AIS176" s="456"/>
      <c r="AIT176" s="456"/>
      <c r="AIU176" s="456"/>
      <c r="AIV176" s="456"/>
      <c r="AIW176" s="456"/>
      <c r="AIX176" s="456"/>
      <c r="AIY176" s="456"/>
      <c r="AIZ176" s="456"/>
      <c r="AJA176" s="456"/>
      <c r="AJB176" s="456"/>
      <c r="AJC176" s="456"/>
      <c r="AJD176" s="456"/>
      <c r="AJE176" s="456"/>
      <c r="AJF176" s="456"/>
      <c r="AJG176" s="456"/>
      <c r="AJH176" s="456"/>
      <c r="AJI176" s="456"/>
      <c r="AJJ176" s="456"/>
      <c r="AJK176" s="456"/>
      <c r="AJL176" s="456"/>
      <c r="AJM176" s="456"/>
      <c r="AJN176" s="456"/>
      <c r="AJO176" s="456"/>
      <c r="AJP176" s="456"/>
      <c r="AJQ176" s="456"/>
      <c r="AJR176" s="456"/>
      <c r="AJS176" s="456"/>
      <c r="AJT176" s="456"/>
      <c r="AJU176" s="456"/>
      <c r="AJV176" s="456"/>
      <c r="AJW176" s="456"/>
      <c r="AJX176" s="456"/>
      <c r="AJY176" s="456"/>
      <c r="AJZ176" s="456"/>
      <c r="AKA176" s="456"/>
      <c r="AKB176" s="456"/>
      <c r="AKC176" s="456"/>
      <c r="AKD176" s="456"/>
      <c r="AKE176" s="456"/>
      <c r="AKF176" s="456"/>
      <c r="AKG176" s="456"/>
      <c r="AKH176" s="456"/>
      <c r="AKI176" s="456"/>
      <c r="AKJ176" s="456"/>
      <c r="AKK176" s="456"/>
      <c r="AKL176" s="456"/>
      <c r="AKM176" s="456"/>
      <c r="AKN176" s="456"/>
      <c r="AKO176" s="456"/>
      <c r="AKP176" s="456"/>
      <c r="AKQ176" s="456"/>
      <c r="AKR176" s="456"/>
      <c r="AKS176" s="456"/>
      <c r="AKT176" s="456"/>
      <c r="AKU176" s="456"/>
      <c r="AKV176" s="456"/>
      <c r="AKW176" s="456"/>
      <c r="AKX176" s="456"/>
      <c r="AKY176" s="456"/>
      <c r="AKZ176" s="456"/>
      <c r="ALA176" s="456"/>
      <c r="ALB176" s="456"/>
      <c r="ALC176" s="456"/>
      <c r="ALD176" s="456"/>
      <c r="ALE176" s="456"/>
      <c r="ALF176" s="456"/>
      <c r="ALG176" s="456"/>
      <c r="ALH176" s="456"/>
      <c r="ALI176" s="456"/>
      <c r="ALJ176" s="456"/>
      <c r="ALK176" s="456"/>
      <c r="ALL176" s="456"/>
      <c r="ALM176" s="456"/>
      <c r="ALN176" s="456"/>
      <c r="ALO176" s="456"/>
      <c r="ALP176" s="456"/>
      <c r="ALQ176" s="456"/>
      <c r="ALR176" s="456"/>
      <c r="ALS176" s="456"/>
      <c r="ALT176" s="456"/>
      <c r="ALU176" s="456"/>
      <c r="ALV176" s="456"/>
      <c r="ALW176" s="456"/>
      <c r="ALX176" s="456"/>
      <c r="ALY176" s="456"/>
      <c r="ALZ176" s="456"/>
      <c r="AMA176" s="456"/>
      <c r="AMB176" s="456"/>
      <c r="AMC176" s="456"/>
      <c r="AMD176" s="456"/>
      <c r="AME176" s="456"/>
      <c r="AMF176" s="456"/>
      <c r="AMG176" s="456"/>
      <c r="AMH176" s="456"/>
      <c r="AMI176" s="456"/>
      <c r="AMJ176" s="456"/>
      <c r="AMK176" s="456"/>
      <c r="AML176" s="456"/>
      <c r="AMM176" s="456"/>
      <c r="AMN176" s="456"/>
      <c r="AMO176" s="456"/>
      <c r="AMP176" s="456"/>
      <c r="AMQ176" s="456"/>
      <c r="AMR176" s="456"/>
      <c r="AMS176" s="456"/>
      <c r="AMT176" s="456"/>
      <c r="AMU176" s="456"/>
      <c r="AMV176" s="456"/>
      <c r="AMW176" s="456"/>
      <c r="AMX176" s="456"/>
      <c r="AMY176" s="456"/>
      <c r="AMZ176" s="456"/>
      <c r="ANA176" s="456"/>
      <c r="ANB176" s="456"/>
      <c r="ANC176" s="456"/>
      <c r="AND176" s="456"/>
      <c r="ANE176" s="456"/>
      <c r="ANF176" s="456"/>
      <c r="ANG176" s="456"/>
      <c r="ANH176" s="456"/>
      <c r="ANI176" s="456"/>
      <c r="ANJ176" s="456"/>
      <c r="ANK176" s="456"/>
      <c r="ANL176" s="456"/>
      <c r="ANM176" s="456"/>
      <c r="ANN176" s="456"/>
      <c r="ANO176" s="456"/>
      <c r="ANP176" s="456"/>
      <c r="ANQ176" s="456"/>
      <c r="ANR176" s="456"/>
      <c r="ANS176" s="456"/>
      <c r="ANT176" s="456"/>
      <c r="ANU176" s="456"/>
      <c r="ANV176" s="456"/>
      <c r="ANW176" s="456"/>
      <c r="ANX176" s="456"/>
      <c r="ANY176" s="456"/>
      <c r="ANZ176" s="456"/>
      <c r="AOA176" s="456"/>
      <c r="AOB176" s="456"/>
      <c r="AOC176" s="456"/>
      <c r="AOD176" s="456"/>
      <c r="AOE176" s="456"/>
      <c r="AOF176" s="456"/>
      <c r="AOG176" s="456"/>
      <c r="AOH176" s="456"/>
      <c r="AOI176" s="456"/>
      <c r="AOJ176" s="456"/>
      <c r="AOK176" s="456"/>
      <c r="AOL176" s="456"/>
      <c r="AOM176" s="456"/>
      <c r="AON176" s="456"/>
      <c r="AOO176" s="456"/>
      <c r="AOP176" s="456"/>
      <c r="AOQ176" s="456"/>
      <c r="AOR176" s="456"/>
      <c r="AOS176" s="456"/>
      <c r="AOT176" s="456"/>
      <c r="AOU176" s="456"/>
      <c r="AOV176" s="456"/>
      <c r="AOW176" s="456"/>
      <c r="AOX176" s="456"/>
      <c r="AOY176" s="456"/>
      <c r="AOZ176" s="456"/>
      <c r="APA176" s="456"/>
      <c r="APB176" s="456"/>
      <c r="APC176" s="456"/>
      <c r="APD176" s="456"/>
      <c r="APE176" s="456"/>
      <c r="APF176" s="456"/>
      <c r="APG176" s="456"/>
      <c r="APH176" s="456"/>
      <c r="API176" s="456"/>
      <c r="APJ176" s="456"/>
      <c r="APK176" s="456"/>
      <c r="APL176" s="456"/>
      <c r="APM176" s="456"/>
      <c r="APN176" s="456"/>
      <c r="APO176" s="456"/>
      <c r="APP176" s="456"/>
      <c r="APQ176" s="456"/>
      <c r="APR176" s="456"/>
      <c r="APS176" s="456"/>
      <c r="APT176" s="456"/>
      <c r="APU176" s="456"/>
      <c r="APV176" s="456"/>
      <c r="APW176" s="456"/>
      <c r="APX176" s="456"/>
      <c r="APY176" s="456"/>
      <c r="APZ176" s="456"/>
      <c r="AQA176" s="456"/>
      <c r="AQB176" s="456"/>
      <c r="AQC176" s="456"/>
      <c r="AQD176" s="456"/>
      <c r="AQE176" s="456"/>
      <c r="AQF176" s="456"/>
      <c r="AQG176" s="456"/>
      <c r="AQH176" s="456"/>
      <c r="AQI176" s="456"/>
      <c r="AQJ176" s="456"/>
      <c r="AQK176" s="456"/>
      <c r="AQL176" s="456"/>
      <c r="AQM176" s="456"/>
      <c r="AQN176" s="456"/>
      <c r="AQO176" s="456"/>
      <c r="AQP176" s="456"/>
      <c r="AQQ176" s="456"/>
      <c r="AQR176" s="456"/>
      <c r="AQS176" s="456"/>
      <c r="AQT176" s="456"/>
      <c r="AQU176" s="456"/>
      <c r="AQV176" s="456"/>
      <c r="AQW176" s="456"/>
      <c r="AQX176" s="456"/>
      <c r="AQY176" s="456"/>
      <c r="AQZ176" s="456"/>
      <c r="ARA176" s="456"/>
      <c r="ARB176" s="456"/>
      <c r="ARC176" s="456"/>
      <c r="ARD176" s="456"/>
      <c r="ARE176" s="456"/>
      <c r="ARF176" s="456"/>
      <c r="ARG176" s="456"/>
      <c r="ARH176" s="456"/>
      <c r="ARI176" s="456"/>
      <c r="ARJ176" s="456"/>
      <c r="ARK176" s="456"/>
      <c r="ARL176" s="456"/>
      <c r="ARM176" s="456"/>
      <c r="ARN176" s="456"/>
      <c r="ARO176" s="456"/>
      <c r="ARP176" s="456"/>
      <c r="ARQ176" s="456"/>
      <c r="ARR176" s="456"/>
      <c r="ARS176" s="456"/>
      <c r="ART176" s="456"/>
      <c r="ARU176" s="456"/>
      <c r="ARV176" s="456"/>
      <c r="ARW176" s="456"/>
      <c r="ARX176" s="456"/>
      <c r="ARY176" s="456"/>
      <c r="ARZ176" s="456"/>
      <c r="ASA176" s="456"/>
      <c r="ASB176" s="456"/>
      <c r="ASC176" s="456"/>
      <c r="ASD176" s="456"/>
      <c r="ASE176" s="456"/>
      <c r="ASF176" s="456"/>
      <c r="ASG176" s="456"/>
      <c r="ASH176" s="456"/>
      <c r="ASI176" s="456"/>
      <c r="ASJ176" s="456"/>
      <c r="ASK176" s="456"/>
      <c r="ASL176" s="456"/>
      <c r="ASM176" s="456"/>
      <c r="ASN176" s="456"/>
      <c r="ASO176" s="456"/>
      <c r="ASP176" s="456"/>
      <c r="ASQ176" s="456"/>
      <c r="ASR176" s="456"/>
      <c r="ASS176" s="456"/>
      <c r="AST176" s="456"/>
      <c r="ASU176" s="456"/>
      <c r="ASV176" s="456"/>
      <c r="ASW176" s="456"/>
      <c r="ASX176" s="456"/>
      <c r="ASY176" s="456"/>
      <c r="ASZ176" s="456"/>
      <c r="ATA176" s="456"/>
      <c r="ATB176" s="456"/>
      <c r="ATC176" s="456"/>
      <c r="ATD176" s="456"/>
      <c r="ATE176" s="456"/>
      <c r="ATF176" s="456"/>
      <c r="ATG176" s="456"/>
      <c r="ATH176" s="456"/>
      <c r="ATI176" s="456"/>
      <c r="ATJ176" s="456"/>
      <c r="ATK176" s="456"/>
      <c r="ATL176" s="456"/>
      <c r="ATM176" s="456"/>
      <c r="ATN176" s="456"/>
      <c r="ATO176" s="456"/>
      <c r="ATP176" s="456"/>
      <c r="ATQ176" s="456"/>
      <c r="ATR176" s="456"/>
      <c r="ATS176" s="456"/>
      <c r="ATT176" s="456"/>
      <c r="ATU176" s="456"/>
      <c r="ATV176" s="456"/>
      <c r="ATW176" s="456"/>
      <c r="ATX176" s="456"/>
      <c r="ATY176" s="456"/>
      <c r="ATZ176" s="456"/>
      <c r="AUA176" s="456"/>
      <c r="AUB176" s="456"/>
      <c r="AUC176" s="456"/>
      <c r="AUD176" s="456"/>
      <c r="AUE176" s="456"/>
      <c r="AUF176" s="456"/>
      <c r="AUG176" s="456"/>
      <c r="AUH176" s="456"/>
      <c r="AUI176" s="456"/>
      <c r="AUJ176" s="456"/>
      <c r="AUK176" s="456"/>
      <c r="AUL176" s="456"/>
      <c r="AUM176" s="456"/>
      <c r="AUN176" s="456"/>
      <c r="AUO176" s="456"/>
      <c r="AUP176" s="456"/>
      <c r="AUQ176" s="456"/>
      <c r="AUR176" s="456"/>
      <c r="AUS176" s="456"/>
      <c r="AUT176" s="456"/>
      <c r="AUU176" s="456"/>
      <c r="AUV176" s="456"/>
      <c r="AUW176" s="456"/>
      <c r="AUX176" s="456"/>
      <c r="AUY176" s="456"/>
      <c r="AUZ176" s="456"/>
      <c r="AVA176" s="456"/>
      <c r="AVB176" s="456"/>
      <c r="AVC176" s="456"/>
      <c r="AVD176" s="456"/>
      <c r="AVE176" s="456"/>
      <c r="AVF176" s="456"/>
      <c r="AVG176" s="456"/>
      <c r="AVH176" s="456"/>
      <c r="AVI176" s="456"/>
      <c r="AVJ176" s="456"/>
      <c r="AVK176" s="456"/>
      <c r="AVL176" s="456"/>
      <c r="AVM176" s="456"/>
      <c r="AVN176" s="456"/>
      <c r="AVO176" s="456"/>
      <c r="AVP176" s="456"/>
      <c r="AVQ176" s="456"/>
      <c r="AVR176" s="456"/>
      <c r="AVS176" s="456"/>
      <c r="AVT176" s="456"/>
      <c r="AVU176" s="456"/>
      <c r="AVV176" s="456"/>
      <c r="AVW176" s="456"/>
      <c r="AVX176" s="456"/>
      <c r="AVY176" s="456"/>
      <c r="AVZ176" s="456"/>
      <c r="AWA176" s="456"/>
      <c r="AWB176" s="456"/>
      <c r="AWC176" s="456"/>
      <c r="AWD176" s="456"/>
      <c r="AWE176" s="456"/>
      <c r="AWF176" s="456"/>
      <c r="AWG176" s="456"/>
      <c r="AWH176" s="456"/>
      <c r="AWI176" s="456"/>
      <c r="AWJ176" s="456"/>
      <c r="AWK176" s="456"/>
      <c r="AWL176" s="456"/>
      <c r="AWM176" s="456"/>
      <c r="AWN176" s="456"/>
      <c r="AWO176" s="456"/>
      <c r="AWP176" s="456"/>
      <c r="AWQ176" s="456"/>
      <c r="AWR176" s="456"/>
      <c r="AWS176" s="456"/>
      <c r="AWT176" s="456"/>
      <c r="AWU176" s="456"/>
      <c r="AWV176" s="456"/>
      <c r="AWW176" s="456"/>
      <c r="AWX176" s="456"/>
      <c r="AWY176" s="456"/>
      <c r="AWZ176" s="456"/>
      <c r="AXA176" s="456"/>
      <c r="AXB176" s="456"/>
      <c r="AXC176" s="456"/>
      <c r="AXD176" s="456"/>
      <c r="AXE176" s="456"/>
      <c r="AXF176" s="456"/>
      <c r="AXG176" s="456"/>
      <c r="AXH176" s="456"/>
      <c r="AXI176" s="456"/>
      <c r="AXJ176" s="456"/>
      <c r="AXK176" s="456"/>
      <c r="AXL176" s="456"/>
      <c r="AXM176" s="456"/>
      <c r="AXN176" s="456"/>
      <c r="AXO176" s="456"/>
      <c r="AXP176" s="456"/>
      <c r="AXQ176" s="456"/>
      <c r="AXR176" s="456"/>
      <c r="AXS176" s="456"/>
      <c r="AXT176" s="456"/>
      <c r="AXU176" s="456"/>
      <c r="AXV176" s="456"/>
      <c r="AXW176" s="456"/>
      <c r="AXX176" s="456"/>
      <c r="AXY176" s="456"/>
      <c r="AXZ176" s="456"/>
      <c r="AYA176" s="456"/>
      <c r="AYB176" s="456"/>
      <c r="AYC176" s="456"/>
      <c r="AYD176" s="456"/>
      <c r="AYE176" s="456"/>
      <c r="AYF176" s="456"/>
      <c r="AYG176" s="456"/>
      <c r="AYH176" s="456"/>
      <c r="AYI176" s="456"/>
      <c r="AYJ176" s="456"/>
      <c r="AYK176" s="456"/>
      <c r="AYL176" s="456"/>
      <c r="AYM176" s="456"/>
      <c r="AYN176" s="456"/>
      <c r="AYO176" s="456"/>
      <c r="AYP176" s="456"/>
      <c r="AYQ176" s="456"/>
      <c r="AYR176" s="456"/>
      <c r="AYS176" s="456"/>
      <c r="AYT176" s="456"/>
      <c r="AYU176" s="456"/>
      <c r="AYV176" s="456"/>
      <c r="AYW176" s="456"/>
      <c r="AYX176" s="456"/>
      <c r="AYY176" s="456"/>
      <c r="AYZ176" s="456"/>
      <c r="AZA176" s="456"/>
      <c r="AZB176" s="456"/>
      <c r="AZC176" s="456"/>
      <c r="AZD176" s="456"/>
      <c r="AZE176" s="456"/>
      <c r="AZF176" s="456"/>
      <c r="AZG176" s="456"/>
      <c r="AZH176" s="456"/>
      <c r="AZI176" s="456"/>
      <c r="AZJ176" s="456"/>
      <c r="AZK176" s="456"/>
      <c r="AZL176" s="456"/>
      <c r="AZM176" s="456"/>
      <c r="AZN176" s="456"/>
      <c r="AZO176" s="456"/>
      <c r="AZP176" s="456"/>
      <c r="AZQ176" s="456"/>
      <c r="AZR176" s="456"/>
      <c r="AZS176" s="456"/>
      <c r="AZT176" s="456"/>
      <c r="AZU176" s="456"/>
      <c r="AZV176" s="456"/>
      <c r="AZW176" s="456"/>
      <c r="AZX176" s="456"/>
      <c r="AZY176" s="456"/>
      <c r="AZZ176" s="456"/>
      <c r="BAA176" s="456"/>
      <c r="BAB176" s="456"/>
      <c r="BAC176" s="456"/>
      <c r="BAD176" s="456"/>
      <c r="BAE176" s="456"/>
      <c r="BAF176" s="456"/>
      <c r="BAG176" s="456"/>
      <c r="BAH176" s="456"/>
      <c r="BAI176" s="456"/>
      <c r="BAJ176" s="456"/>
      <c r="BAK176" s="456"/>
      <c r="BAL176" s="456"/>
      <c r="BAM176" s="456"/>
      <c r="BAN176" s="456"/>
      <c r="BAO176" s="456"/>
      <c r="BAP176" s="456"/>
      <c r="BAQ176" s="456"/>
      <c r="BAR176" s="456"/>
      <c r="BAS176" s="456"/>
      <c r="BAT176" s="456"/>
      <c r="BAU176" s="456"/>
      <c r="BAV176" s="456"/>
      <c r="BAW176" s="456"/>
      <c r="BAX176" s="456"/>
      <c r="BAY176" s="456"/>
      <c r="BAZ176" s="456"/>
      <c r="BBA176" s="456"/>
      <c r="BBB176" s="456"/>
      <c r="BBC176" s="456"/>
      <c r="BBD176" s="456"/>
      <c r="BBE176" s="456"/>
      <c r="BBF176" s="456"/>
      <c r="BBG176" s="456"/>
      <c r="BBH176" s="456"/>
      <c r="BBI176" s="456"/>
      <c r="BBJ176" s="456"/>
      <c r="BBK176" s="456"/>
      <c r="BBL176" s="456"/>
      <c r="BBM176" s="456"/>
      <c r="BBN176" s="456"/>
      <c r="BBO176" s="456"/>
      <c r="BBP176" s="456"/>
      <c r="BBQ176" s="456"/>
      <c r="BBR176" s="456"/>
      <c r="BBS176" s="456"/>
      <c r="BBT176" s="456"/>
      <c r="BBU176" s="456"/>
      <c r="BBV176" s="456"/>
      <c r="BBW176" s="456"/>
      <c r="BBX176" s="456"/>
      <c r="BBY176" s="456"/>
      <c r="BBZ176" s="456"/>
      <c r="BCA176" s="456"/>
      <c r="BCB176" s="456"/>
      <c r="BCC176" s="456"/>
      <c r="BCD176" s="456"/>
      <c r="BCE176" s="456"/>
      <c r="BCF176" s="456"/>
      <c r="BCG176" s="456"/>
      <c r="BCH176" s="456"/>
      <c r="BCI176" s="456"/>
      <c r="BCJ176" s="456"/>
      <c r="BCK176" s="456"/>
      <c r="BCL176" s="456"/>
      <c r="BCM176" s="456"/>
      <c r="BCN176" s="456"/>
      <c r="BCO176" s="456"/>
      <c r="BCP176" s="456"/>
      <c r="BCQ176" s="456"/>
      <c r="BCR176" s="456"/>
      <c r="BCS176" s="456"/>
      <c r="BCT176" s="456"/>
      <c r="BCU176" s="456"/>
      <c r="BCV176" s="456"/>
      <c r="BCW176" s="456"/>
      <c r="BCX176" s="456"/>
      <c r="BCY176" s="456"/>
      <c r="BCZ176" s="456"/>
      <c r="BDA176" s="456"/>
      <c r="BDB176" s="456"/>
      <c r="BDC176" s="456"/>
      <c r="BDD176" s="456"/>
      <c r="BDE176" s="456"/>
      <c r="BDF176" s="456"/>
      <c r="BDG176" s="456"/>
      <c r="BDH176" s="456"/>
      <c r="BDI176" s="456"/>
      <c r="BDJ176" s="456"/>
      <c r="BDK176" s="456"/>
      <c r="BDL176" s="456"/>
      <c r="BDM176" s="456"/>
      <c r="BDN176" s="456"/>
      <c r="BDO176" s="456"/>
      <c r="BDP176" s="456"/>
      <c r="BDQ176" s="456"/>
      <c r="BDR176" s="456"/>
      <c r="BDS176" s="456"/>
      <c r="BDT176" s="456"/>
      <c r="BDU176" s="456"/>
      <c r="BDV176" s="456"/>
      <c r="BDW176" s="456"/>
      <c r="BDX176" s="456"/>
      <c r="BDY176" s="456"/>
      <c r="BDZ176" s="456"/>
      <c r="BEA176" s="456"/>
      <c r="BEB176" s="456"/>
      <c r="BEC176" s="456"/>
      <c r="BED176" s="456"/>
      <c r="BEE176" s="456"/>
      <c r="BEF176" s="456"/>
      <c r="BEG176" s="456"/>
      <c r="BEH176" s="456"/>
      <c r="BEI176" s="456"/>
      <c r="BEJ176" s="456"/>
      <c r="BEK176" s="456"/>
      <c r="BEL176" s="456"/>
      <c r="BEM176" s="456"/>
      <c r="BEN176" s="456"/>
      <c r="BEO176" s="456"/>
      <c r="BEP176" s="456"/>
      <c r="BEQ176" s="456"/>
      <c r="BER176" s="456"/>
      <c r="BES176" s="456"/>
      <c r="BET176" s="456"/>
      <c r="BEU176" s="456"/>
      <c r="BEV176" s="456"/>
      <c r="BEW176" s="456"/>
      <c r="BEX176" s="456"/>
      <c r="BEY176" s="456"/>
      <c r="BEZ176" s="456"/>
      <c r="BFA176" s="456"/>
      <c r="BFB176" s="456"/>
      <c r="BFC176" s="456"/>
      <c r="BFD176" s="456"/>
      <c r="BFE176" s="456"/>
      <c r="BFF176" s="456"/>
      <c r="BFG176" s="456"/>
      <c r="BFH176" s="456"/>
      <c r="BFI176" s="456"/>
      <c r="BFJ176" s="456"/>
      <c r="BFK176" s="456"/>
      <c r="BFL176" s="456"/>
      <c r="BFM176" s="456"/>
      <c r="BFN176" s="456"/>
      <c r="BFO176" s="456"/>
      <c r="BFP176" s="456"/>
      <c r="BFQ176" s="456"/>
      <c r="BFR176" s="456"/>
      <c r="BFS176" s="456"/>
      <c r="BFT176" s="456"/>
      <c r="BFU176" s="456"/>
      <c r="BFV176" s="456"/>
      <c r="BFW176" s="456"/>
      <c r="BFX176" s="456"/>
      <c r="BFY176" s="456"/>
      <c r="BFZ176" s="456"/>
      <c r="BGA176" s="456"/>
      <c r="BGB176" s="456"/>
      <c r="BGC176" s="456"/>
      <c r="BGD176" s="456"/>
      <c r="BGE176" s="456"/>
      <c r="BGF176" s="456"/>
      <c r="BGG176" s="456"/>
      <c r="BGH176" s="456"/>
      <c r="BGI176" s="456"/>
      <c r="BGJ176" s="456"/>
      <c r="BGK176" s="456"/>
      <c r="BGL176" s="456"/>
      <c r="BGM176" s="456"/>
      <c r="BGN176" s="456"/>
      <c r="BGO176" s="456"/>
      <c r="BGP176" s="456"/>
      <c r="BGQ176" s="456"/>
      <c r="BGR176" s="456"/>
      <c r="BGS176" s="456"/>
      <c r="BGT176" s="456"/>
      <c r="BGU176" s="456"/>
      <c r="BGV176" s="456"/>
      <c r="BGW176" s="456"/>
      <c r="BGX176" s="456"/>
      <c r="BGY176" s="456"/>
      <c r="BGZ176" s="456"/>
      <c r="BHA176" s="456"/>
      <c r="BHB176" s="456"/>
      <c r="BHC176" s="456"/>
      <c r="BHD176" s="456"/>
      <c r="BHE176" s="456"/>
      <c r="BHF176" s="456"/>
      <c r="BHG176" s="456"/>
      <c r="BHH176" s="456"/>
      <c r="BHI176" s="456"/>
      <c r="BHJ176" s="456"/>
      <c r="BHK176" s="456"/>
      <c r="BHL176" s="456"/>
      <c r="BHM176" s="456"/>
      <c r="BHN176" s="456"/>
      <c r="BHO176" s="456"/>
      <c r="BHP176" s="456"/>
      <c r="BHQ176" s="456"/>
      <c r="BHR176" s="456"/>
      <c r="BHS176" s="456"/>
      <c r="BHT176" s="456"/>
      <c r="BHU176" s="456"/>
      <c r="BHV176" s="456"/>
      <c r="BHW176" s="456"/>
      <c r="BHX176" s="456"/>
      <c r="BHY176" s="456"/>
      <c r="BHZ176" s="456"/>
      <c r="BIA176" s="456"/>
      <c r="BIB176" s="456"/>
      <c r="BIC176" s="456"/>
      <c r="BID176" s="456"/>
      <c r="BIE176" s="456"/>
      <c r="BIF176" s="456"/>
      <c r="BIG176" s="456"/>
      <c r="BIH176" s="456"/>
      <c r="BII176" s="456"/>
      <c r="BIJ176" s="456"/>
      <c r="BIK176" s="456"/>
      <c r="BIL176" s="456"/>
      <c r="BIM176" s="456"/>
      <c r="BIN176" s="456"/>
      <c r="BIO176" s="456"/>
      <c r="BIP176" s="456"/>
      <c r="BIQ176" s="456"/>
      <c r="BIR176" s="456"/>
      <c r="BIS176" s="456"/>
      <c r="BIT176" s="456"/>
      <c r="BIU176" s="456"/>
      <c r="BIV176" s="456"/>
      <c r="BIW176" s="456"/>
      <c r="BIX176" s="456"/>
      <c r="BIY176" s="456"/>
      <c r="BIZ176" s="456"/>
      <c r="BJA176" s="456"/>
      <c r="BJB176" s="456"/>
      <c r="BJC176" s="456"/>
      <c r="BJD176" s="456"/>
      <c r="BJE176" s="456"/>
      <c r="BJF176" s="456"/>
      <c r="BJG176" s="456"/>
      <c r="BJH176" s="456"/>
      <c r="BJI176" s="456"/>
      <c r="BJJ176" s="456"/>
      <c r="BJK176" s="456"/>
      <c r="BJL176" s="456"/>
      <c r="BJM176" s="456"/>
      <c r="BJN176" s="456"/>
      <c r="BJO176" s="456"/>
      <c r="BJP176" s="456"/>
      <c r="BJQ176" s="456"/>
      <c r="BJR176" s="456"/>
      <c r="BJS176" s="456"/>
      <c r="BJT176" s="456"/>
      <c r="BJU176" s="456"/>
      <c r="BJV176" s="456"/>
      <c r="BJW176" s="456"/>
      <c r="BJX176" s="456"/>
      <c r="BJY176" s="456"/>
      <c r="BJZ176" s="456"/>
      <c r="BKA176" s="456"/>
      <c r="BKB176" s="456"/>
      <c r="BKC176" s="456"/>
      <c r="BKD176" s="456"/>
      <c r="BKE176" s="456"/>
      <c r="BKF176" s="456"/>
      <c r="BKG176" s="456"/>
      <c r="BKH176" s="456"/>
      <c r="BKI176" s="456"/>
      <c r="BKJ176" s="456"/>
      <c r="BKK176" s="456"/>
      <c r="BKL176" s="456"/>
      <c r="BKM176" s="456"/>
      <c r="BKN176" s="456"/>
      <c r="BKO176" s="456"/>
      <c r="BKP176" s="456"/>
      <c r="BKQ176" s="456"/>
      <c r="BKR176" s="456"/>
      <c r="BKS176" s="456"/>
      <c r="BKT176" s="456"/>
      <c r="BKU176" s="456"/>
      <c r="BKV176" s="456"/>
      <c r="BKW176" s="456"/>
      <c r="BKX176" s="456"/>
      <c r="BKY176" s="456"/>
      <c r="BKZ176" s="456"/>
      <c r="BLA176" s="456"/>
      <c r="BLB176" s="456"/>
      <c r="BLC176" s="456"/>
      <c r="BLD176" s="456"/>
      <c r="BLE176" s="456"/>
      <c r="BLF176" s="456"/>
      <c r="BLG176" s="456"/>
      <c r="BLH176" s="456"/>
      <c r="BLI176" s="456"/>
      <c r="BLJ176" s="456"/>
      <c r="BLK176" s="456"/>
      <c r="BLL176" s="456"/>
      <c r="BLM176" s="456"/>
      <c r="BLN176" s="456"/>
      <c r="BLO176" s="456"/>
      <c r="BLP176" s="456"/>
      <c r="BLQ176" s="456"/>
      <c r="BLR176" s="456"/>
      <c r="BLS176" s="456"/>
      <c r="BLT176" s="456"/>
      <c r="BLU176" s="456"/>
      <c r="BLV176" s="456"/>
      <c r="BLW176" s="456"/>
      <c r="BLX176" s="456"/>
      <c r="BLY176" s="456"/>
      <c r="BLZ176" s="456"/>
      <c r="BMA176" s="456"/>
      <c r="BMB176" s="456"/>
      <c r="BMC176" s="456"/>
      <c r="BMD176" s="456"/>
      <c r="BME176" s="456"/>
      <c r="BMF176" s="456"/>
      <c r="BMG176" s="456"/>
      <c r="BMH176" s="456"/>
      <c r="BMI176" s="456"/>
      <c r="BMJ176" s="456"/>
      <c r="BMK176" s="456"/>
      <c r="BML176" s="456"/>
      <c r="BMM176" s="456"/>
      <c r="BMN176" s="456"/>
      <c r="BMO176" s="456"/>
      <c r="BMP176" s="456"/>
      <c r="BMQ176" s="456"/>
      <c r="BMR176" s="456"/>
      <c r="BMS176" s="456"/>
      <c r="BMT176" s="456"/>
      <c r="BMU176" s="456"/>
      <c r="BMV176" s="456"/>
      <c r="BMW176" s="456"/>
      <c r="BMX176" s="456"/>
      <c r="BMY176" s="456"/>
      <c r="BMZ176" s="456"/>
      <c r="BNA176" s="456"/>
      <c r="BNB176" s="456"/>
      <c r="BNC176" s="456"/>
      <c r="BND176" s="456"/>
      <c r="BNE176" s="456"/>
      <c r="BNF176" s="456"/>
      <c r="BNG176" s="456"/>
      <c r="BNH176" s="456"/>
      <c r="BNI176" s="456"/>
      <c r="BNJ176" s="456"/>
      <c r="BNK176" s="456"/>
      <c r="BNL176" s="456"/>
      <c r="BNM176" s="456"/>
      <c r="BNN176" s="456"/>
      <c r="BNO176" s="456"/>
      <c r="BNP176" s="456"/>
      <c r="BNQ176" s="456"/>
      <c r="BNR176" s="456"/>
      <c r="BNS176" s="456"/>
      <c r="BNT176" s="456"/>
      <c r="BNU176" s="456"/>
      <c r="BNV176" s="456"/>
      <c r="BNW176" s="456"/>
      <c r="BNX176" s="456"/>
      <c r="BNY176" s="456"/>
      <c r="BNZ176" s="456"/>
      <c r="BOA176" s="456"/>
      <c r="BOB176" s="456"/>
      <c r="BOC176" s="456"/>
      <c r="BOD176" s="456"/>
      <c r="BOE176" s="456"/>
      <c r="BOF176" s="456"/>
      <c r="BOG176" s="456"/>
      <c r="BOH176" s="456"/>
      <c r="BOI176" s="456"/>
      <c r="BOJ176" s="456"/>
      <c r="BOK176" s="456"/>
      <c r="BOL176" s="456"/>
      <c r="BOM176" s="456"/>
      <c r="BON176" s="456"/>
      <c r="BOO176" s="456"/>
      <c r="BOP176" s="456"/>
      <c r="BOQ176" s="456"/>
      <c r="BOR176" s="456"/>
      <c r="BOS176" s="456"/>
      <c r="BOT176" s="456"/>
      <c r="BOU176" s="456"/>
      <c r="BOV176" s="456"/>
      <c r="BOW176" s="456"/>
      <c r="BOX176" s="456"/>
      <c r="BOY176" s="456"/>
      <c r="BOZ176" s="456"/>
      <c r="BPA176" s="456"/>
      <c r="BPB176" s="456"/>
      <c r="BPC176" s="456"/>
      <c r="BPD176" s="456"/>
      <c r="BPE176" s="456"/>
      <c r="BPF176" s="456"/>
      <c r="BPG176" s="456"/>
      <c r="BPH176" s="456"/>
      <c r="BPI176" s="456"/>
      <c r="BPJ176" s="456"/>
      <c r="BPK176" s="456"/>
      <c r="BPL176" s="456"/>
      <c r="BPM176" s="456"/>
      <c r="BPN176" s="456"/>
      <c r="BPO176" s="456"/>
      <c r="BPP176" s="456"/>
      <c r="BPQ176" s="456"/>
      <c r="BPR176" s="456"/>
      <c r="BPS176" s="456"/>
      <c r="BPT176" s="456"/>
      <c r="BPU176" s="456"/>
      <c r="BPV176" s="456"/>
      <c r="BPW176" s="456"/>
      <c r="BPX176" s="456"/>
      <c r="BPY176" s="456"/>
      <c r="BPZ176" s="456"/>
      <c r="BQA176" s="456"/>
      <c r="BQB176" s="456"/>
      <c r="BQC176" s="456"/>
      <c r="BQD176" s="456"/>
      <c r="BQE176" s="456"/>
      <c r="BQF176" s="456"/>
      <c r="BQG176" s="456"/>
      <c r="BQH176" s="456"/>
      <c r="BQI176" s="456"/>
      <c r="BQJ176" s="456"/>
      <c r="BQK176" s="456"/>
      <c r="BQL176" s="456"/>
      <c r="BQM176" s="456"/>
      <c r="BQN176" s="456"/>
      <c r="BQO176" s="456"/>
      <c r="BQP176" s="456"/>
      <c r="BQQ176" s="456"/>
      <c r="BQR176" s="456"/>
      <c r="BQS176" s="456"/>
      <c r="BQT176" s="456"/>
      <c r="BQU176" s="456"/>
      <c r="BQV176" s="456"/>
      <c r="BQW176" s="456"/>
      <c r="BQX176" s="456"/>
      <c r="BQY176" s="456"/>
      <c r="BQZ176" s="456"/>
      <c r="BRA176" s="456"/>
      <c r="BRB176" s="456"/>
      <c r="BRC176" s="456"/>
      <c r="BRD176" s="456"/>
      <c r="BRE176" s="456"/>
      <c r="BRF176" s="456"/>
      <c r="BRG176" s="456"/>
      <c r="BRH176" s="456"/>
      <c r="BRI176" s="456"/>
      <c r="BRJ176" s="456"/>
      <c r="BRK176" s="456"/>
      <c r="BRL176" s="456"/>
      <c r="BRM176" s="456"/>
      <c r="BRN176" s="456"/>
      <c r="BRO176" s="456"/>
      <c r="BRP176" s="456"/>
      <c r="BRQ176" s="456"/>
      <c r="BRR176" s="456"/>
      <c r="BRS176" s="456"/>
      <c r="BRT176" s="456"/>
      <c r="BRU176" s="456"/>
      <c r="BRV176" s="456"/>
      <c r="BRW176" s="456"/>
      <c r="BRX176" s="456"/>
      <c r="BRY176" s="456"/>
      <c r="BRZ176" s="456"/>
      <c r="BSA176" s="456"/>
      <c r="BSB176" s="456"/>
      <c r="BSC176" s="456"/>
      <c r="BSD176" s="456"/>
      <c r="BSE176" s="456"/>
      <c r="BSF176" s="456"/>
      <c r="BSG176" s="456"/>
      <c r="BSH176" s="456"/>
      <c r="BSI176" s="456"/>
      <c r="BSJ176" s="456"/>
      <c r="BSK176" s="456"/>
      <c r="BSL176" s="456"/>
      <c r="BSM176" s="456"/>
      <c r="BSN176" s="456"/>
      <c r="BSO176" s="456"/>
      <c r="BSP176" s="456"/>
      <c r="BSQ176" s="456"/>
      <c r="BSR176" s="456"/>
      <c r="BSS176" s="456"/>
      <c r="BST176" s="456"/>
      <c r="BSU176" s="456"/>
      <c r="BSV176" s="456"/>
      <c r="BSW176" s="456"/>
      <c r="BSX176" s="456"/>
      <c r="BSY176" s="456"/>
      <c r="BSZ176" s="456"/>
      <c r="BTA176" s="456"/>
      <c r="BTB176" s="456"/>
      <c r="BTC176" s="456"/>
      <c r="BTD176" s="456"/>
      <c r="BTE176" s="456"/>
      <c r="BTF176" s="456"/>
      <c r="BTG176" s="456"/>
      <c r="BTH176" s="456"/>
      <c r="BTI176" s="456"/>
      <c r="BTJ176" s="456"/>
      <c r="BTK176" s="456"/>
      <c r="BTL176" s="456"/>
      <c r="BTM176" s="456"/>
      <c r="BTN176" s="456"/>
      <c r="BTO176" s="456"/>
      <c r="BTP176" s="456"/>
      <c r="BTQ176" s="456"/>
      <c r="BTR176" s="456"/>
      <c r="BTS176" s="456"/>
      <c r="BTT176" s="456"/>
      <c r="BTU176" s="456"/>
      <c r="BTV176" s="456"/>
      <c r="BTW176" s="456"/>
      <c r="BTX176" s="456"/>
      <c r="BTY176" s="456"/>
      <c r="BTZ176" s="456"/>
      <c r="BUA176" s="456"/>
      <c r="BUB176" s="456"/>
      <c r="BUC176" s="456"/>
      <c r="BUD176" s="456"/>
      <c r="BUE176" s="456"/>
      <c r="BUF176" s="456"/>
      <c r="BUG176" s="456"/>
      <c r="BUH176" s="456"/>
      <c r="BUI176" s="456"/>
      <c r="BUJ176" s="456"/>
      <c r="BUK176" s="456"/>
      <c r="BUL176" s="456"/>
      <c r="BUM176" s="456"/>
      <c r="BUN176" s="456"/>
      <c r="BUO176" s="456"/>
      <c r="BUP176" s="456"/>
      <c r="BUQ176" s="456"/>
      <c r="BUR176" s="456"/>
      <c r="BUS176" s="456"/>
      <c r="BUT176" s="456"/>
      <c r="BUU176" s="456"/>
      <c r="BUV176" s="456"/>
      <c r="BUW176" s="456"/>
      <c r="BUX176" s="456"/>
      <c r="BUY176" s="456"/>
      <c r="BUZ176" s="456"/>
      <c r="BVA176" s="456"/>
      <c r="BVB176" s="456"/>
      <c r="BVC176" s="456"/>
      <c r="BVD176" s="456"/>
      <c r="BVE176" s="456"/>
      <c r="BVF176" s="456"/>
      <c r="BVG176" s="456"/>
      <c r="BVH176" s="456"/>
      <c r="BVI176" s="456"/>
      <c r="BVJ176" s="456"/>
      <c r="BVK176" s="456"/>
      <c r="BVL176" s="456"/>
      <c r="BVM176" s="456"/>
      <c r="BVN176" s="456"/>
      <c r="BVO176" s="456"/>
      <c r="BVP176" s="456"/>
      <c r="BVQ176" s="456"/>
      <c r="BVR176" s="456"/>
      <c r="BVS176" s="456"/>
      <c r="BVT176" s="456"/>
      <c r="BVU176" s="456"/>
      <c r="BVV176" s="456"/>
      <c r="BVW176" s="456"/>
      <c r="BVX176" s="456"/>
      <c r="BVY176" s="456"/>
      <c r="BVZ176" s="456"/>
      <c r="BWA176" s="456"/>
      <c r="BWB176" s="456"/>
      <c r="BWC176" s="456"/>
      <c r="BWD176" s="456"/>
      <c r="BWE176" s="456"/>
      <c r="BWF176" s="456"/>
      <c r="BWG176" s="456"/>
      <c r="BWH176" s="456"/>
      <c r="BWI176" s="456"/>
      <c r="BWJ176" s="456"/>
      <c r="BWK176" s="456"/>
      <c r="BWL176" s="456"/>
      <c r="BWM176" s="456"/>
      <c r="BWN176" s="456"/>
      <c r="BWO176" s="456"/>
      <c r="BWP176" s="456"/>
      <c r="BWQ176" s="456"/>
      <c r="BWR176" s="456"/>
      <c r="BWS176" s="456"/>
      <c r="BWT176" s="456"/>
      <c r="BWU176" s="456"/>
      <c r="BWV176" s="456"/>
      <c r="BWW176" s="456"/>
      <c r="BWX176" s="456"/>
      <c r="BWY176" s="456"/>
      <c r="BWZ176" s="456"/>
      <c r="BXA176" s="456"/>
      <c r="BXB176" s="456"/>
      <c r="BXC176" s="456"/>
      <c r="BXD176" s="456"/>
      <c r="BXE176" s="456"/>
      <c r="BXF176" s="456"/>
      <c r="BXG176" s="456"/>
      <c r="BXH176" s="456"/>
      <c r="BXI176" s="456"/>
      <c r="BXJ176" s="456"/>
      <c r="BXK176" s="456"/>
      <c r="BXL176" s="456"/>
      <c r="BXM176" s="456"/>
      <c r="BXN176" s="456"/>
      <c r="BXO176" s="456"/>
      <c r="BXP176" s="456"/>
      <c r="BXQ176" s="456"/>
      <c r="BXR176" s="456"/>
      <c r="BXS176" s="456"/>
      <c r="BXT176" s="456"/>
      <c r="BXU176" s="456"/>
      <c r="BXV176" s="456"/>
      <c r="BXW176" s="456"/>
      <c r="BXX176" s="456"/>
      <c r="BXY176" s="456"/>
      <c r="BXZ176" s="456"/>
    </row>
    <row r="177" s="25" customFormat="1" spans="1:1024 1025:2002">
      <c r="A177" s="473" t="s">
        <v>34</v>
      </c>
      <c r="B177" s="19">
        <v>1134</v>
      </c>
      <c r="C177" s="183">
        <v>46224</v>
      </c>
      <c r="D177" s="17" t="s">
        <v>52</v>
      </c>
      <c r="E177" s="17" t="s">
        <v>119</v>
      </c>
      <c r="F177" s="17" t="s">
        <v>54</v>
      </c>
      <c r="G177" s="17"/>
      <c r="H177" s="19">
        <v>1.2738</v>
      </c>
      <c r="I177" s="102" t="s">
        <v>65</v>
      </c>
      <c r="J177" s="17" t="s">
        <v>49</v>
      </c>
      <c r="K177" s="167">
        <v>2200</v>
      </c>
      <c r="L177" s="167">
        <v>50</v>
      </c>
      <c r="M177" s="167">
        <v>3500</v>
      </c>
      <c r="N177" s="19" t="s">
        <v>66</v>
      </c>
      <c r="O177" s="19" t="s">
        <v>67</v>
      </c>
      <c r="P177" s="167">
        <v>3886</v>
      </c>
      <c r="Q177" s="99">
        <v>3970</v>
      </c>
      <c r="R177" s="99">
        <f t="shared" si="9"/>
        <v>-84</v>
      </c>
      <c r="S177" s="19">
        <v>970</v>
      </c>
      <c r="T177" s="19" t="s">
        <v>42</v>
      </c>
      <c r="U177" s="102" t="s">
        <v>123</v>
      </c>
      <c r="V177" s="186">
        <v>46230</v>
      </c>
      <c r="W177" s="17" t="s">
        <v>44</v>
      </c>
      <c r="X177" s="17"/>
      <c r="Y177" s="68">
        <v>46235</v>
      </c>
      <c r="Z177" s="17" t="s">
        <v>45</v>
      </c>
      <c r="AA177" s="17" t="s">
        <v>46</v>
      </c>
      <c r="AB177" s="17" t="s">
        <v>122</v>
      </c>
      <c r="AC177" s="217">
        <v>46243</v>
      </c>
      <c r="AD177" s="65">
        <v>1847</v>
      </c>
      <c r="AE177" s="17" t="s">
        <v>48</v>
      </c>
      <c r="AF177" s="17" t="s">
        <v>61</v>
      </c>
      <c r="AG177" s="17"/>
      <c r="AH177" s="456"/>
      <c r="AI177" s="456"/>
      <c r="AJ177" s="456"/>
      <c r="AK177" s="456"/>
      <c r="AL177" s="456"/>
      <c r="AM177" s="456"/>
      <c r="AN177" s="456"/>
      <c r="AO177" s="456"/>
      <c r="AP177" s="456"/>
      <c r="AQ177" s="456"/>
      <c r="AR177" s="456"/>
      <c r="AS177" s="456"/>
      <c r="AT177" s="456"/>
      <c r="AU177" s="456"/>
      <c r="AV177" s="456"/>
      <c r="AW177" s="456"/>
      <c r="AX177" s="456"/>
      <c r="AY177" s="456"/>
      <c r="AZ177" s="456"/>
      <c r="BA177" s="456"/>
      <c r="BB177" s="456"/>
      <c r="BC177" s="456"/>
      <c r="BD177" s="456"/>
      <c r="BE177" s="456"/>
      <c r="BF177" s="456"/>
      <c r="BG177" s="456"/>
      <c r="BH177" s="456"/>
      <c r="BI177" s="456"/>
      <c r="BJ177" s="456"/>
      <c r="BK177" s="456"/>
      <c r="BL177" s="456"/>
      <c r="BM177" s="456"/>
      <c r="BN177" s="456"/>
      <c r="BO177" s="456"/>
      <c r="BP177" s="456"/>
      <c r="BQ177" s="456"/>
      <c r="BR177" s="456"/>
      <c r="BS177" s="456"/>
      <c r="BT177" s="456"/>
      <c r="BU177" s="456"/>
      <c r="BV177" s="456"/>
      <c r="BW177" s="456"/>
      <c r="BX177" s="456"/>
      <c r="BY177" s="456"/>
      <c r="BZ177" s="456"/>
      <c r="CA177" s="456"/>
      <c r="CB177" s="456"/>
      <c r="CC177" s="456"/>
      <c r="CD177" s="456"/>
      <c r="CE177" s="456"/>
      <c r="CF177" s="456"/>
      <c r="CG177" s="456"/>
      <c r="CH177" s="456"/>
      <c r="CI177" s="456"/>
      <c r="CJ177" s="456"/>
      <c r="CK177" s="456"/>
      <c r="CL177" s="456"/>
      <c r="CM177" s="456"/>
      <c r="CN177" s="456"/>
      <c r="CO177" s="456"/>
      <c r="CP177" s="456"/>
      <c r="CQ177" s="456"/>
      <c r="CR177" s="456"/>
      <c r="CS177" s="456"/>
      <c r="CT177" s="456"/>
      <c r="CU177" s="456"/>
      <c r="CV177" s="456"/>
      <c r="CW177" s="456"/>
      <c r="CX177" s="456"/>
      <c r="CY177" s="456"/>
      <c r="CZ177" s="456"/>
      <c r="DA177" s="456"/>
      <c r="DB177" s="456"/>
      <c r="DC177" s="456"/>
      <c r="DD177" s="456"/>
      <c r="DE177" s="456"/>
      <c r="DF177" s="456"/>
      <c r="DG177" s="456"/>
      <c r="DH177" s="456"/>
      <c r="DI177" s="456"/>
      <c r="DJ177" s="456"/>
      <c r="DK177" s="456"/>
      <c r="DL177" s="456"/>
      <c r="DM177" s="456"/>
      <c r="DN177" s="456"/>
      <c r="DO177" s="456"/>
      <c r="DP177" s="456"/>
      <c r="DQ177" s="456"/>
      <c r="DR177" s="456"/>
      <c r="DS177" s="456"/>
      <c r="DT177" s="456"/>
      <c r="DU177" s="456"/>
      <c r="DV177" s="456"/>
      <c r="DW177" s="456"/>
      <c r="DX177" s="456"/>
      <c r="DY177" s="456"/>
      <c r="DZ177" s="456"/>
      <c r="EA177" s="456"/>
      <c r="EB177" s="456"/>
      <c r="EC177" s="456"/>
      <c r="ED177" s="456"/>
      <c r="EE177" s="456"/>
      <c r="EF177" s="456"/>
      <c r="EG177" s="456"/>
      <c r="EH177" s="456"/>
      <c r="EI177" s="456"/>
      <c r="EJ177" s="456"/>
      <c r="EK177" s="456"/>
      <c r="EL177" s="456"/>
      <c r="EM177" s="456"/>
      <c r="EN177" s="456"/>
      <c r="EO177" s="456"/>
      <c r="EP177" s="456"/>
      <c r="EQ177" s="456"/>
      <c r="ER177" s="456"/>
      <c r="ES177" s="456"/>
      <c r="ET177" s="456"/>
      <c r="EU177" s="456"/>
      <c r="EV177" s="456"/>
      <c r="EW177" s="456"/>
      <c r="EX177" s="456"/>
      <c r="EY177" s="456"/>
      <c r="EZ177" s="456"/>
      <c r="FA177" s="456"/>
      <c r="FB177" s="456"/>
      <c r="FC177" s="456"/>
      <c r="FD177" s="456"/>
      <c r="FE177" s="456"/>
      <c r="FF177" s="456"/>
      <c r="FG177" s="456"/>
      <c r="FH177" s="456"/>
      <c r="FI177" s="456"/>
      <c r="FJ177" s="456"/>
      <c r="FK177" s="456"/>
      <c r="FL177" s="456"/>
      <c r="FM177" s="456"/>
      <c r="FN177" s="456"/>
      <c r="FO177" s="456"/>
      <c r="FP177" s="456"/>
      <c r="FQ177" s="456"/>
      <c r="FR177" s="456"/>
      <c r="FS177" s="456"/>
      <c r="FT177" s="456"/>
      <c r="FU177" s="456"/>
      <c r="FV177" s="456"/>
      <c r="FW177" s="456"/>
      <c r="FX177" s="456"/>
      <c r="FY177" s="456"/>
      <c r="FZ177" s="456"/>
      <c r="GA177" s="456"/>
      <c r="GB177" s="456"/>
      <c r="GC177" s="456"/>
      <c r="GD177" s="456"/>
      <c r="GE177" s="456"/>
      <c r="GF177" s="456"/>
      <c r="GG177" s="456"/>
      <c r="GH177" s="456"/>
      <c r="GI177" s="456"/>
      <c r="GJ177" s="456"/>
      <c r="GK177" s="456"/>
      <c r="GL177" s="456"/>
      <c r="GM177" s="456"/>
      <c r="GN177" s="456"/>
      <c r="GO177" s="456"/>
      <c r="GP177" s="456"/>
      <c r="GQ177" s="456"/>
      <c r="GR177" s="456"/>
      <c r="GS177" s="456"/>
      <c r="GT177" s="456"/>
      <c r="GU177" s="456"/>
      <c r="GV177" s="456"/>
      <c r="GW177" s="456"/>
      <c r="GX177" s="456"/>
      <c r="GY177" s="456"/>
      <c r="GZ177" s="456"/>
      <c r="HA177" s="456"/>
      <c r="HB177" s="456"/>
      <c r="HC177" s="456"/>
      <c r="HD177" s="456"/>
      <c r="HE177" s="456"/>
      <c r="HF177" s="456"/>
      <c r="HG177" s="456"/>
      <c r="HH177" s="456"/>
      <c r="HI177" s="456"/>
      <c r="HJ177" s="456"/>
      <c r="HK177" s="456"/>
      <c r="HL177" s="456"/>
      <c r="HM177" s="456"/>
      <c r="HN177" s="456"/>
      <c r="HO177" s="456"/>
      <c r="HP177" s="456"/>
      <c r="HQ177" s="456"/>
      <c r="HR177" s="456"/>
      <c r="HS177" s="456"/>
      <c r="HT177" s="456"/>
      <c r="HU177" s="456"/>
      <c r="HV177" s="456"/>
      <c r="HW177" s="456"/>
      <c r="HX177" s="456"/>
      <c r="HY177" s="456"/>
      <c r="HZ177" s="456"/>
      <c r="IA177" s="456"/>
      <c r="IB177" s="456"/>
      <c r="IC177" s="456"/>
      <c r="ID177" s="456"/>
      <c r="IE177" s="456"/>
      <c r="IF177" s="456"/>
      <c r="IG177" s="456"/>
      <c r="IH177" s="456"/>
      <c r="II177" s="456"/>
      <c r="IJ177" s="456"/>
      <c r="IK177" s="456"/>
      <c r="IL177" s="456"/>
      <c r="IM177" s="456"/>
      <c r="IN177" s="456"/>
      <c r="IO177" s="456"/>
      <c r="IP177" s="456"/>
      <c r="IQ177" s="456"/>
      <c r="IR177" s="456"/>
      <c r="IS177" s="456"/>
      <c r="IT177" s="456"/>
      <c r="IU177" s="456"/>
      <c r="IV177" s="456"/>
      <c r="IW177" s="456"/>
      <c r="IX177" s="456"/>
      <c r="IY177" s="456"/>
      <c r="IZ177" s="456"/>
      <c r="JA177" s="456"/>
      <c r="JB177" s="456"/>
      <c r="JC177" s="456"/>
      <c r="JD177" s="456"/>
      <c r="JE177" s="456"/>
      <c r="JF177" s="456"/>
      <c r="JG177" s="456"/>
      <c r="JH177" s="456"/>
      <c r="JI177" s="456"/>
      <c r="JJ177" s="456"/>
      <c r="JK177" s="456"/>
      <c r="JL177" s="456"/>
      <c r="JM177" s="456"/>
      <c r="JN177" s="456"/>
      <c r="JO177" s="456"/>
      <c r="JP177" s="456"/>
      <c r="JQ177" s="456"/>
      <c r="JR177" s="456"/>
      <c r="JS177" s="456"/>
      <c r="JT177" s="456"/>
      <c r="JU177" s="456"/>
      <c r="JV177" s="456"/>
      <c r="JW177" s="456"/>
      <c r="JX177" s="456"/>
      <c r="JY177" s="456"/>
      <c r="JZ177" s="456"/>
      <c r="KA177" s="456"/>
      <c r="KB177" s="456"/>
      <c r="KC177" s="456"/>
      <c r="KD177" s="456"/>
      <c r="KE177" s="456"/>
      <c r="KF177" s="456"/>
      <c r="KG177" s="456"/>
      <c r="KH177" s="456"/>
      <c r="KI177" s="456"/>
      <c r="KJ177" s="456"/>
      <c r="KK177" s="456"/>
      <c r="KL177" s="456"/>
      <c r="KM177" s="456"/>
      <c r="KN177" s="456"/>
      <c r="KO177" s="456"/>
      <c r="KP177" s="456"/>
      <c r="KQ177" s="456"/>
      <c r="KR177" s="456"/>
      <c r="KS177" s="456"/>
      <c r="KT177" s="456"/>
      <c r="KU177" s="456"/>
      <c r="KV177" s="456"/>
      <c r="KW177" s="456"/>
      <c r="KX177" s="456"/>
      <c r="KY177" s="456"/>
      <c r="KZ177" s="456"/>
      <c r="LA177" s="456"/>
      <c r="LB177" s="456"/>
      <c r="LC177" s="456"/>
      <c r="LD177" s="456"/>
      <c r="LE177" s="456"/>
      <c r="LF177" s="456"/>
      <c r="LG177" s="456"/>
      <c r="LH177" s="456"/>
      <c r="LI177" s="456"/>
      <c r="LJ177" s="456"/>
      <c r="LK177" s="456"/>
      <c r="LL177" s="456"/>
      <c r="LM177" s="456"/>
      <c r="LN177" s="456"/>
      <c r="LO177" s="456"/>
      <c r="LP177" s="456"/>
      <c r="LQ177" s="456"/>
      <c r="LR177" s="456"/>
      <c r="LS177" s="456"/>
      <c r="LT177" s="456"/>
      <c r="LU177" s="456"/>
      <c r="LV177" s="456"/>
      <c r="LW177" s="456"/>
      <c r="LX177" s="456"/>
      <c r="LY177" s="456"/>
      <c r="LZ177" s="456"/>
      <c r="MA177" s="456"/>
      <c r="MB177" s="456"/>
      <c r="MC177" s="456"/>
      <c r="MD177" s="456"/>
      <c r="ME177" s="456"/>
      <c r="MF177" s="456"/>
      <c r="MG177" s="456"/>
      <c r="MH177" s="456"/>
      <c r="MI177" s="456"/>
      <c r="MJ177" s="456"/>
      <c r="MK177" s="456"/>
      <c r="ML177" s="456"/>
      <c r="MM177" s="456"/>
      <c r="MN177" s="456"/>
      <c r="MO177" s="456"/>
      <c r="MP177" s="456"/>
      <c r="MQ177" s="456"/>
      <c r="MR177" s="456"/>
      <c r="MS177" s="456"/>
      <c r="MT177" s="456"/>
      <c r="MU177" s="456"/>
      <c r="MV177" s="456"/>
      <c r="MW177" s="456"/>
      <c r="MX177" s="456"/>
      <c r="MY177" s="456"/>
      <c r="MZ177" s="456"/>
      <c r="NA177" s="456"/>
      <c r="NB177" s="456"/>
      <c r="NC177" s="456"/>
      <c r="ND177" s="456"/>
      <c r="NE177" s="456"/>
      <c r="NF177" s="456"/>
      <c r="NG177" s="456"/>
      <c r="NH177" s="456"/>
      <c r="NI177" s="456"/>
      <c r="NJ177" s="456"/>
      <c r="NK177" s="456"/>
      <c r="NL177" s="456"/>
      <c r="NM177" s="456"/>
      <c r="NN177" s="456"/>
      <c r="NO177" s="456"/>
      <c r="NP177" s="456"/>
      <c r="NQ177" s="456"/>
      <c r="NR177" s="456"/>
      <c r="NS177" s="456"/>
      <c r="NT177" s="456"/>
      <c r="NU177" s="456"/>
      <c r="NV177" s="456"/>
      <c r="NW177" s="456"/>
      <c r="NX177" s="456"/>
      <c r="NY177" s="456"/>
      <c r="NZ177" s="456"/>
      <c r="OA177" s="456"/>
      <c r="OB177" s="456"/>
      <c r="OC177" s="456"/>
      <c r="OD177" s="456"/>
      <c r="OE177" s="456"/>
      <c r="OF177" s="456"/>
      <c r="OG177" s="456"/>
      <c r="OH177" s="456"/>
      <c r="OI177" s="456"/>
      <c r="OJ177" s="456"/>
      <c r="OK177" s="456"/>
      <c r="OL177" s="456"/>
      <c r="OM177" s="456"/>
      <c r="ON177" s="456"/>
      <c r="OO177" s="456"/>
      <c r="OP177" s="456"/>
      <c r="OQ177" s="456"/>
      <c r="OR177" s="456"/>
      <c r="OS177" s="456"/>
      <c r="OT177" s="456"/>
      <c r="OU177" s="456"/>
      <c r="OV177" s="456"/>
      <c r="OW177" s="456"/>
      <c r="OX177" s="456"/>
      <c r="OY177" s="456"/>
      <c r="OZ177" s="456"/>
      <c r="PA177" s="456"/>
      <c r="PB177" s="456"/>
      <c r="PC177" s="456"/>
      <c r="PD177" s="456"/>
      <c r="PE177" s="456"/>
      <c r="PF177" s="456"/>
      <c r="PG177" s="456"/>
      <c r="PH177" s="456"/>
      <c r="PI177" s="456"/>
      <c r="PJ177" s="456"/>
      <c r="PK177" s="456"/>
      <c r="PL177" s="456"/>
      <c r="PM177" s="456"/>
      <c r="PN177" s="456"/>
      <c r="PO177" s="456"/>
      <c r="PP177" s="456"/>
      <c r="PQ177" s="456"/>
      <c r="PR177" s="456"/>
      <c r="PS177" s="456"/>
      <c r="PT177" s="456"/>
      <c r="PU177" s="456"/>
      <c r="PV177" s="456"/>
      <c r="PW177" s="456"/>
      <c r="PX177" s="456"/>
      <c r="PY177" s="456"/>
      <c r="PZ177" s="456"/>
      <c r="QA177" s="456"/>
      <c r="QB177" s="456"/>
      <c r="QC177" s="456"/>
      <c r="QD177" s="456"/>
      <c r="QE177" s="456"/>
      <c r="QF177" s="456"/>
      <c r="QG177" s="456"/>
      <c r="QH177" s="456"/>
      <c r="QI177" s="456"/>
      <c r="QJ177" s="456"/>
      <c r="QK177" s="456"/>
      <c r="QL177" s="456"/>
      <c r="QM177" s="456"/>
      <c r="QN177" s="456"/>
      <c r="QO177" s="456"/>
      <c r="QP177" s="456"/>
      <c r="QQ177" s="456"/>
      <c r="QR177" s="456"/>
      <c r="QS177" s="456"/>
      <c r="QT177" s="456"/>
      <c r="QU177" s="456"/>
      <c r="QV177" s="456"/>
      <c r="QW177" s="456"/>
      <c r="QX177" s="456"/>
      <c r="QY177" s="456"/>
      <c r="QZ177" s="456"/>
      <c r="RA177" s="456"/>
      <c r="RB177" s="456"/>
      <c r="RC177" s="456"/>
      <c r="RD177" s="456"/>
      <c r="RE177" s="456"/>
      <c r="RF177" s="456"/>
      <c r="RG177" s="456"/>
      <c r="RH177" s="456"/>
      <c r="RI177" s="456"/>
      <c r="RJ177" s="456"/>
      <c r="RK177" s="456"/>
      <c r="RL177" s="456"/>
      <c r="RM177" s="456"/>
      <c r="RN177" s="456"/>
      <c r="RO177" s="456"/>
      <c r="RP177" s="456"/>
      <c r="RQ177" s="456"/>
      <c r="RR177" s="456"/>
      <c r="RS177" s="456"/>
      <c r="RT177" s="456"/>
      <c r="RU177" s="456"/>
      <c r="RV177" s="456"/>
      <c r="RW177" s="456"/>
      <c r="RX177" s="456"/>
      <c r="RY177" s="456"/>
      <c r="RZ177" s="456"/>
      <c r="SA177" s="456"/>
      <c r="SB177" s="456"/>
      <c r="SC177" s="456"/>
      <c r="SD177" s="456"/>
      <c r="SE177" s="456"/>
      <c r="SF177" s="456"/>
      <c r="SG177" s="456"/>
      <c r="SH177" s="456"/>
      <c r="SI177" s="456"/>
      <c r="SJ177" s="456"/>
      <c r="SK177" s="456"/>
      <c r="SL177" s="456"/>
      <c r="SM177" s="456"/>
      <c r="SN177" s="456"/>
      <c r="SO177" s="456"/>
      <c r="SP177" s="456"/>
      <c r="SQ177" s="456"/>
      <c r="SR177" s="456"/>
      <c r="SS177" s="456"/>
      <c r="ST177" s="456"/>
      <c r="SU177" s="456"/>
      <c r="SV177" s="456"/>
      <c r="SW177" s="456"/>
      <c r="SX177" s="456"/>
      <c r="SY177" s="456"/>
      <c r="SZ177" s="456"/>
      <c r="TA177" s="456"/>
      <c r="TB177" s="456"/>
      <c r="TC177" s="456"/>
      <c r="TD177" s="456"/>
      <c r="TE177" s="456"/>
      <c r="TF177" s="456"/>
      <c r="TG177" s="456"/>
      <c r="TH177" s="456"/>
      <c r="TI177" s="456"/>
      <c r="TJ177" s="456"/>
      <c r="TK177" s="456"/>
      <c r="TL177" s="456"/>
      <c r="TM177" s="456"/>
      <c r="TN177" s="456"/>
      <c r="TO177" s="456"/>
      <c r="TP177" s="456"/>
      <c r="TQ177" s="456"/>
      <c r="TR177" s="456"/>
      <c r="TS177" s="456"/>
      <c r="TT177" s="456"/>
      <c r="TU177" s="456"/>
      <c r="TV177" s="456"/>
      <c r="TW177" s="456"/>
      <c r="TX177" s="456"/>
      <c r="TY177" s="456"/>
      <c r="TZ177" s="456"/>
      <c r="UA177" s="456"/>
      <c r="UB177" s="456"/>
      <c r="UC177" s="456"/>
      <c r="UD177" s="456"/>
      <c r="UE177" s="456"/>
      <c r="UF177" s="456"/>
      <c r="UG177" s="456"/>
      <c r="UH177" s="456"/>
      <c r="UI177" s="456"/>
      <c r="UJ177" s="456"/>
      <c r="UK177" s="456"/>
      <c r="UL177" s="456"/>
      <c r="UM177" s="456"/>
      <c r="UN177" s="456"/>
      <c r="UO177" s="456"/>
      <c r="UP177" s="456"/>
      <c r="UQ177" s="456"/>
      <c r="UR177" s="456"/>
      <c r="US177" s="456"/>
      <c r="UT177" s="456"/>
      <c r="UU177" s="456"/>
      <c r="UV177" s="456"/>
      <c r="UW177" s="456"/>
      <c r="UX177" s="456"/>
      <c r="UY177" s="456"/>
      <c r="UZ177" s="456"/>
      <c r="VA177" s="456"/>
      <c r="VB177" s="456"/>
      <c r="VC177" s="456"/>
      <c r="VD177" s="456"/>
      <c r="VE177" s="456"/>
      <c r="VF177" s="456"/>
      <c r="VG177" s="456"/>
      <c r="VH177" s="456"/>
      <c r="VI177" s="456"/>
      <c r="VJ177" s="456"/>
      <c r="VK177" s="456"/>
      <c r="VL177" s="456"/>
      <c r="VM177" s="456"/>
      <c r="VN177" s="456"/>
      <c r="VO177" s="456"/>
      <c r="VP177" s="456"/>
      <c r="VQ177" s="456"/>
      <c r="VR177" s="456"/>
      <c r="VS177" s="456"/>
      <c r="VT177" s="456"/>
      <c r="VU177" s="456"/>
      <c r="VV177" s="456"/>
      <c r="VW177" s="456"/>
      <c r="VX177" s="456"/>
      <c r="VY177" s="456"/>
      <c r="VZ177" s="456"/>
      <c r="WA177" s="456"/>
      <c r="WB177" s="456"/>
      <c r="WC177" s="456"/>
      <c r="WD177" s="456"/>
      <c r="WE177" s="456"/>
      <c r="WF177" s="456"/>
      <c r="WG177" s="456"/>
      <c r="WH177" s="456"/>
      <c r="WI177" s="456"/>
      <c r="WJ177" s="456"/>
      <c r="WK177" s="456"/>
      <c r="WL177" s="456"/>
      <c r="WM177" s="456"/>
      <c r="WN177" s="456"/>
      <c r="WO177" s="456"/>
      <c r="WP177" s="456"/>
      <c r="WQ177" s="456"/>
      <c r="WR177" s="456"/>
      <c r="WS177" s="456"/>
      <c r="WT177" s="456"/>
      <c r="WU177" s="456"/>
      <c r="WV177" s="456"/>
      <c r="WW177" s="456"/>
      <c r="WX177" s="456"/>
      <c r="WY177" s="456"/>
      <c r="WZ177" s="456"/>
      <c r="XA177" s="456"/>
      <c r="XB177" s="456"/>
      <c r="XC177" s="456"/>
      <c r="XD177" s="456"/>
      <c r="XE177" s="456"/>
      <c r="XF177" s="456"/>
      <c r="XG177" s="456"/>
      <c r="XH177" s="456"/>
      <c r="XI177" s="456"/>
      <c r="XJ177" s="456"/>
      <c r="XK177" s="456"/>
      <c r="XL177" s="456"/>
      <c r="XM177" s="456"/>
      <c r="XN177" s="456"/>
      <c r="XO177" s="456"/>
      <c r="XP177" s="456"/>
      <c r="XQ177" s="456"/>
      <c r="XR177" s="456"/>
      <c r="XS177" s="456"/>
      <c r="XT177" s="456"/>
      <c r="XU177" s="456"/>
      <c r="XV177" s="456"/>
      <c r="XW177" s="456"/>
      <c r="XX177" s="456"/>
      <c r="XY177" s="456"/>
      <c r="XZ177" s="456"/>
      <c r="YA177" s="456"/>
      <c r="YB177" s="456"/>
      <c r="YC177" s="456"/>
      <c r="YD177" s="456"/>
      <c r="YE177" s="456"/>
      <c r="YF177" s="456"/>
      <c r="YG177" s="456"/>
      <c r="YH177" s="456"/>
      <c r="YI177" s="456"/>
      <c r="YJ177" s="456"/>
      <c r="YK177" s="456"/>
      <c r="YL177" s="456"/>
      <c r="YM177" s="456"/>
      <c r="YN177" s="456"/>
      <c r="YO177" s="456"/>
      <c r="YP177" s="456"/>
      <c r="YQ177" s="456"/>
      <c r="YR177" s="456"/>
      <c r="YS177" s="456"/>
      <c r="YT177" s="456"/>
      <c r="YU177" s="456"/>
      <c r="YV177" s="456"/>
      <c r="YW177" s="456"/>
      <c r="YX177" s="456"/>
      <c r="YY177" s="456"/>
      <c r="YZ177" s="456"/>
      <c r="ZA177" s="456"/>
      <c r="ZB177" s="456"/>
      <c r="ZC177" s="456"/>
      <c r="ZD177" s="456"/>
      <c r="ZE177" s="456"/>
      <c r="ZF177" s="456"/>
      <c r="ZG177" s="456"/>
      <c r="ZH177" s="456"/>
      <c r="ZI177" s="456"/>
      <c r="ZJ177" s="456"/>
      <c r="ZK177" s="456"/>
      <c r="ZL177" s="456"/>
      <c r="ZM177" s="456"/>
      <c r="ZN177" s="456"/>
      <c r="ZO177" s="456"/>
      <c r="ZP177" s="456"/>
      <c r="ZQ177" s="456"/>
      <c r="ZR177" s="456"/>
      <c r="ZS177" s="456"/>
      <c r="ZT177" s="456"/>
      <c r="ZU177" s="456"/>
      <c r="ZV177" s="456"/>
      <c r="ZW177" s="456"/>
      <c r="ZX177" s="456"/>
      <c r="ZY177" s="456"/>
      <c r="ZZ177" s="456"/>
      <c r="AAA177" s="456"/>
      <c r="AAB177" s="456"/>
      <c r="AAC177" s="456"/>
      <c r="AAD177" s="456"/>
      <c r="AAE177" s="456"/>
      <c r="AAF177" s="456"/>
      <c r="AAG177" s="456"/>
      <c r="AAH177" s="456"/>
      <c r="AAI177" s="456"/>
      <c r="AAJ177" s="456"/>
      <c r="AAK177" s="456"/>
      <c r="AAL177" s="456"/>
      <c r="AAM177" s="456"/>
      <c r="AAN177" s="456"/>
      <c r="AAO177" s="456"/>
      <c r="AAP177" s="456"/>
      <c r="AAQ177" s="456"/>
      <c r="AAR177" s="456"/>
      <c r="AAS177" s="456"/>
      <c r="AAT177" s="456"/>
      <c r="AAU177" s="456"/>
      <c r="AAV177" s="456"/>
      <c r="AAW177" s="456"/>
      <c r="AAX177" s="456"/>
      <c r="AAY177" s="456"/>
      <c r="AAZ177" s="456"/>
      <c r="ABA177" s="456"/>
      <c r="ABB177" s="456"/>
      <c r="ABC177" s="456"/>
      <c r="ABD177" s="456"/>
      <c r="ABE177" s="456"/>
      <c r="ABF177" s="456"/>
      <c r="ABG177" s="456"/>
      <c r="ABH177" s="456"/>
      <c r="ABI177" s="456"/>
      <c r="ABJ177" s="456"/>
      <c r="ABK177" s="456"/>
      <c r="ABL177" s="456"/>
      <c r="ABM177" s="456"/>
      <c r="ABN177" s="456"/>
      <c r="ABO177" s="456"/>
      <c r="ABP177" s="456"/>
      <c r="ABQ177" s="456"/>
      <c r="ABR177" s="456"/>
      <c r="ABS177" s="456"/>
      <c r="ABT177" s="456"/>
      <c r="ABU177" s="456"/>
      <c r="ABV177" s="456"/>
      <c r="ABW177" s="456"/>
      <c r="ABX177" s="456"/>
      <c r="ABY177" s="456"/>
      <c r="ABZ177" s="456"/>
      <c r="ACA177" s="456"/>
      <c r="ACB177" s="456"/>
      <c r="ACC177" s="456"/>
      <c r="ACD177" s="456"/>
      <c r="ACE177" s="456"/>
      <c r="ACF177" s="456"/>
      <c r="ACG177" s="456"/>
      <c r="ACH177" s="456"/>
      <c r="ACI177" s="456"/>
      <c r="ACJ177" s="456"/>
      <c r="ACK177" s="456"/>
      <c r="ACL177" s="456"/>
      <c r="ACM177" s="456"/>
      <c r="ACN177" s="456"/>
      <c r="ACO177" s="456"/>
      <c r="ACP177" s="456"/>
      <c r="ACQ177" s="456"/>
      <c r="ACR177" s="456"/>
      <c r="ACS177" s="456"/>
      <c r="ACT177" s="456"/>
      <c r="ACU177" s="456"/>
      <c r="ACV177" s="456"/>
      <c r="ACW177" s="456"/>
      <c r="ACX177" s="456"/>
      <c r="ACY177" s="456"/>
      <c r="ACZ177" s="456"/>
      <c r="ADA177" s="456"/>
      <c r="ADB177" s="456"/>
      <c r="ADC177" s="456"/>
      <c r="ADD177" s="456"/>
      <c r="ADE177" s="456"/>
      <c r="ADF177" s="456"/>
      <c r="ADG177" s="456"/>
      <c r="ADH177" s="456"/>
      <c r="ADI177" s="456"/>
      <c r="ADJ177" s="456"/>
      <c r="ADK177" s="456"/>
      <c r="ADL177" s="456"/>
      <c r="ADM177" s="456"/>
      <c r="ADN177" s="456"/>
      <c r="ADO177" s="456"/>
      <c r="ADP177" s="456"/>
      <c r="ADQ177" s="456"/>
      <c r="ADR177" s="456"/>
      <c r="ADS177" s="456"/>
      <c r="ADT177" s="456"/>
      <c r="ADU177" s="456"/>
      <c r="ADV177" s="456"/>
      <c r="ADW177" s="456"/>
      <c r="ADX177" s="456"/>
      <c r="ADY177" s="456"/>
      <c r="ADZ177" s="456"/>
      <c r="AEA177" s="456"/>
      <c r="AEB177" s="456"/>
      <c r="AEC177" s="456"/>
      <c r="AED177" s="456"/>
      <c r="AEE177" s="456"/>
      <c r="AEF177" s="456"/>
      <c r="AEG177" s="456"/>
      <c r="AEH177" s="456"/>
      <c r="AEI177" s="456"/>
      <c r="AEJ177" s="456"/>
      <c r="AEK177" s="456"/>
      <c r="AEL177" s="456"/>
      <c r="AEM177" s="456"/>
      <c r="AEN177" s="456"/>
      <c r="AEO177" s="456"/>
      <c r="AEP177" s="456"/>
      <c r="AEQ177" s="456"/>
      <c r="AER177" s="456"/>
      <c r="AES177" s="456"/>
      <c r="AET177" s="456"/>
      <c r="AEU177" s="456"/>
      <c r="AEV177" s="456"/>
      <c r="AEW177" s="456"/>
      <c r="AEX177" s="456"/>
      <c r="AEY177" s="456"/>
      <c r="AEZ177" s="456"/>
      <c r="AFA177" s="456"/>
      <c r="AFB177" s="456"/>
      <c r="AFC177" s="456"/>
      <c r="AFD177" s="456"/>
      <c r="AFE177" s="456"/>
      <c r="AFF177" s="456"/>
      <c r="AFG177" s="456"/>
      <c r="AFH177" s="456"/>
      <c r="AFI177" s="456"/>
      <c r="AFJ177" s="456"/>
      <c r="AFK177" s="456"/>
      <c r="AFL177" s="456"/>
      <c r="AFM177" s="456"/>
      <c r="AFN177" s="456"/>
      <c r="AFO177" s="456"/>
      <c r="AFP177" s="456"/>
      <c r="AFQ177" s="456"/>
      <c r="AFR177" s="456"/>
      <c r="AFS177" s="456"/>
      <c r="AFT177" s="456"/>
      <c r="AFU177" s="456"/>
      <c r="AFV177" s="456"/>
      <c r="AFW177" s="456"/>
      <c r="AFX177" s="456"/>
      <c r="AFY177" s="456"/>
      <c r="AFZ177" s="456"/>
      <c r="AGA177" s="456"/>
      <c r="AGB177" s="456"/>
      <c r="AGC177" s="456"/>
      <c r="AGD177" s="456"/>
      <c r="AGE177" s="456"/>
      <c r="AGF177" s="456"/>
      <c r="AGG177" s="456"/>
      <c r="AGH177" s="456"/>
      <c r="AGI177" s="456"/>
      <c r="AGJ177" s="456"/>
      <c r="AGK177" s="456"/>
      <c r="AGL177" s="456"/>
      <c r="AGM177" s="456"/>
      <c r="AGN177" s="456"/>
      <c r="AGO177" s="456"/>
      <c r="AGP177" s="456"/>
      <c r="AGQ177" s="456"/>
      <c r="AGR177" s="456"/>
      <c r="AGS177" s="456"/>
      <c r="AGT177" s="456"/>
      <c r="AGU177" s="456"/>
      <c r="AGV177" s="456"/>
      <c r="AGW177" s="456"/>
      <c r="AGX177" s="456"/>
      <c r="AGY177" s="456"/>
      <c r="AGZ177" s="456"/>
      <c r="AHA177" s="456"/>
      <c r="AHB177" s="456"/>
      <c r="AHC177" s="456"/>
      <c r="AHD177" s="456"/>
      <c r="AHE177" s="456"/>
      <c r="AHF177" s="456"/>
      <c r="AHG177" s="456"/>
      <c r="AHH177" s="456"/>
      <c r="AHI177" s="456"/>
      <c r="AHJ177" s="456"/>
      <c r="AHK177" s="456"/>
      <c r="AHL177" s="456"/>
      <c r="AHM177" s="456"/>
      <c r="AHN177" s="456"/>
      <c r="AHO177" s="456"/>
      <c r="AHP177" s="456"/>
      <c r="AHQ177" s="456"/>
      <c r="AHR177" s="456"/>
      <c r="AHS177" s="456"/>
      <c r="AHT177" s="456"/>
      <c r="AHU177" s="456"/>
      <c r="AHV177" s="456"/>
      <c r="AHW177" s="456"/>
      <c r="AHX177" s="456"/>
      <c r="AHY177" s="456"/>
      <c r="AHZ177" s="456"/>
      <c r="AIA177" s="456"/>
      <c r="AIB177" s="456"/>
      <c r="AIC177" s="456"/>
      <c r="AID177" s="456"/>
      <c r="AIE177" s="456"/>
      <c r="AIF177" s="456"/>
      <c r="AIG177" s="456"/>
      <c r="AIH177" s="456"/>
      <c r="AII177" s="456"/>
      <c r="AIJ177" s="456"/>
      <c r="AIK177" s="456"/>
      <c r="AIL177" s="456"/>
      <c r="AIM177" s="456"/>
      <c r="AIN177" s="456"/>
      <c r="AIO177" s="456"/>
      <c r="AIP177" s="456"/>
      <c r="AIQ177" s="456"/>
      <c r="AIR177" s="456"/>
      <c r="AIS177" s="456"/>
      <c r="AIT177" s="456"/>
      <c r="AIU177" s="456"/>
      <c r="AIV177" s="456"/>
      <c r="AIW177" s="456"/>
      <c r="AIX177" s="456"/>
      <c r="AIY177" s="456"/>
      <c r="AIZ177" s="456"/>
      <c r="AJA177" s="456"/>
      <c r="AJB177" s="456"/>
      <c r="AJC177" s="456"/>
      <c r="AJD177" s="456"/>
      <c r="AJE177" s="456"/>
      <c r="AJF177" s="456"/>
      <c r="AJG177" s="456"/>
      <c r="AJH177" s="456"/>
      <c r="AJI177" s="456"/>
      <c r="AJJ177" s="456"/>
      <c r="AJK177" s="456"/>
      <c r="AJL177" s="456"/>
      <c r="AJM177" s="456"/>
      <c r="AJN177" s="456"/>
      <c r="AJO177" s="456"/>
      <c r="AJP177" s="456"/>
      <c r="AJQ177" s="456"/>
      <c r="AJR177" s="456"/>
      <c r="AJS177" s="456"/>
      <c r="AJT177" s="456"/>
      <c r="AJU177" s="456"/>
      <c r="AJV177" s="456"/>
      <c r="AJW177" s="456"/>
      <c r="AJX177" s="456"/>
      <c r="AJY177" s="456"/>
      <c r="AJZ177" s="456"/>
      <c r="AKA177" s="456"/>
      <c r="AKB177" s="456"/>
      <c r="AKC177" s="456"/>
      <c r="AKD177" s="456"/>
      <c r="AKE177" s="456"/>
      <c r="AKF177" s="456"/>
      <c r="AKG177" s="456"/>
      <c r="AKH177" s="456"/>
      <c r="AKI177" s="456"/>
      <c r="AKJ177" s="456"/>
      <c r="AKK177" s="456"/>
      <c r="AKL177" s="456"/>
      <c r="AKM177" s="456"/>
      <c r="AKN177" s="456"/>
      <c r="AKO177" s="456"/>
      <c r="AKP177" s="456"/>
      <c r="AKQ177" s="456"/>
      <c r="AKR177" s="456"/>
      <c r="AKS177" s="456"/>
      <c r="AKT177" s="456"/>
      <c r="AKU177" s="456"/>
      <c r="AKV177" s="456"/>
      <c r="AKW177" s="456"/>
      <c r="AKX177" s="456"/>
      <c r="AKY177" s="456"/>
      <c r="AKZ177" s="456"/>
      <c r="ALA177" s="456"/>
      <c r="ALB177" s="456"/>
      <c r="ALC177" s="456"/>
      <c r="ALD177" s="456"/>
      <c r="ALE177" s="456"/>
      <c r="ALF177" s="456"/>
      <c r="ALG177" s="456"/>
      <c r="ALH177" s="456"/>
      <c r="ALI177" s="456"/>
      <c r="ALJ177" s="456"/>
      <c r="ALK177" s="456"/>
      <c r="ALL177" s="456"/>
      <c r="ALM177" s="456"/>
      <c r="ALN177" s="456"/>
      <c r="ALO177" s="456"/>
      <c r="ALP177" s="456"/>
      <c r="ALQ177" s="456"/>
      <c r="ALR177" s="456"/>
      <c r="ALS177" s="456"/>
      <c r="ALT177" s="456"/>
      <c r="ALU177" s="456"/>
      <c r="ALV177" s="456"/>
      <c r="ALW177" s="456"/>
      <c r="ALX177" s="456"/>
      <c r="ALY177" s="456"/>
      <c r="ALZ177" s="456"/>
      <c r="AMA177" s="456"/>
      <c r="AMB177" s="456"/>
      <c r="AMC177" s="456"/>
      <c r="AMD177" s="456"/>
      <c r="AME177" s="456"/>
      <c r="AMF177" s="456"/>
      <c r="AMG177" s="456"/>
      <c r="AMH177" s="456"/>
      <c r="AMI177" s="456"/>
      <c r="AMJ177" s="456"/>
      <c r="AMK177" s="456"/>
      <c r="AML177" s="456"/>
      <c r="AMM177" s="456"/>
      <c r="AMN177" s="456"/>
      <c r="AMO177" s="456"/>
      <c r="AMP177" s="456"/>
      <c r="AMQ177" s="456"/>
      <c r="AMR177" s="456"/>
      <c r="AMS177" s="456"/>
      <c r="AMT177" s="456"/>
      <c r="AMU177" s="456"/>
      <c r="AMV177" s="456"/>
      <c r="AMW177" s="456"/>
      <c r="AMX177" s="456"/>
      <c r="AMY177" s="456"/>
      <c r="AMZ177" s="456"/>
      <c r="ANA177" s="456"/>
      <c r="ANB177" s="456"/>
      <c r="ANC177" s="456"/>
      <c r="AND177" s="456"/>
      <c r="ANE177" s="456"/>
      <c r="ANF177" s="456"/>
      <c r="ANG177" s="456"/>
      <c r="ANH177" s="456"/>
      <c r="ANI177" s="456"/>
      <c r="ANJ177" s="456"/>
      <c r="ANK177" s="456"/>
      <c r="ANL177" s="456"/>
      <c r="ANM177" s="456"/>
      <c r="ANN177" s="456"/>
      <c r="ANO177" s="456"/>
      <c r="ANP177" s="456"/>
      <c r="ANQ177" s="456"/>
      <c r="ANR177" s="456"/>
      <c r="ANS177" s="456"/>
      <c r="ANT177" s="456"/>
      <c r="ANU177" s="456"/>
      <c r="ANV177" s="456"/>
      <c r="ANW177" s="456"/>
      <c r="ANX177" s="456"/>
      <c r="ANY177" s="456"/>
      <c r="ANZ177" s="456"/>
      <c r="AOA177" s="456"/>
      <c r="AOB177" s="456"/>
      <c r="AOC177" s="456"/>
      <c r="AOD177" s="456"/>
      <c r="AOE177" s="456"/>
      <c r="AOF177" s="456"/>
      <c r="AOG177" s="456"/>
      <c r="AOH177" s="456"/>
      <c r="AOI177" s="456"/>
      <c r="AOJ177" s="456"/>
      <c r="AOK177" s="456"/>
      <c r="AOL177" s="456"/>
      <c r="AOM177" s="456"/>
      <c r="AON177" s="456"/>
      <c r="AOO177" s="456"/>
      <c r="AOP177" s="456"/>
      <c r="AOQ177" s="456"/>
      <c r="AOR177" s="456"/>
      <c r="AOS177" s="456"/>
      <c r="AOT177" s="456"/>
      <c r="AOU177" s="456"/>
      <c r="AOV177" s="456"/>
      <c r="AOW177" s="456"/>
      <c r="AOX177" s="456"/>
      <c r="AOY177" s="456"/>
      <c r="AOZ177" s="456"/>
      <c r="APA177" s="456"/>
      <c r="APB177" s="456"/>
      <c r="APC177" s="456"/>
      <c r="APD177" s="456"/>
      <c r="APE177" s="456"/>
      <c r="APF177" s="456"/>
      <c r="APG177" s="456"/>
      <c r="APH177" s="456"/>
      <c r="API177" s="456"/>
      <c r="APJ177" s="456"/>
      <c r="APK177" s="456"/>
      <c r="APL177" s="456"/>
      <c r="APM177" s="456"/>
      <c r="APN177" s="456"/>
      <c r="APO177" s="456"/>
      <c r="APP177" s="456"/>
      <c r="APQ177" s="456"/>
      <c r="APR177" s="456"/>
      <c r="APS177" s="456"/>
      <c r="APT177" s="456"/>
      <c r="APU177" s="456"/>
      <c r="APV177" s="456"/>
      <c r="APW177" s="456"/>
      <c r="APX177" s="456"/>
      <c r="APY177" s="456"/>
      <c r="APZ177" s="456"/>
      <c r="AQA177" s="456"/>
      <c r="AQB177" s="456"/>
      <c r="AQC177" s="456"/>
      <c r="AQD177" s="456"/>
      <c r="AQE177" s="456"/>
      <c r="AQF177" s="456"/>
      <c r="AQG177" s="456"/>
      <c r="AQH177" s="456"/>
      <c r="AQI177" s="456"/>
      <c r="AQJ177" s="456"/>
      <c r="AQK177" s="456"/>
      <c r="AQL177" s="456"/>
      <c r="AQM177" s="456"/>
      <c r="AQN177" s="456"/>
      <c r="AQO177" s="456"/>
      <c r="AQP177" s="456"/>
      <c r="AQQ177" s="456"/>
      <c r="AQR177" s="456"/>
      <c r="AQS177" s="456"/>
      <c r="AQT177" s="456"/>
      <c r="AQU177" s="456"/>
      <c r="AQV177" s="456"/>
      <c r="AQW177" s="456"/>
      <c r="AQX177" s="456"/>
      <c r="AQY177" s="456"/>
      <c r="AQZ177" s="456"/>
      <c r="ARA177" s="456"/>
      <c r="ARB177" s="456"/>
      <c r="ARC177" s="456"/>
      <c r="ARD177" s="456"/>
      <c r="ARE177" s="456"/>
      <c r="ARF177" s="456"/>
      <c r="ARG177" s="456"/>
      <c r="ARH177" s="456"/>
      <c r="ARI177" s="456"/>
      <c r="ARJ177" s="456"/>
      <c r="ARK177" s="456"/>
      <c r="ARL177" s="456"/>
      <c r="ARM177" s="456"/>
      <c r="ARN177" s="456"/>
      <c r="ARO177" s="456"/>
      <c r="ARP177" s="456"/>
      <c r="ARQ177" s="456"/>
      <c r="ARR177" s="456"/>
      <c r="ARS177" s="456"/>
      <c r="ART177" s="456"/>
      <c r="ARU177" s="456"/>
      <c r="ARV177" s="456"/>
      <c r="ARW177" s="456"/>
      <c r="ARX177" s="456"/>
      <c r="ARY177" s="456"/>
      <c r="ARZ177" s="456"/>
      <c r="ASA177" s="456"/>
      <c r="ASB177" s="456"/>
      <c r="ASC177" s="456"/>
      <c r="ASD177" s="456"/>
      <c r="ASE177" s="456"/>
      <c r="ASF177" s="456"/>
      <c r="ASG177" s="456"/>
      <c r="ASH177" s="456"/>
      <c r="ASI177" s="456"/>
      <c r="ASJ177" s="456"/>
      <c r="ASK177" s="456"/>
      <c r="ASL177" s="456"/>
      <c r="ASM177" s="456"/>
      <c r="ASN177" s="456"/>
      <c r="ASO177" s="456"/>
      <c r="ASP177" s="456"/>
      <c r="ASQ177" s="456"/>
      <c r="ASR177" s="456"/>
      <c r="ASS177" s="456"/>
      <c r="AST177" s="456"/>
      <c r="ASU177" s="456"/>
      <c r="ASV177" s="456"/>
      <c r="ASW177" s="456"/>
      <c r="ASX177" s="456"/>
      <c r="ASY177" s="456"/>
      <c r="ASZ177" s="456"/>
      <c r="ATA177" s="456"/>
      <c r="ATB177" s="456"/>
      <c r="ATC177" s="456"/>
      <c r="ATD177" s="456"/>
      <c r="ATE177" s="456"/>
      <c r="ATF177" s="456"/>
      <c r="ATG177" s="456"/>
      <c r="ATH177" s="456"/>
      <c r="ATI177" s="456"/>
      <c r="ATJ177" s="456"/>
      <c r="ATK177" s="456"/>
      <c r="ATL177" s="456"/>
      <c r="ATM177" s="456"/>
      <c r="ATN177" s="456"/>
      <c r="ATO177" s="456"/>
      <c r="ATP177" s="456"/>
      <c r="ATQ177" s="456"/>
      <c r="ATR177" s="456"/>
      <c r="ATS177" s="456"/>
      <c r="ATT177" s="456"/>
      <c r="ATU177" s="456"/>
      <c r="ATV177" s="456"/>
      <c r="ATW177" s="456"/>
      <c r="ATX177" s="456"/>
      <c r="ATY177" s="456"/>
      <c r="ATZ177" s="456"/>
      <c r="AUA177" s="456"/>
      <c r="AUB177" s="456"/>
      <c r="AUC177" s="456"/>
      <c r="AUD177" s="456"/>
      <c r="AUE177" s="456"/>
      <c r="AUF177" s="456"/>
      <c r="AUG177" s="456"/>
      <c r="AUH177" s="456"/>
      <c r="AUI177" s="456"/>
      <c r="AUJ177" s="456"/>
      <c r="AUK177" s="456"/>
      <c r="AUL177" s="456"/>
      <c r="AUM177" s="456"/>
      <c r="AUN177" s="456"/>
      <c r="AUO177" s="456"/>
      <c r="AUP177" s="456"/>
      <c r="AUQ177" s="456"/>
      <c r="AUR177" s="456"/>
      <c r="AUS177" s="456"/>
      <c r="AUT177" s="456"/>
      <c r="AUU177" s="456"/>
      <c r="AUV177" s="456"/>
      <c r="AUW177" s="456"/>
      <c r="AUX177" s="456"/>
      <c r="AUY177" s="456"/>
      <c r="AUZ177" s="456"/>
      <c r="AVA177" s="456"/>
      <c r="AVB177" s="456"/>
      <c r="AVC177" s="456"/>
      <c r="AVD177" s="456"/>
      <c r="AVE177" s="456"/>
      <c r="AVF177" s="456"/>
      <c r="AVG177" s="456"/>
      <c r="AVH177" s="456"/>
      <c r="AVI177" s="456"/>
      <c r="AVJ177" s="456"/>
      <c r="AVK177" s="456"/>
      <c r="AVL177" s="456"/>
      <c r="AVM177" s="456"/>
      <c r="AVN177" s="456"/>
      <c r="AVO177" s="456"/>
      <c r="AVP177" s="456"/>
      <c r="AVQ177" s="456"/>
      <c r="AVR177" s="456"/>
      <c r="AVS177" s="456"/>
      <c r="AVT177" s="456"/>
      <c r="AVU177" s="456"/>
      <c r="AVV177" s="456"/>
      <c r="AVW177" s="456"/>
      <c r="AVX177" s="456"/>
      <c r="AVY177" s="456"/>
      <c r="AVZ177" s="456"/>
      <c r="AWA177" s="456"/>
      <c r="AWB177" s="456"/>
      <c r="AWC177" s="456"/>
      <c r="AWD177" s="456"/>
      <c r="AWE177" s="456"/>
      <c r="AWF177" s="456"/>
      <c r="AWG177" s="456"/>
      <c r="AWH177" s="456"/>
      <c r="AWI177" s="456"/>
      <c r="AWJ177" s="456"/>
      <c r="AWK177" s="456"/>
      <c r="AWL177" s="456"/>
      <c r="AWM177" s="456"/>
      <c r="AWN177" s="456"/>
      <c r="AWO177" s="456"/>
      <c r="AWP177" s="456"/>
      <c r="AWQ177" s="456"/>
      <c r="AWR177" s="456"/>
      <c r="AWS177" s="456"/>
      <c r="AWT177" s="456"/>
      <c r="AWU177" s="456"/>
      <c r="AWV177" s="456"/>
      <c r="AWW177" s="456"/>
      <c r="AWX177" s="456"/>
      <c r="AWY177" s="456"/>
      <c r="AWZ177" s="456"/>
      <c r="AXA177" s="456"/>
      <c r="AXB177" s="456"/>
      <c r="AXC177" s="456"/>
      <c r="AXD177" s="456"/>
      <c r="AXE177" s="456"/>
      <c r="AXF177" s="456"/>
      <c r="AXG177" s="456"/>
      <c r="AXH177" s="456"/>
      <c r="AXI177" s="456"/>
      <c r="AXJ177" s="456"/>
      <c r="AXK177" s="456"/>
      <c r="AXL177" s="456"/>
      <c r="AXM177" s="456"/>
      <c r="AXN177" s="456"/>
      <c r="AXO177" s="456"/>
      <c r="AXP177" s="456"/>
      <c r="AXQ177" s="456"/>
      <c r="AXR177" s="456"/>
      <c r="AXS177" s="456"/>
      <c r="AXT177" s="456"/>
      <c r="AXU177" s="456"/>
      <c r="AXV177" s="456"/>
      <c r="AXW177" s="456"/>
      <c r="AXX177" s="456"/>
      <c r="AXY177" s="456"/>
      <c r="AXZ177" s="456"/>
      <c r="AYA177" s="456"/>
      <c r="AYB177" s="456"/>
      <c r="AYC177" s="456"/>
      <c r="AYD177" s="456"/>
      <c r="AYE177" s="456"/>
      <c r="AYF177" s="456"/>
      <c r="AYG177" s="456"/>
      <c r="AYH177" s="456"/>
      <c r="AYI177" s="456"/>
      <c r="AYJ177" s="456"/>
      <c r="AYK177" s="456"/>
      <c r="AYL177" s="456"/>
      <c r="AYM177" s="456"/>
      <c r="AYN177" s="456"/>
      <c r="AYO177" s="456"/>
      <c r="AYP177" s="456"/>
      <c r="AYQ177" s="456"/>
      <c r="AYR177" s="456"/>
      <c r="AYS177" s="456"/>
      <c r="AYT177" s="456"/>
      <c r="AYU177" s="456"/>
      <c r="AYV177" s="456"/>
      <c r="AYW177" s="456"/>
      <c r="AYX177" s="456"/>
      <c r="AYY177" s="456"/>
      <c r="AYZ177" s="456"/>
      <c r="AZA177" s="456"/>
      <c r="AZB177" s="456"/>
      <c r="AZC177" s="456"/>
      <c r="AZD177" s="456"/>
      <c r="AZE177" s="456"/>
      <c r="AZF177" s="456"/>
      <c r="AZG177" s="456"/>
      <c r="AZH177" s="456"/>
      <c r="AZI177" s="456"/>
      <c r="AZJ177" s="456"/>
      <c r="AZK177" s="456"/>
      <c r="AZL177" s="456"/>
      <c r="AZM177" s="456"/>
      <c r="AZN177" s="456"/>
      <c r="AZO177" s="456"/>
      <c r="AZP177" s="456"/>
      <c r="AZQ177" s="456"/>
      <c r="AZR177" s="456"/>
      <c r="AZS177" s="456"/>
      <c r="AZT177" s="456"/>
      <c r="AZU177" s="456"/>
      <c r="AZV177" s="456"/>
      <c r="AZW177" s="456"/>
      <c r="AZX177" s="456"/>
      <c r="AZY177" s="456"/>
      <c r="AZZ177" s="456"/>
      <c r="BAA177" s="456"/>
      <c r="BAB177" s="456"/>
      <c r="BAC177" s="456"/>
      <c r="BAD177" s="456"/>
      <c r="BAE177" s="456"/>
      <c r="BAF177" s="456"/>
      <c r="BAG177" s="456"/>
      <c r="BAH177" s="456"/>
      <c r="BAI177" s="456"/>
      <c r="BAJ177" s="456"/>
      <c r="BAK177" s="456"/>
      <c r="BAL177" s="456"/>
      <c r="BAM177" s="456"/>
      <c r="BAN177" s="456"/>
      <c r="BAO177" s="456"/>
      <c r="BAP177" s="456"/>
      <c r="BAQ177" s="456"/>
      <c r="BAR177" s="456"/>
      <c r="BAS177" s="456"/>
      <c r="BAT177" s="456"/>
      <c r="BAU177" s="456"/>
      <c r="BAV177" s="456"/>
      <c r="BAW177" s="456"/>
      <c r="BAX177" s="456"/>
      <c r="BAY177" s="456"/>
      <c r="BAZ177" s="456"/>
      <c r="BBA177" s="456"/>
      <c r="BBB177" s="456"/>
      <c r="BBC177" s="456"/>
      <c r="BBD177" s="456"/>
      <c r="BBE177" s="456"/>
      <c r="BBF177" s="456"/>
      <c r="BBG177" s="456"/>
      <c r="BBH177" s="456"/>
      <c r="BBI177" s="456"/>
      <c r="BBJ177" s="456"/>
      <c r="BBK177" s="456"/>
      <c r="BBL177" s="456"/>
      <c r="BBM177" s="456"/>
      <c r="BBN177" s="456"/>
      <c r="BBO177" s="456"/>
      <c r="BBP177" s="456"/>
      <c r="BBQ177" s="456"/>
      <c r="BBR177" s="456"/>
      <c r="BBS177" s="456"/>
      <c r="BBT177" s="456"/>
      <c r="BBU177" s="456"/>
      <c r="BBV177" s="456"/>
      <c r="BBW177" s="456"/>
      <c r="BBX177" s="456"/>
      <c r="BBY177" s="456"/>
      <c r="BBZ177" s="456"/>
      <c r="BCA177" s="456"/>
      <c r="BCB177" s="456"/>
      <c r="BCC177" s="456"/>
      <c r="BCD177" s="456"/>
      <c r="BCE177" s="456"/>
      <c r="BCF177" s="456"/>
      <c r="BCG177" s="456"/>
      <c r="BCH177" s="456"/>
      <c r="BCI177" s="456"/>
      <c r="BCJ177" s="456"/>
      <c r="BCK177" s="456"/>
      <c r="BCL177" s="456"/>
      <c r="BCM177" s="456"/>
      <c r="BCN177" s="456"/>
      <c r="BCO177" s="456"/>
      <c r="BCP177" s="456"/>
      <c r="BCQ177" s="456"/>
      <c r="BCR177" s="456"/>
      <c r="BCS177" s="456"/>
      <c r="BCT177" s="456"/>
      <c r="BCU177" s="456"/>
      <c r="BCV177" s="456"/>
      <c r="BCW177" s="456"/>
      <c r="BCX177" s="456"/>
      <c r="BCY177" s="456"/>
      <c r="BCZ177" s="456"/>
      <c r="BDA177" s="456"/>
      <c r="BDB177" s="456"/>
      <c r="BDC177" s="456"/>
      <c r="BDD177" s="456"/>
      <c r="BDE177" s="456"/>
      <c r="BDF177" s="456"/>
      <c r="BDG177" s="456"/>
      <c r="BDH177" s="456"/>
      <c r="BDI177" s="456"/>
      <c r="BDJ177" s="456"/>
      <c r="BDK177" s="456"/>
      <c r="BDL177" s="456"/>
      <c r="BDM177" s="456"/>
      <c r="BDN177" s="456"/>
      <c r="BDO177" s="456"/>
      <c r="BDP177" s="456"/>
      <c r="BDQ177" s="456"/>
      <c r="BDR177" s="456"/>
      <c r="BDS177" s="456"/>
      <c r="BDT177" s="456"/>
      <c r="BDU177" s="456"/>
      <c r="BDV177" s="456"/>
      <c r="BDW177" s="456"/>
      <c r="BDX177" s="456"/>
      <c r="BDY177" s="456"/>
      <c r="BDZ177" s="456"/>
      <c r="BEA177" s="456"/>
      <c r="BEB177" s="456"/>
      <c r="BEC177" s="456"/>
      <c r="BED177" s="456"/>
      <c r="BEE177" s="456"/>
      <c r="BEF177" s="456"/>
      <c r="BEG177" s="456"/>
      <c r="BEH177" s="456"/>
      <c r="BEI177" s="456"/>
      <c r="BEJ177" s="456"/>
      <c r="BEK177" s="456"/>
      <c r="BEL177" s="456"/>
      <c r="BEM177" s="456"/>
      <c r="BEN177" s="456"/>
      <c r="BEO177" s="456"/>
      <c r="BEP177" s="456"/>
      <c r="BEQ177" s="456"/>
      <c r="BER177" s="456"/>
      <c r="BES177" s="456"/>
      <c r="BET177" s="456"/>
      <c r="BEU177" s="456"/>
      <c r="BEV177" s="456"/>
      <c r="BEW177" s="456"/>
      <c r="BEX177" s="456"/>
      <c r="BEY177" s="456"/>
      <c r="BEZ177" s="456"/>
      <c r="BFA177" s="456"/>
      <c r="BFB177" s="456"/>
      <c r="BFC177" s="456"/>
      <c r="BFD177" s="456"/>
      <c r="BFE177" s="456"/>
      <c r="BFF177" s="456"/>
      <c r="BFG177" s="456"/>
      <c r="BFH177" s="456"/>
      <c r="BFI177" s="456"/>
      <c r="BFJ177" s="456"/>
      <c r="BFK177" s="456"/>
      <c r="BFL177" s="456"/>
      <c r="BFM177" s="456"/>
      <c r="BFN177" s="456"/>
      <c r="BFO177" s="456"/>
      <c r="BFP177" s="456"/>
      <c r="BFQ177" s="456"/>
      <c r="BFR177" s="456"/>
      <c r="BFS177" s="456"/>
      <c r="BFT177" s="456"/>
      <c r="BFU177" s="456"/>
      <c r="BFV177" s="456"/>
      <c r="BFW177" s="456"/>
      <c r="BFX177" s="456"/>
      <c r="BFY177" s="456"/>
      <c r="BFZ177" s="456"/>
      <c r="BGA177" s="456"/>
      <c r="BGB177" s="456"/>
      <c r="BGC177" s="456"/>
      <c r="BGD177" s="456"/>
      <c r="BGE177" s="456"/>
      <c r="BGF177" s="456"/>
      <c r="BGG177" s="456"/>
      <c r="BGH177" s="456"/>
      <c r="BGI177" s="456"/>
      <c r="BGJ177" s="456"/>
      <c r="BGK177" s="456"/>
      <c r="BGL177" s="456"/>
      <c r="BGM177" s="456"/>
      <c r="BGN177" s="456"/>
      <c r="BGO177" s="456"/>
      <c r="BGP177" s="456"/>
      <c r="BGQ177" s="456"/>
      <c r="BGR177" s="456"/>
      <c r="BGS177" s="456"/>
      <c r="BGT177" s="456"/>
      <c r="BGU177" s="456"/>
      <c r="BGV177" s="456"/>
      <c r="BGW177" s="456"/>
      <c r="BGX177" s="456"/>
      <c r="BGY177" s="456"/>
      <c r="BGZ177" s="456"/>
      <c r="BHA177" s="456"/>
      <c r="BHB177" s="456"/>
      <c r="BHC177" s="456"/>
      <c r="BHD177" s="456"/>
      <c r="BHE177" s="456"/>
      <c r="BHF177" s="456"/>
      <c r="BHG177" s="456"/>
      <c r="BHH177" s="456"/>
      <c r="BHI177" s="456"/>
      <c r="BHJ177" s="456"/>
      <c r="BHK177" s="456"/>
      <c r="BHL177" s="456"/>
      <c r="BHM177" s="456"/>
      <c r="BHN177" s="456"/>
      <c r="BHO177" s="456"/>
      <c r="BHP177" s="456"/>
      <c r="BHQ177" s="456"/>
      <c r="BHR177" s="456"/>
      <c r="BHS177" s="456"/>
      <c r="BHT177" s="456"/>
      <c r="BHU177" s="456"/>
      <c r="BHV177" s="456"/>
      <c r="BHW177" s="456"/>
      <c r="BHX177" s="456"/>
      <c r="BHY177" s="456"/>
      <c r="BHZ177" s="456"/>
      <c r="BIA177" s="456"/>
      <c r="BIB177" s="456"/>
      <c r="BIC177" s="456"/>
      <c r="BID177" s="456"/>
      <c r="BIE177" s="456"/>
      <c r="BIF177" s="456"/>
      <c r="BIG177" s="456"/>
      <c r="BIH177" s="456"/>
      <c r="BII177" s="456"/>
      <c r="BIJ177" s="456"/>
      <c r="BIK177" s="456"/>
      <c r="BIL177" s="456"/>
      <c r="BIM177" s="456"/>
      <c r="BIN177" s="456"/>
      <c r="BIO177" s="456"/>
      <c r="BIP177" s="456"/>
      <c r="BIQ177" s="456"/>
      <c r="BIR177" s="456"/>
      <c r="BIS177" s="456"/>
      <c r="BIT177" s="456"/>
      <c r="BIU177" s="456"/>
      <c r="BIV177" s="456"/>
      <c r="BIW177" s="456"/>
      <c r="BIX177" s="456"/>
      <c r="BIY177" s="456"/>
      <c r="BIZ177" s="456"/>
      <c r="BJA177" s="456"/>
      <c r="BJB177" s="456"/>
      <c r="BJC177" s="456"/>
      <c r="BJD177" s="456"/>
      <c r="BJE177" s="456"/>
      <c r="BJF177" s="456"/>
      <c r="BJG177" s="456"/>
      <c r="BJH177" s="456"/>
      <c r="BJI177" s="456"/>
      <c r="BJJ177" s="456"/>
      <c r="BJK177" s="456"/>
      <c r="BJL177" s="456"/>
      <c r="BJM177" s="456"/>
      <c r="BJN177" s="456"/>
      <c r="BJO177" s="456"/>
      <c r="BJP177" s="456"/>
      <c r="BJQ177" s="456"/>
      <c r="BJR177" s="456"/>
      <c r="BJS177" s="456"/>
      <c r="BJT177" s="456"/>
      <c r="BJU177" s="456"/>
      <c r="BJV177" s="456"/>
      <c r="BJW177" s="456"/>
      <c r="BJX177" s="456"/>
      <c r="BJY177" s="456"/>
      <c r="BJZ177" s="456"/>
      <c r="BKA177" s="456"/>
      <c r="BKB177" s="456"/>
      <c r="BKC177" s="456"/>
      <c r="BKD177" s="456"/>
      <c r="BKE177" s="456"/>
      <c r="BKF177" s="456"/>
      <c r="BKG177" s="456"/>
      <c r="BKH177" s="456"/>
      <c r="BKI177" s="456"/>
      <c r="BKJ177" s="456"/>
      <c r="BKK177" s="456"/>
      <c r="BKL177" s="456"/>
      <c r="BKM177" s="456"/>
      <c r="BKN177" s="456"/>
      <c r="BKO177" s="456"/>
      <c r="BKP177" s="456"/>
      <c r="BKQ177" s="456"/>
      <c r="BKR177" s="456"/>
      <c r="BKS177" s="456"/>
      <c r="BKT177" s="456"/>
      <c r="BKU177" s="456"/>
      <c r="BKV177" s="456"/>
      <c r="BKW177" s="456"/>
      <c r="BKX177" s="456"/>
      <c r="BKY177" s="456"/>
      <c r="BKZ177" s="456"/>
      <c r="BLA177" s="456"/>
      <c r="BLB177" s="456"/>
      <c r="BLC177" s="456"/>
      <c r="BLD177" s="456"/>
      <c r="BLE177" s="456"/>
      <c r="BLF177" s="456"/>
      <c r="BLG177" s="456"/>
      <c r="BLH177" s="456"/>
      <c r="BLI177" s="456"/>
      <c r="BLJ177" s="456"/>
      <c r="BLK177" s="456"/>
      <c r="BLL177" s="456"/>
      <c r="BLM177" s="456"/>
      <c r="BLN177" s="456"/>
      <c r="BLO177" s="456"/>
      <c r="BLP177" s="456"/>
      <c r="BLQ177" s="456"/>
      <c r="BLR177" s="456"/>
      <c r="BLS177" s="456"/>
      <c r="BLT177" s="456"/>
      <c r="BLU177" s="456"/>
      <c r="BLV177" s="456"/>
      <c r="BLW177" s="456"/>
      <c r="BLX177" s="456"/>
      <c r="BLY177" s="456"/>
      <c r="BLZ177" s="456"/>
      <c r="BMA177" s="456"/>
      <c r="BMB177" s="456"/>
      <c r="BMC177" s="456"/>
      <c r="BMD177" s="456"/>
      <c r="BME177" s="456"/>
      <c r="BMF177" s="456"/>
      <c r="BMG177" s="456"/>
      <c r="BMH177" s="456"/>
      <c r="BMI177" s="456"/>
      <c r="BMJ177" s="456"/>
      <c r="BMK177" s="456"/>
      <c r="BML177" s="456"/>
      <c r="BMM177" s="456"/>
      <c r="BMN177" s="456"/>
      <c r="BMO177" s="456"/>
      <c r="BMP177" s="456"/>
      <c r="BMQ177" s="456"/>
      <c r="BMR177" s="456"/>
      <c r="BMS177" s="456"/>
      <c r="BMT177" s="456"/>
      <c r="BMU177" s="456"/>
      <c r="BMV177" s="456"/>
      <c r="BMW177" s="456"/>
      <c r="BMX177" s="456"/>
      <c r="BMY177" s="456"/>
      <c r="BMZ177" s="456"/>
      <c r="BNA177" s="456"/>
      <c r="BNB177" s="456"/>
      <c r="BNC177" s="456"/>
      <c r="BND177" s="456"/>
      <c r="BNE177" s="456"/>
      <c r="BNF177" s="456"/>
      <c r="BNG177" s="456"/>
      <c r="BNH177" s="456"/>
      <c r="BNI177" s="456"/>
      <c r="BNJ177" s="456"/>
      <c r="BNK177" s="456"/>
      <c r="BNL177" s="456"/>
      <c r="BNM177" s="456"/>
      <c r="BNN177" s="456"/>
      <c r="BNO177" s="456"/>
      <c r="BNP177" s="456"/>
      <c r="BNQ177" s="456"/>
      <c r="BNR177" s="456"/>
      <c r="BNS177" s="456"/>
      <c r="BNT177" s="456"/>
      <c r="BNU177" s="456"/>
      <c r="BNV177" s="456"/>
      <c r="BNW177" s="456"/>
      <c r="BNX177" s="456"/>
      <c r="BNY177" s="456"/>
      <c r="BNZ177" s="456"/>
      <c r="BOA177" s="456"/>
      <c r="BOB177" s="456"/>
      <c r="BOC177" s="456"/>
      <c r="BOD177" s="456"/>
      <c r="BOE177" s="456"/>
      <c r="BOF177" s="456"/>
      <c r="BOG177" s="456"/>
      <c r="BOH177" s="456"/>
      <c r="BOI177" s="456"/>
      <c r="BOJ177" s="456"/>
      <c r="BOK177" s="456"/>
      <c r="BOL177" s="456"/>
      <c r="BOM177" s="456"/>
      <c r="BON177" s="456"/>
      <c r="BOO177" s="456"/>
      <c r="BOP177" s="456"/>
      <c r="BOQ177" s="456"/>
      <c r="BOR177" s="456"/>
      <c r="BOS177" s="456"/>
      <c r="BOT177" s="456"/>
      <c r="BOU177" s="456"/>
      <c r="BOV177" s="456"/>
      <c r="BOW177" s="456"/>
      <c r="BOX177" s="456"/>
      <c r="BOY177" s="456"/>
      <c r="BOZ177" s="456"/>
      <c r="BPA177" s="456"/>
      <c r="BPB177" s="456"/>
      <c r="BPC177" s="456"/>
      <c r="BPD177" s="456"/>
      <c r="BPE177" s="456"/>
      <c r="BPF177" s="456"/>
      <c r="BPG177" s="456"/>
      <c r="BPH177" s="456"/>
      <c r="BPI177" s="456"/>
      <c r="BPJ177" s="456"/>
      <c r="BPK177" s="456"/>
      <c r="BPL177" s="456"/>
      <c r="BPM177" s="456"/>
      <c r="BPN177" s="456"/>
      <c r="BPO177" s="456"/>
      <c r="BPP177" s="456"/>
      <c r="BPQ177" s="456"/>
      <c r="BPR177" s="456"/>
      <c r="BPS177" s="456"/>
      <c r="BPT177" s="456"/>
      <c r="BPU177" s="456"/>
      <c r="BPV177" s="456"/>
      <c r="BPW177" s="456"/>
      <c r="BPX177" s="456"/>
      <c r="BPY177" s="456"/>
      <c r="BPZ177" s="456"/>
      <c r="BQA177" s="456"/>
      <c r="BQB177" s="456"/>
      <c r="BQC177" s="456"/>
      <c r="BQD177" s="456"/>
      <c r="BQE177" s="456"/>
      <c r="BQF177" s="456"/>
      <c r="BQG177" s="456"/>
      <c r="BQH177" s="456"/>
      <c r="BQI177" s="456"/>
      <c r="BQJ177" s="456"/>
      <c r="BQK177" s="456"/>
      <c r="BQL177" s="456"/>
      <c r="BQM177" s="456"/>
      <c r="BQN177" s="456"/>
      <c r="BQO177" s="456"/>
      <c r="BQP177" s="456"/>
      <c r="BQQ177" s="456"/>
      <c r="BQR177" s="456"/>
      <c r="BQS177" s="456"/>
      <c r="BQT177" s="456"/>
      <c r="BQU177" s="456"/>
      <c r="BQV177" s="456"/>
      <c r="BQW177" s="456"/>
      <c r="BQX177" s="456"/>
      <c r="BQY177" s="456"/>
      <c r="BQZ177" s="456"/>
      <c r="BRA177" s="456"/>
      <c r="BRB177" s="456"/>
      <c r="BRC177" s="456"/>
      <c r="BRD177" s="456"/>
      <c r="BRE177" s="456"/>
      <c r="BRF177" s="456"/>
      <c r="BRG177" s="456"/>
      <c r="BRH177" s="456"/>
      <c r="BRI177" s="456"/>
      <c r="BRJ177" s="456"/>
      <c r="BRK177" s="456"/>
      <c r="BRL177" s="456"/>
      <c r="BRM177" s="456"/>
      <c r="BRN177" s="456"/>
      <c r="BRO177" s="456"/>
      <c r="BRP177" s="456"/>
      <c r="BRQ177" s="456"/>
      <c r="BRR177" s="456"/>
      <c r="BRS177" s="456"/>
      <c r="BRT177" s="456"/>
      <c r="BRU177" s="456"/>
      <c r="BRV177" s="456"/>
      <c r="BRW177" s="456"/>
      <c r="BRX177" s="456"/>
      <c r="BRY177" s="456"/>
      <c r="BRZ177" s="456"/>
      <c r="BSA177" s="456"/>
      <c r="BSB177" s="456"/>
      <c r="BSC177" s="456"/>
      <c r="BSD177" s="456"/>
      <c r="BSE177" s="456"/>
      <c r="BSF177" s="456"/>
      <c r="BSG177" s="456"/>
      <c r="BSH177" s="456"/>
      <c r="BSI177" s="456"/>
      <c r="BSJ177" s="456"/>
      <c r="BSK177" s="456"/>
      <c r="BSL177" s="456"/>
      <c r="BSM177" s="456"/>
      <c r="BSN177" s="456"/>
      <c r="BSO177" s="456"/>
      <c r="BSP177" s="456"/>
      <c r="BSQ177" s="456"/>
      <c r="BSR177" s="456"/>
      <c r="BSS177" s="456"/>
      <c r="BST177" s="456"/>
      <c r="BSU177" s="456"/>
      <c r="BSV177" s="456"/>
      <c r="BSW177" s="456"/>
      <c r="BSX177" s="456"/>
      <c r="BSY177" s="456"/>
      <c r="BSZ177" s="456"/>
      <c r="BTA177" s="456"/>
      <c r="BTB177" s="456"/>
      <c r="BTC177" s="456"/>
      <c r="BTD177" s="456"/>
      <c r="BTE177" s="456"/>
      <c r="BTF177" s="456"/>
      <c r="BTG177" s="456"/>
      <c r="BTH177" s="456"/>
      <c r="BTI177" s="456"/>
      <c r="BTJ177" s="456"/>
      <c r="BTK177" s="456"/>
      <c r="BTL177" s="456"/>
      <c r="BTM177" s="456"/>
      <c r="BTN177" s="456"/>
      <c r="BTO177" s="456"/>
      <c r="BTP177" s="456"/>
      <c r="BTQ177" s="456"/>
      <c r="BTR177" s="456"/>
      <c r="BTS177" s="456"/>
      <c r="BTT177" s="456"/>
      <c r="BTU177" s="456"/>
      <c r="BTV177" s="456"/>
      <c r="BTW177" s="456"/>
      <c r="BTX177" s="456"/>
      <c r="BTY177" s="456"/>
      <c r="BTZ177" s="456"/>
      <c r="BUA177" s="456"/>
      <c r="BUB177" s="456"/>
      <c r="BUC177" s="456"/>
      <c r="BUD177" s="456"/>
      <c r="BUE177" s="456"/>
      <c r="BUF177" s="456"/>
      <c r="BUG177" s="456"/>
      <c r="BUH177" s="456"/>
      <c r="BUI177" s="456"/>
      <c r="BUJ177" s="456"/>
      <c r="BUK177" s="456"/>
      <c r="BUL177" s="456"/>
      <c r="BUM177" s="456"/>
      <c r="BUN177" s="456"/>
      <c r="BUO177" s="456"/>
      <c r="BUP177" s="456"/>
      <c r="BUQ177" s="456"/>
      <c r="BUR177" s="456"/>
      <c r="BUS177" s="456"/>
      <c r="BUT177" s="456"/>
      <c r="BUU177" s="456"/>
      <c r="BUV177" s="456"/>
      <c r="BUW177" s="456"/>
      <c r="BUX177" s="456"/>
      <c r="BUY177" s="456"/>
      <c r="BUZ177" s="456"/>
      <c r="BVA177" s="456"/>
      <c r="BVB177" s="456"/>
      <c r="BVC177" s="456"/>
      <c r="BVD177" s="456"/>
      <c r="BVE177" s="456"/>
      <c r="BVF177" s="456"/>
      <c r="BVG177" s="456"/>
      <c r="BVH177" s="456"/>
      <c r="BVI177" s="456"/>
      <c r="BVJ177" s="456"/>
      <c r="BVK177" s="456"/>
      <c r="BVL177" s="456"/>
      <c r="BVM177" s="456"/>
      <c r="BVN177" s="456"/>
      <c r="BVO177" s="456"/>
      <c r="BVP177" s="456"/>
      <c r="BVQ177" s="456"/>
      <c r="BVR177" s="456"/>
      <c r="BVS177" s="456"/>
      <c r="BVT177" s="456"/>
      <c r="BVU177" s="456"/>
      <c r="BVV177" s="456"/>
      <c r="BVW177" s="456"/>
      <c r="BVX177" s="456"/>
      <c r="BVY177" s="456"/>
      <c r="BVZ177" s="456"/>
      <c r="BWA177" s="456"/>
      <c r="BWB177" s="456"/>
      <c r="BWC177" s="456"/>
      <c r="BWD177" s="456"/>
      <c r="BWE177" s="456"/>
      <c r="BWF177" s="456"/>
      <c r="BWG177" s="456"/>
      <c r="BWH177" s="456"/>
      <c r="BWI177" s="456"/>
      <c r="BWJ177" s="456"/>
      <c r="BWK177" s="456"/>
      <c r="BWL177" s="456"/>
      <c r="BWM177" s="456"/>
      <c r="BWN177" s="456"/>
      <c r="BWO177" s="456"/>
      <c r="BWP177" s="456"/>
      <c r="BWQ177" s="456"/>
      <c r="BWR177" s="456"/>
      <c r="BWS177" s="456"/>
      <c r="BWT177" s="456"/>
      <c r="BWU177" s="456"/>
      <c r="BWV177" s="456"/>
      <c r="BWW177" s="456"/>
      <c r="BWX177" s="456"/>
      <c r="BWY177" s="456"/>
      <c r="BWZ177" s="456"/>
      <c r="BXA177" s="456"/>
      <c r="BXB177" s="456"/>
      <c r="BXC177" s="456"/>
      <c r="BXD177" s="456"/>
      <c r="BXE177" s="456"/>
      <c r="BXF177" s="456"/>
      <c r="BXG177" s="456"/>
      <c r="BXH177" s="456"/>
      <c r="BXI177" s="456"/>
      <c r="BXJ177" s="456"/>
      <c r="BXK177" s="456"/>
      <c r="BXL177" s="456"/>
      <c r="BXM177" s="456"/>
      <c r="BXN177" s="456"/>
      <c r="BXO177" s="456"/>
      <c r="BXP177" s="456"/>
      <c r="BXQ177" s="456"/>
      <c r="BXR177" s="456"/>
      <c r="BXS177" s="456"/>
      <c r="BXT177" s="456"/>
      <c r="BXU177" s="456"/>
      <c r="BXV177" s="456"/>
      <c r="BXW177" s="456"/>
      <c r="BXX177" s="456"/>
      <c r="BXY177" s="456"/>
      <c r="BXZ177" s="456"/>
    </row>
    <row r="178" s="25" customFormat="1" spans="1:1024 1025:2002">
      <c r="A178" s="473" t="s">
        <v>34</v>
      </c>
      <c r="B178" s="19">
        <v>1134</v>
      </c>
      <c r="C178" s="183">
        <v>46224</v>
      </c>
      <c r="D178" s="17" t="s">
        <v>52</v>
      </c>
      <c r="E178" s="17" t="s">
        <v>119</v>
      </c>
      <c r="F178" s="17" t="s">
        <v>54</v>
      </c>
      <c r="G178" s="17"/>
      <c r="H178" s="19">
        <v>1.2738</v>
      </c>
      <c r="I178" s="102" t="s">
        <v>65</v>
      </c>
      <c r="J178" s="17" t="s">
        <v>49</v>
      </c>
      <c r="K178" s="432">
        <v>2200</v>
      </c>
      <c r="L178" s="432">
        <v>56</v>
      </c>
      <c r="M178" s="432">
        <v>3500</v>
      </c>
      <c r="N178" s="19" t="s">
        <v>66</v>
      </c>
      <c r="O178" s="19" t="s">
        <v>67</v>
      </c>
      <c r="P178" s="432">
        <v>4352</v>
      </c>
      <c r="Q178" s="99">
        <v>4520</v>
      </c>
      <c r="R178" s="99">
        <f t="shared" ref="R178:R210" si="12">+P178-Q178</f>
        <v>-168</v>
      </c>
      <c r="S178" s="19">
        <v>970</v>
      </c>
      <c r="T178" s="19" t="s">
        <v>42</v>
      </c>
      <c r="U178" s="102" t="s">
        <v>123</v>
      </c>
      <c r="V178" s="186">
        <v>46230</v>
      </c>
      <c r="W178" s="17" t="s">
        <v>44</v>
      </c>
      <c r="X178" s="17"/>
      <c r="Y178" s="68">
        <v>46235</v>
      </c>
      <c r="Z178" s="17" t="s">
        <v>45</v>
      </c>
      <c r="AA178" s="17" t="s">
        <v>46</v>
      </c>
      <c r="AB178" s="17" t="s">
        <v>122</v>
      </c>
      <c r="AC178" s="217">
        <v>46243</v>
      </c>
      <c r="AD178" s="65">
        <v>1847</v>
      </c>
      <c r="AE178" s="17" t="s">
        <v>48</v>
      </c>
      <c r="AF178" s="17" t="s">
        <v>61</v>
      </c>
      <c r="AG178" s="17"/>
      <c r="AH178" s="456"/>
      <c r="AI178" s="456"/>
      <c r="AJ178" s="456"/>
      <c r="AK178" s="456"/>
      <c r="AL178" s="456"/>
      <c r="AM178" s="456"/>
      <c r="AN178" s="456"/>
      <c r="AO178" s="456"/>
      <c r="AP178" s="456"/>
      <c r="AQ178" s="456"/>
      <c r="AR178" s="456"/>
      <c r="AS178" s="456"/>
      <c r="AT178" s="456"/>
      <c r="AU178" s="456"/>
      <c r="AV178" s="456"/>
      <c r="AW178" s="456"/>
      <c r="AX178" s="456"/>
      <c r="AY178" s="456"/>
      <c r="AZ178" s="456"/>
      <c r="BA178" s="456"/>
      <c r="BB178" s="456"/>
      <c r="BC178" s="456"/>
      <c r="BD178" s="456"/>
      <c r="BE178" s="456"/>
      <c r="BF178" s="456"/>
      <c r="BG178" s="456"/>
      <c r="BH178" s="456"/>
      <c r="BI178" s="456"/>
      <c r="BJ178" s="456"/>
      <c r="BK178" s="456"/>
      <c r="BL178" s="456"/>
      <c r="BM178" s="456"/>
      <c r="BN178" s="456"/>
      <c r="BO178" s="456"/>
      <c r="BP178" s="456"/>
      <c r="BQ178" s="456"/>
      <c r="BR178" s="456"/>
      <c r="BS178" s="456"/>
      <c r="BT178" s="456"/>
      <c r="BU178" s="456"/>
      <c r="BV178" s="456"/>
      <c r="BW178" s="456"/>
      <c r="BX178" s="456"/>
      <c r="BY178" s="456"/>
      <c r="BZ178" s="456"/>
      <c r="CA178" s="456"/>
      <c r="CB178" s="456"/>
      <c r="CC178" s="456"/>
      <c r="CD178" s="456"/>
      <c r="CE178" s="456"/>
      <c r="CF178" s="456"/>
      <c r="CG178" s="456"/>
      <c r="CH178" s="456"/>
      <c r="CI178" s="456"/>
      <c r="CJ178" s="456"/>
      <c r="CK178" s="456"/>
      <c r="CL178" s="456"/>
      <c r="CM178" s="456"/>
      <c r="CN178" s="456"/>
      <c r="CO178" s="456"/>
      <c r="CP178" s="456"/>
      <c r="CQ178" s="456"/>
      <c r="CR178" s="456"/>
      <c r="CS178" s="456"/>
      <c r="CT178" s="456"/>
      <c r="CU178" s="456"/>
      <c r="CV178" s="456"/>
      <c r="CW178" s="456"/>
      <c r="CX178" s="456"/>
      <c r="CY178" s="456"/>
      <c r="CZ178" s="456"/>
      <c r="DA178" s="456"/>
      <c r="DB178" s="456"/>
      <c r="DC178" s="456"/>
      <c r="DD178" s="456"/>
      <c r="DE178" s="456"/>
      <c r="DF178" s="456"/>
      <c r="DG178" s="456"/>
      <c r="DH178" s="456"/>
      <c r="DI178" s="456"/>
      <c r="DJ178" s="456"/>
      <c r="DK178" s="456"/>
      <c r="DL178" s="456"/>
      <c r="DM178" s="456"/>
      <c r="DN178" s="456"/>
      <c r="DO178" s="456"/>
      <c r="DP178" s="456"/>
      <c r="DQ178" s="456"/>
      <c r="DR178" s="456"/>
      <c r="DS178" s="456"/>
      <c r="DT178" s="456"/>
      <c r="DU178" s="456"/>
      <c r="DV178" s="456"/>
      <c r="DW178" s="456"/>
      <c r="DX178" s="456"/>
      <c r="DY178" s="456"/>
      <c r="DZ178" s="456"/>
      <c r="EA178" s="456"/>
      <c r="EB178" s="456"/>
      <c r="EC178" s="456"/>
      <c r="ED178" s="456"/>
      <c r="EE178" s="456"/>
      <c r="EF178" s="456"/>
      <c r="EG178" s="456"/>
      <c r="EH178" s="456"/>
      <c r="EI178" s="456"/>
      <c r="EJ178" s="456"/>
      <c r="EK178" s="456"/>
      <c r="EL178" s="456"/>
      <c r="EM178" s="456"/>
      <c r="EN178" s="456"/>
      <c r="EO178" s="456"/>
      <c r="EP178" s="456"/>
      <c r="EQ178" s="456"/>
      <c r="ER178" s="456"/>
      <c r="ES178" s="456"/>
      <c r="ET178" s="456"/>
      <c r="EU178" s="456"/>
      <c r="EV178" s="456"/>
      <c r="EW178" s="456"/>
      <c r="EX178" s="456"/>
      <c r="EY178" s="456"/>
      <c r="EZ178" s="456"/>
      <c r="FA178" s="456"/>
      <c r="FB178" s="456"/>
      <c r="FC178" s="456"/>
      <c r="FD178" s="456"/>
      <c r="FE178" s="456"/>
      <c r="FF178" s="456"/>
      <c r="FG178" s="456"/>
      <c r="FH178" s="456"/>
      <c r="FI178" s="456"/>
      <c r="FJ178" s="456"/>
      <c r="FK178" s="456"/>
      <c r="FL178" s="456"/>
      <c r="FM178" s="456"/>
      <c r="FN178" s="456"/>
      <c r="FO178" s="456"/>
      <c r="FP178" s="456"/>
      <c r="FQ178" s="456"/>
      <c r="FR178" s="456"/>
      <c r="FS178" s="456"/>
      <c r="FT178" s="456"/>
      <c r="FU178" s="456"/>
      <c r="FV178" s="456"/>
      <c r="FW178" s="456"/>
      <c r="FX178" s="456"/>
      <c r="FY178" s="456"/>
      <c r="FZ178" s="456"/>
      <c r="GA178" s="456"/>
      <c r="GB178" s="456"/>
      <c r="GC178" s="456"/>
      <c r="GD178" s="456"/>
      <c r="GE178" s="456"/>
      <c r="GF178" s="456"/>
      <c r="GG178" s="456"/>
      <c r="GH178" s="456"/>
      <c r="GI178" s="456"/>
      <c r="GJ178" s="456"/>
      <c r="GK178" s="456"/>
      <c r="GL178" s="456"/>
      <c r="GM178" s="456"/>
      <c r="GN178" s="456"/>
      <c r="GO178" s="456"/>
      <c r="GP178" s="456"/>
      <c r="GQ178" s="456"/>
      <c r="GR178" s="456"/>
      <c r="GS178" s="456"/>
      <c r="GT178" s="456"/>
      <c r="GU178" s="456"/>
      <c r="GV178" s="456"/>
      <c r="GW178" s="456"/>
      <c r="GX178" s="456"/>
      <c r="GY178" s="456"/>
      <c r="GZ178" s="456"/>
      <c r="HA178" s="456"/>
      <c r="HB178" s="456"/>
      <c r="HC178" s="456"/>
      <c r="HD178" s="456"/>
      <c r="HE178" s="456"/>
      <c r="HF178" s="456"/>
      <c r="HG178" s="456"/>
      <c r="HH178" s="456"/>
      <c r="HI178" s="456"/>
      <c r="HJ178" s="456"/>
      <c r="HK178" s="456"/>
      <c r="HL178" s="456"/>
      <c r="HM178" s="456"/>
      <c r="HN178" s="456"/>
      <c r="HO178" s="456"/>
      <c r="HP178" s="456"/>
      <c r="HQ178" s="456"/>
      <c r="HR178" s="456"/>
      <c r="HS178" s="456"/>
      <c r="HT178" s="456"/>
      <c r="HU178" s="456"/>
      <c r="HV178" s="456"/>
      <c r="HW178" s="456"/>
      <c r="HX178" s="456"/>
      <c r="HY178" s="456"/>
      <c r="HZ178" s="456"/>
      <c r="IA178" s="456"/>
      <c r="IB178" s="456"/>
      <c r="IC178" s="456"/>
      <c r="ID178" s="456"/>
      <c r="IE178" s="456"/>
      <c r="IF178" s="456"/>
      <c r="IG178" s="456"/>
      <c r="IH178" s="456"/>
      <c r="II178" s="456"/>
      <c r="IJ178" s="456"/>
      <c r="IK178" s="456"/>
      <c r="IL178" s="456"/>
      <c r="IM178" s="456"/>
      <c r="IN178" s="456"/>
      <c r="IO178" s="456"/>
      <c r="IP178" s="456"/>
      <c r="IQ178" s="456"/>
      <c r="IR178" s="456"/>
      <c r="IS178" s="456"/>
      <c r="IT178" s="456"/>
      <c r="IU178" s="456"/>
      <c r="IV178" s="456"/>
      <c r="IW178" s="456"/>
      <c r="IX178" s="456"/>
      <c r="IY178" s="456"/>
      <c r="IZ178" s="456"/>
      <c r="JA178" s="456"/>
      <c r="JB178" s="456"/>
      <c r="JC178" s="456"/>
      <c r="JD178" s="456"/>
      <c r="JE178" s="456"/>
      <c r="JF178" s="456"/>
      <c r="JG178" s="456"/>
      <c r="JH178" s="456"/>
      <c r="JI178" s="456"/>
      <c r="JJ178" s="456"/>
      <c r="JK178" s="456"/>
      <c r="JL178" s="456"/>
      <c r="JM178" s="456"/>
      <c r="JN178" s="456"/>
      <c r="JO178" s="456"/>
      <c r="JP178" s="456"/>
      <c r="JQ178" s="456"/>
      <c r="JR178" s="456"/>
      <c r="JS178" s="456"/>
      <c r="JT178" s="456"/>
      <c r="JU178" s="456"/>
      <c r="JV178" s="456"/>
      <c r="JW178" s="456"/>
      <c r="JX178" s="456"/>
      <c r="JY178" s="456"/>
      <c r="JZ178" s="456"/>
      <c r="KA178" s="456"/>
      <c r="KB178" s="456"/>
      <c r="KC178" s="456"/>
      <c r="KD178" s="456"/>
      <c r="KE178" s="456"/>
      <c r="KF178" s="456"/>
      <c r="KG178" s="456"/>
      <c r="KH178" s="456"/>
      <c r="KI178" s="456"/>
      <c r="KJ178" s="456"/>
      <c r="KK178" s="456"/>
      <c r="KL178" s="456"/>
      <c r="KM178" s="456"/>
      <c r="KN178" s="456"/>
      <c r="KO178" s="456"/>
      <c r="KP178" s="456"/>
      <c r="KQ178" s="456"/>
      <c r="KR178" s="456"/>
      <c r="KS178" s="456"/>
      <c r="KT178" s="456"/>
      <c r="KU178" s="456"/>
      <c r="KV178" s="456"/>
      <c r="KW178" s="456"/>
      <c r="KX178" s="456"/>
      <c r="KY178" s="456"/>
      <c r="KZ178" s="456"/>
      <c r="LA178" s="456"/>
      <c r="LB178" s="456"/>
      <c r="LC178" s="456"/>
      <c r="LD178" s="456"/>
      <c r="LE178" s="456"/>
      <c r="LF178" s="456"/>
      <c r="LG178" s="456"/>
      <c r="LH178" s="456"/>
      <c r="LI178" s="456"/>
      <c r="LJ178" s="456"/>
      <c r="LK178" s="456"/>
      <c r="LL178" s="456"/>
      <c r="LM178" s="456"/>
      <c r="LN178" s="456"/>
      <c r="LO178" s="456"/>
      <c r="LP178" s="456"/>
      <c r="LQ178" s="456"/>
      <c r="LR178" s="456"/>
      <c r="LS178" s="456"/>
      <c r="LT178" s="456"/>
      <c r="LU178" s="456"/>
      <c r="LV178" s="456"/>
      <c r="LW178" s="456"/>
      <c r="LX178" s="456"/>
      <c r="LY178" s="456"/>
      <c r="LZ178" s="456"/>
      <c r="MA178" s="456"/>
      <c r="MB178" s="456"/>
      <c r="MC178" s="456"/>
      <c r="MD178" s="456"/>
      <c r="ME178" s="456"/>
      <c r="MF178" s="456"/>
      <c r="MG178" s="456"/>
      <c r="MH178" s="456"/>
      <c r="MI178" s="456"/>
      <c r="MJ178" s="456"/>
      <c r="MK178" s="456"/>
      <c r="ML178" s="456"/>
      <c r="MM178" s="456"/>
      <c r="MN178" s="456"/>
      <c r="MO178" s="456"/>
      <c r="MP178" s="456"/>
      <c r="MQ178" s="456"/>
      <c r="MR178" s="456"/>
      <c r="MS178" s="456"/>
      <c r="MT178" s="456"/>
      <c r="MU178" s="456"/>
      <c r="MV178" s="456"/>
      <c r="MW178" s="456"/>
      <c r="MX178" s="456"/>
      <c r="MY178" s="456"/>
      <c r="MZ178" s="456"/>
      <c r="NA178" s="456"/>
      <c r="NB178" s="456"/>
      <c r="NC178" s="456"/>
      <c r="ND178" s="456"/>
      <c r="NE178" s="456"/>
      <c r="NF178" s="456"/>
      <c r="NG178" s="456"/>
      <c r="NH178" s="456"/>
      <c r="NI178" s="456"/>
      <c r="NJ178" s="456"/>
      <c r="NK178" s="456"/>
      <c r="NL178" s="456"/>
      <c r="NM178" s="456"/>
      <c r="NN178" s="456"/>
      <c r="NO178" s="456"/>
      <c r="NP178" s="456"/>
      <c r="NQ178" s="456"/>
      <c r="NR178" s="456"/>
      <c r="NS178" s="456"/>
      <c r="NT178" s="456"/>
      <c r="NU178" s="456"/>
      <c r="NV178" s="456"/>
      <c r="NW178" s="456"/>
      <c r="NX178" s="456"/>
      <c r="NY178" s="456"/>
      <c r="NZ178" s="456"/>
      <c r="OA178" s="456"/>
      <c r="OB178" s="456"/>
      <c r="OC178" s="456"/>
      <c r="OD178" s="456"/>
      <c r="OE178" s="456"/>
      <c r="OF178" s="456"/>
      <c r="OG178" s="456"/>
      <c r="OH178" s="456"/>
      <c r="OI178" s="456"/>
      <c r="OJ178" s="456"/>
      <c r="OK178" s="456"/>
      <c r="OL178" s="456"/>
      <c r="OM178" s="456"/>
      <c r="ON178" s="456"/>
      <c r="OO178" s="456"/>
      <c r="OP178" s="456"/>
      <c r="OQ178" s="456"/>
      <c r="OR178" s="456"/>
      <c r="OS178" s="456"/>
      <c r="OT178" s="456"/>
      <c r="OU178" s="456"/>
      <c r="OV178" s="456"/>
      <c r="OW178" s="456"/>
      <c r="OX178" s="456"/>
      <c r="OY178" s="456"/>
      <c r="OZ178" s="456"/>
      <c r="PA178" s="456"/>
      <c r="PB178" s="456"/>
      <c r="PC178" s="456"/>
      <c r="PD178" s="456"/>
      <c r="PE178" s="456"/>
      <c r="PF178" s="456"/>
      <c r="PG178" s="456"/>
      <c r="PH178" s="456"/>
      <c r="PI178" s="456"/>
      <c r="PJ178" s="456"/>
      <c r="PK178" s="456"/>
      <c r="PL178" s="456"/>
      <c r="PM178" s="456"/>
      <c r="PN178" s="456"/>
      <c r="PO178" s="456"/>
      <c r="PP178" s="456"/>
      <c r="PQ178" s="456"/>
      <c r="PR178" s="456"/>
      <c r="PS178" s="456"/>
      <c r="PT178" s="456"/>
      <c r="PU178" s="456"/>
      <c r="PV178" s="456"/>
      <c r="PW178" s="456"/>
      <c r="PX178" s="456"/>
      <c r="PY178" s="456"/>
      <c r="PZ178" s="456"/>
      <c r="QA178" s="456"/>
      <c r="QB178" s="456"/>
      <c r="QC178" s="456"/>
      <c r="QD178" s="456"/>
      <c r="QE178" s="456"/>
      <c r="QF178" s="456"/>
      <c r="QG178" s="456"/>
      <c r="QH178" s="456"/>
      <c r="QI178" s="456"/>
      <c r="QJ178" s="456"/>
      <c r="QK178" s="456"/>
      <c r="QL178" s="456"/>
      <c r="QM178" s="456"/>
      <c r="QN178" s="456"/>
      <c r="QO178" s="456"/>
      <c r="QP178" s="456"/>
      <c r="QQ178" s="456"/>
      <c r="QR178" s="456"/>
      <c r="QS178" s="456"/>
      <c r="QT178" s="456"/>
      <c r="QU178" s="456"/>
      <c r="QV178" s="456"/>
      <c r="QW178" s="456"/>
      <c r="QX178" s="456"/>
      <c r="QY178" s="456"/>
      <c r="QZ178" s="456"/>
      <c r="RA178" s="456"/>
      <c r="RB178" s="456"/>
      <c r="RC178" s="456"/>
      <c r="RD178" s="456"/>
      <c r="RE178" s="456"/>
      <c r="RF178" s="456"/>
      <c r="RG178" s="456"/>
      <c r="RH178" s="456"/>
      <c r="RI178" s="456"/>
      <c r="RJ178" s="456"/>
      <c r="RK178" s="456"/>
      <c r="RL178" s="456"/>
      <c r="RM178" s="456"/>
      <c r="RN178" s="456"/>
      <c r="RO178" s="456"/>
      <c r="RP178" s="456"/>
      <c r="RQ178" s="456"/>
      <c r="RR178" s="456"/>
      <c r="RS178" s="456"/>
      <c r="RT178" s="456"/>
      <c r="RU178" s="456"/>
      <c r="RV178" s="456"/>
      <c r="RW178" s="456"/>
      <c r="RX178" s="456"/>
      <c r="RY178" s="456"/>
      <c r="RZ178" s="456"/>
      <c r="SA178" s="456"/>
      <c r="SB178" s="456"/>
      <c r="SC178" s="456"/>
      <c r="SD178" s="456"/>
      <c r="SE178" s="456"/>
      <c r="SF178" s="456"/>
      <c r="SG178" s="456"/>
      <c r="SH178" s="456"/>
      <c r="SI178" s="456"/>
      <c r="SJ178" s="456"/>
      <c r="SK178" s="456"/>
      <c r="SL178" s="456"/>
      <c r="SM178" s="456"/>
      <c r="SN178" s="456"/>
      <c r="SO178" s="456"/>
      <c r="SP178" s="456"/>
      <c r="SQ178" s="456"/>
      <c r="SR178" s="456"/>
      <c r="SS178" s="456"/>
      <c r="ST178" s="456"/>
      <c r="SU178" s="456"/>
      <c r="SV178" s="456"/>
      <c r="SW178" s="456"/>
      <c r="SX178" s="456"/>
      <c r="SY178" s="456"/>
      <c r="SZ178" s="456"/>
      <c r="TA178" s="456"/>
      <c r="TB178" s="456"/>
      <c r="TC178" s="456"/>
      <c r="TD178" s="456"/>
      <c r="TE178" s="456"/>
      <c r="TF178" s="456"/>
      <c r="TG178" s="456"/>
      <c r="TH178" s="456"/>
      <c r="TI178" s="456"/>
      <c r="TJ178" s="456"/>
      <c r="TK178" s="456"/>
      <c r="TL178" s="456"/>
      <c r="TM178" s="456"/>
      <c r="TN178" s="456"/>
      <c r="TO178" s="456"/>
      <c r="TP178" s="456"/>
      <c r="TQ178" s="456"/>
      <c r="TR178" s="456"/>
      <c r="TS178" s="456"/>
      <c r="TT178" s="456"/>
      <c r="TU178" s="456"/>
      <c r="TV178" s="456"/>
      <c r="TW178" s="456"/>
      <c r="TX178" s="456"/>
      <c r="TY178" s="456"/>
      <c r="TZ178" s="456"/>
      <c r="UA178" s="456"/>
      <c r="UB178" s="456"/>
      <c r="UC178" s="456"/>
      <c r="UD178" s="456"/>
      <c r="UE178" s="456"/>
      <c r="UF178" s="456"/>
      <c r="UG178" s="456"/>
      <c r="UH178" s="456"/>
      <c r="UI178" s="456"/>
      <c r="UJ178" s="456"/>
      <c r="UK178" s="456"/>
      <c r="UL178" s="456"/>
      <c r="UM178" s="456"/>
      <c r="UN178" s="456"/>
      <c r="UO178" s="456"/>
      <c r="UP178" s="456"/>
      <c r="UQ178" s="456"/>
      <c r="UR178" s="456"/>
      <c r="US178" s="456"/>
      <c r="UT178" s="456"/>
      <c r="UU178" s="456"/>
      <c r="UV178" s="456"/>
      <c r="UW178" s="456"/>
      <c r="UX178" s="456"/>
      <c r="UY178" s="456"/>
      <c r="UZ178" s="456"/>
      <c r="VA178" s="456"/>
      <c r="VB178" s="456"/>
      <c r="VC178" s="456"/>
      <c r="VD178" s="456"/>
      <c r="VE178" s="456"/>
      <c r="VF178" s="456"/>
      <c r="VG178" s="456"/>
      <c r="VH178" s="456"/>
      <c r="VI178" s="456"/>
      <c r="VJ178" s="456"/>
      <c r="VK178" s="456"/>
      <c r="VL178" s="456"/>
      <c r="VM178" s="456"/>
      <c r="VN178" s="456"/>
      <c r="VO178" s="456"/>
      <c r="VP178" s="456"/>
      <c r="VQ178" s="456"/>
      <c r="VR178" s="456"/>
      <c r="VS178" s="456"/>
      <c r="VT178" s="456"/>
      <c r="VU178" s="456"/>
      <c r="VV178" s="456"/>
      <c r="VW178" s="456"/>
      <c r="VX178" s="456"/>
      <c r="VY178" s="456"/>
      <c r="VZ178" s="456"/>
      <c r="WA178" s="456"/>
      <c r="WB178" s="456"/>
      <c r="WC178" s="456"/>
      <c r="WD178" s="456"/>
      <c r="WE178" s="456"/>
      <c r="WF178" s="456"/>
      <c r="WG178" s="456"/>
      <c r="WH178" s="456"/>
      <c r="WI178" s="456"/>
      <c r="WJ178" s="456"/>
      <c r="WK178" s="456"/>
      <c r="WL178" s="456"/>
      <c r="WM178" s="456"/>
      <c r="WN178" s="456"/>
      <c r="WO178" s="456"/>
      <c r="WP178" s="456"/>
      <c r="WQ178" s="456"/>
      <c r="WR178" s="456"/>
      <c r="WS178" s="456"/>
      <c r="WT178" s="456"/>
      <c r="WU178" s="456"/>
      <c r="WV178" s="456"/>
      <c r="WW178" s="456"/>
      <c r="WX178" s="456"/>
      <c r="WY178" s="456"/>
      <c r="WZ178" s="456"/>
      <c r="XA178" s="456"/>
      <c r="XB178" s="456"/>
      <c r="XC178" s="456"/>
      <c r="XD178" s="456"/>
      <c r="XE178" s="456"/>
      <c r="XF178" s="456"/>
      <c r="XG178" s="456"/>
      <c r="XH178" s="456"/>
      <c r="XI178" s="456"/>
      <c r="XJ178" s="456"/>
      <c r="XK178" s="456"/>
      <c r="XL178" s="456"/>
      <c r="XM178" s="456"/>
      <c r="XN178" s="456"/>
      <c r="XO178" s="456"/>
      <c r="XP178" s="456"/>
      <c r="XQ178" s="456"/>
      <c r="XR178" s="456"/>
      <c r="XS178" s="456"/>
      <c r="XT178" s="456"/>
      <c r="XU178" s="456"/>
      <c r="XV178" s="456"/>
      <c r="XW178" s="456"/>
      <c r="XX178" s="456"/>
      <c r="XY178" s="456"/>
      <c r="XZ178" s="456"/>
      <c r="YA178" s="456"/>
      <c r="YB178" s="456"/>
      <c r="YC178" s="456"/>
      <c r="YD178" s="456"/>
      <c r="YE178" s="456"/>
      <c r="YF178" s="456"/>
      <c r="YG178" s="456"/>
      <c r="YH178" s="456"/>
      <c r="YI178" s="456"/>
      <c r="YJ178" s="456"/>
      <c r="YK178" s="456"/>
      <c r="YL178" s="456"/>
      <c r="YM178" s="456"/>
      <c r="YN178" s="456"/>
      <c r="YO178" s="456"/>
      <c r="YP178" s="456"/>
      <c r="YQ178" s="456"/>
      <c r="YR178" s="456"/>
      <c r="YS178" s="456"/>
      <c r="YT178" s="456"/>
      <c r="YU178" s="456"/>
      <c r="YV178" s="456"/>
      <c r="YW178" s="456"/>
      <c r="YX178" s="456"/>
      <c r="YY178" s="456"/>
      <c r="YZ178" s="456"/>
      <c r="ZA178" s="456"/>
      <c r="ZB178" s="456"/>
      <c r="ZC178" s="456"/>
      <c r="ZD178" s="456"/>
      <c r="ZE178" s="456"/>
      <c r="ZF178" s="456"/>
      <c r="ZG178" s="456"/>
      <c r="ZH178" s="456"/>
      <c r="ZI178" s="456"/>
      <c r="ZJ178" s="456"/>
      <c r="ZK178" s="456"/>
      <c r="ZL178" s="456"/>
      <c r="ZM178" s="456"/>
      <c r="ZN178" s="456"/>
      <c r="ZO178" s="456"/>
      <c r="ZP178" s="456"/>
      <c r="ZQ178" s="456"/>
      <c r="ZR178" s="456"/>
      <c r="ZS178" s="456"/>
      <c r="ZT178" s="456"/>
      <c r="ZU178" s="456"/>
      <c r="ZV178" s="456"/>
      <c r="ZW178" s="456"/>
      <c r="ZX178" s="456"/>
      <c r="ZY178" s="456"/>
      <c r="ZZ178" s="456"/>
      <c r="AAA178" s="456"/>
      <c r="AAB178" s="456"/>
      <c r="AAC178" s="456"/>
      <c r="AAD178" s="456"/>
      <c r="AAE178" s="456"/>
      <c r="AAF178" s="456"/>
      <c r="AAG178" s="456"/>
      <c r="AAH178" s="456"/>
      <c r="AAI178" s="456"/>
      <c r="AAJ178" s="456"/>
      <c r="AAK178" s="456"/>
      <c r="AAL178" s="456"/>
      <c r="AAM178" s="456"/>
      <c r="AAN178" s="456"/>
      <c r="AAO178" s="456"/>
      <c r="AAP178" s="456"/>
      <c r="AAQ178" s="456"/>
      <c r="AAR178" s="456"/>
      <c r="AAS178" s="456"/>
      <c r="AAT178" s="456"/>
      <c r="AAU178" s="456"/>
      <c r="AAV178" s="456"/>
      <c r="AAW178" s="456"/>
      <c r="AAX178" s="456"/>
      <c r="AAY178" s="456"/>
      <c r="AAZ178" s="456"/>
      <c r="ABA178" s="456"/>
      <c r="ABB178" s="456"/>
      <c r="ABC178" s="456"/>
      <c r="ABD178" s="456"/>
      <c r="ABE178" s="456"/>
      <c r="ABF178" s="456"/>
      <c r="ABG178" s="456"/>
      <c r="ABH178" s="456"/>
      <c r="ABI178" s="456"/>
      <c r="ABJ178" s="456"/>
      <c r="ABK178" s="456"/>
      <c r="ABL178" s="456"/>
      <c r="ABM178" s="456"/>
      <c r="ABN178" s="456"/>
      <c r="ABO178" s="456"/>
      <c r="ABP178" s="456"/>
      <c r="ABQ178" s="456"/>
      <c r="ABR178" s="456"/>
      <c r="ABS178" s="456"/>
      <c r="ABT178" s="456"/>
      <c r="ABU178" s="456"/>
      <c r="ABV178" s="456"/>
      <c r="ABW178" s="456"/>
      <c r="ABX178" s="456"/>
      <c r="ABY178" s="456"/>
      <c r="ABZ178" s="456"/>
      <c r="ACA178" s="456"/>
      <c r="ACB178" s="456"/>
      <c r="ACC178" s="456"/>
      <c r="ACD178" s="456"/>
      <c r="ACE178" s="456"/>
      <c r="ACF178" s="456"/>
      <c r="ACG178" s="456"/>
      <c r="ACH178" s="456"/>
      <c r="ACI178" s="456"/>
      <c r="ACJ178" s="456"/>
      <c r="ACK178" s="456"/>
      <c r="ACL178" s="456"/>
      <c r="ACM178" s="456"/>
      <c r="ACN178" s="456"/>
      <c r="ACO178" s="456"/>
      <c r="ACP178" s="456"/>
      <c r="ACQ178" s="456"/>
      <c r="ACR178" s="456"/>
      <c r="ACS178" s="456"/>
      <c r="ACT178" s="456"/>
      <c r="ACU178" s="456"/>
      <c r="ACV178" s="456"/>
      <c r="ACW178" s="456"/>
      <c r="ACX178" s="456"/>
      <c r="ACY178" s="456"/>
      <c r="ACZ178" s="456"/>
      <c r="ADA178" s="456"/>
      <c r="ADB178" s="456"/>
      <c r="ADC178" s="456"/>
      <c r="ADD178" s="456"/>
      <c r="ADE178" s="456"/>
      <c r="ADF178" s="456"/>
      <c r="ADG178" s="456"/>
      <c r="ADH178" s="456"/>
      <c r="ADI178" s="456"/>
      <c r="ADJ178" s="456"/>
      <c r="ADK178" s="456"/>
      <c r="ADL178" s="456"/>
      <c r="ADM178" s="456"/>
      <c r="ADN178" s="456"/>
      <c r="ADO178" s="456"/>
      <c r="ADP178" s="456"/>
      <c r="ADQ178" s="456"/>
      <c r="ADR178" s="456"/>
      <c r="ADS178" s="456"/>
      <c r="ADT178" s="456"/>
      <c r="ADU178" s="456"/>
      <c r="ADV178" s="456"/>
      <c r="ADW178" s="456"/>
      <c r="ADX178" s="456"/>
      <c r="ADY178" s="456"/>
      <c r="ADZ178" s="456"/>
      <c r="AEA178" s="456"/>
      <c r="AEB178" s="456"/>
      <c r="AEC178" s="456"/>
      <c r="AED178" s="456"/>
      <c r="AEE178" s="456"/>
      <c r="AEF178" s="456"/>
      <c r="AEG178" s="456"/>
      <c r="AEH178" s="456"/>
      <c r="AEI178" s="456"/>
      <c r="AEJ178" s="456"/>
      <c r="AEK178" s="456"/>
      <c r="AEL178" s="456"/>
      <c r="AEM178" s="456"/>
      <c r="AEN178" s="456"/>
      <c r="AEO178" s="456"/>
      <c r="AEP178" s="456"/>
      <c r="AEQ178" s="456"/>
      <c r="AER178" s="456"/>
      <c r="AES178" s="456"/>
      <c r="AET178" s="456"/>
      <c r="AEU178" s="456"/>
      <c r="AEV178" s="456"/>
      <c r="AEW178" s="456"/>
      <c r="AEX178" s="456"/>
      <c r="AEY178" s="456"/>
      <c r="AEZ178" s="456"/>
      <c r="AFA178" s="456"/>
      <c r="AFB178" s="456"/>
      <c r="AFC178" s="456"/>
      <c r="AFD178" s="456"/>
      <c r="AFE178" s="456"/>
      <c r="AFF178" s="456"/>
      <c r="AFG178" s="456"/>
      <c r="AFH178" s="456"/>
      <c r="AFI178" s="456"/>
      <c r="AFJ178" s="456"/>
      <c r="AFK178" s="456"/>
      <c r="AFL178" s="456"/>
      <c r="AFM178" s="456"/>
      <c r="AFN178" s="456"/>
      <c r="AFO178" s="456"/>
      <c r="AFP178" s="456"/>
      <c r="AFQ178" s="456"/>
      <c r="AFR178" s="456"/>
      <c r="AFS178" s="456"/>
      <c r="AFT178" s="456"/>
      <c r="AFU178" s="456"/>
      <c r="AFV178" s="456"/>
      <c r="AFW178" s="456"/>
      <c r="AFX178" s="456"/>
      <c r="AFY178" s="456"/>
      <c r="AFZ178" s="456"/>
      <c r="AGA178" s="456"/>
      <c r="AGB178" s="456"/>
      <c r="AGC178" s="456"/>
      <c r="AGD178" s="456"/>
      <c r="AGE178" s="456"/>
      <c r="AGF178" s="456"/>
      <c r="AGG178" s="456"/>
      <c r="AGH178" s="456"/>
      <c r="AGI178" s="456"/>
      <c r="AGJ178" s="456"/>
      <c r="AGK178" s="456"/>
      <c r="AGL178" s="456"/>
      <c r="AGM178" s="456"/>
      <c r="AGN178" s="456"/>
      <c r="AGO178" s="456"/>
      <c r="AGP178" s="456"/>
      <c r="AGQ178" s="456"/>
      <c r="AGR178" s="456"/>
      <c r="AGS178" s="456"/>
      <c r="AGT178" s="456"/>
      <c r="AGU178" s="456"/>
      <c r="AGV178" s="456"/>
      <c r="AGW178" s="456"/>
      <c r="AGX178" s="456"/>
      <c r="AGY178" s="456"/>
      <c r="AGZ178" s="456"/>
      <c r="AHA178" s="456"/>
      <c r="AHB178" s="456"/>
      <c r="AHC178" s="456"/>
      <c r="AHD178" s="456"/>
      <c r="AHE178" s="456"/>
      <c r="AHF178" s="456"/>
      <c r="AHG178" s="456"/>
      <c r="AHH178" s="456"/>
      <c r="AHI178" s="456"/>
      <c r="AHJ178" s="456"/>
      <c r="AHK178" s="456"/>
      <c r="AHL178" s="456"/>
      <c r="AHM178" s="456"/>
      <c r="AHN178" s="456"/>
      <c r="AHO178" s="456"/>
      <c r="AHP178" s="456"/>
      <c r="AHQ178" s="456"/>
      <c r="AHR178" s="456"/>
      <c r="AHS178" s="456"/>
      <c r="AHT178" s="456"/>
      <c r="AHU178" s="456"/>
      <c r="AHV178" s="456"/>
      <c r="AHW178" s="456"/>
      <c r="AHX178" s="456"/>
      <c r="AHY178" s="456"/>
      <c r="AHZ178" s="456"/>
      <c r="AIA178" s="456"/>
      <c r="AIB178" s="456"/>
      <c r="AIC178" s="456"/>
      <c r="AID178" s="456"/>
      <c r="AIE178" s="456"/>
      <c r="AIF178" s="456"/>
      <c r="AIG178" s="456"/>
      <c r="AIH178" s="456"/>
      <c r="AII178" s="456"/>
      <c r="AIJ178" s="456"/>
      <c r="AIK178" s="456"/>
      <c r="AIL178" s="456"/>
      <c r="AIM178" s="456"/>
      <c r="AIN178" s="456"/>
      <c r="AIO178" s="456"/>
      <c r="AIP178" s="456"/>
      <c r="AIQ178" s="456"/>
      <c r="AIR178" s="456"/>
      <c r="AIS178" s="456"/>
      <c r="AIT178" s="456"/>
      <c r="AIU178" s="456"/>
      <c r="AIV178" s="456"/>
      <c r="AIW178" s="456"/>
      <c r="AIX178" s="456"/>
      <c r="AIY178" s="456"/>
      <c r="AIZ178" s="456"/>
      <c r="AJA178" s="456"/>
      <c r="AJB178" s="456"/>
      <c r="AJC178" s="456"/>
      <c r="AJD178" s="456"/>
      <c r="AJE178" s="456"/>
      <c r="AJF178" s="456"/>
      <c r="AJG178" s="456"/>
      <c r="AJH178" s="456"/>
      <c r="AJI178" s="456"/>
      <c r="AJJ178" s="456"/>
      <c r="AJK178" s="456"/>
      <c r="AJL178" s="456"/>
      <c r="AJM178" s="456"/>
      <c r="AJN178" s="456"/>
      <c r="AJO178" s="456"/>
      <c r="AJP178" s="456"/>
      <c r="AJQ178" s="456"/>
      <c r="AJR178" s="456"/>
      <c r="AJS178" s="456"/>
      <c r="AJT178" s="456"/>
      <c r="AJU178" s="456"/>
      <c r="AJV178" s="456"/>
      <c r="AJW178" s="456"/>
      <c r="AJX178" s="456"/>
      <c r="AJY178" s="456"/>
      <c r="AJZ178" s="456"/>
      <c r="AKA178" s="456"/>
      <c r="AKB178" s="456"/>
      <c r="AKC178" s="456"/>
      <c r="AKD178" s="456"/>
      <c r="AKE178" s="456"/>
      <c r="AKF178" s="456"/>
      <c r="AKG178" s="456"/>
      <c r="AKH178" s="456"/>
      <c r="AKI178" s="456"/>
      <c r="AKJ178" s="456"/>
      <c r="AKK178" s="456"/>
      <c r="AKL178" s="456"/>
      <c r="AKM178" s="456"/>
      <c r="AKN178" s="456"/>
      <c r="AKO178" s="456"/>
      <c r="AKP178" s="456"/>
      <c r="AKQ178" s="456"/>
      <c r="AKR178" s="456"/>
      <c r="AKS178" s="456"/>
      <c r="AKT178" s="456"/>
      <c r="AKU178" s="456"/>
      <c r="AKV178" s="456"/>
      <c r="AKW178" s="456"/>
      <c r="AKX178" s="456"/>
      <c r="AKY178" s="456"/>
      <c r="AKZ178" s="456"/>
      <c r="ALA178" s="456"/>
      <c r="ALB178" s="456"/>
      <c r="ALC178" s="456"/>
      <c r="ALD178" s="456"/>
      <c r="ALE178" s="456"/>
      <c r="ALF178" s="456"/>
      <c r="ALG178" s="456"/>
      <c r="ALH178" s="456"/>
      <c r="ALI178" s="456"/>
      <c r="ALJ178" s="456"/>
      <c r="ALK178" s="456"/>
      <c r="ALL178" s="456"/>
      <c r="ALM178" s="456"/>
      <c r="ALN178" s="456"/>
      <c r="ALO178" s="456"/>
      <c r="ALP178" s="456"/>
      <c r="ALQ178" s="456"/>
      <c r="ALR178" s="456"/>
      <c r="ALS178" s="456"/>
      <c r="ALT178" s="456"/>
      <c r="ALU178" s="456"/>
      <c r="ALV178" s="456"/>
      <c r="ALW178" s="456"/>
      <c r="ALX178" s="456"/>
      <c r="ALY178" s="456"/>
      <c r="ALZ178" s="456"/>
      <c r="AMA178" s="456"/>
      <c r="AMB178" s="456"/>
      <c r="AMC178" s="456"/>
      <c r="AMD178" s="456"/>
      <c r="AME178" s="456"/>
      <c r="AMF178" s="456"/>
      <c r="AMG178" s="456"/>
      <c r="AMH178" s="456"/>
      <c r="AMI178" s="456"/>
      <c r="AMJ178" s="456"/>
      <c r="AMK178" s="456"/>
      <c r="AML178" s="456"/>
      <c r="AMM178" s="456"/>
      <c r="AMN178" s="456"/>
      <c r="AMO178" s="456"/>
      <c r="AMP178" s="456"/>
      <c r="AMQ178" s="456"/>
      <c r="AMR178" s="456"/>
      <c r="AMS178" s="456"/>
      <c r="AMT178" s="456"/>
      <c r="AMU178" s="456"/>
      <c r="AMV178" s="456"/>
      <c r="AMW178" s="456"/>
      <c r="AMX178" s="456"/>
      <c r="AMY178" s="456"/>
      <c r="AMZ178" s="456"/>
      <c r="ANA178" s="456"/>
      <c r="ANB178" s="456"/>
      <c r="ANC178" s="456"/>
      <c r="AND178" s="456"/>
      <c r="ANE178" s="456"/>
      <c r="ANF178" s="456"/>
      <c r="ANG178" s="456"/>
      <c r="ANH178" s="456"/>
      <c r="ANI178" s="456"/>
      <c r="ANJ178" s="456"/>
      <c r="ANK178" s="456"/>
      <c r="ANL178" s="456"/>
      <c r="ANM178" s="456"/>
      <c r="ANN178" s="456"/>
      <c r="ANO178" s="456"/>
      <c r="ANP178" s="456"/>
      <c r="ANQ178" s="456"/>
      <c r="ANR178" s="456"/>
      <c r="ANS178" s="456"/>
      <c r="ANT178" s="456"/>
      <c r="ANU178" s="456"/>
      <c r="ANV178" s="456"/>
      <c r="ANW178" s="456"/>
      <c r="ANX178" s="456"/>
      <c r="ANY178" s="456"/>
      <c r="ANZ178" s="456"/>
      <c r="AOA178" s="456"/>
      <c r="AOB178" s="456"/>
      <c r="AOC178" s="456"/>
      <c r="AOD178" s="456"/>
      <c r="AOE178" s="456"/>
      <c r="AOF178" s="456"/>
      <c r="AOG178" s="456"/>
      <c r="AOH178" s="456"/>
      <c r="AOI178" s="456"/>
      <c r="AOJ178" s="456"/>
      <c r="AOK178" s="456"/>
      <c r="AOL178" s="456"/>
      <c r="AOM178" s="456"/>
      <c r="AON178" s="456"/>
      <c r="AOO178" s="456"/>
      <c r="AOP178" s="456"/>
      <c r="AOQ178" s="456"/>
      <c r="AOR178" s="456"/>
      <c r="AOS178" s="456"/>
      <c r="AOT178" s="456"/>
      <c r="AOU178" s="456"/>
      <c r="AOV178" s="456"/>
      <c r="AOW178" s="456"/>
      <c r="AOX178" s="456"/>
      <c r="AOY178" s="456"/>
      <c r="AOZ178" s="456"/>
      <c r="APA178" s="456"/>
      <c r="APB178" s="456"/>
      <c r="APC178" s="456"/>
      <c r="APD178" s="456"/>
      <c r="APE178" s="456"/>
      <c r="APF178" s="456"/>
      <c r="APG178" s="456"/>
      <c r="APH178" s="456"/>
      <c r="API178" s="456"/>
      <c r="APJ178" s="456"/>
      <c r="APK178" s="456"/>
      <c r="APL178" s="456"/>
      <c r="APM178" s="456"/>
      <c r="APN178" s="456"/>
      <c r="APO178" s="456"/>
      <c r="APP178" s="456"/>
      <c r="APQ178" s="456"/>
      <c r="APR178" s="456"/>
      <c r="APS178" s="456"/>
      <c r="APT178" s="456"/>
      <c r="APU178" s="456"/>
      <c r="APV178" s="456"/>
      <c r="APW178" s="456"/>
      <c r="APX178" s="456"/>
      <c r="APY178" s="456"/>
      <c r="APZ178" s="456"/>
      <c r="AQA178" s="456"/>
      <c r="AQB178" s="456"/>
      <c r="AQC178" s="456"/>
      <c r="AQD178" s="456"/>
      <c r="AQE178" s="456"/>
      <c r="AQF178" s="456"/>
      <c r="AQG178" s="456"/>
      <c r="AQH178" s="456"/>
      <c r="AQI178" s="456"/>
      <c r="AQJ178" s="456"/>
      <c r="AQK178" s="456"/>
      <c r="AQL178" s="456"/>
      <c r="AQM178" s="456"/>
      <c r="AQN178" s="456"/>
      <c r="AQO178" s="456"/>
      <c r="AQP178" s="456"/>
      <c r="AQQ178" s="456"/>
      <c r="AQR178" s="456"/>
      <c r="AQS178" s="456"/>
      <c r="AQT178" s="456"/>
      <c r="AQU178" s="456"/>
      <c r="AQV178" s="456"/>
      <c r="AQW178" s="456"/>
      <c r="AQX178" s="456"/>
      <c r="AQY178" s="456"/>
      <c r="AQZ178" s="456"/>
      <c r="ARA178" s="456"/>
      <c r="ARB178" s="456"/>
      <c r="ARC178" s="456"/>
      <c r="ARD178" s="456"/>
      <c r="ARE178" s="456"/>
      <c r="ARF178" s="456"/>
      <c r="ARG178" s="456"/>
      <c r="ARH178" s="456"/>
      <c r="ARI178" s="456"/>
      <c r="ARJ178" s="456"/>
      <c r="ARK178" s="456"/>
      <c r="ARL178" s="456"/>
      <c r="ARM178" s="456"/>
      <c r="ARN178" s="456"/>
      <c r="ARO178" s="456"/>
      <c r="ARP178" s="456"/>
      <c r="ARQ178" s="456"/>
      <c r="ARR178" s="456"/>
      <c r="ARS178" s="456"/>
      <c r="ART178" s="456"/>
      <c r="ARU178" s="456"/>
      <c r="ARV178" s="456"/>
      <c r="ARW178" s="456"/>
      <c r="ARX178" s="456"/>
      <c r="ARY178" s="456"/>
      <c r="ARZ178" s="456"/>
      <c r="ASA178" s="456"/>
      <c r="ASB178" s="456"/>
      <c r="ASC178" s="456"/>
      <c r="ASD178" s="456"/>
      <c r="ASE178" s="456"/>
      <c r="ASF178" s="456"/>
      <c r="ASG178" s="456"/>
      <c r="ASH178" s="456"/>
      <c r="ASI178" s="456"/>
      <c r="ASJ178" s="456"/>
      <c r="ASK178" s="456"/>
      <c r="ASL178" s="456"/>
      <c r="ASM178" s="456"/>
      <c r="ASN178" s="456"/>
      <c r="ASO178" s="456"/>
      <c r="ASP178" s="456"/>
      <c r="ASQ178" s="456"/>
      <c r="ASR178" s="456"/>
      <c r="ASS178" s="456"/>
      <c r="AST178" s="456"/>
      <c r="ASU178" s="456"/>
      <c r="ASV178" s="456"/>
      <c r="ASW178" s="456"/>
      <c r="ASX178" s="456"/>
      <c r="ASY178" s="456"/>
      <c r="ASZ178" s="456"/>
      <c r="ATA178" s="456"/>
      <c r="ATB178" s="456"/>
      <c r="ATC178" s="456"/>
      <c r="ATD178" s="456"/>
      <c r="ATE178" s="456"/>
      <c r="ATF178" s="456"/>
      <c r="ATG178" s="456"/>
      <c r="ATH178" s="456"/>
      <c r="ATI178" s="456"/>
      <c r="ATJ178" s="456"/>
      <c r="ATK178" s="456"/>
      <c r="ATL178" s="456"/>
      <c r="ATM178" s="456"/>
      <c r="ATN178" s="456"/>
      <c r="ATO178" s="456"/>
      <c r="ATP178" s="456"/>
      <c r="ATQ178" s="456"/>
      <c r="ATR178" s="456"/>
      <c r="ATS178" s="456"/>
      <c r="ATT178" s="456"/>
      <c r="ATU178" s="456"/>
      <c r="ATV178" s="456"/>
      <c r="ATW178" s="456"/>
      <c r="ATX178" s="456"/>
      <c r="ATY178" s="456"/>
      <c r="ATZ178" s="456"/>
      <c r="AUA178" s="456"/>
      <c r="AUB178" s="456"/>
      <c r="AUC178" s="456"/>
      <c r="AUD178" s="456"/>
      <c r="AUE178" s="456"/>
      <c r="AUF178" s="456"/>
      <c r="AUG178" s="456"/>
      <c r="AUH178" s="456"/>
      <c r="AUI178" s="456"/>
      <c r="AUJ178" s="456"/>
      <c r="AUK178" s="456"/>
      <c r="AUL178" s="456"/>
      <c r="AUM178" s="456"/>
      <c r="AUN178" s="456"/>
      <c r="AUO178" s="456"/>
      <c r="AUP178" s="456"/>
      <c r="AUQ178" s="456"/>
      <c r="AUR178" s="456"/>
      <c r="AUS178" s="456"/>
      <c r="AUT178" s="456"/>
      <c r="AUU178" s="456"/>
      <c r="AUV178" s="456"/>
      <c r="AUW178" s="456"/>
      <c r="AUX178" s="456"/>
      <c r="AUY178" s="456"/>
      <c r="AUZ178" s="456"/>
      <c r="AVA178" s="456"/>
      <c r="AVB178" s="456"/>
      <c r="AVC178" s="456"/>
      <c r="AVD178" s="456"/>
      <c r="AVE178" s="456"/>
      <c r="AVF178" s="456"/>
      <c r="AVG178" s="456"/>
      <c r="AVH178" s="456"/>
      <c r="AVI178" s="456"/>
      <c r="AVJ178" s="456"/>
      <c r="AVK178" s="456"/>
      <c r="AVL178" s="456"/>
      <c r="AVM178" s="456"/>
      <c r="AVN178" s="456"/>
      <c r="AVO178" s="456"/>
      <c r="AVP178" s="456"/>
      <c r="AVQ178" s="456"/>
      <c r="AVR178" s="456"/>
      <c r="AVS178" s="456"/>
      <c r="AVT178" s="456"/>
      <c r="AVU178" s="456"/>
      <c r="AVV178" s="456"/>
      <c r="AVW178" s="456"/>
      <c r="AVX178" s="456"/>
      <c r="AVY178" s="456"/>
      <c r="AVZ178" s="456"/>
      <c r="AWA178" s="456"/>
      <c r="AWB178" s="456"/>
      <c r="AWC178" s="456"/>
      <c r="AWD178" s="456"/>
      <c r="AWE178" s="456"/>
      <c r="AWF178" s="456"/>
      <c r="AWG178" s="456"/>
      <c r="AWH178" s="456"/>
      <c r="AWI178" s="456"/>
      <c r="AWJ178" s="456"/>
      <c r="AWK178" s="456"/>
      <c r="AWL178" s="456"/>
      <c r="AWM178" s="456"/>
      <c r="AWN178" s="456"/>
      <c r="AWO178" s="456"/>
      <c r="AWP178" s="456"/>
      <c r="AWQ178" s="456"/>
      <c r="AWR178" s="456"/>
      <c r="AWS178" s="456"/>
      <c r="AWT178" s="456"/>
      <c r="AWU178" s="456"/>
      <c r="AWV178" s="456"/>
      <c r="AWW178" s="456"/>
      <c r="AWX178" s="456"/>
      <c r="AWY178" s="456"/>
      <c r="AWZ178" s="456"/>
      <c r="AXA178" s="456"/>
      <c r="AXB178" s="456"/>
      <c r="AXC178" s="456"/>
      <c r="AXD178" s="456"/>
      <c r="AXE178" s="456"/>
      <c r="AXF178" s="456"/>
      <c r="AXG178" s="456"/>
      <c r="AXH178" s="456"/>
      <c r="AXI178" s="456"/>
      <c r="AXJ178" s="456"/>
      <c r="AXK178" s="456"/>
      <c r="AXL178" s="456"/>
      <c r="AXM178" s="456"/>
      <c r="AXN178" s="456"/>
      <c r="AXO178" s="456"/>
      <c r="AXP178" s="456"/>
      <c r="AXQ178" s="456"/>
      <c r="AXR178" s="456"/>
      <c r="AXS178" s="456"/>
      <c r="AXT178" s="456"/>
      <c r="AXU178" s="456"/>
      <c r="AXV178" s="456"/>
      <c r="AXW178" s="456"/>
      <c r="AXX178" s="456"/>
      <c r="AXY178" s="456"/>
      <c r="AXZ178" s="456"/>
      <c r="AYA178" s="456"/>
      <c r="AYB178" s="456"/>
      <c r="AYC178" s="456"/>
      <c r="AYD178" s="456"/>
      <c r="AYE178" s="456"/>
      <c r="AYF178" s="456"/>
      <c r="AYG178" s="456"/>
      <c r="AYH178" s="456"/>
      <c r="AYI178" s="456"/>
      <c r="AYJ178" s="456"/>
      <c r="AYK178" s="456"/>
      <c r="AYL178" s="456"/>
      <c r="AYM178" s="456"/>
      <c r="AYN178" s="456"/>
      <c r="AYO178" s="456"/>
      <c r="AYP178" s="456"/>
      <c r="AYQ178" s="456"/>
      <c r="AYR178" s="456"/>
      <c r="AYS178" s="456"/>
      <c r="AYT178" s="456"/>
      <c r="AYU178" s="456"/>
      <c r="AYV178" s="456"/>
      <c r="AYW178" s="456"/>
      <c r="AYX178" s="456"/>
      <c r="AYY178" s="456"/>
      <c r="AYZ178" s="456"/>
      <c r="AZA178" s="456"/>
      <c r="AZB178" s="456"/>
      <c r="AZC178" s="456"/>
      <c r="AZD178" s="456"/>
      <c r="AZE178" s="456"/>
      <c r="AZF178" s="456"/>
      <c r="AZG178" s="456"/>
      <c r="AZH178" s="456"/>
      <c r="AZI178" s="456"/>
      <c r="AZJ178" s="456"/>
      <c r="AZK178" s="456"/>
      <c r="AZL178" s="456"/>
      <c r="AZM178" s="456"/>
      <c r="AZN178" s="456"/>
      <c r="AZO178" s="456"/>
      <c r="AZP178" s="456"/>
      <c r="AZQ178" s="456"/>
      <c r="AZR178" s="456"/>
      <c r="AZS178" s="456"/>
      <c r="AZT178" s="456"/>
      <c r="AZU178" s="456"/>
      <c r="AZV178" s="456"/>
      <c r="AZW178" s="456"/>
      <c r="AZX178" s="456"/>
      <c r="AZY178" s="456"/>
      <c r="AZZ178" s="456"/>
      <c r="BAA178" s="456"/>
      <c r="BAB178" s="456"/>
      <c r="BAC178" s="456"/>
      <c r="BAD178" s="456"/>
      <c r="BAE178" s="456"/>
      <c r="BAF178" s="456"/>
      <c r="BAG178" s="456"/>
      <c r="BAH178" s="456"/>
      <c r="BAI178" s="456"/>
      <c r="BAJ178" s="456"/>
      <c r="BAK178" s="456"/>
      <c r="BAL178" s="456"/>
      <c r="BAM178" s="456"/>
      <c r="BAN178" s="456"/>
      <c r="BAO178" s="456"/>
      <c r="BAP178" s="456"/>
      <c r="BAQ178" s="456"/>
      <c r="BAR178" s="456"/>
      <c r="BAS178" s="456"/>
      <c r="BAT178" s="456"/>
      <c r="BAU178" s="456"/>
      <c r="BAV178" s="456"/>
      <c r="BAW178" s="456"/>
      <c r="BAX178" s="456"/>
      <c r="BAY178" s="456"/>
      <c r="BAZ178" s="456"/>
      <c r="BBA178" s="456"/>
      <c r="BBB178" s="456"/>
      <c r="BBC178" s="456"/>
      <c r="BBD178" s="456"/>
      <c r="BBE178" s="456"/>
      <c r="BBF178" s="456"/>
      <c r="BBG178" s="456"/>
      <c r="BBH178" s="456"/>
      <c r="BBI178" s="456"/>
      <c r="BBJ178" s="456"/>
      <c r="BBK178" s="456"/>
      <c r="BBL178" s="456"/>
      <c r="BBM178" s="456"/>
      <c r="BBN178" s="456"/>
      <c r="BBO178" s="456"/>
      <c r="BBP178" s="456"/>
      <c r="BBQ178" s="456"/>
      <c r="BBR178" s="456"/>
      <c r="BBS178" s="456"/>
      <c r="BBT178" s="456"/>
      <c r="BBU178" s="456"/>
      <c r="BBV178" s="456"/>
      <c r="BBW178" s="456"/>
      <c r="BBX178" s="456"/>
      <c r="BBY178" s="456"/>
      <c r="BBZ178" s="456"/>
      <c r="BCA178" s="456"/>
      <c r="BCB178" s="456"/>
      <c r="BCC178" s="456"/>
      <c r="BCD178" s="456"/>
      <c r="BCE178" s="456"/>
      <c r="BCF178" s="456"/>
      <c r="BCG178" s="456"/>
      <c r="BCH178" s="456"/>
      <c r="BCI178" s="456"/>
      <c r="BCJ178" s="456"/>
      <c r="BCK178" s="456"/>
      <c r="BCL178" s="456"/>
      <c r="BCM178" s="456"/>
      <c r="BCN178" s="456"/>
      <c r="BCO178" s="456"/>
      <c r="BCP178" s="456"/>
      <c r="BCQ178" s="456"/>
      <c r="BCR178" s="456"/>
      <c r="BCS178" s="456"/>
      <c r="BCT178" s="456"/>
      <c r="BCU178" s="456"/>
      <c r="BCV178" s="456"/>
      <c r="BCW178" s="456"/>
      <c r="BCX178" s="456"/>
      <c r="BCY178" s="456"/>
      <c r="BCZ178" s="456"/>
      <c r="BDA178" s="456"/>
      <c r="BDB178" s="456"/>
      <c r="BDC178" s="456"/>
      <c r="BDD178" s="456"/>
      <c r="BDE178" s="456"/>
      <c r="BDF178" s="456"/>
      <c r="BDG178" s="456"/>
      <c r="BDH178" s="456"/>
      <c r="BDI178" s="456"/>
      <c r="BDJ178" s="456"/>
      <c r="BDK178" s="456"/>
      <c r="BDL178" s="456"/>
      <c r="BDM178" s="456"/>
      <c r="BDN178" s="456"/>
      <c r="BDO178" s="456"/>
      <c r="BDP178" s="456"/>
      <c r="BDQ178" s="456"/>
      <c r="BDR178" s="456"/>
      <c r="BDS178" s="456"/>
      <c r="BDT178" s="456"/>
      <c r="BDU178" s="456"/>
      <c r="BDV178" s="456"/>
      <c r="BDW178" s="456"/>
      <c r="BDX178" s="456"/>
      <c r="BDY178" s="456"/>
      <c r="BDZ178" s="456"/>
      <c r="BEA178" s="456"/>
      <c r="BEB178" s="456"/>
      <c r="BEC178" s="456"/>
      <c r="BED178" s="456"/>
      <c r="BEE178" s="456"/>
      <c r="BEF178" s="456"/>
      <c r="BEG178" s="456"/>
      <c r="BEH178" s="456"/>
      <c r="BEI178" s="456"/>
      <c r="BEJ178" s="456"/>
      <c r="BEK178" s="456"/>
      <c r="BEL178" s="456"/>
      <c r="BEM178" s="456"/>
      <c r="BEN178" s="456"/>
      <c r="BEO178" s="456"/>
      <c r="BEP178" s="456"/>
      <c r="BEQ178" s="456"/>
      <c r="BER178" s="456"/>
      <c r="BES178" s="456"/>
      <c r="BET178" s="456"/>
      <c r="BEU178" s="456"/>
      <c r="BEV178" s="456"/>
      <c r="BEW178" s="456"/>
      <c r="BEX178" s="456"/>
      <c r="BEY178" s="456"/>
      <c r="BEZ178" s="456"/>
      <c r="BFA178" s="456"/>
      <c r="BFB178" s="456"/>
      <c r="BFC178" s="456"/>
      <c r="BFD178" s="456"/>
      <c r="BFE178" s="456"/>
      <c r="BFF178" s="456"/>
      <c r="BFG178" s="456"/>
      <c r="BFH178" s="456"/>
      <c r="BFI178" s="456"/>
      <c r="BFJ178" s="456"/>
      <c r="BFK178" s="456"/>
      <c r="BFL178" s="456"/>
      <c r="BFM178" s="456"/>
      <c r="BFN178" s="456"/>
      <c r="BFO178" s="456"/>
      <c r="BFP178" s="456"/>
      <c r="BFQ178" s="456"/>
      <c r="BFR178" s="456"/>
      <c r="BFS178" s="456"/>
      <c r="BFT178" s="456"/>
      <c r="BFU178" s="456"/>
      <c r="BFV178" s="456"/>
      <c r="BFW178" s="456"/>
      <c r="BFX178" s="456"/>
      <c r="BFY178" s="456"/>
      <c r="BFZ178" s="456"/>
      <c r="BGA178" s="456"/>
      <c r="BGB178" s="456"/>
      <c r="BGC178" s="456"/>
      <c r="BGD178" s="456"/>
      <c r="BGE178" s="456"/>
      <c r="BGF178" s="456"/>
      <c r="BGG178" s="456"/>
      <c r="BGH178" s="456"/>
      <c r="BGI178" s="456"/>
      <c r="BGJ178" s="456"/>
      <c r="BGK178" s="456"/>
      <c r="BGL178" s="456"/>
      <c r="BGM178" s="456"/>
      <c r="BGN178" s="456"/>
      <c r="BGO178" s="456"/>
      <c r="BGP178" s="456"/>
      <c r="BGQ178" s="456"/>
      <c r="BGR178" s="456"/>
      <c r="BGS178" s="456"/>
      <c r="BGT178" s="456"/>
      <c r="BGU178" s="456"/>
      <c r="BGV178" s="456"/>
      <c r="BGW178" s="456"/>
      <c r="BGX178" s="456"/>
      <c r="BGY178" s="456"/>
      <c r="BGZ178" s="456"/>
      <c r="BHA178" s="456"/>
      <c r="BHB178" s="456"/>
      <c r="BHC178" s="456"/>
      <c r="BHD178" s="456"/>
      <c r="BHE178" s="456"/>
      <c r="BHF178" s="456"/>
      <c r="BHG178" s="456"/>
      <c r="BHH178" s="456"/>
      <c r="BHI178" s="456"/>
      <c r="BHJ178" s="456"/>
      <c r="BHK178" s="456"/>
      <c r="BHL178" s="456"/>
      <c r="BHM178" s="456"/>
      <c r="BHN178" s="456"/>
      <c r="BHO178" s="456"/>
      <c r="BHP178" s="456"/>
      <c r="BHQ178" s="456"/>
      <c r="BHR178" s="456"/>
      <c r="BHS178" s="456"/>
      <c r="BHT178" s="456"/>
      <c r="BHU178" s="456"/>
      <c r="BHV178" s="456"/>
      <c r="BHW178" s="456"/>
      <c r="BHX178" s="456"/>
      <c r="BHY178" s="456"/>
      <c r="BHZ178" s="456"/>
      <c r="BIA178" s="456"/>
      <c r="BIB178" s="456"/>
      <c r="BIC178" s="456"/>
      <c r="BID178" s="456"/>
      <c r="BIE178" s="456"/>
      <c r="BIF178" s="456"/>
      <c r="BIG178" s="456"/>
      <c r="BIH178" s="456"/>
      <c r="BII178" s="456"/>
      <c r="BIJ178" s="456"/>
      <c r="BIK178" s="456"/>
      <c r="BIL178" s="456"/>
      <c r="BIM178" s="456"/>
      <c r="BIN178" s="456"/>
      <c r="BIO178" s="456"/>
      <c r="BIP178" s="456"/>
      <c r="BIQ178" s="456"/>
      <c r="BIR178" s="456"/>
      <c r="BIS178" s="456"/>
      <c r="BIT178" s="456"/>
      <c r="BIU178" s="456"/>
      <c r="BIV178" s="456"/>
      <c r="BIW178" s="456"/>
      <c r="BIX178" s="456"/>
      <c r="BIY178" s="456"/>
      <c r="BIZ178" s="456"/>
      <c r="BJA178" s="456"/>
      <c r="BJB178" s="456"/>
      <c r="BJC178" s="456"/>
      <c r="BJD178" s="456"/>
      <c r="BJE178" s="456"/>
      <c r="BJF178" s="456"/>
      <c r="BJG178" s="456"/>
      <c r="BJH178" s="456"/>
      <c r="BJI178" s="456"/>
      <c r="BJJ178" s="456"/>
      <c r="BJK178" s="456"/>
      <c r="BJL178" s="456"/>
      <c r="BJM178" s="456"/>
      <c r="BJN178" s="456"/>
      <c r="BJO178" s="456"/>
      <c r="BJP178" s="456"/>
      <c r="BJQ178" s="456"/>
      <c r="BJR178" s="456"/>
      <c r="BJS178" s="456"/>
      <c r="BJT178" s="456"/>
      <c r="BJU178" s="456"/>
      <c r="BJV178" s="456"/>
      <c r="BJW178" s="456"/>
      <c r="BJX178" s="456"/>
      <c r="BJY178" s="456"/>
      <c r="BJZ178" s="456"/>
      <c r="BKA178" s="456"/>
      <c r="BKB178" s="456"/>
      <c r="BKC178" s="456"/>
      <c r="BKD178" s="456"/>
      <c r="BKE178" s="456"/>
      <c r="BKF178" s="456"/>
      <c r="BKG178" s="456"/>
      <c r="BKH178" s="456"/>
      <c r="BKI178" s="456"/>
      <c r="BKJ178" s="456"/>
      <c r="BKK178" s="456"/>
      <c r="BKL178" s="456"/>
      <c r="BKM178" s="456"/>
      <c r="BKN178" s="456"/>
      <c r="BKO178" s="456"/>
      <c r="BKP178" s="456"/>
      <c r="BKQ178" s="456"/>
      <c r="BKR178" s="456"/>
      <c r="BKS178" s="456"/>
      <c r="BKT178" s="456"/>
      <c r="BKU178" s="456"/>
      <c r="BKV178" s="456"/>
      <c r="BKW178" s="456"/>
      <c r="BKX178" s="456"/>
      <c r="BKY178" s="456"/>
      <c r="BKZ178" s="456"/>
      <c r="BLA178" s="456"/>
      <c r="BLB178" s="456"/>
      <c r="BLC178" s="456"/>
      <c r="BLD178" s="456"/>
      <c r="BLE178" s="456"/>
      <c r="BLF178" s="456"/>
      <c r="BLG178" s="456"/>
      <c r="BLH178" s="456"/>
      <c r="BLI178" s="456"/>
      <c r="BLJ178" s="456"/>
      <c r="BLK178" s="456"/>
      <c r="BLL178" s="456"/>
      <c r="BLM178" s="456"/>
      <c r="BLN178" s="456"/>
      <c r="BLO178" s="456"/>
      <c r="BLP178" s="456"/>
      <c r="BLQ178" s="456"/>
      <c r="BLR178" s="456"/>
      <c r="BLS178" s="456"/>
      <c r="BLT178" s="456"/>
      <c r="BLU178" s="456"/>
      <c r="BLV178" s="456"/>
      <c r="BLW178" s="456"/>
      <c r="BLX178" s="456"/>
      <c r="BLY178" s="456"/>
      <c r="BLZ178" s="456"/>
      <c r="BMA178" s="456"/>
      <c r="BMB178" s="456"/>
      <c r="BMC178" s="456"/>
      <c r="BMD178" s="456"/>
      <c r="BME178" s="456"/>
      <c r="BMF178" s="456"/>
      <c r="BMG178" s="456"/>
      <c r="BMH178" s="456"/>
      <c r="BMI178" s="456"/>
      <c r="BMJ178" s="456"/>
      <c r="BMK178" s="456"/>
      <c r="BML178" s="456"/>
      <c r="BMM178" s="456"/>
      <c r="BMN178" s="456"/>
      <c r="BMO178" s="456"/>
      <c r="BMP178" s="456"/>
      <c r="BMQ178" s="456"/>
      <c r="BMR178" s="456"/>
      <c r="BMS178" s="456"/>
      <c r="BMT178" s="456"/>
      <c r="BMU178" s="456"/>
      <c r="BMV178" s="456"/>
      <c r="BMW178" s="456"/>
      <c r="BMX178" s="456"/>
      <c r="BMY178" s="456"/>
      <c r="BMZ178" s="456"/>
      <c r="BNA178" s="456"/>
      <c r="BNB178" s="456"/>
      <c r="BNC178" s="456"/>
      <c r="BND178" s="456"/>
      <c r="BNE178" s="456"/>
      <c r="BNF178" s="456"/>
      <c r="BNG178" s="456"/>
      <c r="BNH178" s="456"/>
      <c r="BNI178" s="456"/>
      <c r="BNJ178" s="456"/>
      <c r="BNK178" s="456"/>
      <c r="BNL178" s="456"/>
      <c r="BNM178" s="456"/>
      <c r="BNN178" s="456"/>
      <c r="BNO178" s="456"/>
      <c r="BNP178" s="456"/>
      <c r="BNQ178" s="456"/>
      <c r="BNR178" s="456"/>
      <c r="BNS178" s="456"/>
      <c r="BNT178" s="456"/>
      <c r="BNU178" s="456"/>
      <c r="BNV178" s="456"/>
      <c r="BNW178" s="456"/>
      <c r="BNX178" s="456"/>
      <c r="BNY178" s="456"/>
      <c r="BNZ178" s="456"/>
      <c r="BOA178" s="456"/>
      <c r="BOB178" s="456"/>
      <c r="BOC178" s="456"/>
      <c r="BOD178" s="456"/>
      <c r="BOE178" s="456"/>
      <c r="BOF178" s="456"/>
      <c r="BOG178" s="456"/>
      <c r="BOH178" s="456"/>
      <c r="BOI178" s="456"/>
      <c r="BOJ178" s="456"/>
      <c r="BOK178" s="456"/>
      <c r="BOL178" s="456"/>
      <c r="BOM178" s="456"/>
      <c r="BON178" s="456"/>
      <c r="BOO178" s="456"/>
      <c r="BOP178" s="456"/>
      <c r="BOQ178" s="456"/>
      <c r="BOR178" s="456"/>
      <c r="BOS178" s="456"/>
      <c r="BOT178" s="456"/>
      <c r="BOU178" s="456"/>
      <c r="BOV178" s="456"/>
      <c r="BOW178" s="456"/>
      <c r="BOX178" s="456"/>
      <c r="BOY178" s="456"/>
      <c r="BOZ178" s="456"/>
      <c r="BPA178" s="456"/>
      <c r="BPB178" s="456"/>
      <c r="BPC178" s="456"/>
      <c r="BPD178" s="456"/>
      <c r="BPE178" s="456"/>
      <c r="BPF178" s="456"/>
      <c r="BPG178" s="456"/>
      <c r="BPH178" s="456"/>
      <c r="BPI178" s="456"/>
      <c r="BPJ178" s="456"/>
      <c r="BPK178" s="456"/>
      <c r="BPL178" s="456"/>
      <c r="BPM178" s="456"/>
      <c r="BPN178" s="456"/>
      <c r="BPO178" s="456"/>
      <c r="BPP178" s="456"/>
      <c r="BPQ178" s="456"/>
      <c r="BPR178" s="456"/>
      <c r="BPS178" s="456"/>
      <c r="BPT178" s="456"/>
      <c r="BPU178" s="456"/>
      <c r="BPV178" s="456"/>
      <c r="BPW178" s="456"/>
      <c r="BPX178" s="456"/>
      <c r="BPY178" s="456"/>
      <c r="BPZ178" s="456"/>
      <c r="BQA178" s="456"/>
      <c r="BQB178" s="456"/>
      <c r="BQC178" s="456"/>
      <c r="BQD178" s="456"/>
      <c r="BQE178" s="456"/>
      <c r="BQF178" s="456"/>
      <c r="BQG178" s="456"/>
      <c r="BQH178" s="456"/>
      <c r="BQI178" s="456"/>
      <c r="BQJ178" s="456"/>
      <c r="BQK178" s="456"/>
      <c r="BQL178" s="456"/>
      <c r="BQM178" s="456"/>
      <c r="BQN178" s="456"/>
      <c r="BQO178" s="456"/>
      <c r="BQP178" s="456"/>
      <c r="BQQ178" s="456"/>
      <c r="BQR178" s="456"/>
      <c r="BQS178" s="456"/>
      <c r="BQT178" s="456"/>
      <c r="BQU178" s="456"/>
      <c r="BQV178" s="456"/>
      <c r="BQW178" s="456"/>
      <c r="BQX178" s="456"/>
      <c r="BQY178" s="456"/>
      <c r="BQZ178" s="456"/>
      <c r="BRA178" s="456"/>
      <c r="BRB178" s="456"/>
      <c r="BRC178" s="456"/>
      <c r="BRD178" s="456"/>
      <c r="BRE178" s="456"/>
      <c r="BRF178" s="456"/>
      <c r="BRG178" s="456"/>
      <c r="BRH178" s="456"/>
      <c r="BRI178" s="456"/>
      <c r="BRJ178" s="456"/>
      <c r="BRK178" s="456"/>
      <c r="BRL178" s="456"/>
      <c r="BRM178" s="456"/>
      <c r="BRN178" s="456"/>
      <c r="BRO178" s="456"/>
      <c r="BRP178" s="456"/>
      <c r="BRQ178" s="456"/>
      <c r="BRR178" s="456"/>
      <c r="BRS178" s="456"/>
      <c r="BRT178" s="456"/>
      <c r="BRU178" s="456"/>
      <c r="BRV178" s="456"/>
      <c r="BRW178" s="456"/>
      <c r="BRX178" s="456"/>
      <c r="BRY178" s="456"/>
      <c r="BRZ178" s="456"/>
      <c r="BSA178" s="456"/>
      <c r="BSB178" s="456"/>
      <c r="BSC178" s="456"/>
      <c r="BSD178" s="456"/>
      <c r="BSE178" s="456"/>
      <c r="BSF178" s="456"/>
      <c r="BSG178" s="456"/>
      <c r="BSH178" s="456"/>
      <c r="BSI178" s="456"/>
      <c r="BSJ178" s="456"/>
      <c r="BSK178" s="456"/>
      <c r="BSL178" s="456"/>
      <c r="BSM178" s="456"/>
      <c r="BSN178" s="456"/>
      <c r="BSO178" s="456"/>
      <c r="BSP178" s="456"/>
      <c r="BSQ178" s="456"/>
      <c r="BSR178" s="456"/>
      <c r="BSS178" s="456"/>
      <c r="BST178" s="456"/>
      <c r="BSU178" s="456"/>
      <c r="BSV178" s="456"/>
      <c r="BSW178" s="456"/>
      <c r="BSX178" s="456"/>
      <c r="BSY178" s="456"/>
      <c r="BSZ178" s="456"/>
      <c r="BTA178" s="456"/>
      <c r="BTB178" s="456"/>
      <c r="BTC178" s="456"/>
      <c r="BTD178" s="456"/>
      <c r="BTE178" s="456"/>
      <c r="BTF178" s="456"/>
      <c r="BTG178" s="456"/>
      <c r="BTH178" s="456"/>
      <c r="BTI178" s="456"/>
      <c r="BTJ178" s="456"/>
      <c r="BTK178" s="456"/>
      <c r="BTL178" s="456"/>
      <c r="BTM178" s="456"/>
      <c r="BTN178" s="456"/>
      <c r="BTO178" s="456"/>
      <c r="BTP178" s="456"/>
      <c r="BTQ178" s="456"/>
      <c r="BTR178" s="456"/>
      <c r="BTS178" s="456"/>
      <c r="BTT178" s="456"/>
      <c r="BTU178" s="456"/>
      <c r="BTV178" s="456"/>
      <c r="BTW178" s="456"/>
      <c r="BTX178" s="456"/>
      <c r="BTY178" s="456"/>
      <c r="BTZ178" s="456"/>
      <c r="BUA178" s="456"/>
      <c r="BUB178" s="456"/>
      <c r="BUC178" s="456"/>
      <c r="BUD178" s="456"/>
      <c r="BUE178" s="456"/>
      <c r="BUF178" s="456"/>
      <c r="BUG178" s="456"/>
      <c r="BUH178" s="456"/>
      <c r="BUI178" s="456"/>
      <c r="BUJ178" s="456"/>
      <c r="BUK178" s="456"/>
      <c r="BUL178" s="456"/>
      <c r="BUM178" s="456"/>
      <c r="BUN178" s="456"/>
      <c r="BUO178" s="456"/>
      <c r="BUP178" s="456"/>
      <c r="BUQ178" s="456"/>
      <c r="BUR178" s="456"/>
      <c r="BUS178" s="456"/>
      <c r="BUT178" s="456"/>
      <c r="BUU178" s="456"/>
      <c r="BUV178" s="456"/>
      <c r="BUW178" s="456"/>
      <c r="BUX178" s="456"/>
      <c r="BUY178" s="456"/>
      <c r="BUZ178" s="456"/>
      <c r="BVA178" s="456"/>
      <c r="BVB178" s="456"/>
      <c r="BVC178" s="456"/>
      <c r="BVD178" s="456"/>
      <c r="BVE178" s="456"/>
      <c r="BVF178" s="456"/>
      <c r="BVG178" s="456"/>
      <c r="BVH178" s="456"/>
      <c r="BVI178" s="456"/>
      <c r="BVJ178" s="456"/>
      <c r="BVK178" s="456"/>
      <c r="BVL178" s="456"/>
      <c r="BVM178" s="456"/>
      <c r="BVN178" s="456"/>
      <c r="BVO178" s="456"/>
      <c r="BVP178" s="456"/>
      <c r="BVQ178" s="456"/>
      <c r="BVR178" s="456"/>
      <c r="BVS178" s="456"/>
      <c r="BVT178" s="456"/>
      <c r="BVU178" s="456"/>
      <c r="BVV178" s="456"/>
      <c r="BVW178" s="456"/>
      <c r="BVX178" s="456"/>
      <c r="BVY178" s="456"/>
      <c r="BVZ178" s="456"/>
      <c r="BWA178" s="456"/>
      <c r="BWB178" s="456"/>
      <c r="BWC178" s="456"/>
      <c r="BWD178" s="456"/>
      <c r="BWE178" s="456"/>
      <c r="BWF178" s="456"/>
      <c r="BWG178" s="456"/>
      <c r="BWH178" s="456"/>
      <c r="BWI178" s="456"/>
      <c r="BWJ178" s="456"/>
      <c r="BWK178" s="456"/>
      <c r="BWL178" s="456"/>
      <c r="BWM178" s="456"/>
      <c r="BWN178" s="456"/>
      <c r="BWO178" s="456"/>
      <c r="BWP178" s="456"/>
      <c r="BWQ178" s="456"/>
      <c r="BWR178" s="456"/>
      <c r="BWS178" s="456"/>
      <c r="BWT178" s="456"/>
      <c r="BWU178" s="456"/>
      <c r="BWV178" s="456"/>
      <c r="BWW178" s="456"/>
      <c r="BWX178" s="456"/>
      <c r="BWY178" s="456"/>
      <c r="BWZ178" s="456"/>
      <c r="BXA178" s="456"/>
      <c r="BXB178" s="456"/>
      <c r="BXC178" s="456"/>
      <c r="BXD178" s="456"/>
      <c r="BXE178" s="456"/>
      <c r="BXF178" s="456"/>
      <c r="BXG178" s="456"/>
      <c r="BXH178" s="456"/>
      <c r="BXI178" s="456"/>
      <c r="BXJ178" s="456"/>
      <c r="BXK178" s="456"/>
      <c r="BXL178" s="456"/>
      <c r="BXM178" s="456"/>
      <c r="BXN178" s="456"/>
      <c r="BXO178" s="456"/>
      <c r="BXP178" s="456"/>
      <c r="BXQ178" s="456"/>
      <c r="BXR178" s="456"/>
      <c r="BXS178" s="456"/>
      <c r="BXT178" s="456"/>
      <c r="BXU178" s="456"/>
      <c r="BXV178" s="456"/>
      <c r="BXW178" s="456"/>
      <c r="BXX178" s="456"/>
      <c r="BXY178" s="456"/>
      <c r="BXZ178" s="456"/>
    </row>
    <row r="179" s="456" customFormat="1" spans="1:1024 1025:2002">
      <c r="A179" s="487"/>
      <c r="B179" s="342">
        <v>1134</v>
      </c>
      <c r="C179" s="343">
        <v>46224</v>
      </c>
      <c r="D179" s="24" t="s">
        <v>52</v>
      </c>
      <c r="E179" s="24" t="s">
        <v>119</v>
      </c>
      <c r="F179" s="24" t="s">
        <v>54</v>
      </c>
      <c r="G179" s="24"/>
      <c r="H179" s="342">
        <v>1.2738</v>
      </c>
      <c r="I179" s="342"/>
      <c r="J179" s="24" t="s">
        <v>49</v>
      </c>
      <c r="K179" s="492">
        <v>2200</v>
      </c>
      <c r="L179" s="492">
        <v>70</v>
      </c>
      <c r="M179" s="492">
        <v>3500</v>
      </c>
      <c r="N179" s="342" t="s">
        <v>66</v>
      </c>
      <c r="O179" s="342" t="s">
        <v>67</v>
      </c>
      <c r="P179" s="492">
        <v>5440</v>
      </c>
      <c r="Q179" s="402">
        <v>0</v>
      </c>
      <c r="R179" s="402">
        <f t="shared" si="12"/>
        <v>5440</v>
      </c>
      <c r="S179" s="342">
        <v>970</v>
      </c>
      <c r="T179" s="342" t="s">
        <v>42</v>
      </c>
      <c r="U179" s="345" t="s">
        <v>123</v>
      </c>
      <c r="V179" s="346">
        <v>46230</v>
      </c>
      <c r="W179" s="24" t="s">
        <v>44</v>
      </c>
      <c r="X179" s="24"/>
      <c r="Y179" s="347">
        <v>46235</v>
      </c>
      <c r="Z179" s="24" t="s">
        <v>45</v>
      </c>
      <c r="AA179" s="24" t="s">
        <v>46</v>
      </c>
      <c r="AB179" s="24"/>
      <c r="AC179" s="345"/>
      <c r="AD179" s="348"/>
      <c r="AE179" s="24" t="s">
        <v>48</v>
      </c>
      <c r="AF179" s="24" t="s">
        <v>61</v>
      </c>
      <c r="AG179" s="24" t="s">
        <v>124</v>
      </c>
    </row>
    <row r="180" s="25" customFormat="1" spans="1:1024 1025:2002">
      <c r="A180" s="473" t="s">
        <v>34</v>
      </c>
      <c r="B180" s="19">
        <v>1134</v>
      </c>
      <c r="C180" s="183">
        <v>46224</v>
      </c>
      <c r="D180" s="17" t="s">
        <v>52</v>
      </c>
      <c r="E180" s="17" t="s">
        <v>119</v>
      </c>
      <c r="F180" s="17" t="s">
        <v>54</v>
      </c>
      <c r="G180" s="17"/>
      <c r="H180" s="19">
        <v>1.2085</v>
      </c>
      <c r="I180" s="19">
        <v>1.2085</v>
      </c>
      <c r="J180" s="17" t="s">
        <v>49</v>
      </c>
      <c r="K180" s="19">
        <v>2000</v>
      </c>
      <c r="L180" s="91">
        <v>20</v>
      </c>
      <c r="M180" s="19">
        <v>2500</v>
      </c>
      <c r="N180" s="19" t="s">
        <v>66</v>
      </c>
      <c r="O180" s="19" t="s">
        <v>67</v>
      </c>
      <c r="P180" s="19">
        <v>785</v>
      </c>
      <c r="Q180" s="19">
        <v>870</v>
      </c>
      <c r="R180" s="19">
        <f t="shared" si="12"/>
        <v>-85</v>
      </c>
      <c r="S180" s="19">
        <v>1760</v>
      </c>
      <c r="T180" s="19" t="s">
        <v>42</v>
      </c>
      <c r="U180" s="102" t="s">
        <v>123</v>
      </c>
      <c r="V180" s="186">
        <v>46230</v>
      </c>
      <c r="W180" s="17" t="s">
        <v>44</v>
      </c>
      <c r="X180" s="17"/>
      <c r="Y180" s="68">
        <v>46235</v>
      </c>
      <c r="Z180" s="17" t="s">
        <v>45</v>
      </c>
      <c r="AA180" s="17" t="s">
        <v>46</v>
      </c>
      <c r="AB180" s="17" t="s">
        <v>122</v>
      </c>
      <c r="AC180" s="217">
        <v>46243</v>
      </c>
      <c r="AD180" s="65">
        <v>1847</v>
      </c>
      <c r="AE180" s="17" t="s">
        <v>48</v>
      </c>
      <c r="AF180" s="17" t="s">
        <v>61</v>
      </c>
      <c r="AG180" s="17" t="s">
        <v>125</v>
      </c>
      <c r="AH180" s="456"/>
      <c r="AI180" s="456"/>
      <c r="AJ180" s="456"/>
      <c r="AK180" s="456"/>
      <c r="AL180" s="456"/>
      <c r="AM180" s="456"/>
      <c r="AN180" s="456"/>
      <c r="AO180" s="456"/>
      <c r="AP180" s="456"/>
      <c r="AQ180" s="456"/>
      <c r="AR180" s="456"/>
      <c r="AS180" s="456"/>
      <c r="AT180" s="456"/>
      <c r="AU180" s="456"/>
      <c r="AV180" s="456"/>
      <c r="AW180" s="456"/>
      <c r="AX180" s="456"/>
      <c r="AY180" s="456"/>
      <c r="AZ180" s="456"/>
      <c r="BA180" s="456"/>
      <c r="BB180" s="456"/>
      <c r="BC180" s="456"/>
      <c r="BD180" s="456"/>
      <c r="BE180" s="456"/>
      <c r="BF180" s="456"/>
      <c r="BG180" s="456"/>
      <c r="BH180" s="456"/>
      <c r="BI180" s="456"/>
      <c r="BJ180" s="456"/>
      <c r="BK180" s="456"/>
      <c r="BL180" s="456"/>
      <c r="BM180" s="456"/>
      <c r="BN180" s="456"/>
      <c r="BO180" s="456"/>
      <c r="BP180" s="456"/>
      <c r="BQ180" s="456"/>
      <c r="BR180" s="456"/>
      <c r="BS180" s="456"/>
      <c r="BT180" s="456"/>
      <c r="BU180" s="456"/>
      <c r="BV180" s="456"/>
      <c r="BW180" s="456"/>
      <c r="BX180" s="456"/>
      <c r="BY180" s="456"/>
      <c r="BZ180" s="456"/>
      <c r="CA180" s="456"/>
      <c r="CB180" s="456"/>
      <c r="CC180" s="456"/>
      <c r="CD180" s="456"/>
      <c r="CE180" s="456"/>
      <c r="CF180" s="456"/>
      <c r="CG180" s="456"/>
      <c r="CH180" s="456"/>
      <c r="CI180" s="456"/>
      <c r="CJ180" s="456"/>
      <c r="CK180" s="456"/>
      <c r="CL180" s="456"/>
      <c r="CM180" s="456"/>
      <c r="CN180" s="456"/>
      <c r="CO180" s="456"/>
      <c r="CP180" s="456"/>
      <c r="CQ180" s="456"/>
      <c r="CR180" s="456"/>
      <c r="CS180" s="456"/>
      <c r="CT180" s="456"/>
      <c r="CU180" s="456"/>
      <c r="CV180" s="456"/>
      <c r="CW180" s="456"/>
      <c r="CX180" s="456"/>
      <c r="CY180" s="456"/>
      <c r="CZ180" s="456"/>
      <c r="DA180" s="456"/>
      <c r="DB180" s="456"/>
      <c r="DC180" s="456"/>
      <c r="DD180" s="456"/>
      <c r="DE180" s="456"/>
      <c r="DF180" s="456"/>
      <c r="DG180" s="456"/>
      <c r="DH180" s="456"/>
      <c r="DI180" s="456"/>
      <c r="DJ180" s="456"/>
      <c r="DK180" s="456"/>
      <c r="DL180" s="456"/>
      <c r="DM180" s="456"/>
      <c r="DN180" s="456"/>
      <c r="DO180" s="456"/>
      <c r="DP180" s="456"/>
      <c r="DQ180" s="456"/>
      <c r="DR180" s="456"/>
      <c r="DS180" s="456"/>
      <c r="DT180" s="456"/>
      <c r="DU180" s="456"/>
      <c r="DV180" s="456"/>
      <c r="DW180" s="456"/>
      <c r="DX180" s="456"/>
      <c r="DY180" s="456"/>
      <c r="DZ180" s="456"/>
      <c r="EA180" s="456"/>
      <c r="EB180" s="456"/>
      <c r="EC180" s="456"/>
      <c r="ED180" s="456"/>
      <c r="EE180" s="456"/>
      <c r="EF180" s="456"/>
      <c r="EG180" s="456"/>
      <c r="EH180" s="456"/>
      <c r="EI180" s="456"/>
      <c r="EJ180" s="456"/>
      <c r="EK180" s="456"/>
      <c r="EL180" s="456"/>
      <c r="EM180" s="456"/>
      <c r="EN180" s="456"/>
      <c r="EO180" s="456"/>
      <c r="EP180" s="456"/>
      <c r="EQ180" s="456"/>
      <c r="ER180" s="456"/>
      <c r="ES180" s="456"/>
      <c r="ET180" s="456"/>
      <c r="EU180" s="456"/>
      <c r="EV180" s="456"/>
      <c r="EW180" s="456"/>
      <c r="EX180" s="456"/>
      <c r="EY180" s="456"/>
      <c r="EZ180" s="456"/>
      <c r="FA180" s="456"/>
      <c r="FB180" s="456"/>
      <c r="FC180" s="456"/>
      <c r="FD180" s="456"/>
      <c r="FE180" s="456"/>
      <c r="FF180" s="456"/>
      <c r="FG180" s="456"/>
      <c r="FH180" s="456"/>
      <c r="FI180" s="456"/>
      <c r="FJ180" s="456"/>
      <c r="FK180" s="456"/>
      <c r="FL180" s="456"/>
      <c r="FM180" s="456"/>
      <c r="FN180" s="456"/>
      <c r="FO180" s="456"/>
      <c r="FP180" s="456"/>
      <c r="FQ180" s="456"/>
      <c r="FR180" s="456"/>
      <c r="FS180" s="456"/>
      <c r="FT180" s="456"/>
      <c r="FU180" s="456"/>
      <c r="FV180" s="456"/>
      <c r="FW180" s="456"/>
      <c r="FX180" s="456"/>
      <c r="FY180" s="456"/>
      <c r="FZ180" s="456"/>
      <c r="GA180" s="456"/>
      <c r="GB180" s="456"/>
      <c r="GC180" s="456"/>
      <c r="GD180" s="456"/>
      <c r="GE180" s="456"/>
      <c r="GF180" s="456"/>
      <c r="GG180" s="456"/>
      <c r="GH180" s="456"/>
      <c r="GI180" s="456"/>
      <c r="GJ180" s="456"/>
      <c r="GK180" s="456"/>
      <c r="GL180" s="456"/>
      <c r="GM180" s="456"/>
      <c r="GN180" s="456"/>
      <c r="GO180" s="456"/>
      <c r="GP180" s="456"/>
      <c r="GQ180" s="456"/>
      <c r="GR180" s="456"/>
      <c r="GS180" s="456"/>
      <c r="GT180" s="456"/>
      <c r="GU180" s="456"/>
      <c r="GV180" s="456"/>
      <c r="GW180" s="456"/>
      <c r="GX180" s="456"/>
      <c r="GY180" s="456"/>
      <c r="GZ180" s="456"/>
      <c r="HA180" s="456"/>
      <c r="HB180" s="456"/>
      <c r="HC180" s="456"/>
      <c r="HD180" s="456"/>
      <c r="HE180" s="456"/>
      <c r="HF180" s="456"/>
      <c r="HG180" s="456"/>
      <c r="HH180" s="456"/>
      <c r="HI180" s="456"/>
      <c r="HJ180" s="456"/>
      <c r="HK180" s="456"/>
      <c r="HL180" s="456"/>
      <c r="HM180" s="456"/>
      <c r="HN180" s="456"/>
      <c r="HO180" s="456"/>
      <c r="HP180" s="456"/>
      <c r="HQ180" s="456"/>
      <c r="HR180" s="456"/>
      <c r="HS180" s="456"/>
      <c r="HT180" s="456"/>
      <c r="HU180" s="456"/>
      <c r="HV180" s="456"/>
      <c r="HW180" s="456"/>
      <c r="HX180" s="456"/>
      <c r="HY180" s="456"/>
      <c r="HZ180" s="456"/>
      <c r="IA180" s="456"/>
      <c r="IB180" s="456"/>
      <c r="IC180" s="456"/>
      <c r="ID180" s="456"/>
      <c r="IE180" s="456"/>
      <c r="IF180" s="456"/>
      <c r="IG180" s="456"/>
      <c r="IH180" s="456"/>
      <c r="II180" s="456"/>
      <c r="IJ180" s="456"/>
      <c r="IK180" s="456"/>
      <c r="IL180" s="456"/>
      <c r="IM180" s="456"/>
      <c r="IN180" s="456"/>
      <c r="IO180" s="456"/>
      <c r="IP180" s="456"/>
      <c r="IQ180" s="456"/>
      <c r="IR180" s="456"/>
      <c r="IS180" s="456"/>
      <c r="IT180" s="456"/>
      <c r="IU180" s="456"/>
      <c r="IV180" s="456"/>
      <c r="IW180" s="456"/>
      <c r="IX180" s="456"/>
      <c r="IY180" s="456"/>
      <c r="IZ180" s="456"/>
      <c r="JA180" s="456"/>
      <c r="JB180" s="456"/>
      <c r="JC180" s="456"/>
      <c r="JD180" s="456"/>
      <c r="JE180" s="456"/>
      <c r="JF180" s="456"/>
      <c r="JG180" s="456"/>
      <c r="JH180" s="456"/>
      <c r="JI180" s="456"/>
      <c r="JJ180" s="456"/>
      <c r="JK180" s="456"/>
      <c r="JL180" s="456"/>
      <c r="JM180" s="456"/>
      <c r="JN180" s="456"/>
      <c r="JO180" s="456"/>
      <c r="JP180" s="456"/>
      <c r="JQ180" s="456"/>
      <c r="JR180" s="456"/>
      <c r="JS180" s="456"/>
      <c r="JT180" s="456"/>
      <c r="JU180" s="456"/>
      <c r="JV180" s="456"/>
      <c r="JW180" s="456"/>
      <c r="JX180" s="456"/>
      <c r="JY180" s="456"/>
      <c r="JZ180" s="456"/>
      <c r="KA180" s="456"/>
      <c r="KB180" s="456"/>
      <c r="KC180" s="456"/>
      <c r="KD180" s="456"/>
      <c r="KE180" s="456"/>
      <c r="KF180" s="456"/>
      <c r="KG180" s="456"/>
      <c r="KH180" s="456"/>
      <c r="KI180" s="456"/>
      <c r="KJ180" s="456"/>
      <c r="KK180" s="456"/>
      <c r="KL180" s="456"/>
      <c r="KM180" s="456"/>
      <c r="KN180" s="456"/>
      <c r="KO180" s="456"/>
      <c r="KP180" s="456"/>
      <c r="KQ180" s="456"/>
      <c r="KR180" s="456"/>
      <c r="KS180" s="456"/>
      <c r="KT180" s="456"/>
      <c r="KU180" s="456"/>
      <c r="KV180" s="456"/>
      <c r="KW180" s="456"/>
      <c r="KX180" s="456"/>
      <c r="KY180" s="456"/>
      <c r="KZ180" s="456"/>
      <c r="LA180" s="456"/>
      <c r="LB180" s="456"/>
      <c r="LC180" s="456"/>
      <c r="LD180" s="456"/>
      <c r="LE180" s="456"/>
      <c r="LF180" s="456"/>
      <c r="LG180" s="456"/>
      <c r="LH180" s="456"/>
      <c r="LI180" s="456"/>
      <c r="LJ180" s="456"/>
      <c r="LK180" s="456"/>
      <c r="LL180" s="456"/>
      <c r="LM180" s="456"/>
      <c r="LN180" s="456"/>
      <c r="LO180" s="456"/>
      <c r="LP180" s="456"/>
      <c r="LQ180" s="456"/>
      <c r="LR180" s="456"/>
      <c r="LS180" s="456"/>
      <c r="LT180" s="456"/>
      <c r="LU180" s="456"/>
      <c r="LV180" s="456"/>
      <c r="LW180" s="456"/>
      <c r="LX180" s="456"/>
      <c r="LY180" s="456"/>
      <c r="LZ180" s="456"/>
      <c r="MA180" s="456"/>
      <c r="MB180" s="456"/>
      <c r="MC180" s="456"/>
      <c r="MD180" s="456"/>
      <c r="ME180" s="456"/>
      <c r="MF180" s="456"/>
      <c r="MG180" s="456"/>
      <c r="MH180" s="456"/>
      <c r="MI180" s="456"/>
      <c r="MJ180" s="456"/>
      <c r="MK180" s="456"/>
      <c r="ML180" s="456"/>
      <c r="MM180" s="456"/>
      <c r="MN180" s="456"/>
      <c r="MO180" s="456"/>
      <c r="MP180" s="456"/>
      <c r="MQ180" s="456"/>
      <c r="MR180" s="456"/>
      <c r="MS180" s="456"/>
      <c r="MT180" s="456"/>
      <c r="MU180" s="456"/>
      <c r="MV180" s="456"/>
      <c r="MW180" s="456"/>
      <c r="MX180" s="456"/>
      <c r="MY180" s="456"/>
      <c r="MZ180" s="456"/>
      <c r="NA180" s="456"/>
      <c r="NB180" s="456"/>
      <c r="NC180" s="456"/>
      <c r="ND180" s="456"/>
      <c r="NE180" s="456"/>
      <c r="NF180" s="456"/>
      <c r="NG180" s="456"/>
      <c r="NH180" s="456"/>
      <c r="NI180" s="456"/>
      <c r="NJ180" s="456"/>
      <c r="NK180" s="456"/>
      <c r="NL180" s="456"/>
      <c r="NM180" s="456"/>
      <c r="NN180" s="456"/>
      <c r="NO180" s="456"/>
      <c r="NP180" s="456"/>
      <c r="NQ180" s="456"/>
      <c r="NR180" s="456"/>
      <c r="NS180" s="456"/>
      <c r="NT180" s="456"/>
      <c r="NU180" s="456"/>
      <c r="NV180" s="456"/>
      <c r="NW180" s="456"/>
      <c r="NX180" s="456"/>
      <c r="NY180" s="456"/>
      <c r="NZ180" s="456"/>
      <c r="OA180" s="456"/>
      <c r="OB180" s="456"/>
      <c r="OC180" s="456"/>
      <c r="OD180" s="456"/>
      <c r="OE180" s="456"/>
      <c r="OF180" s="456"/>
      <c r="OG180" s="456"/>
      <c r="OH180" s="456"/>
      <c r="OI180" s="456"/>
      <c r="OJ180" s="456"/>
      <c r="OK180" s="456"/>
      <c r="OL180" s="456"/>
      <c r="OM180" s="456"/>
      <c r="ON180" s="456"/>
      <c r="OO180" s="456"/>
      <c r="OP180" s="456"/>
      <c r="OQ180" s="456"/>
      <c r="OR180" s="456"/>
      <c r="OS180" s="456"/>
      <c r="OT180" s="456"/>
      <c r="OU180" s="456"/>
      <c r="OV180" s="456"/>
      <c r="OW180" s="456"/>
      <c r="OX180" s="456"/>
      <c r="OY180" s="456"/>
      <c r="OZ180" s="456"/>
      <c r="PA180" s="456"/>
      <c r="PB180" s="456"/>
      <c r="PC180" s="456"/>
      <c r="PD180" s="456"/>
      <c r="PE180" s="456"/>
      <c r="PF180" s="456"/>
      <c r="PG180" s="456"/>
      <c r="PH180" s="456"/>
      <c r="PI180" s="456"/>
      <c r="PJ180" s="456"/>
      <c r="PK180" s="456"/>
      <c r="PL180" s="456"/>
      <c r="PM180" s="456"/>
      <c r="PN180" s="456"/>
      <c r="PO180" s="456"/>
      <c r="PP180" s="456"/>
      <c r="PQ180" s="456"/>
      <c r="PR180" s="456"/>
      <c r="PS180" s="456"/>
      <c r="PT180" s="456"/>
      <c r="PU180" s="456"/>
      <c r="PV180" s="456"/>
      <c r="PW180" s="456"/>
      <c r="PX180" s="456"/>
      <c r="PY180" s="456"/>
      <c r="PZ180" s="456"/>
      <c r="QA180" s="456"/>
      <c r="QB180" s="456"/>
      <c r="QC180" s="456"/>
      <c r="QD180" s="456"/>
      <c r="QE180" s="456"/>
      <c r="QF180" s="456"/>
      <c r="QG180" s="456"/>
      <c r="QH180" s="456"/>
      <c r="QI180" s="456"/>
      <c r="QJ180" s="456"/>
      <c r="QK180" s="456"/>
      <c r="QL180" s="456"/>
      <c r="QM180" s="456"/>
      <c r="QN180" s="456"/>
      <c r="QO180" s="456"/>
      <c r="QP180" s="456"/>
      <c r="QQ180" s="456"/>
      <c r="QR180" s="456"/>
      <c r="QS180" s="456"/>
      <c r="QT180" s="456"/>
      <c r="QU180" s="456"/>
      <c r="QV180" s="456"/>
      <c r="QW180" s="456"/>
      <c r="QX180" s="456"/>
      <c r="QY180" s="456"/>
      <c r="QZ180" s="456"/>
      <c r="RA180" s="456"/>
      <c r="RB180" s="456"/>
      <c r="RC180" s="456"/>
      <c r="RD180" s="456"/>
      <c r="RE180" s="456"/>
      <c r="RF180" s="456"/>
      <c r="RG180" s="456"/>
      <c r="RH180" s="456"/>
      <c r="RI180" s="456"/>
      <c r="RJ180" s="456"/>
      <c r="RK180" s="456"/>
      <c r="RL180" s="456"/>
      <c r="RM180" s="456"/>
      <c r="RN180" s="456"/>
      <c r="RO180" s="456"/>
      <c r="RP180" s="456"/>
      <c r="RQ180" s="456"/>
      <c r="RR180" s="456"/>
      <c r="RS180" s="456"/>
      <c r="RT180" s="456"/>
      <c r="RU180" s="456"/>
      <c r="RV180" s="456"/>
      <c r="RW180" s="456"/>
      <c r="RX180" s="456"/>
      <c r="RY180" s="456"/>
      <c r="RZ180" s="456"/>
      <c r="SA180" s="456"/>
      <c r="SB180" s="456"/>
      <c r="SC180" s="456"/>
      <c r="SD180" s="456"/>
      <c r="SE180" s="456"/>
      <c r="SF180" s="456"/>
      <c r="SG180" s="456"/>
      <c r="SH180" s="456"/>
      <c r="SI180" s="456"/>
      <c r="SJ180" s="456"/>
      <c r="SK180" s="456"/>
      <c r="SL180" s="456"/>
      <c r="SM180" s="456"/>
      <c r="SN180" s="456"/>
      <c r="SO180" s="456"/>
      <c r="SP180" s="456"/>
      <c r="SQ180" s="456"/>
      <c r="SR180" s="456"/>
      <c r="SS180" s="456"/>
      <c r="ST180" s="456"/>
      <c r="SU180" s="456"/>
      <c r="SV180" s="456"/>
      <c r="SW180" s="456"/>
      <c r="SX180" s="456"/>
      <c r="SY180" s="456"/>
      <c r="SZ180" s="456"/>
      <c r="TA180" s="456"/>
      <c r="TB180" s="456"/>
      <c r="TC180" s="456"/>
      <c r="TD180" s="456"/>
      <c r="TE180" s="456"/>
      <c r="TF180" s="456"/>
      <c r="TG180" s="456"/>
      <c r="TH180" s="456"/>
      <c r="TI180" s="456"/>
      <c r="TJ180" s="456"/>
      <c r="TK180" s="456"/>
      <c r="TL180" s="456"/>
      <c r="TM180" s="456"/>
      <c r="TN180" s="456"/>
      <c r="TO180" s="456"/>
      <c r="TP180" s="456"/>
      <c r="TQ180" s="456"/>
      <c r="TR180" s="456"/>
      <c r="TS180" s="456"/>
      <c r="TT180" s="456"/>
      <c r="TU180" s="456"/>
      <c r="TV180" s="456"/>
      <c r="TW180" s="456"/>
      <c r="TX180" s="456"/>
      <c r="TY180" s="456"/>
      <c r="TZ180" s="456"/>
      <c r="UA180" s="456"/>
      <c r="UB180" s="456"/>
      <c r="UC180" s="456"/>
      <c r="UD180" s="456"/>
      <c r="UE180" s="456"/>
      <c r="UF180" s="456"/>
      <c r="UG180" s="456"/>
      <c r="UH180" s="456"/>
      <c r="UI180" s="456"/>
      <c r="UJ180" s="456"/>
      <c r="UK180" s="456"/>
      <c r="UL180" s="456"/>
      <c r="UM180" s="456"/>
      <c r="UN180" s="456"/>
      <c r="UO180" s="456"/>
      <c r="UP180" s="456"/>
      <c r="UQ180" s="456"/>
      <c r="UR180" s="456"/>
      <c r="US180" s="456"/>
      <c r="UT180" s="456"/>
      <c r="UU180" s="456"/>
      <c r="UV180" s="456"/>
      <c r="UW180" s="456"/>
      <c r="UX180" s="456"/>
      <c r="UY180" s="456"/>
      <c r="UZ180" s="456"/>
      <c r="VA180" s="456"/>
      <c r="VB180" s="456"/>
      <c r="VC180" s="456"/>
      <c r="VD180" s="456"/>
      <c r="VE180" s="456"/>
      <c r="VF180" s="456"/>
      <c r="VG180" s="456"/>
      <c r="VH180" s="456"/>
      <c r="VI180" s="456"/>
      <c r="VJ180" s="456"/>
      <c r="VK180" s="456"/>
      <c r="VL180" s="456"/>
      <c r="VM180" s="456"/>
      <c r="VN180" s="456"/>
      <c r="VO180" s="456"/>
      <c r="VP180" s="456"/>
      <c r="VQ180" s="456"/>
      <c r="VR180" s="456"/>
      <c r="VS180" s="456"/>
      <c r="VT180" s="456"/>
      <c r="VU180" s="456"/>
      <c r="VV180" s="456"/>
      <c r="VW180" s="456"/>
      <c r="VX180" s="456"/>
      <c r="VY180" s="456"/>
      <c r="VZ180" s="456"/>
      <c r="WA180" s="456"/>
      <c r="WB180" s="456"/>
      <c r="WC180" s="456"/>
      <c r="WD180" s="456"/>
      <c r="WE180" s="456"/>
      <c r="WF180" s="456"/>
      <c r="WG180" s="456"/>
      <c r="WH180" s="456"/>
      <c r="WI180" s="456"/>
      <c r="WJ180" s="456"/>
      <c r="WK180" s="456"/>
      <c r="WL180" s="456"/>
      <c r="WM180" s="456"/>
      <c r="WN180" s="456"/>
      <c r="WO180" s="456"/>
      <c r="WP180" s="456"/>
      <c r="WQ180" s="456"/>
      <c r="WR180" s="456"/>
      <c r="WS180" s="456"/>
      <c r="WT180" s="456"/>
      <c r="WU180" s="456"/>
      <c r="WV180" s="456"/>
      <c r="WW180" s="456"/>
      <c r="WX180" s="456"/>
      <c r="WY180" s="456"/>
      <c r="WZ180" s="456"/>
      <c r="XA180" s="456"/>
      <c r="XB180" s="456"/>
      <c r="XC180" s="456"/>
      <c r="XD180" s="456"/>
      <c r="XE180" s="456"/>
      <c r="XF180" s="456"/>
      <c r="XG180" s="456"/>
      <c r="XH180" s="456"/>
      <c r="XI180" s="456"/>
      <c r="XJ180" s="456"/>
      <c r="XK180" s="456"/>
      <c r="XL180" s="456"/>
      <c r="XM180" s="456"/>
      <c r="XN180" s="456"/>
      <c r="XO180" s="456"/>
      <c r="XP180" s="456"/>
      <c r="XQ180" s="456"/>
      <c r="XR180" s="456"/>
      <c r="XS180" s="456"/>
      <c r="XT180" s="456"/>
      <c r="XU180" s="456"/>
      <c r="XV180" s="456"/>
      <c r="XW180" s="456"/>
      <c r="XX180" s="456"/>
      <c r="XY180" s="456"/>
      <c r="XZ180" s="456"/>
      <c r="YA180" s="456"/>
      <c r="YB180" s="456"/>
      <c r="YC180" s="456"/>
      <c r="YD180" s="456"/>
      <c r="YE180" s="456"/>
      <c r="YF180" s="456"/>
      <c r="YG180" s="456"/>
      <c r="YH180" s="456"/>
      <c r="YI180" s="456"/>
      <c r="YJ180" s="456"/>
      <c r="YK180" s="456"/>
      <c r="YL180" s="456"/>
      <c r="YM180" s="456"/>
      <c r="YN180" s="456"/>
      <c r="YO180" s="456"/>
      <c r="YP180" s="456"/>
      <c r="YQ180" s="456"/>
      <c r="YR180" s="456"/>
      <c r="YS180" s="456"/>
      <c r="YT180" s="456"/>
      <c r="YU180" s="456"/>
      <c r="YV180" s="456"/>
      <c r="YW180" s="456"/>
      <c r="YX180" s="456"/>
      <c r="YY180" s="456"/>
      <c r="YZ180" s="456"/>
      <c r="ZA180" s="456"/>
      <c r="ZB180" s="456"/>
      <c r="ZC180" s="456"/>
      <c r="ZD180" s="456"/>
      <c r="ZE180" s="456"/>
      <c r="ZF180" s="456"/>
      <c r="ZG180" s="456"/>
      <c r="ZH180" s="456"/>
      <c r="ZI180" s="456"/>
      <c r="ZJ180" s="456"/>
      <c r="ZK180" s="456"/>
      <c r="ZL180" s="456"/>
      <c r="ZM180" s="456"/>
      <c r="ZN180" s="456"/>
      <c r="ZO180" s="456"/>
      <c r="ZP180" s="456"/>
      <c r="ZQ180" s="456"/>
      <c r="ZR180" s="456"/>
      <c r="ZS180" s="456"/>
      <c r="ZT180" s="456"/>
      <c r="ZU180" s="456"/>
      <c r="ZV180" s="456"/>
      <c r="ZW180" s="456"/>
      <c r="ZX180" s="456"/>
      <c r="ZY180" s="456"/>
      <c r="ZZ180" s="456"/>
      <c r="AAA180" s="456"/>
      <c r="AAB180" s="456"/>
      <c r="AAC180" s="456"/>
      <c r="AAD180" s="456"/>
      <c r="AAE180" s="456"/>
      <c r="AAF180" s="456"/>
      <c r="AAG180" s="456"/>
      <c r="AAH180" s="456"/>
      <c r="AAI180" s="456"/>
      <c r="AAJ180" s="456"/>
      <c r="AAK180" s="456"/>
      <c r="AAL180" s="456"/>
      <c r="AAM180" s="456"/>
      <c r="AAN180" s="456"/>
      <c r="AAO180" s="456"/>
      <c r="AAP180" s="456"/>
      <c r="AAQ180" s="456"/>
      <c r="AAR180" s="456"/>
      <c r="AAS180" s="456"/>
      <c r="AAT180" s="456"/>
      <c r="AAU180" s="456"/>
      <c r="AAV180" s="456"/>
      <c r="AAW180" s="456"/>
      <c r="AAX180" s="456"/>
      <c r="AAY180" s="456"/>
      <c r="AAZ180" s="456"/>
      <c r="ABA180" s="456"/>
      <c r="ABB180" s="456"/>
      <c r="ABC180" s="456"/>
      <c r="ABD180" s="456"/>
      <c r="ABE180" s="456"/>
      <c r="ABF180" s="456"/>
      <c r="ABG180" s="456"/>
      <c r="ABH180" s="456"/>
      <c r="ABI180" s="456"/>
      <c r="ABJ180" s="456"/>
      <c r="ABK180" s="456"/>
      <c r="ABL180" s="456"/>
      <c r="ABM180" s="456"/>
      <c r="ABN180" s="456"/>
      <c r="ABO180" s="456"/>
      <c r="ABP180" s="456"/>
      <c r="ABQ180" s="456"/>
      <c r="ABR180" s="456"/>
      <c r="ABS180" s="456"/>
      <c r="ABT180" s="456"/>
      <c r="ABU180" s="456"/>
      <c r="ABV180" s="456"/>
      <c r="ABW180" s="456"/>
      <c r="ABX180" s="456"/>
      <c r="ABY180" s="456"/>
      <c r="ABZ180" s="456"/>
      <c r="ACA180" s="456"/>
      <c r="ACB180" s="456"/>
      <c r="ACC180" s="456"/>
      <c r="ACD180" s="456"/>
      <c r="ACE180" s="456"/>
      <c r="ACF180" s="456"/>
      <c r="ACG180" s="456"/>
      <c r="ACH180" s="456"/>
      <c r="ACI180" s="456"/>
      <c r="ACJ180" s="456"/>
      <c r="ACK180" s="456"/>
      <c r="ACL180" s="456"/>
      <c r="ACM180" s="456"/>
      <c r="ACN180" s="456"/>
      <c r="ACO180" s="456"/>
      <c r="ACP180" s="456"/>
      <c r="ACQ180" s="456"/>
      <c r="ACR180" s="456"/>
      <c r="ACS180" s="456"/>
      <c r="ACT180" s="456"/>
      <c r="ACU180" s="456"/>
      <c r="ACV180" s="456"/>
      <c r="ACW180" s="456"/>
      <c r="ACX180" s="456"/>
      <c r="ACY180" s="456"/>
      <c r="ACZ180" s="456"/>
      <c r="ADA180" s="456"/>
      <c r="ADB180" s="456"/>
      <c r="ADC180" s="456"/>
      <c r="ADD180" s="456"/>
      <c r="ADE180" s="456"/>
      <c r="ADF180" s="456"/>
      <c r="ADG180" s="456"/>
      <c r="ADH180" s="456"/>
      <c r="ADI180" s="456"/>
      <c r="ADJ180" s="456"/>
      <c r="ADK180" s="456"/>
      <c r="ADL180" s="456"/>
      <c r="ADM180" s="456"/>
      <c r="ADN180" s="456"/>
      <c r="ADO180" s="456"/>
      <c r="ADP180" s="456"/>
      <c r="ADQ180" s="456"/>
      <c r="ADR180" s="456"/>
      <c r="ADS180" s="456"/>
      <c r="ADT180" s="456"/>
      <c r="ADU180" s="456"/>
      <c r="ADV180" s="456"/>
      <c r="ADW180" s="456"/>
      <c r="ADX180" s="456"/>
      <c r="ADY180" s="456"/>
      <c r="ADZ180" s="456"/>
      <c r="AEA180" s="456"/>
      <c r="AEB180" s="456"/>
      <c r="AEC180" s="456"/>
      <c r="AED180" s="456"/>
      <c r="AEE180" s="456"/>
      <c r="AEF180" s="456"/>
      <c r="AEG180" s="456"/>
      <c r="AEH180" s="456"/>
      <c r="AEI180" s="456"/>
      <c r="AEJ180" s="456"/>
      <c r="AEK180" s="456"/>
      <c r="AEL180" s="456"/>
      <c r="AEM180" s="456"/>
      <c r="AEN180" s="456"/>
      <c r="AEO180" s="456"/>
      <c r="AEP180" s="456"/>
      <c r="AEQ180" s="456"/>
      <c r="AER180" s="456"/>
      <c r="AES180" s="456"/>
      <c r="AET180" s="456"/>
      <c r="AEU180" s="456"/>
      <c r="AEV180" s="456"/>
      <c r="AEW180" s="456"/>
      <c r="AEX180" s="456"/>
      <c r="AEY180" s="456"/>
      <c r="AEZ180" s="456"/>
      <c r="AFA180" s="456"/>
      <c r="AFB180" s="456"/>
      <c r="AFC180" s="456"/>
      <c r="AFD180" s="456"/>
      <c r="AFE180" s="456"/>
      <c r="AFF180" s="456"/>
      <c r="AFG180" s="456"/>
      <c r="AFH180" s="456"/>
      <c r="AFI180" s="456"/>
      <c r="AFJ180" s="456"/>
      <c r="AFK180" s="456"/>
      <c r="AFL180" s="456"/>
      <c r="AFM180" s="456"/>
      <c r="AFN180" s="456"/>
      <c r="AFO180" s="456"/>
      <c r="AFP180" s="456"/>
      <c r="AFQ180" s="456"/>
      <c r="AFR180" s="456"/>
      <c r="AFS180" s="456"/>
      <c r="AFT180" s="456"/>
      <c r="AFU180" s="456"/>
      <c r="AFV180" s="456"/>
      <c r="AFW180" s="456"/>
      <c r="AFX180" s="456"/>
      <c r="AFY180" s="456"/>
      <c r="AFZ180" s="456"/>
      <c r="AGA180" s="456"/>
      <c r="AGB180" s="456"/>
      <c r="AGC180" s="456"/>
      <c r="AGD180" s="456"/>
      <c r="AGE180" s="456"/>
      <c r="AGF180" s="456"/>
      <c r="AGG180" s="456"/>
      <c r="AGH180" s="456"/>
      <c r="AGI180" s="456"/>
      <c r="AGJ180" s="456"/>
      <c r="AGK180" s="456"/>
      <c r="AGL180" s="456"/>
      <c r="AGM180" s="456"/>
      <c r="AGN180" s="456"/>
      <c r="AGO180" s="456"/>
      <c r="AGP180" s="456"/>
      <c r="AGQ180" s="456"/>
      <c r="AGR180" s="456"/>
      <c r="AGS180" s="456"/>
      <c r="AGT180" s="456"/>
      <c r="AGU180" s="456"/>
      <c r="AGV180" s="456"/>
      <c r="AGW180" s="456"/>
      <c r="AGX180" s="456"/>
      <c r="AGY180" s="456"/>
      <c r="AGZ180" s="456"/>
      <c r="AHA180" s="456"/>
      <c r="AHB180" s="456"/>
      <c r="AHC180" s="456"/>
      <c r="AHD180" s="456"/>
      <c r="AHE180" s="456"/>
      <c r="AHF180" s="456"/>
      <c r="AHG180" s="456"/>
      <c r="AHH180" s="456"/>
      <c r="AHI180" s="456"/>
      <c r="AHJ180" s="456"/>
      <c r="AHK180" s="456"/>
      <c r="AHL180" s="456"/>
      <c r="AHM180" s="456"/>
      <c r="AHN180" s="456"/>
      <c r="AHO180" s="456"/>
      <c r="AHP180" s="456"/>
      <c r="AHQ180" s="456"/>
      <c r="AHR180" s="456"/>
      <c r="AHS180" s="456"/>
      <c r="AHT180" s="456"/>
      <c r="AHU180" s="456"/>
      <c r="AHV180" s="456"/>
      <c r="AHW180" s="456"/>
      <c r="AHX180" s="456"/>
      <c r="AHY180" s="456"/>
      <c r="AHZ180" s="456"/>
      <c r="AIA180" s="456"/>
      <c r="AIB180" s="456"/>
      <c r="AIC180" s="456"/>
      <c r="AID180" s="456"/>
      <c r="AIE180" s="456"/>
      <c r="AIF180" s="456"/>
      <c r="AIG180" s="456"/>
      <c r="AIH180" s="456"/>
      <c r="AII180" s="456"/>
      <c r="AIJ180" s="456"/>
      <c r="AIK180" s="456"/>
      <c r="AIL180" s="456"/>
      <c r="AIM180" s="456"/>
      <c r="AIN180" s="456"/>
      <c r="AIO180" s="456"/>
      <c r="AIP180" s="456"/>
      <c r="AIQ180" s="456"/>
      <c r="AIR180" s="456"/>
      <c r="AIS180" s="456"/>
      <c r="AIT180" s="456"/>
      <c r="AIU180" s="456"/>
      <c r="AIV180" s="456"/>
      <c r="AIW180" s="456"/>
      <c r="AIX180" s="456"/>
      <c r="AIY180" s="456"/>
      <c r="AIZ180" s="456"/>
      <c r="AJA180" s="456"/>
      <c r="AJB180" s="456"/>
      <c r="AJC180" s="456"/>
      <c r="AJD180" s="456"/>
      <c r="AJE180" s="456"/>
      <c r="AJF180" s="456"/>
      <c r="AJG180" s="456"/>
      <c r="AJH180" s="456"/>
      <c r="AJI180" s="456"/>
      <c r="AJJ180" s="456"/>
      <c r="AJK180" s="456"/>
      <c r="AJL180" s="456"/>
      <c r="AJM180" s="456"/>
      <c r="AJN180" s="456"/>
      <c r="AJO180" s="456"/>
      <c r="AJP180" s="456"/>
      <c r="AJQ180" s="456"/>
      <c r="AJR180" s="456"/>
      <c r="AJS180" s="456"/>
      <c r="AJT180" s="456"/>
      <c r="AJU180" s="456"/>
      <c r="AJV180" s="456"/>
      <c r="AJW180" s="456"/>
      <c r="AJX180" s="456"/>
      <c r="AJY180" s="456"/>
      <c r="AJZ180" s="456"/>
      <c r="AKA180" s="456"/>
      <c r="AKB180" s="456"/>
      <c r="AKC180" s="456"/>
      <c r="AKD180" s="456"/>
      <c r="AKE180" s="456"/>
      <c r="AKF180" s="456"/>
      <c r="AKG180" s="456"/>
      <c r="AKH180" s="456"/>
      <c r="AKI180" s="456"/>
      <c r="AKJ180" s="456"/>
      <c r="AKK180" s="456"/>
      <c r="AKL180" s="456"/>
      <c r="AKM180" s="456"/>
      <c r="AKN180" s="456"/>
      <c r="AKO180" s="456"/>
      <c r="AKP180" s="456"/>
      <c r="AKQ180" s="456"/>
      <c r="AKR180" s="456"/>
      <c r="AKS180" s="456"/>
      <c r="AKT180" s="456"/>
      <c r="AKU180" s="456"/>
      <c r="AKV180" s="456"/>
      <c r="AKW180" s="456"/>
      <c r="AKX180" s="456"/>
      <c r="AKY180" s="456"/>
      <c r="AKZ180" s="456"/>
      <c r="ALA180" s="456"/>
      <c r="ALB180" s="456"/>
      <c r="ALC180" s="456"/>
      <c r="ALD180" s="456"/>
      <c r="ALE180" s="456"/>
      <c r="ALF180" s="456"/>
      <c r="ALG180" s="456"/>
      <c r="ALH180" s="456"/>
      <c r="ALI180" s="456"/>
      <c r="ALJ180" s="456"/>
      <c r="ALK180" s="456"/>
      <c r="ALL180" s="456"/>
      <c r="ALM180" s="456"/>
      <c r="ALN180" s="456"/>
      <c r="ALO180" s="456"/>
      <c r="ALP180" s="456"/>
      <c r="ALQ180" s="456"/>
      <c r="ALR180" s="456"/>
      <c r="ALS180" s="456"/>
      <c r="ALT180" s="456"/>
      <c r="ALU180" s="456"/>
      <c r="ALV180" s="456"/>
      <c r="ALW180" s="456"/>
      <c r="ALX180" s="456"/>
      <c r="ALY180" s="456"/>
      <c r="ALZ180" s="456"/>
      <c r="AMA180" s="456"/>
      <c r="AMB180" s="456"/>
      <c r="AMC180" s="456"/>
      <c r="AMD180" s="456"/>
      <c r="AME180" s="456"/>
      <c r="AMF180" s="456"/>
      <c r="AMG180" s="456"/>
      <c r="AMH180" s="456"/>
      <c r="AMI180" s="456"/>
      <c r="AMJ180" s="456"/>
      <c r="AMK180" s="456"/>
      <c r="AML180" s="456"/>
      <c r="AMM180" s="456"/>
      <c r="AMN180" s="456"/>
      <c r="AMO180" s="456"/>
      <c r="AMP180" s="456"/>
      <c r="AMQ180" s="456"/>
      <c r="AMR180" s="456"/>
      <c r="AMS180" s="456"/>
      <c r="AMT180" s="456"/>
      <c r="AMU180" s="456"/>
      <c r="AMV180" s="456"/>
      <c r="AMW180" s="456"/>
      <c r="AMX180" s="456"/>
      <c r="AMY180" s="456"/>
      <c r="AMZ180" s="456"/>
      <c r="ANA180" s="456"/>
      <c r="ANB180" s="456"/>
      <c r="ANC180" s="456"/>
      <c r="AND180" s="456"/>
      <c r="ANE180" s="456"/>
      <c r="ANF180" s="456"/>
      <c r="ANG180" s="456"/>
      <c r="ANH180" s="456"/>
      <c r="ANI180" s="456"/>
      <c r="ANJ180" s="456"/>
      <c r="ANK180" s="456"/>
      <c r="ANL180" s="456"/>
      <c r="ANM180" s="456"/>
      <c r="ANN180" s="456"/>
      <c r="ANO180" s="456"/>
      <c r="ANP180" s="456"/>
      <c r="ANQ180" s="456"/>
      <c r="ANR180" s="456"/>
      <c r="ANS180" s="456"/>
      <c r="ANT180" s="456"/>
      <c r="ANU180" s="456"/>
      <c r="ANV180" s="456"/>
      <c r="ANW180" s="456"/>
      <c r="ANX180" s="456"/>
      <c r="ANY180" s="456"/>
      <c r="ANZ180" s="456"/>
      <c r="AOA180" s="456"/>
      <c r="AOB180" s="456"/>
      <c r="AOC180" s="456"/>
      <c r="AOD180" s="456"/>
      <c r="AOE180" s="456"/>
      <c r="AOF180" s="456"/>
      <c r="AOG180" s="456"/>
      <c r="AOH180" s="456"/>
      <c r="AOI180" s="456"/>
      <c r="AOJ180" s="456"/>
      <c r="AOK180" s="456"/>
      <c r="AOL180" s="456"/>
      <c r="AOM180" s="456"/>
      <c r="AON180" s="456"/>
      <c r="AOO180" s="456"/>
      <c r="AOP180" s="456"/>
      <c r="AOQ180" s="456"/>
      <c r="AOR180" s="456"/>
      <c r="AOS180" s="456"/>
      <c r="AOT180" s="456"/>
      <c r="AOU180" s="456"/>
      <c r="AOV180" s="456"/>
      <c r="AOW180" s="456"/>
      <c r="AOX180" s="456"/>
      <c r="AOY180" s="456"/>
      <c r="AOZ180" s="456"/>
      <c r="APA180" s="456"/>
      <c r="APB180" s="456"/>
      <c r="APC180" s="456"/>
      <c r="APD180" s="456"/>
      <c r="APE180" s="456"/>
      <c r="APF180" s="456"/>
      <c r="APG180" s="456"/>
      <c r="APH180" s="456"/>
      <c r="API180" s="456"/>
      <c r="APJ180" s="456"/>
      <c r="APK180" s="456"/>
      <c r="APL180" s="456"/>
      <c r="APM180" s="456"/>
      <c r="APN180" s="456"/>
      <c r="APO180" s="456"/>
      <c r="APP180" s="456"/>
      <c r="APQ180" s="456"/>
      <c r="APR180" s="456"/>
      <c r="APS180" s="456"/>
      <c r="APT180" s="456"/>
      <c r="APU180" s="456"/>
      <c r="APV180" s="456"/>
      <c r="APW180" s="456"/>
      <c r="APX180" s="456"/>
      <c r="APY180" s="456"/>
      <c r="APZ180" s="456"/>
      <c r="AQA180" s="456"/>
      <c r="AQB180" s="456"/>
      <c r="AQC180" s="456"/>
      <c r="AQD180" s="456"/>
      <c r="AQE180" s="456"/>
      <c r="AQF180" s="456"/>
      <c r="AQG180" s="456"/>
      <c r="AQH180" s="456"/>
      <c r="AQI180" s="456"/>
      <c r="AQJ180" s="456"/>
      <c r="AQK180" s="456"/>
      <c r="AQL180" s="456"/>
      <c r="AQM180" s="456"/>
      <c r="AQN180" s="456"/>
      <c r="AQO180" s="456"/>
      <c r="AQP180" s="456"/>
      <c r="AQQ180" s="456"/>
      <c r="AQR180" s="456"/>
      <c r="AQS180" s="456"/>
      <c r="AQT180" s="456"/>
      <c r="AQU180" s="456"/>
      <c r="AQV180" s="456"/>
      <c r="AQW180" s="456"/>
      <c r="AQX180" s="456"/>
      <c r="AQY180" s="456"/>
      <c r="AQZ180" s="456"/>
      <c r="ARA180" s="456"/>
      <c r="ARB180" s="456"/>
      <c r="ARC180" s="456"/>
      <c r="ARD180" s="456"/>
      <c r="ARE180" s="456"/>
      <c r="ARF180" s="456"/>
      <c r="ARG180" s="456"/>
      <c r="ARH180" s="456"/>
      <c r="ARI180" s="456"/>
      <c r="ARJ180" s="456"/>
      <c r="ARK180" s="456"/>
      <c r="ARL180" s="456"/>
      <c r="ARM180" s="456"/>
      <c r="ARN180" s="456"/>
      <c r="ARO180" s="456"/>
      <c r="ARP180" s="456"/>
      <c r="ARQ180" s="456"/>
      <c r="ARR180" s="456"/>
      <c r="ARS180" s="456"/>
      <c r="ART180" s="456"/>
      <c r="ARU180" s="456"/>
      <c r="ARV180" s="456"/>
      <c r="ARW180" s="456"/>
      <c r="ARX180" s="456"/>
      <c r="ARY180" s="456"/>
      <c r="ARZ180" s="456"/>
      <c r="ASA180" s="456"/>
      <c r="ASB180" s="456"/>
      <c r="ASC180" s="456"/>
      <c r="ASD180" s="456"/>
      <c r="ASE180" s="456"/>
      <c r="ASF180" s="456"/>
      <c r="ASG180" s="456"/>
      <c r="ASH180" s="456"/>
      <c r="ASI180" s="456"/>
      <c r="ASJ180" s="456"/>
      <c r="ASK180" s="456"/>
      <c r="ASL180" s="456"/>
      <c r="ASM180" s="456"/>
      <c r="ASN180" s="456"/>
      <c r="ASO180" s="456"/>
      <c r="ASP180" s="456"/>
      <c r="ASQ180" s="456"/>
      <c r="ASR180" s="456"/>
      <c r="ASS180" s="456"/>
      <c r="AST180" s="456"/>
      <c r="ASU180" s="456"/>
      <c r="ASV180" s="456"/>
      <c r="ASW180" s="456"/>
      <c r="ASX180" s="456"/>
      <c r="ASY180" s="456"/>
      <c r="ASZ180" s="456"/>
      <c r="ATA180" s="456"/>
      <c r="ATB180" s="456"/>
      <c r="ATC180" s="456"/>
      <c r="ATD180" s="456"/>
      <c r="ATE180" s="456"/>
      <c r="ATF180" s="456"/>
      <c r="ATG180" s="456"/>
      <c r="ATH180" s="456"/>
      <c r="ATI180" s="456"/>
      <c r="ATJ180" s="456"/>
      <c r="ATK180" s="456"/>
      <c r="ATL180" s="456"/>
      <c r="ATM180" s="456"/>
      <c r="ATN180" s="456"/>
      <c r="ATO180" s="456"/>
      <c r="ATP180" s="456"/>
      <c r="ATQ180" s="456"/>
      <c r="ATR180" s="456"/>
      <c r="ATS180" s="456"/>
      <c r="ATT180" s="456"/>
      <c r="ATU180" s="456"/>
      <c r="ATV180" s="456"/>
      <c r="ATW180" s="456"/>
      <c r="ATX180" s="456"/>
      <c r="ATY180" s="456"/>
      <c r="ATZ180" s="456"/>
      <c r="AUA180" s="456"/>
      <c r="AUB180" s="456"/>
      <c r="AUC180" s="456"/>
      <c r="AUD180" s="456"/>
      <c r="AUE180" s="456"/>
      <c r="AUF180" s="456"/>
      <c r="AUG180" s="456"/>
      <c r="AUH180" s="456"/>
      <c r="AUI180" s="456"/>
      <c r="AUJ180" s="456"/>
      <c r="AUK180" s="456"/>
      <c r="AUL180" s="456"/>
      <c r="AUM180" s="456"/>
      <c r="AUN180" s="456"/>
      <c r="AUO180" s="456"/>
      <c r="AUP180" s="456"/>
      <c r="AUQ180" s="456"/>
      <c r="AUR180" s="456"/>
      <c r="AUS180" s="456"/>
      <c r="AUT180" s="456"/>
      <c r="AUU180" s="456"/>
      <c r="AUV180" s="456"/>
      <c r="AUW180" s="456"/>
      <c r="AUX180" s="456"/>
      <c r="AUY180" s="456"/>
      <c r="AUZ180" s="456"/>
      <c r="AVA180" s="456"/>
      <c r="AVB180" s="456"/>
      <c r="AVC180" s="456"/>
      <c r="AVD180" s="456"/>
      <c r="AVE180" s="456"/>
      <c r="AVF180" s="456"/>
      <c r="AVG180" s="456"/>
      <c r="AVH180" s="456"/>
      <c r="AVI180" s="456"/>
      <c r="AVJ180" s="456"/>
      <c r="AVK180" s="456"/>
      <c r="AVL180" s="456"/>
      <c r="AVM180" s="456"/>
      <c r="AVN180" s="456"/>
      <c r="AVO180" s="456"/>
      <c r="AVP180" s="456"/>
      <c r="AVQ180" s="456"/>
      <c r="AVR180" s="456"/>
      <c r="AVS180" s="456"/>
      <c r="AVT180" s="456"/>
      <c r="AVU180" s="456"/>
      <c r="AVV180" s="456"/>
      <c r="AVW180" s="456"/>
      <c r="AVX180" s="456"/>
      <c r="AVY180" s="456"/>
      <c r="AVZ180" s="456"/>
      <c r="AWA180" s="456"/>
      <c r="AWB180" s="456"/>
      <c r="AWC180" s="456"/>
      <c r="AWD180" s="456"/>
      <c r="AWE180" s="456"/>
      <c r="AWF180" s="456"/>
      <c r="AWG180" s="456"/>
      <c r="AWH180" s="456"/>
      <c r="AWI180" s="456"/>
      <c r="AWJ180" s="456"/>
      <c r="AWK180" s="456"/>
      <c r="AWL180" s="456"/>
      <c r="AWM180" s="456"/>
      <c r="AWN180" s="456"/>
      <c r="AWO180" s="456"/>
      <c r="AWP180" s="456"/>
      <c r="AWQ180" s="456"/>
      <c r="AWR180" s="456"/>
      <c r="AWS180" s="456"/>
      <c r="AWT180" s="456"/>
      <c r="AWU180" s="456"/>
      <c r="AWV180" s="456"/>
      <c r="AWW180" s="456"/>
      <c r="AWX180" s="456"/>
      <c r="AWY180" s="456"/>
      <c r="AWZ180" s="456"/>
      <c r="AXA180" s="456"/>
      <c r="AXB180" s="456"/>
      <c r="AXC180" s="456"/>
      <c r="AXD180" s="456"/>
      <c r="AXE180" s="456"/>
      <c r="AXF180" s="456"/>
      <c r="AXG180" s="456"/>
      <c r="AXH180" s="456"/>
      <c r="AXI180" s="456"/>
      <c r="AXJ180" s="456"/>
      <c r="AXK180" s="456"/>
      <c r="AXL180" s="456"/>
      <c r="AXM180" s="456"/>
      <c r="AXN180" s="456"/>
      <c r="AXO180" s="456"/>
      <c r="AXP180" s="456"/>
      <c r="AXQ180" s="456"/>
      <c r="AXR180" s="456"/>
      <c r="AXS180" s="456"/>
      <c r="AXT180" s="456"/>
      <c r="AXU180" s="456"/>
      <c r="AXV180" s="456"/>
      <c r="AXW180" s="456"/>
      <c r="AXX180" s="456"/>
      <c r="AXY180" s="456"/>
      <c r="AXZ180" s="456"/>
      <c r="AYA180" s="456"/>
      <c r="AYB180" s="456"/>
      <c r="AYC180" s="456"/>
      <c r="AYD180" s="456"/>
      <c r="AYE180" s="456"/>
      <c r="AYF180" s="456"/>
      <c r="AYG180" s="456"/>
      <c r="AYH180" s="456"/>
      <c r="AYI180" s="456"/>
      <c r="AYJ180" s="456"/>
      <c r="AYK180" s="456"/>
      <c r="AYL180" s="456"/>
      <c r="AYM180" s="456"/>
      <c r="AYN180" s="456"/>
      <c r="AYO180" s="456"/>
      <c r="AYP180" s="456"/>
      <c r="AYQ180" s="456"/>
      <c r="AYR180" s="456"/>
      <c r="AYS180" s="456"/>
      <c r="AYT180" s="456"/>
      <c r="AYU180" s="456"/>
      <c r="AYV180" s="456"/>
      <c r="AYW180" s="456"/>
      <c r="AYX180" s="456"/>
      <c r="AYY180" s="456"/>
      <c r="AYZ180" s="456"/>
      <c r="AZA180" s="456"/>
      <c r="AZB180" s="456"/>
      <c r="AZC180" s="456"/>
      <c r="AZD180" s="456"/>
      <c r="AZE180" s="456"/>
      <c r="AZF180" s="456"/>
      <c r="AZG180" s="456"/>
      <c r="AZH180" s="456"/>
      <c r="AZI180" s="456"/>
      <c r="AZJ180" s="456"/>
      <c r="AZK180" s="456"/>
      <c r="AZL180" s="456"/>
      <c r="AZM180" s="456"/>
      <c r="AZN180" s="456"/>
      <c r="AZO180" s="456"/>
      <c r="AZP180" s="456"/>
      <c r="AZQ180" s="456"/>
      <c r="AZR180" s="456"/>
      <c r="AZS180" s="456"/>
      <c r="AZT180" s="456"/>
      <c r="AZU180" s="456"/>
      <c r="AZV180" s="456"/>
      <c r="AZW180" s="456"/>
      <c r="AZX180" s="456"/>
      <c r="AZY180" s="456"/>
      <c r="AZZ180" s="456"/>
      <c r="BAA180" s="456"/>
      <c r="BAB180" s="456"/>
      <c r="BAC180" s="456"/>
      <c r="BAD180" s="456"/>
      <c r="BAE180" s="456"/>
      <c r="BAF180" s="456"/>
      <c r="BAG180" s="456"/>
      <c r="BAH180" s="456"/>
      <c r="BAI180" s="456"/>
      <c r="BAJ180" s="456"/>
      <c r="BAK180" s="456"/>
      <c r="BAL180" s="456"/>
      <c r="BAM180" s="456"/>
      <c r="BAN180" s="456"/>
      <c r="BAO180" s="456"/>
      <c r="BAP180" s="456"/>
      <c r="BAQ180" s="456"/>
      <c r="BAR180" s="456"/>
      <c r="BAS180" s="456"/>
      <c r="BAT180" s="456"/>
      <c r="BAU180" s="456"/>
      <c r="BAV180" s="456"/>
      <c r="BAW180" s="456"/>
      <c r="BAX180" s="456"/>
      <c r="BAY180" s="456"/>
      <c r="BAZ180" s="456"/>
      <c r="BBA180" s="456"/>
      <c r="BBB180" s="456"/>
      <c r="BBC180" s="456"/>
      <c r="BBD180" s="456"/>
      <c r="BBE180" s="456"/>
      <c r="BBF180" s="456"/>
      <c r="BBG180" s="456"/>
      <c r="BBH180" s="456"/>
      <c r="BBI180" s="456"/>
      <c r="BBJ180" s="456"/>
      <c r="BBK180" s="456"/>
      <c r="BBL180" s="456"/>
      <c r="BBM180" s="456"/>
      <c r="BBN180" s="456"/>
      <c r="BBO180" s="456"/>
      <c r="BBP180" s="456"/>
      <c r="BBQ180" s="456"/>
      <c r="BBR180" s="456"/>
      <c r="BBS180" s="456"/>
      <c r="BBT180" s="456"/>
      <c r="BBU180" s="456"/>
      <c r="BBV180" s="456"/>
      <c r="BBW180" s="456"/>
      <c r="BBX180" s="456"/>
      <c r="BBY180" s="456"/>
      <c r="BBZ180" s="456"/>
      <c r="BCA180" s="456"/>
      <c r="BCB180" s="456"/>
      <c r="BCC180" s="456"/>
      <c r="BCD180" s="456"/>
      <c r="BCE180" s="456"/>
      <c r="BCF180" s="456"/>
      <c r="BCG180" s="456"/>
      <c r="BCH180" s="456"/>
      <c r="BCI180" s="456"/>
      <c r="BCJ180" s="456"/>
      <c r="BCK180" s="456"/>
      <c r="BCL180" s="456"/>
      <c r="BCM180" s="456"/>
      <c r="BCN180" s="456"/>
      <c r="BCO180" s="456"/>
      <c r="BCP180" s="456"/>
      <c r="BCQ180" s="456"/>
      <c r="BCR180" s="456"/>
      <c r="BCS180" s="456"/>
      <c r="BCT180" s="456"/>
      <c r="BCU180" s="456"/>
      <c r="BCV180" s="456"/>
      <c r="BCW180" s="456"/>
      <c r="BCX180" s="456"/>
      <c r="BCY180" s="456"/>
      <c r="BCZ180" s="456"/>
      <c r="BDA180" s="456"/>
      <c r="BDB180" s="456"/>
      <c r="BDC180" s="456"/>
      <c r="BDD180" s="456"/>
      <c r="BDE180" s="456"/>
      <c r="BDF180" s="456"/>
      <c r="BDG180" s="456"/>
      <c r="BDH180" s="456"/>
      <c r="BDI180" s="456"/>
      <c r="BDJ180" s="456"/>
      <c r="BDK180" s="456"/>
      <c r="BDL180" s="456"/>
      <c r="BDM180" s="456"/>
      <c r="BDN180" s="456"/>
      <c r="BDO180" s="456"/>
      <c r="BDP180" s="456"/>
      <c r="BDQ180" s="456"/>
      <c r="BDR180" s="456"/>
      <c r="BDS180" s="456"/>
      <c r="BDT180" s="456"/>
      <c r="BDU180" s="456"/>
      <c r="BDV180" s="456"/>
      <c r="BDW180" s="456"/>
      <c r="BDX180" s="456"/>
      <c r="BDY180" s="456"/>
      <c r="BDZ180" s="456"/>
      <c r="BEA180" s="456"/>
      <c r="BEB180" s="456"/>
      <c r="BEC180" s="456"/>
      <c r="BED180" s="456"/>
      <c r="BEE180" s="456"/>
      <c r="BEF180" s="456"/>
      <c r="BEG180" s="456"/>
      <c r="BEH180" s="456"/>
      <c r="BEI180" s="456"/>
      <c r="BEJ180" s="456"/>
      <c r="BEK180" s="456"/>
      <c r="BEL180" s="456"/>
      <c r="BEM180" s="456"/>
      <c r="BEN180" s="456"/>
      <c r="BEO180" s="456"/>
      <c r="BEP180" s="456"/>
      <c r="BEQ180" s="456"/>
      <c r="BER180" s="456"/>
      <c r="BES180" s="456"/>
      <c r="BET180" s="456"/>
      <c r="BEU180" s="456"/>
      <c r="BEV180" s="456"/>
      <c r="BEW180" s="456"/>
      <c r="BEX180" s="456"/>
      <c r="BEY180" s="456"/>
      <c r="BEZ180" s="456"/>
      <c r="BFA180" s="456"/>
      <c r="BFB180" s="456"/>
      <c r="BFC180" s="456"/>
      <c r="BFD180" s="456"/>
      <c r="BFE180" s="456"/>
      <c r="BFF180" s="456"/>
      <c r="BFG180" s="456"/>
      <c r="BFH180" s="456"/>
      <c r="BFI180" s="456"/>
      <c r="BFJ180" s="456"/>
      <c r="BFK180" s="456"/>
      <c r="BFL180" s="456"/>
      <c r="BFM180" s="456"/>
      <c r="BFN180" s="456"/>
      <c r="BFO180" s="456"/>
      <c r="BFP180" s="456"/>
      <c r="BFQ180" s="456"/>
      <c r="BFR180" s="456"/>
      <c r="BFS180" s="456"/>
      <c r="BFT180" s="456"/>
      <c r="BFU180" s="456"/>
      <c r="BFV180" s="456"/>
      <c r="BFW180" s="456"/>
      <c r="BFX180" s="456"/>
      <c r="BFY180" s="456"/>
      <c r="BFZ180" s="456"/>
      <c r="BGA180" s="456"/>
      <c r="BGB180" s="456"/>
      <c r="BGC180" s="456"/>
      <c r="BGD180" s="456"/>
      <c r="BGE180" s="456"/>
      <c r="BGF180" s="456"/>
      <c r="BGG180" s="456"/>
      <c r="BGH180" s="456"/>
      <c r="BGI180" s="456"/>
      <c r="BGJ180" s="456"/>
      <c r="BGK180" s="456"/>
      <c r="BGL180" s="456"/>
      <c r="BGM180" s="456"/>
      <c r="BGN180" s="456"/>
      <c r="BGO180" s="456"/>
      <c r="BGP180" s="456"/>
      <c r="BGQ180" s="456"/>
      <c r="BGR180" s="456"/>
      <c r="BGS180" s="456"/>
      <c r="BGT180" s="456"/>
      <c r="BGU180" s="456"/>
      <c r="BGV180" s="456"/>
      <c r="BGW180" s="456"/>
      <c r="BGX180" s="456"/>
      <c r="BGY180" s="456"/>
      <c r="BGZ180" s="456"/>
      <c r="BHA180" s="456"/>
      <c r="BHB180" s="456"/>
      <c r="BHC180" s="456"/>
      <c r="BHD180" s="456"/>
      <c r="BHE180" s="456"/>
      <c r="BHF180" s="456"/>
      <c r="BHG180" s="456"/>
      <c r="BHH180" s="456"/>
      <c r="BHI180" s="456"/>
      <c r="BHJ180" s="456"/>
      <c r="BHK180" s="456"/>
      <c r="BHL180" s="456"/>
      <c r="BHM180" s="456"/>
      <c r="BHN180" s="456"/>
      <c r="BHO180" s="456"/>
      <c r="BHP180" s="456"/>
      <c r="BHQ180" s="456"/>
      <c r="BHR180" s="456"/>
      <c r="BHS180" s="456"/>
      <c r="BHT180" s="456"/>
      <c r="BHU180" s="456"/>
      <c r="BHV180" s="456"/>
      <c r="BHW180" s="456"/>
      <c r="BHX180" s="456"/>
      <c r="BHY180" s="456"/>
      <c r="BHZ180" s="456"/>
      <c r="BIA180" s="456"/>
      <c r="BIB180" s="456"/>
      <c r="BIC180" s="456"/>
      <c r="BID180" s="456"/>
      <c r="BIE180" s="456"/>
      <c r="BIF180" s="456"/>
      <c r="BIG180" s="456"/>
      <c r="BIH180" s="456"/>
      <c r="BII180" s="456"/>
      <c r="BIJ180" s="456"/>
      <c r="BIK180" s="456"/>
      <c r="BIL180" s="456"/>
      <c r="BIM180" s="456"/>
      <c r="BIN180" s="456"/>
      <c r="BIO180" s="456"/>
      <c r="BIP180" s="456"/>
      <c r="BIQ180" s="456"/>
      <c r="BIR180" s="456"/>
      <c r="BIS180" s="456"/>
      <c r="BIT180" s="456"/>
      <c r="BIU180" s="456"/>
      <c r="BIV180" s="456"/>
      <c r="BIW180" s="456"/>
      <c r="BIX180" s="456"/>
      <c r="BIY180" s="456"/>
      <c r="BIZ180" s="456"/>
      <c r="BJA180" s="456"/>
      <c r="BJB180" s="456"/>
      <c r="BJC180" s="456"/>
      <c r="BJD180" s="456"/>
      <c r="BJE180" s="456"/>
      <c r="BJF180" s="456"/>
      <c r="BJG180" s="456"/>
      <c r="BJH180" s="456"/>
      <c r="BJI180" s="456"/>
      <c r="BJJ180" s="456"/>
      <c r="BJK180" s="456"/>
      <c r="BJL180" s="456"/>
      <c r="BJM180" s="456"/>
      <c r="BJN180" s="456"/>
      <c r="BJO180" s="456"/>
      <c r="BJP180" s="456"/>
      <c r="BJQ180" s="456"/>
      <c r="BJR180" s="456"/>
      <c r="BJS180" s="456"/>
      <c r="BJT180" s="456"/>
      <c r="BJU180" s="456"/>
      <c r="BJV180" s="456"/>
      <c r="BJW180" s="456"/>
      <c r="BJX180" s="456"/>
      <c r="BJY180" s="456"/>
      <c r="BJZ180" s="456"/>
      <c r="BKA180" s="456"/>
      <c r="BKB180" s="456"/>
      <c r="BKC180" s="456"/>
      <c r="BKD180" s="456"/>
      <c r="BKE180" s="456"/>
      <c r="BKF180" s="456"/>
      <c r="BKG180" s="456"/>
      <c r="BKH180" s="456"/>
      <c r="BKI180" s="456"/>
      <c r="BKJ180" s="456"/>
      <c r="BKK180" s="456"/>
      <c r="BKL180" s="456"/>
      <c r="BKM180" s="456"/>
      <c r="BKN180" s="456"/>
      <c r="BKO180" s="456"/>
      <c r="BKP180" s="456"/>
      <c r="BKQ180" s="456"/>
      <c r="BKR180" s="456"/>
      <c r="BKS180" s="456"/>
      <c r="BKT180" s="456"/>
      <c r="BKU180" s="456"/>
      <c r="BKV180" s="456"/>
      <c r="BKW180" s="456"/>
      <c r="BKX180" s="456"/>
      <c r="BKY180" s="456"/>
      <c r="BKZ180" s="456"/>
      <c r="BLA180" s="456"/>
      <c r="BLB180" s="456"/>
      <c r="BLC180" s="456"/>
      <c r="BLD180" s="456"/>
      <c r="BLE180" s="456"/>
      <c r="BLF180" s="456"/>
      <c r="BLG180" s="456"/>
      <c r="BLH180" s="456"/>
      <c r="BLI180" s="456"/>
      <c r="BLJ180" s="456"/>
      <c r="BLK180" s="456"/>
      <c r="BLL180" s="456"/>
      <c r="BLM180" s="456"/>
      <c r="BLN180" s="456"/>
      <c r="BLO180" s="456"/>
      <c r="BLP180" s="456"/>
      <c r="BLQ180" s="456"/>
      <c r="BLR180" s="456"/>
      <c r="BLS180" s="456"/>
      <c r="BLT180" s="456"/>
      <c r="BLU180" s="456"/>
      <c r="BLV180" s="456"/>
      <c r="BLW180" s="456"/>
      <c r="BLX180" s="456"/>
      <c r="BLY180" s="456"/>
      <c r="BLZ180" s="456"/>
      <c r="BMA180" s="456"/>
      <c r="BMB180" s="456"/>
      <c r="BMC180" s="456"/>
      <c r="BMD180" s="456"/>
      <c r="BME180" s="456"/>
      <c r="BMF180" s="456"/>
      <c r="BMG180" s="456"/>
      <c r="BMH180" s="456"/>
      <c r="BMI180" s="456"/>
      <c r="BMJ180" s="456"/>
      <c r="BMK180" s="456"/>
      <c r="BML180" s="456"/>
      <c r="BMM180" s="456"/>
      <c r="BMN180" s="456"/>
      <c r="BMO180" s="456"/>
      <c r="BMP180" s="456"/>
      <c r="BMQ180" s="456"/>
      <c r="BMR180" s="456"/>
      <c r="BMS180" s="456"/>
      <c r="BMT180" s="456"/>
      <c r="BMU180" s="456"/>
      <c r="BMV180" s="456"/>
      <c r="BMW180" s="456"/>
      <c r="BMX180" s="456"/>
      <c r="BMY180" s="456"/>
      <c r="BMZ180" s="456"/>
      <c r="BNA180" s="456"/>
      <c r="BNB180" s="456"/>
      <c r="BNC180" s="456"/>
      <c r="BND180" s="456"/>
      <c r="BNE180" s="456"/>
      <c r="BNF180" s="456"/>
      <c r="BNG180" s="456"/>
      <c r="BNH180" s="456"/>
      <c r="BNI180" s="456"/>
      <c r="BNJ180" s="456"/>
      <c r="BNK180" s="456"/>
      <c r="BNL180" s="456"/>
      <c r="BNM180" s="456"/>
      <c r="BNN180" s="456"/>
      <c r="BNO180" s="456"/>
      <c r="BNP180" s="456"/>
      <c r="BNQ180" s="456"/>
      <c r="BNR180" s="456"/>
      <c r="BNS180" s="456"/>
      <c r="BNT180" s="456"/>
      <c r="BNU180" s="456"/>
      <c r="BNV180" s="456"/>
      <c r="BNW180" s="456"/>
      <c r="BNX180" s="456"/>
      <c r="BNY180" s="456"/>
      <c r="BNZ180" s="456"/>
      <c r="BOA180" s="456"/>
      <c r="BOB180" s="456"/>
      <c r="BOC180" s="456"/>
      <c r="BOD180" s="456"/>
      <c r="BOE180" s="456"/>
      <c r="BOF180" s="456"/>
      <c r="BOG180" s="456"/>
      <c r="BOH180" s="456"/>
      <c r="BOI180" s="456"/>
      <c r="BOJ180" s="456"/>
      <c r="BOK180" s="456"/>
      <c r="BOL180" s="456"/>
      <c r="BOM180" s="456"/>
      <c r="BON180" s="456"/>
      <c r="BOO180" s="456"/>
      <c r="BOP180" s="456"/>
      <c r="BOQ180" s="456"/>
      <c r="BOR180" s="456"/>
      <c r="BOS180" s="456"/>
      <c r="BOT180" s="456"/>
      <c r="BOU180" s="456"/>
      <c r="BOV180" s="456"/>
      <c r="BOW180" s="456"/>
      <c r="BOX180" s="456"/>
      <c r="BOY180" s="456"/>
      <c r="BOZ180" s="456"/>
      <c r="BPA180" s="456"/>
      <c r="BPB180" s="456"/>
      <c r="BPC180" s="456"/>
      <c r="BPD180" s="456"/>
      <c r="BPE180" s="456"/>
      <c r="BPF180" s="456"/>
      <c r="BPG180" s="456"/>
      <c r="BPH180" s="456"/>
      <c r="BPI180" s="456"/>
      <c r="BPJ180" s="456"/>
      <c r="BPK180" s="456"/>
      <c r="BPL180" s="456"/>
      <c r="BPM180" s="456"/>
      <c r="BPN180" s="456"/>
      <c r="BPO180" s="456"/>
      <c r="BPP180" s="456"/>
      <c r="BPQ180" s="456"/>
      <c r="BPR180" s="456"/>
      <c r="BPS180" s="456"/>
      <c r="BPT180" s="456"/>
      <c r="BPU180" s="456"/>
      <c r="BPV180" s="456"/>
      <c r="BPW180" s="456"/>
      <c r="BPX180" s="456"/>
      <c r="BPY180" s="456"/>
      <c r="BPZ180" s="456"/>
      <c r="BQA180" s="456"/>
      <c r="BQB180" s="456"/>
      <c r="BQC180" s="456"/>
      <c r="BQD180" s="456"/>
      <c r="BQE180" s="456"/>
      <c r="BQF180" s="456"/>
      <c r="BQG180" s="456"/>
      <c r="BQH180" s="456"/>
      <c r="BQI180" s="456"/>
      <c r="BQJ180" s="456"/>
      <c r="BQK180" s="456"/>
      <c r="BQL180" s="456"/>
      <c r="BQM180" s="456"/>
      <c r="BQN180" s="456"/>
      <c r="BQO180" s="456"/>
      <c r="BQP180" s="456"/>
      <c r="BQQ180" s="456"/>
      <c r="BQR180" s="456"/>
      <c r="BQS180" s="456"/>
      <c r="BQT180" s="456"/>
      <c r="BQU180" s="456"/>
      <c r="BQV180" s="456"/>
      <c r="BQW180" s="456"/>
      <c r="BQX180" s="456"/>
      <c r="BQY180" s="456"/>
      <c r="BQZ180" s="456"/>
      <c r="BRA180" s="456"/>
      <c r="BRB180" s="456"/>
      <c r="BRC180" s="456"/>
      <c r="BRD180" s="456"/>
      <c r="BRE180" s="456"/>
      <c r="BRF180" s="456"/>
      <c r="BRG180" s="456"/>
      <c r="BRH180" s="456"/>
      <c r="BRI180" s="456"/>
      <c r="BRJ180" s="456"/>
      <c r="BRK180" s="456"/>
      <c r="BRL180" s="456"/>
      <c r="BRM180" s="456"/>
      <c r="BRN180" s="456"/>
      <c r="BRO180" s="456"/>
      <c r="BRP180" s="456"/>
      <c r="BRQ180" s="456"/>
      <c r="BRR180" s="456"/>
      <c r="BRS180" s="456"/>
      <c r="BRT180" s="456"/>
      <c r="BRU180" s="456"/>
      <c r="BRV180" s="456"/>
      <c r="BRW180" s="456"/>
      <c r="BRX180" s="456"/>
      <c r="BRY180" s="456"/>
      <c r="BRZ180" s="456"/>
      <c r="BSA180" s="456"/>
      <c r="BSB180" s="456"/>
      <c r="BSC180" s="456"/>
      <c r="BSD180" s="456"/>
      <c r="BSE180" s="456"/>
      <c r="BSF180" s="456"/>
      <c r="BSG180" s="456"/>
      <c r="BSH180" s="456"/>
      <c r="BSI180" s="456"/>
      <c r="BSJ180" s="456"/>
      <c r="BSK180" s="456"/>
      <c r="BSL180" s="456"/>
      <c r="BSM180" s="456"/>
      <c r="BSN180" s="456"/>
      <c r="BSO180" s="456"/>
      <c r="BSP180" s="456"/>
      <c r="BSQ180" s="456"/>
      <c r="BSR180" s="456"/>
      <c r="BSS180" s="456"/>
      <c r="BST180" s="456"/>
      <c r="BSU180" s="456"/>
      <c r="BSV180" s="456"/>
      <c r="BSW180" s="456"/>
      <c r="BSX180" s="456"/>
      <c r="BSY180" s="456"/>
      <c r="BSZ180" s="456"/>
      <c r="BTA180" s="456"/>
      <c r="BTB180" s="456"/>
      <c r="BTC180" s="456"/>
      <c r="BTD180" s="456"/>
      <c r="BTE180" s="456"/>
      <c r="BTF180" s="456"/>
      <c r="BTG180" s="456"/>
      <c r="BTH180" s="456"/>
      <c r="BTI180" s="456"/>
      <c r="BTJ180" s="456"/>
      <c r="BTK180" s="456"/>
      <c r="BTL180" s="456"/>
      <c r="BTM180" s="456"/>
      <c r="BTN180" s="456"/>
      <c r="BTO180" s="456"/>
      <c r="BTP180" s="456"/>
      <c r="BTQ180" s="456"/>
      <c r="BTR180" s="456"/>
      <c r="BTS180" s="456"/>
      <c r="BTT180" s="456"/>
      <c r="BTU180" s="456"/>
      <c r="BTV180" s="456"/>
      <c r="BTW180" s="456"/>
      <c r="BTX180" s="456"/>
      <c r="BTY180" s="456"/>
      <c r="BTZ180" s="456"/>
      <c r="BUA180" s="456"/>
      <c r="BUB180" s="456"/>
      <c r="BUC180" s="456"/>
      <c r="BUD180" s="456"/>
      <c r="BUE180" s="456"/>
      <c r="BUF180" s="456"/>
      <c r="BUG180" s="456"/>
      <c r="BUH180" s="456"/>
      <c r="BUI180" s="456"/>
      <c r="BUJ180" s="456"/>
      <c r="BUK180" s="456"/>
      <c r="BUL180" s="456"/>
      <c r="BUM180" s="456"/>
      <c r="BUN180" s="456"/>
      <c r="BUO180" s="456"/>
      <c r="BUP180" s="456"/>
      <c r="BUQ180" s="456"/>
      <c r="BUR180" s="456"/>
      <c r="BUS180" s="456"/>
      <c r="BUT180" s="456"/>
      <c r="BUU180" s="456"/>
      <c r="BUV180" s="456"/>
      <c r="BUW180" s="456"/>
      <c r="BUX180" s="456"/>
      <c r="BUY180" s="456"/>
      <c r="BUZ180" s="456"/>
      <c r="BVA180" s="456"/>
      <c r="BVB180" s="456"/>
      <c r="BVC180" s="456"/>
      <c r="BVD180" s="456"/>
      <c r="BVE180" s="456"/>
      <c r="BVF180" s="456"/>
      <c r="BVG180" s="456"/>
      <c r="BVH180" s="456"/>
      <c r="BVI180" s="456"/>
      <c r="BVJ180" s="456"/>
      <c r="BVK180" s="456"/>
      <c r="BVL180" s="456"/>
      <c r="BVM180" s="456"/>
      <c r="BVN180" s="456"/>
      <c r="BVO180" s="456"/>
      <c r="BVP180" s="456"/>
      <c r="BVQ180" s="456"/>
      <c r="BVR180" s="456"/>
      <c r="BVS180" s="456"/>
      <c r="BVT180" s="456"/>
      <c r="BVU180" s="456"/>
      <c r="BVV180" s="456"/>
      <c r="BVW180" s="456"/>
      <c r="BVX180" s="456"/>
      <c r="BVY180" s="456"/>
      <c r="BVZ180" s="456"/>
      <c r="BWA180" s="456"/>
      <c r="BWB180" s="456"/>
      <c r="BWC180" s="456"/>
      <c r="BWD180" s="456"/>
      <c r="BWE180" s="456"/>
      <c r="BWF180" s="456"/>
      <c r="BWG180" s="456"/>
      <c r="BWH180" s="456"/>
      <c r="BWI180" s="456"/>
      <c r="BWJ180" s="456"/>
      <c r="BWK180" s="456"/>
      <c r="BWL180" s="456"/>
      <c r="BWM180" s="456"/>
      <c r="BWN180" s="456"/>
      <c r="BWO180" s="456"/>
      <c r="BWP180" s="456"/>
      <c r="BWQ180" s="456"/>
      <c r="BWR180" s="456"/>
      <c r="BWS180" s="456"/>
      <c r="BWT180" s="456"/>
      <c r="BWU180" s="456"/>
      <c r="BWV180" s="456"/>
      <c r="BWW180" s="456"/>
      <c r="BWX180" s="456"/>
      <c r="BWY180" s="456"/>
      <c r="BWZ180" s="456"/>
      <c r="BXA180" s="456"/>
      <c r="BXB180" s="456"/>
      <c r="BXC180" s="456"/>
      <c r="BXD180" s="456"/>
      <c r="BXE180" s="456"/>
      <c r="BXF180" s="456"/>
      <c r="BXG180" s="456"/>
      <c r="BXH180" s="456"/>
      <c r="BXI180" s="456"/>
      <c r="BXJ180" s="456"/>
      <c r="BXK180" s="456"/>
      <c r="BXL180" s="456"/>
      <c r="BXM180" s="456"/>
      <c r="BXN180" s="456"/>
      <c r="BXO180" s="456"/>
      <c r="BXP180" s="456"/>
      <c r="BXQ180" s="456"/>
      <c r="BXR180" s="456"/>
      <c r="BXS180" s="456"/>
      <c r="BXT180" s="456"/>
      <c r="BXU180" s="456"/>
      <c r="BXV180" s="456"/>
      <c r="BXW180" s="456"/>
      <c r="BXX180" s="456"/>
      <c r="BXY180" s="456"/>
      <c r="BXZ180" s="456"/>
    </row>
    <row r="181" s="25" customFormat="1" spans="1:1024 1025:2002">
      <c r="A181" s="473" t="s">
        <v>34</v>
      </c>
      <c r="B181" s="19">
        <v>1134</v>
      </c>
      <c r="C181" s="183">
        <v>46224</v>
      </c>
      <c r="D181" s="17" t="s">
        <v>52</v>
      </c>
      <c r="E181" s="17" t="s">
        <v>119</v>
      </c>
      <c r="F181" s="17" t="s">
        <v>54</v>
      </c>
      <c r="G181" s="17"/>
      <c r="H181" s="19">
        <v>1.2085</v>
      </c>
      <c r="I181" s="19">
        <v>1.2085</v>
      </c>
      <c r="J181" s="17" t="s">
        <v>49</v>
      </c>
      <c r="K181" s="19">
        <v>2230</v>
      </c>
      <c r="L181" s="91">
        <v>85</v>
      </c>
      <c r="M181" s="19">
        <v>4580</v>
      </c>
      <c r="N181" s="19" t="s">
        <v>66</v>
      </c>
      <c r="O181" s="19" t="s">
        <v>67</v>
      </c>
      <c r="P181" s="19">
        <v>3336</v>
      </c>
      <c r="Q181" s="19">
        <v>6590</v>
      </c>
      <c r="R181" s="19">
        <f t="shared" si="12"/>
        <v>-3254</v>
      </c>
      <c r="S181" s="19">
        <v>1760</v>
      </c>
      <c r="T181" s="19" t="s">
        <v>42</v>
      </c>
      <c r="U181" s="102" t="s">
        <v>123</v>
      </c>
      <c r="V181" s="186">
        <v>46230</v>
      </c>
      <c r="W181" s="17" t="s">
        <v>44</v>
      </c>
      <c r="X181" s="17"/>
      <c r="Y181" s="68">
        <v>46235</v>
      </c>
      <c r="Z181" s="17" t="s">
        <v>45</v>
      </c>
      <c r="AA181" s="17" t="s">
        <v>46</v>
      </c>
      <c r="AB181" s="17" t="s">
        <v>122</v>
      </c>
      <c r="AC181" s="217">
        <v>46243</v>
      </c>
      <c r="AD181" s="65">
        <v>1847</v>
      </c>
      <c r="AE181" s="17" t="s">
        <v>48</v>
      </c>
      <c r="AF181" s="17" t="s">
        <v>61</v>
      </c>
      <c r="AG181" s="17" t="s">
        <v>125</v>
      </c>
      <c r="AH181" s="456"/>
      <c r="AI181" s="456"/>
      <c r="AJ181" s="456"/>
      <c r="AK181" s="456"/>
      <c r="AL181" s="456"/>
      <c r="AM181" s="456"/>
      <c r="AN181" s="456"/>
      <c r="AO181" s="456"/>
      <c r="AP181" s="456"/>
      <c r="AQ181" s="456"/>
      <c r="AR181" s="456"/>
      <c r="AS181" s="456"/>
      <c r="AT181" s="456"/>
      <c r="AU181" s="456"/>
      <c r="AV181" s="456"/>
      <c r="AW181" s="456"/>
      <c r="AX181" s="456"/>
      <c r="AY181" s="456"/>
      <c r="AZ181" s="456"/>
      <c r="BA181" s="456"/>
      <c r="BB181" s="456"/>
      <c r="BC181" s="456"/>
      <c r="BD181" s="456"/>
      <c r="BE181" s="456"/>
      <c r="BF181" s="456"/>
      <c r="BG181" s="456"/>
      <c r="BH181" s="456"/>
      <c r="BI181" s="456"/>
      <c r="BJ181" s="456"/>
      <c r="BK181" s="456"/>
      <c r="BL181" s="456"/>
      <c r="BM181" s="456"/>
      <c r="BN181" s="456"/>
      <c r="BO181" s="456"/>
      <c r="BP181" s="456"/>
      <c r="BQ181" s="456"/>
      <c r="BR181" s="456"/>
      <c r="BS181" s="456"/>
      <c r="BT181" s="456"/>
      <c r="BU181" s="456"/>
      <c r="BV181" s="456"/>
      <c r="BW181" s="456"/>
      <c r="BX181" s="456"/>
      <c r="BY181" s="456"/>
      <c r="BZ181" s="456"/>
      <c r="CA181" s="456"/>
      <c r="CB181" s="456"/>
      <c r="CC181" s="456"/>
      <c r="CD181" s="456"/>
      <c r="CE181" s="456"/>
      <c r="CF181" s="456"/>
      <c r="CG181" s="456"/>
      <c r="CH181" s="456"/>
      <c r="CI181" s="456"/>
      <c r="CJ181" s="456"/>
      <c r="CK181" s="456"/>
      <c r="CL181" s="456"/>
      <c r="CM181" s="456"/>
      <c r="CN181" s="456"/>
      <c r="CO181" s="456"/>
      <c r="CP181" s="456"/>
      <c r="CQ181" s="456"/>
      <c r="CR181" s="456"/>
      <c r="CS181" s="456"/>
      <c r="CT181" s="456"/>
      <c r="CU181" s="456"/>
      <c r="CV181" s="456"/>
      <c r="CW181" s="456"/>
      <c r="CX181" s="456"/>
      <c r="CY181" s="456"/>
      <c r="CZ181" s="456"/>
      <c r="DA181" s="456"/>
      <c r="DB181" s="456"/>
      <c r="DC181" s="456"/>
      <c r="DD181" s="456"/>
      <c r="DE181" s="456"/>
      <c r="DF181" s="456"/>
      <c r="DG181" s="456"/>
      <c r="DH181" s="456"/>
      <c r="DI181" s="456"/>
      <c r="DJ181" s="456"/>
      <c r="DK181" s="456"/>
      <c r="DL181" s="456"/>
      <c r="DM181" s="456"/>
      <c r="DN181" s="456"/>
      <c r="DO181" s="456"/>
      <c r="DP181" s="456"/>
      <c r="DQ181" s="456"/>
      <c r="DR181" s="456"/>
      <c r="DS181" s="456"/>
      <c r="DT181" s="456"/>
      <c r="DU181" s="456"/>
      <c r="DV181" s="456"/>
      <c r="DW181" s="456"/>
      <c r="DX181" s="456"/>
      <c r="DY181" s="456"/>
      <c r="DZ181" s="456"/>
      <c r="EA181" s="456"/>
      <c r="EB181" s="456"/>
      <c r="EC181" s="456"/>
      <c r="ED181" s="456"/>
      <c r="EE181" s="456"/>
      <c r="EF181" s="456"/>
      <c r="EG181" s="456"/>
      <c r="EH181" s="456"/>
      <c r="EI181" s="456"/>
      <c r="EJ181" s="456"/>
      <c r="EK181" s="456"/>
      <c r="EL181" s="456"/>
      <c r="EM181" s="456"/>
      <c r="EN181" s="456"/>
      <c r="EO181" s="456"/>
      <c r="EP181" s="456"/>
      <c r="EQ181" s="456"/>
      <c r="ER181" s="456"/>
      <c r="ES181" s="456"/>
      <c r="ET181" s="456"/>
      <c r="EU181" s="456"/>
      <c r="EV181" s="456"/>
      <c r="EW181" s="456"/>
      <c r="EX181" s="456"/>
      <c r="EY181" s="456"/>
      <c r="EZ181" s="456"/>
      <c r="FA181" s="456"/>
      <c r="FB181" s="456"/>
      <c r="FC181" s="456"/>
      <c r="FD181" s="456"/>
      <c r="FE181" s="456"/>
      <c r="FF181" s="456"/>
      <c r="FG181" s="456"/>
      <c r="FH181" s="456"/>
      <c r="FI181" s="456"/>
      <c r="FJ181" s="456"/>
      <c r="FK181" s="456"/>
      <c r="FL181" s="456"/>
      <c r="FM181" s="456"/>
      <c r="FN181" s="456"/>
      <c r="FO181" s="456"/>
      <c r="FP181" s="456"/>
      <c r="FQ181" s="456"/>
      <c r="FR181" s="456"/>
      <c r="FS181" s="456"/>
      <c r="FT181" s="456"/>
      <c r="FU181" s="456"/>
      <c r="FV181" s="456"/>
      <c r="FW181" s="456"/>
      <c r="FX181" s="456"/>
      <c r="FY181" s="456"/>
      <c r="FZ181" s="456"/>
      <c r="GA181" s="456"/>
      <c r="GB181" s="456"/>
      <c r="GC181" s="456"/>
      <c r="GD181" s="456"/>
      <c r="GE181" s="456"/>
      <c r="GF181" s="456"/>
      <c r="GG181" s="456"/>
      <c r="GH181" s="456"/>
      <c r="GI181" s="456"/>
      <c r="GJ181" s="456"/>
      <c r="GK181" s="456"/>
      <c r="GL181" s="456"/>
      <c r="GM181" s="456"/>
      <c r="GN181" s="456"/>
      <c r="GO181" s="456"/>
      <c r="GP181" s="456"/>
      <c r="GQ181" s="456"/>
      <c r="GR181" s="456"/>
      <c r="GS181" s="456"/>
      <c r="GT181" s="456"/>
      <c r="GU181" s="456"/>
      <c r="GV181" s="456"/>
      <c r="GW181" s="456"/>
      <c r="GX181" s="456"/>
      <c r="GY181" s="456"/>
      <c r="GZ181" s="456"/>
      <c r="HA181" s="456"/>
      <c r="HB181" s="456"/>
      <c r="HC181" s="456"/>
      <c r="HD181" s="456"/>
      <c r="HE181" s="456"/>
      <c r="HF181" s="456"/>
      <c r="HG181" s="456"/>
      <c r="HH181" s="456"/>
      <c r="HI181" s="456"/>
      <c r="HJ181" s="456"/>
      <c r="HK181" s="456"/>
      <c r="HL181" s="456"/>
      <c r="HM181" s="456"/>
      <c r="HN181" s="456"/>
      <c r="HO181" s="456"/>
      <c r="HP181" s="456"/>
      <c r="HQ181" s="456"/>
      <c r="HR181" s="456"/>
      <c r="HS181" s="456"/>
      <c r="HT181" s="456"/>
      <c r="HU181" s="456"/>
      <c r="HV181" s="456"/>
      <c r="HW181" s="456"/>
      <c r="HX181" s="456"/>
      <c r="HY181" s="456"/>
      <c r="HZ181" s="456"/>
      <c r="IA181" s="456"/>
      <c r="IB181" s="456"/>
      <c r="IC181" s="456"/>
      <c r="ID181" s="456"/>
      <c r="IE181" s="456"/>
      <c r="IF181" s="456"/>
      <c r="IG181" s="456"/>
      <c r="IH181" s="456"/>
      <c r="II181" s="456"/>
      <c r="IJ181" s="456"/>
      <c r="IK181" s="456"/>
      <c r="IL181" s="456"/>
      <c r="IM181" s="456"/>
      <c r="IN181" s="456"/>
      <c r="IO181" s="456"/>
      <c r="IP181" s="456"/>
      <c r="IQ181" s="456"/>
      <c r="IR181" s="456"/>
      <c r="IS181" s="456"/>
      <c r="IT181" s="456"/>
      <c r="IU181" s="456"/>
      <c r="IV181" s="456"/>
      <c r="IW181" s="456"/>
      <c r="IX181" s="456"/>
      <c r="IY181" s="456"/>
      <c r="IZ181" s="456"/>
      <c r="JA181" s="456"/>
      <c r="JB181" s="456"/>
      <c r="JC181" s="456"/>
      <c r="JD181" s="456"/>
      <c r="JE181" s="456"/>
      <c r="JF181" s="456"/>
      <c r="JG181" s="456"/>
      <c r="JH181" s="456"/>
      <c r="JI181" s="456"/>
      <c r="JJ181" s="456"/>
      <c r="JK181" s="456"/>
      <c r="JL181" s="456"/>
      <c r="JM181" s="456"/>
      <c r="JN181" s="456"/>
      <c r="JO181" s="456"/>
      <c r="JP181" s="456"/>
      <c r="JQ181" s="456"/>
      <c r="JR181" s="456"/>
      <c r="JS181" s="456"/>
      <c r="JT181" s="456"/>
      <c r="JU181" s="456"/>
      <c r="JV181" s="456"/>
      <c r="JW181" s="456"/>
      <c r="JX181" s="456"/>
      <c r="JY181" s="456"/>
      <c r="JZ181" s="456"/>
      <c r="KA181" s="456"/>
      <c r="KB181" s="456"/>
      <c r="KC181" s="456"/>
      <c r="KD181" s="456"/>
      <c r="KE181" s="456"/>
      <c r="KF181" s="456"/>
      <c r="KG181" s="456"/>
      <c r="KH181" s="456"/>
      <c r="KI181" s="456"/>
      <c r="KJ181" s="456"/>
      <c r="KK181" s="456"/>
      <c r="KL181" s="456"/>
      <c r="KM181" s="456"/>
      <c r="KN181" s="456"/>
      <c r="KO181" s="456"/>
      <c r="KP181" s="456"/>
      <c r="KQ181" s="456"/>
      <c r="KR181" s="456"/>
      <c r="KS181" s="456"/>
      <c r="KT181" s="456"/>
      <c r="KU181" s="456"/>
      <c r="KV181" s="456"/>
      <c r="KW181" s="456"/>
      <c r="KX181" s="456"/>
      <c r="KY181" s="456"/>
      <c r="KZ181" s="456"/>
      <c r="LA181" s="456"/>
      <c r="LB181" s="456"/>
      <c r="LC181" s="456"/>
      <c r="LD181" s="456"/>
      <c r="LE181" s="456"/>
      <c r="LF181" s="456"/>
      <c r="LG181" s="456"/>
      <c r="LH181" s="456"/>
      <c r="LI181" s="456"/>
      <c r="LJ181" s="456"/>
      <c r="LK181" s="456"/>
      <c r="LL181" s="456"/>
      <c r="LM181" s="456"/>
      <c r="LN181" s="456"/>
      <c r="LO181" s="456"/>
      <c r="LP181" s="456"/>
      <c r="LQ181" s="456"/>
      <c r="LR181" s="456"/>
      <c r="LS181" s="456"/>
      <c r="LT181" s="456"/>
      <c r="LU181" s="456"/>
      <c r="LV181" s="456"/>
      <c r="LW181" s="456"/>
      <c r="LX181" s="456"/>
      <c r="LY181" s="456"/>
      <c r="LZ181" s="456"/>
      <c r="MA181" s="456"/>
      <c r="MB181" s="456"/>
      <c r="MC181" s="456"/>
      <c r="MD181" s="456"/>
      <c r="ME181" s="456"/>
      <c r="MF181" s="456"/>
      <c r="MG181" s="456"/>
      <c r="MH181" s="456"/>
      <c r="MI181" s="456"/>
      <c r="MJ181" s="456"/>
      <c r="MK181" s="456"/>
      <c r="ML181" s="456"/>
      <c r="MM181" s="456"/>
      <c r="MN181" s="456"/>
      <c r="MO181" s="456"/>
      <c r="MP181" s="456"/>
      <c r="MQ181" s="456"/>
      <c r="MR181" s="456"/>
      <c r="MS181" s="456"/>
      <c r="MT181" s="456"/>
      <c r="MU181" s="456"/>
      <c r="MV181" s="456"/>
      <c r="MW181" s="456"/>
      <c r="MX181" s="456"/>
      <c r="MY181" s="456"/>
      <c r="MZ181" s="456"/>
      <c r="NA181" s="456"/>
      <c r="NB181" s="456"/>
      <c r="NC181" s="456"/>
      <c r="ND181" s="456"/>
      <c r="NE181" s="456"/>
      <c r="NF181" s="456"/>
      <c r="NG181" s="456"/>
      <c r="NH181" s="456"/>
      <c r="NI181" s="456"/>
      <c r="NJ181" s="456"/>
      <c r="NK181" s="456"/>
      <c r="NL181" s="456"/>
      <c r="NM181" s="456"/>
      <c r="NN181" s="456"/>
      <c r="NO181" s="456"/>
      <c r="NP181" s="456"/>
      <c r="NQ181" s="456"/>
      <c r="NR181" s="456"/>
      <c r="NS181" s="456"/>
      <c r="NT181" s="456"/>
      <c r="NU181" s="456"/>
      <c r="NV181" s="456"/>
      <c r="NW181" s="456"/>
      <c r="NX181" s="456"/>
      <c r="NY181" s="456"/>
      <c r="NZ181" s="456"/>
      <c r="OA181" s="456"/>
      <c r="OB181" s="456"/>
      <c r="OC181" s="456"/>
      <c r="OD181" s="456"/>
      <c r="OE181" s="456"/>
      <c r="OF181" s="456"/>
      <c r="OG181" s="456"/>
      <c r="OH181" s="456"/>
      <c r="OI181" s="456"/>
      <c r="OJ181" s="456"/>
      <c r="OK181" s="456"/>
      <c r="OL181" s="456"/>
      <c r="OM181" s="456"/>
      <c r="ON181" s="456"/>
      <c r="OO181" s="456"/>
      <c r="OP181" s="456"/>
      <c r="OQ181" s="456"/>
      <c r="OR181" s="456"/>
      <c r="OS181" s="456"/>
      <c r="OT181" s="456"/>
      <c r="OU181" s="456"/>
      <c r="OV181" s="456"/>
      <c r="OW181" s="456"/>
      <c r="OX181" s="456"/>
      <c r="OY181" s="456"/>
      <c r="OZ181" s="456"/>
      <c r="PA181" s="456"/>
      <c r="PB181" s="456"/>
      <c r="PC181" s="456"/>
      <c r="PD181" s="456"/>
      <c r="PE181" s="456"/>
      <c r="PF181" s="456"/>
      <c r="PG181" s="456"/>
      <c r="PH181" s="456"/>
      <c r="PI181" s="456"/>
      <c r="PJ181" s="456"/>
      <c r="PK181" s="456"/>
      <c r="PL181" s="456"/>
      <c r="PM181" s="456"/>
      <c r="PN181" s="456"/>
      <c r="PO181" s="456"/>
      <c r="PP181" s="456"/>
      <c r="PQ181" s="456"/>
      <c r="PR181" s="456"/>
      <c r="PS181" s="456"/>
      <c r="PT181" s="456"/>
      <c r="PU181" s="456"/>
      <c r="PV181" s="456"/>
      <c r="PW181" s="456"/>
      <c r="PX181" s="456"/>
      <c r="PY181" s="456"/>
      <c r="PZ181" s="456"/>
      <c r="QA181" s="456"/>
      <c r="QB181" s="456"/>
      <c r="QC181" s="456"/>
      <c r="QD181" s="456"/>
      <c r="QE181" s="456"/>
      <c r="QF181" s="456"/>
      <c r="QG181" s="456"/>
      <c r="QH181" s="456"/>
      <c r="QI181" s="456"/>
      <c r="QJ181" s="456"/>
      <c r="QK181" s="456"/>
      <c r="QL181" s="456"/>
      <c r="QM181" s="456"/>
      <c r="QN181" s="456"/>
      <c r="QO181" s="456"/>
      <c r="QP181" s="456"/>
      <c r="QQ181" s="456"/>
      <c r="QR181" s="456"/>
      <c r="QS181" s="456"/>
      <c r="QT181" s="456"/>
      <c r="QU181" s="456"/>
      <c r="QV181" s="456"/>
      <c r="QW181" s="456"/>
      <c r="QX181" s="456"/>
      <c r="QY181" s="456"/>
      <c r="QZ181" s="456"/>
      <c r="RA181" s="456"/>
      <c r="RB181" s="456"/>
      <c r="RC181" s="456"/>
      <c r="RD181" s="456"/>
      <c r="RE181" s="456"/>
      <c r="RF181" s="456"/>
      <c r="RG181" s="456"/>
      <c r="RH181" s="456"/>
      <c r="RI181" s="456"/>
      <c r="RJ181" s="456"/>
      <c r="RK181" s="456"/>
      <c r="RL181" s="456"/>
      <c r="RM181" s="456"/>
      <c r="RN181" s="456"/>
      <c r="RO181" s="456"/>
      <c r="RP181" s="456"/>
      <c r="RQ181" s="456"/>
      <c r="RR181" s="456"/>
      <c r="RS181" s="456"/>
      <c r="RT181" s="456"/>
      <c r="RU181" s="456"/>
      <c r="RV181" s="456"/>
      <c r="RW181" s="456"/>
      <c r="RX181" s="456"/>
      <c r="RY181" s="456"/>
      <c r="RZ181" s="456"/>
      <c r="SA181" s="456"/>
      <c r="SB181" s="456"/>
      <c r="SC181" s="456"/>
      <c r="SD181" s="456"/>
      <c r="SE181" s="456"/>
      <c r="SF181" s="456"/>
      <c r="SG181" s="456"/>
      <c r="SH181" s="456"/>
      <c r="SI181" s="456"/>
      <c r="SJ181" s="456"/>
      <c r="SK181" s="456"/>
      <c r="SL181" s="456"/>
      <c r="SM181" s="456"/>
      <c r="SN181" s="456"/>
      <c r="SO181" s="456"/>
      <c r="SP181" s="456"/>
      <c r="SQ181" s="456"/>
      <c r="SR181" s="456"/>
      <c r="SS181" s="456"/>
      <c r="ST181" s="456"/>
      <c r="SU181" s="456"/>
      <c r="SV181" s="456"/>
      <c r="SW181" s="456"/>
      <c r="SX181" s="456"/>
      <c r="SY181" s="456"/>
      <c r="SZ181" s="456"/>
      <c r="TA181" s="456"/>
      <c r="TB181" s="456"/>
      <c r="TC181" s="456"/>
      <c r="TD181" s="456"/>
      <c r="TE181" s="456"/>
      <c r="TF181" s="456"/>
      <c r="TG181" s="456"/>
      <c r="TH181" s="456"/>
      <c r="TI181" s="456"/>
      <c r="TJ181" s="456"/>
      <c r="TK181" s="456"/>
      <c r="TL181" s="456"/>
      <c r="TM181" s="456"/>
      <c r="TN181" s="456"/>
      <c r="TO181" s="456"/>
      <c r="TP181" s="456"/>
      <c r="TQ181" s="456"/>
      <c r="TR181" s="456"/>
      <c r="TS181" s="456"/>
      <c r="TT181" s="456"/>
      <c r="TU181" s="456"/>
      <c r="TV181" s="456"/>
      <c r="TW181" s="456"/>
      <c r="TX181" s="456"/>
      <c r="TY181" s="456"/>
      <c r="TZ181" s="456"/>
      <c r="UA181" s="456"/>
      <c r="UB181" s="456"/>
      <c r="UC181" s="456"/>
      <c r="UD181" s="456"/>
      <c r="UE181" s="456"/>
      <c r="UF181" s="456"/>
      <c r="UG181" s="456"/>
      <c r="UH181" s="456"/>
      <c r="UI181" s="456"/>
      <c r="UJ181" s="456"/>
      <c r="UK181" s="456"/>
      <c r="UL181" s="456"/>
      <c r="UM181" s="456"/>
      <c r="UN181" s="456"/>
      <c r="UO181" s="456"/>
      <c r="UP181" s="456"/>
      <c r="UQ181" s="456"/>
      <c r="UR181" s="456"/>
      <c r="US181" s="456"/>
      <c r="UT181" s="456"/>
      <c r="UU181" s="456"/>
      <c r="UV181" s="456"/>
      <c r="UW181" s="456"/>
      <c r="UX181" s="456"/>
      <c r="UY181" s="456"/>
      <c r="UZ181" s="456"/>
      <c r="VA181" s="456"/>
      <c r="VB181" s="456"/>
      <c r="VC181" s="456"/>
      <c r="VD181" s="456"/>
      <c r="VE181" s="456"/>
      <c r="VF181" s="456"/>
      <c r="VG181" s="456"/>
      <c r="VH181" s="456"/>
      <c r="VI181" s="456"/>
      <c r="VJ181" s="456"/>
      <c r="VK181" s="456"/>
      <c r="VL181" s="456"/>
      <c r="VM181" s="456"/>
      <c r="VN181" s="456"/>
      <c r="VO181" s="456"/>
      <c r="VP181" s="456"/>
      <c r="VQ181" s="456"/>
      <c r="VR181" s="456"/>
      <c r="VS181" s="456"/>
      <c r="VT181" s="456"/>
      <c r="VU181" s="456"/>
      <c r="VV181" s="456"/>
      <c r="VW181" s="456"/>
      <c r="VX181" s="456"/>
      <c r="VY181" s="456"/>
      <c r="VZ181" s="456"/>
      <c r="WA181" s="456"/>
      <c r="WB181" s="456"/>
      <c r="WC181" s="456"/>
      <c r="WD181" s="456"/>
      <c r="WE181" s="456"/>
      <c r="WF181" s="456"/>
      <c r="WG181" s="456"/>
      <c r="WH181" s="456"/>
      <c r="WI181" s="456"/>
      <c r="WJ181" s="456"/>
      <c r="WK181" s="456"/>
      <c r="WL181" s="456"/>
      <c r="WM181" s="456"/>
      <c r="WN181" s="456"/>
      <c r="WO181" s="456"/>
      <c r="WP181" s="456"/>
      <c r="WQ181" s="456"/>
      <c r="WR181" s="456"/>
      <c r="WS181" s="456"/>
      <c r="WT181" s="456"/>
      <c r="WU181" s="456"/>
      <c r="WV181" s="456"/>
      <c r="WW181" s="456"/>
      <c r="WX181" s="456"/>
      <c r="WY181" s="456"/>
      <c r="WZ181" s="456"/>
      <c r="XA181" s="456"/>
      <c r="XB181" s="456"/>
      <c r="XC181" s="456"/>
      <c r="XD181" s="456"/>
      <c r="XE181" s="456"/>
      <c r="XF181" s="456"/>
      <c r="XG181" s="456"/>
      <c r="XH181" s="456"/>
      <c r="XI181" s="456"/>
      <c r="XJ181" s="456"/>
      <c r="XK181" s="456"/>
      <c r="XL181" s="456"/>
      <c r="XM181" s="456"/>
      <c r="XN181" s="456"/>
      <c r="XO181" s="456"/>
      <c r="XP181" s="456"/>
      <c r="XQ181" s="456"/>
      <c r="XR181" s="456"/>
      <c r="XS181" s="456"/>
      <c r="XT181" s="456"/>
      <c r="XU181" s="456"/>
      <c r="XV181" s="456"/>
      <c r="XW181" s="456"/>
      <c r="XX181" s="456"/>
      <c r="XY181" s="456"/>
      <c r="XZ181" s="456"/>
      <c r="YA181" s="456"/>
      <c r="YB181" s="456"/>
      <c r="YC181" s="456"/>
      <c r="YD181" s="456"/>
      <c r="YE181" s="456"/>
      <c r="YF181" s="456"/>
      <c r="YG181" s="456"/>
      <c r="YH181" s="456"/>
      <c r="YI181" s="456"/>
      <c r="YJ181" s="456"/>
      <c r="YK181" s="456"/>
      <c r="YL181" s="456"/>
      <c r="YM181" s="456"/>
      <c r="YN181" s="456"/>
      <c r="YO181" s="456"/>
      <c r="YP181" s="456"/>
      <c r="YQ181" s="456"/>
      <c r="YR181" s="456"/>
      <c r="YS181" s="456"/>
      <c r="YT181" s="456"/>
      <c r="YU181" s="456"/>
      <c r="YV181" s="456"/>
      <c r="YW181" s="456"/>
      <c r="YX181" s="456"/>
      <c r="YY181" s="456"/>
      <c r="YZ181" s="456"/>
      <c r="ZA181" s="456"/>
      <c r="ZB181" s="456"/>
      <c r="ZC181" s="456"/>
      <c r="ZD181" s="456"/>
      <c r="ZE181" s="456"/>
      <c r="ZF181" s="456"/>
      <c r="ZG181" s="456"/>
      <c r="ZH181" s="456"/>
      <c r="ZI181" s="456"/>
      <c r="ZJ181" s="456"/>
      <c r="ZK181" s="456"/>
      <c r="ZL181" s="456"/>
      <c r="ZM181" s="456"/>
      <c r="ZN181" s="456"/>
      <c r="ZO181" s="456"/>
      <c r="ZP181" s="456"/>
      <c r="ZQ181" s="456"/>
      <c r="ZR181" s="456"/>
      <c r="ZS181" s="456"/>
      <c r="ZT181" s="456"/>
      <c r="ZU181" s="456"/>
      <c r="ZV181" s="456"/>
      <c r="ZW181" s="456"/>
      <c r="ZX181" s="456"/>
      <c r="ZY181" s="456"/>
      <c r="ZZ181" s="456"/>
      <c r="AAA181" s="456"/>
      <c r="AAB181" s="456"/>
      <c r="AAC181" s="456"/>
      <c r="AAD181" s="456"/>
      <c r="AAE181" s="456"/>
      <c r="AAF181" s="456"/>
      <c r="AAG181" s="456"/>
      <c r="AAH181" s="456"/>
      <c r="AAI181" s="456"/>
      <c r="AAJ181" s="456"/>
      <c r="AAK181" s="456"/>
      <c r="AAL181" s="456"/>
      <c r="AAM181" s="456"/>
      <c r="AAN181" s="456"/>
      <c r="AAO181" s="456"/>
      <c r="AAP181" s="456"/>
      <c r="AAQ181" s="456"/>
      <c r="AAR181" s="456"/>
      <c r="AAS181" s="456"/>
      <c r="AAT181" s="456"/>
      <c r="AAU181" s="456"/>
      <c r="AAV181" s="456"/>
      <c r="AAW181" s="456"/>
      <c r="AAX181" s="456"/>
      <c r="AAY181" s="456"/>
      <c r="AAZ181" s="456"/>
      <c r="ABA181" s="456"/>
      <c r="ABB181" s="456"/>
      <c r="ABC181" s="456"/>
      <c r="ABD181" s="456"/>
      <c r="ABE181" s="456"/>
      <c r="ABF181" s="456"/>
      <c r="ABG181" s="456"/>
      <c r="ABH181" s="456"/>
      <c r="ABI181" s="456"/>
      <c r="ABJ181" s="456"/>
      <c r="ABK181" s="456"/>
      <c r="ABL181" s="456"/>
      <c r="ABM181" s="456"/>
      <c r="ABN181" s="456"/>
      <c r="ABO181" s="456"/>
      <c r="ABP181" s="456"/>
      <c r="ABQ181" s="456"/>
      <c r="ABR181" s="456"/>
      <c r="ABS181" s="456"/>
      <c r="ABT181" s="456"/>
      <c r="ABU181" s="456"/>
      <c r="ABV181" s="456"/>
      <c r="ABW181" s="456"/>
      <c r="ABX181" s="456"/>
      <c r="ABY181" s="456"/>
      <c r="ABZ181" s="456"/>
      <c r="ACA181" s="456"/>
      <c r="ACB181" s="456"/>
      <c r="ACC181" s="456"/>
      <c r="ACD181" s="456"/>
      <c r="ACE181" s="456"/>
      <c r="ACF181" s="456"/>
      <c r="ACG181" s="456"/>
      <c r="ACH181" s="456"/>
      <c r="ACI181" s="456"/>
      <c r="ACJ181" s="456"/>
      <c r="ACK181" s="456"/>
      <c r="ACL181" s="456"/>
      <c r="ACM181" s="456"/>
      <c r="ACN181" s="456"/>
      <c r="ACO181" s="456"/>
      <c r="ACP181" s="456"/>
      <c r="ACQ181" s="456"/>
      <c r="ACR181" s="456"/>
      <c r="ACS181" s="456"/>
      <c r="ACT181" s="456"/>
      <c r="ACU181" s="456"/>
      <c r="ACV181" s="456"/>
      <c r="ACW181" s="456"/>
      <c r="ACX181" s="456"/>
      <c r="ACY181" s="456"/>
      <c r="ACZ181" s="456"/>
      <c r="ADA181" s="456"/>
      <c r="ADB181" s="456"/>
      <c r="ADC181" s="456"/>
      <c r="ADD181" s="456"/>
      <c r="ADE181" s="456"/>
      <c r="ADF181" s="456"/>
      <c r="ADG181" s="456"/>
      <c r="ADH181" s="456"/>
      <c r="ADI181" s="456"/>
      <c r="ADJ181" s="456"/>
      <c r="ADK181" s="456"/>
      <c r="ADL181" s="456"/>
      <c r="ADM181" s="456"/>
      <c r="ADN181" s="456"/>
      <c r="ADO181" s="456"/>
      <c r="ADP181" s="456"/>
      <c r="ADQ181" s="456"/>
      <c r="ADR181" s="456"/>
      <c r="ADS181" s="456"/>
      <c r="ADT181" s="456"/>
      <c r="ADU181" s="456"/>
      <c r="ADV181" s="456"/>
      <c r="ADW181" s="456"/>
      <c r="ADX181" s="456"/>
      <c r="ADY181" s="456"/>
      <c r="ADZ181" s="456"/>
      <c r="AEA181" s="456"/>
      <c r="AEB181" s="456"/>
      <c r="AEC181" s="456"/>
      <c r="AED181" s="456"/>
      <c r="AEE181" s="456"/>
      <c r="AEF181" s="456"/>
      <c r="AEG181" s="456"/>
      <c r="AEH181" s="456"/>
      <c r="AEI181" s="456"/>
      <c r="AEJ181" s="456"/>
      <c r="AEK181" s="456"/>
      <c r="AEL181" s="456"/>
      <c r="AEM181" s="456"/>
      <c r="AEN181" s="456"/>
      <c r="AEO181" s="456"/>
      <c r="AEP181" s="456"/>
      <c r="AEQ181" s="456"/>
      <c r="AER181" s="456"/>
      <c r="AES181" s="456"/>
      <c r="AET181" s="456"/>
      <c r="AEU181" s="456"/>
      <c r="AEV181" s="456"/>
      <c r="AEW181" s="456"/>
      <c r="AEX181" s="456"/>
      <c r="AEY181" s="456"/>
      <c r="AEZ181" s="456"/>
      <c r="AFA181" s="456"/>
      <c r="AFB181" s="456"/>
      <c r="AFC181" s="456"/>
      <c r="AFD181" s="456"/>
      <c r="AFE181" s="456"/>
      <c r="AFF181" s="456"/>
      <c r="AFG181" s="456"/>
      <c r="AFH181" s="456"/>
      <c r="AFI181" s="456"/>
      <c r="AFJ181" s="456"/>
      <c r="AFK181" s="456"/>
      <c r="AFL181" s="456"/>
      <c r="AFM181" s="456"/>
      <c r="AFN181" s="456"/>
      <c r="AFO181" s="456"/>
      <c r="AFP181" s="456"/>
      <c r="AFQ181" s="456"/>
      <c r="AFR181" s="456"/>
      <c r="AFS181" s="456"/>
      <c r="AFT181" s="456"/>
      <c r="AFU181" s="456"/>
      <c r="AFV181" s="456"/>
      <c r="AFW181" s="456"/>
      <c r="AFX181" s="456"/>
      <c r="AFY181" s="456"/>
      <c r="AFZ181" s="456"/>
      <c r="AGA181" s="456"/>
      <c r="AGB181" s="456"/>
      <c r="AGC181" s="456"/>
      <c r="AGD181" s="456"/>
      <c r="AGE181" s="456"/>
      <c r="AGF181" s="456"/>
      <c r="AGG181" s="456"/>
      <c r="AGH181" s="456"/>
      <c r="AGI181" s="456"/>
      <c r="AGJ181" s="456"/>
      <c r="AGK181" s="456"/>
      <c r="AGL181" s="456"/>
      <c r="AGM181" s="456"/>
      <c r="AGN181" s="456"/>
      <c r="AGO181" s="456"/>
      <c r="AGP181" s="456"/>
      <c r="AGQ181" s="456"/>
      <c r="AGR181" s="456"/>
      <c r="AGS181" s="456"/>
      <c r="AGT181" s="456"/>
      <c r="AGU181" s="456"/>
      <c r="AGV181" s="456"/>
      <c r="AGW181" s="456"/>
      <c r="AGX181" s="456"/>
      <c r="AGY181" s="456"/>
      <c r="AGZ181" s="456"/>
      <c r="AHA181" s="456"/>
      <c r="AHB181" s="456"/>
      <c r="AHC181" s="456"/>
      <c r="AHD181" s="456"/>
      <c r="AHE181" s="456"/>
      <c r="AHF181" s="456"/>
      <c r="AHG181" s="456"/>
      <c r="AHH181" s="456"/>
      <c r="AHI181" s="456"/>
      <c r="AHJ181" s="456"/>
      <c r="AHK181" s="456"/>
      <c r="AHL181" s="456"/>
      <c r="AHM181" s="456"/>
      <c r="AHN181" s="456"/>
      <c r="AHO181" s="456"/>
      <c r="AHP181" s="456"/>
      <c r="AHQ181" s="456"/>
      <c r="AHR181" s="456"/>
      <c r="AHS181" s="456"/>
      <c r="AHT181" s="456"/>
      <c r="AHU181" s="456"/>
      <c r="AHV181" s="456"/>
      <c r="AHW181" s="456"/>
      <c r="AHX181" s="456"/>
      <c r="AHY181" s="456"/>
      <c r="AHZ181" s="456"/>
      <c r="AIA181" s="456"/>
      <c r="AIB181" s="456"/>
      <c r="AIC181" s="456"/>
      <c r="AID181" s="456"/>
      <c r="AIE181" s="456"/>
      <c r="AIF181" s="456"/>
      <c r="AIG181" s="456"/>
      <c r="AIH181" s="456"/>
      <c r="AII181" s="456"/>
      <c r="AIJ181" s="456"/>
      <c r="AIK181" s="456"/>
      <c r="AIL181" s="456"/>
      <c r="AIM181" s="456"/>
      <c r="AIN181" s="456"/>
      <c r="AIO181" s="456"/>
      <c r="AIP181" s="456"/>
      <c r="AIQ181" s="456"/>
      <c r="AIR181" s="456"/>
      <c r="AIS181" s="456"/>
      <c r="AIT181" s="456"/>
      <c r="AIU181" s="456"/>
      <c r="AIV181" s="456"/>
      <c r="AIW181" s="456"/>
      <c r="AIX181" s="456"/>
      <c r="AIY181" s="456"/>
      <c r="AIZ181" s="456"/>
      <c r="AJA181" s="456"/>
      <c r="AJB181" s="456"/>
      <c r="AJC181" s="456"/>
      <c r="AJD181" s="456"/>
      <c r="AJE181" s="456"/>
      <c r="AJF181" s="456"/>
      <c r="AJG181" s="456"/>
      <c r="AJH181" s="456"/>
      <c r="AJI181" s="456"/>
      <c r="AJJ181" s="456"/>
      <c r="AJK181" s="456"/>
      <c r="AJL181" s="456"/>
      <c r="AJM181" s="456"/>
      <c r="AJN181" s="456"/>
      <c r="AJO181" s="456"/>
      <c r="AJP181" s="456"/>
      <c r="AJQ181" s="456"/>
      <c r="AJR181" s="456"/>
      <c r="AJS181" s="456"/>
      <c r="AJT181" s="456"/>
      <c r="AJU181" s="456"/>
      <c r="AJV181" s="456"/>
      <c r="AJW181" s="456"/>
      <c r="AJX181" s="456"/>
      <c r="AJY181" s="456"/>
      <c r="AJZ181" s="456"/>
      <c r="AKA181" s="456"/>
      <c r="AKB181" s="456"/>
      <c r="AKC181" s="456"/>
      <c r="AKD181" s="456"/>
      <c r="AKE181" s="456"/>
      <c r="AKF181" s="456"/>
      <c r="AKG181" s="456"/>
      <c r="AKH181" s="456"/>
      <c r="AKI181" s="456"/>
      <c r="AKJ181" s="456"/>
      <c r="AKK181" s="456"/>
      <c r="AKL181" s="456"/>
      <c r="AKM181" s="456"/>
      <c r="AKN181" s="456"/>
      <c r="AKO181" s="456"/>
      <c r="AKP181" s="456"/>
      <c r="AKQ181" s="456"/>
      <c r="AKR181" s="456"/>
      <c r="AKS181" s="456"/>
      <c r="AKT181" s="456"/>
      <c r="AKU181" s="456"/>
      <c r="AKV181" s="456"/>
      <c r="AKW181" s="456"/>
      <c r="AKX181" s="456"/>
      <c r="AKY181" s="456"/>
      <c r="AKZ181" s="456"/>
      <c r="ALA181" s="456"/>
      <c r="ALB181" s="456"/>
      <c r="ALC181" s="456"/>
      <c r="ALD181" s="456"/>
      <c r="ALE181" s="456"/>
      <c r="ALF181" s="456"/>
      <c r="ALG181" s="456"/>
      <c r="ALH181" s="456"/>
      <c r="ALI181" s="456"/>
      <c r="ALJ181" s="456"/>
      <c r="ALK181" s="456"/>
      <c r="ALL181" s="456"/>
      <c r="ALM181" s="456"/>
      <c r="ALN181" s="456"/>
      <c r="ALO181" s="456"/>
      <c r="ALP181" s="456"/>
      <c r="ALQ181" s="456"/>
      <c r="ALR181" s="456"/>
      <c r="ALS181" s="456"/>
      <c r="ALT181" s="456"/>
      <c r="ALU181" s="456"/>
      <c r="ALV181" s="456"/>
      <c r="ALW181" s="456"/>
      <c r="ALX181" s="456"/>
      <c r="ALY181" s="456"/>
      <c r="ALZ181" s="456"/>
      <c r="AMA181" s="456"/>
      <c r="AMB181" s="456"/>
      <c r="AMC181" s="456"/>
      <c r="AMD181" s="456"/>
      <c r="AME181" s="456"/>
      <c r="AMF181" s="456"/>
      <c r="AMG181" s="456"/>
      <c r="AMH181" s="456"/>
      <c r="AMI181" s="456"/>
      <c r="AMJ181" s="456"/>
      <c r="AMK181" s="456"/>
      <c r="AML181" s="456"/>
      <c r="AMM181" s="456"/>
      <c r="AMN181" s="456"/>
      <c r="AMO181" s="456"/>
      <c r="AMP181" s="456"/>
      <c r="AMQ181" s="456"/>
      <c r="AMR181" s="456"/>
      <c r="AMS181" s="456"/>
      <c r="AMT181" s="456"/>
      <c r="AMU181" s="456"/>
      <c r="AMV181" s="456"/>
      <c r="AMW181" s="456"/>
      <c r="AMX181" s="456"/>
      <c r="AMY181" s="456"/>
      <c r="AMZ181" s="456"/>
      <c r="ANA181" s="456"/>
      <c r="ANB181" s="456"/>
      <c r="ANC181" s="456"/>
      <c r="AND181" s="456"/>
      <c r="ANE181" s="456"/>
      <c r="ANF181" s="456"/>
      <c r="ANG181" s="456"/>
      <c r="ANH181" s="456"/>
      <c r="ANI181" s="456"/>
      <c r="ANJ181" s="456"/>
      <c r="ANK181" s="456"/>
      <c r="ANL181" s="456"/>
      <c r="ANM181" s="456"/>
      <c r="ANN181" s="456"/>
      <c r="ANO181" s="456"/>
      <c r="ANP181" s="456"/>
      <c r="ANQ181" s="456"/>
      <c r="ANR181" s="456"/>
      <c r="ANS181" s="456"/>
      <c r="ANT181" s="456"/>
      <c r="ANU181" s="456"/>
      <c r="ANV181" s="456"/>
      <c r="ANW181" s="456"/>
      <c r="ANX181" s="456"/>
      <c r="ANY181" s="456"/>
      <c r="ANZ181" s="456"/>
      <c r="AOA181" s="456"/>
      <c r="AOB181" s="456"/>
      <c r="AOC181" s="456"/>
      <c r="AOD181" s="456"/>
      <c r="AOE181" s="456"/>
      <c r="AOF181" s="456"/>
      <c r="AOG181" s="456"/>
      <c r="AOH181" s="456"/>
      <c r="AOI181" s="456"/>
      <c r="AOJ181" s="456"/>
      <c r="AOK181" s="456"/>
      <c r="AOL181" s="456"/>
      <c r="AOM181" s="456"/>
      <c r="AON181" s="456"/>
      <c r="AOO181" s="456"/>
      <c r="AOP181" s="456"/>
      <c r="AOQ181" s="456"/>
      <c r="AOR181" s="456"/>
      <c r="AOS181" s="456"/>
      <c r="AOT181" s="456"/>
      <c r="AOU181" s="456"/>
      <c r="AOV181" s="456"/>
      <c r="AOW181" s="456"/>
      <c r="AOX181" s="456"/>
      <c r="AOY181" s="456"/>
      <c r="AOZ181" s="456"/>
      <c r="APA181" s="456"/>
      <c r="APB181" s="456"/>
      <c r="APC181" s="456"/>
      <c r="APD181" s="456"/>
      <c r="APE181" s="456"/>
      <c r="APF181" s="456"/>
      <c r="APG181" s="456"/>
      <c r="APH181" s="456"/>
      <c r="API181" s="456"/>
      <c r="APJ181" s="456"/>
      <c r="APK181" s="456"/>
      <c r="APL181" s="456"/>
      <c r="APM181" s="456"/>
      <c r="APN181" s="456"/>
      <c r="APO181" s="456"/>
      <c r="APP181" s="456"/>
      <c r="APQ181" s="456"/>
      <c r="APR181" s="456"/>
      <c r="APS181" s="456"/>
      <c r="APT181" s="456"/>
      <c r="APU181" s="456"/>
      <c r="APV181" s="456"/>
      <c r="APW181" s="456"/>
      <c r="APX181" s="456"/>
      <c r="APY181" s="456"/>
      <c r="APZ181" s="456"/>
      <c r="AQA181" s="456"/>
      <c r="AQB181" s="456"/>
      <c r="AQC181" s="456"/>
      <c r="AQD181" s="456"/>
      <c r="AQE181" s="456"/>
      <c r="AQF181" s="456"/>
      <c r="AQG181" s="456"/>
      <c r="AQH181" s="456"/>
      <c r="AQI181" s="456"/>
      <c r="AQJ181" s="456"/>
      <c r="AQK181" s="456"/>
      <c r="AQL181" s="456"/>
      <c r="AQM181" s="456"/>
      <c r="AQN181" s="456"/>
      <c r="AQO181" s="456"/>
      <c r="AQP181" s="456"/>
      <c r="AQQ181" s="456"/>
      <c r="AQR181" s="456"/>
      <c r="AQS181" s="456"/>
      <c r="AQT181" s="456"/>
      <c r="AQU181" s="456"/>
      <c r="AQV181" s="456"/>
      <c r="AQW181" s="456"/>
      <c r="AQX181" s="456"/>
      <c r="AQY181" s="456"/>
      <c r="AQZ181" s="456"/>
      <c r="ARA181" s="456"/>
      <c r="ARB181" s="456"/>
      <c r="ARC181" s="456"/>
      <c r="ARD181" s="456"/>
      <c r="ARE181" s="456"/>
      <c r="ARF181" s="456"/>
      <c r="ARG181" s="456"/>
      <c r="ARH181" s="456"/>
      <c r="ARI181" s="456"/>
      <c r="ARJ181" s="456"/>
      <c r="ARK181" s="456"/>
      <c r="ARL181" s="456"/>
      <c r="ARM181" s="456"/>
      <c r="ARN181" s="456"/>
      <c r="ARO181" s="456"/>
      <c r="ARP181" s="456"/>
      <c r="ARQ181" s="456"/>
      <c r="ARR181" s="456"/>
      <c r="ARS181" s="456"/>
      <c r="ART181" s="456"/>
      <c r="ARU181" s="456"/>
      <c r="ARV181" s="456"/>
      <c r="ARW181" s="456"/>
      <c r="ARX181" s="456"/>
      <c r="ARY181" s="456"/>
      <c r="ARZ181" s="456"/>
      <c r="ASA181" s="456"/>
      <c r="ASB181" s="456"/>
      <c r="ASC181" s="456"/>
      <c r="ASD181" s="456"/>
      <c r="ASE181" s="456"/>
      <c r="ASF181" s="456"/>
      <c r="ASG181" s="456"/>
      <c r="ASH181" s="456"/>
      <c r="ASI181" s="456"/>
      <c r="ASJ181" s="456"/>
      <c r="ASK181" s="456"/>
      <c r="ASL181" s="456"/>
      <c r="ASM181" s="456"/>
      <c r="ASN181" s="456"/>
      <c r="ASO181" s="456"/>
      <c r="ASP181" s="456"/>
      <c r="ASQ181" s="456"/>
      <c r="ASR181" s="456"/>
      <c r="ASS181" s="456"/>
      <c r="AST181" s="456"/>
      <c r="ASU181" s="456"/>
      <c r="ASV181" s="456"/>
      <c r="ASW181" s="456"/>
      <c r="ASX181" s="456"/>
      <c r="ASY181" s="456"/>
      <c r="ASZ181" s="456"/>
      <c r="ATA181" s="456"/>
      <c r="ATB181" s="456"/>
      <c r="ATC181" s="456"/>
      <c r="ATD181" s="456"/>
      <c r="ATE181" s="456"/>
      <c r="ATF181" s="456"/>
      <c r="ATG181" s="456"/>
      <c r="ATH181" s="456"/>
      <c r="ATI181" s="456"/>
      <c r="ATJ181" s="456"/>
      <c r="ATK181" s="456"/>
      <c r="ATL181" s="456"/>
      <c r="ATM181" s="456"/>
      <c r="ATN181" s="456"/>
      <c r="ATO181" s="456"/>
      <c r="ATP181" s="456"/>
      <c r="ATQ181" s="456"/>
      <c r="ATR181" s="456"/>
      <c r="ATS181" s="456"/>
      <c r="ATT181" s="456"/>
      <c r="ATU181" s="456"/>
      <c r="ATV181" s="456"/>
      <c r="ATW181" s="456"/>
      <c r="ATX181" s="456"/>
      <c r="ATY181" s="456"/>
      <c r="ATZ181" s="456"/>
      <c r="AUA181" s="456"/>
      <c r="AUB181" s="456"/>
      <c r="AUC181" s="456"/>
      <c r="AUD181" s="456"/>
      <c r="AUE181" s="456"/>
      <c r="AUF181" s="456"/>
      <c r="AUG181" s="456"/>
      <c r="AUH181" s="456"/>
      <c r="AUI181" s="456"/>
      <c r="AUJ181" s="456"/>
      <c r="AUK181" s="456"/>
      <c r="AUL181" s="456"/>
      <c r="AUM181" s="456"/>
      <c r="AUN181" s="456"/>
      <c r="AUO181" s="456"/>
      <c r="AUP181" s="456"/>
      <c r="AUQ181" s="456"/>
      <c r="AUR181" s="456"/>
      <c r="AUS181" s="456"/>
      <c r="AUT181" s="456"/>
      <c r="AUU181" s="456"/>
      <c r="AUV181" s="456"/>
      <c r="AUW181" s="456"/>
      <c r="AUX181" s="456"/>
      <c r="AUY181" s="456"/>
      <c r="AUZ181" s="456"/>
      <c r="AVA181" s="456"/>
      <c r="AVB181" s="456"/>
      <c r="AVC181" s="456"/>
      <c r="AVD181" s="456"/>
      <c r="AVE181" s="456"/>
      <c r="AVF181" s="456"/>
      <c r="AVG181" s="456"/>
      <c r="AVH181" s="456"/>
      <c r="AVI181" s="456"/>
      <c r="AVJ181" s="456"/>
      <c r="AVK181" s="456"/>
      <c r="AVL181" s="456"/>
      <c r="AVM181" s="456"/>
      <c r="AVN181" s="456"/>
      <c r="AVO181" s="456"/>
      <c r="AVP181" s="456"/>
      <c r="AVQ181" s="456"/>
      <c r="AVR181" s="456"/>
      <c r="AVS181" s="456"/>
      <c r="AVT181" s="456"/>
      <c r="AVU181" s="456"/>
      <c r="AVV181" s="456"/>
      <c r="AVW181" s="456"/>
      <c r="AVX181" s="456"/>
      <c r="AVY181" s="456"/>
      <c r="AVZ181" s="456"/>
      <c r="AWA181" s="456"/>
      <c r="AWB181" s="456"/>
      <c r="AWC181" s="456"/>
      <c r="AWD181" s="456"/>
      <c r="AWE181" s="456"/>
      <c r="AWF181" s="456"/>
      <c r="AWG181" s="456"/>
      <c r="AWH181" s="456"/>
      <c r="AWI181" s="456"/>
      <c r="AWJ181" s="456"/>
      <c r="AWK181" s="456"/>
      <c r="AWL181" s="456"/>
      <c r="AWM181" s="456"/>
      <c r="AWN181" s="456"/>
      <c r="AWO181" s="456"/>
      <c r="AWP181" s="456"/>
      <c r="AWQ181" s="456"/>
      <c r="AWR181" s="456"/>
      <c r="AWS181" s="456"/>
      <c r="AWT181" s="456"/>
      <c r="AWU181" s="456"/>
      <c r="AWV181" s="456"/>
      <c r="AWW181" s="456"/>
      <c r="AWX181" s="456"/>
      <c r="AWY181" s="456"/>
      <c r="AWZ181" s="456"/>
      <c r="AXA181" s="456"/>
      <c r="AXB181" s="456"/>
      <c r="AXC181" s="456"/>
      <c r="AXD181" s="456"/>
      <c r="AXE181" s="456"/>
      <c r="AXF181" s="456"/>
      <c r="AXG181" s="456"/>
      <c r="AXH181" s="456"/>
      <c r="AXI181" s="456"/>
      <c r="AXJ181" s="456"/>
      <c r="AXK181" s="456"/>
      <c r="AXL181" s="456"/>
      <c r="AXM181" s="456"/>
      <c r="AXN181" s="456"/>
      <c r="AXO181" s="456"/>
      <c r="AXP181" s="456"/>
      <c r="AXQ181" s="456"/>
      <c r="AXR181" s="456"/>
      <c r="AXS181" s="456"/>
      <c r="AXT181" s="456"/>
      <c r="AXU181" s="456"/>
      <c r="AXV181" s="456"/>
      <c r="AXW181" s="456"/>
      <c r="AXX181" s="456"/>
      <c r="AXY181" s="456"/>
      <c r="AXZ181" s="456"/>
      <c r="AYA181" s="456"/>
      <c r="AYB181" s="456"/>
      <c r="AYC181" s="456"/>
      <c r="AYD181" s="456"/>
      <c r="AYE181" s="456"/>
      <c r="AYF181" s="456"/>
      <c r="AYG181" s="456"/>
      <c r="AYH181" s="456"/>
      <c r="AYI181" s="456"/>
      <c r="AYJ181" s="456"/>
      <c r="AYK181" s="456"/>
      <c r="AYL181" s="456"/>
      <c r="AYM181" s="456"/>
      <c r="AYN181" s="456"/>
      <c r="AYO181" s="456"/>
      <c r="AYP181" s="456"/>
      <c r="AYQ181" s="456"/>
      <c r="AYR181" s="456"/>
      <c r="AYS181" s="456"/>
      <c r="AYT181" s="456"/>
      <c r="AYU181" s="456"/>
      <c r="AYV181" s="456"/>
      <c r="AYW181" s="456"/>
      <c r="AYX181" s="456"/>
      <c r="AYY181" s="456"/>
      <c r="AYZ181" s="456"/>
      <c r="AZA181" s="456"/>
      <c r="AZB181" s="456"/>
      <c r="AZC181" s="456"/>
      <c r="AZD181" s="456"/>
      <c r="AZE181" s="456"/>
      <c r="AZF181" s="456"/>
      <c r="AZG181" s="456"/>
      <c r="AZH181" s="456"/>
      <c r="AZI181" s="456"/>
      <c r="AZJ181" s="456"/>
      <c r="AZK181" s="456"/>
      <c r="AZL181" s="456"/>
      <c r="AZM181" s="456"/>
      <c r="AZN181" s="456"/>
      <c r="AZO181" s="456"/>
      <c r="AZP181" s="456"/>
      <c r="AZQ181" s="456"/>
      <c r="AZR181" s="456"/>
      <c r="AZS181" s="456"/>
      <c r="AZT181" s="456"/>
      <c r="AZU181" s="456"/>
      <c r="AZV181" s="456"/>
      <c r="AZW181" s="456"/>
      <c r="AZX181" s="456"/>
      <c r="AZY181" s="456"/>
      <c r="AZZ181" s="456"/>
      <c r="BAA181" s="456"/>
      <c r="BAB181" s="456"/>
      <c r="BAC181" s="456"/>
      <c r="BAD181" s="456"/>
      <c r="BAE181" s="456"/>
      <c r="BAF181" s="456"/>
      <c r="BAG181" s="456"/>
      <c r="BAH181" s="456"/>
      <c r="BAI181" s="456"/>
      <c r="BAJ181" s="456"/>
      <c r="BAK181" s="456"/>
      <c r="BAL181" s="456"/>
      <c r="BAM181" s="456"/>
      <c r="BAN181" s="456"/>
      <c r="BAO181" s="456"/>
      <c r="BAP181" s="456"/>
      <c r="BAQ181" s="456"/>
      <c r="BAR181" s="456"/>
      <c r="BAS181" s="456"/>
      <c r="BAT181" s="456"/>
      <c r="BAU181" s="456"/>
      <c r="BAV181" s="456"/>
      <c r="BAW181" s="456"/>
      <c r="BAX181" s="456"/>
      <c r="BAY181" s="456"/>
      <c r="BAZ181" s="456"/>
      <c r="BBA181" s="456"/>
      <c r="BBB181" s="456"/>
      <c r="BBC181" s="456"/>
      <c r="BBD181" s="456"/>
      <c r="BBE181" s="456"/>
      <c r="BBF181" s="456"/>
      <c r="BBG181" s="456"/>
      <c r="BBH181" s="456"/>
      <c r="BBI181" s="456"/>
      <c r="BBJ181" s="456"/>
      <c r="BBK181" s="456"/>
      <c r="BBL181" s="456"/>
      <c r="BBM181" s="456"/>
      <c r="BBN181" s="456"/>
      <c r="BBO181" s="456"/>
      <c r="BBP181" s="456"/>
      <c r="BBQ181" s="456"/>
      <c r="BBR181" s="456"/>
      <c r="BBS181" s="456"/>
      <c r="BBT181" s="456"/>
      <c r="BBU181" s="456"/>
      <c r="BBV181" s="456"/>
      <c r="BBW181" s="456"/>
      <c r="BBX181" s="456"/>
      <c r="BBY181" s="456"/>
      <c r="BBZ181" s="456"/>
      <c r="BCA181" s="456"/>
      <c r="BCB181" s="456"/>
      <c r="BCC181" s="456"/>
      <c r="BCD181" s="456"/>
      <c r="BCE181" s="456"/>
      <c r="BCF181" s="456"/>
      <c r="BCG181" s="456"/>
      <c r="BCH181" s="456"/>
      <c r="BCI181" s="456"/>
      <c r="BCJ181" s="456"/>
      <c r="BCK181" s="456"/>
      <c r="BCL181" s="456"/>
      <c r="BCM181" s="456"/>
      <c r="BCN181" s="456"/>
      <c r="BCO181" s="456"/>
      <c r="BCP181" s="456"/>
      <c r="BCQ181" s="456"/>
      <c r="BCR181" s="456"/>
      <c r="BCS181" s="456"/>
      <c r="BCT181" s="456"/>
      <c r="BCU181" s="456"/>
      <c r="BCV181" s="456"/>
      <c r="BCW181" s="456"/>
      <c r="BCX181" s="456"/>
      <c r="BCY181" s="456"/>
      <c r="BCZ181" s="456"/>
      <c r="BDA181" s="456"/>
      <c r="BDB181" s="456"/>
      <c r="BDC181" s="456"/>
      <c r="BDD181" s="456"/>
      <c r="BDE181" s="456"/>
      <c r="BDF181" s="456"/>
      <c r="BDG181" s="456"/>
      <c r="BDH181" s="456"/>
      <c r="BDI181" s="456"/>
      <c r="BDJ181" s="456"/>
      <c r="BDK181" s="456"/>
      <c r="BDL181" s="456"/>
      <c r="BDM181" s="456"/>
      <c r="BDN181" s="456"/>
      <c r="BDO181" s="456"/>
      <c r="BDP181" s="456"/>
      <c r="BDQ181" s="456"/>
      <c r="BDR181" s="456"/>
      <c r="BDS181" s="456"/>
      <c r="BDT181" s="456"/>
      <c r="BDU181" s="456"/>
      <c r="BDV181" s="456"/>
      <c r="BDW181" s="456"/>
      <c r="BDX181" s="456"/>
      <c r="BDY181" s="456"/>
      <c r="BDZ181" s="456"/>
      <c r="BEA181" s="456"/>
      <c r="BEB181" s="456"/>
      <c r="BEC181" s="456"/>
      <c r="BED181" s="456"/>
      <c r="BEE181" s="456"/>
      <c r="BEF181" s="456"/>
      <c r="BEG181" s="456"/>
      <c r="BEH181" s="456"/>
      <c r="BEI181" s="456"/>
      <c r="BEJ181" s="456"/>
      <c r="BEK181" s="456"/>
      <c r="BEL181" s="456"/>
      <c r="BEM181" s="456"/>
      <c r="BEN181" s="456"/>
      <c r="BEO181" s="456"/>
      <c r="BEP181" s="456"/>
      <c r="BEQ181" s="456"/>
      <c r="BER181" s="456"/>
      <c r="BES181" s="456"/>
      <c r="BET181" s="456"/>
      <c r="BEU181" s="456"/>
      <c r="BEV181" s="456"/>
      <c r="BEW181" s="456"/>
      <c r="BEX181" s="456"/>
      <c r="BEY181" s="456"/>
      <c r="BEZ181" s="456"/>
      <c r="BFA181" s="456"/>
      <c r="BFB181" s="456"/>
      <c r="BFC181" s="456"/>
      <c r="BFD181" s="456"/>
      <c r="BFE181" s="456"/>
      <c r="BFF181" s="456"/>
      <c r="BFG181" s="456"/>
      <c r="BFH181" s="456"/>
      <c r="BFI181" s="456"/>
      <c r="BFJ181" s="456"/>
      <c r="BFK181" s="456"/>
      <c r="BFL181" s="456"/>
      <c r="BFM181" s="456"/>
      <c r="BFN181" s="456"/>
      <c r="BFO181" s="456"/>
      <c r="BFP181" s="456"/>
      <c r="BFQ181" s="456"/>
      <c r="BFR181" s="456"/>
      <c r="BFS181" s="456"/>
      <c r="BFT181" s="456"/>
      <c r="BFU181" s="456"/>
      <c r="BFV181" s="456"/>
      <c r="BFW181" s="456"/>
      <c r="BFX181" s="456"/>
      <c r="BFY181" s="456"/>
      <c r="BFZ181" s="456"/>
      <c r="BGA181" s="456"/>
      <c r="BGB181" s="456"/>
      <c r="BGC181" s="456"/>
      <c r="BGD181" s="456"/>
      <c r="BGE181" s="456"/>
      <c r="BGF181" s="456"/>
      <c r="BGG181" s="456"/>
      <c r="BGH181" s="456"/>
      <c r="BGI181" s="456"/>
      <c r="BGJ181" s="456"/>
      <c r="BGK181" s="456"/>
      <c r="BGL181" s="456"/>
      <c r="BGM181" s="456"/>
      <c r="BGN181" s="456"/>
      <c r="BGO181" s="456"/>
      <c r="BGP181" s="456"/>
      <c r="BGQ181" s="456"/>
      <c r="BGR181" s="456"/>
      <c r="BGS181" s="456"/>
      <c r="BGT181" s="456"/>
      <c r="BGU181" s="456"/>
      <c r="BGV181" s="456"/>
      <c r="BGW181" s="456"/>
      <c r="BGX181" s="456"/>
      <c r="BGY181" s="456"/>
      <c r="BGZ181" s="456"/>
      <c r="BHA181" s="456"/>
      <c r="BHB181" s="456"/>
      <c r="BHC181" s="456"/>
      <c r="BHD181" s="456"/>
      <c r="BHE181" s="456"/>
      <c r="BHF181" s="456"/>
      <c r="BHG181" s="456"/>
      <c r="BHH181" s="456"/>
      <c r="BHI181" s="456"/>
      <c r="BHJ181" s="456"/>
      <c r="BHK181" s="456"/>
      <c r="BHL181" s="456"/>
      <c r="BHM181" s="456"/>
      <c r="BHN181" s="456"/>
      <c r="BHO181" s="456"/>
      <c r="BHP181" s="456"/>
      <c r="BHQ181" s="456"/>
      <c r="BHR181" s="456"/>
      <c r="BHS181" s="456"/>
      <c r="BHT181" s="456"/>
      <c r="BHU181" s="456"/>
      <c r="BHV181" s="456"/>
      <c r="BHW181" s="456"/>
      <c r="BHX181" s="456"/>
      <c r="BHY181" s="456"/>
      <c r="BHZ181" s="456"/>
      <c r="BIA181" s="456"/>
      <c r="BIB181" s="456"/>
      <c r="BIC181" s="456"/>
      <c r="BID181" s="456"/>
      <c r="BIE181" s="456"/>
      <c r="BIF181" s="456"/>
      <c r="BIG181" s="456"/>
      <c r="BIH181" s="456"/>
      <c r="BII181" s="456"/>
      <c r="BIJ181" s="456"/>
      <c r="BIK181" s="456"/>
      <c r="BIL181" s="456"/>
      <c r="BIM181" s="456"/>
      <c r="BIN181" s="456"/>
      <c r="BIO181" s="456"/>
      <c r="BIP181" s="456"/>
      <c r="BIQ181" s="456"/>
      <c r="BIR181" s="456"/>
      <c r="BIS181" s="456"/>
      <c r="BIT181" s="456"/>
      <c r="BIU181" s="456"/>
      <c r="BIV181" s="456"/>
      <c r="BIW181" s="456"/>
      <c r="BIX181" s="456"/>
      <c r="BIY181" s="456"/>
      <c r="BIZ181" s="456"/>
      <c r="BJA181" s="456"/>
      <c r="BJB181" s="456"/>
      <c r="BJC181" s="456"/>
      <c r="BJD181" s="456"/>
      <c r="BJE181" s="456"/>
      <c r="BJF181" s="456"/>
      <c r="BJG181" s="456"/>
      <c r="BJH181" s="456"/>
      <c r="BJI181" s="456"/>
      <c r="BJJ181" s="456"/>
      <c r="BJK181" s="456"/>
      <c r="BJL181" s="456"/>
      <c r="BJM181" s="456"/>
      <c r="BJN181" s="456"/>
      <c r="BJO181" s="456"/>
      <c r="BJP181" s="456"/>
      <c r="BJQ181" s="456"/>
      <c r="BJR181" s="456"/>
      <c r="BJS181" s="456"/>
      <c r="BJT181" s="456"/>
      <c r="BJU181" s="456"/>
      <c r="BJV181" s="456"/>
      <c r="BJW181" s="456"/>
      <c r="BJX181" s="456"/>
      <c r="BJY181" s="456"/>
      <c r="BJZ181" s="456"/>
      <c r="BKA181" s="456"/>
      <c r="BKB181" s="456"/>
      <c r="BKC181" s="456"/>
      <c r="BKD181" s="456"/>
      <c r="BKE181" s="456"/>
      <c r="BKF181" s="456"/>
      <c r="BKG181" s="456"/>
      <c r="BKH181" s="456"/>
      <c r="BKI181" s="456"/>
      <c r="BKJ181" s="456"/>
      <c r="BKK181" s="456"/>
      <c r="BKL181" s="456"/>
      <c r="BKM181" s="456"/>
      <c r="BKN181" s="456"/>
      <c r="BKO181" s="456"/>
      <c r="BKP181" s="456"/>
      <c r="BKQ181" s="456"/>
      <c r="BKR181" s="456"/>
      <c r="BKS181" s="456"/>
      <c r="BKT181" s="456"/>
      <c r="BKU181" s="456"/>
      <c r="BKV181" s="456"/>
      <c r="BKW181" s="456"/>
      <c r="BKX181" s="456"/>
      <c r="BKY181" s="456"/>
      <c r="BKZ181" s="456"/>
      <c r="BLA181" s="456"/>
      <c r="BLB181" s="456"/>
      <c r="BLC181" s="456"/>
      <c r="BLD181" s="456"/>
      <c r="BLE181" s="456"/>
      <c r="BLF181" s="456"/>
      <c r="BLG181" s="456"/>
      <c r="BLH181" s="456"/>
      <c r="BLI181" s="456"/>
      <c r="BLJ181" s="456"/>
      <c r="BLK181" s="456"/>
      <c r="BLL181" s="456"/>
      <c r="BLM181" s="456"/>
      <c r="BLN181" s="456"/>
      <c r="BLO181" s="456"/>
      <c r="BLP181" s="456"/>
      <c r="BLQ181" s="456"/>
      <c r="BLR181" s="456"/>
      <c r="BLS181" s="456"/>
      <c r="BLT181" s="456"/>
      <c r="BLU181" s="456"/>
      <c r="BLV181" s="456"/>
      <c r="BLW181" s="456"/>
      <c r="BLX181" s="456"/>
      <c r="BLY181" s="456"/>
      <c r="BLZ181" s="456"/>
      <c r="BMA181" s="456"/>
      <c r="BMB181" s="456"/>
      <c r="BMC181" s="456"/>
      <c r="BMD181" s="456"/>
      <c r="BME181" s="456"/>
      <c r="BMF181" s="456"/>
      <c r="BMG181" s="456"/>
      <c r="BMH181" s="456"/>
      <c r="BMI181" s="456"/>
      <c r="BMJ181" s="456"/>
      <c r="BMK181" s="456"/>
      <c r="BML181" s="456"/>
      <c r="BMM181" s="456"/>
      <c r="BMN181" s="456"/>
      <c r="BMO181" s="456"/>
      <c r="BMP181" s="456"/>
      <c r="BMQ181" s="456"/>
      <c r="BMR181" s="456"/>
      <c r="BMS181" s="456"/>
      <c r="BMT181" s="456"/>
      <c r="BMU181" s="456"/>
      <c r="BMV181" s="456"/>
      <c r="BMW181" s="456"/>
      <c r="BMX181" s="456"/>
      <c r="BMY181" s="456"/>
      <c r="BMZ181" s="456"/>
      <c r="BNA181" s="456"/>
      <c r="BNB181" s="456"/>
      <c r="BNC181" s="456"/>
      <c r="BND181" s="456"/>
      <c r="BNE181" s="456"/>
      <c r="BNF181" s="456"/>
      <c r="BNG181" s="456"/>
      <c r="BNH181" s="456"/>
      <c r="BNI181" s="456"/>
      <c r="BNJ181" s="456"/>
      <c r="BNK181" s="456"/>
      <c r="BNL181" s="456"/>
      <c r="BNM181" s="456"/>
      <c r="BNN181" s="456"/>
      <c r="BNO181" s="456"/>
      <c r="BNP181" s="456"/>
      <c r="BNQ181" s="456"/>
      <c r="BNR181" s="456"/>
      <c r="BNS181" s="456"/>
      <c r="BNT181" s="456"/>
      <c r="BNU181" s="456"/>
      <c r="BNV181" s="456"/>
      <c r="BNW181" s="456"/>
      <c r="BNX181" s="456"/>
      <c r="BNY181" s="456"/>
      <c r="BNZ181" s="456"/>
      <c r="BOA181" s="456"/>
      <c r="BOB181" s="456"/>
      <c r="BOC181" s="456"/>
      <c r="BOD181" s="456"/>
      <c r="BOE181" s="456"/>
      <c r="BOF181" s="456"/>
      <c r="BOG181" s="456"/>
      <c r="BOH181" s="456"/>
      <c r="BOI181" s="456"/>
      <c r="BOJ181" s="456"/>
      <c r="BOK181" s="456"/>
      <c r="BOL181" s="456"/>
      <c r="BOM181" s="456"/>
      <c r="BON181" s="456"/>
      <c r="BOO181" s="456"/>
      <c r="BOP181" s="456"/>
      <c r="BOQ181" s="456"/>
      <c r="BOR181" s="456"/>
      <c r="BOS181" s="456"/>
      <c r="BOT181" s="456"/>
      <c r="BOU181" s="456"/>
      <c r="BOV181" s="456"/>
      <c r="BOW181" s="456"/>
      <c r="BOX181" s="456"/>
      <c r="BOY181" s="456"/>
      <c r="BOZ181" s="456"/>
      <c r="BPA181" s="456"/>
      <c r="BPB181" s="456"/>
      <c r="BPC181" s="456"/>
      <c r="BPD181" s="456"/>
      <c r="BPE181" s="456"/>
      <c r="BPF181" s="456"/>
      <c r="BPG181" s="456"/>
      <c r="BPH181" s="456"/>
      <c r="BPI181" s="456"/>
      <c r="BPJ181" s="456"/>
      <c r="BPK181" s="456"/>
      <c r="BPL181" s="456"/>
      <c r="BPM181" s="456"/>
      <c r="BPN181" s="456"/>
      <c r="BPO181" s="456"/>
      <c r="BPP181" s="456"/>
      <c r="BPQ181" s="456"/>
      <c r="BPR181" s="456"/>
      <c r="BPS181" s="456"/>
      <c r="BPT181" s="456"/>
      <c r="BPU181" s="456"/>
      <c r="BPV181" s="456"/>
      <c r="BPW181" s="456"/>
      <c r="BPX181" s="456"/>
      <c r="BPY181" s="456"/>
      <c r="BPZ181" s="456"/>
      <c r="BQA181" s="456"/>
      <c r="BQB181" s="456"/>
      <c r="BQC181" s="456"/>
      <c r="BQD181" s="456"/>
      <c r="BQE181" s="456"/>
      <c r="BQF181" s="456"/>
      <c r="BQG181" s="456"/>
      <c r="BQH181" s="456"/>
      <c r="BQI181" s="456"/>
      <c r="BQJ181" s="456"/>
      <c r="BQK181" s="456"/>
      <c r="BQL181" s="456"/>
      <c r="BQM181" s="456"/>
      <c r="BQN181" s="456"/>
      <c r="BQO181" s="456"/>
      <c r="BQP181" s="456"/>
      <c r="BQQ181" s="456"/>
      <c r="BQR181" s="456"/>
      <c r="BQS181" s="456"/>
      <c r="BQT181" s="456"/>
      <c r="BQU181" s="456"/>
      <c r="BQV181" s="456"/>
      <c r="BQW181" s="456"/>
      <c r="BQX181" s="456"/>
      <c r="BQY181" s="456"/>
      <c r="BQZ181" s="456"/>
      <c r="BRA181" s="456"/>
      <c r="BRB181" s="456"/>
      <c r="BRC181" s="456"/>
      <c r="BRD181" s="456"/>
      <c r="BRE181" s="456"/>
      <c r="BRF181" s="456"/>
      <c r="BRG181" s="456"/>
      <c r="BRH181" s="456"/>
      <c r="BRI181" s="456"/>
      <c r="BRJ181" s="456"/>
      <c r="BRK181" s="456"/>
      <c r="BRL181" s="456"/>
      <c r="BRM181" s="456"/>
      <c r="BRN181" s="456"/>
      <c r="BRO181" s="456"/>
      <c r="BRP181" s="456"/>
      <c r="BRQ181" s="456"/>
      <c r="BRR181" s="456"/>
      <c r="BRS181" s="456"/>
      <c r="BRT181" s="456"/>
      <c r="BRU181" s="456"/>
      <c r="BRV181" s="456"/>
      <c r="BRW181" s="456"/>
      <c r="BRX181" s="456"/>
      <c r="BRY181" s="456"/>
      <c r="BRZ181" s="456"/>
      <c r="BSA181" s="456"/>
      <c r="BSB181" s="456"/>
      <c r="BSC181" s="456"/>
      <c r="BSD181" s="456"/>
      <c r="BSE181" s="456"/>
      <c r="BSF181" s="456"/>
      <c r="BSG181" s="456"/>
      <c r="BSH181" s="456"/>
      <c r="BSI181" s="456"/>
      <c r="BSJ181" s="456"/>
      <c r="BSK181" s="456"/>
      <c r="BSL181" s="456"/>
      <c r="BSM181" s="456"/>
      <c r="BSN181" s="456"/>
      <c r="BSO181" s="456"/>
      <c r="BSP181" s="456"/>
      <c r="BSQ181" s="456"/>
      <c r="BSR181" s="456"/>
      <c r="BSS181" s="456"/>
      <c r="BST181" s="456"/>
      <c r="BSU181" s="456"/>
      <c r="BSV181" s="456"/>
      <c r="BSW181" s="456"/>
      <c r="BSX181" s="456"/>
      <c r="BSY181" s="456"/>
      <c r="BSZ181" s="456"/>
      <c r="BTA181" s="456"/>
      <c r="BTB181" s="456"/>
      <c r="BTC181" s="456"/>
      <c r="BTD181" s="456"/>
      <c r="BTE181" s="456"/>
      <c r="BTF181" s="456"/>
      <c r="BTG181" s="456"/>
      <c r="BTH181" s="456"/>
      <c r="BTI181" s="456"/>
      <c r="BTJ181" s="456"/>
      <c r="BTK181" s="456"/>
      <c r="BTL181" s="456"/>
      <c r="BTM181" s="456"/>
      <c r="BTN181" s="456"/>
      <c r="BTO181" s="456"/>
      <c r="BTP181" s="456"/>
      <c r="BTQ181" s="456"/>
      <c r="BTR181" s="456"/>
      <c r="BTS181" s="456"/>
      <c r="BTT181" s="456"/>
      <c r="BTU181" s="456"/>
      <c r="BTV181" s="456"/>
      <c r="BTW181" s="456"/>
      <c r="BTX181" s="456"/>
      <c r="BTY181" s="456"/>
      <c r="BTZ181" s="456"/>
      <c r="BUA181" s="456"/>
      <c r="BUB181" s="456"/>
      <c r="BUC181" s="456"/>
      <c r="BUD181" s="456"/>
      <c r="BUE181" s="456"/>
      <c r="BUF181" s="456"/>
      <c r="BUG181" s="456"/>
      <c r="BUH181" s="456"/>
      <c r="BUI181" s="456"/>
      <c r="BUJ181" s="456"/>
      <c r="BUK181" s="456"/>
      <c r="BUL181" s="456"/>
      <c r="BUM181" s="456"/>
      <c r="BUN181" s="456"/>
      <c r="BUO181" s="456"/>
      <c r="BUP181" s="456"/>
      <c r="BUQ181" s="456"/>
      <c r="BUR181" s="456"/>
      <c r="BUS181" s="456"/>
      <c r="BUT181" s="456"/>
      <c r="BUU181" s="456"/>
      <c r="BUV181" s="456"/>
      <c r="BUW181" s="456"/>
      <c r="BUX181" s="456"/>
      <c r="BUY181" s="456"/>
      <c r="BUZ181" s="456"/>
      <c r="BVA181" s="456"/>
      <c r="BVB181" s="456"/>
      <c r="BVC181" s="456"/>
      <c r="BVD181" s="456"/>
      <c r="BVE181" s="456"/>
      <c r="BVF181" s="456"/>
      <c r="BVG181" s="456"/>
      <c r="BVH181" s="456"/>
      <c r="BVI181" s="456"/>
      <c r="BVJ181" s="456"/>
      <c r="BVK181" s="456"/>
      <c r="BVL181" s="456"/>
      <c r="BVM181" s="456"/>
      <c r="BVN181" s="456"/>
      <c r="BVO181" s="456"/>
      <c r="BVP181" s="456"/>
      <c r="BVQ181" s="456"/>
      <c r="BVR181" s="456"/>
      <c r="BVS181" s="456"/>
      <c r="BVT181" s="456"/>
      <c r="BVU181" s="456"/>
      <c r="BVV181" s="456"/>
      <c r="BVW181" s="456"/>
      <c r="BVX181" s="456"/>
      <c r="BVY181" s="456"/>
      <c r="BVZ181" s="456"/>
      <c r="BWA181" s="456"/>
      <c r="BWB181" s="456"/>
      <c r="BWC181" s="456"/>
      <c r="BWD181" s="456"/>
      <c r="BWE181" s="456"/>
      <c r="BWF181" s="456"/>
      <c r="BWG181" s="456"/>
      <c r="BWH181" s="456"/>
      <c r="BWI181" s="456"/>
      <c r="BWJ181" s="456"/>
      <c r="BWK181" s="456"/>
      <c r="BWL181" s="456"/>
      <c r="BWM181" s="456"/>
      <c r="BWN181" s="456"/>
      <c r="BWO181" s="456"/>
      <c r="BWP181" s="456"/>
      <c r="BWQ181" s="456"/>
      <c r="BWR181" s="456"/>
      <c r="BWS181" s="456"/>
      <c r="BWT181" s="456"/>
      <c r="BWU181" s="456"/>
      <c r="BWV181" s="456"/>
      <c r="BWW181" s="456"/>
      <c r="BWX181" s="456"/>
      <c r="BWY181" s="456"/>
      <c r="BWZ181" s="456"/>
      <c r="BXA181" s="456"/>
      <c r="BXB181" s="456"/>
      <c r="BXC181" s="456"/>
      <c r="BXD181" s="456"/>
      <c r="BXE181" s="456"/>
      <c r="BXF181" s="456"/>
      <c r="BXG181" s="456"/>
      <c r="BXH181" s="456"/>
      <c r="BXI181" s="456"/>
      <c r="BXJ181" s="456"/>
      <c r="BXK181" s="456"/>
      <c r="BXL181" s="456"/>
      <c r="BXM181" s="456"/>
      <c r="BXN181" s="456"/>
      <c r="BXO181" s="456"/>
      <c r="BXP181" s="456"/>
      <c r="BXQ181" s="456"/>
      <c r="BXR181" s="456"/>
      <c r="BXS181" s="456"/>
      <c r="BXT181" s="456"/>
      <c r="BXU181" s="456"/>
      <c r="BXV181" s="456"/>
      <c r="BXW181" s="456"/>
      <c r="BXX181" s="456"/>
      <c r="BXY181" s="456"/>
      <c r="BXZ181" s="456"/>
    </row>
    <row r="182" s="25" customFormat="1" spans="1:1024 1025:2002">
      <c r="A182" s="473" t="s">
        <v>34</v>
      </c>
      <c r="B182" s="19">
        <v>1134</v>
      </c>
      <c r="C182" s="183">
        <v>46224</v>
      </c>
      <c r="D182" s="17" t="s">
        <v>52</v>
      </c>
      <c r="E182" s="17" t="s">
        <v>119</v>
      </c>
      <c r="F182" s="17" t="s">
        <v>54</v>
      </c>
      <c r="G182" s="17"/>
      <c r="H182" s="19">
        <v>1.2085</v>
      </c>
      <c r="I182" s="19">
        <v>1.2085</v>
      </c>
      <c r="J182" s="17" t="s">
        <v>49</v>
      </c>
      <c r="K182" s="93">
        <v>1200</v>
      </c>
      <c r="L182" s="129">
        <v>70</v>
      </c>
      <c r="M182" s="93">
        <v>2030</v>
      </c>
      <c r="N182" s="19" t="s">
        <v>66</v>
      </c>
      <c r="O182" s="19" t="s">
        <v>67</v>
      </c>
      <c r="P182" s="19">
        <v>1404</v>
      </c>
      <c r="Q182" s="19">
        <v>1431</v>
      </c>
      <c r="R182" s="19">
        <f t="shared" si="12"/>
        <v>-27</v>
      </c>
      <c r="S182" s="19">
        <v>1760</v>
      </c>
      <c r="T182" s="19" t="s">
        <v>42</v>
      </c>
      <c r="U182" s="102" t="s">
        <v>123</v>
      </c>
      <c r="V182" s="186">
        <v>46230</v>
      </c>
      <c r="W182" s="17" t="s">
        <v>44</v>
      </c>
      <c r="X182" s="17"/>
      <c r="Y182" s="68">
        <v>46235</v>
      </c>
      <c r="Z182" s="17" t="s">
        <v>45</v>
      </c>
      <c r="AA182" s="17" t="s">
        <v>46</v>
      </c>
      <c r="AB182" s="17" t="s">
        <v>122</v>
      </c>
      <c r="AC182" s="217">
        <v>46243</v>
      </c>
      <c r="AD182" s="65">
        <v>1847</v>
      </c>
      <c r="AE182" s="17" t="s">
        <v>48</v>
      </c>
      <c r="AF182" s="17" t="s">
        <v>61</v>
      </c>
      <c r="AG182" s="17" t="s">
        <v>126</v>
      </c>
      <c r="AH182" s="456"/>
      <c r="AI182" s="456"/>
      <c r="AJ182" s="456"/>
      <c r="AK182" s="456"/>
      <c r="AL182" s="456"/>
      <c r="AM182" s="456"/>
      <c r="AN182" s="456"/>
      <c r="AO182" s="456"/>
      <c r="AP182" s="456"/>
      <c r="AQ182" s="456"/>
      <c r="AR182" s="456"/>
      <c r="AS182" s="456"/>
      <c r="AT182" s="456"/>
      <c r="AU182" s="456"/>
      <c r="AV182" s="456"/>
      <c r="AW182" s="456"/>
      <c r="AX182" s="456"/>
      <c r="AY182" s="456"/>
      <c r="AZ182" s="456"/>
      <c r="BA182" s="456"/>
      <c r="BB182" s="456"/>
      <c r="BC182" s="456"/>
      <c r="BD182" s="456"/>
      <c r="BE182" s="456"/>
      <c r="BF182" s="456"/>
      <c r="BG182" s="456"/>
      <c r="BH182" s="456"/>
      <c r="BI182" s="456"/>
      <c r="BJ182" s="456"/>
      <c r="BK182" s="456"/>
      <c r="BL182" s="456"/>
      <c r="BM182" s="456"/>
      <c r="BN182" s="456"/>
      <c r="BO182" s="456"/>
      <c r="BP182" s="456"/>
      <c r="BQ182" s="456"/>
      <c r="BR182" s="456"/>
      <c r="BS182" s="456"/>
      <c r="BT182" s="456"/>
      <c r="BU182" s="456"/>
      <c r="BV182" s="456"/>
      <c r="BW182" s="456"/>
      <c r="BX182" s="456"/>
      <c r="BY182" s="456"/>
      <c r="BZ182" s="456"/>
      <c r="CA182" s="456"/>
      <c r="CB182" s="456"/>
      <c r="CC182" s="456"/>
      <c r="CD182" s="456"/>
      <c r="CE182" s="456"/>
      <c r="CF182" s="456"/>
      <c r="CG182" s="456"/>
      <c r="CH182" s="456"/>
      <c r="CI182" s="456"/>
      <c r="CJ182" s="456"/>
      <c r="CK182" s="456"/>
      <c r="CL182" s="456"/>
      <c r="CM182" s="456"/>
      <c r="CN182" s="456"/>
      <c r="CO182" s="456"/>
      <c r="CP182" s="456"/>
      <c r="CQ182" s="456"/>
      <c r="CR182" s="456"/>
      <c r="CS182" s="456"/>
      <c r="CT182" s="456"/>
      <c r="CU182" s="456"/>
      <c r="CV182" s="456"/>
      <c r="CW182" s="456"/>
      <c r="CX182" s="456"/>
      <c r="CY182" s="456"/>
      <c r="CZ182" s="456"/>
      <c r="DA182" s="456"/>
      <c r="DB182" s="456"/>
      <c r="DC182" s="456"/>
      <c r="DD182" s="456"/>
      <c r="DE182" s="456"/>
      <c r="DF182" s="456"/>
      <c r="DG182" s="456"/>
      <c r="DH182" s="456"/>
      <c r="DI182" s="456"/>
      <c r="DJ182" s="456"/>
      <c r="DK182" s="456"/>
      <c r="DL182" s="456"/>
      <c r="DM182" s="456"/>
      <c r="DN182" s="456"/>
      <c r="DO182" s="456"/>
      <c r="DP182" s="456"/>
      <c r="DQ182" s="456"/>
      <c r="DR182" s="456"/>
      <c r="DS182" s="456"/>
      <c r="DT182" s="456"/>
      <c r="DU182" s="456"/>
      <c r="DV182" s="456"/>
      <c r="DW182" s="456"/>
      <c r="DX182" s="456"/>
      <c r="DY182" s="456"/>
      <c r="DZ182" s="456"/>
      <c r="EA182" s="456"/>
      <c r="EB182" s="456"/>
      <c r="EC182" s="456"/>
      <c r="ED182" s="456"/>
      <c r="EE182" s="456"/>
      <c r="EF182" s="456"/>
      <c r="EG182" s="456"/>
      <c r="EH182" s="456"/>
      <c r="EI182" s="456"/>
      <c r="EJ182" s="456"/>
      <c r="EK182" s="456"/>
      <c r="EL182" s="456"/>
      <c r="EM182" s="456"/>
      <c r="EN182" s="456"/>
      <c r="EO182" s="456"/>
      <c r="EP182" s="456"/>
      <c r="EQ182" s="456"/>
      <c r="ER182" s="456"/>
      <c r="ES182" s="456"/>
      <c r="ET182" s="456"/>
      <c r="EU182" s="456"/>
      <c r="EV182" s="456"/>
      <c r="EW182" s="456"/>
      <c r="EX182" s="456"/>
      <c r="EY182" s="456"/>
      <c r="EZ182" s="456"/>
      <c r="FA182" s="456"/>
      <c r="FB182" s="456"/>
      <c r="FC182" s="456"/>
      <c r="FD182" s="456"/>
      <c r="FE182" s="456"/>
      <c r="FF182" s="456"/>
      <c r="FG182" s="456"/>
      <c r="FH182" s="456"/>
      <c r="FI182" s="456"/>
      <c r="FJ182" s="456"/>
      <c r="FK182" s="456"/>
      <c r="FL182" s="456"/>
      <c r="FM182" s="456"/>
      <c r="FN182" s="456"/>
      <c r="FO182" s="456"/>
      <c r="FP182" s="456"/>
      <c r="FQ182" s="456"/>
      <c r="FR182" s="456"/>
      <c r="FS182" s="456"/>
      <c r="FT182" s="456"/>
      <c r="FU182" s="456"/>
      <c r="FV182" s="456"/>
      <c r="FW182" s="456"/>
      <c r="FX182" s="456"/>
      <c r="FY182" s="456"/>
      <c r="FZ182" s="456"/>
      <c r="GA182" s="456"/>
      <c r="GB182" s="456"/>
      <c r="GC182" s="456"/>
      <c r="GD182" s="456"/>
      <c r="GE182" s="456"/>
      <c r="GF182" s="456"/>
      <c r="GG182" s="456"/>
      <c r="GH182" s="456"/>
      <c r="GI182" s="456"/>
      <c r="GJ182" s="456"/>
      <c r="GK182" s="456"/>
      <c r="GL182" s="456"/>
      <c r="GM182" s="456"/>
      <c r="GN182" s="456"/>
      <c r="GO182" s="456"/>
      <c r="GP182" s="456"/>
      <c r="GQ182" s="456"/>
      <c r="GR182" s="456"/>
      <c r="GS182" s="456"/>
      <c r="GT182" s="456"/>
      <c r="GU182" s="456"/>
      <c r="GV182" s="456"/>
      <c r="GW182" s="456"/>
      <c r="GX182" s="456"/>
      <c r="GY182" s="456"/>
      <c r="GZ182" s="456"/>
      <c r="HA182" s="456"/>
      <c r="HB182" s="456"/>
      <c r="HC182" s="456"/>
      <c r="HD182" s="456"/>
      <c r="HE182" s="456"/>
      <c r="HF182" s="456"/>
      <c r="HG182" s="456"/>
      <c r="HH182" s="456"/>
      <c r="HI182" s="456"/>
      <c r="HJ182" s="456"/>
      <c r="HK182" s="456"/>
      <c r="HL182" s="456"/>
      <c r="HM182" s="456"/>
      <c r="HN182" s="456"/>
      <c r="HO182" s="456"/>
      <c r="HP182" s="456"/>
      <c r="HQ182" s="456"/>
      <c r="HR182" s="456"/>
      <c r="HS182" s="456"/>
      <c r="HT182" s="456"/>
      <c r="HU182" s="456"/>
      <c r="HV182" s="456"/>
      <c r="HW182" s="456"/>
      <c r="HX182" s="456"/>
      <c r="HY182" s="456"/>
      <c r="HZ182" s="456"/>
      <c r="IA182" s="456"/>
      <c r="IB182" s="456"/>
      <c r="IC182" s="456"/>
      <c r="ID182" s="456"/>
      <c r="IE182" s="456"/>
      <c r="IF182" s="456"/>
      <c r="IG182" s="456"/>
      <c r="IH182" s="456"/>
      <c r="II182" s="456"/>
      <c r="IJ182" s="456"/>
      <c r="IK182" s="456"/>
      <c r="IL182" s="456"/>
      <c r="IM182" s="456"/>
      <c r="IN182" s="456"/>
      <c r="IO182" s="456"/>
      <c r="IP182" s="456"/>
      <c r="IQ182" s="456"/>
      <c r="IR182" s="456"/>
      <c r="IS182" s="456"/>
      <c r="IT182" s="456"/>
      <c r="IU182" s="456"/>
      <c r="IV182" s="456"/>
      <c r="IW182" s="456"/>
      <c r="IX182" s="456"/>
      <c r="IY182" s="456"/>
      <c r="IZ182" s="456"/>
      <c r="JA182" s="456"/>
      <c r="JB182" s="456"/>
      <c r="JC182" s="456"/>
      <c r="JD182" s="456"/>
      <c r="JE182" s="456"/>
      <c r="JF182" s="456"/>
      <c r="JG182" s="456"/>
      <c r="JH182" s="456"/>
      <c r="JI182" s="456"/>
      <c r="JJ182" s="456"/>
      <c r="JK182" s="456"/>
      <c r="JL182" s="456"/>
      <c r="JM182" s="456"/>
      <c r="JN182" s="456"/>
      <c r="JO182" s="456"/>
      <c r="JP182" s="456"/>
      <c r="JQ182" s="456"/>
      <c r="JR182" s="456"/>
      <c r="JS182" s="456"/>
      <c r="JT182" s="456"/>
      <c r="JU182" s="456"/>
      <c r="JV182" s="456"/>
      <c r="JW182" s="456"/>
      <c r="JX182" s="456"/>
      <c r="JY182" s="456"/>
      <c r="JZ182" s="456"/>
      <c r="KA182" s="456"/>
      <c r="KB182" s="456"/>
      <c r="KC182" s="456"/>
      <c r="KD182" s="456"/>
      <c r="KE182" s="456"/>
      <c r="KF182" s="456"/>
      <c r="KG182" s="456"/>
      <c r="KH182" s="456"/>
      <c r="KI182" s="456"/>
      <c r="KJ182" s="456"/>
      <c r="KK182" s="456"/>
      <c r="KL182" s="456"/>
      <c r="KM182" s="456"/>
      <c r="KN182" s="456"/>
      <c r="KO182" s="456"/>
      <c r="KP182" s="456"/>
      <c r="KQ182" s="456"/>
      <c r="KR182" s="456"/>
      <c r="KS182" s="456"/>
      <c r="KT182" s="456"/>
      <c r="KU182" s="456"/>
      <c r="KV182" s="456"/>
      <c r="KW182" s="456"/>
      <c r="KX182" s="456"/>
      <c r="KY182" s="456"/>
      <c r="KZ182" s="456"/>
      <c r="LA182" s="456"/>
      <c r="LB182" s="456"/>
      <c r="LC182" s="456"/>
      <c r="LD182" s="456"/>
      <c r="LE182" s="456"/>
      <c r="LF182" s="456"/>
      <c r="LG182" s="456"/>
      <c r="LH182" s="456"/>
      <c r="LI182" s="456"/>
      <c r="LJ182" s="456"/>
      <c r="LK182" s="456"/>
      <c r="LL182" s="456"/>
      <c r="LM182" s="456"/>
      <c r="LN182" s="456"/>
      <c r="LO182" s="456"/>
      <c r="LP182" s="456"/>
      <c r="LQ182" s="456"/>
      <c r="LR182" s="456"/>
      <c r="LS182" s="456"/>
      <c r="LT182" s="456"/>
      <c r="LU182" s="456"/>
      <c r="LV182" s="456"/>
      <c r="LW182" s="456"/>
      <c r="LX182" s="456"/>
      <c r="LY182" s="456"/>
      <c r="LZ182" s="456"/>
      <c r="MA182" s="456"/>
      <c r="MB182" s="456"/>
      <c r="MC182" s="456"/>
      <c r="MD182" s="456"/>
      <c r="ME182" s="456"/>
      <c r="MF182" s="456"/>
      <c r="MG182" s="456"/>
      <c r="MH182" s="456"/>
      <c r="MI182" s="456"/>
      <c r="MJ182" s="456"/>
      <c r="MK182" s="456"/>
      <c r="ML182" s="456"/>
      <c r="MM182" s="456"/>
      <c r="MN182" s="456"/>
      <c r="MO182" s="456"/>
      <c r="MP182" s="456"/>
      <c r="MQ182" s="456"/>
      <c r="MR182" s="456"/>
      <c r="MS182" s="456"/>
      <c r="MT182" s="456"/>
      <c r="MU182" s="456"/>
      <c r="MV182" s="456"/>
      <c r="MW182" s="456"/>
      <c r="MX182" s="456"/>
      <c r="MY182" s="456"/>
      <c r="MZ182" s="456"/>
      <c r="NA182" s="456"/>
      <c r="NB182" s="456"/>
      <c r="NC182" s="456"/>
      <c r="ND182" s="456"/>
      <c r="NE182" s="456"/>
      <c r="NF182" s="456"/>
      <c r="NG182" s="456"/>
      <c r="NH182" s="456"/>
      <c r="NI182" s="456"/>
      <c r="NJ182" s="456"/>
      <c r="NK182" s="456"/>
      <c r="NL182" s="456"/>
      <c r="NM182" s="456"/>
      <c r="NN182" s="456"/>
      <c r="NO182" s="456"/>
      <c r="NP182" s="456"/>
      <c r="NQ182" s="456"/>
      <c r="NR182" s="456"/>
      <c r="NS182" s="456"/>
      <c r="NT182" s="456"/>
      <c r="NU182" s="456"/>
      <c r="NV182" s="456"/>
      <c r="NW182" s="456"/>
      <c r="NX182" s="456"/>
      <c r="NY182" s="456"/>
      <c r="NZ182" s="456"/>
      <c r="OA182" s="456"/>
      <c r="OB182" s="456"/>
      <c r="OC182" s="456"/>
      <c r="OD182" s="456"/>
      <c r="OE182" s="456"/>
      <c r="OF182" s="456"/>
      <c r="OG182" s="456"/>
      <c r="OH182" s="456"/>
      <c r="OI182" s="456"/>
      <c r="OJ182" s="456"/>
      <c r="OK182" s="456"/>
      <c r="OL182" s="456"/>
      <c r="OM182" s="456"/>
      <c r="ON182" s="456"/>
      <c r="OO182" s="456"/>
      <c r="OP182" s="456"/>
      <c r="OQ182" s="456"/>
      <c r="OR182" s="456"/>
      <c r="OS182" s="456"/>
      <c r="OT182" s="456"/>
      <c r="OU182" s="456"/>
      <c r="OV182" s="456"/>
      <c r="OW182" s="456"/>
      <c r="OX182" s="456"/>
      <c r="OY182" s="456"/>
      <c r="OZ182" s="456"/>
      <c r="PA182" s="456"/>
      <c r="PB182" s="456"/>
      <c r="PC182" s="456"/>
      <c r="PD182" s="456"/>
      <c r="PE182" s="456"/>
      <c r="PF182" s="456"/>
      <c r="PG182" s="456"/>
      <c r="PH182" s="456"/>
      <c r="PI182" s="456"/>
      <c r="PJ182" s="456"/>
      <c r="PK182" s="456"/>
      <c r="PL182" s="456"/>
      <c r="PM182" s="456"/>
      <c r="PN182" s="456"/>
      <c r="PO182" s="456"/>
      <c r="PP182" s="456"/>
      <c r="PQ182" s="456"/>
      <c r="PR182" s="456"/>
      <c r="PS182" s="456"/>
      <c r="PT182" s="456"/>
      <c r="PU182" s="456"/>
      <c r="PV182" s="456"/>
      <c r="PW182" s="456"/>
      <c r="PX182" s="456"/>
      <c r="PY182" s="456"/>
      <c r="PZ182" s="456"/>
      <c r="QA182" s="456"/>
      <c r="QB182" s="456"/>
      <c r="QC182" s="456"/>
      <c r="QD182" s="456"/>
      <c r="QE182" s="456"/>
      <c r="QF182" s="456"/>
      <c r="QG182" s="456"/>
      <c r="QH182" s="456"/>
      <c r="QI182" s="456"/>
      <c r="QJ182" s="456"/>
      <c r="QK182" s="456"/>
      <c r="QL182" s="456"/>
      <c r="QM182" s="456"/>
      <c r="QN182" s="456"/>
      <c r="QO182" s="456"/>
      <c r="QP182" s="456"/>
      <c r="QQ182" s="456"/>
      <c r="QR182" s="456"/>
      <c r="QS182" s="456"/>
      <c r="QT182" s="456"/>
      <c r="QU182" s="456"/>
      <c r="QV182" s="456"/>
      <c r="QW182" s="456"/>
      <c r="QX182" s="456"/>
      <c r="QY182" s="456"/>
      <c r="QZ182" s="456"/>
      <c r="RA182" s="456"/>
      <c r="RB182" s="456"/>
      <c r="RC182" s="456"/>
      <c r="RD182" s="456"/>
      <c r="RE182" s="456"/>
      <c r="RF182" s="456"/>
      <c r="RG182" s="456"/>
      <c r="RH182" s="456"/>
      <c r="RI182" s="456"/>
      <c r="RJ182" s="456"/>
      <c r="RK182" s="456"/>
      <c r="RL182" s="456"/>
      <c r="RM182" s="456"/>
      <c r="RN182" s="456"/>
      <c r="RO182" s="456"/>
      <c r="RP182" s="456"/>
      <c r="RQ182" s="456"/>
      <c r="RR182" s="456"/>
      <c r="RS182" s="456"/>
      <c r="RT182" s="456"/>
      <c r="RU182" s="456"/>
      <c r="RV182" s="456"/>
      <c r="RW182" s="456"/>
      <c r="RX182" s="456"/>
      <c r="RY182" s="456"/>
      <c r="RZ182" s="456"/>
      <c r="SA182" s="456"/>
      <c r="SB182" s="456"/>
      <c r="SC182" s="456"/>
      <c r="SD182" s="456"/>
      <c r="SE182" s="456"/>
      <c r="SF182" s="456"/>
      <c r="SG182" s="456"/>
      <c r="SH182" s="456"/>
      <c r="SI182" s="456"/>
      <c r="SJ182" s="456"/>
      <c r="SK182" s="456"/>
      <c r="SL182" s="456"/>
      <c r="SM182" s="456"/>
      <c r="SN182" s="456"/>
      <c r="SO182" s="456"/>
      <c r="SP182" s="456"/>
      <c r="SQ182" s="456"/>
      <c r="SR182" s="456"/>
      <c r="SS182" s="456"/>
      <c r="ST182" s="456"/>
      <c r="SU182" s="456"/>
      <c r="SV182" s="456"/>
      <c r="SW182" s="456"/>
      <c r="SX182" s="456"/>
      <c r="SY182" s="456"/>
      <c r="SZ182" s="456"/>
      <c r="TA182" s="456"/>
      <c r="TB182" s="456"/>
      <c r="TC182" s="456"/>
      <c r="TD182" s="456"/>
      <c r="TE182" s="456"/>
      <c r="TF182" s="456"/>
      <c r="TG182" s="456"/>
      <c r="TH182" s="456"/>
      <c r="TI182" s="456"/>
      <c r="TJ182" s="456"/>
      <c r="TK182" s="456"/>
      <c r="TL182" s="456"/>
      <c r="TM182" s="456"/>
      <c r="TN182" s="456"/>
      <c r="TO182" s="456"/>
      <c r="TP182" s="456"/>
      <c r="TQ182" s="456"/>
      <c r="TR182" s="456"/>
      <c r="TS182" s="456"/>
      <c r="TT182" s="456"/>
      <c r="TU182" s="456"/>
      <c r="TV182" s="456"/>
      <c r="TW182" s="456"/>
      <c r="TX182" s="456"/>
      <c r="TY182" s="456"/>
      <c r="TZ182" s="456"/>
      <c r="UA182" s="456"/>
      <c r="UB182" s="456"/>
      <c r="UC182" s="456"/>
      <c r="UD182" s="456"/>
      <c r="UE182" s="456"/>
      <c r="UF182" s="456"/>
      <c r="UG182" s="456"/>
      <c r="UH182" s="456"/>
      <c r="UI182" s="456"/>
      <c r="UJ182" s="456"/>
      <c r="UK182" s="456"/>
      <c r="UL182" s="456"/>
      <c r="UM182" s="456"/>
      <c r="UN182" s="456"/>
      <c r="UO182" s="456"/>
      <c r="UP182" s="456"/>
      <c r="UQ182" s="456"/>
      <c r="UR182" s="456"/>
      <c r="US182" s="456"/>
      <c r="UT182" s="456"/>
      <c r="UU182" s="456"/>
      <c r="UV182" s="456"/>
      <c r="UW182" s="456"/>
      <c r="UX182" s="456"/>
      <c r="UY182" s="456"/>
      <c r="UZ182" s="456"/>
      <c r="VA182" s="456"/>
      <c r="VB182" s="456"/>
      <c r="VC182" s="456"/>
      <c r="VD182" s="456"/>
      <c r="VE182" s="456"/>
      <c r="VF182" s="456"/>
      <c r="VG182" s="456"/>
      <c r="VH182" s="456"/>
      <c r="VI182" s="456"/>
      <c r="VJ182" s="456"/>
      <c r="VK182" s="456"/>
      <c r="VL182" s="456"/>
      <c r="VM182" s="456"/>
      <c r="VN182" s="456"/>
      <c r="VO182" s="456"/>
      <c r="VP182" s="456"/>
      <c r="VQ182" s="456"/>
      <c r="VR182" s="456"/>
      <c r="VS182" s="456"/>
      <c r="VT182" s="456"/>
      <c r="VU182" s="456"/>
      <c r="VV182" s="456"/>
      <c r="VW182" s="456"/>
      <c r="VX182" s="456"/>
      <c r="VY182" s="456"/>
      <c r="VZ182" s="456"/>
      <c r="WA182" s="456"/>
      <c r="WB182" s="456"/>
      <c r="WC182" s="456"/>
      <c r="WD182" s="456"/>
      <c r="WE182" s="456"/>
      <c r="WF182" s="456"/>
      <c r="WG182" s="456"/>
      <c r="WH182" s="456"/>
      <c r="WI182" s="456"/>
      <c r="WJ182" s="456"/>
      <c r="WK182" s="456"/>
      <c r="WL182" s="456"/>
      <c r="WM182" s="456"/>
      <c r="WN182" s="456"/>
      <c r="WO182" s="456"/>
      <c r="WP182" s="456"/>
      <c r="WQ182" s="456"/>
      <c r="WR182" s="456"/>
      <c r="WS182" s="456"/>
      <c r="WT182" s="456"/>
      <c r="WU182" s="456"/>
      <c r="WV182" s="456"/>
      <c r="WW182" s="456"/>
      <c r="WX182" s="456"/>
      <c r="WY182" s="456"/>
      <c r="WZ182" s="456"/>
      <c r="XA182" s="456"/>
      <c r="XB182" s="456"/>
      <c r="XC182" s="456"/>
      <c r="XD182" s="456"/>
      <c r="XE182" s="456"/>
      <c r="XF182" s="456"/>
      <c r="XG182" s="456"/>
      <c r="XH182" s="456"/>
      <c r="XI182" s="456"/>
      <c r="XJ182" s="456"/>
      <c r="XK182" s="456"/>
      <c r="XL182" s="456"/>
      <c r="XM182" s="456"/>
      <c r="XN182" s="456"/>
      <c r="XO182" s="456"/>
      <c r="XP182" s="456"/>
      <c r="XQ182" s="456"/>
      <c r="XR182" s="456"/>
      <c r="XS182" s="456"/>
      <c r="XT182" s="456"/>
      <c r="XU182" s="456"/>
      <c r="XV182" s="456"/>
      <c r="XW182" s="456"/>
      <c r="XX182" s="456"/>
      <c r="XY182" s="456"/>
      <c r="XZ182" s="456"/>
      <c r="YA182" s="456"/>
      <c r="YB182" s="456"/>
      <c r="YC182" s="456"/>
      <c r="YD182" s="456"/>
      <c r="YE182" s="456"/>
      <c r="YF182" s="456"/>
      <c r="YG182" s="456"/>
      <c r="YH182" s="456"/>
      <c r="YI182" s="456"/>
      <c r="YJ182" s="456"/>
      <c r="YK182" s="456"/>
      <c r="YL182" s="456"/>
      <c r="YM182" s="456"/>
      <c r="YN182" s="456"/>
      <c r="YO182" s="456"/>
      <c r="YP182" s="456"/>
      <c r="YQ182" s="456"/>
      <c r="YR182" s="456"/>
      <c r="YS182" s="456"/>
      <c r="YT182" s="456"/>
      <c r="YU182" s="456"/>
      <c r="YV182" s="456"/>
      <c r="YW182" s="456"/>
      <c r="YX182" s="456"/>
      <c r="YY182" s="456"/>
      <c r="YZ182" s="456"/>
      <c r="ZA182" s="456"/>
      <c r="ZB182" s="456"/>
      <c r="ZC182" s="456"/>
      <c r="ZD182" s="456"/>
      <c r="ZE182" s="456"/>
      <c r="ZF182" s="456"/>
      <c r="ZG182" s="456"/>
      <c r="ZH182" s="456"/>
      <c r="ZI182" s="456"/>
      <c r="ZJ182" s="456"/>
      <c r="ZK182" s="456"/>
      <c r="ZL182" s="456"/>
      <c r="ZM182" s="456"/>
      <c r="ZN182" s="456"/>
      <c r="ZO182" s="456"/>
      <c r="ZP182" s="456"/>
      <c r="ZQ182" s="456"/>
      <c r="ZR182" s="456"/>
      <c r="ZS182" s="456"/>
      <c r="ZT182" s="456"/>
      <c r="ZU182" s="456"/>
      <c r="ZV182" s="456"/>
      <c r="ZW182" s="456"/>
      <c r="ZX182" s="456"/>
      <c r="ZY182" s="456"/>
      <c r="ZZ182" s="456"/>
      <c r="AAA182" s="456"/>
      <c r="AAB182" s="456"/>
      <c r="AAC182" s="456"/>
      <c r="AAD182" s="456"/>
      <c r="AAE182" s="456"/>
      <c r="AAF182" s="456"/>
      <c r="AAG182" s="456"/>
      <c r="AAH182" s="456"/>
      <c r="AAI182" s="456"/>
      <c r="AAJ182" s="456"/>
      <c r="AAK182" s="456"/>
      <c r="AAL182" s="456"/>
      <c r="AAM182" s="456"/>
      <c r="AAN182" s="456"/>
      <c r="AAO182" s="456"/>
      <c r="AAP182" s="456"/>
      <c r="AAQ182" s="456"/>
      <c r="AAR182" s="456"/>
      <c r="AAS182" s="456"/>
      <c r="AAT182" s="456"/>
      <c r="AAU182" s="456"/>
      <c r="AAV182" s="456"/>
      <c r="AAW182" s="456"/>
      <c r="AAX182" s="456"/>
      <c r="AAY182" s="456"/>
      <c r="AAZ182" s="456"/>
      <c r="ABA182" s="456"/>
      <c r="ABB182" s="456"/>
      <c r="ABC182" s="456"/>
      <c r="ABD182" s="456"/>
      <c r="ABE182" s="456"/>
      <c r="ABF182" s="456"/>
      <c r="ABG182" s="456"/>
      <c r="ABH182" s="456"/>
      <c r="ABI182" s="456"/>
      <c r="ABJ182" s="456"/>
      <c r="ABK182" s="456"/>
      <c r="ABL182" s="456"/>
      <c r="ABM182" s="456"/>
      <c r="ABN182" s="456"/>
      <c r="ABO182" s="456"/>
      <c r="ABP182" s="456"/>
      <c r="ABQ182" s="456"/>
      <c r="ABR182" s="456"/>
      <c r="ABS182" s="456"/>
      <c r="ABT182" s="456"/>
      <c r="ABU182" s="456"/>
      <c r="ABV182" s="456"/>
      <c r="ABW182" s="456"/>
      <c r="ABX182" s="456"/>
      <c r="ABY182" s="456"/>
      <c r="ABZ182" s="456"/>
      <c r="ACA182" s="456"/>
      <c r="ACB182" s="456"/>
      <c r="ACC182" s="456"/>
      <c r="ACD182" s="456"/>
      <c r="ACE182" s="456"/>
      <c r="ACF182" s="456"/>
      <c r="ACG182" s="456"/>
      <c r="ACH182" s="456"/>
      <c r="ACI182" s="456"/>
      <c r="ACJ182" s="456"/>
      <c r="ACK182" s="456"/>
      <c r="ACL182" s="456"/>
      <c r="ACM182" s="456"/>
      <c r="ACN182" s="456"/>
      <c r="ACO182" s="456"/>
      <c r="ACP182" s="456"/>
      <c r="ACQ182" s="456"/>
      <c r="ACR182" s="456"/>
      <c r="ACS182" s="456"/>
      <c r="ACT182" s="456"/>
      <c r="ACU182" s="456"/>
      <c r="ACV182" s="456"/>
      <c r="ACW182" s="456"/>
      <c r="ACX182" s="456"/>
      <c r="ACY182" s="456"/>
      <c r="ACZ182" s="456"/>
      <c r="ADA182" s="456"/>
      <c r="ADB182" s="456"/>
      <c r="ADC182" s="456"/>
      <c r="ADD182" s="456"/>
      <c r="ADE182" s="456"/>
      <c r="ADF182" s="456"/>
      <c r="ADG182" s="456"/>
      <c r="ADH182" s="456"/>
      <c r="ADI182" s="456"/>
      <c r="ADJ182" s="456"/>
      <c r="ADK182" s="456"/>
      <c r="ADL182" s="456"/>
      <c r="ADM182" s="456"/>
      <c r="ADN182" s="456"/>
      <c r="ADO182" s="456"/>
      <c r="ADP182" s="456"/>
      <c r="ADQ182" s="456"/>
      <c r="ADR182" s="456"/>
      <c r="ADS182" s="456"/>
      <c r="ADT182" s="456"/>
      <c r="ADU182" s="456"/>
      <c r="ADV182" s="456"/>
      <c r="ADW182" s="456"/>
      <c r="ADX182" s="456"/>
      <c r="ADY182" s="456"/>
      <c r="ADZ182" s="456"/>
      <c r="AEA182" s="456"/>
      <c r="AEB182" s="456"/>
      <c r="AEC182" s="456"/>
      <c r="AED182" s="456"/>
      <c r="AEE182" s="456"/>
      <c r="AEF182" s="456"/>
      <c r="AEG182" s="456"/>
      <c r="AEH182" s="456"/>
      <c r="AEI182" s="456"/>
      <c r="AEJ182" s="456"/>
      <c r="AEK182" s="456"/>
      <c r="AEL182" s="456"/>
      <c r="AEM182" s="456"/>
      <c r="AEN182" s="456"/>
      <c r="AEO182" s="456"/>
      <c r="AEP182" s="456"/>
      <c r="AEQ182" s="456"/>
      <c r="AER182" s="456"/>
      <c r="AES182" s="456"/>
      <c r="AET182" s="456"/>
      <c r="AEU182" s="456"/>
      <c r="AEV182" s="456"/>
      <c r="AEW182" s="456"/>
      <c r="AEX182" s="456"/>
      <c r="AEY182" s="456"/>
      <c r="AEZ182" s="456"/>
      <c r="AFA182" s="456"/>
      <c r="AFB182" s="456"/>
      <c r="AFC182" s="456"/>
      <c r="AFD182" s="456"/>
      <c r="AFE182" s="456"/>
      <c r="AFF182" s="456"/>
      <c r="AFG182" s="456"/>
      <c r="AFH182" s="456"/>
      <c r="AFI182" s="456"/>
      <c r="AFJ182" s="456"/>
      <c r="AFK182" s="456"/>
      <c r="AFL182" s="456"/>
      <c r="AFM182" s="456"/>
      <c r="AFN182" s="456"/>
      <c r="AFO182" s="456"/>
      <c r="AFP182" s="456"/>
      <c r="AFQ182" s="456"/>
      <c r="AFR182" s="456"/>
      <c r="AFS182" s="456"/>
      <c r="AFT182" s="456"/>
      <c r="AFU182" s="456"/>
      <c r="AFV182" s="456"/>
      <c r="AFW182" s="456"/>
      <c r="AFX182" s="456"/>
      <c r="AFY182" s="456"/>
      <c r="AFZ182" s="456"/>
      <c r="AGA182" s="456"/>
      <c r="AGB182" s="456"/>
      <c r="AGC182" s="456"/>
      <c r="AGD182" s="456"/>
      <c r="AGE182" s="456"/>
      <c r="AGF182" s="456"/>
      <c r="AGG182" s="456"/>
      <c r="AGH182" s="456"/>
      <c r="AGI182" s="456"/>
      <c r="AGJ182" s="456"/>
      <c r="AGK182" s="456"/>
      <c r="AGL182" s="456"/>
      <c r="AGM182" s="456"/>
      <c r="AGN182" s="456"/>
      <c r="AGO182" s="456"/>
      <c r="AGP182" s="456"/>
      <c r="AGQ182" s="456"/>
      <c r="AGR182" s="456"/>
      <c r="AGS182" s="456"/>
      <c r="AGT182" s="456"/>
      <c r="AGU182" s="456"/>
      <c r="AGV182" s="456"/>
      <c r="AGW182" s="456"/>
      <c r="AGX182" s="456"/>
      <c r="AGY182" s="456"/>
      <c r="AGZ182" s="456"/>
      <c r="AHA182" s="456"/>
      <c r="AHB182" s="456"/>
      <c r="AHC182" s="456"/>
      <c r="AHD182" s="456"/>
      <c r="AHE182" s="456"/>
      <c r="AHF182" s="456"/>
      <c r="AHG182" s="456"/>
      <c r="AHH182" s="456"/>
      <c r="AHI182" s="456"/>
      <c r="AHJ182" s="456"/>
      <c r="AHK182" s="456"/>
      <c r="AHL182" s="456"/>
      <c r="AHM182" s="456"/>
      <c r="AHN182" s="456"/>
      <c r="AHO182" s="456"/>
      <c r="AHP182" s="456"/>
      <c r="AHQ182" s="456"/>
      <c r="AHR182" s="456"/>
      <c r="AHS182" s="456"/>
      <c r="AHT182" s="456"/>
      <c r="AHU182" s="456"/>
      <c r="AHV182" s="456"/>
      <c r="AHW182" s="456"/>
      <c r="AHX182" s="456"/>
      <c r="AHY182" s="456"/>
      <c r="AHZ182" s="456"/>
      <c r="AIA182" s="456"/>
      <c r="AIB182" s="456"/>
      <c r="AIC182" s="456"/>
      <c r="AID182" s="456"/>
      <c r="AIE182" s="456"/>
      <c r="AIF182" s="456"/>
      <c r="AIG182" s="456"/>
      <c r="AIH182" s="456"/>
      <c r="AII182" s="456"/>
      <c r="AIJ182" s="456"/>
      <c r="AIK182" s="456"/>
      <c r="AIL182" s="456"/>
      <c r="AIM182" s="456"/>
      <c r="AIN182" s="456"/>
      <c r="AIO182" s="456"/>
      <c r="AIP182" s="456"/>
      <c r="AIQ182" s="456"/>
      <c r="AIR182" s="456"/>
      <c r="AIS182" s="456"/>
      <c r="AIT182" s="456"/>
      <c r="AIU182" s="456"/>
      <c r="AIV182" s="456"/>
      <c r="AIW182" s="456"/>
      <c r="AIX182" s="456"/>
      <c r="AIY182" s="456"/>
      <c r="AIZ182" s="456"/>
      <c r="AJA182" s="456"/>
      <c r="AJB182" s="456"/>
      <c r="AJC182" s="456"/>
      <c r="AJD182" s="456"/>
      <c r="AJE182" s="456"/>
      <c r="AJF182" s="456"/>
      <c r="AJG182" s="456"/>
      <c r="AJH182" s="456"/>
      <c r="AJI182" s="456"/>
      <c r="AJJ182" s="456"/>
      <c r="AJK182" s="456"/>
      <c r="AJL182" s="456"/>
      <c r="AJM182" s="456"/>
      <c r="AJN182" s="456"/>
      <c r="AJO182" s="456"/>
      <c r="AJP182" s="456"/>
      <c r="AJQ182" s="456"/>
      <c r="AJR182" s="456"/>
      <c r="AJS182" s="456"/>
      <c r="AJT182" s="456"/>
      <c r="AJU182" s="456"/>
      <c r="AJV182" s="456"/>
      <c r="AJW182" s="456"/>
      <c r="AJX182" s="456"/>
      <c r="AJY182" s="456"/>
      <c r="AJZ182" s="456"/>
      <c r="AKA182" s="456"/>
      <c r="AKB182" s="456"/>
      <c r="AKC182" s="456"/>
      <c r="AKD182" s="456"/>
      <c r="AKE182" s="456"/>
      <c r="AKF182" s="456"/>
      <c r="AKG182" s="456"/>
      <c r="AKH182" s="456"/>
      <c r="AKI182" s="456"/>
      <c r="AKJ182" s="456"/>
      <c r="AKK182" s="456"/>
      <c r="AKL182" s="456"/>
      <c r="AKM182" s="456"/>
      <c r="AKN182" s="456"/>
      <c r="AKO182" s="456"/>
      <c r="AKP182" s="456"/>
      <c r="AKQ182" s="456"/>
      <c r="AKR182" s="456"/>
      <c r="AKS182" s="456"/>
      <c r="AKT182" s="456"/>
      <c r="AKU182" s="456"/>
      <c r="AKV182" s="456"/>
      <c r="AKW182" s="456"/>
      <c r="AKX182" s="456"/>
      <c r="AKY182" s="456"/>
      <c r="AKZ182" s="456"/>
      <c r="ALA182" s="456"/>
      <c r="ALB182" s="456"/>
      <c r="ALC182" s="456"/>
      <c r="ALD182" s="456"/>
      <c r="ALE182" s="456"/>
      <c r="ALF182" s="456"/>
      <c r="ALG182" s="456"/>
      <c r="ALH182" s="456"/>
      <c r="ALI182" s="456"/>
      <c r="ALJ182" s="456"/>
      <c r="ALK182" s="456"/>
      <c r="ALL182" s="456"/>
      <c r="ALM182" s="456"/>
      <c r="ALN182" s="456"/>
      <c r="ALO182" s="456"/>
      <c r="ALP182" s="456"/>
      <c r="ALQ182" s="456"/>
      <c r="ALR182" s="456"/>
      <c r="ALS182" s="456"/>
      <c r="ALT182" s="456"/>
      <c r="ALU182" s="456"/>
      <c r="ALV182" s="456"/>
      <c r="ALW182" s="456"/>
      <c r="ALX182" s="456"/>
      <c r="ALY182" s="456"/>
      <c r="ALZ182" s="456"/>
      <c r="AMA182" s="456"/>
      <c r="AMB182" s="456"/>
      <c r="AMC182" s="456"/>
      <c r="AMD182" s="456"/>
      <c r="AME182" s="456"/>
      <c r="AMF182" s="456"/>
      <c r="AMG182" s="456"/>
      <c r="AMH182" s="456"/>
      <c r="AMI182" s="456"/>
      <c r="AMJ182" s="456"/>
      <c r="AMK182" s="456"/>
      <c r="AML182" s="456"/>
      <c r="AMM182" s="456"/>
      <c r="AMN182" s="456"/>
      <c r="AMO182" s="456"/>
      <c r="AMP182" s="456"/>
      <c r="AMQ182" s="456"/>
      <c r="AMR182" s="456"/>
      <c r="AMS182" s="456"/>
      <c r="AMT182" s="456"/>
      <c r="AMU182" s="456"/>
      <c r="AMV182" s="456"/>
      <c r="AMW182" s="456"/>
      <c r="AMX182" s="456"/>
      <c r="AMY182" s="456"/>
      <c r="AMZ182" s="456"/>
      <c r="ANA182" s="456"/>
      <c r="ANB182" s="456"/>
      <c r="ANC182" s="456"/>
      <c r="AND182" s="456"/>
      <c r="ANE182" s="456"/>
      <c r="ANF182" s="456"/>
      <c r="ANG182" s="456"/>
      <c r="ANH182" s="456"/>
      <c r="ANI182" s="456"/>
      <c r="ANJ182" s="456"/>
      <c r="ANK182" s="456"/>
      <c r="ANL182" s="456"/>
      <c r="ANM182" s="456"/>
      <c r="ANN182" s="456"/>
      <c r="ANO182" s="456"/>
      <c r="ANP182" s="456"/>
      <c r="ANQ182" s="456"/>
      <c r="ANR182" s="456"/>
      <c r="ANS182" s="456"/>
      <c r="ANT182" s="456"/>
      <c r="ANU182" s="456"/>
      <c r="ANV182" s="456"/>
      <c r="ANW182" s="456"/>
      <c r="ANX182" s="456"/>
      <c r="ANY182" s="456"/>
      <c r="ANZ182" s="456"/>
      <c r="AOA182" s="456"/>
      <c r="AOB182" s="456"/>
      <c r="AOC182" s="456"/>
      <c r="AOD182" s="456"/>
      <c r="AOE182" s="456"/>
      <c r="AOF182" s="456"/>
      <c r="AOG182" s="456"/>
      <c r="AOH182" s="456"/>
      <c r="AOI182" s="456"/>
      <c r="AOJ182" s="456"/>
      <c r="AOK182" s="456"/>
      <c r="AOL182" s="456"/>
      <c r="AOM182" s="456"/>
      <c r="AON182" s="456"/>
      <c r="AOO182" s="456"/>
      <c r="AOP182" s="456"/>
      <c r="AOQ182" s="456"/>
      <c r="AOR182" s="456"/>
      <c r="AOS182" s="456"/>
      <c r="AOT182" s="456"/>
      <c r="AOU182" s="456"/>
      <c r="AOV182" s="456"/>
      <c r="AOW182" s="456"/>
      <c r="AOX182" s="456"/>
      <c r="AOY182" s="456"/>
      <c r="AOZ182" s="456"/>
      <c r="APA182" s="456"/>
      <c r="APB182" s="456"/>
      <c r="APC182" s="456"/>
      <c r="APD182" s="456"/>
      <c r="APE182" s="456"/>
      <c r="APF182" s="456"/>
      <c r="APG182" s="456"/>
      <c r="APH182" s="456"/>
      <c r="API182" s="456"/>
      <c r="APJ182" s="456"/>
      <c r="APK182" s="456"/>
      <c r="APL182" s="456"/>
      <c r="APM182" s="456"/>
      <c r="APN182" s="456"/>
      <c r="APO182" s="456"/>
      <c r="APP182" s="456"/>
      <c r="APQ182" s="456"/>
      <c r="APR182" s="456"/>
      <c r="APS182" s="456"/>
      <c r="APT182" s="456"/>
      <c r="APU182" s="456"/>
      <c r="APV182" s="456"/>
      <c r="APW182" s="456"/>
      <c r="APX182" s="456"/>
      <c r="APY182" s="456"/>
      <c r="APZ182" s="456"/>
      <c r="AQA182" s="456"/>
      <c r="AQB182" s="456"/>
      <c r="AQC182" s="456"/>
      <c r="AQD182" s="456"/>
      <c r="AQE182" s="456"/>
      <c r="AQF182" s="456"/>
      <c r="AQG182" s="456"/>
      <c r="AQH182" s="456"/>
      <c r="AQI182" s="456"/>
      <c r="AQJ182" s="456"/>
      <c r="AQK182" s="456"/>
      <c r="AQL182" s="456"/>
      <c r="AQM182" s="456"/>
      <c r="AQN182" s="456"/>
      <c r="AQO182" s="456"/>
      <c r="AQP182" s="456"/>
      <c r="AQQ182" s="456"/>
      <c r="AQR182" s="456"/>
      <c r="AQS182" s="456"/>
      <c r="AQT182" s="456"/>
      <c r="AQU182" s="456"/>
      <c r="AQV182" s="456"/>
      <c r="AQW182" s="456"/>
      <c r="AQX182" s="456"/>
      <c r="AQY182" s="456"/>
      <c r="AQZ182" s="456"/>
      <c r="ARA182" s="456"/>
      <c r="ARB182" s="456"/>
      <c r="ARC182" s="456"/>
      <c r="ARD182" s="456"/>
      <c r="ARE182" s="456"/>
      <c r="ARF182" s="456"/>
      <c r="ARG182" s="456"/>
      <c r="ARH182" s="456"/>
      <c r="ARI182" s="456"/>
      <c r="ARJ182" s="456"/>
      <c r="ARK182" s="456"/>
      <c r="ARL182" s="456"/>
      <c r="ARM182" s="456"/>
      <c r="ARN182" s="456"/>
      <c r="ARO182" s="456"/>
      <c r="ARP182" s="456"/>
      <c r="ARQ182" s="456"/>
      <c r="ARR182" s="456"/>
      <c r="ARS182" s="456"/>
      <c r="ART182" s="456"/>
      <c r="ARU182" s="456"/>
      <c r="ARV182" s="456"/>
      <c r="ARW182" s="456"/>
      <c r="ARX182" s="456"/>
      <c r="ARY182" s="456"/>
      <c r="ARZ182" s="456"/>
      <c r="ASA182" s="456"/>
      <c r="ASB182" s="456"/>
      <c r="ASC182" s="456"/>
      <c r="ASD182" s="456"/>
      <c r="ASE182" s="456"/>
      <c r="ASF182" s="456"/>
      <c r="ASG182" s="456"/>
      <c r="ASH182" s="456"/>
      <c r="ASI182" s="456"/>
      <c r="ASJ182" s="456"/>
      <c r="ASK182" s="456"/>
      <c r="ASL182" s="456"/>
      <c r="ASM182" s="456"/>
      <c r="ASN182" s="456"/>
      <c r="ASO182" s="456"/>
      <c r="ASP182" s="456"/>
      <c r="ASQ182" s="456"/>
      <c r="ASR182" s="456"/>
      <c r="ASS182" s="456"/>
      <c r="AST182" s="456"/>
      <c r="ASU182" s="456"/>
      <c r="ASV182" s="456"/>
      <c r="ASW182" s="456"/>
      <c r="ASX182" s="456"/>
      <c r="ASY182" s="456"/>
      <c r="ASZ182" s="456"/>
      <c r="ATA182" s="456"/>
      <c r="ATB182" s="456"/>
      <c r="ATC182" s="456"/>
      <c r="ATD182" s="456"/>
      <c r="ATE182" s="456"/>
      <c r="ATF182" s="456"/>
      <c r="ATG182" s="456"/>
      <c r="ATH182" s="456"/>
      <c r="ATI182" s="456"/>
      <c r="ATJ182" s="456"/>
      <c r="ATK182" s="456"/>
      <c r="ATL182" s="456"/>
      <c r="ATM182" s="456"/>
      <c r="ATN182" s="456"/>
      <c r="ATO182" s="456"/>
      <c r="ATP182" s="456"/>
      <c r="ATQ182" s="456"/>
      <c r="ATR182" s="456"/>
      <c r="ATS182" s="456"/>
      <c r="ATT182" s="456"/>
      <c r="ATU182" s="456"/>
      <c r="ATV182" s="456"/>
      <c r="ATW182" s="456"/>
      <c r="ATX182" s="456"/>
      <c r="ATY182" s="456"/>
      <c r="ATZ182" s="456"/>
      <c r="AUA182" s="456"/>
      <c r="AUB182" s="456"/>
      <c r="AUC182" s="456"/>
      <c r="AUD182" s="456"/>
      <c r="AUE182" s="456"/>
      <c r="AUF182" s="456"/>
      <c r="AUG182" s="456"/>
      <c r="AUH182" s="456"/>
      <c r="AUI182" s="456"/>
      <c r="AUJ182" s="456"/>
      <c r="AUK182" s="456"/>
      <c r="AUL182" s="456"/>
      <c r="AUM182" s="456"/>
      <c r="AUN182" s="456"/>
      <c r="AUO182" s="456"/>
      <c r="AUP182" s="456"/>
      <c r="AUQ182" s="456"/>
      <c r="AUR182" s="456"/>
      <c r="AUS182" s="456"/>
      <c r="AUT182" s="456"/>
      <c r="AUU182" s="456"/>
      <c r="AUV182" s="456"/>
      <c r="AUW182" s="456"/>
      <c r="AUX182" s="456"/>
      <c r="AUY182" s="456"/>
      <c r="AUZ182" s="456"/>
      <c r="AVA182" s="456"/>
      <c r="AVB182" s="456"/>
      <c r="AVC182" s="456"/>
      <c r="AVD182" s="456"/>
      <c r="AVE182" s="456"/>
      <c r="AVF182" s="456"/>
      <c r="AVG182" s="456"/>
      <c r="AVH182" s="456"/>
      <c r="AVI182" s="456"/>
      <c r="AVJ182" s="456"/>
      <c r="AVK182" s="456"/>
      <c r="AVL182" s="456"/>
      <c r="AVM182" s="456"/>
      <c r="AVN182" s="456"/>
      <c r="AVO182" s="456"/>
      <c r="AVP182" s="456"/>
      <c r="AVQ182" s="456"/>
      <c r="AVR182" s="456"/>
      <c r="AVS182" s="456"/>
      <c r="AVT182" s="456"/>
      <c r="AVU182" s="456"/>
      <c r="AVV182" s="456"/>
      <c r="AVW182" s="456"/>
      <c r="AVX182" s="456"/>
      <c r="AVY182" s="456"/>
      <c r="AVZ182" s="456"/>
      <c r="AWA182" s="456"/>
      <c r="AWB182" s="456"/>
      <c r="AWC182" s="456"/>
      <c r="AWD182" s="456"/>
      <c r="AWE182" s="456"/>
      <c r="AWF182" s="456"/>
      <c r="AWG182" s="456"/>
      <c r="AWH182" s="456"/>
      <c r="AWI182" s="456"/>
      <c r="AWJ182" s="456"/>
      <c r="AWK182" s="456"/>
      <c r="AWL182" s="456"/>
      <c r="AWM182" s="456"/>
      <c r="AWN182" s="456"/>
      <c r="AWO182" s="456"/>
      <c r="AWP182" s="456"/>
      <c r="AWQ182" s="456"/>
      <c r="AWR182" s="456"/>
      <c r="AWS182" s="456"/>
      <c r="AWT182" s="456"/>
      <c r="AWU182" s="456"/>
      <c r="AWV182" s="456"/>
      <c r="AWW182" s="456"/>
      <c r="AWX182" s="456"/>
      <c r="AWY182" s="456"/>
      <c r="AWZ182" s="456"/>
      <c r="AXA182" s="456"/>
      <c r="AXB182" s="456"/>
      <c r="AXC182" s="456"/>
      <c r="AXD182" s="456"/>
      <c r="AXE182" s="456"/>
      <c r="AXF182" s="456"/>
      <c r="AXG182" s="456"/>
      <c r="AXH182" s="456"/>
      <c r="AXI182" s="456"/>
      <c r="AXJ182" s="456"/>
      <c r="AXK182" s="456"/>
      <c r="AXL182" s="456"/>
      <c r="AXM182" s="456"/>
      <c r="AXN182" s="456"/>
      <c r="AXO182" s="456"/>
      <c r="AXP182" s="456"/>
      <c r="AXQ182" s="456"/>
      <c r="AXR182" s="456"/>
      <c r="AXS182" s="456"/>
      <c r="AXT182" s="456"/>
      <c r="AXU182" s="456"/>
      <c r="AXV182" s="456"/>
      <c r="AXW182" s="456"/>
      <c r="AXX182" s="456"/>
      <c r="AXY182" s="456"/>
      <c r="AXZ182" s="456"/>
      <c r="AYA182" s="456"/>
      <c r="AYB182" s="456"/>
      <c r="AYC182" s="456"/>
      <c r="AYD182" s="456"/>
      <c r="AYE182" s="456"/>
      <c r="AYF182" s="456"/>
      <c r="AYG182" s="456"/>
      <c r="AYH182" s="456"/>
      <c r="AYI182" s="456"/>
      <c r="AYJ182" s="456"/>
      <c r="AYK182" s="456"/>
      <c r="AYL182" s="456"/>
      <c r="AYM182" s="456"/>
      <c r="AYN182" s="456"/>
      <c r="AYO182" s="456"/>
      <c r="AYP182" s="456"/>
      <c r="AYQ182" s="456"/>
      <c r="AYR182" s="456"/>
      <c r="AYS182" s="456"/>
      <c r="AYT182" s="456"/>
      <c r="AYU182" s="456"/>
      <c r="AYV182" s="456"/>
      <c r="AYW182" s="456"/>
      <c r="AYX182" s="456"/>
      <c r="AYY182" s="456"/>
      <c r="AYZ182" s="456"/>
      <c r="AZA182" s="456"/>
      <c r="AZB182" s="456"/>
      <c r="AZC182" s="456"/>
      <c r="AZD182" s="456"/>
      <c r="AZE182" s="456"/>
      <c r="AZF182" s="456"/>
      <c r="AZG182" s="456"/>
      <c r="AZH182" s="456"/>
      <c r="AZI182" s="456"/>
      <c r="AZJ182" s="456"/>
      <c r="AZK182" s="456"/>
      <c r="AZL182" s="456"/>
      <c r="AZM182" s="456"/>
      <c r="AZN182" s="456"/>
      <c r="AZO182" s="456"/>
      <c r="AZP182" s="456"/>
      <c r="AZQ182" s="456"/>
      <c r="AZR182" s="456"/>
      <c r="AZS182" s="456"/>
      <c r="AZT182" s="456"/>
      <c r="AZU182" s="456"/>
      <c r="AZV182" s="456"/>
      <c r="AZW182" s="456"/>
      <c r="AZX182" s="456"/>
      <c r="AZY182" s="456"/>
      <c r="AZZ182" s="456"/>
      <c r="BAA182" s="456"/>
      <c r="BAB182" s="456"/>
      <c r="BAC182" s="456"/>
      <c r="BAD182" s="456"/>
      <c r="BAE182" s="456"/>
      <c r="BAF182" s="456"/>
      <c r="BAG182" s="456"/>
      <c r="BAH182" s="456"/>
      <c r="BAI182" s="456"/>
      <c r="BAJ182" s="456"/>
      <c r="BAK182" s="456"/>
      <c r="BAL182" s="456"/>
      <c r="BAM182" s="456"/>
      <c r="BAN182" s="456"/>
      <c r="BAO182" s="456"/>
      <c r="BAP182" s="456"/>
      <c r="BAQ182" s="456"/>
      <c r="BAR182" s="456"/>
      <c r="BAS182" s="456"/>
      <c r="BAT182" s="456"/>
      <c r="BAU182" s="456"/>
      <c r="BAV182" s="456"/>
      <c r="BAW182" s="456"/>
      <c r="BAX182" s="456"/>
      <c r="BAY182" s="456"/>
      <c r="BAZ182" s="456"/>
      <c r="BBA182" s="456"/>
      <c r="BBB182" s="456"/>
      <c r="BBC182" s="456"/>
      <c r="BBD182" s="456"/>
      <c r="BBE182" s="456"/>
      <c r="BBF182" s="456"/>
      <c r="BBG182" s="456"/>
      <c r="BBH182" s="456"/>
      <c r="BBI182" s="456"/>
      <c r="BBJ182" s="456"/>
      <c r="BBK182" s="456"/>
      <c r="BBL182" s="456"/>
      <c r="BBM182" s="456"/>
      <c r="BBN182" s="456"/>
      <c r="BBO182" s="456"/>
      <c r="BBP182" s="456"/>
      <c r="BBQ182" s="456"/>
      <c r="BBR182" s="456"/>
      <c r="BBS182" s="456"/>
      <c r="BBT182" s="456"/>
      <c r="BBU182" s="456"/>
      <c r="BBV182" s="456"/>
      <c r="BBW182" s="456"/>
      <c r="BBX182" s="456"/>
      <c r="BBY182" s="456"/>
      <c r="BBZ182" s="456"/>
      <c r="BCA182" s="456"/>
      <c r="BCB182" s="456"/>
      <c r="BCC182" s="456"/>
      <c r="BCD182" s="456"/>
      <c r="BCE182" s="456"/>
      <c r="BCF182" s="456"/>
      <c r="BCG182" s="456"/>
      <c r="BCH182" s="456"/>
      <c r="BCI182" s="456"/>
      <c r="BCJ182" s="456"/>
      <c r="BCK182" s="456"/>
      <c r="BCL182" s="456"/>
      <c r="BCM182" s="456"/>
      <c r="BCN182" s="456"/>
      <c r="BCO182" s="456"/>
      <c r="BCP182" s="456"/>
      <c r="BCQ182" s="456"/>
      <c r="BCR182" s="456"/>
      <c r="BCS182" s="456"/>
      <c r="BCT182" s="456"/>
      <c r="BCU182" s="456"/>
      <c r="BCV182" s="456"/>
      <c r="BCW182" s="456"/>
      <c r="BCX182" s="456"/>
      <c r="BCY182" s="456"/>
      <c r="BCZ182" s="456"/>
      <c r="BDA182" s="456"/>
      <c r="BDB182" s="456"/>
      <c r="BDC182" s="456"/>
      <c r="BDD182" s="456"/>
      <c r="BDE182" s="456"/>
      <c r="BDF182" s="456"/>
      <c r="BDG182" s="456"/>
      <c r="BDH182" s="456"/>
      <c r="BDI182" s="456"/>
      <c r="BDJ182" s="456"/>
      <c r="BDK182" s="456"/>
      <c r="BDL182" s="456"/>
      <c r="BDM182" s="456"/>
      <c r="BDN182" s="456"/>
      <c r="BDO182" s="456"/>
      <c r="BDP182" s="456"/>
      <c r="BDQ182" s="456"/>
      <c r="BDR182" s="456"/>
      <c r="BDS182" s="456"/>
      <c r="BDT182" s="456"/>
      <c r="BDU182" s="456"/>
      <c r="BDV182" s="456"/>
      <c r="BDW182" s="456"/>
      <c r="BDX182" s="456"/>
      <c r="BDY182" s="456"/>
      <c r="BDZ182" s="456"/>
      <c r="BEA182" s="456"/>
      <c r="BEB182" s="456"/>
      <c r="BEC182" s="456"/>
      <c r="BED182" s="456"/>
      <c r="BEE182" s="456"/>
      <c r="BEF182" s="456"/>
      <c r="BEG182" s="456"/>
      <c r="BEH182" s="456"/>
      <c r="BEI182" s="456"/>
      <c r="BEJ182" s="456"/>
      <c r="BEK182" s="456"/>
      <c r="BEL182" s="456"/>
      <c r="BEM182" s="456"/>
      <c r="BEN182" s="456"/>
      <c r="BEO182" s="456"/>
      <c r="BEP182" s="456"/>
      <c r="BEQ182" s="456"/>
      <c r="BER182" s="456"/>
      <c r="BES182" s="456"/>
      <c r="BET182" s="456"/>
      <c r="BEU182" s="456"/>
      <c r="BEV182" s="456"/>
      <c r="BEW182" s="456"/>
      <c r="BEX182" s="456"/>
      <c r="BEY182" s="456"/>
      <c r="BEZ182" s="456"/>
      <c r="BFA182" s="456"/>
      <c r="BFB182" s="456"/>
      <c r="BFC182" s="456"/>
      <c r="BFD182" s="456"/>
      <c r="BFE182" s="456"/>
      <c r="BFF182" s="456"/>
      <c r="BFG182" s="456"/>
      <c r="BFH182" s="456"/>
      <c r="BFI182" s="456"/>
      <c r="BFJ182" s="456"/>
      <c r="BFK182" s="456"/>
      <c r="BFL182" s="456"/>
      <c r="BFM182" s="456"/>
      <c r="BFN182" s="456"/>
      <c r="BFO182" s="456"/>
      <c r="BFP182" s="456"/>
      <c r="BFQ182" s="456"/>
      <c r="BFR182" s="456"/>
      <c r="BFS182" s="456"/>
      <c r="BFT182" s="456"/>
      <c r="BFU182" s="456"/>
      <c r="BFV182" s="456"/>
      <c r="BFW182" s="456"/>
      <c r="BFX182" s="456"/>
      <c r="BFY182" s="456"/>
      <c r="BFZ182" s="456"/>
      <c r="BGA182" s="456"/>
      <c r="BGB182" s="456"/>
      <c r="BGC182" s="456"/>
      <c r="BGD182" s="456"/>
      <c r="BGE182" s="456"/>
      <c r="BGF182" s="456"/>
      <c r="BGG182" s="456"/>
      <c r="BGH182" s="456"/>
      <c r="BGI182" s="456"/>
      <c r="BGJ182" s="456"/>
      <c r="BGK182" s="456"/>
      <c r="BGL182" s="456"/>
      <c r="BGM182" s="456"/>
      <c r="BGN182" s="456"/>
      <c r="BGO182" s="456"/>
      <c r="BGP182" s="456"/>
      <c r="BGQ182" s="456"/>
      <c r="BGR182" s="456"/>
      <c r="BGS182" s="456"/>
      <c r="BGT182" s="456"/>
      <c r="BGU182" s="456"/>
      <c r="BGV182" s="456"/>
      <c r="BGW182" s="456"/>
      <c r="BGX182" s="456"/>
      <c r="BGY182" s="456"/>
      <c r="BGZ182" s="456"/>
      <c r="BHA182" s="456"/>
      <c r="BHB182" s="456"/>
      <c r="BHC182" s="456"/>
      <c r="BHD182" s="456"/>
      <c r="BHE182" s="456"/>
      <c r="BHF182" s="456"/>
      <c r="BHG182" s="456"/>
      <c r="BHH182" s="456"/>
      <c r="BHI182" s="456"/>
      <c r="BHJ182" s="456"/>
      <c r="BHK182" s="456"/>
      <c r="BHL182" s="456"/>
      <c r="BHM182" s="456"/>
      <c r="BHN182" s="456"/>
      <c r="BHO182" s="456"/>
      <c r="BHP182" s="456"/>
      <c r="BHQ182" s="456"/>
      <c r="BHR182" s="456"/>
      <c r="BHS182" s="456"/>
      <c r="BHT182" s="456"/>
      <c r="BHU182" s="456"/>
      <c r="BHV182" s="456"/>
      <c r="BHW182" s="456"/>
      <c r="BHX182" s="456"/>
      <c r="BHY182" s="456"/>
      <c r="BHZ182" s="456"/>
      <c r="BIA182" s="456"/>
      <c r="BIB182" s="456"/>
      <c r="BIC182" s="456"/>
      <c r="BID182" s="456"/>
      <c r="BIE182" s="456"/>
      <c r="BIF182" s="456"/>
      <c r="BIG182" s="456"/>
      <c r="BIH182" s="456"/>
      <c r="BII182" s="456"/>
      <c r="BIJ182" s="456"/>
      <c r="BIK182" s="456"/>
      <c r="BIL182" s="456"/>
      <c r="BIM182" s="456"/>
      <c r="BIN182" s="456"/>
      <c r="BIO182" s="456"/>
      <c r="BIP182" s="456"/>
      <c r="BIQ182" s="456"/>
      <c r="BIR182" s="456"/>
      <c r="BIS182" s="456"/>
      <c r="BIT182" s="456"/>
      <c r="BIU182" s="456"/>
      <c r="BIV182" s="456"/>
      <c r="BIW182" s="456"/>
      <c r="BIX182" s="456"/>
      <c r="BIY182" s="456"/>
      <c r="BIZ182" s="456"/>
      <c r="BJA182" s="456"/>
      <c r="BJB182" s="456"/>
      <c r="BJC182" s="456"/>
      <c r="BJD182" s="456"/>
      <c r="BJE182" s="456"/>
      <c r="BJF182" s="456"/>
      <c r="BJG182" s="456"/>
      <c r="BJH182" s="456"/>
      <c r="BJI182" s="456"/>
      <c r="BJJ182" s="456"/>
      <c r="BJK182" s="456"/>
      <c r="BJL182" s="456"/>
      <c r="BJM182" s="456"/>
      <c r="BJN182" s="456"/>
      <c r="BJO182" s="456"/>
      <c r="BJP182" s="456"/>
      <c r="BJQ182" s="456"/>
      <c r="BJR182" s="456"/>
      <c r="BJS182" s="456"/>
      <c r="BJT182" s="456"/>
      <c r="BJU182" s="456"/>
      <c r="BJV182" s="456"/>
      <c r="BJW182" s="456"/>
      <c r="BJX182" s="456"/>
      <c r="BJY182" s="456"/>
      <c r="BJZ182" s="456"/>
      <c r="BKA182" s="456"/>
      <c r="BKB182" s="456"/>
      <c r="BKC182" s="456"/>
      <c r="BKD182" s="456"/>
      <c r="BKE182" s="456"/>
      <c r="BKF182" s="456"/>
      <c r="BKG182" s="456"/>
      <c r="BKH182" s="456"/>
      <c r="BKI182" s="456"/>
      <c r="BKJ182" s="456"/>
      <c r="BKK182" s="456"/>
      <c r="BKL182" s="456"/>
      <c r="BKM182" s="456"/>
      <c r="BKN182" s="456"/>
      <c r="BKO182" s="456"/>
      <c r="BKP182" s="456"/>
      <c r="BKQ182" s="456"/>
      <c r="BKR182" s="456"/>
      <c r="BKS182" s="456"/>
      <c r="BKT182" s="456"/>
      <c r="BKU182" s="456"/>
      <c r="BKV182" s="456"/>
      <c r="BKW182" s="456"/>
      <c r="BKX182" s="456"/>
      <c r="BKY182" s="456"/>
      <c r="BKZ182" s="456"/>
      <c r="BLA182" s="456"/>
      <c r="BLB182" s="456"/>
      <c r="BLC182" s="456"/>
      <c r="BLD182" s="456"/>
      <c r="BLE182" s="456"/>
      <c r="BLF182" s="456"/>
      <c r="BLG182" s="456"/>
      <c r="BLH182" s="456"/>
      <c r="BLI182" s="456"/>
      <c r="BLJ182" s="456"/>
      <c r="BLK182" s="456"/>
      <c r="BLL182" s="456"/>
      <c r="BLM182" s="456"/>
      <c r="BLN182" s="456"/>
      <c r="BLO182" s="456"/>
      <c r="BLP182" s="456"/>
      <c r="BLQ182" s="456"/>
      <c r="BLR182" s="456"/>
      <c r="BLS182" s="456"/>
      <c r="BLT182" s="456"/>
      <c r="BLU182" s="456"/>
      <c r="BLV182" s="456"/>
      <c r="BLW182" s="456"/>
      <c r="BLX182" s="456"/>
      <c r="BLY182" s="456"/>
      <c r="BLZ182" s="456"/>
      <c r="BMA182" s="456"/>
      <c r="BMB182" s="456"/>
      <c r="BMC182" s="456"/>
      <c r="BMD182" s="456"/>
      <c r="BME182" s="456"/>
      <c r="BMF182" s="456"/>
      <c r="BMG182" s="456"/>
      <c r="BMH182" s="456"/>
      <c r="BMI182" s="456"/>
      <c r="BMJ182" s="456"/>
      <c r="BMK182" s="456"/>
      <c r="BML182" s="456"/>
      <c r="BMM182" s="456"/>
      <c r="BMN182" s="456"/>
      <c r="BMO182" s="456"/>
      <c r="BMP182" s="456"/>
      <c r="BMQ182" s="456"/>
      <c r="BMR182" s="456"/>
      <c r="BMS182" s="456"/>
      <c r="BMT182" s="456"/>
      <c r="BMU182" s="456"/>
      <c r="BMV182" s="456"/>
      <c r="BMW182" s="456"/>
      <c r="BMX182" s="456"/>
      <c r="BMY182" s="456"/>
      <c r="BMZ182" s="456"/>
      <c r="BNA182" s="456"/>
      <c r="BNB182" s="456"/>
      <c r="BNC182" s="456"/>
      <c r="BND182" s="456"/>
      <c r="BNE182" s="456"/>
      <c r="BNF182" s="456"/>
      <c r="BNG182" s="456"/>
      <c r="BNH182" s="456"/>
      <c r="BNI182" s="456"/>
      <c r="BNJ182" s="456"/>
      <c r="BNK182" s="456"/>
      <c r="BNL182" s="456"/>
      <c r="BNM182" s="456"/>
      <c r="BNN182" s="456"/>
      <c r="BNO182" s="456"/>
      <c r="BNP182" s="456"/>
      <c r="BNQ182" s="456"/>
      <c r="BNR182" s="456"/>
      <c r="BNS182" s="456"/>
      <c r="BNT182" s="456"/>
      <c r="BNU182" s="456"/>
      <c r="BNV182" s="456"/>
      <c r="BNW182" s="456"/>
      <c r="BNX182" s="456"/>
      <c r="BNY182" s="456"/>
      <c r="BNZ182" s="456"/>
      <c r="BOA182" s="456"/>
      <c r="BOB182" s="456"/>
      <c r="BOC182" s="456"/>
      <c r="BOD182" s="456"/>
      <c r="BOE182" s="456"/>
      <c r="BOF182" s="456"/>
      <c r="BOG182" s="456"/>
      <c r="BOH182" s="456"/>
      <c r="BOI182" s="456"/>
      <c r="BOJ182" s="456"/>
      <c r="BOK182" s="456"/>
      <c r="BOL182" s="456"/>
      <c r="BOM182" s="456"/>
      <c r="BON182" s="456"/>
      <c r="BOO182" s="456"/>
      <c r="BOP182" s="456"/>
      <c r="BOQ182" s="456"/>
      <c r="BOR182" s="456"/>
      <c r="BOS182" s="456"/>
      <c r="BOT182" s="456"/>
      <c r="BOU182" s="456"/>
      <c r="BOV182" s="456"/>
      <c r="BOW182" s="456"/>
      <c r="BOX182" s="456"/>
      <c r="BOY182" s="456"/>
      <c r="BOZ182" s="456"/>
      <c r="BPA182" s="456"/>
      <c r="BPB182" s="456"/>
      <c r="BPC182" s="456"/>
      <c r="BPD182" s="456"/>
      <c r="BPE182" s="456"/>
      <c r="BPF182" s="456"/>
      <c r="BPG182" s="456"/>
      <c r="BPH182" s="456"/>
      <c r="BPI182" s="456"/>
      <c r="BPJ182" s="456"/>
      <c r="BPK182" s="456"/>
      <c r="BPL182" s="456"/>
      <c r="BPM182" s="456"/>
      <c r="BPN182" s="456"/>
      <c r="BPO182" s="456"/>
      <c r="BPP182" s="456"/>
      <c r="BPQ182" s="456"/>
      <c r="BPR182" s="456"/>
      <c r="BPS182" s="456"/>
      <c r="BPT182" s="456"/>
      <c r="BPU182" s="456"/>
      <c r="BPV182" s="456"/>
      <c r="BPW182" s="456"/>
      <c r="BPX182" s="456"/>
      <c r="BPY182" s="456"/>
      <c r="BPZ182" s="456"/>
      <c r="BQA182" s="456"/>
      <c r="BQB182" s="456"/>
      <c r="BQC182" s="456"/>
      <c r="BQD182" s="456"/>
      <c r="BQE182" s="456"/>
      <c r="BQF182" s="456"/>
      <c r="BQG182" s="456"/>
      <c r="BQH182" s="456"/>
      <c r="BQI182" s="456"/>
      <c r="BQJ182" s="456"/>
      <c r="BQK182" s="456"/>
      <c r="BQL182" s="456"/>
      <c r="BQM182" s="456"/>
      <c r="BQN182" s="456"/>
      <c r="BQO182" s="456"/>
      <c r="BQP182" s="456"/>
      <c r="BQQ182" s="456"/>
      <c r="BQR182" s="456"/>
      <c r="BQS182" s="456"/>
      <c r="BQT182" s="456"/>
      <c r="BQU182" s="456"/>
      <c r="BQV182" s="456"/>
      <c r="BQW182" s="456"/>
      <c r="BQX182" s="456"/>
      <c r="BQY182" s="456"/>
      <c r="BQZ182" s="456"/>
      <c r="BRA182" s="456"/>
      <c r="BRB182" s="456"/>
      <c r="BRC182" s="456"/>
      <c r="BRD182" s="456"/>
      <c r="BRE182" s="456"/>
      <c r="BRF182" s="456"/>
      <c r="BRG182" s="456"/>
      <c r="BRH182" s="456"/>
      <c r="BRI182" s="456"/>
      <c r="BRJ182" s="456"/>
      <c r="BRK182" s="456"/>
      <c r="BRL182" s="456"/>
      <c r="BRM182" s="456"/>
      <c r="BRN182" s="456"/>
      <c r="BRO182" s="456"/>
      <c r="BRP182" s="456"/>
      <c r="BRQ182" s="456"/>
      <c r="BRR182" s="456"/>
      <c r="BRS182" s="456"/>
      <c r="BRT182" s="456"/>
      <c r="BRU182" s="456"/>
      <c r="BRV182" s="456"/>
      <c r="BRW182" s="456"/>
      <c r="BRX182" s="456"/>
      <c r="BRY182" s="456"/>
      <c r="BRZ182" s="456"/>
      <c r="BSA182" s="456"/>
      <c r="BSB182" s="456"/>
      <c r="BSC182" s="456"/>
      <c r="BSD182" s="456"/>
      <c r="BSE182" s="456"/>
      <c r="BSF182" s="456"/>
      <c r="BSG182" s="456"/>
      <c r="BSH182" s="456"/>
      <c r="BSI182" s="456"/>
      <c r="BSJ182" s="456"/>
      <c r="BSK182" s="456"/>
      <c r="BSL182" s="456"/>
      <c r="BSM182" s="456"/>
      <c r="BSN182" s="456"/>
      <c r="BSO182" s="456"/>
      <c r="BSP182" s="456"/>
      <c r="BSQ182" s="456"/>
      <c r="BSR182" s="456"/>
      <c r="BSS182" s="456"/>
      <c r="BST182" s="456"/>
      <c r="BSU182" s="456"/>
      <c r="BSV182" s="456"/>
      <c r="BSW182" s="456"/>
      <c r="BSX182" s="456"/>
      <c r="BSY182" s="456"/>
      <c r="BSZ182" s="456"/>
      <c r="BTA182" s="456"/>
      <c r="BTB182" s="456"/>
      <c r="BTC182" s="456"/>
      <c r="BTD182" s="456"/>
      <c r="BTE182" s="456"/>
      <c r="BTF182" s="456"/>
      <c r="BTG182" s="456"/>
      <c r="BTH182" s="456"/>
      <c r="BTI182" s="456"/>
      <c r="BTJ182" s="456"/>
      <c r="BTK182" s="456"/>
      <c r="BTL182" s="456"/>
      <c r="BTM182" s="456"/>
      <c r="BTN182" s="456"/>
      <c r="BTO182" s="456"/>
      <c r="BTP182" s="456"/>
      <c r="BTQ182" s="456"/>
      <c r="BTR182" s="456"/>
      <c r="BTS182" s="456"/>
      <c r="BTT182" s="456"/>
      <c r="BTU182" s="456"/>
      <c r="BTV182" s="456"/>
      <c r="BTW182" s="456"/>
      <c r="BTX182" s="456"/>
      <c r="BTY182" s="456"/>
      <c r="BTZ182" s="456"/>
      <c r="BUA182" s="456"/>
      <c r="BUB182" s="456"/>
      <c r="BUC182" s="456"/>
      <c r="BUD182" s="456"/>
      <c r="BUE182" s="456"/>
      <c r="BUF182" s="456"/>
      <c r="BUG182" s="456"/>
      <c r="BUH182" s="456"/>
      <c r="BUI182" s="456"/>
      <c r="BUJ182" s="456"/>
      <c r="BUK182" s="456"/>
      <c r="BUL182" s="456"/>
      <c r="BUM182" s="456"/>
      <c r="BUN182" s="456"/>
      <c r="BUO182" s="456"/>
      <c r="BUP182" s="456"/>
      <c r="BUQ182" s="456"/>
      <c r="BUR182" s="456"/>
      <c r="BUS182" s="456"/>
      <c r="BUT182" s="456"/>
      <c r="BUU182" s="456"/>
      <c r="BUV182" s="456"/>
      <c r="BUW182" s="456"/>
      <c r="BUX182" s="456"/>
      <c r="BUY182" s="456"/>
      <c r="BUZ182" s="456"/>
      <c r="BVA182" s="456"/>
      <c r="BVB182" s="456"/>
      <c r="BVC182" s="456"/>
      <c r="BVD182" s="456"/>
      <c r="BVE182" s="456"/>
      <c r="BVF182" s="456"/>
      <c r="BVG182" s="456"/>
      <c r="BVH182" s="456"/>
      <c r="BVI182" s="456"/>
      <c r="BVJ182" s="456"/>
      <c r="BVK182" s="456"/>
      <c r="BVL182" s="456"/>
      <c r="BVM182" s="456"/>
      <c r="BVN182" s="456"/>
      <c r="BVO182" s="456"/>
      <c r="BVP182" s="456"/>
      <c r="BVQ182" s="456"/>
      <c r="BVR182" s="456"/>
      <c r="BVS182" s="456"/>
      <c r="BVT182" s="456"/>
      <c r="BVU182" s="456"/>
      <c r="BVV182" s="456"/>
      <c r="BVW182" s="456"/>
      <c r="BVX182" s="456"/>
      <c r="BVY182" s="456"/>
      <c r="BVZ182" s="456"/>
      <c r="BWA182" s="456"/>
      <c r="BWB182" s="456"/>
      <c r="BWC182" s="456"/>
      <c r="BWD182" s="456"/>
      <c r="BWE182" s="456"/>
      <c r="BWF182" s="456"/>
      <c r="BWG182" s="456"/>
      <c r="BWH182" s="456"/>
      <c r="BWI182" s="456"/>
      <c r="BWJ182" s="456"/>
      <c r="BWK182" s="456"/>
      <c r="BWL182" s="456"/>
      <c r="BWM182" s="456"/>
      <c r="BWN182" s="456"/>
      <c r="BWO182" s="456"/>
      <c r="BWP182" s="456"/>
      <c r="BWQ182" s="456"/>
      <c r="BWR182" s="456"/>
      <c r="BWS182" s="456"/>
      <c r="BWT182" s="456"/>
      <c r="BWU182" s="456"/>
      <c r="BWV182" s="456"/>
      <c r="BWW182" s="456"/>
      <c r="BWX182" s="456"/>
      <c r="BWY182" s="456"/>
      <c r="BWZ182" s="456"/>
      <c r="BXA182" s="456"/>
      <c r="BXB182" s="456"/>
      <c r="BXC182" s="456"/>
      <c r="BXD182" s="456"/>
      <c r="BXE182" s="456"/>
      <c r="BXF182" s="456"/>
      <c r="BXG182" s="456"/>
      <c r="BXH182" s="456"/>
      <c r="BXI182" s="456"/>
      <c r="BXJ182" s="456"/>
      <c r="BXK182" s="456"/>
      <c r="BXL182" s="456"/>
      <c r="BXM182" s="456"/>
      <c r="BXN182" s="456"/>
      <c r="BXO182" s="456"/>
      <c r="BXP182" s="456"/>
      <c r="BXQ182" s="456"/>
      <c r="BXR182" s="456"/>
      <c r="BXS182" s="456"/>
      <c r="BXT182" s="456"/>
      <c r="BXU182" s="456"/>
      <c r="BXV182" s="456"/>
      <c r="BXW182" s="456"/>
      <c r="BXX182" s="456"/>
      <c r="BXY182" s="456"/>
      <c r="BXZ182" s="456"/>
    </row>
    <row r="183" s="25" customFormat="1" spans="1:1024 1025:2002">
      <c r="A183" s="473"/>
      <c r="B183" s="19">
        <v>1135</v>
      </c>
      <c r="C183" s="183">
        <v>46227</v>
      </c>
      <c r="D183" s="17" t="s">
        <v>35</v>
      </c>
      <c r="E183" s="17" t="s">
        <v>71</v>
      </c>
      <c r="F183" s="17" t="s">
        <v>54</v>
      </c>
      <c r="G183" s="17"/>
      <c r="H183" s="124">
        <v>1.208</v>
      </c>
      <c r="I183" s="124"/>
      <c r="J183" s="17" t="s">
        <v>82</v>
      </c>
      <c r="K183" s="91">
        <v>200</v>
      </c>
      <c r="L183" s="168">
        <v>32</v>
      </c>
      <c r="M183" s="19">
        <v>5800</v>
      </c>
      <c r="N183" s="19" t="s">
        <v>40</v>
      </c>
      <c r="O183" s="19" t="s">
        <v>67</v>
      </c>
      <c r="P183" s="19">
        <v>1500</v>
      </c>
      <c r="Q183" s="19">
        <v>1628</v>
      </c>
      <c r="R183" s="19">
        <f t="shared" si="12"/>
        <v>-128</v>
      </c>
      <c r="S183" s="19">
        <v>1300</v>
      </c>
      <c r="T183" s="19" t="s">
        <v>42</v>
      </c>
      <c r="U183" s="102" t="s">
        <v>127</v>
      </c>
      <c r="V183" s="186">
        <v>46224</v>
      </c>
      <c r="W183" s="17" t="s">
        <v>44</v>
      </c>
      <c r="X183" s="17"/>
      <c r="Y183" s="68">
        <v>46266</v>
      </c>
      <c r="Z183" s="17" t="s">
        <v>45</v>
      </c>
      <c r="AA183" s="17" t="s">
        <v>46</v>
      </c>
      <c r="AB183" s="17"/>
      <c r="AC183" s="102"/>
      <c r="AD183" s="65">
        <v>1864</v>
      </c>
      <c r="AE183" s="17" t="s">
        <v>48</v>
      </c>
      <c r="AF183" s="17"/>
      <c r="AG183" s="17"/>
      <c r="AH183" s="456"/>
      <c r="AI183" s="456"/>
      <c r="AJ183" s="456"/>
      <c r="AK183" s="456"/>
      <c r="AL183" s="456"/>
      <c r="AM183" s="456"/>
      <c r="AN183" s="456"/>
      <c r="AO183" s="456"/>
      <c r="AP183" s="456"/>
      <c r="AQ183" s="456"/>
      <c r="AR183" s="456"/>
      <c r="AS183" s="456"/>
      <c r="AT183" s="456"/>
      <c r="AU183" s="456"/>
      <c r="AV183" s="456"/>
      <c r="AW183" s="456"/>
      <c r="AX183" s="456"/>
      <c r="AY183" s="456"/>
      <c r="AZ183" s="456"/>
      <c r="BA183" s="456"/>
      <c r="BB183" s="456"/>
      <c r="BC183" s="456"/>
      <c r="BD183" s="456"/>
      <c r="BE183" s="456"/>
      <c r="BF183" s="456"/>
      <c r="BG183" s="456"/>
      <c r="BH183" s="456"/>
      <c r="BI183" s="456"/>
      <c r="BJ183" s="456"/>
      <c r="BK183" s="456"/>
      <c r="BL183" s="456"/>
      <c r="BM183" s="456"/>
      <c r="BN183" s="456"/>
      <c r="BO183" s="456"/>
      <c r="BP183" s="456"/>
      <c r="BQ183" s="456"/>
      <c r="BR183" s="456"/>
      <c r="BS183" s="456"/>
      <c r="BT183" s="456"/>
      <c r="BU183" s="456"/>
      <c r="BV183" s="456"/>
      <c r="BW183" s="456"/>
      <c r="BX183" s="456"/>
      <c r="BY183" s="456"/>
      <c r="BZ183" s="456"/>
      <c r="CA183" s="456"/>
      <c r="CB183" s="456"/>
      <c r="CC183" s="456"/>
      <c r="CD183" s="456"/>
      <c r="CE183" s="456"/>
      <c r="CF183" s="456"/>
      <c r="CG183" s="456"/>
      <c r="CH183" s="456"/>
      <c r="CI183" s="456"/>
      <c r="CJ183" s="456"/>
      <c r="CK183" s="456"/>
      <c r="CL183" s="456"/>
      <c r="CM183" s="456"/>
      <c r="CN183" s="456"/>
      <c r="CO183" s="456"/>
      <c r="CP183" s="456"/>
      <c r="CQ183" s="456"/>
      <c r="CR183" s="456"/>
      <c r="CS183" s="456"/>
      <c r="CT183" s="456"/>
      <c r="CU183" s="456"/>
      <c r="CV183" s="456"/>
      <c r="CW183" s="456"/>
      <c r="CX183" s="456"/>
      <c r="CY183" s="456"/>
      <c r="CZ183" s="456"/>
      <c r="DA183" s="456"/>
      <c r="DB183" s="456"/>
      <c r="DC183" s="456"/>
      <c r="DD183" s="456"/>
      <c r="DE183" s="456"/>
      <c r="DF183" s="456"/>
      <c r="DG183" s="456"/>
      <c r="DH183" s="456"/>
      <c r="DI183" s="456"/>
      <c r="DJ183" s="456"/>
      <c r="DK183" s="456"/>
      <c r="DL183" s="456"/>
      <c r="DM183" s="456"/>
      <c r="DN183" s="456"/>
      <c r="DO183" s="456"/>
      <c r="DP183" s="456"/>
      <c r="DQ183" s="456"/>
      <c r="DR183" s="456"/>
      <c r="DS183" s="456"/>
      <c r="DT183" s="456"/>
      <c r="DU183" s="456"/>
      <c r="DV183" s="456"/>
      <c r="DW183" s="456"/>
      <c r="DX183" s="456"/>
      <c r="DY183" s="456"/>
      <c r="DZ183" s="456"/>
      <c r="EA183" s="456"/>
      <c r="EB183" s="456"/>
      <c r="EC183" s="456"/>
      <c r="ED183" s="456"/>
      <c r="EE183" s="456"/>
      <c r="EF183" s="456"/>
      <c r="EG183" s="456"/>
      <c r="EH183" s="456"/>
      <c r="EI183" s="456"/>
      <c r="EJ183" s="456"/>
      <c r="EK183" s="456"/>
      <c r="EL183" s="456"/>
      <c r="EM183" s="456"/>
      <c r="EN183" s="456"/>
      <c r="EO183" s="456"/>
      <c r="EP183" s="456"/>
      <c r="EQ183" s="456"/>
      <c r="ER183" s="456"/>
      <c r="ES183" s="456"/>
      <c r="ET183" s="456"/>
      <c r="EU183" s="456"/>
      <c r="EV183" s="456"/>
      <c r="EW183" s="456"/>
      <c r="EX183" s="456"/>
      <c r="EY183" s="456"/>
      <c r="EZ183" s="456"/>
      <c r="FA183" s="456"/>
      <c r="FB183" s="456"/>
      <c r="FC183" s="456"/>
      <c r="FD183" s="456"/>
      <c r="FE183" s="456"/>
      <c r="FF183" s="456"/>
      <c r="FG183" s="456"/>
      <c r="FH183" s="456"/>
      <c r="FI183" s="456"/>
      <c r="FJ183" s="456"/>
      <c r="FK183" s="456"/>
      <c r="FL183" s="456"/>
      <c r="FM183" s="456"/>
      <c r="FN183" s="456"/>
      <c r="FO183" s="456"/>
      <c r="FP183" s="456"/>
      <c r="FQ183" s="456"/>
      <c r="FR183" s="456"/>
      <c r="FS183" s="456"/>
      <c r="FT183" s="456"/>
      <c r="FU183" s="456"/>
      <c r="FV183" s="456"/>
      <c r="FW183" s="456"/>
      <c r="FX183" s="456"/>
      <c r="FY183" s="456"/>
      <c r="FZ183" s="456"/>
      <c r="GA183" s="456"/>
      <c r="GB183" s="456"/>
      <c r="GC183" s="456"/>
      <c r="GD183" s="456"/>
      <c r="GE183" s="456"/>
      <c r="GF183" s="456"/>
      <c r="GG183" s="456"/>
      <c r="GH183" s="456"/>
      <c r="GI183" s="456"/>
      <c r="GJ183" s="456"/>
      <c r="GK183" s="456"/>
      <c r="GL183" s="456"/>
      <c r="GM183" s="456"/>
      <c r="GN183" s="456"/>
      <c r="GO183" s="456"/>
      <c r="GP183" s="456"/>
      <c r="GQ183" s="456"/>
      <c r="GR183" s="456"/>
      <c r="GS183" s="456"/>
      <c r="GT183" s="456"/>
      <c r="GU183" s="456"/>
      <c r="GV183" s="456"/>
      <c r="GW183" s="456"/>
      <c r="GX183" s="456"/>
      <c r="GY183" s="456"/>
      <c r="GZ183" s="456"/>
      <c r="HA183" s="456"/>
      <c r="HB183" s="456"/>
      <c r="HC183" s="456"/>
      <c r="HD183" s="456"/>
      <c r="HE183" s="456"/>
      <c r="HF183" s="456"/>
      <c r="HG183" s="456"/>
      <c r="HH183" s="456"/>
      <c r="HI183" s="456"/>
      <c r="HJ183" s="456"/>
      <c r="HK183" s="456"/>
      <c r="HL183" s="456"/>
      <c r="HM183" s="456"/>
      <c r="HN183" s="456"/>
      <c r="HO183" s="456"/>
      <c r="HP183" s="456"/>
      <c r="HQ183" s="456"/>
      <c r="HR183" s="456"/>
      <c r="HS183" s="456"/>
      <c r="HT183" s="456"/>
      <c r="HU183" s="456"/>
      <c r="HV183" s="456"/>
      <c r="HW183" s="456"/>
      <c r="HX183" s="456"/>
      <c r="HY183" s="456"/>
      <c r="HZ183" s="456"/>
      <c r="IA183" s="456"/>
      <c r="IB183" s="456"/>
      <c r="IC183" s="456"/>
      <c r="ID183" s="456"/>
      <c r="IE183" s="456"/>
      <c r="IF183" s="456"/>
      <c r="IG183" s="456"/>
      <c r="IH183" s="456"/>
      <c r="II183" s="456"/>
      <c r="IJ183" s="456"/>
      <c r="IK183" s="456"/>
      <c r="IL183" s="456"/>
      <c r="IM183" s="456"/>
      <c r="IN183" s="456"/>
      <c r="IO183" s="456"/>
      <c r="IP183" s="456"/>
      <c r="IQ183" s="456"/>
      <c r="IR183" s="456"/>
      <c r="IS183" s="456"/>
      <c r="IT183" s="456"/>
      <c r="IU183" s="456"/>
      <c r="IV183" s="456"/>
      <c r="IW183" s="456"/>
      <c r="IX183" s="456"/>
      <c r="IY183" s="456"/>
      <c r="IZ183" s="456"/>
      <c r="JA183" s="456"/>
      <c r="JB183" s="456"/>
      <c r="JC183" s="456"/>
      <c r="JD183" s="456"/>
      <c r="JE183" s="456"/>
      <c r="JF183" s="456"/>
      <c r="JG183" s="456"/>
      <c r="JH183" s="456"/>
      <c r="JI183" s="456"/>
      <c r="JJ183" s="456"/>
      <c r="JK183" s="456"/>
      <c r="JL183" s="456"/>
      <c r="JM183" s="456"/>
      <c r="JN183" s="456"/>
      <c r="JO183" s="456"/>
      <c r="JP183" s="456"/>
      <c r="JQ183" s="456"/>
      <c r="JR183" s="456"/>
      <c r="JS183" s="456"/>
      <c r="JT183" s="456"/>
      <c r="JU183" s="456"/>
      <c r="JV183" s="456"/>
      <c r="JW183" s="456"/>
      <c r="JX183" s="456"/>
      <c r="JY183" s="456"/>
      <c r="JZ183" s="456"/>
      <c r="KA183" s="456"/>
      <c r="KB183" s="456"/>
      <c r="KC183" s="456"/>
      <c r="KD183" s="456"/>
      <c r="KE183" s="456"/>
      <c r="KF183" s="456"/>
      <c r="KG183" s="456"/>
      <c r="KH183" s="456"/>
      <c r="KI183" s="456"/>
      <c r="KJ183" s="456"/>
      <c r="KK183" s="456"/>
      <c r="KL183" s="456"/>
      <c r="KM183" s="456"/>
      <c r="KN183" s="456"/>
      <c r="KO183" s="456"/>
      <c r="KP183" s="456"/>
      <c r="KQ183" s="456"/>
      <c r="KR183" s="456"/>
      <c r="KS183" s="456"/>
      <c r="KT183" s="456"/>
      <c r="KU183" s="456"/>
      <c r="KV183" s="456"/>
      <c r="KW183" s="456"/>
      <c r="KX183" s="456"/>
      <c r="KY183" s="456"/>
      <c r="KZ183" s="456"/>
      <c r="LA183" s="456"/>
      <c r="LB183" s="456"/>
      <c r="LC183" s="456"/>
      <c r="LD183" s="456"/>
      <c r="LE183" s="456"/>
      <c r="LF183" s="456"/>
      <c r="LG183" s="456"/>
      <c r="LH183" s="456"/>
      <c r="LI183" s="456"/>
      <c r="LJ183" s="456"/>
      <c r="LK183" s="456"/>
      <c r="LL183" s="456"/>
      <c r="LM183" s="456"/>
      <c r="LN183" s="456"/>
      <c r="LO183" s="456"/>
      <c r="LP183" s="456"/>
      <c r="LQ183" s="456"/>
      <c r="LR183" s="456"/>
      <c r="LS183" s="456"/>
      <c r="LT183" s="456"/>
      <c r="LU183" s="456"/>
      <c r="LV183" s="456"/>
      <c r="LW183" s="456"/>
      <c r="LX183" s="456"/>
      <c r="LY183" s="456"/>
      <c r="LZ183" s="456"/>
      <c r="MA183" s="456"/>
      <c r="MB183" s="456"/>
      <c r="MC183" s="456"/>
      <c r="MD183" s="456"/>
      <c r="ME183" s="456"/>
      <c r="MF183" s="456"/>
      <c r="MG183" s="456"/>
      <c r="MH183" s="456"/>
      <c r="MI183" s="456"/>
      <c r="MJ183" s="456"/>
      <c r="MK183" s="456"/>
      <c r="ML183" s="456"/>
      <c r="MM183" s="456"/>
      <c r="MN183" s="456"/>
      <c r="MO183" s="456"/>
      <c r="MP183" s="456"/>
      <c r="MQ183" s="456"/>
      <c r="MR183" s="456"/>
      <c r="MS183" s="456"/>
      <c r="MT183" s="456"/>
      <c r="MU183" s="456"/>
      <c r="MV183" s="456"/>
      <c r="MW183" s="456"/>
      <c r="MX183" s="456"/>
      <c r="MY183" s="456"/>
      <c r="MZ183" s="456"/>
      <c r="NA183" s="456"/>
      <c r="NB183" s="456"/>
      <c r="NC183" s="456"/>
      <c r="ND183" s="456"/>
      <c r="NE183" s="456"/>
      <c r="NF183" s="456"/>
      <c r="NG183" s="456"/>
      <c r="NH183" s="456"/>
      <c r="NI183" s="456"/>
      <c r="NJ183" s="456"/>
      <c r="NK183" s="456"/>
      <c r="NL183" s="456"/>
      <c r="NM183" s="456"/>
      <c r="NN183" s="456"/>
      <c r="NO183" s="456"/>
      <c r="NP183" s="456"/>
      <c r="NQ183" s="456"/>
      <c r="NR183" s="456"/>
      <c r="NS183" s="456"/>
      <c r="NT183" s="456"/>
      <c r="NU183" s="456"/>
      <c r="NV183" s="456"/>
      <c r="NW183" s="456"/>
      <c r="NX183" s="456"/>
      <c r="NY183" s="456"/>
      <c r="NZ183" s="456"/>
      <c r="OA183" s="456"/>
      <c r="OB183" s="456"/>
      <c r="OC183" s="456"/>
      <c r="OD183" s="456"/>
      <c r="OE183" s="456"/>
      <c r="OF183" s="456"/>
      <c r="OG183" s="456"/>
      <c r="OH183" s="456"/>
      <c r="OI183" s="456"/>
      <c r="OJ183" s="456"/>
      <c r="OK183" s="456"/>
      <c r="OL183" s="456"/>
      <c r="OM183" s="456"/>
      <c r="ON183" s="456"/>
      <c r="OO183" s="456"/>
      <c r="OP183" s="456"/>
      <c r="OQ183" s="456"/>
      <c r="OR183" s="456"/>
      <c r="OS183" s="456"/>
      <c r="OT183" s="456"/>
      <c r="OU183" s="456"/>
      <c r="OV183" s="456"/>
      <c r="OW183" s="456"/>
      <c r="OX183" s="456"/>
      <c r="OY183" s="456"/>
      <c r="OZ183" s="456"/>
      <c r="PA183" s="456"/>
      <c r="PB183" s="456"/>
      <c r="PC183" s="456"/>
      <c r="PD183" s="456"/>
      <c r="PE183" s="456"/>
      <c r="PF183" s="456"/>
      <c r="PG183" s="456"/>
      <c r="PH183" s="456"/>
      <c r="PI183" s="456"/>
      <c r="PJ183" s="456"/>
      <c r="PK183" s="456"/>
      <c r="PL183" s="456"/>
      <c r="PM183" s="456"/>
      <c r="PN183" s="456"/>
      <c r="PO183" s="456"/>
      <c r="PP183" s="456"/>
      <c r="PQ183" s="456"/>
      <c r="PR183" s="456"/>
      <c r="PS183" s="456"/>
      <c r="PT183" s="456"/>
      <c r="PU183" s="456"/>
      <c r="PV183" s="456"/>
      <c r="PW183" s="456"/>
      <c r="PX183" s="456"/>
      <c r="PY183" s="456"/>
      <c r="PZ183" s="456"/>
      <c r="QA183" s="456"/>
      <c r="QB183" s="456"/>
      <c r="QC183" s="456"/>
      <c r="QD183" s="456"/>
      <c r="QE183" s="456"/>
      <c r="QF183" s="456"/>
      <c r="QG183" s="456"/>
      <c r="QH183" s="456"/>
      <c r="QI183" s="456"/>
      <c r="QJ183" s="456"/>
      <c r="QK183" s="456"/>
      <c r="QL183" s="456"/>
      <c r="QM183" s="456"/>
      <c r="QN183" s="456"/>
      <c r="QO183" s="456"/>
      <c r="QP183" s="456"/>
      <c r="QQ183" s="456"/>
      <c r="QR183" s="456"/>
      <c r="QS183" s="456"/>
      <c r="QT183" s="456"/>
      <c r="QU183" s="456"/>
      <c r="QV183" s="456"/>
      <c r="QW183" s="456"/>
      <c r="QX183" s="456"/>
      <c r="QY183" s="456"/>
      <c r="QZ183" s="456"/>
      <c r="RA183" s="456"/>
      <c r="RB183" s="456"/>
      <c r="RC183" s="456"/>
      <c r="RD183" s="456"/>
      <c r="RE183" s="456"/>
      <c r="RF183" s="456"/>
      <c r="RG183" s="456"/>
      <c r="RH183" s="456"/>
      <c r="RI183" s="456"/>
      <c r="RJ183" s="456"/>
      <c r="RK183" s="456"/>
      <c r="RL183" s="456"/>
      <c r="RM183" s="456"/>
      <c r="RN183" s="456"/>
      <c r="RO183" s="456"/>
      <c r="RP183" s="456"/>
      <c r="RQ183" s="456"/>
      <c r="RR183" s="456"/>
      <c r="RS183" s="456"/>
      <c r="RT183" s="456"/>
      <c r="RU183" s="456"/>
      <c r="RV183" s="456"/>
      <c r="RW183" s="456"/>
      <c r="RX183" s="456"/>
      <c r="RY183" s="456"/>
      <c r="RZ183" s="456"/>
      <c r="SA183" s="456"/>
      <c r="SB183" s="456"/>
      <c r="SC183" s="456"/>
      <c r="SD183" s="456"/>
      <c r="SE183" s="456"/>
      <c r="SF183" s="456"/>
      <c r="SG183" s="456"/>
      <c r="SH183" s="456"/>
      <c r="SI183" s="456"/>
      <c r="SJ183" s="456"/>
      <c r="SK183" s="456"/>
      <c r="SL183" s="456"/>
      <c r="SM183" s="456"/>
      <c r="SN183" s="456"/>
      <c r="SO183" s="456"/>
      <c r="SP183" s="456"/>
      <c r="SQ183" s="456"/>
      <c r="SR183" s="456"/>
      <c r="SS183" s="456"/>
      <c r="ST183" s="456"/>
      <c r="SU183" s="456"/>
      <c r="SV183" s="456"/>
      <c r="SW183" s="456"/>
      <c r="SX183" s="456"/>
      <c r="SY183" s="456"/>
      <c r="SZ183" s="456"/>
      <c r="TA183" s="456"/>
      <c r="TB183" s="456"/>
      <c r="TC183" s="456"/>
      <c r="TD183" s="456"/>
      <c r="TE183" s="456"/>
      <c r="TF183" s="456"/>
      <c r="TG183" s="456"/>
      <c r="TH183" s="456"/>
      <c r="TI183" s="456"/>
      <c r="TJ183" s="456"/>
      <c r="TK183" s="456"/>
      <c r="TL183" s="456"/>
      <c r="TM183" s="456"/>
      <c r="TN183" s="456"/>
      <c r="TO183" s="456"/>
      <c r="TP183" s="456"/>
      <c r="TQ183" s="456"/>
      <c r="TR183" s="456"/>
      <c r="TS183" s="456"/>
      <c r="TT183" s="456"/>
      <c r="TU183" s="456"/>
      <c r="TV183" s="456"/>
      <c r="TW183" s="456"/>
      <c r="TX183" s="456"/>
      <c r="TY183" s="456"/>
      <c r="TZ183" s="456"/>
      <c r="UA183" s="456"/>
      <c r="UB183" s="456"/>
      <c r="UC183" s="456"/>
      <c r="UD183" s="456"/>
      <c r="UE183" s="456"/>
      <c r="UF183" s="456"/>
      <c r="UG183" s="456"/>
      <c r="UH183" s="456"/>
      <c r="UI183" s="456"/>
      <c r="UJ183" s="456"/>
      <c r="UK183" s="456"/>
      <c r="UL183" s="456"/>
      <c r="UM183" s="456"/>
      <c r="UN183" s="456"/>
      <c r="UO183" s="456"/>
      <c r="UP183" s="456"/>
      <c r="UQ183" s="456"/>
      <c r="UR183" s="456"/>
      <c r="US183" s="456"/>
      <c r="UT183" s="456"/>
      <c r="UU183" s="456"/>
      <c r="UV183" s="456"/>
      <c r="UW183" s="456"/>
      <c r="UX183" s="456"/>
      <c r="UY183" s="456"/>
      <c r="UZ183" s="456"/>
      <c r="VA183" s="456"/>
      <c r="VB183" s="456"/>
      <c r="VC183" s="456"/>
      <c r="VD183" s="456"/>
      <c r="VE183" s="456"/>
      <c r="VF183" s="456"/>
      <c r="VG183" s="456"/>
      <c r="VH183" s="456"/>
      <c r="VI183" s="456"/>
      <c r="VJ183" s="456"/>
      <c r="VK183" s="456"/>
      <c r="VL183" s="456"/>
      <c r="VM183" s="456"/>
      <c r="VN183" s="456"/>
      <c r="VO183" s="456"/>
      <c r="VP183" s="456"/>
      <c r="VQ183" s="456"/>
      <c r="VR183" s="456"/>
      <c r="VS183" s="456"/>
      <c r="VT183" s="456"/>
      <c r="VU183" s="456"/>
      <c r="VV183" s="456"/>
      <c r="VW183" s="456"/>
      <c r="VX183" s="456"/>
      <c r="VY183" s="456"/>
      <c r="VZ183" s="456"/>
      <c r="WA183" s="456"/>
      <c r="WB183" s="456"/>
      <c r="WC183" s="456"/>
      <c r="WD183" s="456"/>
      <c r="WE183" s="456"/>
      <c r="WF183" s="456"/>
      <c r="WG183" s="456"/>
      <c r="WH183" s="456"/>
      <c r="WI183" s="456"/>
      <c r="WJ183" s="456"/>
      <c r="WK183" s="456"/>
      <c r="WL183" s="456"/>
      <c r="WM183" s="456"/>
      <c r="WN183" s="456"/>
      <c r="WO183" s="456"/>
      <c r="WP183" s="456"/>
      <c r="WQ183" s="456"/>
      <c r="WR183" s="456"/>
      <c r="WS183" s="456"/>
      <c r="WT183" s="456"/>
      <c r="WU183" s="456"/>
      <c r="WV183" s="456"/>
      <c r="WW183" s="456"/>
      <c r="WX183" s="456"/>
      <c r="WY183" s="456"/>
      <c r="WZ183" s="456"/>
      <c r="XA183" s="456"/>
      <c r="XB183" s="456"/>
      <c r="XC183" s="456"/>
      <c r="XD183" s="456"/>
      <c r="XE183" s="456"/>
      <c r="XF183" s="456"/>
      <c r="XG183" s="456"/>
      <c r="XH183" s="456"/>
      <c r="XI183" s="456"/>
      <c r="XJ183" s="456"/>
      <c r="XK183" s="456"/>
      <c r="XL183" s="456"/>
      <c r="XM183" s="456"/>
      <c r="XN183" s="456"/>
      <c r="XO183" s="456"/>
      <c r="XP183" s="456"/>
      <c r="XQ183" s="456"/>
      <c r="XR183" s="456"/>
      <c r="XS183" s="456"/>
      <c r="XT183" s="456"/>
      <c r="XU183" s="456"/>
      <c r="XV183" s="456"/>
      <c r="XW183" s="456"/>
      <c r="XX183" s="456"/>
      <c r="XY183" s="456"/>
      <c r="XZ183" s="456"/>
      <c r="YA183" s="456"/>
      <c r="YB183" s="456"/>
      <c r="YC183" s="456"/>
      <c r="YD183" s="456"/>
      <c r="YE183" s="456"/>
      <c r="YF183" s="456"/>
      <c r="YG183" s="456"/>
      <c r="YH183" s="456"/>
      <c r="YI183" s="456"/>
      <c r="YJ183" s="456"/>
      <c r="YK183" s="456"/>
      <c r="YL183" s="456"/>
      <c r="YM183" s="456"/>
      <c r="YN183" s="456"/>
      <c r="YO183" s="456"/>
      <c r="YP183" s="456"/>
      <c r="YQ183" s="456"/>
      <c r="YR183" s="456"/>
      <c r="YS183" s="456"/>
      <c r="YT183" s="456"/>
      <c r="YU183" s="456"/>
      <c r="YV183" s="456"/>
      <c r="YW183" s="456"/>
      <c r="YX183" s="456"/>
      <c r="YY183" s="456"/>
      <c r="YZ183" s="456"/>
      <c r="ZA183" s="456"/>
      <c r="ZB183" s="456"/>
      <c r="ZC183" s="456"/>
      <c r="ZD183" s="456"/>
      <c r="ZE183" s="456"/>
      <c r="ZF183" s="456"/>
      <c r="ZG183" s="456"/>
      <c r="ZH183" s="456"/>
      <c r="ZI183" s="456"/>
      <c r="ZJ183" s="456"/>
      <c r="ZK183" s="456"/>
      <c r="ZL183" s="456"/>
      <c r="ZM183" s="456"/>
      <c r="ZN183" s="456"/>
      <c r="ZO183" s="456"/>
      <c r="ZP183" s="456"/>
      <c r="ZQ183" s="456"/>
      <c r="ZR183" s="456"/>
      <c r="ZS183" s="456"/>
      <c r="ZT183" s="456"/>
      <c r="ZU183" s="456"/>
      <c r="ZV183" s="456"/>
      <c r="ZW183" s="456"/>
      <c r="ZX183" s="456"/>
      <c r="ZY183" s="456"/>
      <c r="ZZ183" s="456"/>
      <c r="AAA183" s="456"/>
      <c r="AAB183" s="456"/>
      <c r="AAC183" s="456"/>
      <c r="AAD183" s="456"/>
      <c r="AAE183" s="456"/>
      <c r="AAF183" s="456"/>
      <c r="AAG183" s="456"/>
      <c r="AAH183" s="456"/>
      <c r="AAI183" s="456"/>
      <c r="AAJ183" s="456"/>
      <c r="AAK183" s="456"/>
      <c r="AAL183" s="456"/>
      <c r="AAM183" s="456"/>
      <c r="AAN183" s="456"/>
      <c r="AAO183" s="456"/>
      <c r="AAP183" s="456"/>
      <c r="AAQ183" s="456"/>
      <c r="AAR183" s="456"/>
      <c r="AAS183" s="456"/>
      <c r="AAT183" s="456"/>
      <c r="AAU183" s="456"/>
      <c r="AAV183" s="456"/>
      <c r="AAW183" s="456"/>
      <c r="AAX183" s="456"/>
      <c r="AAY183" s="456"/>
      <c r="AAZ183" s="456"/>
      <c r="ABA183" s="456"/>
      <c r="ABB183" s="456"/>
      <c r="ABC183" s="456"/>
      <c r="ABD183" s="456"/>
      <c r="ABE183" s="456"/>
      <c r="ABF183" s="456"/>
      <c r="ABG183" s="456"/>
      <c r="ABH183" s="456"/>
      <c r="ABI183" s="456"/>
      <c r="ABJ183" s="456"/>
      <c r="ABK183" s="456"/>
      <c r="ABL183" s="456"/>
      <c r="ABM183" s="456"/>
      <c r="ABN183" s="456"/>
      <c r="ABO183" s="456"/>
      <c r="ABP183" s="456"/>
      <c r="ABQ183" s="456"/>
      <c r="ABR183" s="456"/>
      <c r="ABS183" s="456"/>
      <c r="ABT183" s="456"/>
      <c r="ABU183" s="456"/>
      <c r="ABV183" s="456"/>
      <c r="ABW183" s="456"/>
      <c r="ABX183" s="456"/>
      <c r="ABY183" s="456"/>
      <c r="ABZ183" s="456"/>
      <c r="ACA183" s="456"/>
      <c r="ACB183" s="456"/>
      <c r="ACC183" s="456"/>
      <c r="ACD183" s="456"/>
      <c r="ACE183" s="456"/>
      <c r="ACF183" s="456"/>
      <c r="ACG183" s="456"/>
      <c r="ACH183" s="456"/>
      <c r="ACI183" s="456"/>
      <c r="ACJ183" s="456"/>
      <c r="ACK183" s="456"/>
      <c r="ACL183" s="456"/>
      <c r="ACM183" s="456"/>
      <c r="ACN183" s="456"/>
      <c r="ACO183" s="456"/>
      <c r="ACP183" s="456"/>
      <c r="ACQ183" s="456"/>
      <c r="ACR183" s="456"/>
      <c r="ACS183" s="456"/>
      <c r="ACT183" s="456"/>
      <c r="ACU183" s="456"/>
      <c r="ACV183" s="456"/>
      <c r="ACW183" s="456"/>
      <c r="ACX183" s="456"/>
      <c r="ACY183" s="456"/>
      <c r="ACZ183" s="456"/>
      <c r="ADA183" s="456"/>
      <c r="ADB183" s="456"/>
      <c r="ADC183" s="456"/>
      <c r="ADD183" s="456"/>
      <c r="ADE183" s="456"/>
      <c r="ADF183" s="456"/>
      <c r="ADG183" s="456"/>
      <c r="ADH183" s="456"/>
      <c r="ADI183" s="456"/>
      <c r="ADJ183" s="456"/>
      <c r="ADK183" s="456"/>
      <c r="ADL183" s="456"/>
      <c r="ADM183" s="456"/>
      <c r="ADN183" s="456"/>
      <c r="ADO183" s="456"/>
      <c r="ADP183" s="456"/>
      <c r="ADQ183" s="456"/>
      <c r="ADR183" s="456"/>
      <c r="ADS183" s="456"/>
      <c r="ADT183" s="456"/>
      <c r="ADU183" s="456"/>
      <c r="ADV183" s="456"/>
      <c r="ADW183" s="456"/>
      <c r="ADX183" s="456"/>
      <c r="ADY183" s="456"/>
      <c r="ADZ183" s="456"/>
      <c r="AEA183" s="456"/>
      <c r="AEB183" s="456"/>
      <c r="AEC183" s="456"/>
      <c r="AED183" s="456"/>
      <c r="AEE183" s="456"/>
      <c r="AEF183" s="456"/>
      <c r="AEG183" s="456"/>
      <c r="AEH183" s="456"/>
      <c r="AEI183" s="456"/>
      <c r="AEJ183" s="456"/>
      <c r="AEK183" s="456"/>
      <c r="AEL183" s="456"/>
      <c r="AEM183" s="456"/>
      <c r="AEN183" s="456"/>
      <c r="AEO183" s="456"/>
      <c r="AEP183" s="456"/>
      <c r="AEQ183" s="456"/>
      <c r="AER183" s="456"/>
      <c r="AES183" s="456"/>
      <c r="AET183" s="456"/>
      <c r="AEU183" s="456"/>
      <c r="AEV183" s="456"/>
      <c r="AEW183" s="456"/>
      <c r="AEX183" s="456"/>
      <c r="AEY183" s="456"/>
      <c r="AEZ183" s="456"/>
      <c r="AFA183" s="456"/>
      <c r="AFB183" s="456"/>
      <c r="AFC183" s="456"/>
      <c r="AFD183" s="456"/>
      <c r="AFE183" s="456"/>
      <c r="AFF183" s="456"/>
      <c r="AFG183" s="456"/>
      <c r="AFH183" s="456"/>
      <c r="AFI183" s="456"/>
      <c r="AFJ183" s="456"/>
      <c r="AFK183" s="456"/>
      <c r="AFL183" s="456"/>
      <c r="AFM183" s="456"/>
      <c r="AFN183" s="456"/>
      <c r="AFO183" s="456"/>
      <c r="AFP183" s="456"/>
      <c r="AFQ183" s="456"/>
      <c r="AFR183" s="456"/>
      <c r="AFS183" s="456"/>
      <c r="AFT183" s="456"/>
      <c r="AFU183" s="456"/>
      <c r="AFV183" s="456"/>
      <c r="AFW183" s="456"/>
      <c r="AFX183" s="456"/>
      <c r="AFY183" s="456"/>
      <c r="AFZ183" s="456"/>
      <c r="AGA183" s="456"/>
      <c r="AGB183" s="456"/>
      <c r="AGC183" s="456"/>
      <c r="AGD183" s="456"/>
      <c r="AGE183" s="456"/>
      <c r="AGF183" s="456"/>
      <c r="AGG183" s="456"/>
      <c r="AGH183" s="456"/>
      <c r="AGI183" s="456"/>
      <c r="AGJ183" s="456"/>
      <c r="AGK183" s="456"/>
      <c r="AGL183" s="456"/>
      <c r="AGM183" s="456"/>
      <c r="AGN183" s="456"/>
      <c r="AGO183" s="456"/>
      <c r="AGP183" s="456"/>
      <c r="AGQ183" s="456"/>
      <c r="AGR183" s="456"/>
      <c r="AGS183" s="456"/>
      <c r="AGT183" s="456"/>
      <c r="AGU183" s="456"/>
      <c r="AGV183" s="456"/>
      <c r="AGW183" s="456"/>
      <c r="AGX183" s="456"/>
      <c r="AGY183" s="456"/>
      <c r="AGZ183" s="456"/>
      <c r="AHA183" s="456"/>
      <c r="AHB183" s="456"/>
      <c r="AHC183" s="456"/>
      <c r="AHD183" s="456"/>
      <c r="AHE183" s="456"/>
      <c r="AHF183" s="456"/>
      <c r="AHG183" s="456"/>
      <c r="AHH183" s="456"/>
      <c r="AHI183" s="456"/>
      <c r="AHJ183" s="456"/>
      <c r="AHK183" s="456"/>
      <c r="AHL183" s="456"/>
      <c r="AHM183" s="456"/>
      <c r="AHN183" s="456"/>
      <c r="AHO183" s="456"/>
      <c r="AHP183" s="456"/>
      <c r="AHQ183" s="456"/>
      <c r="AHR183" s="456"/>
      <c r="AHS183" s="456"/>
      <c r="AHT183" s="456"/>
      <c r="AHU183" s="456"/>
      <c r="AHV183" s="456"/>
      <c r="AHW183" s="456"/>
      <c r="AHX183" s="456"/>
      <c r="AHY183" s="456"/>
      <c r="AHZ183" s="456"/>
      <c r="AIA183" s="456"/>
      <c r="AIB183" s="456"/>
      <c r="AIC183" s="456"/>
      <c r="AID183" s="456"/>
      <c r="AIE183" s="456"/>
      <c r="AIF183" s="456"/>
      <c r="AIG183" s="456"/>
      <c r="AIH183" s="456"/>
      <c r="AII183" s="456"/>
      <c r="AIJ183" s="456"/>
      <c r="AIK183" s="456"/>
      <c r="AIL183" s="456"/>
      <c r="AIM183" s="456"/>
      <c r="AIN183" s="456"/>
      <c r="AIO183" s="456"/>
      <c r="AIP183" s="456"/>
      <c r="AIQ183" s="456"/>
      <c r="AIR183" s="456"/>
      <c r="AIS183" s="456"/>
      <c r="AIT183" s="456"/>
      <c r="AIU183" s="456"/>
      <c r="AIV183" s="456"/>
      <c r="AIW183" s="456"/>
      <c r="AIX183" s="456"/>
      <c r="AIY183" s="456"/>
      <c r="AIZ183" s="456"/>
      <c r="AJA183" s="456"/>
      <c r="AJB183" s="456"/>
      <c r="AJC183" s="456"/>
      <c r="AJD183" s="456"/>
      <c r="AJE183" s="456"/>
      <c r="AJF183" s="456"/>
      <c r="AJG183" s="456"/>
      <c r="AJH183" s="456"/>
      <c r="AJI183" s="456"/>
      <c r="AJJ183" s="456"/>
      <c r="AJK183" s="456"/>
      <c r="AJL183" s="456"/>
      <c r="AJM183" s="456"/>
      <c r="AJN183" s="456"/>
      <c r="AJO183" s="456"/>
      <c r="AJP183" s="456"/>
      <c r="AJQ183" s="456"/>
      <c r="AJR183" s="456"/>
      <c r="AJS183" s="456"/>
      <c r="AJT183" s="456"/>
      <c r="AJU183" s="456"/>
      <c r="AJV183" s="456"/>
      <c r="AJW183" s="456"/>
      <c r="AJX183" s="456"/>
      <c r="AJY183" s="456"/>
      <c r="AJZ183" s="456"/>
      <c r="AKA183" s="456"/>
      <c r="AKB183" s="456"/>
      <c r="AKC183" s="456"/>
      <c r="AKD183" s="456"/>
      <c r="AKE183" s="456"/>
      <c r="AKF183" s="456"/>
      <c r="AKG183" s="456"/>
      <c r="AKH183" s="456"/>
      <c r="AKI183" s="456"/>
      <c r="AKJ183" s="456"/>
      <c r="AKK183" s="456"/>
      <c r="AKL183" s="456"/>
      <c r="AKM183" s="456"/>
      <c r="AKN183" s="456"/>
      <c r="AKO183" s="456"/>
      <c r="AKP183" s="456"/>
      <c r="AKQ183" s="456"/>
      <c r="AKR183" s="456"/>
      <c r="AKS183" s="456"/>
      <c r="AKT183" s="456"/>
      <c r="AKU183" s="456"/>
      <c r="AKV183" s="456"/>
      <c r="AKW183" s="456"/>
      <c r="AKX183" s="456"/>
      <c r="AKY183" s="456"/>
      <c r="AKZ183" s="456"/>
      <c r="ALA183" s="456"/>
      <c r="ALB183" s="456"/>
      <c r="ALC183" s="456"/>
      <c r="ALD183" s="456"/>
      <c r="ALE183" s="456"/>
      <c r="ALF183" s="456"/>
      <c r="ALG183" s="456"/>
      <c r="ALH183" s="456"/>
      <c r="ALI183" s="456"/>
      <c r="ALJ183" s="456"/>
      <c r="ALK183" s="456"/>
      <c r="ALL183" s="456"/>
      <c r="ALM183" s="456"/>
      <c r="ALN183" s="456"/>
      <c r="ALO183" s="456"/>
      <c r="ALP183" s="456"/>
      <c r="ALQ183" s="456"/>
      <c r="ALR183" s="456"/>
      <c r="ALS183" s="456"/>
      <c r="ALT183" s="456"/>
      <c r="ALU183" s="456"/>
      <c r="ALV183" s="456"/>
      <c r="ALW183" s="456"/>
      <c r="ALX183" s="456"/>
      <c r="ALY183" s="456"/>
      <c r="ALZ183" s="456"/>
      <c r="AMA183" s="456"/>
      <c r="AMB183" s="456"/>
      <c r="AMC183" s="456"/>
      <c r="AMD183" s="456"/>
      <c r="AME183" s="456"/>
      <c r="AMF183" s="456"/>
      <c r="AMG183" s="456"/>
      <c r="AMH183" s="456"/>
      <c r="AMI183" s="456"/>
      <c r="AMJ183" s="456"/>
      <c r="AMK183" s="456"/>
      <c r="AML183" s="456"/>
      <c r="AMM183" s="456"/>
      <c r="AMN183" s="456"/>
      <c r="AMO183" s="456"/>
      <c r="AMP183" s="456"/>
      <c r="AMQ183" s="456"/>
      <c r="AMR183" s="456"/>
      <c r="AMS183" s="456"/>
      <c r="AMT183" s="456"/>
      <c r="AMU183" s="456"/>
      <c r="AMV183" s="456"/>
      <c r="AMW183" s="456"/>
      <c r="AMX183" s="456"/>
      <c r="AMY183" s="456"/>
      <c r="AMZ183" s="456"/>
      <c r="ANA183" s="456"/>
      <c r="ANB183" s="456"/>
      <c r="ANC183" s="456"/>
      <c r="AND183" s="456"/>
      <c r="ANE183" s="456"/>
      <c r="ANF183" s="456"/>
      <c r="ANG183" s="456"/>
      <c r="ANH183" s="456"/>
      <c r="ANI183" s="456"/>
      <c r="ANJ183" s="456"/>
      <c r="ANK183" s="456"/>
      <c r="ANL183" s="456"/>
      <c r="ANM183" s="456"/>
      <c r="ANN183" s="456"/>
      <c r="ANO183" s="456"/>
      <c r="ANP183" s="456"/>
      <c r="ANQ183" s="456"/>
      <c r="ANR183" s="456"/>
      <c r="ANS183" s="456"/>
      <c r="ANT183" s="456"/>
      <c r="ANU183" s="456"/>
      <c r="ANV183" s="456"/>
      <c r="ANW183" s="456"/>
      <c r="ANX183" s="456"/>
      <c r="ANY183" s="456"/>
      <c r="ANZ183" s="456"/>
      <c r="AOA183" s="456"/>
      <c r="AOB183" s="456"/>
      <c r="AOC183" s="456"/>
      <c r="AOD183" s="456"/>
      <c r="AOE183" s="456"/>
      <c r="AOF183" s="456"/>
      <c r="AOG183" s="456"/>
      <c r="AOH183" s="456"/>
      <c r="AOI183" s="456"/>
      <c r="AOJ183" s="456"/>
      <c r="AOK183" s="456"/>
      <c r="AOL183" s="456"/>
      <c r="AOM183" s="456"/>
      <c r="AON183" s="456"/>
      <c r="AOO183" s="456"/>
      <c r="AOP183" s="456"/>
      <c r="AOQ183" s="456"/>
      <c r="AOR183" s="456"/>
      <c r="AOS183" s="456"/>
      <c r="AOT183" s="456"/>
      <c r="AOU183" s="456"/>
      <c r="AOV183" s="456"/>
      <c r="AOW183" s="456"/>
      <c r="AOX183" s="456"/>
      <c r="AOY183" s="456"/>
      <c r="AOZ183" s="456"/>
      <c r="APA183" s="456"/>
      <c r="APB183" s="456"/>
      <c r="APC183" s="456"/>
      <c r="APD183" s="456"/>
      <c r="APE183" s="456"/>
      <c r="APF183" s="456"/>
      <c r="APG183" s="456"/>
      <c r="APH183" s="456"/>
      <c r="API183" s="456"/>
      <c r="APJ183" s="456"/>
      <c r="APK183" s="456"/>
      <c r="APL183" s="456"/>
      <c r="APM183" s="456"/>
      <c r="APN183" s="456"/>
      <c r="APO183" s="456"/>
      <c r="APP183" s="456"/>
      <c r="APQ183" s="456"/>
      <c r="APR183" s="456"/>
      <c r="APS183" s="456"/>
      <c r="APT183" s="456"/>
      <c r="APU183" s="456"/>
      <c r="APV183" s="456"/>
      <c r="APW183" s="456"/>
      <c r="APX183" s="456"/>
      <c r="APY183" s="456"/>
      <c r="APZ183" s="456"/>
      <c r="AQA183" s="456"/>
      <c r="AQB183" s="456"/>
      <c r="AQC183" s="456"/>
      <c r="AQD183" s="456"/>
      <c r="AQE183" s="456"/>
      <c r="AQF183" s="456"/>
      <c r="AQG183" s="456"/>
      <c r="AQH183" s="456"/>
      <c r="AQI183" s="456"/>
      <c r="AQJ183" s="456"/>
      <c r="AQK183" s="456"/>
      <c r="AQL183" s="456"/>
      <c r="AQM183" s="456"/>
      <c r="AQN183" s="456"/>
      <c r="AQO183" s="456"/>
      <c r="AQP183" s="456"/>
      <c r="AQQ183" s="456"/>
      <c r="AQR183" s="456"/>
      <c r="AQS183" s="456"/>
      <c r="AQT183" s="456"/>
      <c r="AQU183" s="456"/>
      <c r="AQV183" s="456"/>
      <c r="AQW183" s="456"/>
      <c r="AQX183" s="456"/>
      <c r="AQY183" s="456"/>
      <c r="AQZ183" s="456"/>
      <c r="ARA183" s="456"/>
      <c r="ARB183" s="456"/>
      <c r="ARC183" s="456"/>
      <c r="ARD183" s="456"/>
      <c r="ARE183" s="456"/>
      <c r="ARF183" s="456"/>
      <c r="ARG183" s="456"/>
      <c r="ARH183" s="456"/>
      <c r="ARI183" s="456"/>
      <c r="ARJ183" s="456"/>
      <c r="ARK183" s="456"/>
      <c r="ARL183" s="456"/>
      <c r="ARM183" s="456"/>
      <c r="ARN183" s="456"/>
      <c r="ARO183" s="456"/>
      <c r="ARP183" s="456"/>
      <c r="ARQ183" s="456"/>
      <c r="ARR183" s="456"/>
      <c r="ARS183" s="456"/>
      <c r="ART183" s="456"/>
      <c r="ARU183" s="456"/>
      <c r="ARV183" s="456"/>
      <c r="ARW183" s="456"/>
      <c r="ARX183" s="456"/>
      <c r="ARY183" s="456"/>
      <c r="ARZ183" s="456"/>
      <c r="ASA183" s="456"/>
      <c r="ASB183" s="456"/>
      <c r="ASC183" s="456"/>
      <c r="ASD183" s="456"/>
      <c r="ASE183" s="456"/>
      <c r="ASF183" s="456"/>
      <c r="ASG183" s="456"/>
      <c r="ASH183" s="456"/>
      <c r="ASI183" s="456"/>
      <c r="ASJ183" s="456"/>
      <c r="ASK183" s="456"/>
      <c r="ASL183" s="456"/>
      <c r="ASM183" s="456"/>
      <c r="ASN183" s="456"/>
      <c r="ASO183" s="456"/>
      <c r="ASP183" s="456"/>
      <c r="ASQ183" s="456"/>
      <c r="ASR183" s="456"/>
      <c r="ASS183" s="456"/>
      <c r="AST183" s="456"/>
      <c r="ASU183" s="456"/>
      <c r="ASV183" s="456"/>
      <c r="ASW183" s="456"/>
      <c r="ASX183" s="456"/>
      <c r="ASY183" s="456"/>
      <c r="ASZ183" s="456"/>
      <c r="ATA183" s="456"/>
      <c r="ATB183" s="456"/>
      <c r="ATC183" s="456"/>
      <c r="ATD183" s="456"/>
      <c r="ATE183" s="456"/>
      <c r="ATF183" s="456"/>
      <c r="ATG183" s="456"/>
      <c r="ATH183" s="456"/>
      <c r="ATI183" s="456"/>
      <c r="ATJ183" s="456"/>
      <c r="ATK183" s="456"/>
      <c r="ATL183" s="456"/>
      <c r="ATM183" s="456"/>
      <c r="ATN183" s="456"/>
      <c r="ATO183" s="456"/>
      <c r="ATP183" s="456"/>
      <c r="ATQ183" s="456"/>
      <c r="ATR183" s="456"/>
      <c r="ATS183" s="456"/>
      <c r="ATT183" s="456"/>
      <c r="ATU183" s="456"/>
      <c r="ATV183" s="456"/>
      <c r="ATW183" s="456"/>
      <c r="ATX183" s="456"/>
      <c r="ATY183" s="456"/>
      <c r="ATZ183" s="456"/>
      <c r="AUA183" s="456"/>
      <c r="AUB183" s="456"/>
      <c r="AUC183" s="456"/>
      <c r="AUD183" s="456"/>
      <c r="AUE183" s="456"/>
      <c r="AUF183" s="456"/>
      <c r="AUG183" s="456"/>
      <c r="AUH183" s="456"/>
      <c r="AUI183" s="456"/>
      <c r="AUJ183" s="456"/>
      <c r="AUK183" s="456"/>
      <c r="AUL183" s="456"/>
      <c r="AUM183" s="456"/>
      <c r="AUN183" s="456"/>
      <c r="AUO183" s="456"/>
      <c r="AUP183" s="456"/>
      <c r="AUQ183" s="456"/>
      <c r="AUR183" s="456"/>
      <c r="AUS183" s="456"/>
      <c r="AUT183" s="456"/>
      <c r="AUU183" s="456"/>
      <c r="AUV183" s="456"/>
      <c r="AUW183" s="456"/>
      <c r="AUX183" s="456"/>
      <c r="AUY183" s="456"/>
      <c r="AUZ183" s="456"/>
      <c r="AVA183" s="456"/>
      <c r="AVB183" s="456"/>
      <c r="AVC183" s="456"/>
      <c r="AVD183" s="456"/>
      <c r="AVE183" s="456"/>
      <c r="AVF183" s="456"/>
      <c r="AVG183" s="456"/>
      <c r="AVH183" s="456"/>
      <c r="AVI183" s="456"/>
      <c r="AVJ183" s="456"/>
      <c r="AVK183" s="456"/>
      <c r="AVL183" s="456"/>
      <c r="AVM183" s="456"/>
      <c r="AVN183" s="456"/>
      <c r="AVO183" s="456"/>
      <c r="AVP183" s="456"/>
      <c r="AVQ183" s="456"/>
      <c r="AVR183" s="456"/>
      <c r="AVS183" s="456"/>
      <c r="AVT183" s="456"/>
      <c r="AVU183" s="456"/>
      <c r="AVV183" s="456"/>
      <c r="AVW183" s="456"/>
      <c r="AVX183" s="456"/>
      <c r="AVY183" s="456"/>
      <c r="AVZ183" s="456"/>
      <c r="AWA183" s="456"/>
      <c r="AWB183" s="456"/>
      <c r="AWC183" s="456"/>
      <c r="AWD183" s="456"/>
      <c r="AWE183" s="456"/>
      <c r="AWF183" s="456"/>
      <c r="AWG183" s="456"/>
      <c r="AWH183" s="456"/>
      <c r="AWI183" s="456"/>
      <c r="AWJ183" s="456"/>
      <c r="AWK183" s="456"/>
      <c r="AWL183" s="456"/>
      <c r="AWM183" s="456"/>
      <c r="AWN183" s="456"/>
      <c r="AWO183" s="456"/>
      <c r="AWP183" s="456"/>
      <c r="AWQ183" s="456"/>
      <c r="AWR183" s="456"/>
      <c r="AWS183" s="456"/>
      <c r="AWT183" s="456"/>
      <c r="AWU183" s="456"/>
      <c r="AWV183" s="456"/>
      <c r="AWW183" s="456"/>
      <c r="AWX183" s="456"/>
      <c r="AWY183" s="456"/>
      <c r="AWZ183" s="456"/>
      <c r="AXA183" s="456"/>
      <c r="AXB183" s="456"/>
      <c r="AXC183" s="456"/>
      <c r="AXD183" s="456"/>
      <c r="AXE183" s="456"/>
      <c r="AXF183" s="456"/>
      <c r="AXG183" s="456"/>
      <c r="AXH183" s="456"/>
      <c r="AXI183" s="456"/>
      <c r="AXJ183" s="456"/>
      <c r="AXK183" s="456"/>
      <c r="AXL183" s="456"/>
      <c r="AXM183" s="456"/>
      <c r="AXN183" s="456"/>
      <c r="AXO183" s="456"/>
      <c r="AXP183" s="456"/>
      <c r="AXQ183" s="456"/>
      <c r="AXR183" s="456"/>
      <c r="AXS183" s="456"/>
      <c r="AXT183" s="456"/>
      <c r="AXU183" s="456"/>
      <c r="AXV183" s="456"/>
      <c r="AXW183" s="456"/>
      <c r="AXX183" s="456"/>
      <c r="AXY183" s="456"/>
      <c r="AXZ183" s="456"/>
      <c r="AYA183" s="456"/>
      <c r="AYB183" s="456"/>
      <c r="AYC183" s="456"/>
      <c r="AYD183" s="456"/>
      <c r="AYE183" s="456"/>
      <c r="AYF183" s="456"/>
      <c r="AYG183" s="456"/>
      <c r="AYH183" s="456"/>
      <c r="AYI183" s="456"/>
      <c r="AYJ183" s="456"/>
      <c r="AYK183" s="456"/>
      <c r="AYL183" s="456"/>
      <c r="AYM183" s="456"/>
      <c r="AYN183" s="456"/>
      <c r="AYO183" s="456"/>
      <c r="AYP183" s="456"/>
      <c r="AYQ183" s="456"/>
      <c r="AYR183" s="456"/>
      <c r="AYS183" s="456"/>
      <c r="AYT183" s="456"/>
      <c r="AYU183" s="456"/>
      <c r="AYV183" s="456"/>
      <c r="AYW183" s="456"/>
      <c r="AYX183" s="456"/>
      <c r="AYY183" s="456"/>
      <c r="AYZ183" s="456"/>
      <c r="AZA183" s="456"/>
      <c r="AZB183" s="456"/>
      <c r="AZC183" s="456"/>
      <c r="AZD183" s="456"/>
      <c r="AZE183" s="456"/>
      <c r="AZF183" s="456"/>
      <c r="AZG183" s="456"/>
      <c r="AZH183" s="456"/>
      <c r="AZI183" s="456"/>
      <c r="AZJ183" s="456"/>
      <c r="AZK183" s="456"/>
      <c r="AZL183" s="456"/>
      <c r="AZM183" s="456"/>
      <c r="AZN183" s="456"/>
      <c r="AZO183" s="456"/>
      <c r="AZP183" s="456"/>
      <c r="AZQ183" s="456"/>
      <c r="AZR183" s="456"/>
      <c r="AZS183" s="456"/>
      <c r="AZT183" s="456"/>
      <c r="AZU183" s="456"/>
      <c r="AZV183" s="456"/>
      <c r="AZW183" s="456"/>
      <c r="AZX183" s="456"/>
      <c r="AZY183" s="456"/>
      <c r="AZZ183" s="456"/>
      <c r="BAA183" s="456"/>
      <c r="BAB183" s="456"/>
      <c r="BAC183" s="456"/>
      <c r="BAD183" s="456"/>
      <c r="BAE183" s="456"/>
      <c r="BAF183" s="456"/>
      <c r="BAG183" s="456"/>
      <c r="BAH183" s="456"/>
      <c r="BAI183" s="456"/>
      <c r="BAJ183" s="456"/>
      <c r="BAK183" s="456"/>
      <c r="BAL183" s="456"/>
      <c r="BAM183" s="456"/>
      <c r="BAN183" s="456"/>
      <c r="BAO183" s="456"/>
      <c r="BAP183" s="456"/>
      <c r="BAQ183" s="456"/>
      <c r="BAR183" s="456"/>
      <c r="BAS183" s="456"/>
      <c r="BAT183" s="456"/>
      <c r="BAU183" s="456"/>
      <c r="BAV183" s="456"/>
      <c r="BAW183" s="456"/>
      <c r="BAX183" s="456"/>
      <c r="BAY183" s="456"/>
      <c r="BAZ183" s="456"/>
      <c r="BBA183" s="456"/>
      <c r="BBB183" s="456"/>
      <c r="BBC183" s="456"/>
      <c r="BBD183" s="456"/>
      <c r="BBE183" s="456"/>
      <c r="BBF183" s="456"/>
      <c r="BBG183" s="456"/>
      <c r="BBH183" s="456"/>
      <c r="BBI183" s="456"/>
      <c r="BBJ183" s="456"/>
      <c r="BBK183" s="456"/>
      <c r="BBL183" s="456"/>
      <c r="BBM183" s="456"/>
      <c r="BBN183" s="456"/>
      <c r="BBO183" s="456"/>
      <c r="BBP183" s="456"/>
      <c r="BBQ183" s="456"/>
      <c r="BBR183" s="456"/>
      <c r="BBS183" s="456"/>
      <c r="BBT183" s="456"/>
      <c r="BBU183" s="456"/>
      <c r="BBV183" s="456"/>
      <c r="BBW183" s="456"/>
      <c r="BBX183" s="456"/>
      <c r="BBY183" s="456"/>
      <c r="BBZ183" s="456"/>
      <c r="BCA183" s="456"/>
      <c r="BCB183" s="456"/>
      <c r="BCC183" s="456"/>
      <c r="BCD183" s="456"/>
      <c r="BCE183" s="456"/>
      <c r="BCF183" s="456"/>
      <c r="BCG183" s="456"/>
      <c r="BCH183" s="456"/>
      <c r="BCI183" s="456"/>
      <c r="BCJ183" s="456"/>
      <c r="BCK183" s="456"/>
      <c r="BCL183" s="456"/>
      <c r="BCM183" s="456"/>
      <c r="BCN183" s="456"/>
      <c r="BCO183" s="456"/>
      <c r="BCP183" s="456"/>
      <c r="BCQ183" s="456"/>
      <c r="BCR183" s="456"/>
      <c r="BCS183" s="456"/>
      <c r="BCT183" s="456"/>
      <c r="BCU183" s="456"/>
      <c r="BCV183" s="456"/>
      <c r="BCW183" s="456"/>
      <c r="BCX183" s="456"/>
      <c r="BCY183" s="456"/>
      <c r="BCZ183" s="456"/>
      <c r="BDA183" s="456"/>
      <c r="BDB183" s="456"/>
      <c r="BDC183" s="456"/>
      <c r="BDD183" s="456"/>
      <c r="BDE183" s="456"/>
      <c r="BDF183" s="456"/>
      <c r="BDG183" s="456"/>
      <c r="BDH183" s="456"/>
      <c r="BDI183" s="456"/>
      <c r="BDJ183" s="456"/>
      <c r="BDK183" s="456"/>
      <c r="BDL183" s="456"/>
      <c r="BDM183" s="456"/>
      <c r="BDN183" s="456"/>
      <c r="BDO183" s="456"/>
      <c r="BDP183" s="456"/>
      <c r="BDQ183" s="456"/>
      <c r="BDR183" s="456"/>
      <c r="BDS183" s="456"/>
      <c r="BDT183" s="456"/>
      <c r="BDU183" s="456"/>
      <c r="BDV183" s="456"/>
      <c r="BDW183" s="456"/>
      <c r="BDX183" s="456"/>
      <c r="BDY183" s="456"/>
      <c r="BDZ183" s="456"/>
      <c r="BEA183" s="456"/>
      <c r="BEB183" s="456"/>
      <c r="BEC183" s="456"/>
      <c r="BED183" s="456"/>
      <c r="BEE183" s="456"/>
      <c r="BEF183" s="456"/>
      <c r="BEG183" s="456"/>
      <c r="BEH183" s="456"/>
      <c r="BEI183" s="456"/>
      <c r="BEJ183" s="456"/>
      <c r="BEK183" s="456"/>
      <c r="BEL183" s="456"/>
      <c r="BEM183" s="456"/>
      <c r="BEN183" s="456"/>
      <c r="BEO183" s="456"/>
      <c r="BEP183" s="456"/>
      <c r="BEQ183" s="456"/>
      <c r="BER183" s="456"/>
      <c r="BES183" s="456"/>
      <c r="BET183" s="456"/>
      <c r="BEU183" s="456"/>
      <c r="BEV183" s="456"/>
      <c r="BEW183" s="456"/>
      <c r="BEX183" s="456"/>
      <c r="BEY183" s="456"/>
      <c r="BEZ183" s="456"/>
      <c r="BFA183" s="456"/>
      <c r="BFB183" s="456"/>
      <c r="BFC183" s="456"/>
      <c r="BFD183" s="456"/>
      <c r="BFE183" s="456"/>
      <c r="BFF183" s="456"/>
      <c r="BFG183" s="456"/>
      <c r="BFH183" s="456"/>
      <c r="BFI183" s="456"/>
      <c r="BFJ183" s="456"/>
      <c r="BFK183" s="456"/>
      <c r="BFL183" s="456"/>
      <c r="BFM183" s="456"/>
      <c r="BFN183" s="456"/>
      <c r="BFO183" s="456"/>
      <c r="BFP183" s="456"/>
      <c r="BFQ183" s="456"/>
      <c r="BFR183" s="456"/>
      <c r="BFS183" s="456"/>
      <c r="BFT183" s="456"/>
      <c r="BFU183" s="456"/>
      <c r="BFV183" s="456"/>
      <c r="BFW183" s="456"/>
      <c r="BFX183" s="456"/>
      <c r="BFY183" s="456"/>
      <c r="BFZ183" s="456"/>
      <c r="BGA183" s="456"/>
      <c r="BGB183" s="456"/>
      <c r="BGC183" s="456"/>
      <c r="BGD183" s="456"/>
      <c r="BGE183" s="456"/>
      <c r="BGF183" s="456"/>
      <c r="BGG183" s="456"/>
      <c r="BGH183" s="456"/>
      <c r="BGI183" s="456"/>
      <c r="BGJ183" s="456"/>
      <c r="BGK183" s="456"/>
      <c r="BGL183" s="456"/>
      <c r="BGM183" s="456"/>
      <c r="BGN183" s="456"/>
      <c r="BGO183" s="456"/>
      <c r="BGP183" s="456"/>
      <c r="BGQ183" s="456"/>
      <c r="BGR183" s="456"/>
      <c r="BGS183" s="456"/>
      <c r="BGT183" s="456"/>
      <c r="BGU183" s="456"/>
      <c r="BGV183" s="456"/>
      <c r="BGW183" s="456"/>
      <c r="BGX183" s="456"/>
      <c r="BGY183" s="456"/>
      <c r="BGZ183" s="456"/>
      <c r="BHA183" s="456"/>
      <c r="BHB183" s="456"/>
      <c r="BHC183" s="456"/>
      <c r="BHD183" s="456"/>
      <c r="BHE183" s="456"/>
      <c r="BHF183" s="456"/>
      <c r="BHG183" s="456"/>
      <c r="BHH183" s="456"/>
      <c r="BHI183" s="456"/>
      <c r="BHJ183" s="456"/>
      <c r="BHK183" s="456"/>
      <c r="BHL183" s="456"/>
      <c r="BHM183" s="456"/>
      <c r="BHN183" s="456"/>
      <c r="BHO183" s="456"/>
      <c r="BHP183" s="456"/>
      <c r="BHQ183" s="456"/>
      <c r="BHR183" s="456"/>
      <c r="BHS183" s="456"/>
      <c r="BHT183" s="456"/>
      <c r="BHU183" s="456"/>
      <c r="BHV183" s="456"/>
      <c r="BHW183" s="456"/>
      <c r="BHX183" s="456"/>
      <c r="BHY183" s="456"/>
      <c r="BHZ183" s="456"/>
      <c r="BIA183" s="456"/>
      <c r="BIB183" s="456"/>
      <c r="BIC183" s="456"/>
      <c r="BID183" s="456"/>
      <c r="BIE183" s="456"/>
      <c r="BIF183" s="456"/>
      <c r="BIG183" s="456"/>
      <c r="BIH183" s="456"/>
      <c r="BII183" s="456"/>
      <c r="BIJ183" s="456"/>
      <c r="BIK183" s="456"/>
      <c r="BIL183" s="456"/>
      <c r="BIM183" s="456"/>
      <c r="BIN183" s="456"/>
      <c r="BIO183" s="456"/>
      <c r="BIP183" s="456"/>
      <c r="BIQ183" s="456"/>
      <c r="BIR183" s="456"/>
      <c r="BIS183" s="456"/>
      <c r="BIT183" s="456"/>
      <c r="BIU183" s="456"/>
      <c r="BIV183" s="456"/>
      <c r="BIW183" s="456"/>
      <c r="BIX183" s="456"/>
      <c r="BIY183" s="456"/>
      <c r="BIZ183" s="456"/>
      <c r="BJA183" s="456"/>
      <c r="BJB183" s="456"/>
      <c r="BJC183" s="456"/>
      <c r="BJD183" s="456"/>
      <c r="BJE183" s="456"/>
      <c r="BJF183" s="456"/>
      <c r="BJG183" s="456"/>
      <c r="BJH183" s="456"/>
      <c r="BJI183" s="456"/>
      <c r="BJJ183" s="456"/>
      <c r="BJK183" s="456"/>
      <c r="BJL183" s="456"/>
      <c r="BJM183" s="456"/>
      <c r="BJN183" s="456"/>
      <c r="BJO183" s="456"/>
      <c r="BJP183" s="456"/>
      <c r="BJQ183" s="456"/>
      <c r="BJR183" s="456"/>
      <c r="BJS183" s="456"/>
      <c r="BJT183" s="456"/>
      <c r="BJU183" s="456"/>
      <c r="BJV183" s="456"/>
      <c r="BJW183" s="456"/>
      <c r="BJX183" s="456"/>
      <c r="BJY183" s="456"/>
      <c r="BJZ183" s="456"/>
      <c r="BKA183" s="456"/>
      <c r="BKB183" s="456"/>
      <c r="BKC183" s="456"/>
      <c r="BKD183" s="456"/>
      <c r="BKE183" s="456"/>
      <c r="BKF183" s="456"/>
      <c r="BKG183" s="456"/>
      <c r="BKH183" s="456"/>
      <c r="BKI183" s="456"/>
      <c r="BKJ183" s="456"/>
      <c r="BKK183" s="456"/>
      <c r="BKL183" s="456"/>
      <c r="BKM183" s="456"/>
      <c r="BKN183" s="456"/>
      <c r="BKO183" s="456"/>
      <c r="BKP183" s="456"/>
      <c r="BKQ183" s="456"/>
      <c r="BKR183" s="456"/>
      <c r="BKS183" s="456"/>
      <c r="BKT183" s="456"/>
      <c r="BKU183" s="456"/>
      <c r="BKV183" s="456"/>
      <c r="BKW183" s="456"/>
      <c r="BKX183" s="456"/>
      <c r="BKY183" s="456"/>
      <c r="BKZ183" s="456"/>
      <c r="BLA183" s="456"/>
      <c r="BLB183" s="456"/>
      <c r="BLC183" s="456"/>
      <c r="BLD183" s="456"/>
      <c r="BLE183" s="456"/>
      <c r="BLF183" s="456"/>
      <c r="BLG183" s="456"/>
      <c r="BLH183" s="456"/>
      <c r="BLI183" s="456"/>
      <c r="BLJ183" s="456"/>
      <c r="BLK183" s="456"/>
      <c r="BLL183" s="456"/>
      <c r="BLM183" s="456"/>
      <c r="BLN183" s="456"/>
      <c r="BLO183" s="456"/>
      <c r="BLP183" s="456"/>
      <c r="BLQ183" s="456"/>
      <c r="BLR183" s="456"/>
      <c r="BLS183" s="456"/>
      <c r="BLT183" s="456"/>
      <c r="BLU183" s="456"/>
      <c r="BLV183" s="456"/>
      <c r="BLW183" s="456"/>
      <c r="BLX183" s="456"/>
      <c r="BLY183" s="456"/>
      <c r="BLZ183" s="456"/>
      <c r="BMA183" s="456"/>
      <c r="BMB183" s="456"/>
      <c r="BMC183" s="456"/>
      <c r="BMD183" s="456"/>
      <c r="BME183" s="456"/>
      <c r="BMF183" s="456"/>
      <c r="BMG183" s="456"/>
      <c r="BMH183" s="456"/>
      <c r="BMI183" s="456"/>
      <c r="BMJ183" s="456"/>
      <c r="BMK183" s="456"/>
      <c r="BML183" s="456"/>
      <c r="BMM183" s="456"/>
      <c r="BMN183" s="456"/>
      <c r="BMO183" s="456"/>
      <c r="BMP183" s="456"/>
      <c r="BMQ183" s="456"/>
      <c r="BMR183" s="456"/>
      <c r="BMS183" s="456"/>
      <c r="BMT183" s="456"/>
      <c r="BMU183" s="456"/>
      <c r="BMV183" s="456"/>
      <c r="BMW183" s="456"/>
      <c r="BMX183" s="456"/>
      <c r="BMY183" s="456"/>
      <c r="BMZ183" s="456"/>
      <c r="BNA183" s="456"/>
      <c r="BNB183" s="456"/>
      <c r="BNC183" s="456"/>
      <c r="BND183" s="456"/>
      <c r="BNE183" s="456"/>
      <c r="BNF183" s="456"/>
      <c r="BNG183" s="456"/>
      <c r="BNH183" s="456"/>
      <c r="BNI183" s="456"/>
      <c r="BNJ183" s="456"/>
      <c r="BNK183" s="456"/>
      <c r="BNL183" s="456"/>
      <c r="BNM183" s="456"/>
      <c r="BNN183" s="456"/>
      <c r="BNO183" s="456"/>
      <c r="BNP183" s="456"/>
      <c r="BNQ183" s="456"/>
      <c r="BNR183" s="456"/>
      <c r="BNS183" s="456"/>
      <c r="BNT183" s="456"/>
      <c r="BNU183" s="456"/>
      <c r="BNV183" s="456"/>
      <c r="BNW183" s="456"/>
      <c r="BNX183" s="456"/>
      <c r="BNY183" s="456"/>
      <c r="BNZ183" s="456"/>
      <c r="BOA183" s="456"/>
      <c r="BOB183" s="456"/>
      <c r="BOC183" s="456"/>
      <c r="BOD183" s="456"/>
      <c r="BOE183" s="456"/>
      <c r="BOF183" s="456"/>
      <c r="BOG183" s="456"/>
      <c r="BOH183" s="456"/>
      <c r="BOI183" s="456"/>
      <c r="BOJ183" s="456"/>
      <c r="BOK183" s="456"/>
      <c r="BOL183" s="456"/>
      <c r="BOM183" s="456"/>
      <c r="BON183" s="456"/>
      <c r="BOO183" s="456"/>
      <c r="BOP183" s="456"/>
      <c r="BOQ183" s="456"/>
      <c r="BOR183" s="456"/>
      <c r="BOS183" s="456"/>
      <c r="BOT183" s="456"/>
      <c r="BOU183" s="456"/>
      <c r="BOV183" s="456"/>
      <c r="BOW183" s="456"/>
      <c r="BOX183" s="456"/>
      <c r="BOY183" s="456"/>
      <c r="BOZ183" s="456"/>
      <c r="BPA183" s="456"/>
      <c r="BPB183" s="456"/>
      <c r="BPC183" s="456"/>
      <c r="BPD183" s="456"/>
      <c r="BPE183" s="456"/>
      <c r="BPF183" s="456"/>
      <c r="BPG183" s="456"/>
      <c r="BPH183" s="456"/>
      <c r="BPI183" s="456"/>
      <c r="BPJ183" s="456"/>
      <c r="BPK183" s="456"/>
      <c r="BPL183" s="456"/>
      <c r="BPM183" s="456"/>
      <c r="BPN183" s="456"/>
      <c r="BPO183" s="456"/>
      <c r="BPP183" s="456"/>
      <c r="BPQ183" s="456"/>
      <c r="BPR183" s="456"/>
      <c r="BPS183" s="456"/>
      <c r="BPT183" s="456"/>
      <c r="BPU183" s="456"/>
      <c r="BPV183" s="456"/>
      <c r="BPW183" s="456"/>
      <c r="BPX183" s="456"/>
      <c r="BPY183" s="456"/>
      <c r="BPZ183" s="456"/>
      <c r="BQA183" s="456"/>
      <c r="BQB183" s="456"/>
      <c r="BQC183" s="456"/>
      <c r="BQD183" s="456"/>
      <c r="BQE183" s="456"/>
      <c r="BQF183" s="456"/>
      <c r="BQG183" s="456"/>
      <c r="BQH183" s="456"/>
      <c r="BQI183" s="456"/>
      <c r="BQJ183" s="456"/>
      <c r="BQK183" s="456"/>
      <c r="BQL183" s="456"/>
      <c r="BQM183" s="456"/>
      <c r="BQN183" s="456"/>
      <c r="BQO183" s="456"/>
      <c r="BQP183" s="456"/>
      <c r="BQQ183" s="456"/>
      <c r="BQR183" s="456"/>
      <c r="BQS183" s="456"/>
      <c r="BQT183" s="456"/>
      <c r="BQU183" s="456"/>
      <c r="BQV183" s="456"/>
      <c r="BQW183" s="456"/>
      <c r="BQX183" s="456"/>
      <c r="BQY183" s="456"/>
      <c r="BQZ183" s="456"/>
      <c r="BRA183" s="456"/>
      <c r="BRB183" s="456"/>
      <c r="BRC183" s="456"/>
      <c r="BRD183" s="456"/>
      <c r="BRE183" s="456"/>
      <c r="BRF183" s="456"/>
      <c r="BRG183" s="456"/>
      <c r="BRH183" s="456"/>
      <c r="BRI183" s="456"/>
      <c r="BRJ183" s="456"/>
      <c r="BRK183" s="456"/>
      <c r="BRL183" s="456"/>
      <c r="BRM183" s="456"/>
      <c r="BRN183" s="456"/>
      <c r="BRO183" s="456"/>
      <c r="BRP183" s="456"/>
      <c r="BRQ183" s="456"/>
      <c r="BRR183" s="456"/>
      <c r="BRS183" s="456"/>
      <c r="BRT183" s="456"/>
      <c r="BRU183" s="456"/>
      <c r="BRV183" s="456"/>
      <c r="BRW183" s="456"/>
      <c r="BRX183" s="456"/>
      <c r="BRY183" s="456"/>
      <c r="BRZ183" s="456"/>
      <c r="BSA183" s="456"/>
      <c r="BSB183" s="456"/>
      <c r="BSC183" s="456"/>
      <c r="BSD183" s="456"/>
      <c r="BSE183" s="456"/>
      <c r="BSF183" s="456"/>
      <c r="BSG183" s="456"/>
      <c r="BSH183" s="456"/>
      <c r="BSI183" s="456"/>
      <c r="BSJ183" s="456"/>
      <c r="BSK183" s="456"/>
      <c r="BSL183" s="456"/>
      <c r="BSM183" s="456"/>
      <c r="BSN183" s="456"/>
      <c r="BSO183" s="456"/>
      <c r="BSP183" s="456"/>
      <c r="BSQ183" s="456"/>
      <c r="BSR183" s="456"/>
      <c r="BSS183" s="456"/>
      <c r="BST183" s="456"/>
      <c r="BSU183" s="456"/>
      <c r="BSV183" s="456"/>
      <c r="BSW183" s="456"/>
      <c r="BSX183" s="456"/>
      <c r="BSY183" s="456"/>
      <c r="BSZ183" s="456"/>
      <c r="BTA183" s="456"/>
      <c r="BTB183" s="456"/>
      <c r="BTC183" s="456"/>
      <c r="BTD183" s="456"/>
      <c r="BTE183" s="456"/>
      <c r="BTF183" s="456"/>
      <c r="BTG183" s="456"/>
      <c r="BTH183" s="456"/>
      <c r="BTI183" s="456"/>
      <c r="BTJ183" s="456"/>
      <c r="BTK183" s="456"/>
      <c r="BTL183" s="456"/>
      <c r="BTM183" s="456"/>
      <c r="BTN183" s="456"/>
      <c r="BTO183" s="456"/>
      <c r="BTP183" s="456"/>
      <c r="BTQ183" s="456"/>
      <c r="BTR183" s="456"/>
      <c r="BTS183" s="456"/>
      <c r="BTT183" s="456"/>
      <c r="BTU183" s="456"/>
      <c r="BTV183" s="456"/>
      <c r="BTW183" s="456"/>
      <c r="BTX183" s="456"/>
      <c r="BTY183" s="456"/>
      <c r="BTZ183" s="456"/>
      <c r="BUA183" s="456"/>
      <c r="BUB183" s="456"/>
      <c r="BUC183" s="456"/>
      <c r="BUD183" s="456"/>
      <c r="BUE183" s="456"/>
      <c r="BUF183" s="456"/>
      <c r="BUG183" s="456"/>
      <c r="BUH183" s="456"/>
      <c r="BUI183" s="456"/>
      <c r="BUJ183" s="456"/>
      <c r="BUK183" s="456"/>
      <c r="BUL183" s="456"/>
      <c r="BUM183" s="456"/>
      <c r="BUN183" s="456"/>
      <c r="BUO183" s="456"/>
      <c r="BUP183" s="456"/>
      <c r="BUQ183" s="456"/>
      <c r="BUR183" s="456"/>
      <c r="BUS183" s="456"/>
      <c r="BUT183" s="456"/>
      <c r="BUU183" s="456"/>
      <c r="BUV183" s="456"/>
      <c r="BUW183" s="456"/>
      <c r="BUX183" s="456"/>
      <c r="BUY183" s="456"/>
      <c r="BUZ183" s="456"/>
      <c r="BVA183" s="456"/>
      <c r="BVB183" s="456"/>
      <c r="BVC183" s="456"/>
      <c r="BVD183" s="456"/>
      <c r="BVE183" s="456"/>
      <c r="BVF183" s="456"/>
      <c r="BVG183" s="456"/>
      <c r="BVH183" s="456"/>
      <c r="BVI183" s="456"/>
      <c r="BVJ183" s="456"/>
      <c r="BVK183" s="456"/>
      <c r="BVL183" s="456"/>
      <c r="BVM183" s="456"/>
      <c r="BVN183" s="456"/>
      <c r="BVO183" s="456"/>
      <c r="BVP183" s="456"/>
      <c r="BVQ183" s="456"/>
      <c r="BVR183" s="456"/>
      <c r="BVS183" s="456"/>
      <c r="BVT183" s="456"/>
      <c r="BVU183" s="456"/>
      <c r="BVV183" s="456"/>
      <c r="BVW183" s="456"/>
      <c r="BVX183" s="456"/>
      <c r="BVY183" s="456"/>
      <c r="BVZ183" s="456"/>
      <c r="BWA183" s="456"/>
      <c r="BWB183" s="456"/>
      <c r="BWC183" s="456"/>
      <c r="BWD183" s="456"/>
      <c r="BWE183" s="456"/>
      <c r="BWF183" s="456"/>
      <c r="BWG183" s="456"/>
      <c r="BWH183" s="456"/>
      <c r="BWI183" s="456"/>
      <c r="BWJ183" s="456"/>
      <c r="BWK183" s="456"/>
      <c r="BWL183" s="456"/>
      <c r="BWM183" s="456"/>
      <c r="BWN183" s="456"/>
      <c r="BWO183" s="456"/>
      <c r="BWP183" s="456"/>
      <c r="BWQ183" s="456"/>
      <c r="BWR183" s="456"/>
      <c r="BWS183" s="456"/>
      <c r="BWT183" s="456"/>
      <c r="BWU183" s="456"/>
      <c r="BWV183" s="456"/>
      <c r="BWW183" s="456"/>
      <c r="BWX183" s="456"/>
      <c r="BWY183" s="456"/>
      <c r="BWZ183" s="456"/>
      <c r="BXA183" s="456"/>
      <c r="BXB183" s="456"/>
      <c r="BXC183" s="456"/>
      <c r="BXD183" s="456"/>
      <c r="BXE183" s="456"/>
      <c r="BXF183" s="456"/>
      <c r="BXG183" s="456"/>
      <c r="BXH183" s="456"/>
      <c r="BXI183" s="456"/>
      <c r="BXJ183" s="456"/>
      <c r="BXK183" s="456"/>
      <c r="BXL183" s="456"/>
      <c r="BXM183" s="456"/>
      <c r="BXN183" s="456"/>
      <c r="BXO183" s="456"/>
      <c r="BXP183" s="456"/>
      <c r="BXQ183" s="456"/>
      <c r="BXR183" s="456"/>
      <c r="BXS183" s="456"/>
      <c r="BXT183" s="456"/>
      <c r="BXU183" s="456"/>
      <c r="BXV183" s="456"/>
      <c r="BXW183" s="456"/>
      <c r="BXX183" s="456"/>
      <c r="BXY183" s="456"/>
      <c r="BXZ183" s="456"/>
    </row>
    <row r="184" s="25" customFormat="1" spans="1:1024 1025:2002">
      <c r="A184" s="473"/>
      <c r="B184" s="19">
        <v>1135</v>
      </c>
      <c r="C184" s="183">
        <v>46227</v>
      </c>
      <c r="D184" s="17" t="s">
        <v>35</v>
      </c>
      <c r="E184" s="17" t="s">
        <v>71</v>
      </c>
      <c r="F184" s="17" t="s">
        <v>54</v>
      </c>
      <c r="G184" s="17"/>
      <c r="H184" s="124">
        <v>1.208</v>
      </c>
      <c r="I184" s="124"/>
      <c r="J184" s="17" t="s">
        <v>82</v>
      </c>
      <c r="K184" s="91">
        <v>250</v>
      </c>
      <c r="L184" s="168">
        <v>32</v>
      </c>
      <c r="M184" s="19">
        <v>5800</v>
      </c>
      <c r="N184" s="19" t="s">
        <v>40</v>
      </c>
      <c r="O184" s="19" t="s">
        <v>67</v>
      </c>
      <c r="P184" s="19">
        <v>7500</v>
      </c>
      <c r="Q184" s="19">
        <v>7115</v>
      </c>
      <c r="R184" s="19">
        <f t="shared" si="12"/>
        <v>385</v>
      </c>
      <c r="S184" s="19">
        <v>1300</v>
      </c>
      <c r="T184" s="19" t="s">
        <v>42</v>
      </c>
      <c r="U184" s="102" t="s">
        <v>127</v>
      </c>
      <c r="V184" s="186">
        <v>46224</v>
      </c>
      <c r="W184" s="17" t="s">
        <v>44</v>
      </c>
      <c r="X184" s="17"/>
      <c r="Y184" s="68">
        <v>46266</v>
      </c>
      <c r="Z184" s="17" t="s">
        <v>45</v>
      </c>
      <c r="AA184" s="17" t="s">
        <v>46</v>
      </c>
      <c r="AB184" s="17"/>
      <c r="AC184" s="102"/>
      <c r="AD184" s="65">
        <v>1864</v>
      </c>
      <c r="AE184" s="17" t="s">
        <v>48</v>
      </c>
      <c r="AF184" s="17"/>
      <c r="AG184" s="17"/>
      <c r="AH184" s="456"/>
      <c r="AI184" s="456"/>
      <c r="AJ184" s="456"/>
      <c r="AK184" s="456"/>
      <c r="AL184" s="456"/>
      <c r="AM184" s="456"/>
      <c r="AN184" s="456"/>
      <c r="AO184" s="456"/>
      <c r="AP184" s="456"/>
      <c r="AQ184" s="456"/>
      <c r="AR184" s="456"/>
      <c r="AS184" s="456"/>
      <c r="AT184" s="456"/>
      <c r="AU184" s="456"/>
      <c r="AV184" s="456"/>
      <c r="AW184" s="456"/>
      <c r="AX184" s="456"/>
      <c r="AY184" s="456"/>
      <c r="AZ184" s="456"/>
      <c r="BA184" s="456"/>
      <c r="BB184" s="456"/>
      <c r="BC184" s="456"/>
      <c r="BD184" s="456"/>
      <c r="BE184" s="456"/>
      <c r="BF184" s="456"/>
      <c r="BG184" s="456"/>
      <c r="BH184" s="456"/>
      <c r="BI184" s="456"/>
      <c r="BJ184" s="456"/>
      <c r="BK184" s="456"/>
      <c r="BL184" s="456"/>
      <c r="BM184" s="456"/>
      <c r="BN184" s="456"/>
      <c r="BO184" s="456"/>
      <c r="BP184" s="456"/>
      <c r="BQ184" s="456"/>
      <c r="BR184" s="456"/>
      <c r="BS184" s="456"/>
      <c r="BT184" s="456"/>
      <c r="BU184" s="456"/>
      <c r="BV184" s="456"/>
      <c r="BW184" s="456"/>
      <c r="BX184" s="456"/>
      <c r="BY184" s="456"/>
      <c r="BZ184" s="456"/>
      <c r="CA184" s="456"/>
      <c r="CB184" s="456"/>
      <c r="CC184" s="456"/>
      <c r="CD184" s="456"/>
      <c r="CE184" s="456"/>
      <c r="CF184" s="456"/>
      <c r="CG184" s="456"/>
      <c r="CH184" s="456"/>
      <c r="CI184" s="456"/>
      <c r="CJ184" s="456"/>
      <c r="CK184" s="456"/>
      <c r="CL184" s="456"/>
      <c r="CM184" s="456"/>
      <c r="CN184" s="456"/>
      <c r="CO184" s="456"/>
      <c r="CP184" s="456"/>
      <c r="CQ184" s="456"/>
      <c r="CR184" s="456"/>
      <c r="CS184" s="456"/>
      <c r="CT184" s="456"/>
      <c r="CU184" s="456"/>
      <c r="CV184" s="456"/>
      <c r="CW184" s="456"/>
      <c r="CX184" s="456"/>
      <c r="CY184" s="456"/>
      <c r="CZ184" s="456"/>
      <c r="DA184" s="456"/>
      <c r="DB184" s="456"/>
      <c r="DC184" s="456"/>
      <c r="DD184" s="456"/>
      <c r="DE184" s="456"/>
      <c r="DF184" s="456"/>
      <c r="DG184" s="456"/>
      <c r="DH184" s="456"/>
      <c r="DI184" s="456"/>
      <c r="DJ184" s="456"/>
      <c r="DK184" s="456"/>
      <c r="DL184" s="456"/>
      <c r="DM184" s="456"/>
      <c r="DN184" s="456"/>
      <c r="DO184" s="456"/>
      <c r="DP184" s="456"/>
      <c r="DQ184" s="456"/>
      <c r="DR184" s="456"/>
      <c r="DS184" s="456"/>
      <c r="DT184" s="456"/>
      <c r="DU184" s="456"/>
      <c r="DV184" s="456"/>
      <c r="DW184" s="456"/>
      <c r="DX184" s="456"/>
      <c r="DY184" s="456"/>
      <c r="DZ184" s="456"/>
      <c r="EA184" s="456"/>
      <c r="EB184" s="456"/>
      <c r="EC184" s="456"/>
      <c r="ED184" s="456"/>
      <c r="EE184" s="456"/>
      <c r="EF184" s="456"/>
      <c r="EG184" s="456"/>
      <c r="EH184" s="456"/>
      <c r="EI184" s="456"/>
      <c r="EJ184" s="456"/>
      <c r="EK184" s="456"/>
      <c r="EL184" s="456"/>
      <c r="EM184" s="456"/>
      <c r="EN184" s="456"/>
      <c r="EO184" s="456"/>
      <c r="EP184" s="456"/>
      <c r="EQ184" s="456"/>
      <c r="ER184" s="456"/>
      <c r="ES184" s="456"/>
      <c r="ET184" s="456"/>
      <c r="EU184" s="456"/>
      <c r="EV184" s="456"/>
      <c r="EW184" s="456"/>
      <c r="EX184" s="456"/>
      <c r="EY184" s="456"/>
      <c r="EZ184" s="456"/>
      <c r="FA184" s="456"/>
      <c r="FB184" s="456"/>
      <c r="FC184" s="456"/>
      <c r="FD184" s="456"/>
      <c r="FE184" s="456"/>
      <c r="FF184" s="456"/>
      <c r="FG184" s="456"/>
      <c r="FH184" s="456"/>
      <c r="FI184" s="456"/>
      <c r="FJ184" s="456"/>
      <c r="FK184" s="456"/>
      <c r="FL184" s="456"/>
      <c r="FM184" s="456"/>
      <c r="FN184" s="456"/>
      <c r="FO184" s="456"/>
      <c r="FP184" s="456"/>
      <c r="FQ184" s="456"/>
      <c r="FR184" s="456"/>
      <c r="FS184" s="456"/>
      <c r="FT184" s="456"/>
      <c r="FU184" s="456"/>
      <c r="FV184" s="456"/>
      <c r="FW184" s="456"/>
      <c r="FX184" s="456"/>
      <c r="FY184" s="456"/>
      <c r="FZ184" s="456"/>
      <c r="GA184" s="456"/>
      <c r="GB184" s="456"/>
      <c r="GC184" s="456"/>
      <c r="GD184" s="456"/>
      <c r="GE184" s="456"/>
      <c r="GF184" s="456"/>
      <c r="GG184" s="456"/>
      <c r="GH184" s="456"/>
      <c r="GI184" s="456"/>
      <c r="GJ184" s="456"/>
      <c r="GK184" s="456"/>
      <c r="GL184" s="456"/>
      <c r="GM184" s="456"/>
      <c r="GN184" s="456"/>
      <c r="GO184" s="456"/>
      <c r="GP184" s="456"/>
      <c r="GQ184" s="456"/>
      <c r="GR184" s="456"/>
      <c r="GS184" s="456"/>
      <c r="GT184" s="456"/>
      <c r="GU184" s="456"/>
      <c r="GV184" s="456"/>
      <c r="GW184" s="456"/>
      <c r="GX184" s="456"/>
      <c r="GY184" s="456"/>
      <c r="GZ184" s="456"/>
      <c r="HA184" s="456"/>
      <c r="HB184" s="456"/>
      <c r="HC184" s="456"/>
      <c r="HD184" s="456"/>
      <c r="HE184" s="456"/>
      <c r="HF184" s="456"/>
      <c r="HG184" s="456"/>
      <c r="HH184" s="456"/>
      <c r="HI184" s="456"/>
      <c r="HJ184" s="456"/>
      <c r="HK184" s="456"/>
      <c r="HL184" s="456"/>
      <c r="HM184" s="456"/>
      <c r="HN184" s="456"/>
      <c r="HO184" s="456"/>
      <c r="HP184" s="456"/>
      <c r="HQ184" s="456"/>
      <c r="HR184" s="456"/>
      <c r="HS184" s="456"/>
      <c r="HT184" s="456"/>
      <c r="HU184" s="456"/>
      <c r="HV184" s="456"/>
      <c r="HW184" s="456"/>
      <c r="HX184" s="456"/>
      <c r="HY184" s="456"/>
      <c r="HZ184" s="456"/>
      <c r="IA184" s="456"/>
      <c r="IB184" s="456"/>
      <c r="IC184" s="456"/>
      <c r="ID184" s="456"/>
      <c r="IE184" s="456"/>
      <c r="IF184" s="456"/>
      <c r="IG184" s="456"/>
      <c r="IH184" s="456"/>
      <c r="II184" s="456"/>
      <c r="IJ184" s="456"/>
      <c r="IK184" s="456"/>
      <c r="IL184" s="456"/>
      <c r="IM184" s="456"/>
      <c r="IN184" s="456"/>
      <c r="IO184" s="456"/>
      <c r="IP184" s="456"/>
      <c r="IQ184" s="456"/>
      <c r="IR184" s="456"/>
      <c r="IS184" s="456"/>
      <c r="IT184" s="456"/>
      <c r="IU184" s="456"/>
      <c r="IV184" s="456"/>
      <c r="IW184" s="456"/>
      <c r="IX184" s="456"/>
      <c r="IY184" s="456"/>
      <c r="IZ184" s="456"/>
      <c r="JA184" s="456"/>
      <c r="JB184" s="456"/>
      <c r="JC184" s="456"/>
      <c r="JD184" s="456"/>
      <c r="JE184" s="456"/>
      <c r="JF184" s="456"/>
      <c r="JG184" s="456"/>
      <c r="JH184" s="456"/>
      <c r="JI184" s="456"/>
      <c r="JJ184" s="456"/>
      <c r="JK184" s="456"/>
      <c r="JL184" s="456"/>
      <c r="JM184" s="456"/>
      <c r="JN184" s="456"/>
      <c r="JO184" s="456"/>
      <c r="JP184" s="456"/>
      <c r="JQ184" s="456"/>
      <c r="JR184" s="456"/>
      <c r="JS184" s="456"/>
      <c r="JT184" s="456"/>
      <c r="JU184" s="456"/>
      <c r="JV184" s="456"/>
      <c r="JW184" s="456"/>
      <c r="JX184" s="456"/>
      <c r="JY184" s="456"/>
      <c r="JZ184" s="456"/>
      <c r="KA184" s="456"/>
      <c r="KB184" s="456"/>
      <c r="KC184" s="456"/>
      <c r="KD184" s="456"/>
      <c r="KE184" s="456"/>
      <c r="KF184" s="456"/>
      <c r="KG184" s="456"/>
      <c r="KH184" s="456"/>
      <c r="KI184" s="456"/>
      <c r="KJ184" s="456"/>
      <c r="KK184" s="456"/>
      <c r="KL184" s="456"/>
      <c r="KM184" s="456"/>
      <c r="KN184" s="456"/>
      <c r="KO184" s="456"/>
      <c r="KP184" s="456"/>
      <c r="KQ184" s="456"/>
      <c r="KR184" s="456"/>
      <c r="KS184" s="456"/>
      <c r="KT184" s="456"/>
      <c r="KU184" s="456"/>
      <c r="KV184" s="456"/>
      <c r="KW184" s="456"/>
      <c r="KX184" s="456"/>
      <c r="KY184" s="456"/>
      <c r="KZ184" s="456"/>
      <c r="LA184" s="456"/>
      <c r="LB184" s="456"/>
      <c r="LC184" s="456"/>
      <c r="LD184" s="456"/>
      <c r="LE184" s="456"/>
      <c r="LF184" s="456"/>
      <c r="LG184" s="456"/>
      <c r="LH184" s="456"/>
      <c r="LI184" s="456"/>
      <c r="LJ184" s="456"/>
      <c r="LK184" s="456"/>
      <c r="LL184" s="456"/>
      <c r="LM184" s="456"/>
      <c r="LN184" s="456"/>
      <c r="LO184" s="456"/>
      <c r="LP184" s="456"/>
      <c r="LQ184" s="456"/>
      <c r="LR184" s="456"/>
      <c r="LS184" s="456"/>
      <c r="LT184" s="456"/>
      <c r="LU184" s="456"/>
      <c r="LV184" s="456"/>
      <c r="LW184" s="456"/>
      <c r="LX184" s="456"/>
      <c r="LY184" s="456"/>
      <c r="LZ184" s="456"/>
      <c r="MA184" s="456"/>
      <c r="MB184" s="456"/>
      <c r="MC184" s="456"/>
      <c r="MD184" s="456"/>
      <c r="ME184" s="456"/>
      <c r="MF184" s="456"/>
      <c r="MG184" s="456"/>
      <c r="MH184" s="456"/>
      <c r="MI184" s="456"/>
      <c r="MJ184" s="456"/>
      <c r="MK184" s="456"/>
      <c r="ML184" s="456"/>
      <c r="MM184" s="456"/>
      <c r="MN184" s="456"/>
      <c r="MO184" s="456"/>
      <c r="MP184" s="456"/>
      <c r="MQ184" s="456"/>
      <c r="MR184" s="456"/>
      <c r="MS184" s="456"/>
      <c r="MT184" s="456"/>
      <c r="MU184" s="456"/>
      <c r="MV184" s="456"/>
      <c r="MW184" s="456"/>
      <c r="MX184" s="456"/>
      <c r="MY184" s="456"/>
      <c r="MZ184" s="456"/>
      <c r="NA184" s="456"/>
      <c r="NB184" s="456"/>
      <c r="NC184" s="456"/>
      <c r="ND184" s="456"/>
      <c r="NE184" s="456"/>
      <c r="NF184" s="456"/>
      <c r="NG184" s="456"/>
      <c r="NH184" s="456"/>
      <c r="NI184" s="456"/>
      <c r="NJ184" s="456"/>
      <c r="NK184" s="456"/>
      <c r="NL184" s="456"/>
      <c r="NM184" s="456"/>
      <c r="NN184" s="456"/>
      <c r="NO184" s="456"/>
      <c r="NP184" s="456"/>
      <c r="NQ184" s="456"/>
      <c r="NR184" s="456"/>
      <c r="NS184" s="456"/>
      <c r="NT184" s="456"/>
      <c r="NU184" s="456"/>
      <c r="NV184" s="456"/>
      <c r="NW184" s="456"/>
      <c r="NX184" s="456"/>
      <c r="NY184" s="456"/>
      <c r="NZ184" s="456"/>
      <c r="OA184" s="456"/>
      <c r="OB184" s="456"/>
      <c r="OC184" s="456"/>
      <c r="OD184" s="456"/>
      <c r="OE184" s="456"/>
      <c r="OF184" s="456"/>
      <c r="OG184" s="456"/>
      <c r="OH184" s="456"/>
      <c r="OI184" s="456"/>
      <c r="OJ184" s="456"/>
      <c r="OK184" s="456"/>
      <c r="OL184" s="456"/>
      <c r="OM184" s="456"/>
      <c r="ON184" s="456"/>
      <c r="OO184" s="456"/>
      <c r="OP184" s="456"/>
      <c r="OQ184" s="456"/>
      <c r="OR184" s="456"/>
      <c r="OS184" s="456"/>
      <c r="OT184" s="456"/>
      <c r="OU184" s="456"/>
      <c r="OV184" s="456"/>
      <c r="OW184" s="456"/>
      <c r="OX184" s="456"/>
      <c r="OY184" s="456"/>
      <c r="OZ184" s="456"/>
      <c r="PA184" s="456"/>
      <c r="PB184" s="456"/>
      <c r="PC184" s="456"/>
      <c r="PD184" s="456"/>
      <c r="PE184" s="456"/>
      <c r="PF184" s="456"/>
      <c r="PG184" s="456"/>
      <c r="PH184" s="456"/>
      <c r="PI184" s="456"/>
      <c r="PJ184" s="456"/>
      <c r="PK184" s="456"/>
      <c r="PL184" s="456"/>
      <c r="PM184" s="456"/>
      <c r="PN184" s="456"/>
      <c r="PO184" s="456"/>
      <c r="PP184" s="456"/>
      <c r="PQ184" s="456"/>
      <c r="PR184" s="456"/>
      <c r="PS184" s="456"/>
      <c r="PT184" s="456"/>
      <c r="PU184" s="456"/>
      <c r="PV184" s="456"/>
      <c r="PW184" s="456"/>
      <c r="PX184" s="456"/>
      <c r="PY184" s="456"/>
      <c r="PZ184" s="456"/>
      <c r="QA184" s="456"/>
      <c r="QB184" s="456"/>
      <c r="QC184" s="456"/>
      <c r="QD184" s="456"/>
      <c r="QE184" s="456"/>
      <c r="QF184" s="456"/>
      <c r="QG184" s="456"/>
      <c r="QH184" s="456"/>
      <c r="QI184" s="456"/>
      <c r="QJ184" s="456"/>
      <c r="QK184" s="456"/>
      <c r="QL184" s="456"/>
      <c r="QM184" s="456"/>
      <c r="QN184" s="456"/>
      <c r="QO184" s="456"/>
      <c r="QP184" s="456"/>
      <c r="QQ184" s="456"/>
      <c r="QR184" s="456"/>
      <c r="QS184" s="456"/>
      <c r="QT184" s="456"/>
      <c r="QU184" s="456"/>
      <c r="QV184" s="456"/>
      <c r="QW184" s="456"/>
      <c r="QX184" s="456"/>
      <c r="QY184" s="456"/>
      <c r="QZ184" s="456"/>
      <c r="RA184" s="456"/>
      <c r="RB184" s="456"/>
      <c r="RC184" s="456"/>
      <c r="RD184" s="456"/>
      <c r="RE184" s="456"/>
      <c r="RF184" s="456"/>
      <c r="RG184" s="456"/>
      <c r="RH184" s="456"/>
      <c r="RI184" s="456"/>
      <c r="RJ184" s="456"/>
      <c r="RK184" s="456"/>
      <c r="RL184" s="456"/>
      <c r="RM184" s="456"/>
      <c r="RN184" s="456"/>
      <c r="RO184" s="456"/>
      <c r="RP184" s="456"/>
      <c r="RQ184" s="456"/>
      <c r="RR184" s="456"/>
      <c r="RS184" s="456"/>
      <c r="RT184" s="456"/>
      <c r="RU184" s="456"/>
      <c r="RV184" s="456"/>
      <c r="RW184" s="456"/>
      <c r="RX184" s="456"/>
      <c r="RY184" s="456"/>
      <c r="RZ184" s="456"/>
      <c r="SA184" s="456"/>
      <c r="SB184" s="456"/>
      <c r="SC184" s="456"/>
      <c r="SD184" s="456"/>
      <c r="SE184" s="456"/>
      <c r="SF184" s="456"/>
      <c r="SG184" s="456"/>
      <c r="SH184" s="456"/>
      <c r="SI184" s="456"/>
      <c r="SJ184" s="456"/>
      <c r="SK184" s="456"/>
      <c r="SL184" s="456"/>
      <c r="SM184" s="456"/>
      <c r="SN184" s="456"/>
      <c r="SO184" s="456"/>
      <c r="SP184" s="456"/>
      <c r="SQ184" s="456"/>
      <c r="SR184" s="456"/>
      <c r="SS184" s="456"/>
      <c r="ST184" s="456"/>
      <c r="SU184" s="456"/>
      <c r="SV184" s="456"/>
      <c r="SW184" s="456"/>
      <c r="SX184" s="456"/>
      <c r="SY184" s="456"/>
      <c r="SZ184" s="456"/>
      <c r="TA184" s="456"/>
      <c r="TB184" s="456"/>
      <c r="TC184" s="456"/>
      <c r="TD184" s="456"/>
      <c r="TE184" s="456"/>
      <c r="TF184" s="456"/>
      <c r="TG184" s="456"/>
      <c r="TH184" s="456"/>
      <c r="TI184" s="456"/>
      <c r="TJ184" s="456"/>
      <c r="TK184" s="456"/>
      <c r="TL184" s="456"/>
      <c r="TM184" s="456"/>
      <c r="TN184" s="456"/>
      <c r="TO184" s="456"/>
      <c r="TP184" s="456"/>
      <c r="TQ184" s="456"/>
      <c r="TR184" s="456"/>
      <c r="TS184" s="456"/>
      <c r="TT184" s="456"/>
      <c r="TU184" s="456"/>
      <c r="TV184" s="456"/>
      <c r="TW184" s="456"/>
      <c r="TX184" s="456"/>
      <c r="TY184" s="456"/>
      <c r="TZ184" s="456"/>
      <c r="UA184" s="456"/>
      <c r="UB184" s="456"/>
      <c r="UC184" s="456"/>
      <c r="UD184" s="456"/>
      <c r="UE184" s="456"/>
      <c r="UF184" s="456"/>
      <c r="UG184" s="456"/>
      <c r="UH184" s="456"/>
      <c r="UI184" s="456"/>
      <c r="UJ184" s="456"/>
      <c r="UK184" s="456"/>
      <c r="UL184" s="456"/>
      <c r="UM184" s="456"/>
      <c r="UN184" s="456"/>
      <c r="UO184" s="456"/>
      <c r="UP184" s="456"/>
      <c r="UQ184" s="456"/>
      <c r="UR184" s="456"/>
      <c r="US184" s="456"/>
      <c r="UT184" s="456"/>
      <c r="UU184" s="456"/>
      <c r="UV184" s="456"/>
      <c r="UW184" s="456"/>
      <c r="UX184" s="456"/>
      <c r="UY184" s="456"/>
      <c r="UZ184" s="456"/>
      <c r="VA184" s="456"/>
      <c r="VB184" s="456"/>
      <c r="VC184" s="456"/>
      <c r="VD184" s="456"/>
      <c r="VE184" s="456"/>
      <c r="VF184" s="456"/>
      <c r="VG184" s="456"/>
      <c r="VH184" s="456"/>
      <c r="VI184" s="456"/>
      <c r="VJ184" s="456"/>
      <c r="VK184" s="456"/>
      <c r="VL184" s="456"/>
      <c r="VM184" s="456"/>
      <c r="VN184" s="456"/>
      <c r="VO184" s="456"/>
      <c r="VP184" s="456"/>
      <c r="VQ184" s="456"/>
      <c r="VR184" s="456"/>
      <c r="VS184" s="456"/>
      <c r="VT184" s="456"/>
      <c r="VU184" s="456"/>
      <c r="VV184" s="456"/>
      <c r="VW184" s="456"/>
      <c r="VX184" s="456"/>
      <c r="VY184" s="456"/>
      <c r="VZ184" s="456"/>
      <c r="WA184" s="456"/>
      <c r="WB184" s="456"/>
      <c r="WC184" s="456"/>
      <c r="WD184" s="456"/>
      <c r="WE184" s="456"/>
      <c r="WF184" s="456"/>
      <c r="WG184" s="456"/>
      <c r="WH184" s="456"/>
      <c r="WI184" s="456"/>
      <c r="WJ184" s="456"/>
      <c r="WK184" s="456"/>
      <c r="WL184" s="456"/>
      <c r="WM184" s="456"/>
      <c r="WN184" s="456"/>
      <c r="WO184" s="456"/>
      <c r="WP184" s="456"/>
      <c r="WQ184" s="456"/>
      <c r="WR184" s="456"/>
      <c r="WS184" s="456"/>
      <c r="WT184" s="456"/>
      <c r="WU184" s="456"/>
      <c r="WV184" s="456"/>
      <c r="WW184" s="456"/>
      <c r="WX184" s="456"/>
      <c r="WY184" s="456"/>
      <c r="WZ184" s="456"/>
      <c r="XA184" s="456"/>
      <c r="XB184" s="456"/>
      <c r="XC184" s="456"/>
      <c r="XD184" s="456"/>
      <c r="XE184" s="456"/>
      <c r="XF184" s="456"/>
      <c r="XG184" s="456"/>
      <c r="XH184" s="456"/>
      <c r="XI184" s="456"/>
      <c r="XJ184" s="456"/>
      <c r="XK184" s="456"/>
      <c r="XL184" s="456"/>
      <c r="XM184" s="456"/>
      <c r="XN184" s="456"/>
      <c r="XO184" s="456"/>
      <c r="XP184" s="456"/>
      <c r="XQ184" s="456"/>
      <c r="XR184" s="456"/>
      <c r="XS184" s="456"/>
      <c r="XT184" s="456"/>
      <c r="XU184" s="456"/>
      <c r="XV184" s="456"/>
      <c r="XW184" s="456"/>
      <c r="XX184" s="456"/>
      <c r="XY184" s="456"/>
      <c r="XZ184" s="456"/>
      <c r="YA184" s="456"/>
      <c r="YB184" s="456"/>
      <c r="YC184" s="456"/>
      <c r="YD184" s="456"/>
      <c r="YE184" s="456"/>
      <c r="YF184" s="456"/>
      <c r="YG184" s="456"/>
      <c r="YH184" s="456"/>
      <c r="YI184" s="456"/>
      <c r="YJ184" s="456"/>
      <c r="YK184" s="456"/>
      <c r="YL184" s="456"/>
      <c r="YM184" s="456"/>
      <c r="YN184" s="456"/>
      <c r="YO184" s="456"/>
      <c r="YP184" s="456"/>
      <c r="YQ184" s="456"/>
      <c r="YR184" s="456"/>
      <c r="YS184" s="456"/>
      <c r="YT184" s="456"/>
      <c r="YU184" s="456"/>
      <c r="YV184" s="456"/>
      <c r="YW184" s="456"/>
      <c r="YX184" s="456"/>
      <c r="YY184" s="456"/>
      <c r="YZ184" s="456"/>
      <c r="ZA184" s="456"/>
      <c r="ZB184" s="456"/>
      <c r="ZC184" s="456"/>
      <c r="ZD184" s="456"/>
      <c r="ZE184" s="456"/>
      <c r="ZF184" s="456"/>
      <c r="ZG184" s="456"/>
      <c r="ZH184" s="456"/>
      <c r="ZI184" s="456"/>
      <c r="ZJ184" s="456"/>
      <c r="ZK184" s="456"/>
      <c r="ZL184" s="456"/>
      <c r="ZM184" s="456"/>
      <c r="ZN184" s="456"/>
      <c r="ZO184" s="456"/>
      <c r="ZP184" s="456"/>
      <c r="ZQ184" s="456"/>
      <c r="ZR184" s="456"/>
      <c r="ZS184" s="456"/>
      <c r="ZT184" s="456"/>
      <c r="ZU184" s="456"/>
      <c r="ZV184" s="456"/>
      <c r="ZW184" s="456"/>
      <c r="ZX184" s="456"/>
      <c r="ZY184" s="456"/>
      <c r="ZZ184" s="456"/>
      <c r="AAA184" s="456"/>
      <c r="AAB184" s="456"/>
      <c r="AAC184" s="456"/>
      <c r="AAD184" s="456"/>
      <c r="AAE184" s="456"/>
      <c r="AAF184" s="456"/>
      <c r="AAG184" s="456"/>
      <c r="AAH184" s="456"/>
      <c r="AAI184" s="456"/>
      <c r="AAJ184" s="456"/>
      <c r="AAK184" s="456"/>
      <c r="AAL184" s="456"/>
      <c r="AAM184" s="456"/>
      <c r="AAN184" s="456"/>
      <c r="AAO184" s="456"/>
      <c r="AAP184" s="456"/>
      <c r="AAQ184" s="456"/>
      <c r="AAR184" s="456"/>
      <c r="AAS184" s="456"/>
      <c r="AAT184" s="456"/>
      <c r="AAU184" s="456"/>
      <c r="AAV184" s="456"/>
      <c r="AAW184" s="456"/>
      <c r="AAX184" s="456"/>
      <c r="AAY184" s="456"/>
      <c r="AAZ184" s="456"/>
      <c r="ABA184" s="456"/>
      <c r="ABB184" s="456"/>
      <c r="ABC184" s="456"/>
      <c r="ABD184" s="456"/>
      <c r="ABE184" s="456"/>
      <c r="ABF184" s="456"/>
      <c r="ABG184" s="456"/>
      <c r="ABH184" s="456"/>
      <c r="ABI184" s="456"/>
      <c r="ABJ184" s="456"/>
      <c r="ABK184" s="456"/>
      <c r="ABL184" s="456"/>
      <c r="ABM184" s="456"/>
      <c r="ABN184" s="456"/>
      <c r="ABO184" s="456"/>
      <c r="ABP184" s="456"/>
      <c r="ABQ184" s="456"/>
      <c r="ABR184" s="456"/>
      <c r="ABS184" s="456"/>
      <c r="ABT184" s="456"/>
      <c r="ABU184" s="456"/>
      <c r="ABV184" s="456"/>
      <c r="ABW184" s="456"/>
      <c r="ABX184" s="456"/>
      <c r="ABY184" s="456"/>
      <c r="ABZ184" s="456"/>
      <c r="ACA184" s="456"/>
      <c r="ACB184" s="456"/>
      <c r="ACC184" s="456"/>
      <c r="ACD184" s="456"/>
      <c r="ACE184" s="456"/>
      <c r="ACF184" s="456"/>
      <c r="ACG184" s="456"/>
      <c r="ACH184" s="456"/>
      <c r="ACI184" s="456"/>
      <c r="ACJ184" s="456"/>
      <c r="ACK184" s="456"/>
      <c r="ACL184" s="456"/>
      <c r="ACM184" s="456"/>
      <c r="ACN184" s="456"/>
      <c r="ACO184" s="456"/>
      <c r="ACP184" s="456"/>
      <c r="ACQ184" s="456"/>
      <c r="ACR184" s="456"/>
      <c r="ACS184" s="456"/>
      <c r="ACT184" s="456"/>
      <c r="ACU184" s="456"/>
      <c r="ACV184" s="456"/>
      <c r="ACW184" s="456"/>
      <c r="ACX184" s="456"/>
      <c r="ACY184" s="456"/>
      <c r="ACZ184" s="456"/>
      <c r="ADA184" s="456"/>
      <c r="ADB184" s="456"/>
      <c r="ADC184" s="456"/>
      <c r="ADD184" s="456"/>
      <c r="ADE184" s="456"/>
      <c r="ADF184" s="456"/>
      <c r="ADG184" s="456"/>
      <c r="ADH184" s="456"/>
      <c r="ADI184" s="456"/>
      <c r="ADJ184" s="456"/>
      <c r="ADK184" s="456"/>
      <c r="ADL184" s="456"/>
      <c r="ADM184" s="456"/>
      <c r="ADN184" s="456"/>
      <c r="ADO184" s="456"/>
      <c r="ADP184" s="456"/>
      <c r="ADQ184" s="456"/>
      <c r="ADR184" s="456"/>
      <c r="ADS184" s="456"/>
      <c r="ADT184" s="456"/>
      <c r="ADU184" s="456"/>
      <c r="ADV184" s="456"/>
      <c r="ADW184" s="456"/>
      <c r="ADX184" s="456"/>
      <c r="ADY184" s="456"/>
      <c r="ADZ184" s="456"/>
      <c r="AEA184" s="456"/>
      <c r="AEB184" s="456"/>
      <c r="AEC184" s="456"/>
      <c r="AED184" s="456"/>
      <c r="AEE184" s="456"/>
      <c r="AEF184" s="456"/>
      <c r="AEG184" s="456"/>
      <c r="AEH184" s="456"/>
      <c r="AEI184" s="456"/>
      <c r="AEJ184" s="456"/>
      <c r="AEK184" s="456"/>
      <c r="AEL184" s="456"/>
      <c r="AEM184" s="456"/>
      <c r="AEN184" s="456"/>
      <c r="AEO184" s="456"/>
      <c r="AEP184" s="456"/>
      <c r="AEQ184" s="456"/>
      <c r="AER184" s="456"/>
      <c r="AES184" s="456"/>
      <c r="AET184" s="456"/>
      <c r="AEU184" s="456"/>
      <c r="AEV184" s="456"/>
      <c r="AEW184" s="456"/>
      <c r="AEX184" s="456"/>
      <c r="AEY184" s="456"/>
      <c r="AEZ184" s="456"/>
      <c r="AFA184" s="456"/>
      <c r="AFB184" s="456"/>
      <c r="AFC184" s="456"/>
      <c r="AFD184" s="456"/>
      <c r="AFE184" s="456"/>
      <c r="AFF184" s="456"/>
      <c r="AFG184" s="456"/>
      <c r="AFH184" s="456"/>
      <c r="AFI184" s="456"/>
      <c r="AFJ184" s="456"/>
      <c r="AFK184" s="456"/>
      <c r="AFL184" s="456"/>
      <c r="AFM184" s="456"/>
      <c r="AFN184" s="456"/>
      <c r="AFO184" s="456"/>
      <c r="AFP184" s="456"/>
      <c r="AFQ184" s="456"/>
      <c r="AFR184" s="456"/>
      <c r="AFS184" s="456"/>
      <c r="AFT184" s="456"/>
      <c r="AFU184" s="456"/>
      <c r="AFV184" s="456"/>
      <c r="AFW184" s="456"/>
      <c r="AFX184" s="456"/>
      <c r="AFY184" s="456"/>
      <c r="AFZ184" s="456"/>
      <c r="AGA184" s="456"/>
      <c r="AGB184" s="456"/>
      <c r="AGC184" s="456"/>
      <c r="AGD184" s="456"/>
      <c r="AGE184" s="456"/>
      <c r="AGF184" s="456"/>
      <c r="AGG184" s="456"/>
      <c r="AGH184" s="456"/>
      <c r="AGI184" s="456"/>
      <c r="AGJ184" s="456"/>
      <c r="AGK184" s="456"/>
      <c r="AGL184" s="456"/>
      <c r="AGM184" s="456"/>
      <c r="AGN184" s="456"/>
      <c r="AGO184" s="456"/>
      <c r="AGP184" s="456"/>
      <c r="AGQ184" s="456"/>
      <c r="AGR184" s="456"/>
      <c r="AGS184" s="456"/>
      <c r="AGT184" s="456"/>
      <c r="AGU184" s="456"/>
      <c r="AGV184" s="456"/>
      <c r="AGW184" s="456"/>
      <c r="AGX184" s="456"/>
      <c r="AGY184" s="456"/>
      <c r="AGZ184" s="456"/>
      <c r="AHA184" s="456"/>
      <c r="AHB184" s="456"/>
      <c r="AHC184" s="456"/>
      <c r="AHD184" s="456"/>
      <c r="AHE184" s="456"/>
      <c r="AHF184" s="456"/>
      <c r="AHG184" s="456"/>
      <c r="AHH184" s="456"/>
      <c r="AHI184" s="456"/>
      <c r="AHJ184" s="456"/>
      <c r="AHK184" s="456"/>
      <c r="AHL184" s="456"/>
      <c r="AHM184" s="456"/>
      <c r="AHN184" s="456"/>
      <c r="AHO184" s="456"/>
      <c r="AHP184" s="456"/>
      <c r="AHQ184" s="456"/>
      <c r="AHR184" s="456"/>
      <c r="AHS184" s="456"/>
      <c r="AHT184" s="456"/>
      <c r="AHU184" s="456"/>
      <c r="AHV184" s="456"/>
      <c r="AHW184" s="456"/>
      <c r="AHX184" s="456"/>
      <c r="AHY184" s="456"/>
      <c r="AHZ184" s="456"/>
      <c r="AIA184" s="456"/>
      <c r="AIB184" s="456"/>
      <c r="AIC184" s="456"/>
      <c r="AID184" s="456"/>
      <c r="AIE184" s="456"/>
      <c r="AIF184" s="456"/>
      <c r="AIG184" s="456"/>
      <c r="AIH184" s="456"/>
      <c r="AII184" s="456"/>
      <c r="AIJ184" s="456"/>
      <c r="AIK184" s="456"/>
      <c r="AIL184" s="456"/>
      <c r="AIM184" s="456"/>
      <c r="AIN184" s="456"/>
      <c r="AIO184" s="456"/>
      <c r="AIP184" s="456"/>
      <c r="AIQ184" s="456"/>
      <c r="AIR184" s="456"/>
      <c r="AIS184" s="456"/>
      <c r="AIT184" s="456"/>
      <c r="AIU184" s="456"/>
      <c r="AIV184" s="456"/>
      <c r="AIW184" s="456"/>
      <c r="AIX184" s="456"/>
      <c r="AIY184" s="456"/>
      <c r="AIZ184" s="456"/>
      <c r="AJA184" s="456"/>
      <c r="AJB184" s="456"/>
      <c r="AJC184" s="456"/>
      <c r="AJD184" s="456"/>
      <c r="AJE184" s="456"/>
      <c r="AJF184" s="456"/>
      <c r="AJG184" s="456"/>
      <c r="AJH184" s="456"/>
      <c r="AJI184" s="456"/>
      <c r="AJJ184" s="456"/>
      <c r="AJK184" s="456"/>
      <c r="AJL184" s="456"/>
      <c r="AJM184" s="456"/>
      <c r="AJN184" s="456"/>
      <c r="AJO184" s="456"/>
      <c r="AJP184" s="456"/>
      <c r="AJQ184" s="456"/>
      <c r="AJR184" s="456"/>
      <c r="AJS184" s="456"/>
      <c r="AJT184" s="456"/>
      <c r="AJU184" s="456"/>
      <c r="AJV184" s="456"/>
      <c r="AJW184" s="456"/>
      <c r="AJX184" s="456"/>
      <c r="AJY184" s="456"/>
      <c r="AJZ184" s="456"/>
      <c r="AKA184" s="456"/>
      <c r="AKB184" s="456"/>
      <c r="AKC184" s="456"/>
      <c r="AKD184" s="456"/>
      <c r="AKE184" s="456"/>
      <c r="AKF184" s="456"/>
      <c r="AKG184" s="456"/>
      <c r="AKH184" s="456"/>
      <c r="AKI184" s="456"/>
      <c r="AKJ184" s="456"/>
      <c r="AKK184" s="456"/>
      <c r="AKL184" s="456"/>
      <c r="AKM184" s="456"/>
      <c r="AKN184" s="456"/>
      <c r="AKO184" s="456"/>
      <c r="AKP184" s="456"/>
      <c r="AKQ184" s="456"/>
      <c r="AKR184" s="456"/>
      <c r="AKS184" s="456"/>
      <c r="AKT184" s="456"/>
      <c r="AKU184" s="456"/>
      <c r="AKV184" s="456"/>
      <c r="AKW184" s="456"/>
      <c r="AKX184" s="456"/>
      <c r="AKY184" s="456"/>
      <c r="AKZ184" s="456"/>
      <c r="ALA184" s="456"/>
      <c r="ALB184" s="456"/>
      <c r="ALC184" s="456"/>
      <c r="ALD184" s="456"/>
      <c r="ALE184" s="456"/>
      <c r="ALF184" s="456"/>
      <c r="ALG184" s="456"/>
      <c r="ALH184" s="456"/>
      <c r="ALI184" s="456"/>
      <c r="ALJ184" s="456"/>
      <c r="ALK184" s="456"/>
      <c r="ALL184" s="456"/>
      <c r="ALM184" s="456"/>
      <c r="ALN184" s="456"/>
      <c r="ALO184" s="456"/>
      <c r="ALP184" s="456"/>
      <c r="ALQ184" s="456"/>
      <c r="ALR184" s="456"/>
      <c r="ALS184" s="456"/>
      <c r="ALT184" s="456"/>
      <c r="ALU184" s="456"/>
      <c r="ALV184" s="456"/>
      <c r="ALW184" s="456"/>
      <c r="ALX184" s="456"/>
      <c r="ALY184" s="456"/>
      <c r="ALZ184" s="456"/>
      <c r="AMA184" s="456"/>
      <c r="AMB184" s="456"/>
      <c r="AMC184" s="456"/>
      <c r="AMD184" s="456"/>
      <c r="AME184" s="456"/>
      <c r="AMF184" s="456"/>
      <c r="AMG184" s="456"/>
      <c r="AMH184" s="456"/>
      <c r="AMI184" s="456"/>
      <c r="AMJ184" s="456"/>
      <c r="AMK184" s="456"/>
      <c r="AML184" s="456"/>
      <c r="AMM184" s="456"/>
      <c r="AMN184" s="456"/>
      <c r="AMO184" s="456"/>
      <c r="AMP184" s="456"/>
      <c r="AMQ184" s="456"/>
      <c r="AMR184" s="456"/>
      <c r="AMS184" s="456"/>
      <c r="AMT184" s="456"/>
      <c r="AMU184" s="456"/>
      <c r="AMV184" s="456"/>
      <c r="AMW184" s="456"/>
      <c r="AMX184" s="456"/>
      <c r="AMY184" s="456"/>
      <c r="AMZ184" s="456"/>
      <c r="ANA184" s="456"/>
      <c r="ANB184" s="456"/>
      <c r="ANC184" s="456"/>
      <c r="AND184" s="456"/>
      <c r="ANE184" s="456"/>
      <c r="ANF184" s="456"/>
      <c r="ANG184" s="456"/>
      <c r="ANH184" s="456"/>
      <c r="ANI184" s="456"/>
      <c r="ANJ184" s="456"/>
      <c r="ANK184" s="456"/>
      <c r="ANL184" s="456"/>
      <c r="ANM184" s="456"/>
      <c r="ANN184" s="456"/>
      <c r="ANO184" s="456"/>
      <c r="ANP184" s="456"/>
      <c r="ANQ184" s="456"/>
      <c r="ANR184" s="456"/>
      <c r="ANS184" s="456"/>
      <c r="ANT184" s="456"/>
      <c r="ANU184" s="456"/>
      <c r="ANV184" s="456"/>
      <c r="ANW184" s="456"/>
      <c r="ANX184" s="456"/>
      <c r="ANY184" s="456"/>
      <c r="ANZ184" s="456"/>
      <c r="AOA184" s="456"/>
      <c r="AOB184" s="456"/>
      <c r="AOC184" s="456"/>
      <c r="AOD184" s="456"/>
      <c r="AOE184" s="456"/>
      <c r="AOF184" s="456"/>
      <c r="AOG184" s="456"/>
      <c r="AOH184" s="456"/>
      <c r="AOI184" s="456"/>
      <c r="AOJ184" s="456"/>
      <c r="AOK184" s="456"/>
      <c r="AOL184" s="456"/>
      <c r="AOM184" s="456"/>
      <c r="AON184" s="456"/>
      <c r="AOO184" s="456"/>
      <c r="AOP184" s="456"/>
      <c r="AOQ184" s="456"/>
      <c r="AOR184" s="456"/>
      <c r="AOS184" s="456"/>
      <c r="AOT184" s="456"/>
      <c r="AOU184" s="456"/>
      <c r="AOV184" s="456"/>
      <c r="AOW184" s="456"/>
      <c r="AOX184" s="456"/>
      <c r="AOY184" s="456"/>
      <c r="AOZ184" s="456"/>
      <c r="APA184" s="456"/>
      <c r="APB184" s="456"/>
      <c r="APC184" s="456"/>
      <c r="APD184" s="456"/>
      <c r="APE184" s="456"/>
      <c r="APF184" s="456"/>
      <c r="APG184" s="456"/>
      <c r="APH184" s="456"/>
      <c r="API184" s="456"/>
      <c r="APJ184" s="456"/>
      <c r="APK184" s="456"/>
      <c r="APL184" s="456"/>
      <c r="APM184" s="456"/>
      <c r="APN184" s="456"/>
      <c r="APO184" s="456"/>
      <c r="APP184" s="456"/>
      <c r="APQ184" s="456"/>
      <c r="APR184" s="456"/>
      <c r="APS184" s="456"/>
      <c r="APT184" s="456"/>
      <c r="APU184" s="456"/>
      <c r="APV184" s="456"/>
      <c r="APW184" s="456"/>
      <c r="APX184" s="456"/>
      <c r="APY184" s="456"/>
      <c r="APZ184" s="456"/>
      <c r="AQA184" s="456"/>
      <c r="AQB184" s="456"/>
      <c r="AQC184" s="456"/>
      <c r="AQD184" s="456"/>
      <c r="AQE184" s="456"/>
      <c r="AQF184" s="456"/>
      <c r="AQG184" s="456"/>
      <c r="AQH184" s="456"/>
      <c r="AQI184" s="456"/>
      <c r="AQJ184" s="456"/>
      <c r="AQK184" s="456"/>
      <c r="AQL184" s="456"/>
      <c r="AQM184" s="456"/>
      <c r="AQN184" s="456"/>
      <c r="AQO184" s="456"/>
      <c r="AQP184" s="456"/>
      <c r="AQQ184" s="456"/>
      <c r="AQR184" s="456"/>
      <c r="AQS184" s="456"/>
      <c r="AQT184" s="456"/>
      <c r="AQU184" s="456"/>
      <c r="AQV184" s="456"/>
      <c r="AQW184" s="456"/>
      <c r="AQX184" s="456"/>
      <c r="AQY184" s="456"/>
      <c r="AQZ184" s="456"/>
      <c r="ARA184" s="456"/>
      <c r="ARB184" s="456"/>
      <c r="ARC184" s="456"/>
      <c r="ARD184" s="456"/>
      <c r="ARE184" s="456"/>
      <c r="ARF184" s="456"/>
      <c r="ARG184" s="456"/>
      <c r="ARH184" s="456"/>
      <c r="ARI184" s="456"/>
      <c r="ARJ184" s="456"/>
      <c r="ARK184" s="456"/>
      <c r="ARL184" s="456"/>
      <c r="ARM184" s="456"/>
      <c r="ARN184" s="456"/>
      <c r="ARO184" s="456"/>
      <c r="ARP184" s="456"/>
      <c r="ARQ184" s="456"/>
      <c r="ARR184" s="456"/>
      <c r="ARS184" s="456"/>
      <c r="ART184" s="456"/>
      <c r="ARU184" s="456"/>
      <c r="ARV184" s="456"/>
      <c r="ARW184" s="456"/>
      <c r="ARX184" s="456"/>
      <c r="ARY184" s="456"/>
      <c r="ARZ184" s="456"/>
      <c r="ASA184" s="456"/>
      <c r="ASB184" s="456"/>
      <c r="ASC184" s="456"/>
      <c r="ASD184" s="456"/>
      <c r="ASE184" s="456"/>
      <c r="ASF184" s="456"/>
      <c r="ASG184" s="456"/>
      <c r="ASH184" s="456"/>
      <c r="ASI184" s="456"/>
      <c r="ASJ184" s="456"/>
      <c r="ASK184" s="456"/>
      <c r="ASL184" s="456"/>
      <c r="ASM184" s="456"/>
      <c r="ASN184" s="456"/>
      <c r="ASO184" s="456"/>
      <c r="ASP184" s="456"/>
      <c r="ASQ184" s="456"/>
      <c r="ASR184" s="456"/>
      <c r="ASS184" s="456"/>
      <c r="AST184" s="456"/>
      <c r="ASU184" s="456"/>
      <c r="ASV184" s="456"/>
      <c r="ASW184" s="456"/>
      <c r="ASX184" s="456"/>
      <c r="ASY184" s="456"/>
      <c r="ASZ184" s="456"/>
      <c r="ATA184" s="456"/>
      <c r="ATB184" s="456"/>
      <c r="ATC184" s="456"/>
      <c r="ATD184" s="456"/>
      <c r="ATE184" s="456"/>
      <c r="ATF184" s="456"/>
      <c r="ATG184" s="456"/>
      <c r="ATH184" s="456"/>
      <c r="ATI184" s="456"/>
      <c r="ATJ184" s="456"/>
      <c r="ATK184" s="456"/>
      <c r="ATL184" s="456"/>
      <c r="ATM184" s="456"/>
      <c r="ATN184" s="456"/>
      <c r="ATO184" s="456"/>
      <c r="ATP184" s="456"/>
      <c r="ATQ184" s="456"/>
      <c r="ATR184" s="456"/>
      <c r="ATS184" s="456"/>
      <c r="ATT184" s="456"/>
      <c r="ATU184" s="456"/>
      <c r="ATV184" s="456"/>
      <c r="ATW184" s="456"/>
      <c r="ATX184" s="456"/>
      <c r="ATY184" s="456"/>
      <c r="ATZ184" s="456"/>
      <c r="AUA184" s="456"/>
      <c r="AUB184" s="456"/>
      <c r="AUC184" s="456"/>
      <c r="AUD184" s="456"/>
      <c r="AUE184" s="456"/>
      <c r="AUF184" s="456"/>
      <c r="AUG184" s="456"/>
      <c r="AUH184" s="456"/>
      <c r="AUI184" s="456"/>
      <c r="AUJ184" s="456"/>
      <c r="AUK184" s="456"/>
      <c r="AUL184" s="456"/>
      <c r="AUM184" s="456"/>
      <c r="AUN184" s="456"/>
      <c r="AUO184" s="456"/>
      <c r="AUP184" s="456"/>
      <c r="AUQ184" s="456"/>
      <c r="AUR184" s="456"/>
      <c r="AUS184" s="456"/>
      <c r="AUT184" s="456"/>
      <c r="AUU184" s="456"/>
      <c r="AUV184" s="456"/>
      <c r="AUW184" s="456"/>
      <c r="AUX184" s="456"/>
      <c r="AUY184" s="456"/>
      <c r="AUZ184" s="456"/>
      <c r="AVA184" s="456"/>
      <c r="AVB184" s="456"/>
      <c r="AVC184" s="456"/>
      <c r="AVD184" s="456"/>
      <c r="AVE184" s="456"/>
      <c r="AVF184" s="456"/>
      <c r="AVG184" s="456"/>
      <c r="AVH184" s="456"/>
      <c r="AVI184" s="456"/>
      <c r="AVJ184" s="456"/>
      <c r="AVK184" s="456"/>
      <c r="AVL184" s="456"/>
      <c r="AVM184" s="456"/>
      <c r="AVN184" s="456"/>
      <c r="AVO184" s="456"/>
      <c r="AVP184" s="456"/>
      <c r="AVQ184" s="456"/>
      <c r="AVR184" s="456"/>
      <c r="AVS184" s="456"/>
      <c r="AVT184" s="456"/>
      <c r="AVU184" s="456"/>
      <c r="AVV184" s="456"/>
      <c r="AVW184" s="456"/>
      <c r="AVX184" s="456"/>
      <c r="AVY184" s="456"/>
      <c r="AVZ184" s="456"/>
      <c r="AWA184" s="456"/>
      <c r="AWB184" s="456"/>
      <c r="AWC184" s="456"/>
      <c r="AWD184" s="456"/>
      <c r="AWE184" s="456"/>
      <c r="AWF184" s="456"/>
      <c r="AWG184" s="456"/>
      <c r="AWH184" s="456"/>
      <c r="AWI184" s="456"/>
      <c r="AWJ184" s="456"/>
      <c r="AWK184" s="456"/>
      <c r="AWL184" s="456"/>
      <c r="AWM184" s="456"/>
      <c r="AWN184" s="456"/>
      <c r="AWO184" s="456"/>
      <c r="AWP184" s="456"/>
      <c r="AWQ184" s="456"/>
      <c r="AWR184" s="456"/>
      <c r="AWS184" s="456"/>
      <c r="AWT184" s="456"/>
      <c r="AWU184" s="456"/>
      <c r="AWV184" s="456"/>
      <c r="AWW184" s="456"/>
      <c r="AWX184" s="456"/>
      <c r="AWY184" s="456"/>
      <c r="AWZ184" s="456"/>
      <c r="AXA184" s="456"/>
      <c r="AXB184" s="456"/>
      <c r="AXC184" s="456"/>
      <c r="AXD184" s="456"/>
      <c r="AXE184" s="456"/>
      <c r="AXF184" s="456"/>
      <c r="AXG184" s="456"/>
      <c r="AXH184" s="456"/>
      <c r="AXI184" s="456"/>
      <c r="AXJ184" s="456"/>
      <c r="AXK184" s="456"/>
      <c r="AXL184" s="456"/>
      <c r="AXM184" s="456"/>
      <c r="AXN184" s="456"/>
      <c r="AXO184" s="456"/>
      <c r="AXP184" s="456"/>
      <c r="AXQ184" s="456"/>
      <c r="AXR184" s="456"/>
      <c r="AXS184" s="456"/>
      <c r="AXT184" s="456"/>
      <c r="AXU184" s="456"/>
      <c r="AXV184" s="456"/>
      <c r="AXW184" s="456"/>
      <c r="AXX184" s="456"/>
      <c r="AXY184" s="456"/>
      <c r="AXZ184" s="456"/>
      <c r="AYA184" s="456"/>
      <c r="AYB184" s="456"/>
      <c r="AYC184" s="456"/>
      <c r="AYD184" s="456"/>
      <c r="AYE184" s="456"/>
      <c r="AYF184" s="456"/>
      <c r="AYG184" s="456"/>
      <c r="AYH184" s="456"/>
      <c r="AYI184" s="456"/>
      <c r="AYJ184" s="456"/>
      <c r="AYK184" s="456"/>
      <c r="AYL184" s="456"/>
      <c r="AYM184" s="456"/>
      <c r="AYN184" s="456"/>
      <c r="AYO184" s="456"/>
      <c r="AYP184" s="456"/>
      <c r="AYQ184" s="456"/>
      <c r="AYR184" s="456"/>
      <c r="AYS184" s="456"/>
      <c r="AYT184" s="456"/>
      <c r="AYU184" s="456"/>
      <c r="AYV184" s="456"/>
      <c r="AYW184" s="456"/>
      <c r="AYX184" s="456"/>
      <c r="AYY184" s="456"/>
      <c r="AYZ184" s="456"/>
      <c r="AZA184" s="456"/>
      <c r="AZB184" s="456"/>
      <c r="AZC184" s="456"/>
      <c r="AZD184" s="456"/>
      <c r="AZE184" s="456"/>
      <c r="AZF184" s="456"/>
      <c r="AZG184" s="456"/>
      <c r="AZH184" s="456"/>
      <c r="AZI184" s="456"/>
      <c r="AZJ184" s="456"/>
      <c r="AZK184" s="456"/>
      <c r="AZL184" s="456"/>
      <c r="AZM184" s="456"/>
      <c r="AZN184" s="456"/>
      <c r="AZO184" s="456"/>
      <c r="AZP184" s="456"/>
      <c r="AZQ184" s="456"/>
      <c r="AZR184" s="456"/>
      <c r="AZS184" s="456"/>
      <c r="AZT184" s="456"/>
      <c r="AZU184" s="456"/>
      <c r="AZV184" s="456"/>
      <c r="AZW184" s="456"/>
      <c r="AZX184" s="456"/>
      <c r="AZY184" s="456"/>
      <c r="AZZ184" s="456"/>
      <c r="BAA184" s="456"/>
      <c r="BAB184" s="456"/>
      <c r="BAC184" s="456"/>
      <c r="BAD184" s="456"/>
      <c r="BAE184" s="456"/>
      <c r="BAF184" s="456"/>
      <c r="BAG184" s="456"/>
      <c r="BAH184" s="456"/>
      <c r="BAI184" s="456"/>
      <c r="BAJ184" s="456"/>
      <c r="BAK184" s="456"/>
      <c r="BAL184" s="456"/>
      <c r="BAM184" s="456"/>
      <c r="BAN184" s="456"/>
      <c r="BAO184" s="456"/>
      <c r="BAP184" s="456"/>
      <c r="BAQ184" s="456"/>
      <c r="BAR184" s="456"/>
      <c r="BAS184" s="456"/>
      <c r="BAT184" s="456"/>
      <c r="BAU184" s="456"/>
      <c r="BAV184" s="456"/>
      <c r="BAW184" s="456"/>
      <c r="BAX184" s="456"/>
      <c r="BAY184" s="456"/>
      <c r="BAZ184" s="456"/>
      <c r="BBA184" s="456"/>
      <c r="BBB184" s="456"/>
      <c r="BBC184" s="456"/>
      <c r="BBD184" s="456"/>
      <c r="BBE184" s="456"/>
      <c r="BBF184" s="456"/>
      <c r="BBG184" s="456"/>
      <c r="BBH184" s="456"/>
      <c r="BBI184" s="456"/>
      <c r="BBJ184" s="456"/>
      <c r="BBK184" s="456"/>
      <c r="BBL184" s="456"/>
      <c r="BBM184" s="456"/>
      <c r="BBN184" s="456"/>
      <c r="BBO184" s="456"/>
      <c r="BBP184" s="456"/>
      <c r="BBQ184" s="456"/>
      <c r="BBR184" s="456"/>
      <c r="BBS184" s="456"/>
      <c r="BBT184" s="456"/>
      <c r="BBU184" s="456"/>
      <c r="BBV184" s="456"/>
      <c r="BBW184" s="456"/>
      <c r="BBX184" s="456"/>
      <c r="BBY184" s="456"/>
      <c r="BBZ184" s="456"/>
      <c r="BCA184" s="456"/>
      <c r="BCB184" s="456"/>
      <c r="BCC184" s="456"/>
      <c r="BCD184" s="456"/>
      <c r="BCE184" s="456"/>
      <c r="BCF184" s="456"/>
      <c r="BCG184" s="456"/>
      <c r="BCH184" s="456"/>
      <c r="BCI184" s="456"/>
      <c r="BCJ184" s="456"/>
      <c r="BCK184" s="456"/>
      <c r="BCL184" s="456"/>
      <c r="BCM184" s="456"/>
      <c r="BCN184" s="456"/>
      <c r="BCO184" s="456"/>
      <c r="BCP184" s="456"/>
      <c r="BCQ184" s="456"/>
      <c r="BCR184" s="456"/>
      <c r="BCS184" s="456"/>
      <c r="BCT184" s="456"/>
      <c r="BCU184" s="456"/>
      <c r="BCV184" s="456"/>
      <c r="BCW184" s="456"/>
      <c r="BCX184" s="456"/>
      <c r="BCY184" s="456"/>
      <c r="BCZ184" s="456"/>
      <c r="BDA184" s="456"/>
      <c r="BDB184" s="456"/>
      <c r="BDC184" s="456"/>
      <c r="BDD184" s="456"/>
      <c r="BDE184" s="456"/>
      <c r="BDF184" s="456"/>
      <c r="BDG184" s="456"/>
      <c r="BDH184" s="456"/>
      <c r="BDI184" s="456"/>
      <c r="BDJ184" s="456"/>
      <c r="BDK184" s="456"/>
      <c r="BDL184" s="456"/>
      <c r="BDM184" s="456"/>
      <c r="BDN184" s="456"/>
      <c r="BDO184" s="456"/>
      <c r="BDP184" s="456"/>
      <c r="BDQ184" s="456"/>
      <c r="BDR184" s="456"/>
      <c r="BDS184" s="456"/>
      <c r="BDT184" s="456"/>
      <c r="BDU184" s="456"/>
      <c r="BDV184" s="456"/>
      <c r="BDW184" s="456"/>
      <c r="BDX184" s="456"/>
      <c r="BDY184" s="456"/>
      <c r="BDZ184" s="456"/>
      <c r="BEA184" s="456"/>
      <c r="BEB184" s="456"/>
      <c r="BEC184" s="456"/>
      <c r="BED184" s="456"/>
      <c r="BEE184" s="456"/>
      <c r="BEF184" s="456"/>
      <c r="BEG184" s="456"/>
      <c r="BEH184" s="456"/>
      <c r="BEI184" s="456"/>
      <c r="BEJ184" s="456"/>
      <c r="BEK184" s="456"/>
      <c r="BEL184" s="456"/>
      <c r="BEM184" s="456"/>
      <c r="BEN184" s="456"/>
      <c r="BEO184" s="456"/>
      <c r="BEP184" s="456"/>
      <c r="BEQ184" s="456"/>
      <c r="BER184" s="456"/>
      <c r="BES184" s="456"/>
      <c r="BET184" s="456"/>
      <c r="BEU184" s="456"/>
      <c r="BEV184" s="456"/>
      <c r="BEW184" s="456"/>
      <c r="BEX184" s="456"/>
      <c r="BEY184" s="456"/>
      <c r="BEZ184" s="456"/>
      <c r="BFA184" s="456"/>
      <c r="BFB184" s="456"/>
      <c r="BFC184" s="456"/>
      <c r="BFD184" s="456"/>
      <c r="BFE184" s="456"/>
      <c r="BFF184" s="456"/>
      <c r="BFG184" s="456"/>
      <c r="BFH184" s="456"/>
      <c r="BFI184" s="456"/>
      <c r="BFJ184" s="456"/>
      <c r="BFK184" s="456"/>
      <c r="BFL184" s="456"/>
      <c r="BFM184" s="456"/>
      <c r="BFN184" s="456"/>
      <c r="BFO184" s="456"/>
      <c r="BFP184" s="456"/>
      <c r="BFQ184" s="456"/>
      <c r="BFR184" s="456"/>
      <c r="BFS184" s="456"/>
      <c r="BFT184" s="456"/>
      <c r="BFU184" s="456"/>
      <c r="BFV184" s="456"/>
      <c r="BFW184" s="456"/>
      <c r="BFX184" s="456"/>
      <c r="BFY184" s="456"/>
      <c r="BFZ184" s="456"/>
      <c r="BGA184" s="456"/>
      <c r="BGB184" s="456"/>
      <c r="BGC184" s="456"/>
      <c r="BGD184" s="456"/>
      <c r="BGE184" s="456"/>
      <c r="BGF184" s="456"/>
      <c r="BGG184" s="456"/>
      <c r="BGH184" s="456"/>
      <c r="BGI184" s="456"/>
      <c r="BGJ184" s="456"/>
      <c r="BGK184" s="456"/>
      <c r="BGL184" s="456"/>
      <c r="BGM184" s="456"/>
      <c r="BGN184" s="456"/>
      <c r="BGO184" s="456"/>
      <c r="BGP184" s="456"/>
      <c r="BGQ184" s="456"/>
      <c r="BGR184" s="456"/>
      <c r="BGS184" s="456"/>
      <c r="BGT184" s="456"/>
      <c r="BGU184" s="456"/>
      <c r="BGV184" s="456"/>
      <c r="BGW184" s="456"/>
      <c r="BGX184" s="456"/>
      <c r="BGY184" s="456"/>
      <c r="BGZ184" s="456"/>
      <c r="BHA184" s="456"/>
      <c r="BHB184" s="456"/>
      <c r="BHC184" s="456"/>
      <c r="BHD184" s="456"/>
      <c r="BHE184" s="456"/>
      <c r="BHF184" s="456"/>
      <c r="BHG184" s="456"/>
      <c r="BHH184" s="456"/>
      <c r="BHI184" s="456"/>
      <c r="BHJ184" s="456"/>
      <c r="BHK184" s="456"/>
      <c r="BHL184" s="456"/>
      <c r="BHM184" s="456"/>
      <c r="BHN184" s="456"/>
      <c r="BHO184" s="456"/>
      <c r="BHP184" s="456"/>
      <c r="BHQ184" s="456"/>
      <c r="BHR184" s="456"/>
      <c r="BHS184" s="456"/>
      <c r="BHT184" s="456"/>
      <c r="BHU184" s="456"/>
      <c r="BHV184" s="456"/>
      <c r="BHW184" s="456"/>
      <c r="BHX184" s="456"/>
      <c r="BHY184" s="456"/>
      <c r="BHZ184" s="456"/>
      <c r="BIA184" s="456"/>
      <c r="BIB184" s="456"/>
      <c r="BIC184" s="456"/>
      <c r="BID184" s="456"/>
      <c r="BIE184" s="456"/>
      <c r="BIF184" s="456"/>
      <c r="BIG184" s="456"/>
      <c r="BIH184" s="456"/>
      <c r="BII184" s="456"/>
      <c r="BIJ184" s="456"/>
      <c r="BIK184" s="456"/>
      <c r="BIL184" s="456"/>
      <c r="BIM184" s="456"/>
      <c r="BIN184" s="456"/>
      <c r="BIO184" s="456"/>
      <c r="BIP184" s="456"/>
      <c r="BIQ184" s="456"/>
      <c r="BIR184" s="456"/>
      <c r="BIS184" s="456"/>
      <c r="BIT184" s="456"/>
      <c r="BIU184" s="456"/>
      <c r="BIV184" s="456"/>
      <c r="BIW184" s="456"/>
      <c r="BIX184" s="456"/>
      <c r="BIY184" s="456"/>
      <c r="BIZ184" s="456"/>
      <c r="BJA184" s="456"/>
      <c r="BJB184" s="456"/>
      <c r="BJC184" s="456"/>
      <c r="BJD184" s="456"/>
      <c r="BJE184" s="456"/>
      <c r="BJF184" s="456"/>
      <c r="BJG184" s="456"/>
      <c r="BJH184" s="456"/>
      <c r="BJI184" s="456"/>
      <c r="BJJ184" s="456"/>
      <c r="BJK184" s="456"/>
      <c r="BJL184" s="456"/>
      <c r="BJM184" s="456"/>
      <c r="BJN184" s="456"/>
      <c r="BJO184" s="456"/>
      <c r="BJP184" s="456"/>
      <c r="BJQ184" s="456"/>
      <c r="BJR184" s="456"/>
      <c r="BJS184" s="456"/>
      <c r="BJT184" s="456"/>
      <c r="BJU184" s="456"/>
      <c r="BJV184" s="456"/>
      <c r="BJW184" s="456"/>
      <c r="BJX184" s="456"/>
      <c r="BJY184" s="456"/>
      <c r="BJZ184" s="456"/>
      <c r="BKA184" s="456"/>
      <c r="BKB184" s="456"/>
      <c r="BKC184" s="456"/>
      <c r="BKD184" s="456"/>
      <c r="BKE184" s="456"/>
      <c r="BKF184" s="456"/>
      <c r="BKG184" s="456"/>
      <c r="BKH184" s="456"/>
      <c r="BKI184" s="456"/>
      <c r="BKJ184" s="456"/>
      <c r="BKK184" s="456"/>
      <c r="BKL184" s="456"/>
      <c r="BKM184" s="456"/>
      <c r="BKN184" s="456"/>
      <c r="BKO184" s="456"/>
      <c r="BKP184" s="456"/>
      <c r="BKQ184" s="456"/>
      <c r="BKR184" s="456"/>
      <c r="BKS184" s="456"/>
      <c r="BKT184" s="456"/>
      <c r="BKU184" s="456"/>
      <c r="BKV184" s="456"/>
      <c r="BKW184" s="456"/>
      <c r="BKX184" s="456"/>
      <c r="BKY184" s="456"/>
      <c r="BKZ184" s="456"/>
      <c r="BLA184" s="456"/>
      <c r="BLB184" s="456"/>
      <c r="BLC184" s="456"/>
      <c r="BLD184" s="456"/>
      <c r="BLE184" s="456"/>
      <c r="BLF184" s="456"/>
      <c r="BLG184" s="456"/>
      <c r="BLH184" s="456"/>
      <c r="BLI184" s="456"/>
      <c r="BLJ184" s="456"/>
      <c r="BLK184" s="456"/>
      <c r="BLL184" s="456"/>
      <c r="BLM184" s="456"/>
      <c r="BLN184" s="456"/>
      <c r="BLO184" s="456"/>
      <c r="BLP184" s="456"/>
      <c r="BLQ184" s="456"/>
      <c r="BLR184" s="456"/>
      <c r="BLS184" s="456"/>
      <c r="BLT184" s="456"/>
      <c r="BLU184" s="456"/>
      <c r="BLV184" s="456"/>
      <c r="BLW184" s="456"/>
      <c r="BLX184" s="456"/>
      <c r="BLY184" s="456"/>
      <c r="BLZ184" s="456"/>
      <c r="BMA184" s="456"/>
      <c r="BMB184" s="456"/>
      <c r="BMC184" s="456"/>
      <c r="BMD184" s="456"/>
      <c r="BME184" s="456"/>
      <c r="BMF184" s="456"/>
      <c r="BMG184" s="456"/>
      <c r="BMH184" s="456"/>
      <c r="BMI184" s="456"/>
      <c r="BMJ184" s="456"/>
      <c r="BMK184" s="456"/>
      <c r="BML184" s="456"/>
      <c r="BMM184" s="456"/>
      <c r="BMN184" s="456"/>
      <c r="BMO184" s="456"/>
      <c r="BMP184" s="456"/>
      <c r="BMQ184" s="456"/>
      <c r="BMR184" s="456"/>
      <c r="BMS184" s="456"/>
      <c r="BMT184" s="456"/>
      <c r="BMU184" s="456"/>
      <c r="BMV184" s="456"/>
      <c r="BMW184" s="456"/>
      <c r="BMX184" s="456"/>
      <c r="BMY184" s="456"/>
      <c r="BMZ184" s="456"/>
      <c r="BNA184" s="456"/>
      <c r="BNB184" s="456"/>
      <c r="BNC184" s="456"/>
      <c r="BND184" s="456"/>
      <c r="BNE184" s="456"/>
      <c r="BNF184" s="456"/>
      <c r="BNG184" s="456"/>
      <c r="BNH184" s="456"/>
      <c r="BNI184" s="456"/>
      <c r="BNJ184" s="456"/>
      <c r="BNK184" s="456"/>
      <c r="BNL184" s="456"/>
      <c r="BNM184" s="456"/>
      <c r="BNN184" s="456"/>
      <c r="BNO184" s="456"/>
      <c r="BNP184" s="456"/>
      <c r="BNQ184" s="456"/>
      <c r="BNR184" s="456"/>
      <c r="BNS184" s="456"/>
      <c r="BNT184" s="456"/>
      <c r="BNU184" s="456"/>
      <c r="BNV184" s="456"/>
      <c r="BNW184" s="456"/>
      <c r="BNX184" s="456"/>
      <c r="BNY184" s="456"/>
      <c r="BNZ184" s="456"/>
      <c r="BOA184" s="456"/>
      <c r="BOB184" s="456"/>
      <c r="BOC184" s="456"/>
      <c r="BOD184" s="456"/>
      <c r="BOE184" s="456"/>
      <c r="BOF184" s="456"/>
      <c r="BOG184" s="456"/>
      <c r="BOH184" s="456"/>
      <c r="BOI184" s="456"/>
      <c r="BOJ184" s="456"/>
      <c r="BOK184" s="456"/>
      <c r="BOL184" s="456"/>
      <c r="BOM184" s="456"/>
      <c r="BON184" s="456"/>
      <c r="BOO184" s="456"/>
      <c r="BOP184" s="456"/>
      <c r="BOQ184" s="456"/>
      <c r="BOR184" s="456"/>
      <c r="BOS184" s="456"/>
      <c r="BOT184" s="456"/>
      <c r="BOU184" s="456"/>
      <c r="BOV184" s="456"/>
      <c r="BOW184" s="456"/>
      <c r="BOX184" s="456"/>
      <c r="BOY184" s="456"/>
      <c r="BOZ184" s="456"/>
      <c r="BPA184" s="456"/>
      <c r="BPB184" s="456"/>
      <c r="BPC184" s="456"/>
      <c r="BPD184" s="456"/>
      <c r="BPE184" s="456"/>
      <c r="BPF184" s="456"/>
      <c r="BPG184" s="456"/>
      <c r="BPH184" s="456"/>
      <c r="BPI184" s="456"/>
      <c r="BPJ184" s="456"/>
      <c r="BPK184" s="456"/>
      <c r="BPL184" s="456"/>
      <c r="BPM184" s="456"/>
      <c r="BPN184" s="456"/>
      <c r="BPO184" s="456"/>
      <c r="BPP184" s="456"/>
      <c r="BPQ184" s="456"/>
      <c r="BPR184" s="456"/>
      <c r="BPS184" s="456"/>
      <c r="BPT184" s="456"/>
      <c r="BPU184" s="456"/>
      <c r="BPV184" s="456"/>
      <c r="BPW184" s="456"/>
      <c r="BPX184" s="456"/>
      <c r="BPY184" s="456"/>
      <c r="BPZ184" s="456"/>
      <c r="BQA184" s="456"/>
      <c r="BQB184" s="456"/>
      <c r="BQC184" s="456"/>
      <c r="BQD184" s="456"/>
      <c r="BQE184" s="456"/>
      <c r="BQF184" s="456"/>
      <c r="BQG184" s="456"/>
      <c r="BQH184" s="456"/>
      <c r="BQI184" s="456"/>
      <c r="BQJ184" s="456"/>
      <c r="BQK184" s="456"/>
      <c r="BQL184" s="456"/>
      <c r="BQM184" s="456"/>
      <c r="BQN184" s="456"/>
      <c r="BQO184" s="456"/>
      <c r="BQP184" s="456"/>
      <c r="BQQ184" s="456"/>
      <c r="BQR184" s="456"/>
      <c r="BQS184" s="456"/>
      <c r="BQT184" s="456"/>
      <c r="BQU184" s="456"/>
      <c r="BQV184" s="456"/>
      <c r="BQW184" s="456"/>
      <c r="BQX184" s="456"/>
      <c r="BQY184" s="456"/>
      <c r="BQZ184" s="456"/>
      <c r="BRA184" s="456"/>
      <c r="BRB184" s="456"/>
      <c r="BRC184" s="456"/>
      <c r="BRD184" s="456"/>
      <c r="BRE184" s="456"/>
      <c r="BRF184" s="456"/>
      <c r="BRG184" s="456"/>
      <c r="BRH184" s="456"/>
      <c r="BRI184" s="456"/>
      <c r="BRJ184" s="456"/>
      <c r="BRK184" s="456"/>
      <c r="BRL184" s="456"/>
      <c r="BRM184" s="456"/>
      <c r="BRN184" s="456"/>
      <c r="BRO184" s="456"/>
      <c r="BRP184" s="456"/>
      <c r="BRQ184" s="456"/>
      <c r="BRR184" s="456"/>
      <c r="BRS184" s="456"/>
      <c r="BRT184" s="456"/>
      <c r="BRU184" s="456"/>
      <c r="BRV184" s="456"/>
      <c r="BRW184" s="456"/>
      <c r="BRX184" s="456"/>
      <c r="BRY184" s="456"/>
      <c r="BRZ184" s="456"/>
      <c r="BSA184" s="456"/>
      <c r="BSB184" s="456"/>
      <c r="BSC184" s="456"/>
      <c r="BSD184" s="456"/>
      <c r="BSE184" s="456"/>
      <c r="BSF184" s="456"/>
      <c r="BSG184" s="456"/>
      <c r="BSH184" s="456"/>
      <c r="BSI184" s="456"/>
      <c r="BSJ184" s="456"/>
      <c r="BSK184" s="456"/>
      <c r="BSL184" s="456"/>
      <c r="BSM184" s="456"/>
      <c r="BSN184" s="456"/>
      <c r="BSO184" s="456"/>
      <c r="BSP184" s="456"/>
      <c r="BSQ184" s="456"/>
      <c r="BSR184" s="456"/>
      <c r="BSS184" s="456"/>
      <c r="BST184" s="456"/>
      <c r="BSU184" s="456"/>
      <c r="BSV184" s="456"/>
      <c r="BSW184" s="456"/>
      <c r="BSX184" s="456"/>
      <c r="BSY184" s="456"/>
      <c r="BSZ184" s="456"/>
      <c r="BTA184" s="456"/>
      <c r="BTB184" s="456"/>
      <c r="BTC184" s="456"/>
      <c r="BTD184" s="456"/>
      <c r="BTE184" s="456"/>
      <c r="BTF184" s="456"/>
      <c r="BTG184" s="456"/>
      <c r="BTH184" s="456"/>
      <c r="BTI184" s="456"/>
      <c r="BTJ184" s="456"/>
      <c r="BTK184" s="456"/>
      <c r="BTL184" s="456"/>
      <c r="BTM184" s="456"/>
      <c r="BTN184" s="456"/>
      <c r="BTO184" s="456"/>
      <c r="BTP184" s="456"/>
      <c r="BTQ184" s="456"/>
      <c r="BTR184" s="456"/>
      <c r="BTS184" s="456"/>
      <c r="BTT184" s="456"/>
      <c r="BTU184" s="456"/>
      <c r="BTV184" s="456"/>
      <c r="BTW184" s="456"/>
      <c r="BTX184" s="456"/>
      <c r="BTY184" s="456"/>
      <c r="BTZ184" s="456"/>
      <c r="BUA184" s="456"/>
      <c r="BUB184" s="456"/>
      <c r="BUC184" s="456"/>
      <c r="BUD184" s="456"/>
      <c r="BUE184" s="456"/>
      <c r="BUF184" s="456"/>
      <c r="BUG184" s="456"/>
      <c r="BUH184" s="456"/>
      <c r="BUI184" s="456"/>
      <c r="BUJ184" s="456"/>
      <c r="BUK184" s="456"/>
      <c r="BUL184" s="456"/>
      <c r="BUM184" s="456"/>
      <c r="BUN184" s="456"/>
      <c r="BUO184" s="456"/>
      <c r="BUP184" s="456"/>
      <c r="BUQ184" s="456"/>
      <c r="BUR184" s="456"/>
      <c r="BUS184" s="456"/>
      <c r="BUT184" s="456"/>
      <c r="BUU184" s="456"/>
      <c r="BUV184" s="456"/>
      <c r="BUW184" s="456"/>
      <c r="BUX184" s="456"/>
      <c r="BUY184" s="456"/>
      <c r="BUZ184" s="456"/>
      <c r="BVA184" s="456"/>
      <c r="BVB184" s="456"/>
      <c r="BVC184" s="456"/>
      <c r="BVD184" s="456"/>
      <c r="BVE184" s="456"/>
      <c r="BVF184" s="456"/>
      <c r="BVG184" s="456"/>
      <c r="BVH184" s="456"/>
      <c r="BVI184" s="456"/>
      <c r="BVJ184" s="456"/>
      <c r="BVK184" s="456"/>
      <c r="BVL184" s="456"/>
      <c r="BVM184" s="456"/>
      <c r="BVN184" s="456"/>
      <c r="BVO184" s="456"/>
      <c r="BVP184" s="456"/>
      <c r="BVQ184" s="456"/>
      <c r="BVR184" s="456"/>
      <c r="BVS184" s="456"/>
      <c r="BVT184" s="456"/>
      <c r="BVU184" s="456"/>
      <c r="BVV184" s="456"/>
      <c r="BVW184" s="456"/>
      <c r="BVX184" s="456"/>
      <c r="BVY184" s="456"/>
      <c r="BVZ184" s="456"/>
      <c r="BWA184" s="456"/>
      <c r="BWB184" s="456"/>
      <c r="BWC184" s="456"/>
      <c r="BWD184" s="456"/>
      <c r="BWE184" s="456"/>
      <c r="BWF184" s="456"/>
      <c r="BWG184" s="456"/>
      <c r="BWH184" s="456"/>
      <c r="BWI184" s="456"/>
      <c r="BWJ184" s="456"/>
      <c r="BWK184" s="456"/>
      <c r="BWL184" s="456"/>
      <c r="BWM184" s="456"/>
      <c r="BWN184" s="456"/>
      <c r="BWO184" s="456"/>
      <c r="BWP184" s="456"/>
      <c r="BWQ184" s="456"/>
      <c r="BWR184" s="456"/>
      <c r="BWS184" s="456"/>
      <c r="BWT184" s="456"/>
      <c r="BWU184" s="456"/>
      <c r="BWV184" s="456"/>
      <c r="BWW184" s="456"/>
      <c r="BWX184" s="456"/>
      <c r="BWY184" s="456"/>
      <c r="BWZ184" s="456"/>
      <c r="BXA184" s="456"/>
      <c r="BXB184" s="456"/>
      <c r="BXC184" s="456"/>
      <c r="BXD184" s="456"/>
      <c r="BXE184" s="456"/>
      <c r="BXF184" s="456"/>
      <c r="BXG184" s="456"/>
      <c r="BXH184" s="456"/>
      <c r="BXI184" s="456"/>
      <c r="BXJ184" s="456"/>
      <c r="BXK184" s="456"/>
      <c r="BXL184" s="456"/>
      <c r="BXM184" s="456"/>
      <c r="BXN184" s="456"/>
      <c r="BXO184" s="456"/>
      <c r="BXP184" s="456"/>
      <c r="BXQ184" s="456"/>
      <c r="BXR184" s="456"/>
      <c r="BXS184" s="456"/>
      <c r="BXT184" s="456"/>
      <c r="BXU184" s="456"/>
      <c r="BXV184" s="456"/>
      <c r="BXW184" s="456"/>
      <c r="BXX184" s="456"/>
      <c r="BXY184" s="456"/>
      <c r="BXZ184" s="456"/>
    </row>
    <row r="185" s="25" customFormat="1" spans="1:1024 1025:2002">
      <c r="A185" s="473"/>
      <c r="B185" s="19">
        <v>1135</v>
      </c>
      <c r="C185" s="183">
        <v>46227</v>
      </c>
      <c r="D185" s="17" t="s">
        <v>35</v>
      </c>
      <c r="E185" s="17" t="s">
        <v>71</v>
      </c>
      <c r="F185" s="17" t="s">
        <v>54</v>
      </c>
      <c r="G185" s="17"/>
      <c r="H185" s="124">
        <v>1.208</v>
      </c>
      <c r="I185" s="124"/>
      <c r="J185" s="17" t="s">
        <v>82</v>
      </c>
      <c r="K185" s="91">
        <v>300</v>
      </c>
      <c r="L185" s="168">
        <v>32</v>
      </c>
      <c r="M185" s="19">
        <v>5800</v>
      </c>
      <c r="N185" s="19" t="s">
        <v>40</v>
      </c>
      <c r="O185" s="19" t="s">
        <v>67</v>
      </c>
      <c r="P185" s="19">
        <v>4500</v>
      </c>
      <c r="Q185" s="19">
        <v>4567</v>
      </c>
      <c r="R185" s="19">
        <f t="shared" si="12"/>
        <v>-67</v>
      </c>
      <c r="S185" s="19">
        <v>1300</v>
      </c>
      <c r="T185" s="19" t="s">
        <v>42</v>
      </c>
      <c r="U185" s="102" t="s">
        <v>127</v>
      </c>
      <c r="V185" s="186">
        <v>46224</v>
      </c>
      <c r="W185" s="17" t="s">
        <v>44</v>
      </c>
      <c r="X185" s="17"/>
      <c r="Y185" s="68">
        <v>46266</v>
      </c>
      <c r="Z185" s="17" t="s">
        <v>45</v>
      </c>
      <c r="AA185" s="17" t="s">
        <v>46</v>
      </c>
      <c r="AB185" s="17"/>
      <c r="AC185" s="102"/>
      <c r="AD185" s="65">
        <v>1864</v>
      </c>
      <c r="AE185" s="17" t="s">
        <v>48</v>
      </c>
      <c r="AF185" s="17"/>
      <c r="AG185" s="17"/>
      <c r="AH185" s="456"/>
      <c r="AI185" s="456"/>
      <c r="AJ185" s="456"/>
      <c r="AK185" s="456"/>
      <c r="AL185" s="456"/>
      <c r="AM185" s="456"/>
      <c r="AN185" s="456"/>
      <c r="AO185" s="456"/>
      <c r="AP185" s="456"/>
      <c r="AQ185" s="456"/>
      <c r="AR185" s="456"/>
      <c r="AS185" s="456"/>
      <c r="AT185" s="456"/>
      <c r="AU185" s="456"/>
      <c r="AV185" s="456"/>
      <c r="AW185" s="456"/>
      <c r="AX185" s="456"/>
      <c r="AY185" s="456"/>
      <c r="AZ185" s="456"/>
      <c r="BA185" s="456"/>
      <c r="BB185" s="456"/>
      <c r="BC185" s="456"/>
      <c r="BD185" s="456"/>
      <c r="BE185" s="456"/>
      <c r="BF185" s="456"/>
      <c r="BG185" s="456"/>
      <c r="BH185" s="456"/>
      <c r="BI185" s="456"/>
      <c r="BJ185" s="456"/>
      <c r="BK185" s="456"/>
      <c r="BL185" s="456"/>
      <c r="BM185" s="456"/>
      <c r="BN185" s="456"/>
      <c r="BO185" s="456"/>
      <c r="BP185" s="456"/>
      <c r="BQ185" s="456"/>
      <c r="BR185" s="456"/>
      <c r="BS185" s="456"/>
      <c r="BT185" s="456"/>
      <c r="BU185" s="456"/>
      <c r="BV185" s="456"/>
      <c r="BW185" s="456"/>
      <c r="BX185" s="456"/>
      <c r="BY185" s="456"/>
      <c r="BZ185" s="456"/>
      <c r="CA185" s="456"/>
      <c r="CB185" s="456"/>
      <c r="CC185" s="456"/>
      <c r="CD185" s="456"/>
      <c r="CE185" s="456"/>
      <c r="CF185" s="456"/>
      <c r="CG185" s="456"/>
      <c r="CH185" s="456"/>
      <c r="CI185" s="456"/>
      <c r="CJ185" s="456"/>
      <c r="CK185" s="456"/>
      <c r="CL185" s="456"/>
      <c r="CM185" s="456"/>
      <c r="CN185" s="456"/>
      <c r="CO185" s="456"/>
      <c r="CP185" s="456"/>
      <c r="CQ185" s="456"/>
      <c r="CR185" s="456"/>
      <c r="CS185" s="456"/>
      <c r="CT185" s="456"/>
      <c r="CU185" s="456"/>
      <c r="CV185" s="456"/>
      <c r="CW185" s="456"/>
      <c r="CX185" s="456"/>
      <c r="CY185" s="456"/>
      <c r="CZ185" s="456"/>
      <c r="DA185" s="456"/>
      <c r="DB185" s="456"/>
      <c r="DC185" s="456"/>
      <c r="DD185" s="456"/>
      <c r="DE185" s="456"/>
      <c r="DF185" s="456"/>
      <c r="DG185" s="456"/>
      <c r="DH185" s="456"/>
      <c r="DI185" s="456"/>
      <c r="DJ185" s="456"/>
      <c r="DK185" s="456"/>
      <c r="DL185" s="456"/>
      <c r="DM185" s="456"/>
      <c r="DN185" s="456"/>
      <c r="DO185" s="456"/>
      <c r="DP185" s="456"/>
      <c r="DQ185" s="456"/>
      <c r="DR185" s="456"/>
      <c r="DS185" s="456"/>
      <c r="DT185" s="456"/>
      <c r="DU185" s="456"/>
      <c r="DV185" s="456"/>
      <c r="DW185" s="456"/>
      <c r="DX185" s="456"/>
      <c r="DY185" s="456"/>
      <c r="DZ185" s="456"/>
      <c r="EA185" s="456"/>
      <c r="EB185" s="456"/>
      <c r="EC185" s="456"/>
      <c r="ED185" s="456"/>
      <c r="EE185" s="456"/>
      <c r="EF185" s="456"/>
      <c r="EG185" s="456"/>
      <c r="EH185" s="456"/>
      <c r="EI185" s="456"/>
      <c r="EJ185" s="456"/>
      <c r="EK185" s="456"/>
      <c r="EL185" s="456"/>
      <c r="EM185" s="456"/>
      <c r="EN185" s="456"/>
      <c r="EO185" s="456"/>
      <c r="EP185" s="456"/>
      <c r="EQ185" s="456"/>
      <c r="ER185" s="456"/>
      <c r="ES185" s="456"/>
      <c r="ET185" s="456"/>
      <c r="EU185" s="456"/>
      <c r="EV185" s="456"/>
      <c r="EW185" s="456"/>
      <c r="EX185" s="456"/>
      <c r="EY185" s="456"/>
      <c r="EZ185" s="456"/>
      <c r="FA185" s="456"/>
      <c r="FB185" s="456"/>
      <c r="FC185" s="456"/>
      <c r="FD185" s="456"/>
      <c r="FE185" s="456"/>
      <c r="FF185" s="456"/>
      <c r="FG185" s="456"/>
      <c r="FH185" s="456"/>
      <c r="FI185" s="456"/>
      <c r="FJ185" s="456"/>
      <c r="FK185" s="456"/>
      <c r="FL185" s="456"/>
      <c r="FM185" s="456"/>
      <c r="FN185" s="456"/>
      <c r="FO185" s="456"/>
      <c r="FP185" s="456"/>
      <c r="FQ185" s="456"/>
      <c r="FR185" s="456"/>
      <c r="FS185" s="456"/>
      <c r="FT185" s="456"/>
      <c r="FU185" s="456"/>
      <c r="FV185" s="456"/>
      <c r="FW185" s="456"/>
      <c r="FX185" s="456"/>
      <c r="FY185" s="456"/>
      <c r="FZ185" s="456"/>
      <c r="GA185" s="456"/>
      <c r="GB185" s="456"/>
      <c r="GC185" s="456"/>
      <c r="GD185" s="456"/>
      <c r="GE185" s="456"/>
      <c r="GF185" s="456"/>
      <c r="GG185" s="456"/>
      <c r="GH185" s="456"/>
      <c r="GI185" s="456"/>
      <c r="GJ185" s="456"/>
      <c r="GK185" s="456"/>
      <c r="GL185" s="456"/>
      <c r="GM185" s="456"/>
      <c r="GN185" s="456"/>
      <c r="GO185" s="456"/>
      <c r="GP185" s="456"/>
      <c r="GQ185" s="456"/>
      <c r="GR185" s="456"/>
      <c r="GS185" s="456"/>
      <c r="GT185" s="456"/>
      <c r="GU185" s="456"/>
      <c r="GV185" s="456"/>
      <c r="GW185" s="456"/>
      <c r="GX185" s="456"/>
      <c r="GY185" s="456"/>
      <c r="GZ185" s="456"/>
      <c r="HA185" s="456"/>
      <c r="HB185" s="456"/>
      <c r="HC185" s="456"/>
      <c r="HD185" s="456"/>
      <c r="HE185" s="456"/>
      <c r="HF185" s="456"/>
      <c r="HG185" s="456"/>
      <c r="HH185" s="456"/>
      <c r="HI185" s="456"/>
      <c r="HJ185" s="456"/>
      <c r="HK185" s="456"/>
      <c r="HL185" s="456"/>
      <c r="HM185" s="456"/>
      <c r="HN185" s="456"/>
      <c r="HO185" s="456"/>
      <c r="HP185" s="456"/>
      <c r="HQ185" s="456"/>
      <c r="HR185" s="456"/>
      <c r="HS185" s="456"/>
      <c r="HT185" s="456"/>
      <c r="HU185" s="456"/>
      <c r="HV185" s="456"/>
      <c r="HW185" s="456"/>
      <c r="HX185" s="456"/>
      <c r="HY185" s="456"/>
      <c r="HZ185" s="456"/>
      <c r="IA185" s="456"/>
      <c r="IB185" s="456"/>
      <c r="IC185" s="456"/>
      <c r="ID185" s="456"/>
      <c r="IE185" s="456"/>
      <c r="IF185" s="456"/>
      <c r="IG185" s="456"/>
      <c r="IH185" s="456"/>
      <c r="II185" s="456"/>
      <c r="IJ185" s="456"/>
      <c r="IK185" s="456"/>
      <c r="IL185" s="456"/>
      <c r="IM185" s="456"/>
      <c r="IN185" s="456"/>
      <c r="IO185" s="456"/>
      <c r="IP185" s="456"/>
      <c r="IQ185" s="456"/>
      <c r="IR185" s="456"/>
      <c r="IS185" s="456"/>
      <c r="IT185" s="456"/>
      <c r="IU185" s="456"/>
      <c r="IV185" s="456"/>
      <c r="IW185" s="456"/>
      <c r="IX185" s="456"/>
      <c r="IY185" s="456"/>
      <c r="IZ185" s="456"/>
      <c r="JA185" s="456"/>
      <c r="JB185" s="456"/>
      <c r="JC185" s="456"/>
      <c r="JD185" s="456"/>
      <c r="JE185" s="456"/>
      <c r="JF185" s="456"/>
      <c r="JG185" s="456"/>
      <c r="JH185" s="456"/>
      <c r="JI185" s="456"/>
      <c r="JJ185" s="456"/>
      <c r="JK185" s="456"/>
      <c r="JL185" s="456"/>
      <c r="JM185" s="456"/>
      <c r="JN185" s="456"/>
      <c r="JO185" s="456"/>
      <c r="JP185" s="456"/>
      <c r="JQ185" s="456"/>
      <c r="JR185" s="456"/>
      <c r="JS185" s="456"/>
      <c r="JT185" s="456"/>
      <c r="JU185" s="456"/>
      <c r="JV185" s="456"/>
      <c r="JW185" s="456"/>
      <c r="JX185" s="456"/>
      <c r="JY185" s="456"/>
      <c r="JZ185" s="456"/>
      <c r="KA185" s="456"/>
      <c r="KB185" s="456"/>
      <c r="KC185" s="456"/>
      <c r="KD185" s="456"/>
      <c r="KE185" s="456"/>
      <c r="KF185" s="456"/>
      <c r="KG185" s="456"/>
      <c r="KH185" s="456"/>
      <c r="KI185" s="456"/>
      <c r="KJ185" s="456"/>
      <c r="KK185" s="456"/>
      <c r="KL185" s="456"/>
      <c r="KM185" s="456"/>
      <c r="KN185" s="456"/>
      <c r="KO185" s="456"/>
      <c r="KP185" s="456"/>
      <c r="KQ185" s="456"/>
      <c r="KR185" s="456"/>
      <c r="KS185" s="456"/>
      <c r="KT185" s="456"/>
      <c r="KU185" s="456"/>
      <c r="KV185" s="456"/>
      <c r="KW185" s="456"/>
      <c r="KX185" s="456"/>
      <c r="KY185" s="456"/>
      <c r="KZ185" s="456"/>
      <c r="LA185" s="456"/>
      <c r="LB185" s="456"/>
      <c r="LC185" s="456"/>
      <c r="LD185" s="456"/>
      <c r="LE185" s="456"/>
      <c r="LF185" s="456"/>
      <c r="LG185" s="456"/>
      <c r="LH185" s="456"/>
      <c r="LI185" s="456"/>
      <c r="LJ185" s="456"/>
      <c r="LK185" s="456"/>
      <c r="LL185" s="456"/>
      <c r="LM185" s="456"/>
      <c r="LN185" s="456"/>
      <c r="LO185" s="456"/>
      <c r="LP185" s="456"/>
      <c r="LQ185" s="456"/>
      <c r="LR185" s="456"/>
      <c r="LS185" s="456"/>
      <c r="LT185" s="456"/>
      <c r="LU185" s="456"/>
      <c r="LV185" s="456"/>
      <c r="LW185" s="456"/>
      <c r="LX185" s="456"/>
      <c r="LY185" s="456"/>
      <c r="LZ185" s="456"/>
      <c r="MA185" s="456"/>
      <c r="MB185" s="456"/>
      <c r="MC185" s="456"/>
      <c r="MD185" s="456"/>
      <c r="ME185" s="456"/>
      <c r="MF185" s="456"/>
      <c r="MG185" s="456"/>
      <c r="MH185" s="456"/>
      <c r="MI185" s="456"/>
      <c r="MJ185" s="456"/>
      <c r="MK185" s="456"/>
      <c r="ML185" s="456"/>
      <c r="MM185" s="456"/>
      <c r="MN185" s="456"/>
      <c r="MO185" s="456"/>
      <c r="MP185" s="456"/>
      <c r="MQ185" s="456"/>
      <c r="MR185" s="456"/>
      <c r="MS185" s="456"/>
      <c r="MT185" s="456"/>
      <c r="MU185" s="456"/>
      <c r="MV185" s="456"/>
      <c r="MW185" s="456"/>
      <c r="MX185" s="456"/>
      <c r="MY185" s="456"/>
      <c r="MZ185" s="456"/>
      <c r="NA185" s="456"/>
      <c r="NB185" s="456"/>
      <c r="NC185" s="456"/>
      <c r="ND185" s="456"/>
      <c r="NE185" s="456"/>
      <c r="NF185" s="456"/>
      <c r="NG185" s="456"/>
      <c r="NH185" s="456"/>
      <c r="NI185" s="456"/>
      <c r="NJ185" s="456"/>
      <c r="NK185" s="456"/>
      <c r="NL185" s="456"/>
      <c r="NM185" s="456"/>
      <c r="NN185" s="456"/>
      <c r="NO185" s="456"/>
      <c r="NP185" s="456"/>
      <c r="NQ185" s="456"/>
      <c r="NR185" s="456"/>
      <c r="NS185" s="456"/>
      <c r="NT185" s="456"/>
      <c r="NU185" s="456"/>
      <c r="NV185" s="456"/>
      <c r="NW185" s="456"/>
      <c r="NX185" s="456"/>
      <c r="NY185" s="456"/>
      <c r="NZ185" s="456"/>
      <c r="OA185" s="456"/>
      <c r="OB185" s="456"/>
      <c r="OC185" s="456"/>
      <c r="OD185" s="456"/>
      <c r="OE185" s="456"/>
      <c r="OF185" s="456"/>
      <c r="OG185" s="456"/>
      <c r="OH185" s="456"/>
      <c r="OI185" s="456"/>
      <c r="OJ185" s="456"/>
      <c r="OK185" s="456"/>
      <c r="OL185" s="456"/>
      <c r="OM185" s="456"/>
      <c r="ON185" s="456"/>
      <c r="OO185" s="456"/>
      <c r="OP185" s="456"/>
      <c r="OQ185" s="456"/>
      <c r="OR185" s="456"/>
      <c r="OS185" s="456"/>
      <c r="OT185" s="456"/>
      <c r="OU185" s="456"/>
      <c r="OV185" s="456"/>
      <c r="OW185" s="456"/>
      <c r="OX185" s="456"/>
      <c r="OY185" s="456"/>
      <c r="OZ185" s="456"/>
      <c r="PA185" s="456"/>
      <c r="PB185" s="456"/>
      <c r="PC185" s="456"/>
      <c r="PD185" s="456"/>
      <c r="PE185" s="456"/>
      <c r="PF185" s="456"/>
      <c r="PG185" s="456"/>
      <c r="PH185" s="456"/>
      <c r="PI185" s="456"/>
      <c r="PJ185" s="456"/>
      <c r="PK185" s="456"/>
      <c r="PL185" s="456"/>
      <c r="PM185" s="456"/>
      <c r="PN185" s="456"/>
      <c r="PO185" s="456"/>
      <c r="PP185" s="456"/>
      <c r="PQ185" s="456"/>
      <c r="PR185" s="456"/>
      <c r="PS185" s="456"/>
      <c r="PT185" s="456"/>
      <c r="PU185" s="456"/>
      <c r="PV185" s="456"/>
      <c r="PW185" s="456"/>
      <c r="PX185" s="456"/>
      <c r="PY185" s="456"/>
      <c r="PZ185" s="456"/>
      <c r="QA185" s="456"/>
      <c r="QB185" s="456"/>
      <c r="QC185" s="456"/>
      <c r="QD185" s="456"/>
      <c r="QE185" s="456"/>
      <c r="QF185" s="456"/>
      <c r="QG185" s="456"/>
      <c r="QH185" s="456"/>
      <c r="QI185" s="456"/>
      <c r="QJ185" s="456"/>
      <c r="QK185" s="456"/>
      <c r="QL185" s="456"/>
      <c r="QM185" s="456"/>
      <c r="QN185" s="456"/>
      <c r="QO185" s="456"/>
      <c r="QP185" s="456"/>
      <c r="QQ185" s="456"/>
      <c r="QR185" s="456"/>
      <c r="QS185" s="456"/>
      <c r="QT185" s="456"/>
      <c r="QU185" s="456"/>
      <c r="QV185" s="456"/>
      <c r="QW185" s="456"/>
      <c r="QX185" s="456"/>
      <c r="QY185" s="456"/>
      <c r="QZ185" s="456"/>
      <c r="RA185" s="456"/>
      <c r="RB185" s="456"/>
      <c r="RC185" s="456"/>
      <c r="RD185" s="456"/>
      <c r="RE185" s="456"/>
      <c r="RF185" s="456"/>
      <c r="RG185" s="456"/>
      <c r="RH185" s="456"/>
      <c r="RI185" s="456"/>
      <c r="RJ185" s="456"/>
      <c r="RK185" s="456"/>
      <c r="RL185" s="456"/>
      <c r="RM185" s="456"/>
      <c r="RN185" s="456"/>
      <c r="RO185" s="456"/>
      <c r="RP185" s="456"/>
      <c r="RQ185" s="456"/>
      <c r="RR185" s="456"/>
      <c r="RS185" s="456"/>
      <c r="RT185" s="456"/>
      <c r="RU185" s="456"/>
      <c r="RV185" s="456"/>
      <c r="RW185" s="456"/>
      <c r="RX185" s="456"/>
      <c r="RY185" s="456"/>
      <c r="RZ185" s="456"/>
      <c r="SA185" s="456"/>
      <c r="SB185" s="456"/>
      <c r="SC185" s="456"/>
      <c r="SD185" s="456"/>
      <c r="SE185" s="456"/>
      <c r="SF185" s="456"/>
      <c r="SG185" s="456"/>
      <c r="SH185" s="456"/>
      <c r="SI185" s="456"/>
      <c r="SJ185" s="456"/>
      <c r="SK185" s="456"/>
      <c r="SL185" s="456"/>
      <c r="SM185" s="456"/>
      <c r="SN185" s="456"/>
      <c r="SO185" s="456"/>
      <c r="SP185" s="456"/>
      <c r="SQ185" s="456"/>
      <c r="SR185" s="456"/>
      <c r="SS185" s="456"/>
      <c r="ST185" s="456"/>
      <c r="SU185" s="456"/>
      <c r="SV185" s="456"/>
      <c r="SW185" s="456"/>
      <c r="SX185" s="456"/>
      <c r="SY185" s="456"/>
      <c r="SZ185" s="456"/>
      <c r="TA185" s="456"/>
      <c r="TB185" s="456"/>
      <c r="TC185" s="456"/>
      <c r="TD185" s="456"/>
      <c r="TE185" s="456"/>
      <c r="TF185" s="456"/>
      <c r="TG185" s="456"/>
      <c r="TH185" s="456"/>
      <c r="TI185" s="456"/>
      <c r="TJ185" s="456"/>
      <c r="TK185" s="456"/>
      <c r="TL185" s="456"/>
      <c r="TM185" s="456"/>
      <c r="TN185" s="456"/>
      <c r="TO185" s="456"/>
      <c r="TP185" s="456"/>
      <c r="TQ185" s="456"/>
      <c r="TR185" s="456"/>
      <c r="TS185" s="456"/>
      <c r="TT185" s="456"/>
      <c r="TU185" s="456"/>
      <c r="TV185" s="456"/>
      <c r="TW185" s="456"/>
      <c r="TX185" s="456"/>
      <c r="TY185" s="456"/>
      <c r="TZ185" s="456"/>
      <c r="UA185" s="456"/>
      <c r="UB185" s="456"/>
      <c r="UC185" s="456"/>
      <c r="UD185" s="456"/>
      <c r="UE185" s="456"/>
      <c r="UF185" s="456"/>
      <c r="UG185" s="456"/>
      <c r="UH185" s="456"/>
      <c r="UI185" s="456"/>
      <c r="UJ185" s="456"/>
      <c r="UK185" s="456"/>
      <c r="UL185" s="456"/>
      <c r="UM185" s="456"/>
      <c r="UN185" s="456"/>
      <c r="UO185" s="456"/>
      <c r="UP185" s="456"/>
      <c r="UQ185" s="456"/>
      <c r="UR185" s="456"/>
      <c r="US185" s="456"/>
      <c r="UT185" s="456"/>
      <c r="UU185" s="456"/>
      <c r="UV185" s="456"/>
      <c r="UW185" s="456"/>
      <c r="UX185" s="456"/>
      <c r="UY185" s="456"/>
      <c r="UZ185" s="456"/>
      <c r="VA185" s="456"/>
      <c r="VB185" s="456"/>
      <c r="VC185" s="456"/>
      <c r="VD185" s="456"/>
      <c r="VE185" s="456"/>
      <c r="VF185" s="456"/>
      <c r="VG185" s="456"/>
      <c r="VH185" s="456"/>
      <c r="VI185" s="456"/>
      <c r="VJ185" s="456"/>
      <c r="VK185" s="456"/>
      <c r="VL185" s="456"/>
      <c r="VM185" s="456"/>
      <c r="VN185" s="456"/>
      <c r="VO185" s="456"/>
      <c r="VP185" s="456"/>
      <c r="VQ185" s="456"/>
      <c r="VR185" s="456"/>
      <c r="VS185" s="456"/>
      <c r="VT185" s="456"/>
      <c r="VU185" s="456"/>
      <c r="VV185" s="456"/>
      <c r="VW185" s="456"/>
      <c r="VX185" s="456"/>
      <c r="VY185" s="456"/>
      <c r="VZ185" s="456"/>
      <c r="WA185" s="456"/>
      <c r="WB185" s="456"/>
      <c r="WC185" s="456"/>
      <c r="WD185" s="456"/>
      <c r="WE185" s="456"/>
      <c r="WF185" s="456"/>
      <c r="WG185" s="456"/>
      <c r="WH185" s="456"/>
      <c r="WI185" s="456"/>
      <c r="WJ185" s="456"/>
      <c r="WK185" s="456"/>
      <c r="WL185" s="456"/>
      <c r="WM185" s="456"/>
      <c r="WN185" s="456"/>
      <c r="WO185" s="456"/>
      <c r="WP185" s="456"/>
      <c r="WQ185" s="456"/>
      <c r="WR185" s="456"/>
      <c r="WS185" s="456"/>
      <c r="WT185" s="456"/>
      <c r="WU185" s="456"/>
      <c r="WV185" s="456"/>
      <c r="WW185" s="456"/>
      <c r="WX185" s="456"/>
      <c r="WY185" s="456"/>
      <c r="WZ185" s="456"/>
      <c r="XA185" s="456"/>
      <c r="XB185" s="456"/>
      <c r="XC185" s="456"/>
      <c r="XD185" s="456"/>
      <c r="XE185" s="456"/>
      <c r="XF185" s="456"/>
      <c r="XG185" s="456"/>
      <c r="XH185" s="456"/>
      <c r="XI185" s="456"/>
      <c r="XJ185" s="456"/>
      <c r="XK185" s="456"/>
      <c r="XL185" s="456"/>
      <c r="XM185" s="456"/>
      <c r="XN185" s="456"/>
      <c r="XO185" s="456"/>
      <c r="XP185" s="456"/>
      <c r="XQ185" s="456"/>
      <c r="XR185" s="456"/>
      <c r="XS185" s="456"/>
      <c r="XT185" s="456"/>
      <c r="XU185" s="456"/>
      <c r="XV185" s="456"/>
      <c r="XW185" s="456"/>
      <c r="XX185" s="456"/>
      <c r="XY185" s="456"/>
      <c r="XZ185" s="456"/>
      <c r="YA185" s="456"/>
      <c r="YB185" s="456"/>
      <c r="YC185" s="456"/>
      <c r="YD185" s="456"/>
      <c r="YE185" s="456"/>
      <c r="YF185" s="456"/>
      <c r="YG185" s="456"/>
      <c r="YH185" s="456"/>
      <c r="YI185" s="456"/>
      <c r="YJ185" s="456"/>
      <c r="YK185" s="456"/>
      <c r="YL185" s="456"/>
      <c r="YM185" s="456"/>
      <c r="YN185" s="456"/>
      <c r="YO185" s="456"/>
      <c r="YP185" s="456"/>
      <c r="YQ185" s="456"/>
      <c r="YR185" s="456"/>
      <c r="YS185" s="456"/>
      <c r="YT185" s="456"/>
      <c r="YU185" s="456"/>
      <c r="YV185" s="456"/>
      <c r="YW185" s="456"/>
      <c r="YX185" s="456"/>
      <c r="YY185" s="456"/>
      <c r="YZ185" s="456"/>
      <c r="ZA185" s="456"/>
      <c r="ZB185" s="456"/>
      <c r="ZC185" s="456"/>
      <c r="ZD185" s="456"/>
      <c r="ZE185" s="456"/>
      <c r="ZF185" s="456"/>
      <c r="ZG185" s="456"/>
      <c r="ZH185" s="456"/>
      <c r="ZI185" s="456"/>
      <c r="ZJ185" s="456"/>
      <c r="ZK185" s="456"/>
      <c r="ZL185" s="456"/>
      <c r="ZM185" s="456"/>
      <c r="ZN185" s="456"/>
      <c r="ZO185" s="456"/>
      <c r="ZP185" s="456"/>
      <c r="ZQ185" s="456"/>
      <c r="ZR185" s="456"/>
      <c r="ZS185" s="456"/>
      <c r="ZT185" s="456"/>
      <c r="ZU185" s="456"/>
      <c r="ZV185" s="456"/>
      <c r="ZW185" s="456"/>
      <c r="ZX185" s="456"/>
      <c r="ZY185" s="456"/>
      <c r="ZZ185" s="456"/>
      <c r="AAA185" s="456"/>
      <c r="AAB185" s="456"/>
      <c r="AAC185" s="456"/>
      <c r="AAD185" s="456"/>
      <c r="AAE185" s="456"/>
      <c r="AAF185" s="456"/>
      <c r="AAG185" s="456"/>
      <c r="AAH185" s="456"/>
      <c r="AAI185" s="456"/>
      <c r="AAJ185" s="456"/>
      <c r="AAK185" s="456"/>
      <c r="AAL185" s="456"/>
      <c r="AAM185" s="456"/>
      <c r="AAN185" s="456"/>
      <c r="AAO185" s="456"/>
      <c r="AAP185" s="456"/>
      <c r="AAQ185" s="456"/>
      <c r="AAR185" s="456"/>
      <c r="AAS185" s="456"/>
      <c r="AAT185" s="456"/>
      <c r="AAU185" s="456"/>
      <c r="AAV185" s="456"/>
      <c r="AAW185" s="456"/>
      <c r="AAX185" s="456"/>
      <c r="AAY185" s="456"/>
      <c r="AAZ185" s="456"/>
      <c r="ABA185" s="456"/>
      <c r="ABB185" s="456"/>
      <c r="ABC185" s="456"/>
      <c r="ABD185" s="456"/>
      <c r="ABE185" s="456"/>
      <c r="ABF185" s="456"/>
      <c r="ABG185" s="456"/>
      <c r="ABH185" s="456"/>
      <c r="ABI185" s="456"/>
      <c r="ABJ185" s="456"/>
      <c r="ABK185" s="456"/>
      <c r="ABL185" s="456"/>
      <c r="ABM185" s="456"/>
      <c r="ABN185" s="456"/>
      <c r="ABO185" s="456"/>
      <c r="ABP185" s="456"/>
      <c r="ABQ185" s="456"/>
      <c r="ABR185" s="456"/>
      <c r="ABS185" s="456"/>
      <c r="ABT185" s="456"/>
      <c r="ABU185" s="456"/>
      <c r="ABV185" s="456"/>
      <c r="ABW185" s="456"/>
      <c r="ABX185" s="456"/>
      <c r="ABY185" s="456"/>
      <c r="ABZ185" s="456"/>
      <c r="ACA185" s="456"/>
      <c r="ACB185" s="456"/>
      <c r="ACC185" s="456"/>
      <c r="ACD185" s="456"/>
      <c r="ACE185" s="456"/>
      <c r="ACF185" s="456"/>
      <c r="ACG185" s="456"/>
      <c r="ACH185" s="456"/>
      <c r="ACI185" s="456"/>
      <c r="ACJ185" s="456"/>
      <c r="ACK185" s="456"/>
      <c r="ACL185" s="456"/>
      <c r="ACM185" s="456"/>
      <c r="ACN185" s="456"/>
      <c r="ACO185" s="456"/>
      <c r="ACP185" s="456"/>
      <c r="ACQ185" s="456"/>
      <c r="ACR185" s="456"/>
      <c r="ACS185" s="456"/>
      <c r="ACT185" s="456"/>
      <c r="ACU185" s="456"/>
      <c r="ACV185" s="456"/>
      <c r="ACW185" s="456"/>
      <c r="ACX185" s="456"/>
      <c r="ACY185" s="456"/>
      <c r="ACZ185" s="456"/>
      <c r="ADA185" s="456"/>
      <c r="ADB185" s="456"/>
      <c r="ADC185" s="456"/>
      <c r="ADD185" s="456"/>
      <c r="ADE185" s="456"/>
      <c r="ADF185" s="456"/>
      <c r="ADG185" s="456"/>
      <c r="ADH185" s="456"/>
      <c r="ADI185" s="456"/>
      <c r="ADJ185" s="456"/>
      <c r="ADK185" s="456"/>
      <c r="ADL185" s="456"/>
      <c r="ADM185" s="456"/>
      <c r="ADN185" s="456"/>
      <c r="ADO185" s="456"/>
      <c r="ADP185" s="456"/>
      <c r="ADQ185" s="456"/>
      <c r="ADR185" s="456"/>
      <c r="ADS185" s="456"/>
      <c r="ADT185" s="456"/>
      <c r="ADU185" s="456"/>
      <c r="ADV185" s="456"/>
      <c r="ADW185" s="456"/>
      <c r="ADX185" s="456"/>
      <c r="ADY185" s="456"/>
      <c r="ADZ185" s="456"/>
      <c r="AEA185" s="456"/>
      <c r="AEB185" s="456"/>
      <c r="AEC185" s="456"/>
      <c r="AED185" s="456"/>
      <c r="AEE185" s="456"/>
      <c r="AEF185" s="456"/>
      <c r="AEG185" s="456"/>
      <c r="AEH185" s="456"/>
      <c r="AEI185" s="456"/>
      <c r="AEJ185" s="456"/>
      <c r="AEK185" s="456"/>
      <c r="AEL185" s="456"/>
      <c r="AEM185" s="456"/>
      <c r="AEN185" s="456"/>
      <c r="AEO185" s="456"/>
      <c r="AEP185" s="456"/>
      <c r="AEQ185" s="456"/>
      <c r="AER185" s="456"/>
      <c r="AES185" s="456"/>
      <c r="AET185" s="456"/>
      <c r="AEU185" s="456"/>
      <c r="AEV185" s="456"/>
      <c r="AEW185" s="456"/>
      <c r="AEX185" s="456"/>
      <c r="AEY185" s="456"/>
      <c r="AEZ185" s="456"/>
      <c r="AFA185" s="456"/>
      <c r="AFB185" s="456"/>
      <c r="AFC185" s="456"/>
      <c r="AFD185" s="456"/>
      <c r="AFE185" s="456"/>
      <c r="AFF185" s="456"/>
      <c r="AFG185" s="456"/>
      <c r="AFH185" s="456"/>
      <c r="AFI185" s="456"/>
      <c r="AFJ185" s="456"/>
      <c r="AFK185" s="456"/>
      <c r="AFL185" s="456"/>
      <c r="AFM185" s="456"/>
      <c r="AFN185" s="456"/>
      <c r="AFO185" s="456"/>
      <c r="AFP185" s="456"/>
      <c r="AFQ185" s="456"/>
      <c r="AFR185" s="456"/>
      <c r="AFS185" s="456"/>
      <c r="AFT185" s="456"/>
      <c r="AFU185" s="456"/>
      <c r="AFV185" s="456"/>
      <c r="AFW185" s="456"/>
      <c r="AFX185" s="456"/>
      <c r="AFY185" s="456"/>
      <c r="AFZ185" s="456"/>
      <c r="AGA185" s="456"/>
      <c r="AGB185" s="456"/>
      <c r="AGC185" s="456"/>
      <c r="AGD185" s="456"/>
      <c r="AGE185" s="456"/>
      <c r="AGF185" s="456"/>
      <c r="AGG185" s="456"/>
      <c r="AGH185" s="456"/>
      <c r="AGI185" s="456"/>
      <c r="AGJ185" s="456"/>
      <c r="AGK185" s="456"/>
      <c r="AGL185" s="456"/>
      <c r="AGM185" s="456"/>
      <c r="AGN185" s="456"/>
      <c r="AGO185" s="456"/>
      <c r="AGP185" s="456"/>
      <c r="AGQ185" s="456"/>
      <c r="AGR185" s="456"/>
      <c r="AGS185" s="456"/>
      <c r="AGT185" s="456"/>
      <c r="AGU185" s="456"/>
      <c r="AGV185" s="456"/>
      <c r="AGW185" s="456"/>
      <c r="AGX185" s="456"/>
      <c r="AGY185" s="456"/>
      <c r="AGZ185" s="456"/>
      <c r="AHA185" s="456"/>
      <c r="AHB185" s="456"/>
      <c r="AHC185" s="456"/>
      <c r="AHD185" s="456"/>
      <c r="AHE185" s="456"/>
      <c r="AHF185" s="456"/>
      <c r="AHG185" s="456"/>
      <c r="AHH185" s="456"/>
      <c r="AHI185" s="456"/>
      <c r="AHJ185" s="456"/>
      <c r="AHK185" s="456"/>
      <c r="AHL185" s="456"/>
      <c r="AHM185" s="456"/>
      <c r="AHN185" s="456"/>
      <c r="AHO185" s="456"/>
      <c r="AHP185" s="456"/>
      <c r="AHQ185" s="456"/>
      <c r="AHR185" s="456"/>
      <c r="AHS185" s="456"/>
      <c r="AHT185" s="456"/>
      <c r="AHU185" s="456"/>
      <c r="AHV185" s="456"/>
      <c r="AHW185" s="456"/>
      <c r="AHX185" s="456"/>
      <c r="AHY185" s="456"/>
      <c r="AHZ185" s="456"/>
      <c r="AIA185" s="456"/>
      <c r="AIB185" s="456"/>
      <c r="AIC185" s="456"/>
      <c r="AID185" s="456"/>
      <c r="AIE185" s="456"/>
      <c r="AIF185" s="456"/>
      <c r="AIG185" s="456"/>
      <c r="AIH185" s="456"/>
      <c r="AII185" s="456"/>
      <c r="AIJ185" s="456"/>
      <c r="AIK185" s="456"/>
      <c r="AIL185" s="456"/>
      <c r="AIM185" s="456"/>
      <c r="AIN185" s="456"/>
      <c r="AIO185" s="456"/>
      <c r="AIP185" s="456"/>
      <c r="AIQ185" s="456"/>
      <c r="AIR185" s="456"/>
      <c r="AIS185" s="456"/>
      <c r="AIT185" s="456"/>
      <c r="AIU185" s="456"/>
      <c r="AIV185" s="456"/>
      <c r="AIW185" s="456"/>
      <c r="AIX185" s="456"/>
      <c r="AIY185" s="456"/>
      <c r="AIZ185" s="456"/>
      <c r="AJA185" s="456"/>
      <c r="AJB185" s="456"/>
      <c r="AJC185" s="456"/>
      <c r="AJD185" s="456"/>
      <c r="AJE185" s="456"/>
      <c r="AJF185" s="456"/>
      <c r="AJG185" s="456"/>
      <c r="AJH185" s="456"/>
      <c r="AJI185" s="456"/>
      <c r="AJJ185" s="456"/>
      <c r="AJK185" s="456"/>
      <c r="AJL185" s="456"/>
      <c r="AJM185" s="456"/>
      <c r="AJN185" s="456"/>
      <c r="AJO185" s="456"/>
      <c r="AJP185" s="456"/>
      <c r="AJQ185" s="456"/>
      <c r="AJR185" s="456"/>
      <c r="AJS185" s="456"/>
      <c r="AJT185" s="456"/>
      <c r="AJU185" s="456"/>
      <c r="AJV185" s="456"/>
      <c r="AJW185" s="456"/>
      <c r="AJX185" s="456"/>
      <c r="AJY185" s="456"/>
      <c r="AJZ185" s="456"/>
      <c r="AKA185" s="456"/>
      <c r="AKB185" s="456"/>
      <c r="AKC185" s="456"/>
      <c r="AKD185" s="456"/>
      <c r="AKE185" s="456"/>
      <c r="AKF185" s="456"/>
      <c r="AKG185" s="456"/>
      <c r="AKH185" s="456"/>
      <c r="AKI185" s="456"/>
      <c r="AKJ185" s="456"/>
      <c r="AKK185" s="456"/>
      <c r="AKL185" s="456"/>
      <c r="AKM185" s="456"/>
      <c r="AKN185" s="456"/>
      <c r="AKO185" s="456"/>
      <c r="AKP185" s="456"/>
      <c r="AKQ185" s="456"/>
      <c r="AKR185" s="456"/>
      <c r="AKS185" s="456"/>
      <c r="AKT185" s="456"/>
      <c r="AKU185" s="456"/>
      <c r="AKV185" s="456"/>
      <c r="AKW185" s="456"/>
      <c r="AKX185" s="456"/>
      <c r="AKY185" s="456"/>
      <c r="AKZ185" s="456"/>
      <c r="ALA185" s="456"/>
      <c r="ALB185" s="456"/>
      <c r="ALC185" s="456"/>
      <c r="ALD185" s="456"/>
      <c r="ALE185" s="456"/>
      <c r="ALF185" s="456"/>
      <c r="ALG185" s="456"/>
      <c r="ALH185" s="456"/>
      <c r="ALI185" s="456"/>
      <c r="ALJ185" s="456"/>
      <c r="ALK185" s="456"/>
      <c r="ALL185" s="456"/>
      <c r="ALM185" s="456"/>
      <c r="ALN185" s="456"/>
      <c r="ALO185" s="456"/>
      <c r="ALP185" s="456"/>
      <c r="ALQ185" s="456"/>
      <c r="ALR185" s="456"/>
      <c r="ALS185" s="456"/>
      <c r="ALT185" s="456"/>
      <c r="ALU185" s="456"/>
      <c r="ALV185" s="456"/>
      <c r="ALW185" s="456"/>
      <c r="ALX185" s="456"/>
      <c r="ALY185" s="456"/>
      <c r="ALZ185" s="456"/>
      <c r="AMA185" s="456"/>
      <c r="AMB185" s="456"/>
      <c r="AMC185" s="456"/>
      <c r="AMD185" s="456"/>
      <c r="AME185" s="456"/>
      <c r="AMF185" s="456"/>
      <c r="AMG185" s="456"/>
      <c r="AMH185" s="456"/>
      <c r="AMI185" s="456"/>
      <c r="AMJ185" s="456"/>
      <c r="AMK185" s="456"/>
      <c r="AML185" s="456"/>
      <c r="AMM185" s="456"/>
      <c r="AMN185" s="456"/>
      <c r="AMO185" s="456"/>
      <c r="AMP185" s="456"/>
      <c r="AMQ185" s="456"/>
      <c r="AMR185" s="456"/>
      <c r="AMS185" s="456"/>
      <c r="AMT185" s="456"/>
      <c r="AMU185" s="456"/>
      <c r="AMV185" s="456"/>
      <c r="AMW185" s="456"/>
      <c r="AMX185" s="456"/>
      <c r="AMY185" s="456"/>
      <c r="AMZ185" s="456"/>
      <c r="ANA185" s="456"/>
      <c r="ANB185" s="456"/>
      <c r="ANC185" s="456"/>
      <c r="AND185" s="456"/>
      <c r="ANE185" s="456"/>
      <c r="ANF185" s="456"/>
      <c r="ANG185" s="456"/>
      <c r="ANH185" s="456"/>
      <c r="ANI185" s="456"/>
      <c r="ANJ185" s="456"/>
      <c r="ANK185" s="456"/>
      <c r="ANL185" s="456"/>
      <c r="ANM185" s="456"/>
      <c r="ANN185" s="456"/>
      <c r="ANO185" s="456"/>
      <c r="ANP185" s="456"/>
      <c r="ANQ185" s="456"/>
      <c r="ANR185" s="456"/>
      <c r="ANS185" s="456"/>
      <c r="ANT185" s="456"/>
      <c r="ANU185" s="456"/>
      <c r="ANV185" s="456"/>
      <c r="ANW185" s="456"/>
      <c r="ANX185" s="456"/>
      <c r="ANY185" s="456"/>
      <c r="ANZ185" s="456"/>
      <c r="AOA185" s="456"/>
      <c r="AOB185" s="456"/>
      <c r="AOC185" s="456"/>
      <c r="AOD185" s="456"/>
      <c r="AOE185" s="456"/>
      <c r="AOF185" s="456"/>
      <c r="AOG185" s="456"/>
      <c r="AOH185" s="456"/>
      <c r="AOI185" s="456"/>
      <c r="AOJ185" s="456"/>
      <c r="AOK185" s="456"/>
      <c r="AOL185" s="456"/>
      <c r="AOM185" s="456"/>
      <c r="AON185" s="456"/>
      <c r="AOO185" s="456"/>
      <c r="AOP185" s="456"/>
      <c r="AOQ185" s="456"/>
      <c r="AOR185" s="456"/>
      <c r="AOS185" s="456"/>
      <c r="AOT185" s="456"/>
      <c r="AOU185" s="456"/>
      <c r="AOV185" s="456"/>
      <c r="AOW185" s="456"/>
      <c r="AOX185" s="456"/>
      <c r="AOY185" s="456"/>
      <c r="AOZ185" s="456"/>
      <c r="APA185" s="456"/>
      <c r="APB185" s="456"/>
      <c r="APC185" s="456"/>
      <c r="APD185" s="456"/>
      <c r="APE185" s="456"/>
      <c r="APF185" s="456"/>
      <c r="APG185" s="456"/>
      <c r="APH185" s="456"/>
      <c r="API185" s="456"/>
      <c r="APJ185" s="456"/>
      <c r="APK185" s="456"/>
      <c r="APL185" s="456"/>
      <c r="APM185" s="456"/>
      <c r="APN185" s="456"/>
      <c r="APO185" s="456"/>
      <c r="APP185" s="456"/>
      <c r="APQ185" s="456"/>
      <c r="APR185" s="456"/>
      <c r="APS185" s="456"/>
      <c r="APT185" s="456"/>
      <c r="APU185" s="456"/>
      <c r="APV185" s="456"/>
      <c r="APW185" s="456"/>
      <c r="APX185" s="456"/>
      <c r="APY185" s="456"/>
      <c r="APZ185" s="456"/>
      <c r="AQA185" s="456"/>
      <c r="AQB185" s="456"/>
      <c r="AQC185" s="456"/>
      <c r="AQD185" s="456"/>
      <c r="AQE185" s="456"/>
      <c r="AQF185" s="456"/>
      <c r="AQG185" s="456"/>
      <c r="AQH185" s="456"/>
      <c r="AQI185" s="456"/>
      <c r="AQJ185" s="456"/>
      <c r="AQK185" s="456"/>
      <c r="AQL185" s="456"/>
      <c r="AQM185" s="456"/>
      <c r="AQN185" s="456"/>
      <c r="AQO185" s="456"/>
      <c r="AQP185" s="456"/>
      <c r="AQQ185" s="456"/>
      <c r="AQR185" s="456"/>
      <c r="AQS185" s="456"/>
      <c r="AQT185" s="456"/>
      <c r="AQU185" s="456"/>
      <c r="AQV185" s="456"/>
      <c r="AQW185" s="456"/>
      <c r="AQX185" s="456"/>
      <c r="AQY185" s="456"/>
      <c r="AQZ185" s="456"/>
      <c r="ARA185" s="456"/>
      <c r="ARB185" s="456"/>
      <c r="ARC185" s="456"/>
      <c r="ARD185" s="456"/>
      <c r="ARE185" s="456"/>
      <c r="ARF185" s="456"/>
      <c r="ARG185" s="456"/>
      <c r="ARH185" s="456"/>
      <c r="ARI185" s="456"/>
      <c r="ARJ185" s="456"/>
      <c r="ARK185" s="456"/>
      <c r="ARL185" s="456"/>
      <c r="ARM185" s="456"/>
      <c r="ARN185" s="456"/>
      <c r="ARO185" s="456"/>
      <c r="ARP185" s="456"/>
      <c r="ARQ185" s="456"/>
      <c r="ARR185" s="456"/>
      <c r="ARS185" s="456"/>
      <c r="ART185" s="456"/>
      <c r="ARU185" s="456"/>
      <c r="ARV185" s="456"/>
      <c r="ARW185" s="456"/>
      <c r="ARX185" s="456"/>
      <c r="ARY185" s="456"/>
      <c r="ARZ185" s="456"/>
      <c r="ASA185" s="456"/>
      <c r="ASB185" s="456"/>
      <c r="ASC185" s="456"/>
      <c r="ASD185" s="456"/>
      <c r="ASE185" s="456"/>
      <c r="ASF185" s="456"/>
      <c r="ASG185" s="456"/>
      <c r="ASH185" s="456"/>
      <c r="ASI185" s="456"/>
      <c r="ASJ185" s="456"/>
      <c r="ASK185" s="456"/>
      <c r="ASL185" s="456"/>
      <c r="ASM185" s="456"/>
      <c r="ASN185" s="456"/>
      <c r="ASO185" s="456"/>
      <c r="ASP185" s="456"/>
      <c r="ASQ185" s="456"/>
      <c r="ASR185" s="456"/>
      <c r="ASS185" s="456"/>
      <c r="AST185" s="456"/>
      <c r="ASU185" s="456"/>
      <c r="ASV185" s="456"/>
      <c r="ASW185" s="456"/>
      <c r="ASX185" s="456"/>
      <c r="ASY185" s="456"/>
      <c r="ASZ185" s="456"/>
      <c r="ATA185" s="456"/>
      <c r="ATB185" s="456"/>
      <c r="ATC185" s="456"/>
      <c r="ATD185" s="456"/>
      <c r="ATE185" s="456"/>
      <c r="ATF185" s="456"/>
      <c r="ATG185" s="456"/>
      <c r="ATH185" s="456"/>
      <c r="ATI185" s="456"/>
      <c r="ATJ185" s="456"/>
      <c r="ATK185" s="456"/>
      <c r="ATL185" s="456"/>
      <c r="ATM185" s="456"/>
      <c r="ATN185" s="456"/>
      <c r="ATO185" s="456"/>
      <c r="ATP185" s="456"/>
      <c r="ATQ185" s="456"/>
      <c r="ATR185" s="456"/>
      <c r="ATS185" s="456"/>
      <c r="ATT185" s="456"/>
      <c r="ATU185" s="456"/>
      <c r="ATV185" s="456"/>
      <c r="ATW185" s="456"/>
      <c r="ATX185" s="456"/>
      <c r="ATY185" s="456"/>
      <c r="ATZ185" s="456"/>
      <c r="AUA185" s="456"/>
      <c r="AUB185" s="456"/>
      <c r="AUC185" s="456"/>
      <c r="AUD185" s="456"/>
      <c r="AUE185" s="456"/>
      <c r="AUF185" s="456"/>
      <c r="AUG185" s="456"/>
      <c r="AUH185" s="456"/>
      <c r="AUI185" s="456"/>
      <c r="AUJ185" s="456"/>
      <c r="AUK185" s="456"/>
      <c r="AUL185" s="456"/>
      <c r="AUM185" s="456"/>
      <c r="AUN185" s="456"/>
      <c r="AUO185" s="456"/>
      <c r="AUP185" s="456"/>
      <c r="AUQ185" s="456"/>
      <c r="AUR185" s="456"/>
      <c r="AUS185" s="456"/>
      <c r="AUT185" s="456"/>
      <c r="AUU185" s="456"/>
      <c r="AUV185" s="456"/>
      <c r="AUW185" s="456"/>
      <c r="AUX185" s="456"/>
      <c r="AUY185" s="456"/>
      <c r="AUZ185" s="456"/>
      <c r="AVA185" s="456"/>
      <c r="AVB185" s="456"/>
      <c r="AVC185" s="456"/>
      <c r="AVD185" s="456"/>
      <c r="AVE185" s="456"/>
      <c r="AVF185" s="456"/>
      <c r="AVG185" s="456"/>
      <c r="AVH185" s="456"/>
      <c r="AVI185" s="456"/>
      <c r="AVJ185" s="456"/>
      <c r="AVK185" s="456"/>
      <c r="AVL185" s="456"/>
      <c r="AVM185" s="456"/>
      <c r="AVN185" s="456"/>
      <c r="AVO185" s="456"/>
      <c r="AVP185" s="456"/>
      <c r="AVQ185" s="456"/>
      <c r="AVR185" s="456"/>
      <c r="AVS185" s="456"/>
      <c r="AVT185" s="456"/>
      <c r="AVU185" s="456"/>
      <c r="AVV185" s="456"/>
      <c r="AVW185" s="456"/>
      <c r="AVX185" s="456"/>
      <c r="AVY185" s="456"/>
      <c r="AVZ185" s="456"/>
      <c r="AWA185" s="456"/>
      <c r="AWB185" s="456"/>
      <c r="AWC185" s="456"/>
      <c r="AWD185" s="456"/>
      <c r="AWE185" s="456"/>
      <c r="AWF185" s="456"/>
      <c r="AWG185" s="456"/>
      <c r="AWH185" s="456"/>
      <c r="AWI185" s="456"/>
      <c r="AWJ185" s="456"/>
      <c r="AWK185" s="456"/>
      <c r="AWL185" s="456"/>
      <c r="AWM185" s="456"/>
      <c r="AWN185" s="456"/>
      <c r="AWO185" s="456"/>
      <c r="AWP185" s="456"/>
      <c r="AWQ185" s="456"/>
      <c r="AWR185" s="456"/>
      <c r="AWS185" s="456"/>
      <c r="AWT185" s="456"/>
      <c r="AWU185" s="456"/>
      <c r="AWV185" s="456"/>
      <c r="AWW185" s="456"/>
      <c r="AWX185" s="456"/>
      <c r="AWY185" s="456"/>
      <c r="AWZ185" s="456"/>
      <c r="AXA185" s="456"/>
      <c r="AXB185" s="456"/>
      <c r="AXC185" s="456"/>
      <c r="AXD185" s="456"/>
      <c r="AXE185" s="456"/>
      <c r="AXF185" s="456"/>
      <c r="AXG185" s="456"/>
      <c r="AXH185" s="456"/>
      <c r="AXI185" s="456"/>
      <c r="AXJ185" s="456"/>
      <c r="AXK185" s="456"/>
      <c r="AXL185" s="456"/>
      <c r="AXM185" s="456"/>
      <c r="AXN185" s="456"/>
      <c r="AXO185" s="456"/>
      <c r="AXP185" s="456"/>
      <c r="AXQ185" s="456"/>
      <c r="AXR185" s="456"/>
      <c r="AXS185" s="456"/>
      <c r="AXT185" s="456"/>
      <c r="AXU185" s="456"/>
      <c r="AXV185" s="456"/>
      <c r="AXW185" s="456"/>
      <c r="AXX185" s="456"/>
      <c r="AXY185" s="456"/>
      <c r="AXZ185" s="456"/>
      <c r="AYA185" s="456"/>
      <c r="AYB185" s="456"/>
      <c r="AYC185" s="456"/>
      <c r="AYD185" s="456"/>
      <c r="AYE185" s="456"/>
      <c r="AYF185" s="456"/>
      <c r="AYG185" s="456"/>
      <c r="AYH185" s="456"/>
      <c r="AYI185" s="456"/>
      <c r="AYJ185" s="456"/>
      <c r="AYK185" s="456"/>
      <c r="AYL185" s="456"/>
      <c r="AYM185" s="456"/>
      <c r="AYN185" s="456"/>
      <c r="AYO185" s="456"/>
      <c r="AYP185" s="456"/>
      <c r="AYQ185" s="456"/>
      <c r="AYR185" s="456"/>
      <c r="AYS185" s="456"/>
      <c r="AYT185" s="456"/>
      <c r="AYU185" s="456"/>
      <c r="AYV185" s="456"/>
      <c r="AYW185" s="456"/>
      <c r="AYX185" s="456"/>
      <c r="AYY185" s="456"/>
      <c r="AYZ185" s="456"/>
      <c r="AZA185" s="456"/>
      <c r="AZB185" s="456"/>
      <c r="AZC185" s="456"/>
      <c r="AZD185" s="456"/>
      <c r="AZE185" s="456"/>
      <c r="AZF185" s="456"/>
      <c r="AZG185" s="456"/>
      <c r="AZH185" s="456"/>
      <c r="AZI185" s="456"/>
      <c r="AZJ185" s="456"/>
      <c r="AZK185" s="456"/>
      <c r="AZL185" s="456"/>
      <c r="AZM185" s="456"/>
      <c r="AZN185" s="456"/>
      <c r="AZO185" s="456"/>
      <c r="AZP185" s="456"/>
      <c r="AZQ185" s="456"/>
      <c r="AZR185" s="456"/>
      <c r="AZS185" s="456"/>
      <c r="AZT185" s="456"/>
      <c r="AZU185" s="456"/>
      <c r="AZV185" s="456"/>
      <c r="AZW185" s="456"/>
      <c r="AZX185" s="456"/>
      <c r="AZY185" s="456"/>
      <c r="AZZ185" s="456"/>
      <c r="BAA185" s="456"/>
      <c r="BAB185" s="456"/>
      <c r="BAC185" s="456"/>
      <c r="BAD185" s="456"/>
      <c r="BAE185" s="456"/>
      <c r="BAF185" s="456"/>
      <c r="BAG185" s="456"/>
      <c r="BAH185" s="456"/>
      <c r="BAI185" s="456"/>
      <c r="BAJ185" s="456"/>
      <c r="BAK185" s="456"/>
      <c r="BAL185" s="456"/>
      <c r="BAM185" s="456"/>
      <c r="BAN185" s="456"/>
      <c r="BAO185" s="456"/>
      <c r="BAP185" s="456"/>
      <c r="BAQ185" s="456"/>
      <c r="BAR185" s="456"/>
      <c r="BAS185" s="456"/>
      <c r="BAT185" s="456"/>
      <c r="BAU185" s="456"/>
      <c r="BAV185" s="456"/>
      <c r="BAW185" s="456"/>
      <c r="BAX185" s="456"/>
      <c r="BAY185" s="456"/>
      <c r="BAZ185" s="456"/>
      <c r="BBA185" s="456"/>
      <c r="BBB185" s="456"/>
      <c r="BBC185" s="456"/>
      <c r="BBD185" s="456"/>
      <c r="BBE185" s="456"/>
      <c r="BBF185" s="456"/>
      <c r="BBG185" s="456"/>
      <c r="BBH185" s="456"/>
      <c r="BBI185" s="456"/>
      <c r="BBJ185" s="456"/>
      <c r="BBK185" s="456"/>
      <c r="BBL185" s="456"/>
      <c r="BBM185" s="456"/>
      <c r="BBN185" s="456"/>
      <c r="BBO185" s="456"/>
      <c r="BBP185" s="456"/>
      <c r="BBQ185" s="456"/>
      <c r="BBR185" s="456"/>
      <c r="BBS185" s="456"/>
      <c r="BBT185" s="456"/>
      <c r="BBU185" s="456"/>
      <c r="BBV185" s="456"/>
      <c r="BBW185" s="456"/>
      <c r="BBX185" s="456"/>
      <c r="BBY185" s="456"/>
      <c r="BBZ185" s="456"/>
      <c r="BCA185" s="456"/>
      <c r="BCB185" s="456"/>
      <c r="BCC185" s="456"/>
      <c r="BCD185" s="456"/>
      <c r="BCE185" s="456"/>
      <c r="BCF185" s="456"/>
      <c r="BCG185" s="456"/>
      <c r="BCH185" s="456"/>
      <c r="BCI185" s="456"/>
      <c r="BCJ185" s="456"/>
      <c r="BCK185" s="456"/>
      <c r="BCL185" s="456"/>
      <c r="BCM185" s="456"/>
      <c r="BCN185" s="456"/>
      <c r="BCO185" s="456"/>
      <c r="BCP185" s="456"/>
      <c r="BCQ185" s="456"/>
      <c r="BCR185" s="456"/>
      <c r="BCS185" s="456"/>
      <c r="BCT185" s="456"/>
      <c r="BCU185" s="456"/>
      <c r="BCV185" s="456"/>
      <c r="BCW185" s="456"/>
      <c r="BCX185" s="456"/>
      <c r="BCY185" s="456"/>
      <c r="BCZ185" s="456"/>
      <c r="BDA185" s="456"/>
      <c r="BDB185" s="456"/>
      <c r="BDC185" s="456"/>
      <c r="BDD185" s="456"/>
      <c r="BDE185" s="456"/>
      <c r="BDF185" s="456"/>
      <c r="BDG185" s="456"/>
      <c r="BDH185" s="456"/>
      <c r="BDI185" s="456"/>
      <c r="BDJ185" s="456"/>
      <c r="BDK185" s="456"/>
      <c r="BDL185" s="456"/>
      <c r="BDM185" s="456"/>
      <c r="BDN185" s="456"/>
      <c r="BDO185" s="456"/>
      <c r="BDP185" s="456"/>
      <c r="BDQ185" s="456"/>
      <c r="BDR185" s="456"/>
      <c r="BDS185" s="456"/>
      <c r="BDT185" s="456"/>
      <c r="BDU185" s="456"/>
      <c r="BDV185" s="456"/>
      <c r="BDW185" s="456"/>
      <c r="BDX185" s="456"/>
      <c r="BDY185" s="456"/>
      <c r="BDZ185" s="456"/>
      <c r="BEA185" s="456"/>
      <c r="BEB185" s="456"/>
      <c r="BEC185" s="456"/>
      <c r="BED185" s="456"/>
      <c r="BEE185" s="456"/>
      <c r="BEF185" s="456"/>
      <c r="BEG185" s="456"/>
      <c r="BEH185" s="456"/>
      <c r="BEI185" s="456"/>
      <c r="BEJ185" s="456"/>
      <c r="BEK185" s="456"/>
      <c r="BEL185" s="456"/>
      <c r="BEM185" s="456"/>
      <c r="BEN185" s="456"/>
      <c r="BEO185" s="456"/>
      <c r="BEP185" s="456"/>
      <c r="BEQ185" s="456"/>
      <c r="BER185" s="456"/>
      <c r="BES185" s="456"/>
      <c r="BET185" s="456"/>
      <c r="BEU185" s="456"/>
      <c r="BEV185" s="456"/>
      <c r="BEW185" s="456"/>
      <c r="BEX185" s="456"/>
      <c r="BEY185" s="456"/>
      <c r="BEZ185" s="456"/>
      <c r="BFA185" s="456"/>
      <c r="BFB185" s="456"/>
      <c r="BFC185" s="456"/>
      <c r="BFD185" s="456"/>
      <c r="BFE185" s="456"/>
      <c r="BFF185" s="456"/>
      <c r="BFG185" s="456"/>
      <c r="BFH185" s="456"/>
      <c r="BFI185" s="456"/>
      <c r="BFJ185" s="456"/>
      <c r="BFK185" s="456"/>
      <c r="BFL185" s="456"/>
      <c r="BFM185" s="456"/>
      <c r="BFN185" s="456"/>
      <c r="BFO185" s="456"/>
      <c r="BFP185" s="456"/>
      <c r="BFQ185" s="456"/>
      <c r="BFR185" s="456"/>
      <c r="BFS185" s="456"/>
      <c r="BFT185" s="456"/>
      <c r="BFU185" s="456"/>
      <c r="BFV185" s="456"/>
      <c r="BFW185" s="456"/>
      <c r="BFX185" s="456"/>
      <c r="BFY185" s="456"/>
      <c r="BFZ185" s="456"/>
      <c r="BGA185" s="456"/>
      <c r="BGB185" s="456"/>
      <c r="BGC185" s="456"/>
      <c r="BGD185" s="456"/>
      <c r="BGE185" s="456"/>
      <c r="BGF185" s="456"/>
      <c r="BGG185" s="456"/>
      <c r="BGH185" s="456"/>
      <c r="BGI185" s="456"/>
      <c r="BGJ185" s="456"/>
      <c r="BGK185" s="456"/>
      <c r="BGL185" s="456"/>
      <c r="BGM185" s="456"/>
      <c r="BGN185" s="456"/>
      <c r="BGO185" s="456"/>
      <c r="BGP185" s="456"/>
      <c r="BGQ185" s="456"/>
      <c r="BGR185" s="456"/>
      <c r="BGS185" s="456"/>
      <c r="BGT185" s="456"/>
      <c r="BGU185" s="456"/>
      <c r="BGV185" s="456"/>
      <c r="BGW185" s="456"/>
      <c r="BGX185" s="456"/>
      <c r="BGY185" s="456"/>
      <c r="BGZ185" s="456"/>
      <c r="BHA185" s="456"/>
      <c r="BHB185" s="456"/>
      <c r="BHC185" s="456"/>
      <c r="BHD185" s="456"/>
      <c r="BHE185" s="456"/>
      <c r="BHF185" s="456"/>
      <c r="BHG185" s="456"/>
      <c r="BHH185" s="456"/>
      <c r="BHI185" s="456"/>
      <c r="BHJ185" s="456"/>
      <c r="BHK185" s="456"/>
      <c r="BHL185" s="456"/>
      <c r="BHM185" s="456"/>
      <c r="BHN185" s="456"/>
      <c r="BHO185" s="456"/>
      <c r="BHP185" s="456"/>
      <c r="BHQ185" s="456"/>
      <c r="BHR185" s="456"/>
      <c r="BHS185" s="456"/>
      <c r="BHT185" s="456"/>
      <c r="BHU185" s="456"/>
      <c r="BHV185" s="456"/>
      <c r="BHW185" s="456"/>
      <c r="BHX185" s="456"/>
      <c r="BHY185" s="456"/>
      <c r="BHZ185" s="456"/>
      <c r="BIA185" s="456"/>
      <c r="BIB185" s="456"/>
      <c r="BIC185" s="456"/>
      <c r="BID185" s="456"/>
      <c r="BIE185" s="456"/>
      <c r="BIF185" s="456"/>
      <c r="BIG185" s="456"/>
      <c r="BIH185" s="456"/>
      <c r="BII185" s="456"/>
      <c r="BIJ185" s="456"/>
      <c r="BIK185" s="456"/>
      <c r="BIL185" s="456"/>
      <c r="BIM185" s="456"/>
      <c r="BIN185" s="456"/>
      <c r="BIO185" s="456"/>
      <c r="BIP185" s="456"/>
      <c r="BIQ185" s="456"/>
      <c r="BIR185" s="456"/>
      <c r="BIS185" s="456"/>
      <c r="BIT185" s="456"/>
      <c r="BIU185" s="456"/>
      <c r="BIV185" s="456"/>
      <c r="BIW185" s="456"/>
      <c r="BIX185" s="456"/>
      <c r="BIY185" s="456"/>
      <c r="BIZ185" s="456"/>
      <c r="BJA185" s="456"/>
      <c r="BJB185" s="456"/>
      <c r="BJC185" s="456"/>
      <c r="BJD185" s="456"/>
      <c r="BJE185" s="456"/>
      <c r="BJF185" s="456"/>
      <c r="BJG185" s="456"/>
      <c r="BJH185" s="456"/>
      <c r="BJI185" s="456"/>
      <c r="BJJ185" s="456"/>
      <c r="BJK185" s="456"/>
      <c r="BJL185" s="456"/>
      <c r="BJM185" s="456"/>
      <c r="BJN185" s="456"/>
      <c r="BJO185" s="456"/>
      <c r="BJP185" s="456"/>
      <c r="BJQ185" s="456"/>
      <c r="BJR185" s="456"/>
      <c r="BJS185" s="456"/>
      <c r="BJT185" s="456"/>
      <c r="BJU185" s="456"/>
      <c r="BJV185" s="456"/>
      <c r="BJW185" s="456"/>
      <c r="BJX185" s="456"/>
      <c r="BJY185" s="456"/>
      <c r="BJZ185" s="456"/>
      <c r="BKA185" s="456"/>
      <c r="BKB185" s="456"/>
      <c r="BKC185" s="456"/>
      <c r="BKD185" s="456"/>
      <c r="BKE185" s="456"/>
      <c r="BKF185" s="456"/>
      <c r="BKG185" s="456"/>
      <c r="BKH185" s="456"/>
      <c r="BKI185" s="456"/>
      <c r="BKJ185" s="456"/>
      <c r="BKK185" s="456"/>
      <c r="BKL185" s="456"/>
      <c r="BKM185" s="456"/>
      <c r="BKN185" s="456"/>
      <c r="BKO185" s="456"/>
      <c r="BKP185" s="456"/>
      <c r="BKQ185" s="456"/>
      <c r="BKR185" s="456"/>
      <c r="BKS185" s="456"/>
      <c r="BKT185" s="456"/>
      <c r="BKU185" s="456"/>
      <c r="BKV185" s="456"/>
      <c r="BKW185" s="456"/>
      <c r="BKX185" s="456"/>
      <c r="BKY185" s="456"/>
      <c r="BKZ185" s="456"/>
      <c r="BLA185" s="456"/>
      <c r="BLB185" s="456"/>
      <c r="BLC185" s="456"/>
      <c r="BLD185" s="456"/>
      <c r="BLE185" s="456"/>
      <c r="BLF185" s="456"/>
      <c r="BLG185" s="456"/>
      <c r="BLH185" s="456"/>
      <c r="BLI185" s="456"/>
      <c r="BLJ185" s="456"/>
      <c r="BLK185" s="456"/>
      <c r="BLL185" s="456"/>
      <c r="BLM185" s="456"/>
      <c r="BLN185" s="456"/>
      <c r="BLO185" s="456"/>
      <c r="BLP185" s="456"/>
      <c r="BLQ185" s="456"/>
      <c r="BLR185" s="456"/>
      <c r="BLS185" s="456"/>
      <c r="BLT185" s="456"/>
      <c r="BLU185" s="456"/>
      <c r="BLV185" s="456"/>
      <c r="BLW185" s="456"/>
      <c r="BLX185" s="456"/>
      <c r="BLY185" s="456"/>
      <c r="BLZ185" s="456"/>
      <c r="BMA185" s="456"/>
      <c r="BMB185" s="456"/>
      <c r="BMC185" s="456"/>
      <c r="BMD185" s="456"/>
      <c r="BME185" s="456"/>
      <c r="BMF185" s="456"/>
      <c r="BMG185" s="456"/>
      <c r="BMH185" s="456"/>
      <c r="BMI185" s="456"/>
      <c r="BMJ185" s="456"/>
      <c r="BMK185" s="456"/>
      <c r="BML185" s="456"/>
      <c r="BMM185" s="456"/>
      <c r="BMN185" s="456"/>
      <c r="BMO185" s="456"/>
      <c r="BMP185" s="456"/>
      <c r="BMQ185" s="456"/>
      <c r="BMR185" s="456"/>
      <c r="BMS185" s="456"/>
      <c r="BMT185" s="456"/>
      <c r="BMU185" s="456"/>
      <c r="BMV185" s="456"/>
      <c r="BMW185" s="456"/>
      <c r="BMX185" s="456"/>
      <c r="BMY185" s="456"/>
      <c r="BMZ185" s="456"/>
      <c r="BNA185" s="456"/>
      <c r="BNB185" s="456"/>
      <c r="BNC185" s="456"/>
      <c r="BND185" s="456"/>
      <c r="BNE185" s="456"/>
      <c r="BNF185" s="456"/>
      <c r="BNG185" s="456"/>
      <c r="BNH185" s="456"/>
      <c r="BNI185" s="456"/>
      <c r="BNJ185" s="456"/>
      <c r="BNK185" s="456"/>
      <c r="BNL185" s="456"/>
      <c r="BNM185" s="456"/>
      <c r="BNN185" s="456"/>
      <c r="BNO185" s="456"/>
      <c r="BNP185" s="456"/>
      <c r="BNQ185" s="456"/>
      <c r="BNR185" s="456"/>
      <c r="BNS185" s="456"/>
      <c r="BNT185" s="456"/>
      <c r="BNU185" s="456"/>
      <c r="BNV185" s="456"/>
      <c r="BNW185" s="456"/>
      <c r="BNX185" s="456"/>
      <c r="BNY185" s="456"/>
      <c r="BNZ185" s="456"/>
      <c r="BOA185" s="456"/>
      <c r="BOB185" s="456"/>
      <c r="BOC185" s="456"/>
      <c r="BOD185" s="456"/>
      <c r="BOE185" s="456"/>
      <c r="BOF185" s="456"/>
      <c r="BOG185" s="456"/>
      <c r="BOH185" s="456"/>
      <c r="BOI185" s="456"/>
      <c r="BOJ185" s="456"/>
      <c r="BOK185" s="456"/>
      <c r="BOL185" s="456"/>
      <c r="BOM185" s="456"/>
      <c r="BON185" s="456"/>
      <c r="BOO185" s="456"/>
      <c r="BOP185" s="456"/>
      <c r="BOQ185" s="456"/>
      <c r="BOR185" s="456"/>
      <c r="BOS185" s="456"/>
      <c r="BOT185" s="456"/>
      <c r="BOU185" s="456"/>
      <c r="BOV185" s="456"/>
      <c r="BOW185" s="456"/>
      <c r="BOX185" s="456"/>
      <c r="BOY185" s="456"/>
      <c r="BOZ185" s="456"/>
      <c r="BPA185" s="456"/>
      <c r="BPB185" s="456"/>
      <c r="BPC185" s="456"/>
      <c r="BPD185" s="456"/>
      <c r="BPE185" s="456"/>
      <c r="BPF185" s="456"/>
      <c r="BPG185" s="456"/>
      <c r="BPH185" s="456"/>
      <c r="BPI185" s="456"/>
      <c r="BPJ185" s="456"/>
      <c r="BPK185" s="456"/>
      <c r="BPL185" s="456"/>
      <c r="BPM185" s="456"/>
      <c r="BPN185" s="456"/>
      <c r="BPO185" s="456"/>
      <c r="BPP185" s="456"/>
      <c r="BPQ185" s="456"/>
      <c r="BPR185" s="456"/>
      <c r="BPS185" s="456"/>
      <c r="BPT185" s="456"/>
      <c r="BPU185" s="456"/>
      <c r="BPV185" s="456"/>
      <c r="BPW185" s="456"/>
      <c r="BPX185" s="456"/>
      <c r="BPY185" s="456"/>
      <c r="BPZ185" s="456"/>
      <c r="BQA185" s="456"/>
      <c r="BQB185" s="456"/>
      <c r="BQC185" s="456"/>
      <c r="BQD185" s="456"/>
      <c r="BQE185" s="456"/>
      <c r="BQF185" s="456"/>
      <c r="BQG185" s="456"/>
      <c r="BQH185" s="456"/>
      <c r="BQI185" s="456"/>
      <c r="BQJ185" s="456"/>
      <c r="BQK185" s="456"/>
      <c r="BQL185" s="456"/>
      <c r="BQM185" s="456"/>
      <c r="BQN185" s="456"/>
      <c r="BQO185" s="456"/>
      <c r="BQP185" s="456"/>
      <c r="BQQ185" s="456"/>
      <c r="BQR185" s="456"/>
      <c r="BQS185" s="456"/>
      <c r="BQT185" s="456"/>
      <c r="BQU185" s="456"/>
      <c r="BQV185" s="456"/>
      <c r="BQW185" s="456"/>
      <c r="BQX185" s="456"/>
      <c r="BQY185" s="456"/>
      <c r="BQZ185" s="456"/>
      <c r="BRA185" s="456"/>
      <c r="BRB185" s="456"/>
      <c r="BRC185" s="456"/>
      <c r="BRD185" s="456"/>
      <c r="BRE185" s="456"/>
      <c r="BRF185" s="456"/>
      <c r="BRG185" s="456"/>
      <c r="BRH185" s="456"/>
      <c r="BRI185" s="456"/>
      <c r="BRJ185" s="456"/>
      <c r="BRK185" s="456"/>
      <c r="BRL185" s="456"/>
      <c r="BRM185" s="456"/>
      <c r="BRN185" s="456"/>
      <c r="BRO185" s="456"/>
      <c r="BRP185" s="456"/>
      <c r="BRQ185" s="456"/>
      <c r="BRR185" s="456"/>
      <c r="BRS185" s="456"/>
      <c r="BRT185" s="456"/>
      <c r="BRU185" s="456"/>
      <c r="BRV185" s="456"/>
      <c r="BRW185" s="456"/>
      <c r="BRX185" s="456"/>
      <c r="BRY185" s="456"/>
      <c r="BRZ185" s="456"/>
      <c r="BSA185" s="456"/>
      <c r="BSB185" s="456"/>
      <c r="BSC185" s="456"/>
      <c r="BSD185" s="456"/>
      <c r="BSE185" s="456"/>
      <c r="BSF185" s="456"/>
      <c r="BSG185" s="456"/>
      <c r="BSH185" s="456"/>
      <c r="BSI185" s="456"/>
      <c r="BSJ185" s="456"/>
      <c r="BSK185" s="456"/>
      <c r="BSL185" s="456"/>
      <c r="BSM185" s="456"/>
      <c r="BSN185" s="456"/>
      <c r="BSO185" s="456"/>
      <c r="BSP185" s="456"/>
      <c r="BSQ185" s="456"/>
      <c r="BSR185" s="456"/>
      <c r="BSS185" s="456"/>
      <c r="BST185" s="456"/>
      <c r="BSU185" s="456"/>
      <c r="BSV185" s="456"/>
      <c r="BSW185" s="456"/>
      <c r="BSX185" s="456"/>
      <c r="BSY185" s="456"/>
      <c r="BSZ185" s="456"/>
      <c r="BTA185" s="456"/>
      <c r="BTB185" s="456"/>
      <c r="BTC185" s="456"/>
      <c r="BTD185" s="456"/>
      <c r="BTE185" s="456"/>
      <c r="BTF185" s="456"/>
      <c r="BTG185" s="456"/>
      <c r="BTH185" s="456"/>
      <c r="BTI185" s="456"/>
      <c r="BTJ185" s="456"/>
      <c r="BTK185" s="456"/>
      <c r="BTL185" s="456"/>
      <c r="BTM185" s="456"/>
      <c r="BTN185" s="456"/>
      <c r="BTO185" s="456"/>
      <c r="BTP185" s="456"/>
      <c r="BTQ185" s="456"/>
      <c r="BTR185" s="456"/>
      <c r="BTS185" s="456"/>
      <c r="BTT185" s="456"/>
      <c r="BTU185" s="456"/>
      <c r="BTV185" s="456"/>
      <c r="BTW185" s="456"/>
      <c r="BTX185" s="456"/>
      <c r="BTY185" s="456"/>
      <c r="BTZ185" s="456"/>
      <c r="BUA185" s="456"/>
      <c r="BUB185" s="456"/>
      <c r="BUC185" s="456"/>
      <c r="BUD185" s="456"/>
      <c r="BUE185" s="456"/>
      <c r="BUF185" s="456"/>
      <c r="BUG185" s="456"/>
      <c r="BUH185" s="456"/>
      <c r="BUI185" s="456"/>
      <c r="BUJ185" s="456"/>
      <c r="BUK185" s="456"/>
      <c r="BUL185" s="456"/>
      <c r="BUM185" s="456"/>
      <c r="BUN185" s="456"/>
      <c r="BUO185" s="456"/>
      <c r="BUP185" s="456"/>
      <c r="BUQ185" s="456"/>
      <c r="BUR185" s="456"/>
      <c r="BUS185" s="456"/>
      <c r="BUT185" s="456"/>
      <c r="BUU185" s="456"/>
      <c r="BUV185" s="456"/>
      <c r="BUW185" s="456"/>
      <c r="BUX185" s="456"/>
      <c r="BUY185" s="456"/>
      <c r="BUZ185" s="456"/>
      <c r="BVA185" s="456"/>
      <c r="BVB185" s="456"/>
      <c r="BVC185" s="456"/>
      <c r="BVD185" s="456"/>
      <c r="BVE185" s="456"/>
      <c r="BVF185" s="456"/>
      <c r="BVG185" s="456"/>
      <c r="BVH185" s="456"/>
      <c r="BVI185" s="456"/>
      <c r="BVJ185" s="456"/>
      <c r="BVK185" s="456"/>
      <c r="BVL185" s="456"/>
      <c r="BVM185" s="456"/>
      <c r="BVN185" s="456"/>
      <c r="BVO185" s="456"/>
      <c r="BVP185" s="456"/>
      <c r="BVQ185" s="456"/>
      <c r="BVR185" s="456"/>
      <c r="BVS185" s="456"/>
      <c r="BVT185" s="456"/>
      <c r="BVU185" s="456"/>
      <c r="BVV185" s="456"/>
      <c r="BVW185" s="456"/>
      <c r="BVX185" s="456"/>
      <c r="BVY185" s="456"/>
      <c r="BVZ185" s="456"/>
      <c r="BWA185" s="456"/>
      <c r="BWB185" s="456"/>
      <c r="BWC185" s="456"/>
      <c r="BWD185" s="456"/>
      <c r="BWE185" s="456"/>
      <c r="BWF185" s="456"/>
      <c r="BWG185" s="456"/>
      <c r="BWH185" s="456"/>
      <c r="BWI185" s="456"/>
      <c r="BWJ185" s="456"/>
      <c r="BWK185" s="456"/>
      <c r="BWL185" s="456"/>
      <c r="BWM185" s="456"/>
      <c r="BWN185" s="456"/>
      <c r="BWO185" s="456"/>
      <c r="BWP185" s="456"/>
      <c r="BWQ185" s="456"/>
      <c r="BWR185" s="456"/>
      <c r="BWS185" s="456"/>
      <c r="BWT185" s="456"/>
      <c r="BWU185" s="456"/>
      <c r="BWV185" s="456"/>
      <c r="BWW185" s="456"/>
      <c r="BWX185" s="456"/>
      <c r="BWY185" s="456"/>
      <c r="BWZ185" s="456"/>
      <c r="BXA185" s="456"/>
      <c r="BXB185" s="456"/>
      <c r="BXC185" s="456"/>
      <c r="BXD185" s="456"/>
      <c r="BXE185" s="456"/>
      <c r="BXF185" s="456"/>
      <c r="BXG185" s="456"/>
      <c r="BXH185" s="456"/>
      <c r="BXI185" s="456"/>
      <c r="BXJ185" s="456"/>
      <c r="BXK185" s="456"/>
      <c r="BXL185" s="456"/>
      <c r="BXM185" s="456"/>
      <c r="BXN185" s="456"/>
      <c r="BXO185" s="456"/>
      <c r="BXP185" s="456"/>
      <c r="BXQ185" s="456"/>
      <c r="BXR185" s="456"/>
      <c r="BXS185" s="456"/>
      <c r="BXT185" s="456"/>
      <c r="BXU185" s="456"/>
      <c r="BXV185" s="456"/>
      <c r="BXW185" s="456"/>
      <c r="BXX185" s="456"/>
      <c r="BXY185" s="456"/>
      <c r="BXZ185" s="456"/>
    </row>
    <row r="186" s="25" customFormat="1" spans="1:1024 1025:2002">
      <c r="A186" s="473"/>
      <c r="B186" s="19">
        <v>1135</v>
      </c>
      <c r="C186" s="183">
        <v>46227</v>
      </c>
      <c r="D186" s="17" t="s">
        <v>35</v>
      </c>
      <c r="E186" s="17" t="s">
        <v>71</v>
      </c>
      <c r="F186" s="17" t="s">
        <v>54</v>
      </c>
      <c r="G186" s="17"/>
      <c r="H186" s="124">
        <v>1.208</v>
      </c>
      <c r="I186" s="124"/>
      <c r="J186" s="17" t="s">
        <v>82</v>
      </c>
      <c r="K186" s="91">
        <v>350</v>
      </c>
      <c r="L186" s="168">
        <v>32</v>
      </c>
      <c r="M186" s="19">
        <v>5800</v>
      </c>
      <c r="N186" s="19" t="s">
        <v>40</v>
      </c>
      <c r="O186" s="19" t="s">
        <v>67</v>
      </c>
      <c r="P186" s="19">
        <v>5000</v>
      </c>
      <c r="Q186" s="19">
        <v>5097</v>
      </c>
      <c r="R186" s="19">
        <f t="shared" si="12"/>
        <v>-97</v>
      </c>
      <c r="S186" s="19">
        <v>1300</v>
      </c>
      <c r="T186" s="19" t="s">
        <v>42</v>
      </c>
      <c r="U186" s="102" t="s">
        <v>127</v>
      </c>
      <c r="V186" s="186">
        <v>46224</v>
      </c>
      <c r="W186" s="17" t="s">
        <v>44</v>
      </c>
      <c r="X186" s="17"/>
      <c r="Y186" s="68">
        <v>46266</v>
      </c>
      <c r="Z186" s="17" t="s">
        <v>45</v>
      </c>
      <c r="AA186" s="17" t="s">
        <v>46</v>
      </c>
      <c r="AB186" s="17"/>
      <c r="AC186" s="102"/>
      <c r="AD186" s="65">
        <v>1864</v>
      </c>
      <c r="AE186" s="17" t="s">
        <v>48</v>
      </c>
      <c r="AF186" s="17"/>
      <c r="AG186" s="17"/>
      <c r="AH186" s="456"/>
      <c r="AI186" s="456"/>
      <c r="AJ186" s="456"/>
      <c r="AK186" s="456"/>
      <c r="AL186" s="456"/>
      <c r="AM186" s="456"/>
      <c r="AN186" s="456"/>
      <c r="AO186" s="456"/>
      <c r="AP186" s="456"/>
      <c r="AQ186" s="456"/>
      <c r="AR186" s="456"/>
      <c r="AS186" s="456"/>
      <c r="AT186" s="456"/>
      <c r="AU186" s="456"/>
      <c r="AV186" s="456"/>
      <c r="AW186" s="456"/>
      <c r="AX186" s="456"/>
      <c r="AY186" s="456"/>
      <c r="AZ186" s="456"/>
      <c r="BA186" s="456"/>
      <c r="BB186" s="456"/>
      <c r="BC186" s="456"/>
      <c r="BD186" s="456"/>
      <c r="BE186" s="456"/>
      <c r="BF186" s="456"/>
      <c r="BG186" s="456"/>
      <c r="BH186" s="456"/>
      <c r="BI186" s="456"/>
      <c r="BJ186" s="456"/>
      <c r="BK186" s="456"/>
      <c r="BL186" s="456"/>
      <c r="BM186" s="456"/>
      <c r="BN186" s="456"/>
      <c r="BO186" s="456"/>
      <c r="BP186" s="456"/>
      <c r="BQ186" s="456"/>
      <c r="BR186" s="456"/>
      <c r="BS186" s="456"/>
      <c r="BT186" s="456"/>
      <c r="BU186" s="456"/>
      <c r="BV186" s="456"/>
      <c r="BW186" s="456"/>
      <c r="BX186" s="456"/>
      <c r="BY186" s="456"/>
      <c r="BZ186" s="456"/>
      <c r="CA186" s="456"/>
      <c r="CB186" s="456"/>
      <c r="CC186" s="456"/>
      <c r="CD186" s="456"/>
      <c r="CE186" s="456"/>
      <c r="CF186" s="456"/>
      <c r="CG186" s="456"/>
      <c r="CH186" s="456"/>
      <c r="CI186" s="456"/>
      <c r="CJ186" s="456"/>
      <c r="CK186" s="456"/>
      <c r="CL186" s="456"/>
      <c r="CM186" s="456"/>
      <c r="CN186" s="456"/>
      <c r="CO186" s="456"/>
      <c r="CP186" s="456"/>
      <c r="CQ186" s="456"/>
      <c r="CR186" s="456"/>
      <c r="CS186" s="456"/>
      <c r="CT186" s="456"/>
      <c r="CU186" s="456"/>
      <c r="CV186" s="456"/>
      <c r="CW186" s="456"/>
      <c r="CX186" s="456"/>
      <c r="CY186" s="456"/>
      <c r="CZ186" s="456"/>
      <c r="DA186" s="456"/>
      <c r="DB186" s="456"/>
      <c r="DC186" s="456"/>
      <c r="DD186" s="456"/>
      <c r="DE186" s="456"/>
      <c r="DF186" s="456"/>
      <c r="DG186" s="456"/>
      <c r="DH186" s="456"/>
      <c r="DI186" s="456"/>
      <c r="DJ186" s="456"/>
      <c r="DK186" s="456"/>
      <c r="DL186" s="456"/>
      <c r="DM186" s="456"/>
      <c r="DN186" s="456"/>
      <c r="DO186" s="456"/>
      <c r="DP186" s="456"/>
      <c r="DQ186" s="456"/>
      <c r="DR186" s="456"/>
      <c r="DS186" s="456"/>
      <c r="DT186" s="456"/>
      <c r="DU186" s="456"/>
      <c r="DV186" s="456"/>
      <c r="DW186" s="456"/>
      <c r="DX186" s="456"/>
      <c r="DY186" s="456"/>
      <c r="DZ186" s="456"/>
      <c r="EA186" s="456"/>
      <c r="EB186" s="456"/>
      <c r="EC186" s="456"/>
      <c r="ED186" s="456"/>
      <c r="EE186" s="456"/>
      <c r="EF186" s="456"/>
      <c r="EG186" s="456"/>
      <c r="EH186" s="456"/>
      <c r="EI186" s="456"/>
      <c r="EJ186" s="456"/>
      <c r="EK186" s="456"/>
      <c r="EL186" s="456"/>
      <c r="EM186" s="456"/>
      <c r="EN186" s="456"/>
      <c r="EO186" s="456"/>
      <c r="EP186" s="456"/>
      <c r="EQ186" s="456"/>
      <c r="ER186" s="456"/>
      <c r="ES186" s="456"/>
      <c r="ET186" s="456"/>
      <c r="EU186" s="456"/>
      <c r="EV186" s="456"/>
      <c r="EW186" s="456"/>
      <c r="EX186" s="456"/>
      <c r="EY186" s="456"/>
      <c r="EZ186" s="456"/>
      <c r="FA186" s="456"/>
      <c r="FB186" s="456"/>
      <c r="FC186" s="456"/>
      <c r="FD186" s="456"/>
      <c r="FE186" s="456"/>
      <c r="FF186" s="456"/>
      <c r="FG186" s="456"/>
      <c r="FH186" s="456"/>
      <c r="FI186" s="456"/>
      <c r="FJ186" s="456"/>
      <c r="FK186" s="456"/>
      <c r="FL186" s="456"/>
      <c r="FM186" s="456"/>
      <c r="FN186" s="456"/>
      <c r="FO186" s="456"/>
      <c r="FP186" s="456"/>
      <c r="FQ186" s="456"/>
      <c r="FR186" s="456"/>
      <c r="FS186" s="456"/>
      <c r="FT186" s="456"/>
      <c r="FU186" s="456"/>
      <c r="FV186" s="456"/>
      <c r="FW186" s="456"/>
      <c r="FX186" s="456"/>
      <c r="FY186" s="456"/>
      <c r="FZ186" s="456"/>
      <c r="GA186" s="456"/>
      <c r="GB186" s="456"/>
      <c r="GC186" s="456"/>
      <c r="GD186" s="456"/>
      <c r="GE186" s="456"/>
      <c r="GF186" s="456"/>
      <c r="GG186" s="456"/>
      <c r="GH186" s="456"/>
      <c r="GI186" s="456"/>
      <c r="GJ186" s="456"/>
      <c r="GK186" s="456"/>
      <c r="GL186" s="456"/>
      <c r="GM186" s="456"/>
      <c r="GN186" s="456"/>
      <c r="GO186" s="456"/>
      <c r="GP186" s="456"/>
      <c r="GQ186" s="456"/>
      <c r="GR186" s="456"/>
      <c r="GS186" s="456"/>
      <c r="GT186" s="456"/>
      <c r="GU186" s="456"/>
      <c r="GV186" s="456"/>
      <c r="GW186" s="456"/>
      <c r="GX186" s="456"/>
      <c r="GY186" s="456"/>
      <c r="GZ186" s="456"/>
      <c r="HA186" s="456"/>
      <c r="HB186" s="456"/>
      <c r="HC186" s="456"/>
      <c r="HD186" s="456"/>
      <c r="HE186" s="456"/>
      <c r="HF186" s="456"/>
      <c r="HG186" s="456"/>
      <c r="HH186" s="456"/>
      <c r="HI186" s="456"/>
      <c r="HJ186" s="456"/>
      <c r="HK186" s="456"/>
      <c r="HL186" s="456"/>
      <c r="HM186" s="456"/>
      <c r="HN186" s="456"/>
      <c r="HO186" s="456"/>
      <c r="HP186" s="456"/>
      <c r="HQ186" s="456"/>
      <c r="HR186" s="456"/>
      <c r="HS186" s="456"/>
      <c r="HT186" s="456"/>
      <c r="HU186" s="456"/>
      <c r="HV186" s="456"/>
      <c r="HW186" s="456"/>
      <c r="HX186" s="456"/>
      <c r="HY186" s="456"/>
      <c r="HZ186" s="456"/>
      <c r="IA186" s="456"/>
      <c r="IB186" s="456"/>
      <c r="IC186" s="456"/>
      <c r="ID186" s="456"/>
      <c r="IE186" s="456"/>
      <c r="IF186" s="456"/>
      <c r="IG186" s="456"/>
      <c r="IH186" s="456"/>
      <c r="II186" s="456"/>
      <c r="IJ186" s="456"/>
      <c r="IK186" s="456"/>
      <c r="IL186" s="456"/>
      <c r="IM186" s="456"/>
      <c r="IN186" s="456"/>
      <c r="IO186" s="456"/>
      <c r="IP186" s="456"/>
      <c r="IQ186" s="456"/>
      <c r="IR186" s="456"/>
      <c r="IS186" s="456"/>
      <c r="IT186" s="456"/>
      <c r="IU186" s="456"/>
      <c r="IV186" s="456"/>
      <c r="IW186" s="456"/>
      <c r="IX186" s="456"/>
      <c r="IY186" s="456"/>
      <c r="IZ186" s="456"/>
      <c r="JA186" s="456"/>
      <c r="JB186" s="456"/>
      <c r="JC186" s="456"/>
      <c r="JD186" s="456"/>
      <c r="JE186" s="456"/>
      <c r="JF186" s="456"/>
      <c r="JG186" s="456"/>
      <c r="JH186" s="456"/>
      <c r="JI186" s="456"/>
      <c r="JJ186" s="456"/>
      <c r="JK186" s="456"/>
      <c r="JL186" s="456"/>
      <c r="JM186" s="456"/>
      <c r="JN186" s="456"/>
      <c r="JO186" s="456"/>
      <c r="JP186" s="456"/>
      <c r="JQ186" s="456"/>
      <c r="JR186" s="456"/>
      <c r="JS186" s="456"/>
      <c r="JT186" s="456"/>
      <c r="JU186" s="456"/>
      <c r="JV186" s="456"/>
      <c r="JW186" s="456"/>
      <c r="JX186" s="456"/>
      <c r="JY186" s="456"/>
      <c r="JZ186" s="456"/>
      <c r="KA186" s="456"/>
      <c r="KB186" s="456"/>
      <c r="KC186" s="456"/>
      <c r="KD186" s="456"/>
      <c r="KE186" s="456"/>
      <c r="KF186" s="456"/>
      <c r="KG186" s="456"/>
      <c r="KH186" s="456"/>
      <c r="KI186" s="456"/>
      <c r="KJ186" s="456"/>
      <c r="KK186" s="456"/>
      <c r="KL186" s="456"/>
      <c r="KM186" s="456"/>
      <c r="KN186" s="456"/>
      <c r="KO186" s="456"/>
      <c r="KP186" s="456"/>
      <c r="KQ186" s="456"/>
      <c r="KR186" s="456"/>
      <c r="KS186" s="456"/>
      <c r="KT186" s="456"/>
      <c r="KU186" s="456"/>
      <c r="KV186" s="456"/>
      <c r="KW186" s="456"/>
      <c r="KX186" s="456"/>
      <c r="KY186" s="456"/>
      <c r="KZ186" s="456"/>
      <c r="LA186" s="456"/>
      <c r="LB186" s="456"/>
      <c r="LC186" s="456"/>
      <c r="LD186" s="456"/>
      <c r="LE186" s="456"/>
      <c r="LF186" s="456"/>
      <c r="LG186" s="456"/>
      <c r="LH186" s="456"/>
      <c r="LI186" s="456"/>
      <c r="LJ186" s="456"/>
      <c r="LK186" s="456"/>
      <c r="LL186" s="456"/>
      <c r="LM186" s="456"/>
      <c r="LN186" s="456"/>
      <c r="LO186" s="456"/>
      <c r="LP186" s="456"/>
      <c r="LQ186" s="456"/>
      <c r="LR186" s="456"/>
      <c r="LS186" s="456"/>
      <c r="LT186" s="456"/>
      <c r="LU186" s="456"/>
      <c r="LV186" s="456"/>
      <c r="LW186" s="456"/>
      <c r="LX186" s="456"/>
      <c r="LY186" s="456"/>
      <c r="LZ186" s="456"/>
      <c r="MA186" s="456"/>
      <c r="MB186" s="456"/>
      <c r="MC186" s="456"/>
      <c r="MD186" s="456"/>
      <c r="ME186" s="456"/>
      <c r="MF186" s="456"/>
      <c r="MG186" s="456"/>
      <c r="MH186" s="456"/>
      <c r="MI186" s="456"/>
      <c r="MJ186" s="456"/>
      <c r="MK186" s="456"/>
      <c r="ML186" s="456"/>
      <c r="MM186" s="456"/>
      <c r="MN186" s="456"/>
      <c r="MO186" s="456"/>
      <c r="MP186" s="456"/>
      <c r="MQ186" s="456"/>
      <c r="MR186" s="456"/>
      <c r="MS186" s="456"/>
      <c r="MT186" s="456"/>
      <c r="MU186" s="456"/>
      <c r="MV186" s="456"/>
      <c r="MW186" s="456"/>
      <c r="MX186" s="456"/>
      <c r="MY186" s="456"/>
      <c r="MZ186" s="456"/>
      <c r="NA186" s="456"/>
      <c r="NB186" s="456"/>
      <c r="NC186" s="456"/>
      <c r="ND186" s="456"/>
      <c r="NE186" s="456"/>
      <c r="NF186" s="456"/>
      <c r="NG186" s="456"/>
      <c r="NH186" s="456"/>
      <c r="NI186" s="456"/>
      <c r="NJ186" s="456"/>
      <c r="NK186" s="456"/>
      <c r="NL186" s="456"/>
      <c r="NM186" s="456"/>
      <c r="NN186" s="456"/>
      <c r="NO186" s="456"/>
      <c r="NP186" s="456"/>
      <c r="NQ186" s="456"/>
      <c r="NR186" s="456"/>
      <c r="NS186" s="456"/>
      <c r="NT186" s="456"/>
      <c r="NU186" s="456"/>
      <c r="NV186" s="456"/>
      <c r="NW186" s="456"/>
      <c r="NX186" s="456"/>
      <c r="NY186" s="456"/>
      <c r="NZ186" s="456"/>
      <c r="OA186" s="456"/>
      <c r="OB186" s="456"/>
      <c r="OC186" s="456"/>
      <c r="OD186" s="456"/>
      <c r="OE186" s="456"/>
      <c r="OF186" s="456"/>
      <c r="OG186" s="456"/>
      <c r="OH186" s="456"/>
      <c r="OI186" s="456"/>
      <c r="OJ186" s="456"/>
      <c r="OK186" s="456"/>
      <c r="OL186" s="456"/>
      <c r="OM186" s="456"/>
      <c r="ON186" s="456"/>
      <c r="OO186" s="456"/>
      <c r="OP186" s="456"/>
      <c r="OQ186" s="456"/>
      <c r="OR186" s="456"/>
      <c r="OS186" s="456"/>
      <c r="OT186" s="456"/>
      <c r="OU186" s="456"/>
      <c r="OV186" s="456"/>
      <c r="OW186" s="456"/>
      <c r="OX186" s="456"/>
      <c r="OY186" s="456"/>
      <c r="OZ186" s="456"/>
      <c r="PA186" s="456"/>
      <c r="PB186" s="456"/>
      <c r="PC186" s="456"/>
      <c r="PD186" s="456"/>
      <c r="PE186" s="456"/>
      <c r="PF186" s="456"/>
      <c r="PG186" s="456"/>
      <c r="PH186" s="456"/>
      <c r="PI186" s="456"/>
      <c r="PJ186" s="456"/>
      <c r="PK186" s="456"/>
      <c r="PL186" s="456"/>
      <c r="PM186" s="456"/>
      <c r="PN186" s="456"/>
      <c r="PO186" s="456"/>
      <c r="PP186" s="456"/>
      <c r="PQ186" s="456"/>
      <c r="PR186" s="456"/>
      <c r="PS186" s="456"/>
      <c r="PT186" s="456"/>
      <c r="PU186" s="456"/>
      <c r="PV186" s="456"/>
      <c r="PW186" s="456"/>
      <c r="PX186" s="456"/>
      <c r="PY186" s="456"/>
      <c r="PZ186" s="456"/>
      <c r="QA186" s="456"/>
      <c r="QB186" s="456"/>
      <c r="QC186" s="456"/>
      <c r="QD186" s="456"/>
      <c r="QE186" s="456"/>
      <c r="QF186" s="456"/>
      <c r="QG186" s="456"/>
      <c r="QH186" s="456"/>
      <c r="QI186" s="456"/>
      <c r="QJ186" s="456"/>
      <c r="QK186" s="456"/>
      <c r="QL186" s="456"/>
      <c r="QM186" s="456"/>
      <c r="QN186" s="456"/>
      <c r="QO186" s="456"/>
      <c r="QP186" s="456"/>
      <c r="QQ186" s="456"/>
      <c r="QR186" s="456"/>
      <c r="QS186" s="456"/>
      <c r="QT186" s="456"/>
      <c r="QU186" s="456"/>
      <c r="QV186" s="456"/>
      <c r="QW186" s="456"/>
      <c r="QX186" s="456"/>
      <c r="QY186" s="456"/>
      <c r="QZ186" s="456"/>
      <c r="RA186" s="456"/>
      <c r="RB186" s="456"/>
      <c r="RC186" s="456"/>
      <c r="RD186" s="456"/>
      <c r="RE186" s="456"/>
      <c r="RF186" s="456"/>
      <c r="RG186" s="456"/>
      <c r="RH186" s="456"/>
      <c r="RI186" s="456"/>
      <c r="RJ186" s="456"/>
      <c r="RK186" s="456"/>
      <c r="RL186" s="456"/>
      <c r="RM186" s="456"/>
      <c r="RN186" s="456"/>
      <c r="RO186" s="456"/>
      <c r="RP186" s="456"/>
      <c r="RQ186" s="456"/>
      <c r="RR186" s="456"/>
      <c r="RS186" s="456"/>
      <c r="RT186" s="456"/>
      <c r="RU186" s="456"/>
      <c r="RV186" s="456"/>
      <c r="RW186" s="456"/>
      <c r="RX186" s="456"/>
      <c r="RY186" s="456"/>
      <c r="RZ186" s="456"/>
      <c r="SA186" s="456"/>
      <c r="SB186" s="456"/>
      <c r="SC186" s="456"/>
      <c r="SD186" s="456"/>
      <c r="SE186" s="456"/>
      <c r="SF186" s="456"/>
      <c r="SG186" s="456"/>
      <c r="SH186" s="456"/>
      <c r="SI186" s="456"/>
      <c r="SJ186" s="456"/>
      <c r="SK186" s="456"/>
      <c r="SL186" s="456"/>
      <c r="SM186" s="456"/>
      <c r="SN186" s="456"/>
      <c r="SO186" s="456"/>
      <c r="SP186" s="456"/>
      <c r="SQ186" s="456"/>
      <c r="SR186" s="456"/>
      <c r="SS186" s="456"/>
      <c r="ST186" s="456"/>
      <c r="SU186" s="456"/>
      <c r="SV186" s="456"/>
      <c r="SW186" s="456"/>
      <c r="SX186" s="456"/>
      <c r="SY186" s="456"/>
      <c r="SZ186" s="456"/>
      <c r="TA186" s="456"/>
      <c r="TB186" s="456"/>
      <c r="TC186" s="456"/>
      <c r="TD186" s="456"/>
      <c r="TE186" s="456"/>
      <c r="TF186" s="456"/>
      <c r="TG186" s="456"/>
      <c r="TH186" s="456"/>
      <c r="TI186" s="456"/>
      <c r="TJ186" s="456"/>
      <c r="TK186" s="456"/>
      <c r="TL186" s="456"/>
      <c r="TM186" s="456"/>
      <c r="TN186" s="456"/>
      <c r="TO186" s="456"/>
      <c r="TP186" s="456"/>
      <c r="TQ186" s="456"/>
      <c r="TR186" s="456"/>
      <c r="TS186" s="456"/>
      <c r="TT186" s="456"/>
      <c r="TU186" s="456"/>
      <c r="TV186" s="456"/>
      <c r="TW186" s="456"/>
      <c r="TX186" s="456"/>
      <c r="TY186" s="456"/>
      <c r="TZ186" s="456"/>
      <c r="UA186" s="456"/>
      <c r="UB186" s="456"/>
      <c r="UC186" s="456"/>
      <c r="UD186" s="456"/>
      <c r="UE186" s="456"/>
      <c r="UF186" s="456"/>
      <c r="UG186" s="456"/>
      <c r="UH186" s="456"/>
      <c r="UI186" s="456"/>
      <c r="UJ186" s="456"/>
      <c r="UK186" s="456"/>
      <c r="UL186" s="456"/>
      <c r="UM186" s="456"/>
      <c r="UN186" s="456"/>
      <c r="UO186" s="456"/>
      <c r="UP186" s="456"/>
      <c r="UQ186" s="456"/>
      <c r="UR186" s="456"/>
      <c r="US186" s="456"/>
      <c r="UT186" s="456"/>
      <c r="UU186" s="456"/>
      <c r="UV186" s="456"/>
      <c r="UW186" s="456"/>
      <c r="UX186" s="456"/>
      <c r="UY186" s="456"/>
      <c r="UZ186" s="456"/>
      <c r="VA186" s="456"/>
      <c r="VB186" s="456"/>
      <c r="VC186" s="456"/>
      <c r="VD186" s="456"/>
      <c r="VE186" s="456"/>
      <c r="VF186" s="456"/>
      <c r="VG186" s="456"/>
      <c r="VH186" s="456"/>
      <c r="VI186" s="456"/>
      <c r="VJ186" s="456"/>
      <c r="VK186" s="456"/>
      <c r="VL186" s="456"/>
      <c r="VM186" s="456"/>
      <c r="VN186" s="456"/>
      <c r="VO186" s="456"/>
      <c r="VP186" s="456"/>
      <c r="VQ186" s="456"/>
      <c r="VR186" s="456"/>
      <c r="VS186" s="456"/>
      <c r="VT186" s="456"/>
      <c r="VU186" s="456"/>
      <c r="VV186" s="456"/>
      <c r="VW186" s="456"/>
      <c r="VX186" s="456"/>
      <c r="VY186" s="456"/>
      <c r="VZ186" s="456"/>
      <c r="WA186" s="456"/>
      <c r="WB186" s="456"/>
      <c r="WC186" s="456"/>
      <c r="WD186" s="456"/>
      <c r="WE186" s="456"/>
      <c r="WF186" s="456"/>
      <c r="WG186" s="456"/>
      <c r="WH186" s="456"/>
      <c r="WI186" s="456"/>
      <c r="WJ186" s="456"/>
      <c r="WK186" s="456"/>
      <c r="WL186" s="456"/>
      <c r="WM186" s="456"/>
      <c r="WN186" s="456"/>
      <c r="WO186" s="456"/>
      <c r="WP186" s="456"/>
      <c r="WQ186" s="456"/>
      <c r="WR186" s="456"/>
      <c r="WS186" s="456"/>
      <c r="WT186" s="456"/>
      <c r="WU186" s="456"/>
      <c r="WV186" s="456"/>
      <c r="WW186" s="456"/>
      <c r="WX186" s="456"/>
      <c r="WY186" s="456"/>
      <c r="WZ186" s="456"/>
      <c r="XA186" s="456"/>
      <c r="XB186" s="456"/>
      <c r="XC186" s="456"/>
      <c r="XD186" s="456"/>
      <c r="XE186" s="456"/>
      <c r="XF186" s="456"/>
      <c r="XG186" s="456"/>
      <c r="XH186" s="456"/>
      <c r="XI186" s="456"/>
      <c r="XJ186" s="456"/>
      <c r="XK186" s="456"/>
      <c r="XL186" s="456"/>
      <c r="XM186" s="456"/>
      <c r="XN186" s="456"/>
      <c r="XO186" s="456"/>
      <c r="XP186" s="456"/>
      <c r="XQ186" s="456"/>
      <c r="XR186" s="456"/>
      <c r="XS186" s="456"/>
      <c r="XT186" s="456"/>
      <c r="XU186" s="456"/>
      <c r="XV186" s="456"/>
      <c r="XW186" s="456"/>
      <c r="XX186" s="456"/>
      <c r="XY186" s="456"/>
      <c r="XZ186" s="456"/>
      <c r="YA186" s="456"/>
      <c r="YB186" s="456"/>
      <c r="YC186" s="456"/>
      <c r="YD186" s="456"/>
      <c r="YE186" s="456"/>
      <c r="YF186" s="456"/>
      <c r="YG186" s="456"/>
      <c r="YH186" s="456"/>
      <c r="YI186" s="456"/>
      <c r="YJ186" s="456"/>
      <c r="YK186" s="456"/>
      <c r="YL186" s="456"/>
      <c r="YM186" s="456"/>
      <c r="YN186" s="456"/>
      <c r="YO186" s="456"/>
      <c r="YP186" s="456"/>
      <c r="YQ186" s="456"/>
      <c r="YR186" s="456"/>
      <c r="YS186" s="456"/>
      <c r="YT186" s="456"/>
      <c r="YU186" s="456"/>
      <c r="YV186" s="456"/>
      <c r="YW186" s="456"/>
      <c r="YX186" s="456"/>
      <c r="YY186" s="456"/>
      <c r="YZ186" s="456"/>
      <c r="ZA186" s="456"/>
      <c r="ZB186" s="456"/>
      <c r="ZC186" s="456"/>
      <c r="ZD186" s="456"/>
      <c r="ZE186" s="456"/>
      <c r="ZF186" s="456"/>
      <c r="ZG186" s="456"/>
      <c r="ZH186" s="456"/>
      <c r="ZI186" s="456"/>
      <c r="ZJ186" s="456"/>
      <c r="ZK186" s="456"/>
      <c r="ZL186" s="456"/>
      <c r="ZM186" s="456"/>
      <c r="ZN186" s="456"/>
      <c r="ZO186" s="456"/>
      <c r="ZP186" s="456"/>
      <c r="ZQ186" s="456"/>
      <c r="ZR186" s="456"/>
      <c r="ZS186" s="456"/>
      <c r="ZT186" s="456"/>
      <c r="ZU186" s="456"/>
      <c r="ZV186" s="456"/>
      <c r="ZW186" s="456"/>
      <c r="ZX186" s="456"/>
      <c r="ZY186" s="456"/>
      <c r="ZZ186" s="456"/>
      <c r="AAA186" s="456"/>
      <c r="AAB186" s="456"/>
      <c r="AAC186" s="456"/>
      <c r="AAD186" s="456"/>
      <c r="AAE186" s="456"/>
      <c r="AAF186" s="456"/>
      <c r="AAG186" s="456"/>
      <c r="AAH186" s="456"/>
      <c r="AAI186" s="456"/>
      <c r="AAJ186" s="456"/>
      <c r="AAK186" s="456"/>
      <c r="AAL186" s="456"/>
      <c r="AAM186" s="456"/>
      <c r="AAN186" s="456"/>
      <c r="AAO186" s="456"/>
      <c r="AAP186" s="456"/>
      <c r="AAQ186" s="456"/>
      <c r="AAR186" s="456"/>
      <c r="AAS186" s="456"/>
      <c r="AAT186" s="456"/>
      <c r="AAU186" s="456"/>
      <c r="AAV186" s="456"/>
      <c r="AAW186" s="456"/>
      <c r="AAX186" s="456"/>
      <c r="AAY186" s="456"/>
      <c r="AAZ186" s="456"/>
      <c r="ABA186" s="456"/>
      <c r="ABB186" s="456"/>
      <c r="ABC186" s="456"/>
      <c r="ABD186" s="456"/>
      <c r="ABE186" s="456"/>
      <c r="ABF186" s="456"/>
      <c r="ABG186" s="456"/>
      <c r="ABH186" s="456"/>
      <c r="ABI186" s="456"/>
      <c r="ABJ186" s="456"/>
      <c r="ABK186" s="456"/>
      <c r="ABL186" s="456"/>
      <c r="ABM186" s="456"/>
      <c r="ABN186" s="456"/>
      <c r="ABO186" s="456"/>
      <c r="ABP186" s="456"/>
      <c r="ABQ186" s="456"/>
      <c r="ABR186" s="456"/>
      <c r="ABS186" s="456"/>
      <c r="ABT186" s="456"/>
      <c r="ABU186" s="456"/>
      <c r="ABV186" s="456"/>
      <c r="ABW186" s="456"/>
      <c r="ABX186" s="456"/>
      <c r="ABY186" s="456"/>
      <c r="ABZ186" s="456"/>
      <c r="ACA186" s="456"/>
      <c r="ACB186" s="456"/>
      <c r="ACC186" s="456"/>
      <c r="ACD186" s="456"/>
      <c r="ACE186" s="456"/>
      <c r="ACF186" s="456"/>
      <c r="ACG186" s="456"/>
      <c r="ACH186" s="456"/>
      <c r="ACI186" s="456"/>
      <c r="ACJ186" s="456"/>
      <c r="ACK186" s="456"/>
      <c r="ACL186" s="456"/>
      <c r="ACM186" s="456"/>
      <c r="ACN186" s="456"/>
      <c r="ACO186" s="456"/>
      <c r="ACP186" s="456"/>
      <c r="ACQ186" s="456"/>
      <c r="ACR186" s="456"/>
      <c r="ACS186" s="456"/>
      <c r="ACT186" s="456"/>
      <c r="ACU186" s="456"/>
      <c r="ACV186" s="456"/>
      <c r="ACW186" s="456"/>
      <c r="ACX186" s="456"/>
      <c r="ACY186" s="456"/>
      <c r="ACZ186" s="456"/>
      <c r="ADA186" s="456"/>
      <c r="ADB186" s="456"/>
      <c r="ADC186" s="456"/>
      <c r="ADD186" s="456"/>
      <c r="ADE186" s="456"/>
      <c r="ADF186" s="456"/>
      <c r="ADG186" s="456"/>
      <c r="ADH186" s="456"/>
      <c r="ADI186" s="456"/>
      <c r="ADJ186" s="456"/>
      <c r="ADK186" s="456"/>
      <c r="ADL186" s="456"/>
      <c r="ADM186" s="456"/>
      <c r="ADN186" s="456"/>
      <c r="ADO186" s="456"/>
      <c r="ADP186" s="456"/>
      <c r="ADQ186" s="456"/>
      <c r="ADR186" s="456"/>
      <c r="ADS186" s="456"/>
      <c r="ADT186" s="456"/>
      <c r="ADU186" s="456"/>
      <c r="ADV186" s="456"/>
      <c r="ADW186" s="456"/>
      <c r="ADX186" s="456"/>
      <c r="ADY186" s="456"/>
      <c r="ADZ186" s="456"/>
      <c r="AEA186" s="456"/>
      <c r="AEB186" s="456"/>
      <c r="AEC186" s="456"/>
      <c r="AED186" s="456"/>
      <c r="AEE186" s="456"/>
      <c r="AEF186" s="456"/>
      <c r="AEG186" s="456"/>
      <c r="AEH186" s="456"/>
      <c r="AEI186" s="456"/>
      <c r="AEJ186" s="456"/>
      <c r="AEK186" s="456"/>
      <c r="AEL186" s="456"/>
      <c r="AEM186" s="456"/>
      <c r="AEN186" s="456"/>
      <c r="AEO186" s="456"/>
      <c r="AEP186" s="456"/>
      <c r="AEQ186" s="456"/>
      <c r="AER186" s="456"/>
      <c r="AES186" s="456"/>
      <c r="AET186" s="456"/>
      <c r="AEU186" s="456"/>
      <c r="AEV186" s="456"/>
      <c r="AEW186" s="456"/>
      <c r="AEX186" s="456"/>
      <c r="AEY186" s="456"/>
      <c r="AEZ186" s="456"/>
      <c r="AFA186" s="456"/>
      <c r="AFB186" s="456"/>
      <c r="AFC186" s="456"/>
      <c r="AFD186" s="456"/>
      <c r="AFE186" s="456"/>
      <c r="AFF186" s="456"/>
      <c r="AFG186" s="456"/>
      <c r="AFH186" s="456"/>
      <c r="AFI186" s="456"/>
      <c r="AFJ186" s="456"/>
      <c r="AFK186" s="456"/>
      <c r="AFL186" s="456"/>
      <c r="AFM186" s="456"/>
      <c r="AFN186" s="456"/>
      <c r="AFO186" s="456"/>
      <c r="AFP186" s="456"/>
      <c r="AFQ186" s="456"/>
      <c r="AFR186" s="456"/>
      <c r="AFS186" s="456"/>
      <c r="AFT186" s="456"/>
      <c r="AFU186" s="456"/>
      <c r="AFV186" s="456"/>
      <c r="AFW186" s="456"/>
      <c r="AFX186" s="456"/>
      <c r="AFY186" s="456"/>
      <c r="AFZ186" s="456"/>
      <c r="AGA186" s="456"/>
      <c r="AGB186" s="456"/>
      <c r="AGC186" s="456"/>
      <c r="AGD186" s="456"/>
      <c r="AGE186" s="456"/>
      <c r="AGF186" s="456"/>
      <c r="AGG186" s="456"/>
      <c r="AGH186" s="456"/>
      <c r="AGI186" s="456"/>
      <c r="AGJ186" s="456"/>
      <c r="AGK186" s="456"/>
      <c r="AGL186" s="456"/>
      <c r="AGM186" s="456"/>
      <c r="AGN186" s="456"/>
      <c r="AGO186" s="456"/>
      <c r="AGP186" s="456"/>
      <c r="AGQ186" s="456"/>
      <c r="AGR186" s="456"/>
      <c r="AGS186" s="456"/>
      <c r="AGT186" s="456"/>
      <c r="AGU186" s="456"/>
      <c r="AGV186" s="456"/>
      <c r="AGW186" s="456"/>
      <c r="AGX186" s="456"/>
      <c r="AGY186" s="456"/>
      <c r="AGZ186" s="456"/>
      <c r="AHA186" s="456"/>
      <c r="AHB186" s="456"/>
      <c r="AHC186" s="456"/>
      <c r="AHD186" s="456"/>
      <c r="AHE186" s="456"/>
      <c r="AHF186" s="456"/>
      <c r="AHG186" s="456"/>
      <c r="AHH186" s="456"/>
      <c r="AHI186" s="456"/>
      <c r="AHJ186" s="456"/>
      <c r="AHK186" s="456"/>
      <c r="AHL186" s="456"/>
      <c r="AHM186" s="456"/>
      <c r="AHN186" s="456"/>
      <c r="AHO186" s="456"/>
      <c r="AHP186" s="456"/>
      <c r="AHQ186" s="456"/>
      <c r="AHR186" s="456"/>
      <c r="AHS186" s="456"/>
      <c r="AHT186" s="456"/>
      <c r="AHU186" s="456"/>
      <c r="AHV186" s="456"/>
      <c r="AHW186" s="456"/>
      <c r="AHX186" s="456"/>
      <c r="AHY186" s="456"/>
      <c r="AHZ186" s="456"/>
      <c r="AIA186" s="456"/>
      <c r="AIB186" s="456"/>
      <c r="AIC186" s="456"/>
      <c r="AID186" s="456"/>
      <c r="AIE186" s="456"/>
      <c r="AIF186" s="456"/>
      <c r="AIG186" s="456"/>
      <c r="AIH186" s="456"/>
      <c r="AII186" s="456"/>
      <c r="AIJ186" s="456"/>
      <c r="AIK186" s="456"/>
      <c r="AIL186" s="456"/>
      <c r="AIM186" s="456"/>
      <c r="AIN186" s="456"/>
      <c r="AIO186" s="456"/>
      <c r="AIP186" s="456"/>
      <c r="AIQ186" s="456"/>
      <c r="AIR186" s="456"/>
      <c r="AIS186" s="456"/>
      <c r="AIT186" s="456"/>
      <c r="AIU186" s="456"/>
      <c r="AIV186" s="456"/>
      <c r="AIW186" s="456"/>
      <c r="AIX186" s="456"/>
      <c r="AIY186" s="456"/>
      <c r="AIZ186" s="456"/>
      <c r="AJA186" s="456"/>
      <c r="AJB186" s="456"/>
      <c r="AJC186" s="456"/>
      <c r="AJD186" s="456"/>
      <c r="AJE186" s="456"/>
      <c r="AJF186" s="456"/>
      <c r="AJG186" s="456"/>
      <c r="AJH186" s="456"/>
      <c r="AJI186" s="456"/>
      <c r="AJJ186" s="456"/>
      <c r="AJK186" s="456"/>
      <c r="AJL186" s="456"/>
      <c r="AJM186" s="456"/>
      <c r="AJN186" s="456"/>
      <c r="AJO186" s="456"/>
      <c r="AJP186" s="456"/>
      <c r="AJQ186" s="456"/>
      <c r="AJR186" s="456"/>
      <c r="AJS186" s="456"/>
      <c r="AJT186" s="456"/>
      <c r="AJU186" s="456"/>
      <c r="AJV186" s="456"/>
      <c r="AJW186" s="456"/>
      <c r="AJX186" s="456"/>
      <c r="AJY186" s="456"/>
      <c r="AJZ186" s="456"/>
      <c r="AKA186" s="456"/>
      <c r="AKB186" s="456"/>
      <c r="AKC186" s="456"/>
      <c r="AKD186" s="456"/>
      <c r="AKE186" s="456"/>
      <c r="AKF186" s="456"/>
      <c r="AKG186" s="456"/>
      <c r="AKH186" s="456"/>
      <c r="AKI186" s="456"/>
      <c r="AKJ186" s="456"/>
      <c r="AKK186" s="456"/>
      <c r="AKL186" s="456"/>
      <c r="AKM186" s="456"/>
      <c r="AKN186" s="456"/>
      <c r="AKO186" s="456"/>
      <c r="AKP186" s="456"/>
      <c r="AKQ186" s="456"/>
      <c r="AKR186" s="456"/>
      <c r="AKS186" s="456"/>
      <c r="AKT186" s="456"/>
      <c r="AKU186" s="456"/>
      <c r="AKV186" s="456"/>
      <c r="AKW186" s="456"/>
      <c r="AKX186" s="456"/>
      <c r="AKY186" s="456"/>
      <c r="AKZ186" s="456"/>
      <c r="ALA186" s="456"/>
      <c r="ALB186" s="456"/>
      <c r="ALC186" s="456"/>
      <c r="ALD186" s="456"/>
      <c r="ALE186" s="456"/>
      <c r="ALF186" s="456"/>
      <c r="ALG186" s="456"/>
      <c r="ALH186" s="456"/>
      <c r="ALI186" s="456"/>
      <c r="ALJ186" s="456"/>
      <c r="ALK186" s="456"/>
      <c r="ALL186" s="456"/>
      <c r="ALM186" s="456"/>
      <c r="ALN186" s="456"/>
      <c r="ALO186" s="456"/>
      <c r="ALP186" s="456"/>
      <c r="ALQ186" s="456"/>
      <c r="ALR186" s="456"/>
      <c r="ALS186" s="456"/>
      <c r="ALT186" s="456"/>
      <c r="ALU186" s="456"/>
      <c r="ALV186" s="456"/>
      <c r="ALW186" s="456"/>
      <c r="ALX186" s="456"/>
      <c r="ALY186" s="456"/>
      <c r="ALZ186" s="456"/>
      <c r="AMA186" s="456"/>
      <c r="AMB186" s="456"/>
      <c r="AMC186" s="456"/>
      <c r="AMD186" s="456"/>
      <c r="AME186" s="456"/>
      <c r="AMF186" s="456"/>
      <c r="AMG186" s="456"/>
      <c r="AMH186" s="456"/>
      <c r="AMI186" s="456"/>
      <c r="AMJ186" s="456"/>
      <c r="AMK186" s="456"/>
      <c r="AML186" s="456"/>
      <c r="AMM186" s="456"/>
      <c r="AMN186" s="456"/>
      <c r="AMO186" s="456"/>
      <c r="AMP186" s="456"/>
      <c r="AMQ186" s="456"/>
      <c r="AMR186" s="456"/>
      <c r="AMS186" s="456"/>
      <c r="AMT186" s="456"/>
      <c r="AMU186" s="456"/>
      <c r="AMV186" s="456"/>
      <c r="AMW186" s="456"/>
      <c r="AMX186" s="456"/>
      <c r="AMY186" s="456"/>
      <c r="AMZ186" s="456"/>
      <c r="ANA186" s="456"/>
      <c r="ANB186" s="456"/>
      <c r="ANC186" s="456"/>
      <c r="AND186" s="456"/>
      <c r="ANE186" s="456"/>
      <c r="ANF186" s="456"/>
      <c r="ANG186" s="456"/>
      <c r="ANH186" s="456"/>
      <c r="ANI186" s="456"/>
      <c r="ANJ186" s="456"/>
      <c r="ANK186" s="456"/>
      <c r="ANL186" s="456"/>
      <c r="ANM186" s="456"/>
      <c r="ANN186" s="456"/>
      <c r="ANO186" s="456"/>
      <c r="ANP186" s="456"/>
      <c r="ANQ186" s="456"/>
      <c r="ANR186" s="456"/>
      <c r="ANS186" s="456"/>
      <c r="ANT186" s="456"/>
      <c r="ANU186" s="456"/>
      <c r="ANV186" s="456"/>
      <c r="ANW186" s="456"/>
      <c r="ANX186" s="456"/>
      <c r="ANY186" s="456"/>
      <c r="ANZ186" s="456"/>
      <c r="AOA186" s="456"/>
      <c r="AOB186" s="456"/>
      <c r="AOC186" s="456"/>
      <c r="AOD186" s="456"/>
      <c r="AOE186" s="456"/>
      <c r="AOF186" s="456"/>
      <c r="AOG186" s="456"/>
      <c r="AOH186" s="456"/>
      <c r="AOI186" s="456"/>
      <c r="AOJ186" s="456"/>
      <c r="AOK186" s="456"/>
      <c r="AOL186" s="456"/>
      <c r="AOM186" s="456"/>
      <c r="AON186" s="456"/>
      <c r="AOO186" s="456"/>
      <c r="AOP186" s="456"/>
      <c r="AOQ186" s="456"/>
      <c r="AOR186" s="456"/>
      <c r="AOS186" s="456"/>
      <c r="AOT186" s="456"/>
      <c r="AOU186" s="456"/>
      <c r="AOV186" s="456"/>
      <c r="AOW186" s="456"/>
      <c r="AOX186" s="456"/>
      <c r="AOY186" s="456"/>
      <c r="AOZ186" s="456"/>
      <c r="APA186" s="456"/>
      <c r="APB186" s="456"/>
      <c r="APC186" s="456"/>
      <c r="APD186" s="456"/>
      <c r="APE186" s="456"/>
      <c r="APF186" s="456"/>
      <c r="APG186" s="456"/>
      <c r="APH186" s="456"/>
      <c r="API186" s="456"/>
      <c r="APJ186" s="456"/>
      <c r="APK186" s="456"/>
      <c r="APL186" s="456"/>
      <c r="APM186" s="456"/>
      <c r="APN186" s="456"/>
      <c r="APO186" s="456"/>
      <c r="APP186" s="456"/>
      <c r="APQ186" s="456"/>
      <c r="APR186" s="456"/>
      <c r="APS186" s="456"/>
      <c r="APT186" s="456"/>
      <c r="APU186" s="456"/>
      <c r="APV186" s="456"/>
      <c r="APW186" s="456"/>
      <c r="APX186" s="456"/>
      <c r="APY186" s="456"/>
      <c r="APZ186" s="456"/>
      <c r="AQA186" s="456"/>
      <c r="AQB186" s="456"/>
      <c r="AQC186" s="456"/>
      <c r="AQD186" s="456"/>
      <c r="AQE186" s="456"/>
      <c r="AQF186" s="456"/>
      <c r="AQG186" s="456"/>
      <c r="AQH186" s="456"/>
      <c r="AQI186" s="456"/>
      <c r="AQJ186" s="456"/>
      <c r="AQK186" s="456"/>
      <c r="AQL186" s="456"/>
      <c r="AQM186" s="456"/>
      <c r="AQN186" s="456"/>
      <c r="AQO186" s="456"/>
      <c r="AQP186" s="456"/>
      <c r="AQQ186" s="456"/>
      <c r="AQR186" s="456"/>
      <c r="AQS186" s="456"/>
      <c r="AQT186" s="456"/>
      <c r="AQU186" s="456"/>
      <c r="AQV186" s="456"/>
      <c r="AQW186" s="456"/>
      <c r="AQX186" s="456"/>
      <c r="AQY186" s="456"/>
      <c r="AQZ186" s="456"/>
      <c r="ARA186" s="456"/>
      <c r="ARB186" s="456"/>
      <c r="ARC186" s="456"/>
      <c r="ARD186" s="456"/>
      <c r="ARE186" s="456"/>
      <c r="ARF186" s="456"/>
      <c r="ARG186" s="456"/>
      <c r="ARH186" s="456"/>
      <c r="ARI186" s="456"/>
      <c r="ARJ186" s="456"/>
      <c r="ARK186" s="456"/>
      <c r="ARL186" s="456"/>
      <c r="ARM186" s="456"/>
      <c r="ARN186" s="456"/>
      <c r="ARO186" s="456"/>
      <c r="ARP186" s="456"/>
      <c r="ARQ186" s="456"/>
      <c r="ARR186" s="456"/>
      <c r="ARS186" s="456"/>
      <c r="ART186" s="456"/>
      <c r="ARU186" s="456"/>
      <c r="ARV186" s="456"/>
      <c r="ARW186" s="456"/>
      <c r="ARX186" s="456"/>
      <c r="ARY186" s="456"/>
      <c r="ARZ186" s="456"/>
      <c r="ASA186" s="456"/>
      <c r="ASB186" s="456"/>
      <c r="ASC186" s="456"/>
      <c r="ASD186" s="456"/>
      <c r="ASE186" s="456"/>
      <c r="ASF186" s="456"/>
      <c r="ASG186" s="456"/>
      <c r="ASH186" s="456"/>
      <c r="ASI186" s="456"/>
      <c r="ASJ186" s="456"/>
      <c r="ASK186" s="456"/>
      <c r="ASL186" s="456"/>
      <c r="ASM186" s="456"/>
      <c r="ASN186" s="456"/>
      <c r="ASO186" s="456"/>
      <c r="ASP186" s="456"/>
      <c r="ASQ186" s="456"/>
      <c r="ASR186" s="456"/>
      <c r="ASS186" s="456"/>
      <c r="AST186" s="456"/>
      <c r="ASU186" s="456"/>
      <c r="ASV186" s="456"/>
      <c r="ASW186" s="456"/>
      <c r="ASX186" s="456"/>
      <c r="ASY186" s="456"/>
      <c r="ASZ186" s="456"/>
      <c r="ATA186" s="456"/>
      <c r="ATB186" s="456"/>
      <c r="ATC186" s="456"/>
      <c r="ATD186" s="456"/>
      <c r="ATE186" s="456"/>
      <c r="ATF186" s="456"/>
      <c r="ATG186" s="456"/>
      <c r="ATH186" s="456"/>
      <c r="ATI186" s="456"/>
      <c r="ATJ186" s="456"/>
      <c r="ATK186" s="456"/>
      <c r="ATL186" s="456"/>
      <c r="ATM186" s="456"/>
      <c r="ATN186" s="456"/>
      <c r="ATO186" s="456"/>
      <c r="ATP186" s="456"/>
      <c r="ATQ186" s="456"/>
      <c r="ATR186" s="456"/>
      <c r="ATS186" s="456"/>
      <c r="ATT186" s="456"/>
      <c r="ATU186" s="456"/>
      <c r="ATV186" s="456"/>
      <c r="ATW186" s="456"/>
      <c r="ATX186" s="456"/>
      <c r="ATY186" s="456"/>
      <c r="ATZ186" s="456"/>
      <c r="AUA186" s="456"/>
      <c r="AUB186" s="456"/>
      <c r="AUC186" s="456"/>
      <c r="AUD186" s="456"/>
      <c r="AUE186" s="456"/>
      <c r="AUF186" s="456"/>
      <c r="AUG186" s="456"/>
      <c r="AUH186" s="456"/>
      <c r="AUI186" s="456"/>
      <c r="AUJ186" s="456"/>
      <c r="AUK186" s="456"/>
      <c r="AUL186" s="456"/>
      <c r="AUM186" s="456"/>
      <c r="AUN186" s="456"/>
      <c r="AUO186" s="456"/>
      <c r="AUP186" s="456"/>
      <c r="AUQ186" s="456"/>
      <c r="AUR186" s="456"/>
      <c r="AUS186" s="456"/>
      <c r="AUT186" s="456"/>
      <c r="AUU186" s="456"/>
      <c r="AUV186" s="456"/>
      <c r="AUW186" s="456"/>
      <c r="AUX186" s="456"/>
      <c r="AUY186" s="456"/>
      <c r="AUZ186" s="456"/>
      <c r="AVA186" s="456"/>
      <c r="AVB186" s="456"/>
      <c r="AVC186" s="456"/>
      <c r="AVD186" s="456"/>
      <c r="AVE186" s="456"/>
      <c r="AVF186" s="456"/>
      <c r="AVG186" s="456"/>
      <c r="AVH186" s="456"/>
      <c r="AVI186" s="456"/>
      <c r="AVJ186" s="456"/>
      <c r="AVK186" s="456"/>
      <c r="AVL186" s="456"/>
      <c r="AVM186" s="456"/>
      <c r="AVN186" s="456"/>
      <c r="AVO186" s="456"/>
      <c r="AVP186" s="456"/>
      <c r="AVQ186" s="456"/>
      <c r="AVR186" s="456"/>
      <c r="AVS186" s="456"/>
      <c r="AVT186" s="456"/>
      <c r="AVU186" s="456"/>
      <c r="AVV186" s="456"/>
      <c r="AVW186" s="456"/>
      <c r="AVX186" s="456"/>
      <c r="AVY186" s="456"/>
      <c r="AVZ186" s="456"/>
      <c r="AWA186" s="456"/>
      <c r="AWB186" s="456"/>
      <c r="AWC186" s="456"/>
      <c r="AWD186" s="456"/>
      <c r="AWE186" s="456"/>
      <c r="AWF186" s="456"/>
      <c r="AWG186" s="456"/>
      <c r="AWH186" s="456"/>
      <c r="AWI186" s="456"/>
      <c r="AWJ186" s="456"/>
      <c r="AWK186" s="456"/>
      <c r="AWL186" s="456"/>
      <c r="AWM186" s="456"/>
      <c r="AWN186" s="456"/>
      <c r="AWO186" s="456"/>
      <c r="AWP186" s="456"/>
      <c r="AWQ186" s="456"/>
      <c r="AWR186" s="456"/>
      <c r="AWS186" s="456"/>
      <c r="AWT186" s="456"/>
      <c r="AWU186" s="456"/>
      <c r="AWV186" s="456"/>
      <c r="AWW186" s="456"/>
      <c r="AWX186" s="456"/>
      <c r="AWY186" s="456"/>
      <c r="AWZ186" s="456"/>
      <c r="AXA186" s="456"/>
      <c r="AXB186" s="456"/>
      <c r="AXC186" s="456"/>
      <c r="AXD186" s="456"/>
      <c r="AXE186" s="456"/>
      <c r="AXF186" s="456"/>
      <c r="AXG186" s="456"/>
      <c r="AXH186" s="456"/>
      <c r="AXI186" s="456"/>
      <c r="AXJ186" s="456"/>
      <c r="AXK186" s="456"/>
      <c r="AXL186" s="456"/>
      <c r="AXM186" s="456"/>
      <c r="AXN186" s="456"/>
      <c r="AXO186" s="456"/>
      <c r="AXP186" s="456"/>
      <c r="AXQ186" s="456"/>
      <c r="AXR186" s="456"/>
      <c r="AXS186" s="456"/>
      <c r="AXT186" s="456"/>
      <c r="AXU186" s="456"/>
      <c r="AXV186" s="456"/>
      <c r="AXW186" s="456"/>
      <c r="AXX186" s="456"/>
      <c r="AXY186" s="456"/>
      <c r="AXZ186" s="456"/>
      <c r="AYA186" s="456"/>
      <c r="AYB186" s="456"/>
      <c r="AYC186" s="456"/>
      <c r="AYD186" s="456"/>
      <c r="AYE186" s="456"/>
      <c r="AYF186" s="456"/>
      <c r="AYG186" s="456"/>
      <c r="AYH186" s="456"/>
      <c r="AYI186" s="456"/>
      <c r="AYJ186" s="456"/>
      <c r="AYK186" s="456"/>
      <c r="AYL186" s="456"/>
      <c r="AYM186" s="456"/>
      <c r="AYN186" s="456"/>
      <c r="AYO186" s="456"/>
      <c r="AYP186" s="456"/>
      <c r="AYQ186" s="456"/>
      <c r="AYR186" s="456"/>
      <c r="AYS186" s="456"/>
      <c r="AYT186" s="456"/>
      <c r="AYU186" s="456"/>
      <c r="AYV186" s="456"/>
      <c r="AYW186" s="456"/>
      <c r="AYX186" s="456"/>
      <c r="AYY186" s="456"/>
      <c r="AYZ186" s="456"/>
      <c r="AZA186" s="456"/>
      <c r="AZB186" s="456"/>
      <c r="AZC186" s="456"/>
      <c r="AZD186" s="456"/>
      <c r="AZE186" s="456"/>
      <c r="AZF186" s="456"/>
      <c r="AZG186" s="456"/>
      <c r="AZH186" s="456"/>
      <c r="AZI186" s="456"/>
      <c r="AZJ186" s="456"/>
      <c r="AZK186" s="456"/>
      <c r="AZL186" s="456"/>
      <c r="AZM186" s="456"/>
      <c r="AZN186" s="456"/>
      <c r="AZO186" s="456"/>
      <c r="AZP186" s="456"/>
      <c r="AZQ186" s="456"/>
      <c r="AZR186" s="456"/>
      <c r="AZS186" s="456"/>
      <c r="AZT186" s="456"/>
      <c r="AZU186" s="456"/>
      <c r="AZV186" s="456"/>
      <c r="AZW186" s="456"/>
      <c r="AZX186" s="456"/>
      <c r="AZY186" s="456"/>
      <c r="AZZ186" s="456"/>
      <c r="BAA186" s="456"/>
      <c r="BAB186" s="456"/>
      <c r="BAC186" s="456"/>
      <c r="BAD186" s="456"/>
      <c r="BAE186" s="456"/>
      <c r="BAF186" s="456"/>
      <c r="BAG186" s="456"/>
      <c r="BAH186" s="456"/>
      <c r="BAI186" s="456"/>
      <c r="BAJ186" s="456"/>
      <c r="BAK186" s="456"/>
      <c r="BAL186" s="456"/>
      <c r="BAM186" s="456"/>
      <c r="BAN186" s="456"/>
      <c r="BAO186" s="456"/>
      <c r="BAP186" s="456"/>
      <c r="BAQ186" s="456"/>
      <c r="BAR186" s="456"/>
      <c r="BAS186" s="456"/>
      <c r="BAT186" s="456"/>
      <c r="BAU186" s="456"/>
      <c r="BAV186" s="456"/>
      <c r="BAW186" s="456"/>
      <c r="BAX186" s="456"/>
      <c r="BAY186" s="456"/>
      <c r="BAZ186" s="456"/>
      <c r="BBA186" s="456"/>
      <c r="BBB186" s="456"/>
      <c r="BBC186" s="456"/>
      <c r="BBD186" s="456"/>
      <c r="BBE186" s="456"/>
      <c r="BBF186" s="456"/>
      <c r="BBG186" s="456"/>
      <c r="BBH186" s="456"/>
      <c r="BBI186" s="456"/>
      <c r="BBJ186" s="456"/>
      <c r="BBK186" s="456"/>
      <c r="BBL186" s="456"/>
      <c r="BBM186" s="456"/>
      <c r="BBN186" s="456"/>
      <c r="BBO186" s="456"/>
      <c r="BBP186" s="456"/>
      <c r="BBQ186" s="456"/>
      <c r="BBR186" s="456"/>
      <c r="BBS186" s="456"/>
      <c r="BBT186" s="456"/>
      <c r="BBU186" s="456"/>
      <c r="BBV186" s="456"/>
      <c r="BBW186" s="456"/>
      <c r="BBX186" s="456"/>
      <c r="BBY186" s="456"/>
      <c r="BBZ186" s="456"/>
      <c r="BCA186" s="456"/>
      <c r="BCB186" s="456"/>
      <c r="BCC186" s="456"/>
      <c r="BCD186" s="456"/>
      <c r="BCE186" s="456"/>
      <c r="BCF186" s="456"/>
      <c r="BCG186" s="456"/>
      <c r="BCH186" s="456"/>
      <c r="BCI186" s="456"/>
      <c r="BCJ186" s="456"/>
      <c r="BCK186" s="456"/>
      <c r="BCL186" s="456"/>
      <c r="BCM186" s="456"/>
      <c r="BCN186" s="456"/>
      <c r="BCO186" s="456"/>
      <c r="BCP186" s="456"/>
      <c r="BCQ186" s="456"/>
      <c r="BCR186" s="456"/>
      <c r="BCS186" s="456"/>
      <c r="BCT186" s="456"/>
      <c r="BCU186" s="456"/>
      <c r="BCV186" s="456"/>
      <c r="BCW186" s="456"/>
      <c r="BCX186" s="456"/>
      <c r="BCY186" s="456"/>
      <c r="BCZ186" s="456"/>
      <c r="BDA186" s="456"/>
      <c r="BDB186" s="456"/>
      <c r="BDC186" s="456"/>
      <c r="BDD186" s="456"/>
      <c r="BDE186" s="456"/>
      <c r="BDF186" s="456"/>
      <c r="BDG186" s="456"/>
      <c r="BDH186" s="456"/>
      <c r="BDI186" s="456"/>
      <c r="BDJ186" s="456"/>
      <c r="BDK186" s="456"/>
      <c r="BDL186" s="456"/>
      <c r="BDM186" s="456"/>
      <c r="BDN186" s="456"/>
      <c r="BDO186" s="456"/>
      <c r="BDP186" s="456"/>
      <c r="BDQ186" s="456"/>
      <c r="BDR186" s="456"/>
      <c r="BDS186" s="456"/>
      <c r="BDT186" s="456"/>
      <c r="BDU186" s="456"/>
      <c r="BDV186" s="456"/>
      <c r="BDW186" s="456"/>
      <c r="BDX186" s="456"/>
      <c r="BDY186" s="456"/>
      <c r="BDZ186" s="456"/>
      <c r="BEA186" s="456"/>
      <c r="BEB186" s="456"/>
      <c r="BEC186" s="456"/>
      <c r="BED186" s="456"/>
      <c r="BEE186" s="456"/>
      <c r="BEF186" s="456"/>
      <c r="BEG186" s="456"/>
      <c r="BEH186" s="456"/>
      <c r="BEI186" s="456"/>
      <c r="BEJ186" s="456"/>
      <c r="BEK186" s="456"/>
      <c r="BEL186" s="456"/>
      <c r="BEM186" s="456"/>
      <c r="BEN186" s="456"/>
      <c r="BEO186" s="456"/>
      <c r="BEP186" s="456"/>
      <c r="BEQ186" s="456"/>
      <c r="BER186" s="456"/>
      <c r="BES186" s="456"/>
      <c r="BET186" s="456"/>
      <c r="BEU186" s="456"/>
      <c r="BEV186" s="456"/>
      <c r="BEW186" s="456"/>
      <c r="BEX186" s="456"/>
      <c r="BEY186" s="456"/>
      <c r="BEZ186" s="456"/>
      <c r="BFA186" s="456"/>
      <c r="BFB186" s="456"/>
      <c r="BFC186" s="456"/>
      <c r="BFD186" s="456"/>
      <c r="BFE186" s="456"/>
      <c r="BFF186" s="456"/>
      <c r="BFG186" s="456"/>
      <c r="BFH186" s="456"/>
      <c r="BFI186" s="456"/>
      <c r="BFJ186" s="456"/>
      <c r="BFK186" s="456"/>
      <c r="BFL186" s="456"/>
      <c r="BFM186" s="456"/>
      <c r="BFN186" s="456"/>
      <c r="BFO186" s="456"/>
      <c r="BFP186" s="456"/>
      <c r="BFQ186" s="456"/>
      <c r="BFR186" s="456"/>
      <c r="BFS186" s="456"/>
      <c r="BFT186" s="456"/>
      <c r="BFU186" s="456"/>
      <c r="BFV186" s="456"/>
      <c r="BFW186" s="456"/>
      <c r="BFX186" s="456"/>
      <c r="BFY186" s="456"/>
      <c r="BFZ186" s="456"/>
      <c r="BGA186" s="456"/>
      <c r="BGB186" s="456"/>
      <c r="BGC186" s="456"/>
      <c r="BGD186" s="456"/>
      <c r="BGE186" s="456"/>
      <c r="BGF186" s="456"/>
      <c r="BGG186" s="456"/>
      <c r="BGH186" s="456"/>
      <c r="BGI186" s="456"/>
      <c r="BGJ186" s="456"/>
      <c r="BGK186" s="456"/>
      <c r="BGL186" s="456"/>
      <c r="BGM186" s="456"/>
      <c r="BGN186" s="456"/>
      <c r="BGO186" s="456"/>
      <c r="BGP186" s="456"/>
      <c r="BGQ186" s="456"/>
      <c r="BGR186" s="456"/>
      <c r="BGS186" s="456"/>
      <c r="BGT186" s="456"/>
      <c r="BGU186" s="456"/>
      <c r="BGV186" s="456"/>
      <c r="BGW186" s="456"/>
      <c r="BGX186" s="456"/>
      <c r="BGY186" s="456"/>
      <c r="BGZ186" s="456"/>
      <c r="BHA186" s="456"/>
      <c r="BHB186" s="456"/>
      <c r="BHC186" s="456"/>
      <c r="BHD186" s="456"/>
      <c r="BHE186" s="456"/>
      <c r="BHF186" s="456"/>
      <c r="BHG186" s="456"/>
      <c r="BHH186" s="456"/>
      <c r="BHI186" s="456"/>
      <c r="BHJ186" s="456"/>
      <c r="BHK186" s="456"/>
      <c r="BHL186" s="456"/>
      <c r="BHM186" s="456"/>
      <c r="BHN186" s="456"/>
      <c r="BHO186" s="456"/>
      <c r="BHP186" s="456"/>
      <c r="BHQ186" s="456"/>
      <c r="BHR186" s="456"/>
      <c r="BHS186" s="456"/>
      <c r="BHT186" s="456"/>
      <c r="BHU186" s="456"/>
      <c r="BHV186" s="456"/>
      <c r="BHW186" s="456"/>
      <c r="BHX186" s="456"/>
      <c r="BHY186" s="456"/>
      <c r="BHZ186" s="456"/>
      <c r="BIA186" s="456"/>
      <c r="BIB186" s="456"/>
      <c r="BIC186" s="456"/>
      <c r="BID186" s="456"/>
      <c r="BIE186" s="456"/>
      <c r="BIF186" s="456"/>
      <c r="BIG186" s="456"/>
      <c r="BIH186" s="456"/>
      <c r="BII186" s="456"/>
      <c r="BIJ186" s="456"/>
      <c r="BIK186" s="456"/>
      <c r="BIL186" s="456"/>
      <c r="BIM186" s="456"/>
      <c r="BIN186" s="456"/>
      <c r="BIO186" s="456"/>
      <c r="BIP186" s="456"/>
      <c r="BIQ186" s="456"/>
      <c r="BIR186" s="456"/>
      <c r="BIS186" s="456"/>
      <c r="BIT186" s="456"/>
      <c r="BIU186" s="456"/>
      <c r="BIV186" s="456"/>
      <c r="BIW186" s="456"/>
      <c r="BIX186" s="456"/>
      <c r="BIY186" s="456"/>
      <c r="BIZ186" s="456"/>
      <c r="BJA186" s="456"/>
      <c r="BJB186" s="456"/>
      <c r="BJC186" s="456"/>
      <c r="BJD186" s="456"/>
      <c r="BJE186" s="456"/>
      <c r="BJF186" s="456"/>
      <c r="BJG186" s="456"/>
      <c r="BJH186" s="456"/>
      <c r="BJI186" s="456"/>
      <c r="BJJ186" s="456"/>
      <c r="BJK186" s="456"/>
      <c r="BJL186" s="456"/>
      <c r="BJM186" s="456"/>
      <c r="BJN186" s="456"/>
      <c r="BJO186" s="456"/>
      <c r="BJP186" s="456"/>
      <c r="BJQ186" s="456"/>
      <c r="BJR186" s="456"/>
      <c r="BJS186" s="456"/>
      <c r="BJT186" s="456"/>
      <c r="BJU186" s="456"/>
      <c r="BJV186" s="456"/>
      <c r="BJW186" s="456"/>
      <c r="BJX186" s="456"/>
      <c r="BJY186" s="456"/>
      <c r="BJZ186" s="456"/>
      <c r="BKA186" s="456"/>
      <c r="BKB186" s="456"/>
      <c r="BKC186" s="456"/>
      <c r="BKD186" s="456"/>
      <c r="BKE186" s="456"/>
      <c r="BKF186" s="456"/>
      <c r="BKG186" s="456"/>
      <c r="BKH186" s="456"/>
      <c r="BKI186" s="456"/>
      <c r="BKJ186" s="456"/>
      <c r="BKK186" s="456"/>
      <c r="BKL186" s="456"/>
      <c r="BKM186" s="456"/>
      <c r="BKN186" s="456"/>
      <c r="BKO186" s="456"/>
      <c r="BKP186" s="456"/>
      <c r="BKQ186" s="456"/>
      <c r="BKR186" s="456"/>
      <c r="BKS186" s="456"/>
      <c r="BKT186" s="456"/>
      <c r="BKU186" s="456"/>
      <c r="BKV186" s="456"/>
      <c r="BKW186" s="456"/>
      <c r="BKX186" s="456"/>
      <c r="BKY186" s="456"/>
      <c r="BKZ186" s="456"/>
      <c r="BLA186" s="456"/>
      <c r="BLB186" s="456"/>
      <c r="BLC186" s="456"/>
      <c r="BLD186" s="456"/>
      <c r="BLE186" s="456"/>
      <c r="BLF186" s="456"/>
      <c r="BLG186" s="456"/>
      <c r="BLH186" s="456"/>
      <c r="BLI186" s="456"/>
      <c r="BLJ186" s="456"/>
      <c r="BLK186" s="456"/>
      <c r="BLL186" s="456"/>
      <c r="BLM186" s="456"/>
      <c r="BLN186" s="456"/>
      <c r="BLO186" s="456"/>
      <c r="BLP186" s="456"/>
      <c r="BLQ186" s="456"/>
      <c r="BLR186" s="456"/>
      <c r="BLS186" s="456"/>
      <c r="BLT186" s="456"/>
      <c r="BLU186" s="456"/>
      <c r="BLV186" s="456"/>
      <c r="BLW186" s="456"/>
      <c r="BLX186" s="456"/>
      <c r="BLY186" s="456"/>
      <c r="BLZ186" s="456"/>
      <c r="BMA186" s="456"/>
      <c r="BMB186" s="456"/>
      <c r="BMC186" s="456"/>
      <c r="BMD186" s="456"/>
      <c r="BME186" s="456"/>
      <c r="BMF186" s="456"/>
      <c r="BMG186" s="456"/>
      <c r="BMH186" s="456"/>
      <c r="BMI186" s="456"/>
      <c r="BMJ186" s="456"/>
      <c r="BMK186" s="456"/>
      <c r="BML186" s="456"/>
      <c r="BMM186" s="456"/>
      <c r="BMN186" s="456"/>
      <c r="BMO186" s="456"/>
      <c r="BMP186" s="456"/>
      <c r="BMQ186" s="456"/>
      <c r="BMR186" s="456"/>
      <c r="BMS186" s="456"/>
      <c r="BMT186" s="456"/>
      <c r="BMU186" s="456"/>
      <c r="BMV186" s="456"/>
      <c r="BMW186" s="456"/>
      <c r="BMX186" s="456"/>
      <c r="BMY186" s="456"/>
      <c r="BMZ186" s="456"/>
      <c r="BNA186" s="456"/>
      <c r="BNB186" s="456"/>
      <c r="BNC186" s="456"/>
      <c r="BND186" s="456"/>
      <c r="BNE186" s="456"/>
      <c r="BNF186" s="456"/>
      <c r="BNG186" s="456"/>
      <c r="BNH186" s="456"/>
      <c r="BNI186" s="456"/>
      <c r="BNJ186" s="456"/>
      <c r="BNK186" s="456"/>
      <c r="BNL186" s="456"/>
      <c r="BNM186" s="456"/>
      <c r="BNN186" s="456"/>
      <c r="BNO186" s="456"/>
      <c r="BNP186" s="456"/>
      <c r="BNQ186" s="456"/>
      <c r="BNR186" s="456"/>
      <c r="BNS186" s="456"/>
      <c r="BNT186" s="456"/>
      <c r="BNU186" s="456"/>
      <c r="BNV186" s="456"/>
      <c r="BNW186" s="456"/>
      <c r="BNX186" s="456"/>
      <c r="BNY186" s="456"/>
      <c r="BNZ186" s="456"/>
      <c r="BOA186" s="456"/>
      <c r="BOB186" s="456"/>
      <c r="BOC186" s="456"/>
      <c r="BOD186" s="456"/>
      <c r="BOE186" s="456"/>
      <c r="BOF186" s="456"/>
      <c r="BOG186" s="456"/>
      <c r="BOH186" s="456"/>
      <c r="BOI186" s="456"/>
      <c r="BOJ186" s="456"/>
      <c r="BOK186" s="456"/>
      <c r="BOL186" s="456"/>
      <c r="BOM186" s="456"/>
      <c r="BON186" s="456"/>
      <c r="BOO186" s="456"/>
      <c r="BOP186" s="456"/>
      <c r="BOQ186" s="456"/>
      <c r="BOR186" s="456"/>
      <c r="BOS186" s="456"/>
      <c r="BOT186" s="456"/>
      <c r="BOU186" s="456"/>
      <c r="BOV186" s="456"/>
      <c r="BOW186" s="456"/>
      <c r="BOX186" s="456"/>
      <c r="BOY186" s="456"/>
      <c r="BOZ186" s="456"/>
      <c r="BPA186" s="456"/>
      <c r="BPB186" s="456"/>
      <c r="BPC186" s="456"/>
      <c r="BPD186" s="456"/>
      <c r="BPE186" s="456"/>
      <c r="BPF186" s="456"/>
      <c r="BPG186" s="456"/>
      <c r="BPH186" s="456"/>
      <c r="BPI186" s="456"/>
      <c r="BPJ186" s="456"/>
      <c r="BPK186" s="456"/>
      <c r="BPL186" s="456"/>
      <c r="BPM186" s="456"/>
      <c r="BPN186" s="456"/>
      <c r="BPO186" s="456"/>
      <c r="BPP186" s="456"/>
      <c r="BPQ186" s="456"/>
      <c r="BPR186" s="456"/>
      <c r="BPS186" s="456"/>
      <c r="BPT186" s="456"/>
      <c r="BPU186" s="456"/>
      <c r="BPV186" s="456"/>
      <c r="BPW186" s="456"/>
      <c r="BPX186" s="456"/>
      <c r="BPY186" s="456"/>
      <c r="BPZ186" s="456"/>
      <c r="BQA186" s="456"/>
      <c r="BQB186" s="456"/>
      <c r="BQC186" s="456"/>
      <c r="BQD186" s="456"/>
      <c r="BQE186" s="456"/>
      <c r="BQF186" s="456"/>
      <c r="BQG186" s="456"/>
      <c r="BQH186" s="456"/>
      <c r="BQI186" s="456"/>
      <c r="BQJ186" s="456"/>
      <c r="BQK186" s="456"/>
      <c r="BQL186" s="456"/>
      <c r="BQM186" s="456"/>
      <c r="BQN186" s="456"/>
      <c r="BQO186" s="456"/>
      <c r="BQP186" s="456"/>
      <c r="BQQ186" s="456"/>
      <c r="BQR186" s="456"/>
      <c r="BQS186" s="456"/>
      <c r="BQT186" s="456"/>
      <c r="BQU186" s="456"/>
      <c r="BQV186" s="456"/>
      <c r="BQW186" s="456"/>
      <c r="BQX186" s="456"/>
      <c r="BQY186" s="456"/>
      <c r="BQZ186" s="456"/>
      <c r="BRA186" s="456"/>
      <c r="BRB186" s="456"/>
      <c r="BRC186" s="456"/>
      <c r="BRD186" s="456"/>
      <c r="BRE186" s="456"/>
      <c r="BRF186" s="456"/>
      <c r="BRG186" s="456"/>
      <c r="BRH186" s="456"/>
      <c r="BRI186" s="456"/>
      <c r="BRJ186" s="456"/>
      <c r="BRK186" s="456"/>
      <c r="BRL186" s="456"/>
      <c r="BRM186" s="456"/>
      <c r="BRN186" s="456"/>
      <c r="BRO186" s="456"/>
      <c r="BRP186" s="456"/>
      <c r="BRQ186" s="456"/>
      <c r="BRR186" s="456"/>
      <c r="BRS186" s="456"/>
      <c r="BRT186" s="456"/>
      <c r="BRU186" s="456"/>
      <c r="BRV186" s="456"/>
      <c r="BRW186" s="456"/>
      <c r="BRX186" s="456"/>
      <c r="BRY186" s="456"/>
      <c r="BRZ186" s="456"/>
      <c r="BSA186" s="456"/>
      <c r="BSB186" s="456"/>
      <c r="BSC186" s="456"/>
      <c r="BSD186" s="456"/>
      <c r="BSE186" s="456"/>
      <c r="BSF186" s="456"/>
      <c r="BSG186" s="456"/>
      <c r="BSH186" s="456"/>
      <c r="BSI186" s="456"/>
      <c r="BSJ186" s="456"/>
      <c r="BSK186" s="456"/>
      <c r="BSL186" s="456"/>
      <c r="BSM186" s="456"/>
      <c r="BSN186" s="456"/>
      <c r="BSO186" s="456"/>
      <c r="BSP186" s="456"/>
      <c r="BSQ186" s="456"/>
      <c r="BSR186" s="456"/>
      <c r="BSS186" s="456"/>
      <c r="BST186" s="456"/>
      <c r="BSU186" s="456"/>
      <c r="BSV186" s="456"/>
      <c r="BSW186" s="456"/>
      <c r="BSX186" s="456"/>
      <c r="BSY186" s="456"/>
      <c r="BSZ186" s="456"/>
      <c r="BTA186" s="456"/>
      <c r="BTB186" s="456"/>
      <c r="BTC186" s="456"/>
      <c r="BTD186" s="456"/>
      <c r="BTE186" s="456"/>
      <c r="BTF186" s="456"/>
      <c r="BTG186" s="456"/>
      <c r="BTH186" s="456"/>
      <c r="BTI186" s="456"/>
      <c r="BTJ186" s="456"/>
      <c r="BTK186" s="456"/>
      <c r="BTL186" s="456"/>
      <c r="BTM186" s="456"/>
      <c r="BTN186" s="456"/>
      <c r="BTO186" s="456"/>
      <c r="BTP186" s="456"/>
      <c r="BTQ186" s="456"/>
      <c r="BTR186" s="456"/>
      <c r="BTS186" s="456"/>
      <c r="BTT186" s="456"/>
      <c r="BTU186" s="456"/>
      <c r="BTV186" s="456"/>
      <c r="BTW186" s="456"/>
      <c r="BTX186" s="456"/>
      <c r="BTY186" s="456"/>
      <c r="BTZ186" s="456"/>
      <c r="BUA186" s="456"/>
      <c r="BUB186" s="456"/>
      <c r="BUC186" s="456"/>
      <c r="BUD186" s="456"/>
      <c r="BUE186" s="456"/>
      <c r="BUF186" s="456"/>
      <c r="BUG186" s="456"/>
      <c r="BUH186" s="456"/>
      <c r="BUI186" s="456"/>
      <c r="BUJ186" s="456"/>
      <c r="BUK186" s="456"/>
      <c r="BUL186" s="456"/>
      <c r="BUM186" s="456"/>
      <c r="BUN186" s="456"/>
      <c r="BUO186" s="456"/>
      <c r="BUP186" s="456"/>
      <c r="BUQ186" s="456"/>
      <c r="BUR186" s="456"/>
      <c r="BUS186" s="456"/>
      <c r="BUT186" s="456"/>
      <c r="BUU186" s="456"/>
      <c r="BUV186" s="456"/>
      <c r="BUW186" s="456"/>
      <c r="BUX186" s="456"/>
      <c r="BUY186" s="456"/>
      <c r="BUZ186" s="456"/>
      <c r="BVA186" s="456"/>
      <c r="BVB186" s="456"/>
      <c r="BVC186" s="456"/>
      <c r="BVD186" s="456"/>
      <c r="BVE186" s="456"/>
      <c r="BVF186" s="456"/>
      <c r="BVG186" s="456"/>
      <c r="BVH186" s="456"/>
      <c r="BVI186" s="456"/>
      <c r="BVJ186" s="456"/>
      <c r="BVK186" s="456"/>
      <c r="BVL186" s="456"/>
      <c r="BVM186" s="456"/>
      <c r="BVN186" s="456"/>
      <c r="BVO186" s="456"/>
      <c r="BVP186" s="456"/>
      <c r="BVQ186" s="456"/>
      <c r="BVR186" s="456"/>
      <c r="BVS186" s="456"/>
      <c r="BVT186" s="456"/>
      <c r="BVU186" s="456"/>
      <c r="BVV186" s="456"/>
      <c r="BVW186" s="456"/>
      <c r="BVX186" s="456"/>
      <c r="BVY186" s="456"/>
      <c r="BVZ186" s="456"/>
      <c r="BWA186" s="456"/>
      <c r="BWB186" s="456"/>
      <c r="BWC186" s="456"/>
      <c r="BWD186" s="456"/>
      <c r="BWE186" s="456"/>
      <c r="BWF186" s="456"/>
      <c r="BWG186" s="456"/>
      <c r="BWH186" s="456"/>
      <c r="BWI186" s="456"/>
      <c r="BWJ186" s="456"/>
      <c r="BWK186" s="456"/>
      <c r="BWL186" s="456"/>
      <c r="BWM186" s="456"/>
      <c r="BWN186" s="456"/>
      <c r="BWO186" s="456"/>
      <c r="BWP186" s="456"/>
      <c r="BWQ186" s="456"/>
      <c r="BWR186" s="456"/>
      <c r="BWS186" s="456"/>
      <c r="BWT186" s="456"/>
      <c r="BWU186" s="456"/>
      <c r="BWV186" s="456"/>
      <c r="BWW186" s="456"/>
      <c r="BWX186" s="456"/>
      <c r="BWY186" s="456"/>
      <c r="BWZ186" s="456"/>
      <c r="BXA186" s="456"/>
      <c r="BXB186" s="456"/>
      <c r="BXC186" s="456"/>
      <c r="BXD186" s="456"/>
      <c r="BXE186" s="456"/>
      <c r="BXF186" s="456"/>
      <c r="BXG186" s="456"/>
      <c r="BXH186" s="456"/>
      <c r="BXI186" s="456"/>
      <c r="BXJ186" s="456"/>
      <c r="BXK186" s="456"/>
      <c r="BXL186" s="456"/>
      <c r="BXM186" s="456"/>
      <c r="BXN186" s="456"/>
      <c r="BXO186" s="456"/>
      <c r="BXP186" s="456"/>
      <c r="BXQ186" s="456"/>
      <c r="BXR186" s="456"/>
      <c r="BXS186" s="456"/>
      <c r="BXT186" s="456"/>
      <c r="BXU186" s="456"/>
      <c r="BXV186" s="456"/>
      <c r="BXW186" s="456"/>
      <c r="BXX186" s="456"/>
      <c r="BXY186" s="456"/>
      <c r="BXZ186" s="456"/>
    </row>
    <row r="187" s="25" customFormat="1" spans="1:1024 1025:2002">
      <c r="A187" s="473"/>
      <c r="B187" s="19">
        <v>1135</v>
      </c>
      <c r="C187" s="183">
        <v>46227</v>
      </c>
      <c r="D187" s="17" t="s">
        <v>35</v>
      </c>
      <c r="E187" s="17" t="s">
        <v>71</v>
      </c>
      <c r="F187" s="17" t="s">
        <v>54</v>
      </c>
      <c r="G187" s="17"/>
      <c r="H187" s="124">
        <v>1.208</v>
      </c>
      <c r="I187" s="124"/>
      <c r="J187" s="17" t="s">
        <v>82</v>
      </c>
      <c r="K187" s="91">
        <v>400</v>
      </c>
      <c r="L187" s="168">
        <v>32</v>
      </c>
      <c r="M187" s="19">
        <v>5800</v>
      </c>
      <c r="N187" s="19" t="s">
        <v>40</v>
      </c>
      <c r="O187" s="19" t="s">
        <v>67</v>
      </c>
      <c r="P187" s="19">
        <v>6500</v>
      </c>
      <c r="Q187" s="19">
        <v>7536</v>
      </c>
      <c r="R187" s="19">
        <f t="shared" si="12"/>
        <v>-1036</v>
      </c>
      <c r="S187" s="19">
        <v>1300</v>
      </c>
      <c r="T187" s="19" t="s">
        <v>42</v>
      </c>
      <c r="U187" s="102" t="s">
        <v>127</v>
      </c>
      <c r="V187" s="186">
        <v>46224</v>
      </c>
      <c r="W187" s="17" t="s">
        <v>44</v>
      </c>
      <c r="X187" s="17"/>
      <c r="Y187" s="68">
        <v>46266</v>
      </c>
      <c r="Z187" s="17" t="s">
        <v>45</v>
      </c>
      <c r="AA187" s="17" t="s">
        <v>46</v>
      </c>
      <c r="AB187" s="17"/>
      <c r="AC187" s="102"/>
      <c r="AD187" s="65">
        <v>1864</v>
      </c>
      <c r="AE187" s="17" t="s">
        <v>48</v>
      </c>
      <c r="AF187" s="17"/>
      <c r="AG187" s="17"/>
      <c r="AH187" s="456"/>
      <c r="AI187" s="456"/>
      <c r="AJ187" s="456"/>
      <c r="AK187" s="456"/>
      <c r="AL187" s="456"/>
      <c r="AM187" s="456"/>
      <c r="AN187" s="456"/>
      <c r="AO187" s="456"/>
      <c r="AP187" s="456"/>
      <c r="AQ187" s="456"/>
      <c r="AR187" s="456"/>
      <c r="AS187" s="456"/>
      <c r="AT187" s="456"/>
      <c r="AU187" s="456"/>
      <c r="AV187" s="456"/>
      <c r="AW187" s="456"/>
      <c r="AX187" s="456"/>
      <c r="AY187" s="456"/>
      <c r="AZ187" s="456"/>
      <c r="BA187" s="456"/>
      <c r="BB187" s="456"/>
      <c r="BC187" s="456"/>
      <c r="BD187" s="456"/>
      <c r="BE187" s="456"/>
      <c r="BF187" s="456"/>
      <c r="BG187" s="456"/>
      <c r="BH187" s="456"/>
      <c r="BI187" s="456"/>
      <c r="BJ187" s="456"/>
      <c r="BK187" s="456"/>
      <c r="BL187" s="456"/>
      <c r="BM187" s="456"/>
      <c r="BN187" s="456"/>
      <c r="BO187" s="456"/>
      <c r="BP187" s="456"/>
      <c r="BQ187" s="456"/>
      <c r="BR187" s="456"/>
      <c r="BS187" s="456"/>
      <c r="BT187" s="456"/>
      <c r="BU187" s="456"/>
      <c r="BV187" s="456"/>
      <c r="BW187" s="456"/>
      <c r="BX187" s="456"/>
      <c r="BY187" s="456"/>
      <c r="BZ187" s="456"/>
      <c r="CA187" s="456"/>
      <c r="CB187" s="456"/>
      <c r="CC187" s="456"/>
      <c r="CD187" s="456"/>
      <c r="CE187" s="456"/>
      <c r="CF187" s="456"/>
      <c r="CG187" s="456"/>
      <c r="CH187" s="456"/>
      <c r="CI187" s="456"/>
      <c r="CJ187" s="456"/>
      <c r="CK187" s="456"/>
      <c r="CL187" s="456"/>
      <c r="CM187" s="456"/>
      <c r="CN187" s="456"/>
      <c r="CO187" s="456"/>
      <c r="CP187" s="456"/>
      <c r="CQ187" s="456"/>
      <c r="CR187" s="456"/>
      <c r="CS187" s="456"/>
      <c r="CT187" s="456"/>
      <c r="CU187" s="456"/>
      <c r="CV187" s="456"/>
      <c r="CW187" s="456"/>
      <c r="CX187" s="456"/>
      <c r="CY187" s="456"/>
      <c r="CZ187" s="456"/>
      <c r="DA187" s="456"/>
      <c r="DB187" s="456"/>
      <c r="DC187" s="456"/>
      <c r="DD187" s="456"/>
      <c r="DE187" s="456"/>
      <c r="DF187" s="456"/>
      <c r="DG187" s="456"/>
      <c r="DH187" s="456"/>
      <c r="DI187" s="456"/>
      <c r="DJ187" s="456"/>
      <c r="DK187" s="456"/>
      <c r="DL187" s="456"/>
      <c r="DM187" s="456"/>
      <c r="DN187" s="456"/>
      <c r="DO187" s="456"/>
      <c r="DP187" s="456"/>
      <c r="DQ187" s="456"/>
      <c r="DR187" s="456"/>
      <c r="DS187" s="456"/>
      <c r="DT187" s="456"/>
      <c r="DU187" s="456"/>
      <c r="DV187" s="456"/>
      <c r="DW187" s="456"/>
      <c r="DX187" s="456"/>
      <c r="DY187" s="456"/>
      <c r="DZ187" s="456"/>
      <c r="EA187" s="456"/>
      <c r="EB187" s="456"/>
      <c r="EC187" s="456"/>
      <c r="ED187" s="456"/>
      <c r="EE187" s="456"/>
      <c r="EF187" s="456"/>
      <c r="EG187" s="456"/>
      <c r="EH187" s="456"/>
      <c r="EI187" s="456"/>
      <c r="EJ187" s="456"/>
      <c r="EK187" s="456"/>
      <c r="EL187" s="456"/>
      <c r="EM187" s="456"/>
      <c r="EN187" s="456"/>
      <c r="EO187" s="456"/>
      <c r="EP187" s="456"/>
      <c r="EQ187" s="456"/>
      <c r="ER187" s="456"/>
      <c r="ES187" s="456"/>
      <c r="ET187" s="456"/>
      <c r="EU187" s="456"/>
      <c r="EV187" s="456"/>
      <c r="EW187" s="456"/>
      <c r="EX187" s="456"/>
      <c r="EY187" s="456"/>
      <c r="EZ187" s="456"/>
      <c r="FA187" s="456"/>
      <c r="FB187" s="456"/>
      <c r="FC187" s="456"/>
      <c r="FD187" s="456"/>
      <c r="FE187" s="456"/>
      <c r="FF187" s="456"/>
      <c r="FG187" s="456"/>
      <c r="FH187" s="456"/>
      <c r="FI187" s="456"/>
      <c r="FJ187" s="456"/>
      <c r="FK187" s="456"/>
      <c r="FL187" s="456"/>
      <c r="FM187" s="456"/>
      <c r="FN187" s="456"/>
      <c r="FO187" s="456"/>
      <c r="FP187" s="456"/>
      <c r="FQ187" s="456"/>
      <c r="FR187" s="456"/>
      <c r="FS187" s="456"/>
      <c r="FT187" s="456"/>
      <c r="FU187" s="456"/>
      <c r="FV187" s="456"/>
      <c r="FW187" s="456"/>
      <c r="FX187" s="456"/>
      <c r="FY187" s="456"/>
      <c r="FZ187" s="456"/>
      <c r="GA187" s="456"/>
      <c r="GB187" s="456"/>
      <c r="GC187" s="456"/>
      <c r="GD187" s="456"/>
      <c r="GE187" s="456"/>
      <c r="GF187" s="456"/>
      <c r="GG187" s="456"/>
      <c r="GH187" s="456"/>
      <c r="GI187" s="456"/>
      <c r="GJ187" s="456"/>
      <c r="GK187" s="456"/>
      <c r="GL187" s="456"/>
      <c r="GM187" s="456"/>
      <c r="GN187" s="456"/>
      <c r="GO187" s="456"/>
      <c r="GP187" s="456"/>
      <c r="GQ187" s="456"/>
      <c r="GR187" s="456"/>
      <c r="GS187" s="456"/>
      <c r="GT187" s="456"/>
      <c r="GU187" s="456"/>
      <c r="GV187" s="456"/>
      <c r="GW187" s="456"/>
      <c r="GX187" s="456"/>
      <c r="GY187" s="456"/>
      <c r="GZ187" s="456"/>
      <c r="HA187" s="456"/>
      <c r="HB187" s="456"/>
      <c r="HC187" s="456"/>
      <c r="HD187" s="456"/>
      <c r="HE187" s="456"/>
      <c r="HF187" s="456"/>
      <c r="HG187" s="456"/>
      <c r="HH187" s="456"/>
      <c r="HI187" s="456"/>
      <c r="HJ187" s="456"/>
      <c r="HK187" s="456"/>
      <c r="HL187" s="456"/>
      <c r="HM187" s="456"/>
      <c r="HN187" s="456"/>
      <c r="HO187" s="456"/>
      <c r="HP187" s="456"/>
      <c r="HQ187" s="456"/>
      <c r="HR187" s="456"/>
      <c r="HS187" s="456"/>
      <c r="HT187" s="456"/>
      <c r="HU187" s="456"/>
      <c r="HV187" s="456"/>
      <c r="HW187" s="456"/>
      <c r="HX187" s="456"/>
      <c r="HY187" s="456"/>
      <c r="HZ187" s="456"/>
      <c r="IA187" s="456"/>
      <c r="IB187" s="456"/>
      <c r="IC187" s="456"/>
      <c r="ID187" s="456"/>
      <c r="IE187" s="456"/>
      <c r="IF187" s="456"/>
      <c r="IG187" s="456"/>
      <c r="IH187" s="456"/>
      <c r="II187" s="456"/>
      <c r="IJ187" s="456"/>
      <c r="IK187" s="456"/>
      <c r="IL187" s="456"/>
      <c r="IM187" s="456"/>
      <c r="IN187" s="456"/>
      <c r="IO187" s="456"/>
      <c r="IP187" s="456"/>
      <c r="IQ187" s="456"/>
      <c r="IR187" s="456"/>
      <c r="IS187" s="456"/>
      <c r="IT187" s="456"/>
      <c r="IU187" s="456"/>
      <c r="IV187" s="456"/>
      <c r="IW187" s="456"/>
      <c r="IX187" s="456"/>
      <c r="IY187" s="456"/>
      <c r="IZ187" s="456"/>
      <c r="JA187" s="456"/>
      <c r="JB187" s="456"/>
      <c r="JC187" s="456"/>
      <c r="JD187" s="456"/>
      <c r="JE187" s="456"/>
      <c r="JF187" s="456"/>
      <c r="JG187" s="456"/>
      <c r="JH187" s="456"/>
      <c r="JI187" s="456"/>
      <c r="JJ187" s="456"/>
      <c r="JK187" s="456"/>
      <c r="JL187" s="456"/>
      <c r="JM187" s="456"/>
      <c r="JN187" s="456"/>
      <c r="JO187" s="456"/>
      <c r="JP187" s="456"/>
      <c r="JQ187" s="456"/>
      <c r="JR187" s="456"/>
      <c r="JS187" s="456"/>
      <c r="JT187" s="456"/>
      <c r="JU187" s="456"/>
      <c r="JV187" s="456"/>
      <c r="JW187" s="456"/>
      <c r="JX187" s="456"/>
      <c r="JY187" s="456"/>
      <c r="JZ187" s="456"/>
      <c r="KA187" s="456"/>
      <c r="KB187" s="456"/>
      <c r="KC187" s="456"/>
      <c r="KD187" s="456"/>
      <c r="KE187" s="456"/>
      <c r="KF187" s="456"/>
      <c r="KG187" s="456"/>
      <c r="KH187" s="456"/>
      <c r="KI187" s="456"/>
      <c r="KJ187" s="456"/>
      <c r="KK187" s="456"/>
      <c r="KL187" s="456"/>
      <c r="KM187" s="456"/>
      <c r="KN187" s="456"/>
      <c r="KO187" s="456"/>
      <c r="KP187" s="456"/>
      <c r="KQ187" s="456"/>
      <c r="KR187" s="456"/>
      <c r="KS187" s="456"/>
      <c r="KT187" s="456"/>
      <c r="KU187" s="456"/>
      <c r="KV187" s="456"/>
      <c r="KW187" s="456"/>
      <c r="KX187" s="456"/>
      <c r="KY187" s="456"/>
      <c r="KZ187" s="456"/>
      <c r="LA187" s="456"/>
      <c r="LB187" s="456"/>
      <c r="LC187" s="456"/>
      <c r="LD187" s="456"/>
      <c r="LE187" s="456"/>
      <c r="LF187" s="456"/>
      <c r="LG187" s="456"/>
      <c r="LH187" s="456"/>
      <c r="LI187" s="456"/>
      <c r="LJ187" s="456"/>
      <c r="LK187" s="456"/>
      <c r="LL187" s="456"/>
      <c r="LM187" s="456"/>
      <c r="LN187" s="456"/>
      <c r="LO187" s="456"/>
      <c r="LP187" s="456"/>
      <c r="LQ187" s="456"/>
      <c r="LR187" s="456"/>
      <c r="LS187" s="456"/>
      <c r="LT187" s="456"/>
      <c r="LU187" s="456"/>
      <c r="LV187" s="456"/>
      <c r="LW187" s="456"/>
      <c r="LX187" s="456"/>
      <c r="LY187" s="456"/>
      <c r="LZ187" s="456"/>
      <c r="MA187" s="456"/>
      <c r="MB187" s="456"/>
      <c r="MC187" s="456"/>
      <c r="MD187" s="456"/>
      <c r="ME187" s="456"/>
      <c r="MF187" s="456"/>
      <c r="MG187" s="456"/>
      <c r="MH187" s="456"/>
      <c r="MI187" s="456"/>
      <c r="MJ187" s="456"/>
      <c r="MK187" s="456"/>
      <c r="ML187" s="456"/>
      <c r="MM187" s="456"/>
      <c r="MN187" s="456"/>
      <c r="MO187" s="456"/>
      <c r="MP187" s="456"/>
      <c r="MQ187" s="456"/>
      <c r="MR187" s="456"/>
      <c r="MS187" s="456"/>
      <c r="MT187" s="456"/>
      <c r="MU187" s="456"/>
      <c r="MV187" s="456"/>
      <c r="MW187" s="456"/>
      <c r="MX187" s="456"/>
      <c r="MY187" s="456"/>
      <c r="MZ187" s="456"/>
      <c r="NA187" s="456"/>
      <c r="NB187" s="456"/>
      <c r="NC187" s="456"/>
      <c r="ND187" s="456"/>
      <c r="NE187" s="456"/>
      <c r="NF187" s="456"/>
      <c r="NG187" s="456"/>
      <c r="NH187" s="456"/>
      <c r="NI187" s="456"/>
      <c r="NJ187" s="456"/>
      <c r="NK187" s="456"/>
      <c r="NL187" s="456"/>
      <c r="NM187" s="456"/>
      <c r="NN187" s="456"/>
      <c r="NO187" s="456"/>
      <c r="NP187" s="456"/>
      <c r="NQ187" s="456"/>
      <c r="NR187" s="456"/>
      <c r="NS187" s="456"/>
      <c r="NT187" s="456"/>
      <c r="NU187" s="456"/>
      <c r="NV187" s="456"/>
      <c r="NW187" s="456"/>
      <c r="NX187" s="456"/>
      <c r="NY187" s="456"/>
      <c r="NZ187" s="456"/>
      <c r="OA187" s="456"/>
      <c r="OB187" s="456"/>
      <c r="OC187" s="456"/>
      <c r="OD187" s="456"/>
      <c r="OE187" s="456"/>
      <c r="OF187" s="456"/>
      <c r="OG187" s="456"/>
      <c r="OH187" s="456"/>
      <c r="OI187" s="456"/>
      <c r="OJ187" s="456"/>
      <c r="OK187" s="456"/>
      <c r="OL187" s="456"/>
      <c r="OM187" s="456"/>
      <c r="ON187" s="456"/>
      <c r="OO187" s="456"/>
      <c r="OP187" s="456"/>
      <c r="OQ187" s="456"/>
      <c r="OR187" s="456"/>
      <c r="OS187" s="456"/>
      <c r="OT187" s="456"/>
      <c r="OU187" s="456"/>
      <c r="OV187" s="456"/>
      <c r="OW187" s="456"/>
      <c r="OX187" s="456"/>
      <c r="OY187" s="456"/>
      <c r="OZ187" s="456"/>
      <c r="PA187" s="456"/>
      <c r="PB187" s="456"/>
      <c r="PC187" s="456"/>
      <c r="PD187" s="456"/>
      <c r="PE187" s="456"/>
      <c r="PF187" s="456"/>
      <c r="PG187" s="456"/>
      <c r="PH187" s="456"/>
      <c r="PI187" s="456"/>
      <c r="PJ187" s="456"/>
      <c r="PK187" s="456"/>
      <c r="PL187" s="456"/>
      <c r="PM187" s="456"/>
      <c r="PN187" s="456"/>
      <c r="PO187" s="456"/>
      <c r="PP187" s="456"/>
      <c r="PQ187" s="456"/>
      <c r="PR187" s="456"/>
      <c r="PS187" s="456"/>
      <c r="PT187" s="456"/>
      <c r="PU187" s="456"/>
      <c r="PV187" s="456"/>
      <c r="PW187" s="456"/>
      <c r="PX187" s="456"/>
      <c r="PY187" s="456"/>
      <c r="PZ187" s="456"/>
      <c r="QA187" s="456"/>
      <c r="QB187" s="456"/>
      <c r="QC187" s="456"/>
      <c r="QD187" s="456"/>
      <c r="QE187" s="456"/>
      <c r="QF187" s="456"/>
      <c r="QG187" s="456"/>
      <c r="QH187" s="456"/>
      <c r="QI187" s="456"/>
      <c r="QJ187" s="456"/>
      <c r="QK187" s="456"/>
      <c r="QL187" s="456"/>
      <c r="QM187" s="456"/>
      <c r="QN187" s="456"/>
      <c r="QO187" s="456"/>
      <c r="QP187" s="456"/>
      <c r="QQ187" s="456"/>
      <c r="QR187" s="456"/>
      <c r="QS187" s="456"/>
      <c r="QT187" s="456"/>
      <c r="QU187" s="456"/>
      <c r="QV187" s="456"/>
      <c r="QW187" s="456"/>
      <c r="QX187" s="456"/>
      <c r="QY187" s="456"/>
      <c r="QZ187" s="456"/>
      <c r="RA187" s="456"/>
      <c r="RB187" s="456"/>
      <c r="RC187" s="456"/>
      <c r="RD187" s="456"/>
      <c r="RE187" s="456"/>
      <c r="RF187" s="456"/>
      <c r="RG187" s="456"/>
      <c r="RH187" s="456"/>
      <c r="RI187" s="456"/>
      <c r="RJ187" s="456"/>
      <c r="RK187" s="456"/>
      <c r="RL187" s="456"/>
      <c r="RM187" s="456"/>
      <c r="RN187" s="456"/>
      <c r="RO187" s="456"/>
      <c r="RP187" s="456"/>
      <c r="RQ187" s="456"/>
      <c r="RR187" s="456"/>
      <c r="RS187" s="456"/>
      <c r="RT187" s="456"/>
      <c r="RU187" s="456"/>
      <c r="RV187" s="456"/>
      <c r="RW187" s="456"/>
      <c r="RX187" s="456"/>
      <c r="RY187" s="456"/>
      <c r="RZ187" s="456"/>
      <c r="SA187" s="456"/>
      <c r="SB187" s="456"/>
      <c r="SC187" s="456"/>
      <c r="SD187" s="456"/>
      <c r="SE187" s="456"/>
      <c r="SF187" s="456"/>
      <c r="SG187" s="456"/>
      <c r="SH187" s="456"/>
      <c r="SI187" s="456"/>
      <c r="SJ187" s="456"/>
      <c r="SK187" s="456"/>
      <c r="SL187" s="456"/>
      <c r="SM187" s="456"/>
      <c r="SN187" s="456"/>
      <c r="SO187" s="456"/>
      <c r="SP187" s="456"/>
      <c r="SQ187" s="456"/>
      <c r="SR187" s="456"/>
      <c r="SS187" s="456"/>
      <c r="ST187" s="456"/>
      <c r="SU187" s="456"/>
      <c r="SV187" s="456"/>
      <c r="SW187" s="456"/>
      <c r="SX187" s="456"/>
      <c r="SY187" s="456"/>
      <c r="SZ187" s="456"/>
      <c r="TA187" s="456"/>
      <c r="TB187" s="456"/>
      <c r="TC187" s="456"/>
      <c r="TD187" s="456"/>
      <c r="TE187" s="456"/>
      <c r="TF187" s="456"/>
      <c r="TG187" s="456"/>
      <c r="TH187" s="456"/>
      <c r="TI187" s="456"/>
      <c r="TJ187" s="456"/>
      <c r="TK187" s="456"/>
      <c r="TL187" s="456"/>
      <c r="TM187" s="456"/>
      <c r="TN187" s="456"/>
      <c r="TO187" s="456"/>
      <c r="TP187" s="456"/>
      <c r="TQ187" s="456"/>
      <c r="TR187" s="456"/>
      <c r="TS187" s="456"/>
      <c r="TT187" s="456"/>
      <c r="TU187" s="456"/>
      <c r="TV187" s="456"/>
      <c r="TW187" s="456"/>
      <c r="TX187" s="456"/>
      <c r="TY187" s="456"/>
      <c r="TZ187" s="456"/>
      <c r="UA187" s="456"/>
      <c r="UB187" s="456"/>
      <c r="UC187" s="456"/>
      <c r="UD187" s="456"/>
      <c r="UE187" s="456"/>
      <c r="UF187" s="456"/>
      <c r="UG187" s="456"/>
      <c r="UH187" s="456"/>
      <c r="UI187" s="456"/>
      <c r="UJ187" s="456"/>
      <c r="UK187" s="456"/>
      <c r="UL187" s="456"/>
      <c r="UM187" s="456"/>
      <c r="UN187" s="456"/>
      <c r="UO187" s="456"/>
      <c r="UP187" s="456"/>
      <c r="UQ187" s="456"/>
      <c r="UR187" s="456"/>
      <c r="US187" s="456"/>
      <c r="UT187" s="456"/>
      <c r="UU187" s="456"/>
      <c r="UV187" s="456"/>
      <c r="UW187" s="456"/>
      <c r="UX187" s="456"/>
      <c r="UY187" s="456"/>
      <c r="UZ187" s="456"/>
      <c r="VA187" s="456"/>
      <c r="VB187" s="456"/>
      <c r="VC187" s="456"/>
      <c r="VD187" s="456"/>
      <c r="VE187" s="456"/>
      <c r="VF187" s="456"/>
      <c r="VG187" s="456"/>
      <c r="VH187" s="456"/>
      <c r="VI187" s="456"/>
      <c r="VJ187" s="456"/>
      <c r="VK187" s="456"/>
      <c r="VL187" s="456"/>
      <c r="VM187" s="456"/>
      <c r="VN187" s="456"/>
      <c r="VO187" s="456"/>
      <c r="VP187" s="456"/>
      <c r="VQ187" s="456"/>
      <c r="VR187" s="456"/>
      <c r="VS187" s="456"/>
      <c r="VT187" s="456"/>
      <c r="VU187" s="456"/>
      <c r="VV187" s="456"/>
      <c r="VW187" s="456"/>
      <c r="VX187" s="456"/>
      <c r="VY187" s="456"/>
      <c r="VZ187" s="456"/>
      <c r="WA187" s="456"/>
      <c r="WB187" s="456"/>
      <c r="WC187" s="456"/>
      <c r="WD187" s="456"/>
      <c r="WE187" s="456"/>
      <c r="WF187" s="456"/>
      <c r="WG187" s="456"/>
      <c r="WH187" s="456"/>
      <c r="WI187" s="456"/>
      <c r="WJ187" s="456"/>
      <c r="WK187" s="456"/>
      <c r="WL187" s="456"/>
      <c r="WM187" s="456"/>
      <c r="WN187" s="456"/>
      <c r="WO187" s="456"/>
      <c r="WP187" s="456"/>
      <c r="WQ187" s="456"/>
      <c r="WR187" s="456"/>
      <c r="WS187" s="456"/>
      <c r="WT187" s="456"/>
      <c r="WU187" s="456"/>
      <c r="WV187" s="456"/>
      <c r="WW187" s="456"/>
      <c r="WX187" s="456"/>
      <c r="WY187" s="456"/>
      <c r="WZ187" s="456"/>
      <c r="XA187" s="456"/>
      <c r="XB187" s="456"/>
      <c r="XC187" s="456"/>
      <c r="XD187" s="456"/>
      <c r="XE187" s="456"/>
      <c r="XF187" s="456"/>
      <c r="XG187" s="456"/>
      <c r="XH187" s="456"/>
      <c r="XI187" s="456"/>
      <c r="XJ187" s="456"/>
      <c r="XK187" s="456"/>
      <c r="XL187" s="456"/>
      <c r="XM187" s="456"/>
      <c r="XN187" s="456"/>
      <c r="XO187" s="456"/>
      <c r="XP187" s="456"/>
      <c r="XQ187" s="456"/>
      <c r="XR187" s="456"/>
      <c r="XS187" s="456"/>
      <c r="XT187" s="456"/>
      <c r="XU187" s="456"/>
      <c r="XV187" s="456"/>
      <c r="XW187" s="456"/>
      <c r="XX187" s="456"/>
      <c r="XY187" s="456"/>
      <c r="XZ187" s="456"/>
      <c r="YA187" s="456"/>
      <c r="YB187" s="456"/>
      <c r="YC187" s="456"/>
      <c r="YD187" s="456"/>
      <c r="YE187" s="456"/>
      <c r="YF187" s="456"/>
      <c r="YG187" s="456"/>
      <c r="YH187" s="456"/>
      <c r="YI187" s="456"/>
      <c r="YJ187" s="456"/>
      <c r="YK187" s="456"/>
      <c r="YL187" s="456"/>
      <c r="YM187" s="456"/>
      <c r="YN187" s="456"/>
      <c r="YO187" s="456"/>
      <c r="YP187" s="456"/>
      <c r="YQ187" s="456"/>
      <c r="YR187" s="456"/>
      <c r="YS187" s="456"/>
      <c r="YT187" s="456"/>
      <c r="YU187" s="456"/>
      <c r="YV187" s="456"/>
      <c r="YW187" s="456"/>
      <c r="YX187" s="456"/>
      <c r="YY187" s="456"/>
      <c r="YZ187" s="456"/>
      <c r="ZA187" s="456"/>
      <c r="ZB187" s="456"/>
      <c r="ZC187" s="456"/>
      <c r="ZD187" s="456"/>
      <c r="ZE187" s="456"/>
      <c r="ZF187" s="456"/>
      <c r="ZG187" s="456"/>
      <c r="ZH187" s="456"/>
      <c r="ZI187" s="456"/>
      <c r="ZJ187" s="456"/>
      <c r="ZK187" s="456"/>
      <c r="ZL187" s="456"/>
      <c r="ZM187" s="456"/>
      <c r="ZN187" s="456"/>
      <c r="ZO187" s="456"/>
      <c r="ZP187" s="456"/>
      <c r="ZQ187" s="456"/>
      <c r="ZR187" s="456"/>
      <c r="ZS187" s="456"/>
      <c r="ZT187" s="456"/>
      <c r="ZU187" s="456"/>
      <c r="ZV187" s="456"/>
      <c r="ZW187" s="456"/>
      <c r="ZX187" s="456"/>
      <c r="ZY187" s="456"/>
      <c r="ZZ187" s="456"/>
      <c r="AAA187" s="456"/>
      <c r="AAB187" s="456"/>
      <c r="AAC187" s="456"/>
      <c r="AAD187" s="456"/>
      <c r="AAE187" s="456"/>
      <c r="AAF187" s="456"/>
      <c r="AAG187" s="456"/>
      <c r="AAH187" s="456"/>
      <c r="AAI187" s="456"/>
      <c r="AAJ187" s="456"/>
      <c r="AAK187" s="456"/>
      <c r="AAL187" s="456"/>
      <c r="AAM187" s="456"/>
      <c r="AAN187" s="456"/>
      <c r="AAO187" s="456"/>
      <c r="AAP187" s="456"/>
      <c r="AAQ187" s="456"/>
      <c r="AAR187" s="456"/>
      <c r="AAS187" s="456"/>
      <c r="AAT187" s="456"/>
      <c r="AAU187" s="456"/>
      <c r="AAV187" s="456"/>
      <c r="AAW187" s="456"/>
      <c r="AAX187" s="456"/>
      <c r="AAY187" s="456"/>
      <c r="AAZ187" s="456"/>
      <c r="ABA187" s="456"/>
      <c r="ABB187" s="456"/>
      <c r="ABC187" s="456"/>
      <c r="ABD187" s="456"/>
      <c r="ABE187" s="456"/>
      <c r="ABF187" s="456"/>
      <c r="ABG187" s="456"/>
      <c r="ABH187" s="456"/>
      <c r="ABI187" s="456"/>
      <c r="ABJ187" s="456"/>
      <c r="ABK187" s="456"/>
      <c r="ABL187" s="456"/>
      <c r="ABM187" s="456"/>
      <c r="ABN187" s="456"/>
      <c r="ABO187" s="456"/>
      <c r="ABP187" s="456"/>
      <c r="ABQ187" s="456"/>
      <c r="ABR187" s="456"/>
      <c r="ABS187" s="456"/>
      <c r="ABT187" s="456"/>
      <c r="ABU187" s="456"/>
      <c r="ABV187" s="456"/>
      <c r="ABW187" s="456"/>
      <c r="ABX187" s="456"/>
      <c r="ABY187" s="456"/>
      <c r="ABZ187" s="456"/>
      <c r="ACA187" s="456"/>
      <c r="ACB187" s="456"/>
      <c r="ACC187" s="456"/>
      <c r="ACD187" s="456"/>
      <c r="ACE187" s="456"/>
      <c r="ACF187" s="456"/>
      <c r="ACG187" s="456"/>
      <c r="ACH187" s="456"/>
      <c r="ACI187" s="456"/>
      <c r="ACJ187" s="456"/>
      <c r="ACK187" s="456"/>
      <c r="ACL187" s="456"/>
      <c r="ACM187" s="456"/>
      <c r="ACN187" s="456"/>
      <c r="ACO187" s="456"/>
      <c r="ACP187" s="456"/>
      <c r="ACQ187" s="456"/>
      <c r="ACR187" s="456"/>
      <c r="ACS187" s="456"/>
      <c r="ACT187" s="456"/>
      <c r="ACU187" s="456"/>
      <c r="ACV187" s="456"/>
      <c r="ACW187" s="456"/>
      <c r="ACX187" s="456"/>
      <c r="ACY187" s="456"/>
      <c r="ACZ187" s="456"/>
      <c r="ADA187" s="456"/>
      <c r="ADB187" s="456"/>
      <c r="ADC187" s="456"/>
      <c r="ADD187" s="456"/>
      <c r="ADE187" s="456"/>
      <c r="ADF187" s="456"/>
      <c r="ADG187" s="456"/>
      <c r="ADH187" s="456"/>
      <c r="ADI187" s="456"/>
      <c r="ADJ187" s="456"/>
      <c r="ADK187" s="456"/>
      <c r="ADL187" s="456"/>
      <c r="ADM187" s="456"/>
      <c r="ADN187" s="456"/>
      <c r="ADO187" s="456"/>
      <c r="ADP187" s="456"/>
      <c r="ADQ187" s="456"/>
      <c r="ADR187" s="456"/>
      <c r="ADS187" s="456"/>
      <c r="ADT187" s="456"/>
      <c r="ADU187" s="456"/>
      <c r="ADV187" s="456"/>
      <c r="ADW187" s="456"/>
      <c r="ADX187" s="456"/>
      <c r="ADY187" s="456"/>
      <c r="ADZ187" s="456"/>
      <c r="AEA187" s="456"/>
      <c r="AEB187" s="456"/>
      <c r="AEC187" s="456"/>
      <c r="AED187" s="456"/>
      <c r="AEE187" s="456"/>
      <c r="AEF187" s="456"/>
      <c r="AEG187" s="456"/>
      <c r="AEH187" s="456"/>
      <c r="AEI187" s="456"/>
      <c r="AEJ187" s="456"/>
      <c r="AEK187" s="456"/>
      <c r="AEL187" s="456"/>
      <c r="AEM187" s="456"/>
      <c r="AEN187" s="456"/>
      <c r="AEO187" s="456"/>
      <c r="AEP187" s="456"/>
      <c r="AEQ187" s="456"/>
      <c r="AER187" s="456"/>
      <c r="AES187" s="456"/>
      <c r="AET187" s="456"/>
      <c r="AEU187" s="456"/>
      <c r="AEV187" s="456"/>
      <c r="AEW187" s="456"/>
      <c r="AEX187" s="456"/>
      <c r="AEY187" s="456"/>
      <c r="AEZ187" s="456"/>
      <c r="AFA187" s="456"/>
      <c r="AFB187" s="456"/>
      <c r="AFC187" s="456"/>
      <c r="AFD187" s="456"/>
      <c r="AFE187" s="456"/>
      <c r="AFF187" s="456"/>
      <c r="AFG187" s="456"/>
      <c r="AFH187" s="456"/>
      <c r="AFI187" s="456"/>
      <c r="AFJ187" s="456"/>
      <c r="AFK187" s="456"/>
      <c r="AFL187" s="456"/>
      <c r="AFM187" s="456"/>
      <c r="AFN187" s="456"/>
      <c r="AFO187" s="456"/>
      <c r="AFP187" s="456"/>
      <c r="AFQ187" s="456"/>
      <c r="AFR187" s="456"/>
      <c r="AFS187" s="456"/>
      <c r="AFT187" s="456"/>
      <c r="AFU187" s="456"/>
      <c r="AFV187" s="456"/>
      <c r="AFW187" s="456"/>
      <c r="AFX187" s="456"/>
      <c r="AFY187" s="456"/>
      <c r="AFZ187" s="456"/>
      <c r="AGA187" s="456"/>
      <c r="AGB187" s="456"/>
      <c r="AGC187" s="456"/>
      <c r="AGD187" s="456"/>
      <c r="AGE187" s="456"/>
      <c r="AGF187" s="456"/>
      <c r="AGG187" s="456"/>
      <c r="AGH187" s="456"/>
      <c r="AGI187" s="456"/>
      <c r="AGJ187" s="456"/>
      <c r="AGK187" s="456"/>
      <c r="AGL187" s="456"/>
      <c r="AGM187" s="456"/>
      <c r="AGN187" s="456"/>
      <c r="AGO187" s="456"/>
      <c r="AGP187" s="456"/>
      <c r="AGQ187" s="456"/>
      <c r="AGR187" s="456"/>
      <c r="AGS187" s="456"/>
      <c r="AGT187" s="456"/>
      <c r="AGU187" s="456"/>
      <c r="AGV187" s="456"/>
      <c r="AGW187" s="456"/>
      <c r="AGX187" s="456"/>
      <c r="AGY187" s="456"/>
      <c r="AGZ187" s="456"/>
      <c r="AHA187" s="456"/>
      <c r="AHB187" s="456"/>
      <c r="AHC187" s="456"/>
      <c r="AHD187" s="456"/>
      <c r="AHE187" s="456"/>
      <c r="AHF187" s="456"/>
      <c r="AHG187" s="456"/>
      <c r="AHH187" s="456"/>
      <c r="AHI187" s="456"/>
      <c r="AHJ187" s="456"/>
      <c r="AHK187" s="456"/>
      <c r="AHL187" s="456"/>
      <c r="AHM187" s="456"/>
      <c r="AHN187" s="456"/>
      <c r="AHO187" s="456"/>
      <c r="AHP187" s="456"/>
      <c r="AHQ187" s="456"/>
      <c r="AHR187" s="456"/>
      <c r="AHS187" s="456"/>
      <c r="AHT187" s="456"/>
      <c r="AHU187" s="456"/>
      <c r="AHV187" s="456"/>
      <c r="AHW187" s="456"/>
      <c r="AHX187" s="456"/>
      <c r="AHY187" s="456"/>
      <c r="AHZ187" s="456"/>
      <c r="AIA187" s="456"/>
      <c r="AIB187" s="456"/>
      <c r="AIC187" s="456"/>
      <c r="AID187" s="456"/>
      <c r="AIE187" s="456"/>
      <c r="AIF187" s="456"/>
      <c r="AIG187" s="456"/>
      <c r="AIH187" s="456"/>
      <c r="AII187" s="456"/>
      <c r="AIJ187" s="456"/>
      <c r="AIK187" s="456"/>
      <c r="AIL187" s="456"/>
      <c r="AIM187" s="456"/>
      <c r="AIN187" s="456"/>
      <c r="AIO187" s="456"/>
      <c r="AIP187" s="456"/>
      <c r="AIQ187" s="456"/>
      <c r="AIR187" s="456"/>
      <c r="AIS187" s="456"/>
      <c r="AIT187" s="456"/>
      <c r="AIU187" s="456"/>
      <c r="AIV187" s="456"/>
      <c r="AIW187" s="456"/>
      <c r="AIX187" s="456"/>
      <c r="AIY187" s="456"/>
      <c r="AIZ187" s="456"/>
      <c r="AJA187" s="456"/>
      <c r="AJB187" s="456"/>
      <c r="AJC187" s="456"/>
      <c r="AJD187" s="456"/>
      <c r="AJE187" s="456"/>
      <c r="AJF187" s="456"/>
      <c r="AJG187" s="456"/>
      <c r="AJH187" s="456"/>
      <c r="AJI187" s="456"/>
      <c r="AJJ187" s="456"/>
      <c r="AJK187" s="456"/>
      <c r="AJL187" s="456"/>
      <c r="AJM187" s="456"/>
      <c r="AJN187" s="456"/>
      <c r="AJO187" s="456"/>
      <c r="AJP187" s="456"/>
      <c r="AJQ187" s="456"/>
      <c r="AJR187" s="456"/>
      <c r="AJS187" s="456"/>
      <c r="AJT187" s="456"/>
      <c r="AJU187" s="456"/>
      <c r="AJV187" s="456"/>
      <c r="AJW187" s="456"/>
      <c r="AJX187" s="456"/>
      <c r="AJY187" s="456"/>
      <c r="AJZ187" s="456"/>
      <c r="AKA187" s="456"/>
      <c r="AKB187" s="456"/>
      <c r="AKC187" s="456"/>
      <c r="AKD187" s="456"/>
      <c r="AKE187" s="456"/>
      <c r="AKF187" s="456"/>
      <c r="AKG187" s="456"/>
      <c r="AKH187" s="456"/>
      <c r="AKI187" s="456"/>
      <c r="AKJ187" s="456"/>
      <c r="AKK187" s="456"/>
      <c r="AKL187" s="456"/>
      <c r="AKM187" s="456"/>
      <c r="AKN187" s="456"/>
      <c r="AKO187" s="456"/>
      <c r="AKP187" s="456"/>
      <c r="AKQ187" s="456"/>
      <c r="AKR187" s="456"/>
      <c r="AKS187" s="456"/>
      <c r="AKT187" s="456"/>
      <c r="AKU187" s="456"/>
      <c r="AKV187" s="456"/>
      <c r="AKW187" s="456"/>
      <c r="AKX187" s="456"/>
      <c r="AKY187" s="456"/>
      <c r="AKZ187" s="456"/>
      <c r="ALA187" s="456"/>
      <c r="ALB187" s="456"/>
      <c r="ALC187" s="456"/>
      <c r="ALD187" s="456"/>
      <c r="ALE187" s="456"/>
      <c r="ALF187" s="456"/>
      <c r="ALG187" s="456"/>
      <c r="ALH187" s="456"/>
      <c r="ALI187" s="456"/>
      <c r="ALJ187" s="456"/>
      <c r="ALK187" s="456"/>
      <c r="ALL187" s="456"/>
      <c r="ALM187" s="456"/>
      <c r="ALN187" s="456"/>
      <c r="ALO187" s="456"/>
      <c r="ALP187" s="456"/>
      <c r="ALQ187" s="456"/>
      <c r="ALR187" s="456"/>
      <c r="ALS187" s="456"/>
      <c r="ALT187" s="456"/>
      <c r="ALU187" s="456"/>
      <c r="ALV187" s="456"/>
      <c r="ALW187" s="456"/>
      <c r="ALX187" s="456"/>
      <c r="ALY187" s="456"/>
      <c r="ALZ187" s="456"/>
      <c r="AMA187" s="456"/>
      <c r="AMB187" s="456"/>
      <c r="AMC187" s="456"/>
      <c r="AMD187" s="456"/>
      <c r="AME187" s="456"/>
      <c r="AMF187" s="456"/>
      <c r="AMG187" s="456"/>
      <c r="AMH187" s="456"/>
      <c r="AMI187" s="456"/>
      <c r="AMJ187" s="456"/>
      <c r="AMK187" s="456"/>
      <c r="AML187" s="456"/>
      <c r="AMM187" s="456"/>
      <c r="AMN187" s="456"/>
      <c r="AMO187" s="456"/>
      <c r="AMP187" s="456"/>
      <c r="AMQ187" s="456"/>
      <c r="AMR187" s="456"/>
      <c r="AMS187" s="456"/>
      <c r="AMT187" s="456"/>
      <c r="AMU187" s="456"/>
      <c r="AMV187" s="456"/>
      <c r="AMW187" s="456"/>
      <c r="AMX187" s="456"/>
      <c r="AMY187" s="456"/>
      <c r="AMZ187" s="456"/>
      <c r="ANA187" s="456"/>
      <c r="ANB187" s="456"/>
      <c r="ANC187" s="456"/>
      <c r="AND187" s="456"/>
      <c r="ANE187" s="456"/>
      <c r="ANF187" s="456"/>
      <c r="ANG187" s="456"/>
      <c r="ANH187" s="456"/>
      <c r="ANI187" s="456"/>
      <c r="ANJ187" s="456"/>
      <c r="ANK187" s="456"/>
      <c r="ANL187" s="456"/>
      <c r="ANM187" s="456"/>
      <c r="ANN187" s="456"/>
      <c r="ANO187" s="456"/>
      <c r="ANP187" s="456"/>
      <c r="ANQ187" s="456"/>
      <c r="ANR187" s="456"/>
      <c r="ANS187" s="456"/>
      <c r="ANT187" s="456"/>
      <c r="ANU187" s="456"/>
      <c r="ANV187" s="456"/>
      <c r="ANW187" s="456"/>
      <c r="ANX187" s="456"/>
      <c r="ANY187" s="456"/>
      <c r="ANZ187" s="456"/>
      <c r="AOA187" s="456"/>
      <c r="AOB187" s="456"/>
      <c r="AOC187" s="456"/>
      <c r="AOD187" s="456"/>
      <c r="AOE187" s="456"/>
      <c r="AOF187" s="456"/>
      <c r="AOG187" s="456"/>
      <c r="AOH187" s="456"/>
      <c r="AOI187" s="456"/>
      <c r="AOJ187" s="456"/>
      <c r="AOK187" s="456"/>
      <c r="AOL187" s="456"/>
      <c r="AOM187" s="456"/>
      <c r="AON187" s="456"/>
      <c r="AOO187" s="456"/>
      <c r="AOP187" s="456"/>
      <c r="AOQ187" s="456"/>
      <c r="AOR187" s="456"/>
      <c r="AOS187" s="456"/>
      <c r="AOT187" s="456"/>
      <c r="AOU187" s="456"/>
      <c r="AOV187" s="456"/>
      <c r="AOW187" s="456"/>
      <c r="AOX187" s="456"/>
      <c r="AOY187" s="456"/>
      <c r="AOZ187" s="456"/>
      <c r="APA187" s="456"/>
      <c r="APB187" s="456"/>
      <c r="APC187" s="456"/>
      <c r="APD187" s="456"/>
      <c r="APE187" s="456"/>
      <c r="APF187" s="456"/>
      <c r="APG187" s="456"/>
      <c r="APH187" s="456"/>
      <c r="API187" s="456"/>
      <c r="APJ187" s="456"/>
      <c r="APK187" s="456"/>
      <c r="APL187" s="456"/>
      <c r="APM187" s="456"/>
      <c r="APN187" s="456"/>
      <c r="APO187" s="456"/>
      <c r="APP187" s="456"/>
      <c r="APQ187" s="456"/>
      <c r="APR187" s="456"/>
      <c r="APS187" s="456"/>
      <c r="APT187" s="456"/>
      <c r="APU187" s="456"/>
      <c r="APV187" s="456"/>
      <c r="APW187" s="456"/>
      <c r="APX187" s="456"/>
      <c r="APY187" s="456"/>
      <c r="APZ187" s="456"/>
      <c r="AQA187" s="456"/>
      <c r="AQB187" s="456"/>
      <c r="AQC187" s="456"/>
      <c r="AQD187" s="456"/>
      <c r="AQE187" s="456"/>
      <c r="AQF187" s="456"/>
      <c r="AQG187" s="456"/>
      <c r="AQH187" s="456"/>
      <c r="AQI187" s="456"/>
      <c r="AQJ187" s="456"/>
      <c r="AQK187" s="456"/>
      <c r="AQL187" s="456"/>
      <c r="AQM187" s="456"/>
      <c r="AQN187" s="456"/>
      <c r="AQO187" s="456"/>
      <c r="AQP187" s="456"/>
      <c r="AQQ187" s="456"/>
      <c r="AQR187" s="456"/>
      <c r="AQS187" s="456"/>
      <c r="AQT187" s="456"/>
      <c r="AQU187" s="456"/>
      <c r="AQV187" s="456"/>
      <c r="AQW187" s="456"/>
      <c r="AQX187" s="456"/>
      <c r="AQY187" s="456"/>
      <c r="AQZ187" s="456"/>
      <c r="ARA187" s="456"/>
      <c r="ARB187" s="456"/>
      <c r="ARC187" s="456"/>
      <c r="ARD187" s="456"/>
      <c r="ARE187" s="456"/>
      <c r="ARF187" s="456"/>
      <c r="ARG187" s="456"/>
      <c r="ARH187" s="456"/>
      <c r="ARI187" s="456"/>
      <c r="ARJ187" s="456"/>
      <c r="ARK187" s="456"/>
      <c r="ARL187" s="456"/>
      <c r="ARM187" s="456"/>
      <c r="ARN187" s="456"/>
      <c r="ARO187" s="456"/>
      <c r="ARP187" s="456"/>
      <c r="ARQ187" s="456"/>
      <c r="ARR187" s="456"/>
      <c r="ARS187" s="456"/>
      <c r="ART187" s="456"/>
      <c r="ARU187" s="456"/>
      <c r="ARV187" s="456"/>
      <c r="ARW187" s="456"/>
      <c r="ARX187" s="456"/>
      <c r="ARY187" s="456"/>
      <c r="ARZ187" s="456"/>
      <c r="ASA187" s="456"/>
      <c r="ASB187" s="456"/>
      <c r="ASC187" s="456"/>
      <c r="ASD187" s="456"/>
      <c r="ASE187" s="456"/>
      <c r="ASF187" s="456"/>
      <c r="ASG187" s="456"/>
      <c r="ASH187" s="456"/>
      <c r="ASI187" s="456"/>
      <c r="ASJ187" s="456"/>
      <c r="ASK187" s="456"/>
      <c r="ASL187" s="456"/>
      <c r="ASM187" s="456"/>
      <c r="ASN187" s="456"/>
      <c r="ASO187" s="456"/>
      <c r="ASP187" s="456"/>
      <c r="ASQ187" s="456"/>
      <c r="ASR187" s="456"/>
      <c r="ASS187" s="456"/>
      <c r="AST187" s="456"/>
      <c r="ASU187" s="456"/>
      <c r="ASV187" s="456"/>
      <c r="ASW187" s="456"/>
      <c r="ASX187" s="456"/>
      <c r="ASY187" s="456"/>
      <c r="ASZ187" s="456"/>
      <c r="ATA187" s="456"/>
      <c r="ATB187" s="456"/>
      <c r="ATC187" s="456"/>
      <c r="ATD187" s="456"/>
      <c r="ATE187" s="456"/>
      <c r="ATF187" s="456"/>
      <c r="ATG187" s="456"/>
      <c r="ATH187" s="456"/>
      <c r="ATI187" s="456"/>
      <c r="ATJ187" s="456"/>
      <c r="ATK187" s="456"/>
      <c r="ATL187" s="456"/>
      <c r="ATM187" s="456"/>
      <c r="ATN187" s="456"/>
      <c r="ATO187" s="456"/>
      <c r="ATP187" s="456"/>
      <c r="ATQ187" s="456"/>
      <c r="ATR187" s="456"/>
      <c r="ATS187" s="456"/>
      <c r="ATT187" s="456"/>
      <c r="ATU187" s="456"/>
      <c r="ATV187" s="456"/>
      <c r="ATW187" s="456"/>
      <c r="ATX187" s="456"/>
      <c r="ATY187" s="456"/>
      <c r="ATZ187" s="456"/>
      <c r="AUA187" s="456"/>
      <c r="AUB187" s="456"/>
      <c r="AUC187" s="456"/>
      <c r="AUD187" s="456"/>
      <c r="AUE187" s="456"/>
      <c r="AUF187" s="456"/>
      <c r="AUG187" s="456"/>
      <c r="AUH187" s="456"/>
      <c r="AUI187" s="456"/>
      <c r="AUJ187" s="456"/>
      <c r="AUK187" s="456"/>
      <c r="AUL187" s="456"/>
      <c r="AUM187" s="456"/>
      <c r="AUN187" s="456"/>
      <c r="AUO187" s="456"/>
      <c r="AUP187" s="456"/>
      <c r="AUQ187" s="456"/>
      <c r="AUR187" s="456"/>
      <c r="AUS187" s="456"/>
      <c r="AUT187" s="456"/>
      <c r="AUU187" s="456"/>
      <c r="AUV187" s="456"/>
      <c r="AUW187" s="456"/>
      <c r="AUX187" s="456"/>
      <c r="AUY187" s="456"/>
      <c r="AUZ187" s="456"/>
      <c r="AVA187" s="456"/>
      <c r="AVB187" s="456"/>
      <c r="AVC187" s="456"/>
      <c r="AVD187" s="456"/>
      <c r="AVE187" s="456"/>
      <c r="AVF187" s="456"/>
      <c r="AVG187" s="456"/>
      <c r="AVH187" s="456"/>
      <c r="AVI187" s="456"/>
      <c r="AVJ187" s="456"/>
      <c r="AVK187" s="456"/>
      <c r="AVL187" s="456"/>
      <c r="AVM187" s="456"/>
      <c r="AVN187" s="456"/>
      <c r="AVO187" s="456"/>
      <c r="AVP187" s="456"/>
      <c r="AVQ187" s="456"/>
      <c r="AVR187" s="456"/>
      <c r="AVS187" s="456"/>
      <c r="AVT187" s="456"/>
      <c r="AVU187" s="456"/>
      <c r="AVV187" s="456"/>
      <c r="AVW187" s="456"/>
      <c r="AVX187" s="456"/>
      <c r="AVY187" s="456"/>
      <c r="AVZ187" s="456"/>
      <c r="AWA187" s="456"/>
      <c r="AWB187" s="456"/>
      <c r="AWC187" s="456"/>
      <c r="AWD187" s="456"/>
      <c r="AWE187" s="456"/>
      <c r="AWF187" s="456"/>
      <c r="AWG187" s="456"/>
      <c r="AWH187" s="456"/>
      <c r="AWI187" s="456"/>
      <c r="AWJ187" s="456"/>
      <c r="AWK187" s="456"/>
      <c r="AWL187" s="456"/>
      <c r="AWM187" s="456"/>
      <c r="AWN187" s="456"/>
      <c r="AWO187" s="456"/>
      <c r="AWP187" s="456"/>
      <c r="AWQ187" s="456"/>
      <c r="AWR187" s="456"/>
      <c r="AWS187" s="456"/>
      <c r="AWT187" s="456"/>
      <c r="AWU187" s="456"/>
      <c r="AWV187" s="456"/>
      <c r="AWW187" s="456"/>
      <c r="AWX187" s="456"/>
      <c r="AWY187" s="456"/>
      <c r="AWZ187" s="456"/>
      <c r="AXA187" s="456"/>
      <c r="AXB187" s="456"/>
      <c r="AXC187" s="456"/>
      <c r="AXD187" s="456"/>
      <c r="AXE187" s="456"/>
      <c r="AXF187" s="456"/>
      <c r="AXG187" s="456"/>
      <c r="AXH187" s="456"/>
      <c r="AXI187" s="456"/>
      <c r="AXJ187" s="456"/>
      <c r="AXK187" s="456"/>
      <c r="AXL187" s="456"/>
      <c r="AXM187" s="456"/>
      <c r="AXN187" s="456"/>
      <c r="AXO187" s="456"/>
      <c r="AXP187" s="456"/>
      <c r="AXQ187" s="456"/>
      <c r="AXR187" s="456"/>
      <c r="AXS187" s="456"/>
      <c r="AXT187" s="456"/>
      <c r="AXU187" s="456"/>
      <c r="AXV187" s="456"/>
      <c r="AXW187" s="456"/>
      <c r="AXX187" s="456"/>
      <c r="AXY187" s="456"/>
      <c r="AXZ187" s="456"/>
      <c r="AYA187" s="456"/>
      <c r="AYB187" s="456"/>
      <c r="AYC187" s="456"/>
      <c r="AYD187" s="456"/>
      <c r="AYE187" s="456"/>
      <c r="AYF187" s="456"/>
      <c r="AYG187" s="456"/>
      <c r="AYH187" s="456"/>
      <c r="AYI187" s="456"/>
      <c r="AYJ187" s="456"/>
      <c r="AYK187" s="456"/>
      <c r="AYL187" s="456"/>
      <c r="AYM187" s="456"/>
      <c r="AYN187" s="456"/>
      <c r="AYO187" s="456"/>
      <c r="AYP187" s="456"/>
      <c r="AYQ187" s="456"/>
      <c r="AYR187" s="456"/>
      <c r="AYS187" s="456"/>
      <c r="AYT187" s="456"/>
      <c r="AYU187" s="456"/>
      <c r="AYV187" s="456"/>
      <c r="AYW187" s="456"/>
      <c r="AYX187" s="456"/>
      <c r="AYY187" s="456"/>
      <c r="AYZ187" s="456"/>
      <c r="AZA187" s="456"/>
      <c r="AZB187" s="456"/>
      <c r="AZC187" s="456"/>
      <c r="AZD187" s="456"/>
      <c r="AZE187" s="456"/>
      <c r="AZF187" s="456"/>
      <c r="AZG187" s="456"/>
      <c r="AZH187" s="456"/>
      <c r="AZI187" s="456"/>
      <c r="AZJ187" s="456"/>
      <c r="AZK187" s="456"/>
      <c r="AZL187" s="456"/>
      <c r="AZM187" s="456"/>
      <c r="AZN187" s="456"/>
      <c r="AZO187" s="456"/>
      <c r="AZP187" s="456"/>
      <c r="AZQ187" s="456"/>
      <c r="AZR187" s="456"/>
      <c r="AZS187" s="456"/>
      <c r="AZT187" s="456"/>
      <c r="AZU187" s="456"/>
      <c r="AZV187" s="456"/>
      <c r="AZW187" s="456"/>
      <c r="AZX187" s="456"/>
      <c r="AZY187" s="456"/>
      <c r="AZZ187" s="456"/>
      <c r="BAA187" s="456"/>
      <c r="BAB187" s="456"/>
      <c r="BAC187" s="456"/>
      <c r="BAD187" s="456"/>
      <c r="BAE187" s="456"/>
      <c r="BAF187" s="456"/>
      <c r="BAG187" s="456"/>
      <c r="BAH187" s="456"/>
      <c r="BAI187" s="456"/>
      <c r="BAJ187" s="456"/>
      <c r="BAK187" s="456"/>
      <c r="BAL187" s="456"/>
      <c r="BAM187" s="456"/>
      <c r="BAN187" s="456"/>
      <c r="BAO187" s="456"/>
      <c r="BAP187" s="456"/>
      <c r="BAQ187" s="456"/>
      <c r="BAR187" s="456"/>
      <c r="BAS187" s="456"/>
      <c r="BAT187" s="456"/>
      <c r="BAU187" s="456"/>
      <c r="BAV187" s="456"/>
      <c r="BAW187" s="456"/>
      <c r="BAX187" s="456"/>
      <c r="BAY187" s="456"/>
      <c r="BAZ187" s="456"/>
      <c r="BBA187" s="456"/>
      <c r="BBB187" s="456"/>
      <c r="BBC187" s="456"/>
      <c r="BBD187" s="456"/>
      <c r="BBE187" s="456"/>
      <c r="BBF187" s="456"/>
      <c r="BBG187" s="456"/>
      <c r="BBH187" s="456"/>
      <c r="BBI187" s="456"/>
      <c r="BBJ187" s="456"/>
      <c r="BBK187" s="456"/>
      <c r="BBL187" s="456"/>
      <c r="BBM187" s="456"/>
      <c r="BBN187" s="456"/>
      <c r="BBO187" s="456"/>
      <c r="BBP187" s="456"/>
      <c r="BBQ187" s="456"/>
      <c r="BBR187" s="456"/>
      <c r="BBS187" s="456"/>
      <c r="BBT187" s="456"/>
      <c r="BBU187" s="456"/>
      <c r="BBV187" s="456"/>
      <c r="BBW187" s="456"/>
      <c r="BBX187" s="456"/>
      <c r="BBY187" s="456"/>
      <c r="BBZ187" s="456"/>
      <c r="BCA187" s="456"/>
      <c r="BCB187" s="456"/>
      <c r="BCC187" s="456"/>
      <c r="BCD187" s="456"/>
      <c r="BCE187" s="456"/>
      <c r="BCF187" s="456"/>
      <c r="BCG187" s="456"/>
      <c r="BCH187" s="456"/>
      <c r="BCI187" s="456"/>
      <c r="BCJ187" s="456"/>
      <c r="BCK187" s="456"/>
      <c r="BCL187" s="456"/>
      <c r="BCM187" s="456"/>
      <c r="BCN187" s="456"/>
      <c r="BCO187" s="456"/>
      <c r="BCP187" s="456"/>
      <c r="BCQ187" s="456"/>
      <c r="BCR187" s="456"/>
      <c r="BCS187" s="456"/>
      <c r="BCT187" s="456"/>
      <c r="BCU187" s="456"/>
      <c r="BCV187" s="456"/>
      <c r="BCW187" s="456"/>
      <c r="BCX187" s="456"/>
      <c r="BCY187" s="456"/>
      <c r="BCZ187" s="456"/>
      <c r="BDA187" s="456"/>
      <c r="BDB187" s="456"/>
      <c r="BDC187" s="456"/>
      <c r="BDD187" s="456"/>
      <c r="BDE187" s="456"/>
      <c r="BDF187" s="456"/>
      <c r="BDG187" s="456"/>
      <c r="BDH187" s="456"/>
      <c r="BDI187" s="456"/>
      <c r="BDJ187" s="456"/>
      <c r="BDK187" s="456"/>
      <c r="BDL187" s="456"/>
      <c r="BDM187" s="456"/>
      <c r="BDN187" s="456"/>
      <c r="BDO187" s="456"/>
      <c r="BDP187" s="456"/>
      <c r="BDQ187" s="456"/>
      <c r="BDR187" s="456"/>
      <c r="BDS187" s="456"/>
      <c r="BDT187" s="456"/>
      <c r="BDU187" s="456"/>
      <c r="BDV187" s="456"/>
      <c r="BDW187" s="456"/>
      <c r="BDX187" s="456"/>
      <c r="BDY187" s="456"/>
      <c r="BDZ187" s="456"/>
      <c r="BEA187" s="456"/>
      <c r="BEB187" s="456"/>
      <c r="BEC187" s="456"/>
      <c r="BED187" s="456"/>
      <c r="BEE187" s="456"/>
      <c r="BEF187" s="456"/>
      <c r="BEG187" s="456"/>
      <c r="BEH187" s="456"/>
      <c r="BEI187" s="456"/>
      <c r="BEJ187" s="456"/>
      <c r="BEK187" s="456"/>
      <c r="BEL187" s="456"/>
      <c r="BEM187" s="456"/>
      <c r="BEN187" s="456"/>
      <c r="BEO187" s="456"/>
      <c r="BEP187" s="456"/>
      <c r="BEQ187" s="456"/>
      <c r="BER187" s="456"/>
      <c r="BES187" s="456"/>
      <c r="BET187" s="456"/>
      <c r="BEU187" s="456"/>
      <c r="BEV187" s="456"/>
      <c r="BEW187" s="456"/>
      <c r="BEX187" s="456"/>
      <c r="BEY187" s="456"/>
      <c r="BEZ187" s="456"/>
      <c r="BFA187" s="456"/>
      <c r="BFB187" s="456"/>
      <c r="BFC187" s="456"/>
      <c r="BFD187" s="456"/>
      <c r="BFE187" s="456"/>
      <c r="BFF187" s="456"/>
      <c r="BFG187" s="456"/>
      <c r="BFH187" s="456"/>
      <c r="BFI187" s="456"/>
      <c r="BFJ187" s="456"/>
      <c r="BFK187" s="456"/>
      <c r="BFL187" s="456"/>
      <c r="BFM187" s="456"/>
      <c r="BFN187" s="456"/>
      <c r="BFO187" s="456"/>
      <c r="BFP187" s="456"/>
      <c r="BFQ187" s="456"/>
      <c r="BFR187" s="456"/>
      <c r="BFS187" s="456"/>
      <c r="BFT187" s="456"/>
      <c r="BFU187" s="456"/>
      <c r="BFV187" s="456"/>
      <c r="BFW187" s="456"/>
      <c r="BFX187" s="456"/>
      <c r="BFY187" s="456"/>
      <c r="BFZ187" s="456"/>
      <c r="BGA187" s="456"/>
      <c r="BGB187" s="456"/>
      <c r="BGC187" s="456"/>
      <c r="BGD187" s="456"/>
      <c r="BGE187" s="456"/>
      <c r="BGF187" s="456"/>
      <c r="BGG187" s="456"/>
      <c r="BGH187" s="456"/>
      <c r="BGI187" s="456"/>
      <c r="BGJ187" s="456"/>
      <c r="BGK187" s="456"/>
      <c r="BGL187" s="456"/>
      <c r="BGM187" s="456"/>
      <c r="BGN187" s="456"/>
      <c r="BGO187" s="456"/>
      <c r="BGP187" s="456"/>
      <c r="BGQ187" s="456"/>
      <c r="BGR187" s="456"/>
      <c r="BGS187" s="456"/>
      <c r="BGT187" s="456"/>
      <c r="BGU187" s="456"/>
      <c r="BGV187" s="456"/>
      <c r="BGW187" s="456"/>
      <c r="BGX187" s="456"/>
      <c r="BGY187" s="456"/>
      <c r="BGZ187" s="456"/>
      <c r="BHA187" s="456"/>
      <c r="BHB187" s="456"/>
      <c r="BHC187" s="456"/>
      <c r="BHD187" s="456"/>
      <c r="BHE187" s="456"/>
      <c r="BHF187" s="456"/>
      <c r="BHG187" s="456"/>
      <c r="BHH187" s="456"/>
      <c r="BHI187" s="456"/>
      <c r="BHJ187" s="456"/>
      <c r="BHK187" s="456"/>
      <c r="BHL187" s="456"/>
      <c r="BHM187" s="456"/>
      <c r="BHN187" s="456"/>
      <c r="BHO187" s="456"/>
      <c r="BHP187" s="456"/>
      <c r="BHQ187" s="456"/>
      <c r="BHR187" s="456"/>
      <c r="BHS187" s="456"/>
      <c r="BHT187" s="456"/>
      <c r="BHU187" s="456"/>
      <c r="BHV187" s="456"/>
      <c r="BHW187" s="456"/>
      <c r="BHX187" s="456"/>
      <c r="BHY187" s="456"/>
      <c r="BHZ187" s="456"/>
      <c r="BIA187" s="456"/>
      <c r="BIB187" s="456"/>
      <c r="BIC187" s="456"/>
      <c r="BID187" s="456"/>
      <c r="BIE187" s="456"/>
      <c r="BIF187" s="456"/>
      <c r="BIG187" s="456"/>
      <c r="BIH187" s="456"/>
      <c r="BII187" s="456"/>
      <c r="BIJ187" s="456"/>
      <c r="BIK187" s="456"/>
      <c r="BIL187" s="456"/>
      <c r="BIM187" s="456"/>
      <c r="BIN187" s="456"/>
      <c r="BIO187" s="456"/>
      <c r="BIP187" s="456"/>
      <c r="BIQ187" s="456"/>
      <c r="BIR187" s="456"/>
      <c r="BIS187" s="456"/>
      <c r="BIT187" s="456"/>
      <c r="BIU187" s="456"/>
      <c r="BIV187" s="456"/>
      <c r="BIW187" s="456"/>
      <c r="BIX187" s="456"/>
      <c r="BIY187" s="456"/>
      <c r="BIZ187" s="456"/>
      <c r="BJA187" s="456"/>
      <c r="BJB187" s="456"/>
      <c r="BJC187" s="456"/>
      <c r="BJD187" s="456"/>
      <c r="BJE187" s="456"/>
      <c r="BJF187" s="456"/>
      <c r="BJG187" s="456"/>
      <c r="BJH187" s="456"/>
      <c r="BJI187" s="456"/>
      <c r="BJJ187" s="456"/>
      <c r="BJK187" s="456"/>
      <c r="BJL187" s="456"/>
      <c r="BJM187" s="456"/>
      <c r="BJN187" s="456"/>
      <c r="BJO187" s="456"/>
      <c r="BJP187" s="456"/>
      <c r="BJQ187" s="456"/>
      <c r="BJR187" s="456"/>
      <c r="BJS187" s="456"/>
      <c r="BJT187" s="456"/>
      <c r="BJU187" s="456"/>
      <c r="BJV187" s="456"/>
      <c r="BJW187" s="456"/>
      <c r="BJX187" s="456"/>
      <c r="BJY187" s="456"/>
      <c r="BJZ187" s="456"/>
      <c r="BKA187" s="456"/>
      <c r="BKB187" s="456"/>
      <c r="BKC187" s="456"/>
      <c r="BKD187" s="456"/>
      <c r="BKE187" s="456"/>
      <c r="BKF187" s="456"/>
      <c r="BKG187" s="456"/>
      <c r="BKH187" s="456"/>
      <c r="BKI187" s="456"/>
      <c r="BKJ187" s="456"/>
      <c r="BKK187" s="456"/>
      <c r="BKL187" s="456"/>
      <c r="BKM187" s="456"/>
      <c r="BKN187" s="456"/>
      <c r="BKO187" s="456"/>
      <c r="BKP187" s="456"/>
      <c r="BKQ187" s="456"/>
      <c r="BKR187" s="456"/>
      <c r="BKS187" s="456"/>
      <c r="BKT187" s="456"/>
      <c r="BKU187" s="456"/>
      <c r="BKV187" s="456"/>
      <c r="BKW187" s="456"/>
      <c r="BKX187" s="456"/>
      <c r="BKY187" s="456"/>
      <c r="BKZ187" s="456"/>
      <c r="BLA187" s="456"/>
      <c r="BLB187" s="456"/>
      <c r="BLC187" s="456"/>
      <c r="BLD187" s="456"/>
      <c r="BLE187" s="456"/>
      <c r="BLF187" s="456"/>
      <c r="BLG187" s="456"/>
      <c r="BLH187" s="456"/>
      <c r="BLI187" s="456"/>
      <c r="BLJ187" s="456"/>
      <c r="BLK187" s="456"/>
      <c r="BLL187" s="456"/>
      <c r="BLM187" s="456"/>
      <c r="BLN187" s="456"/>
      <c r="BLO187" s="456"/>
      <c r="BLP187" s="456"/>
      <c r="BLQ187" s="456"/>
      <c r="BLR187" s="456"/>
      <c r="BLS187" s="456"/>
      <c r="BLT187" s="456"/>
      <c r="BLU187" s="456"/>
      <c r="BLV187" s="456"/>
      <c r="BLW187" s="456"/>
      <c r="BLX187" s="456"/>
      <c r="BLY187" s="456"/>
      <c r="BLZ187" s="456"/>
      <c r="BMA187" s="456"/>
      <c r="BMB187" s="456"/>
      <c r="BMC187" s="456"/>
      <c r="BMD187" s="456"/>
      <c r="BME187" s="456"/>
      <c r="BMF187" s="456"/>
      <c r="BMG187" s="456"/>
      <c r="BMH187" s="456"/>
      <c r="BMI187" s="456"/>
      <c r="BMJ187" s="456"/>
      <c r="BMK187" s="456"/>
      <c r="BML187" s="456"/>
      <c r="BMM187" s="456"/>
      <c r="BMN187" s="456"/>
      <c r="BMO187" s="456"/>
      <c r="BMP187" s="456"/>
      <c r="BMQ187" s="456"/>
      <c r="BMR187" s="456"/>
      <c r="BMS187" s="456"/>
      <c r="BMT187" s="456"/>
      <c r="BMU187" s="456"/>
      <c r="BMV187" s="456"/>
      <c r="BMW187" s="456"/>
      <c r="BMX187" s="456"/>
      <c r="BMY187" s="456"/>
      <c r="BMZ187" s="456"/>
      <c r="BNA187" s="456"/>
      <c r="BNB187" s="456"/>
      <c r="BNC187" s="456"/>
      <c r="BND187" s="456"/>
      <c r="BNE187" s="456"/>
      <c r="BNF187" s="456"/>
      <c r="BNG187" s="456"/>
      <c r="BNH187" s="456"/>
      <c r="BNI187" s="456"/>
      <c r="BNJ187" s="456"/>
      <c r="BNK187" s="456"/>
      <c r="BNL187" s="456"/>
      <c r="BNM187" s="456"/>
      <c r="BNN187" s="456"/>
      <c r="BNO187" s="456"/>
      <c r="BNP187" s="456"/>
      <c r="BNQ187" s="456"/>
      <c r="BNR187" s="456"/>
      <c r="BNS187" s="456"/>
      <c r="BNT187" s="456"/>
      <c r="BNU187" s="456"/>
      <c r="BNV187" s="456"/>
      <c r="BNW187" s="456"/>
      <c r="BNX187" s="456"/>
      <c r="BNY187" s="456"/>
      <c r="BNZ187" s="456"/>
      <c r="BOA187" s="456"/>
      <c r="BOB187" s="456"/>
      <c r="BOC187" s="456"/>
      <c r="BOD187" s="456"/>
      <c r="BOE187" s="456"/>
      <c r="BOF187" s="456"/>
      <c r="BOG187" s="456"/>
      <c r="BOH187" s="456"/>
      <c r="BOI187" s="456"/>
      <c r="BOJ187" s="456"/>
      <c r="BOK187" s="456"/>
      <c r="BOL187" s="456"/>
      <c r="BOM187" s="456"/>
      <c r="BON187" s="456"/>
      <c r="BOO187" s="456"/>
      <c r="BOP187" s="456"/>
      <c r="BOQ187" s="456"/>
      <c r="BOR187" s="456"/>
      <c r="BOS187" s="456"/>
      <c r="BOT187" s="456"/>
      <c r="BOU187" s="456"/>
      <c r="BOV187" s="456"/>
      <c r="BOW187" s="456"/>
      <c r="BOX187" s="456"/>
      <c r="BOY187" s="456"/>
      <c r="BOZ187" s="456"/>
      <c r="BPA187" s="456"/>
      <c r="BPB187" s="456"/>
      <c r="BPC187" s="456"/>
      <c r="BPD187" s="456"/>
      <c r="BPE187" s="456"/>
      <c r="BPF187" s="456"/>
      <c r="BPG187" s="456"/>
      <c r="BPH187" s="456"/>
      <c r="BPI187" s="456"/>
      <c r="BPJ187" s="456"/>
      <c r="BPK187" s="456"/>
      <c r="BPL187" s="456"/>
      <c r="BPM187" s="456"/>
      <c r="BPN187" s="456"/>
      <c r="BPO187" s="456"/>
      <c r="BPP187" s="456"/>
      <c r="BPQ187" s="456"/>
      <c r="BPR187" s="456"/>
      <c r="BPS187" s="456"/>
      <c r="BPT187" s="456"/>
      <c r="BPU187" s="456"/>
      <c r="BPV187" s="456"/>
      <c r="BPW187" s="456"/>
      <c r="BPX187" s="456"/>
      <c r="BPY187" s="456"/>
      <c r="BPZ187" s="456"/>
      <c r="BQA187" s="456"/>
      <c r="BQB187" s="456"/>
      <c r="BQC187" s="456"/>
      <c r="BQD187" s="456"/>
      <c r="BQE187" s="456"/>
      <c r="BQF187" s="456"/>
      <c r="BQG187" s="456"/>
      <c r="BQH187" s="456"/>
      <c r="BQI187" s="456"/>
      <c r="BQJ187" s="456"/>
      <c r="BQK187" s="456"/>
      <c r="BQL187" s="456"/>
      <c r="BQM187" s="456"/>
      <c r="BQN187" s="456"/>
      <c r="BQO187" s="456"/>
      <c r="BQP187" s="456"/>
      <c r="BQQ187" s="456"/>
      <c r="BQR187" s="456"/>
      <c r="BQS187" s="456"/>
      <c r="BQT187" s="456"/>
      <c r="BQU187" s="456"/>
      <c r="BQV187" s="456"/>
      <c r="BQW187" s="456"/>
      <c r="BQX187" s="456"/>
      <c r="BQY187" s="456"/>
      <c r="BQZ187" s="456"/>
      <c r="BRA187" s="456"/>
      <c r="BRB187" s="456"/>
      <c r="BRC187" s="456"/>
      <c r="BRD187" s="456"/>
      <c r="BRE187" s="456"/>
      <c r="BRF187" s="456"/>
      <c r="BRG187" s="456"/>
      <c r="BRH187" s="456"/>
      <c r="BRI187" s="456"/>
      <c r="BRJ187" s="456"/>
      <c r="BRK187" s="456"/>
      <c r="BRL187" s="456"/>
      <c r="BRM187" s="456"/>
      <c r="BRN187" s="456"/>
      <c r="BRO187" s="456"/>
      <c r="BRP187" s="456"/>
      <c r="BRQ187" s="456"/>
      <c r="BRR187" s="456"/>
      <c r="BRS187" s="456"/>
      <c r="BRT187" s="456"/>
      <c r="BRU187" s="456"/>
      <c r="BRV187" s="456"/>
      <c r="BRW187" s="456"/>
      <c r="BRX187" s="456"/>
      <c r="BRY187" s="456"/>
      <c r="BRZ187" s="456"/>
      <c r="BSA187" s="456"/>
      <c r="BSB187" s="456"/>
      <c r="BSC187" s="456"/>
      <c r="BSD187" s="456"/>
      <c r="BSE187" s="456"/>
      <c r="BSF187" s="456"/>
      <c r="BSG187" s="456"/>
      <c r="BSH187" s="456"/>
      <c r="BSI187" s="456"/>
      <c r="BSJ187" s="456"/>
      <c r="BSK187" s="456"/>
      <c r="BSL187" s="456"/>
      <c r="BSM187" s="456"/>
      <c r="BSN187" s="456"/>
      <c r="BSO187" s="456"/>
      <c r="BSP187" s="456"/>
      <c r="BSQ187" s="456"/>
      <c r="BSR187" s="456"/>
      <c r="BSS187" s="456"/>
      <c r="BST187" s="456"/>
      <c r="BSU187" s="456"/>
      <c r="BSV187" s="456"/>
      <c r="BSW187" s="456"/>
      <c r="BSX187" s="456"/>
      <c r="BSY187" s="456"/>
      <c r="BSZ187" s="456"/>
      <c r="BTA187" s="456"/>
      <c r="BTB187" s="456"/>
      <c r="BTC187" s="456"/>
      <c r="BTD187" s="456"/>
      <c r="BTE187" s="456"/>
      <c r="BTF187" s="456"/>
      <c r="BTG187" s="456"/>
      <c r="BTH187" s="456"/>
      <c r="BTI187" s="456"/>
      <c r="BTJ187" s="456"/>
      <c r="BTK187" s="456"/>
      <c r="BTL187" s="456"/>
      <c r="BTM187" s="456"/>
      <c r="BTN187" s="456"/>
      <c r="BTO187" s="456"/>
      <c r="BTP187" s="456"/>
      <c r="BTQ187" s="456"/>
      <c r="BTR187" s="456"/>
      <c r="BTS187" s="456"/>
      <c r="BTT187" s="456"/>
      <c r="BTU187" s="456"/>
      <c r="BTV187" s="456"/>
      <c r="BTW187" s="456"/>
      <c r="BTX187" s="456"/>
      <c r="BTY187" s="456"/>
      <c r="BTZ187" s="456"/>
      <c r="BUA187" s="456"/>
      <c r="BUB187" s="456"/>
      <c r="BUC187" s="456"/>
      <c r="BUD187" s="456"/>
      <c r="BUE187" s="456"/>
      <c r="BUF187" s="456"/>
      <c r="BUG187" s="456"/>
      <c r="BUH187" s="456"/>
      <c r="BUI187" s="456"/>
      <c r="BUJ187" s="456"/>
      <c r="BUK187" s="456"/>
      <c r="BUL187" s="456"/>
      <c r="BUM187" s="456"/>
      <c r="BUN187" s="456"/>
      <c r="BUO187" s="456"/>
      <c r="BUP187" s="456"/>
      <c r="BUQ187" s="456"/>
      <c r="BUR187" s="456"/>
      <c r="BUS187" s="456"/>
      <c r="BUT187" s="456"/>
      <c r="BUU187" s="456"/>
      <c r="BUV187" s="456"/>
      <c r="BUW187" s="456"/>
      <c r="BUX187" s="456"/>
      <c r="BUY187" s="456"/>
      <c r="BUZ187" s="456"/>
      <c r="BVA187" s="456"/>
      <c r="BVB187" s="456"/>
      <c r="BVC187" s="456"/>
      <c r="BVD187" s="456"/>
      <c r="BVE187" s="456"/>
      <c r="BVF187" s="456"/>
      <c r="BVG187" s="456"/>
      <c r="BVH187" s="456"/>
      <c r="BVI187" s="456"/>
      <c r="BVJ187" s="456"/>
      <c r="BVK187" s="456"/>
      <c r="BVL187" s="456"/>
      <c r="BVM187" s="456"/>
      <c r="BVN187" s="456"/>
      <c r="BVO187" s="456"/>
      <c r="BVP187" s="456"/>
      <c r="BVQ187" s="456"/>
      <c r="BVR187" s="456"/>
      <c r="BVS187" s="456"/>
      <c r="BVT187" s="456"/>
      <c r="BVU187" s="456"/>
      <c r="BVV187" s="456"/>
      <c r="BVW187" s="456"/>
      <c r="BVX187" s="456"/>
      <c r="BVY187" s="456"/>
      <c r="BVZ187" s="456"/>
      <c r="BWA187" s="456"/>
      <c r="BWB187" s="456"/>
      <c r="BWC187" s="456"/>
      <c r="BWD187" s="456"/>
      <c r="BWE187" s="456"/>
      <c r="BWF187" s="456"/>
      <c r="BWG187" s="456"/>
      <c r="BWH187" s="456"/>
      <c r="BWI187" s="456"/>
      <c r="BWJ187" s="456"/>
      <c r="BWK187" s="456"/>
      <c r="BWL187" s="456"/>
      <c r="BWM187" s="456"/>
      <c r="BWN187" s="456"/>
      <c r="BWO187" s="456"/>
      <c r="BWP187" s="456"/>
      <c r="BWQ187" s="456"/>
      <c r="BWR187" s="456"/>
      <c r="BWS187" s="456"/>
      <c r="BWT187" s="456"/>
      <c r="BWU187" s="456"/>
      <c r="BWV187" s="456"/>
      <c r="BWW187" s="456"/>
      <c r="BWX187" s="456"/>
      <c r="BWY187" s="456"/>
      <c r="BWZ187" s="456"/>
      <c r="BXA187" s="456"/>
      <c r="BXB187" s="456"/>
      <c r="BXC187" s="456"/>
      <c r="BXD187" s="456"/>
      <c r="BXE187" s="456"/>
      <c r="BXF187" s="456"/>
      <c r="BXG187" s="456"/>
      <c r="BXH187" s="456"/>
      <c r="BXI187" s="456"/>
      <c r="BXJ187" s="456"/>
      <c r="BXK187" s="456"/>
      <c r="BXL187" s="456"/>
      <c r="BXM187" s="456"/>
      <c r="BXN187" s="456"/>
      <c r="BXO187" s="456"/>
      <c r="BXP187" s="456"/>
      <c r="BXQ187" s="456"/>
      <c r="BXR187" s="456"/>
      <c r="BXS187" s="456"/>
      <c r="BXT187" s="456"/>
      <c r="BXU187" s="456"/>
      <c r="BXV187" s="456"/>
      <c r="BXW187" s="456"/>
      <c r="BXX187" s="456"/>
      <c r="BXY187" s="456"/>
      <c r="BXZ187" s="456"/>
    </row>
    <row r="188" ht="15.6" spans="1:1024 1025:2002">
      <c r="A188" s="474"/>
      <c r="B188" s="75">
        <v>1136</v>
      </c>
      <c r="C188" s="213">
        <v>46233</v>
      </c>
      <c r="D188" s="18" t="s">
        <v>35</v>
      </c>
      <c r="E188" s="18" t="s">
        <v>71</v>
      </c>
      <c r="F188" s="18" t="s">
        <v>72</v>
      </c>
      <c r="G188" s="18"/>
      <c r="H188" s="294">
        <v>1.2379</v>
      </c>
      <c r="I188" s="294"/>
      <c r="J188" s="18" t="s">
        <v>39</v>
      </c>
      <c r="K188" s="276">
        <v>16</v>
      </c>
      <c r="L188" s="276"/>
      <c r="M188" s="75">
        <v>5800</v>
      </c>
      <c r="N188" s="75" t="s">
        <v>40</v>
      </c>
      <c r="O188" s="75" t="s">
        <v>84</v>
      </c>
      <c r="P188" s="493">
        <v>1500</v>
      </c>
      <c r="Q188" s="493"/>
      <c r="R188" s="75">
        <f t="shared" si="12"/>
        <v>1500</v>
      </c>
      <c r="S188" s="476">
        <v>2865</v>
      </c>
      <c r="T188" s="75" t="s">
        <v>42</v>
      </c>
      <c r="U188" s="137" t="s">
        <v>128</v>
      </c>
      <c r="V188" s="193">
        <v>46233</v>
      </c>
      <c r="W188" s="18" t="s">
        <v>44</v>
      </c>
      <c r="X188" s="18"/>
      <c r="Y188" s="114">
        <v>46357</v>
      </c>
      <c r="Z188" s="18" t="s">
        <v>45</v>
      </c>
      <c r="AA188" s="18" t="s">
        <v>46</v>
      </c>
      <c r="AB188" s="18"/>
      <c r="AC188" s="137"/>
      <c r="AD188" s="77"/>
      <c r="AE188" s="18" t="s">
        <v>129</v>
      </c>
      <c r="AF188" s="18"/>
      <c r="AG188" s="18"/>
    </row>
    <row r="189" ht="15.6" spans="1:1024 1025:2002">
      <c r="A189" s="474"/>
      <c r="B189" s="75">
        <v>1136</v>
      </c>
      <c r="C189" s="213">
        <v>46233</v>
      </c>
      <c r="D189" s="18" t="s">
        <v>35</v>
      </c>
      <c r="E189" s="18" t="s">
        <v>71</v>
      </c>
      <c r="F189" s="18" t="s">
        <v>72</v>
      </c>
      <c r="G189" s="18"/>
      <c r="H189" s="294">
        <v>1.2379</v>
      </c>
      <c r="I189" s="294"/>
      <c r="J189" s="18" t="s">
        <v>39</v>
      </c>
      <c r="K189" s="276">
        <v>18</v>
      </c>
      <c r="L189" s="276"/>
      <c r="M189" s="75">
        <v>5800</v>
      </c>
      <c r="N189" s="75" t="s">
        <v>40</v>
      </c>
      <c r="O189" s="75" t="s">
        <v>84</v>
      </c>
      <c r="P189" s="493">
        <v>3000</v>
      </c>
      <c r="Q189" s="493"/>
      <c r="R189" s="75">
        <f t="shared" si="12"/>
        <v>3000</v>
      </c>
      <c r="S189" s="476">
        <v>2865</v>
      </c>
      <c r="T189" s="75" t="s">
        <v>42</v>
      </c>
      <c r="U189" s="137" t="s">
        <v>128</v>
      </c>
      <c r="V189" s="193">
        <v>46233</v>
      </c>
      <c r="W189" s="18" t="s">
        <v>44</v>
      </c>
      <c r="X189" s="18"/>
      <c r="Y189" s="114">
        <v>46357</v>
      </c>
      <c r="Z189" s="18" t="s">
        <v>45</v>
      </c>
      <c r="AA189" s="18" t="s">
        <v>46</v>
      </c>
      <c r="AB189" s="18"/>
      <c r="AC189" s="137"/>
      <c r="AD189" s="77"/>
      <c r="AE189" s="18" t="s">
        <v>129</v>
      </c>
      <c r="AF189" s="18"/>
      <c r="AG189" s="18"/>
    </row>
    <row r="190" ht="15.6" spans="1:1024 1025:2002">
      <c r="A190" s="474"/>
      <c r="B190" s="75">
        <v>1136</v>
      </c>
      <c r="C190" s="213">
        <v>46233</v>
      </c>
      <c r="D190" s="18" t="s">
        <v>35</v>
      </c>
      <c r="E190" s="18" t="s">
        <v>71</v>
      </c>
      <c r="F190" s="18" t="s">
        <v>72</v>
      </c>
      <c r="G190" s="18"/>
      <c r="H190" s="294">
        <v>1.2379</v>
      </c>
      <c r="I190" s="294"/>
      <c r="J190" s="18" t="s">
        <v>39</v>
      </c>
      <c r="K190" s="276">
        <v>20</v>
      </c>
      <c r="L190" s="276"/>
      <c r="M190" s="75">
        <v>5800</v>
      </c>
      <c r="N190" s="75" t="s">
        <v>40</v>
      </c>
      <c r="O190" s="75" t="s">
        <v>84</v>
      </c>
      <c r="P190" s="493">
        <v>3000</v>
      </c>
      <c r="Q190" s="493"/>
      <c r="R190" s="75">
        <f t="shared" si="12"/>
        <v>3000</v>
      </c>
      <c r="S190" s="476">
        <v>2790</v>
      </c>
      <c r="T190" s="75" t="s">
        <v>42</v>
      </c>
      <c r="U190" s="137" t="s">
        <v>128</v>
      </c>
      <c r="V190" s="193">
        <v>46233</v>
      </c>
      <c r="W190" s="18" t="s">
        <v>44</v>
      </c>
      <c r="X190" s="18"/>
      <c r="Y190" s="114">
        <v>46357</v>
      </c>
      <c r="Z190" s="18" t="s">
        <v>45</v>
      </c>
      <c r="AA190" s="18" t="s">
        <v>46</v>
      </c>
      <c r="AB190" s="18"/>
      <c r="AC190" s="137"/>
      <c r="AD190" s="77"/>
      <c r="AE190" s="18" t="s">
        <v>129</v>
      </c>
      <c r="AF190" s="18"/>
      <c r="AG190" s="18"/>
    </row>
    <row r="191" ht="15.6" spans="1:1024 1025:2002">
      <c r="A191" s="474"/>
      <c r="B191" s="75">
        <v>1136</v>
      </c>
      <c r="C191" s="213">
        <v>46233</v>
      </c>
      <c r="D191" s="18" t="s">
        <v>35</v>
      </c>
      <c r="E191" s="18" t="s">
        <v>71</v>
      </c>
      <c r="F191" s="18" t="s">
        <v>72</v>
      </c>
      <c r="G191" s="18"/>
      <c r="H191" s="294">
        <v>1.2379</v>
      </c>
      <c r="I191" s="294"/>
      <c r="J191" s="18" t="s">
        <v>39</v>
      </c>
      <c r="K191" s="276">
        <v>26</v>
      </c>
      <c r="L191" s="276"/>
      <c r="M191" s="75">
        <v>5800</v>
      </c>
      <c r="N191" s="75" t="s">
        <v>40</v>
      </c>
      <c r="O191" s="75" t="s">
        <v>84</v>
      </c>
      <c r="P191" s="493">
        <v>1500</v>
      </c>
      <c r="Q191" s="493"/>
      <c r="R191" s="75">
        <f t="shared" si="12"/>
        <v>1500</v>
      </c>
      <c r="S191" s="476">
        <v>2790</v>
      </c>
      <c r="T191" s="75" t="s">
        <v>42</v>
      </c>
      <c r="U191" s="137" t="s">
        <v>128</v>
      </c>
      <c r="V191" s="193">
        <v>46233</v>
      </c>
      <c r="W191" s="18" t="s">
        <v>44</v>
      </c>
      <c r="X191" s="18"/>
      <c r="Y191" s="114">
        <v>46357</v>
      </c>
      <c r="Z191" s="18" t="s">
        <v>45</v>
      </c>
      <c r="AA191" s="18" t="s">
        <v>46</v>
      </c>
      <c r="AB191" s="18"/>
      <c r="AC191" s="137"/>
      <c r="AD191" s="77"/>
      <c r="AE191" s="18" t="s">
        <v>129</v>
      </c>
      <c r="AF191" s="18"/>
      <c r="AG191" s="18"/>
    </row>
    <row r="192" ht="15.6" spans="1:1024 1025:2002">
      <c r="A192" s="474"/>
      <c r="B192" s="75">
        <v>1136</v>
      </c>
      <c r="C192" s="213">
        <v>46233</v>
      </c>
      <c r="D192" s="18" t="s">
        <v>35</v>
      </c>
      <c r="E192" s="18" t="s">
        <v>71</v>
      </c>
      <c r="F192" s="18" t="s">
        <v>72</v>
      </c>
      <c r="G192" s="18"/>
      <c r="H192" s="294">
        <v>1.2379</v>
      </c>
      <c r="I192" s="294"/>
      <c r="J192" s="18" t="s">
        <v>39</v>
      </c>
      <c r="K192" s="276">
        <v>28</v>
      </c>
      <c r="L192" s="276"/>
      <c r="M192" s="75">
        <v>5800</v>
      </c>
      <c r="N192" s="75" t="s">
        <v>40</v>
      </c>
      <c r="O192" s="75" t="s">
        <v>84</v>
      </c>
      <c r="P192" s="493">
        <v>1500</v>
      </c>
      <c r="Q192" s="493"/>
      <c r="R192" s="75">
        <f t="shared" si="12"/>
        <v>1500</v>
      </c>
      <c r="S192" s="476">
        <v>2790</v>
      </c>
      <c r="T192" s="75" t="s">
        <v>42</v>
      </c>
      <c r="U192" s="137" t="s">
        <v>128</v>
      </c>
      <c r="V192" s="193">
        <v>46233</v>
      </c>
      <c r="W192" s="18" t="s">
        <v>44</v>
      </c>
      <c r="X192" s="18"/>
      <c r="Y192" s="114">
        <v>46357</v>
      </c>
      <c r="Z192" s="18" t="s">
        <v>45</v>
      </c>
      <c r="AA192" s="18" t="s">
        <v>46</v>
      </c>
      <c r="AB192" s="18"/>
      <c r="AC192" s="137"/>
      <c r="AD192" s="77"/>
      <c r="AE192" s="18" t="s">
        <v>129</v>
      </c>
      <c r="AF192" s="18"/>
      <c r="AG192" s="18"/>
    </row>
    <row r="193" ht="15.6" spans="1:33">
      <c r="A193" s="474"/>
      <c r="B193" s="75">
        <v>1136</v>
      </c>
      <c r="C193" s="213">
        <v>46233</v>
      </c>
      <c r="D193" s="18" t="s">
        <v>35</v>
      </c>
      <c r="E193" s="18" t="s">
        <v>71</v>
      </c>
      <c r="F193" s="18" t="s">
        <v>72</v>
      </c>
      <c r="G193" s="18"/>
      <c r="H193" s="294">
        <v>1.2379</v>
      </c>
      <c r="I193" s="294"/>
      <c r="J193" s="18" t="s">
        <v>39</v>
      </c>
      <c r="K193" s="276">
        <v>32</v>
      </c>
      <c r="L193" s="276"/>
      <c r="M193" s="75">
        <v>5800</v>
      </c>
      <c r="N193" s="75" t="s">
        <v>40</v>
      </c>
      <c r="O193" s="75" t="s">
        <v>84</v>
      </c>
      <c r="P193" s="493">
        <v>1500</v>
      </c>
      <c r="Q193" s="493"/>
      <c r="R193" s="75">
        <f t="shared" si="12"/>
        <v>1500</v>
      </c>
      <c r="S193" s="476">
        <v>2790</v>
      </c>
      <c r="T193" s="75" t="s">
        <v>42</v>
      </c>
      <c r="U193" s="137" t="s">
        <v>128</v>
      </c>
      <c r="V193" s="193">
        <v>46233</v>
      </c>
      <c r="W193" s="18" t="s">
        <v>44</v>
      </c>
      <c r="X193" s="18"/>
      <c r="Y193" s="114">
        <v>46357</v>
      </c>
      <c r="Z193" s="18" t="s">
        <v>45</v>
      </c>
      <c r="AA193" s="18" t="s">
        <v>46</v>
      </c>
      <c r="AB193" s="18"/>
      <c r="AC193" s="137"/>
      <c r="AD193" s="77"/>
      <c r="AE193" s="18" t="s">
        <v>129</v>
      </c>
      <c r="AF193" s="18"/>
      <c r="AG193" s="18"/>
    </row>
    <row r="194" ht="15.6" spans="1:33">
      <c r="A194" s="474"/>
      <c r="B194" s="75">
        <v>1136</v>
      </c>
      <c r="C194" s="213">
        <v>46233</v>
      </c>
      <c r="D194" s="18" t="s">
        <v>35</v>
      </c>
      <c r="E194" s="18" t="s">
        <v>71</v>
      </c>
      <c r="F194" s="18" t="s">
        <v>72</v>
      </c>
      <c r="G194" s="18"/>
      <c r="H194" s="294">
        <v>1.2379</v>
      </c>
      <c r="I194" s="294"/>
      <c r="J194" s="18" t="s">
        <v>39</v>
      </c>
      <c r="K194" s="276">
        <v>45</v>
      </c>
      <c r="L194" s="276"/>
      <c r="M194" s="75">
        <v>5800</v>
      </c>
      <c r="N194" s="75" t="s">
        <v>40</v>
      </c>
      <c r="O194" s="75" t="s">
        <v>84</v>
      </c>
      <c r="P194" s="493">
        <v>1500</v>
      </c>
      <c r="Q194" s="493"/>
      <c r="R194" s="75">
        <f t="shared" si="12"/>
        <v>1500</v>
      </c>
      <c r="S194" s="476">
        <v>2790</v>
      </c>
      <c r="T194" s="75" t="s">
        <v>42</v>
      </c>
      <c r="U194" s="137" t="s">
        <v>128</v>
      </c>
      <c r="V194" s="193">
        <v>46233</v>
      </c>
      <c r="W194" s="18" t="s">
        <v>44</v>
      </c>
      <c r="X194" s="18"/>
      <c r="Y194" s="114">
        <v>46357</v>
      </c>
      <c r="Z194" s="18" t="s">
        <v>45</v>
      </c>
      <c r="AA194" s="18" t="s">
        <v>46</v>
      </c>
      <c r="AB194" s="18"/>
      <c r="AC194" s="137"/>
      <c r="AD194" s="77"/>
      <c r="AE194" s="18" t="s">
        <v>129</v>
      </c>
      <c r="AF194" s="18"/>
      <c r="AG194" s="18"/>
    </row>
    <row r="195" ht="15.6" spans="1:33">
      <c r="A195" s="474"/>
      <c r="B195" s="75">
        <v>1136</v>
      </c>
      <c r="C195" s="213">
        <v>46233</v>
      </c>
      <c r="D195" s="18" t="s">
        <v>35</v>
      </c>
      <c r="E195" s="18" t="s">
        <v>71</v>
      </c>
      <c r="F195" s="18" t="s">
        <v>72</v>
      </c>
      <c r="G195" s="18"/>
      <c r="H195" s="294">
        <v>1.2379</v>
      </c>
      <c r="I195" s="294"/>
      <c r="J195" s="18" t="s">
        <v>39</v>
      </c>
      <c r="K195" s="276">
        <v>51</v>
      </c>
      <c r="L195" s="276"/>
      <c r="M195" s="75">
        <v>5800</v>
      </c>
      <c r="N195" s="75" t="s">
        <v>40</v>
      </c>
      <c r="O195" s="75" t="s">
        <v>84</v>
      </c>
      <c r="P195" s="493">
        <v>1500</v>
      </c>
      <c r="Q195" s="493"/>
      <c r="R195" s="75">
        <f t="shared" si="12"/>
        <v>1500</v>
      </c>
      <c r="S195" s="476">
        <v>2790</v>
      </c>
      <c r="T195" s="75" t="s">
        <v>42</v>
      </c>
      <c r="U195" s="137" t="s">
        <v>128</v>
      </c>
      <c r="V195" s="193">
        <v>46233</v>
      </c>
      <c r="W195" s="18" t="s">
        <v>44</v>
      </c>
      <c r="X195" s="18"/>
      <c r="Y195" s="114">
        <v>46357</v>
      </c>
      <c r="Z195" s="18" t="s">
        <v>45</v>
      </c>
      <c r="AA195" s="18" t="s">
        <v>46</v>
      </c>
      <c r="AB195" s="18"/>
      <c r="AC195" s="137"/>
      <c r="AD195" s="77"/>
      <c r="AE195" s="18" t="s">
        <v>129</v>
      </c>
      <c r="AF195" s="18"/>
      <c r="AG195" s="18"/>
    </row>
    <row r="196" ht="15.6" spans="1:33">
      <c r="A196" s="474"/>
      <c r="B196" s="75">
        <v>1136</v>
      </c>
      <c r="C196" s="213">
        <v>46233</v>
      </c>
      <c r="D196" s="18" t="s">
        <v>35</v>
      </c>
      <c r="E196" s="18" t="s">
        <v>71</v>
      </c>
      <c r="F196" s="18" t="s">
        <v>72</v>
      </c>
      <c r="G196" s="18"/>
      <c r="H196" s="294">
        <v>1.2379</v>
      </c>
      <c r="I196" s="294"/>
      <c r="J196" s="18" t="s">
        <v>39</v>
      </c>
      <c r="K196" s="276">
        <v>56</v>
      </c>
      <c r="L196" s="276"/>
      <c r="M196" s="75">
        <v>5800</v>
      </c>
      <c r="N196" s="75" t="s">
        <v>40</v>
      </c>
      <c r="O196" s="75" t="s">
        <v>84</v>
      </c>
      <c r="P196" s="493">
        <v>1500</v>
      </c>
      <c r="Q196" s="493"/>
      <c r="R196" s="75">
        <f t="shared" si="12"/>
        <v>1500</v>
      </c>
      <c r="S196" s="476">
        <v>2790</v>
      </c>
      <c r="T196" s="75" t="s">
        <v>42</v>
      </c>
      <c r="U196" s="137" t="s">
        <v>128</v>
      </c>
      <c r="V196" s="193">
        <v>46233</v>
      </c>
      <c r="W196" s="18" t="s">
        <v>44</v>
      </c>
      <c r="X196" s="18"/>
      <c r="Y196" s="114">
        <v>46357</v>
      </c>
      <c r="Z196" s="18" t="s">
        <v>45</v>
      </c>
      <c r="AA196" s="18" t="s">
        <v>46</v>
      </c>
      <c r="AB196" s="18"/>
      <c r="AC196" s="137"/>
      <c r="AD196" s="77"/>
      <c r="AE196" s="18" t="s">
        <v>129</v>
      </c>
      <c r="AF196" s="18"/>
      <c r="AG196" s="18"/>
    </row>
    <row r="197" ht="15.6" spans="1:33">
      <c r="A197" s="474"/>
      <c r="B197" s="75">
        <v>1136</v>
      </c>
      <c r="C197" s="213">
        <v>46233</v>
      </c>
      <c r="D197" s="18" t="s">
        <v>35</v>
      </c>
      <c r="E197" s="18" t="s">
        <v>71</v>
      </c>
      <c r="F197" s="18" t="s">
        <v>72</v>
      </c>
      <c r="G197" s="18"/>
      <c r="H197" s="294">
        <v>1.2379</v>
      </c>
      <c r="I197" s="294"/>
      <c r="J197" s="18" t="s">
        <v>39</v>
      </c>
      <c r="K197" s="276">
        <v>61</v>
      </c>
      <c r="L197" s="276"/>
      <c r="M197" s="75">
        <v>5800</v>
      </c>
      <c r="N197" s="75" t="s">
        <v>40</v>
      </c>
      <c r="O197" s="75" t="s">
        <v>84</v>
      </c>
      <c r="P197" s="493">
        <v>1500</v>
      </c>
      <c r="Q197" s="493"/>
      <c r="R197" s="75">
        <f t="shared" si="12"/>
        <v>1500</v>
      </c>
      <c r="S197" s="476">
        <v>2790</v>
      </c>
      <c r="T197" s="75" t="s">
        <v>42</v>
      </c>
      <c r="U197" s="137" t="s">
        <v>128</v>
      </c>
      <c r="V197" s="193">
        <v>46233</v>
      </c>
      <c r="W197" s="18" t="s">
        <v>44</v>
      </c>
      <c r="X197" s="18"/>
      <c r="Y197" s="114">
        <v>46357</v>
      </c>
      <c r="Z197" s="18" t="s">
        <v>45</v>
      </c>
      <c r="AA197" s="18" t="s">
        <v>46</v>
      </c>
      <c r="AB197" s="18"/>
      <c r="AC197" s="137"/>
      <c r="AD197" s="77"/>
      <c r="AE197" s="18" t="s">
        <v>129</v>
      </c>
      <c r="AF197" s="18"/>
      <c r="AG197" s="18"/>
    </row>
    <row r="198" ht="15.6" spans="1:33">
      <c r="A198" s="474"/>
      <c r="B198" s="75">
        <v>1136</v>
      </c>
      <c r="C198" s="213">
        <v>46233</v>
      </c>
      <c r="D198" s="18" t="s">
        <v>35</v>
      </c>
      <c r="E198" s="18" t="s">
        <v>71</v>
      </c>
      <c r="F198" s="18" t="s">
        <v>72</v>
      </c>
      <c r="G198" s="18"/>
      <c r="H198" s="294">
        <v>1.2379</v>
      </c>
      <c r="I198" s="294"/>
      <c r="J198" s="18" t="s">
        <v>39</v>
      </c>
      <c r="K198" s="276">
        <v>66</v>
      </c>
      <c r="L198" s="276"/>
      <c r="M198" s="75">
        <v>5800</v>
      </c>
      <c r="N198" s="75" t="s">
        <v>40</v>
      </c>
      <c r="O198" s="75" t="s">
        <v>84</v>
      </c>
      <c r="P198" s="493">
        <v>1500</v>
      </c>
      <c r="Q198" s="493"/>
      <c r="R198" s="75">
        <f t="shared" si="12"/>
        <v>1500</v>
      </c>
      <c r="S198" s="476">
        <v>2790</v>
      </c>
      <c r="T198" s="75" t="s">
        <v>42</v>
      </c>
      <c r="U198" s="137" t="s">
        <v>128</v>
      </c>
      <c r="V198" s="193">
        <v>46233</v>
      </c>
      <c r="W198" s="18" t="s">
        <v>44</v>
      </c>
      <c r="X198" s="18"/>
      <c r="Y198" s="114">
        <v>46357</v>
      </c>
      <c r="Z198" s="18" t="s">
        <v>45</v>
      </c>
      <c r="AA198" s="18" t="s">
        <v>46</v>
      </c>
      <c r="AB198" s="18"/>
      <c r="AC198" s="137"/>
      <c r="AD198" s="77"/>
      <c r="AE198" s="18" t="s">
        <v>129</v>
      </c>
      <c r="AF198" s="18"/>
      <c r="AG198" s="18"/>
    </row>
    <row r="199" ht="15.6" spans="1:33">
      <c r="A199" s="474"/>
      <c r="B199" s="75">
        <v>1136</v>
      </c>
      <c r="C199" s="213">
        <v>46233</v>
      </c>
      <c r="D199" s="18" t="s">
        <v>35</v>
      </c>
      <c r="E199" s="18" t="s">
        <v>71</v>
      </c>
      <c r="F199" s="18" t="s">
        <v>72</v>
      </c>
      <c r="G199" s="18"/>
      <c r="H199" s="294">
        <v>1.2379</v>
      </c>
      <c r="I199" s="294"/>
      <c r="J199" s="18" t="s">
        <v>39</v>
      </c>
      <c r="K199" s="276">
        <v>70</v>
      </c>
      <c r="L199" s="276"/>
      <c r="M199" s="75">
        <v>5800</v>
      </c>
      <c r="N199" s="75" t="s">
        <v>40</v>
      </c>
      <c r="O199" s="75" t="s">
        <v>84</v>
      </c>
      <c r="P199" s="493">
        <v>4000</v>
      </c>
      <c r="Q199" s="493"/>
      <c r="R199" s="75">
        <f t="shared" si="12"/>
        <v>4000</v>
      </c>
      <c r="S199" s="476">
        <v>2520</v>
      </c>
      <c r="T199" s="75" t="s">
        <v>42</v>
      </c>
      <c r="U199" s="137" t="s">
        <v>128</v>
      </c>
      <c r="V199" s="193">
        <v>46233</v>
      </c>
      <c r="W199" s="18" t="s">
        <v>44</v>
      </c>
      <c r="X199" s="18"/>
      <c r="Y199" s="114">
        <v>46357</v>
      </c>
      <c r="Z199" s="18" t="s">
        <v>45</v>
      </c>
      <c r="AA199" s="18" t="s">
        <v>46</v>
      </c>
      <c r="AB199" s="18"/>
      <c r="AC199" s="137"/>
      <c r="AD199" s="77"/>
      <c r="AE199" s="18" t="s">
        <v>129</v>
      </c>
      <c r="AF199" s="18"/>
      <c r="AG199" s="18"/>
    </row>
    <row r="200" ht="15.6" spans="1:33">
      <c r="A200" s="474"/>
      <c r="B200" s="75">
        <v>1136</v>
      </c>
      <c r="C200" s="213">
        <v>46233</v>
      </c>
      <c r="D200" s="18" t="s">
        <v>35</v>
      </c>
      <c r="E200" s="18" t="s">
        <v>71</v>
      </c>
      <c r="F200" s="18" t="s">
        <v>72</v>
      </c>
      <c r="G200" s="18"/>
      <c r="H200" s="294">
        <v>1.2379</v>
      </c>
      <c r="I200" s="294"/>
      <c r="J200" s="18" t="s">
        <v>39</v>
      </c>
      <c r="K200" s="276">
        <v>81</v>
      </c>
      <c r="L200" s="276"/>
      <c r="M200" s="75">
        <v>5800</v>
      </c>
      <c r="N200" s="75" t="s">
        <v>40</v>
      </c>
      <c r="O200" s="75" t="s">
        <v>84</v>
      </c>
      <c r="P200" s="493">
        <v>2000</v>
      </c>
      <c r="Q200" s="493"/>
      <c r="R200" s="75">
        <f t="shared" si="12"/>
        <v>2000</v>
      </c>
      <c r="S200" s="476">
        <v>2520</v>
      </c>
      <c r="T200" s="75" t="s">
        <v>42</v>
      </c>
      <c r="U200" s="137" t="s">
        <v>128</v>
      </c>
      <c r="V200" s="193">
        <v>46233</v>
      </c>
      <c r="W200" s="18" t="s">
        <v>44</v>
      </c>
      <c r="X200" s="18"/>
      <c r="Y200" s="114">
        <v>46357</v>
      </c>
      <c r="Z200" s="18" t="s">
        <v>45</v>
      </c>
      <c r="AA200" s="18" t="s">
        <v>46</v>
      </c>
      <c r="AB200" s="18"/>
      <c r="AC200" s="137"/>
      <c r="AD200" s="77"/>
      <c r="AE200" s="18" t="s">
        <v>129</v>
      </c>
      <c r="AF200" s="18"/>
      <c r="AG200" s="18"/>
    </row>
    <row r="201" ht="15.6" spans="1:33">
      <c r="A201" s="474"/>
      <c r="B201" s="75">
        <v>1136</v>
      </c>
      <c r="C201" s="213">
        <v>46233</v>
      </c>
      <c r="D201" s="18" t="s">
        <v>35</v>
      </c>
      <c r="E201" s="18" t="s">
        <v>71</v>
      </c>
      <c r="F201" s="18" t="s">
        <v>72</v>
      </c>
      <c r="G201" s="18"/>
      <c r="H201" s="294">
        <v>1.2379</v>
      </c>
      <c r="I201" s="294"/>
      <c r="J201" s="18" t="s">
        <v>39</v>
      </c>
      <c r="K201" s="276">
        <v>83</v>
      </c>
      <c r="L201" s="276"/>
      <c r="M201" s="75">
        <v>5800</v>
      </c>
      <c r="N201" s="75" t="s">
        <v>40</v>
      </c>
      <c r="O201" s="75" t="s">
        <v>84</v>
      </c>
      <c r="P201" s="493">
        <v>8000</v>
      </c>
      <c r="Q201" s="493"/>
      <c r="R201" s="75">
        <f t="shared" si="12"/>
        <v>8000</v>
      </c>
      <c r="S201" s="476">
        <v>2520</v>
      </c>
      <c r="T201" s="75" t="s">
        <v>42</v>
      </c>
      <c r="U201" s="137" t="s">
        <v>128</v>
      </c>
      <c r="V201" s="193">
        <v>46233</v>
      </c>
      <c r="W201" s="18" t="s">
        <v>44</v>
      </c>
      <c r="X201" s="18"/>
      <c r="Y201" s="114">
        <v>46357</v>
      </c>
      <c r="Z201" s="18" t="s">
        <v>45</v>
      </c>
      <c r="AA201" s="18" t="s">
        <v>46</v>
      </c>
      <c r="AB201" s="18"/>
      <c r="AC201" s="137"/>
      <c r="AD201" s="77"/>
      <c r="AE201" s="18" t="s">
        <v>129</v>
      </c>
      <c r="AF201" s="18"/>
      <c r="AG201" s="18"/>
    </row>
    <row r="202" ht="15.6" spans="1:33">
      <c r="A202" s="474"/>
      <c r="B202" s="75">
        <v>1136</v>
      </c>
      <c r="C202" s="213">
        <v>46233</v>
      </c>
      <c r="D202" s="18" t="s">
        <v>35</v>
      </c>
      <c r="E202" s="18" t="s">
        <v>71</v>
      </c>
      <c r="F202" s="18" t="s">
        <v>72</v>
      </c>
      <c r="G202" s="18"/>
      <c r="H202" s="294">
        <v>1.2379</v>
      </c>
      <c r="I202" s="294"/>
      <c r="J202" s="18" t="s">
        <v>39</v>
      </c>
      <c r="K202" s="276">
        <v>91</v>
      </c>
      <c r="L202" s="276"/>
      <c r="M202" s="75">
        <v>5800</v>
      </c>
      <c r="N202" s="75" t="s">
        <v>40</v>
      </c>
      <c r="O202" s="75" t="s">
        <v>84</v>
      </c>
      <c r="P202" s="493">
        <v>2000</v>
      </c>
      <c r="Q202" s="493"/>
      <c r="R202" s="75">
        <f t="shared" si="12"/>
        <v>2000</v>
      </c>
      <c r="S202" s="476">
        <v>2520</v>
      </c>
      <c r="T202" s="75" t="s">
        <v>42</v>
      </c>
      <c r="U202" s="137" t="s">
        <v>128</v>
      </c>
      <c r="V202" s="193">
        <v>46233</v>
      </c>
      <c r="W202" s="18" t="s">
        <v>44</v>
      </c>
      <c r="X202" s="18"/>
      <c r="Y202" s="114">
        <v>46357</v>
      </c>
      <c r="Z202" s="18" t="s">
        <v>45</v>
      </c>
      <c r="AA202" s="18" t="s">
        <v>46</v>
      </c>
      <c r="AB202" s="18"/>
      <c r="AC202" s="137"/>
      <c r="AD202" s="77"/>
      <c r="AE202" s="18" t="s">
        <v>129</v>
      </c>
      <c r="AF202" s="18"/>
      <c r="AG202" s="18"/>
    </row>
    <row r="203" ht="15.6" spans="1:33">
      <c r="A203" s="474"/>
      <c r="B203" s="75">
        <v>1136</v>
      </c>
      <c r="C203" s="213">
        <v>46233</v>
      </c>
      <c r="D203" s="18" t="s">
        <v>35</v>
      </c>
      <c r="E203" s="18" t="s">
        <v>71</v>
      </c>
      <c r="F203" s="18" t="s">
        <v>72</v>
      </c>
      <c r="G203" s="18"/>
      <c r="H203" s="294">
        <v>1.2379</v>
      </c>
      <c r="I203" s="294"/>
      <c r="J203" s="18" t="s">
        <v>39</v>
      </c>
      <c r="K203" s="276">
        <v>100</v>
      </c>
      <c r="L203" s="276"/>
      <c r="M203" s="75">
        <v>5800</v>
      </c>
      <c r="N203" s="75" t="s">
        <v>40</v>
      </c>
      <c r="O203" s="75" t="s">
        <v>84</v>
      </c>
      <c r="P203" s="493">
        <v>8000</v>
      </c>
      <c r="Q203" s="493"/>
      <c r="R203" s="75">
        <f t="shared" si="12"/>
        <v>8000</v>
      </c>
      <c r="S203" s="476">
        <v>2520</v>
      </c>
      <c r="T203" s="75" t="s">
        <v>42</v>
      </c>
      <c r="U203" s="137" t="s">
        <v>128</v>
      </c>
      <c r="V203" s="193">
        <v>46233</v>
      </c>
      <c r="W203" s="18" t="s">
        <v>44</v>
      </c>
      <c r="X203" s="18"/>
      <c r="Y203" s="114">
        <v>46357</v>
      </c>
      <c r="Z203" s="18" t="s">
        <v>45</v>
      </c>
      <c r="AA203" s="18" t="s">
        <v>46</v>
      </c>
      <c r="AB203" s="18"/>
      <c r="AC203" s="137"/>
      <c r="AD203" s="77"/>
      <c r="AE203" s="18" t="s">
        <v>129</v>
      </c>
      <c r="AF203" s="18"/>
      <c r="AG203" s="18"/>
    </row>
    <row r="204" ht="15.6" spans="1:33">
      <c r="A204" s="474"/>
      <c r="B204" s="75">
        <v>1136</v>
      </c>
      <c r="C204" s="213">
        <v>46233</v>
      </c>
      <c r="D204" s="18" t="s">
        <v>35</v>
      </c>
      <c r="E204" s="18" t="s">
        <v>71</v>
      </c>
      <c r="F204" s="18" t="s">
        <v>72</v>
      </c>
      <c r="G204" s="18"/>
      <c r="H204" s="294">
        <v>1.2379</v>
      </c>
      <c r="I204" s="294"/>
      <c r="J204" s="18" t="s">
        <v>39</v>
      </c>
      <c r="K204" s="276">
        <v>102</v>
      </c>
      <c r="L204" s="276"/>
      <c r="M204" s="75">
        <v>5800</v>
      </c>
      <c r="N204" s="75" t="s">
        <v>40</v>
      </c>
      <c r="O204" s="75" t="s">
        <v>84</v>
      </c>
      <c r="P204" s="493">
        <v>2000</v>
      </c>
      <c r="Q204" s="493"/>
      <c r="R204" s="75">
        <f t="shared" si="12"/>
        <v>2000</v>
      </c>
      <c r="S204" s="476">
        <v>2520</v>
      </c>
      <c r="T204" s="75" t="s">
        <v>42</v>
      </c>
      <c r="U204" s="137" t="s">
        <v>128</v>
      </c>
      <c r="V204" s="193">
        <v>46233</v>
      </c>
      <c r="W204" s="18" t="s">
        <v>44</v>
      </c>
      <c r="X204" s="18"/>
      <c r="Y204" s="114">
        <v>46357</v>
      </c>
      <c r="Z204" s="18" t="s">
        <v>45</v>
      </c>
      <c r="AA204" s="18" t="s">
        <v>46</v>
      </c>
      <c r="AB204" s="18"/>
      <c r="AC204" s="137"/>
      <c r="AD204" s="77"/>
      <c r="AE204" s="18" t="s">
        <v>129</v>
      </c>
      <c r="AF204" s="18"/>
      <c r="AG204" s="18"/>
    </row>
    <row r="205" ht="15.6" spans="1:33">
      <c r="A205" s="474"/>
      <c r="B205" s="75">
        <v>1136</v>
      </c>
      <c r="C205" s="213">
        <v>46233</v>
      </c>
      <c r="D205" s="18" t="s">
        <v>35</v>
      </c>
      <c r="E205" s="18" t="s">
        <v>71</v>
      </c>
      <c r="F205" s="18" t="s">
        <v>72</v>
      </c>
      <c r="G205" s="18"/>
      <c r="H205" s="294">
        <v>1.2379</v>
      </c>
      <c r="I205" s="294"/>
      <c r="J205" s="18" t="s">
        <v>39</v>
      </c>
      <c r="K205" s="276">
        <v>125</v>
      </c>
      <c r="L205" s="276"/>
      <c r="M205" s="75">
        <v>5800</v>
      </c>
      <c r="N205" s="75" t="s">
        <v>40</v>
      </c>
      <c r="O205" s="75" t="s">
        <v>84</v>
      </c>
      <c r="P205" s="493">
        <v>6000</v>
      </c>
      <c r="Q205" s="493"/>
      <c r="R205" s="75">
        <f t="shared" si="12"/>
        <v>6000</v>
      </c>
      <c r="S205" s="476">
        <f>2325-20</f>
        <v>2305</v>
      </c>
      <c r="T205" s="75" t="s">
        <v>42</v>
      </c>
      <c r="U205" s="137" t="s">
        <v>128</v>
      </c>
      <c r="V205" s="193">
        <v>46233</v>
      </c>
      <c r="W205" s="18" t="s">
        <v>44</v>
      </c>
      <c r="X205" s="18"/>
      <c r="Y205" s="114">
        <v>46357</v>
      </c>
      <c r="Z205" s="18" t="s">
        <v>45</v>
      </c>
      <c r="AA205" s="18" t="s">
        <v>46</v>
      </c>
      <c r="AB205" s="18"/>
      <c r="AC205" s="137"/>
      <c r="AD205" s="77"/>
      <c r="AE205" s="18" t="s">
        <v>129</v>
      </c>
      <c r="AF205" s="18"/>
      <c r="AG205" s="18"/>
    </row>
    <row r="206" ht="15.6" spans="1:33">
      <c r="A206" s="474"/>
      <c r="B206" s="75">
        <v>1136</v>
      </c>
      <c r="C206" s="213">
        <v>46233</v>
      </c>
      <c r="D206" s="18" t="s">
        <v>35</v>
      </c>
      <c r="E206" s="18" t="s">
        <v>71</v>
      </c>
      <c r="F206" s="18" t="s">
        <v>72</v>
      </c>
      <c r="G206" s="18"/>
      <c r="H206" s="294">
        <v>1.2379</v>
      </c>
      <c r="I206" s="294"/>
      <c r="J206" s="18" t="s">
        <v>39</v>
      </c>
      <c r="K206" s="276">
        <v>152</v>
      </c>
      <c r="L206" s="276"/>
      <c r="M206" s="75">
        <v>5800</v>
      </c>
      <c r="N206" s="75" t="s">
        <v>40</v>
      </c>
      <c r="O206" s="75" t="s">
        <v>50</v>
      </c>
      <c r="P206" s="493">
        <v>1500</v>
      </c>
      <c r="Q206" s="493"/>
      <c r="R206" s="75">
        <f t="shared" si="12"/>
        <v>1500</v>
      </c>
      <c r="S206" s="476">
        <f>2325-20</f>
        <v>2305</v>
      </c>
      <c r="T206" s="75" t="s">
        <v>42</v>
      </c>
      <c r="U206" s="137" t="s">
        <v>128</v>
      </c>
      <c r="V206" s="193">
        <v>46233</v>
      </c>
      <c r="W206" s="18" t="s">
        <v>44</v>
      </c>
      <c r="X206" s="18"/>
      <c r="Y206" s="114">
        <v>46357</v>
      </c>
      <c r="Z206" s="18" t="s">
        <v>45</v>
      </c>
      <c r="AA206" s="18" t="s">
        <v>46</v>
      </c>
      <c r="AB206" s="18"/>
      <c r="AC206" s="137"/>
      <c r="AD206" s="77"/>
      <c r="AE206" s="18" t="s">
        <v>129</v>
      </c>
      <c r="AF206" s="18"/>
      <c r="AG206" s="18"/>
    </row>
    <row r="207" ht="15.6" spans="1:33">
      <c r="A207" s="474"/>
      <c r="B207" s="75">
        <v>1136</v>
      </c>
      <c r="C207" s="213">
        <v>46233</v>
      </c>
      <c r="D207" s="18" t="s">
        <v>35</v>
      </c>
      <c r="E207" s="18" t="s">
        <v>71</v>
      </c>
      <c r="F207" s="18" t="s">
        <v>72</v>
      </c>
      <c r="G207" s="18"/>
      <c r="H207" s="294">
        <v>1.2379</v>
      </c>
      <c r="I207" s="494"/>
      <c r="J207" s="495" t="s">
        <v>39</v>
      </c>
      <c r="K207" s="276">
        <v>192</v>
      </c>
      <c r="L207" s="276"/>
      <c r="M207" s="75">
        <v>5800</v>
      </c>
      <c r="N207" s="75" t="s">
        <v>40</v>
      </c>
      <c r="O207" s="75" t="s">
        <v>50</v>
      </c>
      <c r="P207" s="493">
        <v>3000</v>
      </c>
      <c r="Q207" s="493"/>
      <c r="R207" s="75">
        <f t="shared" si="12"/>
        <v>3000</v>
      </c>
      <c r="S207" s="476">
        <f>2325-20</f>
        <v>2305</v>
      </c>
      <c r="T207" s="75" t="s">
        <v>42</v>
      </c>
      <c r="U207" s="137" t="s">
        <v>128</v>
      </c>
      <c r="V207" s="193">
        <v>46233</v>
      </c>
      <c r="W207" s="18" t="s">
        <v>44</v>
      </c>
      <c r="X207" s="18"/>
      <c r="Y207" s="114">
        <v>46357</v>
      </c>
      <c r="Z207" s="18" t="s">
        <v>45</v>
      </c>
      <c r="AA207" s="18" t="s">
        <v>46</v>
      </c>
      <c r="AB207" s="18"/>
      <c r="AC207" s="137"/>
      <c r="AD207" s="77"/>
      <c r="AE207" s="18" t="s">
        <v>129</v>
      </c>
      <c r="AF207" s="18"/>
      <c r="AG207" s="18"/>
    </row>
    <row r="208" ht="15.6" spans="1:33">
      <c r="A208" s="474"/>
      <c r="B208" s="75">
        <v>1136</v>
      </c>
      <c r="C208" s="213">
        <v>46233</v>
      </c>
      <c r="D208" s="18" t="s">
        <v>35</v>
      </c>
      <c r="E208" s="18" t="s">
        <v>71</v>
      </c>
      <c r="F208" s="18" t="s">
        <v>72</v>
      </c>
      <c r="G208" s="18"/>
      <c r="H208" s="294">
        <v>1.2379</v>
      </c>
      <c r="I208" s="494"/>
      <c r="J208" s="495" t="s">
        <v>39</v>
      </c>
      <c r="K208" s="276">
        <v>312</v>
      </c>
      <c r="L208" s="276"/>
      <c r="M208" s="75">
        <v>5800</v>
      </c>
      <c r="N208" s="75" t="s">
        <v>40</v>
      </c>
      <c r="O208" s="75" t="s">
        <v>50</v>
      </c>
      <c r="P208" s="493">
        <v>5000</v>
      </c>
      <c r="Q208" s="493"/>
      <c r="R208" s="75">
        <f t="shared" si="12"/>
        <v>5000</v>
      </c>
      <c r="S208" s="476">
        <f>2325-20</f>
        <v>2305</v>
      </c>
      <c r="T208" s="75" t="s">
        <v>42</v>
      </c>
      <c r="U208" s="137" t="s">
        <v>128</v>
      </c>
      <c r="V208" s="193">
        <v>46233</v>
      </c>
      <c r="W208" s="18" t="s">
        <v>44</v>
      </c>
      <c r="X208" s="18"/>
      <c r="Y208" s="114">
        <v>46357</v>
      </c>
      <c r="Z208" s="18" t="s">
        <v>45</v>
      </c>
      <c r="AA208" s="18" t="s">
        <v>46</v>
      </c>
      <c r="AB208" s="18"/>
      <c r="AC208" s="137"/>
      <c r="AD208" s="77"/>
      <c r="AE208" s="18" t="s">
        <v>129</v>
      </c>
      <c r="AF208" s="18"/>
      <c r="AG208" s="18"/>
    </row>
    <row r="209" ht="15.6" spans="1:33">
      <c r="A209" s="474"/>
      <c r="B209" s="75">
        <v>1136</v>
      </c>
      <c r="C209" s="213">
        <v>46233</v>
      </c>
      <c r="D209" s="18" t="s">
        <v>35</v>
      </c>
      <c r="E209" s="18" t="s">
        <v>71</v>
      </c>
      <c r="F209" s="18" t="s">
        <v>72</v>
      </c>
      <c r="G209" s="18"/>
      <c r="H209" s="294">
        <v>1.2379</v>
      </c>
      <c r="I209" s="494"/>
      <c r="J209" s="495" t="s">
        <v>39</v>
      </c>
      <c r="K209" s="276">
        <v>332</v>
      </c>
      <c r="L209" s="276"/>
      <c r="M209" s="75">
        <v>5800</v>
      </c>
      <c r="N209" s="75" t="s">
        <v>40</v>
      </c>
      <c r="O209" s="75" t="s">
        <v>50</v>
      </c>
      <c r="P209" s="493">
        <v>5000</v>
      </c>
      <c r="Q209" s="493"/>
      <c r="R209" s="75">
        <f t="shared" si="12"/>
        <v>5000</v>
      </c>
      <c r="S209" s="476">
        <f>2325-20</f>
        <v>2305</v>
      </c>
      <c r="T209" s="75" t="s">
        <v>42</v>
      </c>
      <c r="U209" s="137" t="s">
        <v>128</v>
      </c>
      <c r="V209" s="193">
        <v>46233</v>
      </c>
      <c r="W209" s="18" t="s">
        <v>44</v>
      </c>
      <c r="X209" s="18"/>
      <c r="Y209" s="114">
        <v>46357</v>
      </c>
      <c r="Z209" s="18" t="s">
        <v>45</v>
      </c>
      <c r="AA209" s="18" t="s">
        <v>46</v>
      </c>
      <c r="AB209" s="18"/>
      <c r="AC209" s="137"/>
      <c r="AD209" s="77"/>
      <c r="AE209" s="18" t="s">
        <v>129</v>
      </c>
      <c r="AF209" s="18"/>
      <c r="AG209" s="18"/>
    </row>
    <row r="210" ht="15.6" spans="1:33">
      <c r="A210" s="474"/>
      <c r="B210" s="75">
        <v>1136</v>
      </c>
      <c r="C210" s="213">
        <v>46233</v>
      </c>
      <c r="D210" s="18" t="s">
        <v>35</v>
      </c>
      <c r="E210" s="18" t="s">
        <v>71</v>
      </c>
      <c r="F210" s="18" t="s">
        <v>72</v>
      </c>
      <c r="G210" s="18"/>
      <c r="H210" s="294">
        <v>1.2379</v>
      </c>
      <c r="I210" s="494"/>
      <c r="J210" s="495" t="s">
        <v>39</v>
      </c>
      <c r="K210" s="276">
        <v>482</v>
      </c>
      <c r="L210" s="276"/>
      <c r="M210" s="75">
        <v>5800</v>
      </c>
      <c r="N210" s="75" t="s">
        <v>40</v>
      </c>
      <c r="O210" s="75" t="s">
        <v>50</v>
      </c>
      <c r="P210" s="493">
        <v>7000</v>
      </c>
      <c r="Q210" s="493"/>
      <c r="R210" s="75">
        <f t="shared" si="12"/>
        <v>7000</v>
      </c>
      <c r="S210" s="476">
        <f>2400-20</f>
        <v>2380</v>
      </c>
      <c r="T210" s="75" t="s">
        <v>42</v>
      </c>
      <c r="U210" s="137" t="s">
        <v>128</v>
      </c>
      <c r="V210" s="193">
        <v>46233</v>
      </c>
      <c r="W210" s="18" t="s">
        <v>44</v>
      </c>
      <c r="X210" s="18"/>
      <c r="Y210" s="114">
        <v>46357</v>
      </c>
      <c r="Z210" s="18" t="s">
        <v>45</v>
      </c>
      <c r="AA210" s="18" t="s">
        <v>46</v>
      </c>
      <c r="AB210" s="18"/>
      <c r="AC210" s="137"/>
      <c r="AD210" s="77"/>
      <c r="AE210" s="18" t="s">
        <v>129</v>
      </c>
      <c r="AF210" s="18"/>
      <c r="AG210" s="18"/>
    </row>
    <row r="211" spans="1:33">
      <c r="A211" s="474"/>
      <c r="B211" s="75"/>
      <c r="C211" s="213"/>
      <c r="D211" s="18"/>
      <c r="E211" s="18"/>
      <c r="F211" s="18"/>
      <c r="G211" s="18"/>
      <c r="H211" s="294"/>
      <c r="I211" s="294"/>
      <c r="J211" s="18"/>
      <c r="K211" s="192"/>
      <c r="L211" s="192"/>
      <c r="M211" s="75"/>
      <c r="N211" s="75"/>
      <c r="O211" s="75"/>
      <c r="P211" s="75"/>
      <c r="Q211" s="75"/>
      <c r="R211" s="75"/>
      <c r="S211" s="75"/>
      <c r="T211" s="75"/>
      <c r="U211" s="137"/>
      <c r="V211" s="193"/>
      <c r="W211" s="18"/>
      <c r="X211" s="18"/>
      <c r="Y211" s="114"/>
      <c r="Z211" s="18"/>
      <c r="AA211" s="18"/>
      <c r="AB211" s="18"/>
      <c r="AC211" s="137"/>
      <c r="AD211" s="77"/>
      <c r="AE211" s="18"/>
      <c r="AF211" s="18"/>
      <c r="AG211" s="18"/>
    </row>
    <row r="212" spans="1:33">
      <c r="A212" s="474"/>
      <c r="B212" s="75"/>
      <c r="C212" s="213"/>
      <c r="D212" s="18"/>
      <c r="E212" s="18"/>
      <c r="F212" s="18"/>
      <c r="G212" s="18"/>
      <c r="H212" s="75"/>
      <c r="I212" s="75"/>
      <c r="J212" s="18"/>
      <c r="K212" s="203"/>
      <c r="L212" s="192"/>
      <c r="M212" s="75"/>
      <c r="N212" s="75"/>
      <c r="O212" s="75"/>
      <c r="P212" s="75"/>
      <c r="Q212" s="75"/>
      <c r="R212" s="75"/>
      <c r="S212" s="75"/>
      <c r="T212" s="75"/>
      <c r="U212" s="137"/>
      <c r="V212" s="193"/>
      <c r="W212" s="18"/>
      <c r="X212" s="18"/>
      <c r="Y212" s="114"/>
      <c r="Z212" s="18"/>
      <c r="AA212" s="18"/>
      <c r="AB212" s="18"/>
      <c r="AC212" s="137"/>
      <c r="AD212" s="77"/>
      <c r="AE212" s="18"/>
      <c r="AF212" s="18"/>
      <c r="AG212" s="18"/>
    </row>
    <row r="213" spans="1:33">
      <c r="A213" s="474"/>
      <c r="B213" s="75"/>
      <c r="C213" s="213"/>
      <c r="D213" s="18"/>
      <c r="E213" s="18"/>
      <c r="F213" s="18"/>
      <c r="G213" s="18"/>
      <c r="H213" s="75"/>
      <c r="I213" s="75"/>
      <c r="J213" s="18"/>
      <c r="K213" s="75"/>
      <c r="L213" s="111"/>
      <c r="M213" s="75"/>
      <c r="N213" s="75"/>
      <c r="O213" s="75"/>
      <c r="P213" s="75"/>
      <c r="Q213" s="75"/>
      <c r="R213" s="75"/>
      <c r="S213" s="75"/>
      <c r="T213" s="75"/>
      <c r="U213" s="137"/>
      <c r="V213" s="193"/>
      <c r="W213" s="18"/>
      <c r="X213" s="18"/>
      <c r="Y213" s="114"/>
      <c r="Z213" s="18"/>
      <c r="AA213" s="18"/>
      <c r="AB213" s="18"/>
      <c r="AC213" s="137"/>
      <c r="AD213" s="77"/>
      <c r="AE213" s="18"/>
      <c r="AF213" s="18"/>
      <c r="AG213" s="18"/>
    </row>
    <row r="214" spans="1:33">
      <c r="A214" s="474"/>
      <c r="B214" s="75"/>
      <c r="C214" s="213"/>
      <c r="D214" s="18"/>
      <c r="E214" s="18"/>
      <c r="F214" s="18"/>
      <c r="G214" s="18"/>
      <c r="H214" s="75"/>
      <c r="I214" s="75"/>
      <c r="J214" s="18"/>
      <c r="K214" s="75"/>
      <c r="L214" s="111"/>
      <c r="M214" s="75"/>
      <c r="N214" s="75"/>
      <c r="O214" s="75"/>
      <c r="P214" s="75"/>
      <c r="Q214" s="75"/>
      <c r="R214" s="75"/>
      <c r="S214" s="75"/>
      <c r="T214" s="75"/>
      <c r="U214" s="137"/>
      <c r="V214" s="193"/>
      <c r="W214" s="18"/>
      <c r="X214" s="18"/>
      <c r="Y214" s="114"/>
      <c r="Z214" s="18"/>
      <c r="AA214" s="18"/>
      <c r="AB214" s="18"/>
      <c r="AC214" s="137"/>
      <c r="AD214" s="77"/>
      <c r="AE214" s="18"/>
      <c r="AF214" s="18"/>
      <c r="AG214" s="18"/>
    </row>
    <row r="215" spans="1:33">
      <c r="A215" s="474"/>
      <c r="B215" s="75"/>
      <c r="C215" s="213"/>
      <c r="D215" s="18"/>
      <c r="E215" s="18"/>
      <c r="F215" s="18"/>
      <c r="G215" s="18"/>
      <c r="H215" s="75"/>
      <c r="I215" s="75"/>
      <c r="J215" s="18"/>
      <c r="K215" s="75"/>
      <c r="L215" s="111"/>
      <c r="M215" s="75"/>
      <c r="N215" s="75"/>
      <c r="O215" s="75"/>
      <c r="P215" s="75"/>
      <c r="Q215" s="75"/>
      <c r="R215" s="75"/>
      <c r="S215" s="75"/>
      <c r="T215" s="75"/>
      <c r="U215" s="137"/>
      <c r="V215" s="193"/>
      <c r="W215" s="18"/>
      <c r="X215" s="18"/>
      <c r="Y215" s="114"/>
      <c r="Z215" s="18"/>
      <c r="AA215" s="18"/>
      <c r="AB215" s="18"/>
      <c r="AC215" s="137"/>
      <c r="AD215" s="77"/>
      <c r="AE215" s="18"/>
      <c r="AF215" s="18"/>
      <c r="AG215" s="18"/>
    </row>
  </sheetData>
  <autoFilter xmlns:etc="http://www.wps.cn/officeDocument/2017/etCustomData" ref="A2:AG210" etc:filterBottomFollowUsedRange="0">
    <extLst/>
  </autoFilter>
  <dataValidations count="3">
    <dataValidation type="list" allowBlank="1" showInputMessage="1" showErrorMessage="1" sqref="F3:F89">
      <formula1>'Master Value'!$C$2:$C$79</formula1>
    </dataValidation>
    <dataValidation type="list" allowBlank="1" showInputMessage="1" showErrorMessage="1" sqref="H2:H6">
      <formula1>'Master Value'!$A$2:$A$77</formula1>
    </dataValidation>
    <dataValidation type="list" allowBlank="1" showInputMessage="1" showErrorMessage="1" sqref="O3:O6">
      <formula1>'Master Value'!$B$2:$B$6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Z7702"/>
  <sheetViews>
    <sheetView zoomScale="85" zoomScaleNormal="85" workbookViewId="0">
      <pane ySplit="2" topLeftCell="A3" activePane="bottomLeft" state="frozen"/>
      <selection/>
      <selection pane="bottomLeft" activeCell="AC7604" sqref="AC7604"/>
    </sheetView>
  </sheetViews>
  <sheetFormatPr defaultColWidth="9" defaultRowHeight="14.4"/>
  <cols>
    <col min="1" max="1" width="5.28703703703704" customWidth="1"/>
    <col min="3" max="3" width="14.712962962963" customWidth="1"/>
    <col min="5" max="5" width="17.8518518518519" customWidth="1"/>
    <col min="6" max="6" width="9.13888888888889" customWidth="1"/>
    <col min="7" max="7" width="5.13888888888889" customWidth="1"/>
    <col min="8" max="9" width="11.1388888888889" customWidth="1"/>
    <col min="10" max="10" width="9.13888888888889" customWidth="1"/>
    <col min="11" max="11" width="6.13888888888889" customWidth="1"/>
    <col min="12" max="12" width="7.71296296296296" customWidth="1"/>
    <col min="13" max="13" width="12.4259259259259" customWidth="1"/>
    <col min="14" max="14" width="11.1388888888889" customWidth="1"/>
    <col min="15" max="15" width="12.5740740740741" customWidth="1"/>
    <col min="16" max="16" width="10.4259259259259" customWidth="1"/>
    <col min="17" max="17" width="11.5740740740741" customWidth="1"/>
    <col min="18" max="18" width="10.4259259259259" customWidth="1"/>
    <col min="19" max="19" width="12.4259259259259" customWidth="1"/>
    <col min="20" max="20" width="7.71296296296296" customWidth="1"/>
    <col min="21" max="21" width="13.4259259259259" customWidth="1"/>
    <col min="22" max="23" width="12.5740740740741" customWidth="1"/>
    <col min="24" max="24" width="5" customWidth="1"/>
    <col min="25" max="27" width="12.5740740740741" customWidth="1"/>
    <col min="28" max="28" width="17.8518518518519" customWidth="1"/>
    <col min="29" max="29" width="21.4259259259259" style="27" customWidth="1"/>
    <col min="30" max="30" width="11.1388888888889" customWidth="1"/>
    <col min="31" max="31" width="14.5740740740741" customWidth="1"/>
    <col min="32" max="32" width="27.712962962963" customWidth="1"/>
    <col min="33" max="33" width="11.5740740740741" customWidth="1"/>
    <col min="34" max="34" width="13.287037037037" customWidth="1"/>
    <col min="35" max="35" width="8.28703703703704" customWidth="1"/>
    <col min="36" max="37" width="11.287037037037" customWidth="1"/>
  </cols>
  <sheetData>
    <row r="1" spans="1:52">
      <c r="P1" s="1">
        <f>SUBTOTAL(9,P6:P7873)</f>
        <v>15277</v>
      </c>
      <c r="Q1" s="1">
        <f>SUBTOTAL(9,Q6:Q7873)</f>
        <v>15320</v>
      </c>
      <c r="R1" s="1">
        <f>SUBTOTAL(9,R6:R7873)</f>
        <v>-43</v>
      </c>
    </row>
    <row r="2" s="14" customFormat="1" spans="1:52">
      <c r="A2" s="28"/>
      <c r="B2" s="29" t="s">
        <v>130</v>
      </c>
      <c r="C2" s="30" t="s">
        <v>3</v>
      </c>
      <c r="D2" s="31" t="s">
        <v>4</v>
      </c>
      <c r="E2" s="29" t="s">
        <v>5</v>
      </c>
      <c r="F2" s="29" t="s">
        <v>6</v>
      </c>
      <c r="G2" s="29" t="s">
        <v>7</v>
      </c>
      <c r="H2" s="29" t="s">
        <v>8</v>
      </c>
      <c r="I2" s="29"/>
      <c r="J2" s="29" t="s">
        <v>10</v>
      </c>
      <c r="K2" s="29" t="s">
        <v>11</v>
      </c>
      <c r="L2" s="29" t="s">
        <v>12</v>
      </c>
      <c r="M2" s="29" t="s">
        <v>13</v>
      </c>
      <c r="N2" s="29" t="s">
        <v>14</v>
      </c>
      <c r="O2" s="29" t="s">
        <v>131</v>
      </c>
      <c r="P2" s="29" t="s">
        <v>16</v>
      </c>
      <c r="Q2" s="29" t="s">
        <v>17</v>
      </c>
      <c r="R2" s="32" t="s">
        <v>18</v>
      </c>
      <c r="S2" s="29" t="s">
        <v>19</v>
      </c>
      <c r="T2" s="29" t="s">
        <v>132</v>
      </c>
      <c r="U2" s="33" t="s">
        <v>133</v>
      </c>
      <c r="V2" s="30" t="s">
        <v>22</v>
      </c>
      <c r="W2" s="29" t="s">
        <v>23</v>
      </c>
      <c r="X2" s="29"/>
      <c r="Y2" s="34" t="s">
        <v>25</v>
      </c>
      <c r="Z2" s="29" t="s">
        <v>26</v>
      </c>
      <c r="AA2" s="29" t="s">
        <v>27</v>
      </c>
      <c r="AB2" s="29" t="s">
        <v>134</v>
      </c>
      <c r="AC2" s="32" t="s">
        <v>135</v>
      </c>
      <c r="AD2" s="29" t="s">
        <v>136</v>
      </c>
      <c r="AE2" s="29" t="s">
        <v>31</v>
      </c>
      <c r="AF2" s="29" t="s">
        <v>32</v>
      </c>
      <c r="AG2" s="29" t="s">
        <v>23</v>
      </c>
      <c r="AH2" s="29" t="s">
        <v>26</v>
      </c>
      <c r="AI2" s="28"/>
      <c r="AJ2" s="29" t="s">
        <v>33</v>
      </c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</row>
    <row r="3" s="15" customFormat="1" hidden="1" spans="1:52">
      <c r="A3" s="15" t="s">
        <v>34</v>
      </c>
      <c r="B3" s="35">
        <v>578</v>
      </c>
      <c r="C3" s="36">
        <v>43901</v>
      </c>
      <c r="D3" s="15" t="s">
        <v>137</v>
      </c>
      <c r="E3" s="15" t="s">
        <v>138</v>
      </c>
      <c r="F3" s="37" t="s">
        <v>139</v>
      </c>
      <c r="H3" s="38">
        <v>1.2738</v>
      </c>
      <c r="I3" s="38"/>
      <c r="J3" s="15" t="s">
        <v>140</v>
      </c>
      <c r="K3" s="37">
        <v>2000</v>
      </c>
      <c r="L3" s="39">
        <v>125</v>
      </c>
      <c r="M3" s="38">
        <v>5500</v>
      </c>
      <c r="N3" s="38" t="s">
        <v>66</v>
      </c>
      <c r="O3" s="38" t="s">
        <v>141</v>
      </c>
      <c r="P3" s="38">
        <v>21588</v>
      </c>
      <c r="Q3" s="15">
        <v>9150</v>
      </c>
      <c r="S3" s="15">
        <v>1070</v>
      </c>
      <c r="T3" s="38" t="s">
        <v>94</v>
      </c>
      <c r="U3" s="15">
        <v>45659</v>
      </c>
      <c r="V3" s="40">
        <v>43902</v>
      </c>
      <c r="W3" s="15" t="s">
        <v>44</v>
      </c>
      <c r="Y3" s="41">
        <v>43952</v>
      </c>
      <c r="Z3" s="37" t="s">
        <v>142</v>
      </c>
      <c r="AA3" s="15" t="s">
        <v>46</v>
      </c>
      <c r="AB3" s="15">
        <v>4001380051</v>
      </c>
      <c r="AC3" s="42" t="s">
        <v>143</v>
      </c>
      <c r="AD3" s="43">
        <v>1046</v>
      </c>
      <c r="AE3" s="15" t="s">
        <v>48</v>
      </c>
      <c r="AF3" s="15" t="s">
        <v>144</v>
      </c>
    </row>
    <row r="4" s="15" customFormat="1" hidden="1" spans="1:52">
      <c r="A4" s="15" t="s">
        <v>34</v>
      </c>
      <c r="B4" s="35">
        <v>578</v>
      </c>
      <c r="C4" s="36">
        <v>43901</v>
      </c>
      <c r="D4" s="15" t="s">
        <v>137</v>
      </c>
      <c r="E4" s="15" t="s">
        <v>138</v>
      </c>
      <c r="F4" s="37" t="s">
        <v>139</v>
      </c>
      <c r="H4" s="38">
        <v>1.2738</v>
      </c>
      <c r="I4" s="38"/>
      <c r="J4" s="15" t="s">
        <v>140</v>
      </c>
      <c r="K4" s="37">
        <v>2000</v>
      </c>
      <c r="L4" s="39">
        <v>125</v>
      </c>
      <c r="M4" s="38">
        <v>5500</v>
      </c>
      <c r="N4" s="38" t="s">
        <v>66</v>
      </c>
      <c r="O4" s="38" t="s">
        <v>98</v>
      </c>
      <c r="P4" s="38"/>
      <c r="Q4" s="15">
        <f>6303+6283+6674</f>
        <v>19260</v>
      </c>
      <c r="S4" s="15">
        <v>1070</v>
      </c>
      <c r="T4" s="38" t="s">
        <v>94</v>
      </c>
      <c r="U4" s="15">
        <v>45659</v>
      </c>
      <c r="V4" s="40">
        <v>43902</v>
      </c>
      <c r="W4" s="15" t="s">
        <v>44</v>
      </c>
      <c r="Y4" s="41"/>
      <c r="Z4" s="44"/>
      <c r="AA4" s="15" t="s">
        <v>145</v>
      </c>
      <c r="AB4" s="15">
        <v>4001380334</v>
      </c>
      <c r="AC4" s="42">
        <v>44537</v>
      </c>
      <c r="AD4" s="43">
        <v>1232</v>
      </c>
      <c r="AE4" s="15" t="s">
        <v>48</v>
      </c>
    </row>
    <row r="5" s="15" customFormat="1" hidden="1" spans="1:52">
      <c r="A5" s="15" t="s">
        <v>34</v>
      </c>
      <c r="B5" s="35">
        <v>578</v>
      </c>
      <c r="C5" s="36">
        <v>43901</v>
      </c>
      <c r="D5" s="15" t="s">
        <v>137</v>
      </c>
      <c r="E5" s="15" t="s">
        <v>138</v>
      </c>
      <c r="F5" s="37" t="s">
        <v>139</v>
      </c>
      <c r="H5" s="38">
        <v>1.2738</v>
      </c>
      <c r="I5" s="38"/>
      <c r="J5" s="15" t="s">
        <v>140</v>
      </c>
      <c r="K5" s="37">
        <v>2000</v>
      </c>
      <c r="L5" s="39">
        <v>125</v>
      </c>
      <c r="M5" s="38">
        <v>5500</v>
      </c>
      <c r="N5" s="38" t="s">
        <v>66</v>
      </c>
      <c r="O5" s="38" t="s">
        <v>98</v>
      </c>
      <c r="P5" s="38"/>
      <c r="Q5" s="15">
        <v>6721</v>
      </c>
      <c r="R5" s="15">
        <f>P3-Q3-Q4-Q5</f>
        <v>-13543</v>
      </c>
      <c r="S5" s="15">
        <v>1070</v>
      </c>
      <c r="T5" s="38" t="s">
        <v>94</v>
      </c>
      <c r="U5" s="15">
        <v>45659</v>
      </c>
      <c r="V5" s="42">
        <v>43902</v>
      </c>
      <c r="W5" s="15" t="s">
        <v>44</v>
      </c>
      <c r="Y5" s="41"/>
      <c r="Z5" s="45"/>
      <c r="AA5" s="15" t="s">
        <v>146</v>
      </c>
      <c r="AB5" s="15">
        <v>4001380029</v>
      </c>
      <c r="AC5" s="42">
        <v>44587</v>
      </c>
      <c r="AD5" s="43">
        <v>1242</v>
      </c>
      <c r="AE5" s="15" t="s">
        <v>147</v>
      </c>
    </row>
    <row r="6" s="16" customFormat="1" hidden="1" spans="1:52">
      <c r="A6" s="16" t="s">
        <v>34</v>
      </c>
      <c r="B6" s="46">
        <v>638</v>
      </c>
      <c r="C6" s="47">
        <v>44188</v>
      </c>
      <c r="D6" s="17" t="s">
        <v>35</v>
      </c>
      <c r="E6" s="16" t="s">
        <v>148</v>
      </c>
      <c r="F6" s="16" t="s">
        <v>37</v>
      </c>
      <c r="H6" s="48" t="s">
        <v>55</v>
      </c>
      <c r="I6" s="48"/>
      <c r="J6" s="16" t="s">
        <v>82</v>
      </c>
      <c r="K6" s="16">
        <v>560</v>
      </c>
      <c r="L6" s="48">
        <v>260</v>
      </c>
      <c r="N6" s="16" t="s">
        <v>40</v>
      </c>
      <c r="O6" s="46" t="s">
        <v>149</v>
      </c>
      <c r="P6" s="46">
        <v>6000</v>
      </c>
      <c r="Q6" s="16">
        <f>2648+2576</f>
        <v>5224</v>
      </c>
      <c r="R6" s="16">
        <f t="shared" ref="R6:R15" si="0">P6-Q6</f>
        <v>776</v>
      </c>
      <c r="S6" s="16">
        <v>3800</v>
      </c>
      <c r="T6" s="46" t="s">
        <v>42</v>
      </c>
      <c r="U6" s="16" t="s">
        <v>150</v>
      </c>
      <c r="V6" s="49">
        <v>44209</v>
      </c>
      <c r="W6" s="16" t="s">
        <v>44</v>
      </c>
      <c r="Y6" s="50">
        <v>44348</v>
      </c>
      <c r="Z6" s="16" t="s">
        <v>151</v>
      </c>
      <c r="AA6" s="16" t="s">
        <v>46</v>
      </c>
      <c r="AB6" s="16" t="s">
        <v>152</v>
      </c>
      <c r="AC6" s="47">
        <v>44490</v>
      </c>
      <c r="AD6" s="48">
        <v>1214</v>
      </c>
      <c r="AE6" s="16" t="s">
        <v>48</v>
      </c>
    </row>
    <row r="7" s="16" customFormat="1" hidden="1" spans="1:52">
      <c r="A7" s="16" t="s">
        <v>34</v>
      </c>
      <c r="B7" s="46">
        <v>638</v>
      </c>
      <c r="C7" s="47">
        <v>44188</v>
      </c>
      <c r="D7" s="17" t="s">
        <v>35</v>
      </c>
      <c r="E7" s="16" t="s">
        <v>148</v>
      </c>
      <c r="F7" s="16" t="s">
        <v>37</v>
      </c>
      <c r="H7" s="48" t="s">
        <v>55</v>
      </c>
      <c r="I7" s="48"/>
      <c r="J7" s="16" t="s">
        <v>82</v>
      </c>
      <c r="K7" s="16">
        <v>610</v>
      </c>
      <c r="L7" s="48">
        <v>210</v>
      </c>
      <c r="N7" s="16" t="s">
        <v>40</v>
      </c>
      <c r="O7" s="46" t="s">
        <v>149</v>
      </c>
      <c r="P7" s="51">
        <v>45775</v>
      </c>
      <c r="Q7" s="16">
        <f>2470+2476</f>
        <v>4946</v>
      </c>
      <c r="R7" s="16">
        <f t="shared" si="0"/>
        <v>40829</v>
      </c>
      <c r="S7" s="16">
        <v>3800</v>
      </c>
      <c r="T7" s="46" t="s">
        <v>42</v>
      </c>
      <c r="U7" s="16" t="s">
        <v>150</v>
      </c>
      <c r="V7" s="49">
        <v>44209</v>
      </c>
      <c r="W7" s="16" t="s">
        <v>44</v>
      </c>
      <c r="Y7" s="50">
        <v>44348</v>
      </c>
      <c r="Z7" s="16" t="s">
        <v>151</v>
      </c>
      <c r="AA7" s="16" t="s">
        <v>46</v>
      </c>
      <c r="AB7" s="16" t="s">
        <v>152</v>
      </c>
      <c r="AC7" s="47">
        <v>44490</v>
      </c>
      <c r="AD7" s="48">
        <v>1214</v>
      </c>
      <c r="AE7" s="16" t="s">
        <v>48</v>
      </c>
    </row>
    <row r="8" s="16" customFormat="1" hidden="1" spans="1:52">
      <c r="A8" s="16" t="s">
        <v>34</v>
      </c>
      <c r="B8" s="46">
        <v>638</v>
      </c>
      <c r="C8" s="47">
        <v>44188</v>
      </c>
      <c r="D8" s="17" t="s">
        <v>35</v>
      </c>
      <c r="E8" s="16" t="s">
        <v>148</v>
      </c>
      <c r="F8" s="16" t="s">
        <v>37</v>
      </c>
      <c r="H8" s="48" t="s">
        <v>55</v>
      </c>
      <c r="I8" s="48"/>
      <c r="J8" s="16" t="s">
        <v>82</v>
      </c>
      <c r="K8" s="16">
        <v>610</v>
      </c>
      <c r="L8" s="48">
        <v>260</v>
      </c>
      <c r="N8" s="16" t="s">
        <v>40</v>
      </c>
      <c r="O8" s="46" t="s">
        <v>149</v>
      </c>
      <c r="P8" s="46">
        <v>6000</v>
      </c>
      <c r="Q8" s="16">
        <v>5266</v>
      </c>
      <c r="R8" s="16">
        <f t="shared" si="0"/>
        <v>734</v>
      </c>
      <c r="S8" s="16">
        <f>3700+100</f>
        <v>3800</v>
      </c>
      <c r="T8" s="46" t="s">
        <v>42</v>
      </c>
      <c r="U8" s="16" t="s">
        <v>150</v>
      </c>
      <c r="V8" s="49">
        <v>44209</v>
      </c>
      <c r="W8" s="16" t="s">
        <v>44</v>
      </c>
      <c r="Y8" s="50">
        <v>44348</v>
      </c>
      <c r="Z8" s="16" t="s">
        <v>151</v>
      </c>
      <c r="AA8" s="16" t="s">
        <v>46</v>
      </c>
      <c r="AB8" s="16" t="s">
        <v>153</v>
      </c>
      <c r="AC8" s="47">
        <v>44538</v>
      </c>
      <c r="AD8" s="48">
        <v>1238</v>
      </c>
      <c r="AE8" s="16" t="s">
        <v>48</v>
      </c>
    </row>
    <row r="9" s="16" customFormat="1" hidden="1" spans="1:52">
      <c r="A9" s="16" t="s">
        <v>34</v>
      </c>
      <c r="B9" s="46">
        <v>638</v>
      </c>
      <c r="C9" s="47">
        <v>44188</v>
      </c>
      <c r="D9" s="17" t="s">
        <v>35</v>
      </c>
      <c r="E9" s="16" t="s">
        <v>148</v>
      </c>
      <c r="F9" s="16" t="s">
        <v>37</v>
      </c>
      <c r="H9" s="48" t="s">
        <v>55</v>
      </c>
      <c r="I9" s="48"/>
      <c r="J9" s="16" t="s">
        <v>82</v>
      </c>
      <c r="K9" s="16">
        <v>610</v>
      </c>
      <c r="L9" s="48">
        <v>310</v>
      </c>
      <c r="N9" s="16" t="s">
        <v>40</v>
      </c>
      <c r="O9" s="46" t="s">
        <v>149</v>
      </c>
      <c r="P9" s="46">
        <v>6000</v>
      </c>
      <c r="Q9" s="16">
        <v>5644</v>
      </c>
      <c r="R9" s="16">
        <f t="shared" si="0"/>
        <v>356</v>
      </c>
      <c r="S9" s="16">
        <f>3700+100</f>
        <v>3800</v>
      </c>
      <c r="T9" s="46" t="s">
        <v>42</v>
      </c>
      <c r="U9" s="16" t="s">
        <v>150</v>
      </c>
      <c r="V9" s="49">
        <v>44209</v>
      </c>
      <c r="W9" s="16" t="s">
        <v>44</v>
      </c>
      <c r="Y9" s="50">
        <v>44348</v>
      </c>
      <c r="Z9" s="16" t="s">
        <v>151</v>
      </c>
      <c r="AA9" s="16" t="s">
        <v>46</v>
      </c>
      <c r="AB9" s="16" t="s">
        <v>153</v>
      </c>
      <c r="AC9" s="47">
        <v>44538</v>
      </c>
      <c r="AD9" s="48">
        <v>1238</v>
      </c>
      <c r="AE9" s="16" t="s">
        <v>48</v>
      </c>
    </row>
    <row r="10" s="16" customFormat="1" hidden="1" spans="1:52">
      <c r="A10" s="16" t="s">
        <v>34</v>
      </c>
      <c r="B10" s="46">
        <v>644</v>
      </c>
      <c r="C10" s="47">
        <v>44214</v>
      </c>
      <c r="D10" s="17" t="s">
        <v>35</v>
      </c>
      <c r="E10" s="16" t="s">
        <v>148</v>
      </c>
      <c r="F10" s="16" t="s">
        <v>37</v>
      </c>
      <c r="H10" s="48">
        <v>1.2344</v>
      </c>
      <c r="I10" s="48"/>
      <c r="J10" s="16" t="s">
        <v>39</v>
      </c>
      <c r="K10" s="16">
        <v>26</v>
      </c>
      <c r="L10" s="48"/>
      <c r="N10" s="16" t="s">
        <v>40</v>
      </c>
      <c r="O10" s="46" t="s">
        <v>141</v>
      </c>
      <c r="P10" s="46">
        <v>1000</v>
      </c>
      <c r="Q10" s="16">
        <v>930</v>
      </c>
      <c r="R10" s="16">
        <f t="shared" si="0"/>
        <v>70</v>
      </c>
      <c r="S10" s="16">
        <v>2950</v>
      </c>
      <c r="T10" s="46" t="s">
        <v>42</v>
      </c>
      <c r="U10" s="16" t="s">
        <v>154</v>
      </c>
      <c r="V10" s="49">
        <v>44230</v>
      </c>
      <c r="W10" s="16" t="s">
        <v>44</v>
      </c>
      <c r="Y10" s="50">
        <v>44378</v>
      </c>
      <c r="Z10" s="16" t="s">
        <v>151</v>
      </c>
      <c r="AA10" s="16" t="s">
        <v>46</v>
      </c>
      <c r="AB10" s="16" t="s">
        <v>153</v>
      </c>
      <c r="AC10" s="47">
        <v>44538</v>
      </c>
      <c r="AD10" s="48">
        <v>1238</v>
      </c>
      <c r="AE10" s="16" t="s">
        <v>48</v>
      </c>
    </row>
    <row r="11" s="16" customFormat="1" hidden="1" spans="1:52">
      <c r="A11" s="16" t="s">
        <v>34</v>
      </c>
      <c r="B11" s="46">
        <v>644</v>
      </c>
      <c r="C11" s="47">
        <v>44214</v>
      </c>
      <c r="D11" s="17" t="s">
        <v>35</v>
      </c>
      <c r="E11" s="16" t="s">
        <v>148</v>
      </c>
      <c r="F11" s="16" t="s">
        <v>37</v>
      </c>
      <c r="H11" s="48">
        <v>1.2344</v>
      </c>
      <c r="I11" s="48"/>
      <c r="J11" s="16" t="s">
        <v>39</v>
      </c>
      <c r="K11" s="16">
        <v>32</v>
      </c>
      <c r="L11" s="48"/>
      <c r="N11" s="16" t="s">
        <v>40</v>
      </c>
      <c r="O11" s="46" t="s">
        <v>141</v>
      </c>
      <c r="P11" s="46">
        <v>1000</v>
      </c>
      <c r="Q11" s="16">
        <v>960</v>
      </c>
      <c r="R11" s="16">
        <f t="shared" si="0"/>
        <v>40</v>
      </c>
      <c r="S11" s="16">
        <v>2950</v>
      </c>
      <c r="T11" s="46" t="s">
        <v>42</v>
      </c>
      <c r="U11" s="16" t="s">
        <v>154</v>
      </c>
      <c r="V11" s="49">
        <v>44230</v>
      </c>
      <c r="W11" s="16" t="s">
        <v>44</v>
      </c>
      <c r="Y11" s="50">
        <v>44378</v>
      </c>
      <c r="Z11" s="16" t="s">
        <v>151</v>
      </c>
      <c r="AA11" s="16" t="s">
        <v>46</v>
      </c>
      <c r="AB11" s="16" t="s">
        <v>152</v>
      </c>
      <c r="AC11" s="47">
        <v>44490</v>
      </c>
      <c r="AD11" s="48">
        <v>1214</v>
      </c>
      <c r="AE11" s="16" t="s">
        <v>48</v>
      </c>
    </row>
    <row r="12" s="16" customFormat="1" hidden="1" spans="1:52">
      <c r="A12" s="16" t="s">
        <v>34</v>
      </c>
      <c r="B12" s="46">
        <v>644</v>
      </c>
      <c r="C12" s="47">
        <v>44214</v>
      </c>
      <c r="D12" s="17" t="s">
        <v>35</v>
      </c>
      <c r="E12" s="16" t="s">
        <v>148</v>
      </c>
      <c r="F12" s="16" t="s">
        <v>37</v>
      </c>
      <c r="H12" s="48">
        <v>1.2344</v>
      </c>
      <c r="I12" s="48"/>
      <c r="J12" s="16" t="s">
        <v>39</v>
      </c>
      <c r="K12" s="16">
        <v>36</v>
      </c>
      <c r="L12" s="48"/>
      <c r="N12" s="16" t="s">
        <v>40</v>
      </c>
      <c r="O12" s="46" t="s">
        <v>141</v>
      </c>
      <c r="P12" s="46">
        <v>1000</v>
      </c>
      <c r="Q12" s="16">
        <v>900</v>
      </c>
      <c r="R12" s="16">
        <f t="shared" si="0"/>
        <v>100</v>
      </c>
      <c r="S12" s="16">
        <v>2950</v>
      </c>
      <c r="T12" s="46" t="s">
        <v>42</v>
      </c>
      <c r="U12" s="16" t="s">
        <v>154</v>
      </c>
      <c r="V12" s="49">
        <v>44230</v>
      </c>
      <c r="W12" s="16" t="s">
        <v>44</v>
      </c>
      <c r="Y12" s="50">
        <v>44378</v>
      </c>
      <c r="Z12" s="16" t="s">
        <v>151</v>
      </c>
      <c r="AA12" s="16" t="s">
        <v>46</v>
      </c>
      <c r="AB12" s="16" t="s">
        <v>152</v>
      </c>
      <c r="AC12" s="47">
        <v>44490</v>
      </c>
      <c r="AD12" s="48">
        <v>1214</v>
      </c>
      <c r="AE12" s="16" t="s">
        <v>48</v>
      </c>
    </row>
    <row r="13" s="16" customFormat="1" hidden="1" spans="1:52">
      <c r="A13" s="16" t="s">
        <v>34</v>
      </c>
      <c r="B13" s="46">
        <v>644</v>
      </c>
      <c r="C13" s="47">
        <v>44214</v>
      </c>
      <c r="D13" s="17" t="s">
        <v>35</v>
      </c>
      <c r="E13" s="16" t="s">
        <v>148</v>
      </c>
      <c r="F13" s="16" t="s">
        <v>37</v>
      </c>
      <c r="H13" s="48">
        <v>1.2344</v>
      </c>
      <c r="I13" s="48"/>
      <c r="J13" s="16" t="s">
        <v>39</v>
      </c>
      <c r="K13" s="16">
        <v>42</v>
      </c>
      <c r="L13" s="48"/>
      <c r="N13" s="16" t="s">
        <v>40</v>
      </c>
      <c r="O13" s="46" t="s">
        <v>141</v>
      </c>
      <c r="P13" s="46">
        <v>1000</v>
      </c>
      <c r="Q13" s="16">
        <v>862</v>
      </c>
      <c r="R13" s="16">
        <f t="shared" si="0"/>
        <v>138</v>
      </c>
      <c r="S13" s="16">
        <v>2850</v>
      </c>
      <c r="T13" s="46" t="s">
        <v>42</v>
      </c>
      <c r="U13" s="16" t="s">
        <v>154</v>
      </c>
      <c r="V13" s="49">
        <v>44230</v>
      </c>
      <c r="W13" s="16" t="s">
        <v>44</v>
      </c>
      <c r="Y13" s="50">
        <v>44378</v>
      </c>
      <c r="Z13" s="16" t="s">
        <v>151</v>
      </c>
      <c r="AA13" s="16" t="s">
        <v>46</v>
      </c>
      <c r="AB13" s="16" t="s">
        <v>153</v>
      </c>
      <c r="AC13" s="47">
        <v>44538</v>
      </c>
      <c r="AD13" s="48">
        <v>1238</v>
      </c>
      <c r="AE13" s="16" t="s">
        <v>48</v>
      </c>
    </row>
    <row r="14" s="16" customFormat="1" hidden="1" spans="1:52">
      <c r="A14" s="16" t="s">
        <v>34</v>
      </c>
      <c r="B14" s="46">
        <v>644</v>
      </c>
      <c r="C14" s="47">
        <v>44214</v>
      </c>
      <c r="D14" s="17" t="s">
        <v>35</v>
      </c>
      <c r="E14" s="16" t="s">
        <v>148</v>
      </c>
      <c r="F14" s="16" t="s">
        <v>37</v>
      </c>
      <c r="H14" s="48">
        <v>1.2344</v>
      </c>
      <c r="I14" s="48"/>
      <c r="J14" s="16" t="s">
        <v>39</v>
      </c>
      <c r="K14" s="16">
        <v>85</v>
      </c>
      <c r="L14" s="48"/>
      <c r="N14" s="16" t="s">
        <v>40</v>
      </c>
      <c r="O14" s="46" t="s">
        <v>141</v>
      </c>
      <c r="P14" s="46">
        <v>1000</v>
      </c>
      <c r="Q14" s="16">
        <v>907</v>
      </c>
      <c r="R14" s="16">
        <f t="shared" si="0"/>
        <v>93</v>
      </c>
      <c r="S14" s="16">
        <v>2850</v>
      </c>
      <c r="T14" s="46" t="s">
        <v>42</v>
      </c>
      <c r="U14" s="16" t="s">
        <v>154</v>
      </c>
      <c r="V14" s="49">
        <v>44230</v>
      </c>
      <c r="W14" s="16" t="s">
        <v>44</v>
      </c>
      <c r="Y14" s="50">
        <v>44378</v>
      </c>
      <c r="Z14" s="16" t="s">
        <v>151</v>
      </c>
      <c r="AA14" s="16" t="s">
        <v>46</v>
      </c>
      <c r="AB14" s="16" t="s">
        <v>152</v>
      </c>
      <c r="AC14" s="47">
        <v>44490</v>
      </c>
      <c r="AD14" s="48">
        <v>1214</v>
      </c>
      <c r="AE14" s="16" t="s">
        <v>48</v>
      </c>
    </row>
    <row r="15" s="16" customFormat="1" hidden="1" spans="1:52">
      <c r="A15" s="16" t="s">
        <v>34</v>
      </c>
      <c r="B15" s="46">
        <v>644</v>
      </c>
      <c r="C15" s="47">
        <v>44214</v>
      </c>
      <c r="D15" s="17" t="s">
        <v>35</v>
      </c>
      <c r="E15" s="16" t="s">
        <v>148</v>
      </c>
      <c r="F15" s="16" t="s">
        <v>37</v>
      </c>
      <c r="H15" s="48">
        <v>1.2344</v>
      </c>
      <c r="I15" s="48"/>
      <c r="J15" s="16" t="s">
        <v>39</v>
      </c>
      <c r="K15" s="16">
        <v>95</v>
      </c>
      <c r="L15" s="48"/>
      <c r="N15" s="16" t="s">
        <v>40</v>
      </c>
      <c r="O15" s="46" t="s">
        <v>141</v>
      </c>
      <c r="P15" s="46">
        <v>1000</v>
      </c>
      <c r="Q15" s="16">
        <v>944</v>
      </c>
      <c r="R15" s="16">
        <f t="shared" si="0"/>
        <v>56</v>
      </c>
      <c r="S15" s="16">
        <v>2850</v>
      </c>
      <c r="T15" s="46" t="s">
        <v>42</v>
      </c>
      <c r="U15" s="16" t="s">
        <v>154</v>
      </c>
      <c r="V15" s="49">
        <v>44230</v>
      </c>
      <c r="W15" s="16" t="s">
        <v>44</v>
      </c>
      <c r="Y15" s="50">
        <v>44378</v>
      </c>
      <c r="Z15" s="16" t="s">
        <v>151</v>
      </c>
      <c r="AA15" s="16" t="s">
        <v>46</v>
      </c>
      <c r="AB15" s="16" t="s">
        <v>152</v>
      </c>
      <c r="AC15" s="47">
        <v>44490</v>
      </c>
      <c r="AD15" s="48">
        <v>1214</v>
      </c>
      <c r="AE15" s="16" t="s">
        <v>48</v>
      </c>
    </row>
    <row r="16" s="16" customFormat="1" hidden="1" spans="1:52">
      <c r="A16" s="16" t="s">
        <v>34</v>
      </c>
      <c r="B16" s="46">
        <v>644</v>
      </c>
      <c r="C16" s="47">
        <v>44214</v>
      </c>
      <c r="D16" s="17" t="s">
        <v>35</v>
      </c>
      <c r="E16" s="16" t="s">
        <v>148</v>
      </c>
      <c r="F16" s="16" t="s">
        <v>37</v>
      </c>
      <c r="H16" s="48">
        <v>1.2344</v>
      </c>
      <c r="I16" s="48"/>
      <c r="J16" s="16" t="s">
        <v>39</v>
      </c>
      <c r="K16" s="16">
        <v>132</v>
      </c>
      <c r="L16" s="48"/>
      <c r="N16" s="16" t="s">
        <v>40</v>
      </c>
      <c r="O16" s="46" t="s">
        <v>84</v>
      </c>
      <c r="P16" s="46">
        <v>4000</v>
      </c>
      <c r="Q16" s="16">
        <v>1840</v>
      </c>
      <c r="S16" s="16">
        <v>2850</v>
      </c>
      <c r="T16" s="46" t="s">
        <v>42</v>
      </c>
      <c r="U16" s="16" t="s">
        <v>154</v>
      </c>
      <c r="V16" s="49">
        <v>44230</v>
      </c>
      <c r="W16" s="16" t="s">
        <v>44</v>
      </c>
      <c r="Y16" s="50">
        <v>44378</v>
      </c>
      <c r="Z16" s="16" t="s">
        <v>151</v>
      </c>
      <c r="AA16" s="16" t="s">
        <v>46</v>
      </c>
      <c r="AB16" s="16" t="s">
        <v>152</v>
      </c>
      <c r="AC16" s="47">
        <v>44490</v>
      </c>
      <c r="AD16" s="48">
        <v>1214</v>
      </c>
      <c r="AE16" s="16" t="s">
        <v>48</v>
      </c>
    </row>
    <row r="17" s="16" customFormat="1" hidden="1" spans="1:31">
      <c r="A17" s="16" t="s">
        <v>34</v>
      </c>
      <c r="B17" s="46">
        <v>644</v>
      </c>
      <c r="C17" s="47">
        <v>44214</v>
      </c>
      <c r="D17" s="17" t="s">
        <v>35</v>
      </c>
      <c r="E17" s="16" t="s">
        <v>148</v>
      </c>
      <c r="F17" s="16" t="s">
        <v>37</v>
      </c>
      <c r="H17" s="48">
        <v>1.2344</v>
      </c>
      <c r="I17" s="48"/>
      <c r="J17" s="16" t="s">
        <v>39</v>
      </c>
      <c r="K17" s="16">
        <v>132</v>
      </c>
      <c r="L17" s="48"/>
      <c r="N17" s="16" t="s">
        <v>40</v>
      </c>
      <c r="O17" s="46" t="s">
        <v>84</v>
      </c>
      <c r="P17" s="46"/>
      <c r="Q17" s="16">
        <v>1840</v>
      </c>
      <c r="R17" s="16">
        <f>P16-Q16-Q17</f>
        <v>320</v>
      </c>
      <c r="S17" s="16">
        <v>2850</v>
      </c>
      <c r="T17" s="46" t="s">
        <v>42</v>
      </c>
      <c r="U17" s="16" t="s">
        <v>154</v>
      </c>
      <c r="V17" s="49">
        <v>44230</v>
      </c>
      <c r="W17" s="16" t="s">
        <v>44</v>
      </c>
      <c r="Y17" s="50">
        <v>44378</v>
      </c>
      <c r="Z17" s="16" t="s">
        <v>151</v>
      </c>
      <c r="AA17" s="16" t="s">
        <v>46</v>
      </c>
      <c r="AB17" s="16" t="s">
        <v>153</v>
      </c>
      <c r="AC17" s="47">
        <v>44538</v>
      </c>
      <c r="AD17" s="48">
        <v>1238</v>
      </c>
      <c r="AE17" s="16" t="s">
        <v>48</v>
      </c>
    </row>
    <row r="18" s="16" customFormat="1" hidden="1" spans="1:31">
      <c r="A18" s="16" t="s">
        <v>34</v>
      </c>
      <c r="B18" s="46">
        <v>644</v>
      </c>
      <c r="C18" s="47">
        <v>44214</v>
      </c>
      <c r="D18" s="17" t="s">
        <v>35</v>
      </c>
      <c r="E18" s="16" t="s">
        <v>148</v>
      </c>
      <c r="F18" s="16" t="s">
        <v>37</v>
      </c>
      <c r="H18" s="48">
        <v>1.2344</v>
      </c>
      <c r="I18" s="48"/>
      <c r="J18" s="16" t="s">
        <v>39</v>
      </c>
      <c r="K18" s="16">
        <v>162</v>
      </c>
      <c r="L18" s="48"/>
      <c r="N18" s="16" t="s">
        <v>40</v>
      </c>
      <c r="O18" s="46" t="s">
        <v>84</v>
      </c>
      <c r="P18" s="46">
        <v>4000</v>
      </c>
      <c r="Q18" s="16">
        <f>1320+1318+1322</f>
        <v>3960</v>
      </c>
      <c r="R18" s="16">
        <f>P18-Q18</f>
        <v>40</v>
      </c>
      <c r="S18" s="16">
        <v>3200</v>
      </c>
      <c r="T18" s="46" t="s">
        <v>42</v>
      </c>
      <c r="U18" s="16" t="s">
        <v>154</v>
      </c>
      <c r="V18" s="49">
        <v>44230</v>
      </c>
      <c r="W18" s="16" t="s">
        <v>44</v>
      </c>
      <c r="Y18" s="50">
        <v>44378</v>
      </c>
      <c r="Z18" s="16" t="s">
        <v>151</v>
      </c>
      <c r="AA18" s="16" t="s">
        <v>46</v>
      </c>
      <c r="AB18" s="16" t="s">
        <v>152</v>
      </c>
      <c r="AC18" s="47">
        <v>44490</v>
      </c>
      <c r="AD18" s="48">
        <v>1214</v>
      </c>
      <c r="AE18" s="16" t="s">
        <v>48</v>
      </c>
    </row>
    <row r="19" s="16" customFormat="1" ht="15" hidden="1" customHeight="1" spans="1:31">
      <c r="A19" s="16" t="s">
        <v>34</v>
      </c>
      <c r="B19" s="46">
        <v>644</v>
      </c>
      <c r="C19" s="47">
        <v>44214</v>
      </c>
      <c r="D19" s="17" t="s">
        <v>35</v>
      </c>
      <c r="E19" s="16" t="s">
        <v>148</v>
      </c>
      <c r="F19" s="16" t="s">
        <v>37</v>
      </c>
      <c r="H19" s="48">
        <v>1.2344</v>
      </c>
      <c r="I19" s="48"/>
      <c r="J19" s="16" t="s">
        <v>39</v>
      </c>
      <c r="K19" s="16">
        <v>192</v>
      </c>
      <c r="L19" s="48"/>
      <c r="N19" s="16" t="s">
        <v>40</v>
      </c>
      <c r="O19" s="46" t="s">
        <v>84</v>
      </c>
      <c r="P19" s="46">
        <v>4000</v>
      </c>
      <c r="Q19" s="16">
        <v>922</v>
      </c>
      <c r="S19" s="16">
        <v>3200</v>
      </c>
      <c r="T19" s="46" t="s">
        <v>42</v>
      </c>
      <c r="U19" s="16" t="s">
        <v>154</v>
      </c>
      <c r="V19" s="49">
        <v>44230</v>
      </c>
      <c r="W19" s="16" t="s">
        <v>44</v>
      </c>
      <c r="Y19" s="50">
        <v>44378</v>
      </c>
      <c r="Z19" s="16" t="s">
        <v>151</v>
      </c>
      <c r="AA19" s="16" t="s">
        <v>46</v>
      </c>
      <c r="AB19" s="16" t="s">
        <v>152</v>
      </c>
      <c r="AC19" s="47">
        <v>44490</v>
      </c>
      <c r="AD19" s="48">
        <v>1214</v>
      </c>
      <c r="AE19" s="16" t="s">
        <v>48</v>
      </c>
    </row>
    <row r="20" s="16" customFormat="1" ht="15" hidden="1" customHeight="1" spans="1:31">
      <c r="A20" s="16" t="s">
        <v>34</v>
      </c>
      <c r="B20" s="46">
        <v>644</v>
      </c>
      <c r="C20" s="47">
        <v>44214</v>
      </c>
      <c r="D20" s="17" t="s">
        <v>35</v>
      </c>
      <c r="E20" s="16" t="s">
        <v>148</v>
      </c>
      <c r="F20" s="16" t="s">
        <v>37</v>
      </c>
      <c r="H20" s="48">
        <v>1.2344</v>
      </c>
      <c r="I20" s="48"/>
      <c r="J20" s="16" t="s">
        <v>39</v>
      </c>
      <c r="K20" s="16">
        <v>192</v>
      </c>
      <c r="L20" s="48"/>
      <c r="N20" s="16" t="s">
        <v>40</v>
      </c>
      <c r="O20" s="46" t="s">
        <v>84</v>
      </c>
      <c r="P20" s="46"/>
      <c r="Q20" s="16">
        <v>3767</v>
      </c>
      <c r="R20" s="16">
        <f>P19-Q19-Q20</f>
        <v>-689</v>
      </c>
      <c r="S20" s="16">
        <v>3200</v>
      </c>
      <c r="T20" s="46" t="s">
        <v>42</v>
      </c>
      <c r="U20" s="16" t="s">
        <v>154</v>
      </c>
      <c r="V20" s="49">
        <v>44230</v>
      </c>
      <c r="W20" s="16" t="s">
        <v>44</v>
      </c>
      <c r="Y20" s="50">
        <v>44378</v>
      </c>
      <c r="Z20" s="16" t="s">
        <v>151</v>
      </c>
      <c r="AA20" s="16" t="s">
        <v>46</v>
      </c>
      <c r="AB20" s="16" t="s">
        <v>153</v>
      </c>
      <c r="AC20" s="47">
        <v>44538</v>
      </c>
      <c r="AD20" s="48">
        <v>1238</v>
      </c>
      <c r="AE20" s="16" t="s">
        <v>48</v>
      </c>
    </row>
    <row r="21" s="16" customFormat="1" ht="15" hidden="1" customHeight="1" spans="1:31">
      <c r="A21" s="16" t="s">
        <v>34</v>
      </c>
      <c r="B21" s="46">
        <v>644</v>
      </c>
      <c r="C21" s="47">
        <v>44214</v>
      </c>
      <c r="D21" s="17" t="s">
        <v>35</v>
      </c>
      <c r="E21" s="16" t="s">
        <v>148</v>
      </c>
      <c r="F21" s="16" t="s">
        <v>37</v>
      </c>
      <c r="H21" s="48">
        <v>1.2344</v>
      </c>
      <c r="I21" s="48"/>
      <c r="J21" s="16" t="s">
        <v>39</v>
      </c>
      <c r="K21" s="16">
        <v>212</v>
      </c>
      <c r="L21" s="48"/>
      <c r="N21" s="16" t="s">
        <v>40</v>
      </c>
      <c r="O21" s="46" t="s">
        <v>84</v>
      </c>
      <c r="P21" s="46">
        <v>2000</v>
      </c>
      <c r="Q21" s="16">
        <f>882+888</f>
        <v>1770</v>
      </c>
      <c r="R21" s="16">
        <f t="shared" ref="R21:R32" si="1">P21-Q21</f>
        <v>230</v>
      </c>
      <c r="S21" s="16">
        <v>3200</v>
      </c>
      <c r="T21" s="46" t="s">
        <v>42</v>
      </c>
      <c r="U21" s="16" t="s">
        <v>154</v>
      </c>
      <c r="V21" s="49">
        <v>44230</v>
      </c>
      <c r="W21" s="16" t="s">
        <v>44</v>
      </c>
      <c r="Y21" s="50">
        <v>44378</v>
      </c>
      <c r="Z21" s="16" t="s">
        <v>151</v>
      </c>
      <c r="AA21" s="16" t="s">
        <v>46</v>
      </c>
      <c r="AB21" s="16" t="s">
        <v>152</v>
      </c>
      <c r="AC21" s="47">
        <v>44490</v>
      </c>
      <c r="AD21" s="48">
        <v>1214</v>
      </c>
      <c r="AE21" s="16" t="s">
        <v>48</v>
      </c>
    </row>
    <row r="22" s="16" customFormat="1" ht="15" hidden="1" customHeight="1" spans="1:31">
      <c r="A22" s="16" t="s">
        <v>34</v>
      </c>
      <c r="B22" s="46">
        <v>644</v>
      </c>
      <c r="C22" s="47">
        <v>44214</v>
      </c>
      <c r="D22" s="17" t="s">
        <v>35</v>
      </c>
      <c r="E22" s="16" t="s">
        <v>148</v>
      </c>
      <c r="F22" s="16" t="s">
        <v>37</v>
      </c>
      <c r="H22" s="48">
        <v>1.2344</v>
      </c>
      <c r="I22" s="48"/>
      <c r="J22" s="16" t="s">
        <v>39</v>
      </c>
      <c r="K22" s="16">
        <v>222</v>
      </c>
      <c r="L22" s="48"/>
      <c r="N22" s="16" t="s">
        <v>40</v>
      </c>
      <c r="O22" s="46" t="s">
        <v>84</v>
      </c>
      <c r="P22" s="46">
        <v>2000</v>
      </c>
      <c r="Q22" s="16">
        <f>855+885</f>
        <v>1740</v>
      </c>
      <c r="R22" s="16">
        <f t="shared" si="1"/>
        <v>260</v>
      </c>
      <c r="S22" s="16">
        <v>3200</v>
      </c>
      <c r="T22" s="46" t="s">
        <v>42</v>
      </c>
      <c r="U22" s="16" t="s">
        <v>154</v>
      </c>
      <c r="V22" s="49">
        <v>44230</v>
      </c>
      <c r="W22" s="16" t="s">
        <v>44</v>
      </c>
      <c r="Y22" s="50">
        <v>44378</v>
      </c>
      <c r="Z22" s="16" t="s">
        <v>151</v>
      </c>
      <c r="AA22" s="16" t="s">
        <v>46</v>
      </c>
      <c r="AB22" s="16" t="s">
        <v>152</v>
      </c>
      <c r="AC22" s="47">
        <v>44490</v>
      </c>
      <c r="AD22" s="48">
        <v>1214</v>
      </c>
      <c r="AE22" s="16" t="s">
        <v>48</v>
      </c>
    </row>
    <row r="23" s="16" customFormat="1" ht="15" hidden="1" customHeight="1" spans="1:31">
      <c r="A23" s="16" t="s">
        <v>155</v>
      </c>
      <c r="B23" s="46">
        <v>652</v>
      </c>
      <c r="C23" s="47">
        <v>44242</v>
      </c>
      <c r="D23" s="17" t="s">
        <v>35</v>
      </c>
      <c r="E23" s="16" t="s">
        <v>148</v>
      </c>
      <c r="F23" s="16" t="s">
        <v>96</v>
      </c>
      <c r="H23" s="16" t="s">
        <v>97</v>
      </c>
      <c r="J23" s="16" t="s">
        <v>82</v>
      </c>
      <c r="K23" s="52">
        <v>520</v>
      </c>
      <c r="L23" s="53">
        <v>65</v>
      </c>
      <c r="N23" s="16" t="s">
        <v>40</v>
      </c>
      <c r="O23" s="16" t="s">
        <v>156</v>
      </c>
      <c r="P23" s="54">
        <v>929</v>
      </c>
      <c r="Q23" s="55">
        <v>913</v>
      </c>
      <c r="R23" s="16">
        <f t="shared" si="1"/>
        <v>16</v>
      </c>
      <c r="S23" s="56">
        <v>287.5</v>
      </c>
      <c r="T23" s="46" t="s">
        <v>99</v>
      </c>
      <c r="U23" s="16" t="s">
        <v>157</v>
      </c>
      <c r="V23" s="49">
        <v>44249</v>
      </c>
      <c r="W23" s="16" t="s">
        <v>44</v>
      </c>
      <c r="Y23" s="50">
        <v>44409</v>
      </c>
      <c r="Z23" s="16" t="s">
        <v>151</v>
      </c>
      <c r="AA23" s="16" t="s">
        <v>46</v>
      </c>
      <c r="AB23" s="16" t="s">
        <v>158</v>
      </c>
      <c r="AC23" s="47">
        <v>44447</v>
      </c>
      <c r="AD23" s="16">
        <v>1199</v>
      </c>
      <c r="AE23" s="16" t="s">
        <v>48</v>
      </c>
    </row>
    <row r="24" s="16" customFormat="1" ht="15" hidden="1" customHeight="1" spans="1:31">
      <c r="A24" s="16" t="s">
        <v>155</v>
      </c>
      <c r="B24" s="46">
        <v>652</v>
      </c>
      <c r="C24" s="47">
        <v>44242</v>
      </c>
      <c r="D24" s="17" t="s">
        <v>35</v>
      </c>
      <c r="E24" s="16" t="s">
        <v>148</v>
      </c>
      <c r="F24" s="16" t="s">
        <v>96</v>
      </c>
      <c r="H24" s="16" t="s">
        <v>97</v>
      </c>
      <c r="J24" s="16" t="s">
        <v>82</v>
      </c>
      <c r="K24" s="52">
        <v>520</v>
      </c>
      <c r="L24" s="53">
        <v>75</v>
      </c>
      <c r="N24" s="16" t="s">
        <v>40</v>
      </c>
      <c r="O24" s="16" t="s">
        <v>156</v>
      </c>
      <c r="P24" s="54">
        <v>1072</v>
      </c>
      <c r="Q24" s="55">
        <v>941</v>
      </c>
      <c r="R24" s="16">
        <f t="shared" si="1"/>
        <v>131</v>
      </c>
      <c r="S24" s="56">
        <v>287.5</v>
      </c>
      <c r="T24" s="46" t="s">
        <v>99</v>
      </c>
      <c r="U24" s="16" t="s">
        <v>157</v>
      </c>
      <c r="V24" s="49">
        <v>44249</v>
      </c>
      <c r="W24" s="16" t="s">
        <v>44</v>
      </c>
      <c r="Y24" s="50">
        <v>44409</v>
      </c>
      <c r="Z24" s="16" t="s">
        <v>151</v>
      </c>
      <c r="AA24" s="16" t="s">
        <v>46</v>
      </c>
      <c r="AB24" s="16" t="s">
        <v>158</v>
      </c>
      <c r="AC24" s="47">
        <v>44447</v>
      </c>
      <c r="AD24" s="16">
        <v>1199</v>
      </c>
      <c r="AE24" s="16" t="s">
        <v>48</v>
      </c>
    </row>
    <row r="25" s="16" customFormat="1" ht="15" hidden="1" customHeight="1" spans="1:31">
      <c r="A25" s="16" t="s">
        <v>34</v>
      </c>
      <c r="B25" s="46">
        <v>652</v>
      </c>
      <c r="C25" s="47">
        <v>44242</v>
      </c>
      <c r="D25" s="17" t="s">
        <v>35</v>
      </c>
      <c r="E25" s="16" t="s">
        <v>148</v>
      </c>
      <c r="F25" s="16" t="s">
        <v>96</v>
      </c>
      <c r="H25" s="16" t="s">
        <v>97</v>
      </c>
      <c r="J25" s="16" t="s">
        <v>82</v>
      </c>
      <c r="K25" s="52">
        <v>520</v>
      </c>
      <c r="L25" s="53">
        <v>85</v>
      </c>
      <c r="N25" s="16" t="s">
        <v>40</v>
      </c>
      <c r="O25" s="16" t="s">
        <v>156</v>
      </c>
      <c r="P25" s="54">
        <v>1214</v>
      </c>
      <c r="Q25" s="55">
        <v>1242</v>
      </c>
      <c r="R25" s="16">
        <f t="shared" si="1"/>
        <v>-28</v>
      </c>
      <c r="S25" s="56">
        <v>287.5</v>
      </c>
      <c r="T25" s="46" t="s">
        <v>99</v>
      </c>
      <c r="U25" s="16" t="s">
        <v>157</v>
      </c>
      <c r="V25" s="49">
        <v>44249</v>
      </c>
      <c r="W25" s="16" t="s">
        <v>44</v>
      </c>
      <c r="Y25" s="50">
        <v>44409</v>
      </c>
      <c r="Z25" s="16" t="s">
        <v>151</v>
      </c>
      <c r="AA25" s="16" t="s">
        <v>46</v>
      </c>
      <c r="AB25" s="16" t="s">
        <v>158</v>
      </c>
      <c r="AC25" s="47">
        <v>44447</v>
      </c>
      <c r="AD25" s="16">
        <v>1199</v>
      </c>
      <c r="AE25" s="16" t="s">
        <v>48</v>
      </c>
    </row>
    <row r="26" s="16" customFormat="1" ht="15" hidden="1" customHeight="1" spans="1:31">
      <c r="A26" s="16" t="s">
        <v>34</v>
      </c>
      <c r="B26" s="46">
        <v>652</v>
      </c>
      <c r="C26" s="47">
        <v>44242</v>
      </c>
      <c r="D26" s="17" t="s">
        <v>35</v>
      </c>
      <c r="E26" s="16" t="s">
        <v>148</v>
      </c>
      <c r="F26" s="16" t="s">
        <v>96</v>
      </c>
      <c r="H26" s="16" t="s">
        <v>97</v>
      </c>
      <c r="J26" s="16" t="s">
        <v>82</v>
      </c>
      <c r="K26" s="52">
        <v>520</v>
      </c>
      <c r="L26" s="53">
        <v>95</v>
      </c>
      <c r="N26" s="16" t="s">
        <v>40</v>
      </c>
      <c r="O26" s="16" t="s">
        <v>156</v>
      </c>
      <c r="P26" s="54">
        <v>1357</v>
      </c>
      <c r="Q26" s="55">
        <v>1345</v>
      </c>
      <c r="R26" s="16">
        <f t="shared" si="1"/>
        <v>12</v>
      </c>
      <c r="S26" s="56">
        <v>287.5</v>
      </c>
      <c r="T26" s="46" t="s">
        <v>99</v>
      </c>
      <c r="U26" s="16" t="s">
        <v>157</v>
      </c>
      <c r="V26" s="49">
        <v>44249</v>
      </c>
      <c r="W26" s="16" t="s">
        <v>44</v>
      </c>
      <c r="Y26" s="50">
        <v>44409</v>
      </c>
      <c r="Z26" s="16" t="s">
        <v>151</v>
      </c>
      <c r="AA26" s="16" t="s">
        <v>46</v>
      </c>
      <c r="AB26" s="16" t="s">
        <v>158</v>
      </c>
      <c r="AC26" s="47">
        <v>44447</v>
      </c>
      <c r="AD26" s="16">
        <v>1199</v>
      </c>
      <c r="AE26" s="16" t="s">
        <v>48</v>
      </c>
    </row>
    <row r="27" s="16" customFormat="1" ht="15" hidden="1" customHeight="1" spans="1:31">
      <c r="A27" s="16" t="s">
        <v>34</v>
      </c>
      <c r="B27" s="46">
        <v>652</v>
      </c>
      <c r="C27" s="47">
        <v>44242</v>
      </c>
      <c r="D27" s="17" t="s">
        <v>35</v>
      </c>
      <c r="E27" s="16" t="s">
        <v>148</v>
      </c>
      <c r="F27" s="16" t="s">
        <v>96</v>
      </c>
      <c r="H27" s="16" t="s">
        <v>97</v>
      </c>
      <c r="J27" s="16" t="s">
        <v>82</v>
      </c>
      <c r="K27" s="52">
        <v>520</v>
      </c>
      <c r="L27" s="53">
        <v>105</v>
      </c>
      <c r="N27" s="16" t="s">
        <v>40</v>
      </c>
      <c r="O27" s="16" t="s">
        <v>156</v>
      </c>
      <c r="P27" s="54">
        <v>1500</v>
      </c>
      <c r="Q27" s="55">
        <v>1376</v>
      </c>
      <c r="R27" s="16">
        <f t="shared" si="1"/>
        <v>124</v>
      </c>
      <c r="S27" s="56">
        <v>287.5</v>
      </c>
      <c r="T27" s="46" t="s">
        <v>99</v>
      </c>
      <c r="U27" s="16" t="s">
        <v>157</v>
      </c>
      <c r="V27" s="49">
        <v>44249</v>
      </c>
      <c r="W27" s="16" t="s">
        <v>44</v>
      </c>
      <c r="Y27" s="50">
        <v>44409</v>
      </c>
      <c r="Z27" s="16" t="s">
        <v>151</v>
      </c>
      <c r="AA27" s="16" t="s">
        <v>46</v>
      </c>
      <c r="AB27" s="16" t="s">
        <v>158</v>
      </c>
      <c r="AC27" s="47">
        <v>44447</v>
      </c>
      <c r="AD27" s="16">
        <v>1199</v>
      </c>
      <c r="AE27" s="16" t="s">
        <v>48</v>
      </c>
    </row>
    <row r="28" s="16" customFormat="1" ht="15" hidden="1" customHeight="1" spans="1:31">
      <c r="A28" s="16" t="s">
        <v>34</v>
      </c>
      <c r="B28" s="46">
        <v>652</v>
      </c>
      <c r="C28" s="47">
        <v>44242</v>
      </c>
      <c r="D28" s="17" t="s">
        <v>35</v>
      </c>
      <c r="E28" s="16" t="s">
        <v>148</v>
      </c>
      <c r="F28" s="16" t="s">
        <v>96</v>
      </c>
      <c r="H28" s="16" t="s">
        <v>97</v>
      </c>
      <c r="J28" s="16" t="s">
        <v>82</v>
      </c>
      <c r="K28" s="52">
        <v>520</v>
      </c>
      <c r="L28" s="53">
        <v>140</v>
      </c>
      <c r="N28" s="16" t="s">
        <v>40</v>
      </c>
      <c r="O28" s="16" t="s">
        <v>156</v>
      </c>
      <c r="P28" s="54">
        <v>2000</v>
      </c>
      <c r="Q28" s="55">
        <v>1919</v>
      </c>
      <c r="R28" s="16">
        <f t="shared" si="1"/>
        <v>81</v>
      </c>
      <c r="S28" s="56">
        <v>292.5</v>
      </c>
      <c r="T28" s="46" t="s">
        <v>99</v>
      </c>
      <c r="U28" s="16" t="s">
        <v>157</v>
      </c>
      <c r="V28" s="49">
        <v>44249</v>
      </c>
      <c r="W28" s="16" t="s">
        <v>44</v>
      </c>
      <c r="Y28" s="50">
        <v>44409</v>
      </c>
      <c r="Z28" s="16" t="s">
        <v>151</v>
      </c>
      <c r="AA28" s="16" t="s">
        <v>46</v>
      </c>
      <c r="AB28" s="16" t="s">
        <v>158</v>
      </c>
      <c r="AC28" s="47">
        <v>44447</v>
      </c>
      <c r="AD28" s="16">
        <v>1199</v>
      </c>
      <c r="AE28" s="16" t="s">
        <v>48</v>
      </c>
    </row>
    <row r="29" s="16" customFormat="1" ht="15" hidden="1" customHeight="1" spans="1:31">
      <c r="A29" s="16" t="s">
        <v>34</v>
      </c>
      <c r="B29" s="46">
        <v>652</v>
      </c>
      <c r="C29" s="47">
        <v>44242</v>
      </c>
      <c r="D29" s="17" t="s">
        <v>35</v>
      </c>
      <c r="E29" s="16" t="s">
        <v>148</v>
      </c>
      <c r="F29" s="16" t="s">
        <v>96</v>
      </c>
      <c r="H29" s="16" t="s">
        <v>97</v>
      </c>
      <c r="J29" s="16" t="s">
        <v>82</v>
      </c>
      <c r="K29" s="52">
        <v>520</v>
      </c>
      <c r="L29" s="53">
        <v>150</v>
      </c>
      <c r="N29" s="16" t="s">
        <v>40</v>
      </c>
      <c r="O29" s="16" t="s">
        <v>156</v>
      </c>
      <c r="P29" s="54">
        <v>2143</v>
      </c>
      <c r="Q29" s="55">
        <v>2083</v>
      </c>
      <c r="R29" s="16">
        <f t="shared" si="1"/>
        <v>60</v>
      </c>
      <c r="S29" s="56">
        <v>292.5</v>
      </c>
      <c r="T29" s="46" t="s">
        <v>99</v>
      </c>
      <c r="U29" s="16" t="s">
        <v>157</v>
      </c>
      <c r="V29" s="49">
        <v>44249</v>
      </c>
      <c r="W29" s="16" t="s">
        <v>44</v>
      </c>
      <c r="Y29" s="50">
        <v>44409</v>
      </c>
      <c r="Z29" s="16" t="s">
        <v>151</v>
      </c>
      <c r="AA29" s="16" t="s">
        <v>46</v>
      </c>
      <c r="AB29" s="16" t="s">
        <v>158</v>
      </c>
      <c r="AC29" s="47">
        <v>44447</v>
      </c>
      <c r="AD29" s="16">
        <v>1199</v>
      </c>
      <c r="AE29" s="16" t="s">
        <v>48</v>
      </c>
    </row>
    <row r="30" s="16" customFormat="1" ht="15" hidden="1" customHeight="1" spans="1:31">
      <c r="A30" s="16" t="s">
        <v>34</v>
      </c>
      <c r="B30" s="46">
        <v>652</v>
      </c>
      <c r="C30" s="47">
        <v>44242</v>
      </c>
      <c r="D30" s="17" t="s">
        <v>35</v>
      </c>
      <c r="E30" s="16" t="s">
        <v>148</v>
      </c>
      <c r="F30" s="16" t="s">
        <v>96</v>
      </c>
      <c r="H30" s="16" t="s">
        <v>97</v>
      </c>
      <c r="J30" s="16" t="s">
        <v>82</v>
      </c>
      <c r="K30" s="52">
        <v>520</v>
      </c>
      <c r="L30" s="53">
        <v>175</v>
      </c>
      <c r="N30" s="16" t="s">
        <v>40</v>
      </c>
      <c r="O30" s="16" t="s">
        <v>156</v>
      </c>
      <c r="P30" s="54">
        <v>2500</v>
      </c>
      <c r="Q30" s="55">
        <v>2281</v>
      </c>
      <c r="R30" s="16">
        <f t="shared" si="1"/>
        <v>219</v>
      </c>
      <c r="S30" s="56">
        <v>292.5</v>
      </c>
      <c r="T30" s="46" t="s">
        <v>99</v>
      </c>
      <c r="U30" s="16" t="s">
        <v>157</v>
      </c>
      <c r="V30" s="49">
        <v>44249</v>
      </c>
      <c r="W30" s="16" t="s">
        <v>44</v>
      </c>
      <c r="Y30" s="50">
        <v>44409</v>
      </c>
      <c r="Z30" s="16" t="s">
        <v>151</v>
      </c>
      <c r="AA30" s="16" t="s">
        <v>46</v>
      </c>
      <c r="AB30" s="16" t="s">
        <v>158</v>
      </c>
      <c r="AC30" s="47">
        <v>44447</v>
      </c>
      <c r="AD30" s="16">
        <v>1199</v>
      </c>
      <c r="AE30" s="16" t="s">
        <v>48</v>
      </c>
    </row>
    <row r="31" s="16" customFormat="1" ht="15" hidden="1" customHeight="1" spans="1:31">
      <c r="A31" s="16" t="s">
        <v>34</v>
      </c>
      <c r="B31" s="46">
        <v>652</v>
      </c>
      <c r="C31" s="47">
        <v>44242</v>
      </c>
      <c r="D31" s="17" t="s">
        <v>35</v>
      </c>
      <c r="E31" s="16" t="s">
        <v>148</v>
      </c>
      <c r="F31" s="16" t="s">
        <v>96</v>
      </c>
      <c r="H31" s="16" t="s">
        <v>97</v>
      </c>
      <c r="J31" s="16" t="s">
        <v>82</v>
      </c>
      <c r="K31" s="52">
        <v>520</v>
      </c>
      <c r="L31" s="53">
        <v>260</v>
      </c>
      <c r="N31" s="16" t="s">
        <v>40</v>
      </c>
      <c r="O31" s="16" t="s">
        <v>156</v>
      </c>
      <c r="P31" s="54">
        <v>3200</v>
      </c>
      <c r="Q31" s="55">
        <v>3150</v>
      </c>
      <c r="R31" s="16">
        <f t="shared" si="1"/>
        <v>50</v>
      </c>
      <c r="S31" s="56">
        <v>292.5</v>
      </c>
      <c r="T31" s="46" t="s">
        <v>99</v>
      </c>
      <c r="U31" s="16" t="s">
        <v>157</v>
      </c>
      <c r="V31" s="49">
        <v>44249</v>
      </c>
      <c r="W31" s="16" t="s">
        <v>44</v>
      </c>
      <c r="Y31" s="50">
        <v>44409</v>
      </c>
      <c r="Z31" s="16" t="s">
        <v>151</v>
      </c>
      <c r="AA31" s="16" t="s">
        <v>46</v>
      </c>
      <c r="AB31" s="16" t="s">
        <v>158</v>
      </c>
      <c r="AC31" s="47">
        <v>44447</v>
      </c>
      <c r="AD31" s="16">
        <v>1199</v>
      </c>
      <c r="AE31" s="16" t="s">
        <v>48</v>
      </c>
    </row>
    <row r="32" s="16" customFormat="1" ht="15" hidden="1" customHeight="1" spans="1:31">
      <c r="A32" s="16" t="s">
        <v>34</v>
      </c>
      <c r="B32" s="46">
        <v>652</v>
      </c>
      <c r="C32" s="47">
        <v>44242</v>
      </c>
      <c r="D32" s="17" t="s">
        <v>35</v>
      </c>
      <c r="E32" s="16" t="s">
        <v>148</v>
      </c>
      <c r="F32" s="16" t="s">
        <v>96</v>
      </c>
      <c r="H32" s="16" t="s">
        <v>97</v>
      </c>
      <c r="J32" s="16" t="s">
        <v>82</v>
      </c>
      <c r="K32" s="52">
        <v>520</v>
      </c>
      <c r="L32" s="53">
        <v>310</v>
      </c>
      <c r="N32" s="16" t="s">
        <v>40</v>
      </c>
      <c r="O32" s="16" t="s">
        <v>156</v>
      </c>
      <c r="P32" s="54">
        <v>3200</v>
      </c>
      <c r="Q32" s="55">
        <v>3028</v>
      </c>
      <c r="R32" s="16">
        <f t="shared" si="1"/>
        <v>172</v>
      </c>
      <c r="S32" s="56">
        <v>292.5</v>
      </c>
      <c r="T32" s="46" t="s">
        <v>99</v>
      </c>
      <c r="U32" s="16" t="s">
        <v>157</v>
      </c>
      <c r="V32" s="49">
        <v>44249</v>
      </c>
      <c r="W32" s="16" t="s">
        <v>44</v>
      </c>
      <c r="Y32" s="50">
        <v>44409</v>
      </c>
      <c r="Z32" s="16" t="s">
        <v>151</v>
      </c>
      <c r="AA32" s="16" t="s">
        <v>46</v>
      </c>
      <c r="AB32" s="16" t="s">
        <v>158</v>
      </c>
      <c r="AC32" s="47">
        <v>44447</v>
      </c>
      <c r="AD32" s="16">
        <v>1199</v>
      </c>
      <c r="AE32" s="16" t="s">
        <v>48</v>
      </c>
    </row>
    <row r="33" s="16" customFormat="1" ht="15" hidden="1" customHeight="1" spans="1:32">
      <c r="A33" s="16" t="s">
        <v>34</v>
      </c>
      <c r="B33" s="46">
        <v>664</v>
      </c>
      <c r="C33" s="57">
        <v>44274</v>
      </c>
      <c r="D33" s="16" t="s">
        <v>137</v>
      </c>
      <c r="E33" s="16" t="s">
        <v>138</v>
      </c>
      <c r="F33" s="16" t="s">
        <v>139</v>
      </c>
      <c r="H33" s="46">
        <v>1.2311</v>
      </c>
      <c r="I33" s="46"/>
      <c r="J33" s="16" t="s">
        <v>140</v>
      </c>
      <c r="K33" s="46">
        <v>2000</v>
      </c>
      <c r="L33" s="58">
        <v>35</v>
      </c>
      <c r="M33" s="46">
        <v>5500</v>
      </c>
      <c r="N33" s="46" t="s">
        <v>66</v>
      </c>
      <c r="O33" s="46" t="s">
        <v>141</v>
      </c>
      <c r="P33" s="46">
        <v>12000</v>
      </c>
      <c r="Q33" s="16">
        <v>3154</v>
      </c>
      <c r="S33" s="16">
        <v>1090</v>
      </c>
      <c r="T33" s="46" t="s">
        <v>94</v>
      </c>
      <c r="U33" s="16">
        <v>49732</v>
      </c>
      <c r="V33" s="59">
        <v>44278</v>
      </c>
      <c r="W33" s="16" t="s">
        <v>44</v>
      </c>
      <c r="Y33" s="50">
        <v>44348</v>
      </c>
      <c r="Z33" s="16" t="s">
        <v>45</v>
      </c>
      <c r="AA33" s="16" t="s">
        <v>146</v>
      </c>
      <c r="AB33" s="16">
        <v>4001380279</v>
      </c>
      <c r="AC33" s="60">
        <v>44491</v>
      </c>
      <c r="AD33" s="48">
        <v>1220</v>
      </c>
      <c r="AE33" s="16" t="s">
        <v>159</v>
      </c>
    </row>
    <row r="34" s="16" customFormat="1" ht="15" hidden="1" customHeight="1" spans="1:32">
      <c r="A34" s="16" t="s">
        <v>34</v>
      </c>
      <c r="B34" s="46">
        <v>664</v>
      </c>
      <c r="C34" s="57">
        <v>44274</v>
      </c>
      <c r="D34" s="16" t="s">
        <v>137</v>
      </c>
      <c r="E34" s="16" t="s">
        <v>138</v>
      </c>
      <c r="F34" s="16" t="s">
        <v>139</v>
      </c>
      <c r="H34" s="46">
        <v>1.2311</v>
      </c>
      <c r="I34" s="46"/>
      <c r="J34" s="16" t="s">
        <v>140</v>
      </c>
      <c r="K34" s="46">
        <v>2000</v>
      </c>
      <c r="L34" s="58">
        <v>35</v>
      </c>
      <c r="M34" s="46">
        <v>5500</v>
      </c>
      <c r="N34" s="46" t="s">
        <v>66</v>
      </c>
      <c r="O34" s="46" t="s">
        <v>141</v>
      </c>
      <c r="P34" s="46"/>
      <c r="Q34" s="16">
        <f>1593+1593</f>
        <v>3186</v>
      </c>
      <c r="S34" s="16">
        <v>1090</v>
      </c>
      <c r="T34" s="46" t="s">
        <v>94</v>
      </c>
      <c r="U34" s="16">
        <v>49732</v>
      </c>
      <c r="V34" s="59">
        <v>44278</v>
      </c>
      <c r="W34" s="16" t="s">
        <v>44</v>
      </c>
      <c r="Y34" s="50">
        <v>44348</v>
      </c>
      <c r="Z34" s="16" t="s">
        <v>45</v>
      </c>
      <c r="AA34" s="16" t="s">
        <v>146</v>
      </c>
      <c r="AB34" s="15">
        <v>4001380029</v>
      </c>
      <c r="AC34" s="61">
        <v>44587</v>
      </c>
      <c r="AD34" s="48">
        <v>1242</v>
      </c>
      <c r="AE34" s="16" t="s">
        <v>147</v>
      </c>
    </row>
    <row r="35" s="16" customFormat="1" ht="15" hidden="1" customHeight="1" spans="1:32">
      <c r="A35" s="16" t="s">
        <v>34</v>
      </c>
      <c r="B35" s="46">
        <v>664</v>
      </c>
      <c r="C35" s="57">
        <v>44274</v>
      </c>
      <c r="D35" s="16" t="s">
        <v>137</v>
      </c>
      <c r="E35" s="16" t="s">
        <v>138</v>
      </c>
      <c r="F35" s="16" t="s">
        <v>139</v>
      </c>
      <c r="H35" s="46">
        <v>1.2311</v>
      </c>
      <c r="I35" s="46"/>
      <c r="J35" s="16" t="s">
        <v>140</v>
      </c>
      <c r="K35" s="46">
        <v>2000</v>
      </c>
      <c r="L35" s="58">
        <v>35</v>
      </c>
      <c r="M35" s="46">
        <v>5500</v>
      </c>
      <c r="N35" s="46" t="s">
        <v>66</v>
      </c>
      <c r="O35" s="46" t="s">
        <v>141</v>
      </c>
      <c r="P35" s="46"/>
      <c r="Q35" s="16">
        <v>1592</v>
      </c>
      <c r="S35" s="16">
        <v>1090</v>
      </c>
      <c r="T35" s="46" t="s">
        <v>94</v>
      </c>
      <c r="U35" s="16">
        <v>49732</v>
      </c>
      <c r="V35" s="59">
        <v>44278</v>
      </c>
      <c r="W35" s="16" t="s">
        <v>44</v>
      </c>
      <c r="Y35" s="50">
        <v>44348</v>
      </c>
      <c r="Z35" s="16" t="s">
        <v>45</v>
      </c>
      <c r="AA35" s="16" t="s">
        <v>146</v>
      </c>
      <c r="AB35" s="15">
        <v>4001380210</v>
      </c>
      <c r="AC35" s="61" t="s">
        <v>160</v>
      </c>
      <c r="AD35" s="48">
        <v>1295</v>
      </c>
      <c r="AE35" s="16" t="s">
        <v>147</v>
      </c>
      <c r="AF35" s="16" t="s">
        <v>161</v>
      </c>
    </row>
    <row r="36" s="16" customFormat="1" ht="15" hidden="1" customHeight="1" spans="1:32">
      <c r="A36" s="16" t="s">
        <v>34</v>
      </c>
      <c r="B36" s="46">
        <v>664</v>
      </c>
      <c r="C36" s="57">
        <v>44274</v>
      </c>
      <c r="D36" s="16" t="s">
        <v>137</v>
      </c>
      <c r="E36" s="16" t="s">
        <v>138</v>
      </c>
      <c r="F36" s="16" t="s">
        <v>139</v>
      </c>
      <c r="H36" s="46">
        <v>1.2311</v>
      </c>
      <c r="I36" s="46"/>
      <c r="J36" s="16" t="s">
        <v>140</v>
      </c>
      <c r="K36" s="46">
        <v>2000</v>
      </c>
      <c r="L36" s="58">
        <v>35</v>
      </c>
      <c r="M36" s="46">
        <v>5500</v>
      </c>
      <c r="N36" s="46" t="s">
        <v>66</v>
      </c>
      <c r="O36" s="46" t="s">
        <v>141</v>
      </c>
      <c r="P36" s="46"/>
      <c r="Q36" s="16">
        <v>3170</v>
      </c>
      <c r="S36" s="16">
        <v>1090</v>
      </c>
      <c r="T36" s="46" t="s">
        <v>94</v>
      </c>
      <c r="U36" s="16">
        <v>49732</v>
      </c>
      <c r="V36" s="59">
        <v>44278</v>
      </c>
      <c r="W36" s="16" t="s">
        <v>44</v>
      </c>
      <c r="Y36" s="50">
        <v>44348</v>
      </c>
      <c r="Z36" s="16" t="s">
        <v>45</v>
      </c>
      <c r="AA36" s="16" t="s">
        <v>145</v>
      </c>
      <c r="AB36" s="15">
        <v>4001380198</v>
      </c>
      <c r="AC36" s="61" t="s">
        <v>162</v>
      </c>
      <c r="AD36" s="48">
        <v>1322</v>
      </c>
      <c r="AE36" s="16" t="s">
        <v>48</v>
      </c>
    </row>
    <row r="37" s="16" customFormat="1" ht="15" hidden="1" customHeight="1" spans="1:32">
      <c r="A37" s="16" t="s">
        <v>34</v>
      </c>
      <c r="B37" s="46">
        <v>664</v>
      </c>
      <c r="C37" s="57">
        <v>44274</v>
      </c>
      <c r="D37" s="16" t="s">
        <v>137</v>
      </c>
      <c r="E37" s="16" t="s">
        <v>138</v>
      </c>
      <c r="F37" s="16" t="s">
        <v>139</v>
      </c>
      <c r="H37" s="46">
        <v>1.2311</v>
      </c>
      <c r="I37" s="46"/>
      <c r="J37" s="16" t="s">
        <v>140</v>
      </c>
      <c r="K37" s="46">
        <v>2000</v>
      </c>
      <c r="L37" s="58">
        <v>35</v>
      </c>
      <c r="M37" s="46">
        <v>5500</v>
      </c>
      <c r="N37" s="46" t="s">
        <v>66</v>
      </c>
      <c r="O37" s="46" t="s">
        <v>141</v>
      </c>
      <c r="P37" s="46"/>
      <c r="Q37" s="16">
        <v>1592</v>
      </c>
      <c r="R37" s="16">
        <f>P33-Q33-Q34-Q35-Q36-Q37</f>
        <v>-694</v>
      </c>
      <c r="S37" s="16">
        <v>1090</v>
      </c>
      <c r="T37" s="46" t="s">
        <v>94</v>
      </c>
      <c r="U37" s="16">
        <v>49732</v>
      </c>
      <c r="V37" s="59">
        <v>44278</v>
      </c>
      <c r="W37" s="16" t="s">
        <v>44</v>
      </c>
      <c r="Y37" s="50">
        <v>44348</v>
      </c>
      <c r="Z37" s="16" t="s">
        <v>142</v>
      </c>
      <c r="AA37" s="16" t="s">
        <v>146</v>
      </c>
      <c r="AB37" s="15">
        <v>4001380046</v>
      </c>
      <c r="AC37" s="61" t="s">
        <v>163</v>
      </c>
      <c r="AD37" s="48">
        <v>1382</v>
      </c>
      <c r="AE37" s="16" t="s">
        <v>147</v>
      </c>
      <c r="AF37" s="16" t="s">
        <v>164</v>
      </c>
    </row>
    <row r="38" s="16" customFormat="1" ht="15" hidden="1" customHeight="1" spans="1:32">
      <c r="A38" s="16" t="s">
        <v>34</v>
      </c>
      <c r="B38" s="46">
        <v>664</v>
      </c>
      <c r="C38" s="57">
        <v>44274</v>
      </c>
      <c r="D38" s="16" t="s">
        <v>137</v>
      </c>
      <c r="E38" s="16" t="s">
        <v>138</v>
      </c>
      <c r="F38" s="16" t="s">
        <v>139</v>
      </c>
      <c r="H38" s="46">
        <v>1.2311</v>
      </c>
      <c r="I38" s="46"/>
      <c r="J38" s="16" t="s">
        <v>140</v>
      </c>
      <c r="K38" s="46">
        <v>2000</v>
      </c>
      <c r="L38" s="58">
        <v>50</v>
      </c>
      <c r="M38" s="46">
        <v>5000</v>
      </c>
      <c r="N38" s="46" t="s">
        <v>66</v>
      </c>
      <c r="O38" s="46" t="s">
        <v>141</v>
      </c>
      <c r="P38" s="46">
        <v>12000</v>
      </c>
      <c r="Q38" s="16">
        <v>4066</v>
      </c>
      <c r="S38" s="16">
        <v>1090</v>
      </c>
      <c r="T38" s="46" t="s">
        <v>94</v>
      </c>
      <c r="U38" s="16">
        <v>49732</v>
      </c>
      <c r="V38" s="59">
        <v>44278</v>
      </c>
      <c r="W38" s="16" t="s">
        <v>44</v>
      </c>
      <c r="Y38" s="50">
        <v>44348</v>
      </c>
      <c r="Z38" s="16" t="s">
        <v>45</v>
      </c>
      <c r="AA38" s="16" t="s">
        <v>146</v>
      </c>
      <c r="AB38" s="16">
        <v>4001380279</v>
      </c>
      <c r="AC38" s="60">
        <v>44491</v>
      </c>
      <c r="AD38" s="48">
        <v>1220</v>
      </c>
      <c r="AE38" s="16" t="s">
        <v>159</v>
      </c>
    </row>
    <row r="39" s="16" customFormat="1" ht="15" hidden="1" customHeight="1" spans="1:32">
      <c r="A39" s="16" t="s">
        <v>34</v>
      </c>
      <c r="B39" s="46">
        <v>664</v>
      </c>
      <c r="C39" s="57">
        <v>44274</v>
      </c>
      <c r="D39" s="16" t="s">
        <v>137</v>
      </c>
      <c r="E39" s="16" t="s">
        <v>138</v>
      </c>
      <c r="F39" s="16" t="s">
        <v>139</v>
      </c>
      <c r="H39" s="46">
        <v>1.2311</v>
      </c>
      <c r="I39" s="46"/>
      <c r="J39" s="16" t="s">
        <v>140</v>
      </c>
      <c r="K39" s="46">
        <v>2000</v>
      </c>
      <c r="L39" s="58">
        <v>50</v>
      </c>
      <c r="M39" s="46"/>
      <c r="N39" s="46" t="s">
        <v>66</v>
      </c>
      <c r="O39" s="46" t="s">
        <v>141</v>
      </c>
      <c r="P39" s="46"/>
      <c r="Q39" s="16">
        <f>2052+2051</f>
        <v>4103</v>
      </c>
      <c r="S39" s="16">
        <v>1090</v>
      </c>
      <c r="T39" s="46" t="s">
        <v>94</v>
      </c>
      <c r="U39" s="16">
        <v>49732</v>
      </c>
      <c r="V39" s="59">
        <v>44278</v>
      </c>
      <c r="W39" s="16" t="s">
        <v>44</v>
      </c>
      <c r="Y39" s="50">
        <v>44348</v>
      </c>
      <c r="Z39" s="16" t="s">
        <v>45</v>
      </c>
      <c r="AA39" s="16" t="s">
        <v>146</v>
      </c>
      <c r="AB39" s="15">
        <v>4001380029</v>
      </c>
      <c r="AC39" s="61">
        <v>44587</v>
      </c>
      <c r="AD39" s="48">
        <v>1242</v>
      </c>
      <c r="AE39" s="16" t="s">
        <v>147</v>
      </c>
    </row>
    <row r="40" s="16" customFormat="1" ht="15" hidden="1" customHeight="1" spans="1:32">
      <c r="A40" s="16" t="s">
        <v>34</v>
      </c>
      <c r="B40" s="46">
        <v>664</v>
      </c>
      <c r="C40" s="57">
        <v>44274</v>
      </c>
      <c r="D40" s="16" t="s">
        <v>137</v>
      </c>
      <c r="E40" s="16" t="s">
        <v>138</v>
      </c>
      <c r="F40" s="16" t="s">
        <v>139</v>
      </c>
      <c r="H40" s="46">
        <v>1.2311</v>
      </c>
      <c r="I40" s="46"/>
      <c r="J40" s="16" t="s">
        <v>140</v>
      </c>
      <c r="K40" s="46">
        <v>2000</v>
      </c>
      <c r="L40" s="58">
        <v>50</v>
      </c>
      <c r="M40" s="46"/>
      <c r="N40" s="46" t="s">
        <v>66</v>
      </c>
      <c r="O40" s="46" t="s">
        <v>141</v>
      </c>
      <c r="P40" s="46"/>
      <c r="Q40" s="16">
        <f>2054+2054</f>
        <v>4108</v>
      </c>
      <c r="R40" s="16">
        <f>P38-Q38-Q39</f>
        <v>3831</v>
      </c>
      <c r="S40" s="16">
        <v>1090</v>
      </c>
      <c r="T40" s="46" t="s">
        <v>94</v>
      </c>
      <c r="U40" s="16">
        <v>49732</v>
      </c>
      <c r="V40" s="59">
        <v>44278</v>
      </c>
      <c r="W40" s="16" t="s">
        <v>44</v>
      </c>
      <c r="Y40" s="50"/>
      <c r="Z40" s="16" t="s">
        <v>45</v>
      </c>
      <c r="AA40" s="16" t="s">
        <v>146</v>
      </c>
      <c r="AB40" s="15">
        <v>4001380210</v>
      </c>
      <c r="AC40" s="61" t="s">
        <v>160</v>
      </c>
      <c r="AD40" s="48">
        <v>1295</v>
      </c>
      <c r="AE40" s="16" t="s">
        <v>147</v>
      </c>
      <c r="AF40" s="16" t="s">
        <v>161</v>
      </c>
    </row>
    <row r="41" s="16" customFormat="1" ht="15" hidden="1" customHeight="1" spans="1:32">
      <c r="A41" s="16" t="s">
        <v>34</v>
      </c>
      <c r="B41" s="46">
        <v>683</v>
      </c>
      <c r="C41" s="57">
        <v>44329</v>
      </c>
      <c r="D41" s="16" t="s">
        <v>137</v>
      </c>
      <c r="E41" s="16" t="s">
        <v>138</v>
      </c>
      <c r="F41" s="16" t="s">
        <v>139</v>
      </c>
      <c r="H41" s="46">
        <v>1.2738</v>
      </c>
      <c r="I41" s="46"/>
      <c r="J41" s="16" t="s">
        <v>140</v>
      </c>
      <c r="K41" s="46">
        <v>2000</v>
      </c>
      <c r="L41" s="58">
        <v>65</v>
      </c>
      <c r="M41" s="46">
        <v>5500</v>
      </c>
      <c r="N41" s="46" t="s">
        <v>66</v>
      </c>
      <c r="O41" s="46" t="s">
        <v>141</v>
      </c>
      <c r="P41" s="46">
        <v>11226</v>
      </c>
      <c r="Q41" s="16">
        <f>5818+5818</f>
        <v>11636</v>
      </c>
      <c r="R41" s="16">
        <f>P41-Q41</f>
        <v>-410</v>
      </c>
      <c r="S41" s="16">
        <v>1265</v>
      </c>
      <c r="T41" s="46" t="s">
        <v>94</v>
      </c>
      <c r="U41" s="16">
        <v>50560</v>
      </c>
      <c r="V41" s="59">
        <v>44330</v>
      </c>
      <c r="W41" s="16" t="s">
        <v>44</v>
      </c>
      <c r="Y41" s="50">
        <v>44440</v>
      </c>
      <c r="Z41" s="16" t="s">
        <v>45</v>
      </c>
      <c r="AA41" s="16" t="s">
        <v>146</v>
      </c>
      <c r="AB41" s="16">
        <v>4001380279</v>
      </c>
      <c r="AC41" s="60">
        <v>44491</v>
      </c>
      <c r="AD41" s="48">
        <v>1220</v>
      </c>
      <c r="AE41" s="16" t="s">
        <v>165</v>
      </c>
    </row>
    <row r="42" s="16" customFormat="1" ht="15" hidden="1" customHeight="1" spans="1:32">
      <c r="A42" s="16" t="s">
        <v>34</v>
      </c>
      <c r="B42" s="46">
        <v>683</v>
      </c>
      <c r="C42" s="57">
        <v>44329</v>
      </c>
      <c r="D42" s="16" t="s">
        <v>137</v>
      </c>
      <c r="E42" s="16" t="s">
        <v>138</v>
      </c>
      <c r="F42" s="16" t="s">
        <v>139</v>
      </c>
      <c r="H42" s="46">
        <v>1.2738</v>
      </c>
      <c r="I42" s="46"/>
      <c r="J42" s="16" t="s">
        <v>140</v>
      </c>
      <c r="K42" s="46">
        <v>2000</v>
      </c>
      <c r="L42" s="58">
        <v>90</v>
      </c>
      <c r="M42" s="46">
        <v>5500</v>
      </c>
      <c r="N42" s="46" t="s">
        <v>66</v>
      </c>
      <c r="O42" s="46" t="s">
        <v>141</v>
      </c>
      <c r="P42" s="46">
        <v>15543</v>
      </c>
      <c r="Q42" s="16">
        <f>3962+3962</f>
        <v>7924</v>
      </c>
      <c r="S42" s="16">
        <v>1265</v>
      </c>
      <c r="T42" s="46" t="s">
        <v>94</v>
      </c>
      <c r="U42" s="16">
        <v>50560</v>
      </c>
      <c r="V42" s="59">
        <v>44330</v>
      </c>
      <c r="W42" s="16" t="s">
        <v>44</v>
      </c>
      <c r="Y42" s="50">
        <v>44440</v>
      </c>
      <c r="Z42" s="16" t="s">
        <v>45</v>
      </c>
      <c r="AA42" s="16" t="s">
        <v>146</v>
      </c>
      <c r="AB42" s="16">
        <v>4001380279</v>
      </c>
      <c r="AC42" s="60">
        <v>44491</v>
      </c>
      <c r="AD42" s="48">
        <v>1220</v>
      </c>
      <c r="AE42" s="16" t="s">
        <v>166</v>
      </c>
      <c r="AF42" s="16" t="s">
        <v>167</v>
      </c>
    </row>
    <row r="43" s="16" customFormat="1" ht="15" hidden="1" customHeight="1" spans="1:32">
      <c r="A43" s="16" t="s">
        <v>34</v>
      </c>
      <c r="B43" s="46">
        <v>683</v>
      </c>
      <c r="C43" s="57">
        <v>44329</v>
      </c>
      <c r="D43" s="16" t="s">
        <v>137</v>
      </c>
      <c r="E43" s="16" t="s">
        <v>138</v>
      </c>
      <c r="F43" s="16" t="s">
        <v>139</v>
      </c>
      <c r="H43" s="46">
        <v>1.2738</v>
      </c>
      <c r="I43" s="46"/>
      <c r="J43" s="16" t="s">
        <v>140</v>
      </c>
      <c r="K43" s="46">
        <v>2000</v>
      </c>
      <c r="L43" s="58">
        <v>90</v>
      </c>
      <c r="M43" s="46"/>
      <c r="N43" s="46" t="s">
        <v>66</v>
      </c>
      <c r="O43" s="46" t="s">
        <v>141</v>
      </c>
      <c r="P43" s="46"/>
      <c r="Q43" s="16">
        <v>7961</v>
      </c>
      <c r="R43" s="16">
        <f>P42-Q42-Q43</f>
        <v>-342</v>
      </c>
      <c r="S43" s="16">
        <v>1265</v>
      </c>
      <c r="T43" s="46" t="s">
        <v>94</v>
      </c>
      <c r="U43" s="16">
        <v>50560</v>
      </c>
      <c r="V43" s="59">
        <v>44330</v>
      </c>
      <c r="W43" s="16" t="s">
        <v>44</v>
      </c>
      <c r="Y43" s="50">
        <v>44440</v>
      </c>
      <c r="Z43" s="16" t="s">
        <v>45</v>
      </c>
      <c r="AA43" s="16" t="s">
        <v>46</v>
      </c>
      <c r="AB43" s="16">
        <v>4001380198</v>
      </c>
      <c r="AC43" s="60">
        <v>44407</v>
      </c>
      <c r="AD43" s="48">
        <v>1208</v>
      </c>
      <c r="AE43" s="16" t="s">
        <v>48</v>
      </c>
    </row>
    <row r="44" s="16" customFormat="1" ht="15" hidden="1" customHeight="1" spans="1:32">
      <c r="A44" s="16" t="s">
        <v>34</v>
      </c>
      <c r="B44" s="46">
        <v>683</v>
      </c>
      <c r="C44" s="57">
        <v>44329</v>
      </c>
      <c r="D44" s="16" t="s">
        <v>137</v>
      </c>
      <c r="E44" s="16" t="s">
        <v>138</v>
      </c>
      <c r="F44" s="16" t="s">
        <v>139</v>
      </c>
      <c r="H44" s="46">
        <v>1.2738</v>
      </c>
      <c r="I44" s="46"/>
      <c r="J44" s="16" t="s">
        <v>140</v>
      </c>
      <c r="K44" s="46">
        <v>1010</v>
      </c>
      <c r="L44" s="62">
        <v>106.9</v>
      </c>
      <c r="M44" s="46">
        <v>5030</v>
      </c>
      <c r="N44" s="46" t="s">
        <v>66</v>
      </c>
      <c r="O44" s="46" t="s">
        <v>141</v>
      </c>
      <c r="P44" s="46">
        <v>16485</v>
      </c>
      <c r="Q44" s="16">
        <v>4200</v>
      </c>
      <c r="S44" s="16">
        <v>1265</v>
      </c>
      <c r="T44" s="46" t="s">
        <v>94</v>
      </c>
      <c r="U44" s="16">
        <v>50560</v>
      </c>
      <c r="V44" s="59">
        <v>44330</v>
      </c>
      <c r="W44" s="16" t="s">
        <v>44</v>
      </c>
      <c r="Y44" s="50">
        <v>44440</v>
      </c>
      <c r="Z44" s="16" t="s">
        <v>45</v>
      </c>
      <c r="AA44" s="16" t="s">
        <v>145</v>
      </c>
      <c r="AB44" s="16">
        <v>4001380334</v>
      </c>
      <c r="AC44" s="60">
        <v>44537</v>
      </c>
      <c r="AD44" s="48">
        <v>1232</v>
      </c>
      <c r="AE44" s="16" t="s">
        <v>48</v>
      </c>
    </row>
    <row r="45" s="16" customFormat="1" ht="15" hidden="1" customHeight="1" spans="1:32">
      <c r="A45" s="16" t="s">
        <v>34</v>
      </c>
      <c r="B45" s="46">
        <v>683</v>
      </c>
      <c r="C45" s="57">
        <v>44329</v>
      </c>
      <c r="D45" s="16" t="s">
        <v>137</v>
      </c>
      <c r="E45" s="16" t="s">
        <v>138</v>
      </c>
      <c r="F45" s="16" t="s">
        <v>139</v>
      </c>
      <c r="H45" s="46">
        <v>1.2738</v>
      </c>
      <c r="I45" s="46"/>
      <c r="J45" s="16" t="s">
        <v>140</v>
      </c>
      <c r="K45" s="46">
        <v>2000</v>
      </c>
      <c r="L45" s="58">
        <v>105</v>
      </c>
      <c r="M45" s="46"/>
      <c r="N45" s="46" t="s">
        <v>66</v>
      </c>
      <c r="O45" s="46" t="s">
        <v>141</v>
      </c>
      <c r="P45" s="46"/>
      <c r="Q45" s="16">
        <v>4273</v>
      </c>
      <c r="S45" s="16">
        <v>1265</v>
      </c>
      <c r="T45" s="46" t="s">
        <v>94</v>
      </c>
      <c r="U45" s="16">
        <v>50560</v>
      </c>
      <c r="V45" s="59">
        <v>44330</v>
      </c>
      <c r="W45" s="16" t="s">
        <v>44</v>
      </c>
      <c r="Y45" s="50">
        <v>44440</v>
      </c>
      <c r="Z45" s="16" t="s">
        <v>45</v>
      </c>
      <c r="AA45" s="16" t="s">
        <v>146</v>
      </c>
      <c r="AB45" s="15">
        <v>4001380029</v>
      </c>
      <c r="AC45" s="61">
        <v>44587</v>
      </c>
      <c r="AD45" s="48">
        <v>1242</v>
      </c>
      <c r="AE45" s="16" t="s">
        <v>147</v>
      </c>
    </row>
    <row r="46" s="16" customFormat="1" ht="15" hidden="1" customHeight="1" spans="1:32">
      <c r="A46" s="16" t="s">
        <v>34</v>
      </c>
      <c r="B46" s="46">
        <v>683</v>
      </c>
      <c r="C46" s="57">
        <v>44329</v>
      </c>
      <c r="D46" s="16" t="s">
        <v>137</v>
      </c>
      <c r="E46" s="16" t="s">
        <v>138</v>
      </c>
      <c r="F46" s="16" t="s">
        <v>139</v>
      </c>
      <c r="H46" s="46">
        <v>1.2738</v>
      </c>
      <c r="I46" s="46"/>
      <c r="J46" s="16" t="s">
        <v>140</v>
      </c>
      <c r="K46" s="46">
        <v>2000</v>
      </c>
      <c r="L46" s="58">
        <v>105</v>
      </c>
      <c r="M46" s="46"/>
      <c r="N46" s="46" t="s">
        <v>66</v>
      </c>
      <c r="O46" s="46" t="s">
        <v>141</v>
      </c>
      <c r="P46" s="46"/>
      <c r="Q46" s="16">
        <v>8420</v>
      </c>
      <c r="R46" s="16">
        <f>P44-Q44-Q45-Q46</f>
        <v>-408</v>
      </c>
      <c r="S46" s="16">
        <v>1265</v>
      </c>
      <c r="T46" s="46" t="s">
        <v>94</v>
      </c>
      <c r="U46" s="16">
        <v>50560</v>
      </c>
      <c r="V46" s="59">
        <v>44330</v>
      </c>
      <c r="W46" s="16" t="s">
        <v>44</v>
      </c>
      <c r="Y46" s="50">
        <v>44440</v>
      </c>
      <c r="Z46" s="16" t="s">
        <v>45</v>
      </c>
      <c r="AA46" s="16" t="s">
        <v>145</v>
      </c>
      <c r="AB46" s="16">
        <v>4001380044</v>
      </c>
      <c r="AC46" s="60">
        <v>44596</v>
      </c>
      <c r="AD46" s="48">
        <v>1241</v>
      </c>
      <c r="AE46" s="16" t="s">
        <v>48</v>
      </c>
    </row>
    <row r="47" s="16" customFormat="1" ht="15" hidden="1" customHeight="1" spans="1:32">
      <c r="A47" s="16" t="s">
        <v>34</v>
      </c>
      <c r="B47" s="46">
        <v>683</v>
      </c>
      <c r="C47" s="57">
        <v>44329</v>
      </c>
      <c r="D47" s="16" t="s">
        <v>137</v>
      </c>
      <c r="E47" s="16" t="s">
        <v>138</v>
      </c>
      <c r="F47" s="16" t="s">
        <v>139</v>
      </c>
      <c r="H47" s="46">
        <v>1.2311</v>
      </c>
      <c r="I47" s="46"/>
      <c r="J47" s="16" t="s">
        <v>140</v>
      </c>
      <c r="K47" s="46">
        <v>2000</v>
      </c>
      <c r="L47" s="58">
        <v>32</v>
      </c>
      <c r="M47" s="46">
        <v>5500</v>
      </c>
      <c r="N47" s="46" t="s">
        <v>66</v>
      </c>
      <c r="O47" s="46" t="s">
        <v>141</v>
      </c>
      <c r="P47" s="46">
        <v>11053</v>
      </c>
      <c r="Q47" s="16">
        <f>1454+1454</f>
        <v>2908</v>
      </c>
      <c r="S47" s="16">
        <v>1145</v>
      </c>
      <c r="T47" s="46" t="s">
        <v>94</v>
      </c>
      <c r="U47" s="16">
        <v>50560</v>
      </c>
      <c r="V47" s="59">
        <v>44330</v>
      </c>
      <c r="W47" s="16" t="s">
        <v>44</v>
      </c>
      <c r="Y47" s="50">
        <v>44440</v>
      </c>
      <c r="Z47" s="16" t="s">
        <v>45</v>
      </c>
      <c r="AA47" s="16" t="s">
        <v>146</v>
      </c>
      <c r="AB47" s="15">
        <v>4001380029</v>
      </c>
      <c r="AC47" s="61">
        <v>44587</v>
      </c>
      <c r="AD47" s="48">
        <v>1242</v>
      </c>
      <c r="AE47" s="16" t="s">
        <v>147</v>
      </c>
    </row>
    <row r="48" s="16" customFormat="1" ht="15" hidden="1" customHeight="1" spans="1:32">
      <c r="A48" s="16" t="s">
        <v>34</v>
      </c>
      <c r="B48" s="46">
        <v>683</v>
      </c>
      <c r="C48" s="57">
        <v>44329</v>
      </c>
      <c r="D48" s="16" t="s">
        <v>137</v>
      </c>
      <c r="E48" s="16" t="s">
        <v>138</v>
      </c>
      <c r="F48" s="16" t="s">
        <v>139</v>
      </c>
      <c r="H48" s="46">
        <v>1.2311</v>
      </c>
      <c r="I48" s="46"/>
      <c r="J48" s="16" t="s">
        <v>140</v>
      </c>
      <c r="K48" s="46">
        <v>2000</v>
      </c>
      <c r="L48" s="58">
        <v>32</v>
      </c>
      <c r="M48" s="46">
        <v>5500</v>
      </c>
      <c r="N48" s="46" t="s">
        <v>66</v>
      </c>
      <c r="O48" s="46" t="s">
        <v>141</v>
      </c>
      <c r="P48" s="46"/>
      <c r="Q48" s="16">
        <v>1467</v>
      </c>
      <c r="S48" s="16">
        <v>1145</v>
      </c>
      <c r="T48" s="46" t="s">
        <v>94</v>
      </c>
      <c r="U48" s="16">
        <v>50560</v>
      </c>
      <c r="V48" s="59">
        <v>44330</v>
      </c>
      <c r="W48" s="16" t="s">
        <v>44</v>
      </c>
      <c r="Y48" s="50">
        <v>44440</v>
      </c>
      <c r="Z48" s="16" t="s">
        <v>45</v>
      </c>
      <c r="AA48" s="16" t="s">
        <v>146</v>
      </c>
      <c r="AB48" s="15">
        <v>4001380210</v>
      </c>
      <c r="AC48" s="61" t="s">
        <v>160</v>
      </c>
      <c r="AD48" s="48">
        <v>1295</v>
      </c>
      <c r="AE48" s="16" t="s">
        <v>147</v>
      </c>
      <c r="AF48" s="16" t="s">
        <v>161</v>
      </c>
    </row>
    <row r="49" s="16" customFormat="1" ht="15" hidden="1" customHeight="1" spans="1:32">
      <c r="A49" s="16" t="s">
        <v>34</v>
      </c>
      <c r="B49" s="46">
        <v>683</v>
      </c>
      <c r="C49" s="57">
        <v>44329</v>
      </c>
      <c r="D49" s="16" t="s">
        <v>137</v>
      </c>
      <c r="E49" s="16" t="s">
        <v>138</v>
      </c>
      <c r="F49" s="16" t="s">
        <v>139</v>
      </c>
      <c r="H49" s="46">
        <v>1.2311</v>
      </c>
      <c r="I49" s="46"/>
      <c r="J49" s="16" t="s">
        <v>140</v>
      </c>
      <c r="K49" s="46">
        <v>2000</v>
      </c>
      <c r="L49" s="58">
        <v>32</v>
      </c>
      <c r="M49" s="46">
        <v>5500</v>
      </c>
      <c r="N49" s="46" t="s">
        <v>66</v>
      </c>
      <c r="O49" s="46" t="s">
        <v>141</v>
      </c>
      <c r="P49" s="46"/>
      <c r="Q49" s="16">
        <v>2953</v>
      </c>
      <c r="S49" s="16">
        <v>1145</v>
      </c>
      <c r="T49" s="46" t="s">
        <v>94</v>
      </c>
      <c r="U49" s="16">
        <v>50560</v>
      </c>
      <c r="V49" s="59">
        <v>44330</v>
      </c>
      <c r="W49" s="16" t="s">
        <v>44</v>
      </c>
      <c r="Y49" s="50">
        <v>44440</v>
      </c>
      <c r="Z49" s="16" t="s">
        <v>45</v>
      </c>
      <c r="AA49" s="16" t="s">
        <v>145</v>
      </c>
      <c r="AB49" s="15">
        <v>4001380198</v>
      </c>
      <c r="AC49" s="61" t="s">
        <v>162</v>
      </c>
      <c r="AD49" s="48">
        <v>1322</v>
      </c>
      <c r="AE49" s="16" t="s">
        <v>48</v>
      </c>
    </row>
    <row r="50" s="16" customFormat="1" ht="15" hidden="1" customHeight="1" spans="1:32">
      <c r="A50" s="16" t="s">
        <v>34</v>
      </c>
      <c r="B50" s="46">
        <v>683</v>
      </c>
      <c r="C50" s="57">
        <v>44329</v>
      </c>
      <c r="D50" s="16" t="s">
        <v>137</v>
      </c>
      <c r="E50" s="16" t="s">
        <v>138</v>
      </c>
      <c r="F50" s="16" t="s">
        <v>139</v>
      </c>
      <c r="H50" s="46">
        <v>1.2311</v>
      </c>
      <c r="I50" s="46"/>
      <c r="J50" s="16" t="s">
        <v>140</v>
      </c>
      <c r="K50" s="46">
        <v>2000</v>
      </c>
      <c r="L50" s="58">
        <v>32</v>
      </c>
      <c r="M50" s="46">
        <v>5500</v>
      </c>
      <c r="N50" s="46" t="s">
        <v>66</v>
      </c>
      <c r="O50" s="46" t="s">
        <v>141</v>
      </c>
      <c r="P50" s="46"/>
      <c r="Q50" s="16">
        <f>1464+1478+1478</f>
        <v>4420</v>
      </c>
      <c r="R50" s="16">
        <f>P47-Q47-Q48-Q49-Q50</f>
        <v>-695</v>
      </c>
      <c r="S50" s="16">
        <v>1145</v>
      </c>
      <c r="T50" s="46" t="s">
        <v>94</v>
      </c>
      <c r="U50" s="16">
        <v>50560</v>
      </c>
      <c r="V50" s="59">
        <v>44330</v>
      </c>
      <c r="W50" s="16" t="s">
        <v>44</v>
      </c>
      <c r="Y50" s="50">
        <v>44440</v>
      </c>
      <c r="Z50" s="16" t="s">
        <v>142</v>
      </c>
      <c r="AA50" s="16" t="s">
        <v>146</v>
      </c>
      <c r="AB50" s="15">
        <v>4001380046</v>
      </c>
      <c r="AC50" s="61" t="s">
        <v>163</v>
      </c>
      <c r="AD50" s="48">
        <v>1382</v>
      </c>
      <c r="AE50" s="16" t="s">
        <v>147</v>
      </c>
      <c r="AF50" s="16" t="s">
        <v>164</v>
      </c>
    </row>
    <row r="51" s="16" customFormat="1" ht="15" hidden="1" customHeight="1" spans="1:32">
      <c r="A51" s="16" t="s">
        <v>34</v>
      </c>
      <c r="B51" s="46">
        <v>683</v>
      </c>
      <c r="C51" s="57">
        <v>44329</v>
      </c>
      <c r="D51" s="16" t="s">
        <v>137</v>
      </c>
      <c r="E51" s="16" t="s">
        <v>138</v>
      </c>
      <c r="F51" s="16" t="s">
        <v>139</v>
      </c>
      <c r="H51" s="46">
        <v>1.2311</v>
      </c>
      <c r="I51" s="46"/>
      <c r="J51" s="16" t="s">
        <v>140</v>
      </c>
      <c r="K51" s="46">
        <v>2000</v>
      </c>
      <c r="L51" s="58">
        <v>40</v>
      </c>
      <c r="M51" s="46">
        <v>5500</v>
      </c>
      <c r="N51" s="46" t="s">
        <v>66</v>
      </c>
      <c r="O51" s="46" t="s">
        <v>141</v>
      </c>
      <c r="P51" s="46">
        <v>10362</v>
      </c>
      <c r="Q51" s="16">
        <f>1833+1833</f>
        <v>3666</v>
      </c>
      <c r="S51" s="16">
        <v>1145</v>
      </c>
      <c r="T51" s="46" t="s">
        <v>94</v>
      </c>
      <c r="U51" s="16">
        <v>50560</v>
      </c>
      <c r="V51" s="59">
        <v>44330</v>
      </c>
      <c r="W51" s="16" t="s">
        <v>44</v>
      </c>
      <c r="Y51" s="50">
        <v>44440</v>
      </c>
      <c r="Z51" s="16" t="s">
        <v>45</v>
      </c>
      <c r="AA51" s="16" t="s">
        <v>146</v>
      </c>
      <c r="AB51" s="15">
        <v>4001380029</v>
      </c>
      <c r="AC51" s="61">
        <v>44587</v>
      </c>
      <c r="AD51" s="48">
        <v>1242</v>
      </c>
      <c r="AE51" s="16" t="s">
        <v>147</v>
      </c>
    </row>
    <row r="52" s="16" customFormat="1" ht="15" hidden="1" customHeight="1" spans="1:32">
      <c r="A52" s="16" t="s">
        <v>34</v>
      </c>
      <c r="B52" s="46">
        <v>683</v>
      </c>
      <c r="C52" s="57">
        <v>44329</v>
      </c>
      <c r="D52" s="16" t="s">
        <v>137</v>
      </c>
      <c r="E52" s="16" t="s">
        <v>138</v>
      </c>
      <c r="F52" s="16" t="s">
        <v>139</v>
      </c>
      <c r="H52" s="46">
        <v>1.2311</v>
      </c>
      <c r="I52" s="46"/>
      <c r="J52" s="16" t="s">
        <v>140</v>
      </c>
      <c r="K52" s="46">
        <v>2000</v>
      </c>
      <c r="L52" s="58">
        <v>40</v>
      </c>
      <c r="M52" s="46">
        <v>5500</v>
      </c>
      <c r="N52" s="46" t="s">
        <v>66</v>
      </c>
      <c r="O52" s="46" t="s">
        <v>141</v>
      </c>
      <c r="P52" s="46"/>
      <c r="Q52" s="16">
        <f>1842+1835</f>
        <v>3677</v>
      </c>
      <c r="S52" s="16">
        <v>1145</v>
      </c>
      <c r="T52" s="46" t="s">
        <v>94</v>
      </c>
      <c r="U52" s="16">
        <v>50560</v>
      </c>
      <c r="V52" s="59">
        <v>44330</v>
      </c>
      <c r="W52" s="16" t="s">
        <v>44</v>
      </c>
      <c r="Y52" s="50">
        <v>44440</v>
      </c>
      <c r="Z52" s="16" t="s">
        <v>45</v>
      </c>
      <c r="AA52" s="16" t="s">
        <v>146</v>
      </c>
      <c r="AB52" s="15">
        <v>4001380210</v>
      </c>
      <c r="AC52" s="61" t="s">
        <v>160</v>
      </c>
      <c r="AD52" s="48">
        <v>1295</v>
      </c>
      <c r="AE52" s="16" t="s">
        <v>147</v>
      </c>
      <c r="AF52" s="16" t="s">
        <v>161</v>
      </c>
    </row>
    <row r="53" s="16" customFormat="1" ht="15" hidden="1" customHeight="1" spans="1:32">
      <c r="A53" s="16" t="s">
        <v>34</v>
      </c>
      <c r="B53" s="46">
        <v>683</v>
      </c>
      <c r="C53" s="57">
        <v>44329</v>
      </c>
      <c r="D53" s="16" t="s">
        <v>137</v>
      </c>
      <c r="E53" s="16" t="s">
        <v>138</v>
      </c>
      <c r="F53" s="16" t="s">
        <v>139</v>
      </c>
      <c r="H53" s="46">
        <v>1.2311</v>
      </c>
      <c r="I53" s="46"/>
      <c r="J53" s="16" t="s">
        <v>140</v>
      </c>
      <c r="K53" s="46">
        <v>2000</v>
      </c>
      <c r="L53" s="58">
        <v>40</v>
      </c>
      <c r="M53" s="46">
        <v>5500</v>
      </c>
      <c r="N53" s="46" t="s">
        <v>66</v>
      </c>
      <c r="O53" s="46" t="s">
        <v>141</v>
      </c>
      <c r="P53" s="46"/>
      <c r="Q53" s="16">
        <f>1840+1833</f>
        <v>3673</v>
      </c>
      <c r="R53" s="16">
        <f>P51-Q51-Q52-Q53</f>
        <v>-654</v>
      </c>
      <c r="S53" s="16">
        <v>1145</v>
      </c>
      <c r="T53" s="46" t="s">
        <v>94</v>
      </c>
      <c r="U53" s="16">
        <v>50560</v>
      </c>
      <c r="V53" s="59">
        <v>44330</v>
      </c>
      <c r="W53" s="16" t="s">
        <v>44</v>
      </c>
      <c r="Y53" s="50">
        <v>44440</v>
      </c>
      <c r="Z53" s="16" t="s">
        <v>142</v>
      </c>
      <c r="AA53" s="16" t="s">
        <v>146</v>
      </c>
      <c r="AB53" s="15">
        <v>4001380046</v>
      </c>
      <c r="AC53" s="61" t="s">
        <v>163</v>
      </c>
      <c r="AD53" s="48">
        <v>1382</v>
      </c>
      <c r="AE53" s="16" t="s">
        <v>147</v>
      </c>
      <c r="AF53" s="16" t="s">
        <v>164</v>
      </c>
    </row>
    <row r="54" s="16" customFormat="1" ht="15" hidden="1" customHeight="1" spans="1:32">
      <c r="A54" s="16" t="s">
        <v>34</v>
      </c>
      <c r="B54" s="46">
        <v>683</v>
      </c>
      <c r="C54" s="57">
        <v>44329</v>
      </c>
      <c r="D54" s="16" t="s">
        <v>137</v>
      </c>
      <c r="E54" s="16" t="s">
        <v>138</v>
      </c>
      <c r="F54" s="16" t="s">
        <v>139</v>
      </c>
      <c r="H54" s="46">
        <v>1.2311</v>
      </c>
      <c r="I54" s="46"/>
      <c r="J54" s="16" t="s">
        <v>140</v>
      </c>
      <c r="K54" s="46">
        <v>2000</v>
      </c>
      <c r="L54" s="58">
        <v>65</v>
      </c>
      <c r="M54" s="46">
        <v>5500</v>
      </c>
      <c r="N54" s="46" t="s">
        <v>66</v>
      </c>
      <c r="O54" s="46" t="s">
        <v>141</v>
      </c>
      <c r="P54" s="46">
        <v>11226</v>
      </c>
      <c r="Q54" s="16">
        <v>2903</v>
      </c>
      <c r="S54" s="16">
        <v>1145</v>
      </c>
      <c r="T54" s="46" t="s">
        <v>94</v>
      </c>
      <c r="U54" s="16">
        <v>50560</v>
      </c>
      <c r="V54" s="59">
        <v>44330</v>
      </c>
      <c r="W54" s="16" t="s">
        <v>44</v>
      </c>
      <c r="Y54" s="50">
        <v>44440</v>
      </c>
      <c r="Z54" s="16" t="s">
        <v>45</v>
      </c>
      <c r="AA54" s="16" t="s">
        <v>146</v>
      </c>
      <c r="AB54" s="15">
        <v>4001380029</v>
      </c>
      <c r="AC54" s="61">
        <v>44587</v>
      </c>
      <c r="AD54" s="48">
        <v>1242</v>
      </c>
      <c r="AE54" s="16" t="s">
        <v>147</v>
      </c>
    </row>
    <row r="55" s="16" customFormat="1" ht="15" hidden="1" customHeight="1" spans="1:32">
      <c r="A55" s="16" t="s">
        <v>34</v>
      </c>
      <c r="B55" s="46">
        <v>683</v>
      </c>
      <c r="C55" s="57">
        <v>44329</v>
      </c>
      <c r="D55" s="16" t="s">
        <v>137</v>
      </c>
      <c r="E55" s="16" t="s">
        <v>138</v>
      </c>
      <c r="F55" s="16" t="s">
        <v>139</v>
      </c>
      <c r="H55" s="46">
        <v>1.2311</v>
      </c>
      <c r="I55" s="46"/>
      <c r="J55" s="16" t="s">
        <v>140</v>
      </c>
      <c r="K55" s="46">
        <v>2000</v>
      </c>
      <c r="L55" s="58">
        <v>65</v>
      </c>
      <c r="M55" s="46">
        <v>5500</v>
      </c>
      <c r="N55" s="46" t="s">
        <v>66</v>
      </c>
      <c r="O55" s="46" t="s">
        <v>141</v>
      </c>
      <c r="P55" s="46"/>
      <c r="Q55" s="16">
        <f>2897+2911+2911</f>
        <v>8719</v>
      </c>
      <c r="R55" s="16">
        <f>P54-Q54-Q55</f>
        <v>-396</v>
      </c>
      <c r="S55" s="16">
        <v>1145</v>
      </c>
      <c r="T55" s="46" t="s">
        <v>94</v>
      </c>
      <c r="U55" s="16">
        <v>50560</v>
      </c>
      <c r="V55" s="59">
        <v>44330</v>
      </c>
      <c r="W55" s="16" t="s">
        <v>44</v>
      </c>
      <c r="Y55" s="50">
        <v>44440</v>
      </c>
      <c r="Z55" s="16" t="s">
        <v>142</v>
      </c>
      <c r="AA55" s="16" t="s">
        <v>146</v>
      </c>
      <c r="AB55" s="15">
        <v>4001380046</v>
      </c>
      <c r="AC55" s="61" t="s">
        <v>163</v>
      </c>
      <c r="AD55" s="48">
        <v>1382</v>
      </c>
      <c r="AE55" s="16" t="s">
        <v>147</v>
      </c>
      <c r="AF55" s="16" t="s">
        <v>164</v>
      </c>
    </row>
    <row r="56" s="16" customFormat="1" ht="15" hidden="1" customHeight="1" spans="1:32">
      <c r="A56" s="16" t="s">
        <v>34</v>
      </c>
      <c r="B56" s="46">
        <v>683</v>
      </c>
      <c r="C56" s="57">
        <v>44329</v>
      </c>
      <c r="D56" s="16" t="s">
        <v>137</v>
      </c>
      <c r="E56" s="16" t="s">
        <v>138</v>
      </c>
      <c r="F56" s="16" t="s">
        <v>139</v>
      </c>
      <c r="H56" s="46" t="s">
        <v>108</v>
      </c>
      <c r="I56" s="46"/>
      <c r="J56" s="16" t="s">
        <v>140</v>
      </c>
      <c r="K56" s="46">
        <v>2000</v>
      </c>
      <c r="L56" s="58">
        <v>255</v>
      </c>
      <c r="M56" s="46">
        <v>6200</v>
      </c>
      <c r="N56" s="46" t="s">
        <v>66</v>
      </c>
      <c r="O56" s="46" t="s">
        <v>168</v>
      </c>
      <c r="P56" s="46">
        <v>24822</v>
      </c>
      <c r="Q56" s="16">
        <v>12760</v>
      </c>
      <c r="S56" s="16">
        <v>1725</v>
      </c>
      <c r="T56" s="46" t="s">
        <v>94</v>
      </c>
      <c r="U56" s="16">
        <v>50560</v>
      </c>
      <c r="V56" s="59">
        <v>44330</v>
      </c>
      <c r="W56" s="16" t="s">
        <v>44</v>
      </c>
      <c r="Y56" s="50">
        <v>44440</v>
      </c>
      <c r="Z56" s="16" t="s">
        <v>45</v>
      </c>
      <c r="AA56" s="16" t="s">
        <v>145</v>
      </c>
      <c r="AB56" s="16">
        <v>4001380044</v>
      </c>
      <c r="AC56" s="60">
        <v>44596</v>
      </c>
      <c r="AD56" s="48">
        <v>1241</v>
      </c>
      <c r="AE56" s="16" t="s">
        <v>48</v>
      </c>
    </row>
    <row r="57" s="16" customFormat="1" ht="15" hidden="1" customHeight="1" spans="1:32">
      <c r="A57" s="16" t="s">
        <v>34</v>
      </c>
      <c r="B57" s="46">
        <v>683</v>
      </c>
      <c r="C57" s="57">
        <v>44329</v>
      </c>
      <c r="D57" s="16" t="s">
        <v>137</v>
      </c>
      <c r="E57" s="16" t="s">
        <v>138</v>
      </c>
      <c r="F57" s="16" t="s">
        <v>139</v>
      </c>
      <c r="H57" s="46" t="s">
        <v>108</v>
      </c>
      <c r="I57" s="46"/>
      <c r="J57" s="16" t="s">
        <v>140</v>
      </c>
      <c r="K57" s="46">
        <v>2000</v>
      </c>
      <c r="L57" s="58">
        <v>255</v>
      </c>
      <c r="M57" s="46">
        <v>6200</v>
      </c>
      <c r="N57" s="46" t="s">
        <v>66</v>
      </c>
      <c r="O57" s="46" t="s">
        <v>168</v>
      </c>
      <c r="P57" s="46"/>
      <c r="Q57" s="16">
        <v>12800</v>
      </c>
      <c r="R57" s="16">
        <f>P56-Q56-Q57</f>
        <v>-738</v>
      </c>
      <c r="S57" s="16">
        <v>1725</v>
      </c>
      <c r="T57" s="46" t="s">
        <v>94</v>
      </c>
      <c r="U57" s="16">
        <v>50560</v>
      </c>
      <c r="V57" s="59">
        <v>44330</v>
      </c>
      <c r="W57" s="16" t="s">
        <v>44</v>
      </c>
      <c r="Y57" s="50">
        <v>44440</v>
      </c>
      <c r="Z57" s="16" t="s">
        <v>45</v>
      </c>
      <c r="AA57" s="16" t="s">
        <v>145</v>
      </c>
      <c r="AB57" s="16">
        <v>4001380086</v>
      </c>
      <c r="AC57" s="60">
        <v>44641</v>
      </c>
      <c r="AD57" s="48">
        <v>1263</v>
      </c>
      <c r="AE57" s="16" t="s">
        <v>48</v>
      </c>
    </row>
    <row r="58" s="16" customFormat="1" ht="15" hidden="1" customHeight="1" spans="1:32">
      <c r="A58" s="16" t="s">
        <v>34</v>
      </c>
      <c r="B58" s="46">
        <v>683</v>
      </c>
      <c r="C58" s="57">
        <v>44329</v>
      </c>
      <c r="D58" s="16" t="s">
        <v>137</v>
      </c>
      <c r="E58" s="16" t="s">
        <v>138</v>
      </c>
      <c r="F58" s="16" t="s">
        <v>139</v>
      </c>
      <c r="H58" s="46" t="s">
        <v>108</v>
      </c>
      <c r="I58" s="46"/>
      <c r="J58" s="16" t="s">
        <v>140</v>
      </c>
      <c r="K58" s="46">
        <v>2000</v>
      </c>
      <c r="L58" s="58">
        <v>310</v>
      </c>
      <c r="M58" s="46">
        <v>5050</v>
      </c>
      <c r="N58" s="46" t="s">
        <v>66</v>
      </c>
      <c r="O58" s="46" t="s">
        <v>168</v>
      </c>
      <c r="P58" s="46">
        <v>24578</v>
      </c>
      <c r="Q58" s="16">
        <v>25960</v>
      </c>
      <c r="R58" s="16">
        <f>P58-Q58</f>
        <v>-1382</v>
      </c>
      <c r="S58" s="16">
        <v>1725</v>
      </c>
      <c r="T58" s="46" t="s">
        <v>94</v>
      </c>
      <c r="U58" s="16">
        <v>50560</v>
      </c>
      <c r="V58" s="59">
        <v>44330</v>
      </c>
      <c r="W58" s="16" t="s">
        <v>44</v>
      </c>
      <c r="Y58" s="50">
        <v>44440</v>
      </c>
      <c r="Z58" s="16" t="s">
        <v>45</v>
      </c>
      <c r="AA58" s="16" t="s">
        <v>145</v>
      </c>
      <c r="AB58" s="16">
        <v>4001380298</v>
      </c>
      <c r="AC58" s="60">
        <v>44511</v>
      </c>
      <c r="AD58" s="48">
        <v>1233</v>
      </c>
      <c r="AE58" s="16" t="s">
        <v>48</v>
      </c>
    </row>
    <row r="59" s="16" customFormat="1" ht="15" hidden="1" customHeight="1" spans="1:32">
      <c r="A59" s="16" t="s">
        <v>34</v>
      </c>
      <c r="B59" s="46">
        <v>683</v>
      </c>
      <c r="C59" s="57">
        <v>44329</v>
      </c>
      <c r="D59" s="16" t="s">
        <v>137</v>
      </c>
      <c r="E59" s="16" t="s">
        <v>138</v>
      </c>
      <c r="F59" s="16" t="s">
        <v>139</v>
      </c>
      <c r="H59" s="46" t="s">
        <v>169</v>
      </c>
      <c r="I59" s="46"/>
      <c r="J59" s="16" t="s">
        <v>140</v>
      </c>
      <c r="K59" s="46">
        <v>2000</v>
      </c>
      <c r="L59" s="58">
        <v>310</v>
      </c>
      <c r="M59" s="46">
        <v>5050</v>
      </c>
      <c r="N59" s="46" t="s">
        <v>66</v>
      </c>
      <c r="O59" s="46" t="s">
        <v>168</v>
      </c>
      <c r="P59" s="46">
        <v>24578</v>
      </c>
      <c r="Q59" s="16">
        <v>13547</v>
      </c>
      <c r="S59" s="16">
        <v>1455</v>
      </c>
      <c r="T59" s="46" t="s">
        <v>94</v>
      </c>
      <c r="U59" s="16">
        <v>50560</v>
      </c>
      <c r="V59" s="59">
        <v>44330</v>
      </c>
      <c r="W59" s="16" t="s">
        <v>44</v>
      </c>
      <c r="Y59" s="50">
        <v>44440</v>
      </c>
      <c r="Z59" s="16" t="s">
        <v>45</v>
      </c>
      <c r="AA59" s="16" t="s">
        <v>145</v>
      </c>
      <c r="AB59" s="15">
        <v>4001380198</v>
      </c>
      <c r="AC59" s="61" t="s">
        <v>162</v>
      </c>
      <c r="AD59" s="48">
        <v>1322</v>
      </c>
      <c r="AE59" s="16" t="s">
        <v>48</v>
      </c>
    </row>
    <row r="60" s="16" customFormat="1" ht="15" hidden="1" customHeight="1" spans="1:32">
      <c r="A60" s="16" t="s">
        <v>34</v>
      </c>
      <c r="B60" s="46">
        <v>683</v>
      </c>
      <c r="C60" s="57">
        <v>44329</v>
      </c>
      <c r="D60" s="16" t="s">
        <v>137</v>
      </c>
      <c r="E60" s="16" t="s">
        <v>138</v>
      </c>
      <c r="F60" s="16" t="s">
        <v>139</v>
      </c>
      <c r="H60" s="46" t="s">
        <v>169</v>
      </c>
      <c r="I60" s="46"/>
      <c r="J60" s="16" t="s">
        <v>140</v>
      </c>
      <c r="K60" s="46">
        <v>2000</v>
      </c>
      <c r="L60" s="58">
        <v>310</v>
      </c>
      <c r="M60" s="46"/>
      <c r="N60" s="46"/>
      <c r="O60" s="46" t="s">
        <v>168</v>
      </c>
      <c r="P60" s="46"/>
      <c r="Q60" s="16">
        <v>13596</v>
      </c>
      <c r="R60" s="16">
        <f>P59-Q59-Q60</f>
        <v>-2565</v>
      </c>
      <c r="S60" s="16">
        <v>1455</v>
      </c>
      <c r="T60" s="46" t="s">
        <v>94</v>
      </c>
      <c r="U60" s="16">
        <v>50560</v>
      </c>
      <c r="V60" s="59">
        <v>44330</v>
      </c>
      <c r="W60" s="16" t="s">
        <v>44</v>
      </c>
      <c r="Y60" s="50">
        <v>44440</v>
      </c>
      <c r="Z60" s="16" t="s">
        <v>45</v>
      </c>
      <c r="AA60" s="16" t="s">
        <v>146</v>
      </c>
      <c r="AB60" s="15">
        <v>4001380210</v>
      </c>
      <c r="AC60" s="61" t="s">
        <v>160</v>
      </c>
      <c r="AD60" s="48">
        <v>1295</v>
      </c>
      <c r="AE60" s="16" t="s">
        <v>170</v>
      </c>
    </row>
    <row r="61" s="16" customFormat="1" ht="15" hidden="1" customHeight="1" spans="1:32">
      <c r="A61" s="16" t="s">
        <v>34</v>
      </c>
      <c r="B61" s="46">
        <v>686</v>
      </c>
      <c r="C61" s="57">
        <v>44336</v>
      </c>
      <c r="D61" s="16" t="s">
        <v>137</v>
      </c>
      <c r="E61" s="16" t="s">
        <v>138</v>
      </c>
      <c r="F61" s="16" t="s">
        <v>139</v>
      </c>
      <c r="H61" s="46">
        <v>1.2316</v>
      </c>
      <c r="I61" s="46"/>
      <c r="J61" s="16" t="s">
        <v>140</v>
      </c>
      <c r="K61" s="46">
        <v>2000</v>
      </c>
      <c r="L61" s="58">
        <v>135</v>
      </c>
      <c r="M61" s="46"/>
      <c r="N61" s="46" t="s">
        <v>66</v>
      </c>
      <c r="O61" s="46" t="s">
        <v>168</v>
      </c>
      <c r="P61" s="46">
        <v>24162</v>
      </c>
      <c r="Q61" s="16">
        <f>3246+3246+3127+2707</f>
        <v>12326</v>
      </c>
      <c r="S61" s="16">
        <v>2640</v>
      </c>
      <c r="T61" s="46" t="s">
        <v>94</v>
      </c>
      <c r="U61" s="16">
        <v>50620</v>
      </c>
      <c r="V61" s="59">
        <v>44336</v>
      </c>
      <c r="W61" s="16" t="s">
        <v>44</v>
      </c>
      <c r="Y61" s="50">
        <v>44470</v>
      </c>
      <c r="Z61" s="16" t="s">
        <v>45</v>
      </c>
      <c r="AA61" s="16" t="s">
        <v>171</v>
      </c>
      <c r="AB61" s="16">
        <v>4001380048</v>
      </c>
      <c r="AC61" s="16" t="s">
        <v>172</v>
      </c>
      <c r="AD61" s="48">
        <v>1380</v>
      </c>
      <c r="AE61" s="16" t="s">
        <v>48</v>
      </c>
    </row>
    <row r="62" s="16" customFormat="1" ht="15" hidden="1" customHeight="1" spans="1:32">
      <c r="A62" s="16" t="s">
        <v>34</v>
      </c>
      <c r="B62" s="46">
        <v>686</v>
      </c>
      <c r="C62" s="57">
        <v>44336</v>
      </c>
      <c r="D62" s="16" t="s">
        <v>137</v>
      </c>
      <c r="E62" s="16" t="s">
        <v>138</v>
      </c>
      <c r="F62" s="16" t="s">
        <v>139</v>
      </c>
      <c r="H62" s="46">
        <v>1.2316</v>
      </c>
      <c r="I62" s="46"/>
      <c r="J62" s="16" t="s">
        <v>140</v>
      </c>
      <c r="K62" s="46">
        <v>2000</v>
      </c>
      <c r="L62" s="58">
        <v>135</v>
      </c>
      <c r="M62" s="46"/>
      <c r="N62" s="46" t="s">
        <v>66</v>
      </c>
      <c r="O62" s="46" t="s">
        <v>168</v>
      </c>
      <c r="P62" s="46"/>
      <c r="Q62" s="16">
        <f>3140+2936+2936+2718</f>
        <v>11730</v>
      </c>
      <c r="R62" s="16">
        <f>P61-Q61-Q62</f>
        <v>106</v>
      </c>
      <c r="S62" s="16">
        <v>2640</v>
      </c>
      <c r="T62" s="46" t="s">
        <v>94</v>
      </c>
      <c r="U62" s="16">
        <v>50620</v>
      </c>
      <c r="V62" s="59">
        <v>44336</v>
      </c>
      <c r="W62" s="16" t="s">
        <v>44</v>
      </c>
      <c r="Y62" s="50">
        <v>44470</v>
      </c>
      <c r="Z62" s="16" t="s">
        <v>142</v>
      </c>
      <c r="AA62" s="16" t="s">
        <v>171</v>
      </c>
      <c r="AB62" s="16">
        <v>4001380047</v>
      </c>
      <c r="AC62" s="16" t="s">
        <v>173</v>
      </c>
      <c r="AD62" s="48">
        <v>1381</v>
      </c>
    </row>
    <row r="63" s="16" customFormat="1" ht="15" hidden="1" customHeight="1" spans="1:32">
      <c r="A63" s="16" t="s">
        <v>34</v>
      </c>
      <c r="B63" s="46">
        <v>686</v>
      </c>
      <c r="C63" s="57">
        <v>44336</v>
      </c>
      <c r="D63" s="16" t="s">
        <v>137</v>
      </c>
      <c r="E63" s="16" t="s">
        <v>138</v>
      </c>
      <c r="F63" s="16" t="s">
        <v>139</v>
      </c>
      <c r="H63" s="46">
        <v>1.2316</v>
      </c>
      <c r="I63" s="46"/>
      <c r="J63" s="16" t="s">
        <v>140</v>
      </c>
      <c r="K63" s="46">
        <v>2000</v>
      </c>
      <c r="L63" s="58">
        <v>310</v>
      </c>
      <c r="M63" s="46"/>
      <c r="N63" s="46" t="s">
        <v>66</v>
      </c>
      <c r="O63" s="46" t="s">
        <v>168</v>
      </c>
      <c r="P63" s="46">
        <v>24578</v>
      </c>
      <c r="Q63" s="16">
        <v>13114</v>
      </c>
      <c r="S63" s="16">
        <v>2640</v>
      </c>
      <c r="T63" s="46" t="s">
        <v>94</v>
      </c>
      <c r="U63" s="16">
        <v>50620</v>
      </c>
      <c r="V63" s="59">
        <v>44336</v>
      </c>
      <c r="W63" s="16" t="s">
        <v>44</v>
      </c>
      <c r="Y63" s="50">
        <v>44470</v>
      </c>
      <c r="Z63" s="16" t="s">
        <v>45</v>
      </c>
      <c r="AA63" s="16" t="s">
        <v>171</v>
      </c>
      <c r="AB63" s="16">
        <v>4001380048</v>
      </c>
      <c r="AC63" s="16" t="s">
        <v>172</v>
      </c>
      <c r="AD63" s="48">
        <v>1380</v>
      </c>
      <c r="AE63" s="16" t="s">
        <v>48</v>
      </c>
    </row>
    <row r="64" s="16" customFormat="1" ht="15" hidden="1" customHeight="1" spans="1:32">
      <c r="A64" s="16" t="s">
        <v>34</v>
      </c>
      <c r="B64" s="46">
        <v>686</v>
      </c>
      <c r="C64" s="57">
        <v>44336</v>
      </c>
      <c r="D64" s="16" t="s">
        <v>137</v>
      </c>
      <c r="E64" s="16" t="s">
        <v>138</v>
      </c>
      <c r="F64" s="16" t="s">
        <v>139</v>
      </c>
      <c r="H64" s="46">
        <v>1.2316</v>
      </c>
      <c r="I64" s="46"/>
      <c r="J64" s="16" t="s">
        <v>140</v>
      </c>
      <c r="K64" s="46">
        <v>2000</v>
      </c>
      <c r="L64" s="58">
        <v>310</v>
      </c>
      <c r="M64" s="46"/>
      <c r="N64" s="46" t="s">
        <v>66</v>
      </c>
      <c r="O64" s="46" t="s">
        <v>168</v>
      </c>
      <c r="P64" s="46"/>
      <c r="Q64" s="16">
        <v>13170</v>
      </c>
      <c r="R64" s="63">
        <f>P63-Q63-Q64</f>
        <v>-1706</v>
      </c>
      <c r="S64" s="16">
        <v>2640</v>
      </c>
      <c r="T64" s="46" t="s">
        <v>94</v>
      </c>
      <c r="U64" s="16">
        <v>50620</v>
      </c>
      <c r="V64" s="59">
        <v>44336</v>
      </c>
      <c r="W64" s="16" t="s">
        <v>44</v>
      </c>
      <c r="Y64" s="50">
        <v>44470</v>
      </c>
      <c r="Z64" s="16" t="s">
        <v>142</v>
      </c>
      <c r="AA64" s="16" t="s">
        <v>171</v>
      </c>
      <c r="AB64" s="16">
        <v>4001380047</v>
      </c>
      <c r="AC64" s="16" t="s">
        <v>173</v>
      </c>
      <c r="AD64" s="48">
        <v>1381</v>
      </c>
    </row>
    <row r="65" s="16" customFormat="1" ht="15" hidden="1" customHeight="1" spans="1:32">
      <c r="A65" s="16" t="s">
        <v>34</v>
      </c>
      <c r="B65" s="46">
        <v>665</v>
      </c>
      <c r="C65" s="47">
        <v>44277</v>
      </c>
      <c r="D65" s="16" t="s">
        <v>174</v>
      </c>
      <c r="E65" s="16" t="s">
        <v>175</v>
      </c>
      <c r="F65" s="16" t="s">
        <v>175</v>
      </c>
      <c r="H65" s="48" t="s">
        <v>117</v>
      </c>
      <c r="I65" s="48"/>
      <c r="J65" s="16" t="s">
        <v>140</v>
      </c>
      <c r="K65" s="16">
        <v>1050</v>
      </c>
      <c r="L65" s="48">
        <v>155</v>
      </c>
      <c r="N65" s="16" t="s">
        <v>66</v>
      </c>
      <c r="O65" s="46" t="s">
        <v>149</v>
      </c>
      <c r="P65" s="46">
        <v>20000</v>
      </c>
      <c r="Q65" s="16">
        <v>23212</v>
      </c>
      <c r="R65" s="16">
        <f>P65-Q65</f>
        <v>-3212</v>
      </c>
      <c r="S65" s="16">
        <v>2800</v>
      </c>
      <c r="T65" s="46" t="s">
        <v>94</v>
      </c>
      <c r="U65" s="16">
        <v>97431</v>
      </c>
      <c r="V65" s="49">
        <v>44281</v>
      </c>
      <c r="W65" s="16" t="s">
        <v>176</v>
      </c>
      <c r="Y65" s="50">
        <v>44440</v>
      </c>
      <c r="Z65" s="16" t="s">
        <v>177</v>
      </c>
      <c r="AA65" s="16" t="s">
        <v>46</v>
      </c>
      <c r="AB65" s="16" t="s">
        <v>178</v>
      </c>
      <c r="AC65" s="47">
        <v>44524</v>
      </c>
      <c r="AD65" s="48">
        <v>1227</v>
      </c>
      <c r="AE65" s="16" t="s">
        <v>48</v>
      </c>
      <c r="AF65" s="16" t="s">
        <v>179</v>
      </c>
    </row>
    <row r="66" s="16" customFormat="1" ht="15" hidden="1" customHeight="1" spans="1:32">
      <c r="A66" s="16" t="s">
        <v>34</v>
      </c>
      <c r="B66" s="46">
        <v>665</v>
      </c>
      <c r="C66" s="47">
        <v>44277</v>
      </c>
      <c r="D66" s="16" t="s">
        <v>174</v>
      </c>
      <c r="E66" s="16" t="s">
        <v>175</v>
      </c>
      <c r="F66" s="16" t="s">
        <v>175</v>
      </c>
      <c r="H66" s="48" t="s">
        <v>117</v>
      </c>
      <c r="I66" s="48"/>
      <c r="J66" s="16" t="s">
        <v>140</v>
      </c>
      <c r="K66" s="16">
        <v>1050</v>
      </c>
      <c r="L66" s="48">
        <v>255</v>
      </c>
      <c r="N66" s="16" t="s">
        <v>66</v>
      </c>
      <c r="O66" s="46" t="s">
        <v>149</v>
      </c>
      <c r="P66" s="46">
        <v>10000</v>
      </c>
      <c r="Q66" s="16">
        <v>12712</v>
      </c>
      <c r="R66" s="16">
        <f>P66-Q66</f>
        <v>-2712</v>
      </c>
      <c r="S66" s="16">
        <v>2800</v>
      </c>
      <c r="T66" s="46" t="s">
        <v>94</v>
      </c>
      <c r="U66" s="16">
        <v>97431</v>
      </c>
      <c r="V66" s="49">
        <v>44281</v>
      </c>
      <c r="W66" s="16" t="s">
        <v>176</v>
      </c>
      <c r="Y66" s="50">
        <v>44440</v>
      </c>
      <c r="Z66" s="16" t="s">
        <v>177</v>
      </c>
      <c r="AA66" s="16" t="s">
        <v>46</v>
      </c>
      <c r="AB66" s="16" t="s">
        <v>180</v>
      </c>
      <c r="AC66" s="47">
        <v>44524</v>
      </c>
      <c r="AD66" s="48">
        <v>1227</v>
      </c>
      <c r="AE66" s="16" t="s">
        <v>48</v>
      </c>
      <c r="AF66" s="16" t="s">
        <v>179</v>
      </c>
    </row>
    <row r="67" s="16" customFormat="1" ht="15" hidden="1" customHeight="1" spans="1:32">
      <c r="A67" s="16" t="s">
        <v>34</v>
      </c>
      <c r="B67" s="46">
        <v>665</v>
      </c>
      <c r="C67" s="47">
        <v>44277</v>
      </c>
      <c r="D67" s="16" t="s">
        <v>174</v>
      </c>
      <c r="E67" s="16" t="s">
        <v>175</v>
      </c>
      <c r="F67" s="16" t="s">
        <v>175</v>
      </c>
      <c r="H67" s="48">
        <v>1.2316</v>
      </c>
      <c r="I67" s="48"/>
      <c r="J67" s="16" t="s">
        <v>140</v>
      </c>
      <c r="K67" s="16">
        <v>1050</v>
      </c>
      <c r="L67" s="48">
        <v>305</v>
      </c>
      <c r="N67" s="16" t="s">
        <v>66</v>
      </c>
      <c r="O67" s="46" t="s">
        <v>149</v>
      </c>
      <c r="P67" s="46">
        <v>10000</v>
      </c>
      <c r="Q67" s="16">
        <f>5720+5630</f>
        <v>11350</v>
      </c>
      <c r="R67" s="16">
        <f>P67-Q67</f>
        <v>-1350</v>
      </c>
      <c r="S67" s="16">
        <v>2800</v>
      </c>
      <c r="T67" s="46" t="s">
        <v>94</v>
      </c>
      <c r="U67" s="16">
        <v>97431</v>
      </c>
      <c r="V67" s="49">
        <v>44281</v>
      </c>
      <c r="W67" s="16" t="s">
        <v>176</v>
      </c>
      <c r="Y67" s="50">
        <v>44440</v>
      </c>
      <c r="Z67" s="16" t="s">
        <v>177</v>
      </c>
      <c r="AA67" s="16" t="s">
        <v>46</v>
      </c>
      <c r="AB67" s="16" t="s">
        <v>180</v>
      </c>
      <c r="AC67" s="47">
        <v>44524</v>
      </c>
      <c r="AD67" s="48">
        <v>1227</v>
      </c>
      <c r="AE67" s="16" t="s">
        <v>48</v>
      </c>
      <c r="AF67" s="16" t="s">
        <v>179</v>
      </c>
    </row>
    <row r="68" s="16" customFormat="1" ht="15" hidden="1" customHeight="1" spans="1:32">
      <c r="A68" s="16" t="s">
        <v>34</v>
      </c>
      <c r="B68" s="46">
        <v>691</v>
      </c>
      <c r="C68" s="47">
        <v>44379</v>
      </c>
      <c r="D68" s="16" t="s">
        <v>181</v>
      </c>
      <c r="E68" s="16" t="s">
        <v>182</v>
      </c>
      <c r="F68" s="16" t="s">
        <v>183</v>
      </c>
      <c r="G68" s="16" t="s">
        <v>184</v>
      </c>
      <c r="H68" s="48">
        <v>1.2344</v>
      </c>
      <c r="I68" s="48"/>
      <c r="J68" s="16" t="s">
        <v>140</v>
      </c>
      <c r="K68" s="16">
        <v>1050</v>
      </c>
      <c r="L68" s="48">
        <v>310</v>
      </c>
      <c r="M68" s="16">
        <v>4247</v>
      </c>
      <c r="N68" s="16" t="s">
        <v>40</v>
      </c>
      <c r="O68" s="46" t="s">
        <v>156</v>
      </c>
      <c r="P68" s="46">
        <v>10000</v>
      </c>
      <c r="Q68" s="16">
        <v>10930</v>
      </c>
      <c r="R68" s="16">
        <f>P68-Q68</f>
        <v>-930</v>
      </c>
      <c r="S68" s="16">
        <v>2650</v>
      </c>
      <c r="T68" s="46" t="s">
        <v>94</v>
      </c>
      <c r="U68" s="16">
        <v>8210551</v>
      </c>
      <c r="V68" s="49">
        <v>44384</v>
      </c>
      <c r="W68" s="16" t="s">
        <v>185</v>
      </c>
      <c r="Y68" s="50">
        <v>44470</v>
      </c>
      <c r="Z68" s="16" t="s">
        <v>186</v>
      </c>
      <c r="AA68" s="16" t="s">
        <v>46</v>
      </c>
      <c r="AB68" s="16">
        <v>82100669</v>
      </c>
      <c r="AC68" s="47">
        <v>44477</v>
      </c>
      <c r="AD68" s="48">
        <v>1229</v>
      </c>
      <c r="AE68" s="16" t="s">
        <v>48</v>
      </c>
    </row>
    <row r="69" s="16" customFormat="1" ht="15" hidden="1" customHeight="1" spans="1:32">
      <c r="A69" s="16" t="s">
        <v>34</v>
      </c>
      <c r="B69" s="46">
        <v>691</v>
      </c>
      <c r="C69" s="47">
        <v>44379</v>
      </c>
      <c r="D69" s="16" t="s">
        <v>181</v>
      </c>
      <c r="E69" s="16" t="s">
        <v>182</v>
      </c>
      <c r="F69" s="16" t="s">
        <v>183</v>
      </c>
      <c r="H69" s="48">
        <v>1.2344</v>
      </c>
      <c r="I69" s="48"/>
      <c r="J69" s="16" t="s">
        <v>140</v>
      </c>
      <c r="K69" s="16">
        <v>1050</v>
      </c>
      <c r="L69" s="48">
        <v>355</v>
      </c>
      <c r="M69" s="16">
        <v>3790</v>
      </c>
      <c r="N69" s="16" t="s">
        <v>40</v>
      </c>
      <c r="O69" s="46" t="s">
        <v>156</v>
      </c>
      <c r="P69" s="46">
        <v>10000</v>
      </c>
      <c r="Q69" s="16">
        <v>11140</v>
      </c>
      <c r="R69" s="16">
        <f>P69-Q69</f>
        <v>-1140</v>
      </c>
      <c r="S69" s="16">
        <v>2650</v>
      </c>
      <c r="T69" s="46" t="s">
        <v>94</v>
      </c>
      <c r="U69" s="16">
        <v>8210551</v>
      </c>
      <c r="V69" s="49">
        <v>44384</v>
      </c>
      <c r="W69" s="16" t="s">
        <v>185</v>
      </c>
      <c r="Y69" s="50">
        <v>44470</v>
      </c>
      <c r="Z69" s="16" t="s">
        <v>186</v>
      </c>
      <c r="AA69" s="16" t="s">
        <v>46</v>
      </c>
      <c r="AB69" s="16">
        <v>82100669</v>
      </c>
      <c r="AC69" s="47">
        <v>44477</v>
      </c>
      <c r="AD69" s="48">
        <v>1229</v>
      </c>
      <c r="AE69" s="16" t="s">
        <v>48</v>
      </c>
    </row>
    <row r="70" s="16" customFormat="1" ht="15" hidden="1" customHeight="1" spans="1:32">
      <c r="A70" s="16" t="s">
        <v>155</v>
      </c>
      <c r="B70" s="46">
        <v>703</v>
      </c>
      <c r="C70" s="47">
        <v>44412</v>
      </c>
      <c r="D70" s="16" t="s">
        <v>181</v>
      </c>
      <c r="E70" s="16" t="s">
        <v>182</v>
      </c>
      <c r="F70" s="16" t="s">
        <v>183</v>
      </c>
      <c r="H70" s="48">
        <v>1.2316</v>
      </c>
      <c r="I70" s="48"/>
      <c r="J70" s="16" t="s">
        <v>140</v>
      </c>
      <c r="K70" s="16">
        <v>1250</v>
      </c>
      <c r="L70" s="48">
        <v>255</v>
      </c>
      <c r="N70" s="16" t="s">
        <v>66</v>
      </c>
      <c r="O70" s="46" t="s">
        <v>149</v>
      </c>
      <c r="P70" s="46">
        <v>10000</v>
      </c>
      <c r="Q70" s="16">
        <v>9700</v>
      </c>
      <c r="R70" s="16">
        <f t="shared" ref="R70:R99" si="2">+P70-Q70</f>
        <v>300</v>
      </c>
      <c r="S70" s="16">
        <v>2290</v>
      </c>
      <c r="T70" s="46" t="s">
        <v>94</v>
      </c>
      <c r="U70" s="16">
        <v>8210644</v>
      </c>
      <c r="V70" s="49">
        <v>44435</v>
      </c>
      <c r="W70" s="16" t="s">
        <v>185</v>
      </c>
      <c r="Y70" s="50">
        <v>44501</v>
      </c>
      <c r="Z70" s="16" t="s">
        <v>186</v>
      </c>
      <c r="AA70" s="16" t="s">
        <v>46</v>
      </c>
      <c r="AB70" s="16">
        <v>82100827</v>
      </c>
      <c r="AC70" s="47">
        <v>44543</v>
      </c>
      <c r="AD70" s="48">
        <v>1244</v>
      </c>
      <c r="AE70" s="16" t="s">
        <v>48</v>
      </c>
    </row>
    <row r="71" s="16" customFormat="1" ht="15" hidden="1" customHeight="1" spans="1:32">
      <c r="A71" s="16" t="s">
        <v>155</v>
      </c>
      <c r="B71" s="46">
        <v>703</v>
      </c>
      <c r="C71" s="47">
        <v>44412</v>
      </c>
      <c r="D71" s="16" t="s">
        <v>181</v>
      </c>
      <c r="E71" s="16" t="s">
        <v>182</v>
      </c>
      <c r="F71" s="16" t="s">
        <v>183</v>
      </c>
      <c r="H71" s="48">
        <v>1.2316</v>
      </c>
      <c r="I71" s="48"/>
      <c r="J71" s="16" t="s">
        <v>140</v>
      </c>
      <c r="K71" s="16">
        <v>1250</v>
      </c>
      <c r="L71" s="48">
        <v>305</v>
      </c>
      <c r="N71" s="16" t="s">
        <v>66</v>
      </c>
      <c r="O71" s="46" t="s">
        <v>149</v>
      </c>
      <c r="P71" s="46">
        <v>10000</v>
      </c>
      <c r="Q71" s="16">
        <v>9610</v>
      </c>
      <c r="R71" s="16">
        <f t="shared" si="2"/>
        <v>390</v>
      </c>
      <c r="S71" s="16">
        <v>2290</v>
      </c>
      <c r="T71" s="46" t="s">
        <v>94</v>
      </c>
      <c r="U71" s="16">
        <v>8210644</v>
      </c>
      <c r="V71" s="49">
        <v>44435</v>
      </c>
      <c r="W71" s="16" t="s">
        <v>185</v>
      </c>
      <c r="Y71" s="50">
        <v>44501</v>
      </c>
      <c r="Z71" s="16" t="s">
        <v>186</v>
      </c>
      <c r="AA71" s="16" t="s">
        <v>46</v>
      </c>
      <c r="AB71" s="16">
        <v>82100827</v>
      </c>
      <c r="AC71" s="47">
        <v>44543</v>
      </c>
      <c r="AD71" s="48">
        <v>1244</v>
      </c>
      <c r="AE71" s="16" t="s">
        <v>48</v>
      </c>
    </row>
    <row r="72" s="17" customFormat="1" hidden="1" spans="1:32">
      <c r="A72" s="16" t="s">
        <v>34</v>
      </c>
      <c r="B72" s="19">
        <v>709</v>
      </c>
      <c r="C72" s="64">
        <v>44440</v>
      </c>
      <c r="D72" s="17" t="s">
        <v>52</v>
      </c>
      <c r="E72" s="17" t="s">
        <v>187</v>
      </c>
      <c r="F72" s="17" t="s">
        <v>54</v>
      </c>
      <c r="H72" s="65">
        <v>1.2311</v>
      </c>
      <c r="I72" s="65"/>
      <c r="J72" s="17" t="s">
        <v>49</v>
      </c>
      <c r="K72" s="17">
        <v>1250</v>
      </c>
      <c r="L72" s="17">
        <v>510</v>
      </c>
      <c r="M72" s="17">
        <v>2600</v>
      </c>
      <c r="N72" s="17" t="s">
        <v>66</v>
      </c>
      <c r="O72" s="17" t="s">
        <v>168</v>
      </c>
      <c r="P72" s="17">
        <v>13730</v>
      </c>
      <c r="R72" s="17">
        <f t="shared" si="2"/>
        <v>13730</v>
      </c>
      <c r="S72" s="17" t="s">
        <v>188</v>
      </c>
      <c r="T72" s="17" t="s">
        <v>188</v>
      </c>
      <c r="AC72" s="66"/>
      <c r="AE72" s="17" t="s">
        <v>188</v>
      </c>
      <c r="AF72" s="17" t="s">
        <v>188</v>
      </c>
    </row>
    <row r="73" s="17" customFormat="1" hidden="1" spans="1:32">
      <c r="A73" s="16" t="s">
        <v>34</v>
      </c>
      <c r="B73" s="19">
        <v>709</v>
      </c>
      <c r="C73" s="64">
        <v>44440</v>
      </c>
      <c r="D73" s="17" t="s">
        <v>52</v>
      </c>
      <c r="E73" s="17" t="s">
        <v>187</v>
      </c>
      <c r="F73" s="17" t="s">
        <v>54</v>
      </c>
      <c r="H73" s="65">
        <v>1.2311</v>
      </c>
      <c r="I73" s="65"/>
      <c r="J73" s="17" t="s">
        <v>49</v>
      </c>
      <c r="K73" s="17">
        <v>1350</v>
      </c>
      <c r="L73" s="17">
        <v>470</v>
      </c>
      <c r="M73" s="17">
        <v>3645</v>
      </c>
      <c r="N73" s="17" t="s">
        <v>66</v>
      </c>
      <c r="O73" s="17" t="s">
        <v>168</v>
      </c>
      <c r="P73" s="17">
        <v>18890</v>
      </c>
      <c r="R73" s="17">
        <f t="shared" si="2"/>
        <v>18890</v>
      </c>
      <c r="S73" s="17" t="s">
        <v>188</v>
      </c>
      <c r="T73" s="17" t="s">
        <v>188</v>
      </c>
      <c r="AC73" s="66"/>
      <c r="AE73" s="17" t="s">
        <v>188</v>
      </c>
      <c r="AF73" s="17" t="s">
        <v>188</v>
      </c>
    </row>
    <row r="74" s="17" customFormat="1" hidden="1" spans="1:32">
      <c r="A74" s="16" t="s">
        <v>34</v>
      </c>
      <c r="B74" s="19">
        <v>709</v>
      </c>
      <c r="C74" s="64">
        <v>44440</v>
      </c>
      <c r="D74" s="17" t="s">
        <v>52</v>
      </c>
      <c r="E74" s="17" t="s">
        <v>187</v>
      </c>
      <c r="F74" s="17" t="s">
        <v>54</v>
      </c>
      <c r="H74" s="65">
        <v>1.2311</v>
      </c>
      <c r="I74" s="65"/>
      <c r="J74" s="17" t="s">
        <v>49</v>
      </c>
      <c r="K74" s="17">
        <v>1250</v>
      </c>
      <c r="L74" s="17">
        <v>215</v>
      </c>
      <c r="M74" s="17">
        <v>5085</v>
      </c>
      <c r="N74" s="17" t="s">
        <v>66</v>
      </c>
      <c r="O74" s="17" t="s">
        <v>168</v>
      </c>
      <c r="P74" s="17">
        <v>11370</v>
      </c>
      <c r="R74" s="17">
        <f t="shared" si="2"/>
        <v>11370</v>
      </c>
      <c r="S74" s="17" t="s">
        <v>188</v>
      </c>
      <c r="T74" s="17" t="s">
        <v>188</v>
      </c>
      <c r="AC74" s="66"/>
      <c r="AE74" s="17" t="s">
        <v>188</v>
      </c>
      <c r="AF74" s="17" t="s">
        <v>188</v>
      </c>
    </row>
    <row r="75" s="17" customFormat="1" hidden="1" spans="1:32">
      <c r="A75" s="16" t="s">
        <v>34</v>
      </c>
      <c r="B75" s="19">
        <v>709</v>
      </c>
      <c r="C75" s="64">
        <v>44440</v>
      </c>
      <c r="D75" s="17" t="s">
        <v>52</v>
      </c>
      <c r="E75" s="17" t="s">
        <v>187</v>
      </c>
      <c r="F75" s="17" t="s">
        <v>54</v>
      </c>
      <c r="H75" s="65">
        <v>1.2311</v>
      </c>
      <c r="I75" s="65"/>
      <c r="J75" s="17" t="s">
        <v>49</v>
      </c>
      <c r="K75" s="17">
        <v>1050</v>
      </c>
      <c r="L75" s="17">
        <v>215</v>
      </c>
      <c r="M75" s="17">
        <v>4675</v>
      </c>
      <c r="N75" s="17" t="s">
        <v>66</v>
      </c>
      <c r="O75" s="17" t="s">
        <v>168</v>
      </c>
      <c r="P75" s="17">
        <v>8810</v>
      </c>
      <c r="R75" s="17">
        <f t="shared" si="2"/>
        <v>8810</v>
      </c>
      <c r="S75" s="17" t="s">
        <v>188</v>
      </c>
      <c r="T75" s="17" t="s">
        <v>188</v>
      </c>
      <c r="AC75" s="66"/>
      <c r="AE75" s="17" t="s">
        <v>188</v>
      </c>
      <c r="AF75" s="17" t="s">
        <v>188</v>
      </c>
    </row>
    <row r="76" s="17" customFormat="1" hidden="1" spans="1:32">
      <c r="A76" s="16" t="s">
        <v>34</v>
      </c>
      <c r="B76" s="19">
        <v>709</v>
      </c>
      <c r="C76" s="64">
        <v>44440</v>
      </c>
      <c r="D76" s="17" t="s">
        <v>52</v>
      </c>
      <c r="E76" s="17" t="s">
        <v>187</v>
      </c>
      <c r="F76" s="17" t="s">
        <v>54</v>
      </c>
      <c r="H76" s="65">
        <v>1.2738</v>
      </c>
      <c r="I76" s="65"/>
      <c r="J76" s="17" t="s">
        <v>49</v>
      </c>
      <c r="K76" s="17">
        <v>1380</v>
      </c>
      <c r="L76" s="17">
        <v>370</v>
      </c>
      <c r="M76" s="17">
        <v>2610</v>
      </c>
      <c r="N76" s="17" t="s">
        <v>66</v>
      </c>
      <c r="O76" s="17" t="s">
        <v>168</v>
      </c>
      <c r="P76" s="17">
        <v>10380</v>
      </c>
      <c r="R76" s="17">
        <f t="shared" si="2"/>
        <v>10380</v>
      </c>
      <c r="S76" s="17" t="s">
        <v>188</v>
      </c>
      <c r="T76" s="17" t="s">
        <v>188</v>
      </c>
      <c r="AC76" s="66"/>
      <c r="AE76" s="17" t="s">
        <v>188</v>
      </c>
      <c r="AF76" s="17" t="s">
        <v>188</v>
      </c>
    </row>
    <row r="77" s="17" customFormat="1" hidden="1" spans="1:32">
      <c r="A77" s="16" t="s">
        <v>34</v>
      </c>
      <c r="B77" s="19">
        <v>709</v>
      </c>
      <c r="C77" s="64">
        <v>44440</v>
      </c>
      <c r="D77" s="17" t="s">
        <v>52</v>
      </c>
      <c r="E77" s="17" t="s">
        <v>187</v>
      </c>
      <c r="F77" s="17" t="s">
        <v>54</v>
      </c>
      <c r="H77" s="65">
        <v>718</v>
      </c>
      <c r="I77" s="65"/>
      <c r="J77" s="17" t="s">
        <v>49</v>
      </c>
      <c r="K77" s="17">
        <v>1280</v>
      </c>
      <c r="L77" s="17">
        <v>460</v>
      </c>
      <c r="M77" s="17">
        <v>3700</v>
      </c>
      <c r="N77" s="17" t="s">
        <v>66</v>
      </c>
      <c r="O77" s="17" t="s">
        <v>168</v>
      </c>
      <c r="P77" s="17">
        <v>17890</v>
      </c>
      <c r="R77" s="17">
        <f t="shared" si="2"/>
        <v>17890</v>
      </c>
      <c r="S77" s="17" t="s">
        <v>188</v>
      </c>
      <c r="T77" s="17" t="s">
        <v>188</v>
      </c>
      <c r="AC77" s="66"/>
      <c r="AE77" s="17" t="s">
        <v>188</v>
      </c>
      <c r="AF77" s="17" t="s">
        <v>188</v>
      </c>
    </row>
    <row r="78" s="17" customFormat="1" hidden="1" spans="1:32">
      <c r="A78" s="16" t="s">
        <v>34</v>
      </c>
      <c r="B78" s="19">
        <v>709</v>
      </c>
      <c r="C78" s="64">
        <v>44440</v>
      </c>
      <c r="D78" s="17" t="s">
        <v>52</v>
      </c>
      <c r="E78" s="17" t="s">
        <v>187</v>
      </c>
      <c r="F78" s="17" t="s">
        <v>54</v>
      </c>
      <c r="H78" s="65">
        <v>718</v>
      </c>
      <c r="I78" s="65"/>
      <c r="J78" s="17" t="s">
        <v>49</v>
      </c>
      <c r="K78" s="17">
        <v>1130</v>
      </c>
      <c r="L78" s="17">
        <v>230</v>
      </c>
      <c r="M78" s="17">
        <v>2950</v>
      </c>
      <c r="N78" s="17" t="s">
        <v>66</v>
      </c>
      <c r="O78" s="17" t="s">
        <v>168</v>
      </c>
      <c r="P78" s="17">
        <v>6610</v>
      </c>
      <c r="R78" s="17">
        <f t="shared" si="2"/>
        <v>6610</v>
      </c>
      <c r="S78" s="17" t="s">
        <v>188</v>
      </c>
      <c r="T78" s="17" t="s">
        <v>188</v>
      </c>
      <c r="AC78" s="66"/>
      <c r="AE78" s="17" t="s">
        <v>188</v>
      </c>
      <c r="AF78" s="17" t="s">
        <v>188</v>
      </c>
    </row>
    <row r="79" s="17" customFormat="1" hidden="1" spans="1:32">
      <c r="A79" s="16" t="s">
        <v>34</v>
      </c>
      <c r="B79" s="19">
        <v>709</v>
      </c>
      <c r="C79" s="64">
        <v>44440</v>
      </c>
      <c r="D79" s="17" t="s">
        <v>52</v>
      </c>
      <c r="E79" s="17" t="s">
        <v>187</v>
      </c>
      <c r="F79" s="17" t="s">
        <v>54</v>
      </c>
      <c r="H79" s="65">
        <v>718</v>
      </c>
      <c r="I79" s="65"/>
      <c r="J79" s="17" t="s">
        <v>49</v>
      </c>
      <c r="K79" s="17">
        <v>1250</v>
      </c>
      <c r="L79" s="17">
        <v>310</v>
      </c>
      <c r="M79" s="17">
        <v>4150</v>
      </c>
      <c r="N79" s="17" t="s">
        <v>66</v>
      </c>
      <c r="O79" s="17" t="s">
        <v>168</v>
      </c>
      <c r="P79" s="17">
        <v>12850</v>
      </c>
      <c r="R79" s="17">
        <f t="shared" si="2"/>
        <v>12850</v>
      </c>
      <c r="S79" s="17" t="s">
        <v>188</v>
      </c>
      <c r="T79" s="17" t="s">
        <v>188</v>
      </c>
      <c r="AC79" s="66"/>
      <c r="AE79" s="17" t="s">
        <v>188</v>
      </c>
      <c r="AF79" s="17" t="s">
        <v>188</v>
      </c>
    </row>
    <row r="80" s="17" customFormat="1" hidden="1" spans="1:32">
      <c r="A80" s="17" t="s">
        <v>34</v>
      </c>
      <c r="B80" s="19">
        <v>710</v>
      </c>
      <c r="C80" s="64">
        <v>44441</v>
      </c>
      <c r="D80" s="17" t="s">
        <v>52</v>
      </c>
      <c r="E80" s="17" t="s">
        <v>187</v>
      </c>
      <c r="F80" s="17" t="s">
        <v>54</v>
      </c>
      <c r="H80" s="65">
        <v>1.2311</v>
      </c>
      <c r="I80" s="65"/>
      <c r="J80" s="17" t="s">
        <v>49</v>
      </c>
      <c r="K80" s="17">
        <v>2200</v>
      </c>
      <c r="L80" s="17">
        <v>120</v>
      </c>
      <c r="M80" s="17">
        <v>3000</v>
      </c>
      <c r="N80" s="17" t="s">
        <v>66</v>
      </c>
      <c r="O80" s="19" t="s">
        <v>189</v>
      </c>
      <c r="P80" s="19">
        <v>6217</v>
      </c>
      <c r="Q80" s="17">
        <v>6200</v>
      </c>
      <c r="R80" s="17">
        <f t="shared" si="2"/>
        <v>17</v>
      </c>
      <c r="S80" s="17">
        <f>1310+5</f>
        <v>1315</v>
      </c>
      <c r="T80" s="17" t="s">
        <v>42</v>
      </c>
      <c r="U80" s="17" t="s">
        <v>190</v>
      </c>
      <c r="V80" s="67">
        <v>44444</v>
      </c>
      <c r="W80" s="17" t="s">
        <v>69</v>
      </c>
      <c r="Y80" s="68">
        <v>44440</v>
      </c>
      <c r="Z80" s="17" t="s">
        <v>191</v>
      </c>
      <c r="AA80" s="17" t="s">
        <v>46</v>
      </c>
      <c r="AB80" s="17" t="s">
        <v>192</v>
      </c>
      <c r="AC80" s="66">
        <v>44467</v>
      </c>
      <c r="AD80" s="65">
        <v>1230</v>
      </c>
      <c r="AE80" s="17" t="s">
        <v>74</v>
      </c>
      <c r="AF80" s="17" t="s">
        <v>193</v>
      </c>
    </row>
    <row r="81" s="17" customFormat="1" hidden="1" spans="1:32">
      <c r="A81" s="17" t="s">
        <v>34</v>
      </c>
      <c r="B81" s="19">
        <v>710</v>
      </c>
      <c r="C81" s="64">
        <v>44441</v>
      </c>
      <c r="D81" s="17" t="s">
        <v>52</v>
      </c>
      <c r="E81" s="17" t="s">
        <v>187</v>
      </c>
      <c r="F81" s="17" t="s">
        <v>54</v>
      </c>
      <c r="H81" s="65">
        <v>1.2311</v>
      </c>
      <c r="I81" s="65"/>
      <c r="J81" s="17" t="s">
        <v>49</v>
      </c>
      <c r="K81" s="17">
        <v>2200</v>
      </c>
      <c r="L81" s="17">
        <v>130</v>
      </c>
      <c r="M81" s="17">
        <v>2500</v>
      </c>
      <c r="N81" s="17" t="s">
        <v>66</v>
      </c>
      <c r="O81" s="19" t="s">
        <v>189</v>
      </c>
      <c r="P81" s="19">
        <v>5613</v>
      </c>
      <c r="Q81" s="17">
        <v>5715</v>
      </c>
      <c r="R81" s="17">
        <f t="shared" si="2"/>
        <v>-102</v>
      </c>
      <c r="S81" s="17">
        <f>1330+5</f>
        <v>1335</v>
      </c>
      <c r="T81" s="17" t="s">
        <v>42</v>
      </c>
      <c r="U81" s="17" t="s">
        <v>190</v>
      </c>
      <c r="V81" s="67">
        <v>44444</v>
      </c>
      <c r="W81" s="17" t="s">
        <v>69</v>
      </c>
      <c r="Y81" s="68">
        <v>44440</v>
      </c>
      <c r="Z81" s="17" t="s">
        <v>191</v>
      </c>
      <c r="AA81" s="17" t="s">
        <v>46</v>
      </c>
      <c r="AB81" s="17" t="s">
        <v>192</v>
      </c>
      <c r="AC81" s="66">
        <v>44467</v>
      </c>
      <c r="AD81" s="65">
        <v>1230</v>
      </c>
      <c r="AE81" s="17" t="s">
        <v>48</v>
      </c>
      <c r="AF81" s="17" t="s">
        <v>193</v>
      </c>
    </row>
    <row r="82" s="17" customFormat="1" hidden="1" spans="1:32">
      <c r="A82" s="17" t="s">
        <v>34</v>
      </c>
      <c r="B82" s="19">
        <v>710</v>
      </c>
      <c r="C82" s="64">
        <v>44441</v>
      </c>
      <c r="D82" s="17" t="s">
        <v>52</v>
      </c>
      <c r="E82" s="17" t="s">
        <v>187</v>
      </c>
      <c r="F82" s="17" t="s">
        <v>54</v>
      </c>
      <c r="H82" s="65">
        <v>1.2311</v>
      </c>
      <c r="I82" s="65"/>
      <c r="J82" s="17" t="s">
        <v>49</v>
      </c>
      <c r="K82" s="17">
        <v>2200</v>
      </c>
      <c r="L82" s="17">
        <v>180</v>
      </c>
      <c r="M82" s="17">
        <v>2500</v>
      </c>
      <c r="N82" s="17" t="s">
        <v>66</v>
      </c>
      <c r="O82" s="19" t="s">
        <v>189</v>
      </c>
      <c r="P82" s="19">
        <v>15543</v>
      </c>
      <c r="Q82" s="17">
        <f>7630+7670</f>
        <v>15300</v>
      </c>
      <c r="R82" s="17">
        <f t="shared" si="2"/>
        <v>243</v>
      </c>
      <c r="S82" s="17">
        <f>1350+5</f>
        <v>1355</v>
      </c>
      <c r="T82" s="17" t="s">
        <v>42</v>
      </c>
      <c r="U82" s="17" t="s">
        <v>190</v>
      </c>
      <c r="V82" s="67">
        <v>44444</v>
      </c>
      <c r="W82" s="17" t="s">
        <v>69</v>
      </c>
      <c r="Y82" s="68">
        <v>44440</v>
      </c>
      <c r="Z82" s="17" t="s">
        <v>191</v>
      </c>
      <c r="AA82" s="17" t="s">
        <v>46</v>
      </c>
      <c r="AB82" s="17" t="s">
        <v>192</v>
      </c>
      <c r="AC82" s="66">
        <v>44467</v>
      </c>
      <c r="AD82" s="65">
        <v>1230</v>
      </c>
      <c r="AE82" s="17" t="s">
        <v>194</v>
      </c>
      <c r="AF82" s="17" t="s">
        <v>193</v>
      </c>
    </row>
    <row r="83" s="17" customFormat="1" hidden="1" spans="1:32">
      <c r="A83" s="17" t="s">
        <v>34</v>
      </c>
      <c r="B83" s="19">
        <v>710</v>
      </c>
      <c r="C83" s="64">
        <v>44441</v>
      </c>
      <c r="D83" s="17" t="s">
        <v>52</v>
      </c>
      <c r="E83" s="17" t="s">
        <v>187</v>
      </c>
      <c r="F83" s="17" t="s">
        <v>54</v>
      </c>
      <c r="H83" s="65">
        <v>1.2311</v>
      </c>
      <c r="I83" s="65"/>
      <c r="J83" s="17" t="s">
        <v>49</v>
      </c>
      <c r="K83" s="17">
        <v>2200</v>
      </c>
      <c r="L83" s="17">
        <v>210</v>
      </c>
      <c r="M83" s="17">
        <v>2500</v>
      </c>
      <c r="N83" s="17" t="s">
        <v>66</v>
      </c>
      <c r="O83" s="19" t="s">
        <v>189</v>
      </c>
      <c r="P83" s="19">
        <v>18134</v>
      </c>
      <c r="Q83" s="17">
        <f>8890+8910</f>
        <v>17800</v>
      </c>
      <c r="R83" s="17">
        <f t="shared" si="2"/>
        <v>334</v>
      </c>
      <c r="S83" s="17">
        <f>1470+5</f>
        <v>1475</v>
      </c>
      <c r="T83" s="17" t="s">
        <v>42</v>
      </c>
      <c r="U83" s="17" t="s">
        <v>190</v>
      </c>
      <c r="V83" s="67">
        <v>44444</v>
      </c>
      <c r="W83" s="17" t="s">
        <v>69</v>
      </c>
      <c r="Y83" s="68">
        <v>44440</v>
      </c>
      <c r="Z83" s="17" t="s">
        <v>191</v>
      </c>
      <c r="AA83" s="17" t="s">
        <v>46</v>
      </c>
      <c r="AB83" s="17" t="s">
        <v>192</v>
      </c>
      <c r="AC83" s="66">
        <v>44467</v>
      </c>
      <c r="AD83" s="65">
        <v>1230</v>
      </c>
      <c r="AE83" s="17" t="s">
        <v>194</v>
      </c>
      <c r="AF83" s="17" t="s">
        <v>193</v>
      </c>
    </row>
    <row r="84" s="17" customFormat="1" hidden="1" spans="1:32">
      <c r="A84" s="17" t="s">
        <v>34</v>
      </c>
      <c r="B84" s="19">
        <v>710</v>
      </c>
      <c r="C84" s="64">
        <v>44441</v>
      </c>
      <c r="D84" s="17" t="s">
        <v>52</v>
      </c>
      <c r="E84" s="17" t="s">
        <v>187</v>
      </c>
      <c r="F84" s="17" t="s">
        <v>54</v>
      </c>
      <c r="H84" s="65">
        <v>1.2311</v>
      </c>
      <c r="I84" s="65"/>
      <c r="J84" s="17" t="s">
        <v>49</v>
      </c>
      <c r="K84" s="17">
        <v>2200</v>
      </c>
      <c r="L84" s="17">
        <v>230</v>
      </c>
      <c r="M84" s="17">
        <v>2500</v>
      </c>
      <c r="N84" s="17" t="s">
        <v>66</v>
      </c>
      <c r="O84" s="19" t="s">
        <v>189</v>
      </c>
      <c r="P84" s="19">
        <v>9930</v>
      </c>
      <c r="Q84" s="17">
        <v>9890</v>
      </c>
      <c r="R84" s="17">
        <f t="shared" si="2"/>
        <v>40</v>
      </c>
      <c r="S84" s="17">
        <f>1470+5</f>
        <v>1475</v>
      </c>
      <c r="T84" s="17" t="s">
        <v>42</v>
      </c>
      <c r="U84" s="17" t="s">
        <v>190</v>
      </c>
      <c r="V84" s="67">
        <v>44444</v>
      </c>
      <c r="W84" s="17" t="s">
        <v>69</v>
      </c>
      <c r="Y84" s="68">
        <v>44440</v>
      </c>
      <c r="Z84" s="17" t="s">
        <v>191</v>
      </c>
      <c r="AA84" s="17" t="s">
        <v>46</v>
      </c>
      <c r="AB84" s="17" t="s">
        <v>192</v>
      </c>
      <c r="AC84" s="66">
        <v>44467</v>
      </c>
      <c r="AD84" s="65">
        <v>1230</v>
      </c>
      <c r="AE84" s="17" t="s">
        <v>48</v>
      </c>
      <c r="AF84" s="17" t="s">
        <v>193</v>
      </c>
    </row>
    <row r="85" s="17" customFormat="1" hidden="1" spans="1:32">
      <c r="A85" s="17" t="s">
        <v>34</v>
      </c>
      <c r="B85" s="19">
        <v>711</v>
      </c>
      <c r="C85" s="64">
        <v>44441</v>
      </c>
      <c r="D85" s="17" t="s">
        <v>52</v>
      </c>
      <c r="E85" s="17" t="s">
        <v>187</v>
      </c>
      <c r="F85" s="17" t="s">
        <v>54</v>
      </c>
      <c r="H85" s="65">
        <v>1.2311</v>
      </c>
      <c r="I85" s="65"/>
      <c r="J85" s="17" t="s">
        <v>49</v>
      </c>
      <c r="K85" s="17">
        <v>2200</v>
      </c>
      <c r="L85" s="17">
        <v>45</v>
      </c>
      <c r="M85" s="17">
        <v>4000</v>
      </c>
      <c r="N85" s="17" t="s">
        <v>66</v>
      </c>
      <c r="O85" s="19" t="s">
        <v>189</v>
      </c>
      <c r="P85" s="19">
        <v>3109</v>
      </c>
      <c r="Q85" s="17">
        <v>2921</v>
      </c>
      <c r="R85" s="17">
        <f t="shared" si="2"/>
        <v>188</v>
      </c>
      <c r="S85" s="17">
        <f t="shared" ref="S85:S93" si="3">1310+5</f>
        <v>1315</v>
      </c>
      <c r="T85" s="17" t="s">
        <v>42</v>
      </c>
      <c r="U85" s="17" t="s">
        <v>195</v>
      </c>
      <c r="V85" s="67">
        <v>44444</v>
      </c>
      <c r="W85" s="17" t="s">
        <v>69</v>
      </c>
      <c r="Y85" s="68">
        <v>44440</v>
      </c>
      <c r="Z85" s="17" t="s">
        <v>191</v>
      </c>
      <c r="AA85" s="17" t="s">
        <v>46</v>
      </c>
      <c r="AB85" s="17" t="s">
        <v>196</v>
      </c>
      <c r="AC85" s="66">
        <v>44454</v>
      </c>
      <c r="AD85" s="65">
        <v>1221</v>
      </c>
      <c r="AE85" s="17" t="s">
        <v>48</v>
      </c>
      <c r="AF85" s="17" t="s">
        <v>193</v>
      </c>
    </row>
    <row r="86" s="17" customFormat="1" hidden="1" spans="1:32">
      <c r="A86" s="17" t="s">
        <v>34</v>
      </c>
      <c r="B86" s="19">
        <v>711</v>
      </c>
      <c r="C86" s="64">
        <v>44441</v>
      </c>
      <c r="D86" s="17" t="s">
        <v>52</v>
      </c>
      <c r="E86" s="17" t="s">
        <v>187</v>
      </c>
      <c r="F86" s="17" t="s">
        <v>54</v>
      </c>
      <c r="H86" s="65">
        <v>1.2311</v>
      </c>
      <c r="I86" s="65"/>
      <c r="J86" s="17" t="s">
        <v>49</v>
      </c>
      <c r="K86" s="17">
        <v>2200</v>
      </c>
      <c r="L86" s="17">
        <v>56</v>
      </c>
      <c r="M86" s="17">
        <v>4000</v>
      </c>
      <c r="N86" s="17" t="s">
        <v>66</v>
      </c>
      <c r="O86" s="19" t="s">
        <v>189</v>
      </c>
      <c r="P86" s="19">
        <v>3868</v>
      </c>
      <c r="Q86" s="17">
        <v>3860</v>
      </c>
      <c r="R86" s="17">
        <f t="shared" si="2"/>
        <v>8</v>
      </c>
      <c r="S86" s="17">
        <f t="shared" si="3"/>
        <v>1315</v>
      </c>
      <c r="T86" s="17" t="s">
        <v>42</v>
      </c>
      <c r="U86" s="17" t="s">
        <v>195</v>
      </c>
      <c r="V86" s="67">
        <v>44444</v>
      </c>
      <c r="W86" s="17" t="s">
        <v>69</v>
      </c>
      <c r="Y86" s="68">
        <v>44440</v>
      </c>
      <c r="Z86" s="17" t="s">
        <v>191</v>
      </c>
      <c r="AA86" s="17" t="s">
        <v>46</v>
      </c>
      <c r="AB86" s="17" t="s">
        <v>196</v>
      </c>
      <c r="AC86" s="66">
        <v>44454</v>
      </c>
      <c r="AD86" s="65">
        <v>1221</v>
      </c>
      <c r="AE86" s="17" t="s">
        <v>48</v>
      </c>
      <c r="AF86" s="17" t="s">
        <v>193</v>
      </c>
    </row>
    <row r="87" s="17" customFormat="1" hidden="1" spans="1:32">
      <c r="A87" s="17" t="s">
        <v>34</v>
      </c>
      <c r="B87" s="19">
        <v>711</v>
      </c>
      <c r="C87" s="64">
        <v>44441</v>
      </c>
      <c r="D87" s="17" t="s">
        <v>52</v>
      </c>
      <c r="E87" s="17" t="s">
        <v>187</v>
      </c>
      <c r="F87" s="17" t="s">
        <v>54</v>
      </c>
      <c r="H87" s="65">
        <v>1.2311</v>
      </c>
      <c r="I87" s="65"/>
      <c r="J87" s="17" t="s">
        <v>49</v>
      </c>
      <c r="K87" s="17">
        <v>2200</v>
      </c>
      <c r="L87" s="17">
        <v>61</v>
      </c>
      <c r="M87" s="17">
        <v>4000</v>
      </c>
      <c r="N87" s="17" t="s">
        <v>66</v>
      </c>
      <c r="O87" s="19" t="s">
        <v>189</v>
      </c>
      <c r="P87" s="19">
        <v>4214</v>
      </c>
      <c r="Q87" s="17">
        <v>4200</v>
      </c>
      <c r="R87" s="17">
        <f t="shared" si="2"/>
        <v>14</v>
      </c>
      <c r="S87" s="17">
        <f t="shared" si="3"/>
        <v>1315</v>
      </c>
      <c r="T87" s="17" t="s">
        <v>42</v>
      </c>
      <c r="U87" s="17" t="s">
        <v>195</v>
      </c>
      <c r="V87" s="67">
        <v>44444</v>
      </c>
      <c r="W87" s="17" t="s">
        <v>69</v>
      </c>
      <c r="Y87" s="68">
        <v>44440</v>
      </c>
      <c r="Z87" s="17" t="s">
        <v>191</v>
      </c>
      <c r="AA87" s="17" t="s">
        <v>46</v>
      </c>
      <c r="AB87" s="17" t="s">
        <v>196</v>
      </c>
      <c r="AC87" s="66">
        <v>44454</v>
      </c>
      <c r="AD87" s="65">
        <v>1221</v>
      </c>
      <c r="AE87" s="17" t="s">
        <v>48</v>
      </c>
      <c r="AF87" s="17" t="s">
        <v>193</v>
      </c>
    </row>
    <row r="88" s="17" customFormat="1" hidden="1" spans="1:32">
      <c r="A88" s="17" t="s">
        <v>34</v>
      </c>
      <c r="B88" s="19">
        <v>711</v>
      </c>
      <c r="C88" s="64">
        <v>44441</v>
      </c>
      <c r="D88" s="17" t="s">
        <v>52</v>
      </c>
      <c r="E88" s="17" t="s">
        <v>187</v>
      </c>
      <c r="F88" s="17" t="s">
        <v>54</v>
      </c>
      <c r="H88" s="65">
        <v>1.2311</v>
      </c>
      <c r="I88" s="65"/>
      <c r="J88" s="17" t="s">
        <v>49</v>
      </c>
      <c r="K88" s="17">
        <v>2200</v>
      </c>
      <c r="L88" s="17">
        <v>65</v>
      </c>
      <c r="M88" s="17">
        <v>4000</v>
      </c>
      <c r="N88" s="17" t="s">
        <v>66</v>
      </c>
      <c r="O88" s="19" t="s">
        <v>189</v>
      </c>
      <c r="P88" s="19">
        <v>4490</v>
      </c>
      <c r="Q88" s="17">
        <v>5560</v>
      </c>
      <c r="R88" s="17">
        <f t="shared" si="2"/>
        <v>-1070</v>
      </c>
      <c r="S88" s="17">
        <f t="shared" si="3"/>
        <v>1315</v>
      </c>
      <c r="T88" s="17" t="s">
        <v>42</v>
      </c>
      <c r="U88" s="17" t="s">
        <v>195</v>
      </c>
      <c r="V88" s="67">
        <v>44444</v>
      </c>
      <c r="W88" s="17" t="s">
        <v>69</v>
      </c>
      <c r="Y88" s="68">
        <v>44440</v>
      </c>
      <c r="Z88" s="17" t="s">
        <v>191</v>
      </c>
      <c r="AA88" s="17" t="s">
        <v>46</v>
      </c>
      <c r="AB88" s="17" t="s">
        <v>196</v>
      </c>
      <c r="AC88" s="66">
        <v>44454</v>
      </c>
      <c r="AD88" s="65">
        <v>1221</v>
      </c>
      <c r="AE88" s="17" t="s">
        <v>48</v>
      </c>
      <c r="AF88" s="17" t="s">
        <v>193</v>
      </c>
    </row>
    <row r="89" s="17" customFormat="1" hidden="1" spans="1:32">
      <c r="A89" s="17" t="s">
        <v>34</v>
      </c>
      <c r="B89" s="19">
        <v>711</v>
      </c>
      <c r="C89" s="64">
        <v>44441</v>
      </c>
      <c r="D89" s="17" t="s">
        <v>52</v>
      </c>
      <c r="E89" s="17" t="s">
        <v>187</v>
      </c>
      <c r="F89" s="17" t="s">
        <v>54</v>
      </c>
      <c r="H89" s="65">
        <v>1.2311</v>
      </c>
      <c r="I89" s="65"/>
      <c r="J89" s="17" t="s">
        <v>49</v>
      </c>
      <c r="K89" s="17">
        <v>2200</v>
      </c>
      <c r="L89" s="17">
        <v>81</v>
      </c>
      <c r="M89" s="17">
        <v>4000</v>
      </c>
      <c r="N89" s="17" t="s">
        <v>66</v>
      </c>
      <c r="O89" s="19" t="s">
        <v>189</v>
      </c>
      <c r="P89" s="19">
        <v>5595</v>
      </c>
      <c r="Q89" s="17">
        <v>5970</v>
      </c>
      <c r="R89" s="17">
        <f t="shared" si="2"/>
        <v>-375</v>
      </c>
      <c r="S89" s="17">
        <f t="shared" si="3"/>
        <v>1315</v>
      </c>
      <c r="T89" s="17" t="s">
        <v>42</v>
      </c>
      <c r="U89" s="17" t="s">
        <v>195</v>
      </c>
      <c r="V89" s="67">
        <v>44444</v>
      </c>
      <c r="W89" s="17" t="s">
        <v>69</v>
      </c>
      <c r="Y89" s="68">
        <v>44440</v>
      </c>
      <c r="Z89" s="17" t="s">
        <v>191</v>
      </c>
      <c r="AA89" s="17" t="s">
        <v>46</v>
      </c>
      <c r="AB89" s="17" t="s">
        <v>196</v>
      </c>
      <c r="AC89" s="66">
        <v>44454</v>
      </c>
      <c r="AD89" s="65">
        <v>1221</v>
      </c>
      <c r="AE89" s="17" t="s">
        <v>48</v>
      </c>
      <c r="AF89" s="17" t="s">
        <v>193</v>
      </c>
    </row>
    <row r="90" s="17" customFormat="1" hidden="1" spans="1:32">
      <c r="A90" s="17" t="s">
        <v>34</v>
      </c>
      <c r="B90" s="19">
        <v>711</v>
      </c>
      <c r="C90" s="64">
        <v>44441</v>
      </c>
      <c r="D90" s="17" t="s">
        <v>52</v>
      </c>
      <c r="E90" s="17" t="s">
        <v>187</v>
      </c>
      <c r="F90" s="17" t="s">
        <v>54</v>
      </c>
      <c r="H90" s="65">
        <v>1.2311</v>
      </c>
      <c r="I90" s="65"/>
      <c r="J90" s="17" t="s">
        <v>49</v>
      </c>
      <c r="K90" s="17">
        <v>2200</v>
      </c>
      <c r="L90" s="17">
        <v>105</v>
      </c>
      <c r="M90" s="17">
        <v>4000</v>
      </c>
      <c r="N90" s="17" t="s">
        <v>66</v>
      </c>
      <c r="O90" s="19" t="s">
        <v>189</v>
      </c>
      <c r="P90" s="19">
        <v>7253</v>
      </c>
      <c r="Q90" s="17">
        <v>8520</v>
      </c>
      <c r="R90" s="17">
        <f t="shared" si="2"/>
        <v>-1267</v>
      </c>
      <c r="S90" s="17">
        <f t="shared" si="3"/>
        <v>1315</v>
      </c>
      <c r="T90" s="17" t="s">
        <v>42</v>
      </c>
      <c r="U90" s="17" t="s">
        <v>195</v>
      </c>
      <c r="V90" s="67">
        <v>44444</v>
      </c>
      <c r="W90" s="17" t="s">
        <v>69</v>
      </c>
      <c r="Y90" s="68">
        <v>44440</v>
      </c>
      <c r="Z90" s="17" t="s">
        <v>191</v>
      </c>
      <c r="AA90" s="17" t="s">
        <v>46</v>
      </c>
      <c r="AB90" s="17" t="s">
        <v>196</v>
      </c>
      <c r="AC90" s="66">
        <v>44454</v>
      </c>
      <c r="AD90" s="65">
        <v>1221</v>
      </c>
      <c r="AE90" s="17" t="s">
        <v>48</v>
      </c>
      <c r="AF90" s="17" t="s">
        <v>193</v>
      </c>
    </row>
    <row r="91" s="17" customFormat="1" hidden="1" spans="1:32">
      <c r="A91" s="17" t="s">
        <v>34</v>
      </c>
      <c r="B91" s="19">
        <v>711</v>
      </c>
      <c r="C91" s="64">
        <v>44441</v>
      </c>
      <c r="D91" s="17" t="s">
        <v>52</v>
      </c>
      <c r="E91" s="17" t="s">
        <v>187</v>
      </c>
      <c r="F91" s="17" t="s">
        <v>54</v>
      </c>
      <c r="H91" s="65">
        <v>1.2311</v>
      </c>
      <c r="I91" s="65"/>
      <c r="J91" s="17" t="s">
        <v>49</v>
      </c>
      <c r="K91" s="17">
        <v>2200</v>
      </c>
      <c r="L91" s="17">
        <v>115</v>
      </c>
      <c r="M91" s="17">
        <v>3000</v>
      </c>
      <c r="N91" s="17" t="s">
        <v>66</v>
      </c>
      <c r="O91" s="19" t="s">
        <v>189</v>
      </c>
      <c r="P91" s="19">
        <v>5958</v>
      </c>
      <c r="Q91" s="17">
        <v>5810</v>
      </c>
      <c r="R91" s="17">
        <f t="shared" si="2"/>
        <v>148</v>
      </c>
      <c r="S91" s="17">
        <f t="shared" si="3"/>
        <v>1315</v>
      </c>
      <c r="T91" s="17" t="s">
        <v>42</v>
      </c>
      <c r="U91" s="17" t="s">
        <v>195</v>
      </c>
      <c r="V91" s="67">
        <v>44444</v>
      </c>
      <c r="W91" s="17" t="s">
        <v>69</v>
      </c>
      <c r="Y91" s="68">
        <v>44440</v>
      </c>
      <c r="Z91" s="17" t="s">
        <v>191</v>
      </c>
      <c r="AA91" s="17" t="s">
        <v>46</v>
      </c>
      <c r="AB91" s="17" t="s">
        <v>196</v>
      </c>
      <c r="AC91" s="66">
        <v>44454</v>
      </c>
      <c r="AD91" s="65">
        <v>1221</v>
      </c>
      <c r="AE91" s="17" t="s">
        <v>48</v>
      </c>
      <c r="AF91" s="17" t="s">
        <v>193</v>
      </c>
    </row>
    <row r="92" s="17" customFormat="1" hidden="1" spans="1:32">
      <c r="A92" s="17" t="s">
        <v>34</v>
      </c>
      <c r="B92" s="19">
        <v>711</v>
      </c>
      <c r="C92" s="64">
        <v>44441</v>
      </c>
      <c r="D92" s="17" t="s">
        <v>52</v>
      </c>
      <c r="E92" s="17" t="s">
        <v>187</v>
      </c>
      <c r="F92" s="17" t="s">
        <v>54</v>
      </c>
      <c r="H92" s="65">
        <v>1.2311</v>
      </c>
      <c r="I92" s="65"/>
      <c r="J92" s="17" t="s">
        <v>49</v>
      </c>
      <c r="K92" s="17">
        <v>2200</v>
      </c>
      <c r="L92" s="17">
        <v>120</v>
      </c>
      <c r="M92" s="17">
        <v>3000</v>
      </c>
      <c r="N92" s="17" t="s">
        <v>66</v>
      </c>
      <c r="O92" s="19" t="s">
        <v>189</v>
      </c>
      <c r="P92" s="19">
        <v>6217</v>
      </c>
      <c r="Q92" s="17">
        <v>4688</v>
      </c>
      <c r="R92" s="17">
        <f t="shared" si="2"/>
        <v>1529</v>
      </c>
      <c r="S92" s="17">
        <f t="shared" si="3"/>
        <v>1315</v>
      </c>
      <c r="T92" s="17" t="s">
        <v>42</v>
      </c>
      <c r="U92" s="17" t="s">
        <v>195</v>
      </c>
      <c r="V92" s="67">
        <v>44444</v>
      </c>
      <c r="W92" s="17" t="s">
        <v>69</v>
      </c>
      <c r="Y92" s="68">
        <v>44440</v>
      </c>
      <c r="Z92" s="17" t="s">
        <v>191</v>
      </c>
      <c r="AA92" s="17" t="s">
        <v>46</v>
      </c>
      <c r="AB92" s="17" t="s">
        <v>196</v>
      </c>
      <c r="AC92" s="66">
        <v>44454</v>
      </c>
      <c r="AD92" s="65">
        <v>1221</v>
      </c>
      <c r="AE92" s="17" t="s">
        <v>48</v>
      </c>
      <c r="AF92" s="17" t="s">
        <v>193</v>
      </c>
    </row>
    <row r="93" s="17" customFormat="1" hidden="1" spans="1:32">
      <c r="A93" s="17" t="s">
        <v>34</v>
      </c>
      <c r="B93" s="19">
        <v>711</v>
      </c>
      <c r="C93" s="64">
        <v>44441</v>
      </c>
      <c r="D93" s="17" t="s">
        <v>52</v>
      </c>
      <c r="E93" s="17" t="s">
        <v>187</v>
      </c>
      <c r="F93" s="17" t="s">
        <v>54</v>
      </c>
      <c r="H93" s="65">
        <v>1.2311</v>
      </c>
      <c r="I93" s="65"/>
      <c r="J93" s="17" t="s">
        <v>49</v>
      </c>
      <c r="K93" s="17">
        <v>2200</v>
      </c>
      <c r="L93" s="17">
        <v>125</v>
      </c>
      <c r="M93" s="17">
        <v>3000</v>
      </c>
      <c r="N93" s="17" t="s">
        <v>66</v>
      </c>
      <c r="O93" s="19" t="s">
        <v>189</v>
      </c>
      <c r="P93" s="19">
        <v>6476</v>
      </c>
      <c r="Q93" s="17">
        <v>6135</v>
      </c>
      <c r="R93" s="17">
        <f t="shared" si="2"/>
        <v>341</v>
      </c>
      <c r="S93" s="17">
        <f t="shared" si="3"/>
        <v>1315</v>
      </c>
      <c r="T93" s="17" t="s">
        <v>42</v>
      </c>
      <c r="U93" s="17" t="s">
        <v>195</v>
      </c>
      <c r="V93" s="67">
        <v>44444</v>
      </c>
      <c r="W93" s="17" t="s">
        <v>69</v>
      </c>
      <c r="Y93" s="68">
        <v>44440</v>
      </c>
      <c r="Z93" s="17" t="s">
        <v>191</v>
      </c>
      <c r="AA93" s="17" t="s">
        <v>46</v>
      </c>
      <c r="AB93" s="17" t="s">
        <v>196</v>
      </c>
      <c r="AC93" s="66">
        <v>44454</v>
      </c>
      <c r="AD93" s="65">
        <v>1221</v>
      </c>
      <c r="AE93" s="17" t="s">
        <v>48</v>
      </c>
      <c r="AF93" s="17" t="s">
        <v>193</v>
      </c>
    </row>
    <row r="94" s="17" customFormat="1" hidden="1" spans="1:32">
      <c r="A94" s="17" t="s">
        <v>34</v>
      </c>
      <c r="B94" s="19">
        <v>711</v>
      </c>
      <c r="C94" s="64">
        <v>44441</v>
      </c>
      <c r="D94" s="17" t="s">
        <v>52</v>
      </c>
      <c r="E94" s="17" t="s">
        <v>187</v>
      </c>
      <c r="F94" s="17" t="s">
        <v>54</v>
      </c>
      <c r="H94" s="65">
        <v>1.2311</v>
      </c>
      <c r="I94" s="65"/>
      <c r="J94" s="17" t="s">
        <v>49</v>
      </c>
      <c r="K94" s="17">
        <v>2200</v>
      </c>
      <c r="L94" s="17">
        <v>165</v>
      </c>
      <c r="M94" s="17">
        <v>2500</v>
      </c>
      <c r="N94" s="17" t="s">
        <v>66</v>
      </c>
      <c r="O94" s="19" t="s">
        <v>189</v>
      </c>
      <c r="P94" s="19">
        <v>7124</v>
      </c>
      <c r="Q94" s="17">
        <v>7020</v>
      </c>
      <c r="R94" s="17">
        <f t="shared" si="2"/>
        <v>104</v>
      </c>
      <c r="S94" s="17">
        <f>1350+5</f>
        <v>1355</v>
      </c>
      <c r="T94" s="17" t="s">
        <v>42</v>
      </c>
      <c r="U94" s="17" t="s">
        <v>195</v>
      </c>
      <c r="V94" s="67">
        <v>44444</v>
      </c>
      <c r="W94" s="17" t="s">
        <v>69</v>
      </c>
      <c r="Y94" s="68">
        <v>44440</v>
      </c>
      <c r="Z94" s="17" t="s">
        <v>191</v>
      </c>
      <c r="AA94" s="17" t="s">
        <v>46</v>
      </c>
      <c r="AB94" s="17" t="s">
        <v>196</v>
      </c>
      <c r="AC94" s="66">
        <v>44454</v>
      </c>
      <c r="AD94" s="65">
        <v>1221</v>
      </c>
      <c r="AE94" s="17" t="s">
        <v>48</v>
      </c>
      <c r="AF94" s="17" t="s">
        <v>193</v>
      </c>
    </row>
    <row r="95" s="17" customFormat="1" hidden="1" spans="1:32">
      <c r="A95" s="17" t="s">
        <v>34</v>
      </c>
      <c r="B95" s="19">
        <v>712</v>
      </c>
      <c r="C95" s="64">
        <v>44448</v>
      </c>
      <c r="D95" s="17" t="s">
        <v>35</v>
      </c>
      <c r="E95" s="17" t="s">
        <v>148</v>
      </c>
      <c r="F95" s="17" t="s">
        <v>37</v>
      </c>
      <c r="H95" s="65" t="s">
        <v>197</v>
      </c>
      <c r="I95" s="65"/>
      <c r="J95" s="17" t="s">
        <v>39</v>
      </c>
      <c r="K95" s="17">
        <v>70</v>
      </c>
      <c r="N95" s="17" t="s">
        <v>40</v>
      </c>
      <c r="O95" s="19" t="s">
        <v>189</v>
      </c>
      <c r="P95" s="19">
        <v>164</v>
      </c>
      <c r="Q95" s="17">
        <v>164</v>
      </c>
      <c r="R95" s="17">
        <f t="shared" si="2"/>
        <v>0</v>
      </c>
      <c r="S95" s="17">
        <v>5850</v>
      </c>
      <c r="T95" s="19" t="s">
        <v>42</v>
      </c>
      <c r="U95" s="17" t="s">
        <v>198</v>
      </c>
      <c r="V95" s="67">
        <v>44447</v>
      </c>
      <c r="W95" s="17" t="s">
        <v>44</v>
      </c>
      <c r="Y95" s="68">
        <v>44440</v>
      </c>
      <c r="Z95" s="17" t="s">
        <v>199</v>
      </c>
      <c r="AA95" s="17" t="s">
        <v>46</v>
      </c>
      <c r="AB95" s="16" t="s">
        <v>152</v>
      </c>
      <c r="AC95" s="47">
        <v>44490</v>
      </c>
      <c r="AD95" s="65">
        <v>1214</v>
      </c>
      <c r="AE95" s="17" t="s">
        <v>48</v>
      </c>
    </row>
    <row r="96" s="17" customFormat="1" hidden="1" spans="1:32">
      <c r="A96" s="17" t="s">
        <v>34</v>
      </c>
      <c r="B96" s="19">
        <v>712</v>
      </c>
      <c r="C96" s="64">
        <v>44448</v>
      </c>
      <c r="D96" s="17" t="s">
        <v>35</v>
      </c>
      <c r="E96" s="17" t="s">
        <v>148</v>
      </c>
      <c r="F96" s="17" t="s">
        <v>37</v>
      </c>
      <c r="H96" s="65" t="s">
        <v>197</v>
      </c>
      <c r="I96" s="65"/>
      <c r="J96" s="17" t="s">
        <v>39</v>
      </c>
      <c r="K96" s="17">
        <v>80</v>
      </c>
      <c r="N96" s="17" t="s">
        <v>40</v>
      </c>
      <c r="O96" s="19" t="s">
        <v>200</v>
      </c>
      <c r="P96" s="19">
        <v>184</v>
      </c>
      <c r="Q96" s="17">
        <v>184</v>
      </c>
      <c r="R96" s="17">
        <f t="shared" si="2"/>
        <v>0</v>
      </c>
      <c r="S96" s="17">
        <v>5850</v>
      </c>
      <c r="T96" s="19" t="s">
        <v>42</v>
      </c>
      <c r="U96" s="17" t="s">
        <v>198</v>
      </c>
      <c r="V96" s="67">
        <v>44447</v>
      </c>
      <c r="W96" s="17" t="s">
        <v>44</v>
      </c>
      <c r="Y96" s="68">
        <v>44440</v>
      </c>
      <c r="Z96" s="17" t="s">
        <v>199</v>
      </c>
      <c r="AA96" s="17" t="s">
        <v>46</v>
      </c>
      <c r="AB96" s="16" t="s">
        <v>152</v>
      </c>
      <c r="AC96" s="47">
        <v>44490</v>
      </c>
      <c r="AD96" s="65">
        <v>1214</v>
      </c>
      <c r="AE96" s="17" t="s">
        <v>48</v>
      </c>
    </row>
    <row r="97" s="17" customFormat="1" hidden="1" spans="1:33">
      <c r="A97" s="17" t="s">
        <v>34</v>
      </c>
      <c r="B97" s="19">
        <v>712</v>
      </c>
      <c r="C97" s="64">
        <v>44448</v>
      </c>
      <c r="D97" s="17" t="s">
        <v>35</v>
      </c>
      <c r="E97" s="17" t="s">
        <v>148</v>
      </c>
      <c r="F97" s="17" t="s">
        <v>37</v>
      </c>
      <c r="H97" s="65" t="s">
        <v>197</v>
      </c>
      <c r="I97" s="65"/>
      <c r="J97" s="17" t="s">
        <v>39</v>
      </c>
      <c r="K97" s="17">
        <v>130</v>
      </c>
      <c r="N97" s="17" t="s">
        <v>40</v>
      </c>
      <c r="O97" s="19" t="s">
        <v>200</v>
      </c>
      <c r="P97" s="19">
        <v>963</v>
      </c>
      <c r="Q97" s="17">
        <v>963</v>
      </c>
      <c r="R97" s="17">
        <f t="shared" si="2"/>
        <v>0</v>
      </c>
      <c r="S97" s="17">
        <v>5850</v>
      </c>
      <c r="T97" s="19" t="s">
        <v>42</v>
      </c>
      <c r="U97" s="17" t="s">
        <v>198</v>
      </c>
      <c r="V97" s="67">
        <v>44447</v>
      </c>
      <c r="W97" s="17" t="s">
        <v>44</v>
      </c>
      <c r="Y97" s="68">
        <v>44440</v>
      </c>
      <c r="Z97" s="17" t="s">
        <v>199</v>
      </c>
      <c r="AA97" s="17" t="s">
        <v>46</v>
      </c>
      <c r="AB97" s="16" t="s">
        <v>152</v>
      </c>
      <c r="AC97" s="47">
        <v>44490</v>
      </c>
      <c r="AD97" s="65">
        <v>1214</v>
      </c>
      <c r="AE97" s="17" t="s">
        <v>48</v>
      </c>
    </row>
    <row r="98" s="17" customFormat="1" hidden="1" spans="1:33">
      <c r="A98" s="17" t="s">
        <v>34</v>
      </c>
      <c r="B98" s="19">
        <v>713</v>
      </c>
      <c r="C98" s="64">
        <v>44448</v>
      </c>
      <c r="D98" s="17" t="s">
        <v>52</v>
      </c>
      <c r="E98" s="17" t="s">
        <v>187</v>
      </c>
      <c r="F98" s="17" t="s">
        <v>54</v>
      </c>
      <c r="H98" s="65">
        <v>1.2311</v>
      </c>
      <c r="I98" s="65"/>
      <c r="J98" s="17" t="s">
        <v>49</v>
      </c>
      <c r="K98" s="17">
        <v>2200</v>
      </c>
      <c r="L98" s="17">
        <v>16</v>
      </c>
      <c r="N98" s="17" t="s">
        <v>66</v>
      </c>
      <c r="O98" s="19" t="s">
        <v>189</v>
      </c>
      <c r="P98" s="19">
        <v>2211</v>
      </c>
      <c r="Q98" s="17">
        <f>1050+1060</f>
        <v>2110</v>
      </c>
      <c r="R98" s="17">
        <f t="shared" si="2"/>
        <v>101</v>
      </c>
      <c r="S98" s="17">
        <v>1165</v>
      </c>
      <c r="T98" s="17" t="s">
        <v>42</v>
      </c>
      <c r="U98" s="17" t="s">
        <v>201</v>
      </c>
      <c r="V98" s="67">
        <v>44449</v>
      </c>
      <c r="W98" s="17" t="s">
        <v>44</v>
      </c>
      <c r="Y98" s="68">
        <v>44440</v>
      </c>
      <c r="Z98" s="17" t="s">
        <v>191</v>
      </c>
      <c r="AA98" s="17" t="s">
        <v>46</v>
      </c>
      <c r="AB98" s="17" t="s">
        <v>202</v>
      </c>
      <c r="AC98" s="66">
        <v>44455</v>
      </c>
      <c r="AD98" s="65">
        <v>1228</v>
      </c>
      <c r="AE98" s="17" t="s">
        <v>194</v>
      </c>
      <c r="AF98" s="17" t="s">
        <v>193</v>
      </c>
    </row>
    <row r="99" s="17" customFormat="1" hidden="1" spans="1:33">
      <c r="A99" s="17" t="s">
        <v>34</v>
      </c>
      <c r="B99" s="19">
        <v>713</v>
      </c>
      <c r="C99" s="64">
        <v>44448</v>
      </c>
      <c r="D99" s="17" t="s">
        <v>52</v>
      </c>
      <c r="E99" s="17" t="s">
        <v>187</v>
      </c>
      <c r="F99" s="17" t="s">
        <v>54</v>
      </c>
      <c r="H99" s="65">
        <v>1.2311</v>
      </c>
      <c r="I99" s="65"/>
      <c r="J99" s="17" t="s">
        <v>49</v>
      </c>
      <c r="K99" s="17">
        <v>2200</v>
      </c>
      <c r="L99" s="17">
        <v>20</v>
      </c>
      <c r="N99" s="17" t="s">
        <v>66</v>
      </c>
      <c r="O99" s="19" t="s">
        <v>189</v>
      </c>
      <c r="P99" s="19">
        <v>4145</v>
      </c>
      <c r="Q99" s="17">
        <f>1410+1587+1374</f>
        <v>4371</v>
      </c>
      <c r="R99" s="17">
        <f t="shared" si="2"/>
        <v>-226</v>
      </c>
      <c r="S99" s="17">
        <v>1135</v>
      </c>
      <c r="T99" s="17" t="s">
        <v>42</v>
      </c>
      <c r="U99" s="17" t="s">
        <v>201</v>
      </c>
      <c r="V99" s="67">
        <v>44449</v>
      </c>
      <c r="W99" s="17" t="s">
        <v>44</v>
      </c>
      <c r="Y99" s="68">
        <v>44440</v>
      </c>
      <c r="Z99" s="17" t="s">
        <v>191</v>
      </c>
      <c r="AA99" s="17" t="s">
        <v>46</v>
      </c>
      <c r="AB99" s="17" t="s">
        <v>203</v>
      </c>
      <c r="AC99" s="66">
        <v>44455</v>
      </c>
      <c r="AD99" s="65">
        <v>1222</v>
      </c>
      <c r="AE99" s="17" t="s">
        <v>204</v>
      </c>
      <c r="AF99" s="17" t="s">
        <v>193</v>
      </c>
    </row>
    <row r="100" s="17" customFormat="1" hidden="1" spans="1:33">
      <c r="A100" s="17" t="s">
        <v>34</v>
      </c>
      <c r="B100" s="19">
        <v>713</v>
      </c>
      <c r="C100" s="64">
        <v>44448</v>
      </c>
      <c r="D100" s="17" t="s">
        <v>52</v>
      </c>
      <c r="E100" s="17" t="s">
        <v>187</v>
      </c>
      <c r="F100" s="17" t="s">
        <v>54</v>
      </c>
      <c r="H100" s="65">
        <v>1.2311</v>
      </c>
      <c r="I100" s="65"/>
      <c r="J100" s="17" t="s">
        <v>49</v>
      </c>
      <c r="K100" s="17">
        <v>2200</v>
      </c>
      <c r="L100" s="17">
        <v>26</v>
      </c>
      <c r="N100" s="17" t="s">
        <v>66</v>
      </c>
      <c r="O100" s="19" t="s">
        <v>189</v>
      </c>
      <c r="P100" s="19">
        <v>7184</v>
      </c>
      <c r="Q100" s="17">
        <f>1649+1652+2587</f>
        <v>5888</v>
      </c>
      <c r="S100" s="17">
        <v>1135</v>
      </c>
      <c r="T100" s="17" t="s">
        <v>42</v>
      </c>
      <c r="U100" s="17" t="s">
        <v>201</v>
      </c>
      <c r="V100" s="67">
        <v>44449</v>
      </c>
      <c r="W100" s="17" t="s">
        <v>44</v>
      </c>
      <c r="Y100" s="68">
        <v>44440</v>
      </c>
      <c r="Z100" s="17" t="s">
        <v>191</v>
      </c>
      <c r="AA100" s="17" t="s">
        <v>46</v>
      </c>
      <c r="AB100" s="17" t="s">
        <v>203</v>
      </c>
      <c r="AC100" s="66">
        <v>44455</v>
      </c>
      <c r="AD100" s="65">
        <v>1222</v>
      </c>
      <c r="AE100" s="17" t="s">
        <v>48</v>
      </c>
      <c r="AF100" s="17" t="s">
        <v>193</v>
      </c>
    </row>
    <row r="101" s="17" customFormat="1" hidden="1" spans="1:33">
      <c r="A101" s="17" t="s">
        <v>34</v>
      </c>
      <c r="B101" s="19">
        <v>713</v>
      </c>
      <c r="C101" s="64">
        <v>44448</v>
      </c>
      <c r="D101" s="17" t="s">
        <v>52</v>
      </c>
      <c r="E101" s="17" t="s">
        <v>187</v>
      </c>
      <c r="F101" s="17" t="s">
        <v>54</v>
      </c>
      <c r="H101" s="65">
        <v>1.2311</v>
      </c>
      <c r="I101" s="65"/>
      <c r="J101" s="17" t="s">
        <v>49</v>
      </c>
      <c r="K101" s="17">
        <v>2260</v>
      </c>
      <c r="L101" s="17">
        <v>26</v>
      </c>
      <c r="N101" s="17" t="s">
        <v>66</v>
      </c>
      <c r="O101" s="19" t="s">
        <v>189</v>
      </c>
      <c r="P101" s="19"/>
      <c r="Q101" s="17">
        <v>1643</v>
      </c>
      <c r="R101" s="17">
        <f>+P100-Q100-Q101</f>
        <v>-347</v>
      </c>
      <c r="S101" s="17">
        <v>1135</v>
      </c>
      <c r="T101" s="17" t="s">
        <v>42</v>
      </c>
      <c r="U101" s="17" t="s">
        <v>201</v>
      </c>
      <c r="V101" s="67">
        <v>44449</v>
      </c>
      <c r="W101" s="17" t="s">
        <v>44</v>
      </c>
      <c r="Y101" s="68">
        <v>44440</v>
      </c>
      <c r="Z101" s="17" t="s">
        <v>191</v>
      </c>
      <c r="AA101" s="17" t="s">
        <v>46</v>
      </c>
      <c r="AB101" s="17" t="s">
        <v>202</v>
      </c>
      <c r="AC101" s="66">
        <v>44455</v>
      </c>
      <c r="AD101" s="65">
        <v>1228</v>
      </c>
      <c r="AE101" s="17" t="s">
        <v>48</v>
      </c>
      <c r="AF101" s="17" t="s">
        <v>193</v>
      </c>
    </row>
    <row r="102" s="17" customFormat="1" hidden="1" spans="1:33">
      <c r="A102" s="17" t="s">
        <v>34</v>
      </c>
      <c r="B102" s="19">
        <v>713</v>
      </c>
      <c r="C102" s="64">
        <v>44448</v>
      </c>
      <c r="D102" s="17" t="s">
        <v>52</v>
      </c>
      <c r="E102" s="17" t="s">
        <v>187</v>
      </c>
      <c r="F102" s="17" t="s">
        <v>54</v>
      </c>
      <c r="H102" s="65">
        <v>1.2311</v>
      </c>
      <c r="I102" s="65"/>
      <c r="J102" s="17" t="s">
        <v>49</v>
      </c>
      <c r="K102" s="17">
        <v>2200</v>
      </c>
      <c r="L102" s="17">
        <v>32</v>
      </c>
      <c r="N102" s="17" t="s">
        <v>66</v>
      </c>
      <c r="O102" s="19" t="s">
        <v>189</v>
      </c>
      <c r="P102" s="19">
        <v>4421</v>
      </c>
      <c r="Q102" s="17">
        <f>2134+2004</f>
        <v>4138</v>
      </c>
      <c r="R102" s="17">
        <f t="shared" ref="R102:R108" si="4">+P102-Q102</f>
        <v>283</v>
      </c>
      <c r="S102" s="17">
        <v>1135</v>
      </c>
      <c r="T102" s="17" t="s">
        <v>42</v>
      </c>
      <c r="U102" s="17" t="s">
        <v>201</v>
      </c>
      <c r="V102" s="67">
        <v>44449</v>
      </c>
      <c r="W102" s="17" t="s">
        <v>44</v>
      </c>
      <c r="Y102" s="68">
        <v>44440</v>
      </c>
      <c r="Z102" s="17" t="s">
        <v>191</v>
      </c>
      <c r="AA102" s="17" t="s">
        <v>46</v>
      </c>
      <c r="AB102" s="17" t="s">
        <v>203</v>
      </c>
      <c r="AC102" s="66">
        <v>44455</v>
      </c>
      <c r="AD102" s="65">
        <v>1222</v>
      </c>
      <c r="AE102" s="17" t="s">
        <v>48</v>
      </c>
      <c r="AF102" s="17" t="s">
        <v>193</v>
      </c>
    </row>
    <row r="103" s="17" customFormat="1" hidden="1" spans="1:33">
      <c r="A103" s="17" t="s">
        <v>34</v>
      </c>
      <c r="B103" s="19">
        <v>713</v>
      </c>
      <c r="C103" s="64">
        <v>44448</v>
      </c>
      <c r="D103" s="17" t="s">
        <v>52</v>
      </c>
      <c r="E103" s="17" t="s">
        <v>187</v>
      </c>
      <c r="F103" s="17" t="s">
        <v>54</v>
      </c>
      <c r="H103" s="65">
        <v>1.2311</v>
      </c>
      <c r="I103" s="65"/>
      <c r="J103" s="17" t="s">
        <v>49</v>
      </c>
      <c r="K103" s="17">
        <v>2200</v>
      </c>
      <c r="L103" s="17">
        <v>40</v>
      </c>
      <c r="N103" s="17" t="s">
        <v>66</v>
      </c>
      <c r="O103" s="19" t="s">
        <v>189</v>
      </c>
      <c r="P103" s="19">
        <v>5526</v>
      </c>
      <c r="Q103" s="17">
        <f>3265+2895</f>
        <v>6160</v>
      </c>
      <c r="R103" s="17">
        <f t="shared" si="4"/>
        <v>-634</v>
      </c>
      <c r="S103" s="17">
        <v>1135</v>
      </c>
      <c r="T103" s="17" t="s">
        <v>42</v>
      </c>
      <c r="U103" s="17" t="s">
        <v>201</v>
      </c>
      <c r="V103" s="67">
        <v>44449</v>
      </c>
      <c r="W103" s="17" t="s">
        <v>44</v>
      </c>
      <c r="Y103" s="68">
        <v>44440</v>
      </c>
      <c r="Z103" s="17" t="s">
        <v>191</v>
      </c>
      <c r="AA103" s="17" t="s">
        <v>46</v>
      </c>
      <c r="AB103" s="17" t="s">
        <v>203</v>
      </c>
      <c r="AC103" s="66">
        <v>44455</v>
      </c>
      <c r="AD103" s="65">
        <v>1222</v>
      </c>
      <c r="AE103" s="17" t="s">
        <v>48</v>
      </c>
      <c r="AF103" s="17" t="s">
        <v>193</v>
      </c>
    </row>
    <row r="104" s="17" customFormat="1" hidden="1" spans="1:33">
      <c r="A104" s="17" t="s">
        <v>34</v>
      </c>
      <c r="B104" s="19">
        <v>713</v>
      </c>
      <c r="C104" s="64">
        <v>44448</v>
      </c>
      <c r="D104" s="17" t="s">
        <v>52</v>
      </c>
      <c r="E104" s="17" t="s">
        <v>187</v>
      </c>
      <c r="F104" s="17" t="s">
        <v>54</v>
      </c>
      <c r="H104" s="65">
        <v>1.2311</v>
      </c>
      <c r="I104" s="65"/>
      <c r="J104" s="17" t="s">
        <v>49</v>
      </c>
      <c r="K104" s="17">
        <v>2200</v>
      </c>
      <c r="L104" s="17">
        <v>51</v>
      </c>
      <c r="N104" s="17" t="s">
        <v>66</v>
      </c>
      <c r="O104" s="19" t="s">
        <v>189</v>
      </c>
      <c r="P104" s="19">
        <v>7046</v>
      </c>
      <c r="Q104" s="17">
        <f>3432+3427</f>
        <v>6859</v>
      </c>
      <c r="R104" s="17">
        <f t="shared" si="4"/>
        <v>187</v>
      </c>
      <c r="S104" s="17">
        <v>1135</v>
      </c>
      <c r="T104" s="17" t="s">
        <v>42</v>
      </c>
      <c r="U104" s="17" t="s">
        <v>201</v>
      </c>
      <c r="V104" s="67">
        <v>44449</v>
      </c>
      <c r="W104" s="17" t="s">
        <v>44</v>
      </c>
      <c r="Y104" s="68">
        <v>44440</v>
      </c>
      <c r="Z104" s="17" t="s">
        <v>191</v>
      </c>
      <c r="AA104" s="17" t="s">
        <v>46</v>
      </c>
      <c r="AB104" s="17" t="s">
        <v>203</v>
      </c>
      <c r="AC104" s="66">
        <v>44455</v>
      </c>
      <c r="AD104" s="65">
        <v>1222</v>
      </c>
      <c r="AE104" s="17" t="s">
        <v>48</v>
      </c>
      <c r="AF104" s="17" t="s">
        <v>193</v>
      </c>
    </row>
    <row r="105" s="17" customFormat="1" hidden="1" spans="1:33">
      <c r="A105" s="17" t="s">
        <v>34</v>
      </c>
      <c r="B105" s="19">
        <v>713</v>
      </c>
      <c r="C105" s="64">
        <v>44448</v>
      </c>
      <c r="D105" s="17" t="s">
        <v>52</v>
      </c>
      <c r="E105" s="17" t="s">
        <v>187</v>
      </c>
      <c r="F105" s="17" t="s">
        <v>54</v>
      </c>
      <c r="H105" s="65">
        <v>1.2311</v>
      </c>
      <c r="I105" s="65"/>
      <c r="J105" s="17" t="s">
        <v>49</v>
      </c>
      <c r="K105" s="17">
        <v>2200</v>
      </c>
      <c r="L105" s="17">
        <v>71</v>
      </c>
      <c r="N105" s="17" t="s">
        <v>66</v>
      </c>
      <c r="O105" s="19" t="s">
        <v>189</v>
      </c>
      <c r="P105" s="19">
        <v>4905</v>
      </c>
      <c r="Q105" s="17">
        <v>4880</v>
      </c>
      <c r="R105" s="17">
        <f t="shared" si="4"/>
        <v>25</v>
      </c>
      <c r="S105" s="17">
        <v>1135</v>
      </c>
      <c r="T105" s="17" t="s">
        <v>42</v>
      </c>
      <c r="U105" s="17" t="s">
        <v>201</v>
      </c>
      <c r="V105" s="67">
        <v>44449</v>
      </c>
      <c r="W105" s="17" t="s">
        <v>44</v>
      </c>
      <c r="Y105" s="68">
        <v>44440</v>
      </c>
      <c r="Z105" s="17" t="s">
        <v>191</v>
      </c>
      <c r="AA105" s="17" t="s">
        <v>46</v>
      </c>
      <c r="AB105" s="17" t="s">
        <v>202</v>
      </c>
      <c r="AC105" s="66">
        <v>44455</v>
      </c>
      <c r="AD105" s="65">
        <v>1228</v>
      </c>
      <c r="AE105" s="17" t="s">
        <v>48</v>
      </c>
      <c r="AF105" s="17" t="s">
        <v>193</v>
      </c>
    </row>
    <row r="106" s="17" customFormat="1" hidden="1" spans="1:33">
      <c r="A106" s="17" t="s">
        <v>34</v>
      </c>
      <c r="B106" s="19">
        <v>713</v>
      </c>
      <c r="C106" s="64">
        <v>44448</v>
      </c>
      <c r="D106" s="17" t="s">
        <v>52</v>
      </c>
      <c r="E106" s="17" t="s">
        <v>187</v>
      </c>
      <c r="F106" s="17" t="s">
        <v>54</v>
      </c>
      <c r="H106" s="65">
        <v>1.2311</v>
      </c>
      <c r="I106" s="65"/>
      <c r="J106" s="17" t="s">
        <v>49</v>
      </c>
      <c r="K106" s="17">
        <v>2200</v>
      </c>
      <c r="L106" s="17">
        <v>75</v>
      </c>
      <c r="N106" s="17" t="s">
        <v>66</v>
      </c>
      <c r="O106" s="19" t="s">
        <v>189</v>
      </c>
      <c r="P106" s="19">
        <v>5181</v>
      </c>
      <c r="Q106" s="17">
        <v>5200</v>
      </c>
      <c r="R106" s="17">
        <f t="shared" si="4"/>
        <v>-19</v>
      </c>
      <c r="S106" s="17">
        <v>1135</v>
      </c>
      <c r="T106" s="17" t="s">
        <v>42</v>
      </c>
      <c r="U106" s="17" t="s">
        <v>201</v>
      </c>
      <c r="V106" s="67">
        <v>44449</v>
      </c>
      <c r="W106" s="17" t="s">
        <v>44</v>
      </c>
      <c r="Y106" s="68">
        <v>44440</v>
      </c>
      <c r="Z106" s="17" t="s">
        <v>191</v>
      </c>
      <c r="AA106" s="17" t="s">
        <v>46</v>
      </c>
      <c r="AB106" s="17" t="s">
        <v>202</v>
      </c>
      <c r="AC106" s="66">
        <v>44455</v>
      </c>
      <c r="AD106" s="65">
        <v>1228</v>
      </c>
      <c r="AE106" s="17" t="s">
        <v>48</v>
      </c>
      <c r="AF106" s="17" t="s">
        <v>193</v>
      </c>
    </row>
    <row r="107" s="17" customFormat="1" hidden="1" spans="1:33">
      <c r="A107" s="17" t="s">
        <v>34</v>
      </c>
      <c r="B107" s="19">
        <v>713</v>
      </c>
      <c r="C107" s="64">
        <v>44448</v>
      </c>
      <c r="D107" s="17" t="s">
        <v>52</v>
      </c>
      <c r="E107" s="17" t="s">
        <v>187</v>
      </c>
      <c r="F107" s="17" t="s">
        <v>54</v>
      </c>
      <c r="H107" s="65">
        <v>1.2311</v>
      </c>
      <c r="I107" s="65"/>
      <c r="J107" s="17" t="s">
        <v>49</v>
      </c>
      <c r="K107" s="17">
        <v>2200</v>
      </c>
      <c r="L107" s="17">
        <v>95</v>
      </c>
      <c r="N107" s="17" t="s">
        <v>66</v>
      </c>
      <c r="O107" s="19" t="s">
        <v>189</v>
      </c>
      <c r="P107" s="19">
        <v>4922</v>
      </c>
      <c r="Q107" s="17">
        <v>4780</v>
      </c>
      <c r="R107" s="17">
        <f t="shared" si="4"/>
        <v>142</v>
      </c>
      <c r="S107" s="17">
        <v>1135</v>
      </c>
      <c r="T107" s="17" t="s">
        <v>42</v>
      </c>
      <c r="U107" s="17" t="s">
        <v>201</v>
      </c>
      <c r="V107" s="67">
        <v>44449</v>
      </c>
      <c r="W107" s="17" t="s">
        <v>44</v>
      </c>
      <c r="Y107" s="68">
        <v>44440</v>
      </c>
      <c r="Z107" s="17" t="s">
        <v>191</v>
      </c>
      <c r="AA107" s="17" t="s">
        <v>46</v>
      </c>
      <c r="AB107" s="17" t="s">
        <v>202</v>
      </c>
      <c r="AC107" s="66">
        <v>44455</v>
      </c>
      <c r="AD107" s="65">
        <v>1228</v>
      </c>
      <c r="AE107" s="17" t="s">
        <v>48</v>
      </c>
      <c r="AF107" s="17" t="s">
        <v>193</v>
      </c>
    </row>
    <row r="108" s="17" customFormat="1" hidden="1" spans="1:33">
      <c r="A108" s="17" t="s">
        <v>34</v>
      </c>
      <c r="B108" s="19">
        <v>713</v>
      </c>
      <c r="C108" s="64">
        <v>44448</v>
      </c>
      <c r="D108" s="17" t="s">
        <v>52</v>
      </c>
      <c r="E108" s="17" t="s">
        <v>187</v>
      </c>
      <c r="F108" s="17" t="s">
        <v>54</v>
      </c>
      <c r="H108" s="65">
        <v>1.2311</v>
      </c>
      <c r="I108" s="65"/>
      <c r="J108" s="17" t="s">
        <v>49</v>
      </c>
      <c r="K108" s="17">
        <v>2200</v>
      </c>
      <c r="L108" s="17">
        <v>130</v>
      </c>
      <c r="N108" s="17" t="s">
        <v>66</v>
      </c>
      <c r="O108" s="19" t="s">
        <v>189</v>
      </c>
      <c r="P108" s="19">
        <v>6735</v>
      </c>
      <c r="Q108" s="17">
        <v>6245</v>
      </c>
      <c r="R108" s="17">
        <f t="shared" si="4"/>
        <v>490</v>
      </c>
      <c r="S108" s="17">
        <v>1155</v>
      </c>
      <c r="T108" s="17" t="s">
        <v>42</v>
      </c>
      <c r="U108" s="17" t="s">
        <v>201</v>
      </c>
      <c r="V108" s="67">
        <v>44449</v>
      </c>
      <c r="W108" s="17" t="s">
        <v>44</v>
      </c>
      <c r="Y108" s="68">
        <v>44440</v>
      </c>
      <c r="Z108" s="17" t="s">
        <v>191</v>
      </c>
      <c r="AA108" s="17" t="s">
        <v>46</v>
      </c>
      <c r="AB108" s="17" t="s">
        <v>202</v>
      </c>
      <c r="AC108" s="66">
        <v>44455</v>
      </c>
      <c r="AD108" s="65">
        <v>1228</v>
      </c>
      <c r="AE108" s="17" t="s">
        <v>74</v>
      </c>
      <c r="AF108" s="17" t="s">
        <v>193</v>
      </c>
    </row>
    <row r="109" s="16" customFormat="1" hidden="1" spans="1:33">
      <c r="A109" s="16" t="s">
        <v>34</v>
      </c>
      <c r="B109" s="46">
        <v>626</v>
      </c>
      <c r="C109" s="47">
        <v>44127</v>
      </c>
      <c r="D109" s="16" t="s">
        <v>52</v>
      </c>
      <c r="E109" s="17" t="s">
        <v>205</v>
      </c>
      <c r="F109" s="16" t="s">
        <v>54</v>
      </c>
      <c r="H109" s="48">
        <v>1.2311</v>
      </c>
      <c r="I109" s="48"/>
      <c r="J109" s="16" t="s">
        <v>82</v>
      </c>
      <c r="K109" s="16">
        <v>2200</v>
      </c>
      <c r="L109" s="48">
        <v>180</v>
      </c>
      <c r="M109" s="16">
        <v>3000</v>
      </c>
      <c r="N109" s="16" t="s">
        <v>66</v>
      </c>
      <c r="O109" s="46" t="s">
        <v>141</v>
      </c>
      <c r="P109" s="46">
        <v>9000</v>
      </c>
      <c r="Q109" s="48">
        <v>8390</v>
      </c>
      <c r="R109" s="48">
        <f>P109-Q109</f>
        <v>610</v>
      </c>
      <c r="S109" s="48">
        <f>855+55</f>
        <v>910</v>
      </c>
      <c r="T109" s="46" t="s">
        <v>42</v>
      </c>
      <c r="U109" s="16" t="s">
        <v>206</v>
      </c>
      <c r="V109" s="49">
        <v>44128</v>
      </c>
      <c r="W109" s="16" t="s">
        <v>69</v>
      </c>
      <c r="Y109" s="50">
        <v>44166</v>
      </c>
      <c r="Z109" s="16" t="s">
        <v>207</v>
      </c>
      <c r="AA109" s="16" t="s">
        <v>46</v>
      </c>
      <c r="AB109" s="16" t="s">
        <v>208</v>
      </c>
      <c r="AC109" s="47">
        <v>44467</v>
      </c>
      <c r="AD109" s="48">
        <v>1225</v>
      </c>
      <c r="AE109" s="16" t="s">
        <v>48</v>
      </c>
      <c r="AG109" s="16" t="s">
        <v>209</v>
      </c>
    </row>
    <row r="110" s="17" customFormat="1" hidden="1" spans="1:33">
      <c r="A110" s="17" t="s">
        <v>34</v>
      </c>
      <c r="B110" s="19">
        <v>714</v>
      </c>
      <c r="C110" s="64">
        <v>44450</v>
      </c>
      <c r="D110" s="17" t="s">
        <v>52</v>
      </c>
      <c r="E110" s="17" t="s">
        <v>205</v>
      </c>
      <c r="F110" s="17" t="s">
        <v>54</v>
      </c>
      <c r="H110" s="65">
        <v>1.2311</v>
      </c>
      <c r="I110" s="65"/>
      <c r="J110" s="17" t="s">
        <v>49</v>
      </c>
      <c r="K110" s="17">
        <v>2200</v>
      </c>
      <c r="L110" s="17">
        <v>36</v>
      </c>
      <c r="M110" s="17">
        <v>5000</v>
      </c>
      <c r="N110" s="17" t="s">
        <v>66</v>
      </c>
      <c r="O110" s="19" t="s">
        <v>189</v>
      </c>
      <c r="P110" s="19">
        <v>3109</v>
      </c>
      <c r="Q110" s="17">
        <v>3229</v>
      </c>
      <c r="R110" s="17">
        <f t="shared" ref="R110:R173" si="5">+P110-Q110</f>
        <v>-120</v>
      </c>
      <c r="S110" s="17">
        <v>1320</v>
      </c>
      <c r="T110" s="19" t="s">
        <v>42</v>
      </c>
      <c r="U110" s="17" t="s">
        <v>210</v>
      </c>
      <c r="V110" s="67">
        <v>44452</v>
      </c>
      <c r="W110" s="17" t="s">
        <v>69</v>
      </c>
      <c r="Y110" s="68">
        <v>44440</v>
      </c>
      <c r="Z110" s="17" t="s">
        <v>207</v>
      </c>
      <c r="AA110" s="17" t="s">
        <v>46</v>
      </c>
      <c r="AB110" s="17" t="s">
        <v>208</v>
      </c>
      <c r="AC110" s="66">
        <v>44467</v>
      </c>
      <c r="AD110" s="65">
        <v>1225</v>
      </c>
      <c r="AE110" s="17" t="s">
        <v>48</v>
      </c>
      <c r="AF110" s="17" t="s">
        <v>193</v>
      </c>
    </row>
    <row r="111" s="17" customFormat="1" hidden="1" spans="1:33">
      <c r="A111" s="17" t="s">
        <v>34</v>
      </c>
      <c r="B111" s="19">
        <v>714</v>
      </c>
      <c r="C111" s="64">
        <v>44450</v>
      </c>
      <c r="D111" s="17" t="s">
        <v>52</v>
      </c>
      <c r="E111" s="17" t="s">
        <v>205</v>
      </c>
      <c r="F111" s="17" t="s">
        <v>54</v>
      </c>
      <c r="H111" s="65">
        <v>1.2311</v>
      </c>
      <c r="I111" s="65"/>
      <c r="J111" s="17" t="s">
        <v>49</v>
      </c>
      <c r="K111" s="17">
        <v>2200</v>
      </c>
      <c r="L111" s="17">
        <v>85</v>
      </c>
      <c r="M111" s="17">
        <v>2500</v>
      </c>
      <c r="N111" s="17" t="s">
        <v>66</v>
      </c>
      <c r="O111" s="19" t="s">
        <v>189</v>
      </c>
      <c r="P111" s="19">
        <v>3670</v>
      </c>
      <c r="Q111" s="17">
        <v>3747</v>
      </c>
      <c r="R111" s="17">
        <f t="shared" si="5"/>
        <v>-77</v>
      </c>
      <c r="S111" s="17">
        <v>1320</v>
      </c>
      <c r="T111" s="19" t="s">
        <v>42</v>
      </c>
      <c r="U111" s="17" t="s">
        <v>210</v>
      </c>
      <c r="V111" s="67">
        <v>44452</v>
      </c>
      <c r="W111" s="17" t="s">
        <v>69</v>
      </c>
      <c r="Y111" s="68">
        <v>44440</v>
      </c>
      <c r="Z111" s="17" t="s">
        <v>207</v>
      </c>
      <c r="AA111" s="17" t="s">
        <v>46</v>
      </c>
      <c r="AB111" s="17" t="s">
        <v>208</v>
      </c>
      <c r="AC111" s="66">
        <v>44467</v>
      </c>
      <c r="AD111" s="65">
        <v>1225</v>
      </c>
      <c r="AE111" s="17" t="s">
        <v>48</v>
      </c>
      <c r="AF111" s="17" t="s">
        <v>193</v>
      </c>
    </row>
    <row r="112" s="17" customFormat="1" hidden="1" spans="1:33">
      <c r="A112" s="17" t="s">
        <v>34</v>
      </c>
      <c r="B112" s="19">
        <v>714</v>
      </c>
      <c r="C112" s="64">
        <v>44450</v>
      </c>
      <c r="D112" s="17" t="s">
        <v>52</v>
      </c>
      <c r="E112" s="17" t="s">
        <v>205</v>
      </c>
      <c r="F112" s="17" t="s">
        <v>54</v>
      </c>
      <c r="H112" s="65">
        <v>1.2311</v>
      </c>
      <c r="I112" s="65"/>
      <c r="J112" s="17" t="s">
        <v>49</v>
      </c>
      <c r="K112" s="17">
        <v>2200</v>
      </c>
      <c r="L112" s="17">
        <v>91</v>
      </c>
      <c r="M112" s="17">
        <v>4000</v>
      </c>
      <c r="N112" s="17" t="s">
        <v>66</v>
      </c>
      <c r="O112" s="19" t="s">
        <v>189</v>
      </c>
      <c r="P112" s="19">
        <v>6286</v>
      </c>
      <c r="Q112" s="17">
        <v>6545</v>
      </c>
      <c r="R112" s="17">
        <f t="shared" si="5"/>
        <v>-259</v>
      </c>
      <c r="S112" s="17">
        <v>1320</v>
      </c>
      <c r="T112" s="19" t="s">
        <v>42</v>
      </c>
      <c r="U112" s="17" t="s">
        <v>210</v>
      </c>
      <c r="V112" s="67">
        <v>44452</v>
      </c>
      <c r="W112" s="17" t="s">
        <v>69</v>
      </c>
      <c r="Y112" s="68">
        <v>44440</v>
      </c>
      <c r="Z112" s="17" t="s">
        <v>207</v>
      </c>
      <c r="AA112" s="17" t="s">
        <v>46</v>
      </c>
      <c r="AB112" s="17" t="s">
        <v>208</v>
      </c>
      <c r="AC112" s="66">
        <v>44467</v>
      </c>
      <c r="AD112" s="65">
        <v>1225</v>
      </c>
      <c r="AE112" s="17" t="s">
        <v>48</v>
      </c>
      <c r="AF112" s="17" t="s">
        <v>193</v>
      </c>
    </row>
    <row r="113" s="17" customFormat="1" hidden="1" spans="1:32">
      <c r="A113" s="17" t="s">
        <v>34</v>
      </c>
      <c r="B113" s="19">
        <v>714</v>
      </c>
      <c r="C113" s="64">
        <v>44450</v>
      </c>
      <c r="D113" s="17" t="s">
        <v>52</v>
      </c>
      <c r="E113" s="17" t="s">
        <v>205</v>
      </c>
      <c r="F113" s="17" t="s">
        <v>54</v>
      </c>
      <c r="H113" s="65">
        <v>1.2311</v>
      </c>
      <c r="I113" s="65"/>
      <c r="J113" s="17" t="s">
        <v>49</v>
      </c>
      <c r="K113" s="17">
        <v>2200</v>
      </c>
      <c r="L113" s="17">
        <v>120</v>
      </c>
      <c r="M113" s="17">
        <v>3000</v>
      </c>
      <c r="N113" s="17" t="s">
        <v>66</v>
      </c>
      <c r="O113" s="19" t="s">
        <v>189</v>
      </c>
      <c r="P113" s="19">
        <v>6217</v>
      </c>
      <c r="Q113" s="17">
        <v>5670</v>
      </c>
      <c r="R113" s="17">
        <f t="shared" si="5"/>
        <v>547</v>
      </c>
      <c r="S113" s="17">
        <v>1320</v>
      </c>
      <c r="T113" s="19" t="s">
        <v>42</v>
      </c>
      <c r="U113" s="17" t="s">
        <v>210</v>
      </c>
      <c r="V113" s="67">
        <v>44452</v>
      </c>
      <c r="W113" s="17" t="s">
        <v>69</v>
      </c>
      <c r="Y113" s="68">
        <v>44440</v>
      </c>
      <c r="Z113" s="17" t="s">
        <v>207</v>
      </c>
      <c r="AA113" s="17" t="s">
        <v>46</v>
      </c>
      <c r="AB113" s="17" t="s">
        <v>208</v>
      </c>
      <c r="AC113" s="66">
        <v>44467</v>
      </c>
      <c r="AD113" s="65">
        <v>1225</v>
      </c>
      <c r="AE113" s="17" t="s">
        <v>48</v>
      </c>
      <c r="AF113" s="17" t="s">
        <v>193</v>
      </c>
    </row>
    <row r="114" s="17" customFormat="1" hidden="1" spans="1:32">
      <c r="A114" s="17" t="s">
        <v>34</v>
      </c>
      <c r="B114" s="19">
        <v>715</v>
      </c>
      <c r="C114" s="64">
        <v>44453</v>
      </c>
      <c r="D114" s="17" t="s">
        <v>52</v>
      </c>
      <c r="E114" s="17" t="s">
        <v>187</v>
      </c>
      <c r="F114" s="17" t="s">
        <v>54</v>
      </c>
      <c r="H114" s="65">
        <v>1.2311</v>
      </c>
      <c r="I114" s="65"/>
      <c r="J114" s="17" t="s">
        <v>140</v>
      </c>
      <c r="K114" s="17">
        <v>1620</v>
      </c>
      <c r="L114" s="17">
        <v>255</v>
      </c>
      <c r="M114" s="17">
        <v>3330</v>
      </c>
      <c r="N114" s="17" t="s">
        <v>66</v>
      </c>
      <c r="O114" s="19" t="s">
        <v>50</v>
      </c>
      <c r="P114" s="19">
        <v>10799</v>
      </c>
      <c r="Q114" s="17">
        <v>10700</v>
      </c>
      <c r="R114" s="17">
        <f t="shared" si="5"/>
        <v>99</v>
      </c>
      <c r="S114" s="17">
        <f>1625-160</f>
        <v>1465</v>
      </c>
      <c r="T114" s="17" t="s">
        <v>42</v>
      </c>
      <c r="U114" s="17" t="s">
        <v>211</v>
      </c>
      <c r="V114" s="67">
        <v>44453</v>
      </c>
      <c r="W114" s="17" t="s">
        <v>44</v>
      </c>
      <c r="Y114" s="68">
        <v>44440</v>
      </c>
      <c r="Z114" s="17" t="s">
        <v>191</v>
      </c>
      <c r="AA114" s="17" t="s">
        <v>46</v>
      </c>
      <c r="AB114" s="17" t="s">
        <v>212</v>
      </c>
      <c r="AC114" s="66">
        <v>44465</v>
      </c>
      <c r="AD114" s="65">
        <v>1224</v>
      </c>
      <c r="AF114" s="17" t="s">
        <v>193</v>
      </c>
    </row>
    <row r="115" s="17" customFormat="1" hidden="1" spans="1:32">
      <c r="A115" s="17" t="s">
        <v>34</v>
      </c>
      <c r="B115" s="19">
        <v>715</v>
      </c>
      <c r="C115" s="64">
        <v>44453</v>
      </c>
      <c r="D115" s="17" t="s">
        <v>52</v>
      </c>
      <c r="E115" s="17" t="s">
        <v>187</v>
      </c>
      <c r="F115" s="17" t="s">
        <v>54</v>
      </c>
      <c r="H115" s="65">
        <v>1.2311</v>
      </c>
      <c r="I115" s="65"/>
      <c r="J115" s="17" t="s">
        <v>140</v>
      </c>
      <c r="K115" s="17">
        <v>1610</v>
      </c>
      <c r="L115" s="17">
        <v>390</v>
      </c>
      <c r="M115" s="17">
        <v>3045</v>
      </c>
      <c r="N115" s="17" t="s">
        <v>66</v>
      </c>
      <c r="O115" s="19" t="s">
        <v>50</v>
      </c>
      <c r="P115" s="19">
        <v>15009</v>
      </c>
      <c r="Q115" s="17">
        <v>15020</v>
      </c>
      <c r="R115" s="17">
        <f t="shared" si="5"/>
        <v>-11</v>
      </c>
      <c r="S115" s="17">
        <f>1625-160</f>
        <v>1465</v>
      </c>
      <c r="T115" s="17" t="s">
        <v>42</v>
      </c>
      <c r="U115" s="17" t="s">
        <v>211</v>
      </c>
      <c r="V115" s="67">
        <v>44453</v>
      </c>
      <c r="W115" s="17" t="s">
        <v>44</v>
      </c>
      <c r="Y115" s="68">
        <v>44440</v>
      </c>
      <c r="Z115" s="17" t="s">
        <v>191</v>
      </c>
      <c r="AA115" s="17" t="s">
        <v>46</v>
      </c>
      <c r="AB115" s="17" t="s">
        <v>212</v>
      </c>
      <c r="AC115" s="66">
        <v>44465</v>
      </c>
      <c r="AD115" s="65">
        <v>1224</v>
      </c>
      <c r="AF115" s="17" t="s">
        <v>193</v>
      </c>
    </row>
    <row r="116" s="17" customFormat="1" hidden="1" spans="1:32">
      <c r="A116" s="17" t="s">
        <v>34</v>
      </c>
      <c r="B116" s="19">
        <v>715</v>
      </c>
      <c r="C116" s="64">
        <v>44453</v>
      </c>
      <c r="D116" s="17" t="s">
        <v>52</v>
      </c>
      <c r="E116" s="17" t="s">
        <v>187</v>
      </c>
      <c r="F116" s="17" t="s">
        <v>54</v>
      </c>
      <c r="H116" s="65">
        <v>1.2311</v>
      </c>
      <c r="I116" s="65"/>
      <c r="J116" s="17" t="s">
        <v>140</v>
      </c>
      <c r="K116" s="17">
        <v>1600</v>
      </c>
      <c r="L116" s="17">
        <v>355</v>
      </c>
      <c r="M116" s="17">
        <v>3930</v>
      </c>
      <c r="N116" s="17" t="s">
        <v>66</v>
      </c>
      <c r="O116" s="19" t="s">
        <v>50</v>
      </c>
      <c r="P116" s="19">
        <v>17523</v>
      </c>
      <c r="Q116" s="17">
        <v>17390</v>
      </c>
      <c r="R116" s="17">
        <f t="shared" si="5"/>
        <v>133</v>
      </c>
      <c r="S116" s="17">
        <f>1625-160</f>
        <v>1465</v>
      </c>
      <c r="T116" s="17" t="s">
        <v>42</v>
      </c>
      <c r="U116" s="17" t="s">
        <v>211</v>
      </c>
      <c r="V116" s="67">
        <v>44453</v>
      </c>
      <c r="W116" s="17" t="s">
        <v>44</v>
      </c>
      <c r="Y116" s="68">
        <v>44440</v>
      </c>
      <c r="Z116" s="17" t="s">
        <v>191</v>
      </c>
      <c r="AA116" s="17" t="s">
        <v>46</v>
      </c>
      <c r="AB116" s="17" t="s">
        <v>212</v>
      </c>
      <c r="AC116" s="66">
        <v>44465</v>
      </c>
      <c r="AD116" s="65">
        <v>1224</v>
      </c>
      <c r="AF116" s="17" t="s">
        <v>193</v>
      </c>
    </row>
    <row r="117" s="17" customFormat="1" hidden="1" spans="1:32">
      <c r="A117" s="17" t="s">
        <v>34</v>
      </c>
      <c r="B117" s="19">
        <v>716</v>
      </c>
      <c r="C117" s="64">
        <v>44454</v>
      </c>
      <c r="D117" s="17" t="s">
        <v>52</v>
      </c>
      <c r="E117" s="17" t="s">
        <v>187</v>
      </c>
      <c r="F117" s="17" t="s">
        <v>54</v>
      </c>
      <c r="H117" s="65">
        <v>1.2311</v>
      </c>
      <c r="I117" s="65"/>
      <c r="J117" s="17" t="s">
        <v>140</v>
      </c>
      <c r="K117" s="17">
        <v>2200</v>
      </c>
      <c r="L117" s="17">
        <v>100</v>
      </c>
      <c r="M117" s="17">
        <v>1900</v>
      </c>
      <c r="N117" s="17" t="s">
        <v>66</v>
      </c>
      <c r="O117" s="19" t="s">
        <v>141</v>
      </c>
      <c r="P117" s="19">
        <v>5181</v>
      </c>
      <c r="Q117" s="17">
        <v>3384</v>
      </c>
      <c r="R117" s="17">
        <f t="shared" si="5"/>
        <v>1797</v>
      </c>
      <c r="S117" s="17">
        <v>1135</v>
      </c>
      <c r="T117" s="17" t="s">
        <v>42</v>
      </c>
      <c r="U117" s="17" t="s">
        <v>213</v>
      </c>
      <c r="V117" s="67">
        <v>44457</v>
      </c>
      <c r="W117" s="17" t="s">
        <v>44</v>
      </c>
      <c r="Y117" s="68">
        <v>44440</v>
      </c>
      <c r="Z117" s="17" t="s">
        <v>191</v>
      </c>
      <c r="AA117" s="17" t="s">
        <v>46</v>
      </c>
      <c r="AB117" s="17" t="s">
        <v>212</v>
      </c>
      <c r="AC117" s="66">
        <v>44465</v>
      </c>
      <c r="AD117" s="65">
        <v>1224</v>
      </c>
      <c r="AF117" s="17" t="s">
        <v>193</v>
      </c>
    </row>
    <row r="118" s="17" customFormat="1" hidden="1" spans="1:32">
      <c r="A118" s="17" t="s">
        <v>34</v>
      </c>
      <c r="B118" s="19">
        <v>716</v>
      </c>
      <c r="C118" s="64">
        <v>44454</v>
      </c>
      <c r="D118" s="17" t="s">
        <v>52</v>
      </c>
      <c r="E118" s="17" t="s">
        <v>187</v>
      </c>
      <c r="F118" s="17" t="s">
        <v>54</v>
      </c>
      <c r="H118" s="65">
        <v>1.2311</v>
      </c>
      <c r="I118" s="65"/>
      <c r="J118" s="17" t="s">
        <v>140</v>
      </c>
      <c r="K118" s="17">
        <v>2200</v>
      </c>
      <c r="L118" s="17">
        <v>190</v>
      </c>
      <c r="M118" s="17">
        <v>1900</v>
      </c>
      <c r="N118" s="17" t="s">
        <v>66</v>
      </c>
      <c r="O118" s="19" t="s">
        <v>141</v>
      </c>
      <c r="P118" s="19">
        <v>8203</v>
      </c>
      <c r="Q118" s="17">
        <v>6180</v>
      </c>
      <c r="R118" s="17">
        <f t="shared" si="5"/>
        <v>2023</v>
      </c>
      <c r="S118" s="17">
        <v>1295</v>
      </c>
      <c r="T118" s="17" t="s">
        <v>42</v>
      </c>
      <c r="U118" s="17" t="s">
        <v>213</v>
      </c>
      <c r="V118" s="67">
        <v>44457</v>
      </c>
      <c r="W118" s="17" t="s">
        <v>44</v>
      </c>
      <c r="Y118" s="68">
        <v>44440</v>
      </c>
      <c r="Z118" s="17" t="s">
        <v>191</v>
      </c>
      <c r="AA118" s="17" t="s">
        <v>46</v>
      </c>
      <c r="AB118" s="17" t="s">
        <v>212</v>
      </c>
      <c r="AC118" s="66">
        <v>44465</v>
      </c>
      <c r="AD118" s="65">
        <v>1224</v>
      </c>
      <c r="AF118" s="17" t="s">
        <v>193</v>
      </c>
    </row>
    <row r="119" s="17" customFormat="1" hidden="1" spans="1:32">
      <c r="A119" s="17" t="s">
        <v>34</v>
      </c>
      <c r="B119" s="19">
        <v>719</v>
      </c>
      <c r="C119" s="64">
        <v>44455</v>
      </c>
      <c r="D119" s="17" t="s">
        <v>52</v>
      </c>
      <c r="E119" s="17" t="s">
        <v>214</v>
      </c>
      <c r="F119" s="17" t="s">
        <v>54</v>
      </c>
      <c r="H119" s="65">
        <v>1.2379</v>
      </c>
      <c r="I119" s="65"/>
      <c r="J119" s="17" t="s">
        <v>82</v>
      </c>
      <c r="K119" s="69">
        <v>310</v>
      </c>
      <c r="L119" s="69">
        <v>37</v>
      </c>
      <c r="M119" s="70"/>
      <c r="N119" s="70" t="s">
        <v>40</v>
      </c>
      <c r="O119" s="71" t="s">
        <v>149</v>
      </c>
      <c r="P119" s="72">
        <v>540</v>
      </c>
      <c r="Q119" s="70">
        <v>225</v>
      </c>
      <c r="R119" s="70">
        <f t="shared" si="5"/>
        <v>315</v>
      </c>
      <c r="S119" s="73">
        <f t="shared" ref="S119:S129" si="6">2280+250-15</f>
        <v>2515</v>
      </c>
      <c r="T119" s="71" t="s">
        <v>42</v>
      </c>
      <c r="U119" s="17" t="s">
        <v>215</v>
      </c>
      <c r="V119" s="70"/>
      <c r="W119" s="17" t="s">
        <v>69</v>
      </c>
      <c r="Z119" s="17" t="s">
        <v>191</v>
      </c>
      <c r="AA119" s="17" t="s">
        <v>46</v>
      </c>
      <c r="AB119" s="17" t="s">
        <v>216</v>
      </c>
      <c r="AC119" s="66">
        <v>44457</v>
      </c>
      <c r="AD119" s="65">
        <v>1223</v>
      </c>
      <c r="AF119" s="17" t="s">
        <v>193</v>
      </c>
    </row>
    <row r="120" s="17" customFormat="1" hidden="1" spans="1:32">
      <c r="A120" s="17" t="s">
        <v>34</v>
      </c>
      <c r="B120" s="19">
        <v>719</v>
      </c>
      <c r="C120" s="64">
        <v>44455</v>
      </c>
      <c r="D120" s="17" t="s">
        <v>52</v>
      </c>
      <c r="E120" s="17" t="s">
        <v>214</v>
      </c>
      <c r="F120" s="17" t="s">
        <v>54</v>
      </c>
      <c r="H120" s="65">
        <v>1.2379</v>
      </c>
      <c r="I120" s="65"/>
      <c r="J120" s="17" t="s">
        <v>82</v>
      </c>
      <c r="K120" s="74">
        <v>355</v>
      </c>
      <c r="L120" s="74">
        <v>37</v>
      </c>
      <c r="M120" s="70"/>
      <c r="N120" s="70" t="s">
        <v>40</v>
      </c>
      <c r="O120" s="71" t="s">
        <v>149</v>
      </c>
      <c r="P120" s="72">
        <v>309</v>
      </c>
      <c r="Q120" s="70">
        <v>302</v>
      </c>
      <c r="R120" s="70">
        <f t="shared" si="5"/>
        <v>7</v>
      </c>
      <c r="S120" s="73">
        <f t="shared" si="6"/>
        <v>2515</v>
      </c>
      <c r="T120" s="71" t="s">
        <v>42</v>
      </c>
      <c r="U120" s="17" t="s">
        <v>215</v>
      </c>
      <c r="V120" s="70"/>
      <c r="W120" s="17" t="s">
        <v>69</v>
      </c>
      <c r="Z120" s="17" t="s">
        <v>191</v>
      </c>
      <c r="AA120" s="17" t="s">
        <v>46</v>
      </c>
      <c r="AB120" s="17" t="s">
        <v>216</v>
      </c>
      <c r="AC120" s="66">
        <v>44457</v>
      </c>
      <c r="AD120" s="65">
        <v>1223</v>
      </c>
      <c r="AF120" s="17" t="s">
        <v>193</v>
      </c>
    </row>
    <row r="121" s="17" customFormat="1" hidden="1" spans="1:32">
      <c r="A121" s="17" t="s">
        <v>34</v>
      </c>
      <c r="B121" s="19">
        <v>719</v>
      </c>
      <c r="C121" s="64">
        <v>44455</v>
      </c>
      <c r="D121" s="17" t="s">
        <v>52</v>
      </c>
      <c r="E121" s="17" t="s">
        <v>214</v>
      </c>
      <c r="F121" s="17" t="s">
        <v>54</v>
      </c>
      <c r="H121" s="65">
        <v>1.2379</v>
      </c>
      <c r="I121" s="65"/>
      <c r="J121" s="17" t="s">
        <v>82</v>
      </c>
      <c r="K121" s="74">
        <v>330</v>
      </c>
      <c r="L121" s="74">
        <v>42</v>
      </c>
      <c r="M121" s="70"/>
      <c r="N121" s="70" t="s">
        <v>40</v>
      </c>
      <c r="O121" s="71" t="s">
        <v>149</v>
      </c>
      <c r="P121" s="72">
        <v>650</v>
      </c>
      <c r="Q121" s="70">
        <v>1175</v>
      </c>
      <c r="R121" s="70">
        <f t="shared" si="5"/>
        <v>-525</v>
      </c>
      <c r="S121" s="73">
        <f t="shared" si="6"/>
        <v>2515</v>
      </c>
      <c r="T121" s="71" t="s">
        <v>42</v>
      </c>
      <c r="U121" s="17" t="s">
        <v>215</v>
      </c>
      <c r="V121" s="70"/>
      <c r="W121" s="17" t="s">
        <v>69</v>
      </c>
      <c r="Z121" s="17" t="s">
        <v>191</v>
      </c>
      <c r="AA121" s="17" t="s">
        <v>46</v>
      </c>
      <c r="AB121" s="17" t="s">
        <v>216</v>
      </c>
      <c r="AC121" s="66">
        <v>44457</v>
      </c>
      <c r="AD121" s="65">
        <v>1223</v>
      </c>
      <c r="AF121" s="17" t="s">
        <v>193</v>
      </c>
    </row>
    <row r="122" s="17" customFormat="1" hidden="1" spans="1:32">
      <c r="A122" s="17" t="s">
        <v>34</v>
      </c>
      <c r="B122" s="19">
        <v>719</v>
      </c>
      <c r="C122" s="64">
        <v>44455</v>
      </c>
      <c r="D122" s="17" t="s">
        <v>52</v>
      </c>
      <c r="E122" s="17" t="s">
        <v>214</v>
      </c>
      <c r="F122" s="17" t="s">
        <v>54</v>
      </c>
      <c r="H122" s="65">
        <v>1.2379</v>
      </c>
      <c r="I122" s="65"/>
      <c r="J122" s="17" t="s">
        <v>82</v>
      </c>
      <c r="K122" s="74">
        <v>380</v>
      </c>
      <c r="L122" s="74">
        <v>42</v>
      </c>
      <c r="M122" s="70"/>
      <c r="N122" s="70" t="s">
        <v>40</v>
      </c>
      <c r="O122" s="71" t="s">
        <v>149</v>
      </c>
      <c r="P122" s="72">
        <v>376</v>
      </c>
      <c r="Q122" s="70">
        <v>429</v>
      </c>
      <c r="R122" s="70">
        <f t="shared" si="5"/>
        <v>-53</v>
      </c>
      <c r="S122" s="73">
        <f t="shared" si="6"/>
        <v>2515</v>
      </c>
      <c r="T122" s="71" t="s">
        <v>42</v>
      </c>
      <c r="U122" s="17" t="s">
        <v>215</v>
      </c>
      <c r="V122" s="70"/>
      <c r="W122" s="17" t="s">
        <v>69</v>
      </c>
      <c r="Z122" s="17" t="s">
        <v>191</v>
      </c>
      <c r="AA122" s="17" t="s">
        <v>46</v>
      </c>
      <c r="AB122" s="17" t="s">
        <v>216</v>
      </c>
      <c r="AC122" s="66">
        <v>44457</v>
      </c>
      <c r="AD122" s="65">
        <v>1223</v>
      </c>
      <c r="AF122" s="17" t="s">
        <v>193</v>
      </c>
    </row>
    <row r="123" s="17" customFormat="1" hidden="1" spans="1:32">
      <c r="A123" s="17" t="s">
        <v>34</v>
      </c>
      <c r="B123" s="19">
        <v>719</v>
      </c>
      <c r="C123" s="64">
        <v>44455</v>
      </c>
      <c r="D123" s="17" t="s">
        <v>52</v>
      </c>
      <c r="E123" s="17" t="s">
        <v>214</v>
      </c>
      <c r="F123" s="17" t="s">
        <v>54</v>
      </c>
      <c r="H123" s="65">
        <v>1.2379</v>
      </c>
      <c r="I123" s="65"/>
      <c r="J123" s="17" t="s">
        <v>82</v>
      </c>
      <c r="K123" s="74">
        <v>310</v>
      </c>
      <c r="L123" s="74">
        <v>47</v>
      </c>
      <c r="M123" s="70"/>
      <c r="N123" s="70" t="s">
        <v>40</v>
      </c>
      <c r="O123" s="71" t="s">
        <v>149</v>
      </c>
      <c r="P123" s="72">
        <v>343</v>
      </c>
      <c r="Q123" s="70">
        <v>336</v>
      </c>
      <c r="R123" s="70">
        <f t="shared" si="5"/>
        <v>7</v>
      </c>
      <c r="S123" s="73">
        <f t="shared" si="6"/>
        <v>2515</v>
      </c>
      <c r="T123" s="71" t="s">
        <v>42</v>
      </c>
      <c r="U123" s="17" t="s">
        <v>215</v>
      </c>
      <c r="V123" s="70"/>
      <c r="W123" s="17" t="s">
        <v>69</v>
      </c>
      <c r="Z123" s="17" t="s">
        <v>191</v>
      </c>
      <c r="AA123" s="17" t="s">
        <v>46</v>
      </c>
      <c r="AB123" s="17" t="s">
        <v>216</v>
      </c>
      <c r="AC123" s="66">
        <v>44457</v>
      </c>
      <c r="AD123" s="65">
        <v>1223</v>
      </c>
      <c r="AF123" s="17" t="s">
        <v>193</v>
      </c>
    </row>
    <row r="124" s="17" customFormat="1" hidden="1" spans="1:32">
      <c r="A124" s="17" t="s">
        <v>34</v>
      </c>
      <c r="B124" s="19">
        <v>719</v>
      </c>
      <c r="C124" s="64">
        <v>44455</v>
      </c>
      <c r="D124" s="17" t="s">
        <v>52</v>
      </c>
      <c r="E124" s="17" t="s">
        <v>214</v>
      </c>
      <c r="F124" s="17" t="s">
        <v>54</v>
      </c>
      <c r="H124" s="65">
        <v>1.2379</v>
      </c>
      <c r="I124" s="65"/>
      <c r="J124" s="17" t="s">
        <v>82</v>
      </c>
      <c r="K124" s="74">
        <v>510</v>
      </c>
      <c r="L124" s="74">
        <v>56</v>
      </c>
      <c r="M124" s="70"/>
      <c r="N124" s="70" t="s">
        <v>40</v>
      </c>
      <c r="O124" s="71" t="s">
        <v>149</v>
      </c>
      <c r="P124" s="72">
        <v>673</v>
      </c>
      <c r="Q124" s="70">
        <v>496</v>
      </c>
      <c r="R124" s="70">
        <f t="shared" si="5"/>
        <v>177</v>
      </c>
      <c r="S124" s="73">
        <f t="shared" si="6"/>
        <v>2515</v>
      </c>
      <c r="T124" s="71" t="s">
        <v>42</v>
      </c>
      <c r="U124" s="17" t="s">
        <v>215</v>
      </c>
      <c r="V124" s="70"/>
      <c r="W124" s="17" t="s">
        <v>69</v>
      </c>
      <c r="Z124" s="17" t="s">
        <v>191</v>
      </c>
      <c r="AA124" s="17" t="s">
        <v>46</v>
      </c>
      <c r="AB124" s="17" t="s">
        <v>216</v>
      </c>
      <c r="AC124" s="66">
        <v>44457</v>
      </c>
      <c r="AD124" s="65">
        <v>1223</v>
      </c>
      <c r="AF124" s="17" t="s">
        <v>193</v>
      </c>
    </row>
    <row r="125" s="17" customFormat="1" hidden="1" spans="1:32">
      <c r="A125" s="17" t="s">
        <v>34</v>
      </c>
      <c r="B125" s="19">
        <v>719</v>
      </c>
      <c r="C125" s="64">
        <v>44455</v>
      </c>
      <c r="D125" s="17" t="s">
        <v>52</v>
      </c>
      <c r="E125" s="17" t="s">
        <v>214</v>
      </c>
      <c r="F125" s="17" t="s">
        <v>54</v>
      </c>
      <c r="H125" s="65">
        <v>1.2379</v>
      </c>
      <c r="I125" s="65"/>
      <c r="J125" s="17" t="s">
        <v>82</v>
      </c>
      <c r="K125" s="74">
        <v>455</v>
      </c>
      <c r="L125" s="74">
        <v>58</v>
      </c>
      <c r="M125" s="70"/>
      <c r="N125" s="70" t="s">
        <v>40</v>
      </c>
      <c r="O125" s="71" t="s">
        <v>149</v>
      </c>
      <c r="P125" s="72">
        <v>621</v>
      </c>
      <c r="Q125" s="70">
        <v>601</v>
      </c>
      <c r="R125" s="70">
        <f t="shared" si="5"/>
        <v>20</v>
      </c>
      <c r="S125" s="73">
        <f t="shared" si="6"/>
        <v>2515</v>
      </c>
      <c r="T125" s="71" t="s">
        <v>42</v>
      </c>
      <c r="U125" s="17" t="s">
        <v>215</v>
      </c>
      <c r="V125" s="70"/>
      <c r="W125" s="17" t="s">
        <v>69</v>
      </c>
      <c r="Z125" s="17" t="s">
        <v>191</v>
      </c>
      <c r="AA125" s="17" t="s">
        <v>46</v>
      </c>
      <c r="AB125" s="17" t="s">
        <v>216</v>
      </c>
      <c r="AC125" s="66">
        <v>44457</v>
      </c>
      <c r="AD125" s="65">
        <v>1223</v>
      </c>
      <c r="AF125" s="17" t="s">
        <v>193</v>
      </c>
    </row>
    <row r="126" s="17" customFormat="1" hidden="1" spans="1:32">
      <c r="A126" s="17" t="s">
        <v>34</v>
      </c>
      <c r="B126" s="19">
        <v>719</v>
      </c>
      <c r="C126" s="64">
        <v>44455</v>
      </c>
      <c r="D126" s="17" t="s">
        <v>52</v>
      </c>
      <c r="E126" s="17" t="s">
        <v>214</v>
      </c>
      <c r="F126" s="17" t="s">
        <v>54</v>
      </c>
      <c r="H126" s="65">
        <v>1.2379</v>
      </c>
      <c r="I126" s="65"/>
      <c r="J126" s="17" t="s">
        <v>82</v>
      </c>
      <c r="K126" s="74">
        <v>455</v>
      </c>
      <c r="L126" s="74">
        <v>60</v>
      </c>
      <c r="M126" s="70"/>
      <c r="N126" s="70" t="s">
        <v>40</v>
      </c>
      <c r="O126" s="71" t="s">
        <v>149</v>
      </c>
      <c r="P126" s="72">
        <v>629</v>
      </c>
      <c r="Q126" s="70">
        <v>570</v>
      </c>
      <c r="R126" s="70">
        <f t="shared" si="5"/>
        <v>59</v>
      </c>
      <c r="S126" s="73">
        <f t="shared" si="6"/>
        <v>2515</v>
      </c>
      <c r="T126" s="71" t="s">
        <v>42</v>
      </c>
      <c r="U126" s="17" t="s">
        <v>215</v>
      </c>
      <c r="V126" s="70"/>
      <c r="W126" s="17" t="s">
        <v>69</v>
      </c>
      <c r="Z126" s="17" t="s">
        <v>191</v>
      </c>
      <c r="AA126" s="17" t="s">
        <v>46</v>
      </c>
      <c r="AB126" s="17" t="s">
        <v>216</v>
      </c>
      <c r="AC126" s="66">
        <v>44457</v>
      </c>
      <c r="AD126" s="65">
        <v>1223</v>
      </c>
      <c r="AF126" s="17" t="s">
        <v>193</v>
      </c>
    </row>
    <row r="127" s="17" customFormat="1" hidden="1" spans="1:32">
      <c r="A127" s="17" t="s">
        <v>34</v>
      </c>
      <c r="B127" s="19">
        <v>719</v>
      </c>
      <c r="C127" s="64">
        <v>44455</v>
      </c>
      <c r="D127" s="17" t="s">
        <v>52</v>
      </c>
      <c r="E127" s="17" t="s">
        <v>214</v>
      </c>
      <c r="F127" s="17" t="s">
        <v>54</v>
      </c>
      <c r="H127" s="65">
        <v>1.2379</v>
      </c>
      <c r="I127" s="65"/>
      <c r="J127" s="17" t="s">
        <v>82</v>
      </c>
      <c r="K127" s="74">
        <v>400</v>
      </c>
      <c r="L127" s="74">
        <v>76</v>
      </c>
      <c r="M127" s="70"/>
      <c r="N127" s="70" t="s">
        <v>40</v>
      </c>
      <c r="O127" s="71" t="s">
        <v>149</v>
      </c>
      <c r="P127" s="72">
        <v>716</v>
      </c>
      <c r="Q127" s="70">
        <v>683</v>
      </c>
      <c r="R127" s="70">
        <f t="shared" si="5"/>
        <v>33</v>
      </c>
      <c r="S127" s="73">
        <f t="shared" si="6"/>
        <v>2515</v>
      </c>
      <c r="T127" s="71" t="s">
        <v>42</v>
      </c>
      <c r="U127" s="17" t="s">
        <v>215</v>
      </c>
      <c r="V127" s="70"/>
      <c r="W127" s="17" t="s">
        <v>69</v>
      </c>
      <c r="Z127" s="17" t="s">
        <v>191</v>
      </c>
      <c r="AA127" s="17" t="s">
        <v>46</v>
      </c>
      <c r="AB127" s="17" t="s">
        <v>216</v>
      </c>
      <c r="AC127" s="66">
        <v>44457</v>
      </c>
      <c r="AD127" s="65">
        <v>1223</v>
      </c>
      <c r="AF127" s="17" t="s">
        <v>193</v>
      </c>
    </row>
    <row r="128" s="17" customFormat="1" hidden="1" spans="1:32">
      <c r="A128" s="17" t="s">
        <v>34</v>
      </c>
      <c r="B128" s="19">
        <v>719</v>
      </c>
      <c r="C128" s="64">
        <v>44455</v>
      </c>
      <c r="D128" s="17" t="s">
        <v>52</v>
      </c>
      <c r="E128" s="17" t="s">
        <v>214</v>
      </c>
      <c r="F128" s="17" t="s">
        <v>54</v>
      </c>
      <c r="H128" s="65">
        <v>1.2379</v>
      </c>
      <c r="I128" s="65"/>
      <c r="J128" s="17" t="s">
        <v>82</v>
      </c>
      <c r="K128" s="74">
        <v>455</v>
      </c>
      <c r="L128" s="74">
        <v>76</v>
      </c>
      <c r="M128" s="70"/>
      <c r="N128" s="70" t="s">
        <v>40</v>
      </c>
      <c r="O128" s="71" t="s">
        <v>149</v>
      </c>
      <c r="P128" s="72">
        <v>814</v>
      </c>
      <c r="Q128" s="70">
        <v>737</v>
      </c>
      <c r="R128" s="70">
        <f t="shared" si="5"/>
        <v>77</v>
      </c>
      <c r="S128" s="73">
        <f t="shared" si="6"/>
        <v>2515</v>
      </c>
      <c r="T128" s="71" t="s">
        <v>42</v>
      </c>
      <c r="U128" s="17" t="s">
        <v>215</v>
      </c>
      <c r="V128" s="70"/>
      <c r="W128" s="17" t="s">
        <v>69</v>
      </c>
      <c r="Z128" s="17" t="s">
        <v>191</v>
      </c>
      <c r="AA128" s="17" t="s">
        <v>46</v>
      </c>
      <c r="AB128" s="17" t="s">
        <v>216</v>
      </c>
      <c r="AC128" s="66">
        <v>44457</v>
      </c>
      <c r="AD128" s="65">
        <v>1223</v>
      </c>
      <c r="AF128" s="17" t="s">
        <v>193</v>
      </c>
    </row>
    <row r="129" s="17" customFormat="1" hidden="1" spans="1:32">
      <c r="A129" s="17" t="s">
        <v>34</v>
      </c>
      <c r="B129" s="19">
        <v>719</v>
      </c>
      <c r="C129" s="64">
        <v>44455</v>
      </c>
      <c r="D129" s="17" t="s">
        <v>52</v>
      </c>
      <c r="E129" s="17" t="s">
        <v>214</v>
      </c>
      <c r="F129" s="17" t="s">
        <v>54</v>
      </c>
      <c r="H129" s="65">
        <v>1.2379</v>
      </c>
      <c r="I129" s="65"/>
      <c r="J129" s="17" t="s">
        <v>82</v>
      </c>
      <c r="K129" s="74">
        <v>400</v>
      </c>
      <c r="L129" s="74">
        <v>88</v>
      </c>
      <c r="M129" s="70"/>
      <c r="N129" s="70" t="s">
        <v>40</v>
      </c>
      <c r="O129" s="71" t="s">
        <v>149</v>
      </c>
      <c r="P129" s="72">
        <v>829</v>
      </c>
      <c r="Q129" s="70">
        <v>758</v>
      </c>
      <c r="R129" s="70">
        <f t="shared" si="5"/>
        <v>71</v>
      </c>
      <c r="S129" s="73">
        <f t="shared" si="6"/>
        <v>2515</v>
      </c>
      <c r="T129" s="71" t="s">
        <v>42</v>
      </c>
      <c r="U129" s="17" t="s">
        <v>215</v>
      </c>
      <c r="V129" s="70"/>
      <c r="W129" s="17" t="s">
        <v>69</v>
      </c>
      <c r="Z129" s="17" t="s">
        <v>191</v>
      </c>
      <c r="AA129" s="17" t="s">
        <v>46</v>
      </c>
      <c r="AB129" s="17" t="s">
        <v>216</v>
      </c>
      <c r="AC129" s="66">
        <v>44457</v>
      </c>
      <c r="AD129" s="65">
        <v>1223</v>
      </c>
      <c r="AF129" s="17" t="s">
        <v>193</v>
      </c>
    </row>
    <row r="130" s="18" customFormat="1" hidden="1" spans="1:32">
      <c r="A130" s="18" t="s">
        <v>188</v>
      </c>
      <c r="B130" s="75">
        <v>719</v>
      </c>
      <c r="C130" s="76">
        <v>44455</v>
      </c>
      <c r="D130" s="18" t="s">
        <v>52</v>
      </c>
      <c r="E130" s="18" t="s">
        <v>214</v>
      </c>
      <c r="F130" s="18" t="s">
        <v>54</v>
      </c>
      <c r="H130" s="77">
        <v>1.2379</v>
      </c>
      <c r="I130" s="77"/>
      <c r="J130" s="18" t="s">
        <v>82</v>
      </c>
      <c r="K130" s="78">
        <v>305</v>
      </c>
      <c r="L130" s="78">
        <v>32</v>
      </c>
      <c r="M130" s="79"/>
      <c r="N130" s="79"/>
      <c r="O130" s="80" t="s">
        <v>168</v>
      </c>
      <c r="P130" s="81">
        <v>919</v>
      </c>
      <c r="Q130" s="79"/>
      <c r="R130" s="79">
        <f t="shared" si="5"/>
        <v>919</v>
      </c>
      <c r="S130" s="82">
        <f t="shared" ref="S130:S152" si="7">2280-15</f>
        <v>2265</v>
      </c>
      <c r="T130" s="80" t="s">
        <v>42</v>
      </c>
      <c r="U130" s="79"/>
      <c r="V130" s="79"/>
      <c r="W130" s="18" t="s">
        <v>69</v>
      </c>
      <c r="Z130" s="18" t="s">
        <v>191</v>
      </c>
      <c r="AC130" s="83"/>
      <c r="AD130" s="77"/>
      <c r="AF130" s="18" t="s">
        <v>193</v>
      </c>
    </row>
    <row r="131" s="18" customFormat="1" hidden="1" spans="1:32">
      <c r="A131" s="18" t="s">
        <v>188</v>
      </c>
      <c r="B131" s="75">
        <v>719</v>
      </c>
      <c r="C131" s="76">
        <v>44455</v>
      </c>
      <c r="D131" s="18" t="s">
        <v>52</v>
      </c>
      <c r="E131" s="18" t="s">
        <v>214</v>
      </c>
      <c r="F131" s="18" t="s">
        <v>54</v>
      </c>
      <c r="H131" s="77">
        <v>1.2379</v>
      </c>
      <c r="I131" s="77"/>
      <c r="J131" s="18" t="s">
        <v>82</v>
      </c>
      <c r="K131" s="78">
        <v>355</v>
      </c>
      <c r="L131" s="78">
        <v>32</v>
      </c>
      <c r="M131" s="79"/>
      <c r="N131" s="79"/>
      <c r="O131" s="80" t="s">
        <v>168</v>
      </c>
      <c r="P131" s="81">
        <v>1070</v>
      </c>
      <c r="Q131" s="79"/>
      <c r="R131" s="79">
        <f t="shared" si="5"/>
        <v>1070</v>
      </c>
      <c r="S131" s="82">
        <f t="shared" si="7"/>
        <v>2265</v>
      </c>
      <c r="T131" s="80" t="s">
        <v>42</v>
      </c>
      <c r="U131" s="79"/>
      <c r="V131" s="79"/>
      <c r="W131" s="18" t="s">
        <v>69</v>
      </c>
      <c r="Z131" s="18" t="s">
        <v>191</v>
      </c>
      <c r="AC131" s="83"/>
      <c r="AD131" s="77"/>
      <c r="AF131" s="18" t="s">
        <v>193</v>
      </c>
    </row>
    <row r="132" s="18" customFormat="1" hidden="1" spans="1:32">
      <c r="A132" s="18" t="s">
        <v>188</v>
      </c>
      <c r="B132" s="75">
        <v>719</v>
      </c>
      <c r="C132" s="76">
        <v>44455</v>
      </c>
      <c r="D132" s="18" t="s">
        <v>52</v>
      </c>
      <c r="E132" s="18" t="s">
        <v>214</v>
      </c>
      <c r="F132" s="18" t="s">
        <v>54</v>
      </c>
      <c r="H132" s="77">
        <v>1.2379</v>
      </c>
      <c r="I132" s="77"/>
      <c r="J132" s="18" t="s">
        <v>82</v>
      </c>
      <c r="K132" s="78">
        <v>405</v>
      </c>
      <c r="L132" s="78">
        <v>32</v>
      </c>
      <c r="M132" s="79"/>
      <c r="N132" s="79"/>
      <c r="O132" s="80" t="s">
        <v>168</v>
      </c>
      <c r="P132" s="81">
        <v>305</v>
      </c>
      <c r="Q132" s="79"/>
      <c r="R132" s="79">
        <f t="shared" si="5"/>
        <v>305</v>
      </c>
      <c r="S132" s="82">
        <f t="shared" si="7"/>
        <v>2265</v>
      </c>
      <c r="T132" s="80" t="s">
        <v>42</v>
      </c>
      <c r="U132" s="79"/>
      <c r="V132" s="79"/>
      <c r="W132" s="18" t="s">
        <v>69</v>
      </c>
      <c r="Z132" s="18" t="s">
        <v>191</v>
      </c>
      <c r="AC132" s="83"/>
      <c r="AD132" s="77"/>
      <c r="AF132" s="18" t="s">
        <v>193</v>
      </c>
    </row>
    <row r="133" s="18" customFormat="1" hidden="1" spans="1:32">
      <c r="A133" s="18" t="s">
        <v>188</v>
      </c>
      <c r="B133" s="75">
        <v>719</v>
      </c>
      <c r="C133" s="76">
        <v>44455</v>
      </c>
      <c r="D133" s="18" t="s">
        <v>52</v>
      </c>
      <c r="E133" s="18" t="s">
        <v>214</v>
      </c>
      <c r="F133" s="18" t="s">
        <v>54</v>
      </c>
      <c r="H133" s="77">
        <v>1.2379</v>
      </c>
      <c r="I133" s="77"/>
      <c r="J133" s="18" t="s">
        <v>82</v>
      </c>
      <c r="K133" s="78">
        <v>355</v>
      </c>
      <c r="L133" s="78">
        <v>40</v>
      </c>
      <c r="M133" s="79"/>
      <c r="N133" s="79"/>
      <c r="O133" s="80" t="s">
        <v>168</v>
      </c>
      <c r="P133" s="81">
        <v>669</v>
      </c>
      <c r="Q133" s="79"/>
      <c r="R133" s="79">
        <f t="shared" si="5"/>
        <v>669</v>
      </c>
      <c r="S133" s="82">
        <f t="shared" si="7"/>
        <v>2265</v>
      </c>
      <c r="T133" s="80" t="s">
        <v>42</v>
      </c>
      <c r="U133" s="79"/>
      <c r="V133" s="79"/>
      <c r="W133" s="18" t="s">
        <v>69</v>
      </c>
      <c r="Z133" s="18" t="s">
        <v>191</v>
      </c>
      <c r="AC133" s="83"/>
      <c r="AD133" s="77"/>
      <c r="AF133" s="18" t="s">
        <v>193</v>
      </c>
    </row>
    <row r="134" s="18" customFormat="1" hidden="1" spans="1:32">
      <c r="A134" s="18" t="s">
        <v>188</v>
      </c>
      <c r="B134" s="75">
        <v>719</v>
      </c>
      <c r="C134" s="76">
        <v>44455</v>
      </c>
      <c r="D134" s="18" t="s">
        <v>52</v>
      </c>
      <c r="E134" s="18" t="s">
        <v>214</v>
      </c>
      <c r="F134" s="18" t="s">
        <v>54</v>
      </c>
      <c r="H134" s="77">
        <v>1.2379</v>
      </c>
      <c r="I134" s="77"/>
      <c r="J134" s="18" t="s">
        <v>82</v>
      </c>
      <c r="K134" s="78">
        <v>405</v>
      </c>
      <c r="L134" s="78">
        <v>40</v>
      </c>
      <c r="M134" s="79"/>
      <c r="N134" s="79"/>
      <c r="O134" s="80" t="s">
        <v>168</v>
      </c>
      <c r="P134" s="81">
        <v>800</v>
      </c>
      <c r="Q134" s="79"/>
      <c r="R134" s="79">
        <f t="shared" si="5"/>
        <v>800</v>
      </c>
      <c r="S134" s="82">
        <f t="shared" si="7"/>
        <v>2265</v>
      </c>
      <c r="T134" s="80" t="s">
        <v>42</v>
      </c>
      <c r="U134" s="79"/>
      <c r="V134" s="79"/>
      <c r="W134" s="18" t="s">
        <v>69</v>
      </c>
      <c r="Z134" s="18" t="s">
        <v>191</v>
      </c>
      <c r="AC134" s="83"/>
      <c r="AD134" s="77"/>
      <c r="AF134" s="18" t="s">
        <v>193</v>
      </c>
    </row>
    <row r="135" s="18" customFormat="1" hidden="1" spans="1:32">
      <c r="A135" s="18" t="s">
        <v>188</v>
      </c>
      <c r="B135" s="75">
        <v>719</v>
      </c>
      <c r="C135" s="76">
        <v>44455</v>
      </c>
      <c r="D135" s="18" t="s">
        <v>52</v>
      </c>
      <c r="E135" s="18" t="s">
        <v>214</v>
      </c>
      <c r="F135" s="18" t="s">
        <v>54</v>
      </c>
      <c r="H135" s="77">
        <v>1.2379</v>
      </c>
      <c r="I135" s="77"/>
      <c r="J135" s="18" t="s">
        <v>82</v>
      </c>
      <c r="K135" s="78">
        <v>305</v>
      </c>
      <c r="L135" s="78">
        <v>50</v>
      </c>
      <c r="M135" s="79"/>
      <c r="N135" s="79"/>
      <c r="O135" s="80" t="s">
        <v>168</v>
      </c>
      <c r="P135" s="81">
        <v>718</v>
      </c>
      <c r="Q135" s="79"/>
      <c r="R135" s="79">
        <f t="shared" si="5"/>
        <v>718</v>
      </c>
      <c r="S135" s="82">
        <f t="shared" si="7"/>
        <v>2265</v>
      </c>
      <c r="T135" s="80" t="s">
        <v>42</v>
      </c>
      <c r="U135" s="79"/>
      <c r="V135" s="79"/>
      <c r="W135" s="18" t="s">
        <v>69</v>
      </c>
      <c r="Z135" s="18" t="s">
        <v>191</v>
      </c>
      <c r="AC135" s="83"/>
      <c r="AD135" s="77"/>
      <c r="AF135" s="18" t="s">
        <v>193</v>
      </c>
    </row>
    <row r="136" s="18" customFormat="1" hidden="1" spans="1:32">
      <c r="A136" s="18" t="s">
        <v>188</v>
      </c>
      <c r="B136" s="75">
        <v>719</v>
      </c>
      <c r="C136" s="76">
        <v>44455</v>
      </c>
      <c r="D136" s="18" t="s">
        <v>52</v>
      </c>
      <c r="E136" s="18" t="s">
        <v>214</v>
      </c>
      <c r="F136" s="18" t="s">
        <v>54</v>
      </c>
      <c r="H136" s="77">
        <v>1.2379</v>
      </c>
      <c r="I136" s="77"/>
      <c r="J136" s="18" t="s">
        <v>82</v>
      </c>
      <c r="K136" s="78">
        <v>355</v>
      </c>
      <c r="L136" s="78">
        <v>50</v>
      </c>
      <c r="M136" s="79"/>
      <c r="N136" s="79"/>
      <c r="O136" s="80" t="s">
        <v>168</v>
      </c>
      <c r="P136" s="81">
        <v>1672</v>
      </c>
      <c r="Q136" s="79"/>
      <c r="R136" s="79">
        <f t="shared" si="5"/>
        <v>1672</v>
      </c>
      <c r="S136" s="82">
        <f t="shared" si="7"/>
        <v>2265</v>
      </c>
      <c r="T136" s="80" t="s">
        <v>42</v>
      </c>
      <c r="U136" s="79"/>
      <c r="V136" s="79"/>
      <c r="W136" s="18" t="s">
        <v>69</v>
      </c>
      <c r="Z136" s="18" t="s">
        <v>191</v>
      </c>
      <c r="AC136" s="83"/>
      <c r="AD136" s="77"/>
      <c r="AF136" s="18" t="s">
        <v>193</v>
      </c>
    </row>
    <row r="137" s="17" customFormat="1" hidden="1" spans="1:32">
      <c r="A137" s="17" t="s">
        <v>34</v>
      </c>
      <c r="B137" s="19">
        <v>719</v>
      </c>
      <c r="C137" s="64">
        <v>44455</v>
      </c>
      <c r="D137" s="17" t="s">
        <v>52</v>
      </c>
      <c r="E137" s="17" t="s">
        <v>214</v>
      </c>
      <c r="F137" s="17" t="s">
        <v>54</v>
      </c>
      <c r="H137" s="65">
        <v>1.2379</v>
      </c>
      <c r="I137" s="65"/>
      <c r="J137" s="17" t="s">
        <v>82</v>
      </c>
      <c r="K137" s="74">
        <v>305</v>
      </c>
      <c r="L137" s="74">
        <v>65</v>
      </c>
      <c r="M137" s="70"/>
      <c r="N137" s="70" t="s">
        <v>40</v>
      </c>
      <c r="O137" s="71" t="s">
        <v>168</v>
      </c>
      <c r="P137" s="72">
        <v>900</v>
      </c>
      <c r="Q137" s="70">
        <v>1520</v>
      </c>
      <c r="R137" s="70">
        <f t="shared" si="5"/>
        <v>-620</v>
      </c>
      <c r="S137" s="73">
        <f t="shared" si="7"/>
        <v>2265</v>
      </c>
      <c r="T137" s="71" t="s">
        <v>42</v>
      </c>
      <c r="U137" s="17" t="s">
        <v>215</v>
      </c>
      <c r="V137" s="70"/>
      <c r="W137" s="17" t="s">
        <v>69</v>
      </c>
      <c r="Z137" s="17" t="s">
        <v>191</v>
      </c>
      <c r="AA137" s="17" t="s">
        <v>46</v>
      </c>
      <c r="AB137" s="17" t="s">
        <v>216</v>
      </c>
      <c r="AC137" s="66">
        <v>44457</v>
      </c>
      <c r="AD137" s="65">
        <v>1223</v>
      </c>
      <c r="AF137" s="17" t="s">
        <v>193</v>
      </c>
    </row>
    <row r="138" s="17" customFormat="1" hidden="1" spans="1:32">
      <c r="A138" s="17" t="s">
        <v>34</v>
      </c>
      <c r="B138" s="19">
        <v>719</v>
      </c>
      <c r="C138" s="64">
        <v>44455</v>
      </c>
      <c r="D138" s="17" t="s">
        <v>52</v>
      </c>
      <c r="E138" s="17" t="s">
        <v>214</v>
      </c>
      <c r="F138" s="17" t="s">
        <v>54</v>
      </c>
      <c r="H138" s="65">
        <v>1.2379</v>
      </c>
      <c r="I138" s="65"/>
      <c r="J138" s="17" t="s">
        <v>82</v>
      </c>
      <c r="K138" s="74">
        <v>405</v>
      </c>
      <c r="L138" s="74">
        <v>65</v>
      </c>
      <c r="M138" s="70"/>
      <c r="N138" s="70" t="s">
        <v>40</v>
      </c>
      <c r="O138" s="71" t="s">
        <v>168</v>
      </c>
      <c r="P138" s="72">
        <v>620</v>
      </c>
      <c r="Q138" s="70">
        <v>759</v>
      </c>
      <c r="R138" s="70">
        <f t="shared" si="5"/>
        <v>-139</v>
      </c>
      <c r="S138" s="73">
        <f t="shared" si="7"/>
        <v>2265</v>
      </c>
      <c r="T138" s="71" t="s">
        <v>42</v>
      </c>
      <c r="U138" s="17" t="s">
        <v>215</v>
      </c>
      <c r="V138" s="70"/>
      <c r="W138" s="17" t="s">
        <v>69</v>
      </c>
      <c r="Z138" s="17" t="s">
        <v>191</v>
      </c>
      <c r="AA138" s="17" t="s">
        <v>46</v>
      </c>
      <c r="AB138" s="17" t="s">
        <v>216</v>
      </c>
      <c r="AC138" s="66">
        <v>44457</v>
      </c>
      <c r="AD138" s="65">
        <v>1223</v>
      </c>
      <c r="AF138" s="17" t="s">
        <v>193</v>
      </c>
    </row>
    <row r="139" s="17" customFormat="1" hidden="1" spans="1:32">
      <c r="A139" s="17" t="s">
        <v>34</v>
      </c>
      <c r="B139" s="19">
        <v>719</v>
      </c>
      <c r="C139" s="64">
        <v>44455</v>
      </c>
      <c r="D139" s="17" t="s">
        <v>52</v>
      </c>
      <c r="E139" s="17" t="s">
        <v>214</v>
      </c>
      <c r="F139" s="17" t="s">
        <v>54</v>
      </c>
      <c r="H139" s="65">
        <v>1.2379</v>
      </c>
      <c r="I139" s="65"/>
      <c r="J139" s="17" t="s">
        <v>82</v>
      </c>
      <c r="K139" s="74">
        <v>505</v>
      </c>
      <c r="L139" s="74">
        <v>65</v>
      </c>
      <c r="M139" s="70"/>
      <c r="N139" s="70" t="s">
        <v>40</v>
      </c>
      <c r="O139" s="71" t="s">
        <v>168</v>
      </c>
      <c r="P139" s="72">
        <v>750</v>
      </c>
      <c r="Q139" s="70">
        <v>1402</v>
      </c>
      <c r="R139" s="70">
        <f t="shared" si="5"/>
        <v>-652</v>
      </c>
      <c r="S139" s="73">
        <f t="shared" si="7"/>
        <v>2265</v>
      </c>
      <c r="T139" s="71" t="s">
        <v>42</v>
      </c>
      <c r="U139" s="17" t="s">
        <v>215</v>
      </c>
      <c r="V139" s="70"/>
      <c r="W139" s="17" t="s">
        <v>69</v>
      </c>
      <c r="Z139" s="17" t="s">
        <v>191</v>
      </c>
      <c r="AA139" s="17" t="s">
        <v>46</v>
      </c>
      <c r="AB139" s="17" t="s">
        <v>216</v>
      </c>
      <c r="AC139" s="66">
        <v>44457</v>
      </c>
      <c r="AD139" s="65">
        <v>1223</v>
      </c>
      <c r="AF139" s="17" t="s">
        <v>193</v>
      </c>
    </row>
    <row r="140" s="17" customFormat="1" hidden="1" spans="1:32">
      <c r="A140" s="17" t="s">
        <v>34</v>
      </c>
      <c r="B140" s="19">
        <v>719</v>
      </c>
      <c r="C140" s="64">
        <v>44455</v>
      </c>
      <c r="D140" s="17" t="s">
        <v>52</v>
      </c>
      <c r="E140" s="17" t="s">
        <v>214</v>
      </c>
      <c r="F140" s="17" t="s">
        <v>54</v>
      </c>
      <c r="H140" s="65">
        <v>1.2379</v>
      </c>
      <c r="I140" s="65"/>
      <c r="J140" s="17" t="s">
        <v>82</v>
      </c>
      <c r="K140" s="74">
        <v>255</v>
      </c>
      <c r="L140" s="74">
        <v>80</v>
      </c>
      <c r="M140" s="70"/>
      <c r="N140" s="70" t="s">
        <v>40</v>
      </c>
      <c r="O140" s="71" t="s">
        <v>168</v>
      </c>
      <c r="P140" s="72">
        <v>1000</v>
      </c>
      <c r="Q140" s="70">
        <f>532+1121</f>
        <v>1653</v>
      </c>
      <c r="R140" s="70">
        <f t="shared" si="5"/>
        <v>-653</v>
      </c>
      <c r="S140" s="73">
        <f t="shared" si="7"/>
        <v>2265</v>
      </c>
      <c r="T140" s="71" t="s">
        <v>42</v>
      </c>
      <c r="U140" s="17" t="s">
        <v>215</v>
      </c>
      <c r="V140" s="70"/>
      <c r="W140" s="17" t="s">
        <v>69</v>
      </c>
      <c r="Z140" s="17" t="s">
        <v>191</v>
      </c>
      <c r="AA140" s="17" t="s">
        <v>46</v>
      </c>
      <c r="AB140" s="17" t="s">
        <v>216</v>
      </c>
      <c r="AC140" s="66">
        <v>44457</v>
      </c>
      <c r="AD140" s="65">
        <v>1223</v>
      </c>
      <c r="AF140" s="17" t="s">
        <v>193</v>
      </c>
    </row>
    <row r="141" s="17" customFormat="1" hidden="1" spans="1:32">
      <c r="A141" s="17" t="s">
        <v>34</v>
      </c>
      <c r="B141" s="19">
        <v>719</v>
      </c>
      <c r="C141" s="64">
        <v>44455</v>
      </c>
      <c r="D141" s="17" t="s">
        <v>52</v>
      </c>
      <c r="E141" s="17" t="s">
        <v>214</v>
      </c>
      <c r="F141" s="17" t="s">
        <v>54</v>
      </c>
      <c r="H141" s="65">
        <v>1.2379</v>
      </c>
      <c r="I141" s="65"/>
      <c r="J141" s="17" t="s">
        <v>82</v>
      </c>
      <c r="K141" s="74">
        <v>205</v>
      </c>
      <c r="L141" s="74">
        <v>105</v>
      </c>
      <c r="M141" s="70"/>
      <c r="N141" s="70" t="s">
        <v>40</v>
      </c>
      <c r="O141" s="71" t="s">
        <v>168</v>
      </c>
      <c r="P141" s="72">
        <v>507</v>
      </c>
      <c r="Q141" s="70">
        <f>610+812</f>
        <v>1422</v>
      </c>
      <c r="R141" s="70">
        <f t="shared" si="5"/>
        <v>-915</v>
      </c>
      <c r="S141" s="73">
        <f t="shared" si="7"/>
        <v>2265</v>
      </c>
      <c r="T141" s="71" t="s">
        <v>42</v>
      </c>
      <c r="U141" s="17" t="s">
        <v>215</v>
      </c>
      <c r="V141" s="70"/>
      <c r="W141" s="17" t="s">
        <v>69</v>
      </c>
      <c r="Z141" s="17" t="s">
        <v>191</v>
      </c>
      <c r="AA141" s="17" t="s">
        <v>46</v>
      </c>
      <c r="AB141" s="17" t="s">
        <v>216</v>
      </c>
      <c r="AC141" s="66">
        <v>44457</v>
      </c>
      <c r="AD141" s="65">
        <v>1223</v>
      </c>
      <c r="AF141" s="17" t="s">
        <v>193</v>
      </c>
    </row>
    <row r="142" s="17" customFormat="1" hidden="1" spans="1:32">
      <c r="A142" s="17" t="s">
        <v>34</v>
      </c>
      <c r="B142" s="19">
        <v>719</v>
      </c>
      <c r="C142" s="64">
        <v>44455</v>
      </c>
      <c r="D142" s="17" t="s">
        <v>52</v>
      </c>
      <c r="E142" s="17" t="s">
        <v>214</v>
      </c>
      <c r="F142" s="17" t="s">
        <v>54</v>
      </c>
      <c r="H142" s="65">
        <v>1.2379</v>
      </c>
      <c r="I142" s="65"/>
      <c r="J142" s="17" t="s">
        <v>82</v>
      </c>
      <c r="K142" s="74">
        <v>255</v>
      </c>
      <c r="L142" s="74">
        <v>105</v>
      </c>
      <c r="M142" s="70"/>
      <c r="N142" s="70" t="s">
        <v>40</v>
      </c>
      <c r="O142" s="71" t="s">
        <v>168</v>
      </c>
      <c r="P142" s="72">
        <v>1200</v>
      </c>
      <c r="Q142" s="70">
        <v>702</v>
      </c>
      <c r="R142" s="70">
        <f t="shared" si="5"/>
        <v>498</v>
      </c>
      <c r="S142" s="73">
        <f t="shared" si="7"/>
        <v>2265</v>
      </c>
      <c r="T142" s="71" t="s">
        <v>42</v>
      </c>
      <c r="U142" s="17" t="s">
        <v>215</v>
      </c>
      <c r="V142" s="70"/>
      <c r="W142" s="17" t="s">
        <v>69</v>
      </c>
      <c r="Z142" s="17" t="s">
        <v>191</v>
      </c>
      <c r="AA142" s="17" t="s">
        <v>46</v>
      </c>
      <c r="AB142" s="17" t="s">
        <v>216</v>
      </c>
      <c r="AC142" s="66">
        <v>44457</v>
      </c>
      <c r="AD142" s="65">
        <v>1223</v>
      </c>
      <c r="AF142" s="17" t="s">
        <v>193</v>
      </c>
    </row>
    <row r="143" s="17" customFormat="1" hidden="1" spans="1:32">
      <c r="A143" s="17" t="s">
        <v>34</v>
      </c>
      <c r="B143" s="19">
        <v>719</v>
      </c>
      <c r="C143" s="64">
        <v>44455</v>
      </c>
      <c r="D143" s="17" t="s">
        <v>52</v>
      </c>
      <c r="E143" s="17" t="s">
        <v>214</v>
      </c>
      <c r="F143" s="17" t="s">
        <v>54</v>
      </c>
      <c r="H143" s="65">
        <v>1.2379</v>
      </c>
      <c r="I143" s="65"/>
      <c r="J143" s="17" t="s">
        <v>82</v>
      </c>
      <c r="K143" s="74">
        <v>130</v>
      </c>
      <c r="L143" s="74">
        <v>130</v>
      </c>
      <c r="M143" s="70"/>
      <c r="N143" s="70" t="s">
        <v>40</v>
      </c>
      <c r="O143" s="71" t="s">
        <v>168</v>
      </c>
      <c r="P143" s="84">
        <v>800</v>
      </c>
      <c r="Q143" s="70">
        <v>1089</v>
      </c>
      <c r="R143" s="70">
        <f t="shared" si="5"/>
        <v>-289</v>
      </c>
      <c r="S143" s="73">
        <f t="shared" si="7"/>
        <v>2265</v>
      </c>
      <c r="T143" s="71" t="s">
        <v>42</v>
      </c>
      <c r="U143" s="17" t="s">
        <v>215</v>
      </c>
      <c r="V143" s="70"/>
      <c r="W143" s="17" t="s">
        <v>69</v>
      </c>
      <c r="Z143" s="17" t="s">
        <v>191</v>
      </c>
      <c r="AA143" s="17" t="s">
        <v>46</v>
      </c>
      <c r="AB143" s="17" t="s">
        <v>216</v>
      </c>
      <c r="AC143" s="66">
        <v>44457</v>
      </c>
      <c r="AD143" s="65">
        <v>1223</v>
      </c>
      <c r="AF143" s="17" t="s">
        <v>193</v>
      </c>
    </row>
    <row r="144" s="17" customFormat="1" hidden="1" spans="1:32">
      <c r="A144" s="17" t="s">
        <v>34</v>
      </c>
      <c r="B144" s="19">
        <v>719</v>
      </c>
      <c r="C144" s="64">
        <v>44455</v>
      </c>
      <c r="D144" s="17" t="s">
        <v>52</v>
      </c>
      <c r="E144" s="17" t="s">
        <v>214</v>
      </c>
      <c r="F144" s="17" t="s">
        <v>54</v>
      </c>
      <c r="H144" s="65">
        <v>1.2379</v>
      </c>
      <c r="I144" s="65"/>
      <c r="J144" s="17" t="s">
        <v>82</v>
      </c>
      <c r="K144" s="74">
        <v>155</v>
      </c>
      <c r="L144" s="74">
        <v>130</v>
      </c>
      <c r="M144" s="70"/>
      <c r="N144" s="70" t="s">
        <v>40</v>
      </c>
      <c r="O144" s="71" t="s">
        <v>168</v>
      </c>
      <c r="P144" s="84">
        <v>949</v>
      </c>
      <c r="Q144" s="70">
        <v>1210</v>
      </c>
      <c r="R144" s="70">
        <f t="shared" si="5"/>
        <v>-261</v>
      </c>
      <c r="S144" s="73">
        <f t="shared" si="7"/>
        <v>2265</v>
      </c>
      <c r="T144" s="71" t="s">
        <v>42</v>
      </c>
      <c r="U144" s="17" t="s">
        <v>215</v>
      </c>
      <c r="V144" s="70"/>
      <c r="W144" s="17" t="s">
        <v>69</v>
      </c>
      <c r="Z144" s="17" t="s">
        <v>191</v>
      </c>
      <c r="AA144" s="17" t="s">
        <v>46</v>
      </c>
      <c r="AB144" s="17" t="s">
        <v>216</v>
      </c>
      <c r="AC144" s="66">
        <v>44457</v>
      </c>
      <c r="AD144" s="65">
        <v>1223</v>
      </c>
      <c r="AF144" s="17" t="s">
        <v>193</v>
      </c>
    </row>
    <row r="145" s="18" customFormat="1" hidden="1" spans="1:32">
      <c r="A145" s="18" t="s">
        <v>188</v>
      </c>
      <c r="B145" s="75">
        <v>719</v>
      </c>
      <c r="C145" s="76">
        <v>44455</v>
      </c>
      <c r="D145" s="18" t="s">
        <v>52</v>
      </c>
      <c r="E145" s="18" t="s">
        <v>214</v>
      </c>
      <c r="F145" s="18" t="s">
        <v>54</v>
      </c>
      <c r="H145" s="77">
        <v>1.2379</v>
      </c>
      <c r="I145" s="77"/>
      <c r="J145" s="18" t="s">
        <v>82</v>
      </c>
      <c r="K145" s="78">
        <v>205</v>
      </c>
      <c r="L145" s="78">
        <v>130</v>
      </c>
      <c r="M145" s="79"/>
      <c r="N145" s="79"/>
      <c r="O145" s="80" t="s">
        <v>168</v>
      </c>
      <c r="P145" s="85">
        <v>669</v>
      </c>
      <c r="Q145" s="79"/>
      <c r="R145" s="79">
        <f t="shared" si="5"/>
        <v>669</v>
      </c>
      <c r="S145" s="82">
        <f t="shared" si="7"/>
        <v>2265</v>
      </c>
      <c r="T145" s="80" t="s">
        <v>42</v>
      </c>
      <c r="U145" s="79"/>
      <c r="V145" s="79"/>
      <c r="W145" s="18" t="s">
        <v>69</v>
      </c>
      <c r="Z145" s="18" t="s">
        <v>191</v>
      </c>
      <c r="AC145" s="83"/>
      <c r="AD145" s="77"/>
      <c r="AF145" s="18" t="s">
        <v>193</v>
      </c>
    </row>
    <row r="146" s="18" customFormat="1" hidden="1" spans="1:32">
      <c r="A146" s="18" t="s">
        <v>188</v>
      </c>
      <c r="B146" s="75">
        <v>719</v>
      </c>
      <c r="C146" s="76">
        <v>44455</v>
      </c>
      <c r="D146" s="18" t="s">
        <v>52</v>
      </c>
      <c r="E146" s="18" t="s">
        <v>214</v>
      </c>
      <c r="F146" s="18" t="s">
        <v>54</v>
      </c>
      <c r="H146" s="77">
        <v>1.2379</v>
      </c>
      <c r="I146" s="77"/>
      <c r="J146" s="18" t="s">
        <v>82</v>
      </c>
      <c r="K146" s="78">
        <v>255</v>
      </c>
      <c r="L146" s="78">
        <v>130</v>
      </c>
      <c r="M146" s="79"/>
      <c r="N146" s="79"/>
      <c r="O146" s="80" t="s">
        <v>168</v>
      </c>
      <c r="P146" s="85">
        <v>800</v>
      </c>
      <c r="Q146" s="79"/>
      <c r="R146" s="79">
        <f t="shared" si="5"/>
        <v>800</v>
      </c>
      <c r="S146" s="82">
        <f t="shared" si="7"/>
        <v>2265</v>
      </c>
      <c r="T146" s="80" t="s">
        <v>42</v>
      </c>
      <c r="U146" s="79"/>
      <c r="V146" s="79"/>
      <c r="W146" s="18" t="s">
        <v>69</v>
      </c>
      <c r="Z146" s="18" t="s">
        <v>191</v>
      </c>
      <c r="AC146" s="83"/>
      <c r="AD146" s="77"/>
      <c r="AF146" s="18" t="s">
        <v>193</v>
      </c>
    </row>
    <row r="147" s="17" customFormat="1" hidden="1" spans="1:32">
      <c r="A147" s="17" t="s">
        <v>34</v>
      </c>
      <c r="B147" s="19">
        <v>719</v>
      </c>
      <c r="C147" s="64">
        <v>44455</v>
      </c>
      <c r="D147" s="17" t="s">
        <v>52</v>
      </c>
      <c r="E147" s="17" t="s">
        <v>214</v>
      </c>
      <c r="F147" s="17" t="s">
        <v>54</v>
      </c>
      <c r="H147" s="65">
        <v>1.2379</v>
      </c>
      <c r="I147" s="65"/>
      <c r="J147" s="17" t="s">
        <v>82</v>
      </c>
      <c r="K147" s="74">
        <v>205</v>
      </c>
      <c r="L147" s="74">
        <v>155</v>
      </c>
      <c r="M147" s="70"/>
      <c r="N147" s="70" t="s">
        <v>40</v>
      </c>
      <c r="O147" s="71" t="s">
        <v>168</v>
      </c>
      <c r="P147" s="72">
        <v>748</v>
      </c>
      <c r="Q147" s="70">
        <v>798</v>
      </c>
      <c r="R147" s="70">
        <f t="shared" si="5"/>
        <v>-50</v>
      </c>
      <c r="S147" s="73">
        <f t="shared" si="7"/>
        <v>2265</v>
      </c>
      <c r="T147" s="71" t="s">
        <v>42</v>
      </c>
      <c r="U147" s="17" t="s">
        <v>215</v>
      </c>
      <c r="V147" s="70"/>
      <c r="W147" s="17" t="s">
        <v>69</v>
      </c>
      <c r="Z147" s="17" t="s">
        <v>191</v>
      </c>
      <c r="AA147" s="17" t="s">
        <v>46</v>
      </c>
      <c r="AB147" s="17" t="s">
        <v>216</v>
      </c>
      <c r="AC147" s="66">
        <v>44457</v>
      </c>
      <c r="AD147" s="65">
        <v>1223</v>
      </c>
      <c r="AF147" s="17" t="s">
        <v>193</v>
      </c>
    </row>
    <row r="148" s="18" customFormat="1" hidden="1" spans="1:32">
      <c r="A148" s="18" t="s">
        <v>188</v>
      </c>
      <c r="B148" s="75">
        <v>719</v>
      </c>
      <c r="C148" s="76">
        <v>44455</v>
      </c>
      <c r="D148" s="18" t="s">
        <v>52</v>
      </c>
      <c r="E148" s="18" t="s">
        <v>214</v>
      </c>
      <c r="F148" s="18" t="s">
        <v>54</v>
      </c>
      <c r="H148" s="77">
        <v>1.2379</v>
      </c>
      <c r="I148" s="77"/>
      <c r="J148" s="18" t="s">
        <v>82</v>
      </c>
      <c r="K148" s="78">
        <v>305</v>
      </c>
      <c r="L148" s="78">
        <v>155</v>
      </c>
      <c r="M148" s="79"/>
      <c r="N148" s="79"/>
      <c r="O148" s="80" t="s">
        <v>168</v>
      </c>
      <c r="P148" s="81">
        <v>1188</v>
      </c>
      <c r="Q148" s="79"/>
      <c r="R148" s="79">
        <f t="shared" si="5"/>
        <v>1188</v>
      </c>
      <c r="S148" s="82">
        <f t="shared" si="7"/>
        <v>2265</v>
      </c>
      <c r="T148" s="80" t="s">
        <v>42</v>
      </c>
      <c r="U148" s="79"/>
      <c r="V148" s="79"/>
      <c r="W148" s="18" t="s">
        <v>69</v>
      </c>
      <c r="Z148" s="18" t="s">
        <v>191</v>
      </c>
      <c r="AC148" s="83"/>
      <c r="AD148" s="77"/>
      <c r="AF148" s="18" t="s">
        <v>193</v>
      </c>
    </row>
    <row r="149" s="18" customFormat="1" hidden="1" spans="1:32">
      <c r="A149" s="18" t="s">
        <v>188</v>
      </c>
      <c r="B149" s="75">
        <v>719</v>
      </c>
      <c r="C149" s="76">
        <v>44455</v>
      </c>
      <c r="D149" s="18" t="s">
        <v>52</v>
      </c>
      <c r="E149" s="18" t="s">
        <v>214</v>
      </c>
      <c r="F149" s="18" t="s">
        <v>54</v>
      </c>
      <c r="H149" s="77">
        <v>1.2379</v>
      </c>
      <c r="I149" s="77"/>
      <c r="J149" s="18" t="s">
        <v>82</v>
      </c>
      <c r="K149" s="78">
        <v>455</v>
      </c>
      <c r="L149" s="78">
        <v>50</v>
      </c>
      <c r="M149" s="79"/>
      <c r="N149" s="79"/>
      <c r="O149" s="80" t="s">
        <v>168</v>
      </c>
      <c r="P149" s="81">
        <v>1072</v>
      </c>
      <c r="Q149" s="79"/>
      <c r="R149" s="79">
        <f t="shared" si="5"/>
        <v>1072</v>
      </c>
      <c r="S149" s="82">
        <f t="shared" si="7"/>
        <v>2265</v>
      </c>
      <c r="T149" s="80" t="s">
        <v>42</v>
      </c>
      <c r="U149" s="79"/>
      <c r="V149" s="79"/>
      <c r="W149" s="18" t="s">
        <v>69</v>
      </c>
      <c r="Z149" s="18" t="s">
        <v>191</v>
      </c>
      <c r="AC149" s="83"/>
      <c r="AD149" s="77"/>
      <c r="AF149" s="18" t="s">
        <v>193</v>
      </c>
    </row>
    <row r="150" s="18" customFormat="1" hidden="1" spans="1:32">
      <c r="A150" s="18" t="s">
        <v>188</v>
      </c>
      <c r="B150" s="75">
        <v>719</v>
      </c>
      <c r="C150" s="76">
        <v>44455</v>
      </c>
      <c r="D150" s="18" t="s">
        <v>52</v>
      </c>
      <c r="E150" s="18" t="s">
        <v>214</v>
      </c>
      <c r="F150" s="18" t="s">
        <v>54</v>
      </c>
      <c r="H150" s="77">
        <v>1.2379</v>
      </c>
      <c r="I150" s="77"/>
      <c r="J150" s="18" t="s">
        <v>82</v>
      </c>
      <c r="K150" s="78">
        <v>505</v>
      </c>
      <c r="L150" s="78">
        <v>50</v>
      </c>
      <c r="M150" s="79"/>
      <c r="N150" s="79"/>
      <c r="O150" s="80" t="s">
        <v>168</v>
      </c>
      <c r="P150" s="81">
        <v>1200</v>
      </c>
      <c r="Q150" s="79"/>
      <c r="R150" s="79">
        <f t="shared" si="5"/>
        <v>1200</v>
      </c>
      <c r="S150" s="82">
        <f t="shared" si="7"/>
        <v>2265</v>
      </c>
      <c r="T150" s="80" t="s">
        <v>42</v>
      </c>
      <c r="U150" s="79"/>
      <c r="V150" s="79"/>
      <c r="W150" s="18" t="s">
        <v>69</v>
      </c>
      <c r="Z150" s="18" t="s">
        <v>191</v>
      </c>
      <c r="AC150" s="83"/>
      <c r="AD150" s="77"/>
      <c r="AF150" s="18" t="s">
        <v>193</v>
      </c>
    </row>
    <row r="151" s="18" customFormat="1" hidden="1" spans="1:32">
      <c r="A151" s="18" t="s">
        <v>188</v>
      </c>
      <c r="B151" s="75">
        <v>719</v>
      </c>
      <c r="C151" s="76">
        <v>44455</v>
      </c>
      <c r="D151" s="18" t="s">
        <v>52</v>
      </c>
      <c r="E151" s="18" t="s">
        <v>214</v>
      </c>
      <c r="F151" s="18" t="s">
        <v>54</v>
      </c>
      <c r="H151" s="77">
        <v>1.2379</v>
      </c>
      <c r="I151" s="77"/>
      <c r="J151" s="18" t="s">
        <v>82</v>
      </c>
      <c r="K151" s="78">
        <v>620</v>
      </c>
      <c r="L151" s="78">
        <v>260</v>
      </c>
      <c r="M151" s="79"/>
      <c r="N151" s="79"/>
      <c r="O151" s="80" t="s">
        <v>168</v>
      </c>
      <c r="P151" s="81">
        <v>3796</v>
      </c>
      <c r="Q151" s="79"/>
      <c r="R151" s="79">
        <f t="shared" si="5"/>
        <v>3796</v>
      </c>
      <c r="S151" s="82">
        <f t="shared" si="7"/>
        <v>2265</v>
      </c>
      <c r="T151" s="80" t="s">
        <v>42</v>
      </c>
      <c r="U151" s="79"/>
      <c r="V151" s="79"/>
      <c r="W151" s="18" t="s">
        <v>69</v>
      </c>
      <c r="Z151" s="18" t="s">
        <v>191</v>
      </c>
      <c r="AC151" s="83"/>
      <c r="AD151" s="77"/>
      <c r="AF151" s="18" t="s">
        <v>193</v>
      </c>
    </row>
    <row r="152" s="18" customFormat="1" hidden="1" spans="1:32">
      <c r="A152" s="18" t="s">
        <v>188</v>
      </c>
      <c r="B152" s="75">
        <v>719</v>
      </c>
      <c r="C152" s="76">
        <v>44455</v>
      </c>
      <c r="D152" s="18" t="s">
        <v>52</v>
      </c>
      <c r="E152" s="18" t="s">
        <v>214</v>
      </c>
      <c r="F152" s="18" t="s">
        <v>54</v>
      </c>
      <c r="H152" s="77">
        <v>1.2379</v>
      </c>
      <c r="I152" s="77"/>
      <c r="J152" s="18" t="s">
        <v>82</v>
      </c>
      <c r="K152" s="78">
        <v>620</v>
      </c>
      <c r="L152" s="78">
        <v>300</v>
      </c>
      <c r="M152" s="79"/>
      <c r="N152" s="79"/>
      <c r="O152" s="80" t="s">
        <v>168</v>
      </c>
      <c r="P152" s="81">
        <v>4380</v>
      </c>
      <c r="Q152" s="79"/>
      <c r="R152" s="79">
        <f t="shared" si="5"/>
        <v>4380</v>
      </c>
      <c r="S152" s="82">
        <f t="shared" si="7"/>
        <v>2265</v>
      </c>
      <c r="T152" s="80" t="s">
        <v>42</v>
      </c>
      <c r="U152" s="79"/>
      <c r="V152" s="79"/>
      <c r="W152" s="18" t="s">
        <v>69</v>
      </c>
      <c r="Z152" s="18" t="s">
        <v>191</v>
      </c>
      <c r="AC152" s="83"/>
      <c r="AD152" s="77"/>
      <c r="AF152" s="18" t="s">
        <v>193</v>
      </c>
    </row>
    <row r="153" s="18" customFormat="1" hidden="1" spans="1:32">
      <c r="A153" s="18" t="s">
        <v>188</v>
      </c>
      <c r="B153" s="75">
        <v>719</v>
      </c>
      <c r="C153" s="76">
        <v>44455</v>
      </c>
      <c r="D153" s="18" t="s">
        <v>52</v>
      </c>
      <c r="E153" s="18" t="s">
        <v>214</v>
      </c>
      <c r="F153" s="18" t="s">
        <v>54</v>
      </c>
      <c r="H153" s="77">
        <v>1.2379</v>
      </c>
      <c r="I153" s="77"/>
      <c r="J153" s="18" t="s">
        <v>39</v>
      </c>
      <c r="K153" s="78">
        <v>190</v>
      </c>
      <c r="L153" s="79"/>
      <c r="M153" s="79"/>
      <c r="N153" s="79"/>
      <c r="O153" s="80" t="s">
        <v>217</v>
      </c>
      <c r="P153" s="81">
        <v>3300</v>
      </c>
      <c r="Q153" s="79"/>
      <c r="R153" s="79">
        <f t="shared" si="5"/>
        <v>3300</v>
      </c>
      <c r="S153" s="79">
        <v>2165</v>
      </c>
      <c r="T153" s="80" t="s">
        <v>42</v>
      </c>
      <c r="U153" s="79"/>
      <c r="V153" s="79"/>
      <c r="W153" s="18" t="s">
        <v>69</v>
      </c>
      <c r="Z153" s="18" t="s">
        <v>191</v>
      </c>
      <c r="AC153" s="83"/>
      <c r="AD153" s="77"/>
      <c r="AF153" s="18" t="s">
        <v>193</v>
      </c>
    </row>
    <row r="154" s="18" customFormat="1" hidden="1" spans="1:32">
      <c r="A154" s="18" t="s">
        <v>188</v>
      </c>
      <c r="B154" s="75">
        <v>719</v>
      </c>
      <c r="C154" s="76">
        <v>44455</v>
      </c>
      <c r="D154" s="18" t="s">
        <v>52</v>
      </c>
      <c r="E154" s="18" t="s">
        <v>214</v>
      </c>
      <c r="F154" s="18" t="s">
        <v>54</v>
      </c>
      <c r="H154" s="77">
        <v>1.2379</v>
      </c>
      <c r="I154" s="77"/>
      <c r="J154" s="18" t="s">
        <v>39</v>
      </c>
      <c r="K154" s="78">
        <v>200</v>
      </c>
      <c r="L154" s="79"/>
      <c r="M154" s="79"/>
      <c r="N154" s="79"/>
      <c r="O154" s="80" t="s">
        <v>217</v>
      </c>
      <c r="P154" s="81">
        <v>3300</v>
      </c>
      <c r="Q154" s="79"/>
      <c r="R154" s="79">
        <f t="shared" si="5"/>
        <v>3300</v>
      </c>
      <c r="S154" s="79">
        <v>2165</v>
      </c>
      <c r="T154" s="80" t="s">
        <v>42</v>
      </c>
      <c r="U154" s="79"/>
      <c r="V154" s="79"/>
      <c r="W154" s="18" t="s">
        <v>69</v>
      </c>
      <c r="Z154" s="18" t="s">
        <v>191</v>
      </c>
      <c r="AC154" s="83"/>
      <c r="AD154" s="77"/>
      <c r="AF154" s="18" t="s">
        <v>193</v>
      </c>
    </row>
    <row r="155" s="17" customFormat="1" hidden="1" spans="1:32">
      <c r="A155" s="17" t="s">
        <v>34</v>
      </c>
      <c r="B155" s="19">
        <v>719</v>
      </c>
      <c r="C155" s="64">
        <v>44455</v>
      </c>
      <c r="D155" s="17" t="s">
        <v>52</v>
      </c>
      <c r="E155" s="17" t="s">
        <v>214</v>
      </c>
      <c r="F155" s="17" t="s">
        <v>54</v>
      </c>
      <c r="H155" s="65">
        <v>1.2379</v>
      </c>
      <c r="I155" s="65"/>
      <c r="J155" s="17" t="s">
        <v>82</v>
      </c>
      <c r="K155" s="70">
        <v>100</v>
      </c>
      <c r="L155" s="70">
        <v>32</v>
      </c>
      <c r="M155" s="70"/>
      <c r="N155" s="70" t="s">
        <v>40</v>
      </c>
      <c r="O155" s="71" t="s">
        <v>168</v>
      </c>
      <c r="P155" s="86">
        <v>87.92</v>
      </c>
      <c r="Q155" s="70">
        <v>86</v>
      </c>
      <c r="R155" s="87">
        <f t="shared" si="5"/>
        <v>1.91999999999999</v>
      </c>
      <c r="S155" s="70">
        <f t="shared" ref="S155:S188" si="8">2280-15</f>
        <v>2265</v>
      </c>
      <c r="T155" s="71" t="s">
        <v>42</v>
      </c>
      <c r="U155" s="17" t="s">
        <v>215</v>
      </c>
      <c r="V155" s="70"/>
      <c r="W155" s="17" t="s">
        <v>69</v>
      </c>
      <c r="Z155" s="17" t="s">
        <v>191</v>
      </c>
      <c r="AA155" s="17" t="s">
        <v>46</v>
      </c>
      <c r="AB155" s="17" t="s">
        <v>216</v>
      </c>
      <c r="AC155" s="66">
        <v>44457</v>
      </c>
      <c r="AD155" s="65">
        <v>1223</v>
      </c>
      <c r="AF155" s="17" t="s">
        <v>193</v>
      </c>
    </row>
    <row r="156" s="17" customFormat="1" hidden="1" spans="1:32">
      <c r="A156" s="17" t="s">
        <v>34</v>
      </c>
      <c r="B156" s="19">
        <v>719</v>
      </c>
      <c r="C156" s="64">
        <v>44455</v>
      </c>
      <c r="D156" s="17" t="s">
        <v>52</v>
      </c>
      <c r="E156" s="17" t="s">
        <v>214</v>
      </c>
      <c r="F156" s="17" t="s">
        <v>54</v>
      </c>
      <c r="H156" s="65">
        <v>1.2379</v>
      </c>
      <c r="I156" s="65"/>
      <c r="J156" s="17" t="s">
        <v>82</v>
      </c>
      <c r="K156" s="70">
        <v>130</v>
      </c>
      <c r="L156" s="70">
        <v>32</v>
      </c>
      <c r="M156" s="70"/>
      <c r="N156" s="70" t="s">
        <v>40</v>
      </c>
      <c r="O156" s="71" t="s">
        <v>168</v>
      </c>
      <c r="P156" s="86">
        <v>228.592</v>
      </c>
      <c r="Q156" s="70">
        <v>221</v>
      </c>
      <c r="R156" s="87">
        <f t="shared" si="5"/>
        <v>7.59199999999998</v>
      </c>
      <c r="S156" s="70">
        <f t="shared" si="8"/>
        <v>2265</v>
      </c>
      <c r="T156" s="71" t="s">
        <v>42</v>
      </c>
      <c r="U156" s="17" t="s">
        <v>215</v>
      </c>
      <c r="V156" s="70"/>
      <c r="W156" s="17" t="s">
        <v>69</v>
      </c>
      <c r="Z156" s="17" t="s">
        <v>191</v>
      </c>
      <c r="AA156" s="17" t="s">
        <v>46</v>
      </c>
      <c r="AB156" s="17" t="s">
        <v>216</v>
      </c>
      <c r="AC156" s="66">
        <v>44457</v>
      </c>
      <c r="AD156" s="65">
        <v>1223</v>
      </c>
      <c r="AF156" s="17" t="s">
        <v>193</v>
      </c>
    </row>
    <row r="157" s="17" customFormat="1" hidden="1" spans="1:32">
      <c r="A157" s="17" t="s">
        <v>34</v>
      </c>
      <c r="B157" s="19">
        <v>719</v>
      </c>
      <c r="C157" s="64">
        <v>44455</v>
      </c>
      <c r="D157" s="17" t="s">
        <v>52</v>
      </c>
      <c r="E157" s="17" t="s">
        <v>214</v>
      </c>
      <c r="F157" s="17" t="s">
        <v>54</v>
      </c>
      <c r="H157" s="65">
        <v>1.2379</v>
      </c>
      <c r="I157" s="65"/>
      <c r="J157" s="17" t="s">
        <v>82</v>
      </c>
      <c r="K157" s="70">
        <v>150</v>
      </c>
      <c r="L157" s="70">
        <v>32</v>
      </c>
      <c r="M157" s="70"/>
      <c r="N157" s="70" t="s">
        <v>40</v>
      </c>
      <c r="O157" s="71" t="s">
        <v>168</v>
      </c>
      <c r="P157" s="86">
        <v>131.88</v>
      </c>
      <c r="Q157" s="70">
        <v>132</v>
      </c>
      <c r="R157" s="87">
        <f t="shared" si="5"/>
        <v>-0.120000000000005</v>
      </c>
      <c r="S157" s="70">
        <f t="shared" si="8"/>
        <v>2265</v>
      </c>
      <c r="T157" s="71" t="s">
        <v>42</v>
      </c>
      <c r="U157" s="17" t="s">
        <v>215</v>
      </c>
      <c r="V157" s="70"/>
      <c r="W157" s="17" t="s">
        <v>69</v>
      </c>
      <c r="Z157" s="17" t="s">
        <v>191</v>
      </c>
      <c r="AA157" s="17" t="s">
        <v>46</v>
      </c>
      <c r="AB157" s="17" t="s">
        <v>216</v>
      </c>
      <c r="AC157" s="66">
        <v>44457</v>
      </c>
      <c r="AD157" s="65">
        <v>1223</v>
      </c>
      <c r="AF157" s="17" t="s">
        <v>193</v>
      </c>
    </row>
    <row r="158" s="17" customFormat="1" hidden="1" spans="1:32">
      <c r="A158" s="17" t="s">
        <v>34</v>
      </c>
      <c r="B158" s="19">
        <v>719</v>
      </c>
      <c r="C158" s="64">
        <v>44455</v>
      </c>
      <c r="D158" s="17" t="s">
        <v>52</v>
      </c>
      <c r="E158" s="17" t="s">
        <v>214</v>
      </c>
      <c r="F158" s="17" t="s">
        <v>54</v>
      </c>
      <c r="H158" s="65">
        <v>1.2379</v>
      </c>
      <c r="I158" s="65"/>
      <c r="J158" s="17" t="s">
        <v>82</v>
      </c>
      <c r="K158" s="70">
        <v>255</v>
      </c>
      <c r="L158" s="70">
        <v>32</v>
      </c>
      <c r="M158" s="70"/>
      <c r="N158" s="70" t="s">
        <v>40</v>
      </c>
      <c r="O158" s="71" t="s">
        <v>168</v>
      </c>
      <c r="P158" s="86">
        <v>224.196</v>
      </c>
      <c r="Q158" s="70">
        <v>182</v>
      </c>
      <c r="R158" s="87">
        <f t="shared" si="5"/>
        <v>42.196</v>
      </c>
      <c r="S158" s="70">
        <f t="shared" si="8"/>
        <v>2265</v>
      </c>
      <c r="T158" s="71" t="s">
        <v>42</v>
      </c>
      <c r="U158" s="17" t="s">
        <v>215</v>
      </c>
      <c r="V158" s="70"/>
      <c r="W158" s="17" t="s">
        <v>69</v>
      </c>
      <c r="Z158" s="17" t="s">
        <v>191</v>
      </c>
      <c r="AA158" s="17" t="s">
        <v>46</v>
      </c>
      <c r="AB158" s="17" t="s">
        <v>216</v>
      </c>
      <c r="AC158" s="66">
        <v>44457</v>
      </c>
      <c r="AD158" s="65">
        <v>1223</v>
      </c>
      <c r="AF158" s="17" t="s">
        <v>193</v>
      </c>
    </row>
    <row r="159" s="17" customFormat="1" hidden="1" spans="1:32">
      <c r="A159" s="17" t="s">
        <v>34</v>
      </c>
      <c r="B159" s="19">
        <v>719</v>
      </c>
      <c r="C159" s="64">
        <v>44455</v>
      </c>
      <c r="D159" s="17" t="s">
        <v>52</v>
      </c>
      <c r="E159" s="17" t="s">
        <v>214</v>
      </c>
      <c r="F159" s="17" t="s">
        <v>54</v>
      </c>
      <c r="H159" s="65">
        <v>1.2379</v>
      </c>
      <c r="I159" s="65"/>
      <c r="J159" s="17" t="s">
        <v>82</v>
      </c>
      <c r="K159" s="70">
        <v>405</v>
      </c>
      <c r="L159" s="70">
        <v>32</v>
      </c>
      <c r="M159" s="70"/>
      <c r="N159" s="70" t="s">
        <v>40</v>
      </c>
      <c r="O159" s="71" t="s">
        <v>168</v>
      </c>
      <c r="P159" s="86">
        <v>356.076</v>
      </c>
      <c r="Q159" s="70">
        <v>382</v>
      </c>
      <c r="R159" s="87">
        <f t="shared" si="5"/>
        <v>-25.924</v>
      </c>
      <c r="S159" s="70">
        <f t="shared" si="8"/>
        <v>2265</v>
      </c>
      <c r="T159" s="71" t="s">
        <v>42</v>
      </c>
      <c r="U159" s="17" t="s">
        <v>215</v>
      </c>
      <c r="V159" s="70"/>
      <c r="W159" s="17" t="s">
        <v>69</v>
      </c>
      <c r="Z159" s="17" t="s">
        <v>191</v>
      </c>
      <c r="AA159" s="17" t="s">
        <v>46</v>
      </c>
      <c r="AB159" s="17" t="s">
        <v>216</v>
      </c>
      <c r="AC159" s="66">
        <v>44457</v>
      </c>
      <c r="AD159" s="65">
        <v>1223</v>
      </c>
      <c r="AF159" s="17" t="s">
        <v>193</v>
      </c>
    </row>
    <row r="160" s="17" customFormat="1" hidden="1" spans="1:32">
      <c r="A160" s="17" t="s">
        <v>34</v>
      </c>
      <c r="B160" s="19">
        <v>719</v>
      </c>
      <c r="C160" s="64">
        <v>44455</v>
      </c>
      <c r="D160" s="17" t="s">
        <v>52</v>
      </c>
      <c r="E160" s="17" t="s">
        <v>214</v>
      </c>
      <c r="F160" s="17" t="s">
        <v>54</v>
      </c>
      <c r="H160" s="65">
        <v>1.2379</v>
      </c>
      <c r="I160" s="65"/>
      <c r="J160" s="17" t="s">
        <v>82</v>
      </c>
      <c r="K160" s="70">
        <v>100</v>
      </c>
      <c r="L160" s="70">
        <v>40</v>
      </c>
      <c r="M160" s="70"/>
      <c r="N160" s="70" t="s">
        <v>40</v>
      </c>
      <c r="O160" s="71" t="s">
        <v>168</v>
      </c>
      <c r="P160" s="86">
        <v>109.9</v>
      </c>
      <c r="Q160" s="70">
        <v>112</v>
      </c>
      <c r="R160" s="87">
        <f t="shared" si="5"/>
        <v>-2.10000000000001</v>
      </c>
      <c r="S160" s="70">
        <f t="shared" si="8"/>
        <v>2265</v>
      </c>
      <c r="T160" s="71" t="s">
        <v>42</v>
      </c>
      <c r="U160" s="17" t="s">
        <v>215</v>
      </c>
      <c r="V160" s="70"/>
      <c r="W160" s="17" t="s">
        <v>69</v>
      </c>
      <c r="Z160" s="17" t="s">
        <v>191</v>
      </c>
      <c r="AA160" s="17" t="s">
        <v>46</v>
      </c>
      <c r="AB160" s="17" t="s">
        <v>216</v>
      </c>
      <c r="AC160" s="66">
        <v>44457</v>
      </c>
      <c r="AD160" s="65">
        <v>1223</v>
      </c>
      <c r="AF160" s="17" t="s">
        <v>193</v>
      </c>
    </row>
    <row r="161" s="17" customFormat="1" hidden="1" spans="1:32">
      <c r="A161" s="17" t="s">
        <v>34</v>
      </c>
      <c r="B161" s="19">
        <v>719</v>
      </c>
      <c r="C161" s="64">
        <v>44455</v>
      </c>
      <c r="D161" s="17" t="s">
        <v>52</v>
      </c>
      <c r="E161" s="17" t="s">
        <v>214</v>
      </c>
      <c r="F161" s="17" t="s">
        <v>54</v>
      </c>
      <c r="H161" s="65">
        <v>1.2379</v>
      </c>
      <c r="I161" s="65"/>
      <c r="J161" s="17" t="s">
        <v>82</v>
      </c>
      <c r="K161" s="70">
        <v>150</v>
      </c>
      <c r="L161" s="70">
        <v>40</v>
      </c>
      <c r="M161" s="70"/>
      <c r="N161" s="70" t="s">
        <v>40</v>
      </c>
      <c r="O161" s="71" t="s">
        <v>168</v>
      </c>
      <c r="P161" s="86">
        <v>164.85</v>
      </c>
      <c r="Q161" s="70">
        <v>172</v>
      </c>
      <c r="R161" s="87">
        <f t="shared" si="5"/>
        <v>-7.15000000000001</v>
      </c>
      <c r="S161" s="70">
        <f t="shared" si="8"/>
        <v>2265</v>
      </c>
      <c r="T161" s="71" t="s">
        <v>42</v>
      </c>
      <c r="U161" s="17" t="s">
        <v>215</v>
      </c>
      <c r="V161" s="70"/>
      <c r="W161" s="17" t="s">
        <v>69</v>
      </c>
      <c r="Z161" s="17" t="s">
        <v>191</v>
      </c>
      <c r="AA161" s="17" t="s">
        <v>46</v>
      </c>
      <c r="AB161" s="17" t="s">
        <v>216</v>
      </c>
      <c r="AC161" s="66">
        <v>44457</v>
      </c>
      <c r="AD161" s="65">
        <v>1223</v>
      </c>
      <c r="AF161" s="17" t="s">
        <v>193</v>
      </c>
    </row>
    <row r="162" s="17" customFormat="1" hidden="1" spans="1:32">
      <c r="A162" s="17" t="s">
        <v>34</v>
      </c>
      <c r="B162" s="19">
        <v>719</v>
      </c>
      <c r="C162" s="64">
        <v>44455</v>
      </c>
      <c r="D162" s="17" t="s">
        <v>52</v>
      </c>
      <c r="E162" s="17" t="s">
        <v>214</v>
      </c>
      <c r="F162" s="17" t="s">
        <v>54</v>
      </c>
      <c r="H162" s="65">
        <v>1.2379</v>
      </c>
      <c r="I162" s="65"/>
      <c r="J162" s="17" t="s">
        <v>82</v>
      </c>
      <c r="K162" s="70">
        <v>405</v>
      </c>
      <c r="L162" s="70">
        <v>40</v>
      </c>
      <c r="M162" s="70"/>
      <c r="N162" s="70" t="s">
        <v>40</v>
      </c>
      <c r="O162" s="71" t="s">
        <v>168</v>
      </c>
      <c r="P162" s="86">
        <v>445.095</v>
      </c>
      <c r="Q162" s="70">
        <v>286</v>
      </c>
      <c r="R162" s="87">
        <f t="shared" si="5"/>
        <v>159.095</v>
      </c>
      <c r="S162" s="70">
        <f t="shared" si="8"/>
        <v>2265</v>
      </c>
      <c r="T162" s="71" t="s">
        <v>42</v>
      </c>
      <c r="U162" s="17" t="s">
        <v>215</v>
      </c>
      <c r="V162" s="70"/>
      <c r="W162" s="17" t="s">
        <v>69</v>
      </c>
      <c r="Z162" s="17" t="s">
        <v>191</v>
      </c>
      <c r="AA162" s="17" t="s">
        <v>46</v>
      </c>
      <c r="AB162" s="17" t="s">
        <v>216</v>
      </c>
      <c r="AC162" s="66">
        <v>44457</v>
      </c>
      <c r="AD162" s="65">
        <v>1223</v>
      </c>
      <c r="AF162" s="17" t="s">
        <v>193</v>
      </c>
    </row>
    <row r="163" s="17" customFormat="1" hidden="1" spans="1:32">
      <c r="A163" s="17" t="s">
        <v>34</v>
      </c>
      <c r="B163" s="19">
        <v>719</v>
      </c>
      <c r="C163" s="64">
        <v>44455</v>
      </c>
      <c r="D163" s="17" t="s">
        <v>52</v>
      </c>
      <c r="E163" s="17" t="s">
        <v>214</v>
      </c>
      <c r="F163" s="17" t="s">
        <v>54</v>
      </c>
      <c r="H163" s="65">
        <v>1.2379</v>
      </c>
      <c r="I163" s="65"/>
      <c r="J163" s="17" t="s">
        <v>82</v>
      </c>
      <c r="K163" s="70">
        <v>130</v>
      </c>
      <c r="L163" s="70">
        <v>50</v>
      </c>
      <c r="M163" s="70"/>
      <c r="N163" s="70" t="s">
        <v>40</v>
      </c>
      <c r="O163" s="71" t="s">
        <v>168</v>
      </c>
      <c r="P163" s="86">
        <v>178.5875</v>
      </c>
      <c r="Q163" s="70">
        <v>189</v>
      </c>
      <c r="R163" s="87">
        <f t="shared" si="5"/>
        <v>-10.4125</v>
      </c>
      <c r="S163" s="70">
        <f t="shared" si="8"/>
        <v>2265</v>
      </c>
      <c r="T163" s="71" t="s">
        <v>42</v>
      </c>
      <c r="U163" s="17" t="s">
        <v>215</v>
      </c>
      <c r="V163" s="70"/>
      <c r="W163" s="17" t="s">
        <v>69</v>
      </c>
      <c r="Z163" s="17" t="s">
        <v>191</v>
      </c>
      <c r="AA163" s="17" t="s">
        <v>46</v>
      </c>
      <c r="AB163" s="17" t="s">
        <v>216</v>
      </c>
      <c r="AC163" s="66">
        <v>44457</v>
      </c>
      <c r="AD163" s="65">
        <v>1223</v>
      </c>
      <c r="AF163" s="17" t="s">
        <v>193</v>
      </c>
    </row>
    <row r="164" s="17" customFormat="1" hidden="1" spans="1:32">
      <c r="A164" s="17" t="s">
        <v>34</v>
      </c>
      <c r="B164" s="19">
        <v>719</v>
      </c>
      <c r="C164" s="64">
        <v>44455</v>
      </c>
      <c r="D164" s="17" t="s">
        <v>52</v>
      </c>
      <c r="E164" s="17" t="s">
        <v>214</v>
      </c>
      <c r="F164" s="17" t="s">
        <v>54</v>
      </c>
      <c r="H164" s="65">
        <v>1.2379</v>
      </c>
      <c r="I164" s="65"/>
      <c r="J164" s="17" t="s">
        <v>82</v>
      </c>
      <c r="K164" s="70">
        <v>155</v>
      </c>
      <c r="L164" s="70">
        <v>50</v>
      </c>
      <c r="M164" s="70"/>
      <c r="N164" s="70" t="s">
        <v>40</v>
      </c>
      <c r="O164" s="71" t="s">
        <v>168</v>
      </c>
      <c r="P164" s="86">
        <v>425.8625</v>
      </c>
      <c r="Q164" s="70">
        <v>425</v>
      </c>
      <c r="R164" s="87">
        <f t="shared" si="5"/>
        <v>0.862499999999955</v>
      </c>
      <c r="S164" s="70">
        <f t="shared" si="8"/>
        <v>2265</v>
      </c>
      <c r="T164" s="71" t="s">
        <v>42</v>
      </c>
      <c r="U164" s="17" t="s">
        <v>215</v>
      </c>
      <c r="V164" s="70"/>
      <c r="W164" s="17" t="s">
        <v>69</v>
      </c>
      <c r="Z164" s="17" t="s">
        <v>191</v>
      </c>
      <c r="AA164" s="17" t="s">
        <v>46</v>
      </c>
      <c r="AB164" s="17" t="s">
        <v>216</v>
      </c>
      <c r="AC164" s="66">
        <v>44457</v>
      </c>
      <c r="AD164" s="65">
        <v>1223</v>
      </c>
      <c r="AF164" s="17" t="s">
        <v>193</v>
      </c>
    </row>
    <row r="165" s="17" customFormat="1" hidden="1" spans="1:32">
      <c r="A165" s="17" t="s">
        <v>34</v>
      </c>
      <c r="B165" s="19">
        <v>719</v>
      </c>
      <c r="C165" s="64">
        <v>44455</v>
      </c>
      <c r="D165" s="17" t="s">
        <v>52</v>
      </c>
      <c r="E165" s="17" t="s">
        <v>214</v>
      </c>
      <c r="F165" s="17" t="s">
        <v>54</v>
      </c>
      <c r="H165" s="65">
        <v>1.2379</v>
      </c>
      <c r="I165" s="65"/>
      <c r="J165" s="17" t="s">
        <v>82</v>
      </c>
      <c r="K165" s="70">
        <v>255</v>
      </c>
      <c r="L165" s="70">
        <v>50</v>
      </c>
      <c r="M165" s="70"/>
      <c r="N165" s="70" t="s">
        <v>40</v>
      </c>
      <c r="O165" s="71" t="s">
        <v>168</v>
      </c>
      <c r="P165" s="86">
        <v>350.30625</v>
      </c>
      <c r="Q165" s="70">
        <v>389</v>
      </c>
      <c r="R165" s="87">
        <f t="shared" si="5"/>
        <v>-38.6937500000001</v>
      </c>
      <c r="S165" s="70">
        <f t="shared" si="8"/>
        <v>2265</v>
      </c>
      <c r="T165" s="71" t="s">
        <v>42</v>
      </c>
      <c r="U165" s="17" t="s">
        <v>215</v>
      </c>
      <c r="V165" s="70"/>
      <c r="W165" s="17" t="s">
        <v>69</v>
      </c>
      <c r="Z165" s="17" t="s">
        <v>191</v>
      </c>
      <c r="AA165" s="17" t="s">
        <v>46</v>
      </c>
      <c r="AB165" s="17" t="s">
        <v>216</v>
      </c>
      <c r="AC165" s="66">
        <v>44457</v>
      </c>
      <c r="AD165" s="65">
        <v>1223</v>
      </c>
      <c r="AF165" s="17" t="s">
        <v>193</v>
      </c>
    </row>
    <row r="166" s="17" customFormat="1" hidden="1" spans="1:32">
      <c r="A166" s="17" t="s">
        <v>34</v>
      </c>
      <c r="B166" s="19">
        <v>719</v>
      </c>
      <c r="C166" s="64">
        <v>44455</v>
      </c>
      <c r="D166" s="17" t="s">
        <v>52</v>
      </c>
      <c r="E166" s="17" t="s">
        <v>214</v>
      </c>
      <c r="F166" s="17" t="s">
        <v>54</v>
      </c>
      <c r="H166" s="65">
        <v>1.2379</v>
      </c>
      <c r="I166" s="65"/>
      <c r="J166" s="17" t="s">
        <v>82</v>
      </c>
      <c r="K166" s="70">
        <v>355</v>
      </c>
      <c r="L166" s="70">
        <v>50</v>
      </c>
      <c r="M166" s="70"/>
      <c r="N166" s="70" t="s">
        <v>40</v>
      </c>
      <c r="O166" s="71" t="s">
        <v>168</v>
      </c>
      <c r="P166" s="86">
        <v>487.68125</v>
      </c>
      <c r="Q166" s="70">
        <v>456</v>
      </c>
      <c r="R166" s="87">
        <f t="shared" si="5"/>
        <v>31.6812499999999</v>
      </c>
      <c r="S166" s="70">
        <f t="shared" si="8"/>
        <v>2265</v>
      </c>
      <c r="T166" s="71" t="s">
        <v>42</v>
      </c>
      <c r="U166" s="17" t="s">
        <v>215</v>
      </c>
      <c r="V166" s="70"/>
      <c r="W166" s="17" t="s">
        <v>69</v>
      </c>
      <c r="Z166" s="17" t="s">
        <v>191</v>
      </c>
      <c r="AA166" s="17" t="s">
        <v>46</v>
      </c>
      <c r="AB166" s="17" t="s">
        <v>216</v>
      </c>
      <c r="AC166" s="66">
        <v>44457</v>
      </c>
      <c r="AD166" s="65">
        <v>1223</v>
      </c>
      <c r="AF166" s="17" t="s">
        <v>193</v>
      </c>
    </row>
    <row r="167" s="17" customFormat="1" hidden="1" spans="1:32">
      <c r="A167" s="17" t="s">
        <v>34</v>
      </c>
      <c r="B167" s="19">
        <v>719</v>
      </c>
      <c r="C167" s="64">
        <v>44455</v>
      </c>
      <c r="D167" s="17" t="s">
        <v>52</v>
      </c>
      <c r="E167" s="17" t="s">
        <v>214</v>
      </c>
      <c r="F167" s="17" t="s">
        <v>54</v>
      </c>
      <c r="H167" s="65">
        <v>1.2379</v>
      </c>
      <c r="I167" s="65"/>
      <c r="J167" s="17" t="s">
        <v>82</v>
      </c>
      <c r="K167" s="70">
        <v>405</v>
      </c>
      <c r="L167" s="70">
        <v>50</v>
      </c>
      <c r="M167" s="70"/>
      <c r="N167" s="70" t="s">
        <v>40</v>
      </c>
      <c r="O167" s="71" t="s">
        <v>168</v>
      </c>
      <c r="P167" s="86">
        <v>1112.7375</v>
      </c>
      <c r="Q167" s="70">
        <v>812</v>
      </c>
      <c r="R167" s="87">
        <f t="shared" si="5"/>
        <v>300.7375</v>
      </c>
      <c r="S167" s="70">
        <f t="shared" si="8"/>
        <v>2265</v>
      </c>
      <c r="T167" s="71" t="s">
        <v>42</v>
      </c>
      <c r="U167" s="17" t="s">
        <v>215</v>
      </c>
      <c r="V167" s="70"/>
      <c r="W167" s="17" t="s">
        <v>69</v>
      </c>
      <c r="Z167" s="17" t="s">
        <v>191</v>
      </c>
      <c r="AA167" s="17" t="s">
        <v>46</v>
      </c>
      <c r="AB167" s="17" t="s">
        <v>216</v>
      </c>
      <c r="AC167" s="66">
        <v>44457</v>
      </c>
      <c r="AD167" s="65">
        <v>1223</v>
      </c>
      <c r="AF167" s="17" t="s">
        <v>193</v>
      </c>
    </row>
    <row r="168" s="17" customFormat="1" hidden="1" spans="1:32">
      <c r="A168" s="17" t="s">
        <v>34</v>
      </c>
      <c r="B168" s="19">
        <v>719</v>
      </c>
      <c r="C168" s="64">
        <v>44455</v>
      </c>
      <c r="D168" s="17" t="s">
        <v>52</v>
      </c>
      <c r="E168" s="17" t="s">
        <v>214</v>
      </c>
      <c r="F168" s="17" t="s">
        <v>54</v>
      </c>
      <c r="H168" s="65">
        <v>1.2379</v>
      </c>
      <c r="I168" s="65"/>
      <c r="J168" s="17" t="s">
        <v>82</v>
      </c>
      <c r="K168" s="70">
        <v>100</v>
      </c>
      <c r="L168" s="70">
        <v>65</v>
      </c>
      <c r="M168" s="70"/>
      <c r="N168" s="70" t="s">
        <v>40</v>
      </c>
      <c r="O168" s="71" t="s">
        <v>168</v>
      </c>
      <c r="P168" s="86">
        <v>178.5875</v>
      </c>
      <c r="Q168" s="70">
        <v>89</v>
      </c>
      <c r="R168" s="87">
        <f t="shared" si="5"/>
        <v>89.5875</v>
      </c>
      <c r="S168" s="70">
        <f t="shared" si="8"/>
        <v>2265</v>
      </c>
      <c r="T168" s="71" t="s">
        <v>42</v>
      </c>
      <c r="U168" s="17" t="s">
        <v>215</v>
      </c>
      <c r="V168" s="70"/>
      <c r="W168" s="17" t="s">
        <v>69</v>
      </c>
      <c r="Z168" s="17" t="s">
        <v>191</v>
      </c>
      <c r="AA168" s="17" t="s">
        <v>46</v>
      </c>
      <c r="AB168" s="17" t="s">
        <v>216</v>
      </c>
      <c r="AC168" s="66">
        <v>44457</v>
      </c>
      <c r="AD168" s="65">
        <v>1223</v>
      </c>
      <c r="AF168" s="17" t="s">
        <v>193</v>
      </c>
    </row>
    <row r="169" s="17" customFormat="1" hidden="1" spans="1:32">
      <c r="A169" s="17" t="s">
        <v>34</v>
      </c>
      <c r="B169" s="19">
        <v>719</v>
      </c>
      <c r="C169" s="64">
        <v>44455</v>
      </c>
      <c r="D169" s="17" t="s">
        <v>52</v>
      </c>
      <c r="E169" s="17" t="s">
        <v>214</v>
      </c>
      <c r="F169" s="17" t="s">
        <v>54</v>
      </c>
      <c r="H169" s="65">
        <v>1.2379</v>
      </c>
      <c r="I169" s="65"/>
      <c r="J169" s="17" t="s">
        <v>82</v>
      </c>
      <c r="K169" s="70">
        <v>130</v>
      </c>
      <c r="L169" s="70">
        <v>65</v>
      </c>
      <c r="M169" s="70"/>
      <c r="N169" s="70" t="s">
        <v>40</v>
      </c>
      <c r="O169" s="71" t="s">
        <v>168</v>
      </c>
      <c r="P169" s="86">
        <v>232.16375</v>
      </c>
      <c r="Q169" s="70">
        <v>180</v>
      </c>
      <c r="R169" s="87">
        <f t="shared" si="5"/>
        <v>52.16375</v>
      </c>
      <c r="S169" s="70">
        <f t="shared" si="8"/>
        <v>2265</v>
      </c>
      <c r="T169" s="71" t="s">
        <v>42</v>
      </c>
      <c r="U169" s="17" t="s">
        <v>215</v>
      </c>
      <c r="V169" s="70"/>
      <c r="W169" s="17" t="s">
        <v>69</v>
      </c>
      <c r="Z169" s="17" t="s">
        <v>191</v>
      </c>
      <c r="AA169" s="17" t="s">
        <v>46</v>
      </c>
      <c r="AB169" s="17" t="s">
        <v>216</v>
      </c>
      <c r="AC169" s="66">
        <v>44457</v>
      </c>
      <c r="AD169" s="65">
        <v>1223</v>
      </c>
      <c r="AF169" s="17" t="s">
        <v>193</v>
      </c>
    </row>
    <row r="170" s="17" customFormat="1" hidden="1" spans="1:32">
      <c r="A170" s="17" t="s">
        <v>34</v>
      </c>
      <c r="B170" s="19">
        <v>719</v>
      </c>
      <c r="C170" s="64">
        <v>44455</v>
      </c>
      <c r="D170" s="17" t="s">
        <v>52</v>
      </c>
      <c r="E170" s="17" t="s">
        <v>214</v>
      </c>
      <c r="F170" s="17" t="s">
        <v>54</v>
      </c>
      <c r="H170" s="65">
        <v>1.2379</v>
      </c>
      <c r="I170" s="65"/>
      <c r="J170" s="17" t="s">
        <v>82</v>
      </c>
      <c r="K170" s="70">
        <v>150</v>
      </c>
      <c r="L170" s="70">
        <v>65</v>
      </c>
      <c r="M170" s="70"/>
      <c r="N170" s="70" t="s">
        <v>40</v>
      </c>
      <c r="O170" s="71" t="s">
        <v>168</v>
      </c>
      <c r="P170" s="86">
        <v>267.88125</v>
      </c>
      <c r="Q170" s="70">
        <v>261</v>
      </c>
      <c r="R170" s="87">
        <f t="shared" si="5"/>
        <v>6.88125000000002</v>
      </c>
      <c r="S170" s="70">
        <f t="shared" si="8"/>
        <v>2265</v>
      </c>
      <c r="T170" s="71" t="s">
        <v>42</v>
      </c>
      <c r="U170" s="17" t="s">
        <v>215</v>
      </c>
      <c r="V170" s="70"/>
      <c r="W170" s="17" t="s">
        <v>69</v>
      </c>
      <c r="Z170" s="17" t="s">
        <v>191</v>
      </c>
      <c r="AA170" s="17" t="s">
        <v>46</v>
      </c>
      <c r="AB170" s="17" t="s">
        <v>216</v>
      </c>
      <c r="AC170" s="66">
        <v>44457</v>
      </c>
      <c r="AD170" s="65">
        <v>1223</v>
      </c>
      <c r="AF170" s="17" t="s">
        <v>193</v>
      </c>
    </row>
    <row r="171" s="17" customFormat="1" hidden="1" spans="1:32">
      <c r="A171" s="17" t="s">
        <v>34</v>
      </c>
      <c r="B171" s="19">
        <v>719</v>
      </c>
      <c r="C171" s="64">
        <v>44455</v>
      </c>
      <c r="D171" s="17" t="s">
        <v>52</v>
      </c>
      <c r="E171" s="17" t="s">
        <v>214</v>
      </c>
      <c r="F171" s="17" t="s">
        <v>54</v>
      </c>
      <c r="H171" s="65">
        <v>1.2379</v>
      </c>
      <c r="I171" s="65"/>
      <c r="J171" s="17" t="s">
        <v>82</v>
      </c>
      <c r="K171" s="70">
        <v>255</v>
      </c>
      <c r="L171" s="70">
        <v>65</v>
      </c>
      <c r="M171" s="70"/>
      <c r="N171" s="70" t="s">
        <v>40</v>
      </c>
      <c r="O171" s="71" t="s">
        <v>168</v>
      </c>
      <c r="P171" s="86">
        <v>455.398125</v>
      </c>
      <c r="Q171" s="70">
        <v>502</v>
      </c>
      <c r="R171" s="87">
        <f t="shared" si="5"/>
        <v>-46.6018750000001</v>
      </c>
      <c r="S171" s="70">
        <f t="shared" si="8"/>
        <v>2265</v>
      </c>
      <c r="T171" s="71" t="s">
        <v>42</v>
      </c>
      <c r="U171" s="17" t="s">
        <v>215</v>
      </c>
      <c r="V171" s="70"/>
      <c r="W171" s="17" t="s">
        <v>69</v>
      </c>
      <c r="Z171" s="17" t="s">
        <v>191</v>
      </c>
      <c r="AA171" s="17" t="s">
        <v>46</v>
      </c>
      <c r="AB171" s="17" t="s">
        <v>216</v>
      </c>
      <c r="AC171" s="66">
        <v>44457</v>
      </c>
      <c r="AD171" s="65">
        <v>1223</v>
      </c>
      <c r="AF171" s="17" t="s">
        <v>193</v>
      </c>
    </row>
    <row r="172" s="17" customFormat="1" hidden="1" spans="1:32">
      <c r="A172" s="17" t="s">
        <v>34</v>
      </c>
      <c r="B172" s="19">
        <v>719</v>
      </c>
      <c r="C172" s="64">
        <v>44455</v>
      </c>
      <c r="D172" s="17" t="s">
        <v>52</v>
      </c>
      <c r="E172" s="17" t="s">
        <v>214</v>
      </c>
      <c r="F172" s="17" t="s">
        <v>54</v>
      </c>
      <c r="H172" s="65">
        <v>1.2379</v>
      </c>
      <c r="I172" s="65"/>
      <c r="J172" s="17" t="s">
        <v>82</v>
      </c>
      <c r="K172" s="70">
        <v>105</v>
      </c>
      <c r="L172" s="70">
        <v>80</v>
      </c>
      <c r="M172" s="70"/>
      <c r="N172" s="70" t="s">
        <v>40</v>
      </c>
      <c r="O172" s="71" t="s">
        <v>168</v>
      </c>
      <c r="P172" s="86">
        <v>461.58</v>
      </c>
      <c r="Q172" s="70">
        <v>278</v>
      </c>
      <c r="R172" s="87">
        <f t="shared" si="5"/>
        <v>183.58</v>
      </c>
      <c r="S172" s="70">
        <f t="shared" si="8"/>
        <v>2265</v>
      </c>
      <c r="T172" s="71" t="s">
        <v>42</v>
      </c>
      <c r="U172" s="17" t="s">
        <v>215</v>
      </c>
      <c r="V172" s="70"/>
      <c r="W172" s="17" t="s">
        <v>69</v>
      </c>
      <c r="Z172" s="17" t="s">
        <v>191</v>
      </c>
      <c r="AA172" s="17" t="s">
        <v>46</v>
      </c>
      <c r="AB172" s="17" t="s">
        <v>216</v>
      </c>
      <c r="AC172" s="66">
        <v>44457</v>
      </c>
      <c r="AD172" s="65">
        <v>1223</v>
      </c>
      <c r="AF172" s="17" t="s">
        <v>193</v>
      </c>
    </row>
    <row r="173" s="17" customFormat="1" hidden="1" spans="1:32">
      <c r="A173" s="17" t="s">
        <v>34</v>
      </c>
      <c r="B173" s="19">
        <v>719</v>
      </c>
      <c r="C173" s="64">
        <v>44455</v>
      </c>
      <c r="D173" s="17" t="s">
        <v>52</v>
      </c>
      <c r="E173" s="17" t="s">
        <v>214</v>
      </c>
      <c r="F173" s="17" t="s">
        <v>54</v>
      </c>
      <c r="H173" s="65">
        <v>1.2379</v>
      </c>
      <c r="I173" s="65"/>
      <c r="J173" s="17" t="s">
        <v>82</v>
      </c>
      <c r="K173" s="70">
        <v>130</v>
      </c>
      <c r="L173" s="70">
        <v>80</v>
      </c>
      <c r="M173" s="70"/>
      <c r="N173" s="70" t="s">
        <v>40</v>
      </c>
      <c r="O173" s="71" t="s">
        <v>168</v>
      </c>
      <c r="P173" s="86">
        <v>285.74</v>
      </c>
      <c r="Q173" s="70">
        <v>249</v>
      </c>
      <c r="R173" s="87">
        <f t="shared" si="5"/>
        <v>36.74</v>
      </c>
      <c r="S173" s="70">
        <f t="shared" si="8"/>
        <v>2265</v>
      </c>
      <c r="T173" s="71" t="s">
        <v>42</v>
      </c>
      <c r="U173" s="17" t="s">
        <v>215</v>
      </c>
      <c r="V173" s="70"/>
      <c r="W173" s="17" t="s">
        <v>69</v>
      </c>
      <c r="Z173" s="17" t="s">
        <v>191</v>
      </c>
      <c r="AA173" s="17" t="s">
        <v>46</v>
      </c>
      <c r="AB173" s="17" t="s">
        <v>216</v>
      </c>
      <c r="AC173" s="66">
        <v>44457</v>
      </c>
      <c r="AD173" s="65">
        <v>1223</v>
      </c>
      <c r="AF173" s="17" t="s">
        <v>193</v>
      </c>
    </row>
    <row r="174" s="17" customFormat="1" hidden="1" spans="1:32">
      <c r="A174" s="17" t="s">
        <v>34</v>
      </c>
      <c r="B174" s="19">
        <v>719</v>
      </c>
      <c r="C174" s="64">
        <v>44455</v>
      </c>
      <c r="D174" s="17" t="s">
        <v>52</v>
      </c>
      <c r="E174" s="17" t="s">
        <v>214</v>
      </c>
      <c r="F174" s="17" t="s">
        <v>54</v>
      </c>
      <c r="H174" s="65">
        <v>1.2379</v>
      </c>
      <c r="I174" s="65"/>
      <c r="J174" s="17" t="s">
        <v>82</v>
      </c>
      <c r="K174" s="70">
        <v>150</v>
      </c>
      <c r="L174" s="70">
        <v>80</v>
      </c>
      <c r="M174" s="70"/>
      <c r="N174" s="70" t="s">
        <v>40</v>
      </c>
      <c r="O174" s="71" t="s">
        <v>168</v>
      </c>
      <c r="P174" s="86">
        <v>659.4</v>
      </c>
      <c r="Q174" s="70">
        <v>489</v>
      </c>
      <c r="R174" s="87">
        <f t="shared" ref="R174:R237" si="9">+P174-Q174</f>
        <v>170.4</v>
      </c>
      <c r="S174" s="70">
        <f t="shared" si="8"/>
        <v>2265</v>
      </c>
      <c r="T174" s="71" t="s">
        <v>42</v>
      </c>
      <c r="U174" s="17" t="s">
        <v>215</v>
      </c>
      <c r="V174" s="70"/>
      <c r="W174" s="17" t="s">
        <v>69</v>
      </c>
      <c r="Z174" s="17" t="s">
        <v>191</v>
      </c>
      <c r="AA174" s="17" t="s">
        <v>46</v>
      </c>
      <c r="AB174" s="17" t="s">
        <v>216</v>
      </c>
      <c r="AC174" s="66">
        <v>44457</v>
      </c>
      <c r="AD174" s="65">
        <v>1223</v>
      </c>
      <c r="AF174" s="17" t="s">
        <v>193</v>
      </c>
    </row>
    <row r="175" s="17" customFormat="1" hidden="1" spans="1:32">
      <c r="A175" s="17" t="s">
        <v>34</v>
      </c>
      <c r="B175" s="19">
        <v>719</v>
      </c>
      <c r="C175" s="64">
        <v>44455</v>
      </c>
      <c r="D175" s="17" t="s">
        <v>52</v>
      </c>
      <c r="E175" s="17" t="s">
        <v>214</v>
      </c>
      <c r="F175" s="17" t="s">
        <v>54</v>
      </c>
      <c r="H175" s="65">
        <v>1.2379</v>
      </c>
      <c r="I175" s="65"/>
      <c r="J175" s="17" t="s">
        <v>82</v>
      </c>
      <c r="K175" s="70">
        <v>605</v>
      </c>
      <c r="L175" s="70">
        <v>80</v>
      </c>
      <c r="M175" s="70"/>
      <c r="N175" s="70" t="s">
        <v>40</v>
      </c>
      <c r="O175" s="71" t="s">
        <v>168</v>
      </c>
      <c r="P175" s="86">
        <v>1329.79</v>
      </c>
      <c r="Q175" s="70">
        <v>1820</v>
      </c>
      <c r="R175" s="87">
        <f t="shared" si="9"/>
        <v>-490.21</v>
      </c>
      <c r="S175" s="70">
        <f t="shared" si="8"/>
        <v>2265</v>
      </c>
      <c r="T175" s="71" t="s">
        <v>42</v>
      </c>
      <c r="U175" s="17" t="s">
        <v>215</v>
      </c>
      <c r="V175" s="70"/>
      <c r="W175" s="17" t="s">
        <v>69</v>
      </c>
      <c r="Z175" s="17" t="s">
        <v>191</v>
      </c>
      <c r="AA175" s="17" t="s">
        <v>46</v>
      </c>
      <c r="AB175" s="17" t="s">
        <v>216</v>
      </c>
      <c r="AC175" s="66">
        <v>44457</v>
      </c>
      <c r="AD175" s="65">
        <v>1223</v>
      </c>
      <c r="AF175" s="17" t="s">
        <v>193</v>
      </c>
    </row>
    <row r="176" s="17" customFormat="1" hidden="1" spans="1:32">
      <c r="A176" s="17" t="s">
        <v>34</v>
      </c>
      <c r="B176" s="19">
        <v>719</v>
      </c>
      <c r="C176" s="64">
        <v>44455</v>
      </c>
      <c r="D176" s="17" t="s">
        <v>52</v>
      </c>
      <c r="E176" s="17" t="s">
        <v>214</v>
      </c>
      <c r="F176" s="17" t="s">
        <v>54</v>
      </c>
      <c r="H176" s="65">
        <v>1.2379</v>
      </c>
      <c r="I176" s="65"/>
      <c r="J176" s="17" t="s">
        <v>82</v>
      </c>
      <c r="K176" s="70">
        <v>105</v>
      </c>
      <c r="L176" s="70">
        <v>105</v>
      </c>
      <c r="M176" s="70"/>
      <c r="N176" s="70" t="s">
        <v>40</v>
      </c>
      <c r="O176" s="71" t="s">
        <v>168</v>
      </c>
      <c r="P176" s="86">
        <v>302.911875</v>
      </c>
      <c r="Q176" s="70">
        <v>305</v>
      </c>
      <c r="R176" s="87">
        <f t="shared" si="9"/>
        <v>-2.08812499999999</v>
      </c>
      <c r="S176" s="70">
        <f t="shared" si="8"/>
        <v>2265</v>
      </c>
      <c r="T176" s="71" t="s">
        <v>42</v>
      </c>
      <c r="U176" s="17" t="s">
        <v>215</v>
      </c>
      <c r="V176" s="70"/>
      <c r="W176" s="17" t="s">
        <v>69</v>
      </c>
      <c r="Z176" s="17" t="s">
        <v>191</v>
      </c>
      <c r="AA176" s="17" t="s">
        <v>46</v>
      </c>
      <c r="AB176" s="17" t="s">
        <v>216</v>
      </c>
      <c r="AC176" s="66">
        <v>44457</v>
      </c>
      <c r="AD176" s="65">
        <v>1223</v>
      </c>
      <c r="AF176" s="17" t="s">
        <v>193</v>
      </c>
    </row>
    <row r="177" s="17" customFormat="1" hidden="1" spans="1:32">
      <c r="A177" s="17" t="s">
        <v>34</v>
      </c>
      <c r="B177" s="19">
        <v>719</v>
      </c>
      <c r="C177" s="64">
        <v>44455</v>
      </c>
      <c r="D177" s="17" t="s">
        <v>52</v>
      </c>
      <c r="E177" s="17" t="s">
        <v>214</v>
      </c>
      <c r="F177" s="17" t="s">
        <v>54</v>
      </c>
      <c r="H177" s="65">
        <v>1.2379</v>
      </c>
      <c r="I177" s="65"/>
      <c r="J177" s="17" t="s">
        <v>82</v>
      </c>
      <c r="K177" s="70">
        <v>130</v>
      </c>
      <c r="L177" s="70">
        <v>105</v>
      </c>
      <c r="M177" s="70"/>
      <c r="N177" s="70" t="s">
        <v>40</v>
      </c>
      <c r="O177" s="71" t="s">
        <v>168</v>
      </c>
      <c r="P177" s="86">
        <v>750.0675</v>
      </c>
      <c r="Q177" s="70">
        <v>685</v>
      </c>
      <c r="R177" s="87">
        <f t="shared" si="9"/>
        <v>65.0674999999999</v>
      </c>
      <c r="S177" s="70">
        <f t="shared" si="8"/>
        <v>2265</v>
      </c>
      <c r="T177" s="71" t="s">
        <v>42</v>
      </c>
      <c r="U177" s="17" t="s">
        <v>215</v>
      </c>
      <c r="V177" s="70"/>
      <c r="W177" s="17" t="s">
        <v>69</v>
      </c>
      <c r="Z177" s="17" t="s">
        <v>191</v>
      </c>
      <c r="AA177" s="17" t="s">
        <v>46</v>
      </c>
      <c r="AB177" s="17" t="s">
        <v>216</v>
      </c>
      <c r="AC177" s="66">
        <v>44457</v>
      </c>
      <c r="AD177" s="65">
        <v>1223</v>
      </c>
      <c r="AF177" s="17" t="s">
        <v>193</v>
      </c>
    </row>
    <row r="178" s="17" customFormat="1" hidden="1" spans="1:32">
      <c r="A178" s="17" t="s">
        <v>34</v>
      </c>
      <c r="B178" s="19">
        <v>719</v>
      </c>
      <c r="C178" s="64">
        <v>44455</v>
      </c>
      <c r="D178" s="17" t="s">
        <v>52</v>
      </c>
      <c r="E178" s="17" t="s">
        <v>214</v>
      </c>
      <c r="F178" s="17" t="s">
        <v>54</v>
      </c>
      <c r="H178" s="65">
        <v>1.2379</v>
      </c>
      <c r="I178" s="65"/>
      <c r="J178" s="17" t="s">
        <v>82</v>
      </c>
      <c r="K178" s="70">
        <v>150</v>
      </c>
      <c r="L178" s="70">
        <v>105</v>
      </c>
      <c r="M178" s="70"/>
      <c r="N178" s="70" t="s">
        <v>40</v>
      </c>
      <c r="O178" s="71" t="s">
        <v>168</v>
      </c>
      <c r="P178" s="86">
        <v>432.73125</v>
      </c>
      <c r="Q178" s="70">
        <v>368</v>
      </c>
      <c r="R178" s="87">
        <f t="shared" si="9"/>
        <v>64.7312499999999</v>
      </c>
      <c r="S178" s="70">
        <f t="shared" si="8"/>
        <v>2265</v>
      </c>
      <c r="T178" s="71" t="s">
        <v>42</v>
      </c>
      <c r="U178" s="17" t="s">
        <v>215</v>
      </c>
      <c r="V178" s="70"/>
      <c r="W178" s="17" t="s">
        <v>69</v>
      </c>
      <c r="Z178" s="17" t="s">
        <v>191</v>
      </c>
      <c r="AA178" s="17" t="s">
        <v>46</v>
      </c>
      <c r="AB178" s="17" t="s">
        <v>216</v>
      </c>
      <c r="AC178" s="66">
        <v>44457</v>
      </c>
      <c r="AD178" s="65">
        <v>1223</v>
      </c>
      <c r="AF178" s="17" t="s">
        <v>193</v>
      </c>
    </row>
    <row r="179" s="17" customFormat="1" hidden="1" spans="1:32">
      <c r="A179" s="17" t="s">
        <v>34</v>
      </c>
      <c r="B179" s="19">
        <v>719</v>
      </c>
      <c r="C179" s="64">
        <v>44455</v>
      </c>
      <c r="D179" s="17" t="s">
        <v>52</v>
      </c>
      <c r="E179" s="17" t="s">
        <v>214</v>
      </c>
      <c r="F179" s="17" t="s">
        <v>54</v>
      </c>
      <c r="H179" s="65">
        <v>1.2379</v>
      </c>
      <c r="I179" s="65"/>
      <c r="J179" s="17" t="s">
        <v>82</v>
      </c>
      <c r="K179" s="70">
        <v>155</v>
      </c>
      <c r="L179" s="70">
        <v>105</v>
      </c>
      <c r="M179" s="70"/>
      <c r="N179" s="70" t="s">
        <v>40</v>
      </c>
      <c r="O179" s="71" t="s">
        <v>168</v>
      </c>
      <c r="P179" s="86">
        <v>447.155625</v>
      </c>
      <c r="Q179" s="70">
        <v>389</v>
      </c>
      <c r="R179" s="87">
        <f t="shared" si="9"/>
        <v>58.1556249999999</v>
      </c>
      <c r="S179" s="70">
        <f t="shared" si="8"/>
        <v>2265</v>
      </c>
      <c r="T179" s="71" t="s">
        <v>42</v>
      </c>
      <c r="U179" s="17" t="s">
        <v>215</v>
      </c>
      <c r="V179" s="70"/>
      <c r="W179" s="17" t="s">
        <v>69</v>
      </c>
      <c r="Z179" s="17" t="s">
        <v>191</v>
      </c>
      <c r="AA179" s="17" t="s">
        <v>46</v>
      </c>
      <c r="AB179" s="17" t="s">
        <v>216</v>
      </c>
      <c r="AC179" s="66">
        <v>44457</v>
      </c>
      <c r="AD179" s="65">
        <v>1223</v>
      </c>
      <c r="AF179" s="17" t="s">
        <v>193</v>
      </c>
    </row>
    <row r="180" s="17" customFormat="1" hidden="1" spans="1:32">
      <c r="A180" s="17" t="s">
        <v>34</v>
      </c>
      <c r="B180" s="19">
        <v>719</v>
      </c>
      <c r="C180" s="64">
        <v>44455</v>
      </c>
      <c r="D180" s="17" t="s">
        <v>52</v>
      </c>
      <c r="E180" s="17" t="s">
        <v>214</v>
      </c>
      <c r="F180" s="17" t="s">
        <v>54</v>
      </c>
      <c r="H180" s="65">
        <v>1.2379</v>
      </c>
      <c r="I180" s="65"/>
      <c r="J180" s="17" t="s">
        <v>82</v>
      </c>
      <c r="K180" s="70">
        <v>305</v>
      </c>
      <c r="L180" s="70">
        <v>105</v>
      </c>
      <c r="M180" s="70"/>
      <c r="N180" s="70" t="s">
        <v>40</v>
      </c>
      <c r="O180" s="71" t="s">
        <v>168</v>
      </c>
      <c r="P180" s="86">
        <v>879.886875</v>
      </c>
      <c r="Q180" s="70">
        <v>1252</v>
      </c>
      <c r="R180" s="87">
        <f t="shared" si="9"/>
        <v>-372.113125</v>
      </c>
      <c r="S180" s="70">
        <f t="shared" si="8"/>
        <v>2265</v>
      </c>
      <c r="T180" s="71" t="s">
        <v>42</v>
      </c>
      <c r="U180" s="17" t="s">
        <v>215</v>
      </c>
      <c r="V180" s="70"/>
      <c r="W180" s="17" t="s">
        <v>69</v>
      </c>
      <c r="Z180" s="17" t="s">
        <v>191</v>
      </c>
      <c r="AA180" s="17" t="s">
        <v>46</v>
      </c>
      <c r="AB180" s="17" t="s">
        <v>216</v>
      </c>
      <c r="AC180" s="66">
        <v>44457</v>
      </c>
      <c r="AD180" s="65">
        <v>1223</v>
      </c>
      <c r="AF180" s="17" t="s">
        <v>193</v>
      </c>
    </row>
    <row r="181" s="17" customFormat="1" hidden="1" spans="1:32">
      <c r="A181" s="17" t="s">
        <v>34</v>
      </c>
      <c r="B181" s="19">
        <v>719</v>
      </c>
      <c r="C181" s="64">
        <v>44455</v>
      </c>
      <c r="D181" s="17" t="s">
        <v>52</v>
      </c>
      <c r="E181" s="17" t="s">
        <v>214</v>
      </c>
      <c r="F181" s="17" t="s">
        <v>54</v>
      </c>
      <c r="H181" s="65">
        <v>1.2379</v>
      </c>
      <c r="I181" s="65"/>
      <c r="J181" s="17" t="s">
        <v>82</v>
      </c>
      <c r="K181" s="70">
        <v>355</v>
      </c>
      <c r="L181" s="70">
        <v>105</v>
      </c>
      <c r="M181" s="70"/>
      <c r="N181" s="70" t="s">
        <v>40</v>
      </c>
      <c r="O181" s="71" t="s">
        <v>168</v>
      </c>
      <c r="P181" s="86">
        <v>1024.130625</v>
      </c>
      <c r="Q181" s="70">
        <v>1352</v>
      </c>
      <c r="R181" s="87">
        <f t="shared" si="9"/>
        <v>-327.869375</v>
      </c>
      <c r="S181" s="70">
        <f t="shared" si="8"/>
        <v>2265</v>
      </c>
      <c r="T181" s="71" t="s">
        <v>42</v>
      </c>
      <c r="U181" s="17" t="s">
        <v>215</v>
      </c>
      <c r="V181" s="70"/>
      <c r="W181" s="17" t="s">
        <v>69</v>
      </c>
      <c r="Z181" s="17" t="s">
        <v>191</v>
      </c>
      <c r="AA181" s="17" t="s">
        <v>46</v>
      </c>
      <c r="AB181" s="17" t="s">
        <v>216</v>
      </c>
      <c r="AC181" s="66">
        <v>44457</v>
      </c>
      <c r="AD181" s="65">
        <v>1223</v>
      </c>
      <c r="AF181" s="17" t="s">
        <v>193</v>
      </c>
    </row>
    <row r="182" s="17" customFormat="1" hidden="1" spans="1:32">
      <c r="A182" s="17" t="s">
        <v>34</v>
      </c>
      <c r="B182" s="19">
        <v>719</v>
      </c>
      <c r="C182" s="64">
        <v>44455</v>
      </c>
      <c r="D182" s="17" t="s">
        <v>52</v>
      </c>
      <c r="E182" s="17" t="s">
        <v>214</v>
      </c>
      <c r="F182" s="17" t="s">
        <v>54</v>
      </c>
      <c r="H182" s="65">
        <v>1.2379</v>
      </c>
      <c r="I182" s="65"/>
      <c r="J182" s="17" t="s">
        <v>82</v>
      </c>
      <c r="K182" s="70">
        <v>405</v>
      </c>
      <c r="L182" s="70">
        <v>105</v>
      </c>
      <c r="M182" s="70"/>
      <c r="N182" s="70" t="s">
        <v>40</v>
      </c>
      <c r="O182" s="71" t="s">
        <v>168</v>
      </c>
      <c r="P182" s="86">
        <v>1168.374375</v>
      </c>
      <c r="Q182" s="70">
        <v>2930</v>
      </c>
      <c r="R182" s="87">
        <f t="shared" si="9"/>
        <v>-1761.625625</v>
      </c>
      <c r="S182" s="70">
        <f t="shared" si="8"/>
        <v>2265</v>
      </c>
      <c r="T182" s="71" t="s">
        <v>42</v>
      </c>
      <c r="U182" s="17" t="s">
        <v>215</v>
      </c>
      <c r="V182" s="70"/>
      <c r="W182" s="17" t="s">
        <v>69</v>
      </c>
      <c r="Z182" s="17" t="s">
        <v>191</v>
      </c>
      <c r="AA182" s="17" t="s">
        <v>46</v>
      </c>
      <c r="AB182" s="17" t="s">
        <v>216</v>
      </c>
      <c r="AC182" s="66">
        <v>44457</v>
      </c>
      <c r="AD182" s="65">
        <v>1223</v>
      </c>
      <c r="AF182" s="17" t="s">
        <v>193</v>
      </c>
    </row>
    <row r="183" s="17" customFormat="1" hidden="1" spans="1:32">
      <c r="A183" s="17" t="s">
        <v>34</v>
      </c>
      <c r="B183" s="19">
        <v>719</v>
      </c>
      <c r="C183" s="64">
        <v>44455</v>
      </c>
      <c r="D183" s="17" t="s">
        <v>52</v>
      </c>
      <c r="E183" s="17" t="s">
        <v>214</v>
      </c>
      <c r="F183" s="17" t="s">
        <v>54</v>
      </c>
      <c r="H183" s="65">
        <v>1.2379</v>
      </c>
      <c r="I183" s="65"/>
      <c r="J183" s="17" t="s">
        <v>82</v>
      </c>
      <c r="K183" s="70">
        <v>455</v>
      </c>
      <c r="L183" s="70">
        <v>105</v>
      </c>
      <c r="M183" s="70"/>
      <c r="N183" s="70" t="s">
        <v>40</v>
      </c>
      <c r="O183" s="71" t="s">
        <v>168</v>
      </c>
      <c r="P183" s="86">
        <v>2625.23625</v>
      </c>
      <c r="Q183" s="70">
        <v>1552</v>
      </c>
      <c r="R183" s="87">
        <f t="shared" si="9"/>
        <v>1073.23625</v>
      </c>
      <c r="S183" s="70">
        <f t="shared" si="8"/>
        <v>2265</v>
      </c>
      <c r="T183" s="71" t="s">
        <v>42</v>
      </c>
      <c r="U183" s="17" t="s">
        <v>215</v>
      </c>
      <c r="V183" s="70"/>
      <c r="W183" s="17" t="s">
        <v>69</v>
      </c>
      <c r="Z183" s="17" t="s">
        <v>191</v>
      </c>
      <c r="AA183" s="17" t="s">
        <v>46</v>
      </c>
      <c r="AB183" s="17" t="s">
        <v>216</v>
      </c>
      <c r="AC183" s="66">
        <v>44457</v>
      </c>
      <c r="AD183" s="65">
        <v>1223</v>
      </c>
      <c r="AF183" s="17" t="s">
        <v>193</v>
      </c>
    </row>
    <row r="184" s="17" customFormat="1" hidden="1" spans="1:32">
      <c r="A184" s="17" t="s">
        <v>34</v>
      </c>
      <c r="B184" s="19">
        <v>719</v>
      </c>
      <c r="C184" s="64">
        <v>44455</v>
      </c>
      <c r="D184" s="17" t="s">
        <v>52</v>
      </c>
      <c r="E184" s="17" t="s">
        <v>214</v>
      </c>
      <c r="F184" s="17" t="s">
        <v>54</v>
      </c>
      <c r="H184" s="65">
        <v>1.2379</v>
      </c>
      <c r="I184" s="65"/>
      <c r="J184" s="17" t="s">
        <v>82</v>
      </c>
      <c r="K184" s="70">
        <v>505</v>
      </c>
      <c r="L184" s="70">
        <v>105</v>
      </c>
      <c r="M184" s="70"/>
      <c r="N184" s="70" t="s">
        <v>40</v>
      </c>
      <c r="O184" s="71" t="s">
        <v>168</v>
      </c>
      <c r="P184" s="86">
        <v>2913.72375</v>
      </c>
      <c r="Q184" s="70">
        <v>1020</v>
      </c>
      <c r="R184" s="87">
        <f t="shared" si="9"/>
        <v>1893.72375</v>
      </c>
      <c r="S184" s="70">
        <f t="shared" si="8"/>
        <v>2265</v>
      </c>
      <c r="T184" s="71" t="s">
        <v>42</v>
      </c>
      <c r="U184" s="17" t="s">
        <v>215</v>
      </c>
      <c r="V184" s="70"/>
      <c r="W184" s="17" t="s">
        <v>69</v>
      </c>
      <c r="Z184" s="17" t="s">
        <v>191</v>
      </c>
      <c r="AA184" s="17" t="s">
        <v>46</v>
      </c>
      <c r="AB184" s="17" t="s">
        <v>216</v>
      </c>
      <c r="AC184" s="66">
        <v>44457</v>
      </c>
      <c r="AD184" s="65">
        <v>1223</v>
      </c>
      <c r="AF184" s="17" t="s">
        <v>193</v>
      </c>
    </row>
    <row r="185" s="17" customFormat="1" hidden="1" spans="1:32">
      <c r="A185" s="17" t="s">
        <v>34</v>
      </c>
      <c r="B185" s="19">
        <v>719</v>
      </c>
      <c r="C185" s="64">
        <v>44455</v>
      </c>
      <c r="D185" s="17" t="s">
        <v>52</v>
      </c>
      <c r="E185" s="17" t="s">
        <v>214</v>
      </c>
      <c r="F185" s="17" t="s">
        <v>54</v>
      </c>
      <c r="H185" s="65">
        <v>1.2379</v>
      </c>
      <c r="I185" s="65"/>
      <c r="J185" s="17" t="s">
        <v>82</v>
      </c>
      <c r="K185" s="70">
        <v>405</v>
      </c>
      <c r="L185" s="70">
        <v>130</v>
      </c>
      <c r="M185" s="70"/>
      <c r="N185" s="70" t="s">
        <v>40</v>
      </c>
      <c r="O185" s="71" t="s">
        <v>168</v>
      </c>
      <c r="P185" s="86">
        <v>1446.55875</v>
      </c>
      <c r="Q185" s="70">
        <v>1610</v>
      </c>
      <c r="R185" s="87">
        <f t="shared" si="9"/>
        <v>-163.44125</v>
      </c>
      <c r="S185" s="70">
        <f t="shared" si="8"/>
        <v>2265</v>
      </c>
      <c r="T185" s="71" t="s">
        <v>42</v>
      </c>
      <c r="U185" s="17" t="s">
        <v>215</v>
      </c>
      <c r="V185" s="70"/>
      <c r="W185" s="17" t="s">
        <v>69</v>
      </c>
      <c r="Z185" s="17" t="s">
        <v>191</v>
      </c>
      <c r="AA185" s="17" t="s">
        <v>46</v>
      </c>
      <c r="AB185" s="17" t="s">
        <v>216</v>
      </c>
      <c r="AC185" s="66">
        <v>44457</v>
      </c>
      <c r="AD185" s="65">
        <v>1223</v>
      </c>
      <c r="AF185" s="17" t="s">
        <v>193</v>
      </c>
    </row>
    <row r="186" s="17" customFormat="1" hidden="1" spans="1:32">
      <c r="A186" s="17" t="s">
        <v>34</v>
      </c>
      <c r="B186" s="19">
        <v>719</v>
      </c>
      <c r="C186" s="64">
        <v>44455</v>
      </c>
      <c r="D186" s="17" t="s">
        <v>52</v>
      </c>
      <c r="E186" s="17" t="s">
        <v>214</v>
      </c>
      <c r="F186" s="17" t="s">
        <v>54</v>
      </c>
      <c r="H186" s="65">
        <v>1.2379</v>
      </c>
      <c r="I186" s="65"/>
      <c r="J186" s="17" t="s">
        <v>82</v>
      </c>
      <c r="K186" s="70">
        <v>355</v>
      </c>
      <c r="L186" s="70">
        <v>130</v>
      </c>
      <c r="M186" s="70"/>
      <c r="N186" s="70" t="s">
        <v>40</v>
      </c>
      <c r="O186" s="71" t="s">
        <v>168</v>
      </c>
      <c r="P186" s="86">
        <v>1267.97125</v>
      </c>
      <c r="Q186" s="70">
        <v>1568</v>
      </c>
      <c r="R186" s="87">
        <f t="shared" si="9"/>
        <v>-300.02875</v>
      </c>
      <c r="S186" s="70">
        <f t="shared" si="8"/>
        <v>2265</v>
      </c>
      <c r="T186" s="71" t="s">
        <v>42</v>
      </c>
      <c r="U186" s="17" t="s">
        <v>215</v>
      </c>
      <c r="V186" s="70"/>
      <c r="W186" s="17" t="s">
        <v>69</v>
      </c>
      <c r="Z186" s="17" t="s">
        <v>191</v>
      </c>
      <c r="AA186" s="17" t="s">
        <v>46</v>
      </c>
      <c r="AB186" s="17" t="s">
        <v>216</v>
      </c>
      <c r="AC186" s="66">
        <v>44457</v>
      </c>
      <c r="AD186" s="65">
        <v>1223</v>
      </c>
      <c r="AF186" s="17" t="s">
        <v>193</v>
      </c>
    </row>
    <row r="187" s="17" customFormat="1" hidden="1" spans="1:32">
      <c r="A187" s="17" t="s">
        <v>34</v>
      </c>
      <c r="B187" s="19">
        <v>719</v>
      </c>
      <c r="C187" s="64">
        <v>44455</v>
      </c>
      <c r="D187" s="17" t="s">
        <v>52</v>
      </c>
      <c r="E187" s="17" t="s">
        <v>214</v>
      </c>
      <c r="F187" s="17" t="s">
        <v>54</v>
      </c>
      <c r="H187" s="65">
        <v>1.2379</v>
      </c>
      <c r="I187" s="65"/>
      <c r="J187" s="17" t="s">
        <v>82</v>
      </c>
      <c r="K187" s="70">
        <v>205</v>
      </c>
      <c r="L187" s="70">
        <v>130</v>
      </c>
      <c r="M187" s="70"/>
      <c r="N187" s="70" t="s">
        <v>40</v>
      </c>
      <c r="O187" s="71" t="s">
        <v>168</v>
      </c>
      <c r="P187" s="86">
        <v>732.20875</v>
      </c>
      <c r="Q187" s="70">
        <v>721</v>
      </c>
      <c r="R187" s="87">
        <f t="shared" si="9"/>
        <v>11.2087499999999</v>
      </c>
      <c r="S187" s="70">
        <f t="shared" si="8"/>
        <v>2265</v>
      </c>
      <c r="T187" s="71" t="s">
        <v>42</v>
      </c>
      <c r="U187" s="17" t="s">
        <v>215</v>
      </c>
      <c r="V187" s="70"/>
      <c r="W187" s="17" t="s">
        <v>69</v>
      </c>
      <c r="Z187" s="17" t="s">
        <v>191</v>
      </c>
      <c r="AA187" s="17" t="s">
        <v>46</v>
      </c>
      <c r="AB187" s="17" t="s">
        <v>216</v>
      </c>
      <c r="AC187" s="66">
        <v>44457</v>
      </c>
      <c r="AD187" s="65">
        <v>1223</v>
      </c>
      <c r="AF187" s="17" t="s">
        <v>193</v>
      </c>
    </row>
    <row r="188" s="17" customFormat="1" hidden="1" spans="1:32">
      <c r="A188" s="17" t="s">
        <v>34</v>
      </c>
      <c r="B188" s="19">
        <v>719</v>
      </c>
      <c r="C188" s="64">
        <v>44455</v>
      </c>
      <c r="D188" s="17" t="s">
        <v>52</v>
      </c>
      <c r="E188" s="17" t="s">
        <v>214</v>
      </c>
      <c r="F188" s="17" t="s">
        <v>54</v>
      </c>
      <c r="H188" s="65">
        <v>1.2379</v>
      </c>
      <c r="I188" s="65"/>
      <c r="J188" s="17" t="s">
        <v>82</v>
      </c>
      <c r="K188" s="70">
        <v>305</v>
      </c>
      <c r="L188" s="70">
        <v>155</v>
      </c>
      <c r="M188" s="70"/>
      <c r="N188" s="70" t="s">
        <v>40</v>
      </c>
      <c r="O188" s="71" t="s">
        <v>168</v>
      </c>
      <c r="P188" s="86">
        <v>1298.880625</v>
      </c>
      <c r="Q188" s="70">
        <v>1582</v>
      </c>
      <c r="R188" s="87">
        <f t="shared" si="9"/>
        <v>-283.119375</v>
      </c>
      <c r="S188" s="70">
        <f t="shared" si="8"/>
        <v>2265</v>
      </c>
      <c r="T188" s="71" t="s">
        <v>42</v>
      </c>
      <c r="U188" s="17" t="s">
        <v>215</v>
      </c>
      <c r="V188" s="70"/>
      <c r="W188" s="17" t="s">
        <v>69</v>
      </c>
      <c r="Z188" s="17" t="s">
        <v>191</v>
      </c>
      <c r="AA188" s="17" t="s">
        <v>46</v>
      </c>
      <c r="AB188" s="17" t="s">
        <v>216</v>
      </c>
      <c r="AC188" s="66">
        <v>44457</v>
      </c>
      <c r="AD188" s="65">
        <v>1223</v>
      </c>
      <c r="AF188" s="17" t="s">
        <v>193</v>
      </c>
    </row>
    <row r="189" s="17" customFormat="1" hidden="1" spans="1:32">
      <c r="A189" s="17" t="s">
        <v>34</v>
      </c>
      <c r="B189" s="19">
        <v>720</v>
      </c>
      <c r="C189" s="64">
        <v>44455</v>
      </c>
      <c r="D189" s="17" t="s">
        <v>52</v>
      </c>
      <c r="E189" s="17" t="s">
        <v>214</v>
      </c>
      <c r="F189" s="17" t="s">
        <v>54</v>
      </c>
      <c r="H189" s="65">
        <v>1.2344</v>
      </c>
      <c r="I189" s="65"/>
      <c r="J189" s="17" t="s">
        <v>82</v>
      </c>
      <c r="K189" s="70">
        <v>610</v>
      </c>
      <c r="L189" s="70">
        <v>260</v>
      </c>
      <c r="M189" s="70"/>
      <c r="N189" s="70" t="s">
        <v>40</v>
      </c>
      <c r="O189" s="71" t="s">
        <v>168</v>
      </c>
      <c r="P189" s="71">
        <v>3735</v>
      </c>
      <c r="Q189" s="70">
        <v>4460</v>
      </c>
      <c r="R189" s="70">
        <f t="shared" si="9"/>
        <v>-725</v>
      </c>
      <c r="S189" s="73">
        <f>2180-15</f>
        <v>2165</v>
      </c>
      <c r="T189" s="71" t="s">
        <v>42</v>
      </c>
      <c r="U189" s="17" t="s">
        <v>218</v>
      </c>
      <c r="V189" s="70"/>
      <c r="W189" s="17" t="s">
        <v>69</v>
      </c>
      <c r="Z189" s="17" t="s">
        <v>191</v>
      </c>
      <c r="AA189" s="17" t="s">
        <v>46</v>
      </c>
      <c r="AB189" s="17" t="s">
        <v>216</v>
      </c>
      <c r="AC189" s="66">
        <v>44457</v>
      </c>
      <c r="AD189" s="65">
        <v>1223</v>
      </c>
      <c r="AF189" s="17" t="s">
        <v>193</v>
      </c>
    </row>
    <row r="190" s="18" customFormat="1" hidden="1" spans="1:32">
      <c r="A190" s="18" t="s">
        <v>188</v>
      </c>
      <c r="B190" s="75">
        <v>720</v>
      </c>
      <c r="C190" s="76">
        <v>44455</v>
      </c>
      <c r="D190" s="18" t="s">
        <v>52</v>
      </c>
      <c r="E190" s="18" t="s">
        <v>214</v>
      </c>
      <c r="F190" s="18" t="s">
        <v>54</v>
      </c>
      <c r="H190" s="77" t="s">
        <v>219</v>
      </c>
      <c r="I190" s="77"/>
      <c r="J190" s="18" t="s">
        <v>82</v>
      </c>
      <c r="K190" s="79">
        <v>560</v>
      </c>
      <c r="L190" s="79">
        <v>105</v>
      </c>
      <c r="M190" s="79"/>
      <c r="N190" s="79"/>
      <c r="O190" s="80" t="s">
        <v>168</v>
      </c>
      <c r="P190" s="80">
        <v>461.58</v>
      </c>
      <c r="Q190" s="79"/>
      <c r="R190" s="79">
        <f t="shared" si="9"/>
        <v>461.58</v>
      </c>
      <c r="S190" s="82">
        <f>2600-15</f>
        <v>2585</v>
      </c>
      <c r="T190" s="80" t="s">
        <v>42</v>
      </c>
      <c r="U190" s="79"/>
      <c r="V190" s="79"/>
      <c r="W190" s="18" t="s">
        <v>69</v>
      </c>
      <c r="Z190" s="18" t="s">
        <v>191</v>
      </c>
      <c r="AC190" s="83"/>
      <c r="AD190" s="77"/>
      <c r="AF190" s="18" t="s">
        <v>193</v>
      </c>
    </row>
    <row r="191" s="17" customFormat="1" hidden="1" spans="1:32">
      <c r="A191" s="17" t="s">
        <v>34</v>
      </c>
      <c r="B191" s="19">
        <v>720</v>
      </c>
      <c r="C191" s="64">
        <v>44455</v>
      </c>
      <c r="D191" s="17" t="s">
        <v>52</v>
      </c>
      <c r="E191" s="17" t="s">
        <v>214</v>
      </c>
      <c r="F191" s="17" t="s">
        <v>54</v>
      </c>
      <c r="H191" s="65" t="s">
        <v>219</v>
      </c>
      <c r="I191" s="65"/>
      <c r="J191" s="17" t="s">
        <v>82</v>
      </c>
      <c r="K191" s="70">
        <v>610</v>
      </c>
      <c r="L191" s="70">
        <v>200</v>
      </c>
      <c r="M191" s="70"/>
      <c r="N191" s="70" t="s">
        <v>40</v>
      </c>
      <c r="O191" s="71" t="s">
        <v>168</v>
      </c>
      <c r="P191" s="71">
        <v>957.7</v>
      </c>
      <c r="Q191" s="70">
        <v>3333</v>
      </c>
      <c r="R191" s="70">
        <f t="shared" si="9"/>
        <v>-2375.3</v>
      </c>
      <c r="S191" s="73">
        <f>2600-15</f>
        <v>2585</v>
      </c>
      <c r="T191" s="71" t="s">
        <v>42</v>
      </c>
      <c r="U191" s="17" t="s">
        <v>218</v>
      </c>
      <c r="V191" s="70"/>
      <c r="W191" s="17" t="s">
        <v>69</v>
      </c>
      <c r="Z191" s="17" t="s">
        <v>191</v>
      </c>
      <c r="AA191" s="17" t="s">
        <v>46</v>
      </c>
      <c r="AB191" s="17" t="s">
        <v>216</v>
      </c>
      <c r="AC191" s="66">
        <v>44457</v>
      </c>
      <c r="AD191" s="65">
        <v>1223</v>
      </c>
      <c r="AF191" s="17" t="s">
        <v>193</v>
      </c>
    </row>
    <row r="192" s="17" customFormat="1" hidden="1" spans="1:32">
      <c r="A192" s="17" t="s">
        <v>34</v>
      </c>
      <c r="B192" s="19">
        <v>720</v>
      </c>
      <c r="C192" s="64">
        <v>44455</v>
      </c>
      <c r="D192" s="17" t="s">
        <v>52</v>
      </c>
      <c r="E192" s="17" t="s">
        <v>214</v>
      </c>
      <c r="F192" s="17" t="s">
        <v>54</v>
      </c>
      <c r="H192" s="48" t="s">
        <v>55</v>
      </c>
      <c r="I192" s="48"/>
      <c r="J192" s="17" t="s">
        <v>82</v>
      </c>
      <c r="K192" s="70">
        <v>510</v>
      </c>
      <c r="L192" s="70">
        <v>60</v>
      </c>
      <c r="M192" s="70"/>
      <c r="N192" s="70" t="s">
        <v>40</v>
      </c>
      <c r="O192" s="71" t="s">
        <v>141</v>
      </c>
      <c r="P192" s="71">
        <v>721</v>
      </c>
      <c r="Q192" s="70">
        <v>598</v>
      </c>
      <c r="R192" s="70">
        <f t="shared" si="9"/>
        <v>123</v>
      </c>
      <c r="S192" s="73">
        <f t="shared" ref="S192:S197" si="10">2180-15</f>
        <v>2165</v>
      </c>
      <c r="T192" s="71" t="s">
        <v>42</v>
      </c>
      <c r="U192" s="17" t="s">
        <v>218</v>
      </c>
      <c r="V192" s="70"/>
      <c r="W192" s="17" t="s">
        <v>69</v>
      </c>
      <c r="Z192" s="17" t="s">
        <v>191</v>
      </c>
      <c r="AA192" s="17" t="s">
        <v>46</v>
      </c>
      <c r="AB192" s="17" t="s">
        <v>216</v>
      </c>
      <c r="AC192" s="66">
        <v>44457</v>
      </c>
      <c r="AD192" s="65">
        <v>1223</v>
      </c>
      <c r="AF192" s="17" t="s">
        <v>193</v>
      </c>
    </row>
    <row r="193" s="17" customFormat="1" hidden="1" spans="1:34">
      <c r="A193" s="17" t="s">
        <v>34</v>
      </c>
      <c r="B193" s="19">
        <v>720</v>
      </c>
      <c r="C193" s="64">
        <v>44455</v>
      </c>
      <c r="D193" s="17" t="s">
        <v>52</v>
      </c>
      <c r="E193" s="17" t="s">
        <v>214</v>
      </c>
      <c r="F193" s="17" t="s">
        <v>54</v>
      </c>
      <c r="H193" s="48" t="s">
        <v>55</v>
      </c>
      <c r="I193" s="48"/>
      <c r="J193" s="17" t="s">
        <v>82</v>
      </c>
      <c r="K193" s="70">
        <v>510</v>
      </c>
      <c r="L193" s="70">
        <v>95</v>
      </c>
      <c r="M193" s="70"/>
      <c r="N193" s="70" t="s">
        <v>40</v>
      </c>
      <c r="O193" s="71" t="s">
        <v>141</v>
      </c>
      <c r="P193" s="71">
        <v>1141</v>
      </c>
      <c r="Q193" s="70">
        <v>1416</v>
      </c>
      <c r="R193" s="70">
        <f t="shared" si="9"/>
        <v>-275</v>
      </c>
      <c r="S193" s="73">
        <f t="shared" si="10"/>
        <v>2165</v>
      </c>
      <c r="T193" s="71" t="s">
        <v>42</v>
      </c>
      <c r="U193" s="17" t="s">
        <v>218</v>
      </c>
      <c r="V193" s="70"/>
      <c r="W193" s="17" t="s">
        <v>69</v>
      </c>
      <c r="Z193" s="17" t="s">
        <v>191</v>
      </c>
      <c r="AA193" s="17" t="s">
        <v>46</v>
      </c>
      <c r="AB193" s="17" t="s">
        <v>216</v>
      </c>
      <c r="AC193" s="66">
        <v>44457</v>
      </c>
      <c r="AD193" s="65">
        <v>1223</v>
      </c>
      <c r="AF193" s="17" t="s">
        <v>193</v>
      </c>
    </row>
    <row r="194" s="18" customFormat="1" hidden="1" spans="1:34">
      <c r="A194" s="18" t="s">
        <v>188</v>
      </c>
      <c r="B194" s="75">
        <v>720</v>
      </c>
      <c r="C194" s="76">
        <v>44455</v>
      </c>
      <c r="D194" s="18" t="s">
        <v>52</v>
      </c>
      <c r="E194" s="18" t="s">
        <v>214</v>
      </c>
      <c r="F194" s="18" t="s">
        <v>54</v>
      </c>
      <c r="H194" s="88" t="s">
        <v>55</v>
      </c>
      <c r="I194" s="88"/>
      <c r="J194" s="18" t="s">
        <v>82</v>
      </c>
      <c r="K194" s="79">
        <v>510</v>
      </c>
      <c r="L194" s="79">
        <v>70</v>
      </c>
      <c r="M194" s="79"/>
      <c r="N194" s="79"/>
      <c r="O194" s="80" t="s">
        <v>168</v>
      </c>
      <c r="P194" s="80">
        <v>841</v>
      </c>
      <c r="Q194" s="79"/>
      <c r="R194" s="79">
        <f t="shared" si="9"/>
        <v>841</v>
      </c>
      <c r="S194" s="82">
        <f t="shared" si="10"/>
        <v>2165</v>
      </c>
      <c r="T194" s="80" t="s">
        <v>42</v>
      </c>
      <c r="U194" s="79"/>
      <c r="V194" s="79"/>
      <c r="W194" s="18" t="s">
        <v>69</v>
      </c>
      <c r="Z194" s="18" t="s">
        <v>191</v>
      </c>
      <c r="AC194" s="83"/>
      <c r="AD194" s="77"/>
      <c r="AF194" s="18" t="s">
        <v>193</v>
      </c>
    </row>
    <row r="195" s="17" customFormat="1" hidden="1" spans="1:34">
      <c r="A195" s="17" t="s">
        <v>34</v>
      </c>
      <c r="B195" s="19">
        <v>720</v>
      </c>
      <c r="C195" s="64">
        <v>44455</v>
      </c>
      <c r="D195" s="17" t="s">
        <v>52</v>
      </c>
      <c r="E195" s="17" t="s">
        <v>214</v>
      </c>
      <c r="F195" s="17" t="s">
        <v>54</v>
      </c>
      <c r="H195" s="48" t="s">
        <v>55</v>
      </c>
      <c r="I195" s="48"/>
      <c r="J195" s="17" t="s">
        <v>82</v>
      </c>
      <c r="K195" s="70">
        <v>510</v>
      </c>
      <c r="L195" s="70">
        <v>90</v>
      </c>
      <c r="M195" s="70"/>
      <c r="N195" s="70" t="s">
        <v>40</v>
      </c>
      <c r="O195" s="71" t="s">
        <v>141</v>
      </c>
      <c r="P195" s="71">
        <v>2162</v>
      </c>
      <c r="Q195" s="70">
        <v>1902</v>
      </c>
      <c r="R195" s="70">
        <f t="shared" si="9"/>
        <v>260</v>
      </c>
      <c r="S195" s="73">
        <f t="shared" si="10"/>
        <v>2165</v>
      </c>
      <c r="T195" s="71" t="s">
        <v>42</v>
      </c>
      <c r="U195" s="17" t="s">
        <v>218</v>
      </c>
      <c r="V195" s="70"/>
      <c r="W195" s="17" t="s">
        <v>69</v>
      </c>
      <c r="Z195" s="17" t="s">
        <v>191</v>
      </c>
      <c r="AA195" s="17" t="s">
        <v>46</v>
      </c>
      <c r="AB195" s="17" t="s">
        <v>216</v>
      </c>
      <c r="AC195" s="66">
        <v>44457</v>
      </c>
      <c r="AD195" s="65">
        <v>1223</v>
      </c>
      <c r="AF195" s="17" t="s">
        <v>193</v>
      </c>
    </row>
    <row r="196" s="17" customFormat="1" hidden="1" spans="1:34">
      <c r="A196" s="17" t="s">
        <v>34</v>
      </c>
      <c r="B196" s="19">
        <v>720</v>
      </c>
      <c r="C196" s="64">
        <v>44455</v>
      </c>
      <c r="D196" s="17" t="s">
        <v>52</v>
      </c>
      <c r="E196" s="17" t="s">
        <v>214</v>
      </c>
      <c r="F196" s="17" t="s">
        <v>54</v>
      </c>
      <c r="H196" s="48" t="s">
        <v>55</v>
      </c>
      <c r="I196" s="48"/>
      <c r="J196" s="17" t="s">
        <v>82</v>
      </c>
      <c r="K196" s="70">
        <v>560</v>
      </c>
      <c r="L196" s="70">
        <v>70</v>
      </c>
      <c r="M196" s="70"/>
      <c r="N196" s="70" t="s">
        <v>40</v>
      </c>
      <c r="O196" s="71" t="s">
        <v>141</v>
      </c>
      <c r="P196" s="71">
        <v>923</v>
      </c>
      <c r="Q196" s="70">
        <v>914</v>
      </c>
      <c r="R196" s="70">
        <f t="shared" si="9"/>
        <v>9</v>
      </c>
      <c r="S196" s="73">
        <f t="shared" si="10"/>
        <v>2165</v>
      </c>
      <c r="T196" s="71" t="s">
        <v>42</v>
      </c>
      <c r="U196" s="17" t="s">
        <v>218</v>
      </c>
      <c r="V196" s="70"/>
      <c r="W196" s="17" t="s">
        <v>69</v>
      </c>
      <c r="Z196" s="17" t="s">
        <v>191</v>
      </c>
      <c r="AA196" s="17" t="s">
        <v>46</v>
      </c>
      <c r="AB196" s="17" t="s">
        <v>216</v>
      </c>
      <c r="AC196" s="66">
        <v>44457</v>
      </c>
      <c r="AD196" s="65">
        <v>1223</v>
      </c>
      <c r="AF196" s="17" t="s">
        <v>193</v>
      </c>
    </row>
    <row r="197" s="17" customFormat="1" hidden="1" spans="1:34">
      <c r="A197" s="17" t="s">
        <v>34</v>
      </c>
      <c r="B197" s="19">
        <v>720</v>
      </c>
      <c r="C197" s="64">
        <v>44455</v>
      </c>
      <c r="D197" s="17" t="s">
        <v>52</v>
      </c>
      <c r="E197" s="17" t="s">
        <v>214</v>
      </c>
      <c r="F197" s="17" t="s">
        <v>54</v>
      </c>
      <c r="H197" s="48" t="s">
        <v>55</v>
      </c>
      <c r="I197" s="48"/>
      <c r="J197" s="17" t="s">
        <v>82</v>
      </c>
      <c r="K197" s="70">
        <v>610</v>
      </c>
      <c r="L197" s="70">
        <v>120</v>
      </c>
      <c r="M197" s="70"/>
      <c r="N197" s="70" t="s">
        <v>40</v>
      </c>
      <c r="O197" s="71" t="s">
        <v>141</v>
      </c>
      <c r="P197" s="71">
        <v>1724</v>
      </c>
      <c r="Q197" s="70">
        <v>1955</v>
      </c>
      <c r="R197" s="70">
        <f t="shared" si="9"/>
        <v>-231</v>
      </c>
      <c r="S197" s="73">
        <f t="shared" si="10"/>
        <v>2165</v>
      </c>
      <c r="T197" s="71" t="s">
        <v>42</v>
      </c>
      <c r="U197" s="17" t="s">
        <v>218</v>
      </c>
      <c r="V197" s="70"/>
      <c r="W197" s="17" t="s">
        <v>69</v>
      </c>
      <c r="Z197" s="17" t="s">
        <v>191</v>
      </c>
      <c r="AA197" s="17" t="s">
        <v>46</v>
      </c>
      <c r="AB197" s="17" t="s">
        <v>216</v>
      </c>
      <c r="AC197" s="66">
        <v>44457</v>
      </c>
      <c r="AD197" s="65">
        <v>1223</v>
      </c>
      <c r="AF197" s="17" t="s">
        <v>193</v>
      </c>
    </row>
    <row r="198" s="17" customFormat="1" hidden="1" spans="1:34">
      <c r="A198" s="17" t="s">
        <v>34</v>
      </c>
      <c r="B198" s="19">
        <v>721</v>
      </c>
      <c r="C198" s="64">
        <v>44457</v>
      </c>
      <c r="D198" s="17" t="s">
        <v>52</v>
      </c>
      <c r="E198" s="17" t="s">
        <v>220</v>
      </c>
      <c r="F198" s="17" t="s">
        <v>54</v>
      </c>
      <c r="H198" s="65">
        <v>1.2344</v>
      </c>
      <c r="I198" s="65"/>
      <c r="J198" s="17" t="s">
        <v>39</v>
      </c>
      <c r="K198" s="70">
        <v>230</v>
      </c>
      <c r="L198" s="70"/>
      <c r="M198" s="70"/>
      <c r="N198" s="70" t="s">
        <v>40</v>
      </c>
      <c r="O198" s="71" t="s">
        <v>50</v>
      </c>
      <c r="P198" s="71">
        <v>1000</v>
      </c>
      <c r="Q198" s="70">
        <v>1056</v>
      </c>
      <c r="R198" s="70">
        <f t="shared" si="9"/>
        <v>-56</v>
      </c>
      <c r="S198" s="70">
        <v>2210</v>
      </c>
      <c r="T198" s="71" t="s">
        <v>42</v>
      </c>
      <c r="U198" s="70" t="s">
        <v>221</v>
      </c>
      <c r="V198" s="89">
        <v>44458</v>
      </c>
      <c r="W198" s="17" t="s">
        <v>44</v>
      </c>
      <c r="Y198" s="68">
        <v>44470</v>
      </c>
      <c r="Z198" s="17" t="s">
        <v>191</v>
      </c>
      <c r="AA198" s="17" t="s">
        <v>46</v>
      </c>
      <c r="AB198" s="17" t="s">
        <v>222</v>
      </c>
      <c r="AC198" s="66">
        <v>44532</v>
      </c>
      <c r="AD198" s="65">
        <v>1246</v>
      </c>
      <c r="AE198" s="17" t="s">
        <v>223</v>
      </c>
      <c r="AF198" s="17" t="s">
        <v>193</v>
      </c>
      <c r="AH198" s="17" t="s">
        <v>224</v>
      </c>
    </row>
    <row r="199" s="17" customFormat="1" hidden="1" spans="1:34">
      <c r="A199" s="17" t="s">
        <v>34</v>
      </c>
      <c r="B199" s="19">
        <v>721</v>
      </c>
      <c r="C199" s="64">
        <v>44457</v>
      </c>
      <c r="D199" s="17" t="s">
        <v>52</v>
      </c>
      <c r="E199" s="17" t="s">
        <v>220</v>
      </c>
      <c r="F199" s="17" t="s">
        <v>54</v>
      </c>
      <c r="H199" s="65">
        <v>1.2344</v>
      </c>
      <c r="I199" s="65"/>
      <c r="J199" s="17" t="s">
        <v>39</v>
      </c>
      <c r="K199" s="70">
        <v>250</v>
      </c>
      <c r="L199" s="70"/>
      <c r="M199" s="70"/>
      <c r="N199" s="70" t="s">
        <v>40</v>
      </c>
      <c r="O199" s="71" t="s">
        <v>50</v>
      </c>
      <c r="P199" s="71">
        <v>13000</v>
      </c>
      <c r="Q199" s="70">
        <f>972+982+867+815+1227+1137+1165+1394+641+702+702+700+691+633</f>
        <v>12628</v>
      </c>
      <c r="R199" s="70">
        <f t="shared" si="9"/>
        <v>372</v>
      </c>
      <c r="S199" s="70">
        <v>2210</v>
      </c>
      <c r="T199" s="71" t="s">
        <v>42</v>
      </c>
      <c r="U199" s="70" t="s">
        <v>221</v>
      </c>
      <c r="V199" s="89">
        <v>44458</v>
      </c>
      <c r="W199" s="17" t="s">
        <v>44</v>
      </c>
      <c r="Y199" s="68">
        <v>44470</v>
      </c>
      <c r="Z199" s="17" t="s">
        <v>191</v>
      </c>
      <c r="AA199" s="17" t="s">
        <v>46</v>
      </c>
      <c r="AB199" s="17" t="s">
        <v>222</v>
      </c>
      <c r="AC199" s="66">
        <v>44532</v>
      </c>
      <c r="AD199" s="65">
        <v>1246</v>
      </c>
      <c r="AE199" s="17" t="s">
        <v>223</v>
      </c>
      <c r="AF199" s="17" t="s">
        <v>193</v>
      </c>
      <c r="AH199" s="17" t="s">
        <v>225</v>
      </c>
    </row>
    <row r="200" s="17" customFormat="1" hidden="1" spans="1:34">
      <c r="A200" s="17" t="s">
        <v>34</v>
      </c>
      <c r="B200" s="19">
        <v>721</v>
      </c>
      <c r="C200" s="64">
        <v>44457</v>
      </c>
      <c r="D200" s="17" t="s">
        <v>52</v>
      </c>
      <c r="E200" s="17" t="s">
        <v>220</v>
      </c>
      <c r="F200" s="17" t="s">
        <v>54</v>
      </c>
      <c r="H200" s="65">
        <v>1.2344</v>
      </c>
      <c r="I200" s="65"/>
      <c r="J200" s="17" t="s">
        <v>39</v>
      </c>
      <c r="K200" s="70">
        <v>360</v>
      </c>
      <c r="L200" s="70"/>
      <c r="M200" s="70"/>
      <c r="N200" s="70" t="s">
        <v>40</v>
      </c>
      <c r="O200" s="71" t="s">
        <v>50</v>
      </c>
      <c r="P200" s="71">
        <v>4000</v>
      </c>
      <c r="Q200" s="70">
        <f>2059+2031</f>
        <v>4090</v>
      </c>
      <c r="R200" s="70">
        <f t="shared" si="9"/>
        <v>-90</v>
      </c>
      <c r="S200" s="70">
        <v>2210</v>
      </c>
      <c r="T200" s="71" t="s">
        <v>42</v>
      </c>
      <c r="U200" s="70" t="s">
        <v>221</v>
      </c>
      <c r="V200" s="89">
        <v>44458</v>
      </c>
      <c r="W200" s="17" t="s">
        <v>44</v>
      </c>
      <c r="Y200" s="68">
        <v>44470</v>
      </c>
      <c r="Z200" s="17" t="s">
        <v>191</v>
      </c>
      <c r="AA200" s="17" t="s">
        <v>46</v>
      </c>
      <c r="AB200" s="17" t="s">
        <v>222</v>
      </c>
      <c r="AC200" s="66">
        <v>44532</v>
      </c>
      <c r="AD200" s="65">
        <v>1246</v>
      </c>
      <c r="AE200" s="17" t="s">
        <v>223</v>
      </c>
      <c r="AF200" s="17" t="s">
        <v>193</v>
      </c>
      <c r="AH200" s="17" t="s">
        <v>225</v>
      </c>
    </row>
    <row r="201" s="17" customFormat="1" hidden="1" spans="1:34">
      <c r="A201" s="17" t="s">
        <v>34</v>
      </c>
      <c r="B201" s="19">
        <v>721</v>
      </c>
      <c r="C201" s="64">
        <v>44457</v>
      </c>
      <c r="D201" s="17" t="s">
        <v>52</v>
      </c>
      <c r="E201" s="17" t="s">
        <v>220</v>
      </c>
      <c r="F201" s="17" t="s">
        <v>54</v>
      </c>
      <c r="H201" s="65">
        <v>1.2344</v>
      </c>
      <c r="I201" s="65"/>
      <c r="J201" s="17" t="s">
        <v>39</v>
      </c>
      <c r="K201" s="70">
        <v>450</v>
      </c>
      <c r="L201" s="70"/>
      <c r="M201" s="70"/>
      <c r="N201" s="70" t="s">
        <v>40</v>
      </c>
      <c r="O201" s="71" t="s">
        <v>50</v>
      </c>
      <c r="P201" s="71">
        <v>5000</v>
      </c>
      <c r="Q201" s="70">
        <f>2556+2569</f>
        <v>5125</v>
      </c>
      <c r="R201" s="70">
        <f t="shared" si="9"/>
        <v>-125</v>
      </c>
      <c r="S201" s="70">
        <v>2545</v>
      </c>
      <c r="T201" s="71" t="s">
        <v>42</v>
      </c>
      <c r="U201" s="70" t="s">
        <v>221</v>
      </c>
      <c r="V201" s="89">
        <v>44458</v>
      </c>
      <c r="W201" s="17" t="s">
        <v>44</v>
      </c>
      <c r="Y201" s="68">
        <v>44470</v>
      </c>
      <c r="Z201" s="17" t="s">
        <v>191</v>
      </c>
      <c r="AA201" s="17" t="s">
        <v>46</v>
      </c>
      <c r="AB201" s="17" t="s">
        <v>222</v>
      </c>
      <c r="AC201" s="66">
        <v>44532</v>
      </c>
      <c r="AD201" s="65">
        <v>1246</v>
      </c>
      <c r="AE201" s="17" t="s">
        <v>223</v>
      </c>
      <c r="AF201" s="17" t="s">
        <v>193</v>
      </c>
      <c r="AH201" s="17" t="s">
        <v>226</v>
      </c>
    </row>
    <row r="202" s="17" customFormat="1" hidden="1" spans="1:34">
      <c r="A202" s="17" t="s">
        <v>34</v>
      </c>
      <c r="B202" s="19">
        <v>722</v>
      </c>
      <c r="C202" s="64">
        <v>44478</v>
      </c>
      <c r="D202" s="17" t="s">
        <v>52</v>
      </c>
      <c r="E202" s="17" t="s">
        <v>187</v>
      </c>
      <c r="F202" s="17" t="s">
        <v>54</v>
      </c>
      <c r="H202" s="65">
        <v>1.2311</v>
      </c>
      <c r="I202" s="65"/>
      <c r="J202" s="17" t="s">
        <v>49</v>
      </c>
      <c r="K202" s="70">
        <v>1640</v>
      </c>
      <c r="L202" s="70">
        <v>450</v>
      </c>
      <c r="M202" s="70">
        <v>2935</v>
      </c>
      <c r="N202" s="70" t="s">
        <v>66</v>
      </c>
      <c r="O202" s="71" t="s">
        <v>168</v>
      </c>
      <c r="P202" s="71">
        <v>14556</v>
      </c>
      <c r="Q202" s="70">
        <v>17338</v>
      </c>
      <c r="R202" s="70">
        <f t="shared" si="9"/>
        <v>-2782</v>
      </c>
      <c r="S202" s="70">
        <v>1410</v>
      </c>
      <c r="T202" s="71" t="s">
        <v>42</v>
      </c>
      <c r="U202" s="90" t="s">
        <v>227</v>
      </c>
      <c r="V202" s="89">
        <v>44488</v>
      </c>
      <c r="W202" s="17" t="s">
        <v>44</v>
      </c>
      <c r="Y202" s="68">
        <v>44470</v>
      </c>
      <c r="Z202" s="17" t="s">
        <v>191</v>
      </c>
      <c r="AA202" s="17" t="s">
        <v>46</v>
      </c>
      <c r="AB202" s="17" t="s">
        <v>228</v>
      </c>
      <c r="AC202" s="66">
        <v>44505</v>
      </c>
      <c r="AD202" s="65">
        <v>1235</v>
      </c>
      <c r="AE202" s="17" t="s">
        <v>48</v>
      </c>
      <c r="AF202" s="17" t="s">
        <v>229</v>
      </c>
    </row>
    <row r="203" s="17" customFormat="1" hidden="1" spans="1:34">
      <c r="A203" s="17" t="s">
        <v>34</v>
      </c>
      <c r="B203" s="19">
        <v>723</v>
      </c>
      <c r="C203" s="64">
        <v>44469</v>
      </c>
      <c r="D203" s="17" t="s">
        <v>52</v>
      </c>
      <c r="E203" s="17" t="s">
        <v>187</v>
      </c>
      <c r="F203" s="17" t="s">
        <v>54</v>
      </c>
      <c r="H203" s="65">
        <v>1.2311</v>
      </c>
      <c r="I203" s="65"/>
      <c r="J203" s="17" t="s">
        <v>49</v>
      </c>
      <c r="K203" s="17">
        <v>2200</v>
      </c>
      <c r="L203" s="17">
        <v>16</v>
      </c>
      <c r="M203" s="17">
        <v>5000</v>
      </c>
      <c r="N203" s="17" t="s">
        <v>66</v>
      </c>
      <c r="O203" s="19" t="s">
        <v>141</v>
      </c>
      <c r="P203" s="19">
        <v>1382</v>
      </c>
      <c r="Q203" s="17">
        <v>1425</v>
      </c>
      <c r="R203" s="17">
        <f t="shared" si="9"/>
        <v>-43</v>
      </c>
      <c r="S203" s="17">
        <f>1135+30</f>
        <v>1165</v>
      </c>
      <c r="T203" s="71" t="s">
        <v>42</v>
      </c>
      <c r="U203" s="17" t="s">
        <v>230</v>
      </c>
      <c r="V203" s="67">
        <v>44475</v>
      </c>
      <c r="W203" s="17" t="s">
        <v>44</v>
      </c>
      <c r="Y203" s="68">
        <v>44470</v>
      </c>
      <c r="Z203" s="17" t="s">
        <v>191</v>
      </c>
      <c r="AA203" s="17" t="s">
        <v>46</v>
      </c>
      <c r="AB203" s="17" t="s">
        <v>231</v>
      </c>
      <c r="AC203" s="66">
        <v>44485</v>
      </c>
      <c r="AD203" s="65">
        <v>1231</v>
      </c>
      <c r="AE203" s="17" t="s">
        <v>48</v>
      </c>
      <c r="AF203" s="17" t="s">
        <v>193</v>
      </c>
      <c r="AH203" s="17" t="s">
        <v>232</v>
      </c>
    </row>
    <row r="204" s="17" customFormat="1" hidden="1" spans="1:34">
      <c r="A204" s="17" t="s">
        <v>34</v>
      </c>
      <c r="B204" s="19">
        <v>723</v>
      </c>
      <c r="C204" s="64">
        <v>44469</v>
      </c>
      <c r="D204" s="17" t="s">
        <v>52</v>
      </c>
      <c r="E204" s="17" t="s">
        <v>187</v>
      </c>
      <c r="F204" s="17" t="s">
        <v>54</v>
      </c>
      <c r="H204" s="65">
        <v>1.2311</v>
      </c>
      <c r="I204" s="65"/>
      <c r="J204" s="17" t="s">
        <v>49</v>
      </c>
      <c r="K204" s="17">
        <v>2200</v>
      </c>
      <c r="L204" s="70">
        <v>25</v>
      </c>
      <c r="M204" s="70">
        <v>5000</v>
      </c>
      <c r="N204" s="17" t="s">
        <v>66</v>
      </c>
      <c r="O204" s="19" t="s">
        <v>141</v>
      </c>
      <c r="P204" s="71">
        <v>4318</v>
      </c>
      <c r="Q204" s="70">
        <f>2336+2460</f>
        <v>4796</v>
      </c>
      <c r="R204" s="70">
        <f t="shared" si="9"/>
        <v>-478</v>
      </c>
      <c r="S204" s="17">
        <v>1135</v>
      </c>
      <c r="T204" s="71" t="s">
        <v>42</v>
      </c>
      <c r="U204" s="17" t="s">
        <v>230</v>
      </c>
      <c r="V204" s="67">
        <v>44475</v>
      </c>
      <c r="W204" s="17" t="s">
        <v>44</v>
      </c>
      <c r="Y204" s="68">
        <v>44470</v>
      </c>
      <c r="Z204" s="17" t="s">
        <v>191</v>
      </c>
      <c r="AA204" s="17" t="s">
        <v>46</v>
      </c>
      <c r="AB204" s="17" t="s">
        <v>231</v>
      </c>
      <c r="AC204" s="66">
        <v>44485</v>
      </c>
      <c r="AD204" s="65">
        <v>1231</v>
      </c>
      <c r="AE204" s="17" t="s">
        <v>48</v>
      </c>
      <c r="AF204" s="17" t="s">
        <v>193</v>
      </c>
      <c r="AH204" s="17" t="s">
        <v>232</v>
      </c>
    </row>
    <row r="205" s="17" customFormat="1" hidden="1" spans="1:34">
      <c r="A205" s="17" t="s">
        <v>34</v>
      </c>
      <c r="B205" s="19">
        <v>723</v>
      </c>
      <c r="C205" s="64">
        <v>44469</v>
      </c>
      <c r="D205" s="17" t="s">
        <v>52</v>
      </c>
      <c r="E205" s="17" t="s">
        <v>187</v>
      </c>
      <c r="F205" s="17" t="s">
        <v>54</v>
      </c>
      <c r="H205" s="65">
        <v>1.2311</v>
      </c>
      <c r="I205" s="65"/>
      <c r="J205" s="17" t="s">
        <v>49</v>
      </c>
      <c r="K205" s="17">
        <v>2200</v>
      </c>
      <c r="L205" s="70">
        <v>36</v>
      </c>
      <c r="M205" s="70">
        <v>5000</v>
      </c>
      <c r="N205" s="17" t="s">
        <v>66</v>
      </c>
      <c r="O205" s="19" t="s">
        <v>141</v>
      </c>
      <c r="P205" s="71">
        <v>3109</v>
      </c>
      <c r="Q205" s="70">
        <v>3134</v>
      </c>
      <c r="R205" s="70">
        <f t="shared" si="9"/>
        <v>-25</v>
      </c>
      <c r="S205" s="17">
        <v>1135</v>
      </c>
      <c r="T205" s="71" t="s">
        <v>42</v>
      </c>
      <c r="U205" s="17" t="s">
        <v>230</v>
      </c>
      <c r="V205" s="67">
        <v>44475</v>
      </c>
      <c r="W205" s="17" t="s">
        <v>44</v>
      </c>
      <c r="Y205" s="68">
        <v>44470</v>
      </c>
      <c r="Z205" s="17" t="s">
        <v>191</v>
      </c>
      <c r="AA205" s="17" t="s">
        <v>46</v>
      </c>
      <c r="AB205" s="17" t="s">
        <v>231</v>
      </c>
      <c r="AC205" s="66">
        <v>44485</v>
      </c>
      <c r="AD205" s="65">
        <v>1231</v>
      </c>
      <c r="AE205" s="17" t="s">
        <v>48</v>
      </c>
      <c r="AF205" s="17" t="s">
        <v>193</v>
      </c>
      <c r="AH205" s="17" t="s">
        <v>232</v>
      </c>
    </row>
    <row r="206" s="17" customFormat="1" hidden="1" spans="1:34">
      <c r="A206" s="17" t="s">
        <v>34</v>
      </c>
      <c r="B206" s="19">
        <v>723</v>
      </c>
      <c r="C206" s="64">
        <v>44469</v>
      </c>
      <c r="D206" s="17" t="s">
        <v>52</v>
      </c>
      <c r="E206" s="17" t="s">
        <v>187</v>
      </c>
      <c r="F206" s="17" t="s">
        <v>54</v>
      </c>
      <c r="H206" s="65">
        <v>1.2311</v>
      </c>
      <c r="I206" s="65"/>
      <c r="J206" s="17" t="s">
        <v>49</v>
      </c>
      <c r="K206" s="17">
        <v>2200</v>
      </c>
      <c r="L206" s="70">
        <v>45</v>
      </c>
      <c r="M206" s="70">
        <v>5000</v>
      </c>
      <c r="N206" s="17" t="s">
        <v>66</v>
      </c>
      <c r="O206" s="19" t="s">
        <v>141</v>
      </c>
      <c r="P206" s="71">
        <v>3886</v>
      </c>
      <c r="Q206" s="70">
        <v>3680</v>
      </c>
      <c r="R206" s="70">
        <f t="shared" si="9"/>
        <v>206</v>
      </c>
      <c r="S206" s="17">
        <v>1135</v>
      </c>
      <c r="T206" s="71" t="s">
        <v>42</v>
      </c>
      <c r="U206" s="17" t="s">
        <v>230</v>
      </c>
      <c r="V206" s="67">
        <v>44475</v>
      </c>
      <c r="W206" s="17" t="s">
        <v>44</v>
      </c>
      <c r="Y206" s="68">
        <v>44470</v>
      </c>
      <c r="Z206" s="17" t="s">
        <v>191</v>
      </c>
      <c r="AA206" s="17" t="s">
        <v>46</v>
      </c>
      <c r="AB206" s="17" t="s">
        <v>231</v>
      </c>
      <c r="AC206" s="66">
        <v>44485</v>
      </c>
      <c r="AD206" s="65">
        <v>1231</v>
      </c>
      <c r="AE206" s="17" t="s">
        <v>48</v>
      </c>
      <c r="AF206" s="17" t="s">
        <v>193</v>
      </c>
      <c r="AH206" s="17" t="s">
        <v>232</v>
      </c>
    </row>
    <row r="207" s="17" customFormat="1" hidden="1" spans="1:34">
      <c r="A207" s="17" t="s">
        <v>34</v>
      </c>
      <c r="B207" s="19">
        <v>723</v>
      </c>
      <c r="C207" s="64">
        <v>44469</v>
      </c>
      <c r="D207" s="17" t="s">
        <v>52</v>
      </c>
      <c r="E207" s="17" t="s">
        <v>187</v>
      </c>
      <c r="F207" s="17" t="s">
        <v>54</v>
      </c>
      <c r="H207" s="65">
        <v>1.2311</v>
      </c>
      <c r="I207" s="65"/>
      <c r="J207" s="17" t="s">
        <v>49</v>
      </c>
      <c r="K207" s="17">
        <v>2200</v>
      </c>
      <c r="L207" s="17">
        <v>50</v>
      </c>
      <c r="M207" s="17">
        <v>5000</v>
      </c>
      <c r="N207" s="17" t="s">
        <v>66</v>
      </c>
      <c r="O207" s="19" t="s">
        <v>141</v>
      </c>
      <c r="P207" s="19">
        <v>4318</v>
      </c>
      <c r="Q207" s="17">
        <v>4323</v>
      </c>
      <c r="R207" s="17">
        <f t="shared" si="9"/>
        <v>-5</v>
      </c>
      <c r="S207" s="17">
        <v>1135</v>
      </c>
      <c r="T207" s="71" t="s">
        <v>42</v>
      </c>
      <c r="U207" s="17" t="s">
        <v>230</v>
      </c>
      <c r="V207" s="67">
        <v>44475</v>
      </c>
      <c r="W207" s="17" t="s">
        <v>44</v>
      </c>
      <c r="Y207" s="68">
        <v>44470</v>
      </c>
      <c r="Z207" s="17" t="s">
        <v>191</v>
      </c>
      <c r="AA207" s="17" t="s">
        <v>46</v>
      </c>
      <c r="AB207" s="17" t="s">
        <v>231</v>
      </c>
      <c r="AC207" s="66">
        <v>44485</v>
      </c>
      <c r="AD207" s="65">
        <v>1231</v>
      </c>
      <c r="AE207" s="17" t="s">
        <v>48</v>
      </c>
      <c r="AF207" s="17" t="s">
        <v>193</v>
      </c>
      <c r="AH207" s="17" t="s">
        <v>232</v>
      </c>
    </row>
    <row r="208" s="17" customFormat="1" hidden="1" spans="1:34">
      <c r="A208" s="17" t="s">
        <v>34</v>
      </c>
      <c r="B208" s="19">
        <v>723</v>
      </c>
      <c r="C208" s="64">
        <v>44469</v>
      </c>
      <c r="D208" s="17" t="s">
        <v>52</v>
      </c>
      <c r="E208" s="17" t="s">
        <v>187</v>
      </c>
      <c r="F208" s="17" t="s">
        <v>54</v>
      </c>
      <c r="H208" s="65">
        <v>1.2311</v>
      </c>
      <c r="I208" s="65"/>
      <c r="J208" s="17" t="s">
        <v>49</v>
      </c>
      <c r="K208" s="17">
        <v>2200</v>
      </c>
      <c r="L208" s="17">
        <v>60</v>
      </c>
      <c r="M208" s="17">
        <v>5000</v>
      </c>
      <c r="N208" s="17" t="s">
        <v>66</v>
      </c>
      <c r="O208" s="19" t="s">
        <v>141</v>
      </c>
      <c r="P208" s="19">
        <v>5181</v>
      </c>
      <c r="Q208" s="17">
        <v>5235</v>
      </c>
      <c r="R208" s="17">
        <f t="shared" si="9"/>
        <v>-54</v>
      </c>
      <c r="S208" s="17">
        <v>1135</v>
      </c>
      <c r="T208" s="71" t="s">
        <v>42</v>
      </c>
      <c r="U208" s="17" t="s">
        <v>230</v>
      </c>
      <c r="V208" s="67">
        <v>44475</v>
      </c>
      <c r="W208" s="17" t="s">
        <v>44</v>
      </c>
      <c r="Y208" s="68">
        <v>44470</v>
      </c>
      <c r="Z208" s="17" t="s">
        <v>191</v>
      </c>
      <c r="AA208" s="17" t="s">
        <v>46</v>
      </c>
      <c r="AB208" s="17" t="s">
        <v>231</v>
      </c>
      <c r="AC208" s="66">
        <v>44485</v>
      </c>
      <c r="AD208" s="65">
        <v>1231</v>
      </c>
      <c r="AE208" s="17" t="s">
        <v>48</v>
      </c>
      <c r="AF208" s="17" t="s">
        <v>193</v>
      </c>
      <c r="AH208" s="17" t="s">
        <v>232</v>
      </c>
    </row>
    <row r="209" s="17" customFormat="1" hidden="1" spans="1:34">
      <c r="A209" s="17" t="s">
        <v>34</v>
      </c>
      <c r="B209" s="19">
        <v>723</v>
      </c>
      <c r="C209" s="64">
        <v>44469</v>
      </c>
      <c r="D209" s="17" t="s">
        <v>52</v>
      </c>
      <c r="E209" s="17" t="s">
        <v>187</v>
      </c>
      <c r="F209" s="17" t="s">
        <v>54</v>
      </c>
      <c r="H209" s="65">
        <v>1.2311</v>
      </c>
      <c r="I209" s="65"/>
      <c r="J209" s="17" t="s">
        <v>49</v>
      </c>
      <c r="K209" s="17">
        <v>2200</v>
      </c>
      <c r="L209" s="17">
        <v>71</v>
      </c>
      <c r="M209" s="17">
        <v>5000</v>
      </c>
      <c r="N209" s="17" t="s">
        <v>66</v>
      </c>
      <c r="O209" s="19" t="s">
        <v>141</v>
      </c>
      <c r="P209" s="19">
        <v>6131</v>
      </c>
      <c r="Q209" s="17">
        <v>5930</v>
      </c>
      <c r="R209" s="17">
        <f t="shared" si="9"/>
        <v>201</v>
      </c>
      <c r="S209" s="17">
        <v>1135</v>
      </c>
      <c r="T209" s="71" t="s">
        <v>42</v>
      </c>
      <c r="U209" s="17" t="s">
        <v>230</v>
      </c>
      <c r="V209" s="67">
        <v>44475</v>
      </c>
      <c r="W209" s="17" t="s">
        <v>44</v>
      </c>
      <c r="Y209" s="68">
        <v>44470</v>
      </c>
      <c r="Z209" s="17" t="s">
        <v>191</v>
      </c>
      <c r="AA209" s="17" t="s">
        <v>46</v>
      </c>
      <c r="AB209" s="17" t="s">
        <v>231</v>
      </c>
      <c r="AC209" s="66">
        <v>44485</v>
      </c>
      <c r="AD209" s="65">
        <v>1231</v>
      </c>
      <c r="AE209" s="17" t="s">
        <v>48</v>
      </c>
      <c r="AF209" s="17" t="s">
        <v>193</v>
      </c>
      <c r="AH209" s="17" t="s">
        <v>232</v>
      </c>
    </row>
    <row r="210" s="17" customFormat="1" hidden="1" spans="1:34">
      <c r="A210" s="17" t="s">
        <v>34</v>
      </c>
      <c r="B210" s="19">
        <v>723</v>
      </c>
      <c r="C210" s="64">
        <v>44469</v>
      </c>
      <c r="D210" s="17" t="s">
        <v>52</v>
      </c>
      <c r="E210" s="17" t="s">
        <v>187</v>
      </c>
      <c r="F210" s="17" t="s">
        <v>54</v>
      </c>
      <c r="H210" s="65">
        <v>1.2311</v>
      </c>
      <c r="I210" s="65"/>
      <c r="J210" s="17" t="s">
        <v>49</v>
      </c>
      <c r="K210" s="17">
        <v>2200</v>
      </c>
      <c r="L210" s="17">
        <v>81</v>
      </c>
      <c r="M210" s="17">
        <v>5000</v>
      </c>
      <c r="N210" s="17" t="s">
        <v>66</v>
      </c>
      <c r="O210" s="19" t="s">
        <v>141</v>
      </c>
      <c r="P210" s="19">
        <v>6994</v>
      </c>
      <c r="Q210" s="17">
        <v>7685</v>
      </c>
      <c r="R210" s="17">
        <f t="shared" si="9"/>
        <v>-691</v>
      </c>
      <c r="S210" s="17">
        <v>1135</v>
      </c>
      <c r="T210" s="71" t="s">
        <v>42</v>
      </c>
      <c r="U210" s="17" t="s">
        <v>230</v>
      </c>
      <c r="V210" s="67">
        <v>44475</v>
      </c>
      <c r="W210" s="17" t="s">
        <v>44</v>
      </c>
      <c r="Y210" s="68">
        <v>44470</v>
      </c>
      <c r="Z210" s="17" t="s">
        <v>191</v>
      </c>
      <c r="AA210" s="17" t="s">
        <v>46</v>
      </c>
      <c r="AB210" s="17" t="s">
        <v>231</v>
      </c>
      <c r="AC210" s="66">
        <v>44485</v>
      </c>
      <c r="AD210" s="65">
        <v>1231</v>
      </c>
      <c r="AE210" s="17" t="s">
        <v>48</v>
      </c>
      <c r="AF210" s="17" t="s">
        <v>193</v>
      </c>
      <c r="AH210" s="17" t="s">
        <v>232</v>
      </c>
    </row>
    <row r="211" s="17" customFormat="1" hidden="1" spans="1:34">
      <c r="A211" s="17" t="s">
        <v>34</v>
      </c>
      <c r="B211" s="19">
        <v>723</v>
      </c>
      <c r="C211" s="64">
        <v>44469</v>
      </c>
      <c r="D211" s="17" t="s">
        <v>52</v>
      </c>
      <c r="E211" s="17" t="s">
        <v>187</v>
      </c>
      <c r="F211" s="17" t="s">
        <v>54</v>
      </c>
      <c r="H211" s="65">
        <v>1.2311</v>
      </c>
      <c r="I211" s="65"/>
      <c r="J211" s="17" t="s">
        <v>49</v>
      </c>
      <c r="K211" s="17">
        <v>2200</v>
      </c>
      <c r="L211" s="17">
        <v>91</v>
      </c>
      <c r="M211" s="17">
        <v>5000</v>
      </c>
      <c r="N211" s="17" t="s">
        <v>66</v>
      </c>
      <c r="O211" s="19" t="s">
        <v>141</v>
      </c>
      <c r="P211" s="19">
        <v>7858</v>
      </c>
      <c r="Q211" s="17">
        <v>7855</v>
      </c>
      <c r="R211" s="17">
        <f t="shared" si="9"/>
        <v>3</v>
      </c>
      <c r="S211" s="17">
        <v>1135</v>
      </c>
      <c r="T211" s="71" t="s">
        <v>42</v>
      </c>
      <c r="U211" s="17" t="s">
        <v>230</v>
      </c>
      <c r="V211" s="67">
        <v>44475</v>
      </c>
      <c r="W211" s="17" t="s">
        <v>44</v>
      </c>
      <c r="Y211" s="68">
        <v>44470</v>
      </c>
      <c r="Z211" s="17" t="s">
        <v>191</v>
      </c>
      <c r="AA211" s="17" t="s">
        <v>46</v>
      </c>
      <c r="AB211" s="17" t="s">
        <v>231</v>
      </c>
      <c r="AC211" s="66">
        <v>44485</v>
      </c>
      <c r="AD211" s="65">
        <v>1231</v>
      </c>
      <c r="AE211" s="17" t="s">
        <v>48</v>
      </c>
      <c r="AF211" s="17" t="s">
        <v>193</v>
      </c>
      <c r="AH211" s="17" t="s">
        <v>232</v>
      </c>
    </row>
    <row r="212" s="17" customFormat="1" hidden="1" spans="1:34">
      <c r="A212" s="17" t="s">
        <v>34</v>
      </c>
      <c r="B212" s="19">
        <v>723</v>
      </c>
      <c r="C212" s="64">
        <v>44469</v>
      </c>
      <c r="D212" s="17" t="s">
        <v>52</v>
      </c>
      <c r="E212" s="17" t="s">
        <v>187</v>
      </c>
      <c r="F212" s="17" t="s">
        <v>54</v>
      </c>
      <c r="H212" s="65">
        <v>1.2311</v>
      </c>
      <c r="I212" s="65"/>
      <c r="J212" s="17" t="s">
        <v>49</v>
      </c>
      <c r="K212" s="17">
        <v>2200</v>
      </c>
      <c r="L212" s="17">
        <v>100</v>
      </c>
      <c r="M212" s="17">
        <v>4000</v>
      </c>
      <c r="N212" s="17" t="s">
        <v>66</v>
      </c>
      <c r="O212" s="19" t="s">
        <v>141</v>
      </c>
      <c r="P212" s="19">
        <v>6908</v>
      </c>
      <c r="Q212" s="17">
        <v>6905</v>
      </c>
      <c r="R212" s="17">
        <f t="shared" si="9"/>
        <v>3</v>
      </c>
      <c r="S212" s="17">
        <v>1135</v>
      </c>
      <c r="T212" s="71" t="s">
        <v>42</v>
      </c>
      <c r="U212" s="17" t="s">
        <v>230</v>
      </c>
      <c r="V212" s="67">
        <v>44475</v>
      </c>
      <c r="W212" s="17" t="s">
        <v>44</v>
      </c>
      <c r="Y212" s="68">
        <v>44470</v>
      </c>
      <c r="Z212" s="17" t="s">
        <v>191</v>
      </c>
      <c r="AA212" s="17" t="s">
        <v>46</v>
      </c>
      <c r="AB212" s="17" t="s">
        <v>231</v>
      </c>
      <c r="AC212" s="66">
        <v>44485</v>
      </c>
      <c r="AD212" s="65">
        <v>1231</v>
      </c>
      <c r="AE212" s="17" t="s">
        <v>48</v>
      </c>
      <c r="AF212" s="17" t="s">
        <v>193</v>
      </c>
      <c r="AH212" s="17" t="s">
        <v>232</v>
      </c>
    </row>
    <row r="213" s="17" customFormat="1" hidden="1" spans="1:34">
      <c r="A213" s="17" t="s">
        <v>34</v>
      </c>
      <c r="B213" s="19">
        <v>723</v>
      </c>
      <c r="C213" s="64">
        <v>44469</v>
      </c>
      <c r="D213" s="17" t="s">
        <v>52</v>
      </c>
      <c r="E213" s="17" t="s">
        <v>187</v>
      </c>
      <c r="F213" s="17" t="s">
        <v>54</v>
      </c>
      <c r="H213" s="65">
        <v>1.2311</v>
      </c>
      <c r="I213" s="65"/>
      <c r="J213" s="17" t="s">
        <v>49</v>
      </c>
      <c r="K213" s="17">
        <v>2200</v>
      </c>
      <c r="L213" s="17">
        <v>105</v>
      </c>
      <c r="M213" s="17">
        <v>4000</v>
      </c>
      <c r="N213" s="17" t="s">
        <v>66</v>
      </c>
      <c r="O213" s="19" t="s">
        <v>141</v>
      </c>
      <c r="P213" s="19">
        <v>7253</v>
      </c>
      <c r="Q213" s="17">
        <v>7110</v>
      </c>
      <c r="R213" s="17">
        <f t="shared" si="9"/>
        <v>143</v>
      </c>
      <c r="S213" s="17">
        <v>1135</v>
      </c>
      <c r="T213" s="71" t="s">
        <v>42</v>
      </c>
      <c r="U213" s="17" t="s">
        <v>230</v>
      </c>
      <c r="V213" s="67">
        <v>44475</v>
      </c>
      <c r="W213" s="17" t="s">
        <v>44</v>
      </c>
      <c r="Y213" s="68">
        <v>44470</v>
      </c>
      <c r="Z213" s="17" t="s">
        <v>191</v>
      </c>
      <c r="AA213" s="17" t="s">
        <v>46</v>
      </c>
      <c r="AB213" s="17" t="s">
        <v>231</v>
      </c>
      <c r="AC213" s="66">
        <v>44485</v>
      </c>
      <c r="AD213" s="65">
        <v>1231</v>
      </c>
      <c r="AE213" s="17" t="s">
        <v>48</v>
      </c>
      <c r="AF213" s="17" t="s">
        <v>193</v>
      </c>
      <c r="AH213" s="17" t="s">
        <v>232</v>
      </c>
    </row>
    <row r="214" s="17" customFormat="1" hidden="1" spans="1:34">
      <c r="A214" s="17" t="s">
        <v>34</v>
      </c>
      <c r="B214" s="19">
        <v>723</v>
      </c>
      <c r="C214" s="64">
        <v>44469</v>
      </c>
      <c r="D214" s="17" t="s">
        <v>52</v>
      </c>
      <c r="E214" s="17" t="s">
        <v>187</v>
      </c>
      <c r="F214" s="17" t="s">
        <v>54</v>
      </c>
      <c r="H214" s="65">
        <v>1.2311</v>
      </c>
      <c r="I214" s="65"/>
      <c r="J214" s="17" t="s">
        <v>49</v>
      </c>
      <c r="K214" s="17">
        <v>2200</v>
      </c>
      <c r="L214" s="17">
        <v>120</v>
      </c>
      <c r="M214" s="17">
        <v>3000</v>
      </c>
      <c r="N214" s="17" t="s">
        <v>66</v>
      </c>
      <c r="O214" s="19" t="s">
        <v>141</v>
      </c>
      <c r="P214" s="19">
        <v>6217</v>
      </c>
      <c r="Q214" s="17">
        <v>6330</v>
      </c>
      <c r="R214" s="17">
        <f t="shared" si="9"/>
        <v>-113</v>
      </c>
      <c r="S214" s="17">
        <v>1135</v>
      </c>
      <c r="T214" s="71" t="s">
        <v>42</v>
      </c>
      <c r="U214" s="17" t="s">
        <v>230</v>
      </c>
      <c r="V214" s="67">
        <v>44475</v>
      </c>
      <c r="W214" s="17" t="s">
        <v>44</v>
      </c>
      <c r="Y214" s="68">
        <v>44470</v>
      </c>
      <c r="Z214" s="17" t="s">
        <v>191</v>
      </c>
      <c r="AA214" s="17" t="s">
        <v>46</v>
      </c>
      <c r="AB214" s="17" t="s">
        <v>231</v>
      </c>
      <c r="AC214" s="66">
        <v>44485</v>
      </c>
      <c r="AD214" s="65">
        <v>1231</v>
      </c>
      <c r="AE214" s="17" t="s">
        <v>48</v>
      </c>
      <c r="AF214" s="17" t="s">
        <v>193</v>
      </c>
      <c r="AH214" s="17" t="s">
        <v>232</v>
      </c>
    </row>
    <row r="215" s="17" customFormat="1" hidden="1" spans="1:34">
      <c r="A215" s="17" t="s">
        <v>34</v>
      </c>
      <c r="B215" s="19">
        <v>723</v>
      </c>
      <c r="C215" s="64">
        <v>44469</v>
      </c>
      <c r="D215" s="17" t="s">
        <v>52</v>
      </c>
      <c r="E215" s="17" t="s">
        <v>187</v>
      </c>
      <c r="F215" s="17" t="s">
        <v>54</v>
      </c>
      <c r="H215" s="65">
        <v>1.2311</v>
      </c>
      <c r="I215" s="65"/>
      <c r="J215" s="17" t="s">
        <v>49</v>
      </c>
      <c r="K215" s="17">
        <v>2200</v>
      </c>
      <c r="L215" s="17">
        <v>130</v>
      </c>
      <c r="M215" s="17">
        <v>3000</v>
      </c>
      <c r="N215" s="17" t="s">
        <v>66</v>
      </c>
      <c r="O215" s="19" t="s">
        <v>141</v>
      </c>
      <c r="P215" s="19">
        <v>6735</v>
      </c>
      <c r="Q215" s="17">
        <v>6690</v>
      </c>
      <c r="R215" s="17">
        <f t="shared" si="9"/>
        <v>45</v>
      </c>
      <c r="S215" s="17">
        <f>1135+20</f>
        <v>1155</v>
      </c>
      <c r="T215" s="71" t="s">
        <v>42</v>
      </c>
      <c r="U215" s="17" t="s">
        <v>230</v>
      </c>
      <c r="V215" s="67">
        <v>44475</v>
      </c>
      <c r="W215" s="17" t="s">
        <v>44</v>
      </c>
      <c r="Y215" s="68">
        <v>44470</v>
      </c>
      <c r="Z215" s="17" t="s">
        <v>191</v>
      </c>
      <c r="AA215" s="17" t="s">
        <v>46</v>
      </c>
      <c r="AB215" s="17" t="s">
        <v>231</v>
      </c>
      <c r="AC215" s="66">
        <v>44485</v>
      </c>
      <c r="AD215" s="65">
        <v>1231</v>
      </c>
      <c r="AE215" s="17" t="s">
        <v>48</v>
      </c>
      <c r="AF215" s="17" t="s">
        <v>193</v>
      </c>
      <c r="AH215" s="17" t="s">
        <v>232</v>
      </c>
    </row>
    <row r="216" s="17" customFormat="1" hidden="1" spans="1:34">
      <c r="A216" s="17" t="s">
        <v>34</v>
      </c>
      <c r="B216" s="19">
        <v>723</v>
      </c>
      <c r="C216" s="64">
        <v>44469</v>
      </c>
      <c r="D216" s="17" t="s">
        <v>52</v>
      </c>
      <c r="E216" s="17" t="s">
        <v>187</v>
      </c>
      <c r="F216" s="17" t="s">
        <v>54</v>
      </c>
      <c r="H216" s="65">
        <v>1.2311</v>
      </c>
      <c r="I216" s="65"/>
      <c r="J216" s="17" t="s">
        <v>49</v>
      </c>
      <c r="K216" s="17">
        <v>2200</v>
      </c>
      <c r="L216" s="17">
        <v>140</v>
      </c>
      <c r="M216" s="17">
        <v>4000</v>
      </c>
      <c r="N216" s="17" t="s">
        <v>66</v>
      </c>
      <c r="O216" s="19" t="s">
        <v>141</v>
      </c>
      <c r="P216" s="19">
        <v>9671</v>
      </c>
      <c r="Q216" s="17">
        <v>9780</v>
      </c>
      <c r="R216" s="17">
        <f t="shared" si="9"/>
        <v>-109</v>
      </c>
      <c r="S216" s="17">
        <f>1135+20</f>
        <v>1155</v>
      </c>
      <c r="T216" s="71" t="s">
        <v>42</v>
      </c>
      <c r="U216" s="17" t="s">
        <v>230</v>
      </c>
      <c r="V216" s="67">
        <v>44475</v>
      </c>
      <c r="W216" s="17" t="s">
        <v>44</v>
      </c>
      <c r="Y216" s="68">
        <v>44470</v>
      </c>
      <c r="Z216" s="17" t="s">
        <v>191</v>
      </c>
      <c r="AA216" s="17" t="s">
        <v>46</v>
      </c>
      <c r="AB216" s="17" t="s">
        <v>231</v>
      </c>
      <c r="AC216" s="66">
        <v>44485</v>
      </c>
      <c r="AD216" s="65">
        <v>1231</v>
      </c>
      <c r="AE216" s="17" t="s">
        <v>48</v>
      </c>
      <c r="AF216" s="17" t="s">
        <v>193</v>
      </c>
      <c r="AH216" s="17" t="s">
        <v>232</v>
      </c>
    </row>
    <row r="217" s="17" customFormat="1" hidden="1" spans="1:34">
      <c r="A217" s="17" t="s">
        <v>34</v>
      </c>
      <c r="B217" s="19">
        <v>724</v>
      </c>
      <c r="C217" s="64">
        <v>44469</v>
      </c>
      <c r="D217" s="17" t="s">
        <v>52</v>
      </c>
      <c r="E217" s="17" t="s">
        <v>187</v>
      </c>
      <c r="F217" s="17" t="s">
        <v>54</v>
      </c>
      <c r="H217" s="65">
        <v>1.2311</v>
      </c>
      <c r="I217" s="65"/>
      <c r="J217" s="17" t="s">
        <v>82</v>
      </c>
      <c r="K217" s="91">
        <v>205</v>
      </c>
      <c r="L217" s="92">
        <v>25</v>
      </c>
      <c r="M217" s="93">
        <v>2200</v>
      </c>
      <c r="N217" s="17" t="s">
        <v>66</v>
      </c>
      <c r="O217" s="19" t="s">
        <v>141</v>
      </c>
      <c r="P217" s="94">
        <v>631.4</v>
      </c>
      <c r="Q217" s="17">
        <v>708</v>
      </c>
      <c r="R217" s="95">
        <f t="shared" si="9"/>
        <v>-76.6</v>
      </c>
      <c r="S217" s="17">
        <v>1175</v>
      </c>
      <c r="T217" s="71" t="s">
        <v>42</v>
      </c>
      <c r="U217" s="17" t="s">
        <v>233</v>
      </c>
      <c r="V217" s="67">
        <v>44475</v>
      </c>
      <c r="W217" s="17" t="s">
        <v>44</v>
      </c>
      <c r="Y217" s="68">
        <v>44470</v>
      </c>
      <c r="Z217" s="17" t="s">
        <v>191</v>
      </c>
      <c r="AA217" s="17" t="s">
        <v>46</v>
      </c>
      <c r="AB217" s="17" t="s">
        <v>234</v>
      </c>
      <c r="AC217" s="66">
        <v>44518</v>
      </c>
      <c r="AD217" s="65">
        <v>1239</v>
      </c>
      <c r="AE217" s="17" t="s">
        <v>74</v>
      </c>
      <c r="AF217" s="17" t="s">
        <v>193</v>
      </c>
      <c r="AH217" s="17" t="s">
        <v>235</v>
      </c>
    </row>
    <row r="218" s="17" customFormat="1" hidden="1" spans="1:34">
      <c r="A218" s="17" t="s">
        <v>34</v>
      </c>
      <c r="B218" s="19">
        <v>724</v>
      </c>
      <c r="C218" s="64">
        <v>44469</v>
      </c>
      <c r="D218" s="17" t="s">
        <v>52</v>
      </c>
      <c r="E218" s="17" t="s">
        <v>187</v>
      </c>
      <c r="F218" s="17" t="s">
        <v>54</v>
      </c>
      <c r="H218" s="65">
        <v>1.2311</v>
      </c>
      <c r="I218" s="65"/>
      <c r="J218" s="17" t="s">
        <v>82</v>
      </c>
      <c r="K218" s="91">
        <v>255</v>
      </c>
      <c r="L218" s="92">
        <v>25</v>
      </c>
      <c r="M218" s="19">
        <v>2200</v>
      </c>
      <c r="N218" s="17" t="s">
        <v>66</v>
      </c>
      <c r="O218" s="19" t="s">
        <v>141</v>
      </c>
      <c r="P218" s="94">
        <v>561</v>
      </c>
      <c r="Q218" s="17">
        <v>620</v>
      </c>
      <c r="R218" s="95">
        <f t="shared" si="9"/>
        <v>-59</v>
      </c>
      <c r="S218" s="17">
        <v>1175</v>
      </c>
      <c r="T218" s="71" t="s">
        <v>42</v>
      </c>
      <c r="U218" s="17" t="s">
        <v>233</v>
      </c>
      <c r="V218" s="67">
        <v>44475</v>
      </c>
      <c r="W218" s="17" t="s">
        <v>44</v>
      </c>
      <c r="Y218" s="68">
        <v>44470</v>
      </c>
      <c r="Z218" s="17" t="s">
        <v>191</v>
      </c>
      <c r="AA218" s="17" t="s">
        <v>46</v>
      </c>
      <c r="AB218" s="17" t="s">
        <v>234</v>
      </c>
      <c r="AC218" s="66">
        <v>44518</v>
      </c>
      <c r="AD218" s="65">
        <v>1239</v>
      </c>
      <c r="AE218" s="17" t="s">
        <v>74</v>
      </c>
      <c r="AF218" s="17" t="s">
        <v>193</v>
      </c>
      <c r="AH218" s="17" t="s">
        <v>235</v>
      </c>
    </row>
    <row r="219" s="17" customFormat="1" hidden="1" spans="1:34">
      <c r="A219" s="17" t="s">
        <v>34</v>
      </c>
      <c r="B219" s="19">
        <v>724</v>
      </c>
      <c r="C219" s="64">
        <v>44469</v>
      </c>
      <c r="D219" s="17" t="s">
        <v>52</v>
      </c>
      <c r="E219" s="17" t="s">
        <v>187</v>
      </c>
      <c r="F219" s="17" t="s">
        <v>54</v>
      </c>
      <c r="H219" s="65">
        <v>1.2311</v>
      </c>
      <c r="I219" s="65"/>
      <c r="J219" s="17" t="s">
        <v>82</v>
      </c>
      <c r="K219" s="91">
        <v>305</v>
      </c>
      <c r="L219" s="92">
        <v>25</v>
      </c>
      <c r="M219" s="19">
        <v>2200</v>
      </c>
      <c r="N219" s="17" t="s">
        <v>66</v>
      </c>
      <c r="O219" s="19" t="s">
        <v>141</v>
      </c>
      <c r="P219" s="94">
        <v>268.4</v>
      </c>
      <c r="Q219" s="17">
        <v>292</v>
      </c>
      <c r="R219" s="95">
        <f t="shared" si="9"/>
        <v>-23.6</v>
      </c>
      <c r="S219" s="17">
        <v>1175</v>
      </c>
      <c r="T219" s="71" t="s">
        <v>42</v>
      </c>
      <c r="U219" s="17" t="s">
        <v>233</v>
      </c>
      <c r="V219" s="67">
        <v>44475</v>
      </c>
      <c r="W219" s="17" t="s">
        <v>44</v>
      </c>
      <c r="Y219" s="68">
        <v>44470</v>
      </c>
      <c r="Z219" s="17" t="s">
        <v>191</v>
      </c>
      <c r="AA219" s="17" t="s">
        <v>46</v>
      </c>
      <c r="AB219" s="17" t="s">
        <v>234</v>
      </c>
      <c r="AC219" s="66">
        <v>44518</v>
      </c>
      <c r="AD219" s="65">
        <v>1239</v>
      </c>
      <c r="AE219" s="17" t="s">
        <v>74</v>
      </c>
      <c r="AF219" s="17" t="s">
        <v>193</v>
      </c>
      <c r="AH219" s="17" t="s">
        <v>235</v>
      </c>
    </row>
    <row r="220" s="17" customFormat="1" hidden="1" spans="1:34">
      <c r="A220" s="17" t="s">
        <v>34</v>
      </c>
      <c r="B220" s="19">
        <v>724</v>
      </c>
      <c r="C220" s="64">
        <v>44469</v>
      </c>
      <c r="D220" s="17" t="s">
        <v>52</v>
      </c>
      <c r="E220" s="17" t="s">
        <v>187</v>
      </c>
      <c r="F220" s="17" t="s">
        <v>54</v>
      </c>
      <c r="H220" s="65">
        <v>1.2311</v>
      </c>
      <c r="I220" s="65"/>
      <c r="J220" s="17" t="s">
        <v>82</v>
      </c>
      <c r="K220" s="91">
        <v>355</v>
      </c>
      <c r="L220" s="92">
        <v>25</v>
      </c>
      <c r="M220" s="19">
        <v>2200</v>
      </c>
      <c r="N220" s="17" t="s">
        <v>66</v>
      </c>
      <c r="O220" s="19" t="s">
        <v>141</v>
      </c>
      <c r="P220" s="94">
        <v>312.4</v>
      </c>
      <c r="Q220" s="17">
        <v>340</v>
      </c>
      <c r="R220" s="95">
        <f t="shared" si="9"/>
        <v>-27.6</v>
      </c>
      <c r="S220" s="17">
        <v>1175</v>
      </c>
      <c r="T220" s="71" t="s">
        <v>42</v>
      </c>
      <c r="U220" s="17" t="s">
        <v>233</v>
      </c>
      <c r="V220" s="67">
        <v>44475</v>
      </c>
      <c r="W220" s="17" t="s">
        <v>44</v>
      </c>
      <c r="Y220" s="68">
        <v>44470</v>
      </c>
      <c r="Z220" s="17" t="s">
        <v>191</v>
      </c>
      <c r="AA220" s="17" t="s">
        <v>46</v>
      </c>
      <c r="AB220" s="17" t="s">
        <v>234</v>
      </c>
      <c r="AC220" s="66">
        <v>44518</v>
      </c>
      <c r="AD220" s="65">
        <v>1239</v>
      </c>
      <c r="AE220" s="17" t="s">
        <v>74</v>
      </c>
      <c r="AF220" s="17" t="s">
        <v>193</v>
      </c>
      <c r="AH220" s="17" t="s">
        <v>235</v>
      </c>
    </row>
    <row r="221" s="17" customFormat="1" hidden="1" spans="1:34">
      <c r="A221" s="17" t="s">
        <v>34</v>
      </c>
      <c r="B221" s="19">
        <v>724</v>
      </c>
      <c r="C221" s="64">
        <v>44469</v>
      </c>
      <c r="D221" s="17" t="s">
        <v>52</v>
      </c>
      <c r="E221" s="17" t="s">
        <v>187</v>
      </c>
      <c r="F221" s="17" t="s">
        <v>54</v>
      </c>
      <c r="H221" s="65">
        <v>1.2311</v>
      </c>
      <c r="I221" s="65"/>
      <c r="J221" s="17" t="s">
        <v>82</v>
      </c>
      <c r="K221" s="91">
        <v>405</v>
      </c>
      <c r="L221" s="92">
        <v>25</v>
      </c>
      <c r="M221" s="19">
        <v>2200</v>
      </c>
      <c r="N221" s="17" t="s">
        <v>66</v>
      </c>
      <c r="O221" s="19" t="s">
        <v>141</v>
      </c>
      <c r="P221" s="94">
        <v>356.4</v>
      </c>
      <c r="Q221" s="17">
        <v>390</v>
      </c>
      <c r="R221" s="95">
        <f t="shared" si="9"/>
        <v>-33.6</v>
      </c>
      <c r="S221" s="17">
        <v>1175</v>
      </c>
      <c r="T221" s="71" t="s">
        <v>42</v>
      </c>
      <c r="U221" s="17" t="s">
        <v>233</v>
      </c>
      <c r="V221" s="67">
        <v>44475</v>
      </c>
      <c r="W221" s="17" t="s">
        <v>44</v>
      </c>
      <c r="Y221" s="68">
        <v>44470</v>
      </c>
      <c r="Z221" s="17" t="s">
        <v>191</v>
      </c>
      <c r="AA221" s="17" t="s">
        <v>46</v>
      </c>
      <c r="AB221" s="17" t="s">
        <v>234</v>
      </c>
      <c r="AC221" s="66">
        <v>44518</v>
      </c>
      <c r="AD221" s="65">
        <v>1239</v>
      </c>
      <c r="AE221" s="17" t="s">
        <v>74</v>
      </c>
      <c r="AF221" s="17" t="s">
        <v>193</v>
      </c>
      <c r="AH221" s="17" t="s">
        <v>235</v>
      </c>
    </row>
    <row r="222" s="17" customFormat="1" hidden="1" spans="1:34">
      <c r="A222" s="17" t="s">
        <v>34</v>
      </c>
      <c r="B222" s="19">
        <v>724</v>
      </c>
      <c r="C222" s="64">
        <v>44469</v>
      </c>
      <c r="D222" s="17" t="s">
        <v>52</v>
      </c>
      <c r="E222" s="17" t="s">
        <v>187</v>
      </c>
      <c r="F222" s="17" t="s">
        <v>54</v>
      </c>
      <c r="H222" s="65">
        <v>1.2311</v>
      </c>
      <c r="I222" s="65"/>
      <c r="J222" s="17" t="s">
        <v>82</v>
      </c>
      <c r="K222" s="91">
        <v>205</v>
      </c>
      <c r="L222" s="92">
        <v>32</v>
      </c>
      <c r="M222" s="19">
        <v>2200</v>
      </c>
      <c r="N222" s="17" t="s">
        <v>66</v>
      </c>
      <c r="O222" s="19" t="s">
        <v>141</v>
      </c>
      <c r="P222" s="94">
        <v>230.91</v>
      </c>
      <c r="Q222" s="17">
        <v>240</v>
      </c>
      <c r="R222" s="95">
        <f t="shared" si="9"/>
        <v>-9.09</v>
      </c>
      <c r="S222" s="17">
        <v>1175</v>
      </c>
      <c r="T222" s="71" t="s">
        <v>42</v>
      </c>
      <c r="U222" s="17" t="s">
        <v>233</v>
      </c>
      <c r="V222" s="67">
        <v>44475</v>
      </c>
      <c r="W222" s="17" t="s">
        <v>44</v>
      </c>
      <c r="Y222" s="68">
        <v>44470</v>
      </c>
      <c r="Z222" s="17" t="s">
        <v>191</v>
      </c>
      <c r="AA222" s="17" t="s">
        <v>46</v>
      </c>
      <c r="AB222" s="17" t="s">
        <v>234</v>
      </c>
      <c r="AC222" s="66">
        <v>44518</v>
      </c>
      <c r="AD222" s="65">
        <v>1239</v>
      </c>
      <c r="AE222" s="17" t="s">
        <v>74</v>
      </c>
      <c r="AF222" s="17" t="s">
        <v>193</v>
      </c>
      <c r="AH222" s="17" t="s">
        <v>235</v>
      </c>
    </row>
    <row r="223" s="17" customFormat="1" hidden="1" spans="1:34">
      <c r="A223" s="17" t="s">
        <v>34</v>
      </c>
      <c r="B223" s="19">
        <v>724</v>
      </c>
      <c r="C223" s="64">
        <v>44469</v>
      </c>
      <c r="D223" s="17" t="s">
        <v>52</v>
      </c>
      <c r="E223" s="17" t="s">
        <v>187</v>
      </c>
      <c r="F223" s="17" t="s">
        <v>54</v>
      </c>
      <c r="H223" s="65">
        <v>1.2311</v>
      </c>
      <c r="I223" s="65"/>
      <c r="J223" s="17" t="s">
        <v>82</v>
      </c>
      <c r="K223" s="91">
        <v>255</v>
      </c>
      <c r="L223" s="92">
        <v>32</v>
      </c>
      <c r="M223" s="19">
        <v>2200</v>
      </c>
      <c r="N223" s="17" t="s">
        <v>66</v>
      </c>
      <c r="O223" s="19" t="s">
        <v>141</v>
      </c>
      <c r="P223" s="94">
        <v>287</v>
      </c>
      <c r="Q223" s="17">
        <v>300</v>
      </c>
      <c r="R223" s="95">
        <f t="shared" si="9"/>
        <v>-13</v>
      </c>
      <c r="S223" s="17">
        <v>1175</v>
      </c>
      <c r="T223" s="71" t="s">
        <v>42</v>
      </c>
      <c r="U223" s="17" t="s">
        <v>233</v>
      </c>
      <c r="V223" s="67">
        <v>44475</v>
      </c>
      <c r="W223" s="17" t="s">
        <v>44</v>
      </c>
      <c r="Y223" s="68">
        <v>44470</v>
      </c>
      <c r="Z223" s="17" t="s">
        <v>191</v>
      </c>
      <c r="AA223" s="17" t="s">
        <v>46</v>
      </c>
      <c r="AB223" s="17" t="s">
        <v>234</v>
      </c>
      <c r="AC223" s="66">
        <v>44518</v>
      </c>
      <c r="AD223" s="65">
        <v>1239</v>
      </c>
      <c r="AE223" s="17" t="s">
        <v>74</v>
      </c>
      <c r="AF223" s="17" t="s">
        <v>193</v>
      </c>
      <c r="AH223" s="17" t="s">
        <v>235</v>
      </c>
    </row>
    <row r="224" s="17" customFormat="1" hidden="1" spans="1:34">
      <c r="A224" s="17" t="s">
        <v>34</v>
      </c>
      <c r="B224" s="19">
        <v>724</v>
      </c>
      <c r="C224" s="64">
        <v>44469</v>
      </c>
      <c r="D224" s="17" t="s">
        <v>52</v>
      </c>
      <c r="E224" s="17" t="s">
        <v>187</v>
      </c>
      <c r="F224" s="17" t="s">
        <v>54</v>
      </c>
      <c r="H224" s="65">
        <v>1.2311</v>
      </c>
      <c r="I224" s="65"/>
      <c r="J224" s="17" t="s">
        <v>82</v>
      </c>
      <c r="K224" s="91">
        <v>305</v>
      </c>
      <c r="L224" s="92">
        <v>32</v>
      </c>
      <c r="M224" s="19">
        <v>2200</v>
      </c>
      <c r="N224" s="17" t="s">
        <v>66</v>
      </c>
      <c r="O224" s="19" t="s">
        <v>141</v>
      </c>
      <c r="P224" s="94">
        <v>343.55</v>
      </c>
      <c r="Q224" s="17">
        <v>348</v>
      </c>
      <c r="R224" s="95">
        <f t="shared" si="9"/>
        <v>-4.44999999999999</v>
      </c>
      <c r="S224" s="17">
        <v>1175</v>
      </c>
      <c r="T224" s="71" t="s">
        <v>42</v>
      </c>
      <c r="U224" s="17" t="s">
        <v>233</v>
      </c>
      <c r="V224" s="67">
        <v>44475</v>
      </c>
      <c r="W224" s="17" t="s">
        <v>44</v>
      </c>
      <c r="Y224" s="68">
        <v>44470</v>
      </c>
      <c r="Z224" s="17" t="s">
        <v>191</v>
      </c>
      <c r="AA224" s="17" t="s">
        <v>46</v>
      </c>
      <c r="AB224" s="17" t="s">
        <v>234</v>
      </c>
      <c r="AC224" s="66">
        <v>44518</v>
      </c>
      <c r="AD224" s="65">
        <v>1239</v>
      </c>
      <c r="AE224" s="17" t="s">
        <v>74</v>
      </c>
      <c r="AF224" s="17" t="s">
        <v>193</v>
      </c>
      <c r="AH224" s="17" t="s">
        <v>235</v>
      </c>
    </row>
    <row r="225" s="17" customFormat="1" hidden="1" spans="1:34">
      <c r="A225" s="17" t="s">
        <v>34</v>
      </c>
      <c r="B225" s="19">
        <v>724</v>
      </c>
      <c r="C225" s="64">
        <v>44469</v>
      </c>
      <c r="D225" s="17" t="s">
        <v>52</v>
      </c>
      <c r="E225" s="17" t="s">
        <v>187</v>
      </c>
      <c r="F225" s="17" t="s">
        <v>54</v>
      </c>
      <c r="H225" s="65">
        <v>1.2311</v>
      </c>
      <c r="I225" s="65"/>
      <c r="J225" s="17" t="s">
        <v>82</v>
      </c>
      <c r="K225" s="91">
        <v>355</v>
      </c>
      <c r="L225" s="92">
        <v>32</v>
      </c>
      <c r="M225" s="19">
        <v>2200</v>
      </c>
      <c r="N225" s="17" t="s">
        <v>66</v>
      </c>
      <c r="O225" s="19" t="s">
        <v>141</v>
      </c>
      <c r="P225" s="94">
        <v>399.8</v>
      </c>
      <c r="Q225" s="17">
        <v>406</v>
      </c>
      <c r="R225" s="95">
        <f t="shared" si="9"/>
        <v>-6.19999999999999</v>
      </c>
      <c r="S225" s="17">
        <v>1175</v>
      </c>
      <c r="T225" s="71" t="s">
        <v>42</v>
      </c>
      <c r="U225" s="17" t="s">
        <v>233</v>
      </c>
      <c r="V225" s="67">
        <v>44475</v>
      </c>
      <c r="W225" s="17" t="s">
        <v>44</v>
      </c>
      <c r="Y225" s="68">
        <v>44470</v>
      </c>
      <c r="Z225" s="17" t="s">
        <v>191</v>
      </c>
      <c r="AA225" s="17" t="s">
        <v>46</v>
      </c>
      <c r="AB225" s="17" t="s">
        <v>234</v>
      </c>
      <c r="AC225" s="66">
        <v>44518</v>
      </c>
      <c r="AD225" s="65">
        <v>1239</v>
      </c>
      <c r="AE225" s="17" t="s">
        <v>74</v>
      </c>
      <c r="AF225" s="17" t="s">
        <v>193</v>
      </c>
      <c r="AH225" s="17" t="s">
        <v>235</v>
      </c>
    </row>
    <row r="226" s="17" customFormat="1" hidden="1" spans="1:34">
      <c r="A226" s="17" t="s">
        <v>34</v>
      </c>
      <c r="B226" s="19">
        <v>724</v>
      </c>
      <c r="C226" s="64">
        <v>44469</v>
      </c>
      <c r="D226" s="17" t="s">
        <v>52</v>
      </c>
      <c r="E226" s="17" t="s">
        <v>187</v>
      </c>
      <c r="F226" s="17" t="s">
        <v>54</v>
      </c>
      <c r="H226" s="65">
        <v>1.2311</v>
      </c>
      <c r="I226" s="65"/>
      <c r="J226" s="17" t="s">
        <v>82</v>
      </c>
      <c r="K226" s="91">
        <v>405</v>
      </c>
      <c r="L226" s="92">
        <v>32</v>
      </c>
      <c r="M226" s="19">
        <v>2200</v>
      </c>
      <c r="N226" s="17" t="s">
        <v>66</v>
      </c>
      <c r="O226" s="19" t="s">
        <v>141</v>
      </c>
      <c r="P226" s="94">
        <v>456.1</v>
      </c>
      <c r="Q226" s="17">
        <v>460</v>
      </c>
      <c r="R226" s="95">
        <f t="shared" si="9"/>
        <v>-3.89999999999998</v>
      </c>
      <c r="S226" s="17">
        <v>1175</v>
      </c>
      <c r="T226" s="71" t="s">
        <v>42</v>
      </c>
      <c r="U226" s="17" t="s">
        <v>233</v>
      </c>
      <c r="V226" s="67">
        <v>44475</v>
      </c>
      <c r="W226" s="17" t="s">
        <v>44</v>
      </c>
      <c r="Y226" s="68">
        <v>44470</v>
      </c>
      <c r="Z226" s="17" t="s">
        <v>191</v>
      </c>
      <c r="AA226" s="17" t="s">
        <v>46</v>
      </c>
      <c r="AB226" s="17" t="s">
        <v>234</v>
      </c>
      <c r="AC226" s="66">
        <v>44518</v>
      </c>
      <c r="AD226" s="65">
        <v>1239</v>
      </c>
      <c r="AE226" s="17" t="s">
        <v>74</v>
      </c>
      <c r="AF226" s="17" t="s">
        <v>193</v>
      </c>
      <c r="AH226" s="17" t="s">
        <v>235</v>
      </c>
    </row>
    <row r="227" s="17" customFormat="1" hidden="1" spans="1:34">
      <c r="A227" s="17" t="s">
        <v>34</v>
      </c>
      <c r="B227" s="19">
        <v>724</v>
      </c>
      <c r="C227" s="64">
        <v>44469</v>
      </c>
      <c r="D227" s="17" t="s">
        <v>52</v>
      </c>
      <c r="E227" s="17" t="s">
        <v>187</v>
      </c>
      <c r="F227" s="17" t="s">
        <v>54</v>
      </c>
      <c r="H227" s="65">
        <v>1.2311</v>
      </c>
      <c r="I227" s="65"/>
      <c r="J227" s="17" t="s">
        <v>82</v>
      </c>
      <c r="K227" s="91">
        <v>205</v>
      </c>
      <c r="L227" s="92">
        <v>40</v>
      </c>
      <c r="M227" s="19">
        <v>2200</v>
      </c>
      <c r="N227" s="17" t="s">
        <v>66</v>
      </c>
      <c r="O227" s="19" t="s">
        <v>141</v>
      </c>
      <c r="P227" s="94">
        <v>288.6</v>
      </c>
      <c r="Q227" s="17">
        <v>310</v>
      </c>
      <c r="R227" s="95">
        <f t="shared" si="9"/>
        <v>-21.4</v>
      </c>
      <c r="S227" s="17">
        <v>1175</v>
      </c>
      <c r="T227" s="71" t="s">
        <v>42</v>
      </c>
      <c r="U227" s="17" t="s">
        <v>233</v>
      </c>
      <c r="V227" s="67">
        <v>44475</v>
      </c>
      <c r="W227" s="17" t="s">
        <v>44</v>
      </c>
      <c r="Y227" s="68">
        <v>44470</v>
      </c>
      <c r="Z227" s="17" t="s">
        <v>191</v>
      </c>
      <c r="AA227" s="17" t="s">
        <v>46</v>
      </c>
      <c r="AB227" s="17" t="s">
        <v>234</v>
      </c>
      <c r="AC227" s="66">
        <v>44518</v>
      </c>
      <c r="AD227" s="65">
        <v>1239</v>
      </c>
      <c r="AE227" s="17" t="s">
        <v>74</v>
      </c>
      <c r="AF227" s="17" t="s">
        <v>193</v>
      </c>
      <c r="AH227" s="17" t="s">
        <v>235</v>
      </c>
    </row>
    <row r="228" s="17" customFormat="1" hidden="1" spans="1:34">
      <c r="A228" s="17" t="s">
        <v>34</v>
      </c>
      <c r="B228" s="19">
        <v>724</v>
      </c>
      <c r="C228" s="64">
        <v>44469</v>
      </c>
      <c r="D228" s="17" t="s">
        <v>52</v>
      </c>
      <c r="E228" s="17" t="s">
        <v>187</v>
      </c>
      <c r="F228" s="17" t="s">
        <v>54</v>
      </c>
      <c r="H228" s="65">
        <v>1.2311</v>
      </c>
      <c r="I228" s="65"/>
      <c r="J228" s="17" t="s">
        <v>82</v>
      </c>
      <c r="K228" s="91">
        <v>255</v>
      </c>
      <c r="L228" s="92">
        <v>40</v>
      </c>
      <c r="M228" s="19">
        <v>2200</v>
      </c>
      <c r="N228" s="17" t="s">
        <v>66</v>
      </c>
      <c r="O228" s="19" t="s">
        <v>141</v>
      </c>
      <c r="P228" s="94">
        <v>359</v>
      </c>
      <c r="Q228" s="17">
        <v>402</v>
      </c>
      <c r="R228" s="95">
        <f t="shared" si="9"/>
        <v>-43</v>
      </c>
      <c r="S228" s="17">
        <v>1175</v>
      </c>
      <c r="T228" s="71" t="s">
        <v>42</v>
      </c>
      <c r="U228" s="17" t="s">
        <v>233</v>
      </c>
      <c r="V228" s="67">
        <v>44475</v>
      </c>
      <c r="W228" s="17" t="s">
        <v>44</v>
      </c>
      <c r="Y228" s="68">
        <v>44470</v>
      </c>
      <c r="Z228" s="17" t="s">
        <v>191</v>
      </c>
      <c r="AA228" s="17" t="s">
        <v>46</v>
      </c>
      <c r="AB228" s="17" t="s">
        <v>234</v>
      </c>
      <c r="AC228" s="66">
        <v>44518</v>
      </c>
      <c r="AD228" s="65">
        <v>1239</v>
      </c>
      <c r="AE228" s="17" t="s">
        <v>74</v>
      </c>
      <c r="AF228" s="17" t="s">
        <v>193</v>
      </c>
      <c r="AH228" s="17" t="s">
        <v>235</v>
      </c>
    </row>
    <row r="229" s="17" customFormat="1" hidden="1" spans="1:34">
      <c r="A229" s="17" t="s">
        <v>34</v>
      </c>
      <c r="B229" s="19">
        <v>724</v>
      </c>
      <c r="C229" s="64">
        <v>44469</v>
      </c>
      <c r="D229" s="17" t="s">
        <v>52</v>
      </c>
      <c r="E229" s="17" t="s">
        <v>187</v>
      </c>
      <c r="F229" s="17" t="s">
        <v>54</v>
      </c>
      <c r="H229" s="65">
        <v>1.2311</v>
      </c>
      <c r="I229" s="65"/>
      <c r="J229" s="17" t="s">
        <v>82</v>
      </c>
      <c r="K229" s="91">
        <v>305</v>
      </c>
      <c r="L229" s="92">
        <v>40</v>
      </c>
      <c r="M229" s="19">
        <v>2200</v>
      </c>
      <c r="N229" s="17" t="s">
        <v>66</v>
      </c>
      <c r="O229" s="19" t="s">
        <v>141</v>
      </c>
      <c r="P229" s="94">
        <v>429.4</v>
      </c>
      <c r="Q229" s="17">
        <v>474</v>
      </c>
      <c r="R229" s="95">
        <f t="shared" si="9"/>
        <v>-44.6</v>
      </c>
      <c r="S229" s="17">
        <v>1175</v>
      </c>
      <c r="T229" s="71" t="s">
        <v>42</v>
      </c>
      <c r="U229" s="17" t="s">
        <v>233</v>
      </c>
      <c r="V229" s="67">
        <v>44475</v>
      </c>
      <c r="W229" s="17" t="s">
        <v>44</v>
      </c>
      <c r="Y229" s="68">
        <v>44470</v>
      </c>
      <c r="Z229" s="17" t="s">
        <v>191</v>
      </c>
      <c r="AA229" s="17" t="s">
        <v>46</v>
      </c>
      <c r="AB229" s="17" t="s">
        <v>234</v>
      </c>
      <c r="AC229" s="66">
        <v>44518</v>
      </c>
      <c r="AD229" s="65">
        <v>1239</v>
      </c>
      <c r="AE229" s="17" t="s">
        <v>74</v>
      </c>
      <c r="AF229" s="17" t="s">
        <v>193</v>
      </c>
      <c r="AH229" s="17" t="s">
        <v>235</v>
      </c>
    </row>
    <row r="230" s="17" customFormat="1" hidden="1" spans="1:34">
      <c r="A230" s="17" t="s">
        <v>34</v>
      </c>
      <c r="B230" s="19">
        <v>724</v>
      </c>
      <c r="C230" s="64">
        <v>44469</v>
      </c>
      <c r="D230" s="17" t="s">
        <v>52</v>
      </c>
      <c r="E230" s="17" t="s">
        <v>187</v>
      </c>
      <c r="F230" s="17" t="s">
        <v>54</v>
      </c>
      <c r="H230" s="65">
        <v>1.2311</v>
      </c>
      <c r="I230" s="65"/>
      <c r="J230" s="17" t="s">
        <v>82</v>
      </c>
      <c r="K230" s="91">
        <v>355</v>
      </c>
      <c r="L230" s="92">
        <v>40</v>
      </c>
      <c r="M230" s="19">
        <v>2200</v>
      </c>
      <c r="N230" s="17" t="s">
        <v>66</v>
      </c>
      <c r="O230" s="19" t="s">
        <v>141</v>
      </c>
      <c r="P230" s="94">
        <v>499.8</v>
      </c>
      <c r="Q230" s="17">
        <v>554</v>
      </c>
      <c r="R230" s="95">
        <f t="shared" si="9"/>
        <v>-54.2</v>
      </c>
      <c r="S230" s="17">
        <v>1175</v>
      </c>
      <c r="T230" s="71" t="s">
        <v>42</v>
      </c>
      <c r="U230" s="17" t="s">
        <v>233</v>
      </c>
      <c r="V230" s="67">
        <v>44475</v>
      </c>
      <c r="W230" s="17" t="s">
        <v>44</v>
      </c>
      <c r="Y230" s="68">
        <v>44470</v>
      </c>
      <c r="Z230" s="17" t="s">
        <v>191</v>
      </c>
      <c r="AA230" s="17" t="s">
        <v>46</v>
      </c>
      <c r="AB230" s="17" t="s">
        <v>234</v>
      </c>
      <c r="AC230" s="66">
        <v>44518</v>
      </c>
      <c r="AD230" s="65">
        <v>1239</v>
      </c>
      <c r="AE230" s="17" t="s">
        <v>74</v>
      </c>
      <c r="AF230" s="17" t="s">
        <v>193</v>
      </c>
      <c r="AH230" s="17" t="s">
        <v>235</v>
      </c>
    </row>
    <row r="231" s="17" customFormat="1" hidden="1" spans="1:34">
      <c r="A231" s="17" t="s">
        <v>34</v>
      </c>
      <c r="B231" s="19">
        <v>724</v>
      </c>
      <c r="C231" s="64">
        <v>44469</v>
      </c>
      <c r="D231" s="17" t="s">
        <v>52</v>
      </c>
      <c r="E231" s="17" t="s">
        <v>187</v>
      </c>
      <c r="F231" s="17" t="s">
        <v>54</v>
      </c>
      <c r="H231" s="65">
        <v>1.2311</v>
      </c>
      <c r="I231" s="65"/>
      <c r="J231" s="17" t="s">
        <v>82</v>
      </c>
      <c r="K231" s="91">
        <v>405</v>
      </c>
      <c r="L231" s="92">
        <v>40</v>
      </c>
      <c r="M231" s="19">
        <v>2200</v>
      </c>
      <c r="N231" s="17" t="s">
        <v>66</v>
      </c>
      <c r="O231" s="19" t="s">
        <v>141</v>
      </c>
      <c r="P231" s="94">
        <v>285.12</v>
      </c>
      <c r="Q231" s="17">
        <v>314</v>
      </c>
      <c r="R231" s="95">
        <f t="shared" si="9"/>
        <v>-28.88</v>
      </c>
      <c r="S231" s="17">
        <v>1175</v>
      </c>
      <c r="T231" s="71" t="s">
        <v>42</v>
      </c>
      <c r="U231" s="17" t="s">
        <v>233</v>
      </c>
      <c r="V231" s="67">
        <v>44475</v>
      </c>
      <c r="W231" s="17" t="s">
        <v>44</v>
      </c>
      <c r="Y231" s="68">
        <v>44470</v>
      </c>
      <c r="Z231" s="17" t="s">
        <v>191</v>
      </c>
      <c r="AA231" s="17" t="s">
        <v>46</v>
      </c>
      <c r="AB231" s="17" t="s">
        <v>234</v>
      </c>
      <c r="AC231" s="66">
        <v>44518</v>
      </c>
      <c r="AD231" s="65">
        <v>1239</v>
      </c>
      <c r="AE231" s="17" t="s">
        <v>74</v>
      </c>
      <c r="AF231" s="17" t="s">
        <v>193</v>
      </c>
      <c r="AH231" s="17" t="s">
        <v>235</v>
      </c>
    </row>
    <row r="232" s="17" customFormat="1" hidden="1" spans="1:34">
      <c r="A232" s="17" t="s">
        <v>34</v>
      </c>
      <c r="B232" s="19">
        <v>724</v>
      </c>
      <c r="C232" s="64">
        <v>44469</v>
      </c>
      <c r="D232" s="17" t="s">
        <v>52</v>
      </c>
      <c r="E232" s="17" t="s">
        <v>187</v>
      </c>
      <c r="F232" s="17" t="s">
        <v>54</v>
      </c>
      <c r="H232" s="65">
        <v>1.2311</v>
      </c>
      <c r="I232" s="65"/>
      <c r="J232" s="17" t="s">
        <v>82</v>
      </c>
      <c r="K232" s="91">
        <v>205</v>
      </c>
      <c r="L232" s="92">
        <v>50</v>
      </c>
      <c r="M232" s="19">
        <v>2200</v>
      </c>
      <c r="N232" s="17" t="s">
        <v>66</v>
      </c>
      <c r="O232" s="19" t="s">
        <v>141</v>
      </c>
      <c r="P232" s="94">
        <v>902</v>
      </c>
      <c r="Q232" s="17">
        <v>970</v>
      </c>
      <c r="R232" s="95">
        <f t="shared" si="9"/>
        <v>-68</v>
      </c>
      <c r="S232" s="17">
        <v>1175</v>
      </c>
      <c r="T232" s="71" t="s">
        <v>42</v>
      </c>
      <c r="U232" s="17" t="s">
        <v>233</v>
      </c>
      <c r="V232" s="67">
        <v>44475</v>
      </c>
      <c r="W232" s="17" t="s">
        <v>44</v>
      </c>
      <c r="Y232" s="68">
        <v>44470</v>
      </c>
      <c r="Z232" s="17" t="s">
        <v>191</v>
      </c>
      <c r="AA232" s="17" t="s">
        <v>46</v>
      </c>
      <c r="AB232" s="17" t="s">
        <v>234</v>
      </c>
      <c r="AC232" s="66">
        <v>44518</v>
      </c>
      <c r="AD232" s="65">
        <v>1239</v>
      </c>
      <c r="AE232" s="17" t="s">
        <v>74</v>
      </c>
      <c r="AF232" s="17" t="s">
        <v>193</v>
      </c>
      <c r="AH232" s="17" t="s">
        <v>235</v>
      </c>
    </row>
    <row r="233" s="17" customFormat="1" hidden="1" spans="1:34">
      <c r="A233" s="17" t="s">
        <v>34</v>
      </c>
      <c r="B233" s="19">
        <v>724</v>
      </c>
      <c r="C233" s="64">
        <v>44469</v>
      </c>
      <c r="D233" s="17" t="s">
        <v>52</v>
      </c>
      <c r="E233" s="17" t="s">
        <v>187</v>
      </c>
      <c r="F233" s="17" t="s">
        <v>54</v>
      </c>
      <c r="H233" s="65">
        <v>1.2311</v>
      </c>
      <c r="I233" s="65"/>
      <c r="J233" s="17" t="s">
        <v>82</v>
      </c>
      <c r="K233" s="91">
        <v>255</v>
      </c>
      <c r="L233" s="92">
        <v>50</v>
      </c>
      <c r="M233" s="19">
        <v>2200</v>
      </c>
      <c r="N233" s="17" t="s">
        <v>66</v>
      </c>
      <c r="O233" s="19" t="s">
        <v>141</v>
      </c>
      <c r="P233" s="94">
        <v>897.6</v>
      </c>
      <c r="Q233" s="17">
        <v>956</v>
      </c>
      <c r="R233" s="95">
        <f t="shared" si="9"/>
        <v>-58.4</v>
      </c>
      <c r="S233" s="17">
        <v>1175</v>
      </c>
      <c r="T233" s="71" t="s">
        <v>42</v>
      </c>
      <c r="U233" s="17" t="s">
        <v>233</v>
      </c>
      <c r="V233" s="67">
        <v>44475</v>
      </c>
      <c r="W233" s="17" t="s">
        <v>44</v>
      </c>
      <c r="Y233" s="68">
        <v>44470</v>
      </c>
      <c r="Z233" s="17" t="s">
        <v>191</v>
      </c>
      <c r="AA233" s="17" t="s">
        <v>46</v>
      </c>
      <c r="AB233" s="17" t="s">
        <v>234</v>
      </c>
      <c r="AC233" s="66">
        <v>44518</v>
      </c>
      <c r="AD233" s="65">
        <v>1239</v>
      </c>
      <c r="AE233" s="17" t="s">
        <v>74</v>
      </c>
      <c r="AF233" s="17" t="s">
        <v>193</v>
      </c>
      <c r="AH233" s="17" t="s">
        <v>235</v>
      </c>
    </row>
    <row r="234" s="17" customFormat="1" hidden="1" spans="1:34">
      <c r="A234" s="17" t="s">
        <v>34</v>
      </c>
      <c r="B234" s="19">
        <v>724</v>
      </c>
      <c r="C234" s="64">
        <v>44469</v>
      </c>
      <c r="D234" s="17" t="s">
        <v>52</v>
      </c>
      <c r="E234" s="17" t="s">
        <v>187</v>
      </c>
      <c r="F234" s="17" t="s">
        <v>54</v>
      </c>
      <c r="H234" s="65">
        <v>1.2311</v>
      </c>
      <c r="I234" s="65"/>
      <c r="J234" s="17" t="s">
        <v>82</v>
      </c>
      <c r="K234" s="91">
        <v>305</v>
      </c>
      <c r="L234" s="92">
        <v>50</v>
      </c>
      <c r="M234" s="19">
        <v>2200</v>
      </c>
      <c r="N234" s="17" t="s">
        <v>66</v>
      </c>
      <c r="O234" s="19" t="s">
        <v>141</v>
      </c>
      <c r="P234" s="94">
        <v>805.2</v>
      </c>
      <c r="Q234" s="17">
        <v>856</v>
      </c>
      <c r="R234" s="95">
        <f t="shared" si="9"/>
        <v>-50.8</v>
      </c>
      <c r="S234" s="17">
        <v>1175</v>
      </c>
      <c r="T234" s="71" t="s">
        <v>42</v>
      </c>
      <c r="U234" s="17" t="s">
        <v>233</v>
      </c>
      <c r="V234" s="67">
        <v>44475</v>
      </c>
      <c r="W234" s="17" t="s">
        <v>44</v>
      </c>
      <c r="Y234" s="68">
        <v>44470</v>
      </c>
      <c r="Z234" s="17" t="s">
        <v>191</v>
      </c>
      <c r="AA234" s="17" t="s">
        <v>46</v>
      </c>
      <c r="AB234" s="17" t="s">
        <v>234</v>
      </c>
      <c r="AC234" s="66">
        <v>44518</v>
      </c>
      <c r="AD234" s="65">
        <v>1239</v>
      </c>
      <c r="AE234" s="17" t="s">
        <v>74</v>
      </c>
      <c r="AF234" s="17" t="s">
        <v>193</v>
      </c>
      <c r="AH234" s="17" t="s">
        <v>235</v>
      </c>
    </row>
    <row r="235" s="17" customFormat="1" hidden="1" spans="1:34">
      <c r="A235" s="17" t="s">
        <v>34</v>
      </c>
      <c r="B235" s="19">
        <v>724</v>
      </c>
      <c r="C235" s="64">
        <v>44469</v>
      </c>
      <c r="D235" s="17" t="s">
        <v>52</v>
      </c>
      <c r="E235" s="17" t="s">
        <v>187</v>
      </c>
      <c r="F235" s="17" t="s">
        <v>54</v>
      </c>
      <c r="H235" s="65">
        <v>1.2311</v>
      </c>
      <c r="I235" s="65"/>
      <c r="J235" s="17" t="s">
        <v>82</v>
      </c>
      <c r="K235" s="91">
        <v>355</v>
      </c>
      <c r="L235" s="92">
        <v>50</v>
      </c>
      <c r="M235" s="19">
        <v>2200</v>
      </c>
      <c r="N235" s="17" t="s">
        <v>66</v>
      </c>
      <c r="O235" s="19" t="s">
        <v>141</v>
      </c>
      <c r="P235" s="94">
        <v>937.2</v>
      </c>
      <c r="Q235" s="17">
        <v>990</v>
      </c>
      <c r="R235" s="95">
        <f t="shared" si="9"/>
        <v>-52.8</v>
      </c>
      <c r="S235" s="17">
        <v>1175</v>
      </c>
      <c r="T235" s="71" t="s">
        <v>42</v>
      </c>
      <c r="U235" s="17" t="s">
        <v>233</v>
      </c>
      <c r="V235" s="67">
        <v>44475</v>
      </c>
      <c r="W235" s="17" t="s">
        <v>44</v>
      </c>
      <c r="Y235" s="68">
        <v>44470</v>
      </c>
      <c r="Z235" s="17" t="s">
        <v>191</v>
      </c>
      <c r="AA235" s="17" t="s">
        <v>46</v>
      </c>
      <c r="AB235" s="17" t="s">
        <v>234</v>
      </c>
      <c r="AC235" s="66">
        <v>44518</v>
      </c>
      <c r="AD235" s="65">
        <v>1239</v>
      </c>
      <c r="AE235" s="17" t="s">
        <v>74</v>
      </c>
      <c r="AF235" s="17" t="s">
        <v>193</v>
      </c>
      <c r="AH235" s="17" t="s">
        <v>235</v>
      </c>
    </row>
    <row r="236" s="17" customFormat="1" hidden="1" spans="1:34">
      <c r="A236" s="17" t="s">
        <v>34</v>
      </c>
      <c r="B236" s="19">
        <v>724</v>
      </c>
      <c r="C236" s="64">
        <v>44469</v>
      </c>
      <c r="D236" s="17" t="s">
        <v>52</v>
      </c>
      <c r="E236" s="17" t="s">
        <v>187</v>
      </c>
      <c r="F236" s="17" t="s">
        <v>54</v>
      </c>
      <c r="H236" s="65">
        <v>1.2311</v>
      </c>
      <c r="I236" s="65"/>
      <c r="J236" s="17" t="s">
        <v>82</v>
      </c>
      <c r="K236" s="91">
        <v>405</v>
      </c>
      <c r="L236" s="92">
        <v>50</v>
      </c>
      <c r="M236" s="19">
        <v>2200</v>
      </c>
      <c r="N236" s="17" t="s">
        <v>66</v>
      </c>
      <c r="O236" s="19" t="s">
        <v>141</v>
      </c>
      <c r="P236" s="94">
        <v>1069.2</v>
      </c>
      <c r="Q236" s="17">
        <v>1136</v>
      </c>
      <c r="R236" s="95">
        <f t="shared" si="9"/>
        <v>-66.8</v>
      </c>
      <c r="S236" s="17">
        <v>1175</v>
      </c>
      <c r="T236" s="71" t="s">
        <v>42</v>
      </c>
      <c r="U236" s="17" t="s">
        <v>233</v>
      </c>
      <c r="V236" s="67">
        <v>44475</v>
      </c>
      <c r="W236" s="17" t="s">
        <v>44</v>
      </c>
      <c r="Y236" s="68">
        <v>44470</v>
      </c>
      <c r="Z236" s="17" t="s">
        <v>191</v>
      </c>
      <c r="AA236" s="17" t="s">
        <v>46</v>
      </c>
      <c r="AB236" s="17" t="s">
        <v>234</v>
      </c>
      <c r="AC236" s="66">
        <v>44518</v>
      </c>
      <c r="AD236" s="65">
        <v>1239</v>
      </c>
      <c r="AE236" s="17" t="s">
        <v>74</v>
      </c>
      <c r="AF236" s="17" t="s">
        <v>193</v>
      </c>
      <c r="AH236" s="17" t="s">
        <v>235</v>
      </c>
    </row>
    <row r="237" s="17" customFormat="1" hidden="1" spans="1:34">
      <c r="A237" s="17" t="s">
        <v>34</v>
      </c>
      <c r="B237" s="19">
        <v>724</v>
      </c>
      <c r="C237" s="64">
        <v>44469</v>
      </c>
      <c r="D237" s="17" t="s">
        <v>52</v>
      </c>
      <c r="E237" s="17" t="s">
        <v>187</v>
      </c>
      <c r="F237" s="17" t="s">
        <v>54</v>
      </c>
      <c r="H237" s="65">
        <v>1.2311</v>
      </c>
      <c r="I237" s="65"/>
      <c r="J237" s="17" t="s">
        <v>82</v>
      </c>
      <c r="K237" s="91">
        <v>205</v>
      </c>
      <c r="L237" s="92">
        <v>65</v>
      </c>
      <c r="M237" s="19">
        <v>2200</v>
      </c>
      <c r="N237" s="17" t="s">
        <v>66</v>
      </c>
      <c r="O237" s="19" t="s">
        <v>141</v>
      </c>
      <c r="P237" s="94">
        <v>703.5</v>
      </c>
      <c r="Q237" s="17">
        <v>748</v>
      </c>
      <c r="R237" s="95">
        <f t="shared" si="9"/>
        <v>-44.5</v>
      </c>
      <c r="S237" s="17">
        <v>1175</v>
      </c>
      <c r="T237" s="71" t="s">
        <v>42</v>
      </c>
      <c r="U237" s="17" t="s">
        <v>233</v>
      </c>
      <c r="V237" s="67">
        <v>44475</v>
      </c>
      <c r="W237" s="17" t="s">
        <v>44</v>
      </c>
      <c r="Y237" s="68">
        <v>44470</v>
      </c>
      <c r="Z237" s="17" t="s">
        <v>191</v>
      </c>
      <c r="AA237" s="17" t="s">
        <v>46</v>
      </c>
      <c r="AB237" s="17" t="s">
        <v>234</v>
      </c>
      <c r="AC237" s="66">
        <v>44518</v>
      </c>
      <c r="AD237" s="65">
        <v>1239</v>
      </c>
      <c r="AE237" s="17" t="s">
        <v>74</v>
      </c>
      <c r="AF237" s="17" t="s">
        <v>193</v>
      </c>
      <c r="AH237" s="17" t="s">
        <v>235</v>
      </c>
    </row>
    <row r="238" s="17" customFormat="1" hidden="1" spans="1:34">
      <c r="A238" s="17" t="s">
        <v>34</v>
      </c>
      <c r="B238" s="19">
        <v>724</v>
      </c>
      <c r="C238" s="64">
        <v>44469</v>
      </c>
      <c r="D238" s="17" t="s">
        <v>52</v>
      </c>
      <c r="E238" s="17" t="s">
        <v>187</v>
      </c>
      <c r="F238" s="17" t="s">
        <v>54</v>
      </c>
      <c r="H238" s="65">
        <v>1.2311</v>
      </c>
      <c r="I238" s="65"/>
      <c r="J238" s="17" t="s">
        <v>82</v>
      </c>
      <c r="K238" s="91">
        <v>255</v>
      </c>
      <c r="L238" s="92">
        <v>65</v>
      </c>
      <c r="M238" s="19">
        <v>2200</v>
      </c>
      <c r="N238" s="17" t="s">
        <v>66</v>
      </c>
      <c r="O238" s="19" t="s">
        <v>141</v>
      </c>
      <c r="P238" s="94">
        <v>875.1</v>
      </c>
      <c r="Q238" s="17">
        <v>916</v>
      </c>
      <c r="R238" s="95">
        <f t="shared" ref="R238:R301" si="11">+P238-Q238</f>
        <v>-40.9</v>
      </c>
      <c r="S238" s="17">
        <v>1175</v>
      </c>
      <c r="T238" s="71" t="s">
        <v>42</v>
      </c>
      <c r="U238" s="17" t="s">
        <v>233</v>
      </c>
      <c r="V238" s="67">
        <v>44475</v>
      </c>
      <c r="W238" s="17" t="s">
        <v>44</v>
      </c>
      <c r="Y238" s="68">
        <v>44470</v>
      </c>
      <c r="Z238" s="17" t="s">
        <v>191</v>
      </c>
      <c r="AA238" s="17" t="s">
        <v>46</v>
      </c>
      <c r="AB238" s="17" t="s">
        <v>234</v>
      </c>
      <c r="AC238" s="66">
        <v>44518</v>
      </c>
      <c r="AD238" s="65">
        <v>1239</v>
      </c>
      <c r="AE238" s="17" t="s">
        <v>74</v>
      </c>
      <c r="AF238" s="17" t="s">
        <v>193</v>
      </c>
      <c r="AH238" s="17" t="s">
        <v>235</v>
      </c>
    </row>
    <row r="239" s="17" customFormat="1" hidden="1" spans="1:34">
      <c r="A239" s="17" t="s">
        <v>34</v>
      </c>
      <c r="B239" s="19">
        <v>724</v>
      </c>
      <c r="C239" s="64">
        <v>44469</v>
      </c>
      <c r="D239" s="17" t="s">
        <v>52</v>
      </c>
      <c r="E239" s="17" t="s">
        <v>187</v>
      </c>
      <c r="F239" s="17" t="s">
        <v>54</v>
      </c>
      <c r="H239" s="65">
        <v>1.2311</v>
      </c>
      <c r="I239" s="65"/>
      <c r="J239" s="17" t="s">
        <v>82</v>
      </c>
      <c r="K239" s="91">
        <v>305</v>
      </c>
      <c r="L239" s="92">
        <v>65</v>
      </c>
      <c r="M239" s="19">
        <v>2200</v>
      </c>
      <c r="N239" s="17" t="s">
        <v>66</v>
      </c>
      <c r="O239" s="19" t="s">
        <v>141</v>
      </c>
      <c r="P239" s="94">
        <v>1395.6</v>
      </c>
      <c r="Q239" s="17">
        <v>1472</v>
      </c>
      <c r="R239" s="95">
        <f t="shared" si="11"/>
        <v>-76.4000000000001</v>
      </c>
      <c r="S239" s="17">
        <v>1175</v>
      </c>
      <c r="T239" s="71" t="s">
        <v>42</v>
      </c>
      <c r="U239" s="17" t="s">
        <v>233</v>
      </c>
      <c r="V239" s="67">
        <v>44475</v>
      </c>
      <c r="W239" s="17" t="s">
        <v>44</v>
      </c>
      <c r="Y239" s="68">
        <v>44470</v>
      </c>
      <c r="Z239" s="17" t="s">
        <v>191</v>
      </c>
      <c r="AA239" s="17" t="s">
        <v>46</v>
      </c>
      <c r="AB239" s="17" t="s">
        <v>234</v>
      </c>
      <c r="AC239" s="66">
        <v>44518</v>
      </c>
      <c r="AD239" s="65">
        <v>1239</v>
      </c>
      <c r="AE239" s="17" t="s">
        <v>74</v>
      </c>
      <c r="AF239" s="17" t="s">
        <v>193</v>
      </c>
      <c r="AH239" s="17" t="s">
        <v>235</v>
      </c>
    </row>
    <row r="240" s="17" customFormat="1" hidden="1" spans="1:34">
      <c r="A240" s="17" t="s">
        <v>34</v>
      </c>
      <c r="B240" s="19">
        <v>724</v>
      </c>
      <c r="C240" s="64">
        <v>44469</v>
      </c>
      <c r="D240" s="17" t="s">
        <v>52</v>
      </c>
      <c r="E240" s="17" t="s">
        <v>187</v>
      </c>
      <c r="F240" s="17" t="s">
        <v>54</v>
      </c>
      <c r="H240" s="65">
        <v>1.2311</v>
      </c>
      <c r="I240" s="65"/>
      <c r="J240" s="17" t="s">
        <v>82</v>
      </c>
      <c r="K240" s="91">
        <v>355</v>
      </c>
      <c r="L240" s="92">
        <v>65</v>
      </c>
      <c r="M240" s="19">
        <v>2200</v>
      </c>
      <c r="N240" s="17" t="s">
        <v>66</v>
      </c>
      <c r="O240" s="19" t="s">
        <v>141</v>
      </c>
      <c r="P240" s="94">
        <v>1218.3</v>
      </c>
      <c r="Q240" s="17">
        <v>1268</v>
      </c>
      <c r="R240" s="95">
        <f t="shared" si="11"/>
        <v>-49.7</v>
      </c>
      <c r="S240" s="17">
        <v>1175</v>
      </c>
      <c r="T240" s="71" t="s">
        <v>42</v>
      </c>
      <c r="U240" s="17" t="s">
        <v>233</v>
      </c>
      <c r="V240" s="67">
        <v>44475</v>
      </c>
      <c r="W240" s="17" t="s">
        <v>44</v>
      </c>
      <c r="Y240" s="68">
        <v>44470</v>
      </c>
      <c r="Z240" s="17" t="s">
        <v>191</v>
      </c>
      <c r="AA240" s="17" t="s">
        <v>46</v>
      </c>
      <c r="AB240" s="17" t="s">
        <v>234</v>
      </c>
      <c r="AC240" s="66">
        <v>44518</v>
      </c>
      <c r="AD240" s="65">
        <v>1239</v>
      </c>
      <c r="AE240" s="17" t="s">
        <v>74</v>
      </c>
      <c r="AF240" s="17" t="s">
        <v>193</v>
      </c>
      <c r="AH240" s="17" t="s">
        <v>235</v>
      </c>
    </row>
    <row r="241" s="17" customFormat="1" hidden="1" spans="1:34">
      <c r="A241" s="17" t="s">
        <v>34</v>
      </c>
      <c r="B241" s="19">
        <v>724</v>
      </c>
      <c r="C241" s="64">
        <v>44469</v>
      </c>
      <c r="D241" s="17" t="s">
        <v>52</v>
      </c>
      <c r="E241" s="17" t="s">
        <v>187</v>
      </c>
      <c r="F241" s="17" t="s">
        <v>54</v>
      </c>
      <c r="H241" s="65">
        <v>1.2311</v>
      </c>
      <c r="I241" s="65"/>
      <c r="J241" s="17" t="s">
        <v>82</v>
      </c>
      <c r="K241" s="91">
        <v>405</v>
      </c>
      <c r="L241" s="92">
        <v>65</v>
      </c>
      <c r="M241" s="19">
        <v>2200</v>
      </c>
      <c r="N241" s="17" t="s">
        <v>66</v>
      </c>
      <c r="O241" s="19" t="s">
        <v>141</v>
      </c>
      <c r="P241" s="94">
        <v>1389.9</v>
      </c>
      <c r="Q241" s="17">
        <v>1438</v>
      </c>
      <c r="R241" s="95">
        <f t="shared" si="11"/>
        <v>-48.0999999999999</v>
      </c>
      <c r="S241" s="17">
        <v>1175</v>
      </c>
      <c r="T241" s="71" t="s">
        <v>42</v>
      </c>
      <c r="U241" s="17" t="s">
        <v>233</v>
      </c>
      <c r="V241" s="67">
        <v>44475</v>
      </c>
      <c r="W241" s="17" t="s">
        <v>44</v>
      </c>
      <c r="Y241" s="68">
        <v>44470</v>
      </c>
      <c r="Z241" s="17" t="s">
        <v>191</v>
      </c>
      <c r="AA241" s="17" t="s">
        <v>46</v>
      </c>
      <c r="AB241" s="17" t="s">
        <v>234</v>
      </c>
      <c r="AC241" s="66">
        <v>44518</v>
      </c>
      <c r="AD241" s="65">
        <v>1239</v>
      </c>
      <c r="AE241" s="17" t="s">
        <v>74</v>
      </c>
      <c r="AF241" s="17" t="s">
        <v>193</v>
      </c>
      <c r="AH241" s="17" t="s">
        <v>235</v>
      </c>
    </row>
    <row r="242" s="17" customFormat="1" hidden="1" spans="1:34">
      <c r="A242" s="17" t="s">
        <v>34</v>
      </c>
      <c r="B242" s="19">
        <v>724</v>
      </c>
      <c r="C242" s="64">
        <v>44469</v>
      </c>
      <c r="D242" s="17" t="s">
        <v>52</v>
      </c>
      <c r="E242" s="17" t="s">
        <v>187</v>
      </c>
      <c r="F242" s="17" t="s">
        <v>54</v>
      </c>
      <c r="H242" s="65">
        <v>1.2311</v>
      </c>
      <c r="I242" s="65"/>
      <c r="J242" s="17" t="s">
        <v>82</v>
      </c>
      <c r="K242" s="91">
        <v>205</v>
      </c>
      <c r="L242" s="92">
        <v>80</v>
      </c>
      <c r="M242" s="19">
        <v>2200</v>
      </c>
      <c r="N242" s="17" t="s">
        <v>66</v>
      </c>
      <c r="O242" s="19" t="s">
        <v>141</v>
      </c>
      <c r="P242" s="94">
        <v>1154.5</v>
      </c>
      <c r="Q242" s="17">
        <v>1199</v>
      </c>
      <c r="R242" s="95">
        <f t="shared" si="11"/>
        <v>-44.5</v>
      </c>
      <c r="S242" s="17">
        <v>1175</v>
      </c>
      <c r="T242" s="71" t="s">
        <v>42</v>
      </c>
      <c r="U242" s="17" t="s">
        <v>233</v>
      </c>
      <c r="V242" s="67">
        <v>44475</v>
      </c>
      <c r="W242" s="17" t="s">
        <v>44</v>
      </c>
      <c r="Y242" s="68">
        <v>44470</v>
      </c>
      <c r="Z242" s="17" t="s">
        <v>191</v>
      </c>
      <c r="AA242" s="17" t="s">
        <v>46</v>
      </c>
      <c r="AB242" s="17" t="s">
        <v>234</v>
      </c>
      <c r="AC242" s="66">
        <v>44518</v>
      </c>
      <c r="AD242" s="65">
        <v>1239</v>
      </c>
      <c r="AE242" s="17" t="s">
        <v>74</v>
      </c>
      <c r="AF242" s="17" t="s">
        <v>193</v>
      </c>
      <c r="AH242" s="17" t="s">
        <v>235</v>
      </c>
    </row>
    <row r="243" s="17" customFormat="1" hidden="1" spans="1:34">
      <c r="A243" s="17" t="s">
        <v>34</v>
      </c>
      <c r="B243" s="19">
        <v>724</v>
      </c>
      <c r="C243" s="64">
        <v>44469</v>
      </c>
      <c r="D243" s="17" t="s">
        <v>52</v>
      </c>
      <c r="E243" s="17" t="s">
        <v>187</v>
      </c>
      <c r="F243" s="17" t="s">
        <v>54</v>
      </c>
      <c r="H243" s="65">
        <v>1.2311</v>
      </c>
      <c r="I243" s="65"/>
      <c r="J243" s="17" t="s">
        <v>82</v>
      </c>
      <c r="K243" s="91">
        <v>255</v>
      </c>
      <c r="L243" s="92">
        <v>80</v>
      </c>
      <c r="M243" s="19">
        <v>2200</v>
      </c>
      <c r="N243" s="17" t="s">
        <v>66</v>
      </c>
      <c r="O243" s="19" t="s">
        <v>141</v>
      </c>
      <c r="P243" s="94">
        <v>1436.1</v>
      </c>
      <c r="Q243" s="17">
        <v>1475</v>
      </c>
      <c r="R243" s="95">
        <f t="shared" si="11"/>
        <v>-38.9000000000001</v>
      </c>
      <c r="S243" s="17">
        <v>1175</v>
      </c>
      <c r="T243" s="71" t="s">
        <v>42</v>
      </c>
      <c r="U243" s="17" t="s">
        <v>233</v>
      </c>
      <c r="V243" s="67">
        <v>44475</v>
      </c>
      <c r="W243" s="17" t="s">
        <v>44</v>
      </c>
      <c r="Y243" s="68">
        <v>44470</v>
      </c>
      <c r="Z243" s="17" t="s">
        <v>191</v>
      </c>
      <c r="AA243" s="17" t="s">
        <v>46</v>
      </c>
      <c r="AB243" s="17" t="s">
        <v>234</v>
      </c>
      <c r="AC243" s="66">
        <v>44518</v>
      </c>
      <c r="AD243" s="65">
        <v>1239</v>
      </c>
      <c r="AE243" s="17" t="s">
        <v>74</v>
      </c>
      <c r="AF243" s="17" t="s">
        <v>193</v>
      </c>
      <c r="AH243" s="17" t="s">
        <v>235</v>
      </c>
    </row>
    <row r="244" s="17" customFormat="1" hidden="1" spans="1:34">
      <c r="A244" s="17" t="s">
        <v>34</v>
      </c>
      <c r="B244" s="19">
        <v>724</v>
      </c>
      <c r="C244" s="64">
        <v>44469</v>
      </c>
      <c r="D244" s="17" t="s">
        <v>52</v>
      </c>
      <c r="E244" s="17" t="s">
        <v>187</v>
      </c>
      <c r="F244" s="17" t="s">
        <v>54</v>
      </c>
      <c r="H244" s="65">
        <v>1.2311</v>
      </c>
      <c r="I244" s="65"/>
      <c r="J244" s="17" t="s">
        <v>82</v>
      </c>
      <c r="K244" s="91">
        <v>305</v>
      </c>
      <c r="L244" s="92">
        <v>80</v>
      </c>
      <c r="M244" s="19">
        <v>2200</v>
      </c>
      <c r="N244" s="17" t="s">
        <v>66</v>
      </c>
      <c r="O244" s="19" t="s">
        <v>141</v>
      </c>
      <c r="P244" s="94">
        <v>1717.7</v>
      </c>
      <c r="Q244" s="17">
        <v>1322</v>
      </c>
      <c r="R244" s="95">
        <f t="shared" si="11"/>
        <v>395.7</v>
      </c>
      <c r="S244" s="17">
        <v>1175</v>
      </c>
      <c r="T244" s="71" t="s">
        <v>42</v>
      </c>
      <c r="U244" s="17" t="s">
        <v>233</v>
      </c>
      <c r="V244" s="67">
        <v>44475</v>
      </c>
      <c r="W244" s="17" t="s">
        <v>44</v>
      </c>
      <c r="Y244" s="68">
        <v>44470</v>
      </c>
      <c r="Z244" s="17" t="s">
        <v>191</v>
      </c>
      <c r="AA244" s="17" t="s">
        <v>46</v>
      </c>
      <c r="AB244" s="17" t="s">
        <v>234</v>
      </c>
      <c r="AC244" s="66">
        <v>44518</v>
      </c>
      <c r="AD244" s="65">
        <v>1239</v>
      </c>
      <c r="AE244" s="17" t="s">
        <v>74</v>
      </c>
      <c r="AF244" s="17" t="s">
        <v>193</v>
      </c>
      <c r="AH244" s="17" t="s">
        <v>235</v>
      </c>
    </row>
    <row r="245" s="17" customFormat="1" hidden="1" spans="1:34">
      <c r="A245" s="17" t="s">
        <v>34</v>
      </c>
      <c r="B245" s="19">
        <v>724</v>
      </c>
      <c r="C245" s="64">
        <v>44469</v>
      </c>
      <c r="D245" s="17" t="s">
        <v>52</v>
      </c>
      <c r="E245" s="17" t="s">
        <v>187</v>
      </c>
      <c r="F245" s="17" t="s">
        <v>54</v>
      </c>
      <c r="H245" s="65">
        <v>1.2311</v>
      </c>
      <c r="I245" s="65"/>
      <c r="J245" s="17" t="s">
        <v>82</v>
      </c>
      <c r="K245" s="91">
        <v>355</v>
      </c>
      <c r="L245" s="92">
        <v>80</v>
      </c>
      <c r="M245" s="19">
        <v>2200</v>
      </c>
      <c r="N245" s="17" t="s">
        <v>66</v>
      </c>
      <c r="O245" s="19" t="s">
        <v>141</v>
      </c>
      <c r="P245" s="94">
        <v>1999.3</v>
      </c>
      <c r="Q245" s="17">
        <v>1506</v>
      </c>
      <c r="R245" s="95">
        <f t="shared" si="11"/>
        <v>493.3</v>
      </c>
      <c r="S245" s="17">
        <v>1175</v>
      </c>
      <c r="T245" s="71" t="s">
        <v>42</v>
      </c>
      <c r="U245" s="17" t="s">
        <v>233</v>
      </c>
      <c r="V245" s="67">
        <v>44475</v>
      </c>
      <c r="W245" s="17" t="s">
        <v>44</v>
      </c>
      <c r="Y245" s="68">
        <v>44470</v>
      </c>
      <c r="Z245" s="17" t="s">
        <v>191</v>
      </c>
      <c r="AA245" s="17" t="s">
        <v>46</v>
      </c>
      <c r="AB245" s="17" t="s">
        <v>234</v>
      </c>
      <c r="AC245" s="66">
        <v>44518</v>
      </c>
      <c r="AD245" s="65">
        <v>1239</v>
      </c>
      <c r="AE245" s="17" t="s">
        <v>74</v>
      </c>
      <c r="AF245" s="17" t="s">
        <v>193</v>
      </c>
      <c r="AH245" s="17" t="s">
        <v>235</v>
      </c>
    </row>
    <row r="246" s="17" customFormat="1" hidden="1" spans="1:34">
      <c r="A246" s="17" t="s">
        <v>34</v>
      </c>
      <c r="B246" s="19">
        <v>724</v>
      </c>
      <c r="C246" s="64">
        <v>44469</v>
      </c>
      <c r="D246" s="17" t="s">
        <v>52</v>
      </c>
      <c r="E246" s="17" t="s">
        <v>187</v>
      </c>
      <c r="F246" s="17" t="s">
        <v>54</v>
      </c>
      <c r="H246" s="65">
        <v>1.2311</v>
      </c>
      <c r="I246" s="65"/>
      <c r="J246" s="17" t="s">
        <v>82</v>
      </c>
      <c r="K246" s="91">
        <v>405</v>
      </c>
      <c r="L246" s="92">
        <v>80</v>
      </c>
      <c r="M246" s="19">
        <v>2200</v>
      </c>
      <c r="N246" s="17" t="s">
        <v>66</v>
      </c>
      <c r="O246" s="19" t="s">
        <v>141</v>
      </c>
      <c r="P246" s="94">
        <v>2280.9</v>
      </c>
      <c r="Q246" s="17">
        <v>2303</v>
      </c>
      <c r="R246" s="95">
        <f t="shared" si="11"/>
        <v>-22.0999999999999</v>
      </c>
      <c r="S246" s="17">
        <v>1175</v>
      </c>
      <c r="T246" s="71" t="s">
        <v>42</v>
      </c>
      <c r="U246" s="17" t="s">
        <v>233</v>
      </c>
      <c r="V246" s="67">
        <v>44475</v>
      </c>
      <c r="W246" s="17" t="s">
        <v>44</v>
      </c>
      <c r="Y246" s="68">
        <v>44470</v>
      </c>
      <c r="Z246" s="17" t="s">
        <v>191</v>
      </c>
      <c r="AA246" s="17" t="s">
        <v>46</v>
      </c>
      <c r="AB246" s="17" t="s">
        <v>234</v>
      </c>
      <c r="AC246" s="66">
        <v>44518</v>
      </c>
      <c r="AD246" s="65">
        <v>1239</v>
      </c>
      <c r="AE246" s="17" t="s">
        <v>74</v>
      </c>
      <c r="AF246" s="17" t="s">
        <v>193</v>
      </c>
      <c r="AH246" s="17" t="s">
        <v>235</v>
      </c>
    </row>
    <row r="247" s="17" customFormat="1" hidden="1" spans="1:34">
      <c r="A247" s="17" t="s">
        <v>34</v>
      </c>
      <c r="B247" s="19">
        <v>724</v>
      </c>
      <c r="C247" s="64">
        <v>44469</v>
      </c>
      <c r="D247" s="17" t="s">
        <v>52</v>
      </c>
      <c r="E247" s="17" t="s">
        <v>187</v>
      </c>
      <c r="F247" s="17" t="s">
        <v>54</v>
      </c>
      <c r="H247" s="65">
        <v>1.2311</v>
      </c>
      <c r="I247" s="65"/>
      <c r="J247" s="17" t="s">
        <v>82</v>
      </c>
      <c r="K247" s="91">
        <v>205</v>
      </c>
      <c r="L247" s="92">
        <v>105</v>
      </c>
      <c r="M247" s="19">
        <v>2200</v>
      </c>
      <c r="N247" s="17" t="s">
        <v>66</v>
      </c>
      <c r="O247" s="19" t="s">
        <v>141</v>
      </c>
      <c r="P247" s="94">
        <v>378.8</v>
      </c>
      <c r="Q247" s="17">
        <v>402</v>
      </c>
      <c r="R247" s="95">
        <f t="shared" si="11"/>
        <v>-23.2</v>
      </c>
      <c r="S247" s="17">
        <v>1175</v>
      </c>
      <c r="T247" s="71" t="s">
        <v>42</v>
      </c>
      <c r="U247" s="17" t="s">
        <v>233</v>
      </c>
      <c r="V247" s="67">
        <v>44475</v>
      </c>
      <c r="W247" s="17" t="s">
        <v>44</v>
      </c>
      <c r="Y247" s="68">
        <v>44470</v>
      </c>
      <c r="Z247" s="17" t="s">
        <v>191</v>
      </c>
      <c r="AA247" s="17" t="s">
        <v>46</v>
      </c>
      <c r="AB247" s="17" t="s">
        <v>234</v>
      </c>
      <c r="AC247" s="66">
        <v>44518</v>
      </c>
      <c r="AD247" s="65">
        <v>1239</v>
      </c>
      <c r="AE247" s="17" t="s">
        <v>74</v>
      </c>
      <c r="AF247" s="17" t="s">
        <v>193</v>
      </c>
      <c r="AH247" s="17" t="s">
        <v>235</v>
      </c>
    </row>
    <row r="248" s="17" customFormat="1" hidden="1" spans="1:34">
      <c r="A248" s="17" t="s">
        <v>34</v>
      </c>
      <c r="B248" s="19">
        <v>724</v>
      </c>
      <c r="C248" s="64">
        <v>44469</v>
      </c>
      <c r="D248" s="17" t="s">
        <v>52</v>
      </c>
      <c r="E248" s="17" t="s">
        <v>187</v>
      </c>
      <c r="F248" s="17" t="s">
        <v>54</v>
      </c>
      <c r="H248" s="65">
        <v>1.2311</v>
      </c>
      <c r="I248" s="65"/>
      <c r="J248" s="17" t="s">
        <v>82</v>
      </c>
      <c r="K248" s="91">
        <v>255</v>
      </c>
      <c r="L248" s="92">
        <v>105</v>
      </c>
      <c r="M248" s="19">
        <v>2200</v>
      </c>
      <c r="N248" s="17" t="s">
        <v>66</v>
      </c>
      <c r="O248" s="19" t="s">
        <v>141</v>
      </c>
      <c r="P248" s="94">
        <v>471.2</v>
      </c>
      <c r="Q248" s="17">
        <v>486</v>
      </c>
      <c r="R248" s="95">
        <f t="shared" si="11"/>
        <v>-14.8</v>
      </c>
      <c r="S248" s="17">
        <v>1175</v>
      </c>
      <c r="T248" s="71" t="s">
        <v>42</v>
      </c>
      <c r="U248" s="17" t="s">
        <v>233</v>
      </c>
      <c r="V248" s="67">
        <v>44475</v>
      </c>
      <c r="W248" s="17" t="s">
        <v>44</v>
      </c>
      <c r="Y248" s="68">
        <v>44470</v>
      </c>
      <c r="Z248" s="17" t="s">
        <v>191</v>
      </c>
      <c r="AA248" s="17" t="s">
        <v>46</v>
      </c>
      <c r="AB248" s="17" t="s">
        <v>234</v>
      </c>
      <c r="AC248" s="66">
        <v>44518</v>
      </c>
      <c r="AD248" s="65">
        <v>1239</v>
      </c>
      <c r="AE248" s="17" t="s">
        <v>74</v>
      </c>
      <c r="AF248" s="17" t="s">
        <v>193</v>
      </c>
      <c r="AH248" s="17" t="s">
        <v>235</v>
      </c>
    </row>
    <row r="249" s="17" customFormat="1" hidden="1" spans="1:34">
      <c r="A249" s="17" t="s">
        <v>34</v>
      </c>
      <c r="B249" s="19">
        <v>724</v>
      </c>
      <c r="C249" s="64">
        <v>44469</v>
      </c>
      <c r="D249" s="17" t="s">
        <v>52</v>
      </c>
      <c r="E249" s="17" t="s">
        <v>187</v>
      </c>
      <c r="F249" s="17" t="s">
        <v>54</v>
      </c>
      <c r="H249" s="65">
        <v>1.2311</v>
      </c>
      <c r="I249" s="65"/>
      <c r="J249" s="17" t="s">
        <v>82</v>
      </c>
      <c r="K249" s="91">
        <v>305</v>
      </c>
      <c r="L249" s="92">
        <v>105</v>
      </c>
      <c r="M249" s="19">
        <v>2200</v>
      </c>
      <c r="N249" s="17" t="s">
        <v>66</v>
      </c>
      <c r="O249" s="19" t="s">
        <v>141</v>
      </c>
      <c r="P249" s="94">
        <v>563.6</v>
      </c>
      <c r="Q249" s="17">
        <v>590</v>
      </c>
      <c r="R249" s="95">
        <f t="shared" si="11"/>
        <v>-26.4</v>
      </c>
      <c r="S249" s="17">
        <v>1175</v>
      </c>
      <c r="T249" s="71" t="s">
        <v>42</v>
      </c>
      <c r="U249" s="17" t="s">
        <v>233</v>
      </c>
      <c r="V249" s="67">
        <v>44475</v>
      </c>
      <c r="W249" s="17" t="s">
        <v>44</v>
      </c>
      <c r="Y249" s="68">
        <v>44470</v>
      </c>
      <c r="Z249" s="17" t="s">
        <v>191</v>
      </c>
      <c r="AA249" s="17" t="s">
        <v>46</v>
      </c>
      <c r="AB249" s="17" t="s">
        <v>234</v>
      </c>
      <c r="AC249" s="66">
        <v>44518</v>
      </c>
      <c r="AD249" s="65">
        <v>1239</v>
      </c>
      <c r="AE249" s="17" t="s">
        <v>74</v>
      </c>
      <c r="AF249" s="17" t="s">
        <v>193</v>
      </c>
      <c r="AH249" s="17" t="s">
        <v>235</v>
      </c>
    </row>
    <row r="250" s="17" customFormat="1" hidden="1" spans="1:34">
      <c r="A250" s="17" t="s">
        <v>34</v>
      </c>
      <c r="B250" s="19">
        <v>724</v>
      </c>
      <c r="C250" s="64">
        <v>44469</v>
      </c>
      <c r="D250" s="17" t="s">
        <v>52</v>
      </c>
      <c r="E250" s="17" t="s">
        <v>187</v>
      </c>
      <c r="F250" s="17" t="s">
        <v>54</v>
      </c>
      <c r="H250" s="65">
        <v>1.2311</v>
      </c>
      <c r="I250" s="65"/>
      <c r="J250" s="17" t="s">
        <v>82</v>
      </c>
      <c r="K250" s="91">
        <v>355</v>
      </c>
      <c r="L250" s="92">
        <v>105</v>
      </c>
      <c r="M250" s="19">
        <v>2200</v>
      </c>
      <c r="N250" s="17" t="s">
        <v>66</v>
      </c>
      <c r="O250" s="19" t="s">
        <v>141</v>
      </c>
      <c r="P250" s="94">
        <v>656</v>
      </c>
      <c r="Q250" s="17">
        <v>686</v>
      </c>
      <c r="R250" s="95">
        <f t="shared" si="11"/>
        <v>-30</v>
      </c>
      <c r="S250" s="17">
        <v>1175</v>
      </c>
      <c r="T250" s="71" t="s">
        <v>42</v>
      </c>
      <c r="U250" s="17" t="s">
        <v>233</v>
      </c>
      <c r="V250" s="67">
        <v>44475</v>
      </c>
      <c r="W250" s="17" t="s">
        <v>44</v>
      </c>
      <c r="Y250" s="68">
        <v>44470</v>
      </c>
      <c r="Z250" s="17" t="s">
        <v>191</v>
      </c>
      <c r="AA250" s="17" t="s">
        <v>46</v>
      </c>
      <c r="AB250" s="17" t="s">
        <v>234</v>
      </c>
      <c r="AC250" s="66">
        <v>44518</v>
      </c>
      <c r="AD250" s="65">
        <v>1239</v>
      </c>
      <c r="AE250" s="17" t="s">
        <v>74</v>
      </c>
      <c r="AF250" s="17" t="s">
        <v>193</v>
      </c>
      <c r="AH250" s="17" t="s">
        <v>235</v>
      </c>
    </row>
    <row r="251" s="17" customFormat="1" hidden="1" spans="1:34">
      <c r="A251" s="17" t="s">
        <v>34</v>
      </c>
      <c r="B251" s="19">
        <v>724</v>
      </c>
      <c r="C251" s="64">
        <v>44469</v>
      </c>
      <c r="D251" s="17" t="s">
        <v>52</v>
      </c>
      <c r="E251" s="17" t="s">
        <v>187</v>
      </c>
      <c r="F251" s="17" t="s">
        <v>54</v>
      </c>
      <c r="H251" s="65">
        <v>1.2311</v>
      </c>
      <c r="I251" s="65"/>
      <c r="J251" s="17" t="s">
        <v>82</v>
      </c>
      <c r="K251" s="91">
        <v>405</v>
      </c>
      <c r="L251" s="92">
        <v>105</v>
      </c>
      <c r="M251" s="19">
        <v>2200</v>
      </c>
      <c r="N251" s="17" t="s">
        <v>66</v>
      </c>
      <c r="O251" s="19" t="s">
        <v>141</v>
      </c>
      <c r="P251" s="94">
        <v>748.4</v>
      </c>
      <c r="Q251" s="17">
        <v>774</v>
      </c>
      <c r="R251" s="95">
        <f t="shared" si="11"/>
        <v>-25.6</v>
      </c>
      <c r="S251" s="17">
        <v>1175</v>
      </c>
      <c r="T251" s="71" t="s">
        <v>42</v>
      </c>
      <c r="U251" s="17" t="s">
        <v>233</v>
      </c>
      <c r="V251" s="67">
        <v>44475</v>
      </c>
      <c r="W251" s="17" t="s">
        <v>44</v>
      </c>
      <c r="Y251" s="68">
        <v>44470</v>
      </c>
      <c r="Z251" s="17" t="s">
        <v>191</v>
      </c>
      <c r="AA251" s="17" t="s">
        <v>46</v>
      </c>
      <c r="AB251" s="17" t="s">
        <v>234</v>
      </c>
      <c r="AC251" s="66">
        <v>44518</v>
      </c>
      <c r="AD251" s="65">
        <v>1239</v>
      </c>
      <c r="AE251" s="17" t="s">
        <v>74</v>
      </c>
      <c r="AF251" s="17" t="s">
        <v>193</v>
      </c>
      <c r="AH251" s="17" t="s">
        <v>235</v>
      </c>
    </row>
    <row r="252" s="17" customFormat="1" hidden="1" spans="1:34">
      <c r="A252" s="17" t="s">
        <v>34</v>
      </c>
      <c r="B252" s="19">
        <v>725</v>
      </c>
      <c r="C252" s="64">
        <v>44473</v>
      </c>
      <c r="D252" s="17" t="s">
        <v>35</v>
      </c>
      <c r="E252" s="17" t="s">
        <v>148</v>
      </c>
      <c r="F252" s="17" t="s">
        <v>236</v>
      </c>
      <c r="H252" s="65" t="s">
        <v>97</v>
      </c>
      <c r="I252" s="65"/>
      <c r="J252" s="17" t="s">
        <v>82</v>
      </c>
      <c r="K252" s="96">
        <v>410</v>
      </c>
      <c r="L252" s="96">
        <v>60</v>
      </c>
      <c r="N252" s="17" t="s">
        <v>40</v>
      </c>
      <c r="O252" s="19" t="s">
        <v>50</v>
      </c>
      <c r="P252" s="97">
        <v>602</v>
      </c>
      <c r="Q252" s="97">
        <v>643</v>
      </c>
      <c r="R252" s="95">
        <f t="shared" si="11"/>
        <v>-41</v>
      </c>
      <c r="S252" s="17">
        <v>305</v>
      </c>
      <c r="T252" s="19" t="s">
        <v>99</v>
      </c>
      <c r="U252" s="17" t="s">
        <v>237</v>
      </c>
      <c r="V252" s="64">
        <v>44474</v>
      </c>
      <c r="W252" s="17" t="s">
        <v>44</v>
      </c>
      <c r="Y252" s="68">
        <v>44501</v>
      </c>
      <c r="Z252" s="17" t="s">
        <v>199</v>
      </c>
      <c r="AA252" s="17" t="s">
        <v>46</v>
      </c>
      <c r="AB252" s="17" t="s">
        <v>238</v>
      </c>
      <c r="AC252" s="66">
        <v>44584</v>
      </c>
      <c r="AD252" s="65">
        <v>1236</v>
      </c>
      <c r="AE252" s="17" t="s">
        <v>48</v>
      </c>
    </row>
    <row r="253" s="17" customFormat="1" hidden="1" spans="1:34">
      <c r="A253" s="17" t="s">
        <v>34</v>
      </c>
      <c r="B253" s="19">
        <v>725</v>
      </c>
      <c r="C253" s="64">
        <v>44473</v>
      </c>
      <c r="D253" s="17" t="s">
        <v>35</v>
      </c>
      <c r="E253" s="17" t="s">
        <v>148</v>
      </c>
      <c r="F253" s="17" t="s">
        <v>236</v>
      </c>
      <c r="H253" s="65" t="s">
        <v>97</v>
      </c>
      <c r="I253" s="65"/>
      <c r="J253" s="17" t="s">
        <v>82</v>
      </c>
      <c r="K253" s="96">
        <v>310</v>
      </c>
      <c r="L253" s="96">
        <v>65</v>
      </c>
      <c r="N253" s="17" t="s">
        <v>40</v>
      </c>
      <c r="O253" s="19" t="s">
        <v>50</v>
      </c>
      <c r="P253" s="97">
        <v>727</v>
      </c>
      <c r="Q253" s="97">
        <v>716</v>
      </c>
      <c r="R253" s="95">
        <f t="shared" si="11"/>
        <v>11</v>
      </c>
      <c r="S253" s="17">
        <v>305</v>
      </c>
      <c r="T253" s="19" t="s">
        <v>99</v>
      </c>
      <c r="U253" s="17" t="s">
        <v>237</v>
      </c>
      <c r="V253" s="64">
        <v>44474</v>
      </c>
      <c r="W253" s="17" t="s">
        <v>44</v>
      </c>
      <c r="Y253" s="68">
        <v>44501</v>
      </c>
      <c r="Z253" s="17" t="s">
        <v>199</v>
      </c>
      <c r="AA253" s="17" t="s">
        <v>46</v>
      </c>
      <c r="AB253" s="17" t="s">
        <v>238</v>
      </c>
      <c r="AC253" s="66">
        <v>44584</v>
      </c>
      <c r="AD253" s="65">
        <v>1236</v>
      </c>
      <c r="AE253" s="17" t="s">
        <v>48</v>
      </c>
    </row>
    <row r="254" s="17" customFormat="1" hidden="1" spans="1:34">
      <c r="A254" s="17" t="s">
        <v>34</v>
      </c>
      <c r="B254" s="19">
        <v>725</v>
      </c>
      <c r="C254" s="64">
        <v>44473</v>
      </c>
      <c r="D254" s="17" t="s">
        <v>35</v>
      </c>
      <c r="E254" s="17" t="s">
        <v>148</v>
      </c>
      <c r="F254" s="17" t="s">
        <v>236</v>
      </c>
      <c r="H254" s="65" t="s">
        <v>97</v>
      </c>
      <c r="I254" s="65"/>
      <c r="J254" s="17" t="s">
        <v>82</v>
      </c>
      <c r="K254" s="96">
        <v>310</v>
      </c>
      <c r="L254" s="96">
        <v>75</v>
      </c>
      <c r="N254" s="17" t="s">
        <v>40</v>
      </c>
      <c r="O254" s="19" t="s">
        <v>50</v>
      </c>
      <c r="P254" s="97">
        <v>629</v>
      </c>
      <c r="Q254" s="97">
        <v>747</v>
      </c>
      <c r="R254" s="95">
        <f t="shared" si="11"/>
        <v>-118</v>
      </c>
      <c r="S254" s="17">
        <v>305</v>
      </c>
      <c r="T254" s="19" t="s">
        <v>99</v>
      </c>
      <c r="U254" s="17" t="s">
        <v>237</v>
      </c>
      <c r="V254" s="64">
        <v>44474</v>
      </c>
      <c r="W254" s="17" t="s">
        <v>44</v>
      </c>
      <c r="Y254" s="68">
        <v>44501</v>
      </c>
      <c r="Z254" s="17" t="s">
        <v>199</v>
      </c>
      <c r="AA254" s="17" t="s">
        <v>46</v>
      </c>
      <c r="AB254" s="17" t="s">
        <v>238</v>
      </c>
      <c r="AC254" s="66">
        <v>44584</v>
      </c>
      <c r="AD254" s="65">
        <v>1236</v>
      </c>
      <c r="AE254" s="17" t="s">
        <v>48</v>
      </c>
    </row>
    <row r="255" s="17" customFormat="1" hidden="1" spans="1:34">
      <c r="A255" s="17" t="s">
        <v>34</v>
      </c>
      <c r="B255" s="19">
        <v>725</v>
      </c>
      <c r="C255" s="64">
        <v>44473</v>
      </c>
      <c r="D255" s="17" t="s">
        <v>35</v>
      </c>
      <c r="E255" s="17" t="s">
        <v>148</v>
      </c>
      <c r="F255" s="17" t="s">
        <v>236</v>
      </c>
      <c r="H255" s="65" t="s">
        <v>97</v>
      </c>
      <c r="I255" s="65"/>
      <c r="J255" s="17" t="s">
        <v>82</v>
      </c>
      <c r="K255" s="96">
        <v>310</v>
      </c>
      <c r="L255" s="96">
        <v>80</v>
      </c>
      <c r="N255" s="17" t="s">
        <v>40</v>
      </c>
      <c r="O255" s="19" t="s">
        <v>50</v>
      </c>
      <c r="P255" s="97">
        <v>682</v>
      </c>
      <c r="Q255" s="97">
        <v>694</v>
      </c>
      <c r="R255" s="95">
        <f t="shared" si="11"/>
        <v>-12</v>
      </c>
      <c r="S255" s="17">
        <v>305</v>
      </c>
      <c r="T255" s="19" t="s">
        <v>99</v>
      </c>
      <c r="U255" s="17" t="s">
        <v>237</v>
      </c>
      <c r="V255" s="64">
        <v>44474</v>
      </c>
      <c r="W255" s="17" t="s">
        <v>44</v>
      </c>
      <c r="Y255" s="68">
        <v>44501</v>
      </c>
      <c r="Z255" s="17" t="s">
        <v>199</v>
      </c>
      <c r="AA255" s="17" t="s">
        <v>46</v>
      </c>
      <c r="AB255" s="17" t="s">
        <v>238</v>
      </c>
      <c r="AC255" s="66">
        <v>44584</v>
      </c>
      <c r="AD255" s="65">
        <v>1236</v>
      </c>
      <c r="AE255" s="17" t="s">
        <v>48</v>
      </c>
    </row>
    <row r="256" s="17" customFormat="1" hidden="1" spans="1:34">
      <c r="A256" s="17" t="s">
        <v>34</v>
      </c>
      <c r="B256" s="19">
        <v>725</v>
      </c>
      <c r="C256" s="64">
        <v>44473</v>
      </c>
      <c r="D256" s="17" t="s">
        <v>35</v>
      </c>
      <c r="E256" s="17" t="s">
        <v>148</v>
      </c>
      <c r="F256" s="17" t="s">
        <v>236</v>
      </c>
      <c r="H256" s="65" t="s">
        <v>97</v>
      </c>
      <c r="I256" s="65"/>
      <c r="J256" s="17" t="s">
        <v>82</v>
      </c>
      <c r="K256" s="96">
        <v>410</v>
      </c>
      <c r="L256" s="96">
        <v>85</v>
      </c>
      <c r="N256" s="17" t="s">
        <v>40</v>
      </c>
      <c r="O256" s="19" t="s">
        <v>50</v>
      </c>
      <c r="P256" s="97">
        <v>947</v>
      </c>
      <c r="Q256" s="97">
        <v>963</v>
      </c>
      <c r="R256" s="95">
        <f t="shared" si="11"/>
        <v>-16</v>
      </c>
      <c r="S256" s="17">
        <v>305</v>
      </c>
      <c r="T256" s="19" t="s">
        <v>99</v>
      </c>
      <c r="U256" s="17" t="s">
        <v>237</v>
      </c>
      <c r="V256" s="64">
        <v>44474</v>
      </c>
      <c r="W256" s="17" t="s">
        <v>44</v>
      </c>
      <c r="Y256" s="68">
        <v>44501</v>
      </c>
      <c r="Z256" s="17" t="s">
        <v>199</v>
      </c>
      <c r="AA256" s="17" t="s">
        <v>46</v>
      </c>
      <c r="AB256" s="17" t="s">
        <v>238</v>
      </c>
      <c r="AC256" s="66">
        <v>44584</v>
      </c>
      <c r="AD256" s="65">
        <v>1236</v>
      </c>
      <c r="AE256" s="17" t="s">
        <v>48</v>
      </c>
    </row>
    <row r="257" s="17" customFormat="1" hidden="1" spans="1:34">
      <c r="A257" s="17" t="s">
        <v>34</v>
      </c>
      <c r="B257" s="19">
        <v>725</v>
      </c>
      <c r="C257" s="64">
        <v>44473</v>
      </c>
      <c r="D257" s="17" t="s">
        <v>35</v>
      </c>
      <c r="E257" s="17" t="s">
        <v>148</v>
      </c>
      <c r="F257" s="17" t="s">
        <v>236</v>
      </c>
      <c r="H257" s="65" t="s">
        <v>97</v>
      </c>
      <c r="I257" s="65"/>
      <c r="J257" s="17" t="s">
        <v>82</v>
      </c>
      <c r="K257" s="96">
        <v>520</v>
      </c>
      <c r="L257" s="96">
        <v>95</v>
      </c>
      <c r="N257" s="17" t="s">
        <v>40</v>
      </c>
      <c r="O257" s="19" t="s">
        <v>50</v>
      </c>
      <c r="P257" s="97">
        <v>1279</v>
      </c>
      <c r="Q257" s="97">
        <v>1290</v>
      </c>
      <c r="R257" s="95">
        <f t="shared" si="11"/>
        <v>-11</v>
      </c>
      <c r="S257" s="17">
        <v>305</v>
      </c>
      <c r="T257" s="19" t="s">
        <v>99</v>
      </c>
      <c r="U257" s="17" t="s">
        <v>237</v>
      </c>
      <c r="V257" s="64">
        <v>44474</v>
      </c>
      <c r="W257" s="17" t="s">
        <v>44</v>
      </c>
      <c r="Y257" s="68">
        <v>44501</v>
      </c>
      <c r="Z257" s="17" t="s">
        <v>199</v>
      </c>
      <c r="AA257" s="17" t="s">
        <v>46</v>
      </c>
      <c r="AB257" s="17" t="s">
        <v>238</v>
      </c>
      <c r="AC257" s="66">
        <v>44584</v>
      </c>
      <c r="AD257" s="65">
        <v>1236</v>
      </c>
      <c r="AE257" s="17" t="s">
        <v>48</v>
      </c>
    </row>
    <row r="258" s="17" customFormat="1" hidden="1" spans="1:34">
      <c r="A258" s="17" t="s">
        <v>34</v>
      </c>
      <c r="B258" s="19">
        <v>725</v>
      </c>
      <c r="C258" s="64">
        <v>44473</v>
      </c>
      <c r="D258" s="17" t="s">
        <v>35</v>
      </c>
      <c r="E258" s="17" t="s">
        <v>148</v>
      </c>
      <c r="F258" s="17" t="s">
        <v>236</v>
      </c>
      <c r="H258" s="65" t="s">
        <v>97</v>
      </c>
      <c r="I258" s="65"/>
      <c r="J258" s="17" t="s">
        <v>82</v>
      </c>
      <c r="K258" s="96">
        <v>520</v>
      </c>
      <c r="L258" s="96">
        <v>105</v>
      </c>
      <c r="N258" s="17" t="s">
        <v>40</v>
      </c>
      <c r="O258" s="19" t="s">
        <v>50</v>
      </c>
      <c r="P258" s="97">
        <v>1473</v>
      </c>
      <c r="Q258" s="97">
        <v>1506</v>
      </c>
      <c r="R258" s="95">
        <f t="shared" si="11"/>
        <v>-33</v>
      </c>
      <c r="S258" s="17">
        <v>305</v>
      </c>
      <c r="T258" s="19" t="s">
        <v>99</v>
      </c>
      <c r="U258" s="17" t="s">
        <v>237</v>
      </c>
      <c r="V258" s="64">
        <v>44474</v>
      </c>
      <c r="W258" s="17" t="s">
        <v>44</v>
      </c>
      <c r="Y258" s="68">
        <v>44501</v>
      </c>
      <c r="Z258" s="17" t="s">
        <v>199</v>
      </c>
      <c r="AA258" s="17" t="s">
        <v>46</v>
      </c>
      <c r="AB258" s="17" t="s">
        <v>238</v>
      </c>
      <c r="AC258" s="66">
        <v>44584</v>
      </c>
      <c r="AD258" s="65">
        <v>1236</v>
      </c>
      <c r="AE258" s="17" t="s">
        <v>48</v>
      </c>
    </row>
    <row r="259" s="17" customFormat="1" hidden="1" spans="1:34">
      <c r="A259" s="17" t="s">
        <v>34</v>
      </c>
      <c r="B259" s="19">
        <v>725</v>
      </c>
      <c r="C259" s="64">
        <v>44473</v>
      </c>
      <c r="D259" s="17" t="s">
        <v>35</v>
      </c>
      <c r="E259" s="17" t="s">
        <v>148</v>
      </c>
      <c r="F259" s="17" t="s">
        <v>236</v>
      </c>
      <c r="H259" s="65" t="s">
        <v>97</v>
      </c>
      <c r="I259" s="65"/>
      <c r="J259" s="17" t="s">
        <v>82</v>
      </c>
      <c r="K259" s="96">
        <v>310</v>
      </c>
      <c r="L259" s="96">
        <v>110</v>
      </c>
      <c r="N259" s="17" t="s">
        <v>40</v>
      </c>
      <c r="O259" s="19" t="s">
        <v>50</v>
      </c>
      <c r="P259" s="97">
        <v>928</v>
      </c>
      <c r="Q259" s="97">
        <v>940</v>
      </c>
      <c r="R259" s="95">
        <f t="shared" si="11"/>
        <v>-12</v>
      </c>
      <c r="S259" s="17">
        <v>305</v>
      </c>
      <c r="T259" s="19" t="s">
        <v>99</v>
      </c>
      <c r="U259" s="17" t="s">
        <v>237</v>
      </c>
      <c r="V259" s="64">
        <v>44474</v>
      </c>
      <c r="W259" s="17" t="s">
        <v>44</v>
      </c>
      <c r="Y259" s="68">
        <v>44501</v>
      </c>
      <c r="Z259" s="17" t="s">
        <v>199</v>
      </c>
      <c r="AA259" s="17" t="s">
        <v>46</v>
      </c>
      <c r="AB259" s="17" t="s">
        <v>238</v>
      </c>
      <c r="AC259" s="66">
        <v>44584</v>
      </c>
      <c r="AD259" s="65">
        <v>1236</v>
      </c>
      <c r="AE259" s="17" t="s">
        <v>48</v>
      </c>
    </row>
    <row r="260" s="17" customFormat="1" hidden="1" spans="1:34">
      <c r="A260" s="17" t="s">
        <v>34</v>
      </c>
      <c r="B260" s="19">
        <v>725</v>
      </c>
      <c r="C260" s="64">
        <v>44473</v>
      </c>
      <c r="D260" s="17" t="s">
        <v>35</v>
      </c>
      <c r="E260" s="17" t="s">
        <v>148</v>
      </c>
      <c r="F260" s="17" t="s">
        <v>236</v>
      </c>
      <c r="H260" s="65" t="s">
        <v>97</v>
      </c>
      <c r="I260" s="65"/>
      <c r="J260" s="17" t="s">
        <v>82</v>
      </c>
      <c r="K260" s="96">
        <v>310</v>
      </c>
      <c r="L260" s="96">
        <v>120</v>
      </c>
      <c r="N260" s="17" t="s">
        <v>40</v>
      </c>
      <c r="O260" s="19" t="s">
        <v>50</v>
      </c>
      <c r="P260" s="97">
        <v>961</v>
      </c>
      <c r="Q260" s="97">
        <v>1062</v>
      </c>
      <c r="R260" s="95">
        <f t="shared" si="11"/>
        <v>-101</v>
      </c>
      <c r="S260" s="17">
        <v>305</v>
      </c>
      <c r="T260" s="19" t="s">
        <v>99</v>
      </c>
      <c r="U260" s="17" t="s">
        <v>237</v>
      </c>
      <c r="V260" s="64">
        <v>44474</v>
      </c>
      <c r="W260" s="17" t="s">
        <v>44</v>
      </c>
      <c r="Y260" s="68">
        <v>44501</v>
      </c>
      <c r="Z260" s="17" t="s">
        <v>199</v>
      </c>
      <c r="AA260" s="17" t="s">
        <v>46</v>
      </c>
      <c r="AB260" s="17" t="s">
        <v>238</v>
      </c>
      <c r="AC260" s="66">
        <v>44584</v>
      </c>
      <c r="AD260" s="65">
        <v>1236</v>
      </c>
      <c r="AE260" s="17" t="s">
        <v>48</v>
      </c>
    </row>
    <row r="261" s="17" customFormat="1" hidden="1" spans="1:34">
      <c r="A261" s="17" t="s">
        <v>34</v>
      </c>
      <c r="B261" s="19">
        <v>725</v>
      </c>
      <c r="C261" s="64">
        <v>44473</v>
      </c>
      <c r="D261" s="17" t="s">
        <v>35</v>
      </c>
      <c r="E261" s="17" t="s">
        <v>148</v>
      </c>
      <c r="F261" s="17" t="s">
        <v>236</v>
      </c>
      <c r="H261" s="65" t="s">
        <v>97</v>
      </c>
      <c r="I261" s="65"/>
      <c r="J261" s="17" t="s">
        <v>82</v>
      </c>
      <c r="K261" s="96">
        <v>410</v>
      </c>
      <c r="L261" s="96">
        <v>120</v>
      </c>
      <c r="N261" s="17" t="s">
        <v>40</v>
      </c>
      <c r="O261" s="19" t="s">
        <v>50</v>
      </c>
      <c r="P261" s="97">
        <v>1222</v>
      </c>
      <c r="Q261" s="97">
        <v>1236</v>
      </c>
      <c r="R261" s="95">
        <f t="shared" si="11"/>
        <v>-14</v>
      </c>
      <c r="S261" s="17">
        <v>305</v>
      </c>
      <c r="T261" s="19" t="s">
        <v>99</v>
      </c>
      <c r="U261" s="17" t="s">
        <v>237</v>
      </c>
      <c r="V261" s="64">
        <v>44474</v>
      </c>
      <c r="W261" s="17" t="s">
        <v>44</v>
      </c>
      <c r="Y261" s="68">
        <v>44501</v>
      </c>
      <c r="Z261" s="17" t="s">
        <v>199</v>
      </c>
      <c r="AA261" s="17" t="s">
        <v>46</v>
      </c>
      <c r="AB261" s="17" t="s">
        <v>238</v>
      </c>
      <c r="AC261" s="66">
        <v>44584</v>
      </c>
      <c r="AD261" s="65">
        <v>1236</v>
      </c>
      <c r="AE261" s="17" t="s">
        <v>48</v>
      </c>
    </row>
    <row r="262" s="17" customFormat="1" hidden="1" spans="1:34">
      <c r="A262" s="17" t="s">
        <v>34</v>
      </c>
      <c r="B262" s="19">
        <v>725</v>
      </c>
      <c r="C262" s="64">
        <v>44473</v>
      </c>
      <c r="D262" s="17" t="s">
        <v>35</v>
      </c>
      <c r="E262" s="17" t="s">
        <v>148</v>
      </c>
      <c r="F262" s="17" t="s">
        <v>236</v>
      </c>
      <c r="H262" s="65" t="s">
        <v>97</v>
      </c>
      <c r="I262" s="65"/>
      <c r="J262" s="17" t="s">
        <v>82</v>
      </c>
      <c r="K262" s="96">
        <v>520</v>
      </c>
      <c r="L262" s="96">
        <v>150</v>
      </c>
      <c r="N262" s="17" t="s">
        <v>40</v>
      </c>
      <c r="O262" s="19" t="s">
        <v>50</v>
      </c>
      <c r="P262" s="97">
        <v>2040</v>
      </c>
      <c r="Q262" s="97">
        <v>2076</v>
      </c>
      <c r="R262" s="95">
        <f t="shared" si="11"/>
        <v>-36</v>
      </c>
      <c r="S262" s="17">
        <v>305</v>
      </c>
      <c r="T262" s="19" t="s">
        <v>99</v>
      </c>
      <c r="U262" s="17" t="s">
        <v>237</v>
      </c>
      <c r="V262" s="64">
        <v>44474</v>
      </c>
      <c r="W262" s="17" t="s">
        <v>44</v>
      </c>
      <c r="Y262" s="68">
        <v>44501</v>
      </c>
      <c r="Z262" s="17" t="s">
        <v>199</v>
      </c>
      <c r="AA262" s="17" t="s">
        <v>46</v>
      </c>
      <c r="AB262" s="17" t="s">
        <v>238</v>
      </c>
      <c r="AC262" s="66">
        <v>44584</v>
      </c>
      <c r="AD262" s="65">
        <v>1236</v>
      </c>
      <c r="AE262" s="17" t="s">
        <v>48</v>
      </c>
    </row>
    <row r="263" s="17" customFormat="1" hidden="1" spans="1:34">
      <c r="A263" s="17" t="s">
        <v>34</v>
      </c>
      <c r="B263" s="19">
        <v>725</v>
      </c>
      <c r="C263" s="64">
        <v>44473</v>
      </c>
      <c r="D263" s="17" t="s">
        <v>35</v>
      </c>
      <c r="E263" s="17" t="s">
        <v>148</v>
      </c>
      <c r="F263" s="17" t="s">
        <v>236</v>
      </c>
      <c r="H263" s="65" t="s">
        <v>97</v>
      </c>
      <c r="I263" s="65"/>
      <c r="J263" s="17" t="s">
        <v>82</v>
      </c>
      <c r="K263" s="96">
        <v>410</v>
      </c>
      <c r="L263" s="96">
        <v>160</v>
      </c>
      <c r="N263" s="17" t="s">
        <v>40</v>
      </c>
      <c r="O263" s="19" t="s">
        <v>50</v>
      </c>
      <c r="P263" s="97">
        <v>1877</v>
      </c>
      <c r="Q263" s="97">
        <v>1861</v>
      </c>
      <c r="R263" s="95">
        <f t="shared" si="11"/>
        <v>16</v>
      </c>
      <c r="S263" s="17">
        <v>305</v>
      </c>
      <c r="T263" s="19" t="s">
        <v>99</v>
      </c>
      <c r="U263" s="17" t="s">
        <v>237</v>
      </c>
      <c r="V263" s="64">
        <v>44474</v>
      </c>
      <c r="W263" s="17" t="s">
        <v>44</v>
      </c>
      <c r="Y263" s="68">
        <v>44501</v>
      </c>
      <c r="Z263" s="17" t="s">
        <v>199</v>
      </c>
      <c r="AA263" s="17" t="s">
        <v>46</v>
      </c>
      <c r="AB263" s="17" t="s">
        <v>238</v>
      </c>
      <c r="AC263" s="66">
        <v>44584</v>
      </c>
      <c r="AD263" s="65">
        <v>1236</v>
      </c>
      <c r="AE263" s="17" t="s">
        <v>48</v>
      </c>
    </row>
    <row r="264" s="17" customFormat="1" hidden="1" spans="1:34">
      <c r="A264" s="17" t="s">
        <v>34</v>
      </c>
      <c r="B264" s="19">
        <v>725</v>
      </c>
      <c r="C264" s="64">
        <v>44473</v>
      </c>
      <c r="D264" s="17" t="s">
        <v>35</v>
      </c>
      <c r="E264" s="17" t="s">
        <v>148</v>
      </c>
      <c r="F264" s="17" t="s">
        <v>236</v>
      </c>
      <c r="H264" s="65" t="s">
        <v>97</v>
      </c>
      <c r="I264" s="65"/>
      <c r="J264" s="17" t="s">
        <v>82</v>
      </c>
      <c r="K264" s="96">
        <v>410</v>
      </c>
      <c r="L264" s="96">
        <v>180</v>
      </c>
      <c r="N264" s="17" t="s">
        <v>40</v>
      </c>
      <c r="O264" s="19" t="s">
        <v>50</v>
      </c>
      <c r="P264" s="97">
        <v>1970</v>
      </c>
      <c r="Q264" s="97">
        <v>1990</v>
      </c>
      <c r="R264" s="95">
        <f t="shared" si="11"/>
        <v>-20</v>
      </c>
      <c r="S264" s="17">
        <v>305</v>
      </c>
      <c r="T264" s="19" t="s">
        <v>99</v>
      </c>
      <c r="U264" s="17" t="s">
        <v>237</v>
      </c>
      <c r="V264" s="64">
        <v>44474</v>
      </c>
      <c r="W264" s="17" t="s">
        <v>44</v>
      </c>
      <c r="Y264" s="68">
        <v>44501</v>
      </c>
      <c r="Z264" s="17" t="s">
        <v>199</v>
      </c>
      <c r="AA264" s="17" t="s">
        <v>46</v>
      </c>
      <c r="AB264" s="17" t="s">
        <v>238</v>
      </c>
      <c r="AC264" s="66">
        <v>44584</v>
      </c>
      <c r="AD264" s="65">
        <v>1236</v>
      </c>
      <c r="AE264" s="17" t="s">
        <v>48</v>
      </c>
    </row>
    <row r="265" s="17" customFormat="1" hidden="1" spans="1:34">
      <c r="A265" s="17" t="s">
        <v>34</v>
      </c>
      <c r="B265" s="19">
        <v>725</v>
      </c>
      <c r="C265" s="64">
        <v>44473</v>
      </c>
      <c r="D265" s="17" t="s">
        <v>35</v>
      </c>
      <c r="E265" s="17" t="s">
        <v>148</v>
      </c>
      <c r="F265" s="17" t="s">
        <v>236</v>
      </c>
      <c r="H265" s="65" t="s">
        <v>97</v>
      </c>
      <c r="I265" s="65"/>
      <c r="J265" s="17" t="s">
        <v>82</v>
      </c>
      <c r="K265" s="96">
        <v>520</v>
      </c>
      <c r="L265" s="96">
        <v>200</v>
      </c>
      <c r="N265" s="17" t="s">
        <v>40</v>
      </c>
      <c r="O265" s="19" t="s">
        <v>50</v>
      </c>
      <c r="P265" s="97">
        <v>2799</v>
      </c>
      <c r="Q265" s="97">
        <v>2819</v>
      </c>
      <c r="R265" s="95">
        <f t="shared" si="11"/>
        <v>-20</v>
      </c>
      <c r="S265" s="17">
        <v>305</v>
      </c>
      <c r="T265" s="19" t="s">
        <v>99</v>
      </c>
      <c r="U265" s="17" t="s">
        <v>237</v>
      </c>
      <c r="V265" s="64">
        <v>44474</v>
      </c>
      <c r="W265" s="17" t="s">
        <v>44</v>
      </c>
      <c r="Y265" s="68">
        <v>44501</v>
      </c>
      <c r="Z265" s="17" t="s">
        <v>199</v>
      </c>
      <c r="AA265" s="17" t="s">
        <v>46</v>
      </c>
      <c r="AB265" s="17" t="s">
        <v>238</v>
      </c>
      <c r="AC265" s="66">
        <v>44584</v>
      </c>
      <c r="AD265" s="65">
        <v>1236</v>
      </c>
      <c r="AE265" s="17" t="s">
        <v>48</v>
      </c>
    </row>
    <row r="266" s="17" customFormat="1" hidden="1" spans="1:34">
      <c r="A266" s="17" t="s">
        <v>34</v>
      </c>
      <c r="B266" s="19">
        <v>725</v>
      </c>
      <c r="C266" s="64">
        <v>44473</v>
      </c>
      <c r="D266" s="17" t="s">
        <v>35</v>
      </c>
      <c r="E266" s="17" t="s">
        <v>148</v>
      </c>
      <c r="F266" s="17" t="s">
        <v>236</v>
      </c>
      <c r="H266" s="65" t="s">
        <v>97</v>
      </c>
      <c r="I266" s="65"/>
      <c r="J266" s="17" t="s">
        <v>82</v>
      </c>
      <c r="K266" s="96">
        <v>610</v>
      </c>
      <c r="L266" s="96">
        <v>305</v>
      </c>
      <c r="N266" s="17" t="s">
        <v>40</v>
      </c>
      <c r="O266" s="19" t="s">
        <v>50</v>
      </c>
      <c r="P266" s="97">
        <v>2789</v>
      </c>
      <c r="Q266" s="97">
        <v>2790</v>
      </c>
      <c r="R266" s="95">
        <f t="shared" si="11"/>
        <v>-1</v>
      </c>
      <c r="S266" s="17">
        <v>305</v>
      </c>
      <c r="T266" s="19" t="s">
        <v>99</v>
      </c>
      <c r="U266" s="17" t="s">
        <v>237</v>
      </c>
      <c r="V266" s="64">
        <v>44474</v>
      </c>
      <c r="W266" s="17" t="s">
        <v>44</v>
      </c>
      <c r="Y266" s="68">
        <v>44501</v>
      </c>
      <c r="Z266" s="17" t="s">
        <v>199</v>
      </c>
      <c r="AA266" s="17" t="s">
        <v>46</v>
      </c>
      <c r="AB266" s="17" t="s">
        <v>238</v>
      </c>
      <c r="AC266" s="66">
        <v>44584</v>
      </c>
      <c r="AD266" s="65">
        <v>1236</v>
      </c>
      <c r="AE266" s="17" t="s">
        <v>48</v>
      </c>
    </row>
    <row r="267" s="17" customFormat="1" hidden="1" spans="1:34">
      <c r="A267" s="17" t="s">
        <v>34</v>
      </c>
      <c r="B267" s="19">
        <v>726</v>
      </c>
      <c r="C267" s="64">
        <v>44485</v>
      </c>
      <c r="D267" s="17" t="s">
        <v>52</v>
      </c>
      <c r="E267" s="17" t="s">
        <v>187</v>
      </c>
      <c r="F267" s="17" t="s">
        <v>54</v>
      </c>
      <c r="H267" s="65">
        <v>1.2311</v>
      </c>
      <c r="I267" s="65"/>
      <c r="J267" s="17" t="s">
        <v>49</v>
      </c>
      <c r="K267" s="17">
        <v>1600</v>
      </c>
      <c r="L267" s="17">
        <v>455</v>
      </c>
      <c r="M267" s="17">
        <v>4000</v>
      </c>
      <c r="N267" s="17" t="s">
        <v>66</v>
      </c>
      <c r="O267" s="98" t="s">
        <v>149</v>
      </c>
      <c r="P267" s="19">
        <v>20627</v>
      </c>
      <c r="Q267" s="17">
        <v>18250</v>
      </c>
      <c r="R267" s="17">
        <f t="shared" si="11"/>
        <v>2377</v>
      </c>
      <c r="S267" s="17">
        <f>1568+125</f>
        <v>1693</v>
      </c>
      <c r="T267" s="19" t="s">
        <v>42</v>
      </c>
      <c r="U267" s="17" t="s">
        <v>239</v>
      </c>
      <c r="V267" s="67">
        <v>44485</v>
      </c>
      <c r="W267" s="17" t="s">
        <v>69</v>
      </c>
      <c r="Y267" s="68">
        <v>44501</v>
      </c>
      <c r="Z267" s="17" t="s">
        <v>191</v>
      </c>
      <c r="AA267" s="17" t="s">
        <v>46</v>
      </c>
      <c r="AB267" s="17" t="s">
        <v>240</v>
      </c>
      <c r="AC267" s="66">
        <v>44543</v>
      </c>
      <c r="AD267" s="65">
        <v>1249</v>
      </c>
      <c r="AE267" s="17" t="s">
        <v>48</v>
      </c>
      <c r="AF267" s="17" t="s">
        <v>241</v>
      </c>
    </row>
    <row r="268" s="17" customFormat="1" hidden="1" spans="1:34">
      <c r="A268" s="17" t="s">
        <v>34</v>
      </c>
      <c r="B268" s="19">
        <v>726</v>
      </c>
      <c r="C268" s="64">
        <v>44485</v>
      </c>
      <c r="D268" s="17" t="s">
        <v>52</v>
      </c>
      <c r="E268" s="17" t="s">
        <v>187</v>
      </c>
      <c r="F268" s="17" t="s">
        <v>54</v>
      </c>
      <c r="H268" s="65">
        <v>1.2738</v>
      </c>
      <c r="I268" s="65"/>
      <c r="J268" s="17" t="s">
        <v>49</v>
      </c>
      <c r="K268" s="17">
        <v>1600</v>
      </c>
      <c r="L268" s="17">
        <v>455</v>
      </c>
      <c r="M268" s="17">
        <v>4000</v>
      </c>
      <c r="N268" s="17" t="s">
        <v>66</v>
      </c>
      <c r="O268" s="19" t="s">
        <v>168</v>
      </c>
      <c r="P268" s="19">
        <v>20627</v>
      </c>
      <c r="Q268" s="17">
        <v>18860</v>
      </c>
      <c r="R268" s="17">
        <f t="shared" si="11"/>
        <v>1767</v>
      </c>
      <c r="S268" s="17">
        <f>1620+125</f>
        <v>1745</v>
      </c>
      <c r="T268" s="19" t="s">
        <v>42</v>
      </c>
      <c r="U268" s="17" t="s">
        <v>239</v>
      </c>
      <c r="V268" s="67">
        <v>44485</v>
      </c>
      <c r="W268" s="17" t="s">
        <v>69</v>
      </c>
      <c r="Y268" s="68">
        <v>44501</v>
      </c>
      <c r="Z268" s="17" t="s">
        <v>191</v>
      </c>
      <c r="AA268" s="17" t="s">
        <v>46</v>
      </c>
      <c r="AB268" s="17" t="s">
        <v>240</v>
      </c>
      <c r="AC268" s="66">
        <v>44543</v>
      </c>
      <c r="AD268" s="65">
        <v>1249</v>
      </c>
      <c r="AE268" s="17" t="s">
        <v>48</v>
      </c>
      <c r="AF268" s="17" t="s">
        <v>241</v>
      </c>
    </row>
    <row r="269" s="17" customFormat="1" hidden="1" spans="1:34">
      <c r="A269" s="17" t="s">
        <v>34</v>
      </c>
      <c r="B269" s="19">
        <v>727</v>
      </c>
      <c r="C269" s="64">
        <v>44485</v>
      </c>
      <c r="D269" s="17" t="s">
        <v>52</v>
      </c>
      <c r="E269" s="17" t="s">
        <v>187</v>
      </c>
      <c r="F269" s="17" t="s">
        <v>54</v>
      </c>
      <c r="H269" s="65">
        <v>1.2311</v>
      </c>
      <c r="I269" s="65"/>
      <c r="J269" s="17" t="s">
        <v>49</v>
      </c>
      <c r="K269" s="17">
        <v>2265</v>
      </c>
      <c r="L269" s="17">
        <v>25</v>
      </c>
      <c r="M269" s="17">
        <v>5460</v>
      </c>
      <c r="N269" s="17" t="s">
        <v>66</v>
      </c>
      <c r="O269" s="19" t="s">
        <v>141</v>
      </c>
      <c r="P269" s="19">
        <v>2159</v>
      </c>
      <c r="Q269" s="17">
        <v>2592</v>
      </c>
      <c r="R269" s="17">
        <f t="shared" si="11"/>
        <v>-433</v>
      </c>
      <c r="S269" s="17">
        <v>1060</v>
      </c>
      <c r="T269" s="19" t="s">
        <v>42</v>
      </c>
      <c r="U269" s="17" t="s">
        <v>242</v>
      </c>
      <c r="V269" s="67">
        <v>44487</v>
      </c>
      <c r="W269" s="17" t="s">
        <v>44</v>
      </c>
      <c r="Y269" s="68">
        <v>44501</v>
      </c>
      <c r="Z269" s="17" t="s">
        <v>191</v>
      </c>
      <c r="AA269" s="17" t="s">
        <v>46</v>
      </c>
      <c r="AB269" s="17" t="s">
        <v>228</v>
      </c>
      <c r="AC269" s="66">
        <v>44505</v>
      </c>
      <c r="AD269" s="65">
        <v>1235</v>
      </c>
      <c r="AF269" s="17" t="s">
        <v>241</v>
      </c>
    </row>
    <row r="270" s="17" customFormat="1" hidden="1" spans="1:34">
      <c r="A270" s="17" t="s">
        <v>34</v>
      </c>
      <c r="B270" s="19">
        <v>727</v>
      </c>
      <c r="C270" s="64">
        <v>44485</v>
      </c>
      <c r="D270" s="17" t="s">
        <v>52</v>
      </c>
      <c r="E270" s="17" t="s">
        <v>187</v>
      </c>
      <c r="F270" s="17" t="s">
        <v>54</v>
      </c>
      <c r="H270" s="65">
        <v>1.2311</v>
      </c>
      <c r="I270" s="65"/>
      <c r="J270" s="17" t="s">
        <v>49</v>
      </c>
      <c r="K270" s="17">
        <v>2080</v>
      </c>
      <c r="L270" s="17">
        <v>190</v>
      </c>
      <c r="M270" s="17">
        <v>2400</v>
      </c>
      <c r="N270" s="17" t="s">
        <v>66</v>
      </c>
      <c r="O270" s="19" t="s">
        <v>141</v>
      </c>
      <c r="P270" s="19">
        <v>7458</v>
      </c>
      <c r="Q270" s="17">
        <v>7510</v>
      </c>
      <c r="R270" s="17">
        <f t="shared" si="11"/>
        <v>-52</v>
      </c>
      <c r="S270" s="17">
        <v>1220</v>
      </c>
      <c r="T270" s="19" t="s">
        <v>42</v>
      </c>
      <c r="U270" s="17" t="s">
        <v>242</v>
      </c>
      <c r="V270" s="67">
        <v>44487</v>
      </c>
      <c r="W270" s="17" t="s">
        <v>44</v>
      </c>
      <c r="Y270" s="68">
        <v>44501</v>
      </c>
      <c r="Z270" s="17" t="s">
        <v>191</v>
      </c>
      <c r="AA270" s="17" t="s">
        <v>46</v>
      </c>
      <c r="AB270" s="17" t="s">
        <v>228</v>
      </c>
      <c r="AC270" s="66">
        <v>44505</v>
      </c>
      <c r="AD270" s="65">
        <v>1235</v>
      </c>
      <c r="AF270" s="17" t="s">
        <v>241</v>
      </c>
    </row>
    <row r="271" s="17" customFormat="1" hidden="1" spans="1:34">
      <c r="A271" s="17" t="s">
        <v>34</v>
      </c>
      <c r="B271" s="19">
        <v>728</v>
      </c>
      <c r="C271" s="64">
        <v>44489</v>
      </c>
      <c r="D271" s="17" t="s">
        <v>52</v>
      </c>
      <c r="E271" s="17" t="s">
        <v>187</v>
      </c>
      <c r="F271" s="17" t="s">
        <v>54</v>
      </c>
      <c r="H271" s="65">
        <v>1.2311</v>
      </c>
      <c r="I271" s="65"/>
      <c r="J271" s="17" t="s">
        <v>82</v>
      </c>
      <c r="K271" s="23">
        <v>205</v>
      </c>
      <c r="L271" s="92">
        <v>25</v>
      </c>
      <c r="N271" s="17" t="s">
        <v>66</v>
      </c>
      <c r="O271" s="19" t="s">
        <v>141</v>
      </c>
      <c r="P271" s="99">
        <v>500</v>
      </c>
      <c r="Q271" s="99">
        <v>477</v>
      </c>
      <c r="R271" s="17">
        <f t="shared" si="11"/>
        <v>23</v>
      </c>
      <c r="S271" s="100">
        <f t="shared" ref="S271:S316" si="12">1335</f>
        <v>1335</v>
      </c>
      <c r="T271" s="19" t="s">
        <v>42</v>
      </c>
      <c r="U271" s="17" t="s">
        <v>243</v>
      </c>
      <c r="V271" s="67">
        <v>44490</v>
      </c>
      <c r="W271" s="17" t="s">
        <v>69</v>
      </c>
      <c r="Y271" s="68">
        <v>44501</v>
      </c>
      <c r="Z271" s="17" t="s">
        <v>191</v>
      </c>
      <c r="AA271" s="17" t="s">
        <v>46</v>
      </c>
      <c r="AB271" s="17" t="s">
        <v>244</v>
      </c>
      <c r="AC271" s="66">
        <v>44512</v>
      </c>
      <c r="AD271" s="65">
        <v>1240</v>
      </c>
      <c r="AE271" s="17" t="s">
        <v>74</v>
      </c>
      <c r="AF271" s="17" t="s">
        <v>245</v>
      </c>
      <c r="AH271" s="17" t="s">
        <v>246</v>
      </c>
    </row>
    <row r="272" s="17" customFormat="1" hidden="1" spans="1:34">
      <c r="A272" s="17" t="s">
        <v>34</v>
      </c>
      <c r="B272" s="19">
        <v>728</v>
      </c>
      <c r="C272" s="64">
        <v>44489</v>
      </c>
      <c r="D272" s="17" t="s">
        <v>52</v>
      </c>
      <c r="E272" s="17" t="s">
        <v>187</v>
      </c>
      <c r="F272" s="17" t="s">
        <v>54</v>
      </c>
      <c r="H272" s="65">
        <v>1.2311</v>
      </c>
      <c r="I272" s="65"/>
      <c r="J272" s="17" t="s">
        <v>82</v>
      </c>
      <c r="K272" s="23">
        <v>255</v>
      </c>
      <c r="L272" s="92">
        <v>25</v>
      </c>
      <c r="N272" s="17" t="s">
        <v>66</v>
      </c>
      <c r="O272" s="19" t="s">
        <v>141</v>
      </c>
      <c r="P272" s="99">
        <v>500</v>
      </c>
      <c r="Q272" s="99">
        <v>475</v>
      </c>
      <c r="R272" s="17">
        <f t="shared" si="11"/>
        <v>25</v>
      </c>
      <c r="S272" s="100">
        <f t="shared" si="12"/>
        <v>1335</v>
      </c>
      <c r="T272" s="19" t="s">
        <v>42</v>
      </c>
      <c r="U272" s="17" t="s">
        <v>243</v>
      </c>
      <c r="V272" s="67">
        <v>44490</v>
      </c>
      <c r="W272" s="17" t="s">
        <v>69</v>
      </c>
      <c r="Y272" s="68">
        <v>44501</v>
      </c>
      <c r="Z272" s="17" t="s">
        <v>191</v>
      </c>
      <c r="AA272" s="17" t="s">
        <v>46</v>
      </c>
      <c r="AB272" s="17" t="s">
        <v>244</v>
      </c>
      <c r="AC272" s="66">
        <v>44512</v>
      </c>
      <c r="AD272" s="65">
        <v>1240</v>
      </c>
      <c r="AE272" s="17" t="s">
        <v>74</v>
      </c>
      <c r="AF272" s="17" t="s">
        <v>245</v>
      </c>
      <c r="AH272" s="17" t="s">
        <v>246</v>
      </c>
    </row>
    <row r="273" s="17" customFormat="1" hidden="1" spans="1:34">
      <c r="A273" s="17" t="s">
        <v>34</v>
      </c>
      <c r="B273" s="19">
        <v>728</v>
      </c>
      <c r="C273" s="64">
        <v>44489</v>
      </c>
      <c r="D273" s="17" t="s">
        <v>52</v>
      </c>
      <c r="E273" s="17" t="s">
        <v>187</v>
      </c>
      <c r="F273" s="17" t="s">
        <v>54</v>
      </c>
      <c r="H273" s="65">
        <v>1.2311</v>
      </c>
      <c r="I273" s="65"/>
      <c r="J273" s="17" t="s">
        <v>82</v>
      </c>
      <c r="K273" s="23">
        <v>305</v>
      </c>
      <c r="L273" s="92">
        <v>25</v>
      </c>
      <c r="N273" s="17" t="s">
        <v>66</v>
      </c>
      <c r="O273" s="19" t="s">
        <v>141</v>
      </c>
      <c r="P273" s="99">
        <v>500</v>
      </c>
      <c r="Q273" s="99">
        <v>568</v>
      </c>
      <c r="R273" s="17">
        <f t="shared" si="11"/>
        <v>-68</v>
      </c>
      <c r="S273" s="100">
        <f t="shared" si="12"/>
        <v>1335</v>
      </c>
      <c r="T273" s="19" t="s">
        <v>42</v>
      </c>
      <c r="U273" s="17" t="s">
        <v>243</v>
      </c>
      <c r="V273" s="67">
        <v>44490</v>
      </c>
      <c r="W273" s="17" t="s">
        <v>69</v>
      </c>
      <c r="Y273" s="68">
        <v>44501</v>
      </c>
      <c r="Z273" s="17" t="s">
        <v>191</v>
      </c>
      <c r="AA273" s="17" t="s">
        <v>46</v>
      </c>
      <c r="AB273" s="17" t="s">
        <v>244</v>
      </c>
      <c r="AC273" s="66">
        <v>44512</v>
      </c>
      <c r="AD273" s="65">
        <v>1240</v>
      </c>
      <c r="AE273" s="17" t="s">
        <v>74</v>
      </c>
      <c r="AF273" s="17" t="s">
        <v>245</v>
      </c>
      <c r="AH273" s="17" t="s">
        <v>246</v>
      </c>
    </row>
    <row r="274" s="17" customFormat="1" hidden="1" spans="1:34">
      <c r="A274" s="17" t="s">
        <v>34</v>
      </c>
      <c r="B274" s="19">
        <v>728</v>
      </c>
      <c r="C274" s="64">
        <v>44489</v>
      </c>
      <c r="D274" s="17" t="s">
        <v>52</v>
      </c>
      <c r="E274" s="17" t="s">
        <v>187</v>
      </c>
      <c r="F274" s="17" t="s">
        <v>54</v>
      </c>
      <c r="H274" s="65">
        <v>1.2311</v>
      </c>
      <c r="I274" s="65"/>
      <c r="J274" s="17" t="s">
        <v>82</v>
      </c>
      <c r="K274" s="23">
        <v>355</v>
      </c>
      <c r="L274" s="92">
        <v>25</v>
      </c>
      <c r="N274" s="17" t="s">
        <v>66</v>
      </c>
      <c r="O274" s="19" t="s">
        <v>141</v>
      </c>
      <c r="P274" s="99">
        <v>500</v>
      </c>
      <c r="Q274" s="99">
        <v>493</v>
      </c>
      <c r="R274" s="17">
        <f t="shared" si="11"/>
        <v>7</v>
      </c>
      <c r="S274" s="100">
        <f t="shared" si="12"/>
        <v>1335</v>
      </c>
      <c r="T274" s="19" t="s">
        <v>42</v>
      </c>
      <c r="U274" s="17" t="s">
        <v>243</v>
      </c>
      <c r="V274" s="67">
        <v>44490</v>
      </c>
      <c r="W274" s="17" t="s">
        <v>69</v>
      </c>
      <c r="Y274" s="68">
        <v>44501</v>
      </c>
      <c r="Z274" s="17" t="s">
        <v>191</v>
      </c>
      <c r="AA274" s="17" t="s">
        <v>46</v>
      </c>
      <c r="AB274" s="17" t="s">
        <v>244</v>
      </c>
      <c r="AC274" s="66">
        <v>44512</v>
      </c>
      <c r="AD274" s="65">
        <v>1240</v>
      </c>
      <c r="AE274" s="17" t="s">
        <v>74</v>
      </c>
      <c r="AF274" s="17" t="s">
        <v>245</v>
      </c>
      <c r="AH274" s="17" t="s">
        <v>246</v>
      </c>
    </row>
    <row r="275" s="17" customFormat="1" hidden="1" spans="1:34">
      <c r="A275" s="17" t="s">
        <v>34</v>
      </c>
      <c r="B275" s="19">
        <v>728</v>
      </c>
      <c r="C275" s="64">
        <v>44489</v>
      </c>
      <c r="D275" s="17" t="s">
        <v>52</v>
      </c>
      <c r="E275" s="17" t="s">
        <v>187</v>
      </c>
      <c r="F275" s="17" t="s">
        <v>54</v>
      </c>
      <c r="H275" s="65">
        <v>1.2311</v>
      </c>
      <c r="I275" s="65"/>
      <c r="J275" s="17" t="s">
        <v>82</v>
      </c>
      <c r="K275" s="23">
        <v>405</v>
      </c>
      <c r="L275" s="92">
        <v>25</v>
      </c>
      <c r="N275" s="17" t="s">
        <v>66</v>
      </c>
      <c r="O275" s="19" t="s">
        <v>141</v>
      </c>
      <c r="P275" s="99">
        <v>500</v>
      </c>
      <c r="Q275" s="99">
        <v>556</v>
      </c>
      <c r="R275" s="17">
        <f t="shared" si="11"/>
        <v>-56</v>
      </c>
      <c r="S275" s="100">
        <f t="shared" si="12"/>
        <v>1335</v>
      </c>
      <c r="T275" s="19" t="s">
        <v>42</v>
      </c>
      <c r="U275" s="17" t="s">
        <v>243</v>
      </c>
      <c r="V275" s="67">
        <v>44490</v>
      </c>
      <c r="W275" s="17" t="s">
        <v>69</v>
      </c>
      <c r="Y275" s="68">
        <v>44501</v>
      </c>
      <c r="Z275" s="17" t="s">
        <v>191</v>
      </c>
      <c r="AA275" s="17" t="s">
        <v>46</v>
      </c>
      <c r="AB275" s="17" t="s">
        <v>244</v>
      </c>
      <c r="AC275" s="66">
        <v>44512</v>
      </c>
      <c r="AD275" s="65">
        <v>1240</v>
      </c>
      <c r="AE275" s="17" t="s">
        <v>74</v>
      </c>
      <c r="AF275" s="17" t="s">
        <v>245</v>
      </c>
      <c r="AH275" s="17" t="s">
        <v>246</v>
      </c>
    </row>
    <row r="276" s="17" customFormat="1" hidden="1" spans="1:34">
      <c r="A276" s="17" t="s">
        <v>34</v>
      </c>
      <c r="B276" s="19">
        <v>728</v>
      </c>
      <c r="C276" s="64">
        <v>44489</v>
      </c>
      <c r="D276" s="17" t="s">
        <v>52</v>
      </c>
      <c r="E276" s="17" t="s">
        <v>187</v>
      </c>
      <c r="F276" s="17" t="s">
        <v>54</v>
      </c>
      <c r="H276" s="65">
        <v>1.2311</v>
      </c>
      <c r="I276" s="65"/>
      <c r="J276" s="17" t="s">
        <v>82</v>
      </c>
      <c r="K276" s="23">
        <v>455</v>
      </c>
      <c r="L276" s="92">
        <v>25</v>
      </c>
      <c r="N276" s="17" t="s">
        <v>66</v>
      </c>
      <c r="O276" s="19" t="s">
        <v>141</v>
      </c>
      <c r="P276" s="99">
        <v>500</v>
      </c>
      <c r="Q276" s="99">
        <v>421</v>
      </c>
      <c r="R276" s="17">
        <f t="shared" si="11"/>
        <v>79</v>
      </c>
      <c r="S276" s="100">
        <f t="shared" si="12"/>
        <v>1335</v>
      </c>
      <c r="T276" s="19" t="s">
        <v>42</v>
      </c>
      <c r="U276" s="17" t="s">
        <v>243</v>
      </c>
      <c r="V276" s="67">
        <v>44490</v>
      </c>
      <c r="W276" s="17" t="s">
        <v>69</v>
      </c>
      <c r="Y276" s="68">
        <v>44501</v>
      </c>
      <c r="Z276" s="17" t="s">
        <v>191</v>
      </c>
      <c r="AA276" s="17" t="s">
        <v>46</v>
      </c>
      <c r="AB276" s="17" t="s">
        <v>244</v>
      </c>
      <c r="AC276" s="66">
        <v>44512</v>
      </c>
      <c r="AD276" s="65">
        <v>1240</v>
      </c>
      <c r="AE276" s="17" t="s">
        <v>74</v>
      </c>
      <c r="AF276" s="17" t="s">
        <v>245</v>
      </c>
      <c r="AH276" s="17" t="s">
        <v>246</v>
      </c>
    </row>
    <row r="277" s="17" customFormat="1" hidden="1" spans="1:34">
      <c r="A277" s="17" t="s">
        <v>34</v>
      </c>
      <c r="B277" s="19">
        <v>728</v>
      </c>
      <c r="C277" s="64">
        <v>44489</v>
      </c>
      <c r="D277" s="17" t="s">
        <v>52</v>
      </c>
      <c r="E277" s="17" t="s">
        <v>187</v>
      </c>
      <c r="F277" s="17" t="s">
        <v>54</v>
      </c>
      <c r="H277" s="65">
        <v>1.2311</v>
      </c>
      <c r="I277" s="65"/>
      <c r="J277" s="17" t="s">
        <v>82</v>
      </c>
      <c r="K277" s="23">
        <v>205</v>
      </c>
      <c r="L277" s="92">
        <v>32</v>
      </c>
      <c r="N277" s="17" t="s">
        <v>66</v>
      </c>
      <c r="O277" s="19" t="s">
        <v>141</v>
      </c>
      <c r="P277" s="99">
        <v>500</v>
      </c>
      <c r="Q277" s="99">
        <v>451</v>
      </c>
      <c r="R277" s="17">
        <f t="shared" si="11"/>
        <v>49</v>
      </c>
      <c r="S277" s="100">
        <f t="shared" si="12"/>
        <v>1335</v>
      </c>
      <c r="T277" s="19" t="s">
        <v>42</v>
      </c>
      <c r="U277" s="17" t="s">
        <v>243</v>
      </c>
      <c r="V277" s="67">
        <v>44490</v>
      </c>
      <c r="W277" s="17" t="s">
        <v>69</v>
      </c>
      <c r="Y277" s="68">
        <v>44501</v>
      </c>
      <c r="Z277" s="17" t="s">
        <v>191</v>
      </c>
      <c r="AA277" s="17" t="s">
        <v>46</v>
      </c>
      <c r="AB277" s="17" t="s">
        <v>244</v>
      </c>
      <c r="AC277" s="66">
        <v>44512</v>
      </c>
      <c r="AD277" s="65">
        <v>1240</v>
      </c>
      <c r="AE277" s="17" t="s">
        <v>74</v>
      </c>
      <c r="AF277" s="17" t="s">
        <v>245</v>
      </c>
      <c r="AH277" s="17" t="s">
        <v>246</v>
      </c>
    </row>
    <row r="278" s="17" customFormat="1" hidden="1" spans="1:34">
      <c r="A278" s="17" t="s">
        <v>34</v>
      </c>
      <c r="B278" s="19">
        <v>728</v>
      </c>
      <c r="C278" s="64">
        <v>44489</v>
      </c>
      <c r="D278" s="17" t="s">
        <v>52</v>
      </c>
      <c r="E278" s="17" t="s">
        <v>187</v>
      </c>
      <c r="F278" s="17" t="s">
        <v>54</v>
      </c>
      <c r="H278" s="65">
        <v>1.2311</v>
      </c>
      <c r="I278" s="65"/>
      <c r="J278" s="17" t="s">
        <v>82</v>
      </c>
      <c r="K278" s="23">
        <v>255</v>
      </c>
      <c r="L278" s="92">
        <v>32</v>
      </c>
      <c r="N278" s="17" t="s">
        <v>66</v>
      </c>
      <c r="O278" s="19" t="s">
        <v>141</v>
      </c>
      <c r="P278" s="99">
        <v>500</v>
      </c>
      <c r="Q278" s="99">
        <v>563</v>
      </c>
      <c r="R278" s="17">
        <f t="shared" si="11"/>
        <v>-63</v>
      </c>
      <c r="S278" s="100">
        <f t="shared" si="12"/>
        <v>1335</v>
      </c>
      <c r="T278" s="19" t="s">
        <v>42</v>
      </c>
      <c r="U278" s="17" t="s">
        <v>243</v>
      </c>
      <c r="V278" s="67">
        <v>44490</v>
      </c>
      <c r="W278" s="17" t="s">
        <v>69</v>
      </c>
      <c r="Y278" s="68">
        <v>44501</v>
      </c>
      <c r="Z278" s="17" t="s">
        <v>191</v>
      </c>
      <c r="AA278" s="17" t="s">
        <v>46</v>
      </c>
      <c r="AB278" s="17" t="s">
        <v>244</v>
      </c>
      <c r="AC278" s="66">
        <v>44512</v>
      </c>
      <c r="AD278" s="65">
        <v>1240</v>
      </c>
      <c r="AE278" s="17" t="s">
        <v>74</v>
      </c>
      <c r="AF278" s="17" t="s">
        <v>245</v>
      </c>
      <c r="AH278" s="17" t="s">
        <v>246</v>
      </c>
    </row>
    <row r="279" s="17" customFormat="1" hidden="1" spans="1:34">
      <c r="A279" s="17" t="s">
        <v>34</v>
      </c>
      <c r="B279" s="19">
        <v>728</v>
      </c>
      <c r="C279" s="64">
        <v>44489</v>
      </c>
      <c r="D279" s="17" t="s">
        <v>52</v>
      </c>
      <c r="E279" s="17" t="s">
        <v>187</v>
      </c>
      <c r="F279" s="17" t="s">
        <v>54</v>
      </c>
      <c r="H279" s="65">
        <v>1.2311</v>
      </c>
      <c r="I279" s="65"/>
      <c r="J279" s="17" t="s">
        <v>82</v>
      </c>
      <c r="K279" s="23">
        <v>305</v>
      </c>
      <c r="L279" s="92">
        <v>32</v>
      </c>
      <c r="N279" s="17" t="s">
        <v>66</v>
      </c>
      <c r="O279" s="19" t="s">
        <v>141</v>
      </c>
      <c r="P279" s="99">
        <v>500</v>
      </c>
      <c r="Q279" s="99">
        <v>502</v>
      </c>
      <c r="R279" s="17">
        <f t="shared" si="11"/>
        <v>-2</v>
      </c>
      <c r="S279" s="100">
        <f t="shared" si="12"/>
        <v>1335</v>
      </c>
      <c r="T279" s="19" t="s">
        <v>42</v>
      </c>
      <c r="U279" s="17" t="s">
        <v>243</v>
      </c>
      <c r="V279" s="67">
        <v>44490</v>
      </c>
      <c r="W279" s="17" t="s">
        <v>69</v>
      </c>
      <c r="Y279" s="68">
        <v>44501</v>
      </c>
      <c r="Z279" s="17" t="s">
        <v>191</v>
      </c>
      <c r="AA279" s="17" t="s">
        <v>46</v>
      </c>
      <c r="AB279" s="17" t="s">
        <v>244</v>
      </c>
      <c r="AC279" s="66">
        <v>44512</v>
      </c>
      <c r="AD279" s="65">
        <v>1240</v>
      </c>
      <c r="AE279" s="17" t="s">
        <v>74</v>
      </c>
      <c r="AF279" s="17" t="s">
        <v>245</v>
      </c>
      <c r="AH279" s="17" t="s">
        <v>246</v>
      </c>
    </row>
    <row r="280" s="17" customFormat="1" hidden="1" spans="1:34">
      <c r="A280" s="17" t="s">
        <v>34</v>
      </c>
      <c r="B280" s="19">
        <v>728</v>
      </c>
      <c r="C280" s="64">
        <v>44489</v>
      </c>
      <c r="D280" s="17" t="s">
        <v>52</v>
      </c>
      <c r="E280" s="17" t="s">
        <v>187</v>
      </c>
      <c r="F280" s="17" t="s">
        <v>54</v>
      </c>
      <c r="H280" s="65">
        <v>1.2311</v>
      </c>
      <c r="I280" s="65"/>
      <c r="J280" s="17" t="s">
        <v>82</v>
      </c>
      <c r="K280" s="23">
        <v>355</v>
      </c>
      <c r="L280" s="92">
        <v>32</v>
      </c>
      <c r="N280" s="17" t="s">
        <v>66</v>
      </c>
      <c r="O280" s="19" t="s">
        <v>141</v>
      </c>
      <c r="P280" s="99">
        <v>500</v>
      </c>
      <c r="Q280" s="99">
        <v>584</v>
      </c>
      <c r="R280" s="17">
        <f t="shared" si="11"/>
        <v>-84</v>
      </c>
      <c r="S280" s="100">
        <f t="shared" si="12"/>
        <v>1335</v>
      </c>
      <c r="T280" s="19" t="s">
        <v>42</v>
      </c>
      <c r="U280" s="17" t="s">
        <v>243</v>
      </c>
      <c r="V280" s="67">
        <v>44490</v>
      </c>
      <c r="W280" s="17" t="s">
        <v>69</v>
      </c>
      <c r="Y280" s="68">
        <v>44501</v>
      </c>
      <c r="Z280" s="17" t="s">
        <v>191</v>
      </c>
      <c r="AA280" s="17" t="s">
        <v>46</v>
      </c>
      <c r="AB280" s="17" t="s">
        <v>244</v>
      </c>
      <c r="AC280" s="66">
        <v>44512</v>
      </c>
      <c r="AD280" s="65">
        <v>1240</v>
      </c>
      <c r="AE280" s="17" t="s">
        <v>74</v>
      </c>
      <c r="AF280" s="17" t="s">
        <v>245</v>
      </c>
      <c r="AH280" s="17" t="s">
        <v>246</v>
      </c>
    </row>
    <row r="281" s="17" customFormat="1" hidden="1" spans="1:34">
      <c r="A281" s="17" t="s">
        <v>34</v>
      </c>
      <c r="B281" s="19">
        <v>728</v>
      </c>
      <c r="C281" s="64">
        <v>44489</v>
      </c>
      <c r="D281" s="17" t="s">
        <v>52</v>
      </c>
      <c r="E281" s="17" t="s">
        <v>187</v>
      </c>
      <c r="F281" s="17" t="s">
        <v>54</v>
      </c>
      <c r="H281" s="65">
        <v>1.2311</v>
      </c>
      <c r="I281" s="65"/>
      <c r="J281" s="17" t="s">
        <v>82</v>
      </c>
      <c r="K281" s="23">
        <v>405</v>
      </c>
      <c r="L281" s="92">
        <v>32</v>
      </c>
      <c r="N281" s="17" t="s">
        <v>66</v>
      </c>
      <c r="O281" s="19" t="s">
        <v>141</v>
      </c>
      <c r="P281" s="99">
        <v>500</v>
      </c>
      <c r="Q281" s="99">
        <v>419</v>
      </c>
      <c r="R281" s="17">
        <f t="shared" si="11"/>
        <v>81</v>
      </c>
      <c r="S281" s="100">
        <f t="shared" si="12"/>
        <v>1335</v>
      </c>
      <c r="T281" s="19" t="s">
        <v>42</v>
      </c>
      <c r="U281" s="17" t="s">
        <v>243</v>
      </c>
      <c r="V281" s="67">
        <v>44490</v>
      </c>
      <c r="W281" s="17" t="s">
        <v>69</v>
      </c>
      <c r="Y281" s="68">
        <v>44501</v>
      </c>
      <c r="Z281" s="17" t="s">
        <v>191</v>
      </c>
      <c r="AA281" s="17" t="s">
        <v>46</v>
      </c>
      <c r="AB281" s="17" t="s">
        <v>244</v>
      </c>
      <c r="AC281" s="66">
        <v>44512</v>
      </c>
      <c r="AD281" s="65">
        <v>1240</v>
      </c>
      <c r="AE281" s="17" t="s">
        <v>74</v>
      </c>
      <c r="AF281" s="17" t="s">
        <v>245</v>
      </c>
      <c r="AH281" s="17" t="s">
        <v>246</v>
      </c>
    </row>
    <row r="282" s="17" customFormat="1" hidden="1" spans="1:34">
      <c r="A282" s="17" t="s">
        <v>34</v>
      </c>
      <c r="B282" s="19">
        <v>728</v>
      </c>
      <c r="C282" s="64">
        <v>44489</v>
      </c>
      <c r="D282" s="17" t="s">
        <v>52</v>
      </c>
      <c r="E282" s="17" t="s">
        <v>187</v>
      </c>
      <c r="F282" s="17" t="s">
        <v>54</v>
      </c>
      <c r="H282" s="65">
        <v>1.2311</v>
      </c>
      <c r="I282" s="65"/>
      <c r="J282" s="17" t="s">
        <v>82</v>
      </c>
      <c r="K282" s="23">
        <v>455</v>
      </c>
      <c r="L282" s="92">
        <v>32</v>
      </c>
      <c r="N282" s="17" t="s">
        <v>66</v>
      </c>
      <c r="O282" s="19" t="s">
        <v>141</v>
      </c>
      <c r="P282" s="99">
        <v>500</v>
      </c>
      <c r="Q282" s="99">
        <v>478</v>
      </c>
      <c r="R282" s="17">
        <f t="shared" si="11"/>
        <v>22</v>
      </c>
      <c r="S282" s="100">
        <f t="shared" si="12"/>
        <v>1335</v>
      </c>
      <c r="T282" s="19" t="s">
        <v>42</v>
      </c>
      <c r="U282" s="17" t="s">
        <v>243</v>
      </c>
      <c r="V282" s="67">
        <v>44490</v>
      </c>
      <c r="W282" s="17" t="s">
        <v>69</v>
      </c>
      <c r="Y282" s="68">
        <v>44501</v>
      </c>
      <c r="Z282" s="17" t="s">
        <v>191</v>
      </c>
      <c r="AA282" s="17" t="s">
        <v>46</v>
      </c>
      <c r="AB282" s="17" t="s">
        <v>244</v>
      </c>
      <c r="AC282" s="66">
        <v>44512</v>
      </c>
      <c r="AD282" s="65">
        <v>1240</v>
      </c>
      <c r="AE282" s="17" t="s">
        <v>74</v>
      </c>
      <c r="AF282" s="17" t="s">
        <v>245</v>
      </c>
      <c r="AH282" s="17" t="s">
        <v>246</v>
      </c>
    </row>
    <row r="283" s="17" customFormat="1" hidden="1" spans="1:34">
      <c r="A283" s="17" t="s">
        <v>34</v>
      </c>
      <c r="B283" s="19">
        <v>728</v>
      </c>
      <c r="C283" s="64">
        <v>44489</v>
      </c>
      <c r="D283" s="17" t="s">
        <v>52</v>
      </c>
      <c r="E283" s="17" t="s">
        <v>187</v>
      </c>
      <c r="F283" s="17" t="s">
        <v>54</v>
      </c>
      <c r="H283" s="65">
        <v>1.2311</v>
      </c>
      <c r="I283" s="65"/>
      <c r="J283" s="17" t="s">
        <v>82</v>
      </c>
      <c r="K283" s="23">
        <v>205</v>
      </c>
      <c r="L283" s="92">
        <v>35</v>
      </c>
      <c r="N283" s="17" t="s">
        <v>66</v>
      </c>
      <c r="O283" s="19" t="s">
        <v>141</v>
      </c>
      <c r="P283" s="99">
        <v>500</v>
      </c>
      <c r="Q283" s="99">
        <v>536</v>
      </c>
      <c r="R283" s="17">
        <f t="shared" si="11"/>
        <v>-36</v>
      </c>
      <c r="S283" s="100">
        <f t="shared" si="12"/>
        <v>1335</v>
      </c>
      <c r="T283" s="19" t="s">
        <v>42</v>
      </c>
      <c r="U283" s="17" t="s">
        <v>243</v>
      </c>
      <c r="V283" s="67">
        <v>44490</v>
      </c>
      <c r="W283" s="17" t="s">
        <v>69</v>
      </c>
      <c r="Y283" s="68">
        <v>44501</v>
      </c>
      <c r="Z283" s="17" t="s">
        <v>191</v>
      </c>
      <c r="AA283" s="17" t="s">
        <v>46</v>
      </c>
      <c r="AB283" s="17" t="s">
        <v>244</v>
      </c>
      <c r="AC283" s="66">
        <v>44512</v>
      </c>
      <c r="AD283" s="65">
        <v>1240</v>
      </c>
      <c r="AE283" s="17" t="s">
        <v>74</v>
      </c>
      <c r="AF283" s="17" t="s">
        <v>245</v>
      </c>
      <c r="AH283" s="17" t="s">
        <v>246</v>
      </c>
    </row>
    <row r="284" s="17" customFormat="1" hidden="1" spans="1:34">
      <c r="A284" s="17" t="s">
        <v>34</v>
      </c>
      <c r="B284" s="19">
        <v>728</v>
      </c>
      <c r="C284" s="64">
        <v>44489</v>
      </c>
      <c r="D284" s="17" t="s">
        <v>52</v>
      </c>
      <c r="E284" s="17" t="s">
        <v>187</v>
      </c>
      <c r="F284" s="17" t="s">
        <v>54</v>
      </c>
      <c r="H284" s="65">
        <v>1.2311</v>
      </c>
      <c r="I284" s="65"/>
      <c r="J284" s="17" t="s">
        <v>82</v>
      </c>
      <c r="K284" s="23">
        <v>255</v>
      </c>
      <c r="L284" s="92">
        <v>35</v>
      </c>
      <c r="N284" s="17" t="s">
        <v>66</v>
      </c>
      <c r="O284" s="19" t="s">
        <v>141</v>
      </c>
      <c r="P284" s="99">
        <v>500</v>
      </c>
      <c r="Q284" s="99">
        <v>492</v>
      </c>
      <c r="R284" s="17">
        <f t="shared" si="11"/>
        <v>8</v>
      </c>
      <c r="S284" s="100">
        <f t="shared" si="12"/>
        <v>1335</v>
      </c>
      <c r="T284" s="19" t="s">
        <v>42</v>
      </c>
      <c r="U284" s="17" t="s">
        <v>243</v>
      </c>
      <c r="V284" s="67">
        <v>44490</v>
      </c>
      <c r="W284" s="17" t="s">
        <v>69</v>
      </c>
      <c r="Y284" s="68">
        <v>44501</v>
      </c>
      <c r="Z284" s="17" t="s">
        <v>191</v>
      </c>
      <c r="AA284" s="17" t="s">
        <v>46</v>
      </c>
      <c r="AB284" s="17" t="s">
        <v>244</v>
      </c>
      <c r="AC284" s="66">
        <v>44512</v>
      </c>
      <c r="AD284" s="65">
        <v>1240</v>
      </c>
      <c r="AE284" s="17" t="s">
        <v>74</v>
      </c>
      <c r="AF284" s="17" t="s">
        <v>245</v>
      </c>
      <c r="AH284" s="17" t="s">
        <v>246</v>
      </c>
    </row>
    <row r="285" s="17" customFormat="1" hidden="1" spans="1:34">
      <c r="A285" s="17" t="s">
        <v>34</v>
      </c>
      <c r="B285" s="19">
        <v>728</v>
      </c>
      <c r="C285" s="64">
        <v>44489</v>
      </c>
      <c r="D285" s="17" t="s">
        <v>52</v>
      </c>
      <c r="E285" s="17" t="s">
        <v>187</v>
      </c>
      <c r="F285" s="17" t="s">
        <v>54</v>
      </c>
      <c r="H285" s="65">
        <v>1.2311</v>
      </c>
      <c r="I285" s="65"/>
      <c r="J285" s="17" t="s">
        <v>82</v>
      </c>
      <c r="K285" s="23">
        <v>305</v>
      </c>
      <c r="L285" s="92">
        <v>35</v>
      </c>
      <c r="N285" s="17" t="s">
        <v>66</v>
      </c>
      <c r="O285" s="19" t="s">
        <v>141</v>
      </c>
      <c r="P285" s="99">
        <v>500</v>
      </c>
      <c r="Q285" s="99">
        <v>591</v>
      </c>
      <c r="R285" s="17">
        <f t="shared" si="11"/>
        <v>-91</v>
      </c>
      <c r="S285" s="100">
        <f t="shared" si="12"/>
        <v>1335</v>
      </c>
      <c r="T285" s="19" t="s">
        <v>42</v>
      </c>
      <c r="U285" s="17" t="s">
        <v>243</v>
      </c>
      <c r="V285" s="67">
        <v>44490</v>
      </c>
      <c r="W285" s="17" t="s">
        <v>69</v>
      </c>
      <c r="Y285" s="68">
        <v>44501</v>
      </c>
      <c r="Z285" s="17" t="s">
        <v>191</v>
      </c>
      <c r="AA285" s="17" t="s">
        <v>46</v>
      </c>
      <c r="AB285" s="17" t="s">
        <v>244</v>
      </c>
      <c r="AC285" s="66">
        <v>44512</v>
      </c>
      <c r="AD285" s="65">
        <v>1240</v>
      </c>
      <c r="AE285" s="17" t="s">
        <v>74</v>
      </c>
      <c r="AF285" s="17" t="s">
        <v>245</v>
      </c>
      <c r="AH285" s="17" t="s">
        <v>246</v>
      </c>
    </row>
    <row r="286" s="17" customFormat="1" hidden="1" spans="1:34">
      <c r="A286" s="17" t="s">
        <v>34</v>
      </c>
      <c r="B286" s="19">
        <v>728</v>
      </c>
      <c r="C286" s="64">
        <v>44489</v>
      </c>
      <c r="D286" s="17" t="s">
        <v>52</v>
      </c>
      <c r="E286" s="17" t="s">
        <v>187</v>
      </c>
      <c r="F286" s="17" t="s">
        <v>54</v>
      </c>
      <c r="H286" s="65">
        <v>1.2311</v>
      </c>
      <c r="I286" s="65"/>
      <c r="J286" s="17" t="s">
        <v>82</v>
      </c>
      <c r="K286" s="23">
        <v>355</v>
      </c>
      <c r="L286" s="92">
        <v>35</v>
      </c>
      <c r="N286" s="17" t="s">
        <v>66</v>
      </c>
      <c r="O286" s="19" t="s">
        <v>141</v>
      </c>
      <c r="P286" s="99">
        <v>500</v>
      </c>
      <c r="Q286" s="99">
        <v>673</v>
      </c>
      <c r="R286" s="17">
        <f t="shared" si="11"/>
        <v>-173</v>
      </c>
      <c r="S286" s="100">
        <f t="shared" si="12"/>
        <v>1335</v>
      </c>
      <c r="T286" s="19" t="s">
        <v>42</v>
      </c>
      <c r="U286" s="17" t="s">
        <v>243</v>
      </c>
      <c r="V286" s="67">
        <v>44490</v>
      </c>
      <c r="W286" s="17" t="s">
        <v>69</v>
      </c>
      <c r="Y286" s="68">
        <v>44501</v>
      </c>
      <c r="Z286" s="17" t="s">
        <v>191</v>
      </c>
      <c r="AA286" s="17" t="s">
        <v>46</v>
      </c>
      <c r="AB286" s="17" t="s">
        <v>244</v>
      </c>
      <c r="AC286" s="66">
        <v>44512</v>
      </c>
      <c r="AD286" s="65">
        <v>1240</v>
      </c>
      <c r="AE286" s="17" t="s">
        <v>74</v>
      </c>
      <c r="AF286" s="17" t="s">
        <v>245</v>
      </c>
      <c r="AH286" s="17" t="s">
        <v>246</v>
      </c>
    </row>
    <row r="287" s="17" customFormat="1" hidden="1" spans="1:34">
      <c r="A287" s="17" t="s">
        <v>34</v>
      </c>
      <c r="B287" s="19">
        <v>728</v>
      </c>
      <c r="C287" s="64">
        <v>44489</v>
      </c>
      <c r="D287" s="17" t="s">
        <v>52</v>
      </c>
      <c r="E287" s="17" t="s">
        <v>187</v>
      </c>
      <c r="F287" s="17" t="s">
        <v>54</v>
      </c>
      <c r="H287" s="65">
        <v>1.2311</v>
      </c>
      <c r="I287" s="65"/>
      <c r="J287" s="17" t="s">
        <v>82</v>
      </c>
      <c r="K287" s="23">
        <v>405</v>
      </c>
      <c r="L287" s="92">
        <v>35</v>
      </c>
      <c r="N287" s="17" t="s">
        <v>66</v>
      </c>
      <c r="O287" s="19" t="s">
        <v>141</v>
      </c>
      <c r="P287" s="99">
        <v>500</v>
      </c>
      <c r="Q287" s="99">
        <v>516</v>
      </c>
      <c r="R287" s="17">
        <f t="shared" si="11"/>
        <v>-16</v>
      </c>
      <c r="S287" s="100">
        <f t="shared" si="12"/>
        <v>1335</v>
      </c>
      <c r="T287" s="19" t="s">
        <v>42</v>
      </c>
      <c r="U287" s="17" t="s">
        <v>243</v>
      </c>
      <c r="V287" s="67">
        <v>44490</v>
      </c>
      <c r="W287" s="17" t="s">
        <v>69</v>
      </c>
      <c r="Y287" s="68">
        <v>44501</v>
      </c>
      <c r="Z287" s="17" t="s">
        <v>191</v>
      </c>
      <c r="AA287" s="17" t="s">
        <v>46</v>
      </c>
      <c r="AB287" s="17" t="s">
        <v>244</v>
      </c>
      <c r="AC287" s="66">
        <v>44512</v>
      </c>
      <c r="AD287" s="65">
        <v>1240</v>
      </c>
      <c r="AE287" s="17" t="s">
        <v>74</v>
      </c>
      <c r="AF287" s="17" t="s">
        <v>245</v>
      </c>
      <c r="AH287" s="17" t="s">
        <v>246</v>
      </c>
    </row>
    <row r="288" s="17" customFormat="1" hidden="1" spans="1:34">
      <c r="A288" s="17" t="s">
        <v>34</v>
      </c>
      <c r="B288" s="19">
        <v>728</v>
      </c>
      <c r="C288" s="64">
        <v>44489</v>
      </c>
      <c r="D288" s="17" t="s">
        <v>52</v>
      </c>
      <c r="E288" s="17" t="s">
        <v>187</v>
      </c>
      <c r="F288" s="17" t="s">
        <v>54</v>
      </c>
      <c r="H288" s="65">
        <v>1.2311</v>
      </c>
      <c r="I288" s="65"/>
      <c r="J288" s="17" t="s">
        <v>82</v>
      </c>
      <c r="K288" s="23">
        <v>455</v>
      </c>
      <c r="L288" s="92">
        <v>35</v>
      </c>
      <c r="N288" s="17" t="s">
        <v>66</v>
      </c>
      <c r="O288" s="19" t="s">
        <v>141</v>
      </c>
      <c r="P288" s="99">
        <v>500</v>
      </c>
      <c r="Q288" s="99">
        <v>586</v>
      </c>
      <c r="R288" s="17">
        <f t="shared" si="11"/>
        <v>-86</v>
      </c>
      <c r="S288" s="100">
        <f t="shared" si="12"/>
        <v>1335</v>
      </c>
      <c r="T288" s="19" t="s">
        <v>42</v>
      </c>
      <c r="U288" s="17" t="s">
        <v>243</v>
      </c>
      <c r="V288" s="67">
        <v>44490</v>
      </c>
      <c r="W288" s="17" t="s">
        <v>69</v>
      </c>
      <c r="Y288" s="68">
        <v>44501</v>
      </c>
      <c r="Z288" s="17" t="s">
        <v>191</v>
      </c>
      <c r="AA288" s="17" t="s">
        <v>46</v>
      </c>
      <c r="AB288" s="17" t="s">
        <v>244</v>
      </c>
      <c r="AC288" s="66">
        <v>44512</v>
      </c>
      <c r="AD288" s="65">
        <v>1240</v>
      </c>
      <c r="AE288" s="17" t="s">
        <v>74</v>
      </c>
      <c r="AF288" s="17" t="s">
        <v>245</v>
      </c>
      <c r="AH288" s="17" t="s">
        <v>246</v>
      </c>
    </row>
    <row r="289" s="17" customFormat="1" hidden="1" spans="1:34">
      <c r="A289" s="17" t="s">
        <v>34</v>
      </c>
      <c r="B289" s="19">
        <v>728</v>
      </c>
      <c r="C289" s="64">
        <v>44489</v>
      </c>
      <c r="D289" s="17" t="s">
        <v>52</v>
      </c>
      <c r="E289" s="17" t="s">
        <v>187</v>
      </c>
      <c r="F289" s="17" t="s">
        <v>54</v>
      </c>
      <c r="H289" s="65">
        <v>1.2311</v>
      </c>
      <c r="I289" s="65"/>
      <c r="J289" s="17" t="s">
        <v>82</v>
      </c>
      <c r="K289" s="23">
        <v>205</v>
      </c>
      <c r="L289" s="92">
        <v>40</v>
      </c>
      <c r="N289" s="17" t="s">
        <v>66</v>
      </c>
      <c r="O289" s="19" t="s">
        <v>141</v>
      </c>
      <c r="P289" s="99">
        <v>2000</v>
      </c>
      <c r="Q289" s="99">
        <v>2119</v>
      </c>
      <c r="R289" s="17">
        <f t="shared" si="11"/>
        <v>-119</v>
      </c>
      <c r="S289" s="100">
        <f t="shared" si="12"/>
        <v>1335</v>
      </c>
      <c r="T289" s="19" t="s">
        <v>42</v>
      </c>
      <c r="U289" s="17" t="s">
        <v>243</v>
      </c>
      <c r="V289" s="67">
        <v>44490</v>
      </c>
      <c r="W289" s="17" t="s">
        <v>69</v>
      </c>
      <c r="Y289" s="68">
        <v>44501</v>
      </c>
      <c r="Z289" s="17" t="s">
        <v>191</v>
      </c>
      <c r="AA289" s="17" t="s">
        <v>46</v>
      </c>
      <c r="AB289" s="17" t="s">
        <v>244</v>
      </c>
      <c r="AC289" s="66">
        <v>44512</v>
      </c>
      <c r="AD289" s="65">
        <v>1240</v>
      </c>
      <c r="AE289" s="17" t="s">
        <v>74</v>
      </c>
      <c r="AF289" s="17" t="s">
        <v>245</v>
      </c>
      <c r="AH289" s="17" t="s">
        <v>246</v>
      </c>
    </row>
    <row r="290" s="17" customFormat="1" hidden="1" spans="1:34">
      <c r="A290" s="17" t="s">
        <v>34</v>
      </c>
      <c r="B290" s="19">
        <v>728</v>
      </c>
      <c r="C290" s="64">
        <v>44489</v>
      </c>
      <c r="D290" s="17" t="s">
        <v>52</v>
      </c>
      <c r="E290" s="17" t="s">
        <v>187</v>
      </c>
      <c r="F290" s="17" t="s">
        <v>54</v>
      </c>
      <c r="H290" s="65">
        <v>1.2311</v>
      </c>
      <c r="I290" s="65"/>
      <c r="J290" s="17" t="s">
        <v>82</v>
      </c>
      <c r="K290" s="23">
        <v>255</v>
      </c>
      <c r="L290" s="92">
        <v>40</v>
      </c>
      <c r="N290" s="17" t="s">
        <v>66</v>
      </c>
      <c r="O290" s="19" t="s">
        <v>141</v>
      </c>
      <c r="P290" s="99">
        <v>2000</v>
      </c>
      <c r="Q290" s="99">
        <v>2065</v>
      </c>
      <c r="R290" s="17">
        <f t="shared" si="11"/>
        <v>-65</v>
      </c>
      <c r="S290" s="100">
        <f t="shared" si="12"/>
        <v>1335</v>
      </c>
      <c r="T290" s="19" t="s">
        <v>42</v>
      </c>
      <c r="U290" s="17" t="s">
        <v>243</v>
      </c>
      <c r="V290" s="67">
        <v>44490</v>
      </c>
      <c r="W290" s="17" t="s">
        <v>69</v>
      </c>
      <c r="Y290" s="68">
        <v>44501</v>
      </c>
      <c r="Z290" s="17" t="s">
        <v>191</v>
      </c>
      <c r="AA290" s="17" t="s">
        <v>46</v>
      </c>
      <c r="AB290" s="17" t="s">
        <v>244</v>
      </c>
      <c r="AC290" s="66">
        <v>44512</v>
      </c>
      <c r="AD290" s="65">
        <v>1240</v>
      </c>
      <c r="AE290" s="17" t="s">
        <v>74</v>
      </c>
      <c r="AF290" s="17" t="s">
        <v>245</v>
      </c>
      <c r="AH290" s="17" t="s">
        <v>246</v>
      </c>
    </row>
    <row r="291" s="17" customFormat="1" hidden="1" spans="1:34">
      <c r="A291" s="17" t="s">
        <v>34</v>
      </c>
      <c r="B291" s="19">
        <v>728</v>
      </c>
      <c r="C291" s="64">
        <v>44489</v>
      </c>
      <c r="D291" s="17" t="s">
        <v>52</v>
      </c>
      <c r="E291" s="17" t="s">
        <v>187</v>
      </c>
      <c r="F291" s="17" t="s">
        <v>54</v>
      </c>
      <c r="H291" s="65">
        <v>1.2311</v>
      </c>
      <c r="I291" s="65"/>
      <c r="J291" s="17" t="s">
        <v>82</v>
      </c>
      <c r="K291" s="23">
        <v>305</v>
      </c>
      <c r="L291" s="92">
        <v>40</v>
      </c>
      <c r="N291" s="17" t="s">
        <v>66</v>
      </c>
      <c r="O291" s="19" t="s">
        <v>141</v>
      </c>
      <c r="P291" s="99">
        <v>2000</v>
      </c>
      <c r="Q291" s="99">
        <v>2231</v>
      </c>
      <c r="R291" s="17">
        <f t="shared" si="11"/>
        <v>-231</v>
      </c>
      <c r="S291" s="100">
        <f t="shared" si="12"/>
        <v>1335</v>
      </c>
      <c r="T291" s="19" t="s">
        <v>42</v>
      </c>
      <c r="U291" s="17" t="s">
        <v>243</v>
      </c>
      <c r="V291" s="67">
        <v>44490</v>
      </c>
      <c r="W291" s="17" t="s">
        <v>69</v>
      </c>
      <c r="Y291" s="68">
        <v>44501</v>
      </c>
      <c r="Z291" s="17" t="s">
        <v>191</v>
      </c>
      <c r="AA291" s="17" t="s">
        <v>46</v>
      </c>
      <c r="AB291" s="17" t="s">
        <v>244</v>
      </c>
      <c r="AC291" s="66">
        <v>44512</v>
      </c>
      <c r="AD291" s="65">
        <v>1240</v>
      </c>
      <c r="AE291" s="17" t="s">
        <v>74</v>
      </c>
      <c r="AF291" s="17" t="s">
        <v>245</v>
      </c>
      <c r="AH291" s="17" t="s">
        <v>246</v>
      </c>
    </row>
    <row r="292" s="17" customFormat="1" hidden="1" spans="1:34">
      <c r="A292" s="17" t="s">
        <v>34</v>
      </c>
      <c r="B292" s="19">
        <v>728</v>
      </c>
      <c r="C292" s="64">
        <v>44489</v>
      </c>
      <c r="D292" s="17" t="s">
        <v>52</v>
      </c>
      <c r="E292" s="17" t="s">
        <v>187</v>
      </c>
      <c r="F292" s="17" t="s">
        <v>54</v>
      </c>
      <c r="H292" s="65">
        <v>1.2311</v>
      </c>
      <c r="I292" s="65"/>
      <c r="J292" s="17" t="s">
        <v>82</v>
      </c>
      <c r="K292" s="23">
        <v>355</v>
      </c>
      <c r="L292" s="92">
        <v>40</v>
      </c>
      <c r="N292" s="17" t="s">
        <v>66</v>
      </c>
      <c r="O292" s="19" t="s">
        <v>141</v>
      </c>
      <c r="P292" s="99">
        <v>2000</v>
      </c>
      <c r="Q292" s="99">
        <v>2076</v>
      </c>
      <c r="R292" s="17">
        <f t="shared" si="11"/>
        <v>-76</v>
      </c>
      <c r="S292" s="100">
        <f t="shared" si="12"/>
        <v>1335</v>
      </c>
      <c r="T292" s="19" t="s">
        <v>42</v>
      </c>
      <c r="U292" s="17" t="s">
        <v>243</v>
      </c>
      <c r="V292" s="67">
        <v>44490</v>
      </c>
      <c r="W292" s="17" t="s">
        <v>69</v>
      </c>
      <c r="Y292" s="68">
        <v>44501</v>
      </c>
      <c r="Z292" s="17" t="s">
        <v>191</v>
      </c>
      <c r="AA292" s="17" t="s">
        <v>46</v>
      </c>
      <c r="AB292" s="17" t="s">
        <v>244</v>
      </c>
      <c r="AC292" s="66">
        <v>44512</v>
      </c>
      <c r="AD292" s="65">
        <v>1240</v>
      </c>
      <c r="AE292" s="17" t="s">
        <v>74</v>
      </c>
      <c r="AF292" s="17" t="s">
        <v>245</v>
      </c>
      <c r="AH292" s="17" t="s">
        <v>246</v>
      </c>
    </row>
    <row r="293" s="17" customFormat="1" hidden="1" spans="1:34">
      <c r="A293" s="17" t="s">
        <v>34</v>
      </c>
      <c r="B293" s="19">
        <v>728</v>
      </c>
      <c r="C293" s="64">
        <v>44489</v>
      </c>
      <c r="D293" s="17" t="s">
        <v>52</v>
      </c>
      <c r="E293" s="17" t="s">
        <v>187</v>
      </c>
      <c r="F293" s="17" t="s">
        <v>54</v>
      </c>
      <c r="H293" s="65">
        <v>1.2311</v>
      </c>
      <c r="I293" s="65"/>
      <c r="J293" s="17" t="s">
        <v>82</v>
      </c>
      <c r="K293" s="23">
        <v>405</v>
      </c>
      <c r="L293" s="92">
        <v>40</v>
      </c>
      <c r="N293" s="17" t="s">
        <v>66</v>
      </c>
      <c r="O293" s="19" t="s">
        <v>141</v>
      </c>
      <c r="P293" s="99">
        <v>1500</v>
      </c>
      <c r="Q293" s="99">
        <v>1776</v>
      </c>
      <c r="R293" s="17">
        <f t="shared" si="11"/>
        <v>-276</v>
      </c>
      <c r="S293" s="100">
        <f t="shared" si="12"/>
        <v>1335</v>
      </c>
      <c r="T293" s="19" t="s">
        <v>42</v>
      </c>
      <c r="U293" s="17" t="s">
        <v>243</v>
      </c>
      <c r="V293" s="67">
        <v>44490</v>
      </c>
      <c r="W293" s="17" t="s">
        <v>69</v>
      </c>
      <c r="Y293" s="68">
        <v>44501</v>
      </c>
      <c r="Z293" s="17" t="s">
        <v>191</v>
      </c>
      <c r="AA293" s="17" t="s">
        <v>46</v>
      </c>
      <c r="AB293" s="17" t="s">
        <v>244</v>
      </c>
      <c r="AC293" s="66">
        <v>44512</v>
      </c>
      <c r="AD293" s="65">
        <v>1240</v>
      </c>
      <c r="AE293" s="17" t="s">
        <v>74</v>
      </c>
      <c r="AF293" s="17" t="s">
        <v>245</v>
      </c>
      <c r="AH293" s="17" t="s">
        <v>246</v>
      </c>
    </row>
    <row r="294" s="17" customFormat="1" hidden="1" spans="1:34">
      <c r="A294" s="17" t="s">
        <v>34</v>
      </c>
      <c r="B294" s="19">
        <v>728</v>
      </c>
      <c r="C294" s="64">
        <v>44489</v>
      </c>
      <c r="D294" s="17" t="s">
        <v>52</v>
      </c>
      <c r="E294" s="17" t="s">
        <v>187</v>
      </c>
      <c r="F294" s="17" t="s">
        <v>54</v>
      </c>
      <c r="H294" s="65">
        <v>1.2311</v>
      </c>
      <c r="I294" s="65"/>
      <c r="J294" s="17" t="s">
        <v>82</v>
      </c>
      <c r="K294" s="23">
        <v>455</v>
      </c>
      <c r="L294" s="92">
        <v>40</v>
      </c>
      <c r="N294" s="17" t="s">
        <v>66</v>
      </c>
      <c r="O294" s="19" t="s">
        <v>141</v>
      </c>
      <c r="P294" s="99">
        <v>1500</v>
      </c>
      <c r="Q294" s="99">
        <v>1668</v>
      </c>
      <c r="R294" s="17">
        <f t="shared" si="11"/>
        <v>-168</v>
      </c>
      <c r="S294" s="100">
        <f t="shared" si="12"/>
        <v>1335</v>
      </c>
      <c r="T294" s="19" t="s">
        <v>42</v>
      </c>
      <c r="U294" s="17" t="s">
        <v>243</v>
      </c>
      <c r="V294" s="67">
        <v>44490</v>
      </c>
      <c r="W294" s="17" t="s">
        <v>69</v>
      </c>
      <c r="Y294" s="68">
        <v>44501</v>
      </c>
      <c r="Z294" s="17" t="s">
        <v>191</v>
      </c>
      <c r="AA294" s="17" t="s">
        <v>46</v>
      </c>
      <c r="AB294" s="17" t="s">
        <v>244</v>
      </c>
      <c r="AC294" s="66">
        <v>44512</v>
      </c>
      <c r="AD294" s="65">
        <v>1240</v>
      </c>
      <c r="AE294" s="17" t="s">
        <v>74</v>
      </c>
      <c r="AF294" s="17" t="s">
        <v>245</v>
      </c>
      <c r="AH294" s="17" t="s">
        <v>246</v>
      </c>
    </row>
    <row r="295" s="17" customFormat="1" hidden="1" spans="1:34">
      <c r="A295" s="17" t="s">
        <v>34</v>
      </c>
      <c r="B295" s="19">
        <v>728</v>
      </c>
      <c r="C295" s="64">
        <v>44489</v>
      </c>
      <c r="D295" s="17" t="s">
        <v>52</v>
      </c>
      <c r="E295" s="17" t="s">
        <v>187</v>
      </c>
      <c r="F295" s="17" t="s">
        <v>54</v>
      </c>
      <c r="H295" s="65">
        <v>1.2311</v>
      </c>
      <c r="I295" s="65"/>
      <c r="J295" s="17" t="s">
        <v>82</v>
      </c>
      <c r="K295" s="23">
        <v>205</v>
      </c>
      <c r="L295" s="92">
        <v>50</v>
      </c>
      <c r="N295" s="17" t="s">
        <v>66</v>
      </c>
      <c r="O295" s="19" t="s">
        <v>141</v>
      </c>
      <c r="P295" s="99">
        <v>2000</v>
      </c>
      <c r="Q295" s="99">
        <v>2114</v>
      </c>
      <c r="R295" s="17">
        <f t="shared" si="11"/>
        <v>-114</v>
      </c>
      <c r="S295" s="100">
        <f t="shared" si="12"/>
        <v>1335</v>
      </c>
      <c r="T295" s="19" t="s">
        <v>42</v>
      </c>
      <c r="U295" s="17" t="s">
        <v>243</v>
      </c>
      <c r="V295" s="67">
        <v>44490</v>
      </c>
      <c r="W295" s="17" t="s">
        <v>69</v>
      </c>
      <c r="Y295" s="68">
        <v>44501</v>
      </c>
      <c r="Z295" s="17" t="s">
        <v>191</v>
      </c>
      <c r="AA295" s="17" t="s">
        <v>46</v>
      </c>
      <c r="AB295" s="17" t="s">
        <v>244</v>
      </c>
      <c r="AC295" s="66">
        <v>44512</v>
      </c>
      <c r="AD295" s="65">
        <v>1240</v>
      </c>
      <c r="AE295" s="17" t="s">
        <v>74</v>
      </c>
      <c r="AF295" s="17" t="s">
        <v>245</v>
      </c>
      <c r="AH295" s="17" t="s">
        <v>246</v>
      </c>
    </row>
    <row r="296" s="17" customFormat="1" hidden="1" spans="1:34">
      <c r="A296" s="17" t="s">
        <v>34</v>
      </c>
      <c r="B296" s="19">
        <v>728</v>
      </c>
      <c r="C296" s="64">
        <v>44489</v>
      </c>
      <c r="D296" s="17" t="s">
        <v>52</v>
      </c>
      <c r="E296" s="17" t="s">
        <v>187</v>
      </c>
      <c r="F296" s="17" t="s">
        <v>54</v>
      </c>
      <c r="H296" s="65">
        <v>1.2311</v>
      </c>
      <c r="I296" s="65"/>
      <c r="J296" s="17" t="s">
        <v>82</v>
      </c>
      <c r="K296" s="23">
        <v>255</v>
      </c>
      <c r="L296" s="92">
        <v>50</v>
      </c>
      <c r="N296" s="17" t="s">
        <v>66</v>
      </c>
      <c r="O296" s="19" t="s">
        <v>141</v>
      </c>
      <c r="P296" s="99">
        <v>2000</v>
      </c>
      <c r="Q296" s="99">
        <v>2150</v>
      </c>
      <c r="R296" s="17">
        <f t="shared" si="11"/>
        <v>-150</v>
      </c>
      <c r="S296" s="100">
        <f t="shared" si="12"/>
        <v>1335</v>
      </c>
      <c r="T296" s="19" t="s">
        <v>42</v>
      </c>
      <c r="U296" s="17" t="s">
        <v>243</v>
      </c>
      <c r="V296" s="67">
        <v>44490</v>
      </c>
      <c r="W296" s="17" t="s">
        <v>69</v>
      </c>
      <c r="Y296" s="68">
        <v>44501</v>
      </c>
      <c r="Z296" s="17" t="s">
        <v>191</v>
      </c>
      <c r="AA296" s="17" t="s">
        <v>46</v>
      </c>
      <c r="AB296" s="17" t="s">
        <v>244</v>
      </c>
      <c r="AC296" s="66">
        <v>44512</v>
      </c>
      <c r="AD296" s="65">
        <v>1240</v>
      </c>
      <c r="AE296" s="17" t="s">
        <v>74</v>
      </c>
      <c r="AF296" s="17" t="s">
        <v>245</v>
      </c>
      <c r="AH296" s="17" t="s">
        <v>246</v>
      </c>
    </row>
    <row r="297" s="17" customFormat="1" hidden="1" spans="1:34">
      <c r="A297" s="17" t="s">
        <v>34</v>
      </c>
      <c r="B297" s="19">
        <v>728</v>
      </c>
      <c r="C297" s="64">
        <v>44489</v>
      </c>
      <c r="D297" s="17" t="s">
        <v>52</v>
      </c>
      <c r="E297" s="17" t="s">
        <v>187</v>
      </c>
      <c r="F297" s="17" t="s">
        <v>54</v>
      </c>
      <c r="H297" s="65">
        <v>1.2311</v>
      </c>
      <c r="I297" s="65"/>
      <c r="J297" s="17" t="s">
        <v>82</v>
      </c>
      <c r="K297" s="23">
        <v>305</v>
      </c>
      <c r="L297" s="92">
        <v>50</v>
      </c>
      <c r="N297" s="17" t="s">
        <v>66</v>
      </c>
      <c r="O297" s="19" t="s">
        <v>141</v>
      </c>
      <c r="P297" s="99">
        <v>2000</v>
      </c>
      <c r="Q297" s="99">
        <v>2227</v>
      </c>
      <c r="R297" s="17">
        <f t="shared" si="11"/>
        <v>-227</v>
      </c>
      <c r="S297" s="100">
        <f t="shared" si="12"/>
        <v>1335</v>
      </c>
      <c r="T297" s="19" t="s">
        <v>42</v>
      </c>
      <c r="U297" s="17" t="s">
        <v>243</v>
      </c>
      <c r="V297" s="67">
        <v>44490</v>
      </c>
      <c r="W297" s="17" t="s">
        <v>69</v>
      </c>
      <c r="Y297" s="68">
        <v>44501</v>
      </c>
      <c r="Z297" s="17" t="s">
        <v>191</v>
      </c>
      <c r="AA297" s="17" t="s">
        <v>46</v>
      </c>
      <c r="AB297" s="17" t="s">
        <v>244</v>
      </c>
      <c r="AC297" s="66">
        <v>44512</v>
      </c>
      <c r="AD297" s="65">
        <v>1240</v>
      </c>
      <c r="AE297" s="17" t="s">
        <v>74</v>
      </c>
      <c r="AF297" s="17" t="s">
        <v>245</v>
      </c>
      <c r="AH297" s="17" t="s">
        <v>246</v>
      </c>
    </row>
    <row r="298" s="17" customFormat="1" hidden="1" spans="1:34">
      <c r="A298" s="17" t="s">
        <v>34</v>
      </c>
      <c r="B298" s="19">
        <v>728</v>
      </c>
      <c r="C298" s="64">
        <v>44489</v>
      </c>
      <c r="D298" s="17" t="s">
        <v>52</v>
      </c>
      <c r="E298" s="17" t="s">
        <v>187</v>
      </c>
      <c r="F298" s="17" t="s">
        <v>54</v>
      </c>
      <c r="H298" s="65">
        <v>1.2311</v>
      </c>
      <c r="I298" s="65"/>
      <c r="J298" s="17" t="s">
        <v>82</v>
      </c>
      <c r="K298" s="23">
        <v>355</v>
      </c>
      <c r="L298" s="92">
        <v>50</v>
      </c>
      <c r="N298" s="17" t="s">
        <v>66</v>
      </c>
      <c r="O298" s="19" t="s">
        <v>141</v>
      </c>
      <c r="P298" s="99">
        <v>2000</v>
      </c>
      <c r="Q298" s="99">
        <v>1922</v>
      </c>
      <c r="R298" s="17">
        <f t="shared" si="11"/>
        <v>78</v>
      </c>
      <c r="S298" s="100">
        <f t="shared" si="12"/>
        <v>1335</v>
      </c>
      <c r="T298" s="19" t="s">
        <v>42</v>
      </c>
      <c r="U298" s="17" t="s">
        <v>243</v>
      </c>
      <c r="V298" s="67">
        <v>44490</v>
      </c>
      <c r="W298" s="17" t="s">
        <v>69</v>
      </c>
      <c r="Y298" s="68">
        <v>44501</v>
      </c>
      <c r="Z298" s="17" t="s">
        <v>191</v>
      </c>
      <c r="AA298" s="17" t="s">
        <v>46</v>
      </c>
      <c r="AB298" s="17" t="s">
        <v>244</v>
      </c>
      <c r="AC298" s="66">
        <v>44512</v>
      </c>
      <c r="AD298" s="65">
        <v>1240</v>
      </c>
      <c r="AE298" s="17" t="s">
        <v>74</v>
      </c>
      <c r="AF298" s="17" t="s">
        <v>245</v>
      </c>
      <c r="AH298" s="17" t="s">
        <v>246</v>
      </c>
    </row>
    <row r="299" s="17" customFormat="1" hidden="1" spans="1:34">
      <c r="A299" s="17" t="s">
        <v>34</v>
      </c>
      <c r="B299" s="19">
        <v>728</v>
      </c>
      <c r="C299" s="64">
        <v>44489</v>
      </c>
      <c r="D299" s="17" t="s">
        <v>52</v>
      </c>
      <c r="E299" s="17" t="s">
        <v>187</v>
      </c>
      <c r="F299" s="17" t="s">
        <v>54</v>
      </c>
      <c r="H299" s="65">
        <v>1.2311</v>
      </c>
      <c r="I299" s="65"/>
      <c r="J299" s="17" t="s">
        <v>82</v>
      </c>
      <c r="K299" s="23">
        <v>405</v>
      </c>
      <c r="L299" s="92">
        <v>50</v>
      </c>
      <c r="N299" s="17" t="s">
        <v>66</v>
      </c>
      <c r="O299" s="19" t="s">
        <v>141</v>
      </c>
      <c r="P299" s="99">
        <v>1500</v>
      </c>
      <c r="Q299" s="99">
        <v>1498</v>
      </c>
      <c r="R299" s="17">
        <f t="shared" si="11"/>
        <v>2</v>
      </c>
      <c r="S299" s="100">
        <f t="shared" si="12"/>
        <v>1335</v>
      </c>
      <c r="T299" s="19" t="s">
        <v>42</v>
      </c>
      <c r="U299" s="17" t="s">
        <v>243</v>
      </c>
      <c r="V299" s="67">
        <v>44490</v>
      </c>
      <c r="W299" s="17" t="s">
        <v>69</v>
      </c>
      <c r="Y299" s="68">
        <v>44501</v>
      </c>
      <c r="Z299" s="17" t="s">
        <v>191</v>
      </c>
      <c r="AA299" s="17" t="s">
        <v>46</v>
      </c>
      <c r="AB299" s="17" t="s">
        <v>244</v>
      </c>
      <c r="AC299" s="66">
        <v>44512</v>
      </c>
      <c r="AD299" s="65">
        <v>1240</v>
      </c>
      <c r="AE299" s="17" t="s">
        <v>74</v>
      </c>
      <c r="AF299" s="17" t="s">
        <v>245</v>
      </c>
      <c r="AH299" s="17" t="s">
        <v>246</v>
      </c>
    </row>
    <row r="300" s="17" customFormat="1" hidden="1" spans="1:34">
      <c r="A300" s="17" t="s">
        <v>34</v>
      </c>
      <c r="B300" s="19">
        <v>728</v>
      </c>
      <c r="C300" s="64">
        <v>44489</v>
      </c>
      <c r="D300" s="17" t="s">
        <v>52</v>
      </c>
      <c r="E300" s="17" t="s">
        <v>187</v>
      </c>
      <c r="F300" s="17" t="s">
        <v>54</v>
      </c>
      <c r="H300" s="65">
        <v>1.2311</v>
      </c>
      <c r="I300" s="65"/>
      <c r="J300" s="17" t="s">
        <v>82</v>
      </c>
      <c r="K300" s="23">
        <v>455</v>
      </c>
      <c r="L300" s="92">
        <v>50</v>
      </c>
      <c r="N300" s="17" t="s">
        <v>66</v>
      </c>
      <c r="O300" s="19" t="s">
        <v>141</v>
      </c>
      <c r="P300" s="99">
        <v>1500</v>
      </c>
      <c r="Q300" s="99">
        <v>1655</v>
      </c>
      <c r="R300" s="17">
        <f t="shared" si="11"/>
        <v>-155</v>
      </c>
      <c r="S300" s="100">
        <f t="shared" si="12"/>
        <v>1335</v>
      </c>
      <c r="T300" s="19" t="s">
        <v>42</v>
      </c>
      <c r="U300" s="17" t="s">
        <v>243</v>
      </c>
      <c r="V300" s="67">
        <v>44490</v>
      </c>
      <c r="W300" s="17" t="s">
        <v>69</v>
      </c>
      <c r="Y300" s="68">
        <v>44501</v>
      </c>
      <c r="Z300" s="17" t="s">
        <v>191</v>
      </c>
      <c r="AA300" s="17" t="s">
        <v>46</v>
      </c>
      <c r="AB300" s="17" t="s">
        <v>244</v>
      </c>
      <c r="AC300" s="66">
        <v>44512</v>
      </c>
      <c r="AD300" s="65">
        <v>1240</v>
      </c>
      <c r="AE300" s="17" t="s">
        <v>74</v>
      </c>
      <c r="AF300" s="17" t="s">
        <v>245</v>
      </c>
      <c r="AH300" s="17" t="s">
        <v>246</v>
      </c>
    </row>
    <row r="301" s="17" customFormat="1" hidden="1" spans="1:34">
      <c r="A301" s="17" t="s">
        <v>34</v>
      </c>
      <c r="B301" s="19">
        <v>728</v>
      </c>
      <c r="C301" s="64">
        <v>44489</v>
      </c>
      <c r="D301" s="17" t="s">
        <v>52</v>
      </c>
      <c r="E301" s="17" t="s">
        <v>187</v>
      </c>
      <c r="F301" s="17" t="s">
        <v>54</v>
      </c>
      <c r="H301" s="65">
        <v>1.2311</v>
      </c>
      <c r="I301" s="65"/>
      <c r="J301" s="17" t="s">
        <v>82</v>
      </c>
      <c r="K301" s="23">
        <v>205</v>
      </c>
      <c r="L301" s="92">
        <v>65</v>
      </c>
      <c r="N301" s="17" t="s">
        <v>66</v>
      </c>
      <c r="O301" s="19" t="s">
        <v>141</v>
      </c>
      <c r="P301" s="99">
        <v>2000</v>
      </c>
      <c r="Q301" s="99">
        <v>1934</v>
      </c>
      <c r="R301" s="17">
        <f t="shared" si="11"/>
        <v>66</v>
      </c>
      <c r="S301" s="100">
        <f t="shared" si="12"/>
        <v>1335</v>
      </c>
      <c r="T301" s="19" t="s">
        <v>42</v>
      </c>
      <c r="U301" s="17" t="s">
        <v>243</v>
      </c>
      <c r="V301" s="67">
        <v>44490</v>
      </c>
      <c r="W301" s="17" t="s">
        <v>69</v>
      </c>
      <c r="Y301" s="68">
        <v>44501</v>
      </c>
      <c r="Z301" s="17" t="s">
        <v>191</v>
      </c>
      <c r="AA301" s="17" t="s">
        <v>46</v>
      </c>
      <c r="AB301" s="17" t="s">
        <v>244</v>
      </c>
      <c r="AC301" s="66">
        <v>44512</v>
      </c>
      <c r="AD301" s="65">
        <v>1240</v>
      </c>
      <c r="AE301" s="17" t="s">
        <v>74</v>
      </c>
      <c r="AF301" s="17" t="s">
        <v>245</v>
      </c>
      <c r="AH301" s="17" t="s">
        <v>246</v>
      </c>
    </row>
    <row r="302" s="17" customFormat="1" hidden="1" spans="1:34">
      <c r="A302" s="17" t="s">
        <v>34</v>
      </c>
      <c r="B302" s="19">
        <v>728</v>
      </c>
      <c r="C302" s="64">
        <v>44489</v>
      </c>
      <c r="D302" s="17" t="s">
        <v>52</v>
      </c>
      <c r="E302" s="17" t="s">
        <v>187</v>
      </c>
      <c r="F302" s="17" t="s">
        <v>54</v>
      </c>
      <c r="H302" s="65">
        <v>1.2311</v>
      </c>
      <c r="I302" s="65"/>
      <c r="J302" s="17" t="s">
        <v>82</v>
      </c>
      <c r="K302" s="23">
        <v>255</v>
      </c>
      <c r="L302" s="92">
        <v>65</v>
      </c>
      <c r="N302" s="17" t="s">
        <v>66</v>
      </c>
      <c r="O302" s="19" t="s">
        <v>141</v>
      </c>
      <c r="P302" s="99">
        <v>2000</v>
      </c>
      <c r="Q302" s="99">
        <v>1858</v>
      </c>
      <c r="R302" s="17">
        <f t="shared" ref="R302:R319" si="13">+P302-Q302</f>
        <v>142</v>
      </c>
      <c r="S302" s="100">
        <f t="shared" si="12"/>
        <v>1335</v>
      </c>
      <c r="T302" s="19" t="s">
        <v>42</v>
      </c>
      <c r="U302" s="17" t="s">
        <v>243</v>
      </c>
      <c r="V302" s="67">
        <v>44490</v>
      </c>
      <c r="W302" s="17" t="s">
        <v>69</v>
      </c>
      <c r="Y302" s="68">
        <v>44501</v>
      </c>
      <c r="Z302" s="17" t="s">
        <v>191</v>
      </c>
      <c r="AA302" s="17" t="s">
        <v>46</v>
      </c>
      <c r="AB302" s="17" t="s">
        <v>244</v>
      </c>
      <c r="AC302" s="66">
        <v>44512</v>
      </c>
      <c r="AD302" s="65">
        <v>1240</v>
      </c>
      <c r="AE302" s="17" t="s">
        <v>74</v>
      </c>
      <c r="AF302" s="17" t="s">
        <v>245</v>
      </c>
      <c r="AH302" s="17" t="s">
        <v>246</v>
      </c>
    </row>
    <row r="303" s="17" customFormat="1" hidden="1" spans="1:34">
      <c r="A303" s="17" t="s">
        <v>34</v>
      </c>
      <c r="B303" s="19">
        <v>728</v>
      </c>
      <c r="C303" s="64">
        <v>44489</v>
      </c>
      <c r="D303" s="17" t="s">
        <v>52</v>
      </c>
      <c r="E303" s="17" t="s">
        <v>187</v>
      </c>
      <c r="F303" s="17" t="s">
        <v>54</v>
      </c>
      <c r="H303" s="65">
        <v>1.2311</v>
      </c>
      <c r="I303" s="65"/>
      <c r="J303" s="17" t="s">
        <v>82</v>
      </c>
      <c r="K303" s="23">
        <v>305</v>
      </c>
      <c r="L303" s="92">
        <v>65</v>
      </c>
      <c r="N303" s="17" t="s">
        <v>66</v>
      </c>
      <c r="O303" s="19" t="s">
        <v>141</v>
      </c>
      <c r="P303" s="99">
        <v>2000</v>
      </c>
      <c r="Q303" s="99">
        <v>1736</v>
      </c>
      <c r="R303" s="17">
        <f t="shared" si="13"/>
        <v>264</v>
      </c>
      <c r="S303" s="100">
        <f t="shared" si="12"/>
        <v>1335</v>
      </c>
      <c r="T303" s="19" t="s">
        <v>42</v>
      </c>
      <c r="U303" s="17" t="s">
        <v>243</v>
      </c>
      <c r="V303" s="67">
        <v>44490</v>
      </c>
      <c r="W303" s="17" t="s">
        <v>69</v>
      </c>
      <c r="Y303" s="68">
        <v>44501</v>
      </c>
      <c r="Z303" s="17" t="s">
        <v>191</v>
      </c>
      <c r="AA303" s="17" t="s">
        <v>46</v>
      </c>
      <c r="AB303" s="17" t="s">
        <v>244</v>
      </c>
      <c r="AC303" s="66">
        <v>44512</v>
      </c>
      <c r="AD303" s="65">
        <v>1240</v>
      </c>
      <c r="AE303" s="17" t="s">
        <v>74</v>
      </c>
      <c r="AF303" s="17" t="s">
        <v>245</v>
      </c>
      <c r="AH303" s="17" t="s">
        <v>246</v>
      </c>
    </row>
    <row r="304" s="17" customFormat="1" hidden="1" spans="1:34">
      <c r="A304" s="17" t="s">
        <v>34</v>
      </c>
      <c r="B304" s="19">
        <v>728</v>
      </c>
      <c r="C304" s="64">
        <v>44489</v>
      </c>
      <c r="D304" s="17" t="s">
        <v>52</v>
      </c>
      <c r="E304" s="17" t="s">
        <v>187</v>
      </c>
      <c r="F304" s="17" t="s">
        <v>54</v>
      </c>
      <c r="H304" s="65">
        <v>1.2311</v>
      </c>
      <c r="I304" s="65"/>
      <c r="J304" s="17" t="s">
        <v>82</v>
      </c>
      <c r="K304" s="23">
        <v>355</v>
      </c>
      <c r="L304" s="92">
        <v>65</v>
      </c>
      <c r="N304" s="17" t="s">
        <v>66</v>
      </c>
      <c r="O304" s="19" t="s">
        <v>141</v>
      </c>
      <c r="P304" s="99">
        <v>2000</v>
      </c>
      <c r="Q304" s="99">
        <v>1596</v>
      </c>
      <c r="R304" s="17">
        <f t="shared" si="13"/>
        <v>404</v>
      </c>
      <c r="S304" s="100">
        <f t="shared" si="12"/>
        <v>1335</v>
      </c>
      <c r="T304" s="19" t="s">
        <v>42</v>
      </c>
      <c r="U304" s="17" t="s">
        <v>243</v>
      </c>
      <c r="V304" s="67">
        <v>44490</v>
      </c>
      <c r="W304" s="17" t="s">
        <v>69</v>
      </c>
      <c r="Y304" s="68">
        <v>44501</v>
      </c>
      <c r="Z304" s="17" t="s">
        <v>191</v>
      </c>
      <c r="AA304" s="17" t="s">
        <v>46</v>
      </c>
      <c r="AB304" s="17" t="s">
        <v>244</v>
      </c>
      <c r="AC304" s="66">
        <v>44512</v>
      </c>
      <c r="AD304" s="65">
        <v>1240</v>
      </c>
      <c r="AE304" s="17" t="s">
        <v>74</v>
      </c>
      <c r="AF304" s="17" t="s">
        <v>245</v>
      </c>
      <c r="AH304" s="17" t="s">
        <v>246</v>
      </c>
    </row>
    <row r="305" s="17" customFormat="1" hidden="1" spans="1:34">
      <c r="A305" s="17" t="s">
        <v>34</v>
      </c>
      <c r="B305" s="19">
        <v>728</v>
      </c>
      <c r="C305" s="64">
        <v>44489</v>
      </c>
      <c r="D305" s="17" t="s">
        <v>52</v>
      </c>
      <c r="E305" s="17" t="s">
        <v>187</v>
      </c>
      <c r="F305" s="17" t="s">
        <v>54</v>
      </c>
      <c r="H305" s="65">
        <v>1.2311</v>
      </c>
      <c r="I305" s="65"/>
      <c r="J305" s="17" t="s">
        <v>82</v>
      </c>
      <c r="K305" s="23">
        <v>405</v>
      </c>
      <c r="L305" s="92">
        <v>65</v>
      </c>
      <c r="N305" s="17" t="s">
        <v>66</v>
      </c>
      <c r="O305" s="19" t="s">
        <v>141</v>
      </c>
      <c r="P305" s="99">
        <v>1500</v>
      </c>
      <c r="Q305" s="99">
        <v>1422</v>
      </c>
      <c r="R305" s="17">
        <f t="shared" si="13"/>
        <v>78</v>
      </c>
      <c r="S305" s="100">
        <f t="shared" si="12"/>
        <v>1335</v>
      </c>
      <c r="T305" s="19" t="s">
        <v>42</v>
      </c>
      <c r="U305" s="17" t="s">
        <v>243</v>
      </c>
      <c r="V305" s="67">
        <v>44490</v>
      </c>
      <c r="W305" s="17" t="s">
        <v>69</v>
      </c>
      <c r="Y305" s="68">
        <v>44501</v>
      </c>
      <c r="Z305" s="17" t="s">
        <v>191</v>
      </c>
      <c r="AA305" s="17" t="s">
        <v>46</v>
      </c>
      <c r="AB305" s="17" t="s">
        <v>244</v>
      </c>
      <c r="AC305" s="66">
        <v>44512</v>
      </c>
      <c r="AD305" s="65">
        <v>1240</v>
      </c>
      <c r="AE305" s="17" t="s">
        <v>74</v>
      </c>
      <c r="AF305" s="17" t="s">
        <v>245</v>
      </c>
      <c r="AH305" s="17" t="s">
        <v>246</v>
      </c>
    </row>
    <row r="306" s="17" customFormat="1" hidden="1" spans="1:34">
      <c r="A306" s="17" t="s">
        <v>34</v>
      </c>
      <c r="B306" s="19">
        <v>728</v>
      </c>
      <c r="C306" s="64">
        <v>44489</v>
      </c>
      <c r="D306" s="17" t="s">
        <v>52</v>
      </c>
      <c r="E306" s="17" t="s">
        <v>187</v>
      </c>
      <c r="F306" s="17" t="s">
        <v>54</v>
      </c>
      <c r="H306" s="65">
        <v>1.2311</v>
      </c>
      <c r="I306" s="65"/>
      <c r="J306" s="17" t="s">
        <v>82</v>
      </c>
      <c r="K306" s="23">
        <v>455</v>
      </c>
      <c r="L306" s="92">
        <v>65</v>
      </c>
      <c r="N306" s="17" t="s">
        <v>66</v>
      </c>
      <c r="O306" s="19" t="s">
        <v>141</v>
      </c>
      <c r="P306" s="99">
        <v>1500</v>
      </c>
      <c r="Q306" s="99">
        <v>1594</v>
      </c>
      <c r="R306" s="17">
        <f t="shared" si="13"/>
        <v>-94</v>
      </c>
      <c r="S306" s="100">
        <f t="shared" si="12"/>
        <v>1335</v>
      </c>
      <c r="T306" s="19" t="s">
        <v>42</v>
      </c>
      <c r="U306" s="17" t="s">
        <v>243</v>
      </c>
      <c r="V306" s="67">
        <v>44490</v>
      </c>
      <c r="W306" s="17" t="s">
        <v>69</v>
      </c>
      <c r="Y306" s="68">
        <v>44501</v>
      </c>
      <c r="Z306" s="17" t="s">
        <v>191</v>
      </c>
      <c r="AA306" s="17" t="s">
        <v>46</v>
      </c>
      <c r="AB306" s="17" t="s">
        <v>244</v>
      </c>
      <c r="AC306" s="66">
        <v>44512</v>
      </c>
      <c r="AD306" s="65">
        <v>1240</v>
      </c>
      <c r="AE306" s="17" t="s">
        <v>74</v>
      </c>
      <c r="AF306" s="17" t="s">
        <v>245</v>
      </c>
      <c r="AH306" s="17" t="s">
        <v>246</v>
      </c>
    </row>
    <row r="307" s="17" customFormat="1" hidden="1" spans="1:34">
      <c r="A307" s="17" t="s">
        <v>34</v>
      </c>
      <c r="B307" s="19">
        <v>728</v>
      </c>
      <c r="C307" s="64">
        <v>44489</v>
      </c>
      <c r="D307" s="17" t="s">
        <v>52</v>
      </c>
      <c r="E307" s="17" t="s">
        <v>187</v>
      </c>
      <c r="F307" s="17" t="s">
        <v>54</v>
      </c>
      <c r="H307" s="65">
        <v>1.2311</v>
      </c>
      <c r="I307" s="65"/>
      <c r="J307" s="17" t="s">
        <v>82</v>
      </c>
      <c r="K307" s="23">
        <v>205</v>
      </c>
      <c r="L307" s="92">
        <v>80</v>
      </c>
      <c r="N307" s="17" t="s">
        <v>66</v>
      </c>
      <c r="O307" s="19" t="s">
        <v>141</v>
      </c>
      <c r="P307" s="99">
        <v>2000</v>
      </c>
      <c r="Q307" s="99">
        <v>2089</v>
      </c>
      <c r="R307" s="17">
        <f t="shared" si="13"/>
        <v>-89</v>
      </c>
      <c r="S307" s="100">
        <f t="shared" si="12"/>
        <v>1335</v>
      </c>
      <c r="T307" s="19" t="s">
        <v>42</v>
      </c>
      <c r="U307" s="17" t="s">
        <v>243</v>
      </c>
      <c r="V307" s="67">
        <v>44490</v>
      </c>
      <c r="W307" s="17" t="s">
        <v>69</v>
      </c>
      <c r="Y307" s="68">
        <v>44501</v>
      </c>
      <c r="Z307" s="17" t="s">
        <v>191</v>
      </c>
      <c r="AA307" s="17" t="s">
        <v>46</v>
      </c>
      <c r="AB307" s="17" t="s">
        <v>244</v>
      </c>
      <c r="AC307" s="66">
        <v>44512</v>
      </c>
      <c r="AD307" s="65">
        <v>1240</v>
      </c>
      <c r="AE307" s="17" t="s">
        <v>74</v>
      </c>
      <c r="AF307" s="17" t="s">
        <v>245</v>
      </c>
      <c r="AH307" s="17" t="s">
        <v>246</v>
      </c>
    </row>
    <row r="308" s="17" customFormat="1" hidden="1" spans="1:34">
      <c r="A308" s="17" t="s">
        <v>34</v>
      </c>
      <c r="B308" s="19">
        <v>728</v>
      </c>
      <c r="C308" s="64">
        <v>44489</v>
      </c>
      <c r="D308" s="17" t="s">
        <v>52</v>
      </c>
      <c r="E308" s="17" t="s">
        <v>187</v>
      </c>
      <c r="F308" s="17" t="s">
        <v>54</v>
      </c>
      <c r="H308" s="65">
        <v>1.2311</v>
      </c>
      <c r="I308" s="65"/>
      <c r="J308" s="17" t="s">
        <v>82</v>
      </c>
      <c r="K308" s="23">
        <v>255</v>
      </c>
      <c r="L308" s="92">
        <v>80</v>
      </c>
      <c r="N308" s="17" t="s">
        <v>66</v>
      </c>
      <c r="O308" s="19" t="s">
        <v>141</v>
      </c>
      <c r="P308" s="99">
        <v>2000</v>
      </c>
      <c r="Q308" s="99">
        <v>1802</v>
      </c>
      <c r="R308" s="17">
        <f t="shared" si="13"/>
        <v>198</v>
      </c>
      <c r="S308" s="100">
        <f t="shared" si="12"/>
        <v>1335</v>
      </c>
      <c r="T308" s="19" t="s">
        <v>42</v>
      </c>
      <c r="U308" s="17" t="s">
        <v>243</v>
      </c>
      <c r="V308" s="67">
        <v>44490</v>
      </c>
      <c r="W308" s="17" t="s">
        <v>69</v>
      </c>
      <c r="Y308" s="68">
        <v>44501</v>
      </c>
      <c r="Z308" s="17" t="s">
        <v>191</v>
      </c>
      <c r="AA308" s="17" t="s">
        <v>46</v>
      </c>
      <c r="AB308" s="17" t="s">
        <v>244</v>
      </c>
      <c r="AC308" s="66">
        <v>44512</v>
      </c>
      <c r="AD308" s="65">
        <v>1240</v>
      </c>
      <c r="AE308" s="17" t="s">
        <v>74</v>
      </c>
      <c r="AF308" s="17" t="s">
        <v>245</v>
      </c>
      <c r="AH308" s="17" t="s">
        <v>246</v>
      </c>
    </row>
    <row r="309" s="17" customFormat="1" hidden="1" spans="1:34">
      <c r="A309" s="17" t="s">
        <v>34</v>
      </c>
      <c r="B309" s="19">
        <v>728</v>
      </c>
      <c r="C309" s="64">
        <v>44489</v>
      </c>
      <c r="D309" s="17" t="s">
        <v>52</v>
      </c>
      <c r="E309" s="17" t="s">
        <v>187</v>
      </c>
      <c r="F309" s="17" t="s">
        <v>54</v>
      </c>
      <c r="H309" s="65">
        <v>1.2311</v>
      </c>
      <c r="I309" s="65"/>
      <c r="J309" s="17" t="s">
        <v>82</v>
      </c>
      <c r="K309" s="23">
        <v>305</v>
      </c>
      <c r="L309" s="92">
        <v>80</v>
      </c>
      <c r="N309" s="17" t="s">
        <v>66</v>
      </c>
      <c r="O309" s="19" t="s">
        <v>141</v>
      </c>
      <c r="P309" s="99">
        <v>2000</v>
      </c>
      <c r="Q309" s="99">
        <v>2158</v>
      </c>
      <c r="R309" s="17">
        <f t="shared" si="13"/>
        <v>-158</v>
      </c>
      <c r="S309" s="100">
        <f t="shared" si="12"/>
        <v>1335</v>
      </c>
      <c r="T309" s="19" t="s">
        <v>42</v>
      </c>
      <c r="U309" s="17" t="s">
        <v>243</v>
      </c>
      <c r="V309" s="67">
        <v>44490</v>
      </c>
      <c r="W309" s="17" t="s">
        <v>69</v>
      </c>
      <c r="Y309" s="68">
        <v>44501</v>
      </c>
      <c r="Z309" s="17" t="s">
        <v>191</v>
      </c>
      <c r="AA309" s="17" t="s">
        <v>46</v>
      </c>
      <c r="AB309" s="17" t="s">
        <v>244</v>
      </c>
      <c r="AC309" s="66">
        <v>44512</v>
      </c>
      <c r="AD309" s="65">
        <v>1240</v>
      </c>
      <c r="AE309" s="17" t="s">
        <v>74</v>
      </c>
      <c r="AF309" s="17" t="s">
        <v>245</v>
      </c>
      <c r="AH309" s="17" t="s">
        <v>246</v>
      </c>
    </row>
    <row r="310" s="17" customFormat="1" hidden="1" spans="1:34">
      <c r="A310" s="17" t="s">
        <v>34</v>
      </c>
      <c r="B310" s="19">
        <v>728</v>
      </c>
      <c r="C310" s="64">
        <v>44489</v>
      </c>
      <c r="D310" s="17" t="s">
        <v>52</v>
      </c>
      <c r="E310" s="17" t="s">
        <v>187</v>
      </c>
      <c r="F310" s="17" t="s">
        <v>54</v>
      </c>
      <c r="H310" s="65">
        <v>1.2311</v>
      </c>
      <c r="I310" s="65"/>
      <c r="J310" s="17" t="s">
        <v>82</v>
      </c>
      <c r="K310" s="23">
        <v>355</v>
      </c>
      <c r="L310" s="92">
        <v>80</v>
      </c>
      <c r="N310" s="17" t="s">
        <v>66</v>
      </c>
      <c r="O310" s="19" t="s">
        <v>141</v>
      </c>
      <c r="P310" s="99">
        <v>2000</v>
      </c>
      <c r="Q310" s="99">
        <v>2010</v>
      </c>
      <c r="R310" s="17">
        <f t="shared" si="13"/>
        <v>-10</v>
      </c>
      <c r="S310" s="100">
        <f t="shared" si="12"/>
        <v>1335</v>
      </c>
      <c r="T310" s="19" t="s">
        <v>42</v>
      </c>
      <c r="U310" s="17" t="s">
        <v>243</v>
      </c>
      <c r="V310" s="67">
        <v>44490</v>
      </c>
      <c r="W310" s="17" t="s">
        <v>69</v>
      </c>
      <c r="Y310" s="68">
        <v>44501</v>
      </c>
      <c r="Z310" s="17" t="s">
        <v>191</v>
      </c>
      <c r="AA310" s="17" t="s">
        <v>46</v>
      </c>
      <c r="AB310" s="17" t="s">
        <v>244</v>
      </c>
      <c r="AC310" s="66">
        <v>44512</v>
      </c>
      <c r="AD310" s="65">
        <v>1240</v>
      </c>
      <c r="AE310" s="17" t="s">
        <v>74</v>
      </c>
      <c r="AF310" s="17" t="s">
        <v>245</v>
      </c>
      <c r="AH310" s="17" t="s">
        <v>246</v>
      </c>
    </row>
    <row r="311" s="17" customFormat="1" hidden="1" spans="1:34">
      <c r="A311" s="17" t="s">
        <v>34</v>
      </c>
      <c r="B311" s="19">
        <v>728</v>
      </c>
      <c r="C311" s="64">
        <v>44489</v>
      </c>
      <c r="D311" s="17" t="s">
        <v>52</v>
      </c>
      <c r="E311" s="17" t="s">
        <v>187</v>
      </c>
      <c r="F311" s="17" t="s">
        <v>54</v>
      </c>
      <c r="H311" s="65">
        <v>1.2311</v>
      </c>
      <c r="I311" s="65"/>
      <c r="J311" s="17" t="s">
        <v>82</v>
      </c>
      <c r="K311" s="23">
        <v>405</v>
      </c>
      <c r="L311" s="92">
        <v>80</v>
      </c>
      <c r="N311" s="17" t="s">
        <v>66</v>
      </c>
      <c r="O311" s="19" t="s">
        <v>141</v>
      </c>
      <c r="P311" s="99">
        <v>1500</v>
      </c>
      <c r="Q311" s="99">
        <v>1137</v>
      </c>
      <c r="R311" s="17">
        <f t="shared" si="13"/>
        <v>363</v>
      </c>
      <c r="S311" s="100">
        <f t="shared" si="12"/>
        <v>1335</v>
      </c>
      <c r="T311" s="19" t="s">
        <v>42</v>
      </c>
      <c r="U311" s="17" t="s">
        <v>243</v>
      </c>
      <c r="V311" s="67">
        <v>44490</v>
      </c>
      <c r="W311" s="17" t="s">
        <v>69</v>
      </c>
      <c r="Y311" s="68">
        <v>44501</v>
      </c>
      <c r="Z311" s="17" t="s">
        <v>191</v>
      </c>
      <c r="AA311" s="17" t="s">
        <v>46</v>
      </c>
      <c r="AB311" s="17" t="s">
        <v>244</v>
      </c>
      <c r="AC311" s="66">
        <v>44512</v>
      </c>
      <c r="AD311" s="65">
        <v>1240</v>
      </c>
      <c r="AE311" s="17" t="s">
        <v>74</v>
      </c>
      <c r="AF311" s="17" t="s">
        <v>245</v>
      </c>
      <c r="AH311" s="17" t="s">
        <v>246</v>
      </c>
    </row>
    <row r="312" s="17" customFormat="1" hidden="1" spans="1:34">
      <c r="A312" s="17" t="s">
        <v>34</v>
      </c>
      <c r="B312" s="19">
        <v>728</v>
      </c>
      <c r="C312" s="64">
        <v>44489</v>
      </c>
      <c r="D312" s="17" t="s">
        <v>52</v>
      </c>
      <c r="E312" s="17" t="s">
        <v>187</v>
      </c>
      <c r="F312" s="17" t="s">
        <v>54</v>
      </c>
      <c r="H312" s="65">
        <v>1.2311</v>
      </c>
      <c r="I312" s="65"/>
      <c r="J312" s="17" t="s">
        <v>82</v>
      </c>
      <c r="K312" s="23">
        <v>455</v>
      </c>
      <c r="L312" s="92">
        <v>80</v>
      </c>
      <c r="N312" s="17" t="s">
        <v>66</v>
      </c>
      <c r="O312" s="19" t="s">
        <v>141</v>
      </c>
      <c r="P312" s="99">
        <v>1500</v>
      </c>
      <c r="Q312" s="99">
        <v>1272</v>
      </c>
      <c r="R312" s="17">
        <f t="shared" si="13"/>
        <v>228</v>
      </c>
      <c r="S312" s="100">
        <f t="shared" si="12"/>
        <v>1335</v>
      </c>
      <c r="T312" s="19" t="s">
        <v>42</v>
      </c>
      <c r="U312" s="17" t="s">
        <v>243</v>
      </c>
      <c r="V312" s="67">
        <v>44490</v>
      </c>
      <c r="W312" s="17" t="s">
        <v>69</v>
      </c>
      <c r="Y312" s="68">
        <v>44501</v>
      </c>
      <c r="Z312" s="17" t="s">
        <v>191</v>
      </c>
      <c r="AA312" s="17" t="s">
        <v>46</v>
      </c>
      <c r="AB312" s="17" t="s">
        <v>244</v>
      </c>
      <c r="AC312" s="66">
        <v>44512</v>
      </c>
      <c r="AD312" s="65">
        <v>1240</v>
      </c>
      <c r="AE312" s="17" t="s">
        <v>74</v>
      </c>
      <c r="AF312" s="17" t="s">
        <v>245</v>
      </c>
      <c r="AH312" s="17" t="s">
        <v>246</v>
      </c>
    </row>
    <row r="313" s="17" customFormat="1" hidden="1" spans="1:34">
      <c r="A313" s="17" t="s">
        <v>34</v>
      </c>
      <c r="B313" s="19">
        <v>728</v>
      </c>
      <c r="C313" s="64">
        <v>44489</v>
      </c>
      <c r="D313" s="17" t="s">
        <v>52</v>
      </c>
      <c r="E313" s="17" t="s">
        <v>187</v>
      </c>
      <c r="F313" s="17" t="s">
        <v>54</v>
      </c>
      <c r="H313" s="65">
        <v>1.2311</v>
      </c>
      <c r="I313" s="65"/>
      <c r="J313" s="17" t="s">
        <v>82</v>
      </c>
      <c r="K313" s="23">
        <v>205</v>
      </c>
      <c r="L313" s="92">
        <v>105</v>
      </c>
      <c r="N313" s="17" t="s">
        <v>66</v>
      </c>
      <c r="O313" s="19" t="s">
        <v>141</v>
      </c>
      <c r="P313" s="99">
        <v>500</v>
      </c>
      <c r="Q313" s="99">
        <v>366</v>
      </c>
      <c r="R313" s="17">
        <f t="shared" si="13"/>
        <v>134</v>
      </c>
      <c r="S313" s="100">
        <f t="shared" si="12"/>
        <v>1335</v>
      </c>
      <c r="T313" s="19" t="s">
        <v>42</v>
      </c>
      <c r="U313" s="17" t="s">
        <v>243</v>
      </c>
      <c r="V313" s="67">
        <v>44490</v>
      </c>
      <c r="W313" s="17" t="s">
        <v>69</v>
      </c>
      <c r="Y313" s="68">
        <v>44501</v>
      </c>
      <c r="Z313" s="17" t="s">
        <v>191</v>
      </c>
      <c r="AA313" s="17" t="s">
        <v>46</v>
      </c>
      <c r="AB313" s="17" t="s">
        <v>244</v>
      </c>
      <c r="AC313" s="66">
        <v>44512</v>
      </c>
      <c r="AD313" s="65">
        <v>1240</v>
      </c>
      <c r="AE313" s="17" t="s">
        <v>74</v>
      </c>
      <c r="AF313" s="17" t="s">
        <v>245</v>
      </c>
      <c r="AH313" s="17" t="s">
        <v>246</v>
      </c>
    </row>
    <row r="314" s="17" customFormat="1" hidden="1" spans="1:34">
      <c r="A314" s="17" t="s">
        <v>34</v>
      </c>
      <c r="B314" s="19">
        <v>728</v>
      </c>
      <c r="C314" s="64">
        <v>44489</v>
      </c>
      <c r="D314" s="17" t="s">
        <v>52</v>
      </c>
      <c r="E314" s="17" t="s">
        <v>187</v>
      </c>
      <c r="F314" s="17" t="s">
        <v>54</v>
      </c>
      <c r="H314" s="65">
        <v>1.2311</v>
      </c>
      <c r="I314" s="65"/>
      <c r="J314" s="17" t="s">
        <v>82</v>
      </c>
      <c r="K314" s="23">
        <v>255</v>
      </c>
      <c r="L314" s="92">
        <v>105</v>
      </c>
      <c r="N314" s="17" t="s">
        <v>66</v>
      </c>
      <c r="O314" s="19" t="s">
        <v>141</v>
      </c>
      <c r="P314" s="99">
        <v>500</v>
      </c>
      <c r="Q314" s="99">
        <v>492</v>
      </c>
      <c r="R314" s="17">
        <f t="shared" si="13"/>
        <v>8</v>
      </c>
      <c r="S314" s="100">
        <f t="shared" si="12"/>
        <v>1335</v>
      </c>
      <c r="T314" s="19" t="s">
        <v>42</v>
      </c>
      <c r="U314" s="17" t="s">
        <v>243</v>
      </c>
      <c r="V314" s="67">
        <v>44490</v>
      </c>
      <c r="W314" s="17" t="s">
        <v>69</v>
      </c>
      <c r="Y314" s="68">
        <v>44501</v>
      </c>
      <c r="Z314" s="17" t="s">
        <v>191</v>
      </c>
      <c r="AA314" s="17" t="s">
        <v>46</v>
      </c>
      <c r="AB314" s="17" t="s">
        <v>244</v>
      </c>
      <c r="AC314" s="66">
        <v>44512</v>
      </c>
      <c r="AD314" s="65">
        <v>1240</v>
      </c>
      <c r="AE314" s="17" t="s">
        <v>74</v>
      </c>
      <c r="AF314" s="17" t="s">
        <v>245</v>
      </c>
      <c r="AH314" s="17" t="s">
        <v>246</v>
      </c>
    </row>
    <row r="315" s="17" customFormat="1" hidden="1" spans="1:34">
      <c r="A315" s="17" t="s">
        <v>34</v>
      </c>
      <c r="B315" s="19">
        <v>728</v>
      </c>
      <c r="C315" s="64">
        <v>44489</v>
      </c>
      <c r="D315" s="17" t="s">
        <v>52</v>
      </c>
      <c r="E315" s="17" t="s">
        <v>187</v>
      </c>
      <c r="F315" s="17" t="s">
        <v>54</v>
      </c>
      <c r="H315" s="65">
        <v>1.2311</v>
      </c>
      <c r="I315" s="65"/>
      <c r="J315" s="17" t="s">
        <v>82</v>
      </c>
      <c r="K315" s="23">
        <v>305</v>
      </c>
      <c r="L315" s="92">
        <v>105</v>
      </c>
      <c r="N315" s="17" t="s">
        <v>66</v>
      </c>
      <c r="O315" s="19" t="s">
        <v>141</v>
      </c>
      <c r="P315" s="99">
        <v>500</v>
      </c>
      <c r="Q315" s="99">
        <v>540</v>
      </c>
      <c r="R315" s="17">
        <f t="shared" si="13"/>
        <v>-40</v>
      </c>
      <c r="S315" s="100">
        <f t="shared" si="12"/>
        <v>1335</v>
      </c>
      <c r="T315" s="19" t="s">
        <v>42</v>
      </c>
      <c r="U315" s="17" t="s">
        <v>243</v>
      </c>
      <c r="V315" s="67">
        <v>44490</v>
      </c>
      <c r="W315" s="17" t="s">
        <v>69</v>
      </c>
      <c r="Y315" s="68">
        <v>44501</v>
      </c>
      <c r="Z315" s="17" t="s">
        <v>191</v>
      </c>
      <c r="AA315" s="17" t="s">
        <v>46</v>
      </c>
      <c r="AB315" s="17" t="s">
        <v>244</v>
      </c>
      <c r="AC315" s="66">
        <v>44512</v>
      </c>
      <c r="AD315" s="65">
        <v>1240</v>
      </c>
      <c r="AE315" s="17" t="s">
        <v>74</v>
      </c>
      <c r="AF315" s="17" t="s">
        <v>245</v>
      </c>
      <c r="AH315" s="17" t="s">
        <v>246</v>
      </c>
    </row>
    <row r="316" s="17" customFormat="1" hidden="1" spans="1:34">
      <c r="A316" s="17" t="s">
        <v>34</v>
      </c>
      <c r="B316" s="19">
        <v>728</v>
      </c>
      <c r="C316" s="64">
        <v>44489</v>
      </c>
      <c r="D316" s="17" t="s">
        <v>52</v>
      </c>
      <c r="E316" s="17" t="s">
        <v>187</v>
      </c>
      <c r="F316" s="17" t="s">
        <v>54</v>
      </c>
      <c r="H316" s="65">
        <v>1.2311</v>
      </c>
      <c r="I316" s="65"/>
      <c r="J316" s="17" t="s">
        <v>82</v>
      </c>
      <c r="K316" s="23">
        <v>355</v>
      </c>
      <c r="L316" s="92">
        <v>105</v>
      </c>
      <c r="N316" s="17" t="s">
        <v>66</v>
      </c>
      <c r="O316" s="19" t="s">
        <v>141</v>
      </c>
      <c r="P316" s="99">
        <v>500</v>
      </c>
      <c r="Q316" s="99">
        <v>606</v>
      </c>
      <c r="R316" s="17">
        <f t="shared" si="13"/>
        <v>-106</v>
      </c>
      <c r="S316" s="100">
        <f t="shared" si="12"/>
        <v>1335</v>
      </c>
      <c r="T316" s="19" t="s">
        <v>42</v>
      </c>
      <c r="U316" s="17" t="s">
        <v>243</v>
      </c>
      <c r="V316" s="67">
        <v>44490</v>
      </c>
      <c r="W316" s="17" t="s">
        <v>69</v>
      </c>
      <c r="Y316" s="68">
        <v>44501</v>
      </c>
      <c r="Z316" s="17" t="s">
        <v>191</v>
      </c>
      <c r="AA316" s="17" t="s">
        <v>46</v>
      </c>
      <c r="AB316" s="17" t="s">
        <v>244</v>
      </c>
      <c r="AC316" s="66">
        <v>44512</v>
      </c>
      <c r="AD316" s="65">
        <v>1240</v>
      </c>
      <c r="AE316" s="17" t="s">
        <v>74</v>
      </c>
      <c r="AF316" s="17" t="s">
        <v>245</v>
      </c>
      <c r="AH316" s="17" t="s">
        <v>246</v>
      </c>
    </row>
    <row r="317" s="17" customFormat="1" hidden="1" spans="1:34">
      <c r="A317" s="17" t="s">
        <v>34</v>
      </c>
      <c r="B317" s="19">
        <v>730</v>
      </c>
      <c r="C317" s="64">
        <v>44495</v>
      </c>
      <c r="D317" s="17" t="s">
        <v>35</v>
      </c>
      <c r="E317" s="17" t="s">
        <v>148</v>
      </c>
      <c r="F317" s="17" t="s">
        <v>37</v>
      </c>
      <c r="H317" s="65" t="s">
        <v>247</v>
      </c>
      <c r="I317" s="65"/>
      <c r="J317" s="17" t="s">
        <v>39</v>
      </c>
      <c r="K317" s="23">
        <v>70</v>
      </c>
      <c r="N317" s="17" t="s">
        <v>40</v>
      </c>
      <c r="O317" s="19" t="s">
        <v>84</v>
      </c>
      <c r="P317" s="19">
        <v>1000</v>
      </c>
      <c r="Q317" s="17">
        <v>1010</v>
      </c>
      <c r="R317" s="17">
        <f t="shared" si="13"/>
        <v>-10</v>
      </c>
      <c r="S317" s="17">
        <v>8630</v>
      </c>
      <c r="T317" s="19" t="s">
        <v>42</v>
      </c>
      <c r="U317" s="17" t="s">
        <v>248</v>
      </c>
      <c r="V317" s="67">
        <v>44496</v>
      </c>
      <c r="W317" s="17" t="s">
        <v>44</v>
      </c>
      <c r="Y317" s="68">
        <v>44501</v>
      </c>
      <c r="Z317" s="17" t="s">
        <v>199</v>
      </c>
      <c r="AA317" s="17" t="s">
        <v>46</v>
      </c>
      <c r="AB317" s="16" t="s">
        <v>153</v>
      </c>
      <c r="AC317" s="47">
        <v>44538</v>
      </c>
      <c r="AD317" s="65">
        <v>1238</v>
      </c>
      <c r="AE317" s="16" t="s">
        <v>48</v>
      </c>
    </row>
    <row r="318" s="17" customFormat="1" hidden="1" spans="1:34">
      <c r="A318" s="17" t="s">
        <v>34</v>
      </c>
      <c r="B318" s="19">
        <v>731</v>
      </c>
      <c r="C318" s="101">
        <v>44496</v>
      </c>
      <c r="D318" s="17" t="s">
        <v>35</v>
      </c>
      <c r="E318" s="17" t="s">
        <v>148</v>
      </c>
      <c r="F318" s="17" t="s">
        <v>37</v>
      </c>
      <c r="H318" s="19">
        <v>1.2344</v>
      </c>
      <c r="I318" s="19"/>
      <c r="J318" s="17" t="s">
        <v>39</v>
      </c>
      <c r="K318" s="17">
        <v>188</v>
      </c>
      <c r="L318" s="91"/>
      <c r="N318" s="17" t="s">
        <v>40</v>
      </c>
      <c r="O318" s="19" t="s">
        <v>84</v>
      </c>
      <c r="P318" s="19">
        <v>6000</v>
      </c>
      <c r="Q318" s="17">
        <v>4980</v>
      </c>
      <c r="R318" s="17">
        <f t="shared" si="13"/>
        <v>1020</v>
      </c>
      <c r="S318" s="17">
        <v>3705</v>
      </c>
      <c r="T318" s="19" t="s">
        <v>42</v>
      </c>
      <c r="U318" s="102" t="s">
        <v>249</v>
      </c>
      <c r="V318" s="64">
        <v>44496</v>
      </c>
      <c r="W318" s="17" t="s">
        <v>44</v>
      </c>
      <c r="Y318" s="68">
        <v>44652</v>
      </c>
      <c r="Z318" s="17" t="s">
        <v>250</v>
      </c>
      <c r="AA318" s="17" t="s">
        <v>146</v>
      </c>
      <c r="AB318" s="17" t="s">
        <v>251</v>
      </c>
      <c r="AC318" s="66">
        <v>44712</v>
      </c>
      <c r="AD318" s="65">
        <v>1297</v>
      </c>
      <c r="AE318" s="17" t="s">
        <v>252</v>
      </c>
      <c r="AG318" s="17" t="s">
        <v>253</v>
      </c>
    </row>
    <row r="319" s="17" customFormat="1" hidden="1" spans="1:34">
      <c r="A319" s="17" t="s">
        <v>34</v>
      </c>
      <c r="B319" s="19">
        <v>731</v>
      </c>
      <c r="C319" s="101">
        <v>44496</v>
      </c>
      <c r="D319" s="17" t="s">
        <v>35</v>
      </c>
      <c r="E319" s="17" t="s">
        <v>148</v>
      </c>
      <c r="F319" s="17" t="s">
        <v>37</v>
      </c>
      <c r="H319" s="19">
        <v>1.2344</v>
      </c>
      <c r="I319" s="19"/>
      <c r="J319" s="17" t="s">
        <v>39</v>
      </c>
      <c r="K319" s="17">
        <v>222</v>
      </c>
      <c r="L319" s="91"/>
      <c r="N319" s="17" t="s">
        <v>40</v>
      </c>
      <c r="O319" s="19" t="s">
        <v>84</v>
      </c>
      <c r="P319" s="19">
        <v>6000</v>
      </c>
      <c r="Q319" s="17">
        <v>5680</v>
      </c>
      <c r="R319" s="17">
        <f t="shared" si="13"/>
        <v>320</v>
      </c>
      <c r="S319" s="17">
        <v>3870</v>
      </c>
      <c r="T319" s="19" t="s">
        <v>42</v>
      </c>
      <c r="U319" s="102" t="s">
        <v>249</v>
      </c>
      <c r="V319" s="64">
        <v>44496</v>
      </c>
      <c r="W319" s="17" t="s">
        <v>44</v>
      </c>
      <c r="Y319" s="68">
        <v>44652</v>
      </c>
      <c r="Z319" s="17" t="s">
        <v>250</v>
      </c>
      <c r="AA319" s="17" t="s">
        <v>146</v>
      </c>
      <c r="AB319" s="17" t="s">
        <v>251</v>
      </c>
      <c r="AC319" s="66">
        <v>44712</v>
      </c>
      <c r="AD319" s="65">
        <v>1297</v>
      </c>
      <c r="AE319" s="17" t="s">
        <v>252</v>
      </c>
      <c r="AG319" s="17" t="s">
        <v>254</v>
      </c>
    </row>
    <row r="320" s="17" customFormat="1" hidden="1" spans="1:34">
      <c r="A320" s="17" t="s">
        <v>34</v>
      </c>
      <c r="B320" s="19">
        <v>731</v>
      </c>
      <c r="C320" s="101">
        <v>44496</v>
      </c>
      <c r="D320" s="17" t="s">
        <v>35</v>
      </c>
      <c r="E320" s="17" t="s">
        <v>148</v>
      </c>
      <c r="F320" s="17" t="s">
        <v>37</v>
      </c>
      <c r="H320" s="19">
        <v>1.2344</v>
      </c>
      <c r="I320" s="19"/>
      <c r="J320" s="17" t="s">
        <v>39</v>
      </c>
      <c r="K320" s="17">
        <v>262</v>
      </c>
      <c r="L320" s="91"/>
      <c r="N320" s="17" t="s">
        <v>40</v>
      </c>
      <c r="O320" s="19" t="s">
        <v>50</v>
      </c>
      <c r="P320" s="19">
        <v>6000</v>
      </c>
      <c r="Q320" s="17">
        <v>3956</v>
      </c>
      <c r="S320" s="17">
        <v>3540</v>
      </c>
      <c r="T320" s="19" t="s">
        <v>42</v>
      </c>
      <c r="U320" s="102" t="s">
        <v>249</v>
      </c>
      <c r="V320" s="64">
        <v>44496</v>
      </c>
      <c r="W320" s="17" t="s">
        <v>44</v>
      </c>
      <c r="Y320" s="68">
        <v>44652</v>
      </c>
      <c r="Z320" s="17" t="s">
        <v>250</v>
      </c>
      <c r="AA320" s="17" t="s">
        <v>146</v>
      </c>
      <c r="AB320" s="17" t="s">
        <v>255</v>
      </c>
      <c r="AC320" s="66">
        <v>44654</v>
      </c>
      <c r="AD320" s="65">
        <v>1269</v>
      </c>
      <c r="AE320" s="17" t="s">
        <v>252</v>
      </c>
      <c r="AG320" s="17" t="s">
        <v>256</v>
      </c>
    </row>
    <row r="321" s="17" customFormat="1" hidden="1" spans="1:33">
      <c r="A321" s="17" t="s">
        <v>34</v>
      </c>
      <c r="B321" s="19">
        <v>731</v>
      </c>
      <c r="C321" s="101">
        <v>44496</v>
      </c>
      <c r="D321" s="17" t="s">
        <v>35</v>
      </c>
      <c r="E321" s="17" t="s">
        <v>148</v>
      </c>
      <c r="F321" s="17" t="s">
        <v>37</v>
      </c>
      <c r="H321" s="19">
        <v>1.2344</v>
      </c>
      <c r="I321" s="19"/>
      <c r="J321" s="17" t="s">
        <v>39</v>
      </c>
      <c r="K321" s="17">
        <v>262</v>
      </c>
      <c r="L321" s="91"/>
      <c r="N321" s="17" t="s">
        <v>40</v>
      </c>
      <c r="O321" s="19" t="s">
        <v>50</v>
      </c>
      <c r="P321" s="19"/>
      <c r="Q321" s="17">
        <v>1726</v>
      </c>
      <c r="R321" s="17">
        <f>+P320-Q320-Q321</f>
        <v>318</v>
      </c>
      <c r="S321" s="17">
        <v>3540</v>
      </c>
      <c r="T321" s="19" t="s">
        <v>42</v>
      </c>
      <c r="U321" s="102" t="s">
        <v>249</v>
      </c>
      <c r="V321" s="64">
        <v>44496</v>
      </c>
      <c r="W321" s="17" t="s">
        <v>44</v>
      </c>
      <c r="Y321" s="68">
        <v>44652</v>
      </c>
      <c r="Z321" s="17" t="s">
        <v>250</v>
      </c>
      <c r="AA321" s="17" t="s">
        <v>146</v>
      </c>
      <c r="AB321" s="17" t="s">
        <v>251</v>
      </c>
      <c r="AC321" s="66">
        <v>44712</v>
      </c>
      <c r="AD321" s="65">
        <v>1297</v>
      </c>
      <c r="AE321" s="17" t="s">
        <v>252</v>
      </c>
      <c r="AG321" s="17" t="s">
        <v>256</v>
      </c>
    </row>
    <row r="322" s="17" customFormat="1" hidden="1" spans="1:33">
      <c r="A322" s="17" t="s">
        <v>34</v>
      </c>
      <c r="B322" s="19">
        <v>731</v>
      </c>
      <c r="C322" s="101">
        <v>44496</v>
      </c>
      <c r="D322" s="17" t="s">
        <v>35</v>
      </c>
      <c r="E322" s="17" t="s">
        <v>148</v>
      </c>
      <c r="F322" s="17" t="s">
        <v>37</v>
      </c>
      <c r="H322" s="19">
        <v>1.2344</v>
      </c>
      <c r="I322" s="19"/>
      <c r="J322" s="17" t="s">
        <v>39</v>
      </c>
      <c r="K322" s="17">
        <v>282</v>
      </c>
      <c r="L322" s="91"/>
      <c r="N322" s="17" t="s">
        <v>40</v>
      </c>
      <c r="O322" s="19" t="s">
        <v>50</v>
      </c>
      <c r="P322" s="19">
        <v>6000</v>
      </c>
      <c r="Q322" s="17">
        <v>5500</v>
      </c>
      <c r="R322" s="17">
        <f>+P322-Q322</f>
        <v>500</v>
      </c>
      <c r="S322" s="17">
        <v>3540</v>
      </c>
      <c r="T322" s="19" t="s">
        <v>42</v>
      </c>
      <c r="U322" s="102" t="s">
        <v>249</v>
      </c>
      <c r="V322" s="64">
        <v>44496</v>
      </c>
      <c r="W322" s="17" t="s">
        <v>44</v>
      </c>
      <c r="Y322" s="68">
        <v>44652</v>
      </c>
      <c r="Z322" s="17" t="s">
        <v>250</v>
      </c>
      <c r="AA322" s="17" t="s">
        <v>146</v>
      </c>
      <c r="AB322" s="17" t="s">
        <v>255</v>
      </c>
      <c r="AC322" s="66">
        <v>44654</v>
      </c>
      <c r="AD322" s="65">
        <v>1269</v>
      </c>
      <c r="AE322" s="17" t="s">
        <v>252</v>
      </c>
      <c r="AG322" s="17" t="s">
        <v>256</v>
      </c>
    </row>
    <row r="323" s="17" customFormat="1" hidden="1" spans="1:33">
      <c r="A323" s="17" t="s">
        <v>34</v>
      </c>
      <c r="B323" s="19">
        <v>731</v>
      </c>
      <c r="C323" s="101">
        <v>44496</v>
      </c>
      <c r="D323" s="17" t="s">
        <v>35</v>
      </c>
      <c r="E323" s="17" t="s">
        <v>148</v>
      </c>
      <c r="F323" s="17" t="s">
        <v>37</v>
      </c>
      <c r="H323" s="19">
        <v>1.2344</v>
      </c>
      <c r="I323" s="19"/>
      <c r="J323" s="17" t="s">
        <v>39</v>
      </c>
      <c r="K323" s="17">
        <v>322</v>
      </c>
      <c r="L323" s="91"/>
      <c r="N323" s="17" t="s">
        <v>40</v>
      </c>
      <c r="O323" s="19" t="s">
        <v>50</v>
      </c>
      <c r="P323" s="19">
        <v>18000</v>
      </c>
      <c r="Q323" s="17">
        <v>9376</v>
      </c>
      <c r="S323" s="17">
        <v>3540</v>
      </c>
      <c r="T323" s="19" t="s">
        <v>42</v>
      </c>
      <c r="U323" s="102" t="s">
        <v>249</v>
      </c>
      <c r="V323" s="64">
        <v>44496</v>
      </c>
      <c r="W323" s="17" t="s">
        <v>44</v>
      </c>
      <c r="Y323" s="68">
        <v>44652</v>
      </c>
      <c r="Z323" s="17" t="s">
        <v>250</v>
      </c>
      <c r="AA323" s="17" t="s">
        <v>146</v>
      </c>
      <c r="AB323" s="17" t="s">
        <v>255</v>
      </c>
      <c r="AC323" s="66">
        <v>44654</v>
      </c>
      <c r="AD323" s="65">
        <v>1269</v>
      </c>
      <c r="AE323" s="17" t="s">
        <v>252</v>
      </c>
      <c r="AG323" s="17" t="s">
        <v>256</v>
      </c>
    </row>
    <row r="324" s="17" customFormat="1" hidden="1" spans="1:33">
      <c r="A324" s="17" t="s">
        <v>34</v>
      </c>
      <c r="B324" s="19">
        <v>731</v>
      </c>
      <c r="C324" s="101">
        <v>44496</v>
      </c>
      <c r="D324" s="17" t="s">
        <v>35</v>
      </c>
      <c r="E324" s="17" t="s">
        <v>148</v>
      </c>
      <c r="F324" s="17" t="s">
        <v>37</v>
      </c>
      <c r="H324" s="19">
        <v>1.2344</v>
      </c>
      <c r="I324" s="19"/>
      <c r="J324" s="17" t="s">
        <v>39</v>
      </c>
      <c r="K324" s="17">
        <v>322</v>
      </c>
      <c r="L324" s="91"/>
      <c r="N324" s="17" t="s">
        <v>40</v>
      </c>
      <c r="O324" s="19" t="s">
        <v>50</v>
      </c>
      <c r="P324" s="19"/>
      <c r="Q324" s="17">
        <v>5460</v>
      </c>
      <c r="R324" s="17">
        <f>+P323-Q323-Q324</f>
        <v>3164</v>
      </c>
      <c r="S324" s="17">
        <v>3540</v>
      </c>
      <c r="T324" s="19" t="s">
        <v>42</v>
      </c>
      <c r="U324" s="102" t="s">
        <v>249</v>
      </c>
      <c r="V324" s="64">
        <v>44496</v>
      </c>
      <c r="W324" s="17" t="s">
        <v>44</v>
      </c>
      <c r="Y324" s="68">
        <v>44652</v>
      </c>
      <c r="Z324" s="17" t="s">
        <v>250</v>
      </c>
      <c r="AA324" s="17" t="s">
        <v>146</v>
      </c>
      <c r="AB324" s="17" t="s">
        <v>251</v>
      </c>
      <c r="AC324" s="66">
        <v>44712</v>
      </c>
      <c r="AD324" s="65">
        <v>1297</v>
      </c>
      <c r="AE324" s="17" t="s">
        <v>252</v>
      </c>
      <c r="AG324" s="17" t="s">
        <v>256</v>
      </c>
    </row>
    <row r="325" s="17" customFormat="1" hidden="1" spans="1:33">
      <c r="A325" s="17" t="s">
        <v>34</v>
      </c>
      <c r="B325" s="19">
        <v>731</v>
      </c>
      <c r="C325" s="101">
        <v>44496</v>
      </c>
      <c r="D325" s="17" t="s">
        <v>35</v>
      </c>
      <c r="E325" s="17" t="s">
        <v>148</v>
      </c>
      <c r="F325" s="17" t="s">
        <v>37</v>
      </c>
      <c r="H325" s="19">
        <v>1.2344</v>
      </c>
      <c r="I325" s="19"/>
      <c r="J325" s="17" t="s">
        <v>39</v>
      </c>
      <c r="K325" s="103">
        <v>502</v>
      </c>
      <c r="L325" s="91"/>
      <c r="N325" s="17" t="s">
        <v>40</v>
      </c>
      <c r="O325" s="19" t="s">
        <v>50</v>
      </c>
      <c r="P325" s="19">
        <v>6000</v>
      </c>
      <c r="Q325" s="17">
        <v>5244</v>
      </c>
      <c r="R325" s="17">
        <f t="shared" ref="R325:R331" si="14">+P325-Q325</f>
        <v>756</v>
      </c>
      <c r="S325" s="17">
        <v>3540</v>
      </c>
      <c r="T325" s="19" t="s">
        <v>42</v>
      </c>
      <c r="U325" s="102" t="s">
        <v>249</v>
      </c>
      <c r="V325" s="64">
        <v>44496</v>
      </c>
      <c r="W325" s="17" t="s">
        <v>44</v>
      </c>
      <c r="Y325" s="68">
        <v>44652</v>
      </c>
      <c r="Z325" s="17" t="s">
        <v>250</v>
      </c>
      <c r="AA325" s="17" t="s">
        <v>146</v>
      </c>
      <c r="AB325" s="17" t="s">
        <v>255</v>
      </c>
      <c r="AC325" s="66">
        <v>44654</v>
      </c>
      <c r="AD325" s="65">
        <v>1269</v>
      </c>
      <c r="AE325" s="17" t="s">
        <v>252</v>
      </c>
      <c r="AG325" s="17" t="s">
        <v>256</v>
      </c>
    </row>
    <row r="326" s="17" customFormat="1" hidden="1" spans="1:33">
      <c r="A326" s="17" t="s">
        <v>34</v>
      </c>
      <c r="B326" s="19">
        <v>732</v>
      </c>
      <c r="C326" s="64">
        <v>44496</v>
      </c>
      <c r="D326" s="17" t="s">
        <v>52</v>
      </c>
      <c r="E326" s="17" t="s">
        <v>187</v>
      </c>
      <c r="F326" s="17" t="s">
        <v>72</v>
      </c>
      <c r="H326" s="65" t="s">
        <v>106</v>
      </c>
      <c r="I326" s="65"/>
      <c r="J326" s="17" t="s">
        <v>82</v>
      </c>
      <c r="K326" s="23">
        <v>610</v>
      </c>
      <c r="L326" s="92">
        <v>25</v>
      </c>
      <c r="M326" s="104"/>
      <c r="N326" s="17" t="s">
        <v>66</v>
      </c>
      <c r="O326" s="19" t="s">
        <v>141</v>
      </c>
      <c r="P326" s="91">
        <v>360</v>
      </c>
      <c r="Q326" s="17">
        <v>480</v>
      </c>
      <c r="R326" s="17">
        <f t="shared" si="14"/>
        <v>-120</v>
      </c>
      <c r="S326" s="99">
        <f t="shared" ref="S326:S338" si="15">1935-50</f>
        <v>1885</v>
      </c>
      <c r="T326" s="19" t="s">
        <v>42</v>
      </c>
      <c r="U326" s="17" t="s">
        <v>257</v>
      </c>
      <c r="V326" s="67">
        <v>44497</v>
      </c>
      <c r="W326" s="17" t="s">
        <v>69</v>
      </c>
      <c r="Y326" s="68">
        <v>44501</v>
      </c>
      <c r="Z326" s="17" t="s">
        <v>191</v>
      </c>
      <c r="AA326" s="17" t="s">
        <v>46</v>
      </c>
      <c r="AB326" s="17" t="s">
        <v>240</v>
      </c>
      <c r="AC326" s="66">
        <v>44543</v>
      </c>
      <c r="AD326" s="65">
        <v>1249</v>
      </c>
      <c r="AE326" s="17" t="s">
        <v>48</v>
      </c>
      <c r="AF326" s="17" t="s">
        <v>258</v>
      </c>
    </row>
    <row r="327" s="17" customFormat="1" hidden="1" spans="1:33">
      <c r="A327" s="17" t="s">
        <v>34</v>
      </c>
      <c r="B327" s="19">
        <v>732</v>
      </c>
      <c r="C327" s="64">
        <v>44496</v>
      </c>
      <c r="D327" s="17" t="s">
        <v>52</v>
      </c>
      <c r="E327" s="17" t="s">
        <v>187</v>
      </c>
      <c r="F327" s="17" t="s">
        <v>72</v>
      </c>
      <c r="H327" s="65" t="s">
        <v>106</v>
      </c>
      <c r="I327" s="65"/>
      <c r="J327" s="17" t="s">
        <v>82</v>
      </c>
      <c r="K327" s="23">
        <v>560</v>
      </c>
      <c r="L327" s="92">
        <v>30</v>
      </c>
      <c r="M327" s="104"/>
      <c r="N327" s="17" t="s">
        <v>66</v>
      </c>
      <c r="O327" s="19" t="s">
        <v>141</v>
      </c>
      <c r="P327" s="91">
        <v>400</v>
      </c>
      <c r="Q327" s="17">
        <v>429</v>
      </c>
      <c r="R327" s="17">
        <f t="shared" si="14"/>
        <v>-29</v>
      </c>
      <c r="S327" s="99">
        <f t="shared" si="15"/>
        <v>1885</v>
      </c>
      <c r="T327" s="19" t="s">
        <v>42</v>
      </c>
      <c r="U327" s="17" t="s">
        <v>257</v>
      </c>
      <c r="V327" s="67">
        <v>44497</v>
      </c>
      <c r="W327" s="17" t="s">
        <v>69</v>
      </c>
      <c r="Y327" s="68">
        <v>44501</v>
      </c>
      <c r="Z327" s="17" t="s">
        <v>191</v>
      </c>
      <c r="AA327" s="17" t="s">
        <v>46</v>
      </c>
      <c r="AB327" s="17" t="s">
        <v>240</v>
      </c>
      <c r="AC327" s="66">
        <v>44543</v>
      </c>
      <c r="AD327" s="65">
        <v>1249</v>
      </c>
      <c r="AE327" s="17" t="s">
        <v>48</v>
      </c>
      <c r="AF327" s="17" t="s">
        <v>258</v>
      </c>
    </row>
    <row r="328" s="17" customFormat="1" hidden="1" spans="1:33">
      <c r="A328" s="17" t="s">
        <v>34</v>
      </c>
      <c r="B328" s="19">
        <v>732</v>
      </c>
      <c r="C328" s="64">
        <v>44496</v>
      </c>
      <c r="D328" s="17" t="s">
        <v>52</v>
      </c>
      <c r="E328" s="17" t="s">
        <v>187</v>
      </c>
      <c r="F328" s="17" t="s">
        <v>72</v>
      </c>
      <c r="H328" s="65" t="s">
        <v>106</v>
      </c>
      <c r="I328" s="65"/>
      <c r="J328" s="17" t="s">
        <v>82</v>
      </c>
      <c r="K328" s="23">
        <v>610</v>
      </c>
      <c r="L328" s="92">
        <v>35</v>
      </c>
      <c r="M328" s="104"/>
      <c r="N328" s="17" t="s">
        <v>66</v>
      </c>
      <c r="O328" s="19" t="s">
        <v>141</v>
      </c>
      <c r="P328" s="91">
        <v>1510</v>
      </c>
      <c r="Q328" s="17">
        <v>2262</v>
      </c>
      <c r="R328" s="17">
        <f t="shared" si="14"/>
        <v>-752</v>
      </c>
      <c r="S328" s="99">
        <f t="shared" si="15"/>
        <v>1885</v>
      </c>
      <c r="T328" s="19" t="s">
        <v>42</v>
      </c>
      <c r="U328" s="17" t="s">
        <v>257</v>
      </c>
      <c r="V328" s="67">
        <v>44497</v>
      </c>
      <c r="W328" s="17" t="s">
        <v>69</v>
      </c>
      <c r="Y328" s="68">
        <v>44501</v>
      </c>
      <c r="Z328" s="17" t="s">
        <v>191</v>
      </c>
      <c r="AA328" s="17" t="s">
        <v>46</v>
      </c>
      <c r="AB328" s="17" t="s">
        <v>240</v>
      </c>
      <c r="AC328" s="66">
        <v>44543</v>
      </c>
      <c r="AD328" s="65">
        <v>1249</v>
      </c>
      <c r="AE328" s="17" t="s">
        <v>48</v>
      </c>
      <c r="AF328" s="17" t="s">
        <v>258</v>
      </c>
    </row>
    <row r="329" s="17" customFormat="1" hidden="1" spans="1:33">
      <c r="A329" s="17" t="s">
        <v>34</v>
      </c>
      <c r="B329" s="19">
        <v>732</v>
      </c>
      <c r="C329" s="64">
        <v>44496</v>
      </c>
      <c r="D329" s="17" t="s">
        <v>52</v>
      </c>
      <c r="E329" s="17" t="s">
        <v>187</v>
      </c>
      <c r="F329" s="17" t="s">
        <v>72</v>
      </c>
      <c r="H329" s="65" t="s">
        <v>106</v>
      </c>
      <c r="I329" s="65"/>
      <c r="J329" s="17" t="s">
        <v>82</v>
      </c>
      <c r="K329" s="23">
        <v>410</v>
      </c>
      <c r="L329" s="92">
        <v>40</v>
      </c>
      <c r="M329" s="104"/>
      <c r="N329" s="17" t="s">
        <v>66</v>
      </c>
      <c r="O329" s="19" t="s">
        <v>141</v>
      </c>
      <c r="P329" s="91">
        <v>1160</v>
      </c>
      <c r="Q329" s="17">
        <v>472</v>
      </c>
      <c r="R329" s="17">
        <f t="shared" si="14"/>
        <v>688</v>
      </c>
      <c r="S329" s="99">
        <f t="shared" si="15"/>
        <v>1885</v>
      </c>
      <c r="T329" s="19" t="s">
        <v>42</v>
      </c>
      <c r="U329" s="17" t="s">
        <v>257</v>
      </c>
      <c r="V329" s="67">
        <v>44497</v>
      </c>
      <c r="W329" s="17" t="s">
        <v>69</v>
      </c>
      <c r="Y329" s="68">
        <v>44501</v>
      </c>
      <c r="Z329" s="17" t="s">
        <v>191</v>
      </c>
      <c r="AA329" s="17" t="s">
        <v>46</v>
      </c>
      <c r="AB329" s="17" t="s">
        <v>240</v>
      </c>
      <c r="AC329" s="66">
        <v>44543</v>
      </c>
      <c r="AD329" s="65">
        <v>1249</v>
      </c>
      <c r="AE329" s="17" t="s">
        <v>48</v>
      </c>
      <c r="AF329" s="17" t="s">
        <v>258</v>
      </c>
    </row>
    <row r="330" s="17" customFormat="1" hidden="1" spans="1:33">
      <c r="A330" s="17" t="s">
        <v>34</v>
      </c>
      <c r="B330" s="19">
        <v>732</v>
      </c>
      <c r="C330" s="64">
        <v>44496</v>
      </c>
      <c r="D330" s="17" t="s">
        <v>52</v>
      </c>
      <c r="E330" s="17" t="s">
        <v>187</v>
      </c>
      <c r="F330" s="17" t="s">
        <v>72</v>
      </c>
      <c r="H330" s="65" t="s">
        <v>106</v>
      </c>
      <c r="I330" s="65"/>
      <c r="J330" s="17" t="s">
        <v>82</v>
      </c>
      <c r="K330" s="23">
        <v>460</v>
      </c>
      <c r="L330" s="92">
        <v>40</v>
      </c>
      <c r="M330" s="104"/>
      <c r="N330" s="17" t="s">
        <v>66</v>
      </c>
      <c r="O330" s="19" t="s">
        <v>141</v>
      </c>
      <c r="P330" s="91">
        <v>435</v>
      </c>
      <c r="Q330" s="17">
        <v>606</v>
      </c>
      <c r="R330" s="17">
        <f t="shared" si="14"/>
        <v>-171</v>
      </c>
      <c r="S330" s="99">
        <f t="shared" si="15"/>
        <v>1885</v>
      </c>
      <c r="T330" s="19" t="s">
        <v>42</v>
      </c>
      <c r="U330" s="17" t="s">
        <v>257</v>
      </c>
      <c r="V330" s="67">
        <v>44497</v>
      </c>
      <c r="W330" s="17" t="s">
        <v>69</v>
      </c>
      <c r="Y330" s="68">
        <v>44501</v>
      </c>
      <c r="Z330" s="17" t="s">
        <v>191</v>
      </c>
      <c r="AA330" s="17" t="s">
        <v>46</v>
      </c>
      <c r="AB330" s="17" t="s">
        <v>240</v>
      </c>
      <c r="AC330" s="66">
        <v>44543</v>
      </c>
      <c r="AD330" s="65">
        <v>1249</v>
      </c>
      <c r="AE330" s="17" t="s">
        <v>48</v>
      </c>
      <c r="AF330" s="17" t="s">
        <v>258</v>
      </c>
    </row>
    <row r="331" s="17" customFormat="1" hidden="1" spans="1:33">
      <c r="A331" s="17" t="s">
        <v>34</v>
      </c>
      <c r="B331" s="19">
        <v>732</v>
      </c>
      <c r="C331" s="64">
        <v>44496</v>
      </c>
      <c r="D331" s="17" t="s">
        <v>52</v>
      </c>
      <c r="E331" s="17" t="s">
        <v>187</v>
      </c>
      <c r="F331" s="17" t="s">
        <v>72</v>
      </c>
      <c r="H331" s="65" t="s">
        <v>106</v>
      </c>
      <c r="I331" s="65"/>
      <c r="J331" s="17" t="s">
        <v>82</v>
      </c>
      <c r="K331" s="23">
        <v>510</v>
      </c>
      <c r="L331" s="92">
        <v>40</v>
      </c>
      <c r="M331" s="104"/>
      <c r="N331" s="17" t="s">
        <v>66</v>
      </c>
      <c r="O331" s="19" t="s">
        <v>141</v>
      </c>
      <c r="P331" s="91">
        <v>1440</v>
      </c>
      <c r="Q331" s="17">
        <f>802+786</f>
        <v>1588</v>
      </c>
      <c r="R331" s="17">
        <f t="shared" si="14"/>
        <v>-148</v>
      </c>
      <c r="S331" s="99">
        <f t="shared" si="15"/>
        <v>1885</v>
      </c>
      <c r="T331" s="19" t="s">
        <v>42</v>
      </c>
      <c r="U331" s="17" t="s">
        <v>257</v>
      </c>
      <c r="V331" s="67">
        <v>44497</v>
      </c>
      <c r="W331" s="17" t="s">
        <v>69</v>
      </c>
      <c r="Y331" s="68">
        <v>44501</v>
      </c>
      <c r="Z331" s="17" t="s">
        <v>191</v>
      </c>
      <c r="AA331" s="17" t="s">
        <v>46</v>
      </c>
      <c r="AB331" s="17" t="s">
        <v>240</v>
      </c>
      <c r="AC331" s="66">
        <v>44543</v>
      </c>
      <c r="AD331" s="65">
        <v>1249</v>
      </c>
      <c r="AE331" s="17" t="s">
        <v>48</v>
      </c>
      <c r="AF331" s="17" t="s">
        <v>258</v>
      </c>
    </row>
    <row r="332" s="17" customFormat="1" hidden="1" spans="1:33">
      <c r="A332" s="17" t="s">
        <v>34</v>
      </c>
      <c r="B332" s="19">
        <v>732</v>
      </c>
      <c r="C332" s="64">
        <v>44496</v>
      </c>
      <c r="D332" s="17" t="s">
        <v>52</v>
      </c>
      <c r="E332" s="17" t="s">
        <v>187</v>
      </c>
      <c r="F332" s="17" t="s">
        <v>72</v>
      </c>
      <c r="H332" s="65" t="s">
        <v>106</v>
      </c>
      <c r="I332" s="65"/>
      <c r="J332" s="17" t="s">
        <v>82</v>
      </c>
      <c r="K332" s="23">
        <v>610</v>
      </c>
      <c r="L332" s="92">
        <v>40</v>
      </c>
      <c r="M332" s="104"/>
      <c r="N332" s="17" t="s">
        <v>66</v>
      </c>
      <c r="O332" s="19" t="s">
        <v>141</v>
      </c>
      <c r="P332" s="91"/>
      <c r="Q332" s="17">
        <v>909</v>
      </c>
      <c r="S332" s="99">
        <f t="shared" si="15"/>
        <v>1885</v>
      </c>
      <c r="T332" s="19" t="s">
        <v>42</v>
      </c>
      <c r="U332" s="17" t="s">
        <v>257</v>
      </c>
      <c r="V332" s="67">
        <v>44497</v>
      </c>
      <c r="W332" s="17" t="s">
        <v>69</v>
      </c>
      <c r="Y332" s="68">
        <v>44501</v>
      </c>
      <c r="Z332" s="17" t="s">
        <v>191</v>
      </c>
      <c r="AA332" s="17" t="s">
        <v>46</v>
      </c>
      <c r="AB332" s="17" t="s">
        <v>240</v>
      </c>
      <c r="AC332" s="66">
        <v>44543</v>
      </c>
      <c r="AD332" s="65">
        <v>1249</v>
      </c>
      <c r="AE332" s="17" t="s">
        <v>48</v>
      </c>
      <c r="AF332" s="17" t="s">
        <v>258</v>
      </c>
    </row>
    <row r="333" s="17" customFormat="1" hidden="1" spans="1:33">
      <c r="A333" s="17" t="s">
        <v>34</v>
      </c>
      <c r="B333" s="19">
        <v>732</v>
      </c>
      <c r="C333" s="64">
        <v>44496</v>
      </c>
      <c r="D333" s="17" t="s">
        <v>52</v>
      </c>
      <c r="E333" s="17" t="s">
        <v>187</v>
      </c>
      <c r="F333" s="17" t="s">
        <v>72</v>
      </c>
      <c r="H333" s="65" t="s">
        <v>106</v>
      </c>
      <c r="I333" s="65"/>
      <c r="J333" s="17" t="s">
        <v>82</v>
      </c>
      <c r="K333" s="23">
        <v>410</v>
      </c>
      <c r="L333" s="92">
        <v>50</v>
      </c>
      <c r="M333" s="104"/>
      <c r="N333" s="17" t="s">
        <v>66</v>
      </c>
      <c r="O333" s="19" t="s">
        <v>141</v>
      </c>
      <c r="P333" s="91">
        <v>1450</v>
      </c>
      <c r="Q333" s="17">
        <f>766+768+766</f>
        <v>2300</v>
      </c>
      <c r="R333" s="17">
        <f t="shared" ref="R333:R364" si="16">+P333-Q333</f>
        <v>-850</v>
      </c>
      <c r="S333" s="99">
        <f t="shared" si="15"/>
        <v>1885</v>
      </c>
      <c r="T333" s="19" t="s">
        <v>42</v>
      </c>
      <c r="U333" s="17" t="s">
        <v>257</v>
      </c>
      <c r="V333" s="67">
        <v>44497</v>
      </c>
      <c r="W333" s="17" t="s">
        <v>69</v>
      </c>
      <c r="Y333" s="68">
        <v>44501</v>
      </c>
      <c r="Z333" s="17" t="s">
        <v>191</v>
      </c>
      <c r="AA333" s="17" t="s">
        <v>46</v>
      </c>
      <c r="AB333" s="17" t="s">
        <v>240</v>
      </c>
      <c r="AC333" s="66">
        <v>44543</v>
      </c>
      <c r="AD333" s="65">
        <v>1249</v>
      </c>
      <c r="AE333" s="17" t="s">
        <v>48</v>
      </c>
      <c r="AF333" s="17" t="s">
        <v>258</v>
      </c>
    </row>
    <row r="334" s="17" customFormat="1" hidden="1" spans="1:33">
      <c r="A334" s="17" t="s">
        <v>34</v>
      </c>
      <c r="B334" s="19">
        <v>732</v>
      </c>
      <c r="C334" s="64">
        <v>44496</v>
      </c>
      <c r="D334" s="17" t="s">
        <v>52</v>
      </c>
      <c r="E334" s="17" t="s">
        <v>187</v>
      </c>
      <c r="F334" s="17" t="s">
        <v>72</v>
      </c>
      <c r="H334" s="65" t="s">
        <v>106</v>
      </c>
      <c r="I334" s="65"/>
      <c r="J334" s="17" t="s">
        <v>82</v>
      </c>
      <c r="K334" s="23">
        <v>610</v>
      </c>
      <c r="L334" s="92">
        <v>65</v>
      </c>
      <c r="M334" s="104"/>
      <c r="N334" s="17" t="s">
        <v>66</v>
      </c>
      <c r="O334" s="19" t="s">
        <v>141</v>
      </c>
      <c r="P334" s="91">
        <v>1870</v>
      </c>
      <c r="Q334" s="17">
        <f>1305+1306</f>
        <v>2611</v>
      </c>
      <c r="R334" s="17">
        <f t="shared" si="16"/>
        <v>-741</v>
      </c>
      <c r="S334" s="99">
        <f t="shared" si="15"/>
        <v>1885</v>
      </c>
      <c r="T334" s="19" t="s">
        <v>42</v>
      </c>
      <c r="U334" s="17" t="s">
        <v>257</v>
      </c>
      <c r="V334" s="67">
        <v>44497</v>
      </c>
      <c r="W334" s="17" t="s">
        <v>69</v>
      </c>
      <c r="Y334" s="68">
        <v>44501</v>
      </c>
      <c r="Z334" s="17" t="s">
        <v>191</v>
      </c>
      <c r="AA334" s="17" t="s">
        <v>46</v>
      </c>
      <c r="AB334" s="17" t="s">
        <v>240</v>
      </c>
      <c r="AC334" s="66">
        <v>44543</v>
      </c>
      <c r="AD334" s="65">
        <v>1249</v>
      </c>
      <c r="AE334" s="17" t="s">
        <v>48</v>
      </c>
      <c r="AF334" s="17" t="s">
        <v>258</v>
      </c>
    </row>
    <row r="335" s="17" customFormat="1" hidden="1" spans="1:33">
      <c r="A335" s="17" t="s">
        <v>34</v>
      </c>
      <c r="B335" s="19">
        <v>732</v>
      </c>
      <c r="C335" s="64">
        <v>44496</v>
      </c>
      <c r="D335" s="17" t="s">
        <v>52</v>
      </c>
      <c r="E335" s="17" t="s">
        <v>187</v>
      </c>
      <c r="F335" s="17" t="s">
        <v>72</v>
      </c>
      <c r="H335" s="65" t="s">
        <v>106</v>
      </c>
      <c r="I335" s="65"/>
      <c r="J335" s="17" t="s">
        <v>82</v>
      </c>
      <c r="K335" s="23">
        <v>560</v>
      </c>
      <c r="L335" s="92">
        <v>75</v>
      </c>
      <c r="M335" s="104"/>
      <c r="N335" s="17" t="s">
        <v>66</v>
      </c>
      <c r="O335" s="19" t="s">
        <v>141</v>
      </c>
      <c r="P335" s="91">
        <v>990</v>
      </c>
      <c r="Q335" s="17">
        <v>1514</v>
      </c>
      <c r="R335" s="17">
        <f t="shared" si="16"/>
        <v>-524</v>
      </c>
      <c r="S335" s="99">
        <f t="shared" si="15"/>
        <v>1885</v>
      </c>
      <c r="T335" s="19" t="s">
        <v>42</v>
      </c>
      <c r="U335" s="17" t="s">
        <v>257</v>
      </c>
      <c r="V335" s="67">
        <v>44497</v>
      </c>
      <c r="W335" s="17" t="s">
        <v>69</v>
      </c>
      <c r="Y335" s="68">
        <v>44501</v>
      </c>
      <c r="Z335" s="17" t="s">
        <v>191</v>
      </c>
      <c r="AA335" s="17" t="s">
        <v>46</v>
      </c>
      <c r="AB335" s="17" t="s">
        <v>240</v>
      </c>
      <c r="AC335" s="66">
        <v>44543</v>
      </c>
      <c r="AD335" s="65">
        <v>1249</v>
      </c>
      <c r="AE335" s="17" t="s">
        <v>48</v>
      </c>
      <c r="AF335" s="17" t="s">
        <v>258</v>
      </c>
    </row>
    <row r="336" s="17" customFormat="1" hidden="1" spans="1:33">
      <c r="A336" s="17" t="s">
        <v>34</v>
      </c>
      <c r="B336" s="19">
        <v>732</v>
      </c>
      <c r="C336" s="64">
        <v>44496</v>
      </c>
      <c r="D336" s="17" t="s">
        <v>52</v>
      </c>
      <c r="E336" s="17" t="s">
        <v>187</v>
      </c>
      <c r="F336" s="17" t="s">
        <v>72</v>
      </c>
      <c r="H336" s="65" t="s">
        <v>106</v>
      </c>
      <c r="I336" s="65"/>
      <c r="J336" s="17" t="s">
        <v>82</v>
      </c>
      <c r="K336" s="23">
        <v>510</v>
      </c>
      <c r="L336" s="92">
        <v>85</v>
      </c>
      <c r="M336" s="104"/>
      <c r="N336" s="17" t="s">
        <v>66</v>
      </c>
      <c r="O336" s="19" t="s">
        <v>141</v>
      </c>
      <c r="P336" s="91">
        <v>1020</v>
      </c>
      <c r="Q336" s="17">
        <v>1342</v>
      </c>
      <c r="R336" s="17">
        <f t="shared" si="16"/>
        <v>-322</v>
      </c>
      <c r="S336" s="99">
        <f t="shared" si="15"/>
        <v>1885</v>
      </c>
      <c r="T336" s="19" t="s">
        <v>42</v>
      </c>
      <c r="U336" s="17" t="s">
        <v>257</v>
      </c>
      <c r="V336" s="67">
        <v>44497</v>
      </c>
      <c r="W336" s="17" t="s">
        <v>69</v>
      </c>
      <c r="Y336" s="68">
        <v>44501</v>
      </c>
      <c r="Z336" s="17" t="s">
        <v>191</v>
      </c>
      <c r="AA336" s="17" t="s">
        <v>46</v>
      </c>
      <c r="AB336" s="17" t="s">
        <v>240</v>
      </c>
      <c r="AC336" s="66">
        <v>44543</v>
      </c>
      <c r="AD336" s="65">
        <v>1249</v>
      </c>
      <c r="AE336" s="17" t="s">
        <v>48</v>
      </c>
      <c r="AF336" s="17" t="s">
        <v>258</v>
      </c>
    </row>
    <row r="337" s="17" customFormat="1" hidden="1" spans="1:44">
      <c r="A337" s="17" t="s">
        <v>34</v>
      </c>
      <c r="B337" s="19">
        <v>732</v>
      </c>
      <c r="C337" s="64">
        <v>44496</v>
      </c>
      <c r="D337" s="17" t="s">
        <v>52</v>
      </c>
      <c r="E337" s="17" t="s">
        <v>187</v>
      </c>
      <c r="F337" s="17" t="s">
        <v>72</v>
      </c>
      <c r="H337" s="65" t="s">
        <v>106</v>
      </c>
      <c r="I337" s="65"/>
      <c r="J337" s="17" t="s">
        <v>82</v>
      </c>
      <c r="K337" s="23">
        <v>560</v>
      </c>
      <c r="L337" s="92">
        <v>90</v>
      </c>
      <c r="N337" s="17" t="s">
        <v>66</v>
      </c>
      <c r="O337" s="19" t="s">
        <v>141</v>
      </c>
      <c r="P337" s="91">
        <v>1190</v>
      </c>
      <c r="Q337" s="17">
        <v>1314</v>
      </c>
      <c r="R337" s="17">
        <f t="shared" si="16"/>
        <v>-124</v>
      </c>
      <c r="S337" s="99">
        <f t="shared" si="15"/>
        <v>1885</v>
      </c>
      <c r="T337" s="19" t="s">
        <v>42</v>
      </c>
      <c r="U337" s="17" t="s">
        <v>257</v>
      </c>
      <c r="V337" s="67">
        <v>44497</v>
      </c>
      <c r="W337" s="17" t="s">
        <v>69</v>
      </c>
      <c r="Y337" s="68">
        <v>44501</v>
      </c>
      <c r="Z337" s="17" t="s">
        <v>191</v>
      </c>
      <c r="AA337" s="17" t="s">
        <v>46</v>
      </c>
      <c r="AB337" s="17" t="s">
        <v>240</v>
      </c>
      <c r="AC337" s="66">
        <v>44543</v>
      </c>
      <c r="AD337" s="65">
        <v>1249</v>
      </c>
      <c r="AE337" s="17" t="s">
        <v>48</v>
      </c>
      <c r="AF337" s="17" t="s">
        <v>258</v>
      </c>
    </row>
    <row r="338" s="17" customFormat="1" hidden="1" spans="1:44">
      <c r="A338" s="17" t="s">
        <v>34</v>
      </c>
      <c r="B338" s="19">
        <v>732</v>
      </c>
      <c r="C338" s="64">
        <v>44496</v>
      </c>
      <c r="D338" s="17" t="s">
        <v>52</v>
      </c>
      <c r="E338" s="17" t="s">
        <v>187</v>
      </c>
      <c r="F338" s="17" t="s">
        <v>72</v>
      </c>
      <c r="H338" s="65" t="s">
        <v>106</v>
      </c>
      <c r="I338" s="65"/>
      <c r="J338" s="17" t="s">
        <v>82</v>
      </c>
      <c r="K338" s="23">
        <v>560</v>
      </c>
      <c r="L338" s="92">
        <v>120</v>
      </c>
      <c r="N338" s="17" t="s">
        <v>66</v>
      </c>
      <c r="O338" s="19" t="s">
        <v>141</v>
      </c>
      <c r="P338" s="91">
        <v>1585</v>
      </c>
      <c r="Q338" s="17">
        <v>2536</v>
      </c>
      <c r="R338" s="17">
        <f t="shared" si="16"/>
        <v>-951</v>
      </c>
      <c r="S338" s="99">
        <f t="shared" si="15"/>
        <v>1885</v>
      </c>
      <c r="T338" s="19" t="s">
        <v>42</v>
      </c>
      <c r="U338" s="17" t="s">
        <v>257</v>
      </c>
      <c r="V338" s="67">
        <v>44497</v>
      </c>
      <c r="W338" s="17" t="s">
        <v>69</v>
      </c>
      <c r="Y338" s="68">
        <v>44501</v>
      </c>
      <c r="Z338" s="17" t="s">
        <v>191</v>
      </c>
      <c r="AA338" s="17" t="s">
        <v>46</v>
      </c>
      <c r="AB338" s="17" t="s">
        <v>240</v>
      </c>
      <c r="AC338" s="66">
        <v>44543</v>
      </c>
      <c r="AD338" s="65">
        <v>1249</v>
      </c>
      <c r="AE338" s="17" t="s">
        <v>48</v>
      </c>
      <c r="AF338" s="17" t="s">
        <v>258</v>
      </c>
    </row>
    <row r="339" s="17" customFormat="1" hidden="1" spans="1:44">
      <c r="A339" s="17" t="s">
        <v>34</v>
      </c>
      <c r="B339" s="19">
        <v>733</v>
      </c>
      <c r="C339" s="64">
        <v>44498</v>
      </c>
      <c r="D339" s="17" t="s">
        <v>35</v>
      </c>
      <c r="E339" s="17" t="s">
        <v>71</v>
      </c>
      <c r="F339" s="17" t="s">
        <v>72</v>
      </c>
      <c r="H339" s="65">
        <v>1.2344</v>
      </c>
      <c r="I339" s="65"/>
      <c r="J339" s="17" t="s">
        <v>82</v>
      </c>
      <c r="K339" s="19">
        <v>510</v>
      </c>
      <c r="L339" s="19">
        <v>50</v>
      </c>
      <c r="N339" s="17" t="s">
        <v>40</v>
      </c>
      <c r="O339" s="19" t="s">
        <v>141</v>
      </c>
      <c r="P339" s="19">
        <v>3000</v>
      </c>
      <c r="Q339" s="19">
        <f>1662+1678</f>
        <v>3340</v>
      </c>
      <c r="R339" s="17">
        <f t="shared" si="16"/>
        <v>-340</v>
      </c>
      <c r="S339" s="105">
        <f t="shared" ref="S339:S350" si="17">2900-15</f>
        <v>2885</v>
      </c>
      <c r="T339" s="19" t="s">
        <v>42</v>
      </c>
      <c r="U339" s="17" t="s">
        <v>259</v>
      </c>
      <c r="V339" s="67">
        <v>44502</v>
      </c>
      <c r="W339" s="17" t="s">
        <v>44</v>
      </c>
      <c r="Y339" s="68">
        <v>44593</v>
      </c>
      <c r="Z339" s="17" t="s">
        <v>191</v>
      </c>
      <c r="AA339" s="17" t="s">
        <v>46</v>
      </c>
      <c r="AB339" s="17" t="s">
        <v>260</v>
      </c>
      <c r="AC339" s="66">
        <v>44543</v>
      </c>
      <c r="AD339" s="65">
        <v>1245</v>
      </c>
      <c r="AE339" s="17" t="s">
        <v>129</v>
      </c>
      <c r="AF339" s="17" t="s">
        <v>261</v>
      </c>
      <c r="AH339" s="17" t="s">
        <v>262</v>
      </c>
      <c r="AI339" s="95">
        <f t="shared" ref="AI339:AI350" si="18">266610/1000</f>
        <v>266.61</v>
      </c>
    </row>
    <row r="340" s="17" customFormat="1" hidden="1" spans="1:44">
      <c r="A340" s="17" t="s">
        <v>34</v>
      </c>
      <c r="B340" s="19">
        <v>733</v>
      </c>
      <c r="C340" s="64">
        <v>44498</v>
      </c>
      <c r="D340" s="17" t="s">
        <v>35</v>
      </c>
      <c r="E340" s="17" t="s">
        <v>71</v>
      </c>
      <c r="F340" s="17" t="s">
        <v>72</v>
      </c>
      <c r="H340" s="65">
        <v>1.2344</v>
      </c>
      <c r="I340" s="65"/>
      <c r="J340" s="17" t="s">
        <v>82</v>
      </c>
      <c r="K340" s="19">
        <v>605</v>
      </c>
      <c r="L340" s="19">
        <v>50</v>
      </c>
      <c r="N340" s="17" t="s">
        <v>40</v>
      </c>
      <c r="O340" s="19" t="s">
        <v>141</v>
      </c>
      <c r="P340" s="19">
        <v>3000</v>
      </c>
      <c r="Q340" s="19">
        <f>1145+1085+1115</f>
        <v>3345</v>
      </c>
      <c r="R340" s="17">
        <f t="shared" si="16"/>
        <v>-345</v>
      </c>
      <c r="S340" s="105">
        <f t="shared" si="17"/>
        <v>2885</v>
      </c>
      <c r="T340" s="19" t="s">
        <v>42</v>
      </c>
      <c r="U340" s="17" t="s">
        <v>259</v>
      </c>
      <c r="V340" s="67">
        <v>44502</v>
      </c>
      <c r="W340" s="17" t="s">
        <v>44</v>
      </c>
      <c r="Y340" s="68">
        <v>44593</v>
      </c>
      <c r="Z340" s="17" t="s">
        <v>191</v>
      </c>
      <c r="AA340" s="17" t="s">
        <v>46</v>
      </c>
      <c r="AB340" s="17" t="s">
        <v>260</v>
      </c>
      <c r="AC340" s="66">
        <v>44543</v>
      </c>
      <c r="AD340" s="65">
        <v>1245</v>
      </c>
      <c r="AE340" s="17" t="s">
        <v>129</v>
      </c>
      <c r="AF340" s="17" t="s">
        <v>261</v>
      </c>
      <c r="AH340" s="17" t="s">
        <v>262</v>
      </c>
      <c r="AI340" s="95">
        <f t="shared" si="18"/>
        <v>266.61</v>
      </c>
    </row>
    <row r="341" s="17" customFormat="1" hidden="1" spans="1:44">
      <c r="A341" s="17" t="s">
        <v>34</v>
      </c>
      <c r="B341" s="19">
        <v>733</v>
      </c>
      <c r="C341" s="64">
        <v>44498</v>
      </c>
      <c r="D341" s="17" t="s">
        <v>35</v>
      </c>
      <c r="E341" s="17" t="s">
        <v>71</v>
      </c>
      <c r="F341" s="17" t="s">
        <v>72</v>
      </c>
      <c r="H341" s="65">
        <v>1.2344</v>
      </c>
      <c r="I341" s="65"/>
      <c r="J341" s="17" t="s">
        <v>82</v>
      </c>
      <c r="K341" s="19">
        <v>605</v>
      </c>
      <c r="L341" s="19">
        <v>61</v>
      </c>
      <c r="N341" s="17" t="s">
        <v>40</v>
      </c>
      <c r="O341" s="19" t="s">
        <v>141</v>
      </c>
      <c r="P341" s="19">
        <v>3000</v>
      </c>
      <c r="Q341" s="19">
        <f>1646+1580</f>
        <v>3226</v>
      </c>
      <c r="R341" s="17">
        <f t="shared" si="16"/>
        <v>-226</v>
      </c>
      <c r="S341" s="105">
        <f t="shared" si="17"/>
        <v>2885</v>
      </c>
      <c r="T341" s="19" t="s">
        <v>42</v>
      </c>
      <c r="U341" s="17" t="s">
        <v>259</v>
      </c>
      <c r="V341" s="67">
        <v>44502</v>
      </c>
      <c r="W341" s="17" t="s">
        <v>44</v>
      </c>
      <c r="Y341" s="68">
        <v>44593</v>
      </c>
      <c r="Z341" s="17" t="s">
        <v>191</v>
      </c>
      <c r="AA341" s="17" t="s">
        <v>46</v>
      </c>
      <c r="AB341" s="17" t="s">
        <v>260</v>
      </c>
      <c r="AC341" s="66">
        <v>44543</v>
      </c>
      <c r="AD341" s="65">
        <v>1245</v>
      </c>
      <c r="AE341" s="17" t="s">
        <v>129</v>
      </c>
      <c r="AF341" s="17" t="s">
        <v>261</v>
      </c>
      <c r="AH341" s="17" t="s">
        <v>262</v>
      </c>
      <c r="AI341" s="95">
        <f t="shared" si="18"/>
        <v>266.61</v>
      </c>
    </row>
    <row r="342" s="17" customFormat="1" hidden="1" spans="1:44">
      <c r="A342" s="17" t="s">
        <v>34</v>
      </c>
      <c r="B342" s="19">
        <v>733</v>
      </c>
      <c r="C342" s="64">
        <v>44498</v>
      </c>
      <c r="D342" s="17" t="s">
        <v>35</v>
      </c>
      <c r="E342" s="17" t="s">
        <v>71</v>
      </c>
      <c r="F342" s="17" t="s">
        <v>72</v>
      </c>
      <c r="H342" s="65">
        <v>1.2344</v>
      </c>
      <c r="I342" s="65"/>
      <c r="J342" s="17" t="s">
        <v>82</v>
      </c>
      <c r="K342" s="19">
        <v>410</v>
      </c>
      <c r="L342" s="19">
        <v>65</v>
      </c>
      <c r="N342" s="17" t="s">
        <v>40</v>
      </c>
      <c r="O342" s="19" t="s">
        <v>141</v>
      </c>
      <c r="P342" s="19">
        <v>3000</v>
      </c>
      <c r="Q342" s="19">
        <f>1045+1800</f>
        <v>2845</v>
      </c>
      <c r="R342" s="17">
        <f t="shared" si="16"/>
        <v>155</v>
      </c>
      <c r="S342" s="105">
        <f t="shared" si="17"/>
        <v>2885</v>
      </c>
      <c r="T342" s="19" t="s">
        <v>42</v>
      </c>
      <c r="U342" s="17" t="s">
        <v>259</v>
      </c>
      <c r="V342" s="67">
        <v>44502</v>
      </c>
      <c r="W342" s="17" t="s">
        <v>44</v>
      </c>
      <c r="Y342" s="68">
        <v>44593</v>
      </c>
      <c r="Z342" s="17" t="s">
        <v>191</v>
      </c>
      <c r="AA342" s="17" t="s">
        <v>46</v>
      </c>
      <c r="AB342" s="17" t="s">
        <v>260</v>
      </c>
      <c r="AC342" s="66">
        <v>44543</v>
      </c>
      <c r="AD342" s="65">
        <v>1245</v>
      </c>
      <c r="AE342" s="17" t="s">
        <v>129</v>
      </c>
      <c r="AF342" s="17" t="s">
        <v>261</v>
      </c>
      <c r="AH342" s="17" t="s">
        <v>262</v>
      </c>
      <c r="AI342" s="95">
        <f t="shared" si="18"/>
        <v>266.61</v>
      </c>
    </row>
    <row r="343" s="18" customFormat="1" hidden="1" spans="1:44">
      <c r="A343" s="17" t="s">
        <v>34</v>
      </c>
      <c r="B343" s="19">
        <v>733</v>
      </c>
      <c r="C343" s="64">
        <v>44498</v>
      </c>
      <c r="D343" s="17" t="s">
        <v>35</v>
      </c>
      <c r="E343" s="17" t="s">
        <v>71</v>
      </c>
      <c r="F343" s="17" t="s">
        <v>72</v>
      </c>
      <c r="G343" s="17"/>
      <c r="H343" s="65">
        <v>1.2344</v>
      </c>
      <c r="I343" s="65"/>
      <c r="J343" s="17" t="s">
        <v>82</v>
      </c>
      <c r="K343" s="19">
        <v>510</v>
      </c>
      <c r="L343" s="19">
        <v>65</v>
      </c>
      <c r="M343" s="17"/>
      <c r="N343" s="17" t="s">
        <v>40</v>
      </c>
      <c r="O343" s="19" t="s">
        <v>141</v>
      </c>
      <c r="P343" s="19">
        <v>3000</v>
      </c>
      <c r="Q343" s="19">
        <f>1935+1075</f>
        <v>3010</v>
      </c>
      <c r="R343" s="17">
        <f t="shared" si="16"/>
        <v>-10</v>
      </c>
      <c r="S343" s="105">
        <f t="shared" si="17"/>
        <v>2885</v>
      </c>
      <c r="T343" s="19" t="s">
        <v>42</v>
      </c>
      <c r="U343" s="17" t="s">
        <v>259</v>
      </c>
      <c r="V343" s="67">
        <v>44502</v>
      </c>
      <c r="W343" s="17" t="s">
        <v>44</v>
      </c>
      <c r="X343" s="17"/>
      <c r="Y343" s="68">
        <v>44593</v>
      </c>
      <c r="Z343" s="17" t="s">
        <v>191</v>
      </c>
      <c r="AA343" s="17" t="s">
        <v>46</v>
      </c>
      <c r="AB343" s="17" t="s">
        <v>260</v>
      </c>
      <c r="AC343" s="66">
        <v>44543</v>
      </c>
      <c r="AD343" s="65">
        <v>1245</v>
      </c>
      <c r="AE343" s="17" t="s">
        <v>129</v>
      </c>
      <c r="AF343" s="17" t="s">
        <v>261</v>
      </c>
      <c r="AG343" s="17"/>
      <c r="AH343" s="17" t="s">
        <v>262</v>
      </c>
      <c r="AI343" s="95">
        <f t="shared" si="18"/>
        <v>266.61</v>
      </c>
      <c r="AJ343" s="17"/>
      <c r="AK343" s="17"/>
      <c r="AL343" s="17"/>
      <c r="AM343" s="17"/>
      <c r="AN343" s="17"/>
      <c r="AO343" s="17"/>
      <c r="AP343" s="17"/>
      <c r="AQ343" s="17"/>
      <c r="AR343" s="17"/>
    </row>
    <row r="344" s="17" customFormat="1" hidden="1" spans="1:44">
      <c r="A344" s="17" t="s">
        <v>34</v>
      </c>
      <c r="B344" s="19">
        <v>733</v>
      </c>
      <c r="C344" s="64">
        <v>44498</v>
      </c>
      <c r="D344" s="17" t="s">
        <v>35</v>
      </c>
      <c r="E344" s="17" t="s">
        <v>71</v>
      </c>
      <c r="F344" s="17" t="s">
        <v>72</v>
      </c>
      <c r="H344" s="65">
        <v>1.2344</v>
      </c>
      <c r="I344" s="65"/>
      <c r="J344" s="17" t="s">
        <v>82</v>
      </c>
      <c r="K344" s="19">
        <v>605</v>
      </c>
      <c r="L344" s="19">
        <v>65</v>
      </c>
      <c r="N344" s="17" t="s">
        <v>40</v>
      </c>
      <c r="O344" s="19" t="s">
        <v>141</v>
      </c>
      <c r="P344" s="19">
        <v>3000</v>
      </c>
      <c r="Q344" s="19">
        <f>1560+1608</f>
        <v>3168</v>
      </c>
      <c r="R344" s="17">
        <f t="shared" si="16"/>
        <v>-168</v>
      </c>
      <c r="S344" s="105">
        <f t="shared" si="17"/>
        <v>2885</v>
      </c>
      <c r="T344" s="19" t="s">
        <v>42</v>
      </c>
      <c r="U344" s="17" t="s">
        <v>259</v>
      </c>
      <c r="V344" s="67">
        <v>44502</v>
      </c>
      <c r="W344" s="17" t="s">
        <v>44</v>
      </c>
      <c r="Y344" s="68">
        <v>44593</v>
      </c>
      <c r="Z344" s="17" t="s">
        <v>191</v>
      </c>
      <c r="AA344" s="17" t="s">
        <v>46</v>
      </c>
      <c r="AB344" s="17" t="s">
        <v>260</v>
      </c>
      <c r="AC344" s="66">
        <v>44543</v>
      </c>
      <c r="AD344" s="65">
        <v>1245</v>
      </c>
      <c r="AE344" s="17" t="s">
        <v>129</v>
      </c>
      <c r="AF344" s="17" t="s">
        <v>261</v>
      </c>
      <c r="AH344" s="17" t="s">
        <v>262</v>
      </c>
      <c r="AI344" s="95">
        <f t="shared" si="18"/>
        <v>266.61</v>
      </c>
    </row>
    <row r="345" s="17" customFormat="1" hidden="1" spans="1:44">
      <c r="A345" s="17" t="s">
        <v>34</v>
      </c>
      <c r="B345" s="19">
        <v>733</v>
      </c>
      <c r="C345" s="64">
        <v>44498</v>
      </c>
      <c r="D345" s="17" t="s">
        <v>35</v>
      </c>
      <c r="E345" s="17" t="s">
        <v>71</v>
      </c>
      <c r="F345" s="17" t="s">
        <v>72</v>
      </c>
      <c r="H345" s="65">
        <v>1.2344</v>
      </c>
      <c r="I345" s="65"/>
      <c r="J345" s="17" t="s">
        <v>82</v>
      </c>
      <c r="K345" s="19">
        <v>510</v>
      </c>
      <c r="L345" s="19">
        <v>80</v>
      </c>
      <c r="N345" s="17" t="s">
        <v>40</v>
      </c>
      <c r="O345" s="19" t="s">
        <v>141</v>
      </c>
      <c r="P345" s="19">
        <v>3000</v>
      </c>
      <c r="Q345" s="19">
        <f>1590+1410</f>
        <v>3000</v>
      </c>
      <c r="R345" s="17">
        <f t="shared" si="16"/>
        <v>0</v>
      </c>
      <c r="S345" s="105">
        <f t="shared" si="17"/>
        <v>2885</v>
      </c>
      <c r="T345" s="19" t="s">
        <v>42</v>
      </c>
      <c r="U345" s="17" t="s">
        <v>259</v>
      </c>
      <c r="V345" s="67">
        <v>44502</v>
      </c>
      <c r="W345" s="17" t="s">
        <v>44</v>
      </c>
      <c r="Y345" s="68">
        <v>44593</v>
      </c>
      <c r="Z345" s="17" t="s">
        <v>191</v>
      </c>
      <c r="AA345" s="17" t="s">
        <v>46</v>
      </c>
      <c r="AB345" s="17" t="s">
        <v>260</v>
      </c>
      <c r="AC345" s="66">
        <v>44543</v>
      </c>
      <c r="AD345" s="65">
        <v>1245</v>
      </c>
      <c r="AE345" s="17" t="s">
        <v>129</v>
      </c>
      <c r="AF345" s="17" t="s">
        <v>261</v>
      </c>
      <c r="AH345" s="17" t="s">
        <v>262</v>
      </c>
      <c r="AI345" s="95">
        <f t="shared" si="18"/>
        <v>266.61</v>
      </c>
    </row>
    <row r="346" s="17" customFormat="1" hidden="1" spans="1:44">
      <c r="A346" s="17" t="s">
        <v>34</v>
      </c>
      <c r="B346" s="19">
        <v>733</v>
      </c>
      <c r="C346" s="64">
        <v>44498</v>
      </c>
      <c r="D346" s="17" t="s">
        <v>35</v>
      </c>
      <c r="E346" s="17" t="s">
        <v>71</v>
      </c>
      <c r="F346" s="17" t="s">
        <v>72</v>
      </c>
      <c r="H346" s="65">
        <v>1.2344</v>
      </c>
      <c r="I346" s="65"/>
      <c r="J346" s="17" t="s">
        <v>82</v>
      </c>
      <c r="K346" s="19">
        <v>605</v>
      </c>
      <c r="L346" s="19">
        <v>80</v>
      </c>
      <c r="N346" s="17" t="s">
        <v>40</v>
      </c>
      <c r="O346" s="19" t="s">
        <v>141</v>
      </c>
      <c r="P346" s="19">
        <v>3000</v>
      </c>
      <c r="Q346" s="19">
        <f>1600+1210</f>
        <v>2810</v>
      </c>
      <c r="R346" s="17">
        <f t="shared" si="16"/>
        <v>190</v>
      </c>
      <c r="S346" s="105">
        <f t="shared" si="17"/>
        <v>2885</v>
      </c>
      <c r="T346" s="19" t="s">
        <v>42</v>
      </c>
      <c r="U346" s="17" t="s">
        <v>259</v>
      </c>
      <c r="V346" s="67">
        <v>44502</v>
      </c>
      <c r="W346" s="17" t="s">
        <v>44</v>
      </c>
      <c r="Y346" s="68">
        <v>44593</v>
      </c>
      <c r="Z346" s="17" t="s">
        <v>191</v>
      </c>
      <c r="AA346" s="17" t="s">
        <v>46</v>
      </c>
      <c r="AB346" s="17" t="s">
        <v>260</v>
      </c>
      <c r="AC346" s="66">
        <v>44543</v>
      </c>
      <c r="AD346" s="65">
        <v>1245</v>
      </c>
      <c r="AE346" s="17" t="s">
        <v>129</v>
      </c>
      <c r="AF346" s="17" t="s">
        <v>261</v>
      </c>
      <c r="AH346" s="17" t="s">
        <v>262</v>
      </c>
      <c r="AI346" s="95">
        <f t="shared" si="18"/>
        <v>266.61</v>
      </c>
    </row>
    <row r="347" s="17" customFormat="1" hidden="1" spans="1:44">
      <c r="A347" s="17" t="s">
        <v>34</v>
      </c>
      <c r="B347" s="19">
        <v>733</v>
      </c>
      <c r="C347" s="64">
        <v>44498</v>
      </c>
      <c r="D347" s="17" t="s">
        <v>35</v>
      </c>
      <c r="E347" s="17" t="s">
        <v>71</v>
      </c>
      <c r="F347" s="17" t="s">
        <v>72</v>
      </c>
      <c r="H347" s="65">
        <v>1.2344</v>
      </c>
      <c r="I347" s="65"/>
      <c r="J347" s="17" t="s">
        <v>82</v>
      </c>
      <c r="K347" s="19">
        <v>500</v>
      </c>
      <c r="L347" s="19">
        <v>65</v>
      </c>
      <c r="N347" s="17" t="s">
        <v>40</v>
      </c>
      <c r="O347" s="19" t="s">
        <v>141</v>
      </c>
      <c r="P347" s="19">
        <v>3000</v>
      </c>
      <c r="Q347" s="19">
        <f>1078+1998</f>
        <v>3076</v>
      </c>
      <c r="R347" s="17">
        <f t="shared" si="16"/>
        <v>-76</v>
      </c>
      <c r="S347" s="105">
        <f t="shared" si="17"/>
        <v>2885</v>
      </c>
      <c r="T347" s="19" t="s">
        <v>42</v>
      </c>
      <c r="U347" s="17" t="s">
        <v>259</v>
      </c>
      <c r="V347" s="64">
        <v>44502</v>
      </c>
      <c r="W347" s="17" t="s">
        <v>44</v>
      </c>
      <c r="Y347" s="68">
        <v>44593</v>
      </c>
      <c r="Z347" s="17" t="s">
        <v>191</v>
      </c>
      <c r="AA347" s="17" t="s">
        <v>46</v>
      </c>
      <c r="AB347" s="17" t="s">
        <v>263</v>
      </c>
      <c r="AC347" s="66">
        <v>44622</v>
      </c>
      <c r="AD347" s="65">
        <v>1267</v>
      </c>
      <c r="AE347" s="17" t="s">
        <v>129</v>
      </c>
      <c r="AF347" s="17" t="s">
        <v>261</v>
      </c>
      <c r="AH347" s="17" t="s">
        <v>262</v>
      </c>
      <c r="AI347" s="95">
        <f t="shared" si="18"/>
        <v>266.61</v>
      </c>
    </row>
    <row r="348" s="17" customFormat="1" hidden="1" spans="1:44">
      <c r="A348" s="17" t="s">
        <v>34</v>
      </c>
      <c r="B348" s="19">
        <v>733</v>
      </c>
      <c r="C348" s="64">
        <v>44498</v>
      </c>
      <c r="D348" s="17" t="s">
        <v>35</v>
      </c>
      <c r="E348" s="17" t="s">
        <v>71</v>
      </c>
      <c r="F348" s="17" t="s">
        <v>72</v>
      </c>
      <c r="H348" s="65">
        <v>1.2344</v>
      </c>
      <c r="I348" s="65"/>
      <c r="J348" s="17" t="s">
        <v>82</v>
      </c>
      <c r="K348" s="19">
        <v>510</v>
      </c>
      <c r="L348" s="19">
        <v>105</v>
      </c>
      <c r="N348" s="17" t="s">
        <v>40</v>
      </c>
      <c r="O348" s="19" t="s">
        <v>141</v>
      </c>
      <c r="P348" s="19">
        <v>3000</v>
      </c>
      <c r="Q348" s="19">
        <f>1530+1530</f>
        <v>3060</v>
      </c>
      <c r="R348" s="17">
        <f t="shared" si="16"/>
        <v>-60</v>
      </c>
      <c r="S348" s="105">
        <f t="shared" si="17"/>
        <v>2885</v>
      </c>
      <c r="T348" s="19" t="s">
        <v>42</v>
      </c>
      <c r="U348" s="17" t="s">
        <v>259</v>
      </c>
      <c r="V348" s="64">
        <v>44502</v>
      </c>
      <c r="W348" s="17" t="s">
        <v>44</v>
      </c>
      <c r="Y348" s="68">
        <v>44593</v>
      </c>
      <c r="Z348" s="17" t="s">
        <v>191</v>
      </c>
      <c r="AA348" s="17" t="s">
        <v>46</v>
      </c>
      <c r="AB348" s="17" t="s">
        <v>263</v>
      </c>
      <c r="AC348" s="66">
        <v>44622</v>
      </c>
      <c r="AD348" s="65">
        <v>1267</v>
      </c>
      <c r="AE348" s="17" t="s">
        <v>129</v>
      </c>
      <c r="AF348" s="17" t="s">
        <v>261</v>
      </c>
      <c r="AH348" s="17" t="s">
        <v>262</v>
      </c>
      <c r="AI348" s="95">
        <f t="shared" si="18"/>
        <v>266.61</v>
      </c>
    </row>
    <row r="349" s="17" customFormat="1" hidden="1" spans="1:44">
      <c r="A349" s="17" t="s">
        <v>34</v>
      </c>
      <c r="B349" s="19">
        <v>733</v>
      </c>
      <c r="C349" s="64">
        <v>44498</v>
      </c>
      <c r="D349" s="17" t="s">
        <v>35</v>
      </c>
      <c r="E349" s="17" t="s">
        <v>71</v>
      </c>
      <c r="F349" s="17" t="s">
        <v>72</v>
      </c>
      <c r="H349" s="65">
        <v>1.2344</v>
      </c>
      <c r="I349" s="65"/>
      <c r="J349" s="17" t="s">
        <v>82</v>
      </c>
      <c r="K349" s="19">
        <v>605</v>
      </c>
      <c r="L349" s="19">
        <v>105</v>
      </c>
      <c r="N349" s="17" t="s">
        <v>40</v>
      </c>
      <c r="O349" s="19" t="s">
        <v>141</v>
      </c>
      <c r="P349" s="19">
        <v>3000</v>
      </c>
      <c r="Q349" s="19">
        <f>1570+2600</f>
        <v>4170</v>
      </c>
      <c r="R349" s="17">
        <f t="shared" si="16"/>
        <v>-1170</v>
      </c>
      <c r="S349" s="105">
        <f t="shared" si="17"/>
        <v>2885</v>
      </c>
      <c r="T349" s="19" t="s">
        <v>42</v>
      </c>
      <c r="U349" s="17" t="s">
        <v>259</v>
      </c>
      <c r="V349" s="64">
        <v>44502</v>
      </c>
      <c r="W349" s="17" t="s">
        <v>44</v>
      </c>
      <c r="Y349" s="68">
        <v>44593</v>
      </c>
      <c r="Z349" s="17" t="s">
        <v>191</v>
      </c>
      <c r="AA349" s="17" t="s">
        <v>46</v>
      </c>
      <c r="AB349" s="17" t="s">
        <v>263</v>
      </c>
      <c r="AC349" s="66">
        <v>44622</v>
      </c>
      <c r="AD349" s="65">
        <v>1267</v>
      </c>
      <c r="AE349" s="17" t="s">
        <v>129</v>
      </c>
      <c r="AF349" s="17" t="s">
        <v>261</v>
      </c>
      <c r="AH349" s="17" t="s">
        <v>262</v>
      </c>
      <c r="AI349" s="95">
        <f t="shared" si="18"/>
        <v>266.61</v>
      </c>
    </row>
    <row r="350" s="17" customFormat="1" hidden="1" spans="1:44">
      <c r="A350" s="17" t="s">
        <v>34</v>
      </c>
      <c r="B350" s="19">
        <v>733</v>
      </c>
      <c r="C350" s="64">
        <v>44498</v>
      </c>
      <c r="D350" s="17" t="s">
        <v>35</v>
      </c>
      <c r="E350" s="17" t="s">
        <v>71</v>
      </c>
      <c r="F350" s="17" t="s">
        <v>72</v>
      </c>
      <c r="H350" s="65">
        <v>1.2344</v>
      </c>
      <c r="I350" s="65"/>
      <c r="J350" s="17" t="s">
        <v>82</v>
      </c>
      <c r="K350" s="19">
        <v>605</v>
      </c>
      <c r="L350" s="19">
        <v>120</v>
      </c>
      <c r="N350" s="17" t="s">
        <v>40</v>
      </c>
      <c r="O350" s="19" t="s">
        <v>141</v>
      </c>
      <c r="P350" s="19">
        <v>3000</v>
      </c>
      <c r="Q350" s="19">
        <v>3095</v>
      </c>
      <c r="R350" s="17">
        <f t="shared" si="16"/>
        <v>-95</v>
      </c>
      <c r="S350" s="105">
        <f t="shared" si="17"/>
        <v>2885</v>
      </c>
      <c r="T350" s="19" t="s">
        <v>42</v>
      </c>
      <c r="U350" s="17" t="s">
        <v>259</v>
      </c>
      <c r="V350" s="64">
        <v>44502</v>
      </c>
      <c r="W350" s="17" t="s">
        <v>44</v>
      </c>
      <c r="Y350" s="68">
        <v>44593</v>
      </c>
      <c r="Z350" s="17" t="s">
        <v>191</v>
      </c>
      <c r="AA350" s="17" t="s">
        <v>46</v>
      </c>
      <c r="AB350" s="17" t="s">
        <v>263</v>
      </c>
      <c r="AC350" s="66">
        <v>44622</v>
      </c>
      <c r="AD350" s="65">
        <v>1267</v>
      </c>
      <c r="AE350" s="17" t="s">
        <v>129</v>
      </c>
      <c r="AF350" s="17" t="s">
        <v>261</v>
      </c>
      <c r="AH350" s="17" t="s">
        <v>262</v>
      </c>
      <c r="AI350" s="95">
        <f t="shared" si="18"/>
        <v>266.61</v>
      </c>
    </row>
    <row r="351" s="17" customFormat="1" hidden="1" spans="1:44">
      <c r="A351" s="17" t="s">
        <v>34</v>
      </c>
      <c r="B351" s="19">
        <v>733</v>
      </c>
      <c r="C351" s="64">
        <v>44498</v>
      </c>
      <c r="D351" s="17" t="s">
        <v>35</v>
      </c>
      <c r="E351" s="17" t="s">
        <v>71</v>
      </c>
      <c r="F351" s="17" t="s">
        <v>72</v>
      </c>
      <c r="H351" s="65">
        <v>1.2344</v>
      </c>
      <c r="I351" s="65"/>
      <c r="J351" s="17" t="s">
        <v>82</v>
      </c>
      <c r="K351" s="19">
        <v>510</v>
      </c>
      <c r="L351" s="19">
        <v>130</v>
      </c>
      <c r="N351" s="17" t="s">
        <v>40</v>
      </c>
      <c r="O351" s="19" t="s">
        <v>141</v>
      </c>
      <c r="P351" s="19">
        <v>3000</v>
      </c>
      <c r="Q351" s="19">
        <v>2575</v>
      </c>
      <c r="R351" s="17">
        <f t="shared" si="16"/>
        <v>425</v>
      </c>
      <c r="S351" s="105">
        <f>3000-15</f>
        <v>2985</v>
      </c>
      <c r="T351" s="19" t="s">
        <v>42</v>
      </c>
      <c r="U351" s="17" t="s">
        <v>259</v>
      </c>
      <c r="V351" s="64">
        <v>44502</v>
      </c>
      <c r="W351" s="17" t="s">
        <v>44</v>
      </c>
      <c r="Y351" s="68">
        <v>44593</v>
      </c>
      <c r="Z351" s="17" t="s">
        <v>191</v>
      </c>
      <c r="AA351" s="17" t="s">
        <v>46</v>
      </c>
      <c r="AB351" s="17" t="s">
        <v>263</v>
      </c>
      <c r="AC351" s="66">
        <v>44622</v>
      </c>
      <c r="AD351" s="65">
        <v>1267</v>
      </c>
      <c r="AE351" s="17" t="s">
        <v>129</v>
      </c>
      <c r="AF351" s="17" t="s">
        <v>261</v>
      </c>
      <c r="AH351" s="17" t="s">
        <v>264</v>
      </c>
      <c r="AI351" s="95">
        <f>275140.8/1000</f>
        <v>275.1408</v>
      </c>
    </row>
    <row r="352" s="17" customFormat="1" hidden="1" spans="1:44">
      <c r="A352" s="17" t="s">
        <v>34</v>
      </c>
      <c r="B352" s="19">
        <v>733</v>
      </c>
      <c r="C352" s="64">
        <v>44498</v>
      </c>
      <c r="D352" s="17" t="s">
        <v>35</v>
      </c>
      <c r="E352" s="17" t="s">
        <v>71</v>
      </c>
      <c r="F352" s="17" t="s">
        <v>72</v>
      </c>
      <c r="H352" s="65">
        <v>1.2344</v>
      </c>
      <c r="I352" s="65"/>
      <c r="J352" s="17" t="s">
        <v>82</v>
      </c>
      <c r="K352" s="19">
        <v>605</v>
      </c>
      <c r="L352" s="19">
        <v>130</v>
      </c>
      <c r="N352" s="17" t="s">
        <v>40</v>
      </c>
      <c r="O352" s="19" t="s">
        <v>141</v>
      </c>
      <c r="P352" s="19">
        <v>3000</v>
      </c>
      <c r="Q352" s="19">
        <v>3170</v>
      </c>
      <c r="R352" s="17">
        <f t="shared" si="16"/>
        <v>-170</v>
      </c>
      <c r="S352" s="105">
        <f>3000-15</f>
        <v>2985</v>
      </c>
      <c r="T352" s="19" t="s">
        <v>42</v>
      </c>
      <c r="U352" s="17" t="s">
        <v>259</v>
      </c>
      <c r="V352" s="64">
        <v>44502</v>
      </c>
      <c r="W352" s="17" t="s">
        <v>44</v>
      </c>
      <c r="Y352" s="68">
        <v>44593</v>
      </c>
      <c r="Z352" s="17" t="s">
        <v>191</v>
      </c>
      <c r="AA352" s="17" t="s">
        <v>46</v>
      </c>
      <c r="AB352" s="17" t="s">
        <v>263</v>
      </c>
      <c r="AC352" s="66">
        <v>44622</v>
      </c>
      <c r="AD352" s="65">
        <v>1267</v>
      </c>
      <c r="AE352" s="17" t="s">
        <v>129</v>
      </c>
      <c r="AF352" s="17" t="s">
        <v>261</v>
      </c>
      <c r="AH352" s="17" t="s">
        <v>264</v>
      </c>
      <c r="AI352" s="95">
        <f>275140.8/1000</f>
        <v>275.1408</v>
      </c>
    </row>
    <row r="353" s="17" customFormat="1" hidden="1" spans="1:37">
      <c r="A353" s="17" t="s">
        <v>34</v>
      </c>
      <c r="B353" s="19">
        <v>736</v>
      </c>
      <c r="C353" s="101">
        <v>44508</v>
      </c>
      <c r="D353" s="17" t="s">
        <v>35</v>
      </c>
      <c r="E353" s="17" t="s">
        <v>148</v>
      </c>
      <c r="F353" s="17" t="s">
        <v>37</v>
      </c>
      <c r="H353" s="19">
        <v>1.2344</v>
      </c>
      <c r="I353" s="19"/>
      <c r="J353" s="17" t="s">
        <v>39</v>
      </c>
      <c r="K353" s="17">
        <v>70</v>
      </c>
      <c r="L353" s="91"/>
      <c r="N353" s="17" t="s">
        <v>40</v>
      </c>
      <c r="O353" s="19" t="s">
        <v>141</v>
      </c>
      <c r="P353" s="19">
        <v>1000</v>
      </c>
      <c r="Q353" s="17">
        <v>968</v>
      </c>
      <c r="R353" s="17">
        <f t="shared" si="16"/>
        <v>32</v>
      </c>
      <c r="S353" s="17">
        <v>3630</v>
      </c>
      <c r="T353" s="19" t="s">
        <v>42</v>
      </c>
      <c r="U353" s="102" t="s">
        <v>265</v>
      </c>
      <c r="V353" s="64">
        <v>44508</v>
      </c>
      <c r="W353" s="17" t="s">
        <v>44</v>
      </c>
      <c r="Y353" s="68">
        <v>44652</v>
      </c>
      <c r="Z353" s="17" t="s">
        <v>199</v>
      </c>
      <c r="AA353" s="17" t="s">
        <v>46</v>
      </c>
      <c r="AB353" s="17" t="s">
        <v>266</v>
      </c>
      <c r="AC353" s="66">
        <v>44627</v>
      </c>
      <c r="AD353" s="65">
        <v>1291</v>
      </c>
      <c r="AE353" s="17" t="s">
        <v>48</v>
      </c>
    </row>
    <row r="354" s="17" customFormat="1" hidden="1" spans="1:37">
      <c r="A354" s="17" t="s">
        <v>34</v>
      </c>
      <c r="B354" s="19">
        <v>736</v>
      </c>
      <c r="C354" s="101">
        <v>44508</v>
      </c>
      <c r="D354" s="17" t="s">
        <v>35</v>
      </c>
      <c r="E354" s="17" t="s">
        <v>148</v>
      </c>
      <c r="F354" s="17" t="s">
        <v>37</v>
      </c>
      <c r="H354" s="19">
        <v>1.2344</v>
      </c>
      <c r="I354" s="19"/>
      <c r="J354" s="17" t="s">
        <v>39</v>
      </c>
      <c r="K354" s="17">
        <v>85</v>
      </c>
      <c r="L354" s="91"/>
      <c r="N354" s="17" t="s">
        <v>40</v>
      </c>
      <c r="O354" s="19" t="s">
        <v>84</v>
      </c>
      <c r="P354" s="19">
        <v>1000</v>
      </c>
      <c r="Q354" s="17">
        <v>914</v>
      </c>
      <c r="R354" s="17">
        <f t="shared" si="16"/>
        <v>86</v>
      </c>
      <c r="S354" s="17">
        <v>3630</v>
      </c>
      <c r="T354" s="19" t="s">
        <v>42</v>
      </c>
      <c r="U354" s="102" t="s">
        <v>265</v>
      </c>
      <c r="V354" s="64">
        <v>44508</v>
      </c>
      <c r="W354" s="17" t="s">
        <v>44</v>
      </c>
      <c r="Y354" s="68">
        <v>44652</v>
      </c>
      <c r="Z354" s="17" t="s">
        <v>199</v>
      </c>
      <c r="AA354" s="17" t="s">
        <v>46</v>
      </c>
      <c r="AB354" s="17" t="s">
        <v>266</v>
      </c>
      <c r="AC354" s="66">
        <v>44627</v>
      </c>
      <c r="AD354" s="65">
        <v>1291</v>
      </c>
      <c r="AE354" s="17" t="s">
        <v>48</v>
      </c>
    </row>
    <row r="355" s="17" customFormat="1" hidden="1" spans="1:37">
      <c r="A355" s="17" t="s">
        <v>34</v>
      </c>
      <c r="B355" s="19">
        <v>736</v>
      </c>
      <c r="C355" s="101">
        <v>44508</v>
      </c>
      <c r="D355" s="17" t="s">
        <v>35</v>
      </c>
      <c r="E355" s="17" t="s">
        <v>148</v>
      </c>
      <c r="F355" s="17" t="s">
        <v>37</v>
      </c>
      <c r="H355" s="19">
        <v>1.2344</v>
      </c>
      <c r="I355" s="19"/>
      <c r="J355" s="17" t="s">
        <v>39</v>
      </c>
      <c r="K355" s="17">
        <v>132</v>
      </c>
      <c r="L355" s="91"/>
      <c r="N355" s="17" t="s">
        <v>40</v>
      </c>
      <c r="O355" s="19" t="s">
        <v>84</v>
      </c>
      <c r="P355" s="19">
        <v>10000</v>
      </c>
      <c r="Q355" s="17">
        <v>9794</v>
      </c>
      <c r="R355" s="17">
        <f t="shared" si="16"/>
        <v>206</v>
      </c>
      <c r="S355" s="17">
        <v>3630</v>
      </c>
      <c r="T355" s="19" t="s">
        <v>42</v>
      </c>
      <c r="U355" s="102" t="s">
        <v>265</v>
      </c>
      <c r="V355" s="64">
        <v>44508</v>
      </c>
      <c r="W355" s="17" t="s">
        <v>44</v>
      </c>
      <c r="Y355" s="68">
        <v>44652</v>
      </c>
      <c r="Z355" s="17" t="s">
        <v>199</v>
      </c>
      <c r="AA355" s="17" t="s">
        <v>46</v>
      </c>
      <c r="AB355" s="17" t="s">
        <v>266</v>
      </c>
      <c r="AC355" s="66">
        <v>44627</v>
      </c>
      <c r="AD355" s="65">
        <v>1291</v>
      </c>
      <c r="AE355" s="17" t="s">
        <v>48</v>
      </c>
    </row>
    <row r="356" s="17" customFormat="1" hidden="1" spans="1:37">
      <c r="A356" s="17" t="s">
        <v>34</v>
      </c>
      <c r="B356" s="19">
        <v>737</v>
      </c>
      <c r="C356" s="64">
        <v>44508</v>
      </c>
      <c r="D356" s="17" t="s">
        <v>35</v>
      </c>
      <c r="E356" s="17" t="s">
        <v>148</v>
      </c>
      <c r="F356" s="17" t="s">
        <v>37</v>
      </c>
      <c r="H356" s="65" t="s">
        <v>197</v>
      </c>
      <c r="I356" s="65"/>
      <c r="J356" s="17" t="s">
        <v>39</v>
      </c>
      <c r="K356" s="17">
        <v>75</v>
      </c>
      <c r="N356" s="17" t="s">
        <v>40</v>
      </c>
      <c r="O356" s="19" t="s">
        <v>141</v>
      </c>
      <c r="P356" s="19">
        <v>192</v>
      </c>
      <c r="Q356" s="17">
        <v>192</v>
      </c>
      <c r="R356" s="17">
        <f t="shared" si="16"/>
        <v>0</v>
      </c>
      <c r="S356" s="17">
        <v>6055</v>
      </c>
      <c r="T356" s="19" t="s">
        <v>42</v>
      </c>
      <c r="U356" s="17" t="s">
        <v>267</v>
      </c>
      <c r="V356" s="67">
        <v>44515</v>
      </c>
      <c r="W356" s="17" t="s">
        <v>44</v>
      </c>
      <c r="Y356" s="68">
        <v>44531</v>
      </c>
      <c r="Z356" s="17" t="s">
        <v>151</v>
      </c>
      <c r="AA356" s="17" t="s">
        <v>46</v>
      </c>
      <c r="AB356" s="16" t="s">
        <v>153</v>
      </c>
      <c r="AC356" s="47">
        <v>44538</v>
      </c>
      <c r="AD356" s="65">
        <v>1238</v>
      </c>
      <c r="AE356" s="16" t="s">
        <v>48</v>
      </c>
    </row>
    <row r="357" s="17" customFormat="1" hidden="1" spans="1:37">
      <c r="A357" s="17" t="s">
        <v>34</v>
      </c>
      <c r="B357" s="19">
        <v>737</v>
      </c>
      <c r="C357" s="64">
        <v>44508</v>
      </c>
      <c r="D357" s="17" t="s">
        <v>35</v>
      </c>
      <c r="E357" s="17" t="s">
        <v>148</v>
      </c>
      <c r="F357" s="17" t="s">
        <v>37</v>
      </c>
      <c r="H357" s="65" t="s">
        <v>197</v>
      </c>
      <c r="I357" s="65"/>
      <c r="J357" s="17" t="s">
        <v>39</v>
      </c>
      <c r="K357" s="17">
        <v>80</v>
      </c>
      <c r="N357" s="17" t="s">
        <v>40</v>
      </c>
      <c r="O357" s="19" t="s">
        <v>141</v>
      </c>
      <c r="P357" s="19">
        <v>194</v>
      </c>
      <c r="Q357" s="17">
        <v>196</v>
      </c>
      <c r="R357" s="17">
        <f t="shared" si="16"/>
        <v>-2</v>
      </c>
      <c r="S357" s="17">
        <v>6055</v>
      </c>
      <c r="T357" s="19" t="s">
        <v>42</v>
      </c>
      <c r="U357" s="17" t="s">
        <v>267</v>
      </c>
      <c r="V357" s="67">
        <v>44515</v>
      </c>
      <c r="W357" s="17" t="s">
        <v>44</v>
      </c>
      <c r="Y357" s="68">
        <v>44531</v>
      </c>
      <c r="Z357" s="17" t="s">
        <v>151</v>
      </c>
      <c r="AA357" s="17" t="s">
        <v>46</v>
      </c>
      <c r="AB357" s="16" t="s">
        <v>153</v>
      </c>
      <c r="AC357" s="47">
        <v>44538</v>
      </c>
      <c r="AD357" s="65">
        <v>1238</v>
      </c>
      <c r="AE357" s="16" t="s">
        <v>48</v>
      </c>
    </row>
    <row r="358" s="17" customFormat="1" hidden="1" spans="1:37">
      <c r="A358" s="17" t="s">
        <v>34</v>
      </c>
      <c r="B358" s="19">
        <v>737</v>
      </c>
      <c r="C358" s="64">
        <v>44508</v>
      </c>
      <c r="D358" s="17" t="s">
        <v>35</v>
      </c>
      <c r="E358" s="17" t="s">
        <v>148</v>
      </c>
      <c r="F358" s="17" t="s">
        <v>37</v>
      </c>
      <c r="H358" s="65" t="s">
        <v>197</v>
      </c>
      <c r="I358" s="65"/>
      <c r="J358" s="17" t="s">
        <v>39</v>
      </c>
      <c r="K358" s="17">
        <v>120</v>
      </c>
      <c r="N358" s="17" t="s">
        <v>40</v>
      </c>
      <c r="O358" s="19" t="s">
        <v>84</v>
      </c>
      <c r="P358" s="19">
        <v>490</v>
      </c>
      <c r="Q358" s="17">
        <v>492</v>
      </c>
      <c r="R358" s="17">
        <f t="shared" si="16"/>
        <v>-2</v>
      </c>
      <c r="S358" s="17">
        <v>6055</v>
      </c>
      <c r="T358" s="19" t="s">
        <v>42</v>
      </c>
      <c r="U358" s="17" t="s">
        <v>267</v>
      </c>
      <c r="V358" s="67">
        <v>44515</v>
      </c>
      <c r="W358" s="17" t="s">
        <v>44</v>
      </c>
      <c r="Y358" s="68">
        <v>44531</v>
      </c>
      <c r="Z358" s="17" t="s">
        <v>151</v>
      </c>
      <c r="AA358" s="17" t="s">
        <v>46</v>
      </c>
      <c r="AB358" s="16" t="s">
        <v>153</v>
      </c>
      <c r="AC358" s="47">
        <v>44538</v>
      </c>
      <c r="AD358" s="65">
        <v>1238</v>
      </c>
      <c r="AE358" s="16" t="s">
        <v>48</v>
      </c>
    </row>
    <row r="359" s="17" customFormat="1" hidden="1" spans="1:37">
      <c r="A359" s="17" t="s">
        <v>34</v>
      </c>
      <c r="B359" s="19">
        <v>737</v>
      </c>
      <c r="C359" s="64">
        <v>44508</v>
      </c>
      <c r="D359" s="17" t="s">
        <v>35</v>
      </c>
      <c r="E359" s="17" t="s">
        <v>148</v>
      </c>
      <c r="F359" s="17" t="s">
        <v>37</v>
      </c>
      <c r="H359" s="65" t="s">
        <v>197</v>
      </c>
      <c r="I359" s="65"/>
      <c r="J359" s="17" t="s">
        <v>39</v>
      </c>
      <c r="K359" s="17">
        <v>125</v>
      </c>
      <c r="N359" s="17" t="s">
        <v>40</v>
      </c>
      <c r="O359" s="19" t="s">
        <v>84</v>
      </c>
      <c r="P359" s="19">
        <v>470</v>
      </c>
      <c r="Q359" s="17">
        <v>474</v>
      </c>
      <c r="R359" s="17">
        <f t="shared" si="16"/>
        <v>-4</v>
      </c>
      <c r="S359" s="17">
        <v>6055</v>
      </c>
      <c r="T359" s="19" t="s">
        <v>42</v>
      </c>
      <c r="U359" s="17" t="s">
        <v>267</v>
      </c>
      <c r="V359" s="67">
        <v>44515</v>
      </c>
      <c r="W359" s="17" t="s">
        <v>44</v>
      </c>
      <c r="Y359" s="68">
        <v>44531</v>
      </c>
      <c r="Z359" s="17" t="s">
        <v>151</v>
      </c>
      <c r="AA359" s="17" t="s">
        <v>46</v>
      </c>
      <c r="AB359" s="16" t="s">
        <v>153</v>
      </c>
      <c r="AC359" s="47">
        <v>44538</v>
      </c>
      <c r="AD359" s="65">
        <v>1238</v>
      </c>
      <c r="AE359" s="16" t="s">
        <v>48</v>
      </c>
    </row>
    <row r="360" s="17" customFormat="1" hidden="1" spans="1:37">
      <c r="A360" s="17" t="s">
        <v>34</v>
      </c>
      <c r="B360" s="19">
        <v>737</v>
      </c>
      <c r="C360" s="64">
        <v>44508</v>
      </c>
      <c r="D360" s="17" t="s">
        <v>35</v>
      </c>
      <c r="E360" s="17" t="s">
        <v>148</v>
      </c>
      <c r="F360" s="17" t="s">
        <v>37</v>
      </c>
      <c r="H360" s="65" t="s">
        <v>197</v>
      </c>
      <c r="I360" s="65"/>
      <c r="J360" s="17" t="s">
        <v>39</v>
      </c>
      <c r="K360" s="17">
        <v>150</v>
      </c>
      <c r="N360" s="17" t="s">
        <v>40</v>
      </c>
      <c r="O360" s="19" t="s">
        <v>84</v>
      </c>
      <c r="P360" s="19">
        <v>669</v>
      </c>
      <c r="Q360" s="17">
        <v>669</v>
      </c>
      <c r="R360" s="17">
        <f t="shared" si="16"/>
        <v>0</v>
      </c>
      <c r="S360" s="17">
        <v>6055</v>
      </c>
      <c r="T360" s="19" t="s">
        <v>42</v>
      </c>
      <c r="U360" s="17" t="s">
        <v>267</v>
      </c>
      <c r="V360" s="67">
        <v>44515</v>
      </c>
      <c r="W360" s="17" t="s">
        <v>44</v>
      </c>
      <c r="Y360" s="68">
        <v>44531</v>
      </c>
      <c r="Z360" s="17" t="s">
        <v>151</v>
      </c>
      <c r="AA360" s="17" t="s">
        <v>46</v>
      </c>
      <c r="AB360" s="16" t="s">
        <v>153</v>
      </c>
      <c r="AC360" s="47">
        <v>44538</v>
      </c>
      <c r="AD360" s="65">
        <v>1238</v>
      </c>
      <c r="AE360" s="16" t="s">
        <v>48</v>
      </c>
    </row>
    <row r="361" s="17" customFormat="1" hidden="1" spans="1:37">
      <c r="A361" s="17" t="s">
        <v>34</v>
      </c>
      <c r="B361" s="19">
        <v>738</v>
      </c>
      <c r="C361" s="64">
        <v>44522</v>
      </c>
      <c r="D361" s="17" t="s">
        <v>52</v>
      </c>
      <c r="E361" s="17" t="s">
        <v>187</v>
      </c>
      <c r="F361" s="17" t="s">
        <v>54</v>
      </c>
      <c r="H361" s="65">
        <v>1.2311</v>
      </c>
      <c r="I361" s="65"/>
      <c r="J361" s="17" t="s">
        <v>82</v>
      </c>
      <c r="K361" s="106">
        <v>205</v>
      </c>
      <c r="L361" s="96">
        <v>32</v>
      </c>
      <c r="M361" s="17">
        <v>5000</v>
      </c>
      <c r="N361" s="17" t="s">
        <v>66</v>
      </c>
      <c r="O361" s="19" t="s">
        <v>141</v>
      </c>
      <c r="P361" s="107">
        <v>232</v>
      </c>
      <c r="Q361" s="17">
        <v>221</v>
      </c>
      <c r="R361" s="17">
        <f t="shared" si="16"/>
        <v>11</v>
      </c>
      <c r="S361" s="108">
        <v>1310</v>
      </c>
      <c r="T361" s="19" t="s">
        <v>42</v>
      </c>
      <c r="U361" s="17" t="s">
        <v>268</v>
      </c>
      <c r="V361" s="67">
        <v>44524</v>
      </c>
      <c r="W361" s="17" t="s">
        <v>69</v>
      </c>
      <c r="Y361" s="68">
        <v>44562</v>
      </c>
      <c r="Z361" s="17" t="s">
        <v>191</v>
      </c>
      <c r="AA361" s="17" t="s">
        <v>46</v>
      </c>
      <c r="AB361" s="17" t="s">
        <v>269</v>
      </c>
      <c r="AC361" s="66">
        <v>44548</v>
      </c>
      <c r="AD361" s="65">
        <v>1250</v>
      </c>
      <c r="AE361" s="17" t="s">
        <v>74</v>
      </c>
      <c r="AF361" s="17" t="s">
        <v>245</v>
      </c>
      <c r="AH361" s="17" t="s">
        <v>270</v>
      </c>
      <c r="AI361" s="95">
        <f t="shared" ref="AI361:AI398" si="19">114603/1000</f>
        <v>114.603</v>
      </c>
      <c r="AJ361" s="109"/>
      <c r="AK361" s="109"/>
    </row>
    <row r="362" s="17" customFormat="1" hidden="1" spans="1:37">
      <c r="A362" s="17" t="s">
        <v>34</v>
      </c>
      <c r="B362" s="19">
        <v>738</v>
      </c>
      <c r="C362" s="64">
        <v>44522</v>
      </c>
      <c r="D362" s="17" t="s">
        <v>52</v>
      </c>
      <c r="E362" s="17" t="s">
        <v>187</v>
      </c>
      <c r="F362" s="17" t="s">
        <v>54</v>
      </c>
      <c r="H362" s="65">
        <v>1.2311</v>
      </c>
      <c r="I362" s="65"/>
      <c r="J362" s="17" t="s">
        <v>82</v>
      </c>
      <c r="K362" s="106">
        <v>255</v>
      </c>
      <c r="L362" s="96">
        <v>32</v>
      </c>
      <c r="M362" s="17">
        <v>5000</v>
      </c>
      <c r="N362" s="17" t="s">
        <v>66</v>
      </c>
      <c r="O362" s="19" t="s">
        <v>141</v>
      </c>
      <c r="P362" s="107">
        <v>288</v>
      </c>
      <c r="Q362" s="17">
        <v>271</v>
      </c>
      <c r="R362" s="17">
        <f t="shared" si="16"/>
        <v>17</v>
      </c>
      <c r="S362" s="108">
        <v>1310</v>
      </c>
      <c r="T362" s="19" t="s">
        <v>42</v>
      </c>
      <c r="U362" s="17" t="s">
        <v>268</v>
      </c>
      <c r="V362" s="67">
        <v>44524</v>
      </c>
      <c r="W362" s="17" t="s">
        <v>69</v>
      </c>
      <c r="Y362" s="68">
        <v>44562</v>
      </c>
      <c r="Z362" s="17" t="s">
        <v>191</v>
      </c>
      <c r="AA362" s="17" t="s">
        <v>46</v>
      </c>
      <c r="AB362" s="17" t="s">
        <v>269</v>
      </c>
      <c r="AC362" s="66">
        <v>44548</v>
      </c>
      <c r="AD362" s="65">
        <v>1250</v>
      </c>
      <c r="AE362" s="17" t="s">
        <v>74</v>
      </c>
      <c r="AF362" s="17" t="s">
        <v>245</v>
      </c>
      <c r="AH362" s="17" t="s">
        <v>270</v>
      </c>
      <c r="AI362" s="95">
        <f t="shared" si="19"/>
        <v>114.603</v>
      </c>
    </row>
    <row r="363" s="17" customFormat="1" hidden="1" spans="1:37">
      <c r="A363" s="17" t="s">
        <v>34</v>
      </c>
      <c r="B363" s="19">
        <v>738</v>
      </c>
      <c r="C363" s="64">
        <v>44522</v>
      </c>
      <c r="D363" s="17" t="s">
        <v>52</v>
      </c>
      <c r="E363" s="17" t="s">
        <v>187</v>
      </c>
      <c r="F363" s="17" t="s">
        <v>54</v>
      </c>
      <c r="H363" s="65">
        <v>1.2311</v>
      </c>
      <c r="I363" s="65"/>
      <c r="J363" s="17" t="s">
        <v>82</v>
      </c>
      <c r="K363" s="106">
        <v>303</v>
      </c>
      <c r="L363" s="96">
        <v>32</v>
      </c>
      <c r="M363" s="17">
        <v>5000</v>
      </c>
      <c r="N363" s="17" t="s">
        <v>66</v>
      </c>
      <c r="O363" s="19" t="s">
        <v>141</v>
      </c>
      <c r="P363" s="107">
        <v>1028</v>
      </c>
      <c r="Q363" s="17">
        <v>969</v>
      </c>
      <c r="R363" s="17">
        <f t="shared" si="16"/>
        <v>59</v>
      </c>
      <c r="S363" s="108">
        <v>1310</v>
      </c>
      <c r="T363" s="19" t="s">
        <v>42</v>
      </c>
      <c r="U363" s="17" t="s">
        <v>268</v>
      </c>
      <c r="V363" s="67">
        <v>44524</v>
      </c>
      <c r="W363" s="17" t="s">
        <v>69</v>
      </c>
      <c r="Y363" s="68">
        <v>44562</v>
      </c>
      <c r="Z363" s="17" t="s">
        <v>191</v>
      </c>
      <c r="AA363" s="17" t="s">
        <v>46</v>
      </c>
      <c r="AB363" s="17" t="s">
        <v>269</v>
      </c>
      <c r="AC363" s="66">
        <v>44548</v>
      </c>
      <c r="AD363" s="65">
        <v>1250</v>
      </c>
      <c r="AE363" s="17" t="s">
        <v>74</v>
      </c>
      <c r="AF363" s="17" t="s">
        <v>245</v>
      </c>
      <c r="AH363" s="17" t="s">
        <v>270</v>
      </c>
      <c r="AI363" s="95">
        <f t="shared" si="19"/>
        <v>114.603</v>
      </c>
    </row>
    <row r="364" s="17" customFormat="1" hidden="1" spans="1:37">
      <c r="A364" s="17" t="s">
        <v>34</v>
      </c>
      <c r="B364" s="19">
        <v>738</v>
      </c>
      <c r="C364" s="64">
        <v>44522</v>
      </c>
      <c r="D364" s="17" t="s">
        <v>52</v>
      </c>
      <c r="E364" s="17" t="s">
        <v>187</v>
      </c>
      <c r="F364" s="17" t="s">
        <v>54</v>
      </c>
      <c r="H364" s="65">
        <v>1.2311</v>
      </c>
      <c r="I364" s="65"/>
      <c r="J364" s="17" t="s">
        <v>82</v>
      </c>
      <c r="K364" s="106">
        <v>405</v>
      </c>
      <c r="L364" s="96">
        <v>32</v>
      </c>
      <c r="M364" s="17">
        <v>5000</v>
      </c>
      <c r="N364" s="17" t="s">
        <v>66</v>
      </c>
      <c r="O364" s="19" t="s">
        <v>141</v>
      </c>
      <c r="P364" s="107">
        <v>916</v>
      </c>
      <c r="Q364" s="17">
        <v>871</v>
      </c>
      <c r="R364" s="17">
        <f t="shared" si="16"/>
        <v>45</v>
      </c>
      <c r="S364" s="108">
        <v>1310</v>
      </c>
      <c r="T364" s="19" t="s">
        <v>42</v>
      </c>
      <c r="U364" s="17" t="s">
        <v>268</v>
      </c>
      <c r="V364" s="67">
        <v>44524</v>
      </c>
      <c r="W364" s="17" t="s">
        <v>69</v>
      </c>
      <c r="Y364" s="68">
        <v>44562</v>
      </c>
      <c r="Z364" s="17" t="s">
        <v>191</v>
      </c>
      <c r="AA364" s="17" t="s">
        <v>46</v>
      </c>
      <c r="AB364" s="17" t="s">
        <v>269</v>
      </c>
      <c r="AC364" s="66">
        <v>44548</v>
      </c>
      <c r="AD364" s="65">
        <v>1250</v>
      </c>
      <c r="AE364" s="17" t="s">
        <v>74</v>
      </c>
      <c r="AF364" s="17" t="s">
        <v>245</v>
      </c>
      <c r="AH364" s="17" t="s">
        <v>270</v>
      </c>
      <c r="AI364" s="95">
        <f t="shared" si="19"/>
        <v>114.603</v>
      </c>
    </row>
    <row r="365" s="17" customFormat="1" hidden="1" spans="1:37">
      <c r="A365" s="17" t="s">
        <v>34</v>
      </c>
      <c r="B365" s="19">
        <v>738</v>
      </c>
      <c r="C365" s="64">
        <v>44522</v>
      </c>
      <c r="D365" s="17" t="s">
        <v>52</v>
      </c>
      <c r="E365" s="17" t="s">
        <v>187</v>
      </c>
      <c r="F365" s="17" t="s">
        <v>54</v>
      </c>
      <c r="H365" s="65">
        <v>1.2311</v>
      </c>
      <c r="I365" s="65"/>
      <c r="J365" s="17" t="s">
        <v>82</v>
      </c>
      <c r="K365" s="106">
        <v>455</v>
      </c>
      <c r="L365" s="96">
        <v>32</v>
      </c>
      <c r="M365" s="17">
        <v>5000</v>
      </c>
      <c r="N365" s="17" t="s">
        <v>66</v>
      </c>
      <c r="O365" s="19" t="s">
        <v>141</v>
      </c>
      <c r="P365" s="107">
        <v>514</v>
      </c>
      <c r="Q365" s="17">
        <v>535</v>
      </c>
      <c r="R365" s="17">
        <f t="shared" ref="R365:R390" si="20">+P365-Q365</f>
        <v>-21</v>
      </c>
      <c r="S365" s="108">
        <v>1310</v>
      </c>
      <c r="T365" s="19" t="s">
        <v>42</v>
      </c>
      <c r="U365" s="17" t="s">
        <v>268</v>
      </c>
      <c r="V365" s="67">
        <v>44524</v>
      </c>
      <c r="W365" s="17" t="s">
        <v>69</v>
      </c>
      <c r="Y365" s="68">
        <v>44562</v>
      </c>
      <c r="Z365" s="17" t="s">
        <v>191</v>
      </c>
      <c r="AA365" s="17" t="s">
        <v>46</v>
      </c>
      <c r="AB365" s="17" t="s">
        <v>269</v>
      </c>
      <c r="AC365" s="66">
        <v>44548</v>
      </c>
      <c r="AD365" s="65">
        <v>1250</v>
      </c>
      <c r="AE365" s="17" t="s">
        <v>74</v>
      </c>
      <c r="AF365" s="17" t="s">
        <v>245</v>
      </c>
      <c r="AH365" s="17" t="s">
        <v>270</v>
      </c>
      <c r="AI365" s="95">
        <f t="shared" si="19"/>
        <v>114.603</v>
      </c>
    </row>
    <row r="366" s="17" customFormat="1" hidden="1" spans="1:37">
      <c r="B366" s="19">
        <v>738</v>
      </c>
      <c r="C366" s="64">
        <v>44522</v>
      </c>
      <c r="D366" s="17" t="s">
        <v>52</v>
      </c>
      <c r="E366" s="17" t="s">
        <v>187</v>
      </c>
      <c r="F366" s="17" t="s">
        <v>54</v>
      </c>
      <c r="H366" s="65">
        <v>1.2311</v>
      </c>
      <c r="I366" s="65"/>
      <c r="J366" s="17" t="s">
        <v>82</v>
      </c>
      <c r="K366" s="106">
        <v>505</v>
      </c>
      <c r="L366" s="96">
        <v>32</v>
      </c>
      <c r="M366" s="17">
        <v>5000</v>
      </c>
      <c r="N366" s="17" t="s">
        <v>66</v>
      </c>
      <c r="O366" s="19" t="s">
        <v>141</v>
      </c>
      <c r="P366" s="107">
        <v>571</v>
      </c>
      <c r="R366" s="17">
        <f t="shared" si="20"/>
        <v>571</v>
      </c>
      <c r="S366" s="108">
        <v>1310</v>
      </c>
      <c r="T366" s="19" t="s">
        <v>42</v>
      </c>
      <c r="U366" s="17" t="s">
        <v>268</v>
      </c>
      <c r="V366" s="67">
        <v>44524</v>
      </c>
      <c r="W366" s="17" t="s">
        <v>69</v>
      </c>
      <c r="Y366" s="68">
        <v>44562</v>
      </c>
      <c r="Z366" s="17" t="s">
        <v>191</v>
      </c>
      <c r="AA366" s="17" t="s">
        <v>46</v>
      </c>
      <c r="AC366" s="66"/>
      <c r="AD366" s="65"/>
      <c r="AE366" s="17" t="s">
        <v>74</v>
      </c>
      <c r="AF366" s="17" t="s">
        <v>245</v>
      </c>
      <c r="AH366" s="17" t="s">
        <v>270</v>
      </c>
      <c r="AI366" s="95">
        <f t="shared" si="19"/>
        <v>114.603</v>
      </c>
      <c r="AK366" s="17" t="s">
        <v>271</v>
      </c>
    </row>
    <row r="367" s="17" customFormat="1" hidden="1" spans="1:37">
      <c r="A367" s="17" t="s">
        <v>34</v>
      </c>
      <c r="B367" s="19">
        <v>738</v>
      </c>
      <c r="C367" s="64">
        <v>44522</v>
      </c>
      <c r="D367" s="17" t="s">
        <v>52</v>
      </c>
      <c r="E367" s="17" t="s">
        <v>187</v>
      </c>
      <c r="F367" s="17" t="s">
        <v>54</v>
      </c>
      <c r="H367" s="65">
        <v>1.2311</v>
      </c>
      <c r="I367" s="65"/>
      <c r="J367" s="17" t="s">
        <v>82</v>
      </c>
      <c r="K367" s="106">
        <v>555</v>
      </c>
      <c r="L367" s="96">
        <v>32</v>
      </c>
      <c r="M367" s="17">
        <v>5000</v>
      </c>
      <c r="N367" s="17" t="s">
        <v>66</v>
      </c>
      <c r="O367" s="19" t="s">
        <v>141</v>
      </c>
      <c r="P367" s="107">
        <v>627</v>
      </c>
      <c r="Q367" s="17">
        <v>1296</v>
      </c>
      <c r="R367" s="17">
        <f t="shared" si="20"/>
        <v>-669</v>
      </c>
      <c r="S367" s="108">
        <v>1310</v>
      </c>
      <c r="T367" s="19" t="s">
        <v>42</v>
      </c>
      <c r="U367" s="17" t="s">
        <v>268</v>
      </c>
      <c r="V367" s="67">
        <v>44524</v>
      </c>
      <c r="W367" s="17" t="s">
        <v>69</v>
      </c>
      <c r="Y367" s="68">
        <v>44562</v>
      </c>
      <c r="Z367" s="17" t="s">
        <v>191</v>
      </c>
      <c r="AA367" s="17" t="s">
        <v>46</v>
      </c>
      <c r="AB367" s="17" t="s">
        <v>269</v>
      </c>
      <c r="AC367" s="66">
        <v>44548</v>
      </c>
      <c r="AD367" s="65">
        <v>1250</v>
      </c>
      <c r="AE367" s="17" t="s">
        <v>74</v>
      </c>
      <c r="AF367" s="17" t="s">
        <v>245</v>
      </c>
      <c r="AH367" s="17" t="s">
        <v>270</v>
      </c>
      <c r="AI367" s="95">
        <f t="shared" si="19"/>
        <v>114.603</v>
      </c>
    </row>
    <row r="368" s="17" customFormat="1" hidden="1" spans="1:37">
      <c r="B368" s="19">
        <v>738</v>
      </c>
      <c r="C368" s="64">
        <v>44522</v>
      </c>
      <c r="D368" s="17" t="s">
        <v>52</v>
      </c>
      <c r="E368" s="17" t="s">
        <v>187</v>
      </c>
      <c r="F368" s="17" t="s">
        <v>54</v>
      </c>
      <c r="H368" s="65">
        <v>1.2311</v>
      </c>
      <c r="I368" s="65"/>
      <c r="J368" s="17" t="s">
        <v>82</v>
      </c>
      <c r="K368" s="106">
        <v>605</v>
      </c>
      <c r="L368" s="96">
        <v>32</v>
      </c>
      <c r="M368" s="17">
        <v>5000</v>
      </c>
      <c r="N368" s="17" t="s">
        <v>66</v>
      </c>
      <c r="O368" s="19" t="s">
        <v>141</v>
      </c>
      <c r="P368" s="107">
        <v>684</v>
      </c>
      <c r="R368" s="17">
        <f t="shared" si="20"/>
        <v>684</v>
      </c>
      <c r="S368" s="108">
        <v>1310</v>
      </c>
      <c r="T368" s="19" t="s">
        <v>42</v>
      </c>
      <c r="U368" s="17" t="s">
        <v>268</v>
      </c>
      <c r="V368" s="67">
        <v>44524</v>
      </c>
      <c r="W368" s="17" t="s">
        <v>69</v>
      </c>
      <c r="Y368" s="68">
        <v>44562</v>
      </c>
      <c r="Z368" s="17" t="s">
        <v>191</v>
      </c>
      <c r="AA368" s="17" t="s">
        <v>46</v>
      </c>
      <c r="AC368" s="66"/>
      <c r="AD368" s="65"/>
      <c r="AE368" s="17" t="s">
        <v>74</v>
      </c>
      <c r="AF368" s="17" t="s">
        <v>245</v>
      </c>
      <c r="AH368" s="17" t="s">
        <v>270</v>
      </c>
      <c r="AI368" s="95">
        <f t="shared" si="19"/>
        <v>114.603</v>
      </c>
      <c r="AK368" s="17" t="s">
        <v>271</v>
      </c>
    </row>
    <row r="369" s="17" customFormat="1" hidden="1" spans="1:35">
      <c r="A369" s="17" t="s">
        <v>34</v>
      </c>
      <c r="B369" s="19">
        <v>738</v>
      </c>
      <c r="C369" s="64">
        <v>44522</v>
      </c>
      <c r="D369" s="17" t="s">
        <v>52</v>
      </c>
      <c r="E369" s="17" t="s">
        <v>187</v>
      </c>
      <c r="F369" s="17" t="s">
        <v>54</v>
      </c>
      <c r="H369" s="65">
        <v>1.2311</v>
      </c>
      <c r="I369" s="65"/>
      <c r="J369" s="17" t="s">
        <v>82</v>
      </c>
      <c r="K369" s="106">
        <v>205</v>
      </c>
      <c r="L369" s="96">
        <v>35</v>
      </c>
      <c r="M369" s="17">
        <v>5000</v>
      </c>
      <c r="N369" s="17" t="s">
        <v>66</v>
      </c>
      <c r="O369" s="19" t="s">
        <v>141</v>
      </c>
      <c r="P369" s="107">
        <v>253</v>
      </c>
      <c r="Q369" s="17">
        <v>284</v>
      </c>
      <c r="R369" s="17">
        <f t="shared" si="20"/>
        <v>-31</v>
      </c>
      <c r="S369" s="108">
        <v>1310</v>
      </c>
      <c r="T369" s="19" t="s">
        <v>42</v>
      </c>
      <c r="U369" s="17" t="s">
        <v>268</v>
      </c>
      <c r="V369" s="67">
        <v>44524</v>
      </c>
      <c r="W369" s="17" t="s">
        <v>69</v>
      </c>
      <c r="Y369" s="68">
        <v>44562</v>
      </c>
      <c r="Z369" s="17" t="s">
        <v>191</v>
      </c>
      <c r="AA369" s="17" t="s">
        <v>46</v>
      </c>
      <c r="AB369" s="17" t="s">
        <v>269</v>
      </c>
      <c r="AC369" s="66">
        <v>44548</v>
      </c>
      <c r="AD369" s="65">
        <v>1250</v>
      </c>
      <c r="AE369" s="17" t="s">
        <v>74</v>
      </c>
      <c r="AF369" s="17" t="s">
        <v>245</v>
      </c>
      <c r="AH369" s="17" t="s">
        <v>270</v>
      </c>
      <c r="AI369" s="95">
        <f t="shared" si="19"/>
        <v>114.603</v>
      </c>
    </row>
    <row r="370" s="17" customFormat="1" hidden="1" spans="1:35">
      <c r="A370" s="17" t="s">
        <v>34</v>
      </c>
      <c r="B370" s="19">
        <v>738</v>
      </c>
      <c r="C370" s="64">
        <v>44522</v>
      </c>
      <c r="D370" s="17" t="s">
        <v>52</v>
      </c>
      <c r="E370" s="17" t="s">
        <v>187</v>
      </c>
      <c r="F370" s="17" t="s">
        <v>54</v>
      </c>
      <c r="H370" s="65">
        <v>1.2311</v>
      </c>
      <c r="I370" s="65"/>
      <c r="J370" s="17" t="s">
        <v>82</v>
      </c>
      <c r="K370" s="106">
        <v>255</v>
      </c>
      <c r="L370" s="96">
        <v>35</v>
      </c>
      <c r="M370" s="17">
        <v>5000</v>
      </c>
      <c r="N370" s="17" t="s">
        <v>66</v>
      </c>
      <c r="O370" s="19" t="s">
        <v>141</v>
      </c>
      <c r="P370" s="107">
        <v>315</v>
      </c>
      <c r="Q370" s="17">
        <v>351</v>
      </c>
      <c r="R370" s="17">
        <f t="shared" si="20"/>
        <v>-36</v>
      </c>
      <c r="S370" s="108">
        <v>1310</v>
      </c>
      <c r="T370" s="19" t="s">
        <v>42</v>
      </c>
      <c r="U370" s="17" t="s">
        <v>268</v>
      </c>
      <c r="V370" s="67">
        <v>44524</v>
      </c>
      <c r="W370" s="17" t="s">
        <v>69</v>
      </c>
      <c r="Y370" s="68">
        <v>44562</v>
      </c>
      <c r="Z370" s="17" t="s">
        <v>191</v>
      </c>
      <c r="AA370" s="17" t="s">
        <v>46</v>
      </c>
      <c r="AB370" s="17" t="s">
        <v>269</v>
      </c>
      <c r="AC370" s="66">
        <v>44548</v>
      </c>
      <c r="AD370" s="65">
        <v>1250</v>
      </c>
      <c r="AE370" s="17" t="s">
        <v>74</v>
      </c>
      <c r="AF370" s="17" t="s">
        <v>245</v>
      </c>
      <c r="AH370" s="17" t="s">
        <v>270</v>
      </c>
      <c r="AI370" s="95">
        <f t="shared" si="19"/>
        <v>114.603</v>
      </c>
    </row>
    <row r="371" s="17" customFormat="1" hidden="1" spans="1:35">
      <c r="A371" s="17" t="s">
        <v>34</v>
      </c>
      <c r="B371" s="19">
        <v>738</v>
      </c>
      <c r="C371" s="64">
        <v>44522</v>
      </c>
      <c r="D371" s="17" t="s">
        <v>52</v>
      </c>
      <c r="E371" s="17" t="s">
        <v>187</v>
      </c>
      <c r="F371" s="17" t="s">
        <v>54</v>
      </c>
      <c r="H371" s="65">
        <v>1.2311</v>
      </c>
      <c r="I371" s="65"/>
      <c r="J371" s="17" t="s">
        <v>82</v>
      </c>
      <c r="K371" s="106">
        <v>305</v>
      </c>
      <c r="L371" s="96">
        <v>35</v>
      </c>
      <c r="M371" s="17">
        <v>5000</v>
      </c>
      <c r="N371" s="17" t="s">
        <v>66</v>
      </c>
      <c r="O371" s="19" t="s">
        <v>141</v>
      </c>
      <c r="P371" s="107">
        <v>377</v>
      </c>
      <c r="Q371" s="17">
        <v>414</v>
      </c>
      <c r="R371" s="17">
        <f t="shared" si="20"/>
        <v>-37</v>
      </c>
      <c r="S371" s="108">
        <v>1310</v>
      </c>
      <c r="T371" s="19" t="s">
        <v>42</v>
      </c>
      <c r="U371" s="17" t="s">
        <v>268</v>
      </c>
      <c r="V371" s="67">
        <v>44524</v>
      </c>
      <c r="W371" s="17" t="s">
        <v>69</v>
      </c>
      <c r="Y371" s="68">
        <v>44562</v>
      </c>
      <c r="Z371" s="17" t="s">
        <v>191</v>
      </c>
      <c r="AA371" s="17" t="s">
        <v>46</v>
      </c>
      <c r="AB371" s="17" t="s">
        <v>269</v>
      </c>
      <c r="AC371" s="66">
        <v>44548</v>
      </c>
      <c r="AD371" s="65">
        <v>1250</v>
      </c>
      <c r="AE371" s="17" t="s">
        <v>74</v>
      </c>
      <c r="AF371" s="17" t="s">
        <v>245</v>
      </c>
      <c r="AH371" s="17" t="s">
        <v>270</v>
      </c>
      <c r="AI371" s="95">
        <f t="shared" si="19"/>
        <v>114.603</v>
      </c>
    </row>
    <row r="372" s="17" customFormat="1" hidden="1" spans="1:35">
      <c r="A372" s="17" t="s">
        <v>34</v>
      </c>
      <c r="B372" s="19">
        <v>738</v>
      </c>
      <c r="C372" s="64">
        <v>44522</v>
      </c>
      <c r="D372" s="17" t="s">
        <v>52</v>
      </c>
      <c r="E372" s="17" t="s">
        <v>187</v>
      </c>
      <c r="F372" s="17" t="s">
        <v>54</v>
      </c>
      <c r="H372" s="65">
        <v>1.2311</v>
      </c>
      <c r="I372" s="65"/>
      <c r="J372" s="17" t="s">
        <v>82</v>
      </c>
      <c r="K372" s="106">
        <v>355</v>
      </c>
      <c r="L372" s="96">
        <v>35</v>
      </c>
      <c r="M372" s="17">
        <v>5000</v>
      </c>
      <c r="N372" s="17" t="s">
        <v>66</v>
      </c>
      <c r="O372" s="19" t="s">
        <v>141</v>
      </c>
      <c r="P372" s="107">
        <v>439</v>
      </c>
      <c r="Q372" s="17">
        <v>488</v>
      </c>
      <c r="R372" s="17">
        <f t="shared" si="20"/>
        <v>-49</v>
      </c>
      <c r="S372" s="108">
        <v>1310</v>
      </c>
      <c r="T372" s="19" t="s">
        <v>42</v>
      </c>
      <c r="U372" s="17" t="s">
        <v>268</v>
      </c>
      <c r="V372" s="67">
        <v>44524</v>
      </c>
      <c r="W372" s="17" t="s">
        <v>69</v>
      </c>
      <c r="Y372" s="68">
        <v>44562</v>
      </c>
      <c r="Z372" s="17" t="s">
        <v>191</v>
      </c>
      <c r="AA372" s="17" t="s">
        <v>46</v>
      </c>
      <c r="AB372" s="17" t="s">
        <v>269</v>
      </c>
      <c r="AC372" s="66">
        <v>44548</v>
      </c>
      <c r="AD372" s="65">
        <v>1250</v>
      </c>
      <c r="AE372" s="17" t="s">
        <v>74</v>
      </c>
      <c r="AF372" s="17" t="s">
        <v>245</v>
      </c>
      <c r="AH372" s="17" t="s">
        <v>270</v>
      </c>
      <c r="AI372" s="95">
        <f t="shared" si="19"/>
        <v>114.603</v>
      </c>
    </row>
    <row r="373" s="17" customFormat="1" hidden="1" spans="1:35">
      <c r="A373" s="17" t="s">
        <v>34</v>
      </c>
      <c r="B373" s="19">
        <v>738</v>
      </c>
      <c r="C373" s="64">
        <v>44522</v>
      </c>
      <c r="D373" s="17" t="s">
        <v>52</v>
      </c>
      <c r="E373" s="17" t="s">
        <v>187</v>
      </c>
      <c r="F373" s="17" t="s">
        <v>54</v>
      </c>
      <c r="H373" s="65">
        <v>1.2311</v>
      </c>
      <c r="I373" s="65"/>
      <c r="J373" s="17" t="s">
        <v>82</v>
      </c>
      <c r="K373" s="106">
        <v>405</v>
      </c>
      <c r="L373" s="96">
        <v>35</v>
      </c>
      <c r="M373" s="17">
        <v>5000</v>
      </c>
      <c r="N373" s="17" t="s">
        <v>66</v>
      </c>
      <c r="O373" s="19" t="s">
        <v>141</v>
      </c>
      <c r="P373" s="107">
        <v>501</v>
      </c>
      <c r="Q373" s="17">
        <v>557</v>
      </c>
      <c r="R373" s="17">
        <f t="shared" si="20"/>
        <v>-56</v>
      </c>
      <c r="S373" s="108">
        <v>1310</v>
      </c>
      <c r="T373" s="19" t="s">
        <v>42</v>
      </c>
      <c r="U373" s="17" t="s">
        <v>268</v>
      </c>
      <c r="V373" s="67">
        <v>44524</v>
      </c>
      <c r="W373" s="17" t="s">
        <v>69</v>
      </c>
      <c r="Y373" s="68">
        <v>44562</v>
      </c>
      <c r="Z373" s="17" t="s">
        <v>191</v>
      </c>
      <c r="AA373" s="17" t="s">
        <v>46</v>
      </c>
      <c r="AB373" s="17" t="s">
        <v>269</v>
      </c>
      <c r="AC373" s="66">
        <v>44548</v>
      </c>
      <c r="AD373" s="65">
        <v>1250</v>
      </c>
      <c r="AE373" s="17" t="s">
        <v>74</v>
      </c>
      <c r="AF373" s="17" t="s">
        <v>245</v>
      </c>
      <c r="AH373" s="17" t="s">
        <v>270</v>
      </c>
      <c r="AI373" s="95">
        <f t="shared" si="19"/>
        <v>114.603</v>
      </c>
    </row>
    <row r="374" s="17" customFormat="1" hidden="1" spans="1:35">
      <c r="A374" s="17" t="s">
        <v>34</v>
      </c>
      <c r="B374" s="19">
        <v>738</v>
      </c>
      <c r="C374" s="64">
        <v>44522</v>
      </c>
      <c r="D374" s="17" t="s">
        <v>52</v>
      </c>
      <c r="E374" s="17" t="s">
        <v>187</v>
      </c>
      <c r="F374" s="17" t="s">
        <v>54</v>
      </c>
      <c r="H374" s="65">
        <v>1.2311</v>
      </c>
      <c r="I374" s="65"/>
      <c r="J374" s="17" t="s">
        <v>82</v>
      </c>
      <c r="K374" s="106">
        <v>640</v>
      </c>
      <c r="L374" s="96">
        <v>35</v>
      </c>
      <c r="M374" s="17">
        <v>5000</v>
      </c>
      <c r="N374" s="17" t="s">
        <v>66</v>
      </c>
      <c r="O374" s="19" t="s">
        <v>141</v>
      </c>
      <c r="P374" s="107">
        <v>791</v>
      </c>
      <c r="Q374" s="17">
        <v>879</v>
      </c>
      <c r="R374" s="17">
        <f t="shared" si="20"/>
        <v>-88</v>
      </c>
      <c r="S374" s="108">
        <v>1310</v>
      </c>
      <c r="T374" s="19" t="s">
        <v>42</v>
      </c>
      <c r="U374" s="17" t="s">
        <v>268</v>
      </c>
      <c r="V374" s="67">
        <v>44524</v>
      </c>
      <c r="W374" s="17" t="s">
        <v>69</v>
      </c>
      <c r="Y374" s="68">
        <v>44562</v>
      </c>
      <c r="Z374" s="17" t="s">
        <v>191</v>
      </c>
      <c r="AA374" s="17" t="s">
        <v>46</v>
      </c>
      <c r="AB374" s="17" t="s">
        <v>269</v>
      </c>
      <c r="AC374" s="66">
        <v>44548</v>
      </c>
      <c r="AD374" s="65">
        <v>1250</v>
      </c>
      <c r="AE374" s="17" t="s">
        <v>74</v>
      </c>
      <c r="AF374" s="17" t="s">
        <v>245</v>
      </c>
      <c r="AH374" s="17" t="s">
        <v>270</v>
      </c>
      <c r="AI374" s="95">
        <f t="shared" si="19"/>
        <v>114.603</v>
      </c>
    </row>
    <row r="375" s="17" customFormat="1" hidden="1" spans="1:35">
      <c r="A375" s="17" t="s">
        <v>34</v>
      </c>
      <c r="B375" s="19">
        <v>738</v>
      </c>
      <c r="C375" s="64">
        <v>44522</v>
      </c>
      <c r="D375" s="17" t="s">
        <v>52</v>
      </c>
      <c r="E375" s="17" t="s">
        <v>187</v>
      </c>
      <c r="F375" s="17" t="s">
        <v>54</v>
      </c>
      <c r="H375" s="65">
        <v>1.2311</v>
      </c>
      <c r="I375" s="65"/>
      <c r="J375" s="17" t="s">
        <v>82</v>
      </c>
      <c r="K375" s="106">
        <v>205</v>
      </c>
      <c r="L375" s="96">
        <v>40</v>
      </c>
      <c r="M375" s="17">
        <v>5000</v>
      </c>
      <c r="N375" s="17" t="s">
        <v>66</v>
      </c>
      <c r="O375" s="19" t="s">
        <v>141</v>
      </c>
      <c r="P375" s="107">
        <v>1448</v>
      </c>
      <c r="Q375" s="17">
        <v>1584</v>
      </c>
      <c r="R375" s="17">
        <f t="shared" si="20"/>
        <v>-136</v>
      </c>
      <c r="S375" s="108">
        <v>1310</v>
      </c>
      <c r="T375" s="19" t="s">
        <v>42</v>
      </c>
      <c r="U375" s="17" t="s">
        <v>268</v>
      </c>
      <c r="V375" s="67">
        <v>44524</v>
      </c>
      <c r="W375" s="17" t="s">
        <v>69</v>
      </c>
      <c r="Y375" s="68">
        <v>44562</v>
      </c>
      <c r="Z375" s="17" t="s">
        <v>191</v>
      </c>
      <c r="AA375" s="17" t="s">
        <v>46</v>
      </c>
      <c r="AB375" s="17" t="s">
        <v>269</v>
      </c>
      <c r="AC375" s="66">
        <v>44548</v>
      </c>
      <c r="AD375" s="65">
        <v>1250</v>
      </c>
      <c r="AE375" s="17" t="s">
        <v>74</v>
      </c>
      <c r="AF375" s="17" t="s">
        <v>245</v>
      </c>
      <c r="AH375" s="17" t="s">
        <v>270</v>
      </c>
      <c r="AI375" s="95">
        <f t="shared" si="19"/>
        <v>114.603</v>
      </c>
    </row>
    <row r="376" s="17" customFormat="1" hidden="1" spans="1:35">
      <c r="A376" s="17" t="s">
        <v>34</v>
      </c>
      <c r="B376" s="19">
        <v>738</v>
      </c>
      <c r="C376" s="64">
        <v>44522</v>
      </c>
      <c r="D376" s="17" t="s">
        <v>52</v>
      </c>
      <c r="E376" s="17" t="s">
        <v>187</v>
      </c>
      <c r="F376" s="17" t="s">
        <v>54</v>
      </c>
      <c r="H376" s="65">
        <v>1.2311</v>
      </c>
      <c r="I376" s="65"/>
      <c r="J376" s="17" t="s">
        <v>82</v>
      </c>
      <c r="K376" s="106">
        <v>255</v>
      </c>
      <c r="L376" s="96">
        <v>40</v>
      </c>
      <c r="M376" s="17">
        <v>5000</v>
      </c>
      <c r="N376" s="17" t="s">
        <v>66</v>
      </c>
      <c r="O376" s="19" t="s">
        <v>141</v>
      </c>
      <c r="P376" s="107">
        <v>1441</v>
      </c>
      <c r="Q376" s="17">
        <v>1570</v>
      </c>
      <c r="R376" s="17">
        <f t="shared" si="20"/>
        <v>-129</v>
      </c>
      <c r="S376" s="108">
        <v>1310</v>
      </c>
      <c r="T376" s="19" t="s">
        <v>42</v>
      </c>
      <c r="U376" s="17" t="s">
        <v>268</v>
      </c>
      <c r="V376" s="67">
        <v>44524</v>
      </c>
      <c r="W376" s="17" t="s">
        <v>69</v>
      </c>
      <c r="Y376" s="68">
        <v>44562</v>
      </c>
      <c r="Z376" s="17" t="s">
        <v>191</v>
      </c>
      <c r="AA376" s="17" t="s">
        <v>46</v>
      </c>
      <c r="AB376" s="17" t="s">
        <v>269</v>
      </c>
      <c r="AC376" s="66">
        <v>44548</v>
      </c>
      <c r="AD376" s="65">
        <v>1250</v>
      </c>
      <c r="AE376" s="17" t="s">
        <v>74</v>
      </c>
      <c r="AF376" s="17" t="s">
        <v>245</v>
      </c>
      <c r="AH376" s="17" t="s">
        <v>270</v>
      </c>
      <c r="AI376" s="95">
        <f t="shared" si="19"/>
        <v>114.603</v>
      </c>
    </row>
    <row r="377" s="17" customFormat="1" hidden="1" spans="1:35">
      <c r="A377" s="17" t="s">
        <v>34</v>
      </c>
      <c r="B377" s="19">
        <v>738</v>
      </c>
      <c r="C377" s="64">
        <v>44522</v>
      </c>
      <c r="D377" s="17" t="s">
        <v>52</v>
      </c>
      <c r="E377" s="17" t="s">
        <v>187</v>
      </c>
      <c r="F377" s="17" t="s">
        <v>54</v>
      </c>
      <c r="H377" s="65">
        <v>1.2311</v>
      </c>
      <c r="I377" s="65"/>
      <c r="J377" s="17" t="s">
        <v>82</v>
      </c>
      <c r="K377" s="106">
        <v>305</v>
      </c>
      <c r="L377" s="96">
        <v>40</v>
      </c>
      <c r="M377" s="17">
        <v>5000</v>
      </c>
      <c r="N377" s="17" t="s">
        <v>66</v>
      </c>
      <c r="O377" s="19" t="s">
        <v>141</v>
      </c>
      <c r="P377" s="107">
        <v>2155</v>
      </c>
      <c r="Q377" s="17">
        <v>2356</v>
      </c>
      <c r="R377" s="17">
        <f t="shared" si="20"/>
        <v>-201</v>
      </c>
      <c r="S377" s="108">
        <v>1310</v>
      </c>
      <c r="T377" s="19" t="s">
        <v>42</v>
      </c>
      <c r="U377" s="17" t="s">
        <v>268</v>
      </c>
      <c r="V377" s="67">
        <v>44524</v>
      </c>
      <c r="W377" s="17" t="s">
        <v>69</v>
      </c>
      <c r="Y377" s="68">
        <v>44562</v>
      </c>
      <c r="Z377" s="17" t="s">
        <v>191</v>
      </c>
      <c r="AA377" s="17" t="s">
        <v>46</v>
      </c>
      <c r="AB377" s="17" t="s">
        <v>269</v>
      </c>
      <c r="AC377" s="66">
        <v>44548</v>
      </c>
      <c r="AD377" s="65">
        <v>1250</v>
      </c>
      <c r="AE377" s="17" t="s">
        <v>74</v>
      </c>
      <c r="AF377" s="17" t="s">
        <v>245</v>
      </c>
      <c r="AH377" s="17" t="s">
        <v>270</v>
      </c>
      <c r="AI377" s="95">
        <f t="shared" si="19"/>
        <v>114.603</v>
      </c>
    </row>
    <row r="378" s="17" customFormat="1" hidden="1" spans="1:35">
      <c r="A378" s="17" t="s">
        <v>34</v>
      </c>
      <c r="B378" s="19">
        <v>738</v>
      </c>
      <c r="C378" s="64">
        <v>44522</v>
      </c>
      <c r="D378" s="17" t="s">
        <v>52</v>
      </c>
      <c r="E378" s="17" t="s">
        <v>187</v>
      </c>
      <c r="F378" s="17" t="s">
        <v>54</v>
      </c>
      <c r="H378" s="65">
        <v>1.2311</v>
      </c>
      <c r="I378" s="65"/>
      <c r="J378" s="17" t="s">
        <v>82</v>
      </c>
      <c r="K378" s="106">
        <v>355</v>
      </c>
      <c r="L378" s="96">
        <v>40</v>
      </c>
      <c r="M378" s="17">
        <v>5000</v>
      </c>
      <c r="N378" s="17" t="s">
        <v>66</v>
      </c>
      <c r="O378" s="19" t="s">
        <v>141</v>
      </c>
      <c r="P378" s="107">
        <v>2006</v>
      </c>
      <c r="Q378" s="17">
        <v>2190</v>
      </c>
      <c r="R378" s="17">
        <f t="shared" si="20"/>
        <v>-184</v>
      </c>
      <c r="S378" s="108">
        <v>1310</v>
      </c>
      <c r="T378" s="19" t="s">
        <v>42</v>
      </c>
      <c r="U378" s="17" t="s">
        <v>268</v>
      </c>
      <c r="V378" s="67">
        <v>44524</v>
      </c>
      <c r="W378" s="17" t="s">
        <v>69</v>
      </c>
      <c r="Y378" s="68">
        <v>44562</v>
      </c>
      <c r="Z378" s="17" t="s">
        <v>191</v>
      </c>
      <c r="AA378" s="17" t="s">
        <v>46</v>
      </c>
      <c r="AB378" s="17" t="s">
        <v>269</v>
      </c>
      <c r="AC378" s="66">
        <v>44548</v>
      </c>
      <c r="AD378" s="65">
        <v>1250</v>
      </c>
      <c r="AE378" s="17" t="s">
        <v>74</v>
      </c>
      <c r="AF378" s="17" t="s">
        <v>245</v>
      </c>
      <c r="AH378" s="17" t="s">
        <v>270</v>
      </c>
      <c r="AI378" s="95">
        <f t="shared" si="19"/>
        <v>114.603</v>
      </c>
    </row>
    <row r="379" s="17" customFormat="1" hidden="1" spans="1:35">
      <c r="A379" s="17" t="s">
        <v>34</v>
      </c>
      <c r="B379" s="19">
        <v>738</v>
      </c>
      <c r="C379" s="64">
        <v>44522</v>
      </c>
      <c r="D379" s="17" t="s">
        <v>52</v>
      </c>
      <c r="E379" s="17" t="s">
        <v>187</v>
      </c>
      <c r="F379" s="17" t="s">
        <v>54</v>
      </c>
      <c r="H379" s="65">
        <v>1.2311</v>
      </c>
      <c r="I379" s="65"/>
      <c r="J379" s="17" t="s">
        <v>82</v>
      </c>
      <c r="K379" s="106">
        <v>405</v>
      </c>
      <c r="L379" s="96">
        <v>40</v>
      </c>
      <c r="M379" s="17">
        <v>5000</v>
      </c>
      <c r="N379" s="17" t="s">
        <v>66</v>
      </c>
      <c r="O379" s="19" t="s">
        <v>141</v>
      </c>
      <c r="P379" s="107">
        <v>1717</v>
      </c>
      <c r="Q379" s="17">
        <v>1248</v>
      </c>
      <c r="R379" s="17">
        <f t="shared" si="20"/>
        <v>469</v>
      </c>
      <c r="S379" s="108">
        <v>1310</v>
      </c>
      <c r="T379" s="19" t="s">
        <v>42</v>
      </c>
      <c r="U379" s="17" t="s">
        <v>268</v>
      </c>
      <c r="V379" s="67">
        <v>44524</v>
      </c>
      <c r="W379" s="17" t="s">
        <v>69</v>
      </c>
      <c r="Y379" s="68">
        <v>44562</v>
      </c>
      <c r="Z379" s="17" t="s">
        <v>191</v>
      </c>
      <c r="AA379" s="17" t="s">
        <v>46</v>
      </c>
      <c r="AB379" s="17" t="s">
        <v>269</v>
      </c>
      <c r="AC379" s="66">
        <v>44548</v>
      </c>
      <c r="AD379" s="65">
        <v>1250</v>
      </c>
      <c r="AE379" s="17" t="s">
        <v>74</v>
      </c>
      <c r="AF379" s="17" t="s">
        <v>245</v>
      </c>
      <c r="AH379" s="17" t="s">
        <v>270</v>
      </c>
      <c r="AI379" s="95">
        <f t="shared" si="19"/>
        <v>114.603</v>
      </c>
    </row>
    <row r="380" s="17" customFormat="1" hidden="1" spans="1:35">
      <c r="A380" s="17" t="s">
        <v>34</v>
      </c>
      <c r="B380" s="19">
        <v>738</v>
      </c>
      <c r="C380" s="64">
        <v>44522</v>
      </c>
      <c r="D380" s="17" t="s">
        <v>52</v>
      </c>
      <c r="E380" s="17" t="s">
        <v>187</v>
      </c>
      <c r="F380" s="17" t="s">
        <v>54</v>
      </c>
      <c r="H380" s="65">
        <v>1.2311</v>
      </c>
      <c r="I380" s="65"/>
      <c r="J380" s="17" t="s">
        <v>82</v>
      </c>
      <c r="K380" s="106">
        <v>455</v>
      </c>
      <c r="L380" s="96">
        <v>40</v>
      </c>
      <c r="M380" s="17">
        <v>5000</v>
      </c>
      <c r="N380" s="17" t="s">
        <v>66</v>
      </c>
      <c r="O380" s="19" t="s">
        <v>141</v>
      </c>
      <c r="P380" s="107">
        <v>1929</v>
      </c>
      <c r="Q380" s="17">
        <v>2104</v>
      </c>
      <c r="R380" s="17">
        <f t="shared" si="20"/>
        <v>-175</v>
      </c>
      <c r="S380" s="108">
        <v>1310</v>
      </c>
      <c r="T380" s="19" t="s">
        <v>42</v>
      </c>
      <c r="U380" s="17" t="s">
        <v>268</v>
      </c>
      <c r="V380" s="67">
        <v>44524</v>
      </c>
      <c r="W380" s="17" t="s">
        <v>69</v>
      </c>
      <c r="Y380" s="68">
        <v>44562</v>
      </c>
      <c r="Z380" s="17" t="s">
        <v>191</v>
      </c>
      <c r="AA380" s="17" t="s">
        <v>46</v>
      </c>
      <c r="AB380" s="17" t="s">
        <v>269</v>
      </c>
      <c r="AC380" s="66">
        <v>44548</v>
      </c>
      <c r="AD380" s="65">
        <v>1250</v>
      </c>
      <c r="AE380" s="17" t="s">
        <v>74</v>
      </c>
      <c r="AF380" s="17" t="s">
        <v>245</v>
      </c>
      <c r="AH380" s="17" t="s">
        <v>270</v>
      </c>
      <c r="AI380" s="95">
        <f t="shared" si="19"/>
        <v>114.603</v>
      </c>
    </row>
    <row r="381" s="17" customFormat="1" hidden="1" spans="1:35">
      <c r="A381" s="17" t="s">
        <v>34</v>
      </c>
      <c r="B381" s="19">
        <v>738</v>
      </c>
      <c r="C381" s="64">
        <v>44522</v>
      </c>
      <c r="D381" s="17" t="s">
        <v>52</v>
      </c>
      <c r="E381" s="17" t="s">
        <v>187</v>
      </c>
      <c r="F381" s="17" t="s">
        <v>54</v>
      </c>
      <c r="H381" s="65">
        <v>1.2311</v>
      </c>
      <c r="I381" s="65"/>
      <c r="J381" s="17" t="s">
        <v>82</v>
      </c>
      <c r="K381" s="106">
        <v>505</v>
      </c>
      <c r="L381" s="96">
        <v>40</v>
      </c>
      <c r="M381" s="17">
        <v>5000</v>
      </c>
      <c r="N381" s="17" t="s">
        <v>66</v>
      </c>
      <c r="O381" s="19" t="s">
        <v>141</v>
      </c>
      <c r="P381" s="107">
        <v>2141</v>
      </c>
      <c r="Q381" s="17">
        <v>2302</v>
      </c>
      <c r="R381" s="17">
        <f t="shared" si="20"/>
        <v>-161</v>
      </c>
      <c r="S381" s="108">
        <v>1310</v>
      </c>
      <c r="T381" s="19" t="s">
        <v>42</v>
      </c>
      <c r="U381" s="17" t="s">
        <v>268</v>
      </c>
      <c r="V381" s="67">
        <v>44524</v>
      </c>
      <c r="W381" s="17" t="s">
        <v>69</v>
      </c>
      <c r="Y381" s="68">
        <v>44562</v>
      </c>
      <c r="Z381" s="17" t="s">
        <v>191</v>
      </c>
      <c r="AA381" s="17" t="s">
        <v>46</v>
      </c>
      <c r="AB381" s="17" t="s">
        <v>269</v>
      </c>
      <c r="AC381" s="66">
        <v>44548</v>
      </c>
      <c r="AD381" s="65">
        <v>1250</v>
      </c>
      <c r="AE381" s="17" t="s">
        <v>74</v>
      </c>
      <c r="AF381" s="17" t="s">
        <v>245</v>
      </c>
      <c r="AH381" s="17" t="s">
        <v>270</v>
      </c>
      <c r="AI381" s="95">
        <f t="shared" si="19"/>
        <v>114.603</v>
      </c>
    </row>
    <row r="382" s="17" customFormat="1" hidden="1" spans="1:35">
      <c r="A382" s="17" t="s">
        <v>34</v>
      </c>
      <c r="B382" s="19">
        <v>738</v>
      </c>
      <c r="C382" s="64">
        <v>44522</v>
      </c>
      <c r="D382" s="17" t="s">
        <v>52</v>
      </c>
      <c r="E382" s="17" t="s">
        <v>187</v>
      </c>
      <c r="F382" s="17" t="s">
        <v>54</v>
      </c>
      <c r="H382" s="65">
        <v>1.2311</v>
      </c>
      <c r="I382" s="65"/>
      <c r="J382" s="17" t="s">
        <v>82</v>
      </c>
      <c r="K382" s="106">
        <v>555</v>
      </c>
      <c r="L382" s="96">
        <v>40</v>
      </c>
      <c r="M382" s="17">
        <v>5000</v>
      </c>
      <c r="N382" s="17" t="s">
        <v>66</v>
      </c>
      <c r="O382" s="19" t="s">
        <v>141</v>
      </c>
      <c r="P382" s="107">
        <v>1568</v>
      </c>
      <c r="Q382" s="17">
        <v>1642</v>
      </c>
      <c r="R382" s="17">
        <f t="shared" si="20"/>
        <v>-74</v>
      </c>
      <c r="S382" s="108">
        <v>1310</v>
      </c>
      <c r="T382" s="19" t="s">
        <v>42</v>
      </c>
      <c r="U382" s="17" t="s">
        <v>268</v>
      </c>
      <c r="V382" s="67">
        <v>44524</v>
      </c>
      <c r="W382" s="17" t="s">
        <v>69</v>
      </c>
      <c r="Y382" s="68">
        <v>44562</v>
      </c>
      <c r="Z382" s="17" t="s">
        <v>191</v>
      </c>
      <c r="AA382" s="17" t="s">
        <v>46</v>
      </c>
      <c r="AB382" s="17" t="s">
        <v>269</v>
      </c>
      <c r="AC382" s="66">
        <v>44548</v>
      </c>
      <c r="AD382" s="65">
        <v>1250</v>
      </c>
      <c r="AE382" s="17" t="s">
        <v>74</v>
      </c>
      <c r="AF382" s="17" t="s">
        <v>245</v>
      </c>
      <c r="AH382" s="17" t="s">
        <v>270</v>
      </c>
      <c r="AI382" s="95">
        <f t="shared" si="19"/>
        <v>114.603</v>
      </c>
    </row>
    <row r="383" s="17" customFormat="1" hidden="1" spans="1:35">
      <c r="A383" s="17" t="s">
        <v>34</v>
      </c>
      <c r="B383" s="19">
        <v>738</v>
      </c>
      <c r="C383" s="64">
        <v>44522</v>
      </c>
      <c r="D383" s="17" t="s">
        <v>52</v>
      </c>
      <c r="E383" s="17" t="s">
        <v>187</v>
      </c>
      <c r="F383" s="17" t="s">
        <v>54</v>
      </c>
      <c r="H383" s="65">
        <v>1.2311</v>
      </c>
      <c r="I383" s="65"/>
      <c r="J383" s="17" t="s">
        <v>82</v>
      </c>
      <c r="K383" s="106">
        <v>605</v>
      </c>
      <c r="L383" s="96">
        <v>40</v>
      </c>
      <c r="M383" s="17">
        <v>5000</v>
      </c>
      <c r="N383" s="17" t="s">
        <v>66</v>
      </c>
      <c r="O383" s="19" t="s">
        <v>141</v>
      </c>
      <c r="P383" s="107">
        <v>855</v>
      </c>
      <c r="Q383" s="17">
        <v>1817</v>
      </c>
      <c r="R383" s="17">
        <f t="shared" si="20"/>
        <v>-962</v>
      </c>
      <c r="S383" s="108">
        <v>1310</v>
      </c>
      <c r="T383" s="19" t="s">
        <v>42</v>
      </c>
      <c r="U383" s="17" t="s">
        <v>268</v>
      </c>
      <c r="V383" s="67">
        <v>44524</v>
      </c>
      <c r="W383" s="17" t="s">
        <v>69</v>
      </c>
      <c r="Y383" s="68">
        <v>44562</v>
      </c>
      <c r="Z383" s="17" t="s">
        <v>191</v>
      </c>
      <c r="AA383" s="17" t="s">
        <v>46</v>
      </c>
      <c r="AB383" s="17" t="s">
        <v>269</v>
      </c>
      <c r="AC383" s="66">
        <v>44548</v>
      </c>
      <c r="AD383" s="65">
        <v>1250</v>
      </c>
      <c r="AE383" s="17" t="s">
        <v>74</v>
      </c>
      <c r="AF383" s="17" t="s">
        <v>245</v>
      </c>
      <c r="AH383" s="17" t="s">
        <v>270</v>
      </c>
      <c r="AI383" s="95">
        <f t="shared" si="19"/>
        <v>114.603</v>
      </c>
    </row>
    <row r="384" s="17" customFormat="1" hidden="1" spans="1:35">
      <c r="A384" s="17" t="s">
        <v>34</v>
      </c>
      <c r="B384" s="19">
        <v>738</v>
      </c>
      <c r="C384" s="64">
        <v>44522</v>
      </c>
      <c r="D384" s="17" t="s">
        <v>52</v>
      </c>
      <c r="E384" s="17" t="s">
        <v>187</v>
      </c>
      <c r="F384" s="17" t="s">
        <v>54</v>
      </c>
      <c r="H384" s="65">
        <v>1.2311</v>
      </c>
      <c r="I384" s="65"/>
      <c r="J384" s="17" t="s">
        <v>82</v>
      </c>
      <c r="K384" s="106">
        <v>205</v>
      </c>
      <c r="L384" s="96">
        <v>50</v>
      </c>
      <c r="M384" s="17">
        <v>5000</v>
      </c>
      <c r="N384" s="17" t="s">
        <v>66</v>
      </c>
      <c r="O384" s="19" t="s">
        <v>141</v>
      </c>
      <c r="P384" s="107">
        <v>724</v>
      </c>
      <c r="Q384" s="17">
        <v>784</v>
      </c>
      <c r="R384" s="17">
        <f t="shared" si="20"/>
        <v>-60</v>
      </c>
      <c r="S384" s="108">
        <v>1310</v>
      </c>
      <c r="T384" s="19" t="s">
        <v>42</v>
      </c>
      <c r="U384" s="17" t="s">
        <v>268</v>
      </c>
      <c r="V384" s="67">
        <v>44524</v>
      </c>
      <c r="W384" s="17" t="s">
        <v>69</v>
      </c>
      <c r="Y384" s="68">
        <v>44562</v>
      </c>
      <c r="Z384" s="17" t="s">
        <v>191</v>
      </c>
      <c r="AA384" s="17" t="s">
        <v>46</v>
      </c>
      <c r="AB384" s="17" t="s">
        <v>269</v>
      </c>
      <c r="AC384" s="66">
        <v>44548</v>
      </c>
      <c r="AD384" s="65">
        <v>1250</v>
      </c>
      <c r="AE384" s="17" t="s">
        <v>74</v>
      </c>
      <c r="AF384" s="17" t="s">
        <v>245</v>
      </c>
      <c r="AH384" s="17" t="s">
        <v>270</v>
      </c>
      <c r="AI384" s="95">
        <f t="shared" si="19"/>
        <v>114.603</v>
      </c>
    </row>
    <row r="385" s="17" customFormat="1" hidden="1" spans="1:37">
      <c r="A385" s="17" t="s">
        <v>34</v>
      </c>
      <c r="B385" s="19">
        <v>738</v>
      </c>
      <c r="C385" s="64">
        <v>44522</v>
      </c>
      <c r="D385" s="17" t="s">
        <v>52</v>
      </c>
      <c r="E385" s="17" t="s">
        <v>187</v>
      </c>
      <c r="F385" s="17" t="s">
        <v>54</v>
      </c>
      <c r="H385" s="65">
        <v>1.2311</v>
      </c>
      <c r="I385" s="65"/>
      <c r="J385" s="17" t="s">
        <v>82</v>
      </c>
      <c r="K385" s="106">
        <v>255</v>
      </c>
      <c r="L385" s="96">
        <v>50</v>
      </c>
      <c r="M385" s="17">
        <v>5000</v>
      </c>
      <c r="N385" s="17" t="s">
        <v>66</v>
      </c>
      <c r="O385" s="19" t="s">
        <v>141</v>
      </c>
      <c r="P385" s="107">
        <v>2252</v>
      </c>
      <c r="Q385" s="17">
        <v>976</v>
      </c>
      <c r="R385" s="17">
        <f t="shared" si="20"/>
        <v>1276</v>
      </c>
      <c r="S385" s="108">
        <v>1310</v>
      </c>
      <c r="T385" s="19" t="s">
        <v>42</v>
      </c>
      <c r="U385" s="17" t="s">
        <v>268</v>
      </c>
      <c r="V385" s="67">
        <v>44524</v>
      </c>
      <c r="W385" s="17" t="s">
        <v>69</v>
      </c>
      <c r="Y385" s="68">
        <v>44562</v>
      </c>
      <c r="Z385" s="17" t="s">
        <v>191</v>
      </c>
      <c r="AA385" s="17" t="s">
        <v>46</v>
      </c>
      <c r="AB385" s="17" t="s">
        <v>269</v>
      </c>
      <c r="AC385" s="66">
        <v>44548</v>
      </c>
      <c r="AD385" s="65">
        <v>1250</v>
      </c>
      <c r="AE385" s="17" t="s">
        <v>74</v>
      </c>
      <c r="AF385" s="17" t="s">
        <v>245</v>
      </c>
      <c r="AH385" s="17" t="s">
        <v>270</v>
      </c>
      <c r="AI385" s="95">
        <f t="shared" si="19"/>
        <v>114.603</v>
      </c>
    </row>
    <row r="386" s="17" customFormat="1" hidden="1" spans="1:37">
      <c r="A386" s="17" t="s">
        <v>34</v>
      </c>
      <c r="B386" s="19">
        <v>738</v>
      </c>
      <c r="C386" s="64">
        <v>44522</v>
      </c>
      <c r="D386" s="17" t="s">
        <v>52</v>
      </c>
      <c r="E386" s="17" t="s">
        <v>187</v>
      </c>
      <c r="F386" s="17" t="s">
        <v>54</v>
      </c>
      <c r="H386" s="65">
        <v>1.2311</v>
      </c>
      <c r="I386" s="65"/>
      <c r="J386" s="17" t="s">
        <v>82</v>
      </c>
      <c r="K386" s="106">
        <v>305</v>
      </c>
      <c r="L386" s="96">
        <v>50</v>
      </c>
      <c r="M386" s="17">
        <v>5000</v>
      </c>
      <c r="N386" s="17" t="s">
        <v>66</v>
      </c>
      <c r="O386" s="19" t="s">
        <v>141</v>
      </c>
      <c r="P386" s="107">
        <v>2694</v>
      </c>
      <c r="Q386" s="17">
        <v>2872</v>
      </c>
      <c r="R386" s="17">
        <f t="shared" si="20"/>
        <v>-178</v>
      </c>
      <c r="S386" s="108">
        <v>1310</v>
      </c>
      <c r="T386" s="19" t="s">
        <v>42</v>
      </c>
      <c r="U386" s="17" t="s">
        <v>268</v>
      </c>
      <c r="V386" s="67">
        <v>44524</v>
      </c>
      <c r="W386" s="17" t="s">
        <v>69</v>
      </c>
      <c r="Y386" s="68">
        <v>44562</v>
      </c>
      <c r="Z386" s="17" t="s">
        <v>191</v>
      </c>
      <c r="AA386" s="17" t="s">
        <v>46</v>
      </c>
      <c r="AB386" s="17" t="s">
        <v>269</v>
      </c>
      <c r="AC386" s="66">
        <v>44548</v>
      </c>
      <c r="AD386" s="65">
        <v>1250</v>
      </c>
      <c r="AE386" s="17" t="s">
        <v>74</v>
      </c>
      <c r="AF386" s="17" t="s">
        <v>245</v>
      </c>
      <c r="AH386" s="17" t="s">
        <v>270</v>
      </c>
      <c r="AI386" s="95">
        <f t="shared" si="19"/>
        <v>114.603</v>
      </c>
    </row>
    <row r="387" s="17" customFormat="1" hidden="1" spans="1:37">
      <c r="A387" s="17" t="s">
        <v>34</v>
      </c>
      <c r="B387" s="19">
        <v>738</v>
      </c>
      <c r="C387" s="64">
        <v>44522</v>
      </c>
      <c r="D387" s="17" t="s">
        <v>52</v>
      </c>
      <c r="E387" s="17" t="s">
        <v>187</v>
      </c>
      <c r="F387" s="17" t="s">
        <v>54</v>
      </c>
      <c r="H387" s="65">
        <v>1.2311</v>
      </c>
      <c r="I387" s="65"/>
      <c r="J387" s="17" t="s">
        <v>82</v>
      </c>
      <c r="K387" s="106">
        <v>355</v>
      </c>
      <c r="L387" s="96">
        <v>50</v>
      </c>
      <c r="M387" s="17">
        <v>5000</v>
      </c>
      <c r="N387" s="17" t="s">
        <v>66</v>
      </c>
      <c r="O387" s="19" t="s">
        <v>141</v>
      </c>
      <c r="P387" s="107">
        <v>1881</v>
      </c>
      <c r="Q387" s="17">
        <v>2008</v>
      </c>
      <c r="R387" s="17">
        <f t="shared" si="20"/>
        <v>-127</v>
      </c>
      <c r="S387" s="108">
        <v>1310</v>
      </c>
      <c r="T387" s="19" t="s">
        <v>42</v>
      </c>
      <c r="U387" s="17" t="s">
        <v>268</v>
      </c>
      <c r="V387" s="67">
        <v>44524</v>
      </c>
      <c r="W387" s="17" t="s">
        <v>69</v>
      </c>
      <c r="Y387" s="68">
        <v>44562</v>
      </c>
      <c r="Z387" s="17" t="s">
        <v>191</v>
      </c>
      <c r="AA387" s="17" t="s">
        <v>46</v>
      </c>
      <c r="AB387" s="17" t="s">
        <v>269</v>
      </c>
      <c r="AC387" s="66">
        <v>44548</v>
      </c>
      <c r="AD387" s="65">
        <v>1250</v>
      </c>
      <c r="AE387" s="17" t="s">
        <v>74</v>
      </c>
      <c r="AF387" s="17" t="s">
        <v>245</v>
      </c>
      <c r="AH387" s="17" t="s">
        <v>270</v>
      </c>
      <c r="AI387" s="95">
        <f t="shared" si="19"/>
        <v>114.603</v>
      </c>
    </row>
    <row r="388" s="17" customFormat="1" hidden="1" spans="1:37">
      <c r="B388" s="19">
        <v>738</v>
      </c>
      <c r="C388" s="64">
        <v>44522</v>
      </c>
      <c r="D388" s="17" t="s">
        <v>52</v>
      </c>
      <c r="E388" s="17" t="s">
        <v>187</v>
      </c>
      <c r="F388" s="17" t="s">
        <v>54</v>
      </c>
      <c r="H388" s="65">
        <v>1.2311</v>
      </c>
      <c r="I388" s="65"/>
      <c r="J388" s="17" t="s">
        <v>82</v>
      </c>
      <c r="K388" s="106">
        <v>405</v>
      </c>
      <c r="L388" s="96">
        <v>50</v>
      </c>
      <c r="M388" s="17">
        <v>5000</v>
      </c>
      <c r="N388" s="17" t="s">
        <v>66</v>
      </c>
      <c r="O388" s="19" t="s">
        <v>141</v>
      </c>
      <c r="P388" s="107">
        <v>2146</v>
      </c>
      <c r="R388" s="17">
        <f t="shared" si="20"/>
        <v>2146</v>
      </c>
      <c r="S388" s="108">
        <v>1310</v>
      </c>
      <c r="T388" s="19" t="s">
        <v>42</v>
      </c>
      <c r="U388" s="17" t="s">
        <v>268</v>
      </c>
      <c r="V388" s="67">
        <v>44524</v>
      </c>
      <c r="W388" s="17" t="s">
        <v>69</v>
      </c>
      <c r="Y388" s="68">
        <v>44562</v>
      </c>
      <c r="Z388" s="17" t="s">
        <v>191</v>
      </c>
      <c r="AA388" s="17" t="s">
        <v>46</v>
      </c>
      <c r="AC388" s="66"/>
      <c r="AD388" s="65"/>
      <c r="AE388" s="17" t="s">
        <v>74</v>
      </c>
      <c r="AF388" s="17" t="s">
        <v>245</v>
      </c>
      <c r="AH388" s="17" t="s">
        <v>270</v>
      </c>
      <c r="AI388" s="95">
        <f t="shared" si="19"/>
        <v>114.603</v>
      </c>
      <c r="AK388" s="17" t="s">
        <v>271</v>
      </c>
    </row>
    <row r="389" s="17" customFormat="1" hidden="1" spans="1:37">
      <c r="A389" s="17" t="s">
        <v>34</v>
      </c>
      <c r="B389" s="19">
        <v>738</v>
      </c>
      <c r="C389" s="64">
        <v>44522</v>
      </c>
      <c r="D389" s="17" t="s">
        <v>52</v>
      </c>
      <c r="E389" s="17" t="s">
        <v>187</v>
      </c>
      <c r="F389" s="17" t="s">
        <v>54</v>
      </c>
      <c r="H389" s="65">
        <v>1.2311</v>
      </c>
      <c r="I389" s="65"/>
      <c r="J389" s="17" t="s">
        <v>82</v>
      </c>
      <c r="K389" s="106">
        <v>455</v>
      </c>
      <c r="L389" s="96">
        <v>50</v>
      </c>
      <c r="M389" s="17">
        <v>5000</v>
      </c>
      <c r="N389" s="17" t="s">
        <v>66</v>
      </c>
      <c r="O389" s="19" t="s">
        <v>141</v>
      </c>
      <c r="P389" s="107">
        <v>3215</v>
      </c>
      <c r="Q389" s="17">
        <v>1726</v>
      </c>
      <c r="R389" s="17">
        <f t="shared" si="20"/>
        <v>1489</v>
      </c>
      <c r="S389" s="108">
        <v>1310</v>
      </c>
      <c r="T389" s="19" t="s">
        <v>42</v>
      </c>
      <c r="U389" s="17" t="s">
        <v>268</v>
      </c>
      <c r="V389" s="67">
        <v>44524</v>
      </c>
      <c r="W389" s="17" t="s">
        <v>69</v>
      </c>
      <c r="Y389" s="68">
        <v>44562</v>
      </c>
      <c r="Z389" s="17" t="s">
        <v>191</v>
      </c>
      <c r="AA389" s="17" t="s">
        <v>46</v>
      </c>
      <c r="AB389" s="17" t="s">
        <v>269</v>
      </c>
      <c r="AC389" s="66">
        <v>44548</v>
      </c>
      <c r="AD389" s="65">
        <v>1250</v>
      </c>
      <c r="AE389" s="17" t="s">
        <v>74</v>
      </c>
      <c r="AF389" s="17" t="s">
        <v>245</v>
      </c>
      <c r="AH389" s="17" t="s">
        <v>270</v>
      </c>
      <c r="AI389" s="95">
        <f t="shared" si="19"/>
        <v>114.603</v>
      </c>
    </row>
    <row r="390" s="17" customFormat="1" hidden="1" spans="1:37">
      <c r="A390" s="17" t="s">
        <v>34</v>
      </c>
      <c r="B390" s="19">
        <v>738</v>
      </c>
      <c r="C390" s="64">
        <v>44522</v>
      </c>
      <c r="D390" s="17" t="s">
        <v>52</v>
      </c>
      <c r="E390" s="17" t="s">
        <v>187</v>
      </c>
      <c r="F390" s="17" t="s">
        <v>54</v>
      </c>
      <c r="H390" s="65">
        <v>1.2311</v>
      </c>
      <c r="I390" s="65"/>
      <c r="J390" s="17" t="s">
        <v>82</v>
      </c>
      <c r="K390" s="106">
        <v>505</v>
      </c>
      <c r="L390" s="96">
        <v>50</v>
      </c>
      <c r="M390" s="17">
        <v>5000</v>
      </c>
      <c r="N390" s="17" t="s">
        <v>66</v>
      </c>
      <c r="O390" s="19" t="s">
        <v>141</v>
      </c>
      <c r="P390" s="107">
        <v>2676</v>
      </c>
      <c r="Q390" s="17">
        <v>946</v>
      </c>
      <c r="R390" s="17">
        <f t="shared" si="20"/>
        <v>1730</v>
      </c>
      <c r="S390" s="108">
        <v>1310</v>
      </c>
      <c r="T390" s="19" t="s">
        <v>42</v>
      </c>
      <c r="U390" s="17" t="s">
        <v>268</v>
      </c>
      <c r="V390" s="67">
        <v>44524</v>
      </c>
      <c r="W390" s="17" t="s">
        <v>69</v>
      </c>
      <c r="Y390" s="68">
        <v>44562</v>
      </c>
      <c r="Z390" s="17" t="s">
        <v>191</v>
      </c>
      <c r="AA390" s="17" t="s">
        <v>46</v>
      </c>
      <c r="AB390" s="17" t="s">
        <v>269</v>
      </c>
      <c r="AC390" s="66">
        <v>44548</v>
      </c>
      <c r="AD390" s="65">
        <v>1250</v>
      </c>
      <c r="AE390" s="17" t="s">
        <v>74</v>
      </c>
      <c r="AF390" s="17" t="s">
        <v>245</v>
      </c>
      <c r="AH390" s="17" t="s">
        <v>270</v>
      </c>
      <c r="AI390" s="95">
        <f t="shared" si="19"/>
        <v>114.603</v>
      </c>
    </row>
    <row r="391" s="17" customFormat="1" hidden="1" spans="1:37">
      <c r="A391" s="17" t="s">
        <v>34</v>
      </c>
      <c r="B391" s="19">
        <v>738</v>
      </c>
      <c r="C391" s="64">
        <v>44522</v>
      </c>
      <c r="D391" s="17" t="s">
        <v>52</v>
      </c>
      <c r="E391" s="17" t="s">
        <v>187</v>
      </c>
      <c r="F391" s="17" t="s">
        <v>54</v>
      </c>
      <c r="H391" s="65">
        <v>1.2311</v>
      </c>
      <c r="I391" s="65"/>
      <c r="J391" s="17" t="s">
        <v>82</v>
      </c>
      <c r="K391" s="106">
        <v>510</v>
      </c>
      <c r="L391" s="96">
        <v>50</v>
      </c>
      <c r="M391" s="17">
        <v>5500</v>
      </c>
      <c r="N391" s="17" t="s">
        <v>66</v>
      </c>
      <c r="O391" s="19" t="s">
        <v>141</v>
      </c>
      <c r="P391" s="107"/>
      <c r="Q391" s="17">
        <v>1172</v>
      </c>
      <c r="S391" s="108">
        <v>1310</v>
      </c>
      <c r="T391" s="19" t="s">
        <v>42</v>
      </c>
      <c r="U391" s="17" t="s">
        <v>268</v>
      </c>
      <c r="V391" s="67">
        <v>44524</v>
      </c>
      <c r="W391" s="17" t="s">
        <v>69</v>
      </c>
      <c r="Y391" s="68">
        <v>44562</v>
      </c>
      <c r="Z391" s="17" t="s">
        <v>191</v>
      </c>
      <c r="AA391" s="17" t="s">
        <v>46</v>
      </c>
      <c r="AB391" s="17" t="s">
        <v>269</v>
      </c>
      <c r="AC391" s="66">
        <v>44548</v>
      </c>
      <c r="AD391" s="65">
        <v>1250</v>
      </c>
      <c r="AE391" s="17" t="s">
        <v>74</v>
      </c>
      <c r="AF391" s="17" t="s">
        <v>245</v>
      </c>
      <c r="AH391" s="17" t="s">
        <v>270</v>
      </c>
      <c r="AI391" s="95">
        <f t="shared" si="19"/>
        <v>114.603</v>
      </c>
    </row>
    <row r="392" s="17" customFormat="1" hidden="1" spans="1:37">
      <c r="A392" s="17" t="s">
        <v>34</v>
      </c>
      <c r="B392" s="19">
        <v>738</v>
      </c>
      <c r="C392" s="64">
        <v>44522</v>
      </c>
      <c r="D392" s="17" t="s">
        <v>52</v>
      </c>
      <c r="E392" s="17" t="s">
        <v>187</v>
      </c>
      <c r="F392" s="17" t="s">
        <v>54</v>
      </c>
      <c r="H392" s="65">
        <v>1.2311</v>
      </c>
      <c r="I392" s="65"/>
      <c r="J392" s="17" t="s">
        <v>82</v>
      </c>
      <c r="K392" s="106">
        <v>555</v>
      </c>
      <c r="L392" s="96">
        <v>50</v>
      </c>
      <c r="M392" s="17">
        <v>5000</v>
      </c>
      <c r="N392" s="17" t="s">
        <v>66</v>
      </c>
      <c r="O392" s="19" t="s">
        <v>141</v>
      </c>
      <c r="P392" s="107">
        <v>980</v>
      </c>
      <c r="Q392" s="17">
        <v>1026</v>
      </c>
      <c r="R392" s="17">
        <f t="shared" ref="R392:R403" si="21">+P392-Q392</f>
        <v>-46</v>
      </c>
      <c r="S392" s="108">
        <v>1310</v>
      </c>
      <c r="T392" s="19" t="s">
        <v>42</v>
      </c>
      <c r="U392" s="17" t="s">
        <v>268</v>
      </c>
      <c r="V392" s="67">
        <v>44524</v>
      </c>
      <c r="W392" s="17" t="s">
        <v>69</v>
      </c>
      <c r="Y392" s="68">
        <v>44562</v>
      </c>
      <c r="Z392" s="17" t="s">
        <v>191</v>
      </c>
      <c r="AA392" s="17" t="s">
        <v>46</v>
      </c>
      <c r="AB392" s="17" t="s">
        <v>269</v>
      </c>
      <c r="AC392" s="66">
        <v>44548</v>
      </c>
      <c r="AD392" s="65">
        <v>1250</v>
      </c>
      <c r="AE392" s="17" t="s">
        <v>74</v>
      </c>
      <c r="AF392" s="17" t="s">
        <v>245</v>
      </c>
      <c r="AH392" s="17" t="s">
        <v>270</v>
      </c>
      <c r="AI392" s="95">
        <f t="shared" si="19"/>
        <v>114.603</v>
      </c>
    </row>
    <row r="393" s="17" customFormat="1" hidden="1" spans="1:37">
      <c r="A393" s="17" t="s">
        <v>34</v>
      </c>
      <c r="B393" s="19">
        <v>738</v>
      </c>
      <c r="C393" s="64">
        <v>44522</v>
      </c>
      <c r="D393" s="17" t="s">
        <v>52</v>
      </c>
      <c r="E393" s="17" t="s">
        <v>187</v>
      </c>
      <c r="F393" s="17" t="s">
        <v>54</v>
      </c>
      <c r="H393" s="65">
        <v>1.2311</v>
      </c>
      <c r="I393" s="65"/>
      <c r="J393" s="17" t="s">
        <v>82</v>
      </c>
      <c r="K393" s="106">
        <v>605</v>
      </c>
      <c r="L393" s="96">
        <v>50</v>
      </c>
      <c r="M393" s="17">
        <v>5000</v>
      </c>
      <c r="N393" s="17" t="s">
        <v>66</v>
      </c>
      <c r="O393" s="19" t="s">
        <v>141</v>
      </c>
      <c r="P393" s="107">
        <v>1069</v>
      </c>
      <c r="Q393" s="17">
        <v>1133</v>
      </c>
      <c r="R393" s="17">
        <f t="shared" si="21"/>
        <v>-64</v>
      </c>
      <c r="S393" s="108">
        <v>1310</v>
      </c>
      <c r="T393" s="19" t="s">
        <v>42</v>
      </c>
      <c r="U393" s="17" t="s">
        <v>268</v>
      </c>
      <c r="V393" s="67">
        <v>44524</v>
      </c>
      <c r="W393" s="17" t="s">
        <v>69</v>
      </c>
      <c r="Y393" s="68">
        <v>44562</v>
      </c>
      <c r="Z393" s="17" t="s">
        <v>191</v>
      </c>
      <c r="AA393" s="17" t="s">
        <v>46</v>
      </c>
      <c r="AB393" s="17" t="s">
        <v>269</v>
      </c>
      <c r="AC393" s="66">
        <v>44548</v>
      </c>
      <c r="AD393" s="65">
        <v>1250</v>
      </c>
      <c r="AE393" s="17" t="s">
        <v>74</v>
      </c>
      <c r="AF393" s="17" t="s">
        <v>245</v>
      </c>
      <c r="AH393" s="17" t="s">
        <v>270</v>
      </c>
      <c r="AI393" s="95">
        <f t="shared" si="19"/>
        <v>114.603</v>
      </c>
    </row>
    <row r="394" s="17" customFormat="1" hidden="1" spans="1:37">
      <c r="A394" s="17" t="s">
        <v>34</v>
      </c>
      <c r="B394" s="19">
        <v>738</v>
      </c>
      <c r="C394" s="64">
        <v>44522</v>
      </c>
      <c r="D394" s="17" t="s">
        <v>52</v>
      </c>
      <c r="E394" s="17" t="s">
        <v>187</v>
      </c>
      <c r="F394" s="17" t="s">
        <v>54</v>
      </c>
      <c r="H394" s="65">
        <v>1.2311</v>
      </c>
      <c r="I394" s="65"/>
      <c r="J394" s="17" t="s">
        <v>82</v>
      </c>
      <c r="K394" s="106">
        <v>750</v>
      </c>
      <c r="L394" s="96">
        <v>50</v>
      </c>
      <c r="M394" s="17">
        <v>4500</v>
      </c>
      <c r="N394" s="17" t="s">
        <v>66</v>
      </c>
      <c r="O394" s="19" t="s">
        <v>141</v>
      </c>
      <c r="P394" s="107">
        <v>1325</v>
      </c>
      <c r="Q394" s="17">
        <v>1410</v>
      </c>
      <c r="R394" s="17">
        <f t="shared" si="21"/>
        <v>-85</v>
      </c>
      <c r="S394" s="108">
        <v>1310</v>
      </c>
      <c r="T394" s="19" t="s">
        <v>42</v>
      </c>
      <c r="U394" s="17" t="s">
        <v>268</v>
      </c>
      <c r="V394" s="64">
        <v>44524</v>
      </c>
      <c r="W394" s="17" t="s">
        <v>69</v>
      </c>
      <c r="Y394" s="68">
        <v>44562</v>
      </c>
      <c r="Z394" s="17" t="s">
        <v>191</v>
      </c>
      <c r="AA394" s="17" t="s">
        <v>46</v>
      </c>
      <c r="AB394" s="17" t="s">
        <v>272</v>
      </c>
      <c r="AC394" s="66">
        <v>44604</v>
      </c>
      <c r="AD394" s="65">
        <v>1262</v>
      </c>
      <c r="AE394" s="17" t="s">
        <v>74</v>
      </c>
      <c r="AF394" s="17" t="s">
        <v>245</v>
      </c>
      <c r="AH394" s="17" t="s">
        <v>270</v>
      </c>
      <c r="AI394" s="95">
        <f t="shared" si="19"/>
        <v>114.603</v>
      </c>
    </row>
    <row r="395" s="17" customFormat="1" hidden="1" spans="1:37">
      <c r="A395" s="17" t="s">
        <v>34</v>
      </c>
      <c r="B395" s="19">
        <v>738</v>
      </c>
      <c r="C395" s="64">
        <v>44522</v>
      </c>
      <c r="D395" s="17" t="s">
        <v>52</v>
      </c>
      <c r="E395" s="17" t="s">
        <v>187</v>
      </c>
      <c r="F395" s="17" t="s">
        <v>54</v>
      </c>
      <c r="H395" s="65">
        <v>1.2311</v>
      </c>
      <c r="I395" s="65"/>
      <c r="J395" s="17" t="s">
        <v>82</v>
      </c>
      <c r="K395" s="106">
        <v>205</v>
      </c>
      <c r="L395" s="96">
        <v>65</v>
      </c>
      <c r="M395" s="17">
        <v>5000</v>
      </c>
      <c r="N395" s="17" t="s">
        <v>66</v>
      </c>
      <c r="O395" s="19" t="s">
        <v>141</v>
      </c>
      <c r="P395" s="107">
        <v>471</v>
      </c>
      <c r="Q395" s="17">
        <v>489</v>
      </c>
      <c r="R395" s="17">
        <f t="shared" si="21"/>
        <v>-18</v>
      </c>
      <c r="S395" s="108">
        <v>1310</v>
      </c>
      <c r="T395" s="19" t="s">
        <v>42</v>
      </c>
      <c r="U395" s="17" t="s">
        <v>268</v>
      </c>
      <c r="V395" s="67">
        <v>44524</v>
      </c>
      <c r="W395" s="17" t="s">
        <v>69</v>
      </c>
      <c r="Y395" s="68">
        <v>44562</v>
      </c>
      <c r="Z395" s="17" t="s">
        <v>191</v>
      </c>
      <c r="AA395" s="17" t="s">
        <v>46</v>
      </c>
      <c r="AB395" s="17" t="s">
        <v>269</v>
      </c>
      <c r="AC395" s="66">
        <v>44548</v>
      </c>
      <c r="AD395" s="65">
        <v>1250</v>
      </c>
      <c r="AE395" s="17" t="s">
        <v>74</v>
      </c>
      <c r="AF395" s="17" t="s">
        <v>245</v>
      </c>
      <c r="AH395" s="17" t="s">
        <v>270</v>
      </c>
      <c r="AI395" s="95">
        <f t="shared" si="19"/>
        <v>114.603</v>
      </c>
    </row>
    <row r="396" s="17" customFormat="1" hidden="1" spans="1:37">
      <c r="A396" s="17" t="s">
        <v>34</v>
      </c>
      <c r="B396" s="19">
        <v>738</v>
      </c>
      <c r="C396" s="64">
        <v>44522</v>
      </c>
      <c r="D396" s="17" t="s">
        <v>52</v>
      </c>
      <c r="E396" s="17" t="s">
        <v>187</v>
      </c>
      <c r="F396" s="17" t="s">
        <v>54</v>
      </c>
      <c r="H396" s="65">
        <v>1.2311</v>
      </c>
      <c r="I396" s="65"/>
      <c r="J396" s="17" t="s">
        <v>82</v>
      </c>
      <c r="K396" s="106">
        <v>255</v>
      </c>
      <c r="L396" s="96">
        <v>65</v>
      </c>
      <c r="M396" s="17">
        <v>5000</v>
      </c>
      <c r="N396" s="17" t="s">
        <v>66</v>
      </c>
      <c r="O396" s="19" t="s">
        <v>141</v>
      </c>
      <c r="P396" s="107">
        <v>586</v>
      </c>
      <c r="Q396" s="17">
        <v>603</v>
      </c>
      <c r="R396" s="17">
        <f t="shared" si="21"/>
        <v>-17</v>
      </c>
      <c r="S396" s="108">
        <v>1310</v>
      </c>
      <c r="T396" s="19" t="s">
        <v>42</v>
      </c>
      <c r="U396" s="17" t="s">
        <v>268</v>
      </c>
      <c r="V396" s="67">
        <v>44524</v>
      </c>
      <c r="W396" s="17" t="s">
        <v>69</v>
      </c>
      <c r="Y396" s="68">
        <v>44562</v>
      </c>
      <c r="Z396" s="17" t="s">
        <v>191</v>
      </c>
      <c r="AA396" s="17" t="s">
        <v>46</v>
      </c>
      <c r="AB396" s="17" t="s">
        <v>269</v>
      </c>
      <c r="AC396" s="66">
        <v>44548</v>
      </c>
      <c r="AD396" s="65">
        <v>1250</v>
      </c>
      <c r="AE396" s="17" t="s">
        <v>74</v>
      </c>
      <c r="AF396" s="17" t="s">
        <v>245</v>
      </c>
      <c r="AH396" s="17" t="s">
        <v>270</v>
      </c>
      <c r="AI396" s="95">
        <f t="shared" si="19"/>
        <v>114.603</v>
      </c>
    </row>
    <row r="397" s="17" customFormat="1" hidden="1" spans="1:37">
      <c r="A397" s="17" t="s">
        <v>34</v>
      </c>
      <c r="B397" s="19">
        <v>738</v>
      </c>
      <c r="C397" s="64">
        <v>44522</v>
      </c>
      <c r="D397" s="17" t="s">
        <v>52</v>
      </c>
      <c r="E397" s="17" t="s">
        <v>187</v>
      </c>
      <c r="F397" s="17" t="s">
        <v>54</v>
      </c>
      <c r="H397" s="65">
        <v>1.2311</v>
      </c>
      <c r="I397" s="65"/>
      <c r="J397" s="17" t="s">
        <v>82</v>
      </c>
      <c r="K397" s="106">
        <v>305</v>
      </c>
      <c r="L397" s="96">
        <v>65</v>
      </c>
      <c r="M397" s="17">
        <v>5000</v>
      </c>
      <c r="N397" s="17" t="s">
        <v>66</v>
      </c>
      <c r="O397" s="19" t="s">
        <v>141</v>
      </c>
      <c r="P397" s="107">
        <v>700</v>
      </c>
      <c r="Q397" s="17">
        <v>720</v>
      </c>
      <c r="R397" s="17">
        <f t="shared" si="21"/>
        <v>-20</v>
      </c>
      <c r="S397" s="108">
        <v>1310</v>
      </c>
      <c r="T397" s="19" t="s">
        <v>42</v>
      </c>
      <c r="U397" s="17" t="s">
        <v>268</v>
      </c>
      <c r="V397" s="67">
        <v>44524</v>
      </c>
      <c r="W397" s="17" t="s">
        <v>69</v>
      </c>
      <c r="Y397" s="68">
        <v>44562</v>
      </c>
      <c r="Z397" s="17" t="s">
        <v>191</v>
      </c>
      <c r="AA397" s="17" t="s">
        <v>46</v>
      </c>
      <c r="AB397" s="17" t="s">
        <v>269</v>
      </c>
      <c r="AC397" s="66">
        <v>44548</v>
      </c>
      <c r="AD397" s="65">
        <v>1250</v>
      </c>
      <c r="AE397" s="17" t="s">
        <v>74</v>
      </c>
      <c r="AF397" s="17" t="s">
        <v>245</v>
      </c>
      <c r="AH397" s="17" t="s">
        <v>270</v>
      </c>
      <c r="AI397" s="95">
        <f t="shared" si="19"/>
        <v>114.603</v>
      </c>
    </row>
    <row r="398" s="17" customFormat="1" hidden="1" spans="1:37">
      <c r="A398" s="17" t="s">
        <v>34</v>
      </c>
      <c r="B398" s="19">
        <v>738</v>
      </c>
      <c r="C398" s="64">
        <v>44522</v>
      </c>
      <c r="D398" s="17" t="s">
        <v>52</v>
      </c>
      <c r="E398" s="17" t="s">
        <v>187</v>
      </c>
      <c r="F398" s="17" t="s">
        <v>54</v>
      </c>
      <c r="H398" s="65">
        <v>1.2311</v>
      </c>
      <c r="I398" s="65"/>
      <c r="J398" s="17" t="s">
        <v>82</v>
      </c>
      <c r="K398" s="106">
        <v>355</v>
      </c>
      <c r="L398" s="96">
        <v>65</v>
      </c>
      <c r="M398" s="17">
        <v>5000</v>
      </c>
      <c r="N398" s="17" t="s">
        <v>66</v>
      </c>
      <c r="O398" s="19" t="s">
        <v>141</v>
      </c>
      <c r="P398" s="107">
        <v>815</v>
      </c>
      <c r="Q398" s="17">
        <v>836</v>
      </c>
      <c r="R398" s="17">
        <f t="shared" si="21"/>
        <v>-21</v>
      </c>
      <c r="S398" s="108">
        <v>1310</v>
      </c>
      <c r="T398" s="19" t="s">
        <v>42</v>
      </c>
      <c r="U398" s="17" t="s">
        <v>268</v>
      </c>
      <c r="V398" s="67">
        <v>44524</v>
      </c>
      <c r="W398" s="17" t="s">
        <v>69</v>
      </c>
      <c r="Y398" s="68">
        <v>44562</v>
      </c>
      <c r="Z398" s="17" t="s">
        <v>191</v>
      </c>
      <c r="AA398" s="17" t="s">
        <v>46</v>
      </c>
      <c r="AB398" s="17" t="s">
        <v>269</v>
      </c>
      <c r="AC398" s="66">
        <v>44548</v>
      </c>
      <c r="AD398" s="65">
        <v>1250</v>
      </c>
      <c r="AE398" s="17" t="s">
        <v>74</v>
      </c>
      <c r="AF398" s="17" t="s">
        <v>245</v>
      </c>
      <c r="AH398" s="17" t="s">
        <v>270</v>
      </c>
      <c r="AI398" s="95">
        <f t="shared" si="19"/>
        <v>114.603</v>
      </c>
    </row>
    <row r="399" s="17" customFormat="1" hidden="1" spans="1:37">
      <c r="A399" s="17" t="s">
        <v>34</v>
      </c>
      <c r="B399" s="19">
        <v>738</v>
      </c>
      <c r="C399" s="64">
        <v>44522</v>
      </c>
      <c r="D399" s="17" t="s">
        <v>52</v>
      </c>
      <c r="E399" s="17" t="s">
        <v>187</v>
      </c>
      <c r="F399" s="17" t="s">
        <v>54</v>
      </c>
      <c r="H399" s="65">
        <v>1.2311</v>
      </c>
      <c r="I399" s="65"/>
      <c r="J399" s="17" t="s">
        <v>49</v>
      </c>
      <c r="K399" s="106">
        <v>1050</v>
      </c>
      <c r="L399" s="96">
        <v>65</v>
      </c>
      <c r="M399" s="17">
        <v>5000</v>
      </c>
      <c r="N399" s="17" t="s">
        <v>66</v>
      </c>
      <c r="O399" s="19" t="s">
        <v>141</v>
      </c>
      <c r="P399" s="107">
        <v>2411</v>
      </c>
      <c r="Q399" s="17">
        <v>2476</v>
      </c>
      <c r="R399" s="17">
        <f t="shared" si="21"/>
        <v>-65</v>
      </c>
      <c r="S399" s="108">
        <v>1290</v>
      </c>
      <c r="T399" s="19" t="s">
        <v>42</v>
      </c>
      <c r="U399" s="17" t="s">
        <v>268</v>
      </c>
      <c r="V399" s="67">
        <v>44524</v>
      </c>
      <c r="W399" s="17" t="s">
        <v>69</v>
      </c>
      <c r="Y399" s="68">
        <v>44562</v>
      </c>
      <c r="Z399" s="17" t="s">
        <v>191</v>
      </c>
      <c r="AA399" s="17" t="s">
        <v>46</v>
      </c>
      <c r="AB399" s="17" t="s">
        <v>269</v>
      </c>
      <c r="AC399" s="66">
        <v>44548</v>
      </c>
      <c r="AD399" s="65">
        <v>1250</v>
      </c>
      <c r="AE399" s="17" t="s">
        <v>74</v>
      </c>
      <c r="AF399" s="17" t="s">
        <v>245</v>
      </c>
      <c r="AH399" s="17" t="s">
        <v>273</v>
      </c>
      <c r="AI399" s="95">
        <f>112880/1000</f>
        <v>112.88</v>
      </c>
    </row>
    <row r="400" s="17" customFormat="1" hidden="1" spans="1:37">
      <c r="A400" s="17" t="s">
        <v>34</v>
      </c>
      <c r="B400" s="19">
        <v>738</v>
      </c>
      <c r="C400" s="64">
        <v>44522</v>
      </c>
      <c r="D400" s="17" t="s">
        <v>52</v>
      </c>
      <c r="E400" s="17" t="s">
        <v>187</v>
      </c>
      <c r="F400" s="17" t="s">
        <v>54</v>
      </c>
      <c r="H400" s="65">
        <v>1.2311</v>
      </c>
      <c r="I400" s="65"/>
      <c r="J400" s="17" t="s">
        <v>82</v>
      </c>
      <c r="K400" s="106">
        <v>260</v>
      </c>
      <c r="L400" s="96">
        <v>105</v>
      </c>
      <c r="M400" s="17">
        <v>5000</v>
      </c>
      <c r="N400" s="17" t="s">
        <v>66</v>
      </c>
      <c r="O400" s="19" t="s">
        <v>141</v>
      </c>
      <c r="P400" s="107">
        <v>3857</v>
      </c>
      <c r="Q400" s="17">
        <v>3047</v>
      </c>
      <c r="R400" s="17">
        <f t="shared" si="21"/>
        <v>810</v>
      </c>
      <c r="S400" s="108">
        <v>1310</v>
      </c>
      <c r="T400" s="19" t="s">
        <v>42</v>
      </c>
      <c r="U400" s="17" t="s">
        <v>268</v>
      </c>
      <c r="V400" s="67">
        <v>44524</v>
      </c>
      <c r="W400" s="17" t="s">
        <v>69</v>
      </c>
      <c r="Y400" s="68">
        <v>44562</v>
      </c>
      <c r="Z400" s="17" t="s">
        <v>191</v>
      </c>
      <c r="AA400" s="17" t="s">
        <v>46</v>
      </c>
      <c r="AB400" s="17" t="s">
        <v>269</v>
      </c>
      <c r="AC400" s="66">
        <v>44548</v>
      </c>
      <c r="AD400" s="65">
        <v>1250</v>
      </c>
      <c r="AE400" s="17" t="s">
        <v>74</v>
      </c>
      <c r="AF400" s="17" t="s">
        <v>245</v>
      </c>
      <c r="AH400" s="17" t="s">
        <v>270</v>
      </c>
      <c r="AI400" s="95">
        <f>114603/1000</f>
        <v>114.603</v>
      </c>
    </row>
    <row r="401" s="17" customFormat="1" hidden="1" spans="1:37">
      <c r="A401" s="17" t="s">
        <v>34</v>
      </c>
      <c r="B401" s="19">
        <v>738</v>
      </c>
      <c r="C401" s="64">
        <v>44522</v>
      </c>
      <c r="D401" s="17" t="s">
        <v>52</v>
      </c>
      <c r="E401" s="17" t="s">
        <v>187</v>
      </c>
      <c r="F401" s="17" t="s">
        <v>54</v>
      </c>
      <c r="H401" s="65">
        <v>1.2311</v>
      </c>
      <c r="I401" s="65"/>
      <c r="J401" s="17" t="s">
        <v>49</v>
      </c>
      <c r="K401" s="106">
        <v>1130</v>
      </c>
      <c r="L401" s="96">
        <v>105</v>
      </c>
      <c r="M401" s="17">
        <v>4500</v>
      </c>
      <c r="N401" s="17" t="s">
        <v>66</v>
      </c>
      <c r="O401" s="19" t="s">
        <v>141</v>
      </c>
      <c r="P401" s="107">
        <v>4191</v>
      </c>
      <c r="Q401" s="17">
        <v>4346</v>
      </c>
      <c r="R401" s="17">
        <f t="shared" si="21"/>
        <v>-155</v>
      </c>
      <c r="S401" s="108">
        <v>1290</v>
      </c>
      <c r="T401" s="19" t="s">
        <v>42</v>
      </c>
      <c r="U401" s="17" t="s">
        <v>268</v>
      </c>
      <c r="V401" s="64">
        <v>44524</v>
      </c>
      <c r="W401" s="17" t="s">
        <v>69</v>
      </c>
      <c r="Y401" s="68">
        <v>44562</v>
      </c>
      <c r="Z401" s="17" t="s">
        <v>191</v>
      </c>
      <c r="AA401" s="17" t="s">
        <v>46</v>
      </c>
      <c r="AB401" s="17" t="s">
        <v>272</v>
      </c>
      <c r="AC401" s="66">
        <v>44604</v>
      </c>
      <c r="AD401" s="65">
        <v>1262</v>
      </c>
      <c r="AE401" s="17" t="s">
        <v>74</v>
      </c>
      <c r="AF401" s="17" t="s">
        <v>245</v>
      </c>
      <c r="AH401" s="17" t="s">
        <v>273</v>
      </c>
      <c r="AI401" s="95">
        <f>112880/1000</f>
        <v>112.88</v>
      </c>
    </row>
    <row r="402" s="17" customFormat="1" hidden="1" spans="1:37">
      <c r="B402" s="19">
        <v>739</v>
      </c>
      <c r="C402" s="64">
        <v>44522</v>
      </c>
      <c r="D402" s="17" t="s">
        <v>52</v>
      </c>
      <c r="E402" s="17" t="s">
        <v>187</v>
      </c>
      <c r="F402" s="17" t="s">
        <v>54</v>
      </c>
      <c r="H402" s="65">
        <v>1.2311</v>
      </c>
      <c r="I402" s="65"/>
      <c r="J402" s="17" t="s">
        <v>82</v>
      </c>
      <c r="K402" s="106">
        <v>520</v>
      </c>
      <c r="L402" s="96">
        <v>26</v>
      </c>
      <c r="M402" s="17" t="s">
        <v>274</v>
      </c>
      <c r="N402" s="17" t="s">
        <v>66</v>
      </c>
      <c r="O402" s="19" t="s">
        <v>141</v>
      </c>
      <c r="P402" s="107">
        <v>1751</v>
      </c>
      <c r="R402" s="17">
        <f t="shared" si="21"/>
        <v>1751</v>
      </c>
      <c r="S402" s="108">
        <v>1310</v>
      </c>
      <c r="T402" s="19" t="s">
        <v>42</v>
      </c>
      <c r="U402" s="17" t="s">
        <v>275</v>
      </c>
      <c r="V402" s="67">
        <v>44524</v>
      </c>
      <c r="W402" s="17" t="s">
        <v>69</v>
      </c>
      <c r="Y402" s="68">
        <v>44562</v>
      </c>
      <c r="Z402" s="17" t="s">
        <v>191</v>
      </c>
      <c r="AA402" s="17" t="s">
        <v>46</v>
      </c>
      <c r="AC402" s="66"/>
      <c r="AD402" s="65"/>
      <c r="AE402" s="17" t="s">
        <v>48</v>
      </c>
      <c r="AF402" s="17" t="s">
        <v>245</v>
      </c>
      <c r="AH402" s="17" t="s">
        <v>270</v>
      </c>
      <c r="AI402" s="95">
        <f>114603/1000</f>
        <v>114.603</v>
      </c>
      <c r="AK402" s="17" t="s">
        <v>271</v>
      </c>
    </row>
    <row r="403" s="17" customFormat="1" hidden="1" spans="1:37">
      <c r="A403" s="17" t="s">
        <v>34</v>
      </c>
      <c r="B403" s="19">
        <v>739</v>
      </c>
      <c r="C403" s="64">
        <v>44522</v>
      </c>
      <c r="D403" s="17" t="s">
        <v>52</v>
      </c>
      <c r="E403" s="17" t="s">
        <v>187</v>
      </c>
      <c r="F403" s="17" t="s">
        <v>54</v>
      </c>
      <c r="H403" s="65">
        <v>1.2311</v>
      </c>
      <c r="I403" s="65"/>
      <c r="J403" s="17" t="s">
        <v>82</v>
      </c>
      <c r="K403" s="106">
        <v>510</v>
      </c>
      <c r="L403" s="96">
        <v>26</v>
      </c>
      <c r="M403" s="17">
        <v>5500</v>
      </c>
      <c r="N403" s="17" t="s">
        <v>66</v>
      </c>
      <c r="O403" s="19" t="s">
        <v>141</v>
      </c>
      <c r="P403" s="107">
        <v>3435</v>
      </c>
      <c r="Q403" s="17">
        <v>1180</v>
      </c>
      <c r="R403" s="17">
        <f t="shared" si="21"/>
        <v>2255</v>
      </c>
      <c r="S403" s="108">
        <v>1310</v>
      </c>
      <c r="T403" s="19" t="s">
        <v>42</v>
      </c>
      <c r="U403" s="17" t="s">
        <v>275</v>
      </c>
      <c r="V403" s="67">
        <v>44524</v>
      </c>
      <c r="W403" s="17" t="s">
        <v>69</v>
      </c>
      <c r="Y403" s="68">
        <v>44562</v>
      </c>
      <c r="Z403" s="17" t="s">
        <v>191</v>
      </c>
      <c r="AA403" s="17" t="s">
        <v>46</v>
      </c>
      <c r="AB403" s="17" t="s">
        <v>269</v>
      </c>
      <c r="AC403" s="66">
        <v>44548</v>
      </c>
      <c r="AD403" s="65">
        <v>1250</v>
      </c>
      <c r="AE403" s="17" t="s">
        <v>48</v>
      </c>
      <c r="AF403" s="17" t="s">
        <v>245</v>
      </c>
      <c r="AH403" s="17" t="s">
        <v>270</v>
      </c>
      <c r="AI403" s="95">
        <f>114603/1000</f>
        <v>114.603</v>
      </c>
    </row>
    <row r="404" s="17" customFormat="1" hidden="1" spans="1:37">
      <c r="A404" s="17" t="s">
        <v>34</v>
      </c>
      <c r="B404" s="19">
        <v>739</v>
      </c>
      <c r="C404" s="64">
        <v>44522</v>
      </c>
      <c r="D404" s="17" t="s">
        <v>52</v>
      </c>
      <c r="E404" s="17" t="s">
        <v>187</v>
      </c>
      <c r="F404" s="17" t="s">
        <v>54</v>
      </c>
      <c r="H404" s="65">
        <v>1.2311</v>
      </c>
      <c r="I404" s="65"/>
      <c r="J404" s="17" t="s">
        <v>82</v>
      </c>
      <c r="K404" s="106">
        <v>520</v>
      </c>
      <c r="L404" s="96">
        <v>26</v>
      </c>
      <c r="M404" s="17">
        <v>5500</v>
      </c>
      <c r="N404" s="17" t="s">
        <v>66</v>
      </c>
      <c r="O404" s="19" t="s">
        <v>141</v>
      </c>
      <c r="P404" s="107"/>
      <c r="Q404" s="17">
        <v>1232</v>
      </c>
      <c r="S404" s="108">
        <v>1310</v>
      </c>
      <c r="T404" s="19" t="s">
        <v>42</v>
      </c>
      <c r="U404" s="17" t="s">
        <v>275</v>
      </c>
      <c r="V404" s="67">
        <v>44524</v>
      </c>
      <c r="W404" s="17" t="s">
        <v>69</v>
      </c>
      <c r="Y404" s="68">
        <v>44562</v>
      </c>
      <c r="Z404" s="17" t="s">
        <v>191</v>
      </c>
      <c r="AA404" s="17" t="s">
        <v>46</v>
      </c>
      <c r="AB404" s="17" t="s">
        <v>269</v>
      </c>
      <c r="AC404" s="66">
        <v>44548</v>
      </c>
      <c r="AD404" s="65">
        <v>1250</v>
      </c>
      <c r="AE404" s="17" t="s">
        <v>48</v>
      </c>
      <c r="AF404" s="17" t="s">
        <v>245</v>
      </c>
      <c r="AH404" s="17" t="s">
        <v>270</v>
      </c>
      <c r="AI404" s="95">
        <f>114603/1000</f>
        <v>114.603</v>
      </c>
    </row>
    <row r="405" s="17" customFormat="1" hidden="1" spans="1:37">
      <c r="A405" s="17" t="s">
        <v>34</v>
      </c>
      <c r="B405" s="19">
        <v>739</v>
      </c>
      <c r="C405" s="64">
        <v>44522</v>
      </c>
      <c r="D405" s="17" t="s">
        <v>52</v>
      </c>
      <c r="E405" s="17" t="s">
        <v>187</v>
      </c>
      <c r="F405" s="17" t="s">
        <v>54</v>
      </c>
      <c r="H405" s="65">
        <v>1.2311</v>
      </c>
      <c r="I405" s="65"/>
      <c r="J405" s="17" t="s">
        <v>82</v>
      </c>
      <c r="K405" s="106">
        <v>640</v>
      </c>
      <c r="L405" s="96">
        <v>26</v>
      </c>
      <c r="M405" s="17">
        <v>5500</v>
      </c>
      <c r="N405" s="17" t="s">
        <v>66</v>
      </c>
      <c r="O405" s="19" t="s">
        <v>141</v>
      </c>
      <c r="P405" s="107">
        <v>718</v>
      </c>
      <c r="Q405" s="17">
        <v>733</v>
      </c>
      <c r="R405" s="17">
        <f t="shared" ref="R405:R436" si="22">+P405-Q405</f>
        <v>-15</v>
      </c>
      <c r="S405" s="108">
        <v>1310</v>
      </c>
      <c r="T405" s="19" t="s">
        <v>42</v>
      </c>
      <c r="U405" s="17" t="s">
        <v>275</v>
      </c>
      <c r="V405" s="67">
        <v>44524</v>
      </c>
      <c r="W405" s="17" t="s">
        <v>69</v>
      </c>
      <c r="Y405" s="68">
        <v>44562</v>
      </c>
      <c r="Z405" s="17" t="s">
        <v>191</v>
      </c>
      <c r="AA405" s="17" t="s">
        <v>46</v>
      </c>
      <c r="AB405" s="17" t="s">
        <v>269</v>
      </c>
      <c r="AC405" s="66">
        <v>44548</v>
      </c>
      <c r="AD405" s="65">
        <v>1250</v>
      </c>
      <c r="AE405" s="17" t="s">
        <v>48</v>
      </c>
      <c r="AF405" s="17" t="s">
        <v>245</v>
      </c>
      <c r="AH405" s="17" t="s">
        <v>270</v>
      </c>
      <c r="AI405" s="95">
        <f>114603/1000</f>
        <v>114.603</v>
      </c>
    </row>
    <row r="406" s="17" customFormat="1" hidden="1" spans="1:37">
      <c r="A406" s="17" t="s">
        <v>34</v>
      </c>
      <c r="B406" s="19">
        <v>739</v>
      </c>
      <c r="C406" s="64">
        <v>44522</v>
      </c>
      <c r="D406" s="17" t="s">
        <v>52</v>
      </c>
      <c r="E406" s="17" t="s">
        <v>187</v>
      </c>
      <c r="F406" s="17" t="s">
        <v>54</v>
      </c>
      <c r="H406" s="65">
        <v>1.2311</v>
      </c>
      <c r="I406" s="65"/>
      <c r="J406" s="17" t="s">
        <v>82</v>
      </c>
      <c r="K406" s="106">
        <v>660</v>
      </c>
      <c r="L406" s="96">
        <v>26</v>
      </c>
      <c r="M406" s="17">
        <v>5500</v>
      </c>
      <c r="N406" s="17" t="s">
        <v>66</v>
      </c>
      <c r="O406" s="19" t="s">
        <v>141</v>
      </c>
      <c r="P406" s="107">
        <v>741</v>
      </c>
      <c r="Q406" s="17">
        <v>757</v>
      </c>
      <c r="R406" s="17">
        <f t="shared" si="22"/>
        <v>-16</v>
      </c>
      <c r="S406" s="108">
        <v>1310</v>
      </c>
      <c r="T406" s="19" t="s">
        <v>42</v>
      </c>
      <c r="U406" s="17" t="s">
        <v>275</v>
      </c>
      <c r="V406" s="67">
        <v>44524</v>
      </c>
      <c r="W406" s="17" t="s">
        <v>69</v>
      </c>
      <c r="Y406" s="68">
        <v>44562</v>
      </c>
      <c r="Z406" s="17" t="s">
        <v>191</v>
      </c>
      <c r="AA406" s="17" t="s">
        <v>46</v>
      </c>
      <c r="AB406" s="17" t="s">
        <v>269</v>
      </c>
      <c r="AC406" s="66">
        <v>44548</v>
      </c>
      <c r="AD406" s="65">
        <v>1250</v>
      </c>
      <c r="AE406" s="17" t="s">
        <v>48</v>
      </c>
      <c r="AF406" s="17" t="s">
        <v>245</v>
      </c>
      <c r="AH406" s="17" t="s">
        <v>270</v>
      </c>
      <c r="AI406" s="95">
        <f>114603/1000</f>
        <v>114.603</v>
      </c>
    </row>
    <row r="407" s="17" customFormat="1" hidden="1" spans="1:37">
      <c r="A407" s="17" t="s">
        <v>34</v>
      </c>
      <c r="B407" s="19">
        <v>739</v>
      </c>
      <c r="C407" s="64">
        <v>44522</v>
      </c>
      <c r="D407" s="17" t="s">
        <v>52</v>
      </c>
      <c r="E407" s="17" t="s">
        <v>187</v>
      </c>
      <c r="F407" s="17" t="s">
        <v>54</v>
      </c>
      <c r="H407" s="65">
        <v>1.2311</v>
      </c>
      <c r="I407" s="65"/>
      <c r="J407" s="17" t="s">
        <v>49</v>
      </c>
      <c r="K407" s="106">
        <v>1200</v>
      </c>
      <c r="L407" s="96">
        <v>26</v>
      </c>
      <c r="M407" s="17">
        <v>5500</v>
      </c>
      <c r="N407" s="17" t="s">
        <v>66</v>
      </c>
      <c r="O407" s="19" t="s">
        <v>141</v>
      </c>
      <c r="P407" s="107">
        <v>1347</v>
      </c>
      <c r="Q407" s="17">
        <v>1378</v>
      </c>
      <c r="R407" s="17">
        <f t="shared" si="22"/>
        <v>-31</v>
      </c>
      <c r="S407" s="108">
        <v>1290</v>
      </c>
      <c r="T407" s="19" t="s">
        <v>42</v>
      </c>
      <c r="U407" s="17" t="s">
        <v>275</v>
      </c>
      <c r="V407" s="64">
        <v>44524</v>
      </c>
      <c r="W407" s="17" t="s">
        <v>69</v>
      </c>
      <c r="Y407" s="68">
        <v>44562</v>
      </c>
      <c r="Z407" s="17" t="s">
        <v>191</v>
      </c>
      <c r="AA407" s="17" t="s">
        <v>46</v>
      </c>
      <c r="AB407" s="17" t="s">
        <v>272</v>
      </c>
      <c r="AC407" s="66">
        <v>44604</v>
      </c>
      <c r="AD407" s="65">
        <v>1262</v>
      </c>
      <c r="AE407" s="17" t="s">
        <v>48</v>
      </c>
      <c r="AF407" s="17" t="s">
        <v>245</v>
      </c>
      <c r="AH407" s="17" t="s">
        <v>273</v>
      </c>
      <c r="AI407" s="95">
        <f>112880/1000</f>
        <v>112.88</v>
      </c>
    </row>
    <row r="408" s="17" customFormat="1" hidden="1" spans="1:37">
      <c r="B408" s="19">
        <v>739</v>
      </c>
      <c r="C408" s="64">
        <v>44522</v>
      </c>
      <c r="D408" s="17" t="s">
        <v>52</v>
      </c>
      <c r="E408" s="17" t="s">
        <v>187</v>
      </c>
      <c r="F408" s="17" t="s">
        <v>54</v>
      </c>
      <c r="H408" s="65">
        <v>1.2311</v>
      </c>
      <c r="I408" s="65"/>
      <c r="J408" s="17" t="s">
        <v>82</v>
      </c>
      <c r="K408" s="106">
        <v>510</v>
      </c>
      <c r="L408" s="96">
        <v>50</v>
      </c>
      <c r="M408" s="17" t="s">
        <v>274</v>
      </c>
      <c r="N408" s="17" t="s">
        <v>66</v>
      </c>
      <c r="O408" s="19" t="s">
        <v>141</v>
      </c>
      <c r="P408" s="107">
        <v>3303</v>
      </c>
      <c r="R408" s="17">
        <f t="shared" si="22"/>
        <v>3303</v>
      </c>
      <c r="S408" s="108">
        <v>1310</v>
      </c>
      <c r="T408" s="19" t="s">
        <v>42</v>
      </c>
      <c r="U408" s="17" t="s">
        <v>275</v>
      </c>
      <c r="V408" s="67">
        <v>44524</v>
      </c>
      <c r="W408" s="17" t="s">
        <v>69</v>
      </c>
      <c r="Y408" s="68">
        <v>44562</v>
      </c>
      <c r="Z408" s="17" t="s">
        <v>191</v>
      </c>
      <c r="AA408" s="17" t="s">
        <v>46</v>
      </c>
      <c r="AC408" s="66"/>
      <c r="AD408" s="65"/>
      <c r="AE408" s="17" t="s">
        <v>48</v>
      </c>
      <c r="AF408" s="17" t="s">
        <v>245</v>
      </c>
      <c r="AH408" s="17" t="s">
        <v>270</v>
      </c>
      <c r="AI408" s="95">
        <f>114603/1000</f>
        <v>114.603</v>
      </c>
      <c r="AK408" s="17" t="s">
        <v>271</v>
      </c>
    </row>
    <row r="409" s="17" customFormat="1" hidden="1" spans="1:37">
      <c r="A409" s="17" t="s">
        <v>34</v>
      </c>
      <c r="B409" s="19">
        <v>739</v>
      </c>
      <c r="C409" s="64">
        <v>44522</v>
      </c>
      <c r="D409" s="17" t="s">
        <v>52</v>
      </c>
      <c r="E409" s="17" t="s">
        <v>187</v>
      </c>
      <c r="F409" s="17" t="s">
        <v>54</v>
      </c>
      <c r="H409" s="65">
        <v>1.2311</v>
      </c>
      <c r="I409" s="65"/>
      <c r="J409" s="17" t="s">
        <v>82</v>
      </c>
      <c r="K409" s="106">
        <v>710</v>
      </c>
      <c r="L409" s="96">
        <v>50</v>
      </c>
      <c r="M409" s="17">
        <v>5500</v>
      </c>
      <c r="N409" s="17" t="s">
        <v>66</v>
      </c>
      <c r="O409" s="19" t="s">
        <v>141</v>
      </c>
      <c r="P409" s="107">
        <v>3065</v>
      </c>
      <c r="Q409" s="17">
        <v>1587</v>
      </c>
      <c r="R409" s="17">
        <f t="shared" si="22"/>
        <v>1478</v>
      </c>
      <c r="S409" s="108">
        <v>1310</v>
      </c>
      <c r="T409" s="19" t="s">
        <v>42</v>
      </c>
      <c r="U409" s="17" t="s">
        <v>275</v>
      </c>
      <c r="V409" s="64">
        <v>44524</v>
      </c>
      <c r="W409" s="17" t="s">
        <v>69</v>
      </c>
      <c r="Y409" s="68">
        <v>44562</v>
      </c>
      <c r="Z409" s="17" t="s">
        <v>191</v>
      </c>
      <c r="AA409" s="17" t="s">
        <v>46</v>
      </c>
      <c r="AB409" s="17" t="s">
        <v>272</v>
      </c>
      <c r="AC409" s="66">
        <v>44604</v>
      </c>
      <c r="AD409" s="65">
        <v>1262</v>
      </c>
      <c r="AE409" s="17" t="s">
        <v>48</v>
      </c>
      <c r="AF409" s="17" t="s">
        <v>245</v>
      </c>
      <c r="AH409" s="17" t="s">
        <v>270</v>
      </c>
      <c r="AI409" s="95">
        <f>114603/1000</f>
        <v>114.603</v>
      </c>
    </row>
    <row r="410" s="17" customFormat="1" hidden="1" spans="1:37">
      <c r="A410" s="17" t="s">
        <v>34</v>
      </c>
      <c r="B410" s="19">
        <v>739</v>
      </c>
      <c r="C410" s="64">
        <v>44522</v>
      </c>
      <c r="D410" s="17" t="s">
        <v>52</v>
      </c>
      <c r="E410" s="17" t="s">
        <v>187</v>
      </c>
      <c r="F410" s="17" t="s">
        <v>54</v>
      </c>
      <c r="H410" s="65">
        <v>1.2311</v>
      </c>
      <c r="I410" s="65"/>
      <c r="J410" s="17" t="s">
        <v>82</v>
      </c>
      <c r="K410" s="106">
        <v>830</v>
      </c>
      <c r="L410" s="96">
        <v>50</v>
      </c>
      <c r="M410" s="17">
        <v>5500</v>
      </c>
      <c r="N410" s="17" t="s">
        <v>66</v>
      </c>
      <c r="O410" s="19" t="s">
        <v>141</v>
      </c>
      <c r="P410" s="107">
        <v>1792</v>
      </c>
      <c r="Q410" s="17">
        <v>1899</v>
      </c>
      <c r="R410" s="17">
        <f t="shared" si="22"/>
        <v>-107</v>
      </c>
      <c r="S410" s="108">
        <v>1310</v>
      </c>
      <c r="T410" s="19" t="s">
        <v>42</v>
      </c>
      <c r="U410" s="17" t="s">
        <v>275</v>
      </c>
      <c r="V410" s="64">
        <v>44524</v>
      </c>
      <c r="W410" s="17" t="s">
        <v>69</v>
      </c>
      <c r="Y410" s="68">
        <v>44562</v>
      </c>
      <c r="Z410" s="17" t="s">
        <v>191</v>
      </c>
      <c r="AA410" s="17" t="s">
        <v>46</v>
      </c>
      <c r="AB410" s="17" t="s">
        <v>272</v>
      </c>
      <c r="AC410" s="66">
        <v>44604</v>
      </c>
      <c r="AD410" s="65">
        <v>1262</v>
      </c>
      <c r="AE410" s="17" t="s">
        <v>48</v>
      </c>
      <c r="AF410" s="17" t="s">
        <v>245</v>
      </c>
      <c r="AH410" s="17" t="s">
        <v>270</v>
      </c>
      <c r="AI410" s="95">
        <f>114603/1000</f>
        <v>114.603</v>
      </c>
    </row>
    <row r="411" s="17" customFormat="1" hidden="1" spans="1:37">
      <c r="B411" s="19">
        <v>739</v>
      </c>
      <c r="C411" s="64">
        <v>44522</v>
      </c>
      <c r="D411" s="17" t="s">
        <v>52</v>
      </c>
      <c r="E411" s="17" t="s">
        <v>187</v>
      </c>
      <c r="F411" s="17" t="s">
        <v>54</v>
      </c>
      <c r="H411" s="65">
        <v>1.2311</v>
      </c>
      <c r="I411" s="65"/>
      <c r="J411" s="17" t="s">
        <v>82</v>
      </c>
      <c r="K411" s="106">
        <v>660</v>
      </c>
      <c r="L411" s="96">
        <v>50</v>
      </c>
      <c r="M411" s="17" t="s">
        <v>274</v>
      </c>
      <c r="N411" s="17" t="s">
        <v>66</v>
      </c>
      <c r="O411" s="19" t="s">
        <v>141</v>
      </c>
      <c r="P411" s="107">
        <v>1425</v>
      </c>
      <c r="R411" s="17">
        <f t="shared" si="22"/>
        <v>1425</v>
      </c>
      <c r="S411" s="108">
        <v>1310</v>
      </c>
      <c r="T411" s="19" t="s">
        <v>42</v>
      </c>
      <c r="U411" s="17" t="s">
        <v>275</v>
      </c>
      <c r="V411" s="64">
        <v>44524</v>
      </c>
      <c r="W411" s="17" t="s">
        <v>69</v>
      </c>
      <c r="Y411" s="68">
        <v>44562</v>
      </c>
      <c r="Z411" s="17" t="s">
        <v>191</v>
      </c>
      <c r="AA411" s="17" t="s">
        <v>46</v>
      </c>
      <c r="AC411" s="66"/>
      <c r="AD411" s="65"/>
      <c r="AE411" s="17" t="s">
        <v>48</v>
      </c>
      <c r="AF411" s="17" t="s">
        <v>245</v>
      </c>
      <c r="AH411" s="17" t="s">
        <v>270</v>
      </c>
      <c r="AI411" s="95">
        <f>114603/1000</f>
        <v>114.603</v>
      </c>
      <c r="AK411" s="17" t="s">
        <v>271</v>
      </c>
    </row>
    <row r="412" s="17" customFormat="1" hidden="1" spans="1:37">
      <c r="A412" s="17" t="s">
        <v>34</v>
      </c>
      <c r="B412" s="19">
        <v>739</v>
      </c>
      <c r="C412" s="64">
        <v>44522</v>
      </c>
      <c r="D412" s="17" t="s">
        <v>52</v>
      </c>
      <c r="E412" s="17" t="s">
        <v>187</v>
      </c>
      <c r="F412" s="17" t="s">
        <v>54</v>
      </c>
      <c r="H412" s="65">
        <v>1.2311</v>
      </c>
      <c r="I412" s="65"/>
      <c r="J412" s="17" t="s">
        <v>49</v>
      </c>
      <c r="K412" s="106">
        <v>2240</v>
      </c>
      <c r="L412" s="96">
        <v>16</v>
      </c>
      <c r="M412" s="17">
        <v>5500</v>
      </c>
      <c r="N412" s="17" t="s">
        <v>66</v>
      </c>
      <c r="O412" s="19" t="s">
        <v>141</v>
      </c>
      <c r="P412" s="107">
        <v>1547</v>
      </c>
      <c r="Q412" s="17">
        <v>1610</v>
      </c>
      <c r="R412" s="17">
        <f t="shared" si="22"/>
        <v>-63</v>
      </c>
      <c r="S412" s="108">
        <v>1310</v>
      </c>
      <c r="T412" s="19" t="s">
        <v>42</v>
      </c>
      <c r="U412" s="17" t="s">
        <v>275</v>
      </c>
      <c r="V412" s="64">
        <v>44524</v>
      </c>
      <c r="W412" s="17" t="s">
        <v>69</v>
      </c>
      <c r="Y412" s="68">
        <v>44562</v>
      </c>
      <c r="Z412" s="17" t="s">
        <v>191</v>
      </c>
      <c r="AA412" s="17" t="s">
        <v>46</v>
      </c>
      <c r="AB412" s="17" t="s">
        <v>269</v>
      </c>
      <c r="AC412" s="66">
        <v>44548</v>
      </c>
      <c r="AD412" s="65">
        <v>1250</v>
      </c>
      <c r="AE412" s="17" t="s">
        <v>48</v>
      </c>
      <c r="AF412" s="17" t="s">
        <v>245</v>
      </c>
      <c r="AH412" s="17" t="s">
        <v>270</v>
      </c>
      <c r="AI412" s="95">
        <f>114603/1000</f>
        <v>114.603</v>
      </c>
    </row>
    <row r="413" s="17" customFormat="1" hidden="1" spans="1:37">
      <c r="A413" s="17" t="s">
        <v>34</v>
      </c>
      <c r="B413" s="19">
        <v>739</v>
      </c>
      <c r="C413" s="64">
        <v>44522</v>
      </c>
      <c r="D413" s="17" t="s">
        <v>52</v>
      </c>
      <c r="E413" s="17" t="s">
        <v>187</v>
      </c>
      <c r="F413" s="17" t="s">
        <v>54</v>
      </c>
      <c r="H413" s="65">
        <v>1.2311</v>
      </c>
      <c r="I413" s="65"/>
      <c r="J413" s="17" t="s">
        <v>49</v>
      </c>
      <c r="K413" s="106">
        <v>2240</v>
      </c>
      <c r="L413" s="96">
        <v>26</v>
      </c>
      <c r="M413" s="17">
        <v>5500</v>
      </c>
      <c r="N413" s="17" t="s">
        <v>66</v>
      </c>
      <c r="O413" s="19" t="s">
        <v>141</v>
      </c>
      <c r="P413" s="107">
        <v>5029</v>
      </c>
      <c r="Q413" s="17">
        <v>5160</v>
      </c>
      <c r="R413" s="17">
        <f t="shared" si="22"/>
        <v>-131</v>
      </c>
      <c r="S413" s="108">
        <v>1290</v>
      </c>
      <c r="T413" s="19" t="s">
        <v>42</v>
      </c>
      <c r="U413" s="17" t="s">
        <v>275</v>
      </c>
      <c r="V413" s="64">
        <v>44524</v>
      </c>
      <c r="W413" s="17" t="s">
        <v>69</v>
      </c>
      <c r="Y413" s="68">
        <v>44562</v>
      </c>
      <c r="Z413" s="17" t="s">
        <v>191</v>
      </c>
      <c r="AA413" s="17" t="s">
        <v>46</v>
      </c>
      <c r="AB413" s="17" t="s">
        <v>269</v>
      </c>
      <c r="AC413" s="66">
        <v>44548</v>
      </c>
      <c r="AD413" s="65">
        <v>1250</v>
      </c>
      <c r="AE413" s="17" t="s">
        <v>48</v>
      </c>
      <c r="AF413" s="17" t="s">
        <v>245</v>
      </c>
      <c r="AH413" s="17" t="s">
        <v>273</v>
      </c>
      <c r="AI413" s="95">
        <f>112880/1000</f>
        <v>112.88</v>
      </c>
    </row>
    <row r="414" s="17" customFormat="1" hidden="1" spans="1:37">
      <c r="A414" s="17" t="s">
        <v>34</v>
      </c>
      <c r="B414" s="19">
        <v>740</v>
      </c>
      <c r="C414" s="64">
        <v>44537</v>
      </c>
      <c r="D414" s="17" t="s">
        <v>52</v>
      </c>
      <c r="E414" s="17" t="s">
        <v>187</v>
      </c>
      <c r="F414" s="17" t="s">
        <v>54</v>
      </c>
      <c r="H414" s="65">
        <v>1.2344</v>
      </c>
      <c r="I414" s="65"/>
      <c r="J414" s="17" t="s">
        <v>39</v>
      </c>
      <c r="K414" s="17">
        <v>20.3</v>
      </c>
      <c r="M414" s="17">
        <v>5700</v>
      </c>
      <c r="N414" s="17" t="s">
        <v>40</v>
      </c>
      <c r="O414" s="19" t="s">
        <v>84</v>
      </c>
      <c r="P414" s="19">
        <v>1594</v>
      </c>
      <c r="Q414" s="17">
        <v>1478</v>
      </c>
      <c r="R414" s="17">
        <f t="shared" si="22"/>
        <v>116</v>
      </c>
      <c r="S414" s="17">
        <v>2725</v>
      </c>
      <c r="T414" s="19" t="s">
        <v>42</v>
      </c>
      <c r="U414" s="17" t="s">
        <v>276</v>
      </c>
      <c r="V414" s="64">
        <v>44532</v>
      </c>
      <c r="W414" s="17" t="s">
        <v>69</v>
      </c>
      <c r="Y414" s="68">
        <v>44531</v>
      </c>
      <c r="Z414" s="17" t="s">
        <v>191</v>
      </c>
      <c r="AA414" s="17" t="s">
        <v>46</v>
      </c>
      <c r="AB414" s="17" t="s">
        <v>277</v>
      </c>
      <c r="AC414" s="66">
        <v>44560</v>
      </c>
      <c r="AD414" s="65">
        <v>1256</v>
      </c>
      <c r="AE414" s="17" t="s">
        <v>74</v>
      </c>
      <c r="AF414" s="17" t="s">
        <v>245</v>
      </c>
      <c r="AH414" s="17" t="s">
        <v>278</v>
      </c>
      <c r="AI414" s="95">
        <f t="shared" ref="AI414:AI426" si="23">239116.61/1000</f>
        <v>239.11661</v>
      </c>
      <c r="AK414" s="109"/>
    </row>
    <row r="415" s="17" customFormat="1" hidden="1" spans="1:37">
      <c r="A415" s="17" t="s">
        <v>34</v>
      </c>
      <c r="B415" s="19">
        <v>740</v>
      </c>
      <c r="C415" s="64">
        <v>44537</v>
      </c>
      <c r="D415" s="17" t="s">
        <v>52</v>
      </c>
      <c r="E415" s="17" t="s">
        <v>187</v>
      </c>
      <c r="F415" s="17" t="s">
        <v>54</v>
      </c>
      <c r="H415" s="65">
        <v>1.2344</v>
      </c>
      <c r="I415" s="65"/>
      <c r="J415" s="17" t="s">
        <v>39</v>
      </c>
      <c r="K415" s="17">
        <v>25.3</v>
      </c>
      <c r="L415" s="17" t="s">
        <v>184</v>
      </c>
      <c r="M415" s="17">
        <v>5700</v>
      </c>
      <c r="N415" s="17" t="s">
        <v>40</v>
      </c>
      <c r="O415" s="19" t="s">
        <v>84</v>
      </c>
      <c r="P415" s="19">
        <v>1576</v>
      </c>
      <c r="Q415" s="17">
        <v>1488</v>
      </c>
      <c r="R415" s="17">
        <f t="shared" si="22"/>
        <v>88</v>
      </c>
      <c r="S415" s="17">
        <v>2725</v>
      </c>
      <c r="T415" s="19" t="s">
        <v>42</v>
      </c>
      <c r="U415" s="17" t="s">
        <v>276</v>
      </c>
      <c r="V415" s="64">
        <v>44532</v>
      </c>
      <c r="W415" s="17" t="s">
        <v>69</v>
      </c>
      <c r="Y415" s="68">
        <v>44531</v>
      </c>
      <c r="Z415" s="17" t="s">
        <v>191</v>
      </c>
      <c r="AA415" s="17" t="s">
        <v>46</v>
      </c>
      <c r="AB415" s="17" t="s">
        <v>277</v>
      </c>
      <c r="AC415" s="66">
        <v>44560</v>
      </c>
      <c r="AD415" s="65">
        <v>1256</v>
      </c>
      <c r="AE415" s="17" t="s">
        <v>74</v>
      </c>
      <c r="AF415" s="17" t="s">
        <v>245</v>
      </c>
      <c r="AH415" s="17" t="s">
        <v>278</v>
      </c>
      <c r="AI415" s="95">
        <f t="shared" si="23"/>
        <v>239.11661</v>
      </c>
    </row>
    <row r="416" s="17" customFormat="1" hidden="1" spans="1:37">
      <c r="A416" s="17" t="s">
        <v>34</v>
      </c>
      <c r="B416" s="19">
        <v>740</v>
      </c>
      <c r="C416" s="64">
        <v>44537</v>
      </c>
      <c r="D416" s="17" t="s">
        <v>52</v>
      </c>
      <c r="E416" s="17" t="s">
        <v>187</v>
      </c>
      <c r="F416" s="17" t="s">
        <v>54</v>
      </c>
      <c r="H416" s="65">
        <v>1.2344</v>
      </c>
      <c r="I416" s="65"/>
      <c r="J416" s="17" t="s">
        <v>39</v>
      </c>
      <c r="K416" s="106">
        <v>30.3</v>
      </c>
      <c r="M416" s="17">
        <v>5700</v>
      </c>
      <c r="N416" s="17" t="s">
        <v>40</v>
      </c>
      <c r="O416" s="19" t="s">
        <v>84</v>
      </c>
      <c r="P416" s="19">
        <v>1550</v>
      </c>
      <c r="Q416" s="17">
        <v>1394</v>
      </c>
      <c r="R416" s="17">
        <f t="shared" si="22"/>
        <v>156</v>
      </c>
      <c r="S416" s="17">
        <v>2725</v>
      </c>
      <c r="T416" s="19" t="s">
        <v>42</v>
      </c>
      <c r="U416" s="17" t="s">
        <v>276</v>
      </c>
      <c r="V416" s="64">
        <v>44532</v>
      </c>
      <c r="W416" s="17" t="s">
        <v>69</v>
      </c>
      <c r="Y416" s="68">
        <v>44531</v>
      </c>
      <c r="Z416" s="17" t="s">
        <v>191</v>
      </c>
      <c r="AA416" s="17" t="s">
        <v>46</v>
      </c>
      <c r="AB416" s="17" t="s">
        <v>277</v>
      </c>
      <c r="AC416" s="66">
        <v>44560</v>
      </c>
      <c r="AD416" s="65">
        <v>1256</v>
      </c>
      <c r="AE416" s="17" t="s">
        <v>74</v>
      </c>
      <c r="AF416" s="17" t="s">
        <v>245</v>
      </c>
      <c r="AH416" s="17" t="s">
        <v>278</v>
      </c>
      <c r="AI416" s="95">
        <f t="shared" si="23"/>
        <v>239.11661</v>
      </c>
    </row>
    <row r="417" s="17" customFormat="1" hidden="1" spans="1:37">
      <c r="A417" s="17" t="s">
        <v>34</v>
      </c>
      <c r="B417" s="19">
        <v>740</v>
      </c>
      <c r="C417" s="64">
        <v>44537</v>
      </c>
      <c r="D417" s="17" t="s">
        <v>52</v>
      </c>
      <c r="E417" s="17" t="s">
        <v>187</v>
      </c>
      <c r="F417" s="17" t="s">
        <v>54</v>
      </c>
      <c r="H417" s="65">
        <v>1.2344</v>
      </c>
      <c r="I417" s="65"/>
      <c r="J417" s="17" t="s">
        <v>39</v>
      </c>
      <c r="K417" s="106">
        <v>35.3</v>
      </c>
      <c r="M417" s="17">
        <v>5700</v>
      </c>
      <c r="N417" s="17" t="s">
        <v>40</v>
      </c>
      <c r="O417" s="19" t="s">
        <v>84</v>
      </c>
      <c r="P417" s="19">
        <v>1534</v>
      </c>
      <c r="Q417" s="17">
        <v>1484</v>
      </c>
      <c r="R417" s="17">
        <f t="shared" si="22"/>
        <v>50</v>
      </c>
      <c r="S417" s="17">
        <v>2725</v>
      </c>
      <c r="T417" s="19" t="s">
        <v>42</v>
      </c>
      <c r="U417" s="17" t="s">
        <v>276</v>
      </c>
      <c r="V417" s="64">
        <v>44532</v>
      </c>
      <c r="W417" s="17" t="s">
        <v>69</v>
      </c>
      <c r="Y417" s="68">
        <v>44531</v>
      </c>
      <c r="Z417" s="17" t="s">
        <v>191</v>
      </c>
      <c r="AA417" s="17" t="s">
        <v>46</v>
      </c>
      <c r="AB417" s="17" t="s">
        <v>277</v>
      </c>
      <c r="AC417" s="66">
        <v>44560</v>
      </c>
      <c r="AD417" s="65">
        <v>1256</v>
      </c>
      <c r="AE417" s="17" t="s">
        <v>74</v>
      </c>
      <c r="AF417" s="17" t="s">
        <v>245</v>
      </c>
      <c r="AH417" s="17" t="s">
        <v>278</v>
      </c>
      <c r="AI417" s="95">
        <f t="shared" si="23"/>
        <v>239.11661</v>
      </c>
    </row>
    <row r="418" s="17" customFormat="1" hidden="1" spans="1:37">
      <c r="A418" s="17" t="s">
        <v>34</v>
      </c>
      <c r="B418" s="19">
        <v>740</v>
      </c>
      <c r="C418" s="64">
        <v>44537</v>
      </c>
      <c r="D418" s="17" t="s">
        <v>52</v>
      </c>
      <c r="E418" s="17" t="s">
        <v>187</v>
      </c>
      <c r="F418" s="17" t="s">
        <v>54</v>
      </c>
      <c r="H418" s="65">
        <v>1.2344</v>
      </c>
      <c r="I418" s="65"/>
      <c r="J418" s="17" t="s">
        <v>39</v>
      </c>
      <c r="K418" s="106">
        <v>40.3</v>
      </c>
      <c r="M418" s="17">
        <v>5700</v>
      </c>
      <c r="N418" s="17" t="s">
        <v>40</v>
      </c>
      <c r="O418" s="19" t="s">
        <v>84</v>
      </c>
      <c r="P418" s="19">
        <v>1542</v>
      </c>
      <c r="Q418" s="17">
        <v>1532</v>
      </c>
      <c r="R418" s="17">
        <f t="shared" si="22"/>
        <v>10</v>
      </c>
      <c r="S418" s="17">
        <v>2725</v>
      </c>
      <c r="T418" s="19" t="s">
        <v>42</v>
      </c>
      <c r="U418" s="17" t="s">
        <v>276</v>
      </c>
      <c r="V418" s="64">
        <v>44532</v>
      </c>
      <c r="W418" s="17" t="s">
        <v>69</v>
      </c>
      <c r="Y418" s="68">
        <v>44531</v>
      </c>
      <c r="Z418" s="17" t="s">
        <v>191</v>
      </c>
      <c r="AA418" s="17" t="s">
        <v>46</v>
      </c>
      <c r="AB418" s="17" t="s">
        <v>277</v>
      </c>
      <c r="AC418" s="66">
        <v>44560</v>
      </c>
      <c r="AD418" s="65">
        <v>1256</v>
      </c>
      <c r="AE418" s="17" t="s">
        <v>74</v>
      </c>
      <c r="AF418" s="17" t="s">
        <v>245</v>
      </c>
      <c r="AH418" s="17" t="s">
        <v>278</v>
      </c>
      <c r="AI418" s="95">
        <f t="shared" si="23"/>
        <v>239.11661</v>
      </c>
    </row>
    <row r="419" s="17" customFormat="1" hidden="1" spans="1:37">
      <c r="A419" s="17" t="s">
        <v>34</v>
      </c>
      <c r="B419" s="19">
        <v>740</v>
      </c>
      <c r="C419" s="64">
        <v>44537</v>
      </c>
      <c r="D419" s="17" t="s">
        <v>52</v>
      </c>
      <c r="E419" s="17" t="s">
        <v>187</v>
      </c>
      <c r="F419" s="17" t="s">
        <v>54</v>
      </c>
      <c r="H419" s="65">
        <v>1.2344</v>
      </c>
      <c r="I419" s="65"/>
      <c r="J419" s="17" t="s">
        <v>39</v>
      </c>
      <c r="K419" s="106">
        <v>45.3</v>
      </c>
      <c r="M419" s="17">
        <v>5700</v>
      </c>
      <c r="N419" s="17" t="s">
        <v>40</v>
      </c>
      <c r="O419" s="19" t="s">
        <v>84</v>
      </c>
      <c r="P419" s="19">
        <v>577</v>
      </c>
      <c r="Q419" s="17">
        <v>1526</v>
      </c>
      <c r="R419" s="17">
        <f t="shared" si="22"/>
        <v>-949</v>
      </c>
      <c r="S419" s="17">
        <v>2725</v>
      </c>
      <c r="T419" s="19" t="s">
        <v>42</v>
      </c>
      <c r="U419" s="17" t="s">
        <v>276</v>
      </c>
      <c r="V419" s="64">
        <v>44532</v>
      </c>
      <c r="W419" s="17" t="s">
        <v>69</v>
      </c>
      <c r="Y419" s="68">
        <v>44531</v>
      </c>
      <c r="Z419" s="17" t="s">
        <v>191</v>
      </c>
      <c r="AA419" s="17" t="s">
        <v>46</v>
      </c>
      <c r="AB419" s="17" t="s">
        <v>277</v>
      </c>
      <c r="AC419" s="66">
        <v>44560</v>
      </c>
      <c r="AD419" s="65">
        <v>1256</v>
      </c>
      <c r="AE419" s="17" t="s">
        <v>74</v>
      </c>
      <c r="AF419" s="17" t="s">
        <v>245</v>
      </c>
      <c r="AH419" s="17" t="s">
        <v>278</v>
      </c>
      <c r="AI419" s="95">
        <f t="shared" si="23"/>
        <v>239.11661</v>
      </c>
    </row>
    <row r="420" s="17" customFormat="1" hidden="1" spans="1:37">
      <c r="A420" s="17" t="s">
        <v>34</v>
      </c>
      <c r="B420" s="19">
        <v>740</v>
      </c>
      <c r="C420" s="64">
        <v>44537</v>
      </c>
      <c r="D420" s="17" t="s">
        <v>52</v>
      </c>
      <c r="E420" s="17" t="s">
        <v>187</v>
      </c>
      <c r="F420" s="17" t="s">
        <v>54</v>
      </c>
      <c r="H420" s="65">
        <v>1.2344</v>
      </c>
      <c r="I420" s="65"/>
      <c r="J420" s="17" t="s">
        <v>39</v>
      </c>
      <c r="K420" s="106">
        <v>50.3</v>
      </c>
      <c r="M420" s="17">
        <v>5700</v>
      </c>
      <c r="N420" s="17" t="s">
        <v>40</v>
      </c>
      <c r="O420" s="19" t="s">
        <v>84</v>
      </c>
      <c r="P420" s="19">
        <v>1513</v>
      </c>
      <c r="Q420" s="17">
        <v>1404</v>
      </c>
      <c r="R420" s="17">
        <f t="shared" si="22"/>
        <v>109</v>
      </c>
      <c r="S420" s="17">
        <v>2725</v>
      </c>
      <c r="T420" s="19" t="s">
        <v>42</v>
      </c>
      <c r="U420" s="17" t="s">
        <v>276</v>
      </c>
      <c r="V420" s="64">
        <v>44532</v>
      </c>
      <c r="W420" s="17" t="s">
        <v>69</v>
      </c>
      <c r="Y420" s="68">
        <v>44531</v>
      </c>
      <c r="Z420" s="17" t="s">
        <v>191</v>
      </c>
      <c r="AA420" s="17" t="s">
        <v>46</v>
      </c>
      <c r="AB420" s="17" t="s">
        <v>277</v>
      </c>
      <c r="AC420" s="66">
        <v>44560</v>
      </c>
      <c r="AD420" s="65">
        <v>1256</v>
      </c>
      <c r="AE420" s="17" t="s">
        <v>74</v>
      </c>
      <c r="AF420" s="17" t="s">
        <v>245</v>
      </c>
      <c r="AH420" s="17" t="s">
        <v>278</v>
      </c>
      <c r="AI420" s="95">
        <f t="shared" si="23"/>
        <v>239.11661</v>
      </c>
    </row>
    <row r="421" s="17" customFormat="1" hidden="1" spans="1:37">
      <c r="A421" s="17" t="s">
        <v>34</v>
      </c>
      <c r="B421" s="19">
        <v>740</v>
      </c>
      <c r="C421" s="64">
        <v>44537</v>
      </c>
      <c r="D421" s="17" t="s">
        <v>52</v>
      </c>
      <c r="E421" s="17" t="s">
        <v>187</v>
      </c>
      <c r="F421" s="17" t="s">
        <v>54</v>
      </c>
      <c r="H421" s="65">
        <v>1.2344</v>
      </c>
      <c r="I421" s="65"/>
      <c r="J421" s="17" t="s">
        <v>39</v>
      </c>
      <c r="K421" s="106">
        <v>55.3</v>
      </c>
      <c r="M421" s="17">
        <v>5700</v>
      </c>
      <c r="N421" s="17" t="s">
        <v>40</v>
      </c>
      <c r="O421" s="19" t="s">
        <v>84</v>
      </c>
      <c r="P421" s="19">
        <v>1506</v>
      </c>
      <c r="Q421" s="17">
        <v>1494</v>
      </c>
      <c r="R421" s="17">
        <f t="shared" si="22"/>
        <v>12</v>
      </c>
      <c r="S421" s="17">
        <v>2725</v>
      </c>
      <c r="T421" s="19" t="s">
        <v>42</v>
      </c>
      <c r="U421" s="17" t="s">
        <v>276</v>
      </c>
      <c r="V421" s="64">
        <v>44532</v>
      </c>
      <c r="W421" s="17" t="s">
        <v>69</v>
      </c>
      <c r="Y421" s="68">
        <v>44531</v>
      </c>
      <c r="Z421" s="17" t="s">
        <v>191</v>
      </c>
      <c r="AA421" s="17" t="s">
        <v>46</v>
      </c>
      <c r="AB421" s="17" t="s">
        <v>277</v>
      </c>
      <c r="AC421" s="66">
        <v>44560</v>
      </c>
      <c r="AD421" s="65">
        <v>1256</v>
      </c>
      <c r="AE421" s="17" t="s">
        <v>74</v>
      </c>
      <c r="AF421" s="17" t="s">
        <v>245</v>
      </c>
      <c r="AH421" s="17" t="s">
        <v>278</v>
      </c>
      <c r="AI421" s="95">
        <f t="shared" si="23"/>
        <v>239.11661</v>
      </c>
    </row>
    <row r="422" s="17" customFormat="1" hidden="1" spans="1:37">
      <c r="A422" s="17" t="s">
        <v>34</v>
      </c>
      <c r="B422" s="19">
        <v>740</v>
      </c>
      <c r="C422" s="64">
        <v>44537</v>
      </c>
      <c r="D422" s="17" t="s">
        <v>52</v>
      </c>
      <c r="E422" s="17" t="s">
        <v>187</v>
      </c>
      <c r="F422" s="17" t="s">
        <v>54</v>
      </c>
      <c r="H422" s="65">
        <v>1.2344</v>
      </c>
      <c r="I422" s="65"/>
      <c r="J422" s="17" t="s">
        <v>39</v>
      </c>
      <c r="K422" s="106">
        <v>61</v>
      </c>
      <c r="M422" s="17">
        <v>5700</v>
      </c>
      <c r="N422" s="17" t="s">
        <v>40</v>
      </c>
      <c r="O422" s="19" t="s">
        <v>84</v>
      </c>
      <c r="P422" s="19">
        <v>785</v>
      </c>
      <c r="Q422" s="17">
        <v>2046</v>
      </c>
      <c r="R422" s="17">
        <f t="shared" si="22"/>
        <v>-1261</v>
      </c>
      <c r="S422" s="17">
        <v>2725</v>
      </c>
      <c r="T422" s="19" t="s">
        <v>42</v>
      </c>
      <c r="U422" s="17" t="s">
        <v>276</v>
      </c>
      <c r="V422" s="64">
        <v>44532</v>
      </c>
      <c r="W422" s="17" t="s">
        <v>69</v>
      </c>
      <c r="Y422" s="68">
        <v>44531</v>
      </c>
      <c r="Z422" s="17" t="s">
        <v>191</v>
      </c>
      <c r="AA422" s="17" t="s">
        <v>46</v>
      </c>
      <c r="AB422" s="17" t="s">
        <v>277</v>
      </c>
      <c r="AC422" s="66">
        <v>44560</v>
      </c>
      <c r="AD422" s="65">
        <v>1256</v>
      </c>
      <c r="AE422" s="17" t="s">
        <v>74</v>
      </c>
      <c r="AF422" s="17" t="s">
        <v>245</v>
      </c>
      <c r="AH422" s="17" t="s">
        <v>278</v>
      </c>
      <c r="AI422" s="95">
        <f t="shared" si="23"/>
        <v>239.11661</v>
      </c>
    </row>
    <row r="423" s="17" customFormat="1" hidden="1" spans="1:37">
      <c r="A423" s="17" t="s">
        <v>34</v>
      </c>
      <c r="B423" s="19">
        <v>740</v>
      </c>
      <c r="C423" s="64">
        <v>44537</v>
      </c>
      <c r="D423" s="17" t="s">
        <v>52</v>
      </c>
      <c r="E423" s="17" t="s">
        <v>187</v>
      </c>
      <c r="F423" s="17" t="s">
        <v>54</v>
      </c>
      <c r="H423" s="65">
        <v>1.2344</v>
      </c>
      <c r="I423" s="65"/>
      <c r="J423" s="17" t="s">
        <v>39</v>
      </c>
      <c r="K423" s="106">
        <v>66</v>
      </c>
      <c r="M423" s="17">
        <v>5700</v>
      </c>
      <c r="N423" s="17" t="s">
        <v>40</v>
      </c>
      <c r="O423" s="19" t="s">
        <v>84</v>
      </c>
      <c r="P423" s="19">
        <v>1532</v>
      </c>
      <c r="Q423" s="17">
        <v>1180</v>
      </c>
      <c r="R423" s="17">
        <f t="shared" si="22"/>
        <v>352</v>
      </c>
      <c r="S423" s="17">
        <v>2725</v>
      </c>
      <c r="T423" s="19" t="s">
        <v>42</v>
      </c>
      <c r="U423" s="17" t="s">
        <v>276</v>
      </c>
      <c r="V423" s="64">
        <v>44532</v>
      </c>
      <c r="W423" s="17" t="s">
        <v>69</v>
      </c>
      <c r="Y423" s="68">
        <v>44531</v>
      </c>
      <c r="Z423" s="17" t="s">
        <v>191</v>
      </c>
      <c r="AA423" s="17" t="s">
        <v>46</v>
      </c>
      <c r="AB423" s="17" t="s">
        <v>277</v>
      </c>
      <c r="AC423" s="66">
        <v>44560</v>
      </c>
      <c r="AD423" s="65">
        <v>1256</v>
      </c>
      <c r="AE423" s="17" t="s">
        <v>74</v>
      </c>
      <c r="AF423" s="17" t="s">
        <v>245</v>
      </c>
      <c r="AH423" s="17" t="s">
        <v>278</v>
      </c>
      <c r="AI423" s="95">
        <f t="shared" si="23"/>
        <v>239.11661</v>
      </c>
    </row>
    <row r="424" s="17" customFormat="1" hidden="1" spans="1:37">
      <c r="A424" s="17" t="s">
        <v>34</v>
      </c>
      <c r="B424" s="19">
        <v>740</v>
      </c>
      <c r="C424" s="64">
        <v>44537</v>
      </c>
      <c r="D424" s="17" t="s">
        <v>52</v>
      </c>
      <c r="E424" s="17" t="s">
        <v>187</v>
      </c>
      <c r="F424" s="17" t="s">
        <v>54</v>
      </c>
      <c r="H424" s="65">
        <v>1.2344</v>
      </c>
      <c r="I424" s="65"/>
      <c r="J424" s="17" t="s">
        <v>39</v>
      </c>
      <c r="K424" s="106">
        <v>71</v>
      </c>
      <c r="M424" s="17">
        <v>5700</v>
      </c>
      <c r="N424" s="17" t="s">
        <v>40</v>
      </c>
      <c r="O424" s="19" t="s">
        <v>84</v>
      </c>
      <c r="P424" s="19">
        <v>1596</v>
      </c>
      <c r="Q424" s="17">
        <v>1534</v>
      </c>
      <c r="R424" s="17">
        <f t="shared" si="22"/>
        <v>62</v>
      </c>
      <c r="S424" s="17">
        <v>2725</v>
      </c>
      <c r="T424" s="19" t="s">
        <v>42</v>
      </c>
      <c r="U424" s="17" t="s">
        <v>276</v>
      </c>
      <c r="V424" s="64">
        <v>44532</v>
      </c>
      <c r="W424" s="17" t="s">
        <v>69</v>
      </c>
      <c r="Y424" s="68">
        <v>44531</v>
      </c>
      <c r="Z424" s="17" t="s">
        <v>191</v>
      </c>
      <c r="AA424" s="17" t="s">
        <v>46</v>
      </c>
      <c r="AB424" s="17" t="s">
        <v>277</v>
      </c>
      <c r="AC424" s="66">
        <v>44560</v>
      </c>
      <c r="AD424" s="65">
        <v>1256</v>
      </c>
      <c r="AE424" s="17" t="s">
        <v>74</v>
      </c>
      <c r="AF424" s="17" t="s">
        <v>245</v>
      </c>
      <c r="AH424" s="17" t="s">
        <v>278</v>
      </c>
      <c r="AI424" s="95">
        <f t="shared" si="23"/>
        <v>239.11661</v>
      </c>
    </row>
    <row r="425" s="17" customFormat="1" hidden="1" spans="1:37">
      <c r="A425" s="17" t="s">
        <v>34</v>
      </c>
      <c r="B425" s="19">
        <v>740</v>
      </c>
      <c r="C425" s="64">
        <v>44537</v>
      </c>
      <c r="D425" s="17" t="s">
        <v>52</v>
      </c>
      <c r="E425" s="17" t="s">
        <v>187</v>
      </c>
      <c r="F425" s="17" t="s">
        <v>54</v>
      </c>
      <c r="H425" s="65">
        <v>1.2344</v>
      </c>
      <c r="I425" s="65"/>
      <c r="J425" s="17" t="s">
        <v>39</v>
      </c>
      <c r="K425" s="106">
        <v>76</v>
      </c>
      <c r="M425" s="17">
        <v>5700</v>
      </c>
      <c r="N425" s="17" t="s">
        <v>40</v>
      </c>
      <c r="O425" s="19" t="s">
        <v>84</v>
      </c>
      <c r="P425" s="19">
        <v>1422</v>
      </c>
      <c r="Q425" s="17">
        <v>1548</v>
      </c>
      <c r="R425" s="17">
        <f t="shared" si="22"/>
        <v>-126</v>
      </c>
      <c r="S425" s="17">
        <v>2725</v>
      </c>
      <c r="T425" s="19" t="s">
        <v>42</v>
      </c>
      <c r="U425" s="17" t="s">
        <v>276</v>
      </c>
      <c r="V425" s="64">
        <v>44532</v>
      </c>
      <c r="W425" s="17" t="s">
        <v>69</v>
      </c>
      <c r="Y425" s="68">
        <v>44531</v>
      </c>
      <c r="Z425" s="17" t="s">
        <v>191</v>
      </c>
      <c r="AA425" s="17" t="s">
        <v>46</v>
      </c>
      <c r="AB425" s="17" t="s">
        <v>277</v>
      </c>
      <c r="AC425" s="66">
        <v>44560</v>
      </c>
      <c r="AD425" s="65">
        <v>1256</v>
      </c>
      <c r="AE425" s="17" t="s">
        <v>74</v>
      </c>
      <c r="AF425" s="17" t="s">
        <v>245</v>
      </c>
      <c r="AH425" s="17" t="s">
        <v>278</v>
      </c>
      <c r="AI425" s="95">
        <f t="shared" si="23"/>
        <v>239.11661</v>
      </c>
    </row>
    <row r="426" s="17" customFormat="1" hidden="1" spans="1:37">
      <c r="A426" s="17" t="s">
        <v>34</v>
      </c>
      <c r="B426" s="19">
        <v>740</v>
      </c>
      <c r="C426" s="64">
        <v>44537</v>
      </c>
      <c r="D426" s="17" t="s">
        <v>52</v>
      </c>
      <c r="E426" s="17" t="s">
        <v>187</v>
      </c>
      <c r="F426" s="17" t="s">
        <v>54</v>
      </c>
      <c r="H426" s="65">
        <v>1.2344</v>
      </c>
      <c r="I426" s="65"/>
      <c r="J426" s="17" t="s">
        <v>39</v>
      </c>
      <c r="K426" s="106">
        <v>81</v>
      </c>
      <c r="M426" s="17">
        <v>5700</v>
      </c>
      <c r="N426" s="17" t="s">
        <v>40</v>
      </c>
      <c r="O426" s="19" t="s">
        <v>84</v>
      </c>
      <c r="P426" s="19">
        <v>692</v>
      </c>
      <c r="Q426" s="17">
        <v>1388</v>
      </c>
      <c r="R426" s="17">
        <f t="shared" si="22"/>
        <v>-696</v>
      </c>
      <c r="S426" s="17">
        <v>2725</v>
      </c>
      <c r="T426" s="19" t="s">
        <v>42</v>
      </c>
      <c r="U426" s="17" t="s">
        <v>276</v>
      </c>
      <c r="V426" s="64">
        <v>44532</v>
      </c>
      <c r="W426" s="17" t="s">
        <v>69</v>
      </c>
      <c r="Y426" s="68">
        <v>44531</v>
      </c>
      <c r="Z426" s="17" t="s">
        <v>191</v>
      </c>
      <c r="AA426" s="17" t="s">
        <v>46</v>
      </c>
      <c r="AB426" s="17" t="s">
        <v>277</v>
      </c>
      <c r="AC426" s="66">
        <v>44560</v>
      </c>
      <c r="AD426" s="65">
        <v>1256</v>
      </c>
      <c r="AE426" s="17" t="s">
        <v>74</v>
      </c>
      <c r="AF426" s="17" t="s">
        <v>245</v>
      </c>
      <c r="AH426" s="17" t="s">
        <v>278</v>
      </c>
      <c r="AI426" s="95">
        <f t="shared" si="23"/>
        <v>239.11661</v>
      </c>
    </row>
    <row r="427" s="17" customFormat="1" hidden="1" spans="1:37">
      <c r="A427" s="17" t="s">
        <v>34</v>
      </c>
      <c r="B427" s="19">
        <v>740</v>
      </c>
      <c r="C427" s="64">
        <v>44537</v>
      </c>
      <c r="D427" s="17" t="s">
        <v>52</v>
      </c>
      <c r="E427" s="17" t="s">
        <v>187</v>
      </c>
      <c r="F427" s="17" t="s">
        <v>54</v>
      </c>
      <c r="H427" s="65">
        <v>1.2316</v>
      </c>
      <c r="I427" s="65"/>
      <c r="J427" s="17" t="s">
        <v>82</v>
      </c>
      <c r="K427" s="17">
        <v>610</v>
      </c>
      <c r="L427" s="17">
        <v>42</v>
      </c>
      <c r="M427" s="17">
        <v>5930</v>
      </c>
      <c r="N427" s="17" t="s">
        <v>66</v>
      </c>
      <c r="O427" s="19" t="s">
        <v>141</v>
      </c>
      <c r="P427" s="19">
        <v>1193</v>
      </c>
      <c r="Q427" s="17">
        <v>950</v>
      </c>
      <c r="R427" s="17">
        <f t="shared" si="22"/>
        <v>243</v>
      </c>
      <c r="S427" s="17">
        <v>3595</v>
      </c>
      <c r="T427" s="19" t="s">
        <v>42</v>
      </c>
      <c r="U427" s="17" t="s">
        <v>276</v>
      </c>
      <c r="V427" s="64">
        <v>44540</v>
      </c>
      <c r="W427" s="17" t="s">
        <v>69</v>
      </c>
      <c r="Y427" s="68">
        <v>44531</v>
      </c>
      <c r="Z427" s="17" t="s">
        <v>191</v>
      </c>
      <c r="AA427" s="17" t="s">
        <v>46</v>
      </c>
      <c r="AB427" s="17" t="s">
        <v>277</v>
      </c>
      <c r="AC427" s="66">
        <v>44560</v>
      </c>
      <c r="AD427" s="65">
        <v>1256</v>
      </c>
      <c r="AE427" s="17" t="s">
        <v>48</v>
      </c>
      <c r="AF427" s="17" t="s">
        <v>245</v>
      </c>
    </row>
    <row r="428" s="17" customFormat="1" hidden="1" spans="1:37">
      <c r="B428" s="19">
        <v>740</v>
      </c>
      <c r="C428" s="64">
        <v>44537</v>
      </c>
      <c r="D428" s="17" t="s">
        <v>52</v>
      </c>
      <c r="E428" s="17" t="s">
        <v>187</v>
      </c>
      <c r="F428" s="17" t="s">
        <v>54</v>
      </c>
      <c r="H428" s="65">
        <v>1.2316</v>
      </c>
      <c r="I428" s="65"/>
      <c r="J428" s="17" t="s">
        <v>82</v>
      </c>
      <c r="K428" s="17">
        <v>610</v>
      </c>
      <c r="L428" s="17">
        <v>42</v>
      </c>
      <c r="M428" s="17">
        <v>5720</v>
      </c>
      <c r="N428" s="17" t="s">
        <v>66</v>
      </c>
      <c r="O428" s="19" t="s">
        <v>141</v>
      </c>
      <c r="P428" s="19">
        <v>1150</v>
      </c>
      <c r="R428" s="17">
        <f t="shared" si="22"/>
        <v>1150</v>
      </c>
      <c r="S428" s="17">
        <v>3595</v>
      </c>
      <c r="T428" s="19" t="s">
        <v>42</v>
      </c>
      <c r="U428" s="17" t="s">
        <v>276</v>
      </c>
      <c r="V428" s="64">
        <v>44540</v>
      </c>
      <c r="W428" s="17" t="s">
        <v>69</v>
      </c>
      <c r="Y428" s="68">
        <v>44531</v>
      </c>
      <c r="Z428" s="17" t="s">
        <v>191</v>
      </c>
      <c r="AA428" s="17" t="s">
        <v>46</v>
      </c>
      <c r="AC428" s="66"/>
      <c r="AD428" s="65"/>
      <c r="AE428" s="17" t="s">
        <v>48</v>
      </c>
      <c r="AF428" s="17" t="s">
        <v>245</v>
      </c>
      <c r="AK428" s="17" t="s">
        <v>271</v>
      </c>
    </row>
    <row r="429" s="17" customFormat="1" hidden="1" spans="1:37">
      <c r="B429" s="19">
        <v>740</v>
      </c>
      <c r="C429" s="64">
        <v>44537</v>
      </c>
      <c r="D429" s="17" t="s">
        <v>52</v>
      </c>
      <c r="E429" s="17" t="s">
        <v>187</v>
      </c>
      <c r="F429" s="17" t="s">
        <v>54</v>
      </c>
      <c r="H429" s="65">
        <v>1.2316</v>
      </c>
      <c r="I429" s="65"/>
      <c r="J429" s="17" t="s">
        <v>82</v>
      </c>
      <c r="K429" s="17">
        <v>610</v>
      </c>
      <c r="L429" s="17">
        <v>103</v>
      </c>
      <c r="M429" s="17">
        <v>2070</v>
      </c>
      <c r="N429" s="17" t="s">
        <v>66</v>
      </c>
      <c r="O429" s="19" t="s">
        <v>141</v>
      </c>
      <c r="P429" s="19">
        <v>1031</v>
      </c>
      <c r="R429" s="17">
        <f t="shared" si="22"/>
        <v>1031</v>
      </c>
      <c r="S429" s="17">
        <v>3595</v>
      </c>
      <c r="T429" s="19" t="s">
        <v>42</v>
      </c>
      <c r="U429" s="17" t="s">
        <v>276</v>
      </c>
      <c r="V429" s="64">
        <v>44540</v>
      </c>
      <c r="W429" s="17" t="s">
        <v>69</v>
      </c>
      <c r="Y429" s="68">
        <v>44531</v>
      </c>
      <c r="Z429" s="17" t="s">
        <v>191</v>
      </c>
      <c r="AA429" s="17" t="s">
        <v>46</v>
      </c>
      <c r="AC429" s="66"/>
      <c r="AD429" s="65"/>
      <c r="AE429" s="17" t="s">
        <v>48</v>
      </c>
      <c r="AF429" s="17" t="s">
        <v>245</v>
      </c>
      <c r="AK429" s="17" t="s">
        <v>271</v>
      </c>
    </row>
    <row r="430" s="17" customFormat="1" hidden="1" spans="1:37">
      <c r="A430" s="17" t="s">
        <v>34</v>
      </c>
      <c r="B430" s="19">
        <v>740</v>
      </c>
      <c r="C430" s="64">
        <v>44537</v>
      </c>
      <c r="D430" s="17" t="s">
        <v>52</v>
      </c>
      <c r="E430" s="17" t="s">
        <v>187</v>
      </c>
      <c r="F430" s="17" t="s">
        <v>54</v>
      </c>
      <c r="H430" s="65" t="s">
        <v>279</v>
      </c>
      <c r="I430" s="65"/>
      <c r="J430" s="17" t="s">
        <v>82</v>
      </c>
      <c r="K430" s="17">
        <v>610</v>
      </c>
      <c r="L430" s="17">
        <v>47</v>
      </c>
      <c r="M430" s="17">
        <v>1961</v>
      </c>
      <c r="N430" s="17" t="s">
        <v>66</v>
      </c>
      <c r="O430" s="19" t="s">
        <v>141</v>
      </c>
      <c r="P430" s="19">
        <v>441</v>
      </c>
      <c r="Q430" s="17">
        <v>809</v>
      </c>
      <c r="R430" s="17">
        <f t="shared" si="22"/>
        <v>-368</v>
      </c>
      <c r="S430" s="17">
        <v>3245</v>
      </c>
      <c r="T430" s="19" t="s">
        <v>42</v>
      </c>
      <c r="U430" s="17" t="s">
        <v>276</v>
      </c>
      <c r="V430" s="64">
        <v>44540</v>
      </c>
      <c r="W430" s="17" t="s">
        <v>69</v>
      </c>
      <c r="Y430" s="68">
        <v>44531</v>
      </c>
      <c r="Z430" s="17" t="s">
        <v>191</v>
      </c>
      <c r="AA430" s="17" t="s">
        <v>46</v>
      </c>
      <c r="AB430" s="17" t="s">
        <v>277</v>
      </c>
      <c r="AC430" s="66">
        <v>44560</v>
      </c>
      <c r="AD430" s="65">
        <v>1256</v>
      </c>
      <c r="AE430" s="17" t="s">
        <v>48</v>
      </c>
      <c r="AF430" s="17" t="s">
        <v>245</v>
      </c>
    </row>
    <row r="431" s="17" customFormat="1" hidden="1" spans="1:37">
      <c r="A431" s="17" t="s">
        <v>34</v>
      </c>
      <c r="B431" s="19">
        <v>740</v>
      </c>
      <c r="C431" s="64">
        <v>44537</v>
      </c>
      <c r="D431" s="17" t="s">
        <v>52</v>
      </c>
      <c r="E431" s="17" t="s">
        <v>187</v>
      </c>
      <c r="F431" s="17" t="s">
        <v>54</v>
      </c>
      <c r="H431" s="65" t="s">
        <v>279</v>
      </c>
      <c r="I431" s="65"/>
      <c r="J431" s="17" t="s">
        <v>82</v>
      </c>
      <c r="K431" s="17">
        <v>610</v>
      </c>
      <c r="L431" s="17">
        <v>52</v>
      </c>
      <c r="M431" s="17">
        <v>2330</v>
      </c>
      <c r="N431" s="17" t="s">
        <v>66</v>
      </c>
      <c r="O431" s="19" t="s">
        <v>141</v>
      </c>
      <c r="P431" s="19">
        <v>580</v>
      </c>
      <c r="Q431" s="17">
        <v>848</v>
      </c>
      <c r="R431" s="17">
        <f t="shared" si="22"/>
        <v>-268</v>
      </c>
      <c r="S431" s="17">
        <v>3245</v>
      </c>
      <c r="T431" s="19" t="s">
        <v>42</v>
      </c>
      <c r="U431" s="17" t="s">
        <v>276</v>
      </c>
      <c r="V431" s="64">
        <v>44540</v>
      </c>
      <c r="W431" s="17" t="s">
        <v>69</v>
      </c>
      <c r="Y431" s="68">
        <v>44531</v>
      </c>
      <c r="Z431" s="17" t="s">
        <v>191</v>
      </c>
      <c r="AA431" s="17" t="s">
        <v>46</v>
      </c>
      <c r="AB431" s="17" t="s">
        <v>277</v>
      </c>
      <c r="AC431" s="66">
        <v>44560</v>
      </c>
      <c r="AD431" s="65">
        <v>1256</v>
      </c>
      <c r="AE431" s="17" t="s">
        <v>48</v>
      </c>
      <c r="AF431" s="17" t="s">
        <v>245</v>
      </c>
    </row>
    <row r="432" s="17" customFormat="1" hidden="1" spans="1:37">
      <c r="A432" s="17" t="s">
        <v>34</v>
      </c>
      <c r="B432" s="19">
        <v>740</v>
      </c>
      <c r="C432" s="64">
        <v>44537</v>
      </c>
      <c r="D432" s="17" t="s">
        <v>52</v>
      </c>
      <c r="E432" s="17" t="s">
        <v>187</v>
      </c>
      <c r="F432" s="17" t="s">
        <v>54</v>
      </c>
      <c r="H432" s="65" t="s">
        <v>279</v>
      </c>
      <c r="I432" s="65"/>
      <c r="J432" s="17" t="s">
        <v>82</v>
      </c>
      <c r="K432" s="17">
        <v>610</v>
      </c>
      <c r="L432" s="17">
        <v>67</v>
      </c>
      <c r="M432" s="17">
        <v>1902</v>
      </c>
      <c r="N432" s="17" t="s">
        <v>66</v>
      </c>
      <c r="O432" s="19" t="s">
        <v>141</v>
      </c>
      <c r="P432" s="19">
        <v>610</v>
      </c>
      <c r="Q432" s="17">
        <v>1119</v>
      </c>
      <c r="R432" s="17">
        <f t="shared" si="22"/>
        <v>-509</v>
      </c>
      <c r="S432" s="17">
        <v>3245</v>
      </c>
      <c r="T432" s="19" t="s">
        <v>42</v>
      </c>
      <c r="U432" s="17" t="s">
        <v>276</v>
      </c>
      <c r="V432" s="64">
        <v>44540</v>
      </c>
      <c r="W432" s="17" t="s">
        <v>69</v>
      </c>
      <c r="Y432" s="68">
        <v>44531</v>
      </c>
      <c r="Z432" s="17" t="s">
        <v>191</v>
      </c>
      <c r="AA432" s="17" t="s">
        <v>46</v>
      </c>
      <c r="AB432" s="17" t="s">
        <v>277</v>
      </c>
      <c r="AC432" s="66">
        <v>44560</v>
      </c>
      <c r="AD432" s="65">
        <v>1256</v>
      </c>
      <c r="AE432" s="17" t="s">
        <v>48</v>
      </c>
      <c r="AF432" s="17" t="s">
        <v>245</v>
      </c>
    </row>
    <row r="433" s="17" customFormat="1" hidden="1" spans="1:36">
      <c r="A433" s="17" t="s">
        <v>34</v>
      </c>
      <c r="B433" s="19">
        <v>740</v>
      </c>
      <c r="C433" s="64">
        <v>44537</v>
      </c>
      <c r="D433" s="17" t="s">
        <v>52</v>
      </c>
      <c r="E433" s="17" t="s">
        <v>187</v>
      </c>
      <c r="F433" s="17" t="s">
        <v>54</v>
      </c>
      <c r="H433" s="65" t="s">
        <v>279</v>
      </c>
      <c r="I433" s="65"/>
      <c r="J433" s="17" t="s">
        <v>82</v>
      </c>
      <c r="K433" s="17">
        <v>560</v>
      </c>
      <c r="L433" s="17">
        <v>102</v>
      </c>
      <c r="M433" s="17">
        <v>1315</v>
      </c>
      <c r="N433" s="17" t="s">
        <v>66</v>
      </c>
      <c r="O433" s="19" t="s">
        <v>141</v>
      </c>
      <c r="P433" s="19">
        <v>590</v>
      </c>
      <c r="Q433" s="17">
        <v>1182</v>
      </c>
      <c r="R433" s="17">
        <f t="shared" si="22"/>
        <v>-592</v>
      </c>
      <c r="S433" s="17">
        <v>3245</v>
      </c>
      <c r="T433" s="19" t="s">
        <v>42</v>
      </c>
      <c r="U433" s="17" t="s">
        <v>276</v>
      </c>
      <c r="V433" s="64">
        <v>44540</v>
      </c>
      <c r="W433" s="17" t="s">
        <v>69</v>
      </c>
      <c r="Y433" s="68">
        <v>44531</v>
      </c>
      <c r="Z433" s="17" t="s">
        <v>191</v>
      </c>
      <c r="AA433" s="17" t="s">
        <v>46</v>
      </c>
      <c r="AB433" s="17" t="s">
        <v>277</v>
      </c>
      <c r="AC433" s="66">
        <v>44560</v>
      </c>
      <c r="AD433" s="65">
        <v>1256</v>
      </c>
      <c r="AE433" s="17" t="s">
        <v>48</v>
      </c>
      <c r="AF433" s="17" t="s">
        <v>245</v>
      </c>
    </row>
    <row r="434" s="17" customFormat="1" hidden="1" spans="1:36">
      <c r="A434" s="17" t="s">
        <v>34</v>
      </c>
      <c r="B434" s="19">
        <v>741</v>
      </c>
      <c r="C434" s="64">
        <v>44534</v>
      </c>
      <c r="D434" s="17" t="s">
        <v>52</v>
      </c>
      <c r="E434" s="17" t="s">
        <v>187</v>
      </c>
      <c r="F434" s="17" t="s">
        <v>54</v>
      </c>
      <c r="H434" s="65">
        <v>1.2738</v>
      </c>
      <c r="I434" s="65"/>
      <c r="J434" s="17" t="s">
        <v>49</v>
      </c>
      <c r="K434" s="17">
        <v>2000</v>
      </c>
      <c r="L434" s="17">
        <v>40</v>
      </c>
      <c r="M434" s="17">
        <v>5000</v>
      </c>
      <c r="N434" s="17" t="s">
        <v>66</v>
      </c>
      <c r="O434" s="19" t="s">
        <v>141</v>
      </c>
      <c r="P434" s="19">
        <v>3140</v>
      </c>
      <c r="Q434" s="17">
        <v>2980</v>
      </c>
      <c r="R434" s="17">
        <f t="shared" si="22"/>
        <v>160</v>
      </c>
      <c r="S434" s="17">
        <f t="shared" ref="S434:S447" si="24">1605-50</f>
        <v>1555</v>
      </c>
      <c r="T434" s="19" t="s">
        <v>42</v>
      </c>
      <c r="U434" s="17" t="s">
        <v>280</v>
      </c>
      <c r="V434" s="64">
        <v>44536</v>
      </c>
      <c r="W434" s="17" t="s">
        <v>69</v>
      </c>
      <c r="Y434" s="68">
        <v>44531</v>
      </c>
      <c r="Z434" s="17" t="s">
        <v>191</v>
      </c>
      <c r="AA434" s="17" t="s">
        <v>46</v>
      </c>
      <c r="AB434" s="17" t="s">
        <v>281</v>
      </c>
      <c r="AC434" s="66">
        <v>44558</v>
      </c>
      <c r="AD434" s="65">
        <v>1253</v>
      </c>
      <c r="AE434" s="17" t="s">
        <v>48</v>
      </c>
      <c r="AF434" s="17" t="s">
        <v>258</v>
      </c>
      <c r="AH434" s="17" t="s">
        <v>282</v>
      </c>
      <c r="AI434" s="95">
        <f t="shared" ref="AI434:AI447" si="25">140885/1000</f>
        <v>140.885</v>
      </c>
      <c r="AJ434" s="17" t="s">
        <v>283</v>
      </c>
    </row>
    <row r="435" s="17" customFormat="1" hidden="1" spans="1:36">
      <c r="A435" s="17" t="s">
        <v>34</v>
      </c>
      <c r="B435" s="19">
        <v>741</v>
      </c>
      <c r="C435" s="64">
        <v>44534</v>
      </c>
      <c r="D435" s="17" t="s">
        <v>52</v>
      </c>
      <c r="E435" s="17" t="s">
        <v>187</v>
      </c>
      <c r="F435" s="17" t="s">
        <v>54</v>
      </c>
      <c r="H435" s="65">
        <v>1.2738</v>
      </c>
      <c r="I435" s="65"/>
      <c r="J435" s="17" t="s">
        <v>49</v>
      </c>
      <c r="K435" s="17">
        <v>2015</v>
      </c>
      <c r="L435" s="17">
        <v>40</v>
      </c>
      <c r="M435" s="17">
        <v>2500</v>
      </c>
      <c r="N435" s="17" t="s">
        <v>66</v>
      </c>
      <c r="O435" s="19" t="s">
        <v>141</v>
      </c>
      <c r="P435" s="19">
        <v>1570</v>
      </c>
      <c r="Q435" s="17">
        <v>1650</v>
      </c>
      <c r="R435" s="17">
        <f t="shared" si="22"/>
        <v>-80</v>
      </c>
      <c r="S435" s="17">
        <f t="shared" si="24"/>
        <v>1555</v>
      </c>
      <c r="T435" s="19" t="s">
        <v>42</v>
      </c>
      <c r="U435" s="17" t="s">
        <v>280</v>
      </c>
      <c r="V435" s="64">
        <v>44536</v>
      </c>
      <c r="W435" s="17" t="s">
        <v>69</v>
      </c>
      <c r="Y435" s="68">
        <v>44531</v>
      </c>
      <c r="Z435" s="17" t="s">
        <v>191</v>
      </c>
      <c r="AA435" s="17" t="s">
        <v>46</v>
      </c>
      <c r="AB435" s="17" t="s">
        <v>277</v>
      </c>
      <c r="AC435" s="66">
        <v>44560</v>
      </c>
      <c r="AD435" s="65">
        <v>1256</v>
      </c>
      <c r="AE435" s="17" t="s">
        <v>48</v>
      </c>
      <c r="AF435" s="17" t="s">
        <v>258</v>
      </c>
      <c r="AH435" s="17" t="s">
        <v>282</v>
      </c>
      <c r="AI435" s="95">
        <f t="shared" si="25"/>
        <v>140.885</v>
      </c>
      <c r="AJ435" s="17" t="s">
        <v>283</v>
      </c>
    </row>
    <row r="436" s="17" customFormat="1" hidden="1" spans="1:36">
      <c r="A436" s="17" t="s">
        <v>34</v>
      </c>
      <c r="B436" s="19">
        <v>741</v>
      </c>
      <c r="C436" s="64">
        <v>44534</v>
      </c>
      <c r="D436" s="17" t="s">
        <v>52</v>
      </c>
      <c r="E436" s="17" t="s">
        <v>187</v>
      </c>
      <c r="F436" s="17" t="s">
        <v>54</v>
      </c>
      <c r="H436" s="65">
        <v>1.2738</v>
      </c>
      <c r="I436" s="65"/>
      <c r="J436" s="17" t="s">
        <v>49</v>
      </c>
      <c r="K436" s="17">
        <v>2000</v>
      </c>
      <c r="L436" s="17">
        <v>45</v>
      </c>
      <c r="M436" s="17">
        <v>5000</v>
      </c>
      <c r="N436" s="17" t="s">
        <v>66</v>
      </c>
      <c r="O436" s="19" t="s">
        <v>141</v>
      </c>
      <c r="P436" s="19">
        <v>3533</v>
      </c>
      <c r="Q436" s="17">
        <v>3310</v>
      </c>
      <c r="R436" s="17">
        <f t="shared" si="22"/>
        <v>223</v>
      </c>
      <c r="S436" s="17">
        <f t="shared" si="24"/>
        <v>1555</v>
      </c>
      <c r="T436" s="19" t="s">
        <v>42</v>
      </c>
      <c r="U436" s="17" t="s">
        <v>280</v>
      </c>
      <c r="V436" s="64">
        <v>44536</v>
      </c>
      <c r="W436" s="17" t="s">
        <v>69</v>
      </c>
      <c r="Y436" s="68">
        <v>44531</v>
      </c>
      <c r="Z436" s="17" t="s">
        <v>191</v>
      </c>
      <c r="AA436" s="17" t="s">
        <v>46</v>
      </c>
      <c r="AB436" s="17" t="s">
        <v>281</v>
      </c>
      <c r="AC436" s="66">
        <v>44558</v>
      </c>
      <c r="AD436" s="65">
        <v>1253</v>
      </c>
      <c r="AE436" s="17" t="s">
        <v>48</v>
      </c>
      <c r="AF436" s="17" t="s">
        <v>258</v>
      </c>
      <c r="AH436" s="17" t="s">
        <v>282</v>
      </c>
      <c r="AI436" s="95">
        <f t="shared" si="25"/>
        <v>140.885</v>
      </c>
      <c r="AJ436" s="17" t="s">
        <v>283</v>
      </c>
    </row>
    <row r="437" s="17" customFormat="1" hidden="1" spans="1:36">
      <c r="A437" s="17" t="s">
        <v>34</v>
      </c>
      <c r="B437" s="19">
        <v>741</v>
      </c>
      <c r="C437" s="64">
        <v>44534</v>
      </c>
      <c r="D437" s="17" t="s">
        <v>52</v>
      </c>
      <c r="E437" s="17" t="s">
        <v>187</v>
      </c>
      <c r="F437" s="17" t="s">
        <v>54</v>
      </c>
      <c r="H437" s="65">
        <v>1.2738</v>
      </c>
      <c r="I437" s="65"/>
      <c r="J437" s="17" t="s">
        <v>49</v>
      </c>
      <c r="K437" s="17">
        <v>2060</v>
      </c>
      <c r="L437" s="17">
        <v>50</v>
      </c>
      <c r="M437" s="17">
        <v>2500</v>
      </c>
      <c r="N437" s="17" t="s">
        <v>66</v>
      </c>
      <c r="O437" s="19" t="s">
        <v>141</v>
      </c>
      <c r="P437" s="19">
        <v>1963</v>
      </c>
      <c r="Q437" s="17">
        <v>4782</v>
      </c>
      <c r="R437" s="17">
        <f t="shared" ref="R437:R453" si="26">+P437-Q437</f>
        <v>-2819</v>
      </c>
      <c r="S437" s="17">
        <f t="shared" si="24"/>
        <v>1555</v>
      </c>
      <c r="T437" s="19" t="s">
        <v>42</v>
      </c>
      <c r="U437" s="17" t="s">
        <v>280</v>
      </c>
      <c r="V437" s="64">
        <v>44536</v>
      </c>
      <c r="W437" s="17" t="s">
        <v>69</v>
      </c>
      <c r="Y437" s="68">
        <v>44531</v>
      </c>
      <c r="Z437" s="17" t="s">
        <v>191</v>
      </c>
      <c r="AA437" s="17" t="s">
        <v>46</v>
      </c>
      <c r="AB437" s="17" t="s">
        <v>277</v>
      </c>
      <c r="AC437" s="66">
        <v>44560</v>
      </c>
      <c r="AD437" s="65">
        <v>1256</v>
      </c>
      <c r="AE437" s="17" t="s">
        <v>48</v>
      </c>
      <c r="AF437" s="17" t="s">
        <v>258</v>
      </c>
      <c r="AH437" s="17" t="s">
        <v>282</v>
      </c>
      <c r="AI437" s="95">
        <f t="shared" si="25"/>
        <v>140.885</v>
      </c>
      <c r="AJ437" s="17" t="s">
        <v>283</v>
      </c>
    </row>
    <row r="438" s="17" customFormat="1" hidden="1" spans="1:36">
      <c r="A438" s="17" t="s">
        <v>34</v>
      </c>
      <c r="B438" s="19">
        <v>741</v>
      </c>
      <c r="C438" s="64">
        <v>44534</v>
      </c>
      <c r="D438" s="17" t="s">
        <v>52</v>
      </c>
      <c r="E438" s="17" t="s">
        <v>187</v>
      </c>
      <c r="F438" s="17" t="s">
        <v>54</v>
      </c>
      <c r="H438" s="65">
        <v>1.2738</v>
      </c>
      <c r="I438" s="65"/>
      <c r="J438" s="17" t="s">
        <v>49</v>
      </c>
      <c r="K438" s="17">
        <v>2020</v>
      </c>
      <c r="L438" s="17">
        <v>51</v>
      </c>
      <c r="M438" s="17">
        <v>4600</v>
      </c>
      <c r="N438" s="17" t="s">
        <v>66</v>
      </c>
      <c r="O438" s="19" t="s">
        <v>141</v>
      </c>
      <c r="P438" s="19">
        <v>4004</v>
      </c>
      <c r="Q438" s="17">
        <v>3770</v>
      </c>
      <c r="R438" s="17">
        <f t="shared" si="26"/>
        <v>234</v>
      </c>
      <c r="S438" s="17">
        <f t="shared" si="24"/>
        <v>1555</v>
      </c>
      <c r="T438" s="19" t="s">
        <v>42</v>
      </c>
      <c r="U438" s="17" t="s">
        <v>280</v>
      </c>
      <c r="V438" s="64">
        <v>44536</v>
      </c>
      <c r="W438" s="17" t="s">
        <v>69</v>
      </c>
      <c r="Y438" s="68">
        <v>44531</v>
      </c>
      <c r="Z438" s="17" t="s">
        <v>191</v>
      </c>
      <c r="AA438" s="17" t="s">
        <v>46</v>
      </c>
      <c r="AB438" s="17" t="s">
        <v>277</v>
      </c>
      <c r="AC438" s="66">
        <v>44560</v>
      </c>
      <c r="AD438" s="65">
        <v>1256</v>
      </c>
      <c r="AE438" s="17" t="s">
        <v>48</v>
      </c>
      <c r="AF438" s="17" t="s">
        <v>258</v>
      </c>
      <c r="AH438" s="17" t="s">
        <v>282</v>
      </c>
      <c r="AI438" s="95">
        <f t="shared" si="25"/>
        <v>140.885</v>
      </c>
      <c r="AJ438" s="17" t="s">
        <v>283</v>
      </c>
    </row>
    <row r="439" s="17" customFormat="1" hidden="1" spans="1:36">
      <c r="A439" s="17" t="s">
        <v>34</v>
      </c>
      <c r="B439" s="19">
        <v>741</v>
      </c>
      <c r="C439" s="64">
        <v>44534</v>
      </c>
      <c r="D439" s="17" t="s">
        <v>52</v>
      </c>
      <c r="E439" s="17" t="s">
        <v>187</v>
      </c>
      <c r="F439" s="17" t="s">
        <v>54</v>
      </c>
      <c r="H439" s="65">
        <v>1.2738</v>
      </c>
      <c r="I439" s="65"/>
      <c r="J439" s="17" t="s">
        <v>49</v>
      </c>
      <c r="K439" s="17">
        <v>2040</v>
      </c>
      <c r="L439" s="17">
        <v>71</v>
      </c>
      <c r="M439" s="17">
        <v>4800</v>
      </c>
      <c r="N439" s="17" t="s">
        <v>66</v>
      </c>
      <c r="O439" s="19" t="s">
        <v>141</v>
      </c>
      <c r="P439" s="19">
        <v>7929</v>
      </c>
      <c r="Q439" s="17">
        <v>5520</v>
      </c>
      <c r="R439" s="17">
        <f t="shared" si="26"/>
        <v>2409</v>
      </c>
      <c r="S439" s="17">
        <f t="shared" si="24"/>
        <v>1555</v>
      </c>
      <c r="T439" s="19" t="s">
        <v>42</v>
      </c>
      <c r="U439" s="17" t="s">
        <v>280</v>
      </c>
      <c r="V439" s="64">
        <v>44536</v>
      </c>
      <c r="W439" s="17" t="s">
        <v>69</v>
      </c>
      <c r="Y439" s="68">
        <v>44531</v>
      </c>
      <c r="Z439" s="17" t="s">
        <v>191</v>
      </c>
      <c r="AA439" s="17" t="s">
        <v>46</v>
      </c>
      <c r="AB439" s="17" t="s">
        <v>277</v>
      </c>
      <c r="AC439" s="66">
        <v>44560</v>
      </c>
      <c r="AD439" s="65">
        <v>1256</v>
      </c>
      <c r="AE439" s="17" t="s">
        <v>48</v>
      </c>
      <c r="AF439" s="17" t="s">
        <v>258</v>
      </c>
      <c r="AH439" s="17" t="s">
        <v>282</v>
      </c>
      <c r="AI439" s="95">
        <f t="shared" si="25"/>
        <v>140.885</v>
      </c>
      <c r="AJ439" s="17" t="s">
        <v>283</v>
      </c>
    </row>
    <row r="440" s="17" customFormat="1" hidden="1" spans="1:36">
      <c r="A440" s="17" t="s">
        <v>34</v>
      </c>
      <c r="B440" s="19">
        <v>741</v>
      </c>
      <c r="C440" s="64">
        <v>44534</v>
      </c>
      <c r="D440" s="17" t="s">
        <v>52</v>
      </c>
      <c r="E440" s="17" t="s">
        <v>187</v>
      </c>
      <c r="F440" s="17" t="s">
        <v>54</v>
      </c>
      <c r="H440" s="65">
        <v>1.2738</v>
      </c>
      <c r="I440" s="65"/>
      <c r="J440" s="17" t="s">
        <v>49</v>
      </c>
      <c r="K440" s="17">
        <v>2200</v>
      </c>
      <c r="L440" s="17">
        <v>101</v>
      </c>
      <c r="M440" s="17">
        <v>3000</v>
      </c>
      <c r="N440" s="17" t="s">
        <v>66</v>
      </c>
      <c r="O440" s="19" t="s">
        <v>141</v>
      </c>
      <c r="P440" s="19">
        <v>5574</v>
      </c>
      <c r="Q440" s="17">
        <v>5312</v>
      </c>
      <c r="R440" s="17">
        <f t="shared" si="26"/>
        <v>262</v>
      </c>
      <c r="S440" s="17">
        <f t="shared" si="24"/>
        <v>1555</v>
      </c>
      <c r="T440" s="19" t="s">
        <v>42</v>
      </c>
      <c r="U440" s="17" t="s">
        <v>280</v>
      </c>
      <c r="V440" s="64">
        <v>44536</v>
      </c>
      <c r="W440" s="17" t="s">
        <v>69</v>
      </c>
      <c r="Y440" s="68">
        <v>44531</v>
      </c>
      <c r="Z440" s="17" t="s">
        <v>191</v>
      </c>
      <c r="AA440" s="17" t="s">
        <v>46</v>
      </c>
      <c r="AB440" s="17" t="s">
        <v>277</v>
      </c>
      <c r="AC440" s="66">
        <v>44560</v>
      </c>
      <c r="AD440" s="65">
        <v>1256</v>
      </c>
      <c r="AE440" s="17" t="s">
        <v>48</v>
      </c>
      <c r="AF440" s="17" t="s">
        <v>258</v>
      </c>
      <c r="AH440" s="17" t="s">
        <v>282</v>
      </c>
      <c r="AI440" s="95">
        <f t="shared" si="25"/>
        <v>140.885</v>
      </c>
      <c r="AJ440" s="17" t="s">
        <v>283</v>
      </c>
    </row>
    <row r="441" s="17" customFormat="1" hidden="1" spans="1:36">
      <c r="A441" s="17" t="s">
        <v>34</v>
      </c>
      <c r="B441" s="19">
        <v>742</v>
      </c>
      <c r="C441" s="64">
        <v>44534</v>
      </c>
      <c r="D441" s="17" t="s">
        <v>52</v>
      </c>
      <c r="E441" s="17" t="s">
        <v>187</v>
      </c>
      <c r="F441" s="17" t="s">
        <v>54</v>
      </c>
      <c r="H441" s="65">
        <v>1.2738</v>
      </c>
      <c r="I441" s="65"/>
      <c r="J441" s="17" t="s">
        <v>49</v>
      </c>
      <c r="K441" s="17">
        <v>2000</v>
      </c>
      <c r="L441" s="17">
        <v>25</v>
      </c>
      <c r="M441" s="17">
        <v>5000</v>
      </c>
      <c r="N441" s="17" t="s">
        <v>66</v>
      </c>
      <c r="O441" s="19" t="s">
        <v>141</v>
      </c>
      <c r="P441" s="19">
        <v>1963</v>
      </c>
      <c r="Q441" s="17">
        <v>1920</v>
      </c>
      <c r="R441" s="17">
        <f t="shared" si="26"/>
        <v>43</v>
      </c>
      <c r="S441" s="17">
        <f t="shared" si="24"/>
        <v>1555</v>
      </c>
      <c r="T441" s="19" t="s">
        <v>42</v>
      </c>
      <c r="U441" s="17" t="s">
        <v>284</v>
      </c>
      <c r="V441" s="64">
        <v>44536</v>
      </c>
      <c r="W441" s="17" t="s">
        <v>69</v>
      </c>
      <c r="Y441" s="68">
        <v>44531</v>
      </c>
      <c r="Z441" s="17" t="s">
        <v>191</v>
      </c>
      <c r="AA441" s="17" t="s">
        <v>46</v>
      </c>
      <c r="AB441" s="17" t="s">
        <v>281</v>
      </c>
      <c r="AC441" s="66">
        <v>44558</v>
      </c>
      <c r="AD441" s="65">
        <v>1253</v>
      </c>
      <c r="AE441" s="17" t="s">
        <v>74</v>
      </c>
      <c r="AF441" s="17" t="s">
        <v>258</v>
      </c>
      <c r="AH441" s="17" t="s">
        <v>282</v>
      </c>
      <c r="AI441" s="95">
        <f t="shared" si="25"/>
        <v>140.885</v>
      </c>
      <c r="AJ441" s="17" t="s">
        <v>283</v>
      </c>
    </row>
    <row r="442" s="17" customFormat="1" hidden="1" spans="1:36">
      <c r="A442" s="17" t="s">
        <v>34</v>
      </c>
      <c r="B442" s="19">
        <v>742</v>
      </c>
      <c r="C442" s="64">
        <v>44534</v>
      </c>
      <c r="D442" s="17" t="s">
        <v>52</v>
      </c>
      <c r="E442" s="17" t="s">
        <v>187</v>
      </c>
      <c r="F442" s="17" t="s">
        <v>54</v>
      </c>
      <c r="H442" s="65">
        <v>1.2738</v>
      </c>
      <c r="I442" s="65"/>
      <c r="J442" s="17" t="s">
        <v>49</v>
      </c>
      <c r="K442" s="17">
        <v>2000</v>
      </c>
      <c r="L442" s="17">
        <v>31</v>
      </c>
      <c r="M442" s="17">
        <v>5000</v>
      </c>
      <c r="N442" s="17" t="s">
        <v>66</v>
      </c>
      <c r="O442" s="19" t="s">
        <v>141</v>
      </c>
      <c r="P442" s="19">
        <v>2434</v>
      </c>
      <c r="Q442" s="17">
        <v>2320</v>
      </c>
      <c r="R442" s="17">
        <f t="shared" si="26"/>
        <v>114</v>
      </c>
      <c r="S442" s="17">
        <f t="shared" si="24"/>
        <v>1555</v>
      </c>
      <c r="T442" s="19" t="s">
        <v>42</v>
      </c>
      <c r="U442" s="17" t="s">
        <v>284</v>
      </c>
      <c r="V442" s="64">
        <v>44536</v>
      </c>
      <c r="W442" s="17" t="s">
        <v>69</v>
      </c>
      <c r="Y442" s="68">
        <v>44531</v>
      </c>
      <c r="Z442" s="17" t="s">
        <v>191</v>
      </c>
      <c r="AA442" s="17" t="s">
        <v>46</v>
      </c>
      <c r="AB442" s="17" t="s">
        <v>281</v>
      </c>
      <c r="AC442" s="66">
        <v>44558</v>
      </c>
      <c r="AD442" s="65">
        <v>1253</v>
      </c>
      <c r="AE442" s="17" t="s">
        <v>74</v>
      </c>
      <c r="AF442" s="17" t="s">
        <v>258</v>
      </c>
      <c r="AH442" s="17" t="s">
        <v>282</v>
      </c>
      <c r="AI442" s="95">
        <f t="shared" si="25"/>
        <v>140.885</v>
      </c>
      <c r="AJ442" s="17" t="s">
        <v>283</v>
      </c>
    </row>
    <row r="443" s="17" customFormat="1" hidden="1" spans="1:36">
      <c r="A443" s="17" t="s">
        <v>34</v>
      </c>
      <c r="B443" s="19">
        <v>742</v>
      </c>
      <c r="C443" s="64">
        <v>44534</v>
      </c>
      <c r="D443" s="17" t="s">
        <v>52</v>
      </c>
      <c r="E443" s="17" t="s">
        <v>187</v>
      </c>
      <c r="F443" s="17" t="s">
        <v>54</v>
      </c>
      <c r="H443" s="65">
        <v>1.2738</v>
      </c>
      <c r="I443" s="65"/>
      <c r="J443" s="17" t="s">
        <v>49</v>
      </c>
      <c r="K443" s="17">
        <v>2000</v>
      </c>
      <c r="L443" s="17">
        <v>36</v>
      </c>
      <c r="M443" s="17">
        <v>5000</v>
      </c>
      <c r="N443" s="17" t="s">
        <v>66</v>
      </c>
      <c r="O443" s="19" t="s">
        <v>141</v>
      </c>
      <c r="P443" s="19">
        <v>2826</v>
      </c>
      <c r="Q443" s="17">
        <v>2730</v>
      </c>
      <c r="R443" s="17">
        <f t="shared" si="26"/>
        <v>96</v>
      </c>
      <c r="S443" s="17">
        <f t="shared" si="24"/>
        <v>1555</v>
      </c>
      <c r="T443" s="19" t="s">
        <v>42</v>
      </c>
      <c r="U443" s="17" t="s">
        <v>284</v>
      </c>
      <c r="V443" s="64">
        <v>44536</v>
      </c>
      <c r="W443" s="17" t="s">
        <v>69</v>
      </c>
      <c r="Y443" s="68">
        <v>44531</v>
      </c>
      <c r="Z443" s="17" t="s">
        <v>191</v>
      </c>
      <c r="AA443" s="17" t="s">
        <v>46</v>
      </c>
      <c r="AB443" s="17" t="s">
        <v>281</v>
      </c>
      <c r="AC443" s="66">
        <v>44558</v>
      </c>
      <c r="AD443" s="65">
        <v>1253</v>
      </c>
      <c r="AE443" s="17" t="s">
        <v>74</v>
      </c>
      <c r="AF443" s="17" t="s">
        <v>258</v>
      </c>
      <c r="AH443" s="17" t="s">
        <v>282</v>
      </c>
      <c r="AI443" s="95">
        <f t="shared" si="25"/>
        <v>140.885</v>
      </c>
      <c r="AJ443" s="17" t="s">
        <v>283</v>
      </c>
    </row>
    <row r="444" s="17" customFormat="1" hidden="1" spans="1:36">
      <c r="A444" s="17" t="s">
        <v>34</v>
      </c>
      <c r="B444" s="19">
        <v>742</v>
      </c>
      <c r="C444" s="64">
        <v>44534</v>
      </c>
      <c r="D444" s="17" t="s">
        <v>52</v>
      </c>
      <c r="E444" s="17" t="s">
        <v>187</v>
      </c>
      <c r="F444" s="17" t="s">
        <v>54</v>
      </c>
      <c r="H444" s="65">
        <v>1.2738</v>
      </c>
      <c r="I444" s="65"/>
      <c r="J444" s="17" t="s">
        <v>49</v>
      </c>
      <c r="K444" s="17">
        <v>2000</v>
      </c>
      <c r="L444" s="17">
        <v>40</v>
      </c>
      <c r="M444" s="17">
        <v>5000</v>
      </c>
      <c r="N444" s="17" t="s">
        <v>66</v>
      </c>
      <c r="O444" s="19" t="s">
        <v>141</v>
      </c>
      <c r="P444" s="19">
        <v>3140</v>
      </c>
      <c r="Q444" s="17">
        <v>3030</v>
      </c>
      <c r="R444" s="17">
        <f t="shared" si="26"/>
        <v>110</v>
      </c>
      <c r="S444" s="17">
        <f t="shared" si="24"/>
        <v>1555</v>
      </c>
      <c r="T444" s="19" t="s">
        <v>42</v>
      </c>
      <c r="U444" s="17" t="s">
        <v>284</v>
      </c>
      <c r="V444" s="64">
        <v>44536</v>
      </c>
      <c r="W444" s="17" t="s">
        <v>69</v>
      </c>
      <c r="Y444" s="68">
        <v>44531</v>
      </c>
      <c r="Z444" s="17" t="s">
        <v>191</v>
      </c>
      <c r="AA444" s="17" t="s">
        <v>46</v>
      </c>
      <c r="AB444" s="17" t="s">
        <v>281</v>
      </c>
      <c r="AC444" s="66">
        <v>44558</v>
      </c>
      <c r="AD444" s="65">
        <v>1253</v>
      </c>
      <c r="AE444" s="17" t="s">
        <v>74</v>
      </c>
      <c r="AF444" s="17" t="s">
        <v>258</v>
      </c>
      <c r="AH444" s="17" t="s">
        <v>282</v>
      </c>
      <c r="AI444" s="95">
        <f t="shared" si="25"/>
        <v>140.885</v>
      </c>
      <c r="AJ444" s="17" t="s">
        <v>283</v>
      </c>
    </row>
    <row r="445" s="17" customFormat="1" hidden="1" spans="1:36">
      <c r="A445" s="17" t="s">
        <v>34</v>
      </c>
      <c r="B445" s="19">
        <v>742</v>
      </c>
      <c r="C445" s="64">
        <v>44534</v>
      </c>
      <c r="D445" s="17" t="s">
        <v>52</v>
      </c>
      <c r="E445" s="17" t="s">
        <v>187</v>
      </c>
      <c r="F445" s="17" t="s">
        <v>54</v>
      </c>
      <c r="H445" s="65">
        <v>1.2738</v>
      </c>
      <c r="I445" s="65"/>
      <c r="J445" s="17" t="s">
        <v>49</v>
      </c>
      <c r="K445" s="17">
        <v>2060</v>
      </c>
      <c r="L445" s="17">
        <v>50</v>
      </c>
      <c r="M445" s="17">
        <v>5000</v>
      </c>
      <c r="N445" s="17" t="s">
        <v>66</v>
      </c>
      <c r="O445" s="19" t="s">
        <v>141</v>
      </c>
      <c r="P445" s="19">
        <v>3925</v>
      </c>
      <c r="Q445" s="17">
        <v>4782</v>
      </c>
      <c r="R445" s="17">
        <f t="shared" si="26"/>
        <v>-857</v>
      </c>
      <c r="S445" s="17">
        <f t="shared" si="24"/>
        <v>1555</v>
      </c>
      <c r="T445" s="19" t="s">
        <v>42</v>
      </c>
      <c r="U445" s="17" t="s">
        <v>284</v>
      </c>
      <c r="V445" s="64">
        <v>44536</v>
      </c>
      <c r="W445" s="17" t="s">
        <v>69</v>
      </c>
      <c r="Y445" s="68">
        <v>44531</v>
      </c>
      <c r="Z445" s="17" t="s">
        <v>191</v>
      </c>
      <c r="AA445" s="17" t="s">
        <v>46</v>
      </c>
      <c r="AB445" s="17" t="s">
        <v>277</v>
      </c>
      <c r="AC445" s="66">
        <v>44560</v>
      </c>
      <c r="AD445" s="65">
        <v>1256</v>
      </c>
      <c r="AE445" s="17" t="s">
        <v>74</v>
      </c>
      <c r="AF445" s="17" t="s">
        <v>258</v>
      </c>
      <c r="AH445" s="17" t="s">
        <v>282</v>
      </c>
      <c r="AI445" s="95">
        <f t="shared" si="25"/>
        <v>140.885</v>
      </c>
      <c r="AJ445" s="17" t="s">
        <v>283</v>
      </c>
    </row>
    <row r="446" s="17" customFormat="1" hidden="1" spans="1:36">
      <c r="A446" s="17" t="s">
        <v>34</v>
      </c>
      <c r="B446" s="19">
        <v>742</v>
      </c>
      <c r="C446" s="64">
        <v>44534</v>
      </c>
      <c r="D446" s="17" t="s">
        <v>52</v>
      </c>
      <c r="E446" s="17" t="s">
        <v>187</v>
      </c>
      <c r="F446" s="17" t="s">
        <v>54</v>
      </c>
      <c r="H446" s="65">
        <v>1.2738</v>
      </c>
      <c r="I446" s="65"/>
      <c r="J446" s="17" t="s">
        <v>49</v>
      </c>
      <c r="K446" s="17">
        <v>2000</v>
      </c>
      <c r="L446" s="17">
        <v>56</v>
      </c>
      <c r="M446" s="17">
        <v>5000</v>
      </c>
      <c r="N446" s="17" t="s">
        <v>66</v>
      </c>
      <c r="O446" s="19" t="s">
        <v>141</v>
      </c>
      <c r="P446" s="19">
        <v>4396</v>
      </c>
      <c r="Q446" s="17">
        <v>4190</v>
      </c>
      <c r="R446" s="17">
        <f t="shared" si="26"/>
        <v>206</v>
      </c>
      <c r="S446" s="17">
        <f t="shared" si="24"/>
        <v>1555</v>
      </c>
      <c r="T446" s="19" t="s">
        <v>42</v>
      </c>
      <c r="U446" s="17" t="s">
        <v>284</v>
      </c>
      <c r="V446" s="64">
        <v>44536</v>
      </c>
      <c r="W446" s="17" t="s">
        <v>69</v>
      </c>
      <c r="Y446" s="68">
        <v>44531</v>
      </c>
      <c r="Z446" s="17" t="s">
        <v>191</v>
      </c>
      <c r="AA446" s="17" t="s">
        <v>46</v>
      </c>
      <c r="AB446" s="17" t="s">
        <v>281</v>
      </c>
      <c r="AC446" s="66">
        <v>44558</v>
      </c>
      <c r="AD446" s="65">
        <v>1253</v>
      </c>
      <c r="AE446" s="17" t="s">
        <v>74</v>
      </c>
      <c r="AF446" s="17" t="s">
        <v>258</v>
      </c>
      <c r="AH446" s="17" t="s">
        <v>282</v>
      </c>
      <c r="AI446" s="95">
        <f t="shared" si="25"/>
        <v>140.885</v>
      </c>
      <c r="AJ446" s="17" t="s">
        <v>283</v>
      </c>
    </row>
    <row r="447" s="17" customFormat="1" hidden="1" spans="1:36">
      <c r="A447" s="17" t="s">
        <v>34</v>
      </c>
      <c r="B447" s="19">
        <v>742</v>
      </c>
      <c r="C447" s="64">
        <v>44534</v>
      </c>
      <c r="D447" s="17" t="s">
        <v>52</v>
      </c>
      <c r="E447" s="17" t="s">
        <v>187</v>
      </c>
      <c r="F447" s="17" t="s">
        <v>54</v>
      </c>
      <c r="H447" s="65">
        <v>1.2738</v>
      </c>
      <c r="I447" s="65"/>
      <c r="J447" s="17" t="s">
        <v>49</v>
      </c>
      <c r="K447" s="17">
        <v>2000</v>
      </c>
      <c r="L447" s="17">
        <v>100</v>
      </c>
      <c r="M447" s="17">
        <v>5000</v>
      </c>
      <c r="N447" s="17" t="s">
        <v>66</v>
      </c>
      <c r="O447" s="19" t="s">
        <v>141</v>
      </c>
      <c r="P447" s="19">
        <v>7850</v>
      </c>
      <c r="Q447" s="17">
        <v>6550</v>
      </c>
      <c r="R447" s="17">
        <f t="shared" si="26"/>
        <v>1300</v>
      </c>
      <c r="S447" s="17">
        <f t="shared" si="24"/>
        <v>1555</v>
      </c>
      <c r="T447" s="19" t="s">
        <v>42</v>
      </c>
      <c r="U447" s="17" t="s">
        <v>284</v>
      </c>
      <c r="V447" s="64">
        <v>44536</v>
      </c>
      <c r="W447" s="17" t="s">
        <v>69</v>
      </c>
      <c r="Y447" s="68">
        <v>44531</v>
      </c>
      <c r="Z447" s="17" t="s">
        <v>191</v>
      </c>
      <c r="AA447" s="17" t="s">
        <v>46</v>
      </c>
      <c r="AB447" s="17" t="s">
        <v>281</v>
      </c>
      <c r="AC447" s="66">
        <v>44558</v>
      </c>
      <c r="AD447" s="65">
        <v>1253</v>
      </c>
      <c r="AE447" s="17" t="s">
        <v>48</v>
      </c>
      <c r="AF447" s="17" t="s">
        <v>258</v>
      </c>
      <c r="AH447" s="17" t="s">
        <v>282</v>
      </c>
      <c r="AI447" s="95">
        <f t="shared" si="25"/>
        <v>140.885</v>
      </c>
      <c r="AJ447" s="17" t="s">
        <v>283</v>
      </c>
    </row>
    <row r="448" s="17" customFormat="1" hidden="1" spans="1:36">
      <c r="A448" s="17" t="s">
        <v>34</v>
      </c>
      <c r="B448" s="19">
        <v>744</v>
      </c>
      <c r="C448" s="101">
        <v>44537</v>
      </c>
      <c r="D448" s="17" t="s">
        <v>137</v>
      </c>
      <c r="E448" s="17" t="s">
        <v>138</v>
      </c>
      <c r="F448" s="17" t="s">
        <v>139</v>
      </c>
      <c r="H448" s="19">
        <v>1.2738</v>
      </c>
      <c r="I448" s="19"/>
      <c r="J448" s="17" t="s">
        <v>49</v>
      </c>
      <c r="K448" s="17">
        <v>2000</v>
      </c>
      <c r="L448" s="91">
        <v>40</v>
      </c>
      <c r="M448" s="19">
        <v>5500</v>
      </c>
      <c r="N448" s="19" t="s">
        <v>66</v>
      </c>
      <c r="O448" s="19" t="s">
        <v>141</v>
      </c>
      <c r="P448" s="19">
        <v>3454</v>
      </c>
      <c r="Q448" s="17">
        <v>3659</v>
      </c>
      <c r="R448" s="17">
        <f t="shared" si="26"/>
        <v>-205</v>
      </c>
      <c r="S448" s="17">
        <v>1580</v>
      </c>
      <c r="T448" s="19" t="s">
        <v>94</v>
      </c>
      <c r="U448" s="102">
        <v>52820</v>
      </c>
      <c r="V448" s="64">
        <v>44537</v>
      </c>
      <c r="W448" s="17" t="s">
        <v>44</v>
      </c>
      <c r="Y448" s="68">
        <v>44531</v>
      </c>
      <c r="Z448" s="17" t="s">
        <v>191</v>
      </c>
      <c r="AA448" s="17" t="s">
        <v>145</v>
      </c>
      <c r="AB448" s="17">
        <v>4001380085</v>
      </c>
      <c r="AC448" s="66">
        <v>44641</v>
      </c>
      <c r="AD448" s="65">
        <v>1263</v>
      </c>
      <c r="AE448" s="17" t="s">
        <v>48</v>
      </c>
    </row>
    <row r="449" s="17" customFormat="1" hidden="1" spans="1:36">
      <c r="A449" s="17" t="s">
        <v>34</v>
      </c>
      <c r="B449" s="19">
        <v>744</v>
      </c>
      <c r="C449" s="101">
        <v>44537</v>
      </c>
      <c r="D449" s="17" t="s">
        <v>137</v>
      </c>
      <c r="E449" s="17" t="s">
        <v>138</v>
      </c>
      <c r="F449" s="17" t="s">
        <v>139</v>
      </c>
      <c r="H449" s="19">
        <v>1.2738</v>
      </c>
      <c r="I449" s="19"/>
      <c r="J449" s="17" t="s">
        <v>49</v>
      </c>
      <c r="K449" s="17">
        <v>1180</v>
      </c>
      <c r="L449" s="91">
        <v>110</v>
      </c>
      <c r="M449" s="19">
        <v>5000</v>
      </c>
      <c r="N449" s="19" t="s">
        <v>66</v>
      </c>
      <c r="O449" s="19" t="s">
        <v>141</v>
      </c>
      <c r="P449" s="19">
        <v>5095</v>
      </c>
      <c r="Q449" s="17">
        <v>5189</v>
      </c>
      <c r="R449" s="17">
        <f t="shared" si="26"/>
        <v>-94</v>
      </c>
      <c r="S449" s="17">
        <v>1580</v>
      </c>
      <c r="T449" s="19" t="s">
        <v>94</v>
      </c>
      <c r="U449" s="102">
        <v>52820</v>
      </c>
      <c r="V449" s="64">
        <v>44537</v>
      </c>
      <c r="W449" s="17" t="s">
        <v>44</v>
      </c>
      <c r="Y449" s="68">
        <v>44531</v>
      </c>
      <c r="Z449" s="17" t="s">
        <v>191</v>
      </c>
      <c r="AA449" s="17" t="s">
        <v>145</v>
      </c>
      <c r="AB449" s="17">
        <v>4001380085</v>
      </c>
      <c r="AC449" s="66">
        <v>44641</v>
      </c>
      <c r="AD449" s="65">
        <v>1263</v>
      </c>
      <c r="AE449" s="17" t="s">
        <v>48</v>
      </c>
    </row>
    <row r="450" s="17" customFormat="1" hidden="1" spans="1:36">
      <c r="A450" s="17" t="s">
        <v>34</v>
      </c>
      <c r="B450" s="19">
        <v>744</v>
      </c>
      <c r="C450" s="101">
        <v>44537</v>
      </c>
      <c r="D450" s="17" t="s">
        <v>137</v>
      </c>
      <c r="E450" s="17" t="s">
        <v>138</v>
      </c>
      <c r="F450" s="17" t="s">
        <v>139</v>
      </c>
      <c r="H450" s="19">
        <v>1.2738</v>
      </c>
      <c r="I450" s="19"/>
      <c r="J450" s="17" t="s">
        <v>49</v>
      </c>
      <c r="K450" s="17">
        <v>1025</v>
      </c>
      <c r="L450" s="91">
        <v>120</v>
      </c>
      <c r="M450" s="19">
        <v>5970</v>
      </c>
      <c r="N450" s="19" t="s">
        <v>66</v>
      </c>
      <c r="O450" s="98" t="s">
        <v>168</v>
      </c>
      <c r="P450" s="19">
        <v>5764</v>
      </c>
      <c r="Q450" s="17">
        <f>2911+2901</f>
        <v>5812</v>
      </c>
      <c r="R450" s="17">
        <f t="shared" si="26"/>
        <v>-48</v>
      </c>
      <c r="S450" s="17">
        <v>1580</v>
      </c>
      <c r="T450" s="19" t="s">
        <v>94</v>
      </c>
      <c r="U450" s="102">
        <v>52820</v>
      </c>
      <c r="V450" s="64">
        <v>44537</v>
      </c>
      <c r="W450" s="17" t="s">
        <v>44</v>
      </c>
      <c r="Y450" s="68">
        <v>44531</v>
      </c>
      <c r="Z450" s="17" t="s">
        <v>191</v>
      </c>
      <c r="AA450" s="17" t="s">
        <v>145</v>
      </c>
      <c r="AB450" s="17">
        <v>4001380085</v>
      </c>
      <c r="AC450" s="66">
        <v>44641</v>
      </c>
      <c r="AD450" s="65">
        <v>1263</v>
      </c>
      <c r="AE450" s="17" t="s">
        <v>48</v>
      </c>
    </row>
    <row r="451" s="17" customFormat="1" hidden="1" spans="1:36">
      <c r="A451" s="17" t="s">
        <v>34</v>
      </c>
      <c r="B451" s="19">
        <v>744</v>
      </c>
      <c r="C451" s="101">
        <v>44537</v>
      </c>
      <c r="D451" s="17" t="s">
        <v>137</v>
      </c>
      <c r="E451" s="17" t="s">
        <v>138</v>
      </c>
      <c r="F451" s="17" t="s">
        <v>139</v>
      </c>
      <c r="H451" s="19">
        <v>1.2738</v>
      </c>
      <c r="I451" s="19"/>
      <c r="J451" s="17" t="s">
        <v>49</v>
      </c>
      <c r="K451" s="17">
        <v>1215</v>
      </c>
      <c r="L451" s="91">
        <v>120</v>
      </c>
      <c r="M451" s="19">
        <v>6000</v>
      </c>
      <c r="N451" s="19" t="s">
        <v>66</v>
      </c>
      <c r="O451" s="98" t="s">
        <v>168</v>
      </c>
      <c r="P451" s="19">
        <v>6867</v>
      </c>
      <c r="Q451" s="17">
        <f>3465+3465</f>
        <v>6930</v>
      </c>
      <c r="R451" s="17">
        <f t="shared" si="26"/>
        <v>-63</v>
      </c>
      <c r="S451" s="17">
        <v>1580</v>
      </c>
      <c r="T451" s="19" t="s">
        <v>94</v>
      </c>
      <c r="U451" s="102">
        <v>52820</v>
      </c>
      <c r="V451" s="110">
        <v>44537</v>
      </c>
      <c r="W451" s="17" t="s">
        <v>44</v>
      </c>
      <c r="Y451" s="68">
        <v>44531</v>
      </c>
      <c r="Z451" s="17" t="s">
        <v>191</v>
      </c>
      <c r="AA451" s="17" t="s">
        <v>145</v>
      </c>
      <c r="AB451" s="17">
        <v>4001380199</v>
      </c>
      <c r="AC451" s="66" t="s">
        <v>285</v>
      </c>
      <c r="AD451" s="65">
        <v>1322</v>
      </c>
      <c r="AE451" s="17" t="s">
        <v>48</v>
      </c>
    </row>
    <row r="452" s="17" customFormat="1" hidden="1" spans="1:36">
      <c r="A452" s="17" t="s">
        <v>34</v>
      </c>
      <c r="B452" s="19">
        <v>745</v>
      </c>
      <c r="C452" s="64">
        <v>44539</v>
      </c>
      <c r="D452" s="17" t="s">
        <v>52</v>
      </c>
      <c r="E452" s="17" t="s">
        <v>187</v>
      </c>
      <c r="F452" s="17" t="s">
        <v>54</v>
      </c>
      <c r="H452" s="65">
        <v>1.2738</v>
      </c>
      <c r="I452" s="65"/>
      <c r="J452" s="17" t="s">
        <v>49</v>
      </c>
      <c r="K452" s="17">
        <v>2000</v>
      </c>
      <c r="L452" s="17">
        <v>110</v>
      </c>
      <c r="M452" s="17">
        <v>2500</v>
      </c>
      <c r="N452" s="17" t="s">
        <v>66</v>
      </c>
      <c r="O452" s="19" t="s">
        <v>141</v>
      </c>
      <c r="P452" s="19">
        <v>8635</v>
      </c>
      <c r="Q452" s="17">
        <f>5125+4656</f>
        <v>9781</v>
      </c>
      <c r="R452" s="17">
        <f t="shared" si="26"/>
        <v>-1146</v>
      </c>
      <c r="S452" s="17">
        <f>1655-50</f>
        <v>1605</v>
      </c>
      <c r="T452" s="19" t="s">
        <v>42</v>
      </c>
      <c r="U452" s="17" t="s">
        <v>286</v>
      </c>
      <c r="V452" s="64">
        <v>44540</v>
      </c>
      <c r="W452" s="17" t="s">
        <v>69</v>
      </c>
      <c r="Y452" s="68">
        <v>44562</v>
      </c>
      <c r="Z452" s="17" t="s">
        <v>191</v>
      </c>
      <c r="AA452" s="17" t="s">
        <v>46</v>
      </c>
      <c r="AB452" s="17" t="s">
        <v>281</v>
      </c>
      <c r="AC452" s="66">
        <v>44558</v>
      </c>
      <c r="AD452" s="65">
        <v>1253</v>
      </c>
      <c r="AE452" s="17" t="s">
        <v>48</v>
      </c>
      <c r="AF452" s="17" t="s">
        <v>258</v>
      </c>
      <c r="AH452" s="17" t="s">
        <v>287</v>
      </c>
      <c r="AI452" s="95">
        <f>143470/1000</f>
        <v>143.47</v>
      </c>
      <c r="AJ452" s="17" t="s">
        <v>288</v>
      </c>
    </row>
    <row r="453" s="17" customFormat="1" hidden="1" spans="1:36">
      <c r="A453" s="17" t="s">
        <v>34</v>
      </c>
      <c r="B453" s="19">
        <v>745</v>
      </c>
      <c r="C453" s="64">
        <v>44539</v>
      </c>
      <c r="D453" s="17" t="s">
        <v>52</v>
      </c>
      <c r="E453" s="17" t="s">
        <v>187</v>
      </c>
      <c r="F453" s="17" t="s">
        <v>54</v>
      </c>
      <c r="H453" s="65">
        <v>1.2738</v>
      </c>
      <c r="I453" s="65"/>
      <c r="J453" s="17" t="s">
        <v>49</v>
      </c>
      <c r="K453" s="17">
        <v>2000</v>
      </c>
      <c r="L453" s="17">
        <v>120</v>
      </c>
      <c r="M453" s="17">
        <v>2500</v>
      </c>
      <c r="N453" s="17" t="s">
        <v>66</v>
      </c>
      <c r="O453" s="19" t="s">
        <v>141</v>
      </c>
      <c r="P453" s="19">
        <v>9420</v>
      </c>
      <c r="Q453" s="17">
        <f>5550+5875</f>
        <v>11425</v>
      </c>
      <c r="R453" s="17">
        <f t="shared" si="26"/>
        <v>-2005</v>
      </c>
      <c r="S453" s="17">
        <f>1655-50</f>
        <v>1605</v>
      </c>
      <c r="T453" s="19" t="s">
        <v>42</v>
      </c>
      <c r="U453" s="17" t="s">
        <v>286</v>
      </c>
      <c r="V453" s="64">
        <v>44540</v>
      </c>
      <c r="W453" s="17" t="s">
        <v>69</v>
      </c>
      <c r="Y453" s="68">
        <v>44562</v>
      </c>
      <c r="Z453" s="17" t="s">
        <v>191</v>
      </c>
      <c r="AA453" s="17" t="s">
        <v>46</v>
      </c>
      <c r="AB453" s="17" t="s">
        <v>281</v>
      </c>
      <c r="AC453" s="66">
        <v>44558</v>
      </c>
      <c r="AD453" s="65">
        <v>1253</v>
      </c>
      <c r="AE453" s="17" t="s">
        <v>48</v>
      </c>
      <c r="AF453" s="17" t="s">
        <v>258</v>
      </c>
      <c r="AH453" s="17" t="s">
        <v>287</v>
      </c>
      <c r="AI453" s="95">
        <f>143470/1000</f>
        <v>143.47</v>
      </c>
      <c r="AJ453" s="17" t="s">
        <v>288</v>
      </c>
    </row>
    <row r="454" s="17" customFormat="1" hidden="1" spans="1:36">
      <c r="A454" s="17" t="s">
        <v>34</v>
      </c>
      <c r="B454" s="19">
        <v>745</v>
      </c>
      <c r="C454" s="64">
        <v>44539</v>
      </c>
      <c r="D454" s="17" t="s">
        <v>52</v>
      </c>
      <c r="E454" s="17" t="s">
        <v>187</v>
      </c>
      <c r="F454" s="17" t="s">
        <v>54</v>
      </c>
      <c r="H454" s="65">
        <v>1.2738</v>
      </c>
      <c r="I454" s="65"/>
      <c r="J454" s="17" t="s">
        <v>49</v>
      </c>
      <c r="K454" s="17">
        <v>2000</v>
      </c>
      <c r="L454" s="17">
        <v>130</v>
      </c>
      <c r="M454" s="17">
        <v>2500</v>
      </c>
      <c r="N454" s="17" t="s">
        <v>66</v>
      </c>
      <c r="O454" s="19" t="s">
        <v>141</v>
      </c>
      <c r="P454" s="19">
        <v>10205</v>
      </c>
      <c r="Q454" s="17">
        <v>5620</v>
      </c>
      <c r="S454" s="17">
        <f>1775-50</f>
        <v>1725</v>
      </c>
      <c r="T454" s="19" t="s">
        <v>42</v>
      </c>
      <c r="U454" s="17" t="s">
        <v>286</v>
      </c>
      <c r="V454" s="64">
        <v>44540</v>
      </c>
      <c r="W454" s="17" t="s">
        <v>69</v>
      </c>
      <c r="Y454" s="68">
        <v>44562</v>
      </c>
      <c r="Z454" s="17" t="s">
        <v>191</v>
      </c>
      <c r="AA454" s="17" t="s">
        <v>46</v>
      </c>
      <c r="AB454" s="17" t="s">
        <v>281</v>
      </c>
      <c r="AC454" s="66">
        <v>44558</v>
      </c>
      <c r="AD454" s="65">
        <v>1253</v>
      </c>
      <c r="AE454" s="17" t="s">
        <v>48</v>
      </c>
      <c r="AF454" s="17" t="s">
        <v>258</v>
      </c>
      <c r="AH454" s="17" t="s">
        <v>289</v>
      </c>
      <c r="AI454" s="95">
        <f>152949/1000</f>
        <v>152.949</v>
      </c>
      <c r="AJ454" s="17" t="s">
        <v>288</v>
      </c>
    </row>
    <row r="455" s="17" customFormat="1" hidden="1" spans="1:36">
      <c r="A455" s="17" t="s">
        <v>34</v>
      </c>
      <c r="B455" s="19">
        <v>745</v>
      </c>
      <c r="C455" s="64">
        <v>44539</v>
      </c>
      <c r="D455" s="17" t="s">
        <v>52</v>
      </c>
      <c r="E455" s="17" t="s">
        <v>187</v>
      </c>
      <c r="F455" s="17" t="s">
        <v>54</v>
      </c>
      <c r="H455" s="65">
        <v>1.2738</v>
      </c>
      <c r="I455" s="65"/>
      <c r="J455" s="17" t="s">
        <v>49</v>
      </c>
      <c r="K455" s="17">
        <v>2000</v>
      </c>
      <c r="L455" s="17">
        <v>130</v>
      </c>
      <c r="M455" s="17">
        <v>2500</v>
      </c>
      <c r="N455" s="17" t="s">
        <v>66</v>
      </c>
      <c r="O455" s="19" t="s">
        <v>141</v>
      </c>
      <c r="P455" s="19"/>
      <c r="Q455" s="17">
        <v>5595</v>
      </c>
      <c r="R455" s="17">
        <f>+P454-Q454-Q455</f>
        <v>-1010</v>
      </c>
      <c r="S455" s="17">
        <f>1775-50</f>
        <v>1725</v>
      </c>
      <c r="T455" s="19" t="s">
        <v>42</v>
      </c>
      <c r="U455" s="17" t="s">
        <v>286</v>
      </c>
      <c r="V455" s="64">
        <v>44540</v>
      </c>
      <c r="W455" s="17" t="s">
        <v>69</v>
      </c>
      <c r="Y455" s="68">
        <v>44562</v>
      </c>
      <c r="Z455" s="17" t="s">
        <v>191</v>
      </c>
      <c r="AA455" s="17" t="s">
        <v>46</v>
      </c>
      <c r="AB455" s="17" t="s">
        <v>290</v>
      </c>
      <c r="AC455" s="66">
        <v>44561</v>
      </c>
      <c r="AD455" s="65">
        <v>1255</v>
      </c>
      <c r="AE455" s="17" t="s">
        <v>48</v>
      </c>
      <c r="AF455" s="17" t="s">
        <v>258</v>
      </c>
      <c r="AH455" s="17" t="s">
        <v>289</v>
      </c>
      <c r="AI455" s="95">
        <f>152949/1000</f>
        <v>152.949</v>
      </c>
      <c r="AJ455" s="17" t="s">
        <v>288</v>
      </c>
    </row>
    <row r="456" s="17" customFormat="1" hidden="1" spans="1:36">
      <c r="A456" s="17" t="s">
        <v>34</v>
      </c>
      <c r="B456" s="19">
        <v>745</v>
      </c>
      <c r="C456" s="64">
        <v>44539</v>
      </c>
      <c r="D456" s="17" t="s">
        <v>52</v>
      </c>
      <c r="E456" s="17" t="s">
        <v>187</v>
      </c>
      <c r="F456" s="17" t="s">
        <v>54</v>
      </c>
      <c r="H456" s="65">
        <v>1.2738</v>
      </c>
      <c r="I456" s="65"/>
      <c r="J456" s="17" t="s">
        <v>49</v>
      </c>
      <c r="K456" s="17">
        <v>2000</v>
      </c>
      <c r="L456" s="17">
        <v>180</v>
      </c>
      <c r="M456" s="17">
        <v>2500</v>
      </c>
      <c r="N456" s="17" t="s">
        <v>66</v>
      </c>
      <c r="O456" s="19" t="s">
        <v>141</v>
      </c>
      <c r="P456" s="19">
        <v>14130</v>
      </c>
      <c r="Q456" s="17">
        <f>6180+6210</f>
        <v>12390</v>
      </c>
      <c r="R456" s="95">
        <f t="shared" ref="R456:R487" si="27">+P456-Q456</f>
        <v>1740</v>
      </c>
      <c r="S456" s="17">
        <f>1775-50</f>
        <v>1725</v>
      </c>
      <c r="T456" s="19" t="s">
        <v>42</v>
      </c>
      <c r="U456" s="17" t="s">
        <v>286</v>
      </c>
      <c r="V456" s="64">
        <v>44540</v>
      </c>
      <c r="W456" s="17" t="s">
        <v>69</v>
      </c>
      <c r="Y456" s="68">
        <v>44562</v>
      </c>
      <c r="Z456" s="17" t="s">
        <v>191</v>
      </c>
      <c r="AA456" s="17" t="s">
        <v>46</v>
      </c>
      <c r="AB456" s="17" t="s">
        <v>290</v>
      </c>
      <c r="AC456" s="66">
        <v>44561</v>
      </c>
      <c r="AD456" s="65">
        <v>1255</v>
      </c>
      <c r="AE456" s="17" t="s">
        <v>48</v>
      </c>
      <c r="AF456" s="17" t="s">
        <v>258</v>
      </c>
      <c r="AH456" s="17" t="s">
        <v>289</v>
      </c>
      <c r="AI456" s="95">
        <f>152949/1000</f>
        <v>152.949</v>
      </c>
      <c r="AJ456" s="17" t="s">
        <v>288</v>
      </c>
    </row>
    <row r="457" s="17" customFormat="1" hidden="1" spans="1:36">
      <c r="A457" s="17" t="s">
        <v>34</v>
      </c>
      <c r="B457" s="19">
        <v>747</v>
      </c>
      <c r="C457" s="64">
        <v>44544</v>
      </c>
      <c r="D457" s="17" t="s">
        <v>52</v>
      </c>
      <c r="E457" s="17" t="s">
        <v>291</v>
      </c>
      <c r="F457" s="17" t="s">
        <v>54</v>
      </c>
      <c r="H457" s="65">
        <v>1.2311</v>
      </c>
      <c r="I457" s="65"/>
      <c r="J457" s="17" t="s">
        <v>82</v>
      </c>
      <c r="K457" s="91">
        <v>207</v>
      </c>
      <c r="L457" s="91">
        <v>26</v>
      </c>
      <c r="M457" s="17" t="s">
        <v>292</v>
      </c>
      <c r="N457" s="17" t="s">
        <v>66</v>
      </c>
      <c r="O457" s="19" t="s">
        <v>141</v>
      </c>
      <c r="P457" s="94">
        <v>168.9948</v>
      </c>
      <c r="Q457" s="17">
        <v>186</v>
      </c>
      <c r="R457" s="95">
        <f t="shared" si="27"/>
        <v>-17.0052</v>
      </c>
      <c r="S457" s="17">
        <v>1250</v>
      </c>
      <c r="T457" s="19" t="s">
        <v>42</v>
      </c>
      <c r="U457" s="17" t="s">
        <v>293</v>
      </c>
      <c r="V457" s="64">
        <v>44545</v>
      </c>
      <c r="W457" s="17" t="s">
        <v>69</v>
      </c>
      <c r="Y457" s="68">
        <v>44531</v>
      </c>
      <c r="Z457" s="17" t="s">
        <v>191</v>
      </c>
      <c r="AA457" s="17" t="s">
        <v>46</v>
      </c>
      <c r="AB457" s="17" t="s">
        <v>294</v>
      </c>
      <c r="AC457" s="66">
        <v>44555</v>
      </c>
      <c r="AD457" s="65">
        <v>1251</v>
      </c>
      <c r="AF457" s="17" t="s">
        <v>295</v>
      </c>
    </row>
    <row r="458" s="17" customFormat="1" hidden="1" spans="1:36">
      <c r="A458" s="17" t="s">
        <v>34</v>
      </c>
      <c r="B458" s="19">
        <v>747</v>
      </c>
      <c r="C458" s="64">
        <v>44544</v>
      </c>
      <c r="D458" s="17" t="s">
        <v>52</v>
      </c>
      <c r="E458" s="17" t="s">
        <v>291</v>
      </c>
      <c r="F458" s="17" t="s">
        <v>54</v>
      </c>
      <c r="H458" s="65">
        <v>1.2311</v>
      </c>
      <c r="I458" s="65"/>
      <c r="J458" s="17" t="s">
        <v>82</v>
      </c>
      <c r="K458" s="91">
        <v>257</v>
      </c>
      <c r="L458" s="91">
        <v>26</v>
      </c>
      <c r="M458" s="17" t="s">
        <v>292</v>
      </c>
      <c r="N458" s="17" t="s">
        <v>66</v>
      </c>
      <c r="O458" s="19" t="s">
        <v>141</v>
      </c>
      <c r="P458" s="94">
        <v>209.8148</v>
      </c>
      <c r="Q458" s="17">
        <v>234</v>
      </c>
      <c r="R458" s="95">
        <f t="shared" si="27"/>
        <v>-24.1852</v>
      </c>
      <c r="S458" s="17">
        <v>1250</v>
      </c>
      <c r="T458" s="19" t="s">
        <v>42</v>
      </c>
      <c r="U458" s="17" t="s">
        <v>293</v>
      </c>
      <c r="V458" s="64">
        <v>44545</v>
      </c>
      <c r="W458" s="17" t="s">
        <v>69</v>
      </c>
      <c r="Y458" s="68">
        <v>44531</v>
      </c>
      <c r="Z458" s="17" t="s">
        <v>191</v>
      </c>
      <c r="AA458" s="17" t="s">
        <v>46</v>
      </c>
      <c r="AB458" s="17" t="s">
        <v>294</v>
      </c>
      <c r="AC458" s="66">
        <v>44555</v>
      </c>
      <c r="AD458" s="65">
        <v>1251</v>
      </c>
      <c r="AF458" s="17" t="s">
        <v>295</v>
      </c>
    </row>
    <row r="459" s="17" customFormat="1" hidden="1" spans="1:36">
      <c r="A459" s="17" t="s">
        <v>34</v>
      </c>
      <c r="B459" s="19">
        <v>747</v>
      </c>
      <c r="C459" s="64">
        <v>44544</v>
      </c>
      <c r="D459" s="17" t="s">
        <v>52</v>
      </c>
      <c r="E459" s="17" t="s">
        <v>291</v>
      </c>
      <c r="F459" s="17" t="s">
        <v>54</v>
      </c>
      <c r="H459" s="65">
        <v>1.2311</v>
      </c>
      <c r="I459" s="65"/>
      <c r="J459" s="17" t="s">
        <v>82</v>
      </c>
      <c r="K459" s="91">
        <v>307</v>
      </c>
      <c r="L459" s="91">
        <v>26</v>
      </c>
      <c r="M459" s="17" t="s">
        <v>292</v>
      </c>
      <c r="N459" s="17" t="s">
        <v>66</v>
      </c>
      <c r="O459" s="19" t="s">
        <v>141</v>
      </c>
      <c r="P459" s="94">
        <v>250.6348</v>
      </c>
      <c r="Q459" s="17">
        <v>282</v>
      </c>
      <c r="R459" s="95">
        <f t="shared" si="27"/>
        <v>-31.3652</v>
      </c>
      <c r="S459" s="17">
        <v>1250</v>
      </c>
      <c r="T459" s="19" t="s">
        <v>42</v>
      </c>
      <c r="U459" s="17" t="s">
        <v>293</v>
      </c>
      <c r="V459" s="64">
        <v>44545</v>
      </c>
      <c r="W459" s="17" t="s">
        <v>69</v>
      </c>
      <c r="Y459" s="68">
        <v>44531</v>
      </c>
      <c r="Z459" s="17" t="s">
        <v>191</v>
      </c>
      <c r="AA459" s="17" t="s">
        <v>46</v>
      </c>
      <c r="AB459" s="17" t="s">
        <v>294</v>
      </c>
      <c r="AC459" s="66">
        <v>44555</v>
      </c>
      <c r="AD459" s="65">
        <v>1251</v>
      </c>
      <c r="AF459" s="17" t="s">
        <v>295</v>
      </c>
    </row>
    <row r="460" s="17" customFormat="1" hidden="1" spans="1:36">
      <c r="A460" s="17" t="s">
        <v>34</v>
      </c>
      <c r="B460" s="19">
        <v>747</v>
      </c>
      <c r="C460" s="64">
        <v>44544</v>
      </c>
      <c r="D460" s="17" t="s">
        <v>52</v>
      </c>
      <c r="E460" s="17" t="s">
        <v>291</v>
      </c>
      <c r="F460" s="17" t="s">
        <v>54</v>
      </c>
      <c r="H460" s="65">
        <v>1.2311</v>
      </c>
      <c r="I460" s="65"/>
      <c r="J460" s="17" t="s">
        <v>82</v>
      </c>
      <c r="K460" s="91">
        <v>357</v>
      </c>
      <c r="L460" s="91">
        <v>26</v>
      </c>
      <c r="M460" s="17" t="s">
        <v>292</v>
      </c>
      <c r="N460" s="17" t="s">
        <v>66</v>
      </c>
      <c r="O460" s="19" t="s">
        <v>141</v>
      </c>
      <c r="P460" s="94">
        <v>291.4548</v>
      </c>
      <c r="Q460" s="17">
        <v>295</v>
      </c>
      <c r="R460" s="95">
        <f t="shared" si="27"/>
        <v>-3.54520000000002</v>
      </c>
      <c r="S460" s="17">
        <v>1250</v>
      </c>
      <c r="T460" s="19" t="s">
        <v>42</v>
      </c>
      <c r="U460" s="17" t="s">
        <v>293</v>
      </c>
      <c r="V460" s="64">
        <v>44545</v>
      </c>
      <c r="W460" s="17" t="s">
        <v>69</v>
      </c>
      <c r="Y460" s="68">
        <v>44531</v>
      </c>
      <c r="Z460" s="17" t="s">
        <v>191</v>
      </c>
      <c r="AA460" s="17" t="s">
        <v>46</v>
      </c>
      <c r="AB460" s="17" t="s">
        <v>294</v>
      </c>
      <c r="AC460" s="66">
        <v>44555</v>
      </c>
      <c r="AD460" s="65">
        <v>1251</v>
      </c>
      <c r="AF460" s="17" t="s">
        <v>295</v>
      </c>
    </row>
    <row r="461" s="17" customFormat="1" hidden="1" spans="1:36">
      <c r="A461" s="17" t="s">
        <v>34</v>
      </c>
      <c r="B461" s="19">
        <v>747</v>
      </c>
      <c r="C461" s="64">
        <v>44544</v>
      </c>
      <c r="D461" s="17" t="s">
        <v>52</v>
      </c>
      <c r="E461" s="17" t="s">
        <v>291</v>
      </c>
      <c r="F461" s="17" t="s">
        <v>54</v>
      </c>
      <c r="H461" s="65">
        <v>1.2311</v>
      </c>
      <c r="I461" s="65"/>
      <c r="J461" s="17" t="s">
        <v>82</v>
      </c>
      <c r="K461" s="91">
        <v>407</v>
      </c>
      <c r="L461" s="91">
        <v>26</v>
      </c>
      <c r="M461" s="17" t="s">
        <v>292</v>
      </c>
      <c r="N461" s="17" t="s">
        <v>66</v>
      </c>
      <c r="O461" s="19" t="s">
        <v>141</v>
      </c>
      <c r="P461" s="94">
        <v>332.2748</v>
      </c>
      <c r="Q461" s="17">
        <v>362</v>
      </c>
      <c r="R461" s="95">
        <f t="shared" si="27"/>
        <v>-29.7252</v>
      </c>
      <c r="S461" s="17">
        <v>1250</v>
      </c>
      <c r="T461" s="19" t="s">
        <v>42</v>
      </c>
      <c r="U461" s="17" t="s">
        <v>293</v>
      </c>
      <c r="V461" s="64">
        <v>44545</v>
      </c>
      <c r="W461" s="17" t="s">
        <v>69</v>
      </c>
      <c r="Y461" s="68">
        <v>44531</v>
      </c>
      <c r="Z461" s="17" t="s">
        <v>191</v>
      </c>
      <c r="AA461" s="17" t="s">
        <v>46</v>
      </c>
      <c r="AB461" s="17" t="s">
        <v>294</v>
      </c>
      <c r="AC461" s="66">
        <v>44555</v>
      </c>
      <c r="AD461" s="65">
        <v>1251</v>
      </c>
      <c r="AF461" s="17" t="s">
        <v>295</v>
      </c>
    </row>
    <row r="462" s="17" customFormat="1" hidden="1" spans="1:36">
      <c r="A462" s="17" t="s">
        <v>34</v>
      </c>
      <c r="B462" s="19">
        <v>747</v>
      </c>
      <c r="C462" s="64">
        <v>44544</v>
      </c>
      <c r="D462" s="17" t="s">
        <v>52</v>
      </c>
      <c r="E462" s="17" t="s">
        <v>291</v>
      </c>
      <c r="F462" s="17" t="s">
        <v>54</v>
      </c>
      <c r="H462" s="65">
        <v>1.2311</v>
      </c>
      <c r="I462" s="65"/>
      <c r="J462" s="17" t="s">
        <v>82</v>
      </c>
      <c r="K462" s="91">
        <v>457</v>
      </c>
      <c r="L462" s="91">
        <v>26</v>
      </c>
      <c r="M462" s="17" t="s">
        <v>292</v>
      </c>
      <c r="N462" s="17" t="s">
        <v>66</v>
      </c>
      <c r="O462" s="19" t="s">
        <v>141</v>
      </c>
      <c r="P462" s="94">
        <v>373.0948</v>
      </c>
      <c r="Q462" s="17">
        <v>416</v>
      </c>
      <c r="R462" s="95">
        <f t="shared" si="27"/>
        <v>-42.9052</v>
      </c>
      <c r="S462" s="17">
        <v>1250</v>
      </c>
      <c r="T462" s="19" t="s">
        <v>42</v>
      </c>
      <c r="U462" s="17" t="s">
        <v>293</v>
      </c>
      <c r="V462" s="64">
        <v>44545</v>
      </c>
      <c r="W462" s="17" t="s">
        <v>69</v>
      </c>
      <c r="Y462" s="68">
        <v>44531</v>
      </c>
      <c r="Z462" s="17" t="s">
        <v>191</v>
      </c>
      <c r="AA462" s="17" t="s">
        <v>46</v>
      </c>
      <c r="AB462" s="17" t="s">
        <v>294</v>
      </c>
      <c r="AC462" s="66">
        <v>44555</v>
      </c>
      <c r="AD462" s="65">
        <v>1251</v>
      </c>
      <c r="AF462" s="17" t="s">
        <v>295</v>
      </c>
    </row>
    <row r="463" s="17" customFormat="1" hidden="1" spans="1:36">
      <c r="A463" s="17" t="s">
        <v>34</v>
      </c>
      <c r="B463" s="19">
        <v>747</v>
      </c>
      <c r="C463" s="64">
        <v>44544</v>
      </c>
      <c r="D463" s="17" t="s">
        <v>52</v>
      </c>
      <c r="E463" s="17" t="s">
        <v>291</v>
      </c>
      <c r="F463" s="17" t="s">
        <v>54</v>
      </c>
      <c r="H463" s="65">
        <v>1.2311</v>
      </c>
      <c r="I463" s="65"/>
      <c r="J463" s="17" t="s">
        <v>82</v>
      </c>
      <c r="K463" s="91">
        <v>507</v>
      </c>
      <c r="L463" s="91">
        <v>26</v>
      </c>
      <c r="M463" s="17" t="s">
        <v>292</v>
      </c>
      <c r="N463" s="17" t="s">
        <v>66</v>
      </c>
      <c r="O463" s="19" t="s">
        <v>141</v>
      </c>
      <c r="P463" s="94">
        <v>2069.574</v>
      </c>
      <c r="Q463" s="17">
        <f>426+428+430</f>
        <v>1284</v>
      </c>
      <c r="R463" s="95">
        <f t="shared" si="27"/>
        <v>785.574</v>
      </c>
      <c r="S463" s="17">
        <v>1250</v>
      </c>
      <c r="T463" s="19" t="s">
        <v>42</v>
      </c>
      <c r="U463" s="17" t="s">
        <v>293</v>
      </c>
      <c r="V463" s="64">
        <v>44545</v>
      </c>
      <c r="W463" s="17" t="s">
        <v>69</v>
      </c>
      <c r="Y463" s="68">
        <v>44531</v>
      </c>
      <c r="Z463" s="17" t="s">
        <v>191</v>
      </c>
      <c r="AA463" s="17" t="s">
        <v>46</v>
      </c>
      <c r="AB463" s="17" t="s">
        <v>296</v>
      </c>
      <c r="AC463" s="66">
        <v>44555</v>
      </c>
      <c r="AD463" s="65">
        <v>1252</v>
      </c>
      <c r="AF463" s="17" t="s">
        <v>295</v>
      </c>
    </row>
    <row r="464" s="17" customFormat="1" hidden="1" spans="1:36">
      <c r="A464" s="17" t="s">
        <v>34</v>
      </c>
      <c r="B464" s="19">
        <v>747</v>
      </c>
      <c r="C464" s="64">
        <v>44544</v>
      </c>
      <c r="D464" s="17" t="s">
        <v>52</v>
      </c>
      <c r="E464" s="17" t="s">
        <v>291</v>
      </c>
      <c r="F464" s="17" t="s">
        <v>54</v>
      </c>
      <c r="H464" s="65">
        <v>1.2311</v>
      </c>
      <c r="I464" s="65"/>
      <c r="J464" s="17" t="s">
        <v>82</v>
      </c>
      <c r="K464" s="91">
        <v>557</v>
      </c>
      <c r="L464" s="91">
        <v>26</v>
      </c>
      <c r="M464" s="17" t="s">
        <v>292</v>
      </c>
      <c r="N464" s="17" t="s">
        <v>66</v>
      </c>
      <c r="O464" s="19" t="s">
        <v>141</v>
      </c>
      <c r="P464" s="94">
        <v>454.7348</v>
      </c>
      <c r="Q464" s="17">
        <v>469</v>
      </c>
      <c r="R464" s="95">
        <f t="shared" si="27"/>
        <v>-14.2652</v>
      </c>
      <c r="S464" s="17">
        <v>1250</v>
      </c>
      <c r="T464" s="19" t="s">
        <v>42</v>
      </c>
      <c r="U464" s="17" t="s">
        <v>293</v>
      </c>
      <c r="V464" s="64">
        <v>44545</v>
      </c>
      <c r="W464" s="17" t="s">
        <v>69</v>
      </c>
      <c r="Y464" s="68">
        <v>44531</v>
      </c>
      <c r="Z464" s="17" t="s">
        <v>191</v>
      </c>
      <c r="AA464" s="17" t="s">
        <v>46</v>
      </c>
      <c r="AB464" s="17" t="s">
        <v>294</v>
      </c>
      <c r="AC464" s="66">
        <v>44555</v>
      </c>
      <c r="AD464" s="65">
        <v>1251</v>
      </c>
      <c r="AF464" s="17" t="s">
        <v>295</v>
      </c>
    </row>
    <row r="465" s="17" customFormat="1" hidden="1" spans="1:32">
      <c r="A465" s="17" t="s">
        <v>34</v>
      </c>
      <c r="B465" s="19">
        <v>747</v>
      </c>
      <c r="C465" s="64">
        <v>44544</v>
      </c>
      <c r="D465" s="17" t="s">
        <v>52</v>
      </c>
      <c r="E465" s="17" t="s">
        <v>291</v>
      </c>
      <c r="F465" s="17" t="s">
        <v>54</v>
      </c>
      <c r="H465" s="65">
        <v>1.2311</v>
      </c>
      <c r="I465" s="65"/>
      <c r="J465" s="17" t="s">
        <v>82</v>
      </c>
      <c r="K465" s="91">
        <v>607</v>
      </c>
      <c r="L465" s="91">
        <v>26</v>
      </c>
      <c r="M465" s="17" t="s">
        <v>292</v>
      </c>
      <c r="N465" s="17" t="s">
        <v>66</v>
      </c>
      <c r="O465" s="19" t="s">
        <v>141</v>
      </c>
      <c r="P465" s="94">
        <v>495.5548</v>
      </c>
      <c r="Q465" s="17">
        <v>512</v>
      </c>
      <c r="R465" s="95">
        <f t="shared" si="27"/>
        <v>-16.4452000000001</v>
      </c>
      <c r="S465" s="17">
        <v>1250</v>
      </c>
      <c r="T465" s="19" t="s">
        <v>42</v>
      </c>
      <c r="U465" s="17" t="s">
        <v>293</v>
      </c>
      <c r="V465" s="64">
        <v>44545</v>
      </c>
      <c r="W465" s="17" t="s">
        <v>69</v>
      </c>
      <c r="Y465" s="68">
        <v>44531</v>
      </c>
      <c r="Z465" s="17" t="s">
        <v>191</v>
      </c>
      <c r="AA465" s="17" t="s">
        <v>46</v>
      </c>
      <c r="AB465" s="17" t="s">
        <v>296</v>
      </c>
      <c r="AC465" s="66">
        <v>44555</v>
      </c>
      <c r="AD465" s="65">
        <v>1252</v>
      </c>
      <c r="AF465" s="17" t="s">
        <v>295</v>
      </c>
    </row>
    <row r="466" s="17" customFormat="1" hidden="1" spans="1:32">
      <c r="A466" s="17" t="s">
        <v>34</v>
      </c>
      <c r="B466" s="19">
        <v>747</v>
      </c>
      <c r="C466" s="64">
        <v>44544</v>
      </c>
      <c r="D466" s="17" t="s">
        <v>52</v>
      </c>
      <c r="E466" s="17" t="s">
        <v>291</v>
      </c>
      <c r="F466" s="17" t="s">
        <v>54</v>
      </c>
      <c r="H466" s="65">
        <v>1.2311</v>
      </c>
      <c r="I466" s="65"/>
      <c r="J466" s="17" t="s">
        <v>82</v>
      </c>
      <c r="K466" s="91">
        <v>207</v>
      </c>
      <c r="L466" s="91">
        <v>32</v>
      </c>
      <c r="M466" s="17" t="s">
        <v>292</v>
      </c>
      <c r="N466" s="17" t="s">
        <v>66</v>
      </c>
      <c r="O466" s="19" t="s">
        <v>141</v>
      </c>
      <c r="P466" s="94">
        <v>207.9936</v>
      </c>
      <c r="Q466" s="17">
        <v>202</v>
      </c>
      <c r="R466" s="95">
        <f t="shared" si="27"/>
        <v>5.99359999999999</v>
      </c>
      <c r="S466" s="17">
        <v>1250</v>
      </c>
      <c r="T466" s="19" t="s">
        <v>42</v>
      </c>
      <c r="U466" s="17" t="s">
        <v>293</v>
      </c>
      <c r="V466" s="64">
        <v>44545</v>
      </c>
      <c r="W466" s="17" t="s">
        <v>69</v>
      </c>
      <c r="Y466" s="68">
        <v>44531</v>
      </c>
      <c r="Z466" s="17" t="s">
        <v>191</v>
      </c>
      <c r="AA466" s="17" t="s">
        <v>46</v>
      </c>
      <c r="AB466" s="17" t="s">
        <v>296</v>
      </c>
      <c r="AC466" s="66">
        <v>44555</v>
      </c>
      <c r="AD466" s="65">
        <v>1252</v>
      </c>
      <c r="AF466" s="17" t="s">
        <v>295</v>
      </c>
    </row>
    <row r="467" s="17" customFormat="1" hidden="1" spans="1:32">
      <c r="A467" s="17" t="s">
        <v>34</v>
      </c>
      <c r="B467" s="19">
        <v>747</v>
      </c>
      <c r="C467" s="64">
        <v>44544</v>
      </c>
      <c r="D467" s="17" t="s">
        <v>52</v>
      </c>
      <c r="E467" s="17" t="s">
        <v>291</v>
      </c>
      <c r="F467" s="17" t="s">
        <v>54</v>
      </c>
      <c r="H467" s="65">
        <v>1.2311</v>
      </c>
      <c r="I467" s="65"/>
      <c r="J467" s="17" t="s">
        <v>82</v>
      </c>
      <c r="K467" s="91">
        <v>257</v>
      </c>
      <c r="L467" s="91">
        <v>32</v>
      </c>
      <c r="M467" s="17" t="s">
        <v>292</v>
      </c>
      <c r="N467" s="17" t="s">
        <v>66</v>
      </c>
      <c r="O467" s="19" t="s">
        <v>141</v>
      </c>
      <c r="P467" s="94">
        <v>258.2336</v>
      </c>
      <c r="Q467" s="17">
        <v>252</v>
      </c>
      <c r="R467" s="95">
        <f t="shared" si="27"/>
        <v>6.23359999999997</v>
      </c>
      <c r="S467" s="17">
        <v>1250</v>
      </c>
      <c r="T467" s="19" t="s">
        <v>42</v>
      </c>
      <c r="U467" s="17" t="s">
        <v>293</v>
      </c>
      <c r="V467" s="64">
        <v>44545</v>
      </c>
      <c r="W467" s="17" t="s">
        <v>69</v>
      </c>
      <c r="Y467" s="68">
        <v>44531</v>
      </c>
      <c r="Z467" s="17" t="s">
        <v>191</v>
      </c>
      <c r="AA467" s="17" t="s">
        <v>46</v>
      </c>
      <c r="AB467" s="17" t="s">
        <v>294</v>
      </c>
      <c r="AC467" s="66">
        <v>44555</v>
      </c>
      <c r="AD467" s="65">
        <v>1251</v>
      </c>
      <c r="AF467" s="17" t="s">
        <v>295</v>
      </c>
    </row>
    <row r="468" s="17" customFormat="1" hidden="1" spans="1:32">
      <c r="A468" s="17" t="s">
        <v>34</v>
      </c>
      <c r="B468" s="19">
        <v>747</v>
      </c>
      <c r="C468" s="64">
        <v>44544</v>
      </c>
      <c r="D468" s="17" t="s">
        <v>52</v>
      </c>
      <c r="E468" s="17" t="s">
        <v>291</v>
      </c>
      <c r="F468" s="17" t="s">
        <v>54</v>
      </c>
      <c r="H468" s="65">
        <v>1.2311</v>
      </c>
      <c r="I468" s="65"/>
      <c r="J468" s="17" t="s">
        <v>82</v>
      </c>
      <c r="K468" s="91">
        <v>307</v>
      </c>
      <c r="L468" s="91">
        <v>32</v>
      </c>
      <c r="M468" s="17" t="s">
        <v>292</v>
      </c>
      <c r="N468" s="17" t="s">
        <v>66</v>
      </c>
      <c r="O468" s="19" t="s">
        <v>141</v>
      </c>
      <c r="P468" s="94">
        <v>308.4736</v>
      </c>
      <c r="Q468" s="17">
        <v>295</v>
      </c>
      <c r="R468" s="95">
        <f t="shared" si="27"/>
        <v>13.4736</v>
      </c>
      <c r="S468" s="17">
        <v>1250</v>
      </c>
      <c r="T468" s="19" t="s">
        <v>42</v>
      </c>
      <c r="U468" s="17" t="s">
        <v>293</v>
      </c>
      <c r="V468" s="64">
        <v>44545</v>
      </c>
      <c r="W468" s="17" t="s">
        <v>69</v>
      </c>
      <c r="Y468" s="68">
        <v>44531</v>
      </c>
      <c r="Z468" s="17" t="s">
        <v>191</v>
      </c>
      <c r="AA468" s="17" t="s">
        <v>46</v>
      </c>
      <c r="AB468" s="17" t="s">
        <v>294</v>
      </c>
      <c r="AC468" s="66">
        <v>44555</v>
      </c>
      <c r="AD468" s="65">
        <v>1251</v>
      </c>
      <c r="AF468" s="17" t="s">
        <v>295</v>
      </c>
    </row>
    <row r="469" s="17" customFormat="1" hidden="1" spans="1:32">
      <c r="A469" s="17" t="s">
        <v>34</v>
      </c>
      <c r="B469" s="19">
        <v>747</v>
      </c>
      <c r="C469" s="64">
        <v>44544</v>
      </c>
      <c r="D469" s="17" t="s">
        <v>52</v>
      </c>
      <c r="E469" s="17" t="s">
        <v>291</v>
      </c>
      <c r="F469" s="17" t="s">
        <v>54</v>
      </c>
      <c r="H469" s="65">
        <v>1.2311</v>
      </c>
      <c r="I469" s="65"/>
      <c r="J469" s="17" t="s">
        <v>82</v>
      </c>
      <c r="K469" s="91">
        <v>357</v>
      </c>
      <c r="L469" s="91">
        <v>32</v>
      </c>
      <c r="M469" s="17" t="s">
        <v>292</v>
      </c>
      <c r="N469" s="17" t="s">
        <v>66</v>
      </c>
      <c r="O469" s="19" t="s">
        <v>141</v>
      </c>
      <c r="P469" s="94">
        <v>358.7136</v>
      </c>
      <c r="Q469" s="17">
        <v>411</v>
      </c>
      <c r="R469" s="95">
        <f t="shared" si="27"/>
        <v>-52.2864</v>
      </c>
      <c r="S469" s="17">
        <v>1250</v>
      </c>
      <c r="T469" s="19" t="s">
        <v>42</v>
      </c>
      <c r="U469" s="17" t="s">
        <v>293</v>
      </c>
      <c r="V469" s="64">
        <v>44545</v>
      </c>
      <c r="W469" s="17" t="s">
        <v>69</v>
      </c>
      <c r="Y469" s="68">
        <v>44531</v>
      </c>
      <c r="Z469" s="17" t="s">
        <v>191</v>
      </c>
      <c r="AA469" s="17" t="s">
        <v>46</v>
      </c>
      <c r="AB469" s="17" t="s">
        <v>296</v>
      </c>
      <c r="AC469" s="66">
        <v>44555</v>
      </c>
      <c r="AD469" s="65">
        <v>1252</v>
      </c>
      <c r="AF469" s="17" t="s">
        <v>295</v>
      </c>
    </row>
    <row r="470" s="17" customFormat="1" hidden="1" spans="1:32">
      <c r="A470" s="17" t="s">
        <v>34</v>
      </c>
      <c r="B470" s="19">
        <v>747</v>
      </c>
      <c r="C470" s="64">
        <v>44544</v>
      </c>
      <c r="D470" s="17" t="s">
        <v>52</v>
      </c>
      <c r="E470" s="17" t="s">
        <v>291</v>
      </c>
      <c r="F470" s="17" t="s">
        <v>54</v>
      </c>
      <c r="H470" s="65">
        <v>1.2311</v>
      </c>
      <c r="I470" s="65"/>
      <c r="J470" s="17" t="s">
        <v>82</v>
      </c>
      <c r="K470" s="91">
        <v>407</v>
      </c>
      <c r="L470" s="91">
        <v>32</v>
      </c>
      <c r="M470" s="17" t="s">
        <v>292</v>
      </c>
      <c r="N470" s="17" t="s">
        <v>66</v>
      </c>
      <c r="O470" s="19" t="s">
        <v>141</v>
      </c>
      <c r="P470" s="94">
        <v>408.9536</v>
      </c>
      <c r="Q470" s="17">
        <v>392</v>
      </c>
      <c r="R470" s="95">
        <f t="shared" si="27"/>
        <v>16.9536</v>
      </c>
      <c r="S470" s="17">
        <v>1250</v>
      </c>
      <c r="T470" s="19" t="s">
        <v>42</v>
      </c>
      <c r="U470" s="17" t="s">
        <v>293</v>
      </c>
      <c r="V470" s="64">
        <v>44545</v>
      </c>
      <c r="W470" s="17" t="s">
        <v>69</v>
      </c>
      <c r="Y470" s="68">
        <v>44531</v>
      </c>
      <c r="Z470" s="17" t="s">
        <v>191</v>
      </c>
      <c r="AA470" s="17" t="s">
        <v>46</v>
      </c>
      <c r="AB470" s="17" t="s">
        <v>294</v>
      </c>
      <c r="AC470" s="66">
        <v>44555</v>
      </c>
      <c r="AD470" s="65">
        <v>1251</v>
      </c>
      <c r="AF470" s="17" t="s">
        <v>295</v>
      </c>
    </row>
    <row r="471" s="17" customFormat="1" hidden="1" spans="1:32">
      <c r="A471" s="17" t="s">
        <v>34</v>
      </c>
      <c r="B471" s="19">
        <v>747</v>
      </c>
      <c r="C471" s="64">
        <v>44544</v>
      </c>
      <c r="D471" s="17" t="s">
        <v>52</v>
      </c>
      <c r="E471" s="17" t="s">
        <v>291</v>
      </c>
      <c r="F471" s="17" t="s">
        <v>54</v>
      </c>
      <c r="H471" s="65">
        <v>1.2311</v>
      </c>
      <c r="I471" s="65"/>
      <c r="J471" s="17" t="s">
        <v>82</v>
      </c>
      <c r="K471" s="91">
        <v>457</v>
      </c>
      <c r="L471" s="91">
        <v>32</v>
      </c>
      <c r="M471" s="17" t="s">
        <v>292</v>
      </c>
      <c r="N471" s="17" t="s">
        <v>66</v>
      </c>
      <c r="O471" s="19" t="s">
        <v>141</v>
      </c>
      <c r="P471" s="94">
        <v>459.1936</v>
      </c>
      <c r="Q471" s="17">
        <v>441</v>
      </c>
      <c r="R471" s="95">
        <f t="shared" si="27"/>
        <v>18.1935999999999</v>
      </c>
      <c r="S471" s="17">
        <v>1250</v>
      </c>
      <c r="T471" s="19" t="s">
        <v>42</v>
      </c>
      <c r="U471" s="17" t="s">
        <v>293</v>
      </c>
      <c r="V471" s="64">
        <v>44545</v>
      </c>
      <c r="W471" s="17" t="s">
        <v>69</v>
      </c>
      <c r="Y471" s="68">
        <v>44531</v>
      </c>
      <c r="Z471" s="17" t="s">
        <v>191</v>
      </c>
      <c r="AA471" s="17" t="s">
        <v>46</v>
      </c>
      <c r="AB471" s="17" t="s">
        <v>294</v>
      </c>
      <c r="AC471" s="66">
        <v>44555</v>
      </c>
      <c r="AD471" s="65">
        <v>1251</v>
      </c>
      <c r="AF471" s="17" t="s">
        <v>295</v>
      </c>
    </row>
    <row r="472" s="17" customFormat="1" hidden="1" spans="1:32">
      <c r="A472" s="17" t="s">
        <v>34</v>
      </c>
      <c r="B472" s="19">
        <v>747</v>
      </c>
      <c r="C472" s="64">
        <v>44544</v>
      </c>
      <c r="D472" s="17" t="s">
        <v>52</v>
      </c>
      <c r="E472" s="17" t="s">
        <v>291</v>
      </c>
      <c r="F472" s="17" t="s">
        <v>54</v>
      </c>
      <c r="H472" s="65">
        <v>1.2311</v>
      </c>
      <c r="I472" s="65"/>
      <c r="J472" s="17" t="s">
        <v>82</v>
      </c>
      <c r="K472" s="91">
        <v>507</v>
      </c>
      <c r="L472" s="91">
        <v>32</v>
      </c>
      <c r="M472" s="17" t="s">
        <v>292</v>
      </c>
      <c r="N472" s="17" t="s">
        <v>66</v>
      </c>
      <c r="O472" s="19" t="s">
        <v>141</v>
      </c>
      <c r="P472" s="94">
        <v>509.4336</v>
      </c>
      <c r="Q472" s="17">
        <v>509</v>
      </c>
      <c r="R472" s="95">
        <f t="shared" si="27"/>
        <v>0.433599999999956</v>
      </c>
      <c r="S472" s="17">
        <v>1250</v>
      </c>
      <c r="T472" s="19" t="s">
        <v>42</v>
      </c>
      <c r="U472" s="17" t="s">
        <v>293</v>
      </c>
      <c r="V472" s="64">
        <v>44545</v>
      </c>
      <c r="W472" s="17" t="s">
        <v>69</v>
      </c>
      <c r="Y472" s="68">
        <v>44531</v>
      </c>
      <c r="Z472" s="17" t="s">
        <v>191</v>
      </c>
      <c r="AA472" s="17" t="s">
        <v>46</v>
      </c>
      <c r="AB472" s="17" t="s">
        <v>296</v>
      </c>
      <c r="AC472" s="66">
        <v>44555</v>
      </c>
      <c r="AD472" s="65">
        <v>1252</v>
      </c>
      <c r="AF472" s="17" t="s">
        <v>295</v>
      </c>
    </row>
    <row r="473" s="17" customFormat="1" hidden="1" spans="1:32">
      <c r="A473" s="17" t="s">
        <v>34</v>
      </c>
      <c r="B473" s="19">
        <v>747</v>
      </c>
      <c r="C473" s="64">
        <v>44544</v>
      </c>
      <c r="D473" s="17" t="s">
        <v>52</v>
      </c>
      <c r="E473" s="17" t="s">
        <v>291</v>
      </c>
      <c r="F473" s="17" t="s">
        <v>54</v>
      </c>
      <c r="H473" s="65">
        <v>1.2311</v>
      </c>
      <c r="I473" s="65"/>
      <c r="J473" s="17" t="s">
        <v>82</v>
      </c>
      <c r="K473" s="91">
        <v>557</v>
      </c>
      <c r="L473" s="91">
        <v>32</v>
      </c>
      <c r="M473" s="17" t="s">
        <v>292</v>
      </c>
      <c r="N473" s="17" t="s">
        <v>66</v>
      </c>
      <c r="O473" s="19" t="s">
        <v>141</v>
      </c>
      <c r="P473" s="94">
        <v>559.6736</v>
      </c>
      <c r="Q473" s="17">
        <v>560</v>
      </c>
      <c r="R473" s="95">
        <f t="shared" si="27"/>
        <v>-0.326400000000035</v>
      </c>
      <c r="S473" s="17">
        <v>1250</v>
      </c>
      <c r="T473" s="19" t="s">
        <v>42</v>
      </c>
      <c r="U473" s="17" t="s">
        <v>293</v>
      </c>
      <c r="V473" s="64">
        <v>44545</v>
      </c>
      <c r="W473" s="17" t="s">
        <v>69</v>
      </c>
      <c r="Y473" s="68">
        <v>44531</v>
      </c>
      <c r="Z473" s="17" t="s">
        <v>191</v>
      </c>
      <c r="AA473" s="17" t="s">
        <v>46</v>
      </c>
      <c r="AB473" s="17" t="s">
        <v>296</v>
      </c>
      <c r="AC473" s="66">
        <v>44555</v>
      </c>
      <c r="AD473" s="65">
        <v>1252</v>
      </c>
      <c r="AF473" s="17" t="s">
        <v>295</v>
      </c>
    </row>
    <row r="474" s="17" customFormat="1" hidden="1" spans="1:32">
      <c r="A474" s="17" t="s">
        <v>34</v>
      </c>
      <c r="B474" s="19">
        <v>747</v>
      </c>
      <c r="C474" s="64">
        <v>44544</v>
      </c>
      <c r="D474" s="17" t="s">
        <v>52</v>
      </c>
      <c r="E474" s="17" t="s">
        <v>291</v>
      </c>
      <c r="F474" s="17" t="s">
        <v>54</v>
      </c>
      <c r="H474" s="65">
        <v>1.2311</v>
      </c>
      <c r="I474" s="65"/>
      <c r="J474" s="17" t="s">
        <v>82</v>
      </c>
      <c r="K474" s="91">
        <v>607</v>
      </c>
      <c r="L474" s="91">
        <v>32</v>
      </c>
      <c r="M474" s="17" t="s">
        <v>292</v>
      </c>
      <c r="N474" s="17" t="s">
        <v>66</v>
      </c>
      <c r="O474" s="19" t="s">
        <v>141</v>
      </c>
      <c r="P474" s="94">
        <v>609.9136</v>
      </c>
      <c r="Q474" s="17">
        <v>654</v>
      </c>
      <c r="R474" s="95">
        <f t="shared" si="27"/>
        <v>-44.0864</v>
      </c>
      <c r="S474" s="17">
        <v>1250</v>
      </c>
      <c r="T474" s="19" t="s">
        <v>42</v>
      </c>
      <c r="U474" s="17" t="s">
        <v>293</v>
      </c>
      <c r="V474" s="64">
        <v>44545</v>
      </c>
      <c r="W474" s="17" t="s">
        <v>69</v>
      </c>
      <c r="Y474" s="68">
        <v>44531</v>
      </c>
      <c r="Z474" s="17" t="s">
        <v>191</v>
      </c>
      <c r="AA474" s="17" t="s">
        <v>46</v>
      </c>
      <c r="AB474" s="17" t="s">
        <v>296</v>
      </c>
      <c r="AC474" s="66">
        <v>44555</v>
      </c>
      <c r="AD474" s="65">
        <v>1252</v>
      </c>
      <c r="AF474" s="17" t="s">
        <v>295</v>
      </c>
    </row>
    <row r="475" s="17" customFormat="1" hidden="1" spans="1:32">
      <c r="A475" s="17" t="s">
        <v>34</v>
      </c>
      <c r="B475" s="19">
        <v>747</v>
      </c>
      <c r="C475" s="64">
        <v>44544</v>
      </c>
      <c r="D475" s="17" t="s">
        <v>52</v>
      </c>
      <c r="E475" s="17" t="s">
        <v>291</v>
      </c>
      <c r="F475" s="17" t="s">
        <v>54</v>
      </c>
      <c r="H475" s="65">
        <v>1.2311</v>
      </c>
      <c r="I475" s="65"/>
      <c r="J475" s="17" t="s">
        <v>82</v>
      </c>
      <c r="K475" s="91">
        <v>207</v>
      </c>
      <c r="L475" s="91">
        <v>36</v>
      </c>
      <c r="M475" s="17" t="s">
        <v>292</v>
      </c>
      <c r="N475" s="17" t="s">
        <v>66</v>
      </c>
      <c r="O475" s="19" t="s">
        <v>141</v>
      </c>
      <c r="P475" s="99">
        <v>233.9928</v>
      </c>
      <c r="Q475" s="17">
        <v>256</v>
      </c>
      <c r="R475" s="95">
        <f t="shared" si="27"/>
        <v>-22.0072</v>
      </c>
      <c r="S475" s="17">
        <v>1250</v>
      </c>
      <c r="T475" s="19" t="s">
        <v>42</v>
      </c>
      <c r="U475" s="17" t="s">
        <v>293</v>
      </c>
      <c r="V475" s="64">
        <v>44545</v>
      </c>
      <c r="W475" s="17" t="s">
        <v>69</v>
      </c>
      <c r="Y475" s="68">
        <v>44531</v>
      </c>
      <c r="Z475" s="17" t="s">
        <v>191</v>
      </c>
      <c r="AA475" s="17" t="s">
        <v>46</v>
      </c>
      <c r="AB475" s="17" t="s">
        <v>294</v>
      </c>
      <c r="AC475" s="66">
        <v>44555</v>
      </c>
      <c r="AD475" s="65">
        <v>1251</v>
      </c>
      <c r="AF475" s="17" t="s">
        <v>295</v>
      </c>
    </row>
    <row r="476" s="17" customFormat="1" hidden="1" spans="1:32">
      <c r="A476" s="17" t="s">
        <v>34</v>
      </c>
      <c r="B476" s="19">
        <v>747</v>
      </c>
      <c r="C476" s="64">
        <v>44544</v>
      </c>
      <c r="D476" s="17" t="s">
        <v>52</v>
      </c>
      <c r="E476" s="17" t="s">
        <v>291</v>
      </c>
      <c r="F476" s="17" t="s">
        <v>54</v>
      </c>
      <c r="H476" s="65">
        <v>1.2311</v>
      </c>
      <c r="I476" s="65"/>
      <c r="J476" s="17" t="s">
        <v>82</v>
      </c>
      <c r="K476" s="91">
        <v>257</v>
      </c>
      <c r="L476" s="91">
        <v>36</v>
      </c>
      <c r="M476" s="17" t="s">
        <v>292</v>
      </c>
      <c r="N476" s="17" t="s">
        <v>66</v>
      </c>
      <c r="O476" s="19" t="s">
        <v>141</v>
      </c>
      <c r="P476" s="99">
        <v>290.5128</v>
      </c>
      <c r="Q476" s="17">
        <v>320</v>
      </c>
      <c r="R476" s="95">
        <f t="shared" si="27"/>
        <v>-29.4872</v>
      </c>
      <c r="S476" s="17">
        <v>1250</v>
      </c>
      <c r="T476" s="19" t="s">
        <v>42</v>
      </c>
      <c r="U476" s="17" t="s">
        <v>293</v>
      </c>
      <c r="V476" s="64">
        <v>44545</v>
      </c>
      <c r="W476" s="17" t="s">
        <v>69</v>
      </c>
      <c r="Y476" s="68">
        <v>44531</v>
      </c>
      <c r="Z476" s="17" t="s">
        <v>191</v>
      </c>
      <c r="AA476" s="17" t="s">
        <v>46</v>
      </c>
      <c r="AB476" s="17" t="s">
        <v>294</v>
      </c>
      <c r="AC476" s="66">
        <v>44555</v>
      </c>
      <c r="AD476" s="65">
        <v>1251</v>
      </c>
      <c r="AF476" s="17" t="s">
        <v>295</v>
      </c>
    </row>
    <row r="477" s="17" customFormat="1" hidden="1" spans="1:32">
      <c r="A477" s="17" t="s">
        <v>34</v>
      </c>
      <c r="B477" s="19">
        <v>747</v>
      </c>
      <c r="C477" s="64">
        <v>44544</v>
      </c>
      <c r="D477" s="17" t="s">
        <v>52</v>
      </c>
      <c r="E477" s="17" t="s">
        <v>291</v>
      </c>
      <c r="F477" s="17" t="s">
        <v>54</v>
      </c>
      <c r="H477" s="65">
        <v>1.2311</v>
      </c>
      <c r="I477" s="65"/>
      <c r="J477" s="17" t="s">
        <v>82</v>
      </c>
      <c r="K477" s="91">
        <v>307</v>
      </c>
      <c r="L477" s="91">
        <v>36</v>
      </c>
      <c r="M477" s="17" t="s">
        <v>292</v>
      </c>
      <c r="N477" s="17" t="s">
        <v>66</v>
      </c>
      <c r="O477" s="19" t="s">
        <v>141</v>
      </c>
      <c r="P477" s="99">
        <v>347.0328</v>
      </c>
      <c r="Q477" s="17">
        <v>352</v>
      </c>
      <c r="R477" s="95">
        <f t="shared" si="27"/>
        <v>-4.96720000000005</v>
      </c>
      <c r="S477" s="17">
        <v>1250</v>
      </c>
      <c r="T477" s="19" t="s">
        <v>42</v>
      </c>
      <c r="U477" s="17" t="s">
        <v>293</v>
      </c>
      <c r="V477" s="64">
        <v>44545</v>
      </c>
      <c r="W477" s="17" t="s">
        <v>69</v>
      </c>
      <c r="Y477" s="68">
        <v>44531</v>
      </c>
      <c r="Z477" s="17" t="s">
        <v>191</v>
      </c>
      <c r="AA477" s="17" t="s">
        <v>46</v>
      </c>
      <c r="AB477" s="17" t="s">
        <v>294</v>
      </c>
      <c r="AC477" s="66">
        <v>44555</v>
      </c>
      <c r="AD477" s="65">
        <v>1251</v>
      </c>
      <c r="AF477" s="17" t="s">
        <v>295</v>
      </c>
    </row>
    <row r="478" s="17" customFormat="1" hidden="1" spans="1:32">
      <c r="A478" s="17" t="s">
        <v>34</v>
      </c>
      <c r="B478" s="19">
        <v>747</v>
      </c>
      <c r="C478" s="64">
        <v>44544</v>
      </c>
      <c r="D478" s="17" t="s">
        <v>52</v>
      </c>
      <c r="E478" s="17" t="s">
        <v>291</v>
      </c>
      <c r="F478" s="17" t="s">
        <v>54</v>
      </c>
      <c r="H478" s="65">
        <v>1.2311</v>
      </c>
      <c r="I478" s="65"/>
      <c r="J478" s="17" t="s">
        <v>82</v>
      </c>
      <c r="K478" s="91">
        <v>357</v>
      </c>
      <c r="L478" s="91">
        <v>36</v>
      </c>
      <c r="M478" s="17" t="s">
        <v>292</v>
      </c>
      <c r="N478" s="17" t="s">
        <v>66</v>
      </c>
      <c r="O478" s="19" t="s">
        <v>141</v>
      </c>
      <c r="P478" s="99">
        <v>403.5528</v>
      </c>
      <c r="Q478" s="17">
        <v>413</v>
      </c>
      <c r="R478" s="95">
        <f t="shared" si="27"/>
        <v>-9.44720000000001</v>
      </c>
      <c r="S478" s="17">
        <v>1250</v>
      </c>
      <c r="T478" s="19" t="s">
        <v>42</v>
      </c>
      <c r="U478" s="17" t="s">
        <v>293</v>
      </c>
      <c r="V478" s="64">
        <v>44545</v>
      </c>
      <c r="W478" s="17" t="s">
        <v>69</v>
      </c>
      <c r="Y478" s="68">
        <v>44531</v>
      </c>
      <c r="Z478" s="17" t="s">
        <v>191</v>
      </c>
      <c r="AA478" s="17" t="s">
        <v>46</v>
      </c>
      <c r="AB478" s="17" t="s">
        <v>294</v>
      </c>
      <c r="AC478" s="66">
        <v>44555</v>
      </c>
      <c r="AD478" s="65">
        <v>1251</v>
      </c>
      <c r="AF478" s="17" t="s">
        <v>295</v>
      </c>
    </row>
    <row r="479" s="17" customFormat="1" hidden="1" spans="1:32">
      <c r="A479" s="17" t="s">
        <v>34</v>
      </c>
      <c r="B479" s="19">
        <v>747</v>
      </c>
      <c r="C479" s="64">
        <v>44544</v>
      </c>
      <c r="D479" s="17" t="s">
        <v>52</v>
      </c>
      <c r="E479" s="17" t="s">
        <v>291</v>
      </c>
      <c r="F479" s="17" t="s">
        <v>54</v>
      </c>
      <c r="H479" s="65">
        <v>1.2311</v>
      </c>
      <c r="I479" s="65"/>
      <c r="J479" s="17" t="s">
        <v>82</v>
      </c>
      <c r="K479" s="91">
        <v>407</v>
      </c>
      <c r="L479" s="91">
        <v>36</v>
      </c>
      <c r="M479" s="17" t="s">
        <v>292</v>
      </c>
      <c r="N479" s="17" t="s">
        <v>66</v>
      </c>
      <c r="O479" s="19" t="s">
        <v>141</v>
      </c>
      <c r="P479" s="99">
        <v>460.0728</v>
      </c>
      <c r="Q479" s="17">
        <v>467</v>
      </c>
      <c r="R479" s="95">
        <f t="shared" si="27"/>
        <v>-6.92720000000003</v>
      </c>
      <c r="S479" s="17">
        <v>1250</v>
      </c>
      <c r="T479" s="19" t="s">
        <v>42</v>
      </c>
      <c r="U479" s="17" t="s">
        <v>293</v>
      </c>
      <c r="V479" s="64">
        <v>44545</v>
      </c>
      <c r="W479" s="17" t="s">
        <v>69</v>
      </c>
      <c r="Y479" s="68">
        <v>44531</v>
      </c>
      <c r="Z479" s="17" t="s">
        <v>191</v>
      </c>
      <c r="AA479" s="17" t="s">
        <v>46</v>
      </c>
      <c r="AB479" s="17" t="s">
        <v>294</v>
      </c>
      <c r="AC479" s="66">
        <v>44555</v>
      </c>
      <c r="AD479" s="65">
        <v>1251</v>
      </c>
      <c r="AF479" s="17" t="s">
        <v>295</v>
      </c>
    </row>
    <row r="480" s="18" customFormat="1" hidden="1" spans="1:32">
      <c r="B480" s="75">
        <v>747</v>
      </c>
      <c r="C480" s="76">
        <v>44544</v>
      </c>
      <c r="D480" s="18" t="s">
        <v>52</v>
      </c>
      <c r="E480" s="18" t="s">
        <v>291</v>
      </c>
      <c r="F480" s="18" t="s">
        <v>54</v>
      </c>
      <c r="H480" s="77">
        <v>1.2311</v>
      </c>
      <c r="I480" s="77"/>
      <c r="J480" s="18" t="s">
        <v>82</v>
      </c>
      <c r="K480" s="111">
        <v>457</v>
      </c>
      <c r="L480" s="111">
        <v>36</v>
      </c>
      <c r="M480" s="18" t="s">
        <v>292</v>
      </c>
      <c r="N480" s="18" t="s">
        <v>66</v>
      </c>
      <c r="O480" s="75" t="s">
        <v>141</v>
      </c>
      <c r="P480" s="112">
        <v>516.5928</v>
      </c>
      <c r="R480" s="113">
        <f t="shared" si="27"/>
        <v>516.5928</v>
      </c>
      <c r="S480" s="18">
        <v>1250</v>
      </c>
      <c r="T480" s="75" t="s">
        <v>42</v>
      </c>
      <c r="U480" s="18" t="s">
        <v>293</v>
      </c>
      <c r="V480" s="76">
        <v>44545</v>
      </c>
      <c r="W480" s="18" t="s">
        <v>69</v>
      </c>
      <c r="Y480" s="114">
        <v>44531</v>
      </c>
      <c r="Z480" s="18" t="s">
        <v>191</v>
      </c>
      <c r="AA480" s="18" t="s">
        <v>46</v>
      </c>
      <c r="AC480" s="83"/>
      <c r="AD480" s="77"/>
      <c r="AF480" s="18" t="s">
        <v>295</v>
      </c>
    </row>
    <row r="481" s="17" customFormat="1" hidden="1" spans="1:32">
      <c r="A481" s="17" t="s">
        <v>34</v>
      </c>
      <c r="B481" s="19">
        <v>747</v>
      </c>
      <c r="C481" s="64">
        <v>44544</v>
      </c>
      <c r="D481" s="17" t="s">
        <v>52</v>
      </c>
      <c r="E481" s="17" t="s">
        <v>291</v>
      </c>
      <c r="F481" s="17" t="s">
        <v>54</v>
      </c>
      <c r="H481" s="65">
        <v>1.2311</v>
      </c>
      <c r="I481" s="65"/>
      <c r="J481" s="17" t="s">
        <v>82</v>
      </c>
      <c r="K481" s="91">
        <v>507</v>
      </c>
      <c r="L481" s="91">
        <v>36</v>
      </c>
      <c r="M481" s="17" t="s">
        <v>292</v>
      </c>
      <c r="N481" s="17" t="s">
        <v>66</v>
      </c>
      <c r="O481" s="19" t="s">
        <v>141</v>
      </c>
      <c r="P481" s="99">
        <v>573.1128</v>
      </c>
      <c r="Q481" s="17">
        <v>490</v>
      </c>
      <c r="R481" s="95">
        <f t="shared" si="27"/>
        <v>83.1128</v>
      </c>
      <c r="S481" s="17">
        <v>1250</v>
      </c>
      <c r="T481" s="19" t="s">
        <v>42</v>
      </c>
      <c r="U481" s="17" t="s">
        <v>293</v>
      </c>
      <c r="V481" s="64">
        <v>44545</v>
      </c>
      <c r="W481" s="17" t="s">
        <v>69</v>
      </c>
      <c r="Y481" s="68">
        <v>44531</v>
      </c>
      <c r="Z481" s="17" t="s">
        <v>191</v>
      </c>
      <c r="AA481" s="17" t="s">
        <v>46</v>
      </c>
      <c r="AB481" s="17" t="s">
        <v>296</v>
      </c>
      <c r="AC481" s="66">
        <v>44555</v>
      </c>
      <c r="AD481" s="65">
        <v>1252</v>
      </c>
      <c r="AF481" s="17" t="s">
        <v>295</v>
      </c>
    </row>
    <row r="482" s="17" customFormat="1" hidden="1" spans="1:32">
      <c r="A482" s="17" t="s">
        <v>34</v>
      </c>
      <c r="B482" s="19">
        <v>747</v>
      </c>
      <c r="C482" s="64">
        <v>44544</v>
      </c>
      <c r="D482" s="17" t="s">
        <v>52</v>
      </c>
      <c r="E482" s="17" t="s">
        <v>291</v>
      </c>
      <c r="F482" s="17" t="s">
        <v>54</v>
      </c>
      <c r="H482" s="65">
        <v>1.2311</v>
      </c>
      <c r="I482" s="65"/>
      <c r="J482" s="17" t="s">
        <v>82</v>
      </c>
      <c r="K482" s="115">
        <v>557</v>
      </c>
      <c r="L482" s="115">
        <v>36</v>
      </c>
      <c r="M482" s="17" t="s">
        <v>292</v>
      </c>
      <c r="N482" s="17" t="s">
        <v>66</v>
      </c>
      <c r="O482" s="19" t="s">
        <v>141</v>
      </c>
      <c r="P482" s="99">
        <v>629.6328</v>
      </c>
      <c r="Q482" s="17">
        <v>535</v>
      </c>
      <c r="R482" s="95">
        <f t="shared" si="27"/>
        <v>94.6328</v>
      </c>
      <c r="S482" s="17">
        <v>1250</v>
      </c>
      <c r="T482" s="19" t="s">
        <v>42</v>
      </c>
      <c r="U482" s="17" t="s">
        <v>293</v>
      </c>
      <c r="V482" s="64">
        <v>44545</v>
      </c>
      <c r="W482" s="17" t="s">
        <v>69</v>
      </c>
      <c r="Y482" s="68">
        <v>44531</v>
      </c>
      <c r="Z482" s="17" t="s">
        <v>191</v>
      </c>
      <c r="AA482" s="17" t="s">
        <v>46</v>
      </c>
      <c r="AB482" s="17" t="s">
        <v>296</v>
      </c>
      <c r="AC482" s="66">
        <v>44555</v>
      </c>
      <c r="AD482" s="65">
        <v>1252</v>
      </c>
      <c r="AF482" s="17" t="s">
        <v>295</v>
      </c>
    </row>
    <row r="483" s="17" customFormat="1" hidden="1" spans="1:32">
      <c r="A483" s="17" t="s">
        <v>34</v>
      </c>
      <c r="B483" s="19">
        <v>747</v>
      </c>
      <c r="C483" s="64">
        <v>44544</v>
      </c>
      <c r="D483" s="17" t="s">
        <v>52</v>
      </c>
      <c r="E483" s="17" t="s">
        <v>291</v>
      </c>
      <c r="F483" s="17" t="s">
        <v>54</v>
      </c>
      <c r="H483" s="65">
        <v>1.2311</v>
      </c>
      <c r="I483" s="65"/>
      <c r="J483" s="17" t="s">
        <v>82</v>
      </c>
      <c r="K483" s="115">
        <v>607</v>
      </c>
      <c r="L483" s="115">
        <v>36</v>
      </c>
      <c r="M483" s="17" t="s">
        <v>292</v>
      </c>
      <c r="N483" s="17" t="s">
        <v>66</v>
      </c>
      <c r="O483" s="19" t="s">
        <v>141</v>
      </c>
      <c r="P483" s="99">
        <v>686.1528</v>
      </c>
      <c r="Q483" s="17">
        <v>588</v>
      </c>
      <c r="R483" s="95">
        <f t="shared" si="27"/>
        <v>98.1528</v>
      </c>
      <c r="S483" s="17">
        <v>1250</v>
      </c>
      <c r="T483" s="19" t="s">
        <v>42</v>
      </c>
      <c r="U483" s="17" t="s">
        <v>293</v>
      </c>
      <c r="V483" s="64">
        <v>44545</v>
      </c>
      <c r="W483" s="17" t="s">
        <v>69</v>
      </c>
      <c r="Y483" s="68">
        <v>44531</v>
      </c>
      <c r="Z483" s="17" t="s">
        <v>191</v>
      </c>
      <c r="AA483" s="17" t="s">
        <v>46</v>
      </c>
      <c r="AB483" s="17" t="s">
        <v>296</v>
      </c>
      <c r="AC483" s="66">
        <v>44555</v>
      </c>
      <c r="AD483" s="65">
        <v>1252</v>
      </c>
      <c r="AF483" s="17" t="s">
        <v>295</v>
      </c>
    </row>
    <row r="484" s="17" customFormat="1" hidden="1" spans="1:32">
      <c r="A484" s="17" t="s">
        <v>34</v>
      </c>
      <c r="B484" s="19">
        <v>747</v>
      </c>
      <c r="C484" s="64">
        <v>44544</v>
      </c>
      <c r="D484" s="17" t="s">
        <v>52</v>
      </c>
      <c r="E484" s="17" t="s">
        <v>291</v>
      </c>
      <c r="F484" s="17" t="s">
        <v>54</v>
      </c>
      <c r="H484" s="65">
        <v>1.2311</v>
      </c>
      <c r="I484" s="65"/>
      <c r="J484" s="17" t="s">
        <v>82</v>
      </c>
      <c r="K484" s="115">
        <v>207</v>
      </c>
      <c r="L484" s="115">
        <v>41</v>
      </c>
      <c r="M484" s="17" t="s">
        <v>292</v>
      </c>
      <c r="N484" s="17" t="s">
        <v>66</v>
      </c>
      <c r="O484" s="19" t="s">
        <v>141</v>
      </c>
      <c r="P484" s="99">
        <v>266.4918</v>
      </c>
      <c r="Q484" s="17">
        <v>311</v>
      </c>
      <c r="R484" s="95">
        <f t="shared" si="27"/>
        <v>-44.5082</v>
      </c>
      <c r="S484" s="17">
        <v>1250</v>
      </c>
      <c r="T484" s="19" t="s">
        <v>42</v>
      </c>
      <c r="U484" s="17" t="s">
        <v>293</v>
      </c>
      <c r="V484" s="64">
        <v>44545</v>
      </c>
      <c r="W484" s="17" t="s">
        <v>69</v>
      </c>
      <c r="Y484" s="68">
        <v>44531</v>
      </c>
      <c r="Z484" s="17" t="s">
        <v>191</v>
      </c>
      <c r="AA484" s="17" t="s">
        <v>46</v>
      </c>
      <c r="AB484" s="17" t="s">
        <v>294</v>
      </c>
      <c r="AC484" s="66">
        <v>44555</v>
      </c>
      <c r="AD484" s="65">
        <v>1251</v>
      </c>
      <c r="AF484" s="17" t="s">
        <v>295</v>
      </c>
    </row>
    <row r="485" s="17" customFormat="1" hidden="1" spans="1:32">
      <c r="A485" s="17" t="s">
        <v>34</v>
      </c>
      <c r="B485" s="19">
        <v>747</v>
      </c>
      <c r="C485" s="64">
        <v>44544</v>
      </c>
      <c r="D485" s="17" t="s">
        <v>52</v>
      </c>
      <c r="E485" s="17" t="s">
        <v>291</v>
      </c>
      <c r="F485" s="17" t="s">
        <v>54</v>
      </c>
      <c r="H485" s="65">
        <v>1.2311</v>
      </c>
      <c r="I485" s="65"/>
      <c r="J485" s="17" t="s">
        <v>82</v>
      </c>
      <c r="K485" s="115">
        <v>257</v>
      </c>
      <c r="L485" s="116">
        <v>41</v>
      </c>
      <c r="M485" s="17" t="s">
        <v>292</v>
      </c>
      <c r="N485" s="17" t="s">
        <v>66</v>
      </c>
      <c r="O485" s="19" t="s">
        <v>141</v>
      </c>
      <c r="P485" s="99">
        <v>992.5854</v>
      </c>
      <c r="Q485" s="17">
        <f>386+382+385</f>
        <v>1153</v>
      </c>
      <c r="R485" s="95">
        <f t="shared" si="27"/>
        <v>-160.4146</v>
      </c>
      <c r="S485" s="17">
        <v>1250</v>
      </c>
      <c r="T485" s="19" t="s">
        <v>42</v>
      </c>
      <c r="U485" s="17" t="s">
        <v>293</v>
      </c>
      <c r="V485" s="64">
        <v>44545</v>
      </c>
      <c r="W485" s="17" t="s">
        <v>69</v>
      </c>
      <c r="Y485" s="68">
        <v>44531</v>
      </c>
      <c r="Z485" s="17" t="s">
        <v>191</v>
      </c>
      <c r="AA485" s="17" t="s">
        <v>46</v>
      </c>
      <c r="AB485" s="17" t="s">
        <v>294</v>
      </c>
      <c r="AC485" s="66">
        <v>44555</v>
      </c>
      <c r="AD485" s="65">
        <v>1251</v>
      </c>
      <c r="AF485" s="17" t="s">
        <v>295</v>
      </c>
    </row>
    <row r="486" s="17" customFormat="1" hidden="1" spans="1:32">
      <c r="A486" s="17" t="s">
        <v>34</v>
      </c>
      <c r="B486" s="19">
        <v>747</v>
      </c>
      <c r="C486" s="64">
        <v>44544</v>
      </c>
      <c r="D486" s="17" t="s">
        <v>52</v>
      </c>
      <c r="E486" s="17" t="s">
        <v>291</v>
      </c>
      <c r="F486" s="17" t="s">
        <v>54</v>
      </c>
      <c r="H486" s="65">
        <v>1.2311</v>
      </c>
      <c r="I486" s="65"/>
      <c r="J486" s="17" t="s">
        <v>82</v>
      </c>
      <c r="K486" s="115">
        <v>307</v>
      </c>
      <c r="L486" s="115">
        <v>41</v>
      </c>
      <c r="M486" s="17" t="s">
        <v>292</v>
      </c>
      <c r="N486" s="17" t="s">
        <v>66</v>
      </c>
      <c r="O486" s="19" t="s">
        <v>141</v>
      </c>
      <c r="P486" s="99">
        <v>395.2318</v>
      </c>
      <c r="Q486" s="17">
        <v>464</v>
      </c>
      <c r="R486" s="95">
        <f t="shared" si="27"/>
        <v>-68.7682</v>
      </c>
      <c r="S486" s="17">
        <v>1250</v>
      </c>
      <c r="T486" s="19" t="s">
        <v>42</v>
      </c>
      <c r="U486" s="17" t="s">
        <v>293</v>
      </c>
      <c r="V486" s="64">
        <v>44545</v>
      </c>
      <c r="W486" s="17" t="s">
        <v>69</v>
      </c>
      <c r="Y486" s="68">
        <v>44531</v>
      </c>
      <c r="Z486" s="17" t="s">
        <v>191</v>
      </c>
      <c r="AA486" s="17" t="s">
        <v>46</v>
      </c>
      <c r="AB486" s="17" t="s">
        <v>294</v>
      </c>
      <c r="AC486" s="66">
        <v>44555</v>
      </c>
      <c r="AD486" s="65">
        <v>1251</v>
      </c>
      <c r="AF486" s="17" t="s">
        <v>295</v>
      </c>
    </row>
    <row r="487" s="17" customFormat="1" hidden="1" spans="1:32">
      <c r="A487" s="17" t="s">
        <v>34</v>
      </c>
      <c r="B487" s="19">
        <v>747</v>
      </c>
      <c r="C487" s="64">
        <v>44544</v>
      </c>
      <c r="D487" s="17" t="s">
        <v>52</v>
      </c>
      <c r="E487" s="17" t="s">
        <v>291</v>
      </c>
      <c r="F487" s="17" t="s">
        <v>54</v>
      </c>
      <c r="H487" s="65">
        <v>1.2311</v>
      </c>
      <c r="I487" s="65"/>
      <c r="J487" s="17" t="s">
        <v>82</v>
      </c>
      <c r="K487" s="115">
        <v>357</v>
      </c>
      <c r="L487" s="115">
        <v>41</v>
      </c>
      <c r="M487" s="17" t="s">
        <v>292</v>
      </c>
      <c r="N487" s="17" t="s">
        <v>66</v>
      </c>
      <c r="O487" s="19" t="s">
        <v>141</v>
      </c>
      <c r="P487" s="99">
        <v>459.6018</v>
      </c>
      <c r="Q487" s="17">
        <v>532</v>
      </c>
      <c r="R487" s="95">
        <f t="shared" si="27"/>
        <v>-72.3982</v>
      </c>
      <c r="S487" s="17">
        <v>1250</v>
      </c>
      <c r="T487" s="19" t="s">
        <v>42</v>
      </c>
      <c r="U487" s="17" t="s">
        <v>293</v>
      </c>
      <c r="V487" s="64">
        <v>44545</v>
      </c>
      <c r="W487" s="17" t="s">
        <v>69</v>
      </c>
      <c r="Y487" s="68">
        <v>44531</v>
      </c>
      <c r="Z487" s="17" t="s">
        <v>191</v>
      </c>
      <c r="AA487" s="17" t="s">
        <v>46</v>
      </c>
      <c r="AB487" s="17" t="s">
        <v>294</v>
      </c>
      <c r="AC487" s="66">
        <v>44555</v>
      </c>
      <c r="AD487" s="65">
        <v>1251</v>
      </c>
      <c r="AF487" s="17" t="s">
        <v>295</v>
      </c>
    </row>
    <row r="488" s="17" customFormat="1" hidden="1" spans="1:32">
      <c r="A488" s="17" t="s">
        <v>34</v>
      </c>
      <c r="B488" s="19">
        <v>747</v>
      </c>
      <c r="C488" s="64">
        <v>44544</v>
      </c>
      <c r="D488" s="17" t="s">
        <v>52</v>
      </c>
      <c r="E488" s="17" t="s">
        <v>291</v>
      </c>
      <c r="F488" s="17" t="s">
        <v>54</v>
      </c>
      <c r="H488" s="65">
        <v>1.2311</v>
      </c>
      <c r="I488" s="65"/>
      <c r="J488" s="17" t="s">
        <v>82</v>
      </c>
      <c r="K488" s="115">
        <v>407</v>
      </c>
      <c r="L488" s="115">
        <v>41</v>
      </c>
      <c r="M488" s="17" t="s">
        <v>292</v>
      </c>
      <c r="N488" s="17" t="s">
        <v>66</v>
      </c>
      <c r="O488" s="19" t="s">
        <v>141</v>
      </c>
      <c r="P488" s="99">
        <v>523.9718</v>
      </c>
      <c r="Q488" s="17">
        <v>644</v>
      </c>
      <c r="R488" s="95">
        <f t="shared" ref="R488:R519" si="28">+P488-Q488</f>
        <v>-120.0282</v>
      </c>
      <c r="S488" s="17">
        <v>1250</v>
      </c>
      <c r="T488" s="19" t="s">
        <v>42</v>
      </c>
      <c r="U488" s="17" t="s">
        <v>293</v>
      </c>
      <c r="V488" s="64">
        <v>44545</v>
      </c>
      <c r="W488" s="17" t="s">
        <v>69</v>
      </c>
      <c r="Y488" s="68">
        <v>44531</v>
      </c>
      <c r="Z488" s="17" t="s">
        <v>191</v>
      </c>
      <c r="AA488" s="17" t="s">
        <v>46</v>
      </c>
      <c r="AB488" s="17" t="s">
        <v>296</v>
      </c>
      <c r="AC488" s="66">
        <v>44555</v>
      </c>
      <c r="AD488" s="65">
        <v>1252</v>
      </c>
      <c r="AF488" s="17" t="s">
        <v>295</v>
      </c>
    </row>
    <row r="489" s="17" customFormat="1" hidden="1" spans="1:32">
      <c r="A489" s="17" t="s">
        <v>34</v>
      </c>
      <c r="B489" s="19">
        <v>747</v>
      </c>
      <c r="C489" s="64">
        <v>44544</v>
      </c>
      <c r="D489" s="17" t="s">
        <v>52</v>
      </c>
      <c r="E489" s="17" t="s">
        <v>291</v>
      </c>
      <c r="F489" s="17" t="s">
        <v>54</v>
      </c>
      <c r="H489" s="65">
        <v>1.2311</v>
      </c>
      <c r="I489" s="65"/>
      <c r="J489" s="17" t="s">
        <v>82</v>
      </c>
      <c r="K489" s="115">
        <v>457</v>
      </c>
      <c r="L489" s="115">
        <v>41</v>
      </c>
      <c r="M489" s="17" t="s">
        <v>292</v>
      </c>
      <c r="N489" s="17" t="s">
        <v>66</v>
      </c>
      <c r="O489" s="19" t="s">
        <v>141</v>
      </c>
      <c r="P489" s="99">
        <v>588.3418</v>
      </c>
      <c r="Q489" s="17">
        <v>677</v>
      </c>
      <c r="R489" s="95">
        <f t="shared" si="28"/>
        <v>-88.6582000000001</v>
      </c>
      <c r="S489" s="17">
        <v>1250</v>
      </c>
      <c r="T489" s="19" t="s">
        <v>42</v>
      </c>
      <c r="U489" s="17" t="s">
        <v>293</v>
      </c>
      <c r="V489" s="64">
        <v>44545</v>
      </c>
      <c r="W489" s="17" t="s">
        <v>69</v>
      </c>
      <c r="Y489" s="68">
        <v>44531</v>
      </c>
      <c r="Z489" s="17" t="s">
        <v>191</v>
      </c>
      <c r="AA489" s="17" t="s">
        <v>46</v>
      </c>
      <c r="AB489" s="17" t="s">
        <v>294</v>
      </c>
      <c r="AC489" s="66">
        <v>44555</v>
      </c>
      <c r="AD489" s="65">
        <v>1251</v>
      </c>
      <c r="AF489" s="17" t="s">
        <v>295</v>
      </c>
    </row>
    <row r="490" s="17" customFormat="1" hidden="1" spans="1:32">
      <c r="A490" s="17" t="s">
        <v>34</v>
      </c>
      <c r="B490" s="19">
        <v>747</v>
      </c>
      <c r="C490" s="64">
        <v>44544</v>
      </c>
      <c r="D490" s="17" t="s">
        <v>52</v>
      </c>
      <c r="E490" s="17" t="s">
        <v>291</v>
      </c>
      <c r="F490" s="17" t="s">
        <v>54</v>
      </c>
      <c r="H490" s="65">
        <v>1.2311</v>
      </c>
      <c r="I490" s="65"/>
      <c r="J490" s="17" t="s">
        <v>82</v>
      </c>
      <c r="K490" s="115">
        <v>507</v>
      </c>
      <c r="L490" s="115">
        <v>41</v>
      </c>
      <c r="M490" s="17" t="s">
        <v>292</v>
      </c>
      <c r="N490" s="17" t="s">
        <v>66</v>
      </c>
      <c r="O490" s="19" t="s">
        <v>141</v>
      </c>
      <c r="P490" s="99">
        <v>652.7118</v>
      </c>
      <c r="Q490" s="17">
        <v>690</v>
      </c>
      <c r="R490" s="95">
        <f t="shared" si="28"/>
        <v>-37.2882000000001</v>
      </c>
      <c r="S490" s="17">
        <v>1250</v>
      </c>
      <c r="T490" s="19" t="s">
        <v>42</v>
      </c>
      <c r="U490" s="17" t="s">
        <v>293</v>
      </c>
      <c r="V490" s="64">
        <v>44545</v>
      </c>
      <c r="W490" s="17" t="s">
        <v>69</v>
      </c>
      <c r="Y490" s="68">
        <v>44531</v>
      </c>
      <c r="Z490" s="17" t="s">
        <v>191</v>
      </c>
      <c r="AA490" s="17" t="s">
        <v>46</v>
      </c>
      <c r="AB490" s="17" t="s">
        <v>296</v>
      </c>
      <c r="AC490" s="66">
        <v>44555</v>
      </c>
      <c r="AD490" s="65">
        <v>1252</v>
      </c>
      <c r="AF490" s="17" t="s">
        <v>295</v>
      </c>
    </row>
    <row r="491" s="17" customFormat="1" hidden="1" spans="1:32">
      <c r="A491" s="17" t="s">
        <v>34</v>
      </c>
      <c r="B491" s="19">
        <v>747</v>
      </c>
      <c r="C491" s="64">
        <v>44544</v>
      </c>
      <c r="D491" s="17" t="s">
        <v>52</v>
      </c>
      <c r="E491" s="17" t="s">
        <v>291</v>
      </c>
      <c r="F491" s="17" t="s">
        <v>54</v>
      </c>
      <c r="H491" s="65">
        <v>1.2311</v>
      </c>
      <c r="I491" s="65"/>
      <c r="J491" s="17" t="s">
        <v>82</v>
      </c>
      <c r="K491" s="115">
        <v>557</v>
      </c>
      <c r="L491" s="115">
        <v>41</v>
      </c>
      <c r="M491" s="17" t="s">
        <v>292</v>
      </c>
      <c r="N491" s="17" t="s">
        <v>66</v>
      </c>
      <c r="O491" s="19" t="s">
        <v>141</v>
      </c>
      <c r="P491" s="99">
        <v>717.0818</v>
      </c>
      <c r="Q491" s="17">
        <v>882</v>
      </c>
      <c r="R491" s="95">
        <f t="shared" si="28"/>
        <v>-164.9182</v>
      </c>
      <c r="S491" s="17">
        <v>1250</v>
      </c>
      <c r="T491" s="19" t="s">
        <v>42</v>
      </c>
      <c r="U491" s="17" t="s">
        <v>293</v>
      </c>
      <c r="V491" s="64">
        <v>44545</v>
      </c>
      <c r="W491" s="17" t="s">
        <v>69</v>
      </c>
      <c r="Y491" s="68">
        <v>44531</v>
      </c>
      <c r="Z491" s="17" t="s">
        <v>191</v>
      </c>
      <c r="AA491" s="17" t="s">
        <v>46</v>
      </c>
      <c r="AB491" s="17" t="s">
        <v>296</v>
      </c>
      <c r="AC491" s="66">
        <v>44555</v>
      </c>
      <c r="AD491" s="65">
        <v>1252</v>
      </c>
      <c r="AF491" s="17" t="s">
        <v>295</v>
      </c>
    </row>
    <row r="492" s="17" customFormat="1" hidden="1" spans="1:32">
      <c r="A492" s="17" t="s">
        <v>34</v>
      </c>
      <c r="B492" s="19">
        <v>747</v>
      </c>
      <c r="C492" s="64">
        <v>44544</v>
      </c>
      <c r="D492" s="17" t="s">
        <v>52</v>
      </c>
      <c r="E492" s="17" t="s">
        <v>291</v>
      </c>
      <c r="F492" s="17" t="s">
        <v>54</v>
      </c>
      <c r="H492" s="65">
        <v>1.2311</v>
      </c>
      <c r="I492" s="65"/>
      <c r="J492" s="17" t="s">
        <v>82</v>
      </c>
      <c r="K492" s="115">
        <v>607</v>
      </c>
      <c r="L492" s="116">
        <v>41</v>
      </c>
      <c r="M492" s="17" t="s">
        <v>292</v>
      </c>
      <c r="N492" s="17" t="s">
        <v>66</v>
      </c>
      <c r="O492" s="19" t="s">
        <v>141</v>
      </c>
      <c r="P492" s="99">
        <v>781.4518</v>
      </c>
      <c r="Q492" s="17">
        <v>826</v>
      </c>
      <c r="R492" s="95">
        <f t="shared" si="28"/>
        <v>-44.5482000000001</v>
      </c>
      <c r="S492" s="17">
        <v>1250</v>
      </c>
      <c r="T492" s="19" t="s">
        <v>42</v>
      </c>
      <c r="U492" s="17" t="s">
        <v>293</v>
      </c>
      <c r="V492" s="64">
        <v>44545</v>
      </c>
      <c r="W492" s="17" t="s">
        <v>69</v>
      </c>
      <c r="Y492" s="68">
        <v>44531</v>
      </c>
      <c r="Z492" s="17" t="s">
        <v>191</v>
      </c>
      <c r="AA492" s="17" t="s">
        <v>46</v>
      </c>
      <c r="AB492" s="17" t="s">
        <v>296</v>
      </c>
      <c r="AC492" s="66">
        <v>44555</v>
      </c>
      <c r="AD492" s="65">
        <v>1252</v>
      </c>
      <c r="AF492" s="17" t="s">
        <v>295</v>
      </c>
    </row>
    <row r="493" s="17" customFormat="1" hidden="1" spans="1:32">
      <c r="A493" s="17" t="s">
        <v>34</v>
      </c>
      <c r="B493" s="19">
        <v>747</v>
      </c>
      <c r="C493" s="64">
        <v>44544</v>
      </c>
      <c r="D493" s="17" t="s">
        <v>52</v>
      </c>
      <c r="E493" s="17" t="s">
        <v>291</v>
      </c>
      <c r="F493" s="17" t="s">
        <v>54</v>
      </c>
      <c r="H493" s="65">
        <v>1.2311</v>
      </c>
      <c r="I493" s="65"/>
      <c r="J493" s="17" t="s">
        <v>82</v>
      </c>
      <c r="K493" s="115">
        <v>207</v>
      </c>
      <c r="L493" s="115">
        <v>51</v>
      </c>
      <c r="M493" s="17" t="s">
        <v>292</v>
      </c>
      <c r="N493" s="17" t="s">
        <v>66</v>
      </c>
      <c r="O493" s="19" t="s">
        <v>141</v>
      </c>
      <c r="P493" s="99">
        <v>331.4898</v>
      </c>
      <c r="Q493" s="17">
        <v>388</v>
      </c>
      <c r="R493" s="95">
        <f t="shared" si="28"/>
        <v>-56.5102000000001</v>
      </c>
      <c r="S493" s="17">
        <v>1250</v>
      </c>
      <c r="T493" s="19" t="s">
        <v>42</v>
      </c>
      <c r="U493" s="17" t="s">
        <v>293</v>
      </c>
      <c r="V493" s="64">
        <v>44545</v>
      </c>
      <c r="W493" s="17" t="s">
        <v>69</v>
      </c>
      <c r="Y493" s="68">
        <v>44531</v>
      </c>
      <c r="Z493" s="17" t="s">
        <v>191</v>
      </c>
      <c r="AA493" s="17" t="s">
        <v>46</v>
      </c>
      <c r="AB493" s="17" t="s">
        <v>294</v>
      </c>
      <c r="AC493" s="66">
        <v>44555</v>
      </c>
      <c r="AD493" s="65">
        <v>1251</v>
      </c>
      <c r="AF493" s="17" t="s">
        <v>295</v>
      </c>
    </row>
    <row r="494" s="17" customFormat="1" hidden="1" spans="1:32">
      <c r="A494" s="17" t="s">
        <v>34</v>
      </c>
      <c r="B494" s="19">
        <v>747</v>
      </c>
      <c r="C494" s="64">
        <v>44544</v>
      </c>
      <c r="D494" s="17" t="s">
        <v>52</v>
      </c>
      <c r="E494" s="17" t="s">
        <v>291</v>
      </c>
      <c r="F494" s="17" t="s">
        <v>54</v>
      </c>
      <c r="H494" s="65">
        <v>1.2311</v>
      </c>
      <c r="I494" s="65"/>
      <c r="J494" s="17" t="s">
        <v>82</v>
      </c>
      <c r="K494" s="115">
        <v>257</v>
      </c>
      <c r="L494" s="115">
        <v>51</v>
      </c>
      <c r="M494" s="17" t="s">
        <v>292</v>
      </c>
      <c r="N494" s="17" t="s">
        <v>66</v>
      </c>
      <c r="O494" s="19" t="s">
        <v>141</v>
      </c>
      <c r="P494" s="99">
        <v>411.5598</v>
      </c>
      <c r="Q494" s="17">
        <v>475</v>
      </c>
      <c r="R494" s="95">
        <f t="shared" si="28"/>
        <v>-63.4402</v>
      </c>
      <c r="S494" s="17">
        <v>1250</v>
      </c>
      <c r="T494" s="19" t="s">
        <v>42</v>
      </c>
      <c r="U494" s="17" t="s">
        <v>293</v>
      </c>
      <c r="V494" s="64">
        <v>44545</v>
      </c>
      <c r="W494" s="17" t="s">
        <v>69</v>
      </c>
      <c r="Y494" s="68">
        <v>44531</v>
      </c>
      <c r="Z494" s="17" t="s">
        <v>191</v>
      </c>
      <c r="AA494" s="17" t="s">
        <v>46</v>
      </c>
      <c r="AB494" s="17" t="s">
        <v>294</v>
      </c>
      <c r="AC494" s="66">
        <v>44555</v>
      </c>
      <c r="AD494" s="65">
        <v>1251</v>
      </c>
      <c r="AF494" s="17" t="s">
        <v>295</v>
      </c>
    </row>
    <row r="495" s="17" customFormat="1" hidden="1" spans="1:32">
      <c r="A495" s="17" t="s">
        <v>34</v>
      </c>
      <c r="B495" s="19">
        <v>747</v>
      </c>
      <c r="C495" s="64">
        <v>44544</v>
      </c>
      <c r="D495" s="17" t="s">
        <v>52</v>
      </c>
      <c r="E495" s="17" t="s">
        <v>291</v>
      </c>
      <c r="F495" s="17" t="s">
        <v>54</v>
      </c>
      <c r="H495" s="65">
        <v>1.2311</v>
      </c>
      <c r="I495" s="65"/>
      <c r="J495" s="17" t="s">
        <v>82</v>
      </c>
      <c r="K495" s="115">
        <v>307</v>
      </c>
      <c r="L495" s="115">
        <v>51</v>
      </c>
      <c r="M495" s="17" t="s">
        <v>292</v>
      </c>
      <c r="N495" s="17" t="s">
        <v>66</v>
      </c>
      <c r="O495" s="19" t="s">
        <v>141</v>
      </c>
      <c r="P495" s="99">
        <v>983.2596</v>
      </c>
      <c r="Q495" s="17">
        <f>543+544</f>
        <v>1087</v>
      </c>
      <c r="R495" s="95">
        <f t="shared" si="28"/>
        <v>-103.7404</v>
      </c>
      <c r="S495" s="17">
        <v>1250</v>
      </c>
      <c r="T495" s="19" t="s">
        <v>42</v>
      </c>
      <c r="U495" s="17" t="s">
        <v>293</v>
      </c>
      <c r="V495" s="64">
        <v>44545</v>
      </c>
      <c r="W495" s="17" t="s">
        <v>69</v>
      </c>
      <c r="Y495" s="68">
        <v>44531</v>
      </c>
      <c r="Z495" s="17" t="s">
        <v>191</v>
      </c>
      <c r="AA495" s="17" t="s">
        <v>46</v>
      </c>
      <c r="AB495" s="17" t="s">
        <v>294</v>
      </c>
      <c r="AC495" s="66">
        <v>44555</v>
      </c>
      <c r="AD495" s="65">
        <v>1251</v>
      </c>
      <c r="AF495" s="17" t="s">
        <v>295</v>
      </c>
    </row>
    <row r="496" s="17" customFormat="1" hidden="1" spans="1:32">
      <c r="A496" s="17" t="s">
        <v>34</v>
      </c>
      <c r="B496" s="19">
        <v>747</v>
      </c>
      <c r="C496" s="64">
        <v>44544</v>
      </c>
      <c r="D496" s="17" t="s">
        <v>52</v>
      </c>
      <c r="E496" s="17" t="s">
        <v>291</v>
      </c>
      <c r="F496" s="17" t="s">
        <v>54</v>
      </c>
      <c r="H496" s="65">
        <v>1.2311</v>
      </c>
      <c r="I496" s="65"/>
      <c r="J496" s="17" t="s">
        <v>82</v>
      </c>
      <c r="K496" s="115">
        <v>357</v>
      </c>
      <c r="L496" s="115">
        <v>51</v>
      </c>
      <c r="M496" s="17" t="s">
        <v>292</v>
      </c>
      <c r="N496" s="17" t="s">
        <v>66</v>
      </c>
      <c r="O496" s="19" t="s">
        <v>141</v>
      </c>
      <c r="P496" s="99">
        <v>571.6998</v>
      </c>
      <c r="Q496" s="17">
        <v>657</v>
      </c>
      <c r="R496" s="95">
        <f t="shared" si="28"/>
        <v>-85.3002</v>
      </c>
      <c r="S496" s="17">
        <v>1250</v>
      </c>
      <c r="T496" s="19" t="s">
        <v>42</v>
      </c>
      <c r="U496" s="17" t="s">
        <v>293</v>
      </c>
      <c r="V496" s="64">
        <v>44545</v>
      </c>
      <c r="W496" s="17" t="s">
        <v>69</v>
      </c>
      <c r="Y496" s="68">
        <v>44531</v>
      </c>
      <c r="Z496" s="17" t="s">
        <v>191</v>
      </c>
      <c r="AA496" s="17" t="s">
        <v>46</v>
      </c>
      <c r="AB496" s="17" t="s">
        <v>294</v>
      </c>
      <c r="AC496" s="66">
        <v>44555</v>
      </c>
      <c r="AD496" s="65">
        <v>1251</v>
      </c>
      <c r="AF496" s="17" t="s">
        <v>295</v>
      </c>
    </row>
    <row r="497" s="17" customFormat="1" hidden="1" spans="1:32">
      <c r="A497" s="17" t="s">
        <v>34</v>
      </c>
      <c r="B497" s="19">
        <v>747</v>
      </c>
      <c r="C497" s="64">
        <v>44544</v>
      </c>
      <c r="D497" s="17" t="s">
        <v>52</v>
      </c>
      <c r="E497" s="17" t="s">
        <v>291</v>
      </c>
      <c r="F497" s="17" t="s">
        <v>54</v>
      </c>
      <c r="H497" s="65">
        <v>1.2311</v>
      </c>
      <c r="I497" s="65"/>
      <c r="J497" s="17" t="s">
        <v>82</v>
      </c>
      <c r="K497" s="115">
        <v>407</v>
      </c>
      <c r="L497" s="115">
        <v>51</v>
      </c>
      <c r="M497" s="17" t="s">
        <v>292</v>
      </c>
      <c r="N497" s="17" t="s">
        <v>66</v>
      </c>
      <c r="O497" s="19" t="s">
        <v>141</v>
      </c>
      <c r="P497" s="99">
        <v>651.7698</v>
      </c>
      <c r="Q497" s="17">
        <v>709</v>
      </c>
      <c r="R497" s="95">
        <f t="shared" si="28"/>
        <v>-57.2302000000001</v>
      </c>
      <c r="S497" s="17">
        <v>1250</v>
      </c>
      <c r="T497" s="19" t="s">
        <v>42</v>
      </c>
      <c r="U497" s="17" t="s">
        <v>293</v>
      </c>
      <c r="V497" s="64">
        <v>44545</v>
      </c>
      <c r="W497" s="17" t="s">
        <v>69</v>
      </c>
      <c r="Y497" s="68">
        <v>44531</v>
      </c>
      <c r="Z497" s="17" t="s">
        <v>191</v>
      </c>
      <c r="AA497" s="17" t="s">
        <v>46</v>
      </c>
      <c r="AB497" s="17" t="s">
        <v>296</v>
      </c>
      <c r="AC497" s="66">
        <v>44555</v>
      </c>
      <c r="AD497" s="65">
        <v>1252</v>
      </c>
      <c r="AF497" s="17" t="s">
        <v>295</v>
      </c>
    </row>
    <row r="498" s="17" customFormat="1" hidden="1" spans="1:32">
      <c r="A498" s="17" t="s">
        <v>34</v>
      </c>
      <c r="B498" s="19">
        <v>747</v>
      </c>
      <c r="C498" s="64">
        <v>44544</v>
      </c>
      <c r="D498" s="17" t="s">
        <v>52</v>
      </c>
      <c r="E498" s="17" t="s">
        <v>291</v>
      </c>
      <c r="F498" s="17" t="s">
        <v>54</v>
      </c>
      <c r="H498" s="65">
        <v>1.2311</v>
      </c>
      <c r="I498" s="65"/>
      <c r="J498" s="17" t="s">
        <v>82</v>
      </c>
      <c r="K498" s="115">
        <v>457</v>
      </c>
      <c r="L498" s="115">
        <v>51</v>
      </c>
      <c r="M498" s="17" t="s">
        <v>292</v>
      </c>
      <c r="N498" s="17" t="s">
        <v>66</v>
      </c>
      <c r="O498" s="19" t="s">
        <v>141</v>
      </c>
      <c r="P498" s="99">
        <v>731.8398</v>
      </c>
      <c r="Q498" s="17">
        <v>670</v>
      </c>
      <c r="R498" s="95">
        <f t="shared" si="28"/>
        <v>61.8398</v>
      </c>
      <c r="S498" s="17">
        <v>1250</v>
      </c>
      <c r="T498" s="19" t="s">
        <v>42</v>
      </c>
      <c r="U498" s="17" t="s">
        <v>293</v>
      </c>
      <c r="V498" s="64">
        <v>44545</v>
      </c>
      <c r="W498" s="17" t="s">
        <v>69</v>
      </c>
      <c r="Y498" s="68">
        <v>44531</v>
      </c>
      <c r="Z498" s="17" t="s">
        <v>191</v>
      </c>
      <c r="AA498" s="17" t="s">
        <v>46</v>
      </c>
      <c r="AB498" s="17" t="s">
        <v>296</v>
      </c>
      <c r="AC498" s="66">
        <v>44555</v>
      </c>
      <c r="AD498" s="65">
        <v>1252</v>
      </c>
      <c r="AF498" s="17" t="s">
        <v>295</v>
      </c>
    </row>
    <row r="499" s="17" customFormat="1" hidden="1" spans="1:32">
      <c r="A499" s="17" t="s">
        <v>34</v>
      </c>
      <c r="B499" s="19">
        <v>747</v>
      </c>
      <c r="C499" s="64">
        <v>44544</v>
      </c>
      <c r="D499" s="17" t="s">
        <v>52</v>
      </c>
      <c r="E499" s="17" t="s">
        <v>291</v>
      </c>
      <c r="F499" s="17" t="s">
        <v>54</v>
      </c>
      <c r="H499" s="65">
        <v>1.2311</v>
      </c>
      <c r="I499" s="65"/>
      <c r="J499" s="17" t="s">
        <v>82</v>
      </c>
      <c r="K499" s="115">
        <v>507</v>
      </c>
      <c r="L499" s="116">
        <v>51</v>
      </c>
      <c r="M499" s="17" t="s">
        <v>292</v>
      </c>
      <c r="N499" s="17" t="s">
        <v>66</v>
      </c>
      <c r="O499" s="19" t="s">
        <v>141</v>
      </c>
      <c r="P499" s="99">
        <v>2435.7294</v>
      </c>
      <c r="Q499" s="17">
        <f>746+748+748</f>
        <v>2242</v>
      </c>
      <c r="R499" s="95">
        <f t="shared" si="28"/>
        <v>193.7294</v>
      </c>
      <c r="S499" s="17">
        <v>1250</v>
      </c>
      <c r="T499" s="19" t="s">
        <v>42</v>
      </c>
      <c r="U499" s="17" t="s">
        <v>293</v>
      </c>
      <c r="V499" s="64">
        <v>44545</v>
      </c>
      <c r="W499" s="17" t="s">
        <v>69</v>
      </c>
      <c r="Y499" s="68">
        <v>44531</v>
      </c>
      <c r="Z499" s="17" t="s">
        <v>191</v>
      </c>
      <c r="AA499" s="17" t="s">
        <v>46</v>
      </c>
      <c r="AB499" s="17" t="s">
        <v>296</v>
      </c>
      <c r="AC499" s="66">
        <v>44555</v>
      </c>
      <c r="AD499" s="65">
        <v>1252</v>
      </c>
      <c r="AF499" s="17" t="s">
        <v>295</v>
      </c>
    </row>
    <row r="500" s="17" customFormat="1" hidden="1" spans="1:32">
      <c r="A500" s="17" t="s">
        <v>34</v>
      </c>
      <c r="B500" s="19">
        <v>747</v>
      </c>
      <c r="C500" s="64">
        <v>44544</v>
      </c>
      <c r="D500" s="17" t="s">
        <v>52</v>
      </c>
      <c r="E500" s="17" t="s">
        <v>291</v>
      </c>
      <c r="F500" s="17" t="s">
        <v>54</v>
      </c>
      <c r="H500" s="65">
        <v>1.2311</v>
      </c>
      <c r="I500" s="65"/>
      <c r="J500" s="17" t="s">
        <v>82</v>
      </c>
      <c r="K500" s="115">
        <v>557</v>
      </c>
      <c r="L500" s="115">
        <v>51</v>
      </c>
      <c r="M500" s="17" t="s">
        <v>292</v>
      </c>
      <c r="N500" s="17" t="s">
        <v>66</v>
      </c>
      <c r="O500" s="19" t="s">
        <v>141</v>
      </c>
      <c r="P500" s="99">
        <v>891.9798</v>
      </c>
      <c r="Q500" s="17">
        <v>818</v>
      </c>
      <c r="R500" s="95">
        <f t="shared" si="28"/>
        <v>73.9798</v>
      </c>
      <c r="S500" s="17">
        <v>1250</v>
      </c>
      <c r="T500" s="19" t="s">
        <v>42</v>
      </c>
      <c r="U500" s="17" t="s">
        <v>293</v>
      </c>
      <c r="V500" s="64">
        <v>44545</v>
      </c>
      <c r="W500" s="17" t="s">
        <v>69</v>
      </c>
      <c r="Y500" s="68">
        <v>44531</v>
      </c>
      <c r="Z500" s="17" t="s">
        <v>191</v>
      </c>
      <c r="AA500" s="17" t="s">
        <v>46</v>
      </c>
      <c r="AB500" s="17" t="s">
        <v>296</v>
      </c>
      <c r="AC500" s="66">
        <v>44555</v>
      </c>
      <c r="AD500" s="65">
        <v>1252</v>
      </c>
      <c r="AF500" s="17" t="s">
        <v>295</v>
      </c>
    </row>
    <row r="501" s="17" customFormat="1" hidden="1" spans="1:32">
      <c r="A501" s="17" t="s">
        <v>34</v>
      </c>
      <c r="B501" s="19">
        <v>747</v>
      </c>
      <c r="C501" s="64">
        <v>44544</v>
      </c>
      <c r="D501" s="17" t="s">
        <v>52</v>
      </c>
      <c r="E501" s="17" t="s">
        <v>291</v>
      </c>
      <c r="F501" s="17" t="s">
        <v>54</v>
      </c>
      <c r="H501" s="65">
        <v>1.2311</v>
      </c>
      <c r="I501" s="65"/>
      <c r="J501" s="17" t="s">
        <v>82</v>
      </c>
      <c r="K501" s="115">
        <v>607</v>
      </c>
      <c r="L501" s="115">
        <v>51</v>
      </c>
      <c r="M501" s="17" t="s">
        <v>292</v>
      </c>
      <c r="N501" s="17" t="s">
        <v>66</v>
      </c>
      <c r="O501" s="19" t="s">
        <v>141</v>
      </c>
      <c r="P501" s="99">
        <v>972.0498</v>
      </c>
      <c r="Q501" s="17">
        <v>888</v>
      </c>
      <c r="R501" s="95">
        <f t="shared" si="28"/>
        <v>84.0497999999999</v>
      </c>
      <c r="S501" s="17">
        <v>1250</v>
      </c>
      <c r="T501" s="19" t="s">
        <v>42</v>
      </c>
      <c r="U501" s="17" t="s">
        <v>293</v>
      </c>
      <c r="V501" s="64">
        <v>44545</v>
      </c>
      <c r="W501" s="17" t="s">
        <v>69</v>
      </c>
      <c r="Y501" s="68">
        <v>44531</v>
      </c>
      <c r="Z501" s="17" t="s">
        <v>191</v>
      </c>
      <c r="AA501" s="17" t="s">
        <v>46</v>
      </c>
      <c r="AB501" s="17" t="s">
        <v>296</v>
      </c>
      <c r="AC501" s="66">
        <v>44555</v>
      </c>
      <c r="AD501" s="65">
        <v>1252</v>
      </c>
      <c r="AF501" s="17" t="s">
        <v>295</v>
      </c>
    </row>
    <row r="502" s="17" customFormat="1" hidden="1" spans="1:32">
      <c r="A502" s="17" t="s">
        <v>34</v>
      </c>
      <c r="B502" s="19">
        <v>747</v>
      </c>
      <c r="C502" s="64">
        <v>44544</v>
      </c>
      <c r="D502" s="17" t="s">
        <v>52</v>
      </c>
      <c r="E502" s="17" t="s">
        <v>291</v>
      </c>
      <c r="F502" s="17" t="s">
        <v>54</v>
      </c>
      <c r="H502" s="65">
        <v>1.2311</v>
      </c>
      <c r="I502" s="65"/>
      <c r="J502" s="17" t="s">
        <v>82</v>
      </c>
      <c r="K502" s="115">
        <v>207</v>
      </c>
      <c r="L502" s="115">
        <v>66</v>
      </c>
      <c r="M502" s="17" t="s">
        <v>292</v>
      </c>
      <c r="N502" s="17" t="s">
        <v>66</v>
      </c>
      <c r="O502" s="19" t="s">
        <v>141</v>
      </c>
      <c r="P502" s="99">
        <v>428.9868</v>
      </c>
      <c r="Q502" s="17">
        <v>415</v>
      </c>
      <c r="R502" s="95">
        <f t="shared" si="28"/>
        <v>13.9868</v>
      </c>
      <c r="S502" s="17">
        <v>1250</v>
      </c>
      <c r="T502" s="19" t="s">
        <v>42</v>
      </c>
      <c r="U502" s="17" t="s">
        <v>293</v>
      </c>
      <c r="V502" s="64">
        <v>44545</v>
      </c>
      <c r="W502" s="17" t="s">
        <v>69</v>
      </c>
      <c r="Y502" s="68">
        <v>44531</v>
      </c>
      <c r="Z502" s="17" t="s">
        <v>191</v>
      </c>
      <c r="AA502" s="17" t="s">
        <v>46</v>
      </c>
      <c r="AB502" s="17" t="s">
        <v>296</v>
      </c>
      <c r="AC502" s="66">
        <v>44555</v>
      </c>
      <c r="AD502" s="65">
        <v>1252</v>
      </c>
      <c r="AF502" s="17" t="s">
        <v>295</v>
      </c>
    </row>
    <row r="503" s="17" customFormat="1" hidden="1" spans="1:32">
      <c r="A503" s="17" t="s">
        <v>34</v>
      </c>
      <c r="B503" s="19">
        <v>747</v>
      </c>
      <c r="C503" s="64">
        <v>44544</v>
      </c>
      <c r="D503" s="17" t="s">
        <v>52</v>
      </c>
      <c r="E503" s="17" t="s">
        <v>291</v>
      </c>
      <c r="F503" s="17" t="s">
        <v>54</v>
      </c>
      <c r="H503" s="65">
        <v>1.2311</v>
      </c>
      <c r="I503" s="65"/>
      <c r="J503" s="17" t="s">
        <v>82</v>
      </c>
      <c r="K503" s="115">
        <v>257</v>
      </c>
      <c r="L503" s="115">
        <v>66</v>
      </c>
      <c r="M503" s="17" t="s">
        <v>292</v>
      </c>
      <c r="N503" s="17" t="s">
        <v>66</v>
      </c>
      <c r="O503" s="19" t="s">
        <v>141</v>
      </c>
      <c r="P503" s="99">
        <v>532.6068</v>
      </c>
      <c r="Q503" s="17">
        <v>513</v>
      </c>
      <c r="R503" s="95">
        <f t="shared" si="28"/>
        <v>19.6067999999999</v>
      </c>
      <c r="S503" s="17">
        <v>1250</v>
      </c>
      <c r="T503" s="19" t="s">
        <v>42</v>
      </c>
      <c r="U503" s="17" t="s">
        <v>293</v>
      </c>
      <c r="V503" s="64">
        <v>44545</v>
      </c>
      <c r="W503" s="17" t="s">
        <v>69</v>
      </c>
      <c r="Y503" s="68">
        <v>44531</v>
      </c>
      <c r="Z503" s="17" t="s">
        <v>191</v>
      </c>
      <c r="AA503" s="17" t="s">
        <v>46</v>
      </c>
      <c r="AB503" s="17" t="s">
        <v>294</v>
      </c>
      <c r="AC503" s="66">
        <v>44555</v>
      </c>
      <c r="AD503" s="65">
        <v>1251</v>
      </c>
      <c r="AF503" s="17" t="s">
        <v>295</v>
      </c>
    </row>
    <row r="504" s="17" customFormat="1" hidden="1" spans="1:32">
      <c r="A504" s="17" t="s">
        <v>34</v>
      </c>
      <c r="B504" s="19">
        <v>747</v>
      </c>
      <c r="C504" s="64">
        <v>44544</v>
      </c>
      <c r="D504" s="17" t="s">
        <v>52</v>
      </c>
      <c r="E504" s="17" t="s">
        <v>291</v>
      </c>
      <c r="F504" s="17" t="s">
        <v>54</v>
      </c>
      <c r="H504" s="65">
        <v>1.2311</v>
      </c>
      <c r="I504" s="65"/>
      <c r="J504" s="17" t="s">
        <v>82</v>
      </c>
      <c r="K504" s="115">
        <v>307</v>
      </c>
      <c r="L504" s="115">
        <v>66</v>
      </c>
      <c r="M504" s="17" t="s">
        <v>292</v>
      </c>
      <c r="N504" s="17" t="s">
        <v>66</v>
      </c>
      <c r="O504" s="19" t="s">
        <v>141</v>
      </c>
      <c r="P504" s="99">
        <v>636.2268</v>
      </c>
      <c r="Q504" s="17">
        <v>616</v>
      </c>
      <c r="R504" s="95">
        <f t="shared" si="28"/>
        <v>20.2267999999999</v>
      </c>
      <c r="S504" s="17">
        <v>1250</v>
      </c>
      <c r="T504" s="19" t="s">
        <v>42</v>
      </c>
      <c r="U504" s="17" t="s">
        <v>293</v>
      </c>
      <c r="V504" s="64">
        <v>44545</v>
      </c>
      <c r="W504" s="17" t="s">
        <v>69</v>
      </c>
      <c r="Y504" s="68">
        <v>44531</v>
      </c>
      <c r="Z504" s="17" t="s">
        <v>191</v>
      </c>
      <c r="AA504" s="17" t="s">
        <v>46</v>
      </c>
      <c r="AB504" s="17" t="s">
        <v>294</v>
      </c>
      <c r="AC504" s="66">
        <v>44555</v>
      </c>
      <c r="AD504" s="65">
        <v>1251</v>
      </c>
      <c r="AF504" s="17" t="s">
        <v>295</v>
      </c>
    </row>
    <row r="505" s="17" customFormat="1" hidden="1" spans="1:32">
      <c r="A505" s="17" t="s">
        <v>34</v>
      </c>
      <c r="B505" s="19">
        <v>747</v>
      </c>
      <c r="C505" s="64">
        <v>44544</v>
      </c>
      <c r="D505" s="17" t="s">
        <v>52</v>
      </c>
      <c r="E505" s="17" t="s">
        <v>291</v>
      </c>
      <c r="F505" s="17" t="s">
        <v>54</v>
      </c>
      <c r="H505" s="65">
        <v>1.2311</v>
      </c>
      <c r="I505" s="65"/>
      <c r="J505" s="17" t="s">
        <v>82</v>
      </c>
      <c r="K505" s="115">
        <v>357</v>
      </c>
      <c r="L505" s="115">
        <v>66</v>
      </c>
      <c r="M505" s="17" t="s">
        <v>292</v>
      </c>
      <c r="N505" s="17" t="s">
        <v>66</v>
      </c>
      <c r="O505" s="19" t="s">
        <v>141</v>
      </c>
      <c r="P505" s="99">
        <v>739.8468</v>
      </c>
      <c r="Q505" s="17">
        <v>649</v>
      </c>
      <c r="R505" s="95">
        <f t="shared" si="28"/>
        <v>90.8467999999999</v>
      </c>
      <c r="S505" s="17">
        <v>1250</v>
      </c>
      <c r="T505" s="19" t="s">
        <v>42</v>
      </c>
      <c r="U505" s="17" t="s">
        <v>293</v>
      </c>
      <c r="V505" s="64">
        <v>44545</v>
      </c>
      <c r="W505" s="17" t="s">
        <v>69</v>
      </c>
      <c r="Y505" s="68">
        <v>44531</v>
      </c>
      <c r="Z505" s="17" t="s">
        <v>191</v>
      </c>
      <c r="AA505" s="17" t="s">
        <v>46</v>
      </c>
      <c r="AB505" s="17" t="s">
        <v>296</v>
      </c>
      <c r="AC505" s="66">
        <v>44555</v>
      </c>
      <c r="AD505" s="65">
        <v>1252</v>
      </c>
      <c r="AF505" s="17" t="s">
        <v>295</v>
      </c>
    </row>
    <row r="506" s="17" customFormat="1" hidden="1" spans="1:32">
      <c r="A506" s="17" t="s">
        <v>34</v>
      </c>
      <c r="B506" s="19">
        <v>747</v>
      </c>
      <c r="C506" s="64">
        <v>44544</v>
      </c>
      <c r="D506" s="17" t="s">
        <v>52</v>
      </c>
      <c r="E506" s="17" t="s">
        <v>291</v>
      </c>
      <c r="F506" s="17" t="s">
        <v>54</v>
      </c>
      <c r="H506" s="65">
        <v>1.2311</v>
      </c>
      <c r="I506" s="65"/>
      <c r="J506" s="17" t="s">
        <v>82</v>
      </c>
      <c r="K506" s="115">
        <v>407</v>
      </c>
      <c r="L506" s="116">
        <v>66</v>
      </c>
      <c r="M506" s="17" t="s">
        <v>292</v>
      </c>
      <c r="N506" s="17" t="s">
        <v>66</v>
      </c>
      <c r="O506" s="19" t="s">
        <v>141</v>
      </c>
      <c r="P506" s="99">
        <v>843.4668</v>
      </c>
      <c r="Q506" s="17">
        <v>992</v>
      </c>
      <c r="R506" s="95">
        <f t="shared" si="28"/>
        <v>-148.5332</v>
      </c>
      <c r="S506" s="17">
        <v>1250</v>
      </c>
      <c r="T506" s="19" t="s">
        <v>42</v>
      </c>
      <c r="U506" s="17" t="s">
        <v>293</v>
      </c>
      <c r="V506" s="64">
        <v>44545</v>
      </c>
      <c r="W506" s="17" t="s">
        <v>69</v>
      </c>
      <c r="Y506" s="68">
        <v>44531</v>
      </c>
      <c r="Z506" s="17" t="s">
        <v>191</v>
      </c>
      <c r="AA506" s="17" t="s">
        <v>46</v>
      </c>
      <c r="AB506" s="17" t="s">
        <v>296</v>
      </c>
      <c r="AC506" s="66">
        <v>44555</v>
      </c>
      <c r="AD506" s="65">
        <v>1252</v>
      </c>
      <c r="AF506" s="17" t="s">
        <v>295</v>
      </c>
    </row>
    <row r="507" s="17" customFormat="1" hidden="1" spans="1:32">
      <c r="A507" s="17" t="s">
        <v>34</v>
      </c>
      <c r="B507" s="19">
        <v>747</v>
      </c>
      <c r="C507" s="64">
        <v>44544</v>
      </c>
      <c r="D507" s="17" t="s">
        <v>52</v>
      </c>
      <c r="E507" s="17" t="s">
        <v>291</v>
      </c>
      <c r="F507" s="17" t="s">
        <v>54</v>
      </c>
      <c r="H507" s="65">
        <v>1.2311</v>
      </c>
      <c r="I507" s="65"/>
      <c r="J507" s="17" t="s">
        <v>82</v>
      </c>
      <c r="K507" s="115">
        <v>457</v>
      </c>
      <c r="L507" s="115">
        <v>66</v>
      </c>
      <c r="M507" s="17" t="s">
        <v>292</v>
      </c>
      <c r="N507" s="17" t="s">
        <v>66</v>
      </c>
      <c r="O507" s="19" t="s">
        <v>141</v>
      </c>
      <c r="P507" s="99">
        <v>947.0868</v>
      </c>
      <c r="Q507" s="17">
        <v>827</v>
      </c>
      <c r="R507" s="95">
        <f t="shared" si="28"/>
        <v>120.0868</v>
      </c>
      <c r="S507" s="17">
        <v>1250</v>
      </c>
      <c r="T507" s="19" t="s">
        <v>42</v>
      </c>
      <c r="U507" s="17" t="s">
        <v>293</v>
      </c>
      <c r="V507" s="64">
        <v>44545</v>
      </c>
      <c r="W507" s="17" t="s">
        <v>69</v>
      </c>
      <c r="Y507" s="68">
        <v>44531</v>
      </c>
      <c r="Z507" s="17" t="s">
        <v>191</v>
      </c>
      <c r="AA507" s="17" t="s">
        <v>46</v>
      </c>
      <c r="AB507" s="17" t="s">
        <v>296</v>
      </c>
      <c r="AC507" s="66">
        <v>44555</v>
      </c>
      <c r="AD507" s="65">
        <v>1252</v>
      </c>
      <c r="AF507" s="17" t="s">
        <v>295</v>
      </c>
    </row>
    <row r="508" s="17" customFormat="1" hidden="1" spans="1:32">
      <c r="A508" s="17" t="s">
        <v>34</v>
      </c>
      <c r="B508" s="19">
        <v>747</v>
      </c>
      <c r="C508" s="64">
        <v>44544</v>
      </c>
      <c r="D508" s="17" t="s">
        <v>52</v>
      </c>
      <c r="E508" s="17" t="s">
        <v>291</v>
      </c>
      <c r="F508" s="17" t="s">
        <v>54</v>
      </c>
      <c r="H508" s="65">
        <v>1.2311</v>
      </c>
      <c r="I508" s="65"/>
      <c r="J508" s="17" t="s">
        <v>82</v>
      </c>
      <c r="K508" s="115">
        <v>507</v>
      </c>
      <c r="L508" s="115">
        <v>66</v>
      </c>
      <c r="M508" s="17" t="s">
        <v>292</v>
      </c>
      <c r="N508" s="17" t="s">
        <v>66</v>
      </c>
      <c r="O508" s="19" t="s">
        <v>141</v>
      </c>
      <c r="P508" s="99">
        <v>1050.7068</v>
      </c>
      <c r="Q508" s="17">
        <v>1222</v>
      </c>
      <c r="R508" s="95">
        <f t="shared" si="28"/>
        <v>-171.2932</v>
      </c>
      <c r="S508" s="17">
        <v>1250</v>
      </c>
      <c r="T508" s="19" t="s">
        <v>42</v>
      </c>
      <c r="U508" s="17" t="s">
        <v>293</v>
      </c>
      <c r="V508" s="64">
        <v>44545</v>
      </c>
      <c r="W508" s="17" t="s">
        <v>69</v>
      </c>
      <c r="Y508" s="68">
        <v>44531</v>
      </c>
      <c r="Z508" s="17" t="s">
        <v>191</v>
      </c>
      <c r="AA508" s="17" t="s">
        <v>46</v>
      </c>
      <c r="AB508" s="17" t="s">
        <v>296</v>
      </c>
      <c r="AC508" s="66">
        <v>44555</v>
      </c>
      <c r="AD508" s="65">
        <v>1252</v>
      </c>
      <c r="AF508" s="17" t="s">
        <v>295</v>
      </c>
    </row>
    <row r="509" s="17" customFormat="1" hidden="1" spans="1:32">
      <c r="A509" s="17" t="s">
        <v>34</v>
      </c>
      <c r="B509" s="19">
        <v>747</v>
      </c>
      <c r="C509" s="64">
        <v>44544</v>
      </c>
      <c r="D509" s="17" t="s">
        <v>52</v>
      </c>
      <c r="E509" s="17" t="s">
        <v>291</v>
      </c>
      <c r="F509" s="17" t="s">
        <v>54</v>
      </c>
      <c r="H509" s="65">
        <v>1.2311</v>
      </c>
      <c r="I509" s="65"/>
      <c r="J509" s="17" t="s">
        <v>82</v>
      </c>
      <c r="K509" s="115">
        <v>557</v>
      </c>
      <c r="L509" s="115">
        <v>66</v>
      </c>
      <c r="M509" s="17" t="s">
        <v>292</v>
      </c>
      <c r="N509" s="17" t="s">
        <v>66</v>
      </c>
      <c r="O509" s="19" t="s">
        <v>141</v>
      </c>
      <c r="P509" s="99">
        <v>1154.3268</v>
      </c>
      <c r="Q509" s="17">
        <v>1345</v>
      </c>
      <c r="R509" s="95">
        <f t="shared" si="28"/>
        <v>-190.6732</v>
      </c>
      <c r="S509" s="17">
        <v>1250</v>
      </c>
      <c r="T509" s="19" t="s">
        <v>42</v>
      </c>
      <c r="U509" s="17" t="s">
        <v>293</v>
      </c>
      <c r="V509" s="64">
        <v>44545</v>
      </c>
      <c r="W509" s="17" t="s">
        <v>69</v>
      </c>
      <c r="Y509" s="68">
        <v>44531</v>
      </c>
      <c r="Z509" s="17" t="s">
        <v>191</v>
      </c>
      <c r="AA509" s="17" t="s">
        <v>46</v>
      </c>
      <c r="AB509" s="17" t="s">
        <v>296</v>
      </c>
      <c r="AC509" s="66">
        <v>44555</v>
      </c>
      <c r="AD509" s="65">
        <v>1252</v>
      </c>
      <c r="AF509" s="17" t="s">
        <v>295</v>
      </c>
    </row>
    <row r="510" s="17" customFormat="1" hidden="1" spans="1:32">
      <c r="A510" s="17" t="s">
        <v>34</v>
      </c>
      <c r="B510" s="19">
        <v>747</v>
      </c>
      <c r="C510" s="64">
        <v>44544</v>
      </c>
      <c r="D510" s="17" t="s">
        <v>52</v>
      </c>
      <c r="E510" s="17" t="s">
        <v>291</v>
      </c>
      <c r="F510" s="17" t="s">
        <v>54</v>
      </c>
      <c r="H510" s="65">
        <v>1.2311</v>
      </c>
      <c r="I510" s="65"/>
      <c r="J510" s="17" t="s">
        <v>82</v>
      </c>
      <c r="K510" s="115">
        <v>607</v>
      </c>
      <c r="L510" s="115">
        <v>66</v>
      </c>
      <c r="M510" s="17" t="s">
        <v>292</v>
      </c>
      <c r="N510" s="17" t="s">
        <v>66</v>
      </c>
      <c r="O510" s="19" t="s">
        <v>141</v>
      </c>
      <c r="P510" s="99">
        <v>1257.9468</v>
      </c>
      <c r="Q510" s="17">
        <v>1463</v>
      </c>
      <c r="R510" s="95">
        <f t="shared" si="28"/>
        <v>-205.0532</v>
      </c>
      <c r="S510" s="17">
        <v>1250</v>
      </c>
      <c r="T510" s="19" t="s">
        <v>42</v>
      </c>
      <c r="U510" s="17" t="s">
        <v>293</v>
      </c>
      <c r="V510" s="64">
        <v>44545</v>
      </c>
      <c r="W510" s="17" t="s">
        <v>69</v>
      </c>
      <c r="Y510" s="68">
        <v>44531</v>
      </c>
      <c r="Z510" s="17" t="s">
        <v>191</v>
      </c>
      <c r="AA510" s="17" t="s">
        <v>46</v>
      </c>
      <c r="AB510" s="17" t="s">
        <v>296</v>
      </c>
      <c r="AC510" s="66">
        <v>44555</v>
      </c>
      <c r="AD510" s="65">
        <v>1252</v>
      </c>
      <c r="AF510" s="17" t="s">
        <v>295</v>
      </c>
    </row>
    <row r="511" s="17" customFormat="1" hidden="1" spans="1:32">
      <c r="A511" s="17" t="s">
        <v>34</v>
      </c>
      <c r="B511" s="19">
        <v>747</v>
      </c>
      <c r="C511" s="64">
        <v>44544</v>
      </c>
      <c r="D511" s="17" t="s">
        <v>52</v>
      </c>
      <c r="E511" s="17" t="s">
        <v>291</v>
      </c>
      <c r="F511" s="17" t="s">
        <v>54</v>
      </c>
      <c r="H511" s="65">
        <v>1.2311</v>
      </c>
      <c r="I511" s="65"/>
      <c r="J511" s="17" t="s">
        <v>82</v>
      </c>
      <c r="K511" s="115">
        <v>207</v>
      </c>
      <c r="L511" s="115">
        <v>81</v>
      </c>
      <c r="M511" s="17" t="s">
        <v>292</v>
      </c>
      <c r="N511" s="17" t="s">
        <v>66</v>
      </c>
      <c r="O511" s="19" t="s">
        <v>141</v>
      </c>
      <c r="P511" s="99">
        <v>526.4838</v>
      </c>
      <c r="Q511" s="17">
        <v>483</v>
      </c>
      <c r="R511" s="95">
        <f t="shared" si="28"/>
        <v>43.4838</v>
      </c>
      <c r="S511" s="17">
        <v>1250</v>
      </c>
      <c r="T511" s="19" t="s">
        <v>42</v>
      </c>
      <c r="U511" s="17" t="s">
        <v>293</v>
      </c>
      <c r="V511" s="64">
        <v>44545</v>
      </c>
      <c r="W511" s="17" t="s">
        <v>69</v>
      </c>
      <c r="Y511" s="68">
        <v>44531</v>
      </c>
      <c r="Z511" s="17" t="s">
        <v>191</v>
      </c>
      <c r="AA511" s="17" t="s">
        <v>46</v>
      </c>
      <c r="AB511" s="17" t="s">
        <v>294</v>
      </c>
      <c r="AC511" s="66">
        <v>44555</v>
      </c>
      <c r="AD511" s="65">
        <v>1251</v>
      </c>
      <c r="AF511" s="17" t="s">
        <v>295</v>
      </c>
    </row>
    <row r="512" s="17" customFormat="1" hidden="1" spans="1:32">
      <c r="A512" s="17" t="s">
        <v>34</v>
      </c>
      <c r="B512" s="19">
        <v>747</v>
      </c>
      <c r="C512" s="64">
        <v>44544</v>
      </c>
      <c r="D512" s="17" t="s">
        <v>52</v>
      </c>
      <c r="E512" s="17" t="s">
        <v>291</v>
      </c>
      <c r="F512" s="17" t="s">
        <v>54</v>
      </c>
      <c r="H512" s="65">
        <v>1.2311</v>
      </c>
      <c r="I512" s="65"/>
      <c r="J512" s="17" t="s">
        <v>82</v>
      </c>
      <c r="K512" s="115">
        <v>257</v>
      </c>
      <c r="L512" s="115">
        <v>81</v>
      </c>
      <c r="M512" s="17" t="s">
        <v>292</v>
      </c>
      <c r="N512" s="17" t="s">
        <v>66</v>
      </c>
      <c r="O512" s="19" t="s">
        <v>141</v>
      </c>
      <c r="P512" s="99">
        <v>653.6538</v>
      </c>
      <c r="Q512" s="17">
        <v>758</v>
      </c>
      <c r="R512" s="95">
        <f t="shared" si="28"/>
        <v>-104.3462</v>
      </c>
      <c r="S512" s="17">
        <v>1250</v>
      </c>
      <c r="T512" s="19" t="s">
        <v>42</v>
      </c>
      <c r="U512" s="17" t="s">
        <v>293</v>
      </c>
      <c r="V512" s="64">
        <v>44545</v>
      </c>
      <c r="W512" s="17" t="s">
        <v>69</v>
      </c>
      <c r="Y512" s="68">
        <v>44531</v>
      </c>
      <c r="Z512" s="17" t="s">
        <v>191</v>
      </c>
      <c r="AA512" s="17" t="s">
        <v>46</v>
      </c>
      <c r="AB512" s="17" t="s">
        <v>294</v>
      </c>
      <c r="AC512" s="66">
        <v>44555</v>
      </c>
      <c r="AD512" s="65">
        <v>1251</v>
      </c>
      <c r="AF512" s="17" t="s">
        <v>295</v>
      </c>
    </row>
    <row r="513" s="17" customFormat="1" hidden="1" spans="1:32">
      <c r="A513" s="17" t="s">
        <v>34</v>
      </c>
      <c r="B513" s="19">
        <v>747</v>
      </c>
      <c r="C513" s="64">
        <v>44544</v>
      </c>
      <c r="D513" s="17" t="s">
        <v>52</v>
      </c>
      <c r="E513" s="17" t="s">
        <v>291</v>
      </c>
      <c r="F513" s="17" t="s">
        <v>54</v>
      </c>
      <c r="H513" s="65">
        <v>1.2311</v>
      </c>
      <c r="I513" s="65"/>
      <c r="J513" s="17" t="s">
        <v>82</v>
      </c>
      <c r="K513" s="115">
        <v>307</v>
      </c>
      <c r="L513" s="115">
        <v>81</v>
      </c>
      <c r="M513" s="17" t="s">
        <v>292</v>
      </c>
      <c r="N513" s="17" t="s">
        <v>66</v>
      </c>
      <c r="O513" s="19" t="s">
        <v>141</v>
      </c>
      <c r="P513" s="99">
        <v>780.8238</v>
      </c>
      <c r="Q513" s="17">
        <v>712</v>
      </c>
      <c r="R513" s="95">
        <f t="shared" si="28"/>
        <v>68.8237999999999</v>
      </c>
      <c r="S513" s="17">
        <v>1250</v>
      </c>
      <c r="T513" s="19" t="s">
        <v>42</v>
      </c>
      <c r="U513" s="17" t="s">
        <v>293</v>
      </c>
      <c r="V513" s="64">
        <v>44545</v>
      </c>
      <c r="W513" s="17" t="s">
        <v>69</v>
      </c>
      <c r="Y513" s="68">
        <v>44531</v>
      </c>
      <c r="Z513" s="17" t="s">
        <v>191</v>
      </c>
      <c r="AA513" s="17" t="s">
        <v>46</v>
      </c>
      <c r="AB513" s="17" t="s">
        <v>294</v>
      </c>
      <c r="AC513" s="66">
        <v>44555</v>
      </c>
      <c r="AD513" s="65">
        <v>1251</v>
      </c>
      <c r="AF513" s="17" t="s">
        <v>295</v>
      </c>
    </row>
    <row r="514" s="17" customFormat="1" hidden="1" spans="1:32">
      <c r="A514" s="17" t="s">
        <v>34</v>
      </c>
      <c r="B514" s="19">
        <v>747</v>
      </c>
      <c r="C514" s="64">
        <v>44544</v>
      </c>
      <c r="D514" s="17" t="s">
        <v>52</v>
      </c>
      <c r="E514" s="17" t="s">
        <v>291</v>
      </c>
      <c r="F514" s="17" t="s">
        <v>54</v>
      </c>
      <c r="H514" s="65">
        <v>1.2311</v>
      </c>
      <c r="I514" s="65"/>
      <c r="J514" s="17" t="s">
        <v>82</v>
      </c>
      <c r="K514" s="115">
        <v>357</v>
      </c>
      <c r="L514" s="115">
        <v>81</v>
      </c>
      <c r="M514" s="17" t="s">
        <v>292</v>
      </c>
      <c r="N514" s="17" t="s">
        <v>66</v>
      </c>
      <c r="O514" s="19" t="s">
        <v>141</v>
      </c>
      <c r="P514" s="99">
        <v>907.9938</v>
      </c>
      <c r="Q514" s="17">
        <v>827</v>
      </c>
      <c r="R514" s="95">
        <f t="shared" si="28"/>
        <v>80.9938</v>
      </c>
      <c r="S514" s="17">
        <v>1250</v>
      </c>
      <c r="T514" s="19" t="s">
        <v>42</v>
      </c>
      <c r="U514" s="17" t="s">
        <v>293</v>
      </c>
      <c r="V514" s="64">
        <v>44545</v>
      </c>
      <c r="W514" s="17" t="s">
        <v>69</v>
      </c>
      <c r="Y514" s="68">
        <v>44531</v>
      </c>
      <c r="Z514" s="17" t="s">
        <v>191</v>
      </c>
      <c r="AA514" s="17" t="s">
        <v>46</v>
      </c>
      <c r="AB514" s="17" t="s">
        <v>294</v>
      </c>
      <c r="AC514" s="66">
        <v>44555</v>
      </c>
      <c r="AD514" s="65">
        <v>1251</v>
      </c>
      <c r="AF514" s="17" t="s">
        <v>295</v>
      </c>
    </row>
    <row r="515" s="17" customFormat="1" hidden="1" spans="1:32">
      <c r="A515" s="17" t="s">
        <v>34</v>
      </c>
      <c r="B515" s="19">
        <v>747</v>
      </c>
      <c r="C515" s="64">
        <v>44544</v>
      </c>
      <c r="D515" s="17" t="s">
        <v>52</v>
      </c>
      <c r="E515" s="17" t="s">
        <v>291</v>
      </c>
      <c r="F515" s="17" t="s">
        <v>54</v>
      </c>
      <c r="H515" s="65">
        <v>1.2311</v>
      </c>
      <c r="I515" s="65"/>
      <c r="J515" s="17" t="s">
        <v>82</v>
      </c>
      <c r="K515" s="115">
        <v>407</v>
      </c>
      <c r="L515" s="115">
        <v>81</v>
      </c>
      <c r="M515" s="17" t="s">
        <v>292</v>
      </c>
      <c r="N515" s="17" t="s">
        <v>66</v>
      </c>
      <c r="O515" s="19" t="s">
        <v>141</v>
      </c>
      <c r="P515" s="99">
        <v>1035.1638</v>
      </c>
      <c r="Q515" s="17">
        <v>939</v>
      </c>
      <c r="R515" s="95">
        <f t="shared" si="28"/>
        <v>96.1637999999998</v>
      </c>
      <c r="S515" s="17">
        <v>1250</v>
      </c>
      <c r="T515" s="19" t="s">
        <v>42</v>
      </c>
      <c r="U515" s="17" t="s">
        <v>293</v>
      </c>
      <c r="V515" s="64">
        <v>44545</v>
      </c>
      <c r="W515" s="17" t="s">
        <v>69</v>
      </c>
      <c r="Y515" s="68">
        <v>44531</v>
      </c>
      <c r="Z515" s="17" t="s">
        <v>191</v>
      </c>
      <c r="AA515" s="17" t="s">
        <v>46</v>
      </c>
      <c r="AB515" s="17" t="s">
        <v>294</v>
      </c>
      <c r="AC515" s="66">
        <v>44555</v>
      </c>
      <c r="AD515" s="65">
        <v>1251</v>
      </c>
      <c r="AF515" s="17" t="s">
        <v>295</v>
      </c>
    </row>
    <row r="516" s="17" customFormat="1" hidden="1" spans="1:32">
      <c r="A516" s="17" t="s">
        <v>34</v>
      </c>
      <c r="B516" s="19">
        <v>747</v>
      </c>
      <c r="C516" s="64">
        <v>44544</v>
      </c>
      <c r="D516" s="17" t="s">
        <v>52</v>
      </c>
      <c r="E516" s="17" t="s">
        <v>291</v>
      </c>
      <c r="F516" s="17" t="s">
        <v>54</v>
      </c>
      <c r="H516" s="65">
        <v>1.2311</v>
      </c>
      <c r="I516" s="65"/>
      <c r="J516" s="17" t="s">
        <v>82</v>
      </c>
      <c r="K516" s="115">
        <v>457</v>
      </c>
      <c r="L516" s="115">
        <v>81</v>
      </c>
      <c r="M516" s="17" t="s">
        <v>292</v>
      </c>
      <c r="N516" s="17" t="s">
        <v>66</v>
      </c>
      <c r="O516" s="19" t="s">
        <v>141</v>
      </c>
      <c r="P516" s="99">
        <v>1162.3338</v>
      </c>
      <c r="Q516" s="17">
        <v>1243</v>
      </c>
      <c r="R516" s="95">
        <f t="shared" si="28"/>
        <v>-80.6662000000001</v>
      </c>
      <c r="S516" s="17">
        <v>1250</v>
      </c>
      <c r="T516" s="19" t="s">
        <v>42</v>
      </c>
      <c r="U516" s="17" t="s">
        <v>293</v>
      </c>
      <c r="V516" s="64">
        <v>44545</v>
      </c>
      <c r="W516" s="17" t="s">
        <v>69</v>
      </c>
      <c r="Y516" s="68">
        <v>44531</v>
      </c>
      <c r="Z516" s="17" t="s">
        <v>191</v>
      </c>
      <c r="AA516" s="17" t="s">
        <v>46</v>
      </c>
      <c r="AB516" s="17" t="s">
        <v>294</v>
      </c>
      <c r="AC516" s="66">
        <v>44555</v>
      </c>
      <c r="AD516" s="65">
        <v>1251</v>
      </c>
      <c r="AF516" s="17" t="s">
        <v>295</v>
      </c>
    </row>
    <row r="517" s="17" customFormat="1" hidden="1" spans="1:32">
      <c r="A517" s="17" t="s">
        <v>34</v>
      </c>
      <c r="B517" s="19">
        <v>747</v>
      </c>
      <c r="C517" s="64">
        <v>44544</v>
      </c>
      <c r="D517" s="17" t="s">
        <v>52</v>
      </c>
      <c r="E517" s="17" t="s">
        <v>291</v>
      </c>
      <c r="F517" s="17" t="s">
        <v>54</v>
      </c>
      <c r="H517" s="65">
        <v>1.2311</v>
      </c>
      <c r="I517" s="65"/>
      <c r="J517" s="17" t="s">
        <v>82</v>
      </c>
      <c r="K517" s="115">
        <v>507</v>
      </c>
      <c r="L517" s="115">
        <v>81</v>
      </c>
      <c r="M517" s="17" t="s">
        <v>292</v>
      </c>
      <c r="N517" s="17" t="s">
        <v>66</v>
      </c>
      <c r="O517" s="19" t="s">
        <v>141</v>
      </c>
      <c r="P517" s="99">
        <v>1289.5038</v>
      </c>
      <c r="Q517" s="17">
        <v>1362</v>
      </c>
      <c r="R517" s="95">
        <f t="shared" si="28"/>
        <v>-72.4962</v>
      </c>
      <c r="S517" s="17">
        <v>1250</v>
      </c>
      <c r="T517" s="19" t="s">
        <v>42</v>
      </c>
      <c r="U517" s="17" t="s">
        <v>293</v>
      </c>
      <c r="V517" s="64">
        <v>44545</v>
      </c>
      <c r="W517" s="17" t="s">
        <v>69</v>
      </c>
      <c r="Y517" s="68">
        <v>44531</v>
      </c>
      <c r="Z517" s="17" t="s">
        <v>191</v>
      </c>
      <c r="AA517" s="17" t="s">
        <v>46</v>
      </c>
      <c r="AB517" s="17" t="s">
        <v>296</v>
      </c>
      <c r="AC517" s="66">
        <v>44555</v>
      </c>
      <c r="AD517" s="65">
        <v>1252</v>
      </c>
      <c r="AF517" s="17" t="s">
        <v>295</v>
      </c>
    </row>
    <row r="518" s="17" customFormat="1" hidden="1" spans="1:32">
      <c r="A518" s="17" t="s">
        <v>34</v>
      </c>
      <c r="B518" s="19">
        <v>747</v>
      </c>
      <c r="C518" s="64">
        <v>44544</v>
      </c>
      <c r="D518" s="17" t="s">
        <v>52</v>
      </c>
      <c r="E518" s="17" t="s">
        <v>291</v>
      </c>
      <c r="F518" s="17" t="s">
        <v>54</v>
      </c>
      <c r="H518" s="65">
        <v>1.2311</v>
      </c>
      <c r="I518" s="65"/>
      <c r="J518" s="17" t="s">
        <v>82</v>
      </c>
      <c r="K518" s="115">
        <v>557</v>
      </c>
      <c r="L518" s="115">
        <v>81</v>
      </c>
      <c r="M518" s="17" t="s">
        <v>292</v>
      </c>
      <c r="N518" s="17" t="s">
        <v>66</v>
      </c>
      <c r="O518" s="19" t="s">
        <v>141</v>
      </c>
      <c r="P518" s="99">
        <v>1416.6738</v>
      </c>
      <c r="Q518" s="17">
        <v>1506</v>
      </c>
      <c r="R518" s="95">
        <f t="shared" si="28"/>
        <v>-89.3262000000002</v>
      </c>
      <c r="S518" s="17">
        <v>1250</v>
      </c>
      <c r="T518" s="19" t="s">
        <v>42</v>
      </c>
      <c r="U518" s="17" t="s">
        <v>293</v>
      </c>
      <c r="V518" s="64">
        <v>44545</v>
      </c>
      <c r="W518" s="17" t="s">
        <v>69</v>
      </c>
      <c r="Y518" s="68">
        <v>44531</v>
      </c>
      <c r="Z518" s="17" t="s">
        <v>191</v>
      </c>
      <c r="AA518" s="17" t="s">
        <v>46</v>
      </c>
      <c r="AB518" s="17" t="s">
        <v>294</v>
      </c>
      <c r="AC518" s="66">
        <v>44555</v>
      </c>
      <c r="AD518" s="65">
        <v>1251</v>
      </c>
      <c r="AF518" s="17" t="s">
        <v>295</v>
      </c>
    </row>
    <row r="519" s="17" customFormat="1" hidden="1" spans="1:32">
      <c r="A519" s="17" t="s">
        <v>34</v>
      </c>
      <c r="B519" s="19">
        <v>747</v>
      </c>
      <c r="C519" s="64">
        <v>44544</v>
      </c>
      <c r="D519" s="17" t="s">
        <v>52</v>
      </c>
      <c r="E519" s="17" t="s">
        <v>291</v>
      </c>
      <c r="F519" s="17" t="s">
        <v>54</v>
      </c>
      <c r="H519" s="65">
        <v>1.2311</v>
      </c>
      <c r="I519" s="65"/>
      <c r="J519" s="17" t="s">
        <v>82</v>
      </c>
      <c r="K519" s="115">
        <v>607</v>
      </c>
      <c r="L519" s="115">
        <v>81</v>
      </c>
      <c r="M519" s="17" t="s">
        <v>292</v>
      </c>
      <c r="N519" s="17" t="s">
        <v>66</v>
      </c>
      <c r="O519" s="19" t="s">
        <v>141</v>
      </c>
      <c r="P519" s="99">
        <v>1543.8438</v>
      </c>
      <c r="Q519" s="17">
        <v>1636</v>
      </c>
      <c r="R519" s="95">
        <f t="shared" si="28"/>
        <v>-92.1562000000001</v>
      </c>
      <c r="S519" s="17">
        <v>1250</v>
      </c>
      <c r="T519" s="19" t="s">
        <v>42</v>
      </c>
      <c r="U519" s="17" t="s">
        <v>293</v>
      </c>
      <c r="V519" s="64">
        <v>44545</v>
      </c>
      <c r="W519" s="17" t="s">
        <v>69</v>
      </c>
      <c r="Y519" s="68">
        <v>44531</v>
      </c>
      <c r="Z519" s="17" t="s">
        <v>191</v>
      </c>
      <c r="AA519" s="17" t="s">
        <v>46</v>
      </c>
      <c r="AB519" s="17" t="s">
        <v>294</v>
      </c>
      <c r="AC519" s="66">
        <v>44555</v>
      </c>
      <c r="AD519" s="65">
        <v>1251</v>
      </c>
      <c r="AF519" s="17" t="s">
        <v>295</v>
      </c>
    </row>
    <row r="520" s="17" customFormat="1" hidden="1" spans="1:32">
      <c r="A520" s="17" t="s">
        <v>34</v>
      </c>
      <c r="B520" s="19">
        <v>747</v>
      </c>
      <c r="C520" s="64">
        <v>44544</v>
      </c>
      <c r="D520" s="17" t="s">
        <v>52</v>
      </c>
      <c r="E520" s="17" t="s">
        <v>291</v>
      </c>
      <c r="F520" s="17" t="s">
        <v>54</v>
      </c>
      <c r="H520" s="65">
        <v>1.2311</v>
      </c>
      <c r="I520" s="65"/>
      <c r="J520" s="17" t="s">
        <v>82</v>
      </c>
      <c r="K520" s="115">
        <v>207</v>
      </c>
      <c r="L520" s="115">
        <v>106</v>
      </c>
      <c r="M520" s="17" t="s">
        <v>292</v>
      </c>
      <c r="N520" s="17" t="s">
        <v>66</v>
      </c>
      <c r="O520" s="19" t="s">
        <v>141</v>
      </c>
      <c r="P520" s="99">
        <v>688.9788</v>
      </c>
      <c r="Q520" s="17">
        <v>755</v>
      </c>
      <c r="R520" s="95">
        <f t="shared" ref="R520:R551" si="29">+P520-Q520</f>
        <v>-66.0212</v>
      </c>
      <c r="S520" s="17">
        <v>1250</v>
      </c>
      <c r="T520" s="19" t="s">
        <v>42</v>
      </c>
      <c r="U520" s="17" t="s">
        <v>293</v>
      </c>
      <c r="V520" s="64">
        <v>44545</v>
      </c>
      <c r="W520" s="17" t="s">
        <v>69</v>
      </c>
      <c r="Y520" s="68">
        <v>44531</v>
      </c>
      <c r="Z520" s="17" t="s">
        <v>191</v>
      </c>
      <c r="AA520" s="17" t="s">
        <v>46</v>
      </c>
      <c r="AB520" s="17" t="s">
        <v>294</v>
      </c>
      <c r="AC520" s="66">
        <v>44555</v>
      </c>
      <c r="AD520" s="65">
        <v>1251</v>
      </c>
      <c r="AF520" s="17" t="s">
        <v>295</v>
      </c>
    </row>
    <row r="521" s="17" customFormat="1" hidden="1" spans="1:32">
      <c r="A521" s="17" t="s">
        <v>34</v>
      </c>
      <c r="B521" s="19">
        <v>747</v>
      </c>
      <c r="C521" s="64">
        <v>44544</v>
      </c>
      <c r="D521" s="17" t="s">
        <v>52</v>
      </c>
      <c r="E521" s="17" t="s">
        <v>291</v>
      </c>
      <c r="F521" s="17" t="s">
        <v>54</v>
      </c>
      <c r="H521" s="65">
        <v>1.2311</v>
      </c>
      <c r="I521" s="65"/>
      <c r="J521" s="17" t="s">
        <v>82</v>
      </c>
      <c r="K521" s="115">
        <v>257</v>
      </c>
      <c r="L521" s="115">
        <v>106</v>
      </c>
      <c r="M521" s="17" t="s">
        <v>292</v>
      </c>
      <c r="N521" s="17" t="s">
        <v>66</v>
      </c>
      <c r="O521" s="19" t="s">
        <v>141</v>
      </c>
      <c r="P521" s="99">
        <v>855.3988</v>
      </c>
      <c r="Q521" s="17">
        <v>927</v>
      </c>
      <c r="R521" s="95">
        <f t="shared" si="29"/>
        <v>-71.6012000000001</v>
      </c>
      <c r="S521" s="17">
        <v>1250</v>
      </c>
      <c r="T521" s="19" t="s">
        <v>42</v>
      </c>
      <c r="U521" s="17" t="s">
        <v>293</v>
      </c>
      <c r="V521" s="64">
        <v>44545</v>
      </c>
      <c r="W521" s="17" t="s">
        <v>69</v>
      </c>
      <c r="Y521" s="68">
        <v>44531</v>
      </c>
      <c r="Z521" s="17" t="s">
        <v>191</v>
      </c>
      <c r="AA521" s="17" t="s">
        <v>46</v>
      </c>
      <c r="AB521" s="17" t="s">
        <v>294</v>
      </c>
      <c r="AC521" s="66">
        <v>44555</v>
      </c>
      <c r="AD521" s="65">
        <v>1251</v>
      </c>
      <c r="AF521" s="17" t="s">
        <v>295</v>
      </c>
    </row>
    <row r="522" s="17" customFormat="1" hidden="1" spans="1:32">
      <c r="A522" s="17" t="s">
        <v>34</v>
      </c>
      <c r="B522" s="19">
        <v>747</v>
      </c>
      <c r="C522" s="64">
        <v>44544</v>
      </c>
      <c r="D522" s="17" t="s">
        <v>52</v>
      </c>
      <c r="E522" s="17" t="s">
        <v>291</v>
      </c>
      <c r="F522" s="17" t="s">
        <v>54</v>
      </c>
      <c r="H522" s="65">
        <v>1.2311</v>
      </c>
      <c r="I522" s="65"/>
      <c r="J522" s="17" t="s">
        <v>82</v>
      </c>
      <c r="K522" s="115">
        <v>307</v>
      </c>
      <c r="L522" s="115">
        <v>106</v>
      </c>
      <c r="M522" s="17" t="s">
        <v>292</v>
      </c>
      <c r="N522" s="17" t="s">
        <v>66</v>
      </c>
      <c r="O522" s="19" t="s">
        <v>141</v>
      </c>
      <c r="P522" s="99">
        <v>1021.8188</v>
      </c>
      <c r="Q522" s="17">
        <v>1092</v>
      </c>
      <c r="R522" s="95">
        <f t="shared" si="29"/>
        <v>-70.1812000000001</v>
      </c>
      <c r="S522" s="17">
        <v>1250</v>
      </c>
      <c r="T522" s="19" t="s">
        <v>42</v>
      </c>
      <c r="U522" s="17" t="s">
        <v>293</v>
      </c>
      <c r="V522" s="64">
        <v>44545</v>
      </c>
      <c r="W522" s="17" t="s">
        <v>69</v>
      </c>
      <c r="Y522" s="68">
        <v>44531</v>
      </c>
      <c r="Z522" s="17" t="s">
        <v>191</v>
      </c>
      <c r="AA522" s="17" t="s">
        <v>46</v>
      </c>
      <c r="AB522" s="17" t="s">
        <v>294</v>
      </c>
      <c r="AC522" s="66">
        <v>44555</v>
      </c>
      <c r="AD522" s="65">
        <v>1251</v>
      </c>
      <c r="AF522" s="17" t="s">
        <v>295</v>
      </c>
    </row>
    <row r="523" s="17" customFormat="1" hidden="1" spans="1:32">
      <c r="A523" s="17" t="s">
        <v>34</v>
      </c>
      <c r="B523" s="19">
        <v>747</v>
      </c>
      <c r="C523" s="64">
        <v>44544</v>
      </c>
      <c r="D523" s="17" t="s">
        <v>52</v>
      </c>
      <c r="E523" s="17" t="s">
        <v>291</v>
      </c>
      <c r="F523" s="17" t="s">
        <v>54</v>
      </c>
      <c r="H523" s="65">
        <v>1.2311</v>
      </c>
      <c r="I523" s="65"/>
      <c r="J523" s="17" t="s">
        <v>82</v>
      </c>
      <c r="K523" s="115">
        <v>357</v>
      </c>
      <c r="L523" s="115">
        <v>106</v>
      </c>
      <c r="M523" s="17" t="s">
        <v>292</v>
      </c>
      <c r="N523" s="17" t="s">
        <v>66</v>
      </c>
      <c r="O523" s="19" t="s">
        <v>141</v>
      </c>
      <c r="P523" s="99">
        <v>1188.2388</v>
      </c>
      <c r="Q523" s="17">
        <v>1278</v>
      </c>
      <c r="R523" s="95">
        <f t="shared" si="29"/>
        <v>-89.7612000000001</v>
      </c>
      <c r="S523" s="17">
        <v>1250</v>
      </c>
      <c r="T523" s="19" t="s">
        <v>42</v>
      </c>
      <c r="U523" s="17" t="s">
        <v>293</v>
      </c>
      <c r="V523" s="64">
        <v>44545</v>
      </c>
      <c r="W523" s="17" t="s">
        <v>69</v>
      </c>
      <c r="Y523" s="68">
        <v>44531</v>
      </c>
      <c r="Z523" s="17" t="s">
        <v>191</v>
      </c>
      <c r="AA523" s="17" t="s">
        <v>46</v>
      </c>
      <c r="AB523" s="17" t="s">
        <v>294</v>
      </c>
      <c r="AC523" s="66">
        <v>44555</v>
      </c>
      <c r="AD523" s="65">
        <v>1251</v>
      </c>
      <c r="AF523" s="17" t="s">
        <v>295</v>
      </c>
    </row>
    <row r="524" s="17" customFormat="1" hidden="1" spans="1:32">
      <c r="A524" s="17" t="s">
        <v>34</v>
      </c>
      <c r="B524" s="19">
        <v>747</v>
      </c>
      <c r="C524" s="64">
        <v>44544</v>
      </c>
      <c r="D524" s="17" t="s">
        <v>52</v>
      </c>
      <c r="E524" s="17" t="s">
        <v>291</v>
      </c>
      <c r="F524" s="17" t="s">
        <v>54</v>
      </c>
      <c r="H524" s="65">
        <v>1.2311</v>
      </c>
      <c r="I524" s="65"/>
      <c r="J524" s="17" t="s">
        <v>82</v>
      </c>
      <c r="K524" s="115">
        <v>407</v>
      </c>
      <c r="L524" s="115">
        <v>106</v>
      </c>
      <c r="M524" s="17" t="s">
        <v>292</v>
      </c>
      <c r="N524" s="17" t="s">
        <v>66</v>
      </c>
      <c r="O524" s="19" t="s">
        <v>141</v>
      </c>
      <c r="P524" s="99">
        <v>1354.6588</v>
      </c>
      <c r="Q524" s="17">
        <v>1463</v>
      </c>
      <c r="R524" s="95">
        <f t="shared" si="29"/>
        <v>-108.3412</v>
      </c>
      <c r="S524" s="17">
        <v>1250</v>
      </c>
      <c r="T524" s="19" t="s">
        <v>42</v>
      </c>
      <c r="U524" s="17" t="s">
        <v>293</v>
      </c>
      <c r="V524" s="64">
        <v>44545</v>
      </c>
      <c r="W524" s="17" t="s">
        <v>69</v>
      </c>
      <c r="Y524" s="68">
        <v>44531</v>
      </c>
      <c r="Z524" s="17" t="s">
        <v>191</v>
      </c>
      <c r="AA524" s="17" t="s">
        <v>46</v>
      </c>
      <c r="AB524" s="17" t="s">
        <v>294</v>
      </c>
      <c r="AC524" s="66">
        <v>44555</v>
      </c>
      <c r="AD524" s="65">
        <v>1251</v>
      </c>
      <c r="AF524" s="17" t="s">
        <v>295</v>
      </c>
    </row>
    <row r="525" s="17" customFormat="1" hidden="1" spans="1:32">
      <c r="A525" s="17" t="s">
        <v>34</v>
      </c>
      <c r="B525" s="19">
        <v>747</v>
      </c>
      <c r="C525" s="64">
        <v>44544</v>
      </c>
      <c r="D525" s="17" t="s">
        <v>52</v>
      </c>
      <c r="E525" s="17" t="s">
        <v>291</v>
      </c>
      <c r="F525" s="17" t="s">
        <v>54</v>
      </c>
      <c r="H525" s="65">
        <v>1.2311</v>
      </c>
      <c r="I525" s="65"/>
      <c r="J525" s="17" t="s">
        <v>82</v>
      </c>
      <c r="K525" s="115">
        <v>457</v>
      </c>
      <c r="L525" s="115">
        <v>106</v>
      </c>
      <c r="M525" s="17" t="s">
        <v>292</v>
      </c>
      <c r="N525" s="17" t="s">
        <v>66</v>
      </c>
      <c r="O525" s="19" t="s">
        <v>141</v>
      </c>
      <c r="P525" s="99">
        <v>1521.0788</v>
      </c>
      <c r="Q525" s="17">
        <v>1660</v>
      </c>
      <c r="R525" s="95">
        <f t="shared" si="29"/>
        <v>-138.9212</v>
      </c>
      <c r="S525" s="17">
        <v>1250</v>
      </c>
      <c r="T525" s="19" t="s">
        <v>42</v>
      </c>
      <c r="U525" s="17" t="s">
        <v>293</v>
      </c>
      <c r="V525" s="64">
        <v>44545</v>
      </c>
      <c r="W525" s="17" t="s">
        <v>69</v>
      </c>
      <c r="Y525" s="68">
        <v>44531</v>
      </c>
      <c r="Z525" s="17" t="s">
        <v>191</v>
      </c>
      <c r="AA525" s="17" t="s">
        <v>46</v>
      </c>
      <c r="AB525" s="17" t="s">
        <v>296</v>
      </c>
      <c r="AC525" s="66">
        <v>44555</v>
      </c>
      <c r="AD525" s="65">
        <v>1252</v>
      </c>
      <c r="AF525" s="17" t="s">
        <v>295</v>
      </c>
    </row>
    <row r="526" s="17" customFormat="1" hidden="1" spans="1:32">
      <c r="A526" s="17" t="s">
        <v>34</v>
      </c>
      <c r="B526" s="19">
        <v>747</v>
      </c>
      <c r="C526" s="64">
        <v>44544</v>
      </c>
      <c r="D526" s="17" t="s">
        <v>52</v>
      </c>
      <c r="E526" s="17" t="s">
        <v>291</v>
      </c>
      <c r="F526" s="17" t="s">
        <v>54</v>
      </c>
      <c r="H526" s="65">
        <v>1.2311</v>
      </c>
      <c r="I526" s="65"/>
      <c r="J526" s="17" t="s">
        <v>82</v>
      </c>
      <c r="K526" s="115">
        <v>507</v>
      </c>
      <c r="L526" s="115">
        <v>106</v>
      </c>
      <c r="M526" s="17" t="s">
        <v>292</v>
      </c>
      <c r="N526" s="17" t="s">
        <v>66</v>
      </c>
      <c r="O526" s="19" t="s">
        <v>141</v>
      </c>
      <c r="P526" s="99">
        <v>1687.4988</v>
      </c>
      <c r="Q526" s="17">
        <v>1793</v>
      </c>
      <c r="R526" s="95">
        <f t="shared" si="29"/>
        <v>-105.5012</v>
      </c>
      <c r="S526" s="17">
        <v>1250</v>
      </c>
      <c r="T526" s="19" t="s">
        <v>42</v>
      </c>
      <c r="U526" s="17" t="s">
        <v>293</v>
      </c>
      <c r="V526" s="64">
        <v>44545</v>
      </c>
      <c r="W526" s="17" t="s">
        <v>69</v>
      </c>
      <c r="Y526" s="68">
        <v>44531</v>
      </c>
      <c r="Z526" s="17" t="s">
        <v>191</v>
      </c>
      <c r="AA526" s="17" t="s">
        <v>46</v>
      </c>
      <c r="AB526" s="17" t="s">
        <v>296</v>
      </c>
      <c r="AC526" s="66">
        <v>44555</v>
      </c>
      <c r="AD526" s="65">
        <v>1252</v>
      </c>
      <c r="AF526" s="17" t="s">
        <v>295</v>
      </c>
    </row>
    <row r="527" s="17" customFormat="1" hidden="1" spans="1:32">
      <c r="A527" s="17" t="s">
        <v>34</v>
      </c>
      <c r="B527" s="19">
        <v>747</v>
      </c>
      <c r="C527" s="64">
        <v>44544</v>
      </c>
      <c r="D527" s="17" t="s">
        <v>52</v>
      </c>
      <c r="E527" s="17" t="s">
        <v>291</v>
      </c>
      <c r="F527" s="17" t="s">
        <v>54</v>
      </c>
      <c r="H527" s="65">
        <v>1.2311</v>
      </c>
      <c r="I527" s="65"/>
      <c r="J527" s="17" t="s">
        <v>82</v>
      </c>
      <c r="K527" s="115">
        <v>557</v>
      </c>
      <c r="L527" s="115">
        <v>106</v>
      </c>
      <c r="M527" s="17" t="s">
        <v>292</v>
      </c>
      <c r="N527" s="17" t="s">
        <v>66</v>
      </c>
      <c r="O527" s="19" t="s">
        <v>141</v>
      </c>
      <c r="P527" s="99">
        <v>1853.9188</v>
      </c>
      <c r="Q527" s="17">
        <v>1969</v>
      </c>
      <c r="R527" s="95">
        <f t="shared" si="29"/>
        <v>-115.0812</v>
      </c>
      <c r="S527" s="17">
        <v>1250</v>
      </c>
      <c r="T527" s="19" t="s">
        <v>42</v>
      </c>
      <c r="U527" s="17" t="s">
        <v>293</v>
      </c>
      <c r="V527" s="64">
        <v>44545</v>
      </c>
      <c r="W527" s="17" t="s">
        <v>69</v>
      </c>
      <c r="Y527" s="68">
        <v>44531</v>
      </c>
      <c r="Z527" s="17" t="s">
        <v>191</v>
      </c>
      <c r="AA527" s="17" t="s">
        <v>46</v>
      </c>
      <c r="AB527" s="17" t="s">
        <v>294</v>
      </c>
      <c r="AC527" s="66">
        <v>44555</v>
      </c>
      <c r="AD527" s="65">
        <v>1251</v>
      </c>
      <c r="AF527" s="17" t="s">
        <v>295</v>
      </c>
    </row>
    <row r="528" s="17" customFormat="1" hidden="1" spans="1:32">
      <c r="A528" s="17" t="s">
        <v>34</v>
      </c>
      <c r="B528" s="19">
        <v>747</v>
      </c>
      <c r="C528" s="64">
        <v>44544</v>
      </c>
      <c r="D528" s="17" t="s">
        <v>52</v>
      </c>
      <c r="E528" s="17" t="s">
        <v>291</v>
      </c>
      <c r="F528" s="17" t="s">
        <v>54</v>
      </c>
      <c r="H528" s="65">
        <v>1.2311</v>
      </c>
      <c r="I528" s="65"/>
      <c r="J528" s="17" t="s">
        <v>82</v>
      </c>
      <c r="K528" s="115">
        <v>607</v>
      </c>
      <c r="L528" s="115">
        <v>106</v>
      </c>
      <c r="M528" s="17" t="s">
        <v>292</v>
      </c>
      <c r="N528" s="17" t="s">
        <v>66</v>
      </c>
      <c r="O528" s="19" t="s">
        <v>141</v>
      </c>
      <c r="P528" s="99">
        <v>2020.3388</v>
      </c>
      <c r="Q528" s="17">
        <v>2138</v>
      </c>
      <c r="R528" s="95">
        <f t="shared" si="29"/>
        <v>-117.6612</v>
      </c>
      <c r="S528" s="17">
        <v>1250</v>
      </c>
      <c r="T528" s="19" t="s">
        <v>42</v>
      </c>
      <c r="U528" s="17" t="s">
        <v>293</v>
      </c>
      <c r="V528" s="64">
        <v>44545</v>
      </c>
      <c r="W528" s="17" t="s">
        <v>69</v>
      </c>
      <c r="Y528" s="68">
        <v>44531</v>
      </c>
      <c r="Z528" s="17" t="s">
        <v>191</v>
      </c>
      <c r="AA528" s="17" t="s">
        <v>46</v>
      </c>
      <c r="AB528" s="17" t="s">
        <v>296</v>
      </c>
      <c r="AC528" s="66">
        <v>44555</v>
      </c>
      <c r="AD528" s="65">
        <v>1252</v>
      </c>
      <c r="AF528" s="17" t="s">
        <v>295</v>
      </c>
    </row>
    <row r="529" s="17" customFormat="1" hidden="1" spans="1:35">
      <c r="A529" s="17" t="s">
        <v>34</v>
      </c>
      <c r="B529" s="19">
        <v>748</v>
      </c>
      <c r="C529" s="64">
        <v>44545</v>
      </c>
      <c r="D529" s="17" t="s">
        <v>52</v>
      </c>
      <c r="E529" s="17" t="s">
        <v>187</v>
      </c>
      <c r="F529" s="17" t="s">
        <v>54</v>
      </c>
      <c r="H529" s="65">
        <v>1.2311</v>
      </c>
      <c r="I529" s="65"/>
      <c r="J529" s="17" t="s">
        <v>39</v>
      </c>
      <c r="K529" s="117">
        <v>25</v>
      </c>
      <c r="M529" s="17">
        <v>4500</v>
      </c>
      <c r="N529" s="17" t="s">
        <v>66</v>
      </c>
      <c r="O529" s="19" t="s">
        <v>141</v>
      </c>
      <c r="P529" s="118">
        <v>347</v>
      </c>
      <c r="Q529" s="17">
        <v>72</v>
      </c>
      <c r="R529" s="95">
        <f t="shared" si="29"/>
        <v>275</v>
      </c>
      <c r="S529" s="17">
        <f t="shared" ref="S529:S545" si="30">1615-50</f>
        <v>1565</v>
      </c>
      <c r="T529" s="19" t="s">
        <v>42</v>
      </c>
      <c r="U529" s="17" t="s">
        <v>297</v>
      </c>
      <c r="V529" s="64">
        <v>44546</v>
      </c>
      <c r="W529" s="17" t="s">
        <v>69</v>
      </c>
      <c r="Y529" s="68">
        <v>44562</v>
      </c>
      <c r="Z529" s="17" t="s">
        <v>191</v>
      </c>
      <c r="AA529" s="17" t="s">
        <v>46</v>
      </c>
      <c r="AB529" s="17" t="s">
        <v>290</v>
      </c>
      <c r="AC529" s="66">
        <v>44561</v>
      </c>
      <c r="AD529" s="65">
        <v>1255</v>
      </c>
      <c r="AE529" s="17" t="s">
        <v>74</v>
      </c>
      <c r="AF529" s="17" t="s">
        <v>258</v>
      </c>
      <c r="AH529" s="17" t="s">
        <v>298</v>
      </c>
      <c r="AI529" s="95">
        <f t="shared" ref="AI529:AI545" si="31">142178/1000</f>
        <v>142.178</v>
      </c>
    </row>
    <row r="530" s="17" customFormat="1" hidden="1" spans="1:35">
      <c r="A530" s="17" t="s">
        <v>34</v>
      </c>
      <c r="B530" s="19">
        <v>748</v>
      </c>
      <c r="C530" s="64">
        <v>44545</v>
      </c>
      <c r="D530" s="17" t="s">
        <v>52</v>
      </c>
      <c r="E530" s="17" t="s">
        <v>187</v>
      </c>
      <c r="F530" s="17" t="s">
        <v>54</v>
      </c>
      <c r="H530" s="65">
        <v>1.2311</v>
      </c>
      <c r="I530" s="65"/>
      <c r="J530" s="17" t="s">
        <v>39</v>
      </c>
      <c r="K530" s="96">
        <v>30</v>
      </c>
      <c r="M530" s="17">
        <v>4500</v>
      </c>
      <c r="N530" s="17" t="s">
        <v>66</v>
      </c>
      <c r="O530" s="19" t="s">
        <v>141</v>
      </c>
      <c r="P530" s="107">
        <v>250</v>
      </c>
      <c r="Q530" s="17">
        <v>69</v>
      </c>
      <c r="R530" s="95">
        <f t="shared" si="29"/>
        <v>181</v>
      </c>
      <c r="S530" s="17">
        <f t="shared" si="30"/>
        <v>1565</v>
      </c>
      <c r="T530" s="19" t="s">
        <v>42</v>
      </c>
      <c r="U530" s="17" t="s">
        <v>297</v>
      </c>
      <c r="V530" s="64">
        <v>44546</v>
      </c>
      <c r="W530" s="17" t="s">
        <v>69</v>
      </c>
      <c r="Y530" s="68">
        <v>44562</v>
      </c>
      <c r="Z530" s="17" t="s">
        <v>191</v>
      </c>
      <c r="AA530" s="17" t="s">
        <v>46</v>
      </c>
      <c r="AB530" s="17" t="s">
        <v>290</v>
      </c>
      <c r="AC530" s="66">
        <v>44561</v>
      </c>
      <c r="AD530" s="65">
        <v>1255</v>
      </c>
      <c r="AE530" s="17" t="s">
        <v>74</v>
      </c>
      <c r="AF530" s="17" t="s">
        <v>258</v>
      </c>
      <c r="AH530" s="17" t="s">
        <v>298</v>
      </c>
      <c r="AI530" s="95">
        <f t="shared" si="31"/>
        <v>142.178</v>
      </c>
    </row>
    <row r="531" s="17" customFormat="1" hidden="1" spans="1:35">
      <c r="A531" s="17" t="s">
        <v>34</v>
      </c>
      <c r="B531" s="19">
        <v>748</v>
      </c>
      <c r="C531" s="64">
        <v>44545</v>
      </c>
      <c r="D531" s="17" t="s">
        <v>52</v>
      </c>
      <c r="E531" s="17" t="s">
        <v>187</v>
      </c>
      <c r="F531" s="17" t="s">
        <v>54</v>
      </c>
      <c r="H531" s="65">
        <v>1.2311</v>
      </c>
      <c r="I531" s="65"/>
      <c r="J531" s="17" t="s">
        <v>39</v>
      </c>
      <c r="K531" s="96">
        <v>35</v>
      </c>
      <c r="M531" s="17">
        <v>4500</v>
      </c>
      <c r="N531" s="17" t="s">
        <v>66</v>
      </c>
      <c r="O531" s="19" t="s">
        <v>141</v>
      </c>
      <c r="P531" s="107">
        <v>340</v>
      </c>
      <c r="Q531" s="17">
        <v>94</v>
      </c>
      <c r="R531" s="95">
        <f t="shared" si="29"/>
        <v>246</v>
      </c>
      <c r="S531" s="17">
        <f t="shared" si="30"/>
        <v>1565</v>
      </c>
      <c r="T531" s="19" t="s">
        <v>42</v>
      </c>
      <c r="U531" s="17" t="s">
        <v>297</v>
      </c>
      <c r="V531" s="64">
        <v>44546</v>
      </c>
      <c r="W531" s="17" t="s">
        <v>69</v>
      </c>
      <c r="Y531" s="68">
        <v>44562</v>
      </c>
      <c r="Z531" s="17" t="s">
        <v>191</v>
      </c>
      <c r="AA531" s="17" t="s">
        <v>46</v>
      </c>
      <c r="AB531" s="17" t="s">
        <v>290</v>
      </c>
      <c r="AC531" s="66">
        <v>44561</v>
      </c>
      <c r="AD531" s="65">
        <v>1255</v>
      </c>
      <c r="AE531" s="17" t="s">
        <v>74</v>
      </c>
      <c r="AF531" s="17" t="s">
        <v>258</v>
      </c>
      <c r="AH531" s="17" t="s">
        <v>298</v>
      </c>
      <c r="AI531" s="95">
        <f t="shared" si="31"/>
        <v>142.178</v>
      </c>
    </row>
    <row r="532" s="17" customFormat="1" hidden="1" spans="1:35">
      <c r="A532" s="17" t="s">
        <v>34</v>
      </c>
      <c r="B532" s="19">
        <v>748</v>
      </c>
      <c r="C532" s="64">
        <v>44545</v>
      </c>
      <c r="D532" s="17" t="s">
        <v>52</v>
      </c>
      <c r="E532" s="17" t="s">
        <v>187</v>
      </c>
      <c r="F532" s="17" t="s">
        <v>54</v>
      </c>
      <c r="H532" s="65">
        <v>1.2311</v>
      </c>
      <c r="I532" s="65"/>
      <c r="J532" s="17" t="s">
        <v>39</v>
      </c>
      <c r="K532" s="96">
        <v>40</v>
      </c>
      <c r="M532" s="17">
        <v>4500</v>
      </c>
      <c r="N532" s="17" t="s">
        <v>66</v>
      </c>
      <c r="O532" s="19" t="s">
        <v>141</v>
      </c>
      <c r="P532" s="107">
        <v>355</v>
      </c>
      <c r="Q532" s="17">
        <v>121</v>
      </c>
      <c r="R532" s="95">
        <f t="shared" si="29"/>
        <v>234</v>
      </c>
      <c r="S532" s="17">
        <f t="shared" si="30"/>
        <v>1565</v>
      </c>
      <c r="T532" s="19" t="s">
        <v>42</v>
      </c>
      <c r="U532" s="17" t="s">
        <v>297</v>
      </c>
      <c r="V532" s="64">
        <v>44546</v>
      </c>
      <c r="W532" s="17" t="s">
        <v>69</v>
      </c>
      <c r="Y532" s="68">
        <v>44562</v>
      </c>
      <c r="Z532" s="17" t="s">
        <v>191</v>
      </c>
      <c r="AA532" s="17" t="s">
        <v>46</v>
      </c>
      <c r="AB532" s="17" t="s">
        <v>290</v>
      </c>
      <c r="AC532" s="66">
        <v>44561</v>
      </c>
      <c r="AD532" s="65">
        <v>1255</v>
      </c>
      <c r="AE532" s="17" t="s">
        <v>74</v>
      </c>
      <c r="AF532" s="17" t="s">
        <v>258</v>
      </c>
      <c r="AH532" s="17" t="s">
        <v>298</v>
      </c>
      <c r="AI532" s="95">
        <f t="shared" si="31"/>
        <v>142.178</v>
      </c>
    </row>
    <row r="533" s="17" customFormat="1" hidden="1" spans="1:35">
      <c r="A533" s="17" t="s">
        <v>34</v>
      </c>
      <c r="B533" s="19">
        <v>748</v>
      </c>
      <c r="C533" s="64">
        <v>44545</v>
      </c>
      <c r="D533" s="17" t="s">
        <v>52</v>
      </c>
      <c r="E533" s="17" t="s">
        <v>187</v>
      </c>
      <c r="F533" s="17" t="s">
        <v>54</v>
      </c>
      <c r="H533" s="65">
        <v>1.2311</v>
      </c>
      <c r="I533" s="65"/>
      <c r="J533" s="17" t="s">
        <v>39</v>
      </c>
      <c r="K533" s="96">
        <v>45</v>
      </c>
      <c r="M533" s="17">
        <v>4500</v>
      </c>
      <c r="N533" s="17" t="s">
        <v>66</v>
      </c>
      <c r="O533" s="19" t="s">
        <v>141</v>
      </c>
      <c r="P533" s="107">
        <v>281</v>
      </c>
      <c r="Q533" s="17">
        <v>152</v>
      </c>
      <c r="R533" s="95">
        <f t="shared" si="29"/>
        <v>129</v>
      </c>
      <c r="S533" s="17">
        <f t="shared" si="30"/>
        <v>1565</v>
      </c>
      <c r="T533" s="19" t="s">
        <v>42</v>
      </c>
      <c r="U533" s="17" t="s">
        <v>297</v>
      </c>
      <c r="V533" s="64">
        <v>44546</v>
      </c>
      <c r="W533" s="17" t="s">
        <v>69</v>
      </c>
      <c r="Y533" s="68">
        <v>44562</v>
      </c>
      <c r="Z533" s="17" t="s">
        <v>191</v>
      </c>
      <c r="AA533" s="17" t="s">
        <v>46</v>
      </c>
      <c r="AB533" s="17" t="s">
        <v>290</v>
      </c>
      <c r="AC533" s="66">
        <v>44561</v>
      </c>
      <c r="AD533" s="65">
        <v>1255</v>
      </c>
      <c r="AE533" s="17" t="s">
        <v>74</v>
      </c>
      <c r="AF533" s="17" t="s">
        <v>258</v>
      </c>
      <c r="AH533" s="17" t="s">
        <v>298</v>
      </c>
      <c r="AI533" s="95">
        <f t="shared" si="31"/>
        <v>142.178</v>
      </c>
    </row>
    <row r="534" s="17" customFormat="1" hidden="1" spans="1:35">
      <c r="A534" s="17" t="s">
        <v>34</v>
      </c>
      <c r="B534" s="19">
        <v>748</v>
      </c>
      <c r="C534" s="64">
        <v>44545</v>
      </c>
      <c r="D534" s="17" t="s">
        <v>52</v>
      </c>
      <c r="E534" s="17" t="s">
        <v>187</v>
      </c>
      <c r="F534" s="17" t="s">
        <v>54</v>
      </c>
      <c r="H534" s="65">
        <v>1.2311</v>
      </c>
      <c r="I534" s="65"/>
      <c r="J534" s="17" t="s">
        <v>39</v>
      </c>
      <c r="K534" s="96">
        <v>50</v>
      </c>
      <c r="M534" s="17">
        <v>4500</v>
      </c>
      <c r="N534" s="17" t="s">
        <v>66</v>
      </c>
      <c r="O534" s="19" t="s">
        <v>141</v>
      </c>
      <c r="P534" s="107">
        <v>347</v>
      </c>
      <c r="Q534" s="17">
        <v>188</v>
      </c>
      <c r="R534" s="95">
        <f t="shared" si="29"/>
        <v>159</v>
      </c>
      <c r="S534" s="17">
        <f t="shared" si="30"/>
        <v>1565</v>
      </c>
      <c r="T534" s="19" t="s">
        <v>42</v>
      </c>
      <c r="U534" s="17" t="s">
        <v>297</v>
      </c>
      <c r="V534" s="64">
        <v>44546</v>
      </c>
      <c r="W534" s="17" t="s">
        <v>69</v>
      </c>
      <c r="Y534" s="68">
        <v>44562</v>
      </c>
      <c r="Z534" s="17" t="s">
        <v>191</v>
      </c>
      <c r="AA534" s="17" t="s">
        <v>46</v>
      </c>
      <c r="AB534" s="17" t="s">
        <v>290</v>
      </c>
      <c r="AC534" s="66">
        <v>44561</v>
      </c>
      <c r="AD534" s="65">
        <v>1255</v>
      </c>
      <c r="AE534" s="17" t="s">
        <v>74</v>
      </c>
      <c r="AF534" s="17" t="s">
        <v>258</v>
      </c>
      <c r="AH534" s="17" t="s">
        <v>298</v>
      </c>
      <c r="AI534" s="95">
        <f t="shared" si="31"/>
        <v>142.178</v>
      </c>
    </row>
    <row r="535" s="18" customFormat="1" hidden="1" spans="1:35">
      <c r="B535" s="75">
        <v>748</v>
      </c>
      <c r="C535" s="76">
        <v>44545</v>
      </c>
      <c r="D535" s="18" t="s">
        <v>52</v>
      </c>
      <c r="E535" s="18" t="s">
        <v>187</v>
      </c>
      <c r="F535" s="18" t="s">
        <v>54</v>
      </c>
      <c r="H535" s="77">
        <v>1.2311</v>
      </c>
      <c r="I535" s="77"/>
      <c r="J535" s="18" t="s">
        <v>39</v>
      </c>
      <c r="K535" s="119">
        <v>56</v>
      </c>
      <c r="M535" s="18">
        <v>4500</v>
      </c>
      <c r="N535" s="18" t="s">
        <v>66</v>
      </c>
      <c r="O535" s="75" t="s">
        <v>141</v>
      </c>
      <c r="P535" s="120">
        <v>435</v>
      </c>
      <c r="R535" s="113">
        <f t="shared" si="29"/>
        <v>435</v>
      </c>
      <c r="S535" s="18">
        <f t="shared" si="30"/>
        <v>1565</v>
      </c>
      <c r="T535" s="75" t="s">
        <v>42</v>
      </c>
      <c r="U535" s="18" t="s">
        <v>297</v>
      </c>
      <c r="V535" s="76">
        <v>44546</v>
      </c>
      <c r="W535" s="18" t="s">
        <v>69</v>
      </c>
      <c r="Y535" s="114">
        <v>44562</v>
      </c>
      <c r="Z535" s="18" t="s">
        <v>191</v>
      </c>
      <c r="AA535" s="18" t="s">
        <v>46</v>
      </c>
      <c r="AC535" s="83"/>
      <c r="AD535" s="77"/>
      <c r="AE535" s="18" t="s">
        <v>74</v>
      </c>
      <c r="AF535" s="18" t="s">
        <v>258</v>
      </c>
      <c r="AH535" s="17" t="s">
        <v>298</v>
      </c>
      <c r="AI535" s="95">
        <f t="shared" si="31"/>
        <v>142.178</v>
      </c>
    </row>
    <row r="536" s="17" customFormat="1" hidden="1" spans="1:35">
      <c r="A536" s="17" t="s">
        <v>34</v>
      </c>
      <c r="B536" s="19">
        <v>748</v>
      </c>
      <c r="C536" s="64">
        <v>44545</v>
      </c>
      <c r="D536" s="17" t="s">
        <v>52</v>
      </c>
      <c r="E536" s="17" t="s">
        <v>187</v>
      </c>
      <c r="F536" s="17" t="s">
        <v>54</v>
      </c>
      <c r="H536" s="65">
        <v>1.2311</v>
      </c>
      <c r="I536" s="65"/>
      <c r="J536" s="17" t="s">
        <v>39</v>
      </c>
      <c r="K536" s="96">
        <v>60</v>
      </c>
      <c r="M536" s="17">
        <v>4500</v>
      </c>
      <c r="N536" s="17" t="s">
        <v>66</v>
      </c>
      <c r="O536" s="19" t="s">
        <v>141</v>
      </c>
      <c r="P536" s="107">
        <v>500</v>
      </c>
      <c r="Q536" s="17">
        <v>247</v>
      </c>
      <c r="R536" s="95">
        <f t="shared" si="29"/>
        <v>253</v>
      </c>
      <c r="S536" s="17">
        <f t="shared" si="30"/>
        <v>1565</v>
      </c>
      <c r="T536" s="19" t="s">
        <v>42</v>
      </c>
      <c r="U536" s="17" t="s">
        <v>297</v>
      </c>
      <c r="V536" s="64">
        <v>44546</v>
      </c>
      <c r="W536" s="17" t="s">
        <v>69</v>
      </c>
      <c r="Y536" s="68">
        <v>44562</v>
      </c>
      <c r="Z536" s="17" t="s">
        <v>191</v>
      </c>
      <c r="AA536" s="17" t="s">
        <v>46</v>
      </c>
      <c r="AB536" s="17" t="s">
        <v>290</v>
      </c>
      <c r="AC536" s="66">
        <v>44561</v>
      </c>
      <c r="AD536" s="65">
        <v>1255</v>
      </c>
      <c r="AE536" s="17" t="s">
        <v>74</v>
      </c>
      <c r="AF536" s="17" t="s">
        <v>258</v>
      </c>
      <c r="AH536" s="17" t="s">
        <v>298</v>
      </c>
      <c r="AI536" s="95">
        <f t="shared" si="31"/>
        <v>142.178</v>
      </c>
    </row>
    <row r="537" s="17" customFormat="1" hidden="1" spans="1:35">
      <c r="A537" s="17" t="s">
        <v>34</v>
      </c>
      <c r="B537" s="19">
        <v>748</v>
      </c>
      <c r="C537" s="64">
        <v>44545</v>
      </c>
      <c r="D537" s="17" t="s">
        <v>52</v>
      </c>
      <c r="E537" s="17" t="s">
        <v>187</v>
      </c>
      <c r="F537" s="17" t="s">
        <v>54</v>
      </c>
      <c r="H537" s="65">
        <v>1.2311</v>
      </c>
      <c r="I537" s="65"/>
      <c r="J537" s="17" t="s">
        <v>39</v>
      </c>
      <c r="K537" s="96">
        <v>65</v>
      </c>
      <c r="M537" s="17">
        <v>4500</v>
      </c>
      <c r="N537" s="17" t="s">
        <v>66</v>
      </c>
      <c r="O537" s="19" t="s">
        <v>141</v>
      </c>
      <c r="P537" s="107">
        <v>587</v>
      </c>
      <c r="Q537" s="17">
        <f>157+315</f>
        <v>472</v>
      </c>
      <c r="R537" s="95">
        <f t="shared" si="29"/>
        <v>115</v>
      </c>
      <c r="S537" s="17">
        <f t="shared" si="30"/>
        <v>1565</v>
      </c>
      <c r="T537" s="19" t="s">
        <v>42</v>
      </c>
      <c r="U537" s="17" t="s">
        <v>297</v>
      </c>
      <c r="V537" s="64">
        <v>44546</v>
      </c>
      <c r="W537" s="17" t="s">
        <v>69</v>
      </c>
      <c r="Y537" s="68">
        <v>44562</v>
      </c>
      <c r="Z537" s="17" t="s">
        <v>191</v>
      </c>
      <c r="AA537" s="17" t="s">
        <v>46</v>
      </c>
      <c r="AB537" s="17" t="s">
        <v>290</v>
      </c>
      <c r="AC537" s="66">
        <v>44561</v>
      </c>
      <c r="AD537" s="65">
        <v>1255</v>
      </c>
      <c r="AE537" s="17" t="s">
        <v>74</v>
      </c>
      <c r="AF537" s="17" t="s">
        <v>258</v>
      </c>
      <c r="AH537" s="17" t="s">
        <v>298</v>
      </c>
      <c r="AI537" s="95">
        <f t="shared" si="31"/>
        <v>142.178</v>
      </c>
    </row>
    <row r="538" s="17" customFormat="1" hidden="1" spans="1:35">
      <c r="A538" s="17" t="s">
        <v>34</v>
      </c>
      <c r="B538" s="19">
        <v>748</v>
      </c>
      <c r="C538" s="64">
        <v>44545</v>
      </c>
      <c r="D538" s="17" t="s">
        <v>52</v>
      </c>
      <c r="E538" s="17" t="s">
        <v>187</v>
      </c>
      <c r="F538" s="17" t="s">
        <v>54</v>
      </c>
      <c r="H538" s="65">
        <v>1.2311</v>
      </c>
      <c r="I538" s="65"/>
      <c r="J538" s="17" t="s">
        <v>39</v>
      </c>
      <c r="K538" s="96">
        <v>70</v>
      </c>
      <c r="M538" s="17">
        <v>4500</v>
      </c>
      <c r="N538" s="17" t="s">
        <v>66</v>
      </c>
      <c r="O538" s="19" t="s">
        <v>141</v>
      </c>
      <c r="P538" s="107">
        <v>408</v>
      </c>
      <c r="Q538" s="17">
        <f>181+182</f>
        <v>363</v>
      </c>
      <c r="R538" s="95">
        <f t="shared" si="29"/>
        <v>45</v>
      </c>
      <c r="S538" s="17">
        <f t="shared" si="30"/>
        <v>1565</v>
      </c>
      <c r="T538" s="19" t="s">
        <v>42</v>
      </c>
      <c r="U538" s="17" t="s">
        <v>297</v>
      </c>
      <c r="V538" s="64">
        <v>44546</v>
      </c>
      <c r="W538" s="17" t="s">
        <v>69</v>
      </c>
      <c r="Y538" s="68">
        <v>44562</v>
      </c>
      <c r="Z538" s="17" t="s">
        <v>191</v>
      </c>
      <c r="AA538" s="17" t="s">
        <v>46</v>
      </c>
      <c r="AB538" s="17" t="s">
        <v>290</v>
      </c>
      <c r="AC538" s="66">
        <v>44561</v>
      </c>
      <c r="AD538" s="65">
        <v>1255</v>
      </c>
      <c r="AE538" s="17" t="s">
        <v>74</v>
      </c>
      <c r="AF538" s="17" t="s">
        <v>258</v>
      </c>
      <c r="AH538" s="17" t="s">
        <v>298</v>
      </c>
      <c r="AI538" s="95">
        <f t="shared" si="31"/>
        <v>142.178</v>
      </c>
    </row>
    <row r="539" s="17" customFormat="1" hidden="1" spans="1:35">
      <c r="A539" s="17" t="s">
        <v>34</v>
      </c>
      <c r="B539" s="19">
        <v>748</v>
      </c>
      <c r="C539" s="64">
        <v>44545</v>
      </c>
      <c r="D539" s="17" t="s">
        <v>52</v>
      </c>
      <c r="E539" s="17" t="s">
        <v>187</v>
      </c>
      <c r="F539" s="17" t="s">
        <v>54</v>
      </c>
      <c r="H539" s="65">
        <v>1.2311</v>
      </c>
      <c r="I539" s="65"/>
      <c r="J539" s="17" t="s">
        <v>39</v>
      </c>
      <c r="K539" s="96">
        <v>75</v>
      </c>
      <c r="M539" s="17">
        <v>4500</v>
      </c>
      <c r="N539" s="17" t="s">
        <v>66</v>
      </c>
      <c r="O539" s="19" t="s">
        <v>141</v>
      </c>
      <c r="P539" s="107">
        <v>312</v>
      </c>
      <c r="Q539" s="17">
        <v>208</v>
      </c>
      <c r="R539" s="95">
        <f t="shared" si="29"/>
        <v>104</v>
      </c>
      <c r="S539" s="17">
        <f t="shared" si="30"/>
        <v>1565</v>
      </c>
      <c r="T539" s="19" t="s">
        <v>42</v>
      </c>
      <c r="U539" s="17" t="s">
        <v>297</v>
      </c>
      <c r="V539" s="64">
        <v>44546</v>
      </c>
      <c r="W539" s="17" t="s">
        <v>69</v>
      </c>
      <c r="Y539" s="68">
        <v>44562</v>
      </c>
      <c r="Z539" s="17" t="s">
        <v>191</v>
      </c>
      <c r="AA539" s="17" t="s">
        <v>46</v>
      </c>
      <c r="AB539" s="17" t="s">
        <v>290</v>
      </c>
      <c r="AC539" s="66">
        <v>44561</v>
      </c>
      <c r="AD539" s="65">
        <v>1255</v>
      </c>
      <c r="AE539" s="17" t="s">
        <v>74</v>
      </c>
      <c r="AF539" s="17" t="s">
        <v>258</v>
      </c>
      <c r="AH539" s="17" t="s">
        <v>298</v>
      </c>
      <c r="AI539" s="95">
        <f t="shared" si="31"/>
        <v>142.178</v>
      </c>
    </row>
    <row r="540" s="17" customFormat="1" hidden="1" spans="1:35">
      <c r="A540" s="17" t="s">
        <v>34</v>
      </c>
      <c r="B540" s="19">
        <v>748</v>
      </c>
      <c r="C540" s="64">
        <v>44545</v>
      </c>
      <c r="D540" s="17" t="s">
        <v>52</v>
      </c>
      <c r="E540" s="17" t="s">
        <v>187</v>
      </c>
      <c r="F540" s="17" t="s">
        <v>54</v>
      </c>
      <c r="H540" s="65">
        <v>1.2311</v>
      </c>
      <c r="I540" s="65"/>
      <c r="J540" s="17" t="s">
        <v>39</v>
      </c>
      <c r="K540" s="92">
        <v>80</v>
      </c>
      <c r="M540" s="17">
        <v>4500</v>
      </c>
      <c r="N540" s="17" t="s">
        <v>66</v>
      </c>
      <c r="O540" s="19" t="s">
        <v>141</v>
      </c>
      <c r="P540" s="99">
        <v>533</v>
      </c>
      <c r="Q540" s="17">
        <v>219</v>
      </c>
      <c r="R540" s="95">
        <f t="shared" si="29"/>
        <v>314</v>
      </c>
      <c r="S540" s="17">
        <f t="shared" si="30"/>
        <v>1565</v>
      </c>
      <c r="T540" s="19" t="s">
        <v>42</v>
      </c>
      <c r="U540" s="17" t="s">
        <v>297</v>
      </c>
      <c r="V540" s="64">
        <v>44546</v>
      </c>
      <c r="W540" s="17" t="s">
        <v>69</v>
      </c>
      <c r="Y540" s="68">
        <v>44562</v>
      </c>
      <c r="Z540" s="17" t="s">
        <v>191</v>
      </c>
      <c r="AA540" s="17" t="s">
        <v>46</v>
      </c>
      <c r="AB540" s="17" t="s">
        <v>290</v>
      </c>
      <c r="AC540" s="66">
        <v>44561</v>
      </c>
      <c r="AD540" s="65">
        <v>1255</v>
      </c>
      <c r="AE540" s="17" t="s">
        <v>74</v>
      </c>
      <c r="AF540" s="17" t="s">
        <v>258</v>
      </c>
      <c r="AH540" s="17" t="s">
        <v>298</v>
      </c>
      <c r="AI540" s="95">
        <f t="shared" si="31"/>
        <v>142.178</v>
      </c>
    </row>
    <row r="541" s="17" customFormat="1" hidden="1" spans="1:35">
      <c r="A541" s="17" t="s">
        <v>34</v>
      </c>
      <c r="B541" s="19">
        <v>748</v>
      </c>
      <c r="C541" s="64">
        <v>44545</v>
      </c>
      <c r="D541" s="17" t="s">
        <v>52</v>
      </c>
      <c r="E541" s="17" t="s">
        <v>187</v>
      </c>
      <c r="F541" s="17" t="s">
        <v>54</v>
      </c>
      <c r="H541" s="65">
        <v>1.2311</v>
      </c>
      <c r="I541" s="65"/>
      <c r="J541" s="17" t="s">
        <v>39</v>
      </c>
      <c r="K541" s="92">
        <v>85</v>
      </c>
      <c r="M541" s="17">
        <v>4500</v>
      </c>
      <c r="N541" s="17" t="s">
        <v>66</v>
      </c>
      <c r="O541" s="19" t="s">
        <v>141</v>
      </c>
      <c r="P541" s="99">
        <v>401</v>
      </c>
      <c r="Q541" s="17">
        <v>249</v>
      </c>
      <c r="R541" s="95">
        <f t="shared" si="29"/>
        <v>152</v>
      </c>
      <c r="S541" s="17">
        <f t="shared" si="30"/>
        <v>1565</v>
      </c>
      <c r="T541" s="19" t="s">
        <v>42</v>
      </c>
      <c r="U541" s="17" t="s">
        <v>297</v>
      </c>
      <c r="V541" s="64">
        <v>44546</v>
      </c>
      <c r="W541" s="17" t="s">
        <v>69</v>
      </c>
      <c r="Y541" s="68">
        <v>44562</v>
      </c>
      <c r="Z541" s="17" t="s">
        <v>191</v>
      </c>
      <c r="AA541" s="17" t="s">
        <v>46</v>
      </c>
      <c r="AB541" s="17" t="s">
        <v>290</v>
      </c>
      <c r="AC541" s="66">
        <v>44561</v>
      </c>
      <c r="AD541" s="65">
        <v>1255</v>
      </c>
      <c r="AE541" s="17" t="s">
        <v>74</v>
      </c>
      <c r="AF541" s="17" t="s">
        <v>258</v>
      </c>
      <c r="AH541" s="17" t="s">
        <v>298</v>
      </c>
      <c r="AI541" s="95">
        <f t="shared" si="31"/>
        <v>142.178</v>
      </c>
    </row>
    <row r="542" s="17" customFormat="1" hidden="1" spans="1:35">
      <c r="A542" s="17" t="s">
        <v>34</v>
      </c>
      <c r="B542" s="19">
        <v>748</v>
      </c>
      <c r="C542" s="64">
        <v>44545</v>
      </c>
      <c r="D542" s="17" t="s">
        <v>52</v>
      </c>
      <c r="E542" s="17" t="s">
        <v>187</v>
      </c>
      <c r="F542" s="17" t="s">
        <v>54</v>
      </c>
      <c r="H542" s="65">
        <v>1.2311</v>
      </c>
      <c r="I542" s="65"/>
      <c r="J542" s="17" t="s">
        <v>39</v>
      </c>
      <c r="K542" s="92">
        <v>100</v>
      </c>
      <c r="M542" s="17">
        <v>4500</v>
      </c>
      <c r="N542" s="17" t="s">
        <v>66</v>
      </c>
      <c r="O542" s="19" t="s">
        <v>141</v>
      </c>
      <c r="P542" s="99">
        <v>555</v>
      </c>
      <c r="Q542" s="17">
        <v>368</v>
      </c>
      <c r="R542" s="95">
        <f t="shared" si="29"/>
        <v>187</v>
      </c>
      <c r="S542" s="17">
        <f t="shared" si="30"/>
        <v>1565</v>
      </c>
      <c r="T542" s="19" t="s">
        <v>42</v>
      </c>
      <c r="U542" s="17" t="s">
        <v>297</v>
      </c>
      <c r="V542" s="64">
        <v>44546</v>
      </c>
      <c r="W542" s="17" t="s">
        <v>69</v>
      </c>
      <c r="Y542" s="68">
        <v>44562</v>
      </c>
      <c r="Z542" s="17" t="s">
        <v>191</v>
      </c>
      <c r="AA542" s="17" t="s">
        <v>46</v>
      </c>
      <c r="AB542" s="17" t="s">
        <v>290</v>
      </c>
      <c r="AC542" s="66">
        <v>44561</v>
      </c>
      <c r="AD542" s="65">
        <v>1255</v>
      </c>
      <c r="AE542" s="17" t="s">
        <v>74</v>
      </c>
      <c r="AF542" s="17" t="s">
        <v>258</v>
      </c>
      <c r="AH542" s="17" t="s">
        <v>298</v>
      </c>
      <c r="AI542" s="95">
        <f t="shared" si="31"/>
        <v>142.178</v>
      </c>
    </row>
    <row r="543" s="17" customFormat="1" hidden="1" spans="1:35">
      <c r="A543" s="17" t="s">
        <v>34</v>
      </c>
      <c r="B543" s="19">
        <v>748</v>
      </c>
      <c r="C543" s="64">
        <v>44545</v>
      </c>
      <c r="D543" s="17" t="s">
        <v>52</v>
      </c>
      <c r="E543" s="17" t="s">
        <v>187</v>
      </c>
      <c r="F543" s="17" t="s">
        <v>54</v>
      </c>
      <c r="H543" s="65">
        <v>1.2311</v>
      </c>
      <c r="I543" s="65"/>
      <c r="J543" s="17" t="s">
        <v>39</v>
      </c>
      <c r="K543" s="92">
        <v>130</v>
      </c>
      <c r="M543" s="17">
        <v>4500</v>
      </c>
      <c r="N543" s="17" t="s">
        <v>66</v>
      </c>
      <c r="O543" s="19" t="s">
        <v>141</v>
      </c>
      <c r="P543" s="99">
        <v>469</v>
      </c>
      <c r="Q543" s="17">
        <v>608</v>
      </c>
      <c r="R543" s="95">
        <f t="shared" si="29"/>
        <v>-139</v>
      </c>
      <c r="S543" s="17">
        <f t="shared" si="30"/>
        <v>1565</v>
      </c>
      <c r="T543" s="19" t="s">
        <v>42</v>
      </c>
      <c r="U543" s="17" t="s">
        <v>297</v>
      </c>
      <c r="V543" s="64">
        <v>44546</v>
      </c>
      <c r="W543" s="17" t="s">
        <v>69</v>
      </c>
      <c r="Y543" s="68">
        <v>44562</v>
      </c>
      <c r="Z543" s="17" t="s">
        <v>191</v>
      </c>
      <c r="AA543" s="17" t="s">
        <v>46</v>
      </c>
      <c r="AB543" s="17" t="s">
        <v>290</v>
      </c>
      <c r="AC543" s="66">
        <v>44561</v>
      </c>
      <c r="AD543" s="65">
        <v>1255</v>
      </c>
      <c r="AE543" s="17" t="s">
        <v>74</v>
      </c>
      <c r="AF543" s="17" t="s">
        <v>258</v>
      </c>
      <c r="AH543" s="17" t="s">
        <v>298</v>
      </c>
      <c r="AI543" s="95">
        <f t="shared" si="31"/>
        <v>142.178</v>
      </c>
    </row>
    <row r="544" s="17" customFormat="1" hidden="1" spans="1:35">
      <c r="A544" s="17" t="s">
        <v>34</v>
      </c>
      <c r="B544" s="19">
        <v>748</v>
      </c>
      <c r="C544" s="64">
        <v>44545</v>
      </c>
      <c r="D544" s="17" t="s">
        <v>52</v>
      </c>
      <c r="E544" s="17" t="s">
        <v>187</v>
      </c>
      <c r="F544" s="17" t="s">
        <v>54</v>
      </c>
      <c r="H544" s="65">
        <v>1.2311</v>
      </c>
      <c r="I544" s="65"/>
      <c r="J544" s="17" t="s">
        <v>39</v>
      </c>
      <c r="K544" s="92">
        <v>160</v>
      </c>
      <c r="M544" s="17">
        <v>4500</v>
      </c>
      <c r="N544" s="17" t="s">
        <v>66</v>
      </c>
      <c r="O544" s="19" t="s">
        <v>141</v>
      </c>
      <c r="P544" s="99">
        <v>711</v>
      </c>
      <c r="Q544" s="17">
        <v>892</v>
      </c>
      <c r="R544" s="95">
        <f t="shared" si="29"/>
        <v>-181</v>
      </c>
      <c r="S544" s="17">
        <f t="shared" si="30"/>
        <v>1565</v>
      </c>
      <c r="T544" s="19" t="s">
        <v>42</v>
      </c>
      <c r="U544" s="17" t="s">
        <v>297</v>
      </c>
      <c r="V544" s="64">
        <v>44546</v>
      </c>
      <c r="W544" s="17" t="s">
        <v>69</v>
      </c>
      <c r="Y544" s="68">
        <v>44562</v>
      </c>
      <c r="Z544" s="17" t="s">
        <v>191</v>
      </c>
      <c r="AA544" s="17" t="s">
        <v>46</v>
      </c>
      <c r="AB544" s="17" t="s">
        <v>290</v>
      </c>
      <c r="AC544" s="66">
        <v>44561</v>
      </c>
      <c r="AD544" s="65">
        <v>1255</v>
      </c>
      <c r="AE544" s="17" t="s">
        <v>74</v>
      </c>
      <c r="AF544" s="17" t="s">
        <v>258</v>
      </c>
      <c r="AH544" s="17" t="s">
        <v>298</v>
      </c>
      <c r="AI544" s="95">
        <f t="shared" si="31"/>
        <v>142.178</v>
      </c>
    </row>
    <row r="545" s="17" customFormat="1" hidden="1" spans="1:35">
      <c r="A545" s="17" t="s">
        <v>34</v>
      </c>
      <c r="B545" s="19">
        <v>748</v>
      </c>
      <c r="C545" s="64">
        <v>44545</v>
      </c>
      <c r="D545" s="17" t="s">
        <v>52</v>
      </c>
      <c r="E545" s="17" t="s">
        <v>187</v>
      </c>
      <c r="F545" s="17" t="s">
        <v>54</v>
      </c>
      <c r="H545" s="65">
        <v>1.2311</v>
      </c>
      <c r="I545" s="65"/>
      <c r="J545" s="17" t="s">
        <v>39</v>
      </c>
      <c r="K545" s="92">
        <v>170</v>
      </c>
      <c r="M545" s="17">
        <v>4500</v>
      </c>
      <c r="N545" s="17" t="s">
        <v>66</v>
      </c>
      <c r="O545" s="19" t="s">
        <v>141</v>
      </c>
      <c r="P545" s="99">
        <v>802</v>
      </c>
      <c r="Q545" s="17">
        <v>998</v>
      </c>
      <c r="R545" s="95">
        <f t="shared" si="29"/>
        <v>-196</v>
      </c>
      <c r="S545" s="17">
        <f t="shared" si="30"/>
        <v>1565</v>
      </c>
      <c r="T545" s="19" t="s">
        <v>42</v>
      </c>
      <c r="U545" s="17" t="s">
        <v>297</v>
      </c>
      <c r="V545" s="64">
        <v>44546</v>
      </c>
      <c r="W545" s="17" t="s">
        <v>69</v>
      </c>
      <c r="Y545" s="68">
        <v>44562</v>
      </c>
      <c r="Z545" s="17" t="s">
        <v>191</v>
      </c>
      <c r="AA545" s="17" t="s">
        <v>46</v>
      </c>
      <c r="AB545" s="17" t="s">
        <v>290</v>
      </c>
      <c r="AC545" s="66">
        <v>44561</v>
      </c>
      <c r="AD545" s="65">
        <v>1255</v>
      </c>
      <c r="AE545" s="17" t="s">
        <v>74</v>
      </c>
      <c r="AF545" s="17" t="s">
        <v>258</v>
      </c>
      <c r="AH545" s="17" t="s">
        <v>298</v>
      </c>
      <c r="AI545" s="95">
        <f t="shared" si="31"/>
        <v>142.178</v>
      </c>
    </row>
    <row r="546" s="17" customFormat="1" hidden="1" spans="1:35">
      <c r="A546" s="17" t="s">
        <v>34</v>
      </c>
      <c r="B546" s="19">
        <v>748</v>
      </c>
      <c r="C546" s="64">
        <v>44545</v>
      </c>
      <c r="D546" s="17" t="s">
        <v>52</v>
      </c>
      <c r="E546" s="17" t="s">
        <v>187</v>
      </c>
      <c r="F546" s="17" t="s">
        <v>54</v>
      </c>
      <c r="H546" s="65">
        <v>1.2311</v>
      </c>
      <c r="I546" s="65"/>
      <c r="J546" s="17" t="s">
        <v>39</v>
      </c>
      <c r="K546" s="92">
        <v>190</v>
      </c>
      <c r="M546" s="17">
        <v>4500</v>
      </c>
      <c r="N546" s="17" t="s">
        <v>66</v>
      </c>
      <c r="O546" s="19" t="s">
        <v>141</v>
      </c>
      <c r="P546" s="99">
        <v>1002</v>
      </c>
      <c r="Q546" s="17">
        <v>1227</v>
      </c>
      <c r="R546" s="95">
        <f t="shared" si="29"/>
        <v>-225</v>
      </c>
      <c r="S546" s="17">
        <f>1575-50</f>
        <v>1525</v>
      </c>
      <c r="T546" s="19" t="s">
        <v>42</v>
      </c>
      <c r="U546" s="17" t="s">
        <v>297</v>
      </c>
      <c r="V546" s="64">
        <v>44546</v>
      </c>
      <c r="W546" s="17" t="s">
        <v>69</v>
      </c>
      <c r="Y546" s="68">
        <v>44562</v>
      </c>
      <c r="Z546" s="17" t="s">
        <v>191</v>
      </c>
      <c r="AA546" s="17" t="s">
        <v>46</v>
      </c>
      <c r="AB546" s="17" t="s">
        <v>290</v>
      </c>
      <c r="AC546" s="66">
        <v>44561</v>
      </c>
      <c r="AD546" s="65">
        <v>1255</v>
      </c>
      <c r="AE546" s="17" t="s">
        <v>74</v>
      </c>
      <c r="AF546" s="17" t="s">
        <v>258</v>
      </c>
      <c r="AH546" s="17" t="s">
        <v>299</v>
      </c>
      <c r="AI546" s="95">
        <f>140454/1000</f>
        <v>140.454</v>
      </c>
    </row>
    <row r="547" s="17" customFormat="1" hidden="1" spans="1:35">
      <c r="A547" s="17" t="s">
        <v>34</v>
      </c>
      <c r="B547" s="19">
        <v>748</v>
      </c>
      <c r="C547" s="64">
        <v>44545</v>
      </c>
      <c r="D547" s="17" t="s">
        <v>52</v>
      </c>
      <c r="E547" s="17" t="s">
        <v>187</v>
      </c>
      <c r="F547" s="17" t="s">
        <v>54</v>
      </c>
      <c r="H547" s="65">
        <v>1.2311</v>
      </c>
      <c r="I547" s="65"/>
      <c r="J547" s="17" t="s">
        <v>39</v>
      </c>
      <c r="K547" s="92">
        <v>210</v>
      </c>
      <c r="M547" s="17">
        <v>4500</v>
      </c>
      <c r="N547" s="17" t="s">
        <v>66</v>
      </c>
      <c r="O547" s="19" t="s">
        <v>141</v>
      </c>
      <c r="P547" s="99">
        <v>1224</v>
      </c>
      <c r="Q547" s="17">
        <v>1400</v>
      </c>
      <c r="R547" s="95">
        <f t="shared" si="29"/>
        <v>-176</v>
      </c>
      <c r="S547" s="17">
        <f>1575-50</f>
        <v>1525</v>
      </c>
      <c r="T547" s="19" t="s">
        <v>42</v>
      </c>
      <c r="U547" s="17" t="s">
        <v>297</v>
      </c>
      <c r="V547" s="64">
        <v>44546</v>
      </c>
      <c r="W547" s="17" t="s">
        <v>69</v>
      </c>
      <c r="Y547" s="68">
        <v>44562</v>
      </c>
      <c r="Z547" s="17" t="s">
        <v>191</v>
      </c>
      <c r="AA547" s="17" t="s">
        <v>46</v>
      </c>
      <c r="AB547" s="17" t="s">
        <v>290</v>
      </c>
      <c r="AC547" s="66">
        <v>44561</v>
      </c>
      <c r="AD547" s="65">
        <v>1255</v>
      </c>
      <c r="AE547" s="17" t="s">
        <v>74</v>
      </c>
      <c r="AF547" s="17" t="s">
        <v>258</v>
      </c>
      <c r="AH547" s="17" t="s">
        <v>299</v>
      </c>
      <c r="AI547" s="95">
        <f>140454/1000</f>
        <v>140.454</v>
      </c>
    </row>
    <row r="548" s="17" customFormat="1" ht="15.6" hidden="1" spans="1:35">
      <c r="A548" s="17" t="s">
        <v>34</v>
      </c>
      <c r="B548" s="19">
        <v>748</v>
      </c>
      <c r="C548" s="64">
        <v>44545</v>
      </c>
      <c r="D548" s="17" t="s">
        <v>52</v>
      </c>
      <c r="E548" s="17" t="s">
        <v>187</v>
      </c>
      <c r="F548" s="17" t="s">
        <v>54</v>
      </c>
      <c r="H548" s="65">
        <v>1.2311</v>
      </c>
      <c r="I548" s="65"/>
      <c r="J548" s="17" t="s">
        <v>39</v>
      </c>
      <c r="K548" s="92">
        <v>230</v>
      </c>
      <c r="M548" s="17">
        <v>4500</v>
      </c>
      <c r="N548" s="17" t="s">
        <v>66</v>
      </c>
      <c r="O548" s="19" t="s">
        <v>141</v>
      </c>
      <c r="P548" s="121">
        <v>1469</v>
      </c>
      <c r="Q548" s="122">
        <v>1601</v>
      </c>
      <c r="R548" s="95">
        <f t="shared" si="29"/>
        <v>-132</v>
      </c>
      <c r="S548" s="17">
        <f>1575-50</f>
        <v>1525</v>
      </c>
      <c r="T548" s="19" t="s">
        <v>42</v>
      </c>
      <c r="U548" s="17" t="s">
        <v>297</v>
      </c>
      <c r="V548" s="64">
        <v>44546</v>
      </c>
      <c r="W548" s="17" t="s">
        <v>69</v>
      </c>
      <c r="Y548" s="68">
        <v>44562</v>
      </c>
      <c r="Z548" s="17" t="s">
        <v>191</v>
      </c>
      <c r="AA548" s="17" t="s">
        <v>46</v>
      </c>
      <c r="AB548" s="17" t="s">
        <v>290</v>
      </c>
      <c r="AC548" s="66">
        <v>44561</v>
      </c>
      <c r="AD548" s="65">
        <v>1255</v>
      </c>
      <c r="AE548" s="17" t="s">
        <v>74</v>
      </c>
      <c r="AF548" s="17" t="s">
        <v>258</v>
      </c>
      <c r="AH548" s="17" t="s">
        <v>299</v>
      </c>
      <c r="AI548" s="95">
        <f>140454/1000</f>
        <v>140.454</v>
      </c>
    </row>
    <row r="549" s="17" customFormat="1" ht="15.6" hidden="1" spans="1:35">
      <c r="A549" s="17" t="s">
        <v>34</v>
      </c>
      <c r="B549" s="19">
        <v>749</v>
      </c>
      <c r="C549" s="101">
        <v>44545</v>
      </c>
      <c r="D549" s="17" t="s">
        <v>300</v>
      </c>
      <c r="E549" s="17" t="s">
        <v>301</v>
      </c>
      <c r="F549" s="17" t="s">
        <v>300</v>
      </c>
      <c r="H549" s="19">
        <v>1.2379</v>
      </c>
      <c r="I549" s="19"/>
      <c r="J549" s="17" t="s">
        <v>39</v>
      </c>
      <c r="K549" s="123">
        <v>26</v>
      </c>
      <c r="L549" s="91"/>
      <c r="M549" s="19">
        <v>2500</v>
      </c>
      <c r="N549" s="19" t="s">
        <v>40</v>
      </c>
      <c r="O549" s="19" t="s">
        <v>84</v>
      </c>
      <c r="P549" s="122">
        <v>1500</v>
      </c>
      <c r="Q549" s="122">
        <v>1603</v>
      </c>
      <c r="R549" s="95">
        <f t="shared" si="29"/>
        <v>-103</v>
      </c>
      <c r="S549" s="23">
        <v>3000</v>
      </c>
      <c r="T549" s="19" t="s">
        <v>42</v>
      </c>
      <c r="U549" s="102">
        <v>2021006684</v>
      </c>
      <c r="V549" s="64">
        <v>44550</v>
      </c>
      <c r="W549" s="17" t="s">
        <v>44</v>
      </c>
      <c r="Y549" s="68">
        <v>44652</v>
      </c>
      <c r="Z549" s="17" t="s">
        <v>302</v>
      </c>
      <c r="AA549" s="17" t="s">
        <v>46</v>
      </c>
      <c r="AB549" s="17" t="s">
        <v>303</v>
      </c>
      <c r="AC549" s="66">
        <v>44750</v>
      </c>
      <c r="AD549" s="65">
        <v>1324</v>
      </c>
      <c r="AE549" s="17" t="s">
        <v>129</v>
      </c>
      <c r="AH549" s="17" t="s">
        <v>304</v>
      </c>
      <c r="AI549" s="95">
        <f t="shared" ref="AI549:AI562" si="32">277274/1000</f>
        <v>277.274</v>
      </c>
    </row>
    <row r="550" s="17" customFormat="1" ht="15.6" hidden="1" spans="1:35">
      <c r="A550" s="17" t="s">
        <v>34</v>
      </c>
      <c r="B550" s="19">
        <v>749</v>
      </c>
      <c r="C550" s="101">
        <v>44545</v>
      </c>
      <c r="D550" s="17" t="s">
        <v>300</v>
      </c>
      <c r="E550" s="17" t="s">
        <v>301</v>
      </c>
      <c r="F550" s="17" t="s">
        <v>300</v>
      </c>
      <c r="H550" s="19">
        <v>1.2379</v>
      </c>
      <c r="I550" s="19"/>
      <c r="J550" s="17" t="s">
        <v>39</v>
      </c>
      <c r="K550" s="17">
        <v>28</v>
      </c>
      <c r="L550" s="91"/>
      <c r="M550" s="19">
        <v>2500</v>
      </c>
      <c r="N550" s="19" t="s">
        <v>40</v>
      </c>
      <c r="O550" s="19" t="s">
        <v>84</v>
      </c>
      <c r="P550" s="122">
        <v>1500</v>
      </c>
      <c r="Q550" s="122">
        <v>1393</v>
      </c>
      <c r="R550" s="95">
        <f t="shared" si="29"/>
        <v>107</v>
      </c>
      <c r="S550" s="23">
        <v>3000</v>
      </c>
      <c r="T550" s="19" t="s">
        <v>42</v>
      </c>
      <c r="U550" s="102">
        <v>2021006684</v>
      </c>
      <c r="V550" s="64">
        <v>44550</v>
      </c>
      <c r="W550" s="17" t="s">
        <v>44</v>
      </c>
      <c r="Y550" s="68">
        <v>44652</v>
      </c>
      <c r="Z550" s="17" t="s">
        <v>302</v>
      </c>
      <c r="AA550" s="17" t="s">
        <v>46</v>
      </c>
      <c r="AB550" s="17" t="s">
        <v>303</v>
      </c>
      <c r="AC550" s="66">
        <v>44750</v>
      </c>
      <c r="AD550" s="65">
        <v>1324</v>
      </c>
      <c r="AE550" s="17" t="s">
        <v>129</v>
      </c>
      <c r="AH550" s="17" t="s">
        <v>304</v>
      </c>
      <c r="AI550" s="95">
        <f t="shared" si="32"/>
        <v>277.274</v>
      </c>
    </row>
    <row r="551" s="17" customFormat="1" ht="15.6" hidden="1" spans="1:35">
      <c r="A551" s="17" t="s">
        <v>34</v>
      </c>
      <c r="B551" s="19">
        <v>749</v>
      </c>
      <c r="C551" s="101">
        <v>44545</v>
      </c>
      <c r="D551" s="17" t="s">
        <v>300</v>
      </c>
      <c r="E551" s="17" t="s">
        <v>301</v>
      </c>
      <c r="F551" s="17" t="s">
        <v>300</v>
      </c>
      <c r="H551" s="19">
        <v>1.2379</v>
      </c>
      <c r="I551" s="19"/>
      <c r="J551" s="17" t="s">
        <v>39</v>
      </c>
      <c r="K551" s="17">
        <v>32</v>
      </c>
      <c r="L551" s="91"/>
      <c r="M551" s="19">
        <v>2500</v>
      </c>
      <c r="N551" s="19" t="s">
        <v>40</v>
      </c>
      <c r="O551" s="19" t="s">
        <v>84</v>
      </c>
      <c r="P551" s="122">
        <v>1500</v>
      </c>
      <c r="Q551" s="122">
        <v>1701</v>
      </c>
      <c r="R551" s="95">
        <f t="shared" si="29"/>
        <v>-201</v>
      </c>
      <c r="S551" s="23">
        <v>3000</v>
      </c>
      <c r="T551" s="19" t="s">
        <v>42</v>
      </c>
      <c r="U551" s="102">
        <v>2021006684</v>
      </c>
      <c r="V551" s="64">
        <v>44550</v>
      </c>
      <c r="W551" s="17" t="s">
        <v>44</v>
      </c>
      <c r="Y551" s="68">
        <v>44652</v>
      </c>
      <c r="Z551" s="17" t="s">
        <v>302</v>
      </c>
      <c r="AA551" s="17" t="s">
        <v>46</v>
      </c>
      <c r="AB551" s="17" t="s">
        <v>303</v>
      </c>
      <c r="AC551" s="66">
        <v>44750</v>
      </c>
      <c r="AD551" s="65">
        <v>1324</v>
      </c>
      <c r="AE551" s="17" t="s">
        <v>129</v>
      </c>
      <c r="AH551" s="17" t="s">
        <v>304</v>
      </c>
      <c r="AI551" s="95">
        <f t="shared" si="32"/>
        <v>277.274</v>
      </c>
    </row>
    <row r="552" s="17" customFormat="1" ht="15.6" hidden="1" spans="1:35">
      <c r="A552" s="17" t="s">
        <v>34</v>
      </c>
      <c r="B552" s="19">
        <v>749</v>
      </c>
      <c r="C552" s="101">
        <v>44545</v>
      </c>
      <c r="D552" s="17" t="s">
        <v>300</v>
      </c>
      <c r="E552" s="17" t="s">
        <v>301</v>
      </c>
      <c r="F552" s="17" t="s">
        <v>300</v>
      </c>
      <c r="H552" s="19">
        <v>1.2379</v>
      </c>
      <c r="I552" s="19"/>
      <c r="J552" s="17" t="s">
        <v>39</v>
      </c>
      <c r="K552" s="17">
        <v>36</v>
      </c>
      <c r="L552" s="91"/>
      <c r="M552" s="19">
        <v>2500</v>
      </c>
      <c r="N552" s="19" t="s">
        <v>40</v>
      </c>
      <c r="O552" s="19" t="s">
        <v>84</v>
      </c>
      <c r="P552" s="122">
        <v>1500</v>
      </c>
      <c r="Q552" s="122">
        <v>1834</v>
      </c>
      <c r="R552" s="95">
        <f t="shared" ref="R552:R561" si="33">+P552-Q552</f>
        <v>-334</v>
      </c>
      <c r="S552" s="23">
        <v>3000</v>
      </c>
      <c r="T552" s="19" t="s">
        <v>42</v>
      </c>
      <c r="U552" s="102">
        <v>2021006684</v>
      </c>
      <c r="V552" s="64">
        <v>44550</v>
      </c>
      <c r="W552" s="17" t="s">
        <v>44</v>
      </c>
      <c r="Y552" s="68">
        <v>44652</v>
      </c>
      <c r="Z552" s="17" t="s">
        <v>302</v>
      </c>
      <c r="AA552" s="17" t="s">
        <v>46</v>
      </c>
      <c r="AB552" s="17" t="s">
        <v>303</v>
      </c>
      <c r="AC552" s="66">
        <v>44750</v>
      </c>
      <c r="AD552" s="65">
        <v>1324</v>
      </c>
      <c r="AE552" s="17" t="s">
        <v>129</v>
      </c>
      <c r="AH552" s="17" t="s">
        <v>304</v>
      </c>
      <c r="AI552" s="95">
        <f t="shared" si="32"/>
        <v>277.274</v>
      </c>
    </row>
    <row r="553" s="17" customFormat="1" ht="15.6" hidden="1" spans="1:35">
      <c r="A553" s="17" t="s">
        <v>34</v>
      </c>
      <c r="B553" s="19">
        <v>749</v>
      </c>
      <c r="C553" s="101">
        <v>44545</v>
      </c>
      <c r="D553" s="17" t="s">
        <v>300</v>
      </c>
      <c r="E553" s="17" t="s">
        <v>301</v>
      </c>
      <c r="F553" s="17" t="s">
        <v>300</v>
      </c>
      <c r="H553" s="19">
        <v>1.2379</v>
      </c>
      <c r="I553" s="19"/>
      <c r="J553" s="17" t="s">
        <v>39</v>
      </c>
      <c r="K553" s="17">
        <v>40</v>
      </c>
      <c r="L553" s="91"/>
      <c r="M553" s="19">
        <v>2500</v>
      </c>
      <c r="N553" s="19" t="s">
        <v>40</v>
      </c>
      <c r="O553" s="19" t="s">
        <v>84</v>
      </c>
      <c r="P553" s="122">
        <v>1500</v>
      </c>
      <c r="Q553" s="122">
        <v>1531</v>
      </c>
      <c r="R553" s="95">
        <f t="shared" si="33"/>
        <v>-31</v>
      </c>
      <c r="S553" s="23">
        <v>3000</v>
      </c>
      <c r="T553" s="19" t="s">
        <v>42</v>
      </c>
      <c r="U553" s="102">
        <v>2021006684</v>
      </c>
      <c r="V553" s="64">
        <v>44550</v>
      </c>
      <c r="W553" s="17" t="s">
        <v>44</v>
      </c>
      <c r="Y553" s="68">
        <v>44652</v>
      </c>
      <c r="Z553" s="17" t="s">
        <v>302</v>
      </c>
      <c r="AA553" s="17" t="s">
        <v>46</v>
      </c>
      <c r="AB553" s="17" t="s">
        <v>305</v>
      </c>
      <c r="AC553" s="66">
        <v>44902</v>
      </c>
      <c r="AD553" s="65">
        <v>1298</v>
      </c>
      <c r="AE553" s="17" t="s">
        <v>129</v>
      </c>
      <c r="AH553" s="17" t="s">
        <v>304</v>
      </c>
      <c r="AI553" s="95">
        <f t="shared" si="32"/>
        <v>277.274</v>
      </c>
    </row>
    <row r="554" s="17" customFormat="1" ht="15.6" hidden="1" spans="1:35">
      <c r="A554" s="17" t="s">
        <v>34</v>
      </c>
      <c r="B554" s="19">
        <v>749</v>
      </c>
      <c r="C554" s="101">
        <v>44545</v>
      </c>
      <c r="D554" s="17" t="s">
        <v>300</v>
      </c>
      <c r="E554" s="17" t="s">
        <v>301</v>
      </c>
      <c r="F554" s="17" t="s">
        <v>300</v>
      </c>
      <c r="H554" s="19">
        <v>1.2379</v>
      </c>
      <c r="I554" s="19"/>
      <c r="J554" s="17" t="s">
        <v>39</v>
      </c>
      <c r="K554" s="17">
        <v>45</v>
      </c>
      <c r="L554" s="91"/>
      <c r="M554" s="19">
        <v>2500</v>
      </c>
      <c r="N554" s="19" t="s">
        <v>40</v>
      </c>
      <c r="O554" s="19" t="s">
        <v>84</v>
      </c>
      <c r="P554" s="122">
        <v>1500</v>
      </c>
      <c r="Q554" s="122">
        <v>1752</v>
      </c>
      <c r="R554" s="95">
        <f t="shared" si="33"/>
        <v>-252</v>
      </c>
      <c r="S554" s="23">
        <v>3000</v>
      </c>
      <c r="T554" s="19" t="s">
        <v>42</v>
      </c>
      <c r="U554" s="102">
        <v>2021006684</v>
      </c>
      <c r="V554" s="64">
        <v>44550</v>
      </c>
      <c r="W554" s="17" t="s">
        <v>44</v>
      </c>
      <c r="Y554" s="68">
        <v>44652</v>
      </c>
      <c r="Z554" s="17" t="s">
        <v>302</v>
      </c>
      <c r="AA554" s="17" t="s">
        <v>46</v>
      </c>
      <c r="AB554" s="17" t="s">
        <v>305</v>
      </c>
      <c r="AC554" s="66">
        <v>44902</v>
      </c>
      <c r="AD554" s="65">
        <v>1298</v>
      </c>
      <c r="AE554" s="17" t="s">
        <v>129</v>
      </c>
      <c r="AH554" s="17" t="s">
        <v>304</v>
      </c>
      <c r="AI554" s="95">
        <f t="shared" si="32"/>
        <v>277.274</v>
      </c>
    </row>
    <row r="555" s="17" customFormat="1" ht="15.6" hidden="1" spans="1:35">
      <c r="A555" s="17" t="s">
        <v>34</v>
      </c>
      <c r="B555" s="19">
        <v>749</v>
      </c>
      <c r="C555" s="101">
        <v>44545</v>
      </c>
      <c r="D555" s="17" t="s">
        <v>300</v>
      </c>
      <c r="E555" s="17" t="s">
        <v>301</v>
      </c>
      <c r="F555" s="17" t="s">
        <v>300</v>
      </c>
      <c r="H555" s="19">
        <v>1.2379</v>
      </c>
      <c r="I555" s="19"/>
      <c r="J555" s="17" t="s">
        <v>39</v>
      </c>
      <c r="K555" s="17">
        <v>50</v>
      </c>
      <c r="L555" s="91"/>
      <c r="M555" s="19">
        <v>2500</v>
      </c>
      <c r="N555" s="19" t="s">
        <v>40</v>
      </c>
      <c r="O555" s="19" t="s">
        <v>84</v>
      </c>
      <c r="P555" s="122">
        <v>2500</v>
      </c>
      <c r="Q555" s="122">
        <v>2342</v>
      </c>
      <c r="R555" s="95">
        <f t="shared" si="33"/>
        <v>158</v>
      </c>
      <c r="S555" s="23">
        <v>3000</v>
      </c>
      <c r="T555" s="19" t="s">
        <v>42</v>
      </c>
      <c r="U555" s="102">
        <v>2021006684</v>
      </c>
      <c r="V555" s="64">
        <v>44550</v>
      </c>
      <c r="W555" s="17" t="s">
        <v>44</v>
      </c>
      <c r="Y555" s="68">
        <v>44652</v>
      </c>
      <c r="Z555" s="17" t="s">
        <v>302</v>
      </c>
      <c r="AA555" s="17" t="s">
        <v>46</v>
      </c>
      <c r="AB555" s="17" t="s">
        <v>305</v>
      </c>
      <c r="AC555" s="66">
        <v>44902</v>
      </c>
      <c r="AD555" s="65">
        <v>1298</v>
      </c>
      <c r="AE555" s="17" t="s">
        <v>129</v>
      </c>
      <c r="AH555" s="17" t="s">
        <v>304</v>
      </c>
      <c r="AI555" s="95">
        <f t="shared" si="32"/>
        <v>277.274</v>
      </c>
    </row>
    <row r="556" s="17" customFormat="1" ht="15.6" hidden="1" spans="1:35">
      <c r="A556" s="17" t="s">
        <v>34</v>
      </c>
      <c r="B556" s="19">
        <v>749</v>
      </c>
      <c r="C556" s="101">
        <v>44545</v>
      </c>
      <c r="D556" s="17" t="s">
        <v>300</v>
      </c>
      <c r="E556" s="17" t="s">
        <v>301</v>
      </c>
      <c r="F556" s="17" t="s">
        <v>300</v>
      </c>
      <c r="H556" s="19">
        <v>1.2379</v>
      </c>
      <c r="I556" s="19"/>
      <c r="J556" s="17" t="s">
        <v>39</v>
      </c>
      <c r="K556" s="17">
        <v>56</v>
      </c>
      <c r="L556" s="91"/>
      <c r="M556" s="19">
        <v>2500</v>
      </c>
      <c r="N556" s="19" t="s">
        <v>40</v>
      </c>
      <c r="O556" s="19" t="s">
        <v>84</v>
      </c>
      <c r="P556" s="122">
        <v>1000</v>
      </c>
      <c r="Q556" s="122">
        <v>1140</v>
      </c>
      <c r="R556" s="95">
        <f t="shared" si="33"/>
        <v>-140</v>
      </c>
      <c r="S556" s="23">
        <v>3000</v>
      </c>
      <c r="T556" s="19" t="s">
        <v>42</v>
      </c>
      <c r="U556" s="102">
        <v>2021006684</v>
      </c>
      <c r="V556" s="64">
        <v>44550</v>
      </c>
      <c r="W556" s="17" t="s">
        <v>44</v>
      </c>
      <c r="Y556" s="68">
        <v>44652</v>
      </c>
      <c r="Z556" s="17" t="s">
        <v>302</v>
      </c>
      <c r="AA556" s="17" t="s">
        <v>46</v>
      </c>
      <c r="AB556" s="17" t="s">
        <v>305</v>
      </c>
      <c r="AC556" s="66">
        <v>44902</v>
      </c>
      <c r="AD556" s="65">
        <v>1298</v>
      </c>
      <c r="AE556" s="17" t="s">
        <v>129</v>
      </c>
      <c r="AH556" s="17" t="s">
        <v>304</v>
      </c>
      <c r="AI556" s="95">
        <f t="shared" si="32"/>
        <v>277.274</v>
      </c>
    </row>
    <row r="557" s="17" customFormat="1" ht="15.6" hidden="1" spans="1:35">
      <c r="A557" s="17" t="s">
        <v>34</v>
      </c>
      <c r="B557" s="19">
        <v>749</v>
      </c>
      <c r="C557" s="101">
        <v>44545</v>
      </c>
      <c r="D557" s="17" t="s">
        <v>300</v>
      </c>
      <c r="E557" s="17" t="s">
        <v>301</v>
      </c>
      <c r="F557" s="17" t="s">
        <v>300</v>
      </c>
      <c r="H557" s="19">
        <v>1.2379</v>
      </c>
      <c r="I557" s="19"/>
      <c r="J557" s="17" t="s">
        <v>39</v>
      </c>
      <c r="K557" s="17">
        <v>61</v>
      </c>
      <c r="L557" s="91"/>
      <c r="M557" s="19">
        <v>2500</v>
      </c>
      <c r="N557" s="19" t="s">
        <v>40</v>
      </c>
      <c r="O557" s="19" t="s">
        <v>84</v>
      </c>
      <c r="P557" s="122">
        <v>1500</v>
      </c>
      <c r="Q557" s="122">
        <v>1024</v>
      </c>
      <c r="R557" s="95">
        <f t="shared" si="33"/>
        <v>476</v>
      </c>
      <c r="S557" s="23">
        <v>3000</v>
      </c>
      <c r="T557" s="19" t="s">
        <v>42</v>
      </c>
      <c r="U557" s="102">
        <v>2021006684</v>
      </c>
      <c r="V557" s="64">
        <v>44550</v>
      </c>
      <c r="W557" s="17" t="s">
        <v>44</v>
      </c>
      <c r="Y557" s="68">
        <v>44652</v>
      </c>
      <c r="Z557" s="17" t="s">
        <v>302</v>
      </c>
      <c r="AA557" s="17" t="s">
        <v>46</v>
      </c>
      <c r="AB557" s="17" t="s">
        <v>305</v>
      </c>
      <c r="AC557" s="66">
        <v>44902</v>
      </c>
      <c r="AD557" s="65">
        <v>1298</v>
      </c>
      <c r="AE557" s="17" t="s">
        <v>129</v>
      </c>
      <c r="AH557" s="17" t="s">
        <v>304</v>
      </c>
      <c r="AI557" s="95">
        <f t="shared" si="32"/>
        <v>277.274</v>
      </c>
    </row>
    <row r="558" s="17" customFormat="1" ht="15.6" hidden="1" spans="1:35">
      <c r="A558" s="17" t="s">
        <v>34</v>
      </c>
      <c r="B558" s="19">
        <v>749</v>
      </c>
      <c r="C558" s="101">
        <v>44545</v>
      </c>
      <c r="D558" s="17" t="s">
        <v>300</v>
      </c>
      <c r="E558" s="17" t="s">
        <v>301</v>
      </c>
      <c r="F558" s="17" t="s">
        <v>300</v>
      </c>
      <c r="H558" s="19">
        <v>1.2379</v>
      </c>
      <c r="I558" s="19"/>
      <c r="J558" s="17" t="s">
        <v>39</v>
      </c>
      <c r="K558" s="17">
        <v>66</v>
      </c>
      <c r="L558" s="91"/>
      <c r="M558" s="19">
        <v>2500</v>
      </c>
      <c r="N558" s="19" t="s">
        <v>40</v>
      </c>
      <c r="O558" s="19" t="s">
        <v>84</v>
      </c>
      <c r="P558" s="122">
        <v>2000</v>
      </c>
      <c r="Q558" s="122">
        <v>2096</v>
      </c>
      <c r="R558" s="95">
        <f t="shared" si="33"/>
        <v>-96</v>
      </c>
      <c r="S558" s="23">
        <v>3000</v>
      </c>
      <c r="T558" s="19" t="s">
        <v>42</v>
      </c>
      <c r="U558" s="102">
        <v>2021006684</v>
      </c>
      <c r="V558" s="64">
        <v>44550</v>
      </c>
      <c r="W558" s="17" t="s">
        <v>44</v>
      </c>
      <c r="Y558" s="68">
        <v>44652</v>
      </c>
      <c r="Z558" s="17" t="s">
        <v>302</v>
      </c>
      <c r="AA558" s="17" t="s">
        <v>46</v>
      </c>
      <c r="AB558" s="17" t="s">
        <v>305</v>
      </c>
      <c r="AC558" s="66">
        <v>44902</v>
      </c>
      <c r="AD558" s="65">
        <v>1298</v>
      </c>
      <c r="AE558" s="17" t="s">
        <v>129</v>
      </c>
      <c r="AH558" s="17" t="s">
        <v>304</v>
      </c>
      <c r="AI558" s="95">
        <f t="shared" si="32"/>
        <v>277.274</v>
      </c>
    </row>
    <row r="559" s="17" customFormat="1" ht="15.6" hidden="1" spans="1:35">
      <c r="A559" s="17" t="s">
        <v>34</v>
      </c>
      <c r="B559" s="19">
        <v>749</v>
      </c>
      <c r="C559" s="101">
        <v>44545</v>
      </c>
      <c r="D559" s="17" t="s">
        <v>300</v>
      </c>
      <c r="E559" s="17" t="s">
        <v>301</v>
      </c>
      <c r="F559" s="17" t="s">
        <v>300</v>
      </c>
      <c r="H559" s="19">
        <v>1.2379</v>
      </c>
      <c r="I559" s="19"/>
      <c r="J559" s="17" t="s">
        <v>39</v>
      </c>
      <c r="K559" s="17">
        <v>71</v>
      </c>
      <c r="L559" s="91"/>
      <c r="M559" s="19">
        <v>2500</v>
      </c>
      <c r="N559" s="19" t="s">
        <v>40</v>
      </c>
      <c r="O559" s="19" t="s">
        <v>84</v>
      </c>
      <c r="P559" s="122">
        <v>2000</v>
      </c>
      <c r="Q559" s="122">
        <v>2283</v>
      </c>
      <c r="R559" s="95">
        <f t="shared" si="33"/>
        <v>-283</v>
      </c>
      <c r="S559" s="23">
        <v>3000</v>
      </c>
      <c r="T559" s="19" t="s">
        <v>42</v>
      </c>
      <c r="U559" s="102">
        <v>2021006684</v>
      </c>
      <c r="V559" s="64">
        <v>44550</v>
      </c>
      <c r="W559" s="17" t="s">
        <v>44</v>
      </c>
      <c r="Y559" s="68">
        <v>44652</v>
      </c>
      <c r="Z559" s="17" t="s">
        <v>302</v>
      </c>
      <c r="AA559" s="17" t="s">
        <v>46</v>
      </c>
      <c r="AB559" s="17" t="s">
        <v>303</v>
      </c>
      <c r="AC559" s="66">
        <v>44750</v>
      </c>
      <c r="AD559" s="65">
        <v>1324</v>
      </c>
      <c r="AE559" s="17" t="s">
        <v>129</v>
      </c>
      <c r="AH559" s="17" t="s">
        <v>304</v>
      </c>
      <c r="AI559" s="95">
        <f t="shared" si="32"/>
        <v>277.274</v>
      </c>
    </row>
    <row r="560" s="17" customFormat="1" ht="15.6" hidden="1" spans="1:35">
      <c r="A560" s="17" t="s">
        <v>34</v>
      </c>
      <c r="B560" s="19">
        <v>749</v>
      </c>
      <c r="C560" s="101">
        <v>44545</v>
      </c>
      <c r="D560" s="17" t="s">
        <v>300</v>
      </c>
      <c r="E560" s="17" t="s">
        <v>301</v>
      </c>
      <c r="F560" s="17" t="s">
        <v>300</v>
      </c>
      <c r="H560" s="19">
        <v>1.2379</v>
      </c>
      <c r="I560" s="19"/>
      <c r="J560" s="17" t="s">
        <v>39</v>
      </c>
      <c r="K560" s="17">
        <v>76</v>
      </c>
      <c r="L560" s="91"/>
      <c r="M560" s="19">
        <v>2500</v>
      </c>
      <c r="N560" s="19" t="s">
        <v>40</v>
      </c>
      <c r="O560" s="19" t="s">
        <v>84</v>
      </c>
      <c r="P560" s="122">
        <v>1500</v>
      </c>
      <c r="Q560" s="122">
        <v>1825</v>
      </c>
      <c r="R560" s="95">
        <f t="shared" si="33"/>
        <v>-325</v>
      </c>
      <c r="S560" s="23">
        <v>3000</v>
      </c>
      <c r="T560" s="19" t="s">
        <v>42</v>
      </c>
      <c r="U560" s="102">
        <v>2021006684</v>
      </c>
      <c r="V560" s="64">
        <v>44550</v>
      </c>
      <c r="W560" s="17" t="s">
        <v>44</v>
      </c>
      <c r="Y560" s="68">
        <v>44652</v>
      </c>
      <c r="Z560" s="17" t="s">
        <v>302</v>
      </c>
      <c r="AA560" s="17" t="s">
        <v>46</v>
      </c>
      <c r="AB560" s="17" t="s">
        <v>305</v>
      </c>
      <c r="AC560" s="66">
        <v>44902</v>
      </c>
      <c r="AD560" s="65">
        <v>1298</v>
      </c>
      <c r="AE560" s="17" t="s">
        <v>129</v>
      </c>
      <c r="AH560" s="17" t="s">
        <v>304</v>
      </c>
      <c r="AI560" s="95">
        <f t="shared" si="32"/>
        <v>277.274</v>
      </c>
    </row>
    <row r="561" s="17" customFormat="1" ht="15.6" hidden="1" spans="1:35">
      <c r="A561" s="17" t="s">
        <v>34</v>
      </c>
      <c r="B561" s="19">
        <v>749</v>
      </c>
      <c r="C561" s="101">
        <v>44545</v>
      </c>
      <c r="D561" s="17" t="s">
        <v>300</v>
      </c>
      <c r="E561" s="17" t="s">
        <v>301</v>
      </c>
      <c r="F561" s="17" t="s">
        <v>300</v>
      </c>
      <c r="H561" s="19">
        <v>1.2379</v>
      </c>
      <c r="I561" s="19"/>
      <c r="J561" s="17" t="s">
        <v>39</v>
      </c>
      <c r="K561" s="17">
        <v>81</v>
      </c>
      <c r="L561" s="91"/>
      <c r="M561" s="19">
        <v>2500</v>
      </c>
      <c r="N561" s="19" t="s">
        <v>40</v>
      </c>
      <c r="O561" s="19" t="s">
        <v>84</v>
      </c>
      <c r="P561" s="122">
        <v>2000</v>
      </c>
      <c r="Q561" s="122">
        <v>2329</v>
      </c>
      <c r="R561" s="95">
        <f t="shared" si="33"/>
        <v>-329</v>
      </c>
      <c r="S561" s="23">
        <v>3000</v>
      </c>
      <c r="T561" s="19" t="s">
        <v>42</v>
      </c>
      <c r="U561" s="102">
        <v>2021006684</v>
      </c>
      <c r="V561" s="64">
        <v>44550</v>
      </c>
      <c r="W561" s="17" t="s">
        <v>44</v>
      </c>
      <c r="Y561" s="68">
        <v>44652</v>
      </c>
      <c r="Z561" s="17" t="s">
        <v>302</v>
      </c>
      <c r="AA561" s="17" t="s">
        <v>46</v>
      </c>
      <c r="AB561" s="17" t="s">
        <v>303</v>
      </c>
      <c r="AC561" s="66">
        <v>44750</v>
      </c>
      <c r="AD561" s="65">
        <v>1324</v>
      </c>
      <c r="AE561" s="17" t="s">
        <v>129</v>
      </c>
      <c r="AH561" s="17" t="s">
        <v>304</v>
      </c>
      <c r="AI561" s="95">
        <f t="shared" si="32"/>
        <v>277.274</v>
      </c>
    </row>
    <row r="562" s="17" customFormat="1" ht="15.6" hidden="1" spans="1:35">
      <c r="A562" s="17" t="s">
        <v>34</v>
      </c>
      <c r="B562" s="19">
        <v>749</v>
      </c>
      <c r="C562" s="101">
        <v>44545</v>
      </c>
      <c r="D562" s="17" t="s">
        <v>300</v>
      </c>
      <c r="E562" s="17" t="s">
        <v>301</v>
      </c>
      <c r="F562" s="17" t="s">
        <v>300</v>
      </c>
      <c r="H562" s="19">
        <v>1.2379</v>
      </c>
      <c r="I562" s="19"/>
      <c r="J562" s="17" t="s">
        <v>39</v>
      </c>
      <c r="K562" s="17">
        <v>91</v>
      </c>
      <c r="L562" s="91"/>
      <c r="M562" s="19">
        <v>2500</v>
      </c>
      <c r="N562" s="19" t="s">
        <v>40</v>
      </c>
      <c r="O562" s="19" t="s">
        <v>84</v>
      </c>
      <c r="P562" s="122">
        <v>2000</v>
      </c>
      <c r="Q562" s="122">
        <v>351</v>
      </c>
      <c r="S562" s="23">
        <v>3000</v>
      </c>
      <c r="T562" s="19" t="s">
        <v>42</v>
      </c>
      <c r="U562" s="102">
        <v>2021006684</v>
      </c>
      <c r="V562" s="64">
        <v>44550</v>
      </c>
      <c r="W562" s="17" t="s">
        <v>44</v>
      </c>
      <c r="Y562" s="68">
        <v>44652</v>
      </c>
      <c r="Z562" s="17" t="s">
        <v>302</v>
      </c>
      <c r="AA562" s="17" t="s">
        <v>46</v>
      </c>
      <c r="AB562" s="17" t="s">
        <v>305</v>
      </c>
      <c r="AC562" s="66">
        <v>44902</v>
      </c>
      <c r="AD562" s="65">
        <v>1298</v>
      </c>
      <c r="AE562" s="17" t="s">
        <v>129</v>
      </c>
      <c r="AH562" s="17" t="s">
        <v>304</v>
      </c>
      <c r="AI562" s="95">
        <f t="shared" si="32"/>
        <v>277.274</v>
      </c>
    </row>
    <row r="563" s="17" customFormat="1" ht="15.6" hidden="1" spans="1:35">
      <c r="A563" s="17" t="s">
        <v>34</v>
      </c>
      <c r="B563" s="19">
        <v>749</v>
      </c>
      <c r="C563" s="101">
        <v>44545</v>
      </c>
      <c r="D563" s="17" t="s">
        <v>300</v>
      </c>
      <c r="E563" s="17" t="s">
        <v>301</v>
      </c>
      <c r="F563" s="17" t="s">
        <v>300</v>
      </c>
      <c r="H563" s="19">
        <v>1.2379</v>
      </c>
      <c r="I563" s="19"/>
      <c r="J563" s="17" t="s">
        <v>39</v>
      </c>
      <c r="K563" s="17">
        <v>91</v>
      </c>
      <c r="L563" s="91"/>
      <c r="M563" s="19">
        <v>2500</v>
      </c>
      <c r="N563" s="19" t="s">
        <v>40</v>
      </c>
      <c r="O563" s="19" t="s">
        <v>84</v>
      </c>
      <c r="P563" s="122"/>
      <c r="Q563" s="122">
        <v>1363</v>
      </c>
      <c r="R563" s="95">
        <f>+P562-Q562-Q563</f>
        <v>286</v>
      </c>
      <c r="S563" s="23">
        <v>3000</v>
      </c>
      <c r="T563" s="19" t="s">
        <v>42</v>
      </c>
      <c r="U563" s="102">
        <v>2021006684</v>
      </c>
      <c r="V563" s="64">
        <v>44550</v>
      </c>
      <c r="W563" s="17" t="s">
        <v>44</v>
      </c>
      <c r="Y563" s="68">
        <v>44652</v>
      </c>
      <c r="Z563" s="17" t="s">
        <v>302</v>
      </c>
      <c r="AA563" s="17" t="s">
        <v>46</v>
      </c>
      <c r="AB563" s="17" t="s">
        <v>303</v>
      </c>
      <c r="AC563" s="66">
        <v>44750</v>
      </c>
      <c r="AD563" s="65">
        <v>1324</v>
      </c>
      <c r="AE563" s="17" t="s">
        <v>129</v>
      </c>
      <c r="AI563" s="95"/>
    </row>
    <row r="564" s="17" customFormat="1" ht="15.6" hidden="1" spans="1:35">
      <c r="A564" s="17" t="s">
        <v>34</v>
      </c>
      <c r="B564" s="19">
        <v>749</v>
      </c>
      <c r="C564" s="101">
        <v>44545</v>
      </c>
      <c r="D564" s="17" t="s">
        <v>300</v>
      </c>
      <c r="E564" s="17" t="s">
        <v>301</v>
      </c>
      <c r="F564" s="17" t="s">
        <v>300</v>
      </c>
      <c r="H564" s="19">
        <v>1.2379</v>
      </c>
      <c r="I564" s="19"/>
      <c r="J564" s="17" t="s">
        <v>39</v>
      </c>
      <c r="K564" s="17">
        <v>101</v>
      </c>
      <c r="L564" s="91"/>
      <c r="M564" s="19">
        <v>2500</v>
      </c>
      <c r="N564" s="19" t="s">
        <v>40</v>
      </c>
      <c r="O564" s="19" t="s">
        <v>84</v>
      </c>
      <c r="P564" s="122">
        <v>2000</v>
      </c>
      <c r="Q564" s="122">
        <v>888</v>
      </c>
      <c r="S564" s="23">
        <v>3000</v>
      </c>
      <c r="T564" s="19" t="s">
        <v>42</v>
      </c>
      <c r="U564" s="102">
        <v>2021006684</v>
      </c>
      <c r="V564" s="64">
        <v>44550</v>
      </c>
      <c r="W564" s="17" t="s">
        <v>44</v>
      </c>
      <c r="Y564" s="68">
        <v>44652</v>
      </c>
      <c r="Z564" s="17" t="s">
        <v>302</v>
      </c>
      <c r="AA564" s="17" t="s">
        <v>46</v>
      </c>
      <c r="AB564" s="17" t="s">
        <v>305</v>
      </c>
      <c r="AC564" s="66">
        <v>44902</v>
      </c>
      <c r="AD564" s="65">
        <v>1298</v>
      </c>
      <c r="AE564" s="17" t="s">
        <v>129</v>
      </c>
      <c r="AH564" s="17" t="s">
        <v>304</v>
      </c>
      <c r="AI564" s="95">
        <f>277274/1000</f>
        <v>277.274</v>
      </c>
    </row>
    <row r="565" s="17" customFormat="1" ht="15.6" hidden="1" spans="1:35">
      <c r="A565" s="17" t="s">
        <v>34</v>
      </c>
      <c r="B565" s="19">
        <v>749</v>
      </c>
      <c r="C565" s="101">
        <v>44545</v>
      </c>
      <c r="D565" s="17" t="s">
        <v>300</v>
      </c>
      <c r="E565" s="17" t="s">
        <v>301</v>
      </c>
      <c r="F565" s="17" t="s">
        <v>300</v>
      </c>
      <c r="H565" s="19">
        <v>1.2379</v>
      </c>
      <c r="I565" s="19"/>
      <c r="J565" s="17" t="s">
        <v>39</v>
      </c>
      <c r="K565" s="17">
        <v>101</v>
      </c>
      <c r="L565" s="91"/>
      <c r="M565" s="19">
        <v>2500</v>
      </c>
      <c r="N565" s="19" t="s">
        <v>40</v>
      </c>
      <c r="O565" s="19" t="s">
        <v>84</v>
      </c>
      <c r="P565" s="122"/>
      <c r="Q565" s="122">
        <v>975</v>
      </c>
      <c r="R565" s="95">
        <f>+P564-Q564-Q565</f>
        <v>137</v>
      </c>
      <c r="S565" s="23">
        <v>3000</v>
      </c>
      <c r="T565" s="19" t="s">
        <v>42</v>
      </c>
      <c r="U565" s="102">
        <v>2021006684</v>
      </c>
      <c r="V565" s="64">
        <v>44550</v>
      </c>
      <c r="W565" s="17" t="s">
        <v>44</v>
      </c>
      <c r="Y565" s="68">
        <v>44652</v>
      </c>
      <c r="Z565" s="17" t="s">
        <v>302</v>
      </c>
      <c r="AA565" s="17" t="s">
        <v>46</v>
      </c>
      <c r="AB565" s="17" t="s">
        <v>303</v>
      </c>
      <c r="AC565" s="66">
        <v>44750</v>
      </c>
      <c r="AD565" s="65">
        <v>1324</v>
      </c>
      <c r="AE565" s="17" t="s">
        <v>129</v>
      </c>
      <c r="AI565" s="95"/>
    </row>
    <row r="566" s="17" customFormat="1" ht="15.6" hidden="1" spans="1:35">
      <c r="A566" s="17" t="s">
        <v>34</v>
      </c>
      <c r="B566" s="19">
        <v>749</v>
      </c>
      <c r="C566" s="101">
        <v>44545</v>
      </c>
      <c r="D566" s="17" t="s">
        <v>300</v>
      </c>
      <c r="E566" s="17" t="s">
        <v>301</v>
      </c>
      <c r="F566" s="17" t="s">
        <v>300</v>
      </c>
      <c r="H566" s="19">
        <v>1.2379</v>
      </c>
      <c r="I566" s="19"/>
      <c r="J566" s="17" t="s">
        <v>39</v>
      </c>
      <c r="K566" s="17">
        <v>111</v>
      </c>
      <c r="L566" s="91"/>
      <c r="M566" s="19">
        <v>2500</v>
      </c>
      <c r="N566" s="19" t="s">
        <v>40</v>
      </c>
      <c r="O566" s="19" t="s">
        <v>84</v>
      </c>
      <c r="P566" s="122">
        <v>1500</v>
      </c>
      <c r="Q566" s="122">
        <v>1218</v>
      </c>
      <c r="R566" s="95">
        <f>+P566-Q566</f>
        <v>282</v>
      </c>
      <c r="S566" s="23">
        <v>3000</v>
      </c>
      <c r="T566" s="19" t="s">
        <v>42</v>
      </c>
      <c r="U566" s="102">
        <v>2021006684</v>
      </c>
      <c r="V566" s="64">
        <v>44550</v>
      </c>
      <c r="W566" s="17" t="s">
        <v>44</v>
      </c>
      <c r="Y566" s="68">
        <v>44652</v>
      </c>
      <c r="Z566" s="17" t="s">
        <v>302</v>
      </c>
      <c r="AA566" s="17" t="s">
        <v>46</v>
      </c>
      <c r="AB566" s="17" t="s">
        <v>303</v>
      </c>
      <c r="AC566" s="66">
        <v>44750</v>
      </c>
      <c r="AD566" s="65">
        <v>1324</v>
      </c>
      <c r="AE566" s="17" t="s">
        <v>129</v>
      </c>
      <c r="AH566" s="17" t="s">
        <v>304</v>
      </c>
      <c r="AI566" s="95">
        <f>277274/1000</f>
        <v>277.274</v>
      </c>
    </row>
    <row r="567" s="17" customFormat="1" ht="15.6" hidden="1" spans="1:35">
      <c r="A567" s="17" t="s">
        <v>34</v>
      </c>
      <c r="B567" s="19">
        <v>749</v>
      </c>
      <c r="C567" s="101">
        <v>44545</v>
      </c>
      <c r="D567" s="17" t="s">
        <v>300</v>
      </c>
      <c r="E567" s="17" t="s">
        <v>301</v>
      </c>
      <c r="F567" s="17" t="s">
        <v>300</v>
      </c>
      <c r="H567" s="19">
        <v>1.2379</v>
      </c>
      <c r="I567" s="19"/>
      <c r="J567" s="17" t="s">
        <v>39</v>
      </c>
      <c r="K567" s="17">
        <v>121</v>
      </c>
      <c r="L567" s="91"/>
      <c r="M567" s="19">
        <v>2500</v>
      </c>
      <c r="N567" s="19" t="s">
        <v>40</v>
      </c>
      <c r="O567" s="19" t="s">
        <v>84</v>
      </c>
      <c r="P567" s="122">
        <v>1500</v>
      </c>
      <c r="Q567" s="122">
        <v>1387</v>
      </c>
      <c r="R567" s="95">
        <f>+P567-Q567</f>
        <v>113</v>
      </c>
      <c r="S567" s="23">
        <v>2900</v>
      </c>
      <c r="T567" s="19" t="s">
        <v>42</v>
      </c>
      <c r="U567" s="102">
        <v>2021006684</v>
      </c>
      <c r="V567" s="64">
        <v>44550</v>
      </c>
      <c r="W567" s="17" t="s">
        <v>44</v>
      </c>
      <c r="Y567" s="68">
        <v>44652</v>
      </c>
      <c r="Z567" s="17" t="s">
        <v>302</v>
      </c>
      <c r="AA567" s="17" t="s">
        <v>46</v>
      </c>
      <c r="AB567" s="17" t="s">
        <v>305</v>
      </c>
      <c r="AC567" s="66">
        <v>44902</v>
      </c>
      <c r="AD567" s="65">
        <v>1298</v>
      </c>
      <c r="AE567" s="17" t="s">
        <v>129</v>
      </c>
      <c r="AH567" s="17" t="s">
        <v>306</v>
      </c>
      <c r="AI567" s="95">
        <f>268742/1000</f>
        <v>268.742</v>
      </c>
    </row>
    <row r="568" s="17" customFormat="1" ht="15.6" hidden="1" spans="1:35">
      <c r="A568" s="17" t="s">
        <v>34</v>
      </c>
      <c r="B568" s="19">
        <v>749</v>
      </c>
      <c r="C568" s="101">
        <v>44545</v>
      </c>
      <c r="D568" s="17" t="s">
        <v>300</v>
      </c>
      <c r="E568" s="17" t="s">
        <v>301</v>
      </c>
      <c r="F568" s="17" t="s">
        <v>300</v>
      </c>
      <c r="H568" s="19">
        <v>1.2379</v>
      </c>
      <c r="I568" s="19"/>
      <c r="J568" s="17" t="s">
        <v>39</v>
      </c>
      <c r="K568" s="17">
        <v>132</v>
      </c>
      <c r="L568" s="91"/>
      <c r="M568" s="19">
        <v>2500</v>
      </c>
      <c r="N568" s="19" t="s">
        <v>40</v>
      </c>
      <c r="O568" s="19" t="s">
        <v>84</v>
      </c>
      <c r="P568" s="122">
        <v>1500</v>
      </c>
      <c r="Q568" s="122">
        <v>1455</v>
      </c>
      <c r="R568" s="95">
        <f>+P568-Q568</f>
        <v>45</v>
      </c>
      <c r="S568" s="23">
        <v>2900</v>
      </c>
      <c r="T568" s="19" t="s">
        <v>42</v>
      </c>
      <c r="U568" s="102">
        <v>2021006684</v>
      </c>
      <c r="V568" s="64">
        <v>44550</v>
      </c>
      <c r="W568" s="17" t="s">
        <v>44</v>
      </c>
      <c r="Y568" s="68">
        <v>44652</v>
      </c>
      <c r="Z568" s="17" t="s">
        <v>302</v>
      </c>
      <c r="AA568" s="17" t="s">
        <v>46</v>
      </c>
      <c r="AB568" s="17" t="s">
        <v>305</v>
      </c>
      <c r="AC568" s="66">
        <v>44902</v>
      </c>
      <c r="AD568" s="65">
        <v>1298</v>
      </c>
      <c r="AE568" s="17" t="s">
        <v>129</v>
      </c>
      <c r="AH568" s="17" t="s">
        <v>306</v>
      </c>
      <c r="AI568" s="95">
        <f>268742/1000</f>
        <v>268.742</v>
      </c>
    </row>
    <row r="569" s="17" customFormat="1" ht="15.6" hidden="1" spans="1:35">
      <c r="A569" s="17" t="s">
        <v>34</v>
      </c>
      <c r="B569" s="19">
        <v>749</v>
      </c>
      <c r="C569" s="101">
        <v>44545</v>
      </c>
      <c r="D569" s="17" t="s">
        <v>300</v>
      </c>
      <c r="E569" s="17" t="s">
        <v>301</v>
      </c>
      <c r="F569" s="17" t="s">
        <v>300</v>
      </c>
      <c r="H569" s="19">
        <v>1.2379</v>
      </c>
      <c r="I569" s="19"/>
      <c r="J569" s="17" t="s">
        <v>39</v>
      </c>
      <c r="K569" s="17">
        <v>142</v>
      </c>
      <c r="L569" s="91"/>
      <c r="M569" s="19">
        <v>2500</v>
      </c>
      <c r="N569" s="19" t="s">
        <v>40</v>
      </c>
      <c r="O569" s="19" t="s">
        <v>84</v>
      </c>
      <c r="P569" s="122">
        <v>3000</v>
      </c>
      <c r="Q569" s="122">
        <v>2529</v>
      </c>
      <c r="R569" s="95">
        <f>+P569-Q569</f>
        <v>471</v>
      </c>
      <c r="S569" s="23">
        <v>2900</v>
      </c>
      <c r="T569" s="19" t="s">
        <v>42</v>
      </c>
      <c r="U569" s="102">
        <v>2021006684</v>
      </c>
      <c r="V569" s="64">
        <v>44550</v>
      </c>
      <c r="W569" s="17" t="s">
        <v>44</v>
      </c>
      <c r="Y569" s="68">
        <v>44652</v>
      </c>
      <c r="Z569" s="17" t="s">
        <v>302</v>
      </c>
      <c r="AA569" s="17" t="s">
        <v>46</v>
      </c>
      <c r="AB569" s="17" t="s">
        <v>303</v>
      </c>
      <c r="AC569" s="66">
        <v>44750</v>
      </c>
      <c r="AD569" s="65">
        <v>1324</v>
      </c>
      <c r="AE569" s="17" t="s">
        <v>129</v>
      </c>
      <c r="AH569" s="17" t="s">
        <v>306</v>
      </c>
      <c r="AI569" s="95">
        <f>268742/1000</f>
        <v>268.742</v>
      </c>
    </row>
    <row r="570" s="17" customFormat="1" ht="15.6" hidden="1" spans="1:35">
      <c r="A570" s="17" t="s">
        <v>34</v>
      </c>
      <c r="B570" s="19">
        <v>749</v>
      </c>
      <c r="C570" s="101">
        <v>44545</v>
      </c>
      <c r="D570" s="17" t="s">
        <v>300</v>
      </c>
      <c r="E570" s="17" t="s">
        <v>301</v>
      </c>
      <c r="F570" s="17" t="s">
        <v>300</v>
      </c>
      <c r="H570" s="19">
        <v>1.2379</v>
      </c>
      <c r="I570" s="19"/>
      <c r="J570" s="17" t="s">
        <v>39</v>
      </c>
      <c r="K570" s="17">
        <v>152</v>
      </c>
      <c r="L570" s="91"/>
      <c r="M570" s="19">
        <v>2500</v>
      </c>
      <c r="N570" s="19" t="s">
        <v>40</v>
      </c>
      <c r="O570" s="19" t="s">
        <v>84</v>
      </c>
      <c r="P570" s="122">
        <v>3000</v>
      </c>
      <c r="Q570" s="122">
        <v>3274</v>
      </c>
      <c r="R570" s="95">
        <f>+P570-Q570</f>
        <v>-274</v>
      </c>
      <c r="S570" s="23">
        <v>2900</v>
      </c>
      <c r="T570" s="19" t="s">
        <v>42</v>
      </c>
      <c r="U570" s="102">
        <v>2021006684</v>
      </c>
      <c r="V570" s="64">
        <v>44550</v>
      </c>
      <c r="W570" s="17" t="s">
        <v>44</v>
      </c>
      <c r="Y570" s="68">
        <v>44652</v>
      </c>
      <c r="Z570" s="17" t="s">
        <v>302</v>
      </c>
      <c r="AA570" s="17" t="s">
        <v>46</v>
      </c>
      <c r="AB570" s="17" t="s">
        <v>303</v>
      </c>
      <c r="AC570" s="66">
        <v>44750</v>
      </c>
      <c r="AD570" s="65">
        <v>1324</v>
      </c>
      <c r="AE570" s="17" t="s">
        <v>129</v>
      </c>
      <c r="AH570" s="17" t="s">
        <v>306</v>
      </c>
      <c r="AI570" s="95">
        <f>268742/1000</f>
        <v>268.742</v>
      </c>
    </row>
    <row r="571" s="17" customFormat="1" ht="15.6" hidden="1" spans="1:35">
      <c r="A571" s="17" t="s">
        <v>34</v>
      </c>
      <c r="B571" s="19">
        <v>749</v>
      </c>
      <c r="C571" s="101">
        <v>44545</v>
      </c>
      <c r="D571" s="17" t="s">
        <v>300</v>
      </c>
      <c r="E571" s="17" t="s">
        <v>301</v>
      </c>
      <c r="F571" s="17" t="s">
        <v>300</v>
      </c>
      <c r="H571" s="19">
        <v>1.2379</v>
      </c>
      <c r="I571" s="19"/>
      <c r="J571" s="17" t="s">
        <v>39</v>
      </c>
      <c r="K571" s="17">
        <v>162</v>
      </c>
      <c r="L571" s="91"/>
      <c r="M571" s="19">
        <v>2500</v>
      </c>
      <c r="N571" s="19" t="s">
        <v>40</v>
      </c>
      <c r="O571" s="19" t="s">
        <v>84</v>
      </c>
      <c r="P571" s="122">
        <v>2000</v>
      </c>
      <c r="Q571" s="122">
        <v>1624</v>
      </c>
      <c r="S571" s="23">
        <v>2900</v>
      </c>
      <c r="T571" s="19" t="s">
        <v>42</v>
      </c>
      <c r="U571" s="102">
        <v>2021006684</v>
      </c>
      <c r="V571" s="64">
        <v>44550</v>
      </c>
      <c r="W571" s="17" t="s">
        <v>44</v>
      </c>
      <c r="Y571" s="68">
        <v>44652</v>
      </c>
      <c r="Z571" s="17" t="s">
        <v>302</v>
      </c>
      <c r="AA571" s="17" t="s">
        <v>46</v>
      </c>
      <c r="AB571" s="17" t="s">
        <v>305</v>
      </c>
      <c r="AC571" s="66">
        <v>44902</v>
      </c>
      <c r="AD571" s="65">
        <v>1298</v>
      </c>
      <c r="AE571" s="17" t="s">
        <v>129</v>
      </c>
      <c r="AH571" s="17" t="s">
        <v>306</v>
      </c>
      <c r="AI571" s="95">
        <f>268742/1000</f>
        <v>268.742</v>
      </c>
    </row>
    <row r="572" s="17" customFormat="1" ht="15.6" hidden="1" spans="1:35">
      <c r="A572" s="17" t="s">
        <v>34</v>
      </c>
      <c r="B572" s="19">
        <v>749</v>
      </c>
      <c r="C572" s="101">
        <v>44545</v>
      </c>
      <c r="D572" s="17" t="s">
        <v>300</v>
      </c>
      <c r="E572" s="17" t="s">
        <v>301</v>
      </c>
      <c r="F572" s="17" t="s">
        <v>300</v>
      </c>
      <c r="H572" s="19">
        <v>1.2379</v>
      </c>
      <c r="I572" s="19"/>
      <c r="J572" s="17" t="s">
        <v>39</v>
      </c>
      <c r="K572" s="17">
        <v>162</v>
      </c>
      <c r="L572" s="91"/>
      <c r="M572" s="19">
        <v>2500</v>
      </c>
      <c r="N572" s="19" t="s">
        <v>40</v>
      </c>
      <c r="O572" s="19" t="s">
        <v>84</v>
      </c>
      <c r="P572" s="122"/>
      <c r="Q572" s="122">
        <v>319</v>
      </c>
      <c r="R572" s="95">
        <f>+P571-Q571-Q572</f>
        <v>57</v>
      </c>
      <c r="S572" s="23">
        <v>2900</v>
      </c>
      <c r="T572" s="19" t="s">
        <v>42</v>
      </c>
      <c r="U572" s="102">
        <v>2021006684</v>
      </c>
      <c r="V572" s="64">
        <v>44550</v>
      </c>
      <c r="W572" s="17" t="s">
        <v>44</v>
      </c>
      <c r="Y572" s="68">
        <v>44652</v>
      </c>
      <c r="Z572" s="17" t="s">
        <v>302</v>
      </c>
      <c r="AA572" s="17" t="s">
        <v>46</v>
      </c>
      <c r="AB572" s="17" t="s">
        <v>303</v>
      </c>
      <c r="AC572" s="66">
        <v>44750</v>
      </c>
      <c r="AD572" s="65">
        <v>1324</v>
      </c>
      <c r="AE572" s="17" t="s">
        <v>129</v>
      </c>
      <c r="AI572" s="95"/>
    </row>
    <row r="573" s="17" customFormat="1" ht="15.6" hidden="1" spans="1:35">
      <c r="A573" s="17" t="s">
        <v>34</v>
      </c>
      <c r="B573" s="19">
        <v>749</v>
      </c>
      <c r="C573" s="101">
        <v>44545</v>
      </c>
      <c r="D573" s="17" t="s">
        <v>300</v>
      </c>
      <c r="E573" s="17" t="s">
        <v>301</v>
      </c>
      <c r="F573" s="17" t="s">
        <v>300</v>
      </c>
      <c r="H573" s="19">
        <v>1.2379</v>
      </c>
      <c r="I573" s="19"/>
      <c r="J573" s="17" t="s">
        <v>39</v>
      </c>
      <c r="K573" s="17">
        <v>172</v>
      </c>
      <c r="L573" s="91"/>
      <c r="M573" s="19">
        <v>2500</v>
      </c>
      <c r="N573" s="19" t="s">
        <v>40</v>
      </c>
      <c r="O573" s="19" t="s">
        <v>84</v>
      </c>
      <c r="P573" s="122">
        <v>2000</v>
      </c>
      <c r="Q573" s="122">
        <v>1667</v>
      </c>
      <c r="R573" s="95">
        <f>+P573-Q573</f>
        <v>333</v>
      </c>
      <c r="S573" s="23">
        <v>2900</v>
      </c>
      <c r="T573" s="19" t="s">
        <v>42</v>
      </c>
      <c r="U573" s="102">
        <v>2021006684</v>
      </c>
      <c r="V573" s="64">
        <v>44550</v>
      </c>
      <c r="W573" s="17" t="s">
        <v>44</v>
      </c>
      <c r="Y573" s="68">
        <v>44652</v>
      </c>
      <c r="Z573" s="17" t="s">
        <v>302</v>
      </c>
      <c r="AA573" s="17" t="s">
        <v>46</v>
      </c>
      <c r="AB573" s="17" t="s">
        <v>305</v>
      </c>
      <c r="AC573" s="66">
        <v>44902</v>
      </c>
      <c r="AD573" s="65">
        <v>1298</v>
      </c>
      <c r="AE573" s="17" t="s">
        <v>129</v>
      </c>
      <c r="AH573" s="17" t="s">
        <v>306</v>
      </c>
      <c r="AI573" s="95">
        <f>268742/1000</f>
        <v>268.742</v>
      </c>
    </row>
    <row r="574" s="17" customFormat="1" ht="15.6" hidden="1" spans="1:35">
      <c r="A574" s="17" t="s">
        <v>34</v>
      </c>
      <c r="B574" s="19">
        <v>749</v>
      </c>
      <c r="C574" s="101">
        <v>44545</v>
      </c>
      <c r="D574" s="17" t="s">
        <v>300</v>
      </c>
      <c r="E574" s="17" t="s">
        <v>301</v>
      </c>
      <c r="F574" s="17" t="s">
        <v>300</v>
      </c>
      <c r="H574" s="19">
        <v>1.2379</v>
      </c>
      <c r="I574" s="19"/>
      <c r="J574" s="17" t="s">
        <v>39</v>
      </c>
      <c r="K574" s="17">
        <v>182</v>
      </c>
      <c r="L574" s="91"/>
      <c r="M574" s="19">
        <v>2500</v>
      </c>
      <c r="N574" s="19" t="s">
        <v>40</v>
      </c>
      <c r="O574" s="19" t="s">
        <v>84</v>
      </c>
      <c r="P574" s="122">
        <v>1000</v>
      </c>
      <c r="Q574" s="122">
        <v>1023</v>
      </c>
      <c r="R574" s="95">
        <f>+P574-Q574</f>
        <v>-23</v>
      </c>
      <c r="S574" s="23">
        <v>2900</v>
      </c>
      <c r="T574" s="19" t="s">
        <v>42</v>
      </c>
      <c r="U574" s="102">
        <v>2021006684</v>
      </c>
      <c r="V574" s="64">
        <v>44550</v>
      </c>
      <c r="W574" s="17" t="s">
        <v>44</v>
      </c>
      <c r="Y574" s="68">
        <v>44652</v>
      </c>
      <c r="Z574" s="17" t="s">
        <v>302</v>
      </c>
      <c r="AA574" s="17" t="s">
        <v>46</v>
      </c>
      <c r="AB574" s="17" t="s">
        <v>303</v>
      </c>
      <c r="AC574" s="66">
        <v>44750</v>
      </c>
      <c r="AD574" s="65">
        <v>1324</v>
      </c>
      <c r="AE574" s="17" t="s">
        <v>129</v>
      </c>
      <c r="AH574" s="17" t="s">
        <v>306</v>
      </c>
      <c r="AI574" s="95">
        <f>268742/1000</f>
        <v>268.742</v>
      </c>
    </row>
    <row r="575" s="17" customFormat="1" ht="15.6" hidden="1" spans="1:35">
      <c r="A575" s="17" t="s">
        <v>34</v>
      </c>
      <c r="B575" s="19">
        <v>749</v>
      </c>
      <c r="C575" s="101">
        <v>44545</v>
      </c>
      <c r="D575" s="17" t="s">
        <v>300</v>
      </c>
      <c r="E575" s="17" t="s">
        <v>301</v>
      </c>
      <c r="F575" s="17" t="s">
        <v>300</v>
      </c>
      <c r="H575" s="19">
        <v>1.2379</v>
      </c>
      <c r="I575" s="19"/>
      <c r="J575" s="17" t="s">
        <v>39</v>
      </c>
      <c r="K575" s="17">
        <v>202</v>
      </c>
      <c r="L575" s="91"/>
      <c r="M575" s="19">
        <v>2500</v>
      </c>
      <c r="N575" s="19" t="s">
        <v>40</v>
      </c>
      <c r="O575" s="19" t="s">
        <v>84</v>
      </c>
      <c r="P575" s="122">
        <v>1000</v>
      </c>
      <c r="Q575" s="122">
        <v>1022</v>
      </c>
      <c r="R575" s="95">
        <f>+P575-Q575</f>
        <v>-22</v>
      </c>
      <c r="S575" s="23">
        <v>2900</v>
      </c>
      <c r="T575" s="19" t="s">
        <v>42</v>
      </c>
      <c r="U575" s="102">
        <v>2021006684</v>
      </c>
      <c r="V575" s="64">
        <v>44550</v>
      </c>
      <c r="W575" s="17" t="s">
        <v>44</v>
      </c>
      <c r="Y575" s="68">
        <v>44652</v>
      </c>
      <c r="Z575" s="17" t="s">
        <v>302</v>
      </c>
      <c r="AA575" s="17" t="s">
        <v>46</v>
      </c>
      <c r="AB575" s="17" t="s">
        <v>303</v>
      </c>
      <c r="AC575" s="66">
        <v>44750</v>
      </c>
      <c r="AD575" s="65">
        <v>1324</v>
      </c>
      <c r="AE575" s="17" t="s">
        <v>129</v>
      </c>
      <c r="AH575" s="17" t="s">
        <v>306</v>
      </c>
      <c r="AI575" s="95">
        <f>268742/1000</f>
        <v>268.742</v>
      </c>
    </row>
    <row r="576" s="17" customFormat="1" hidden="1" spans="1:35">
      <c r="A576" s="17" t="s">
        <v>34</v>
      </c>
      <c r="B576" s="19">
        <v>749</v>
      </c>
      <c r="C576" s="101">
        <v>44545</v>
      </c>
      <c r="D576" s="17" t="s">
        <v>300</v>
      </c>
      <c r="E576" s="17" t="s">
        <v>301</v>
      </c>
      <c r="F576" s="17" t="s">
        <v>300</v>
      </c>
      <c r="H576" s="19">
        <v>1.2379</v>
      </c>
      <c r="I576" s="19"/>
      <c r="J576" s="17" t="s">
        <v>39</v>
      </c>
      <c r="K576" s="17">
        <v>222</v>
      </c>
      <c r="L576" s="91"/>
      <c r="M576" s="19">
        <v>2500</v>
      </c>
      <c r="N576" s="19" t="s">
        <v>40</v>
      </c>
      <c r="O576" s="19" t="s">
        <v>84</v>
      </c>
      <c r="P576" s="65">
        <v>1000</v>
      </c>
      <c r="Q576" s="17">
        <v>1813</v>
      </c>
      <c r="R576" s="95">
        <f>+P576-Q576</f>
        <v>-813</v>
      </c>
      <c r="S576" s="23">
        <v>2900</v>
      </c>
      <c r="T576" s="19" t="s">
        <v>42</v>
      </c>
      <c r="U576" s="102">
        <v>2021006684</v>
      </c>
      <c r="V576" s="64">
        <v>44550</v>
      </c>
      <c r="W576" s="17" t="s">
        <v>44</v>
      </c>
      <c r="Y576" s="68">
        <v>44652</v>
      </c>
      <c r="Z576" s="17" t="s">
        <v>302</v>
      </c>
      <c r="AA576" s="17" t="s">
        <v>46</v>
      </c>
      <c r="AB576" s="17" t="s">
        <v>305</v>
      </c>
      <c r="AC576" s="66">
        <v>44902</v>
      </c>
      <c r="AD576" s="65">
        <v>1298</v>
      </c>
      <c r="AE576" s="17" t="s">
        <v>129</v>
      </c>
      <c r="AH576" s="17" t="s">
        <v>306</v>
      </c>
      <c r="AI576" s="95">
        <f>268742/1000</f>
        <v>268.742</v>
      </c>
    </row>
    <row r="577" s="17" customFormat="1" hidden="1" spans="1:35">
      <c r="A577" s="17" t="s">
        <v>34</v>
      </c>
      <c r="B577" s="19">
        <v>749</v>
      </c>
      <c r="C577" s="101">
        <v>44545</v>
      </c>
      <c r="D577" s="17" t="s">
        <v>300</v>
      </c>
      <c r="E577" s="17" t="s">
        <v>301</v>
      </c>
      <c r="F577" s="17" t="s">
        <v>300</v>
      </c>
      <c r="H577" s="124">
        <v>1.208</v>
      </c>
      <c r="I577" s="124"/>
      <c r="J577" s="17" t="s">
        <v>39</v>
      </c>
      <c r="K577" s="17">
        <v>38.6</v>
      </c>
      <c r="L577" s="91"/>
      <c r="M577" s="19">
        <v>3000</v>
      </c>
      <c r="N577" s="19" t="s">
        <v>40</v>
      </c>
      <c r="O577" s="19" t="s">
        <v>84</v>
      </c>
      <c r="P577" s="65">
        <v>3000</v>
      </c>
      <c r="Q577" s="17">
        <v>1690</v>
      </c>
      <c r="S577" s="23">
        <v>2500</v>
      </c>
      <c r="T577" s="19" t="s">
        <v>42</v>
      </c>
      <c r="U577" s="102">
        <v>2021006684</v>
      </c>
      <c r="V577" s="64">
        <v>44550</v>
      </c>
      <c r="W577" s="17" t="s">
        <v>44</v>
      </c>
      <c r="Y577" s="68">
        <v>44652</v>
      </c>
      <c r="Z577" s="17" t="s">
        <v>302</v>
      </c>
      <c r="AA577" s="17" t="s">
        <v>46</v>
      </c>
      <c r="AB577" s="17" t="s">
        <v>305</v>
      </c>
      <c r="AC577" s="66">
        <v>44902</v>
      </c>
      <c r="AD577" s="65">
        <v>1298</v>
      </c>
      <c r="AE577" s="17" t="s">
        <v>74</v>
      </c>
      <c r="AH577" s="17" t="s">
        <v>307</v>
      </c>
      <c r="AI577" s="95">
        <f>234616/1000</f>
        <v>234.616</v>
      </c>
    </row>
    <row r="578" s="17" customFormat="1" hidden="1" spans="1:35">
      <c r="A578" s="17" t="s">
        <v>34</v>
      </c>
      <c r="B578" s="19">
        <v>749</v>
      </c>
      <c r="C578" s="101">
        <v>44545</v>
      </c>
      <c r="D578" s="17" t="s">
        <v>300</v>
      </c>
      <c r="E578" s="17" t="s">
        <v>301</v>
      </c>
      <c r="F578" s="17" t="s">
        <v>300</v>
      </c>
      <c r="H578" s="124">
        <v>1.208</v>
      </c>
      <c r="I578" s="124"/>
      <c r="J578" s="17" t="s">
        <v>39</v>
      </c>
      <c r="K578" s="17">
        <v>38.6</v>
      </c>
      <c r="L578" s="91"/>
      <c r="M578" s="19">
        <v>3000</v>
      </c>
      <c r="N578" s="19" t="s">
        <v>40</v>
      </c>
      <c r="O578" s="19" t="s">
        <v>84</v>
      </c>
      <c r="P578" s="65"/>
      <c r="Q578" s="17">
        <v>1631</v>
      </c>
      <c r="R578" s="95">
        <f>+P577-Q577-Q578</f>
        <v>-321</v>
      </c>
      <c r="S578" s="23">
        <v>2500</v>
      </c>
      <c r="T578" s="19" t="s">
        <v>42</v>
      </c>
      <c r="U578" s="102">
        <v>2021006684</v>
      </c>
      <c r="V578" s="64">
        <v>44550</v>
      </c>
      <c r="W578" s="17" t="s">
        <v>44</v>
      </c>
      <c r="Y578" s="68">
        <v>44652</v>
      </c>
      <c r="Z578" s="17" t="s">
        <v>302</v>
      </c>
      <c r="AA578" s="17" t="s">
        <v>46</v>
      </c>
      <c r="AB578" s="17" t="s">
        <v>303</v>
      </c>
      <c r="AC578" s="66">
        <v>44750</v>
      </c>
      <c r="AD578" s="65">
        <v>1324</v>
      </c>
      <c r="AE578" s="17" t="s">
        <v>74</v>
      </c>
      <c r="AI578" s="95"/>
    </row>
    <row r="579" s="17" customFormat="1" hidden="1" spans="1:35">
      <c r="A579" s="17" t="s">
        <v>34</v>
      </c>
      <c r="B579" s="19">
        <v>750</v>
      </c>
      <c r="C579" s="64">
        <v>44552</v>
      </c>
      <c r="D579" s="17" t="s">
        <v>35</v>
      </c>
      <c r="E579" s="17" t="s">
        <v>71</v>
      </c>
      <c r="F579" s="17" t="s">
        <v>72</v>
      </c>
      <c r="H579" s="65">
        <v>1.2379</v>
      </c>
      <c r="I579" s="65"/>
      <c r="J579" s="17" t="s">
        <v>82</v>
      </c>
      <c r="K579" s="19">
        <v>130</v>
      </c>
      <c r="L579" s="19">
        <v>13</v>
      </c>
      <c r="N579" s="17" t="s">
        <v>40</v>
      </c>
      <c r="O579" s="19" t="s">
        <v>141</v>
      </c>
      <c r="P579" s="17">
        <v>1200</v>
      </c>
      <c r="Q579" s="17">
        <v>1045</v>
      </c>
      <c r="R579" s="95">
        <f t="shared" ref="R579:R611" si="34">+P579-Q579</f>
        <v>155</v>
      </c>
      <c r="S579" s="17">
        <v>3050</v>
      </c>
      <c r="T579" s="19" t="s">
        <v>42</v>
      </c>
      <c r="U579" s="17" t="s">
        <v>308</v>
      </c>
      <c r="V579" s="64">
        <v>44552</v>
      </c>
      <c r="W579" s="17" t="s">
        <v>44</v>
      </c>
      <c r="Y579" s="68">
        <v>44593</v>
      </c>
      <c r="Z579" s="17" t="s">
        <v>309</v>
      </c>
      <c r="AA579" s="17" t="s">
        <v>46</v>
      </c>
      <c r="AB579" s="17" t="s">
        <v>310</v>
      </c>
      <c r="AC579" s="66">
        <v>44629</v>
      </c>
      <c r="AD579" s="65">
        <v>1270</v>
      </c>
      <c r="AE579" s="17" t="s">
        <v>129</v>
      </c>
      <c r="AH579" s="17" t="s">
        <v>304</v>
      </c>
      <c r="AI579" s="95">
        <f t="shared" ref="AI579:AI596" si="35">277274/1000</f>
        <v>277.274</v>
      </c>
    </row>
    <row r="580" s="17" customFormat="1" hidden="1" spans="1:35">
      <c r="A580" s="17" t="s">
        <v>34</v>
      </c>
      <c r="B580" s="19">
        <v>750</v>
      </c>
      <c r="C580" s="64">
        <v>44552</v>
      </c>
      <c r="D580" s="17" t="s">
        <v>35</v>
      </c>
      <c r="E580" s="17" t="s">
        <v>71</v>
      </c>
      <c r="F580" s="17" t="s">
        <v>72</v>
      </c>
      <c r="H580" s="65">
        <v>1.2379</v>
      </c>
      <c r="I580" s="65"/>
      <c r="J580" s="17" t="s">
        <v>82</v>
      </c>
      <c r="K580" s="19">
        <v>80</v>
      </c>
      <c r="L580" s="19">
        <v>20</v>
      </c>
      <c r="N580" s="17" t="s">
        <v>40</v>
      </c>
      <c r="O580" s="19" t="s">
        <v>141</v>
      </c>
      <c r="P580" s="17">
        <v>1200</v>
      </c>
      <c r="Q580" s="17">
        <f>65+535+95+915</f>
        <v>1610</v>
      </c>
      <c r="R580" s="95">
        <f t="shared" si="34"/>
        <v>-410</v>
      </c>
      <c r="S580" s="17">
        <v>3050</v>
      </c>
      <c r="T580" s="19" t="s">
        <v>42</v>
      </c>
      <c r="U580" s="17" t="s">
        <v>308</v>
      </c>
      <c r="V580" s="64">
        <v>44552</v>
      </c>
      <c r="W580" s="17" t="s">
        <v>44</v>
      </c>
      <c r="Y580" s="68">
        <v>44593</v>
      </c>
      <c r="Z580" s="17" t="s">
        <v>309</v>
      </c>
      <c r="AA580" s="17" t="s">
        <v>46</v>
      </c>
      <c r="AB580" s="17" t="s">
        <v>310</v>
      </c>
      <c r="AC580" s="66">
        <v>44629</v>
      </c>
      <c r="AD580" s="65">
        <v>1270</v>
      </c>
      <c r="AE580" s="17" t="s">
        <v>129</v>
      </c>
      <c r="AH580" s="17" t="s">
        <v>304</v>
      </c>
      <c r="AI580" s="95">
        <f t="shared" si="35"/>
        <v>277.274</v>
      </c>
    </row>
    <row r="581" s="17" customFormat="1" hidden="1" spans="1:35">
      <c r="A581" s="17" t="s">
        <v>34</v>
      </c>
      <c r="B581" s="19">
        <v>750</v>
      </c>
      <c r="C581" s="64">
        <v>44552</v>
      </c>
      <c r="D581" s="17" t="s">
        <v>35</v>
      </c>
      <c r="E581" s="17" t="s">
        <v>71</v>
      </c>
      <c r="F581" s="17" t="s">
        <v>72</v>
      </c>
      <c r="H581" s="65">
        <v>1.2379</v>
      </c>
      <c r="I581" s="65"/>
      <c r="J581" s="17" t="s">
        <v>82</v>
      </c>
      <c r="K581" s="19">
        <v>105</v>
      </c>
      <c r="L581" s="19">
        <v>20</v>
      </c>
      <c r="N581" s="17" t="s">
        <v>40</v>
      </c>
      <c r="O581" s="19" t="s">
        <v>141</v>
      </c>
      <c r="P581" s="17">
        <v>1200</v>
      </c>
      <c r="Q581" s="17">
        <v>1275</v>
      </c>
      <c r="R581" s="95">
        <f t="shared" si="34"/>
        <v>-75</v>
      </c>
      <c r="S581" s="17">
        <v>3050</v>
      </c>
      <c r="T581" s="19" t="s">
        <v>42</v>
      </c>
      <c r="U581" s="17" t="s">
        <v>308</v>
      </c>
      <c r="V581" s="64">
        <v>44552</v>
      </c>
      <c r="W581" s="17" t="s">
        <v>44</v>
      </c>
      <c r="Y581" s="68">
        <v>44593</v>
      </c>
      <c r="Z581" s="17" t="s">
        <v>309</v>
      </c>
      <c r="AA581" s="17" t="s">
        <v>46</v>
      </c>
      <c r="AB581" s="17" t="s">
        <v>310</v>
      </c>
      <c r="AC581" s="66">
        <v>44629</v>
      </c>
      <c r="AD581" s="65">
        <v>1270</v>
      </c>
      <c r="AE581" s="17" t="s">
        <v>129</v>
      </c>
      <c r="AH581" s="17" t="s">
        <v>304</v>
      </c>
      <c r="AI581" s="95">
        <f t="shared" si="35"/>
        <v>277.274</v>
      </c>
    </row>
    <row r="582" s="17" customFormat="1" hidden="1" spans="1:35">
      <c r="A582" s="17" t="s">
        <v>34</v>
      </c>
      <c r="B582" s="19">
        <v>750</v>
      </c>
      <c r="C582" s="64">
        <v>44552</v>
      </c>
      <c r="D582" s="17" t="s">
        <v>35</v>
      </c>
      <c r="E582" s="17" t="s">
        <v>71</v>
      </c>
      <c r="F582" s="17" t="s">
        <v>72</v>
      </c>
      <c r="H582" s="65">
        <v>1.2379</v>
      </c>
      <c r="I582" s="65"/>
      <c r="J582" s="17" t="s">
        <v>82</v>
      </c>
      <c r="K582" s="19">
        <v>130</v>
      </c>
      <c r="L582" s="19">
        <v>20</v>
      </c>
      <c r="N582" s="17" t="s">
        <v>40</v>
      </c>
      <c r="O582" s="19" t="s">
        <v>141</v>
      </c>
      <c r="P582" s="17">
        <v>1200</v>
      </c>
      <c r="Q582" s="17">
        <v>1050</v>
      </c>
      <c r="R582" s="95">
        <f t="shared" si="34"/>
        <v>150</v>
      </c>
      <c r="S582" s="17">
        <v>3050</v>
      </c>
      <c r="T582" s="19" t="s">
        <v>42</v>
      </c>
      <c r="U582" s="17" t="s">
        <v>308</v>
      </c>
      <c r="V582" s="64">
        <v>44552</v>
      </c>
      <c r="W582" s="17" t="s">
        <v>44</v>
      </c>
      <c r="Y582" s="68">
        <v>44593</v>
      </c>
      <c r="Z582" s="17" t="s">
        <v>309</v>
      </c>
      <c r="AA582" s="17" t="s">
        <v>46</v>
      </c>
      <c r="AB582" s="17" t="s">
        <v>310</v>
      </c>
      <c r="AC582" s="66">
        <v>44629</v>
      </c>
      <c r="AD582" s="65">
        <v>1270</v>
      </c>
      <c r="AE582" s="17" t="s">
        <v>129</v>
      </c>
      <c r="AH582" s="17" t="s">
        <v>304</v>
      </c>
      <c r="AI582" s="95">
        <f t="shared" si="35"/>
        <v>277.274</v>
      </c>
    </row>
    <row r="583" s="17" customFormat="1" hidden="1" spans="1:35">
      <c r="A583" s="17" t="s">
        <v>34</v>
      </c>
      <c r="B583" s="19">
        <v>750</v>
      </c>
      <c r="C583" s="64">
        <v>44552</v>
      </c>
      <c r="D583" s="17" t="s">
        <v>35</v>
      </c>
      <c r="E583" s="17" t="s">
        <v>71</v>
      </c>
      <c r="F583" s="17" t="s">
        <v>72</v>
      </c>
      <c r="H583" s="65">
        <v>1.2379</v>
      </c>
      <c r="I583" s="65"/>
      <c r="J583" s="17" t="s">
        <v>82</v>
      </c>
      <c r="K583" s="19">
        <v>155</v>
      </c>
      <c r="L583" s="19">
        <v>20</v>
      </c>
      <c r="N583" s="17" t="s">
        <v>40</v>
      </c>
      <c r="O583" s="19" t="s">
        <v>141</v>
      </c>
      <c r="P583" s="17">
        <v>3600</v>
      </c>
      <c r="Q583" s="17">
        <f>1015+1035+1045</f>
        <v>3095</v>
      </c>
      <c r="R583" s="95">
        <f t="shared" si="34"/>
        <v>505</v>
      </c>
      <c r="S583" s="17">
        <v>3050</v>
      </c>
      <c r="T583" s="19" t="s">
        <v>42</v>
      </c>
      <c r="U583" s="17" t="s">
        <v>308</v>
      </c>
      <c r="V583" s="64">
        <v>44552</v>
      </c>
      <c r="W583" s="17" t="s">
        <v>44</v>
      </c>
      <c r="Y583" s="68">
        <v>44593</v>
      </c>
      <c r="Z583" s="17" t="s">
        <v>309</v>
      </c>
      <c r="AA583" s="17" t="s">
        <v>46</v>
      </c>
      <c r="AB583" s="17" t="s">
        <v>310</v>
      </c>
      <c r="AC583" s="66">
        <v>44629</v>
      </c>
      <c r="AD583" s="65">
        <v>1270</v>
      </c>
      <c r="AE583" s="17" t="s">
        <v>129</v>
      </c>
      <c r="AH583" s="17" t="s">
        <v>304</v>
      </c>
      <c r="AI583" s="95">
        <f t="shared" si="35"/>
        <v>277.274</v>
      </c>
    </row>
    <row r="584" s="17" customFormat="1" hidden="1" spans="1:35">
      <c r="A584" s="17" t="s">
        <v>34</v>
      </c>
      <c r="B584" s="19">
        <v>750</v>
      </c>
      <c r="C584" s="64">
        <v>44552</v>
      </c>
      <c r="D584" s="17" t="s">
        <v>35</v>
      </c>
      <c r="E584" s="17" t="s">
        <v>71</v>
      </c>
      <c r="F584" s="17" t="s">
        <v>72</v>
      </c>
      <c r="H584" s="65">
        <v>1.2379</v>
      </c>
      <c r="I584" s="65"/>
      <c r="J584" s="17" t="s">
        <v>82</v>
      </c>
      <c r="K584" s="19">
        <v>205</v>
      </c>
      <c r="L584" s="19">
        <v>20</v>
      </c>
      <c r="N584" s="17" t="s">
        <v>40</v>
      </c>
      <c r="O584" s="19" t="s">
        <v>141</v>
      </c>
      <c r="P584" s="17">
        <v>1200</v>
      </c>
      <c r="Q584" s="17">
        <v>760</v>
      </c>
      <c r="R584" s="95">
        <f t="shared" si="34"/>
        <v>440</v>
      </c>
      <c r="S584" s="17">
        <v>3050</v>
      </c>
      <c r="T584" s="19" t="s">
        <v>42</v>
      </c>
      <c r="U584" s="17" t="s">
        <v>308</v>
      </c>
      <c r="V584" s="64">
        <v>44552</v>
      </c>
      <c r="W584" s="17" t="s">
        <v>44</v>
      </c>
      <c r="Y584" s="68">
        <v>44593</v>
      </c>
      <c r="Z584" s="17" t="s">
        <v>309</v>
      </c>
      <c r="AA584" s="17" t="s">
        <v>46</v>
      </c>
      <c r="AB584" s="17" t="s">
        <v>310</v>
      </c>
      <c r="AC584" s="66">
        <v>44629</v>
      </c>
      <c r="AD584" s="65">
        <v>1270</v>
      </c>
      <c r="AE584" s="17" t="s">
        <v>129</v>
      </c>
      <c r="AH584" s="17" t="s">
        <v>304</v>
      </c>
      <c r="AI584" s="95">
        <f t="shared" si="35"/>
        <v>277.274</v>
      </c>
    </row>
    <row r="585" s="17" customFormat="1" hidden="1" spans="1:35">
      <c r="A585" s="17" t="s">
        <v>34</v>
      </c>
      <c r="B585" s="19">
        <v>750</v>
      </c>
      <c r="C585" s="64">
        <v>44552</v>
      </c>
      <c r="D585" s="17" t="s">
        <v>35</v>
      </c>
      <c r="E585" s="17" t="s">
        <v>71</v>
      </c>
      <c r="F585" s="17" t="s">
        <v>72</v>
      </c>
      <c r="H585" s="65">
        <v>1.2379</v>
      </c>
      <c r="I585" s="65"/>
      <c r="J585" s="17" t="s">
        <v>82</v>
      </c>
      <c r="K585" s="19">
        <v>105</v>
      </c>
      <c r="L585" s="19">
        <v>26</v>
      </c>
      <c r="N585" s="17" t="s">
        <v>40</v>
      </c>
      <c r="O585" s="19" t="s">
        <v>141</v>
      </c>
      <c r="P585" s="17">
        <v>1200</v>
      </c>
      <c r="Q585" s="17">
        <v>1080</v>
      </c>
      <c r="R585" s="95">
        <f t="shared" si="34"/>
        <v>120</v>
      </c>
      <c r="S585" s="17">
        <v>3050</v>
      </c>
      <c r="T585" s="19" t="s">
        <v>42</v>
      </c>
      <c r="U585" s="17" t="s">
        <v>308</v>
      </c>
      <c r="V585" s="64">
        <v>44552</v>
      </c>
      <c r="W585" s="17" t="s">
        <v>44</v>
      </c>
      <c r="Y585" s="68">
        <v>44593</v>
      </c>
      <c r="Z585" s="17" t="s">
        <v>309</v>
      </c>
      <c r="AA585" s="17" t="s">
        <v>46</v>
      </c>
      <c r="AB585" s="17" t="s">
        <v>310</v>
      </c>
      <c r="AC585" s="66">
        <v>44629</v>
      </c>
      <c r="AD585" s="65">
        <v>1270</v>
      </c>
      <c r="AE585" s="17" t="s">
        <v>129</v>
      </c>
      <c r="AH585" s="17" t="s">
        <v>304</v>
      </c>
      <c r="AI585" s="95">
        <f t="shared" si="35"/>
        <v>277.274</v>
      </c>
    </row>
    <row r="586" s="17" customFormat="1" hidden="1" spans="1:35">
      <c r="A586" s="17" t="s">
        <v>34</v>
      </c>
      <c r="B586" s="19">
        <v>750</v>
      </c>
      <c r="C586" s="64">
        <v>44552</v>
      </c>
      <c r="D586" s="17" t="s">
        <v>35</v>
      </c>
      <c r="E586" s="17" t="s">
        <v>71</v>
      </c>
      <c r="F586" s="17" t="s">
        <v>72</v>
      </c>
      <c r="H586" s="65">
        <v>1.2379</v>
      </c>
      <c r="I586" s="65"/>
      <c r="J586" s="17" t="s">
        <v>82</v>
      </c>
      <c r="K586" s="19">
        <v>130</v>
      </c>
      <c r="L586" s="19">
        <v>26</v>
      </c>
      <c r="N586" s="17" t="s">
        <v>40</v>
      </c>
      <c r="O586" s="19" t="s">
        <v>141</v>
      </c>
      <c r="P586" s="17">
        <v>1200</v>
      </c>
      <c r="Q586" s="17">
        <v>1070</v>
      </c>
      <c r="R586" s="95">
        <f t="shared" si="34"/>
        <v>130</v>
      </c>
      <c r="S586" s="17">
        <v>3050</v>
      </c>
      <c r="T586" s="19" t="s">
        <v>42</v>
      </c>
      <c r="U586" s="17" t="s">
        <v>308</v>
      </c>
      <c r="V586" s="64">
        <v>44552</v>
      </c>
      <c r="W586" s="17" t="s">
        <v>44</v>
      </c>
      <c r="Y586" s="68">
        <v>44593</v>
      </c>
      <c r="Z586" s="17" t="s">
        <v>309</v>
      </c>
      <c r="AA586" s="17" t="s">
        <v>46</v>
      </c>
      <c r="AB586" s="17" t="s">
        <v>310</v>
      </c>
      <c r="AC586" s="66">
        <v>44629</v>
      </c>
      <c r="AD586" s="65">
        <v>1270</v>
      </c>
      <c r="AE586" s="17" t="s">
        <v>129</v>
      </c>
      <c r="AH586" s="17" t="s">
        <v>304</v>
      </c>
      <c r="AI586" s="95">
        <f t="shared" si="35"/>
        <v>277.274</v>
      </c>
    </row>
    <row r="587" s="17" customFormat="1" hidden="1" spans="1:35">
      <c r="A587" s="17" t="s">
        <v>34</v>
      </c>
      <c r="B587" s="19">
        <v>750</v>
      </c>
      <c r="C587" s="64">
        <v>44552</v>
      </c>
      <c r="D587" s="17" t="s">
        <v>35</v>
      </c>
      <c r="E587" s="17" t="s">
        <v>71</v>
      </c>
      <c r="F587" s="17" t="s">
        <v>72</v>
      </c>
      <c r="H587" s="65">
        <v>1.2379</v>
      </c>
      <c r="I587" s="65"/>
      <c r="J587" s="17" t="s">
        <v>82</v>
      </c>
      <c r="K587" s="19">
        <v>155</v>
      </c>
      <c r="L587" s="19">
        <v>26</v>
      </c>
      <c r="N587" s="17" t="s">
        <v>40</v>
      </c>
      <c r="O587" s="19" t="s">
        <v>141</v>
      </c>
      <c r="P587" s="17">
        <v>1200</v>
      </c>
      <c r="Q587" s="17">
        <v>935</v>
      </c>
      <c r="R587" s="95">
        <f t="shared" si="34"/>
        <v>265</v>
      </c>
      <c r="S587" s="17">
        <v>3050</v>
      </c>
      <c r="T587" s="19" t="s">
        <v>42</v>
      </c>
      <c r="U587" s="17" t="s">
        <v>308</v>
      </c>
      <c r="V587" s="64">
        <v>44552</v>
      </c>
      <c r="W587" s="17" t="s">
        <v>44</v>
      </c>
      <c r="Y587" s="68">
        <v>44593</v>
      </c>
      <c r="Z587" s="17" t="s">
        <v>309</v>
      </c>
      <c r="AA587" s="17" t="s">
        <v>46</v>
      </c>
      <c r="AB587" s="17" t="s">
        <v>310</v>
      </c>
      <c r="AC587" s="66">
        <v>44629</v>
      </c>
      <c r="AD587" s="65">
        <v>1270</v>
      </c>
      <c r="AE587" s="17" t="s">
        <v>129</v>
      </c>
      <c r="AH587" s="17" t="s">
        <v>304</v>
      </c>
      <c r="AI587" s="95">
        <f t="shared" si="35"/>
        <v>277.274</v>
      </c>
    </row>
    <row r="588" s="17" customFormat="1" hidden="1" spans="1:35">
      <c r="A588" s="17" t="s">
        <v>34</v>
      </c>
      <c r="B588" s="19">
        <v>750</v>
      </c>
      <c r="C588" s="64">
        <v>44552</v>
      </c>
      <c r="D588" s="17" t="s">
        <v>35</v>
      </c>
      <c r="E588" s="17" t="s">
        <v>71</v>
      </c>
      <c r="F588" s="17" t="s">
        <v>72</v>
      </c>
      <c r="H588" s="65">
        <v>1.2379</v>
      </c>
      <c r="I588" s="65"/>
      <c r="J588" s="17" t="s">
        <v>82</v>
      </c>
      <c r="K588" s="19">
        <v>205</v>
      </c>
      <c r="L588" s="19">
        <v>26</v>
      </c>
      <c r="N588" s="17" t="s">
        <v>40</v>
      </c>
      <c r="O588" s="19" t="s">
        <v>141</v>
      </c>
      <c r="P588" s="17">
        <v>1200</v>
      </c>
      <c r="Q588" s="17">
        <v>970</v>
      </c>
      <c r="R588" s="95">
        <f t="shared" si="34"/>
        <v>230</v>
      </c>
      <c r="S588" s="17">
        <v>3050</v>
      </c>
      <c r="T588" s="19" t="s">
        <v>42</v>
      </c>
      <c r="U588" s="17" t="s">
        <v>308</v>
      </c>
      <c r="V588" s="64">
        <v>44552</v>
      </c>
      <c r="W588" s="17" t="s">
        <v>44</v>
      </c>
      <c r="Y588" s="68">
        <v>44593</v>
      </c>
      <c r="Z588" s="17" t="s">
        <v>309</v>
      </c>
      <c r="AA588" s="17" t="s">
        <v>46</v>
      </c>
      <c r="AB588" s="17" t="s">
        <v>310</v>
      </c>
      <c r="AC588" s="66">
        <v>44629</v>
      </c>
      <c r="AD588" s="65">
        <v>1270</v>
      </c>
      <c r="AE588" s="17" t="s">
        <v>129</v>
      </c>
      <c r="AH588" s="17" t="s">
        <v>304</v>
      </c>
      <c r="AI588" s="95">
        <f t="shared" si="35"/>
        <v>277.274</v>
      </c>
    </row>
    <row r="589" s="17" customFormat="1" hidden="1" spans="1:35">
      <c r="A589" s="17" t="s">
        <v>34</v>
      </c>
      <c r="B589" s="19">
        <v>750</v>
      </c>
      <c r="C589" s="64">
        <v>44552</v>
      </c>
      <c r="D589" s="17" t="s">
        <v>35</v>
      </c>
      <c r="E589" s="17" t="s">
        <v>71</v>
      </c>
      <c r="F589" s="17" t="s">
        <v>72</v>
      </c>
      <c r="H589" s="65">
        <v>1.2379</v>
      </c>
      <c r="I589" s="65"/>
      <c r="J589" s="17" t="s">
        <v>82</v>
      </c>
      <c r="K589" s="19">
        <v>105</v>
      </c>
      <c r="L589" s="19">
        <v>32</v>
      </c>
      <c r="N589" s="17" t="s">
        <v>40</v>
      </c>
      <c r="O589" s="19" t="s">
        <v>141</v>
      </c>
      <c r="P589" s="17">
        <v>1200</v>
      </c>
      <c r="Q589" s="17">
        <v>1110</v>
      </c>
      <c r="R589" s="95">
        <f t="shared" si="34"/>
        <v>90</v>
      </c>
      <c r="S589" s="17">
        <v>3050</v>
      </c>
      <c r="T589" s="19" t="s">
        <v>42</v>
      </c>
      <c r="U589" s="17" t="s">
        <v>308</v>
      </c>
      <c r="V589" s="64">
        <v>44552</v>
      </c>
      <c r="W589" s="17" t="s">
        <v>44</v>
      </c>
      <c r="Y589" s="68">
        <v>44593</v>
      </c>
      <c r="Z589" s="17" t="s">
        <v>309</v>
      </c>
      <c r="AA589" s="17" t="s">
        <v>46</v>
      </c>
      <c r="AB589" s="17" t="s">
        <v>310</v>
      </c>
      <c r="AC589" s="66">
        <v>44629</v>
      </c>
      <c r="AD589" s="65">
        <v>1270</v>
      </c>
      <c r="AE589" s="17" t="s">
        <v>129</v>
      </c>
      <c r="AH589" s="17" t="s">
        <v>304</v>
      </c>
      <c r="AI589" s="95">
        <f t="shared" si="35"/>
        <v>277.274</v>
      </c>
    </row>
    <row r="590" s="17" customFormat="1" hidden="1" spans="1:35">
      <c r="A590" s="17" t="s">
        <v>34</v>
      </c>
      <c r="B590" s="19">
        <v>750</v>
      </c>
      <c r="C590" s="64">
        <v>44552</v>
      </c>
      <c r="D590" s="17" t="s">
        <v>35</v>
      </c>
      <c r="E590" s="17" t="s">
        <v>71</v>
      </c>
      <c r="F590" s="17" t="s">
        <v>72</v>
      </c>
      <c r="H590" s="65">
        <v>1.2379</v>
      </c>
      <c r="I590" s="65"/>
      <c r="J590" s="17" t="s">
        <v>82</v>
      </c>
      <c r="K590" s="19">
        <v>130</v>
      </c>
      <c r="L590" s="19">
        <v>32</v>
      </c>
      <c r="N590" s="17" t="s">
        <v>40</v>
      </c>
      <c r="O590" s="19" t="s">
        <v>141</v>
      </c>
      <c r="P590" s="17">
        <v>1200</v>
      </c>
      <c r="Q590" s="17">
        <v>1135</v>
      </c>
      <c r="R590" s="95">
        <f t="shared" si="34"/>
        <v>65</v>
      </c>
      <c r="S590" s="17">
        <v>3050</v>
      </c>
      <c r="T590" s="19" t="s">
        <v>42</v>
      </c>
      <c r="U590" s="17" t="s">
        <v>308</v>
      </c>
      <c r="V590" s="64">
        <v>44552</v>
      </c>
      <c r="W590" s="17" t="s">
        <v>44</v>
      </c>
      <c r="Y590" s="68">
        <v>44593</v>
      </c>
      <c r="Z590" s="17" t="s">
        <v>309</v>
      </c>
      <c r="AA590" s="17" t="s">
        <v>46</v>
      </c>
      <c r="AB590" s="17" t="s">
        <v>310</v>
      </c>
      <c r="AC590" s="66">
        <v>44629</v>
      </c>
      <c r="AD590" s="65">
        <v>1270</v>
      </c>
      <c r="AE590" s="17" t="s">
        <v>129</v>
      </c>
      <c r="AH590" s="17" t="s">
        <v>304</v>
      </c>
      <c r="AI590" s="95">
        <f t="shared" si="35"/>
        <v>277.274</v>
      </c>
    </row>
    <row r="591" s="17" customFormat="1" hidden="1" spans="1:35">
      <c r="A591" s="17" t="s">
        <v>34</v>
      </c>
      <c r="B591" s="19">
        <v>750</v>
      </c>
      <c r="C591" s="64">
        <v>44552</v>
      </c>
      <c r="D591" s="17" t="s">
        <v>35</v>
      </c>
      <c r="E591" s="17" t="s">
        <v>71</v>
      </c>
      <c r="F591" s="17" t="s">
        <v>72</v>
      </c>
      <c r="H591" s="65">
        <v>1.2379</v>
      </c>
      <c r="I591" s="65"/>
      <c r="J591" s="17" t="s">
        <v>82</v>
      </c>
      <c r="K591" s="19">
        <v>155</v>
      </c>
      <c r="L591" s="19">
        <v>32</v>
      </c>
      <c r="N591" s="17" t="s">
        <v>40</v>
      </c>
      <c r="O591" s="19" t="s">
        <v>141</v>
      </c>
      <c r="P591" s="17">
        <v>1200</v>
      </c>
      <c r="Q591" s="17">
        <v>1040</v>
      </c>
      <c r="R591" s="95">
        <f t="shared" si="34"/>
        <v>160</v>
      </c>
      <c r="S591" s="17">
        <v>3050</v>
      </c>
      <c r="T591" s="19" t="s">
        <v>42</v>
      </c>
      <c r="U591" s="17" t="s">
        <v>308</v>
      </c>
      <c r="V591" s="64">
        <v>44552</v>
      </c>
      <c r="W591" s="17" t="s">
        <v>44</v>
      </c>
      <c r="Y591" s="68">
        <v>44593</v>
      </c>
      <c r="Z591" s="17" t="s">
        <v>309</v>
      </c>
      <c r="AA591" s="17" t="s">
        <v>46</v>
      </c>
      <c r="AB591" s="17" t="s">
        <v>310</v>
      </c>
      <c r="AC591" s="66">
        <v>44629</v>
      </c>
      <c r="AD591" s="65">
        <v>1270</v>
      </c>
      <c r="AE591" s="17" t="s">
        <v>129</v>
      </c>
      <c r="AH591" s="17" t="s">
        <v>304</v>
      </c>
      <c r="AI591" s="95">
        <f t="shared" si="35"/>
        <v>277.274</v>
      </c>
    </row>
    <row r="592" s="17" customFormat="1" hidden="1" spans="1:35">
      <c r="A592" s="17" t="s">
        <v>34</v>
      </c>
      <c r="B592" s="19">
        <v>750</v>
      </c>
      <c r="C592" s="64">
        <v>44552</v>
      </c>
      <c r="D592" s="17" t="s">
        <v>35</v>
      </c>
      <c r="E592" s="17" t="s">
        <v>71</v>
      </c>
      <c r="F592" s="17" t="s">
        <v>72</v>
      </c>
      <c r="H592" s="65">
        <v>1.2379</v>
      </c>
      <c r="I592" s="65"/>
      <c r="J592" s="17" t="s">
        <v>82</v>
      </c>
      <c r="K592" s="19">
        <v>205</v>
      </c>
      <c r="L592" s="19">
        <v>32</v>
      </c>
      <c r="N592" s="17" t="s">
        <v>40</v>
      </c>
      <c r="O592" s="19" t="s">
        <v>141</v>
      </c>
      <c r="P592" s="17">
        <v>1200</v>
      </c>
      <c r="Q592" s="17">
        <v>1095</v>
      </c>
      <c r="R592" s="95">
        <f t="shared" si="34"/>
        <v>105</v>
      </c>
      <c r="S592" s="17">
        <v>3050</v>
      </c>
      <c r="T592" s="19" t="s">
        <v>42</v>
      </c>
      <c r="U592" s="17" t="s">
        <v>308</v>
      </c>
      <c r="V592" s="64">
        <v>44552</v>
      </c>
      <c r="W592" s="17" t="s">
        <v>44</v>
      </c>
      <c r="Y592" s="68">
        <v>44593</v>
      </c>
      <c r="Z592" s="17" t="s">
        <v>309</v>
      </c>
      <c r="AA592" s="17" t="s">
        <v>46</v>
      </c>
      <c r="AB592" s="17" t="s">
        <v>310</v>
      </c>
      <c r="AC592" s="66">
        <v>44629</v>
      </c>
      <c r="AD592" s="65">
        <v>1270</v>
      </c>
      <c r="AE592" s="17" t="s">
        <v>129</v>
      </c>
      <c r="AH592" s="17" t="s">
        <v>304</v>
      </c>
      <c r="AI592" s="95">
        <f t="shared" si="35"/>
        <v>277.274</v>
      </c>
    </row>
    <row r="593" s="17" customFormat="1" hidden="1" spans="1:35">
      <c r="A593" s="17" t="s">
        <v>34</v>
      </c>
      <c r="B593" s="19">
        <v>750</v>
      </c>
      <c r="C593" s="64">
        <v>44552</v>
      </c>
      <c r="D593" s="17" t="s">
        <v>35</v>
      </c>
      <c r="E593" s="17" t="s">
        <v>71</v>
      </c>
      <c r="F593" s="17" t="s">
        <v>72</v>
      </c>
      <c r="H593" s="65">
        <v>1.2379</v>
      </c>
      <c r="I593" s="65"/>
      <c r="J593" s="17" t="s">
        <v>82</v>
      </c>
      <c r="K593" s="19">
        <v>155</v>
      </c>
      <c r="L593" s="19">
        <v>40</v>
      </c>
      <c r="N593" s="17" t="s">
        <v>40</v>
      </c>
      <c r="O593" s="19" t="s">
        <v>141</v>
      </c>
      <c r="P593" s="17">
        <v>1200</v>
      </c>
      <c r="Q593" s="17">
        <v>1065</v>
      </c>
      <c r="R593" s="95">
        <f t="shared" si="34"/>
        <v>135</v>
      </c>
      <c r="S593" s="17">
        <v>3050</v>
      </c>
      <c r="T593" s="19" t="s">
        <v>42</v>
      </c>
      <c r="U593" s="17" t="s">
        <v>308</v>
      </c>
      <c r="V593" s="64">
        <v>44552</v>
      </c>
      <c r="W593" s="17" t="s">
        <v>44</v>
      </c>
      <c r="Y593" s="68">
        <v>44593</v>
      </c>
      <c r="Z593" s="17" t="s">
        <v>309</v>
      </c>
      <c r="AA593" s="17" t="s">
        <v>46</v>
      </c>
      <c r="AB593" s="17" t="s">
        <v>310</v>
      </c>
      <c r="AC593" s="66">
        <v>44629</v>
      </c>
      <c r="AD593" s="65">
        <v>1270</v>
      </c>
      <c r="AE593" s="17" t="s">
        <v>129</v>
      </c>
      <c r="AH593" s="17" t="s">
        <v>304</v>
      </c>
      <c r="AI593" s="95">
        <f t="shared" si="35"/>
        <v>277.274</v>
      </c>
    </row>
    <row r="594" s="17" customFormat="1" hidden="1" spans="1:35">
      <c r="A594" s="17" t="s">
        <v>34</v>
      </c>
      <c r="B594" s="19">
        <v>750</v>
      </c>
      <c r="C594" s="64">
        <v>44552</v>
      </c>
      <c r="D594" s="17" t="s">
        <v>35</v>
      </c>
      <c r="E594" s="17" t="s">
        <v>71</v>
      </c>
      <c r="F594" s="17" t="s">
        <v>72</v>
      </c>
      <c r="H594" s="65">
        <v>1.2379</v>
      </c>
      <c r="I594" s="65"/>
      <c r="J594" s="17" t="s">
        <v>82</v>
      </c>
      <c r="K594" s="19">
        <v>205</v>
      </c>
      <c r="L594" s="19">
        <v>40</v>
      </c>
      <c r="N594" s="17" t="s">
        <v>40</v>
      </c>
      <c r="O594" s="19" t="s">
        <v>141</v>
      </c>
      <c r="P594" s="17">
        <v>1200</v>
      </c>
      <c r="Q594" s="17">
        <v>1125</v>
      </c>
      <c r="R594" s="95">
        <f t="shared" si="34"/>
        <v>75</v>
      </c>
      <c r="S594" s="17">
        <v>3050</v>
      </c>
      <c r="T594" s="19" t="s">
        <v>42</v>
      </c>
      <c r="U594" s="17" t="s">
        <v>308</v>
      </c>
      <c r="V594" s="64">
        <v>44552</v>
      </c>
      <c r="W594" s="17" t="s">
        <v>44</v>
      </c>
      <c r="Y594" s="68">
        <v>44593</v>
      </c>
      <c r="Z594" s="17" t="s">
        <v>309</v>
      </c>
      <c r="AA594" s="17" t="s">
        <v>46</v>
      </c>
      <c r="AB594" s="17" t="s">
        <v>310</v>
      </c>
      <c r="AC594" s="66">
        <v>44629</v>
      </c>
      <c r="AD594" s="65">
        <v>1270</v>
      </c>
      <c r="AE594" s="17" t="s">
        <v>129</v>
      </c>
      <c r="AH594" s="17" t="s">
        <v>304</v>
      </c>
      <c r="AI594" s="95">
        <f t="shared" si="35"/>
        <v>277.274</v>
      </c>
    </row>
    <row r="595" s="17" customFormat="1" hidden="1" spans="1:35">
      <c r="A595" s="17" t="s">
        <v>34</v>
      </c>
      <c r="B595" s="19">
        <v>750</v>
      </c>
      <c r="C595" s="64">
        <v>44552</v>
      </c>
      <c r="D595" s="17" t="s">
        <v>35</v>
      </c>
      <c r="E595" s="17" t="s">
        <v>71</v>
      </c>
      <c r="F595" s="17" t="s">
        <v>72</v>
      </c>
      <c r="H595" s="65">
        <v>1.2379</v>
      </c>
      <c r="I595" s="65"/>
      <c r="J595" s="17" t="s">
        <v>82</v>
      </c>
      <c r="K595" s="19">
        <v>255</v>
      </c>
      <c r="L595" s="19">
        <v>40</v>
      </c>
      <c r="N595" s="17" t="s">
        <v>40</v>
      </c>
      <c r="O595" s="19" t="s">
        <v>141</v>
      </c>
      <c r="P595" s="17">
        <v>1200</v>
      </c>
      <c r="Q595" s="17">
        <v>1035</v>
      </c>
      <c r="R595" s="95">
        <f t="shared" si="34"/>
        <v>165</v>
      </c>
      <c r="S595" s="17">
        <v>3050</v>
      </c>
      <c r="T595" s="19" t="s">
        <v>42</v>
      </c>
      <c r="U595" s="17" t="s">
        <v>308</v>
      </c>
      <c r="V595" s="64">
        <v>44552</v>
      </c>
      <c r="W595" s="17" t="s">
        <v>44</v>
      </c>
      <c r="Y595" s="68">
        <v>44593</v>
      </c>
      <c r="Z595" s="17" t="s">
        <v>309</v>
      </c>
      <c r="AA595" s="17" t="s">
        <v>46</v>
      </c>
      <c r="AB595" s="17" t="s">
        <v>310</v>
      </c>
      <c r="AC595" s="66">
        <v>44629</v>
      </c>
      <c r="AD595" s="65">
        <v>1270</v>
      </c>
      <c r="AE595" s="17" t="s">
        <v>129</v>
      </c>
      <c r="AH595" s="17" t="s">
        <v>304</v>
      </c>
      <c r="AI595" s="95">
        <f t="shared" si="35"/>
        <v>277.274</v>
      </c>
    </row>
    <row r="596" s="17" customFormat="1" hidden="1" spans="1:35">
      <c r="A596" s="17" t="s">
        <v>34</v>
      </c>
      <c r="B596" s="19">
        <v>750</v>
      </c>
      <c r="C596" s="64">
        <v>44552</v>
      </c>
      <c r="D596" s="17" t="s">
        <v>35</v>
      </c>
      <c r="E596" s="17" t="s">
        <v>71</v>
      </c>
      <c r="F596" s="17" t="s">
        <v>72</v>
      </c>
      <c r="H596" s="65">
        <v>1.2379</v>
      </c>
      <c r="I596" s="65"/>
      <c r="J596" s="17" t="s">
        <v>82</v>
      </c>
      <c r="K596" s="19">
        <v>255</v>
      </c>
      <c r="L596" s="19">
        <v>50</v>
      </c>
      <c r="N596" s="17" t="s">
        <v>40</v>
      </c>
      <c r="O596" s="19" t="s">
        <v>141</v>
      </c>
      <c r="P596" s="17">
        <v>1200</v>
      </c>
      <c r="Q596" s="17">
        <v>1045</v>
      </c>
      <c r="R596" s="95">
        <f t="shared" si="34"/>
        <v>155</v>
      </c>
      <c r="S596" s="17">
        <v>3050</v>
      </c>
      <c r="T596" s="19" t="s">
        <v>42</v>
      </c>
      <c r="U596" s="17" t="s">
        <v>308</v>
      </c>
      <c r="V596" s="64">
        <v>44552</v>
      </c>
      <c r="W596" s="17" t="s">
        <v>44</v>
      </c>
      <c r="Y596" s="68">
        <v>44593</v>
      </c>
      <c r="Z596" s="17" t="s">
        <v>309</v>
      </c>
      <c r="AA596" s="17" t="s">
        <v>46</v>
      </c>
      <c r="AB596" s="17" t="s">
        <v>310</v>
      </c>
      <c r="AC596" s="66">
        <v>44629</v>
      </c>
      <c r="AD596" s="65">
        <v>1270</v>
      </c>
      <c r="AE596" s="17" t="s">
        <v>129</v>
      </c>
      <c r="AH596" s="17" t="s">
        <v>304</v>
      </c>
      <c r="AI596" s="95">
        <f t="shared" si="35"/>
        <v>277.274</v>
      </c>
    </row>
    <row r="597" s="17" customFormat="1" hidden="1" spans="1:35">
      <c r="A597" s="17" t="s">
        <v>34</v>
      </c>
      <c r="B597" s="19">
        <v>751</v>
      </c>
      <c r="C597" s="64">
        <v>44550</v>
      </c>
      <c r="D597" s="17" t="s">
        <v>52</v>
      </c>
      <c r="E597" s="17" t="s">
        <v>291</v>
      </c>
      <c r="F597" s="17" t="s">
        <v>54</v>
      </c>
      <c r="H597" s="65">
        <v>1.2311</v>
      </c>
      <c r="I597" s="65"/>
      <c r="J597" s="17" t="s">
        <v>49</v>
      </c>
      <c r="K597" s="125">
        <v>2200</v>
      </c>
      <c r="L597" s="91">
        <v>25</v>
      </c>
      <c r="M597" s="126">
        <v>25000</v>
      </c>
      <c r="N597" s="17" t="s">
        <v>66</v>
      </c>
      <c r="O597" s="19" t="s">
        <v>141</v>
      </c>
      <c r="P597" s="127">
        <v>10794</v>
      </c>
      <c r="Q597" s="17">
        <f>2210+2220+2195+2195+2190</f>
        <v>11010</v>
      </c>
      <c r="R597" s="95">
        <f t="shared" si="34"/>
        <v>-216</v>
      </c>
      <c r="S597" s="17">
        <f t="shared" ref="S597:S604" si="36">1200-50</f>
        <v>1150</v>
      </c>
      <c r="T597" s="19" t="s">
        <v>42</v>
      </c>
      <c r="U597" s="17" t="s">
        <v>311</v>
      </c>
      <c r="V597" s="64">
        <v>44558</v>
      </c>
      <c r="W597" s="17" t="s">
        <v>69</v>
      </c>
      <c r="Y597" s="68">
        <v>44562</v>
      </c>
      <c r="Z597" s="17" t="s">
        <v>191</v>
      </c>
      <c r="AA597" s="17" t="s">
        <v>46</v>
      </c>
      <c r="AB597" s="17" t="s">
        <v>277</v>
      </c>
      <c r="AC597" s="66">
        <v>44560</v>
      </c>
      <c r="AD597" s="65">
        <v>1256</v>
      </c>
      <c r="AE597" s="17" t="s">
        <v>48</v>
      </c>
      <c r="AF597" s="17" t="s">
        <v>258</v>
      </c>
    </row>
    <row r="598" s="17" customFormat="1" hidden="1" spans="1:35">
      <c r="A598" s="17" t="s">
        <v>34</v>
      </c>
      <c r="B598" s="19">
        <v>751</v>
      </c>
      <c r="C598" s="64">
        <v>44550</v>
      </c>
      <c r="D598" s="17" t="s">
        <v>52</v>
      </c>
      <c r="E598" s="17" t="s">
        <v>291</v>
      </c>
      <c r="F598" s="17" t="s">
        <v>54</v>
      </c>
      <c r="H598" s="65">
        <v>1.2311</v>
      </c>
      <c r="I598" s="65"/>
      <c r="J598" s="17" t="s">
        <v>49</v>
      </c>
      <c r="K598" s="115">
        <v>2200</v>
      </c>
      <c r="L598" s="115">
        <v>28</v>
      </c>
      <c r="M598" s="17">
        <v>5000</v>
      </c>
      <c r="N598" s="17" t="s">
        <v>66</v>
      </c>
      <c r="O598" s="19" t="s">
        <v>141</v>
      </c>
      <c r="P598" s="127">
        <v>2418</v>
      </c>
      <c r="Q598" s="17">
        <v>2180</v>
      </c>
      <c r="R598" s="95">
        <f t="shared" si="34"/>
        <v>238</v>
      </c>
      <c r="S598" s="17">
        <f t="shared" si="36"/>
        <v>1150</v>
      </c>
      <c r="T598" s="19" t="s">
        <v>42</v>
      </c>
      <c r="U598" s="17" t="s">
        <v>311</v>
      </c>
      <c r="V598" s="64">
        <v>44558</v>
      </c>
      <c r="W598" s="17" t="s">
        <v>69</v>
      </c>
      <c r="Y598" s="68">
        <v>44562</v>
      </c>
      <c r="Z598" s="17" t="s">
        <v>191</v>
      </c>
      <c r="AA598" s="17" t="s">
        <v>46</v>
      </c>
      <c r="AB598" s="17" t="s">
        <v>277</v>
      </c>
      <c r="AC598" s="66">
        <v>44560</v>
      </c>
      <c r="AD598" s="65">
        <v>1256</v>
      </c>
      <c r="AE598" s="17" t="s">
        <v>48</v>
      </c>
      <c r="AF598" s="17" t="s">
        <v>258</v>
      </c>
    </row>
    <row r="599" s="17" customFormat="1" hidden="1" spans="1:35">
      <c r="A599" s="17" t="s">
        <v>34</v>
      </c>
      <c r="B599" s="19">
        <v>751</v>
      </c>
      <c r="C599" s="64">
        <v>44550</v>
      </c>
      <c r="D599" s="17" t="s">
        <v>52</v>
      </c>
      <c r="E599" s="17" t="s">
        <v>291</v>
      </c>
      <c r="F599" s="17" t="s">
        <v>54</v>
      </c>
      <c r="H599" s="65">
        <v>1.2311</v>
      </c>
      <c r="I599" s="65"/>
      <c r="J599" s="17" t="s">
        <v>49</v>
      </c>
      <c r="K599" s="115">
        <v>2200</v>
      </c>
      <c r="L599" s="115">
        <v>40</v>
      </c>
      <c r="M599" s="17">
        <v>5000</v>
      </c>
      <c r="N599" s="17" t="s">
        <v>66</v>
      </c>
      <c r="O599" s="19" t="s">
        <v>141</v>
      </c>
      <c r="P599" s="127">
        <v>3454</v>
      </c>
      <c r="Q599" s="17">
        <v>3640</v>
      </c>
      <c r="R599" s="95">
        <f t="shared" si="34"/>
        <v>-186</v>
      </c>
      <c r="S599" s="17">
        <f t="shared" si="36"/>
        <v>1150</v>
      </c>
      <c r="T599" s="19" t="s">
        <v>42</v>
      </c>
      <c r="U599" s="17" t="s">
        <v>311</v>
      </c>
      <c r="V599" s="64">
        <v>44558</v>
      </c>
      <c r="W599" s="17" t="s">
        <v>69</v>
      </c>
      <c r="Y599" s="68">
        <v>44562</v>
      </c>
      <c r="Z599" s="17" t="s">
        <v>191</v>
      </c>
      <c r="AA599" s="17" t="s">
        <v>46</v>
      </c>
      <c r="AB599" s="17" t="s">
        <v>277</v>
      </c>
      <c r="AC599" s="66">
        <v>44560</v>
      </c>
      <c r="AD599" s="65">
        <v>1256</v>
      </c>
      <c r="AE599" s="17" t="s">
        <v>48</v>
      </c>
      <c r="AF599" s="17" t="s">
        <v>258</v>
      </c>
    </row>
    <row r="600" s="17" customFormat="1" hidden="1" spans="1:35">
      <c r="A600" s="17" t="s">
        <v>34</v>
      </c>
      <c r="B600" s="19">
        <v>751</v>
      </c>
      <c r="C600" s="64">
        <v>44550</v>
      </c>
      <c r="D600" s="17" t="s">
        <v>52</v>
      </c>
      <c r="E600" s="17" t="s">
        <v>291</v>
      </c>
      <c r="F600" s="17" t="s">
        <v>54</v>
      </c>
      <c r="H600" s="65">
        <v>1.2311</v>
      </c>
      <c r="I600" s="65"/>
      <c r="J600" s="17" t="s">
        <v>49</v>
      </c>
      <c r="K600" s="115">
        <v>2200</v>
      </c>
      <c r="L600" s="115">
        <v>51</v>
      </c>
      <c r="M600" s="17">
        <v>5000</v>
      </c>
      <c r="N600" s="17" t="s">
        <v>66</v>
      </c>
      <c r="O600" s="19" t="s">
        <v>141</v>
      </c>
      <c r="P600" s="127">
        <v>4404</v>
      </c>
      <c r="Q600" s="17">
        <v>4340</v>
      </c>
      <c r="R600" s="95">
        <f t="shared" si="34"/>
        <v>64</v>
      </c>
      <c r="S600" s="17">
        <f t="shared" si="36"/>
        <v>1150</v>
      </c>
      <c r="T600" s="19" t="s">
        <v>42</v>
      </c>
      <c r="U600" s="17" t="s">
        <v>311</v>
      </c>
      <c r="V600" s="64">
        <v>44558</v>
      </c>
      <c r="W600" s="17" t="s">
        <v>69</v>
      </c>
      <c r="Y600" s="68">
        <v>44562</v>
      </c>
      <c r="Z600" s="17" t="s">
        <v>191</v>
      </c>
      <c r="AA600" s="17" t="s">
        <v>46</v>
      </c>
      <c r="AB600" s="17" t="s">
        <v>277</v>
      </c>
      <c r="AC600" s="66">
        <v>44560</v>
      </c>
      <c r="AD600" s="65">
        <v>1256</v>
      </c>
      <c r="AE600" s="17" t="s">
        <v>48</v>
      </c>
      <c r="AF600" s="17" t="s">
        <v>258</v>
      </c>
    </row>
    <row r="601" s="17" customFormat="1" hidden="1" spans="1:35">
      <c r="A601" s="17" t="s">
        <v>34</v>
      </c>
      <c r="B601" s="19">
        <v>751</v>
      </c>
      <c r="C601" s="64">
        <v>44550</v>
      </c>
      <c r="D601" s="17" t="s">
        <v>52</v>
      </c>
      <c r="E601" s="17" t="s">
        <v>291</v>
      </c>
      <c r="F601" s="17" t="s">
        <v>54</v>
      </c>
      <c r="H601" s="65">
        <v>1.2311</v>
      </c>
      <c r="I601" s="65"/>
      <c r="J601" s="17" t="s">
        <v>49</v>
      </c>
      <c r="K601" s="115">
        <v>2200</v>
      </c>
      <c r="L601" s="115">
        <v>60</v>
      </c>
      <c r="M601" s="17">
        <v>5000</v>
      </c>
      <c r="N601" s="17" t="s">
        <v>66</v>
      </c>
      <c r="O601" s="19" t="s">
        <v>141</v>
      </c>
      <c r="P601" s="127">
        <v>5181</v>
      </c>
      <c r="Q601" s="17">
        <v>5350</v>
      </c>
      <c r="R601" s="95">
        <f t="shared" si="34"/>
        <v>-169</v>
      </c>
      <c r="S601" s="17">
        <f t="shared" si="36"/>
        <v>1150</v>
      </c>
      <c r="T601" s="19" t="s">
        <v>42</v>
      </c>
      <c r="U601" s="17" t="s">
        <v>311</v>
      </c>
      <c r="V601" s="64">
        <v>44558</v>
      </c>
      <c r="W601" s="17" t="s">
        <v>69</v>
      </c>
      <c r="Y601" s="68">
        <v>44562</v>
      </c>
      <c r="Z601" s="17" t="s">
        <v>191</v>
      </c>
      <c r="AA601" s="17" t="s">
        <v>46</v>
      </c>
      <c r="AB601" s="17" t="s">
        <v>277</v>
      </c>
      <c r="AC601" s="66">
        <v>44560</v>
      </c>
      <c r="AD601" s="65">
        <v>1256</v>
      </c>
      <c r="AE601" s="17" t="s">
        <v>48</v>
      </c>
      <c r="AF601" s="17" t="s">
        <v>258</v>
      </c>
    </row>
    <row r="602" s="17" customFormat="1" hidden="1" spans="1:35">
      <c r="A602" s="17" t="s">
        <v>34</v>
      </c>
      <c r="B602" s="19">
        <v>751</v>
      </c>
      <c r="C602" s="64">
        <v>44550</v>
      </c>
      <c r="D602" s="17" t="s">
        <v>52</v>
      </c>
      <c r="E602" s="17" t="s">
        <v>291</v>
      </c>
      <c r="F602" s="17" t="s">
        <v>54</v>
      </c>
      <c r="H602" s="65">
        <v>1.2311</v>
      </c>
      <c r="I602" s="65"/>
      <c r="J602" s="17" t="s">
        <v>49</v>
      </c>
      <c r="K602" s="115">
        <v>2200</v>
      </c>
      <c r="L602" s="115">
        <v>65</v>
      </c>
      <c r="M602" s="17">
        <v>5000</v>
      </c>
      <c r="N602" s="17" t="s">
        <v>66</v>
      </c>
      <c r="O602" s="19" t="s">
        <v>141</v>
      </c>
      <c r="P602" s="127">
        <v>5613</v>
      </c>
      <c r="Q602" s="17">
        <v>4165</v>
      </c>
      <c r="R602" s="95">
        <f t="shared" si="34"/>
        <v>1448</v>
      </c>
      <c r="S602" s="17">
        <f t="shared" si="36"/>
        <v>1150</v>
      </c>
      <c r="T602" s="19" t="s">
        <v>42</v>
      </c>
      <c r="U602" s="17" t="s">
        <v>311</v>
      </c>
      <c r="V602" s="64">
        <v>44558</v>
      </c>
      <c r="W602" s="17" t="s">
        <v>69</v>
      </c>
      <c r="Y602" s="68">
        <v>44562</v>
      </c>
      <c r="Z602" s="17" t="s">
        <v>191</v>
      </c>
      <c r="AA602" s="17" t="s">
        <v>46</v>
      </c>
      <c r="AB602" s="17" t="s">
        <v>277</v>
      </c>
      <c r="AC602" s="66">
        <v>44560</v>
      </c>
      <c r="AD602" s="65">
        <v>1256</v>
      </c>
      <c r="AE602" s="17" t="s">
        <v>48</v>
      </c>
      <c r="AF602" s="17" t="s">
        <v>258</v>
      </c>
    </row>
    <row r="603" s="17" customFormat="1" hidden="1" spans="1:35">
      <c r="A603" s="17" t="s">
        <v>34</v>
      </c>
      <c r="B603" s="19">
        <v>751</v>
      </c>
      <c r="C603" s="64">
        <v>44550</v>
      </c>
      <c r="D603" s="17" t="s">
        <v>52</v>
      </c>
      <c r="E603" s="17" t="s">
        <v>291</v>
      </c>
      <c r="F603" s="17" t="s">
        <v>54</v>
      </c>
      <c r="H603" s="65">
        <v>1.2311</v>
      </c>
      <c r="I603" s="65"/>
      <c r="J603" s="17" t="s">
        <v>49</v>
      </c>
      <c r="K603" s="115">
        <v>2200</v>
      </c>
      <c r="L603" s="115">
        <v>100</v>
      </c>
      <c r="M603" s="17">
        <v>4000</v>
      </c>
      <c r="N603" s="17" t="s">
        <v>66</v>
      </c>
      <c r="O603" s="19" t="s">
        <v>141</v>
      </c>
      <c r="P603" s="127">
        <v>6908</v>
      </c>
      <c r="Q603" s="17">
        <v>6880</v>
      </c>
      <c r="R603" s="95">
        <f t="shared" si="34"/>
        <v>28</v>
      </c>
      <c r="S603" s="17">
        <f t="shared" si="36"/>
        <v>1150</v>
      </c>
      <c r="T603" s="19" t="s">
        <v>42</v>
      </c>
      <c r="U603" s="17" t="s">
        <v>311</v>
      </c>
      <c r="V603" s="64">
        <v>44558</v>
      </c>
      <c r="W603" s="17" t="s">
        <v>69</v>
      </c>
      <c r="Y603" s="68">
        <v>44562</v>
      </c>
      <c r="Z603" s="17" t="s">
        <v>191</v>
      </c>
      <c r="AA603" s="17" t="s">
        <v>46</v>
      </c>
      <c r="AB603" s="17" t="s">
        <v>277</v>
      </c>
      <c r="AC603" s="66">
        <v>44560</v>
      </c>
      <c r="AD603" s="65">
        <v>1256</v>
      </c>
      <c r="AE603" s="17" t="s">
        <v>48</v>
      </c>
      <c r="AF603" s="17" t="s">
        <v>258</v>
      </c>
    </row>
    <row r="604" s="17" customFormat="1" hidden="1" spans="1:35">
      <c r="A604" s="17" t="s">
        <v>34</v>
      </c>
      <c r="B604" s="19">
        <v>751</v>
      </c>
      <c r="C604" s="64">
        <v>44550</v>
      </c>
      <c r="D604" s="17" t="s">
        <v>52</v>
      </c>
      <c r="E604" s="17" t="s">
        <v>291</v>
      </c>
      <c r="F604" s="17" t="s">
        <v>54</v>
      </c>
      <c r="H604" s="65">
        <v>1.2311</v>
      </c>
      <c r="I604" s="65"/>
      <c r="J604" s="17" t="s">
        <v>49</v>
      </c>
      <c r="K604" s="115">
        <v>2200</v>
      </c>
      <c r="L604" s="115">
        <v>115</v>
      </c>
      <c r="M604" s="17">
        <v>4000</v>
      </c>
      <c r="N604" s="17" t="s">
        <v>66</v>
      </c>
      <c r="O604" s="19" t="s">
        <v>141</v>
      </c>
      <c r="P604" s="127">
        <v>7944</v>
      </c>
      <c r="Q604" s="17">
        <v>8080</v>
      </c>
      <c r="R604" s="95">
        <f t="shared" si="34"/>
        <v>-136</v>
      </c>
      <c r="S604" s="17">
        <f t="shared" si="36"/>
        <v>1150</v>
      </c>
      <c r="T604" s="19" t="s">
        <v>42</v>
      </c>
      <c r="U604" s="17" t="s">
        <v>311</v>
      </c>
      <c r="V604" s="64">
        <v>44558</v>
      </c>
      <c r="W604" s="17" t="s">
        <v>69</v>
      </c>
      <c r="Y604" s="68">
        <v>44562</v>
      </c>
      <c r="Z604" s="17" t="s">
        <v>191</v>
      </c>
      <c r="AA604" s="17" t="s">
        <v>46</v>
      </c>
      <c r="AB604" s="17" t="s">
        <v>277</v>
      </c>
      <c r="AC604" s="66">
        <v>44560</v>
      </c>
      <c r="AD604" s="65">
        <v>1256</v>
      </c>
      <c r="AE604" s="17" t="s">
        <v>48</v>
      </c>
      <c r="AF604" s="17" t="s">
        <v>258</v>
      </c>
    </row>
    <row r="605" s="17" customFormat="1" hidden="1" spans="1:35">
      <c r="A605" s="17" t="s">
        <v>34</v>
      </c>
      <c r="B605" s="19">
        <v>751</v>
      </c>
      <c r="C605" s="64">
        <v>44550</v>
      </c>
      <c r="D605" s="17" t="s">
        <v>52</v>
      </c>
      <c r="E605" s="17" t="s">
        <v>291</v>
      </c>
      <c r="F605" s="17" t="s">
        <v>54</v>
      </c>
      <c r="H605" s="65">
        <v>1.2311</v>
      </c>
      <c r="I605" s="65"/>
      <c r="J605" s="17" t="s">
        <v>49</v>
      </c>
      <c r="K605" s="115">
        <v>2200</v>
      </c>
      <c r="L605" s="115">
        <v>130</v>
      </c>
      <c r="M605" s="17">
        <v>4000</v>
      </c>
      <c r="N605" s="17" t="s">
        <v>66</v>
      </c>
      <c r="O605" s="19" t="s">
        <v>141</v>
      </c>
      <c r="P605" s="128">
        <v>8980</v>
      </c>
      <c r="Q605" s="17">
        <v>9330</v>
      </c>
      <c r="R605" s="95">
        <f t="shared" si="34"/>
        <v>-350</v>
      </c>
      <c r="S605" s="17">
        <f>1220-50</f>
        <v>1170</v>
      </c>
      <c r="T605" s="19" t="s">
        <v>42</v>
      </c>
      <c r="U605" s="17" t="s">
        <v>311</v>
      </c>
      <c r="V605" s="64">
        <v>44558</v>
      </c>
      <c r="W605" s="17" t="s">
        <v>69</v>
      </c>
      <c r="Y605" s="68">
        <v>44562</v>
      </c>
      <c r="Z605" s="17" t="s">
        <v>191</v>
      </c>
      <c r="AA605" s="17" t="s">
        <v>46</v>
      </c>
      <c r="AB605" s="17" t="s">
        <v>277</v>
      </c>
      <c r="AC605" s="66">
        <v>44560</v>
      </c>
      <c r="AD605" s="65">
        <v>1256</v>
      </c>
      <c r="AE605" s="17" t="s">
        <v>48</v>
      </c>
      <c r="AF605" s="17" t="s">
        <v>258</v>
      </c>
    </row>
    <row r="606" s="17" customFormat="1" hidden="1" spans="1:35">
      <c r="A606" s="17" t="s">
        <v>34</v>
      </c>
      <c r="B606" s="19">
        <v>752</v>
      </c>
      <c r="C606" s="64">
        <v>44551</v>
      </c>
      <c r="D606" s="17" t="s">
        <v>52</v>
      </c>
      <c r="E606" s="17" t="s">
        <v>187</v>
      </c>
      <c r="F606" s="17" t="s">
        <v>54</v>
      </c>
      <c r="H606" s="65">
        <v>1.2738</v>
      </c>
      <c r="I606" s="65"/>
      <c r="J606" s="17" t="s">
        <v>49</v>
      </c>
      <c r="K606" s="19">
        <v>1630</v>
      </c>
      <c r="L606" s="19">
        <v>320</v>
      </c>
      <c r="M606" s="17">
        <v>2545</v>
      </c>
      <c r="N606" s="17" t="s">
        <v>66</v>
      </c>
      <c r="O606" s="19" t="s">
        <v>168</v>
      </c>
      <c r="P606" s="17">
        <v>10421</v>
      </c>
      <c r="Q606" s="17">
        <v>9020</v>
      </c>
      <c r="R606" s="95">
        <f t="shared" si="34"/>
        <v>1401</v>
      </c>
      <c r="S606" s="17">
        <f>1720-50</f>
        <v>1670</v>
      </c>
      <c r="T606" s="19" t="s">
        <v>42</v>
      </c>
      <c r="U606" s="17" t="s">
        <v>312</v>
      </c>
      <c r="V606" s="64">
        <v>44553</v>
      </c>
      <c r="W606" s="17" t="s">
        <v>69</v>
      </c>
      <c r="Y606" s="68">
        <v>44562</v>
      </c>
      <c r="Z606" s="17" t="s">
        <v>191</v>
      </c>
      <c r="AA606" s="17" t="s">
        <v>46</v>
      </c>
      <c r="AB606" s="17" t="s">
        <v>313</v>
      </c>
      <c r="AC606" s="66">
        <v>44569</v>
      </c>
      <c r="AD606" s="65">
        <v>1257</v>
      </c>
      <c r="AE606" s="17" t="s">
        <v>48</v>
      </c>
      <c r="AF606" s="17" t="s">
        <v>258</v>
      </c>
    </row>
    <row r="607" s="17" customFormat="1" hidden="1" spans="1:35">
      <c r="A607" s="17" t="s">
        <v>34</v>
      </c>
      <c r="B607" s="19">
        <v>752</v>
      </c>
      <c r="C607" s="64">
        <v>44551</v>
      </c>
      <c r="D607" s="17" t="s">
        <v>52</v>
      </c>
      <c r="E607" s="17" t="s">
        <v>187</v>
      </c>
      <c r="F607" s="17" t="s">
        <v>54</v>
      </c>
      <c r="H607" s="65">
        <v>1.2738</v>
      </c>
      <c r="I607" s="65"/>
      <c r="J607" s="17" t="s">
        <v>49</v>
      </c>
      <c r="K607" s="19">
        <v>1650</v>
      </c>
      <c r="L607" s="19">
        <v>340</v>
      </c>
      <c r="M607" s="17">
        <v>3330</v>
      </c>
      <c r="N607" s="17" t="s">
        <v>66</v>
      </c>
      <c r="O607" s="19" t="s">
        <v>168</v>
      </c>
      <c r="P607" s="17">
        <v>14665</v>
      </c>
      <c r="Q607" s="17">
        <v>14640</v>
      </c>
      <c r="R607" s="95">
        <f t="shared" si="34"/>
        <v>25</v>
      </c>
      <c r="S607" s="17">
        <f>1720-50</f>
        <v>1670</v>
      </c>
      <c r="T607" s="19" t="s">
        <v>42</v>
      </c>
      <c r="U607" s="17" t="s">
        <v>312</v>
      </c>
      <c r="V607" s="64">
        <v>44553</v>
      </c>
      <c r="W607" s="17" t="s">
        <v>69</v>
      </c>
      <c r="Y607" s="68">
        <v>44562</v>
      </c>
      <c r="Z607" s="17" t="s">
        <v>191</v>
      </c>
      <c r="AA607" s="17" t="s">
        <v>46</v>
      </c>
      <c r="AB607" s="17" t="s">
        <v>313</v>
      </c>
      <c r="AC607" s="66">
        <v>44569</v>
      </c>
      <c r="AD607" s="65">
        <v>1257</v>
      </c>
      <c r="AE607" s="17" t="s">
        <v>48</v>
      </c>
      <c r="AF607" s="17" t="s">
        <v>258</v>
      </c>
    </row>
    <row r="608" s="17" customFormat="1" hidden="1" spans="1:35">
      <c r="A608" s="17" t="s">
        <v>34</v>
      </c>
      <c r="B608" s="19">
        <v>752</v>
      </c>
      <c r="C608" s="64">
        <v>44551</v>
      </c>
      <c r="D608" s="17" t="s">
        <v>52</v>
      </c>
      <c r="E608" s="17" t="s">
        <v>187</v>
      </c>
      <c r="F608" s="17" t="s">
        <v>54</v>
      </c>
      <c r="H608" s="65">
        <v>1.2311</v>
      </c>
      <c r="I608" s="65"/>
      <c r="J608" s="17" t="s">
        <v>49</v>
      </c>
      <c r="K608" s="19">
        <v>1600</v>
      </c>
      <c r="L608" s="19">
        <v>255</v>
      </c>
      <c r="M608" s="17">
        <v>1450</v>
      </c>
      <c r="N608" s="17" t="s">
        <v>66</v>
      </c>
      <c r="O608" s="19" t="s">
        <v>168</v>
      </c>
      <c r="P608" s="17">
        <v>4644</v>
      </c>
      <c r="Q608" s="17">
        <v>4844</v>
      </c>
      <c r="R608" s="95">
        <f t="shared" si="34"/>
        <v>-200</v>
      </c>
      <c r="S608" s="17">
        <f>1575-50</f>
        <v>1525</v>
      </c>
      <c r="T608" s="19" t="s">
        <v>42</v>
      </c>
      <c r="U608" s="17" t="s">
        <v>312</v>
      </c>
      <c r="V608" s="64">
        <v>44553</v>
      </c>
      <c r="W608" s="17" t="s">
        <v>69</v>
      </c>
      <c r="Y608" s="68">
        <v>44562</v>
      </c>
      <c r="Z608" s="17" t="s">
        <v>191</v>
      </c>
      <c r="AA608" s="17" t="s">
        <v>46</v>
      </c>
      <c r="AB608" s="17" t="s">
        <v>313</v>
      </c>
      <c r="AC608" s="66">
        <v>44569</v>
      </c>
      <c r="AD608" s="65">
        <v>1257</v>
      </c>
      <c r="AE608" s="17" t="s">
        <v>48</v>
      </c>
      <c r="AF608" s="17" t="s">
        <v>258</v>
      </c>
    </row>
    <row r="609" s="17" customFormat="1" hidden="1" spans="1:36">
      <c r="A609" s="17" t="s">
        <v>34</v>
      </c>
      <c r="B609" s="19">
        <v>752</v>
      </c>
      <c r="C609" s="64">
        <v>44551</v>
      </c>
      <c r="D609" s="17" t="s">
        <v>52</v>
      </c>
      <c r="E609" s="17" t="s">
        <v>187</v>
      </c>
      <c r="F609" s="17" t="s">
        <v>54</v>
      </c>
      <c r="H609" s="65">
        <v>1.2311</v>
      </c>
      <c r="I609" s="65"/>
      <c r="J609" s="17" t="s">
        <v>49</v>
      </c>
      <c r="K609" s="19">
        <v>1620</v>
      </c>
      <c r="L609" s="19">
        <v>270</v>
      </c>
      <c r="M609" s="17">
        <v>2200</v>
      </c>
      <c r="N609" s="17" t="s">
        <v>66</v>
      </c>
      <c r="O609" s="19" t="s">
        <v>168</v>
      </c>
      <c r="P609" s="17">
        <v>7554</v>
      </c>
      <c r="Q609" s="17">
        <v>8000</v>
      </c>
      <c r="R609" s="95">
        <f t="shared" si="34"/>
        <v>-446</v>
      </c>
      <c r="S609" s="17">
        <f>1575-50</f>
        <v>1525</v>
      </c>
      <c r="T609" s="19" t="s">
        <v>42</v>
      </c>
      <c r="U609" s="17" t="s">
        <v>312</v>
      </c>
      <c r="V609" s="64">
        <v>44553</v>
      </c>
      <c r="W609" s="17" t="s">
        <v>69</v>
      </c>
      <c r="Y609" s="68">
        <v>44562</v>
      </c>
      <c r="Z609" s="17" t="s">
        <v>191</v>
      </c>
      <c r="AA609" s="17" t="s">
        <v>46</v>
      </c>
      <c r="AB609" s="17" t="s">
        <v>313</v>
      </c>
      <c r="AC609" s="66">
        <v>44569</v>
      </c>
      <c r="AD609" s="65">
        <v>1257</v>
      </c>
      <c r="AE609" s="17" t="s">
        <v>48</v>
      </c>
      <c r="AF609" s="17" t="s">
        <v>258</v>
      </c>
    </row>
    <row r="610" s="17" customFormat="1" hidden="1" spans="1:36">
      <c r="A610" s="17" t="s">
        <v>34</v>
      </c>
      <c r="B610" s="19">
        <v>752</v>
      </c>
      <c r="C610" s="64">
        <v>44551</v>
      </c>
      <c r="D610" s="17" t="s">
        <v>52</v>
      </c>
      <c r="E610" s="17" t="s">
        <v>187</v>
      </c>
      <c r="F610" s="17" t="s">
        <v>54</v>
      </c>
      <c r="H610" s="65">
        <v>1.2311</v>
      </c>
      <c r="I610" s="65"/>
      <c r="J610" s="17" t="s">
        <v>49</v>
      </c>
      <c r="K610" s="19">
        <v>1630</v>
      </c>
      <c r="L610" s="19">
        <v>360</v>
      </c>
      <c r="M610" s="17">
        <v>3020</v>
      </c>
      <c r="N610" s="17" t="s">
        <v>66</v>
      </c>
      <c r="O610" s="19" t="s">
        <v>168</v>
      </c>
      <c r="P610" s="17">
        <v>13911</v>
      </c>
      <c r="Q610" s="17">
        <v>13820</v>
      </c>
      <c r="R610" s="95">
        <f t="shared" si="34"/>
        <v>91</v>
      </c>
      <c r="S610" s="17">
        <f>1575-50</f>
        <v>1525</v>
      </c>
      <c r="T610" s="19" t="s">
        <v>42</v>
      </c>
      <c r="U610" s="17" t="s">
        <v>312</v>
      </c>
      <c r="V610" s="64">
        <v>44553</v>
      </c>
      <c r="W610" s="17" t="s">
        <v>69</v>
      </c>
      <c r="Y610" s="68">
        <v>44562</v>
      </c>
      <c r="Z610" s="17" t="s">
        <v>191</v>
      </c>
      <c r="AA610" s="17" t="s">
        <v>46</v>
      </c>
      <c r="AB610" s="17" t="s">
        <v>313</v>
      </c>
      <c r="AC610" s="66">
        <v>44569</v>
      </c>
      <c r="AD610" s="65">
        <v>1257</v>
      </c>
      <c r="AE610" s="17" t="s">
        <v>48</v>
      </c>
      <c r="AF610" s="17" t="s">
        <v>258</v>
      </c>
    </row>
    <row r="611" s="17" customFormat="1" hidden="1" spans="1:36">
      <c r="A611" s="17" t="s">
        <v>34</v>
      </c>
      <c r="B611" s="19">
        <v>752</v>
      </c>
      <c r="C611" s="64">
        <v>44551</v>
      </c>
      <c r="D611" s="17" t="s">
        <v>52</v>
      </c>
      <c r="E611" s="17" t="s">
        <v>187</v>
      </c>
      <c r="F611" s="17" t="s">
        <v>54</v>
      </c>
      <c r="H611" s="65">
        <v>1.2311</v>
      </c>
      <c r="I611" s="65"/>
      <c r="J611" s="17" t="s">
        <v>49</v>
      </c>
      <c r="K611" s="129">
        <v>2220</v>
      </c>
      <c r="L611" s="19">
        <v>50</v>
      </c>
      <c r="M611" s="17">
        <v>3310</v>
      </c>
      <c r="N611" s="17" t="s">
        <v>66</v>
      </c>
      <c r="O611" s="19" t="s">
        <v>141</v>
      </c>
      <c r="P611" s="17">
        <v>2875</v>
      </c>
      <c r="Q611" s="17">
        <v>3016</v>
      </c>
      <c r="R611" s="95">
        <f t="shared" si="34"/>
        <v>-141</v>
      </c>
      <c r="S611" s="17">
        <v>1155</v>
      </c>
      <c r="T611" s="19" t="s">
        <v>42</v>
      </c>
      <c r="U611" s="17" t="s">
        <v>312</v>
      </c>
      <c r="V611" s="64">
        <v>44553</v>
      </c>
      <c r="W611" s="17" t="s">
        <v>69</v>
      </c>
      <c r="Y611" s="68">
        <v>44562</v>
      </c>
      <c r="Z611" s="17" t="s">
        <v>191</v>
      </c>
      <c r="AA611" s="17" t="s">
        <v>46</v>
      </c>
      <c r="AB611" s="17" t="s">
        <v>313</v>
      </c>
      <c r="AC611" s="66">
        <v>44569</v>
      </c>
      <c r="AD611" s="65">
        <v>1257</v>
      </c>
      <c r="AE611" s="17" t="s">
        <v>48</v>
      </c>
      <c r="AF611" s="17" t="s">
        <v>258</v>
      </c>
    </row>
    <row r="612" s="17" customFormat="1" hidden="1" spans="1:36">
      <c r="A612" s="17" t="s">
        <v>34</v>
      </c>
      <c r="B612" s="19">
        <v>753</v>
      </c>
      <c r="C612" s="101">
        <v>44552</v>
      </c>
      <c r="D612" s="17" t="s">
        <v>35</v>
      </c>
      <c r="E612" s="17" t="s">
        <v>71</v>
      </c>
      <c r="F612" s="17" t="s">
        <v>72</v>
      </c>
      <c r="H612" s="19">
        <v>1.2379</v>
      </c>
      <c r="I612" s="19"/>
      <c r="J612" s="17" t="s">
        <v>82</v>
      </c>
      <c r="K612" s="130">
        <v>410</v>
      </c>
      <c r="L612" s="72">
        <v>20</v>
      </c>
      <c r="N612" s="17" t="s">
        <v>40</v>
      </c>
      <c r="O612" s="19" t="s">
        <v>141</v>
      </c>
      <c r="P612" s="131">
        <v>2000</v>
      </c>
      <c r="Q612" s="17">
        <v>1044</v>
      </c>
      <c r="S612" s="17">
        <f t="shared" ref="S612:S632" si="37">2900-15</f>
        <v>2885</v>
      </c>
      <c r="T612" s="19" t="s">
        <v>42</v>
      </c>
      <c r="U612" s="102" t="s">
        <v>314</v>
      </c>
      <c r="V612" s="64">
        <v>44552</v>
      </c>
      <c r="W612" s="17" t="s">
        <v>44</v>
      </c>
      <c r="Y612" s="68">
        <v>44593</v>
      </c>
      <c r="Z612" s="17" t="s">
        <v>191</v>
      </c>
      <c r="AA612" s="17" t="s">
        <v>46</v>
      </c>
      <c r="AB612" s="17" t="s">
        <v>315</v>
      </c>
      <c r="AC612" s="66">
        <v>44630</v>
      </c>
      <c r="AD612" s="65">
        <v>1268</v>
      </c>
      <c r="AE612" s="17" t="s">
        <v>129</v>
      </c>
      <c r="AH612" s="17" t="s">
        <v>316</v>
      </c>
      <c r="AI612" s="95">
        <f t="shared" ref="AI612:AI619" si="38">264477/1000</f>
        <v>264.477</v>
      </c>
      <c r="AJ612" s="17" t="s">
        <v>317</v>
      </c>
    </row>
    <row r="613" s="17" customFormat="1" hidden="1" spans="1:36">
      <c r="A613" s="17" t="s">
        <v>34</v>
      </c>
      <c r="B613" s="19">
        <v>753</v>
      </c>
      <c r="C613" s="101">
        <v>44552</v>
      </c>
      <c r="D613" s="17" t="s">
        <v>35</v>
      </c>
      <c r="E613" s="17" t="s">
        <v>71</v>
      </c>
      <c r="F613" s="17" t="s">
        <v>72</v>
      </c>
      <c r="H613" s="19">
        <v>1.2379</v>
      </c>
      <c r="I613" s="19"/>
      <c r="J613" s="17" t="s">
        <v>82</v>
      </c>
      <c r="K613" s="130">
        <v>410</v>
      </c>
      <c r="L613" s="72">
        <v>20</v>
      </c>
      <c r="N613" s="17" t="s">
        <v>40</v>
      </c>
      <c r="O613" s="19" t="s">
        <v>141</v>
      </c>
      <c r="P613" s="131"/>
      <c r="Q613" s="17">
        <v>875</v>
      </c>
      <c r="R613" s="95">
        <f>+P612-Q612-Q613</f>
        <v>81</v>
      </c>
      <c r="S613" s="17">
        <f t="shared" si="37"/>
        <v>2885</v>
      </c>
      <c r="T613" s="19" t="s">
        <v>42</v>
      </c>
      <c r="U613" s="102" t="s">
        <v>314</v>
      </c>
      <c r="V613" s="64">
        <v>44552</v>
      </c>
      <c r="W613" s="17" t="s">
        <v>44</v>
      </c>
      <c r="Y613" s="68">
        <v>44593</v>
      </c>
      <c r="Z613" s="17" t="s">
        <v>191</v>
      </c>
      <c r="AA613" s="17" t="s">
        <v>46</v>
      </c>
      <c r="AB613" s="17" t="s">
        <v>318</v>
      </c>
      <c r="AC613" s="66">
        <v>44706</v>
      </c>
      <c r="AD613" s="65">
        <v>1300</v>
      </c>
      <c r="AE613" s="17" t="s">
        <v>129</v>
      </c>
      <c r="AH613" s="17" t="s">
        <v>316</v>
      </c>
      <c r="AI613" s="95">
        <f t="shared" si="38"/>
        <v>264.477</v>
      </c>
      <c r="AJ613" s="17" t="s">
        <v>317</v>
      </c>
    </row>
    <row r="614" s="17" customFormat="1" hidden="1" spans="1:36">
      <c r="A614" s="17" t="s">
        <v>34</v>
      </c>
      <c r="B614" s="19">
        <v>753</v>
      </c>
      <c r="C614" s="101">
        <v>44552</v>
      </c>
      <c r="D614" s="17" t="s">
        <v>35</v>
      </c>
      <c r="E614" s="17" t="s">
        <v>71</v>
      </c>
      <c r="F614" s="17" t="s">
        <v>72</v>
      </c>
      <c r="H614" s="19">
        <v>1.2379</v>
      </c>
      <c r="I614" s="19"/>
      <c r="J614" s="17" t="s">
        <v>82</v>
      </c>
      <c r="K614" s="130">
        <v>410</v>
      </c>
      <c r="L614" s="72">
        <v>26</v>
      </c>
      <c r="N614" s="17" t="s">
        <v>40</v>
      </c>
      <c r="O614" s="19" t="s">
        <v>141</v>
      </c>
      <c r="P614" s="131">
        <v>2000</v>
      </c>
      <c r="Q614" s="17">
        <f>525+992</f>
        <v>1517</v>
      </c>
      <c r="R614" s="95">
        <f>+P614-Q614</f>
        <v>483</v>
      </c>
      <c r="S614" s="17">
        <f t="shared" si="37"/>
        <v>2885</v>
      </c>
      <c r="T614" s="19" t="s">
        <v>42</v>
      </c>
      <c r="U614" s="102" t="s">
        <v>314</v>
      </c>
      <c r="V614" s="64">
        <v>44552</v>
      </c>
      <c r="W614" s="17" t="s">
        <v>44</v>
      </c>
      <c r="Y614" s="68">
        <v>44593</v>
      </c>
      <c r="Z614" s="17" t="s">
        <v>191</v>
      </c>
      <c r="AA614" s="17" t="s">
        <v>46</v>
      </c>
      <c r="AB614" s="17" t="s">
        <v>315</v>
      </c>
      <c r="AC614" s="66">
        <v>44630</v>
      </c>
      <c r="AD614" s="65">
        <v>1268</v>
      </c>
      <c r="AE614" s="17" t="s">
        <v>129</v>
      </c>
      <c r="AH614" s="17" t="s">
        <v>316</v>
      </c>
      <c r="AI614" s="95">
        <f t="shared" si="38"/>
        <v>264.477</v>
      </c>
      <c r="AJ614" s="17" t="s">
        <v>317</v>
      </c>
    </row>
    <row r="615" s="17" customFormat="1" hidden="1" spans="1:36">
      <c r="A615" s="17" t="s">
        <v>34</v>
      </c>
      <c r="B615" s="19">
        <v>753</v>
      </c>
      <c r="C615" s="101">
        <v>44552</v>
      </c>
      <c r="D615" s="17" t="s">
        <v>35</v>
      </c>
      <c r="E615" s="17" t="s">
        <v>71</v>
      </c>
      <c r="F615" s="17" t="s">
        <v>72</v>
      </c>
      <c r="H615" s="19">
        <v>1.2379</v>
      </c>
      <c r="I615" s="19"/>
      <c r="J615" s="17" t="s">
        <v>82</v>
      </c>
      <c r="K615" s="130">
        <v>510</v>
      </c>
      <c r="L615" s="72">
        <v>26</v>
      </c>
      <c r="N615" s="17" t="s">
        <v>40</v>
      </c>
      <c r="O615" s="19" t="s">
        <v>141</v>
      </c>
      <c r="P615" s="131">
        <v>2000</v>
      </c>
      <c r="Q615" s="17">
        <v>1680</v>
      </c>
      <c r="R615" s="95">
        <f>+P615-Q615</f>
        <v>320</v>
      </c>
      <c r="S615" s="17">
        <f t="shared" si="37"/>
        <v>2885</v>
      </c>
      <c r="T615" s="19" t="s">
        <v>42</v>
      </c>
      <c r="U615" s="102" t="s">
        <v>314</v>
      </c>
      <c r="V615" s="64">
        <v>44552</v>
      </c>
      <c r="W615" s="17" t="s">
        <v>44</v>
      </c>
      <c r="Y615" s="68">
        <v>44593</v>
      </c>
      <c r="Z615" s="17" t="s">
        <v>191</v>
      </c>
      <c r="AA615" s="17" t="s">
        <v>46</v>
      </c>
      <c r="AB615" s="17" t="s">
        <v>315</v>
      </c>
      <c r="AC615" s="66">
        <v>44630</v>
      </c>
      <c r="AD615" s="65">
        <v>1268</v>
      </c>
      <c r="AE615" s="17" t="s">
        <v>129</v>
      </c>
      <c r="AH615" s="17" t="s">
        <v>316</v>
      </c>
      <c r="AI615" s="95">
        <f t="shared" si="38"/>
        <v>264.477</v>
      </c>
      <c r="AJ615" s="17" t="s">
        <v>317</v>
      </c>
    </row>
    <row r="616" s="17" customFormat="1" hidden="1" spans="1:36">
      <c r="A616" s="17" t="s">
        <v>34</v>
      </c>
      <c r="B616" s="19">
        <v>753</v>
      </c>
      <c r="C616" s="101">
        <v>44552</v>
      </c>
      <c r="D616" s="17" t="s">
        <v>35</v>
      </c>
      <c r="E616" s="17" t="s">
        <v>71</v>
      </c>
      <c r="F616" s="17" t="s">
        <v>72</v>
      </c>
      <c r="H616" s="19">
        <v>1.2379</v>
      </c>
      <c r="I616" s="19"/>
      <c r="J616" s="17" t="s">
        <v>82</v>
      </c>
      <c r="K616" s="132">
        <v>610</v>
      </c>
      <c r="L616" s="72">
        <v>26</v>
      </c>
      <c r="N616" s="17" t="s">
        <v>40</v>
      </c>
      <c r="O616" s="19" t="s">
        <v>141</v>
      </c>
      <c r="P616" s="131">
        <v>3000</v>
      </c>
      <c r="Q616" s="17">
        <f>2150+1465</f>
        <v>3615</v>
      </c>
      <c r="R616" s="95">
        <f>+P616-Q616</f>
        <v>-615</v>
      </c>
      <c r="S616" s="17">
        <f t="shared" si="37"/>
        <v>2885</v>
      </c>
      <c r="T616" s="19" t="s">
        <v>42</v>
      </c>
      <c r="U616" s="102" t="s">
        <v>314</v>
      </c>
      <c r="V616" s="64">
        <v>44552</v>
      </c>
      <c r="W616" s="17" t="s">
        <v>44</v>
      </c>
      <c r="Y616" s="68">
        <v>44593</v>
      </c>
      <c r="Z616" s="17" t="s">
        <v>191</v>
      </c>
      <c r="AA616" s="17" t="s">
        <v>46</v>
      </c>
      <c r="AB616" s="17" t="s">
        <v>318</v>
      </c>
      <c r="AC616" s="66">
        <v>44706</v>
      </c>
      <c r="AD616" s="65">
        <v>1300</v>
      </c>
      <c r="AE616" s="17" t="s">
        <v>129</v>
      </c>
      <c r="AH616" s="17" t="s">
        <v>316</v>
      </c>
      <c r="AI616" s="95">
        <f t="shared" si="38"/>
        <v>264.477</v>
      </c>
      <c r="AJ616" s="17" t="s">
        <v>317</v>
      </c>
    </row>
    <row r="617" s="17" customFormat="1" hidden="1" spans="1:36">
      <c r="A617" s="17" t="s">
        <v>34</v>
      </c>
      <c r="B617" s="19">
        <v>753</v>
      </c>
      <c r="C617" s="101">
        <v>44552</v>
      </c>
      <c r="D617" s="17" t="s">
        <v>35</v>
      </c>
      <c r="E617" s="17" t="s">
        <v>71</v>
      </c>
      <c r="F617" s="17" t="s">
        <v>72</v>
      </c>
      <c r="H617" s="19">
        <v>1.2379</v>
      </c>
      <c r="I617" s="19"/>
      <c r="J617" s="17" t="s">
        <v>82</v>
      </c>
      <c r="K617" s="132">
        <v>310</v>
      </c>
      <c r="L617" s="72">
        <v>32</v>
      </c>
      <c r="N617" s="17" t="s">
        <v>40</v>
      </c>
      <c r="O617" s="19" t="s">
        <v>141</v>
      </c>
      <c r="P617" s="131">
        <v>2000</v>
      </c>
      <c r="Q617" s="17">
        <v>1800</v>
      </c>
      <c r="R617" s="95">
        <f>+P617-Q617</f>
        <v>200</v>
      </c>
      <c r="S617" s="17">
        <f t="shared" si="37"/>
        <v>2885</v>
      </c>
      <c r="T617" s="19" t="s">
        <v>42</v>
      </c>
      <c r="U617" s="102" t="s">
        <v>314</v>
      </c>
      <c r="V617" s="64">
        <v>44552</v>
      </c>
      <c r="W617" s="17" t="s">
        <v>44</v>
      </c>
      <c r="Y617" s="68">
        <v>44593</v>
      </c>
      <c r="Z617" s="17" t="s">
        <v>191</v>
      </c>
      <c r="AA617" s="17" t="s">
        <v>46</v>
      </c>
      <c r="AB617" s="17" t="s">
        <v>315</v>
      </c>
      <c r="AC617" s="66">
        <v>44630</v>
      </c>
      <c r="AD617" s="65">
        <v>1268</v>
      </c>
      <c r="AE617" s="17" t="s">
        <v>129</v>
      </c>
      <c r="AH617" s="17" t="s">
        <v>316</v>
      </c>
      <c r="AI617" s="95">
        <f t="shared" si="38"/>
        <v>264.477</v>
      </c>
      <c r="AJ617" s="17" t="s">
        <v>317</v>
      </c>
    </row>
    <row r="618" s="17" customFormat="1" hidden="1" spans="1:36">
      <c r="A618" s="17" t="s">
        <v>34</v>
      </c>
      <c r="B618" s="19">
        <v>753</v>
      </c>
      <c r="C618" s="101">
        <v>44552</v>
      </c>
      <c r="D618" s="17" t="s">
        <v>35</v>
      </c>
      <c r="E618" s="17" t="s">
        <v>71</v>
      </c>
      <c r="F618" s="17" t="s">
        <v>72</v>
      </c>
      <c r="H618" s="19">
        <v>1.2379</v>
      </c>
      <c r="I618" s="19"/>
      <c r="J618" s="17" t="s">
        <v>82</v>
      </c>
      <c r="K618" s="132">
        <v>410</v>
      </c>
      <c r="L618" s="72">
        <v>32</v>
      </c>
      <c r="N618" s="17" t="s">
        <v>40</v>
      </c>
      <c r="O618" s="19" t="s">
        <v>141</v>
      </c>
      <c r="P618" s="131">
        <v>2000</v>
      </c>
      <c r="Q618" s="17">
        <v>1905</v>
      </c>
      <c r="R618" s="95">
        <f>+P618-Q618</f>
        <v>95</v>
      </c>
      <c r="S618" s="17">
        <f t="shared" si="37"/>
        <v>2885</v>
      </c>
      <c r="T618" s="19" t="s">
        <v>42</v>
      </c>
      <c r="U618" s="102" t="s">
        <v>314</v>
      </c>
      <c r="V618" s="64">
        <v>44552</v>
      </c>
      <c r="W618" s="17" t="s">
        <v>44</v>
      </c>
      <c r="Y618" s="68">
        <v>44593</v>
      </c>
      <c r="Z618" s="17" t="s">
        <v>191</v>
      </c>
      <c r="AA618" s="17" t="s">
        <v>46</v>
      </c>
      <c r="AB618" s="17" t="s">
        <v>318</v>
      </c>
      <c r="AC618" s="66">
        <v>44706</v>
      </c>
      <c r="AD618" s="65">
        <v>1300</v>
      </c>
      <c r="AE618" s="17" t="s">
        <v>129</v>
      </c>
      <c r="AH618" s="17" t="s">
        <v>316</v>
      </c>
      <c r="AI618" s="95">
        <f t="shared" si="38"/>
        <v>264.477</v>
      </c>
      <c r="AJ618" s="17" t="s">
        <v>317</v>
      </c>
    </row>
    <row r="619" s="17" customFormat="1" hidden="1" spans="1:36">
      <c r="A619" s="17" t="s">
        <v>34</v>
      </c>
      <c r="B619" s="19">
        <v>753</v>
      </c>
      <c r="C619" s="101">
        <v>44552</v>
      </c>
      <c r="D619" s="17" t="s">
        <v>35</v>
      </c>
      <c r="E619" s="17" t="s">
        <v>71</v>
      </c>
      <c r="F619" s="17" t="s">
        <v>72</v>
      </c>
      <c r="H619" s="19">
        <v>1.2379</v>
      </c>
      <c r="I619" s="19"/>
      <c r="J619" s="17" t="s">
        <v>82</v>
      </c>
      <c r="K619" s="132">
        <v>510</v>
      </c>
      <c r="L619" s="72">
        <v>32</v>
      </c>
      <c r="N619" s="17" t="s">
        <v>40</v>
      </c>
      <c r="O619" s="19" t="s">
        <v>141</v>
      </c>
      <c r="P619" s="131">
        <v>2000</v>
      </c>
      <c r="Q619" s="17">
        <f>420+935</f>
        <v>1355</v>
      </c>
      <c r="S619" s="17">
        <f t="shared" si="37"/>
        <v>2885</v>
      </c>
      <c r="T619" s="19" t="s">
        <v>42</v>
      </c>
      <c r="U619" s="102" t="s">
        <v>314</v>
      </c>
      <c r="V619" s="64">
        <v>44552</v>
      </c>
      <c r="W619" s="17" t="s">
        <v>44</v>
      </c>
      <c r="Y619" s="68">
        <v>44593</v>
      </c>
      <c r="Z619" s="17" t="s">
        <v>191</v>
      </c>
      <c r="AA619" s="17" t="s">
        <v>46</v>
      </c>
      <c r="AB619" s="17" t="s">
        <v>315</v>
      </c>
      <c r="AC619" s="66">
        <v>44630</v>
      </c>
      <c r="AD619" s="65">
        <v>1268</v>
      </c>
      <c r="AE619" s="17" t="s">
        <v>129</v>
      </c>
      <c r="AH619" s="17" t="s">
        <v>316</v>
      </c>
      <c r="AI619" s="95">
        <f t="shared" si="38"/>
        <v>264.477</v>
      </c>
      <c r="AJ619" s="17" t="s">
        <v>317</v>
      </c>
    </row>
    <row r="620" s="17" customFormat="1" hidden="1" spans="1:36">
      <c r="A620" s="17" t="s">
        <v>34</v>
      </c>
      <c r="B620" s="19">
        <v>753</v>
      </c>
      <c r="C620" s="101">
        <v>44552</v>
      </c>
      <c r="D620" s="17" t="s">
        <v>35</v>
      </c>
      <c r="E620" s="17" t="s">
        <v>71</v>
      </c>
      <c r="F620" s="17" t="s">
        <v>72</v>
      </c>
      <c r="H620" s="19">
        <v>1.2379</v>
      </c>
      <c r="I620" s="19"/>
      <c r="J620" s="17" t="s">
        <v>82</v>
      </c>
      <c r="K620" s="132">
        <v>510</v>
      </c>
      <c r="L620" s="72">
        <v>32</v>
      </c>
      <c r="N620" s="17" t="s">
        <v>40</v>
      </c>
      <c r="O620" s="19" t="s">
        <v>141</v>
      </c>
      <c r="P620" s="131"/>
      <c r="Q620" s="17">
        <v>1490</v>
      </c>
      <c r="R620" s="95">
        <f>+P619-Q619-Q620</f>
        <v>-845</v>
      </c>
      <c r="S620" s="17">
        <f t="shared" si="37"/>
        <v>2885</v>
      </c>
      <c r="T620" s="19" t="s">
        <v>42</v>
      </c>
      <c r="U620" s="102" t="s">
        <v>314</v>
      </c>
      <c r="V620" s="64">
        <v>44552</v>
      </c>
      <c r="W620" s="17" t="s">
        <v>44</v>
      </c>
      <c r="Y620" s="68">
        <v>44593</v>
      </c>
      <c r="Z620" s="17" t="s">
        <v>191</v>
      </c>
      <c r="AA620" s="17" t="s">
        <v>46</v>
      </c>
      <c r="AB620" s="17" t="s">
        <v>318</v>
      </c>
      <c r="AC620" s="66">
        <v>44706</v>
      </c>
      <c r="AD620" s="65">
        <v>1300</v>
      </c>
      <c r="AI620" s="95"/>
      <c r="AJ620" s="17" t="s">
        <v>317</v>
      </c>
    </row>
    <row r="621" s="17" customFormat="1" hidden="1" spans="1:36">
      <c r="A621" s="17" t="s">
        <v>34</v>
      </c>
      <c r="B621" s="19">
        <v>753</v>
      </c>
      <c r="C621" s="101">
        <v>44552</v>
      </c>
      <c r="D621" s="17" t="s">
        <v>35</v>
      </c>
      <c r="E621" s="17" t="s">
        <v>71</v>
      </c>
      <c r="F621" s="17" t="s">
        <v>72</v>
      </c>
      <c r="H621" s="19">
        <v>1.2379</v>
      </c>
      <c r="I621" s="19"/>
      <c r="J621" s="17" t="s">
        <v>82</v>
      </c>
      <c r="K621" s="132">
        <v>610</v>
      </c>
      <c r="L621" s="72">
        <v>32</v>
      </c>
      <c r="N621" s="17" t="s">
        <v>40</v>
      </c>
      <c r="O621" s="19" t="s">
        <v>141</v>
      </c>
      <c r="P621" s="131">
        <v>3000</v>
      </c>
      <c r="Q621" s="17">
        <f>1365+1305</f>
        <v>2670</v>
      </c>
      <c r="R621" s="95">
        <f>+P621-Q621</f>
        <v>330</v>
      </c>
      <c r="S621" s="17">
        <f t="shared" si="37"/>
        <v>2885</v>
      </c>
      <c r="T621" s="19" t="s">
        <v>42</v>
      </c>
      <c r="U621" s="102" t="s">
        <v>314</v>
      </c>
      <c r="V621" s="64">
        <v>44552</v>
      </c>
      <c r="W621" s="17" t="s">
        <v>44</v>
      </c>
      <c r="Y621" s="68">
        <v>44593</v>
      </c>
      <c r="Z621" s="17" t="s">
        <v>191</v>
      </c>
      <c r="AA621" s="17" t="s">
        <v>46</v>
      </c>
      <c r="AB621" s="17" t="s">
        <v>315</v>
      </c>
      <c r="AC621" s="66">
        <v>44630</v>
      </c>
      <c r="AD621" s="65">
        <v>1268</v>
      </c>
      <c r="AE621" s="17" t="s">
        <v>129</v>
      </c>
      <c r="AH621" s="17" t="s">
        <v>316</v>
      </c>
      <c r="AI621" s="95">
        <f>264477/1000</f>
        <v>264.477</v>
      </c>
      <c r="AJ621" s="17" t="s">
        <v>317</v>
      </c>
    </row>
    <row r="622" s="17" customFormat="1" hidden="1" spans="1:36">
      <c r="A622" s="17" t="s">
        <v>34</v>
      </c>
      <c r="B622" s="19">
        <v>753</v>
      </c>
      <c r="C622" s="101">
        <v>44552</v>
      </c>
      <c r="D622" s="17" t="s">
        <v>35</v>
      </c>
      <c r="E622" s="17" t="s">
        <v>71</v>
      </c>
      <c r="F622" s="17" t="s">
        <v>72</v>
      </c>
      <c r="H622" s="19">
        <v>1.2379</v>
      </c>
      <c r="I622" s="19"/>
      <c r="J622" s="17" t="s">
        <v>82</v>
      </c>
      <c r="K622" s="132">
        <v>310</v>
      </c>
      <c r="L622" s="72">
        <v>40</v>
      </c>
      <c r="N622" s="17" t="s">
        <v>40</v>
      </c>
      <c r="O622" s="19" t="s">
        <v>141</v>
      </c>
      <c r="P622" s="131">
        <v>2000</v>
      </c>
      <c r="Q622" s="17">
        <f>710+1430</f>
        <v>2140</v>
      </c>
      <c r="R622" s="95">
        <f>+P622-Q622</f>
        <v>-140</v>
      </c>
      <c r="S622" s="17">
        <f t="shared" si="37"/>
        <v>2885</v>
      </c>
      <c r="T622" s="19" t="s">
        <v>42</v>
      </c>
      <c r="U622" s="102" t="s">
        <v>314</v>
      </c>
      <c r="V622" s="64">
        <v>44552</v>
      </c>
      <c r="W622" s="17" t="s">
        <v>44</v>
      </c>
      <c r="Y622" s="68">
        <v>44593</v>
      </c>
      <c r="Z622" s="17" t="s">
        <v>191</v>
      </c>
      <c r="AA622" s="17" t="s">
        <v>46</v>
      </c>
      <c r="AB622" s="17" t="s">
        <v>318</v>
      </c>
      <c r="AC622" s="66">
        <v>44706</v>
      </c>
      <c r="AD622" s="65">
        <v>1300</v>
      </c>
      <c r="AE622" s="17" t="s">
        <v>129</v>
      </c>
      <c r="AH622" s="17" t="s">
        <v>316</v>
      </c>
      <c r="AI622" s="95">
        <f>264477/1000</f>
        <v>264.477</v>
      </c>
      <c r="AJ622" s="17" t="s">
        <v>317</v>
      </c>
    </row>
    <row r="623" s="17" customFormat="1" hidden="1" spans="1:36">
      <c r="A623" s="17" t="s">
        <v>34</v>
      </c>
      <c r="B623" s="19">
        <v>753</v>
      </c>
      <c r="C623" s="101">
        <v>44552</v>
      </c>
      <c r="D623" s="17" t="s">
        <v>35</v>
      </c>
      <c r="E623" s="17" t="s">
        <v>71</v>
      </c>
      <c r="F623" s="17" t="s">
        <v>72</v>
      </c>
      <c r="H623" s="19">
        <v>1.2379</v>
      </c>
      <c r="I623" s="19"/>
      <c r="J623" s="17" t="s">
        <v>82</v>
      </c>
      <c r="K623" s="132">
        <v>410</v>
      </c>
      <c r="L623" s="72">
        <v>40</v>
      </c>
      <c r="N623" s="17" t="s">
        <v>40</v>
      </c>
      <c r="O623" s="19" t="s">
        <v>141</v>
      </c>
      <c r="P623" s="131">
        <v>2000</v>
      </c>
      <c r="Q623" s="17">
        <v>1400</v>
      </c>
      <c r="R623" s="95">
        <f>+P623-Q623</f>
        <v>600</v>
      </c>
      <c r="S623" s="17">
        <f t="shared" si="37"/>
        <v>2885</v>
      </c>
      <c r="T623" s="19" t="s">
        <v>42</v>
      </c>
      <c r="U623" s="102" t="s">
        <v>314</v>
      </c>
      <c r="V623" s="64">
        <v>44552</v>
      </c>
      <c r="W623" s="17" t="s">
        <v>44</v>
      </c>
      <c r="Y623" s="68">
        <v>44593</v>
      </c>
      <c r="Z623" s="17" t="s">
        <v>191</v>
      </c>
      <c r="AA623" s="17" t="s">
        <v>46</v>
      </c>
      <c r="AB623" s="17" t="s">
        <v>315</v>
      </c>
      <c r="AC623" s="66">
        <v>44630</v>
      </c>
      <c r="AD623" s="65">
        <v>1268</v>
      </c>
      <c r="AE623" s="17" t="s">
        <v>129</v>
      </c>
      <c r="AH623" s="17" t="s">
        <v>316</v>
      </c>
      <c r="AI623" s="95">
        <f>264477/1000</f>
        <v>264.477</v>
      </c>
      <c r="AJ623" s="17" t="s">
        <v>317</v>
      </c>
    </row>
    <row r="624" s="17" customFormat="1" hidden="1" spans="1:36">
      <c r="A624" s="17" t="s">
        <v>34</v>
      </c>
      <c r="B624" s="19">
        <v>753</v>
      </c>
      <c r="C624" s="101">
        <v>44552</v>
      </c>
      <c r="D624" s="17" t="s">
        <v>35</v>
      </c>
      <c r="E624" s="17" t="s">
        <v>71</v>
      </c>
      <c r="F624" s="17" t="s">
        <v>72</v>
      </c>
      <c r="H624" s="19">
        <v>1.2379</v>
      </c>
      <c r="I624" s="19"/>
      <c r="J624" s="17" t="s">
        <v>82</v>
      </c>
      <c r="K624" s="132">
        <v>510</v>
      </c>
      <c r="L624" s="72">
        <v>40</v>
      </c>
      <c r="N624" s="17" t="s">
        <v>40</v>
      </c>
      <c r="O624" s="19" t="s">
        <v>141</v>
      </c>
      <c r="P624" s="131">
        <v>2000</v>
      </c>
      <c r="Q624" s="17">
        <v>2610</v>
      </c>
      <c r="R624" s="95">
        <f>+P624-Q624</f>
        <v>-610</v>
      </c>
      <c r="S624" s="17">
        <f t="shared" si="37"/>
        <v>2885</v>
      </c>
      <c r="T624" s="19" t="s">
        <v>42</v>
      </c>
      <c r="U624" s="102" t="s">
        <v>314</v>
      </c>
      <c r="V624" s="64">
        <v>44552</v>
      </c>
      <c r="W624" s="17" t="s">
        <v>44</v>
      </c>
      <c r="Y624" s="68">
        <v>44593</v>
      </c>
      <c r="Z624" s="17" t="s">
        <v>191</v>
      </c>
      <c r="AA624" s="17" t="s">
        <v>46</v>
      </c>
      <c r="AB624" s="17" t="s">
        <v>315</v>
      </c>
      <c r="AC624" s="66">
        <v>44630</v>
      </c>
      <c r="AD624" s="65">
        <v>1268</v>
      </c>
      <c r="AE624" s="17" t="s">
        <v>129</v>
      </c>
      <c r="AH624" s="17" t="s">
        <v>316</v>
      </c>
      <c r="AI624" s="95">
        <f>264477/1000</f>
        <v>264.477</v>
      </c>
      <c r="AJ624" s="17" t="s">
        <v>317</v>
      </c>
    </row>
    <row r="625" s="17" customFormat="1" hidden="1" spans="1:36">
      <c r="A625" s="17" t="s">
        <v>34</v>
      </c>
      <c r="B625" s="19">
        <v>753</v>
      </c>
      <c r="C625" s="101">
        <v>44552</v>
      </c>
      <c r="D625" s="17" t="s">
        <v>35</v>
      </c>
      <c r="E625" s="17" t="s">
        <v>71</v>
      </c>
      <c r="F625" s="17" t="s">
        <v>72</v>
      </c>
      <c r="H625" s="19">
        <v>1.2379</v>
      </c>
      <c r="I625" s="19"/>
      <c r="J625" s="17" t="s">
        <v>82</v>
      </c>
      <c r="K625" s="132">
        <v>610</v>
      </c>
      <c r="L625" s="72">
        <v>40</v>
      </c>
      <c r="N625" s="17" t="s">
        <v>40</v>
      </c>
      <c r="O625" s="19" t="s">
        <v>141</v>
      </c>
      <c r="P625" s="131">
        <v>3000</v>
      </c>
      <c r="Q625" s="17">
        <v>1975</v>
      </c>
      <c r="S625" s="17">
        <f t="shared" si="37"/>
        <v>2885</v>
      </c>
      <c r="T625" s="19" t="s">
        <v>42</v>
      </c>
      <c r="U625" s="102" t="s">
        <v>314</v>
      </c>
      <c r="V625" s="64">
        <v>44552</v>
      </c>
      <c r="W625" s="17" t="s">
        <v>44</v>
      </c>
      <c r="Y625" s="68">
        <v>44593</v>
      </c>
      <c r="Z625" s="17" t="s">
        <v>191</v>
      </c>
      <c r="AA625" s="17" t="s">
        <v>46</v>
      </c>
      <c r="AB625" s="17" t="s">
        <v>315</v>
      </c>
      <c r="AC625" s="66">
        <v>44630</v>
      </c>
      <c r="AD625" s="65">
        <v>1268</v>
      </c>
      <c r="AE625" s="17" t="s">
        <v>129</v>
      </c>
      <c r="AH625" s="17" t="s">
        <v>316</v>
      </c>
      <c r="AI625" s="95">
        <f>264477/1000</f>
        <v>264.477</v>
      </c>
      <c r="AJ625" s="17" t="s">
        <v>317</v>
      </c>
    </row>
    <row r="626" s="17" customFormat="1" hidden="1" spans="1:36">
      <c r="A626" s="17" t="s">
        <v>34</v>
      </c>
      <c r="B626" s="19">
        <v>753</v>
      </c>
      <c r="C626" s="101">
        <v>44552</v>
      </c>
      <c r="D626" s="17" t="s">
        <v>35</v>
      </c>
      <c r="E626" s="17" t="s">
        <v>71</v>
      </c>
      <c r="F626" s="17" t="s">
        <v>72</v>
      </c>
      <c r="H626" s="19">
        <v>1.2379</v>
      </c>
      <c r="I626" s="19"/>
      <c r="J626" s="17" t="s">
        <v>82</v>
      </c>
      <c r="K626" s="132">
        <v>610</v>
      </c>
      <c r="L626" s="72">
        <v>40</v>
      </c>
      <c r="N626" s="17" t="s">
        <v>40</v>
      </c>
      <c r="O626" s="19" t="s">
        <v>141</v>
      </c>
      <c r="P626" s="131"/>
      <c r="Q626" s="17">
        <v>1475</v>
      </c>
      <c r="R626" s="95">
        <f>+P625-Q625-Q626</f>
        <v>-450</v>
      </c>
      <c r="S626" s="17">
        <f t="shared" si="37"/>
        <v>2885</v>
      </c>
      <c r="T626" s="19" t="s">
        <v>42</v>
      </c>
      <c r="U626" s="102" t="s">
        <v>314</v>
      </c>
      <c r="V626" s="64">
        <v>44552</v>
      </c>
      <c r="W626" s="17" t="s">
        <v>44</v>
      </c>
      <c r="Y626" s="68">
        <v>44593</v>
      </c>
      <c r="Z626" s="17" t="s">
        <v>191</v>
      </c>
      <c r="AA626" s="17" t="s">
        <v>46</v>
      </c>
      <c r="AB626" s="17" t="s">
        <v>318</v>
      </c>
      <c r="AC626" s="66">
        <v>44706</v>
      </c>
      <c r="AD626" s="65">
        <v>1300</v>
      </c>
      <c r="AI626" s="95"/>
      <c r="AJ626" s="17" t="s">
        <v>317</v>
      </c>
    </row>
    <row r="627" s="17" customFormat="1" hidden="1" spans="1:36">
      <c r="A627" s="17" t="s">
        <v>34</v>
      </c>
      <c r="B627" s="19">
        <v>753</v>
      </c>
      <c r="C627" s="101">
        <v>44552</v>
      </c>
      <c r="D627" s="17" t="s">
        <v>35</v>
      </c>
      <c r="E627" s="17" t="s">
        <v>71</v>
      </c>
      <c r="F627" s="17" t="s">
        <v>72</v>
      </c>
      <c r="H627" s="19">
        <v>1.2379</v>
      </c>
      <c r="I627" s="19"/>
      <c r="J627" s="17" t="s">
        <v>82</v>
      </c>
      <c r="K627" s="132">
        <v>410</v>
      </c>
      <c r="L627" s="72">
        <v>50</v>
      </c>
      <c r="N627" s="17" t="s">
        <v>40</v>
      </c>
      <c r="O627" s="19" t="s">
        <v>141</v>
      </c>
      <c r="P627" s="131">
        <v>2000</v>
      </c>
      <c r="Q627" s="17">
        <v>1925</v>
      </c>
      <c r="R627" s="95">
        <f>+P627-Q627</f>
        <v>75</v>
      </c>
      <c r="S627" s="17">
        <f t="shared" si="37"/>
        <v>2885</v>
      </c>
      <c r="T627" s="19" t="s">
        <v>42</v>
      </c>
      <c r="U627" s="102" t="s">
        <v>314</v>
      </c>
      <c r="V627" s="64">
        <v>44552</v>
      </c>
      <c r="W627" s="17" t="s">
        <v>44</v>
      </c>
      <c r="Y627" s="68">
        <v>44593</v>
      </c>
      <c r="Z627" s="17" t="s">
        <v>191</v>
      </c>
      <c r="AA627" s="17" t="s">
        <v>46</v>
      </c>
      <c r="AB627" s="17" t="s">
        <v>315</v>
      </c>
      <c r="AC627" s="66">
        <v>44630</v>
      </c>
      <c r="AD627" s="65">
        <v>1268</v>
      </c>
      <c r="AE627" s="17" t="s">
        <v>129</v>
      </c>
      <c r="AH627" s="17" t="s">
        <v>316</v>
      </c>
      <c r="AI627" s="95">
        <f>264477/1000</f>
        <v>264.477</v>
      </c>
      <c r="AJ627" s="17" t="s">
        <v>317</v>
      </c>
    </row>
    <row r="628" s="17" customFormat="1" hidden="1" spans="1:36">
      <c r="A628" s="17" t="s">
        <v>34</v>
      </c>
      <c r="B628" s="19">
        <v>753</v>
      </c>
      <c r="C628" s="101">
        <v>44552</v>
      </c>
      <c r="D628" s="17" t="s">
        <v>35</v>
      </c>
      <c r="E628" s="17" t="s">
        <v>71</v>
      </c>
      <c r="F628" s="17" t="s">
        <v>72</v>
      </c>
      <c r="H628" s="19">
        <v>1.2379</v>
      </c>
      <c r="I628" s="19"/>
      <c r="J628" s="17" t="s">
        <v>82</v>
      </c>
      <c r="K628" s="132">
        <v>510</v>
      </c>
      <c r="L628" s="72">
        <v>50</v>
      </c>
      <c r="N628" s="17" t="s">
        <v>40</v>
      </c>
      <c r="O628" s="19" t="s">
        <v>141</v>
      </c>
      <c r="P628" s="131">
        <v>2000</v>
      </c>
      <c r="Q628" s="17">
        <v>1500</v>
      </c>
      <c r="R628" s="95">
        <f>+P628-Q628</f>
        <v>500</v>
      </c>
      <c r="S628" s="17">
        <f t="shared" si="37"/>
        <v>2885</v>
      </c>
      <c r="T628" s="19" t="s">
        <v>42</v>
      </c>
      <c r="U628" s="102" t="s">
        <v>314</v>
      </c>
      <c r="V628" s="64">
        <v>44552</v>
      </c>
      <c r="W628" s="17" t="s">
        <v>44</v>
      </c>
      <c r="Y628" s="68">
        <v>44593</v>
      </c>
      <c r="Z628" s="17" t="s">
        <v>191</v>
      </c>
      <c r="AA628" s="17" t="s">
        <v>46</v>
      </c>
      <c r="AB628" s="17" t="s">
        <v>318</v>
      </c>
      <c r="AC628" s="66">
        <v>44706</v>
      </c>
      <c r="AD628" s="65">
        <v>1300</v>
      </c>
      <c r="AE628" s="17" t="s">
        <v>129</v>
      </c>
      <c r="AH628" s="17" t="s">
        <v>316</v>
      </c>
      <c r="AI628" s="95">
        <f>264477/1000</f>
        <v>264.477</v>
      </c>
      <c r="AJ628" s="17" t="s">
        <v>317</v>
      </c>
    </row>
    <row r="629" s="17" customFormat="1" hidden="1" spans="1:36">
      <c r="A629" s="17" t="s">
        <v>34</v>
      </c>
      <c r="B629" s="19">
        <v>753</v>
      </c>
      <c r="C629" s="101">
        <v>44552</v>
      </c>
      <c r="D629" s="17" t="s">
        <v>35</v>
      </c>
      <c r="E629" s="17" t="s">
        <v>71</v>
      </c>
      <c r="F629" s="17" t="s">
        <v>72</v>
      </c>
      <c r="H629" s="19">
        <v>1.2379</v>
      </c>
      <c r="I629" s="19"/>
      <c r="J629" s="17" t="s">
        <v>82</v>
      </c>
      <c r="K629" s="132">
        <v>610</v>
      </c>
      <c r="L629" s="72">
        <v>50</v>
      </c>
      <c r="N629" s="17" t="s">
        <v>40</v>
      </c>
      <c r="O629" s="19" t="s">
        <v>141</v>
      </c>
      <c r="P629" s="131">
        <v>3000</v>
      </c>
      <c r="Q629" s="17">
        <v>1200</v>
      </c>
      <c r="S629" s="17">
        <f t="shared" si="37"/>
        <v>2885</v>
      </c>
      <c r="T629" s="19" t="s">
        <v>42</v>
      </c>
      <c r="U629" s="102" t="s">
        <v>314</v>
      </c>
      <c r="V629" s="64">
        <v>44552</v>
      </c>
      <c r="W629" s="17" t="s">
        <v>44</v>
      </c>
      <c r="Y629" s="68">
        <v>44593</v>
      </c>
      <c r="Z629" s="17" t="s">
        <v>191</v>
      </c>
      <c r="AA629" s="17" t="s">
        <v>46</v>
      </c>
      <c r="AB629" s="17" t="s">
        <v>315</v>
      </c>
      <c r="AC629" s="66">
        <v>44630</v>
      </c>
      <c r="AD629" s="65">
        <v>1268</v>
      </c>
      <c r="AE629" s="17" t="s">
        <v>129</v>
      </c>
      <c r="AH629" s="17" t="s">
        <v>316</v>
      </c>
      <c r="AI629" s="95">
        <f>264477/1000</f>
        <v>264.477</v>
      </c>
      <c r="AJ629" s="17" t="s">
        <v>317</v>
      </c>
    </row>
    <row r="630" s="17" customFormat="1" hidden="1" spans="1:36">
      <c r="A630" s="17" t="s">
        <v>34</v>
      </c>
      <c r="B630" s="19">
        <v>753</v>
      </c>
      <c r="C630" s="101">
        <v>44552</v>
      </c>
      <c r="D630" s="17" t="s">
        <v>35</v>
      </c>
      <c r="E630" s="17" t="s">
        <v>71</v>
      </c>
      <c r="F630" s="17" t="s">
        <v>72</v>
      </c>
      <c r="H630" s="19">
        <v>1.2379</v>
      </c>
      <c r="I630" s="19"/>
      <c r="J630" s="17" t="s">
        <v>82</v>
      </c>
      <c r="K630" s="132">
        <v>610</v>
      </c>
      <c r="L630" s="72">
        <v>50</v>
      </c>
      <c r="N630" s="17" t="s">
        <v>40</v>
      </c>
      <c r="O630" s="19" t="s">
        <v>141</v>
      </c>
      <c r="P630" s="131"/>
      <c r="Q630" s="17">
        <f>1030+1485</f>
        <v>2515</v>
      </c>
      <c r="R630" s="95">
        <f>+P629-Q629-Q630</f>
        <v>-715</v>
      </c>
      <c r="S630" s="17">
        <f t="shared" si="37"/>
        <v>2885</v>
      </c>
      <c r="T630" s="19" t="s">
        <v>42</v>
      </c>
      <c r="U630" s="102" t="s">
        <v>314</v>
      </c>
      <c r="V630" s="64">
        <v>44552</v>
      </c>
      <c r="W630" s="17" t="s">
        <v>44</v>
      </c>
      <c r="Y630" s="68">
        <v>44593</v>
      </c>
      <c r="Z630" s="17" t="s">
        <v>191</v>
      </c>
      <c r="AA630" s="17" t="s">
        <v>46</v>
      </c>
      <c r="AB630" s="17" t="s">
        <v>318</v>
      </c>
      <c r="AC630" s="66">
        <v>44706</v>
      </c>
      <c r="AD630" s="65">
        <v>1300</v>
      </c>
      <c r="AI630" s="95"/>
      <c r="AJ630" s="17" t="s">
        <v>317</v>
      </c>
    </row>
    <row r="631" s="17" customFormat="1" hidden="1" spans="1:36">
      <c r="A631" s="17" t="s">
        <v>34</v>
      </c>
      <c r="B631" s="19">
        <v>753</v>
      </c>
      <c r="C631" s="101">
        <v>44552</v>
      </c>
      <c r="D631" s="17" t="s">
        <v>35</v>
      </c>
      <c r="E631" s="17" t="s">
        <v>71</v>
      </c>
      <c r="F631" s="17" t="s">
        <v>72</v>
      </c>
      <c r="H631" s="19">
        <v>1.2379</v>
      </c>
      <c r="I631" s="19"/>
      <c r="J631" s="17" t="s">
        <v>82</v>
      </c>
      <c r="K631" s="132">
        <v>610</v>
      </c>
      <c r="L631" s="72">
        <v>80</v>
      </c>
      <c r="N631" s="17" t="s">
        <v>40</v>
      </c>
      <c r="O631" s="19" t="s">
        <v>141</v>
      </c>
      <c r="P631" s="131">
        <v>3000</v>
      </c>
      <c r="Q631" s="17">
        <f>1540+1550</f>
        <v>3090</v>
      </c>
      <c r="R631" s="95">
        <f t="shared" ref="R631:R662" si="39">+P631-Q631</f>
        <v>-90</v>
      </c>
      <c r="S631" s="17">
        <f t="shared" si="37"/>
        <v>2885</v>
      </c>
      <c r="T631" s="19" t="s">
        <v>42</v>
      </c>
      <c r="U631" s="102" t="s">
        <v>314</v>
      </c>
      <c r="V631" s="64">
        <v>44552</v>
      </c>
      <c r="W631" s="17" t="s">
        <v>44</v>
      </c>
      <c r="Y631" s="68">
        <v>44593</v>
      </c>
      <c r="Z631" s="17" t="s">
        <v>191</v>
      </c>
      <c r="AA631" s="17" t="s">
        <v>46</v>
      </c>
      <c r="AB631" s="17" t="s">
        <v>315</v>
      </c>
      <c r="AC631" s="66">
        <v>44630</v>
      </c>
      <c r="AD631" s="65">
        <v>1268</v>
      </c>
      <c r="AE631" s="17" t="s">
        <v>129</v>
      </c>
      <c r="AH631" s="17" t="s">
        <v>316</v>
      </c>
      <c r="AI631" s="95">
        <f>264477/1000</f>
        <v>264.477</v>
      </c>
      <c r="AJ631" s="17" t="s">
        <v>317</v>
      </c>
    </row>
    <row r="632" s="17" customFormat="1" hidden="1" spans="1:36">
      <c r="A632" s="17" t="s">
        <v>34</v>
      </c>
      <c r="B632" s="19">
        <v>753</v>
      </c>
      <c r="C632" s="101">
        <v>44552</v>
      </c>
      <c r="D632" s="17" t="s">
        <v>35</v>
      </c>
      <c r="E632" s="17" t="s">
        <v>71</v>
      </c>
      <c r="F632" s="17" t="s">
        <v>72</v>
      </c>
      <c r="H632" s="19">
        <v>1.2379</v>
      </c>
      <c r="I632" s="19"/>
      <c r="J632" s="17" t="s">
        <v>82</v>
      </c>
      <c r="K632" s="132">
        <v>610</v>
      </c>
      <c r="L632" s="72">
        <v>105</v>
      </c>
      <c r="N632" s="17" t="s">
        <v>40</v>
      </c>
      <c r="O632" s="19" t="s">
        <v>141</v>
      </c>
      <c r="P632" s="131">
        <v>3000</v>
      </c>
      <c r="Q632" s="17">
        <v>2510</v>
      </c>
      <c r="R632" s="95">
        <f t="shared" si="39"/>
        <v>490</v>
      </c>
      <c r="S632" s="17">
        <f t="shared" si="37"/>
        <v>2885</v>
      </c>
      <c r="T632" s="19" t="s">
        <v>42</v>
      </c>
      <c r="U632" s="102" t="s">
        <v>314</v>
      </c>
      <c r="V632" s="64">
        <v>44552</v>
      </c>
      <c r="W632" s="17" t="s">
        <v>44</v>
      </c>
      <c r="Y632" s="68">
        <v>44593</v>
      </c>
      <c r="Z632" s="17" t="s">
        <v>191</v>
      </c>
      <c r="AA632" s="17" t="s">
        <v>46</v>
      </c>
      <c r="AB632" s="17" t="s">
        <v>315</v>
      </c>
      <c r="AC632" s="66">
        <v>44630</v>
      </c>
      <c r="AD632" s="65">
        <v>1268</v>
      </c>
      <c r="AE632" s="17" t="s">
        <v>129</v>
      </c>
      <c r="AH632" s="17" t="s">
        <v>316</v>
      </c>
      <c r="AI632" s="95">
        <f>264477/1000</f>
        <v>264.477</v>
      </c>
      <c r="AJ632" s="17" t="s">
        <v>317</v>
      </c>
    </row>
    <row r="633" s="17" customFormat="1" hidden="1" spans="1:36">
      <c r="A633" s="17" t="s">
        <v>34</v>
      </c>
      <c r="B633" s="19">
        <v>756</v>
      </c>
      <c r="C633" s="64">
        <v>44553</v>
      </c>
      <c r="D633" s="17" t="s">
        <v>181</v>
      </c>
      <c r="E633" s="17" t="s">
        <v>182</v>
      </c>
      <c r="F633" s="17" t="s">
        <v>183</v>
      </c>
      <c r="H633" s="65">
        <v>1.2311</v>
      </c>
      <c r="I633" s="65"/>
      <c r="J633" s="17" t="s">
        <v>49</v>
      </c>
      <c r="K633" s="17">
        <v>1250</v>
      </c>
      <c r="L633" s="17">
        <v>275</v>
      </c>
      <c r="M633" s="17">
        <v>3180</v>
      </c>
      <c r="N633" s="17" t="s">
        <v>66</v>
      </c>
      <c r="O633" s="19" t="s">
        <v>168</v>
      </c>
      <c r="P633" s="65">
        <v>8910</v>
      </c>
      <c r="Q633" s="17">
        <v>8890</v>
      </c>
      <c r="R633" s="95">
        <f t="shared" si="39"/>
        <v>20</v>
      </c>
      <c r="S633" s="17">
        <v>1450</v>
      </c>
      <c r="T633" s="19" t="s">
        <v>94</v>
      </c>
      <c r="U633" s="17">
        <v>8210940</v>
      </c>
      <c r="V633" s="64">
        <v>44553</v>
      </c>
      <c r="W633" s="17" t="s">
        <v>319</v>
      </c>
      <c r="Z633" s="17" t="s">
        <v>320</v>
      </c>
      <c r="AA633" s="17" t="s">
        <v>46</v>
      </c>
      <c r="AB633" s="17">
        <v>82200070</v>
      </c>
      <c r="AC633" s="66">
        <v>44596</v>
      </c>
      <c r="AD633" s="65">
        <v>1259</v>
      </c>
      <c r="AE633" s="17" t="s">
        <v>48</v>
      </c>
    </row>
    <row r="634" s="17" customFormat="1" hidden="1" spans="1:36">
      <c r="A634" s="17" t="s">
        <v>34</v>
      </c>
      <c r="B634" s="19">
        <v>756</v>
      </c>
      <c r="C634" s="64">
        <v>44553</v>
      </c>
      <c r="D634" s="17" t="s">
        <v>181</v>
      </c>
      <c r="E634" s="17" t="s">
        <v>182</v>
      </c>
      <c r="F634" s="17" t="s">
        <v>183</v>
      </c>
      <c r="H634" s="65">
        <v>1.2311</v>
      </c>
      <c r="I634" s="65"/>
      <c r="J634" s="17" t="s">
        <v>49</v>
      </c>
      <c r="K634" s="17">
        <v>1250</v>
      </c>
      <c r="L634" s="17">
        <v>405</v>
      </c>
      <c r="M634" s="17">
        <v>4123</v>
      </c>
      <c r="N634" s="17" t="s">
        <v>66</v>
      </c>
      <c r="O634" s="19" t="s">
        <v>168</v>
      </c>
      <c r="P634" s="65">
        <v>16300</v>
      </c>
      <c r="Q634" s="17">
        <v>16280</v>
      </c>
      <c r="R634" s="95">
        <f t="shared" si="39"/>
        <v>20</v>
      </c>
      <c r="S634" s="17">
        <v>1450</v>
      </c>
      <c r="T634" s="19" t="s">
        <v>94</v>
      </c>
      <c r="U634" s="17">
        <v>8210940</v>
      </c>
      <c r="V634" s="64">
        <v>44553</v>
      </c>
      <c r="W634" s="17" t="s">
        <v>319</v>
      </c>
      <c r="Z634" s="17" t="s">
        <v>320</v>
      </c>
      <c r="AA634" s="17" t="s">
        <v>46</v>
      </c>
      <c r="AB634" s="17">
        <v>82200070</v>
      </c>
      <c r="AC634" s="66">
        <v>44596</v>
      </c>
      <c r="AD634" s="65">
        <v>1259</v>
      </c>
      <c r="AE634" s="17" t="s">
        <v>48</v>
      </c>
    </row>
    <row r="635" s="17" customFormat="1" hidden="1" spans="1:36">
      <c r="A635" s="17" t="s">
        <v>34</v>
      </c>
      <c r="B635" s="19">
        <v>756</v>
      </c>
      <c r="C635" s="64">
        <v>44553</v>
      </c>
      <c r="D635" s="17" t="s">
        <v>181</v>
      </c>
      <c r="E635" s="17" t="s">
        <v>182</v>
      </c>
      <c r="F635" s="17" t="s">
        <v>183</v>
      </c>
      <c r="H635" s="65">
        <v>1.2311</v>
      </c>
      <c r="I635" s="65"/>
      <c r="J635" s="17" t="s">
        <v>49</v>
      </c>
      <c r="K635" s="17">
        <v>1550</v>
      </c>
      <c r="L635" s="17">
        <v>355</v>
      </c>
      <c r="M635" s="17">
        <v>4908</v>
      </c>
      <c r="N635" s="17" t="s">
        <v>66</v>
      </c>
      <c r="O635" s="19" t="s">
        <v>168</v>
      </c>
      <c r="P635" s="65">
        <v>19950</v>
      </c>
      <c r="Q635" s="17">
        <v>19730</v>
      </c>
      <c r="R635" s="95">
        <f t="shared" si="39"/>
        <v>220</v>
      </c>
      <c r="S635" s="17">
        <v>1450</v>
      </c>
      <c r="T635" s="19" t="s">
        <v>94</v>
      </c>
      <c r="U635" s="17">
        <v>8210940</v>
      </c>
      <c r="V635" s="64">
        <v>44553</v>
      </c>
      <c r="W635" s="17" t="s">
        <v>319</v>
      </c>
      <c r="Z635" s="17" t="s">
        <v>320</v>
      </c>
      <c r="AA635" s="17" t="s">
        <v>46</v>
      </c>
      <c r="AB635" s="17">
        <v>82200130</v>
      </c>
      <c r="AC635" s="66">
        <v>44617</v>
      </c>
      <c r="AD635" s="65">
        <v>1261</v>
      </c>
      <c r="AE635" s="17" t="s">
        <v>48</v>
      </c>
    </row>
    <row r="636" s="17" customFormat="1" hidden="1" spans="1:36">
      <c r="A636" s="17" t="s">
        <v>34</v>
      </c>
      <c r="B636" s="19">
        <v>756</v>
      </c>
      <c r="C636" s="64">
        <v>44553</v>
      </c>
      <c r="D636" s="17" t="s">
        <v>181</v>
      </c>
      <c r="E636" s="17" t="s">
        <v>182</v>
      </c>
      <c r="F636" s="17" t="s">
        <v>183</v>
      </c>
      <c r="H636" s="65">
        <v>1.2738</v>
      </c>
      <c r="I636" s="65"/>
      <c r="J636" s="17" t="s">
        <v>49</v>
      </c>
      <c r="K636" s="17">
        <v>1600</v>
      </c>
      <c r="L636" s="17">
        <v>510</v>
      </c>
      <c r="M636" s="17">
        <v>3890</v>
      </c>
      <c r="N636" s="17" t="s">
        <v>66</v>
      </c>
      <c r="O636" s="19" t="s">
        <v>50</v>
      </c>
      <c r="P636" s="65">
        <v>25360</v>
      </c>
      <c r="Q636" s="17">
        <v>24970</v>
      </c>
      <c r="R636" s="95">
        <f t="shared" si="39"/>
        <v>390</v>
      </c>
      <c r="S636" s="17">
        <v>1550</v>
      </c>
      <c r="T636" s="19" t="s">
        <v>94</v>
      </c>
      <c r="U636" s="17">
        <v>8210940</v>
      </c>
      <c r="V636" s="64">
        <v>44553</v>
      </c>
      <c r="W636" s="17" t="s">
        <v>319</v>
      </c>
      <c r="Z636" s="17" t="s">
        <v>320</v>
      </c>
      <c r="AA636" s="17" t="s">
        <v>46</v>
      </c>
      <c r="AB636" s="17">
        <v>82200130</v>
      </c>
      <c r="AC636" s="66">
        <v>44617</v>
      </c>
      <c r="AD636" s="65">
        <v>1261</v>
      </c>
      <c r="AE636" s="17" t="s">
        <v>48</v>
      </c>
    </row>
    <row r="637" s="17" customFormat="1" hidden="1" spans="1:36">
      <c r="A637" s="17" t="s">
        <v>34</v>
      </c>
      <c r="B637" s="19">
        <v>756</v>
      </c>
      <c r="C637" s="64">
        <v>44553</v>
      </c>
      <c r="D637" s="17" t="s">
        <v>181</v>
      </c>
      <c r="E637" s="17" t="s">
        <v>182</v>
      </c>
      <c r="F637" s="17" t="s">
        <v>183</v>
      </c>
      <c r="H637" s="65">
        <v>1.2738</v>
      </c>
      <c r="I637" s="65"/>
      <c r="J637" s="17" t="s">
        <v>49</v>
      </c>
      <c r="K637" s="17">
        <v>1650</v>
      </c>
      <c r="L637" s="17">
        <v>735</v>
      </c>
      <c r="M637" s="17">
        <v>2183</v>
      </c>
      <c r="N637" s="17" t="s">
        <v>66</v>
      </c>
      <c r="O637" s="19" t="s">
        <v>50</v>
      </c>
      <c r="P637" s="65">
        <v>20275</v>
      </c>
      <c r="Q637" s="17">
        <v>20290</v>
      </c>
      <c r="R637" s="95">
        <f t="shared" si="39"/>
        <v>-15</v>
      </c>
      <c r="S637" s="17">
        <v>1700</v>
      </c>
      <c r="T637" s="19" t="s">
        <v>94</v>
      </c>
      <c r="U637" s="17">
        <v>8210940</v>
      </c>
      <c r="V637" s="64">
        <v>44553</v>
      </c>
      <c r="W637" s="17" t="s">
        <v>319</v>
      </c>
      <c r="Z637" s="17" t="s">
        <v>320</v>
      </c>
      <c r="AA637" s="17" t="s">
        <v>46</v>
      </c>
      <c r="AB637" s="17">
        <v>82200192</v>
      </c>
      <c r="AC637" s="66">
        <v>44637</v>
      </c>
      <c r="AD637" s="65">
        <v>1271</v>
      </c>
      <c r="AE637" s="17" t="s">
        <v>48</v>
      </c>
    </row>
    <row r="638" s="17" customFormat="1" hidden="1" spans="1:36">
      <c r="A638" s="17" t="s">
        <v>34</v>
      </c>
      <c r="B638" s="19">
        <v>757</v>
      </c>
      <c r="C638" s="64">
        <v>44553</v>
      </c>
      <c r="D638" s="17" t="s">
        <v>52</v>
      </c>
      <c r="E638" s="17" t="s">
        <v>214</v>
      </c>
      <c r="F638" s="17" t="s">
        <v>54</v>
      </c>
      <c r="H638" s="65">
        <v>1.2379</v>
      </c>
      <c r="I638" s="65"/>
      <c r="J638" s="17" t="s">
        <v>82</v>
      </c>
      <c r="K638" s="17">
        <v>305</v>
      </c>
      <c r="L638" s="17">
        <v>32</v>
      </c>
      <c r="N638" s="17" t="s">
        <v>40</v>
      </c>
      <c r="O638" s="19" t="s">
        <v>168</v>
      </c>
      <c r="P638" s="65">
        <v>520</v>
      </c>
      <c r="Q638" s="17">
        <v>520</v>
      </c>
      <c r="R638" s="95">
        <f t="shared" si="39"/>
        <v>0</v>
      </c>
      <c r="S638" s="17">
        <v>2265</v>
      </c>
      <c r="T638" s="19" t="s">
        <v>42</v>
      </c>
      <c r="U638" s="17" t="s">
        <v>221</v>
      </c>
      <c r="V638" s="64">
        <v>44553</v>
      </c>
      <c r="W638" s="17" t="s">
        <v>69</v>
      </c>
      <c r="Y638" s="68">
        <v>44562</v>
      </c>
      <c r="Z638" s="17" t="s">
        <v>191</v>
      </c>
      <c r="AA638" s="17" t="s">
        <v>46</v>
      </c>
      <c r="AB638" s="17" t="s">
        <v>321</v>
      </c>
      <c r="AC638" s="66">
        <v>44560</v>
      </c>
      <c r="AD638" s="65">
        <v>1254</v>
      </c>
    </row>
    <row r="639" s="17" customFormat="1" hidden="1" spans="1:36">
      <c r="A639" s="17" t="s">
        <v>34</v>
      </c>
      <c r="B639" s="19">
        <v>757</v>
      </c>
      <c r="C639" s="64">
        <v>44553</v>
      </c>
      <c r="D639" s="17" t="s">
        <v>52</v>
      </c>
      <c r="E639" s="17" t="s">
        <v>214</v>
      </c>
      <c r="F639" s="17" t="s">
        <v>54</v>
      </c>
      <c r="H639" s="65">
        <v>1.2379</v>
      </c>
      <c r="I639" s="65"/>
      <c r="J639" s="17" t="s">
        <v>82</v>
      </c>
      <c r="K639" s="17">
        <v>355</v>
      </c>
      <c r="L639" s="17">
        <v>40</v>
      </c>
      <c r="N639" s="17" t="s">
        <v>40</v>
      </c>
      <c r="O639" s="19" t="s">
        <v>168</v>
      </c>
      <c r="P639" s="65">
        <v>755</v>
      </c>
      <c r="Q639" s="17">
        <v>755</v>
      </c>
      <c r="R639" s="95">
        <f t="shared" si="39"/>
        <v>0</v>
      </c>
      <c r="S639" s="17">
        <v>2265</v>
      </c>
      <c r="T639" s="19" t="s">
        <v>42</v>
      </c>
      <c r="U639" s="17" t="s">
        <v>221</v>
      </c>
      <c r="V639" s="64">
        <v>44553</v>
      </c>
      <c r="W639" s="17" t="s">
        <v>69</v>
      </c>
      <c r="Y639" s="68">
        <v>44562</v>
      </c>
      <c r="Z639" s="17" t="s">
        <v>191</v>
      </c>
      <c r="AA639" s="17" t="s">
        <v>46</v>
      </c>
      <c r="AB639" s="17" t="s">
        <v>321</v>
      </c>
      <c r="AC639" s="66">
        <v>44560</v>
      </c>
      <c r="AD639" s="65">
        <v>1254</v>
      </c>
    </row>
    <row r="640" s="17" customFormat="1" hidden="1" spans="1:36">
      <c r="A640" s="17" t="s">
        <v>34</v>
      </c>
      <c r="B640" s="19">
        <v>757</v>
      </c>
      <c r="C640" s="64">
        <v>44553</v>
      </c>
      <c r="D640" s="17" t="s">
        <v>52</v>
      </c>
      <c r="E640" s="17" t="s">
        <v>214</v>
      </c>
      <c r="F640" s="17" t="s">
        <v>54</v>
      </c>
      <c r="H640" s="65">
        <v>1.2379</v>
      </c>
      <c r="I640" s="65"/>
      <c r="J640" s="17" t="s">
        <v>82</v>
      </c>
      <c r="K640" s="17">
        <v>405</v>
      </c>
      <c r="L640" s="17">
        <v>40</v>
      </c>
      <c r="N640" s="17" t="s">
        <v>40</v>
      </c>
      <c r="O640" s="19" t="s">
        <v>168</v>
      </c>
      <c r="P640" s="65">
        <v>880</v>
      </c>
      <c r="Q640" s="17">
        <v>880</v>
      </c>
      <c r="R640" s="95">
        <f t="shared" si="39"/>
        <v>0</v>
      </c>
      <c r="S640" s="17">
        <v>2265</v>
      </c>
      <c r="T640" s="19" t="s">
        <v>42</v>
      </c>
      <c r="U640" s="17" t="s">
        <v>221</v>
      </c>
      <c r="V640" s="64">
        <v>44553</v>
      </c>
      <c r="W640" s="17" t="s">
        <v>69</v>
      </c>
      <c r="Y640" s="68">
        <v>44562</v>
      </c>
      <c r="Z640" s="17" t="s">
        <v>191</v>
      </c>
      <c r="AA640" s="17" t="s">
        <v>46</v>
      </c>
      <c r="AB640" s="17" t="s">
        <v>321</v>
      </c>
      <c r="AC640" s="66">
        <v>44560</v>
      </c>
      <c r="AD640" s="65">
        <v>1254</v>
      </c>
    </row>
    <row r="641" s="17" customFormat="1" hidden="1" spans="1:30">
      <c r="A641" s="17" t="s">
        <v>34</v>
      </c>
      <c r="B641" s="19">
        <v>757</v>
      </c>
      <c r="C641" s="64">
        <v>44553</v>
      </c>
      <c r="D641" s="17" t="s">
        <v>52</v>
      </c>
      <c r="E641" s="17" t="s">
        <v>214</v>
      </c>
      <c r="F641" s="17" t="s">
        <v>54</v>
      </c>
      <c r="H641" s="65">
        <v>1.2379</v>
      </c>
      <c r="I641" s="65"/>
      <c r="J641" s="17" t="s">
        <v>82</v>
      </c>
      <c r="K641" s="17">
        <v>305</v>
      </c>
      <c r="L641" s="17">
        <v>50</v>
      </c>
      <c r="N641" s="17" t="s">
        <v>40</v>
      </c>
      <c r="O641" s="19" t="s">
        <v>168</v>
      </c>
      <c r="P641" s="65">
        <v>470</v>
      </c>
      <c r="Q641" s="17">
        <v>470</v>
      </c>
      <c r="R641" s="95">
        <f t="shared" si="39"/>
        <v>0</v>
      </c>
      <c r="S641" s="17">
        <v>2265</v>
      </c>
      <c r="T641" s="19" t="s">
        <v>42</v>
      </c>
      <c r="U641" s="17" t="s">
        <v>221</v>
      </c>
      <c r="V641" s="64">
        <v>44553</v>
      </c>
      <c r="W641" s="17" t="s">
        <v>69</v>
      </c>
      <c r="Y641" s="68">
        <v>44562</v>
      </c>
      <c r="Z641" s="17" t="s">
        <v>191</v>
      </c>
      <c r="AA641" s="17" t="s">
        <v>46</v>
      </c>
      <c r="AB641" s="17" t="s">
        <v>321</v>
      </c>
      <c r="AC641" s="66">
        <v>44560</v>
      </c>
      <c r="AD641" s="65">
        <v>1254</v>
      </c>
    </row>
    <row r="642" s="17" customFormat="1" hidden="1" spans="1:30">
      <c r="A642" s="17" t="s">
        <v>34</v>
      </c>
      <c r="B642" s="19">
        <v>757</v>
      </c>
      <c r="C642" s="64">
        <v>44553</v>
      </c>
      <c r="D642" s="17" t="s">
        <v>52</v>
      </c>
      <c r="E642" s="17" t="s">
        <v>214</v>
      </c>
      <c r="F642" s="17" t="s">
        <v>54</v>
      </c>
      <c r="H642" s="65">
        <v>1.2379</v>
      </c>
      <c r="I642" s="65"/>
      <c r="J642" s="17" t="s">
        <v>82</v>
      </c>
      <c r="K642" s="17">
        <v>305</v>
      </c>
      <c r="L642" s="17">
        <v>50</v>
      </c>
      <c r="N642" s="17" t="s">
        <v>40</v>
      </c>
      <c r="O642" s="19" t="s">
        <v>168</v>
      </c>
      <c r="P642" s="65">
        <v>821</v>
      </c>
      <c r="Q642" s="17">
        <v>821</v>
      </c>
      <c r="R642" s="17">
        <f t="shared" si="39"/>
        <v>0</v>
      </c>
      <c r="S642" s="17">
        <v>2265</v>
      </c>
      <c r="T642" s="19" t="s">
        <v>42</v>
      </c>
      <c r="U642" s="17" t="s">
        <v>221</v>
      </c>
      <c r="V642" s="64">
        <v>44553</v>
      </c>
      <c r="W642" s="17" t="s">
        <v>69</v>
      </c>
      <c r="Y642" s="68">
        <v>44562</v>
      </c>
      <c r="Z642" s="17" t="s">
        <v>191</v>
      </c>
      <c r="AA642" s="17" t="s">
        <v>46</v>
      </c>
      <c r="AB642" s="17" t="s">
        <v>321</v>
      </c>
      <c r="AC642" s="66">
        <v>44560</v>
      </c>
      <c r="AD642" s="65">
        <v>1254</v>
      </c>
    </row>
    <row r="643" s="17" customFormat="1" hidden="1" spans="1:30">
      <c r="A643" s="17" t="s">
        <v>34</v>
      </c>
      <c r="B643" s="19">
        <v>757</v>
      </c>
      <c r="C643" s="64">
        <v>44553</v>
      </c>
      <c r="D643" s="17" t="s">
        <v>52</v>
      </c>
      <c r="E643" s="17" t="s">
        <v>214</v>
      </c>
      <c r="F643" s="17" t="s">
        <v>54</v>
      </c>
      <c r="H643" s="65">
        <v>1.2379</v>
      </c>
      <c r="I643" s="65"/>
      <c r="J643" s="17" t="s">
        <v>82</v>
      </c>
      <c r="K643" s="17">
        <v>355</v>
      </c>
      <c r="L643" s="17">
        <v>50</v>
      </c>
      <c r="N643" s="17" t="s">
        <v>40</v>
      </c>
      <c r="O643" s="19" t="s">
        <v>168</v>
      </c>
      <c r="P643" s="65">
        <v>1920</v>
      </c>
      <c r="Q643" s="17">
        <v>1920</v>
      </c>
      <c r="R643" s="95">
        <f t="shared" si="39"/>
        <v>0</v>
      </c>
      <c r="S643" s="17">
        <v>2265</v>
      </c>
      <c r="T643" s="19" t="s">
        <v>42</v>
      </c>
      <c r="U643" s="17" t="s">
        <v>221</v>
      </c>
      <c r="V643" s="64">
        <v>44553</v>
      </c>
      <c r="W643" s="17" t="s">
        <v>69</v>
      </c>
      <c r="Y643" s="68">
        <v>44562</v>
      </c>
      <c r="Z643" s="17" t="s">
        <v>191</v>
      </c>
      <c r="AA643" s="17" t="s">
        <v>46</v>
      </c>
      <c r="AB643" s="17" t="s">
        <v>321</v>
      </c>
      <c r="AC643" s="66">
        <v>44560</v>
      </c>
      <c r="AD643" s="65">
        <v>1254</v>
      </c>
    </row>
    <row r="644" s="17" customFormat="1" hidden="1" spans="1:30">
      <c r="A644" s="17" t="s">
        <v>34</v>
      </c>
      <c r="B644" s="19">
        <v>757</v>
      </c>
      <c r="C644" s="64">
        <v>44553</v>
      </c>
      <c r="D644" s="17" t="s">
        <v>52</v>
      </c>
      <c r="E644" s="17" t="s">
        <v>214</v>
      </c>
      <c r="F644" s="17" t="s">
        <v>54</v>
      </c>
      <c r="H644" s="65">
        <v>1.2379</v>
      </c>
      <c r="I644" s="65"/>
      <c r="J644" s="17" t="s">
        <v>82</v>
      </c>
      <c r="K644" s="17">
        <v>455</v>
      </c>
      <c r="L644" s="17">
        <v>50</v>
      </c>
      <c r="N644" s="17" t="s">
        <v>40</v>
      </c>
      <c r="O644" s="19" t="s">
        <v>168</v>
      </c>
      <c r="P644" s="65">
        <v>1210</v>
      </c>
      <c r="Q644" s="17">
        <v>1210</v>
      </c>
      <c r="R644" s="95">
        <f t="shared" si="39"/>
        <v>0</v>
      </c>
      <c r="S644" s="17">
        <v>2265</v>
      </c>
      <c r="T644" s="19" t="s">
        <v>42</v>
      </c>
      <c r="U644" s="17" t="s">
        <v>221</v>
      </c>
      <c r="V644" s="64">
        <v>44553</v>
      </c>
      <c r="W644" s="17" t="s">
        <v>69</v>
      </c>
      <c r="Y644" s="68">
        <v>44562</v>
      </c>
      <c r="Z644" s="17" t="s">
        <v>191</v>
      </c>
      <c r="AA644" s="17" t="s">
        <v>46</v>
      </c>
      <c r="AB644" s="17" t="s">
        <v>321</v>
      </c>
      <c r="AC644" s="66">
        <v>44560</v>
      </c>
      <c r="AD644" s="65">
        <v>1254</v>
      </c>
    </row>
    <row r="645" s="17" customFormat="1" hidden="1" spans="1:30">
      <c r="A645" s="17" t="s">
        <v>34</v>
      </c>
      <c r="B645" s="19">
        <v>757</v>
      </c>
      <c r="C645" s="64">
        <v>44553</v>
      </c>
      <c r="D645" s="17" t="s">
        <v>52</v>
      </c>
      <c r="E645" s="17" t="s">
        <v>214</v>
      </c>
      <c r="F645" s="17" t="s">
        <v>54</v>
      </c>
      <c r="H645" s="65">
        <v>1.2379</v>
      </c>
      <c r="I645" s="65"/>
      <c r="J645" s="17" t="s">
        <v>82</v>
      </c>
      <c r="K645" s="17">
        <v>130</v>
      </c>
      <c r="L645" s="17">
        <v>55</v>
      </c>
      <c r="N645" s="17" t="s">
        <v>40</v>
      </c>
      <c r="O645" s="19" t="s">
        <v>168</v>
      </c>
      <c r="P645" s="65">
        <v>185</v>
      </c>
      <c r="Q645" s="17">
        <v>185</v>
      </c>
      <c r="R645" s="95">
        <f t="shared" si="39"/>
        <v>0</v>
      </c>
      <c r="S645" s="17">
        <v>2265</v>
      </c>
      <c r="T645" s="19" t="s">
        <v>42</v>
      </c>
      <c r="U645" s="17" t="s">
        <v>221</v>
      </c>
      <c r="V645" s="64">
        <v>44553</v>
      </c>
      <c r="W645" s="17" t="s">
        <v>69</v>
      </c>
      <c r="Y645" s="68">
        <v>44562</v>
      </c>
      <c r="Z645" s="17" t="s">
        <v>191</v>
      </c>
      <c r="AA645" s="17" t="s">
        <v>46</v>
      </c>
      <c r="AB645" s="17" t="s">
        <v>321</v>
      </c>
      <c r="AC645" s="66">
        <v>44560</v>
      </c>
      <c r="AD645" s="65">
        <v>1254</v>
      </c>
    </row>
    <row r="646" s="17" customFormat="1" hidden="1" spans="1:30">
      <c r="A646" s="17" t="s">
        <v>34</v>
      </c>
      <c r="B646" s="19">
        <v>757</v>
      </c>
      <c r="C646" s="64">
        <v>44553</v>
      </c>
      <c r="D646" s="17" t="s">
        <v>52</v>
      </c>
      <c r="E646" s="17" t="s">
        <v>214</v>
      </c>
      <c r="F646" s="17" t="s">
        <v>54</v>
      </c>
      <c r="H646" s="65">
        <v>1.2379</v>
      </c>
      <c r="I646" s="65"/>
      <c r="J646" s="17" t="s">
        <v>82</v>
      </c>
      <c r="K646" s="17">
        <v>305</v>
      </c>
      <c r="L646" s="17">
        <v>65</v>
      </c>
      <c r="N646" s="17" t="s">
        <v>40</v>
      </c>
      <c r="O646" s="19" t="s">
        <v>168</v>
      </c>
      <c r="P646" s="65">
        <v>2278</v>
      </c>
      <c r="Q646" s="17">
        <v>2278</v>
      </c>
      <c r="R646" s="95">
        <f t="shared" si="39"/>
        <v>0</v>
      </c>
      <c r="S646" s="17">
        <v>2265</v>
      </c>
      <c r="T646" s="19" t="s">
        <v>42</v>
      </c>
      <c r="U646" s="17" t="s">
        <v>221</v>
      </c>
      <c r="V646" s="64">
        <v>44553</v>
      </c>
      <c r="W646" s="17" t="s">
        <v>69</v>
      </c>
      <c r="Y646" s="68">
        <v>44562</v>
      </c>
      <c r="Z646" s="17" t="s">
        <v>191</v>
      </c>
      <c r="AA646" s="17" t="s">
        <v>46</v>
      </c>
      <c r="AB646" s="17" t="s">
        <v>321</v>
      </c>
      <c r="AC646" s="66">
        <v>44560</v>
      </c>
      <c r="AD646" s="65">
        <v>1254</v>
      </c>
    </row>
    <row r="647" s="17" customFormat="1" hidden="1" spans="1:30">
      <c r="A647" s="17" t="s">
        <v>34</v>
      </c>
      <c r="B647" s="19">
        <v>757</v>
      </c>
      <c r="C647" s="64">
        <v>44553</v>
      </c>
      <c r="D647" s="17" t="s">
        <v>52</v>
      </c>
      <c r="E647" s="17" t="s">
        <v>214</v>
      </c>
      <c r="F647" s="17" t="s">
        <v>54</v>
      </c>
      <c r="H647" s="65">
        <v>1.2379</v>
      </c>
      <c r="I647" s="65"/>
      <c r="J647" s="17" t="s">
        <v>82</v>
      </c>
      <c r="K647" s="17">
        <v>205</v>
      </c>
      <c r="L647" s="17">
        <v>105</v>
      </c>
      <c r="N647" s="17" t="s">
        <v>40</v>
      </c>
      <c r="O647" s="19" t="s">
        <v>168</v>
      </c>
      <c r="P647" s="65">
        <v>1142</v>
      </c>
      <c r="Q647" s="17">
        <f>582+560</f>
        <v>1142</v>
      </c>
      <c r="R647" s="95">
        <f t="shared" si="39"/>
        <v>0</v>
      </c>
      <c r="S647" s="17">
        <v>2265</v>
      </c>
      <c r="T647" s="19" t="s">
        <v>42</v>
      </c>
      <c r="U647" s="17" t="s">
        <v>221</v>
      </c>
      <c r="V647" s="64">
        <v>44553</v>
      </c>
      <c r="W647" s="17" t="s">
        <v>69</v>
      </c>
      <c r="Y647" s="68">
        <v>44562</v>
      </c>
      <c r="Z647" s="17" t="s">
        <v>191</v>
      </c>
      <c r="AA647" s="17" t="s">
        <v>46</v>
      </c>
      <c r="AB647" s="17" t="s">
        <v>321</v>
      </c>
      <c r="AC647" s="66">
        <v>44560</v>
      </c>
      <c r="AD647" s="65">
        <v>1254</v>
      </c>
    </row>
    <row r="648" s="17" customFormat="1" hidden="1" spans="1:30">
      <c r="A648" s="17" t="s">
        <v>34</v>
      </c>
      <c r="B648" s="19">
        <v>757</v>
      </c>
      <c r="C648" s="64">
        <v>44553</v>
      </c>
      <c r="D648" s="17" t="s">
        <v>52</v>
      </c>
      <c r="E648" s="17" t="s">
        <v>214</v>
      </c>
      <c r="F648" s="17" t="s">
        <v>54</v>
      </c>
      <c r="H648" s="65">
        <v>1.2379</v>
      </c>
      <c r="I648" s="65"/>
      <c r="J648" s="17" t="s">
        <v>82</v>
      </c>
      <c r="K648" s="17">
        <v>255</v>
      </c>
      <c r="L648" s="17">
        <v>105</v>
      </c>
      <c r="N648" s="17" t="s">
        <v>40</v>
      </c>
      <c r="O648" s="19" t="s">
        <v>168</v>
      </c>
      <c r="P648" s="65">
        <v>792</v>
      </c>
      <c r="Q648" s="17">
        <v>792</v>
      </c>
      <c r="R648" s="95">
        <f t="shared" si="39"/>
        <v>0</v>
      </c>
      <c r="S648" s="17">
        <v>2265</v>
      </c>
      <c r="T648" s="19" t="s">
        <v>42</v>
      </c>
      <c r="U648" s="17" t="s">
        <v>221</v>
      </c>
      <c r="V648" s="64">
        <v>44553</v>
      </c>
      <c r="W648" s="17" t="s">
        <v>69</v>
      </c>
      <c r="Y648" s="68">
        <v>44562</v>
      </c>
      <c r="Z648" s="17" t="s">
        <v>191</v>
      </c>
      <c r="AA648" s="17" t="s">
        <v>46</v>
      </c>
      <c r="AB648" s="17" t="s">
        <v>321</v>
      </c>
      <c r="AC648" s="66">
        <v>44560</v>
      </c>
      <c r="AD648" s="65">
        <v>1254</v>
      </c>
    </row>
    <row r="649" s="17" customFormat="1" hidden="1" spans="1:30">
      <c r="A649" s="17" t="s">
        <v>34</v>
      </c>
      <c r="B649" s="19">
        <v>757</v>
      </c>
      <c r="C649" s="64">
        <v>44553</v>
      </c>
      <c r="D649" s="17" t="s">
        <v>52</v>
      </c>
      <c r="E649" s="17" t="s">
        <v>214</v>
      </c>
      <c r="F649" s="17" t="s">
        <v>54</v>
      </c>
      <c r="H649" s="65">
        <v>1.2379</v>
      </c>
      <c r="I649" s="65"/>
      <c r="J649" s="17" t="s">
        <v>82</v>
      </c>
      <c r="K649" s="17">
        <v>130</v>
      </c>
      <c r="L649" s="17">
        <v>130</v>
      </c>
      <c r="N649" s="17" t="s">
        <v>40</v>
      </c>
      <c r="O649" s="19" t="s">
        <v>168</v>
      </c>
      <c r="P649" s="65">
        <v>1910</v>
      </c>
      <c r="Q649" s="17">
        <v>1910</v>
      </c>
      <c r="R649" s="95">
        <f t="shared" si="39"/>
        <v>0</v>
      </c>
      <c r="S649" s="17">
        <v>2265</v>
      </c>
      <c r="T649" s="19" t="s">
        <v>42</v>
      </c>
      <c r="U649" s="17" t="s">
        <v>221</v>
      </c>
      <c r="V649" s="64">
        <v>44553</v>
      </c>
      <c r="W649" s="17" t="s">
        <v>69</v>
      </c>
      <c r="Y649" s="68">
        <v>44562</v>
      </c>
      <c r="Z649" s="17" t="s">
        <v>191</v>
      </c>
      <c r="AA649" s="17" t="s">
        <v>46</v>
      </c>
      <c r="AB649" s="17" t="s">
        <v>321</v>
      </c>
      <c r="AC649" s="66">
        <v>44560</v>
      </c>
      <c r="AD649" s="65">
        <v>1254</v>
      </c>
    </row>
    <row r="650" s="17" customFormat="1" hidden="1" spans="1:30">
      <c r="A650" s="17" t="s">
        <v>34</v>
      </c>
      <c r="B650" s="19">
        <v>757</v>
      </c>
      <c r="C650" s="64">
        <v>44553</v>
      </c>
      <c r="D650" s="17" t="s">
        <v>52</v>
      </c>
      <c r="E650" s="17" t="s">
        <v>214</v>
      </c>
      <c r="F650" s="17" t="s">
        <v>54</v>
      </c>
      <c r="H650" s="65">
        <v>1.2379</v>
      </c>
      <c r="I650" s="65"/>
      <c r="J650" s="17" t="s">
        <v>82</v>
      </c>
      <c r="K650" s="17">
        <v>155</v>
      </c>
      <c r="L650" s="17">
        <v>130</v>
      </c>
      <c r="N650" s="17" t="s">
        <v>40</v>
      </c>
      <c r="O650" s="19" t="s">
        <v>168</v>
      </c>
      <c r="P650" s="65">
        <v>520</v>
      </c>
      <c r="Q650" s="17">
        <v>520</v>
      </c>
      <c r="R650" s="95">
        <f t="shared" si="39"/>
        <v>0</v>
      </c>
      <c r="S650" s="17">
        <v>2265</v>
      </c>
      <c r="T650" s="19" t="s">
        <v>42</v>
      </c>
      <c r="U650" s="17" t="s">
        <v>221</v>
      </c>
      <c r="V650" s="64">
        <v>44553</v>
      </c>
      <c r="W650" s="17" t="s">
        <v>69</v>
      </c>
      <c r="Y650" s="68">
        <v>44562</v>
      </c>
      <c r="Z650" s="17" t="s">
        <v>191</v>
      </c>
      <c r="AA650" s="17" t="s">
        <v>46</v>
      </c>
      <c r="AB650" s="17" t="s">
        <v>321</v>
      </c>
      <c r="AC650" s="66">
        <v>44560</v>
      </c>
      <c r="AD650" s="65">
        <v>1254</v>
      </c>
    </row>
    <row r="651" s="17" customFormat="1" hidden="1" spans="1:30">
      <c r="A651" s="17" t="s">
        <v>34</v>
      </c>
      <c r="B651" s="19">
        <v>757</v>
      </c>
      <c r="C651" s="64">
        <v>44553</v>
      </c>
      <c r="D651" s="17" t="s">
        <v>52</v>
      </c>
      <c r="E651" s="17" t="s">
        <v>214</v>
      </c>
      <c r="F651" s="17" t="s">
        <v>54</v>
      </c>
      <c r="H651" s="65">
        <v>1.2379</v>
      </c>
      <c r="I651" s="65"/>
      <c r="J651" s="17" t="s">
        <v>82</v>
      </c>
      <c r="K651" s="17">
        <v>205</v>
      </c>
      <c r="L651" s="17">
        <v>130</v>
      </c>
      <c r="N651" s="17" t="s">
        <v>40</v>
      </c>
      <c r="O651" s="19" t="s">
        <v>168</v>
      </c>
      <c r="P651" s="65">
        <v>720</v>
      </c>
      <c r="Q651" s="17">
        <v>720</v>
      </c>
      <c r="R651" s="95">
        <f t="shared" si="39"/>
        <v>0</v>
      </c>
      <c r="S651" s="17">
        <v>2265</v>
      </c>
      <c r="T651" s="19" t="s">
        <v>42</v>
      </c>
      <c r="U651" s="17" t="s">
        <v>221</v>
      </c>
      <c r="V651" s="64">
        <v>44553</v>
      </c>
      <c r="W651" s="17" t="s">
        <v>69</v>
      </c>
      <c r="Y651" s="68">
        <v>44562</v>
      </c>
      <c r="Z651" s="17" t="s">
        <v>191</v>
      </c>
      <c r="AA651" s="17" t="s">
        <v>46</v>
      </c>
      <c r="AB651" s="17" t="s">
        <v>321</v>
      </c>
      <c r="AC651" s="66">
        <v>44560</v>
      </c>
      <c r="AD651" s="65">
        <v>1254</v>
      </c>
    </row>
    <row r="652" s="17" customFormat="1" hidden="1" spans="1:30">
      <c r="A652" s="17" t="s">
        <v>34</v>
      </c>
      <c r="B652" s="19">
        <v>757</v>
      </c>
      <c r="C652" s="64">
        <v>44553</v>
      </c>
      <c r="D652" s="17" t="s">
        <v>52</v>
      </c>
      <c r="E652" s="17" t="s">
        <v>214</v>
      </c>
      <c r="F652" s="17" t="s">
        <v>54</v>
      </c>
      <c r="H652" s="65">
        <v>1.2379</v>
      </c>
      <c r="I652" s="65"/>
      <c r="J652" s="17" t="s">
        <v>82</v>
      </c>
      <c r="K652" s="17">
        <v>255</v>
      </c>
      <c r="L652" s="17">
        <v>130</v>
      </c>
      <c r="N652" s="17" t="s">
        <v>40</v>
      </c>
      <c r="O652" s="19" t="s">
        <v>168</v>
      </c>
      <c r="P652" s="65">
        <v>1180</v>
      </c>
      <c r="Q652" s="17">
        <v>1180</v>
      </c>
      <c r="R652" s="95">
        <f t="shared" si="39"/>
        <v>0</v>
      </c>
      <c r="S652" s="17">
        <v>2265</v>
      </c>
      <c r="T652" s="19" t="s">
        <v>42</v>
      </c>
      <c r="U652" s="17" t="s">
        <v>221</v>
      </c>
      <c r="V652" s="64">
        <v>44553</v>
      </c>
      <c r="W652" s="17" t="s">
        <v>69</v>
      </c>
      <c r="Y652" s="68">
        <v>44562</v>
      </c>
      <c r="Z652" s="17" t="s">
        <v>191</v>
      </c>
      <c r="AA652" s="17" t="s">
        <v>46</v>
      </c>
      <c r="AB652" s="17" t="s">
        <v>321</v>
      </c>
      <c r="AC652" s="66">
        <v>44560</v>
      </c>
      <c r="AD652" s="65">
        <v>1254</v>
      </c>
    </row>
    <row r="653" s="17" customFormat="1" hidden="1" spans="1:30">
      <c r="A653" s="17" t="s">
        <v>34</v>
      </c>
      <c r="B653" s="19">
        <v>757</v>
      </c>
      <c r="C653" s="64">
        <v>44553</v>
      </c>
      <c r="D653" s="17" t="s">
        <v>52</v>
      </c>
      <c r="E653" s="17" t="s">
        <v>214</v>
      </c>
      <c r="F653" s="17" t="s">
        <v>54</v>
      </c>
      <c r="H653" s="65">
        <v>1.2379</v>
      </c>
      <c r="I653" s="65"/>
      <c r="J653" s="17" t="s">
        <v>82</v>
      </c>
      <c r="K653" s="17">
        <v>205</v>
      </c>
      <c r="L653" s="17">
        <v>155</v>
      </c>
      <c r="N653" s="17" t="s">
        <v>40</v>
      </c>
      <c r="O653" s="19" t="s">
        <v>168</v>
      </c>
      <c r="P653" s="65">
        <v>1657</v>
      </c>
      <c r="Q653" s="17">
        <f>832+825</f>
        <v>1657</v>
      </c>
      <c r="R653" s="95">
        <f t="shared" si="39"/>
        <v>0</v>
      </c>
      <c r="S653" s="17">
        <v>2265</v>
      </c>
      <c r="T653" s="19" t="s">
        <v>42</v>
      </c>
      <c r="U653" s="17" t="s">
        <v>221</v>
      </c>
      <c r="V653" s="64">
        <v>44553</v>
      </c>
      <c r="W653" s="17" t="s">
        <v>69</v>
      </c>
      <c r="Y653" s="68">
        <v>44562</v>
      </c>
      <c r="Z653" s="17" t="s">
        <v>191</v>
      </c>
      <c r="AA653" s="17" t="s">
        <v>46</v>
      </c>
      <c r="AB653" s="17" t="s">
        <v>321</v>
      </c>
      <c r="AC653" s="66">
        <v>44560</v>
      </c>
      <c r="AD653" s="65">
        <v>1254</v>
      </c>
    </row>
    <row r="654" s="17" customFormat="1" hidden="1" spans="1:30">
      <c r="A654" s="17" t="s">
        <v>34</v>
      </c>
      <c r="B654" s="19">
        <v>757</v>
      </c>
      <c r="C654" s="64">
        <v>44553</v>
      </c>
      <c r="D654" s="17" t="s">
        <v>52</v>
      </c>
      <c r="E654" s="17" t="s">
        <v>214</v>
      </c>
      <c r="F654" s="17" t="s">
        <v>54</v>
      </c>
      <c r="H654" s="65">
        <v>1.2379</v>
      </c>
      <c r="I654" s="65"/>
      <c r="J654" s="17" t="s">
        <v>82</v>
      </c>
      <c r="K654" s="17">
        <v>305</v>
      </c>
      <c r="L654" s="17">
        <v>155</v>
      </c>
      <c r="N654" s="17" t="s">
        <v>40</v>
      </c>
      <c r="O654" s="19" t="s">
        <v>168</v>
      </c>
      <c r="P654" s="65">
        <v>2514</v>
      </c>
      <c r="Q654" s="17">
        <v>2514</v>
      </c>
      <c r="R654" s="95">
        <f t="shared" si="39"/>
        <v>0</v>
      </c>
      <c r="S654" s="17">
        <v>2265</v>
      </c>
      <c r="T654" s="19" t="s">
        <v>42</v>
      </c>
      <c r="U654" s="17" t="s">
        <v>221</v>
      </c>
      <c r="V654" s="64">
        <v>44553</v>
      </c>
      <c r="W654" s="17" t="s">
        <v>69</v>
      </c>
      <c r="Y654" s="68">
        <v>44562</v>
      </c>
      <c r="Z654" s="17" t="s">
        <v>191</v>
      </c>
      <c r="AA654" s="17" t="s">
        <v>46</v>
      </c>
      <c r="AB654" s="17" t="s">
        <v>321</v>
      </c>
      <c r="AC654" s="66">
        <v>44560</v>
      </c>
      <c r="AD654" s="65">
        <v>1254</v>
      </c>
    </row>
    <row r="655" s="17" customFormat="1" hidden="1" spans="1:30">
      <c r="A655" s="17" t="s">
        <v>34</v>
      </c>
      <c r="B655" s="19">
        <v>757</v>
      </c>
      <c r="C655" s="64">
        <v>44553</v>
      </c>
      <c r="D655" s="17" t="s">
        <v>52</v>
      </c>
      <c r="E655" s="17" t="s">
        <v>214</v>
      </c>
      <c r="F655" s="17" t="s">
        <v>54</v>
      </c>
      <c r="H655" s="65" t="s">
        <v>219</v>
      </c>
      <c r="I655" s="65"/>
      <c r="J655" s="17" t="s">
        <v>82</v>
      </c>
      <c r="K655" s="17">
        <v>610</v>
      </c>
      <c r="L655" s="17">
        <v>260</v>
      </c>
      <c r="N655" s="17" t="s">
        <v>40</v>
      </c>
      <c r="O655" s="19" t="s">
        <v>168</v>
      </c>
      <c r="P655" s="65">
        <v>3700</v>
      </c>
      <c r="Q655" s="17">
        <v>2056</v>
      </c>
      <c r="R655" s="95">
        <f t="shared" si="39"/>
        <v>1644</v>
      </c>
      <c r="S655" s="17">
        <v>2585</v>
      </c>
      <c r="T655" s="19" t="s">
        <v>42</v>
      </c>
      <c r="U655" s="17" t="s">
        <v>221</v>
      </c>
      <c r="V655" s="64">
        <v>44553</v>
      </c>
      <c r="W655" s="17" t="s">
        <v>69</v>
      </c>
      <c r="Y655" s="68">
        <v>44562</v>
      </c>
      <c r="Z655" s="17" t="s">
        <v>191</v>
      </c>
      <c r="AA655" s="17" t="s">
        <v>46</v>
      </c>
      <c r="AB655" s="17" t="s">
        <v>321</v>
      </c>
      <c r="AC655" s="66">
        <v>44560</v>
      </c>
      <c r="AD655" s="65">
        <v>1254</v>
      </c>
    </row>
    <row r="656" s="17" customFormat="1" hidden="1" spans="1:30">
      <c r="A656" s="17" t="s">
        <v>34</v>
      </c>
      <c r="B656" s="19">
        <v>757</v>
      </c>
      <c r="C656" s="64">
        <v>44553</v>
      </c>
      <c r="D656" s="17" t="s">
        <v>52</v>
      </c>
      <c r="E656" s="17" t="s">
        <v>214</v>
      </c>
      <c r="F656" s="17" t="s">
        <v>54</v>
      </c>
      <c r="H656" s="65">
        <v>1.2379</v>
      </c>
      <c r="I656" s="65"/>
      <c r="J656" s="17" t="s">
        <v>82</v>
      </c>
      <c r="K656" s="17">
        <v>100</v>
      </c>
      <c r="L656" s="17">
        <v>50</v>
      </c>
      <c r="N656" s="17" t="s">
        <v>40</v>
      </c>
      <c r="O656" s="19" t="s">
        <v>50</v>
      </c>
      <c r="P656" s="65">
        <v>471</v>
      </c>
      <c r="Q656" s="17">
        <v>182</v>
      </c>
      <c r="R656" s="95">
        <f t="shared" si="39"/>
        <v>289</v>
      </c>
      <c r="S656" s="17">
        <v>2500</v>
      </c>
      <c r="T656" s="19" t="s">
        <v>42</v>
      </c>
      <c r="U656" s="17" t="s">
        <v>221</v>
      </c>
      <c r="V656" s="64">
        <v>44553</v>
      </c>
      <c r="W656" s="17" t="s">
        <v>69</v>
      </c>
      <c r="Y656" s="68">
        <v>44562</v>
      </c>
      <c r="Z656" s="17" t="s">
        <v>191</v>
      </c>
      <c r="AA656" s="17" t="s">
        <v>46</v>
      </c>
      <c r="AB656" s="17" t="s">
        <v>321</v>
      </c>
      <c r="AC656" s="66">
        <v>44560</v>
      </c>
      <c r="AD656" s="65">
        <v>1254</v>
      </c>
    </row>
    <row r="657" s="17" customFormat="1" hidden="1" spans="1:35">
      <c r="A657" s="17" t="s">
        <v>34</v>
      </c>
      <c r="B657" s="19">
        <v>757</v>
      </c>
      <c r="C657" s="64">
        <v>44553</v>
      </c>
      <c r="D657" s="17" t="s">
        <v>52</v>
      </c>
      <c r="E657" s="17" t="s">
        <v>214</v>
      </c>
      <c r="F657" s="17" t="s">
        <v>54</v>
      </c>
      <c r="H657" s="65">
        <v>1.2379</v>
      </c>
      <c r="I657" s="65"/>
      <c r="J657" s="17" t="s">
        <v>82</v>
      </c>
      <c r="K657" s="17">
        <v>120</v>
      </c>
      <c r="L657" s="17">
        <v>50</v>
      </c>
      <c r="N657" s="17" t="s">
        <v>40</v>
      </c>
      <c r="O657" s="19" t="s">
        <v>50</v>
      </c>
      <c r="P657" s="65">
        <v>141</v>
      </c>
      <c r="Q657" s="17">
        <v>210</v>
      </c>
      <c r="R657" s="95">
        <f t="shared" si="39"/>
        <v>-69</v>
      </c>
      <c r="S657" s="17">
        <v>2500</v>
      </c>
      <c r="T657" s="19" t="s">
        <v>42</v>
      </c>
      <c r="U657" s="17" t="s">
        <v>221</v>
      </c>
      <c r="V657" s="64">
        <v>44553</v>
      </c>
      <c r="W657" s="17" t="s">
        <v>69</v>
      </c>
      <c r="Y657" s="68">
        <v>44562</v>
      </c>
      <c r="Z657" s="17" t="s">
        <v>191</v>
      </c>
      <c r="AA657" s="17" t="s">
        <v>46</v>
      </c>
      <c r="AB657" s="17" t="s">
        <v>321</v>
      </c>
      <c r="AC657" s="66">
        <v>44560</v>
      </c>
      <c r="AD657" s="65">
        <v>1254</v>
      </c>
    </row>
    <row r="658" s="17" customFormat="1" hidden="1" spans="1:35">
      <c r="A658" s="17" t="s">
        <v>34</v>
      </c>
      <c r="B658" s="19">
        <v>757</v>
      </c>
      <c r="C658" s="64">
        <v>44553</v>
      </c>
      <c r="D658" s="17" t="s">
        <v>52</v>
      </c>
      <c r="E658" s="17" t="s">
        <v>214</v>
      </c>
      <c r="F658" s="17" t="s">
        <v>54</v>
      </c>
      <c r="H658" s="65">
        <v>1.2379</v>
      </c>
      <c r="I658" s="65"/>
      <c r="J658" s="17" t="s">
        <v>82</v>
      </c>
      <c r="K658" s="17">
        <v>160</v>
      </c>
      <c r="L658" s="17">
        <v>50</v>
      </c>
      <c r="N658" s="17" t="s">
        <v>40</v>
      </c>
      <c r="O658" s="19" t="s">
        <v>50</v>
      </c>
      <c r="P658" s="65">
        <v>377</v>
      </c>
      <c r="Q658" s="17">
        <v>282</v>
      </c>
      <c r="R658" s="95">
        <f t="shared" si="39"/>
        <v>95</v>
      </c>
      <c r="S658" s="17">
        <v>2500</v>
      </c>
      <c r="T658" s="19" t="s">
        <v>42</v>
      </c>
      <c r="U658" s="17" t="s">
        <v>221</v>
      </c>
      <c r="V658" s="64">
        <v>44553</v>
      </c>
      <c r="W658" s="17" t="s">
        <v>69</v>
      </c>
      <c r="Y658" s="68">
        <v>44562</v>
      </c>
      <c r="Z658" s="17" t="s">
        <v>191</v>
      </c>
      <c r="AA658" s="17" t="s">
        <v>46</v>
      </c>
      <c r="AB658" s="17" t="s">
        <v>321</v>
      </c>
      <c r="AC658" s="66">
        <v>44560</v>
      </c>
      <c r="AD658" s="65">
        <v>1254</v>
      </c>
    </row>
    <row r="659" s="17" customFormat="1" hidden="1" spans="1:35">
      <c r="A659" s="17" t="s">
        <v>34</v>
      </c>
      <c r="B659" s="19">
        <v>757</v>
      </c>
      <c r="C659" s="64">
        <v>44553</v>
      </c>
      <c r="D659" s="17" t="s">
        <v>52</v>
      </c>
      <c r="E659" s="17" t="s">
        <v>214</v>
      </c>
      <c r="F659" s="17" t="s">
        <v>54</v>
      </c>
      <c r="H659" s="65">
        <v>1.2379</v>
      </c>
      <c r="I659" s="65"/>
      <c r="J659" s="17" t="s">
        <v>82</v>
      </c>
      <c r="K659" s="17">
        <v>180</v>
      </c>
      <c r="L659" s="17">
        <v>50</v>
      </c>
      <c r="N659" s="17" t="s">
        <v>40</v>
      </c>
      <c r="O659" s="19" t="s">
        <v>50</v>
      </c>
      <c r="P659" s="65">
        <v>212</v>
      </c>
      <c r="Q659" s="17">
        <v>278</v>
      </c>
      <c r="R659" s="95">
        <f t="shared" si="39"/>
        <v>-66</v>
      </c>
      <c r="S659" s="17">
        <v>2500</v>
      </c>
      <c r="T659" s="19" t="s">
        <v>42</v>
      </c>
      <c r="U659" s="17" t="s">
        <v>221</v>
      </c>
      <c r="V659" s="64">
        <v>44553</v>
      </c>
      <c r="W659" s="17" t="s">
        <v>69</v>
      </c>
      <c r="Y659" s="68">
        <v>44562</v>
      </c>
      <c r="Z659" s="17" t="s">
        <v>191</v>
      </c>
      <c r="AA659" s="17" t="s">
        <v>46</v>
      </c>
      <c r="AB659" s="17" t="s">
        <v>321</v>
      </c>
      <c r="AC659" s="66">
        <v>44560</v>
      </c>
      <c r="AD659" s="65">
        <v>1254</v>
      </c>
    </row>
    <row r="660" s="17" customFormat="1" hidden="1" spans="1:35">
      <c r="A660" s="17" t="s">
        <v>34</v>
      </c>
      <c r="B660" s="19">
        <v>757</v>
      </c>
      <c r="C660" s="64">
        <v>44553</v>
      </c>
      <c r="D660" s="17" t="s">
        <v>52</v>
      </c>
      <c r="E660" s="17" t="s">
        <v>214</v>
      </c>
      <c r="F660" s="17" t="s">
        <v>54</v>
      </c>
      <c r="H660" s="65">
        <v>1.2379</v>
      </c>
      <c r="I660" s="65"/>
      <c r="J660" s="17" t="s">
        <v>82</v>
      </c>
      <c r="K660" s="17">
        <v>200</v>
      </c>
      <c r="L660" s="17">
        <v>70</v>
      </c>
      <c r="N660" s="17" t="s">
        <v>40</v>
      </c>
      <c r="O660" s="19" t="s">
        <v>50</v>
      </c>
      <c r="P660" s="65">
        <v>989</v>
      </c>
      <c r="Q660" s="17">
        <f>422+425</f>
        <v>847</v>
      </c>
      <c r="R660" s="95">
        <f t="shared" si="39"/>
        <v>142</v>
      </c>
      <c r="S660" s="17">
        <v>2500</v>
      </c>
      <c r="T660" s="19" t="s">
        <v>42</v>
      </c>
      <c r="U660" s="17" t="s">
        <v>221</v>
      </c>
      <c r="V660" s="64">
        <v>44553</v>
      </c>
      <c r="W660" s="17" t="s">
        <v>69</v>
      </c>
      <c r="Y660" s="68">
        <v>44562</v>
      </c>
      <c r="Z660" s="17" t="s">
        <v>191</v>
      </c>
      <c r="AA660" s="17" t="s">
        <v>46</v>
      </c>
      <c r="AB660" s="17" t="s">
        <v>321</v>
      </c>
      <c r="AC660" s="66">
        <v>44560</v>
      </c>
      <c r="AD660" s="65">
        <v>1254</v>
      </c>
    </row>
    <row r="661" s="17" customFormat="1" hidden="1" spans="1:35">
      <c r="A661" s="17" t="s">
        <v>34</v>
      </c>
      <c r="B661" s="19">
        <v>757</v>
      </c>
      <c r="C661" s="64">
        <v>44553</v>
      </c>
      <c r="D661" s="17" t="s">
        <v>52</v>
      </c>
      <c r="E661" s="17" t="s">
        <v>214</v>
      </c>
      <c r="F661" s="17" t="s">
        <v>54</v>
      </c>
      <c r="H661" s="65">
        <v>1.2379</v>
      </c>
      <c r="I661" s="65"/>
      <c r="J661" s="17" t="s">
        <v>82</v>
      </c>
      <c r="K661" s="17">
        <v>120</v>
      </c>
      <c r="L661" s="17">
        <v>90</v>
      </c>
      <c r="N661" s="17" t="s">
        <v>40</v>
      </c>
      <c r="O661" s="19" t="s">
        <v>50</v>
      </c>
      <c r="P661" s="65">
        <v>254</v>
      </c>
      <c r="Q661" s="17">
        <v>312</v>
      </c>
      <c r="R661" s="95">
        <f t="shared" si="39"/>
        <v>-58</v>
      </c>
      <c r="S661" s="17">
        <v>2500</v>
      </c>
      <c r="T661" s="19" t="s">
        <v>42</v>
      </c>
      <c r="U661" s="17" t="s">
        <v>221</v>
      </c>
      <c r="V661" s="64">
        <v>44553</v>
      </c>
      <c r="W661" s="17" t="s">
        <v>69</v>
      </c>
      <c r="Y661" s="68">
        <v>44562</v>
      </c>
      <c r="Z661" s="17" t="s">
        <v>191</v>
      </c>
      <c r="AA661" s="17" t="s">
        <v>46</v>
      </c>
      <c r="AB661" s="17" t="s">
        <v>321</v>
      </c>
      <c r="AC661" s="66">
        <v>44560</v>
      </c>
      <c r="AD661" s="65">
        <v>1254</v>
      </c>
    </row>
    <row r="662" s="17" customFormat="1" hidden="1" spans="1:35">
      <c r="A662" s="17" t="s">
        <v>34</v>
      </c>
      <c r="B662" s="19">
        <v>757</v>
      </c>
      <c r="C662" s="64">
        <v>44553</v>
      </c>
      <c r="D662" s="17" t="s">
        <v>52</v>
      </c>
      <c r="E662" s="17" t="s">
        <v>214</v>
      </c>
      <c r="F662" s="17" t="s">
        <v>54</v>
      </c>
      <c r="H662" s="65">
        <v>1.2379</v>
      </c>
      <c r="I662" s="65"/>
      <c r="J662" s="17" t="s">
        <v>82</v>
      </c>
      <c r="K662" s="17">
        <v>405</v>
      </c>
      <c r="L662" s="17">
        <v>39</v>
      </c>
      <c r="N662" s="17" t="s">
        <v>40</v>
      </c>
      <c r="O662" s="19" t="s">
        <v>50</v>
      </c>
      <c r="P662" s="65">
        <v>372</v>
      </c>
      <c r="Q662" s="17">
        <v>486</v>
      </c>
      <c r="R662" s="95">
        <f t="shared" si="39"/>
        <v>-114</v>
      </c>
      <c r="S662" s="17">
        <v>2500</v>
      </c>
      <c r="T662" s="19" t="s">
        <v>42</v>
      </c>
      <c r="U662" s="17" t="s">
        <v>221</v>
      </c>
      <c r="V662" s="64">
        <v>44553</v>
      </c>
      <c r="W662" s="17" t="s">
        <v>69</v>
      </c>
      <c r="Y662" s="68">
        <v>44562</v>
      </c>
      <c r="Z662" s="17" t="s">
        <v>191</v>
      </c>
      <c r="AA662" s="17" t="s">
        <v>46</v>
      </c>
      <c r="AB662" s="17" t="s">
        <v>321</v>
      </c>
      <c r="AC662" s="66">
        <v>44560</v>
      </c>
      <c r="AD662" s="65">
        <v>1254</v>
      </c>
    </row>
    <row r="663" s="17" customFormat="1" hidden="1" spans="1:35">
      <c r="A663" s="17" t="s">
        <v>34</v>
      </c>
      <c r="B663" s="19">
        <v>757</v>
      </c>
      <c r="C663" s="64">
        <v>44553</v>
      </c>
      <c r="D663" s="17" t="s">
        <v>52</v>
      </c>
      <c r="E663" s="17" t="s">
        <v>214</v>
      </c>
      <c r="F663" s="17" t="s">
        <v>54</v>
      </c>
      <c r="H663" s="65">
        <v>1.2379</v>
      </c>
      <c r="I663" s="65"/>
      <c r="J663" s="17" t="s">
        <v>82</v>
      </c>
      <c r="K663" s="17">
        <v>405</v>
      </c>
      <c r="L663" s="17">
        <v>46</v>
      </c>
      <c r="N663" s="17" t="s">
        <v>40</v>
      </c>
      <c r="O663" s="19" t="s">
        <v>50</v>
      </c>
      <c r="P663" s="65">
        <v>439</v>
      </c>
      <c r="Q663" s="17">
        <v>542</v>
      </c>
      <c r="R663" s="95">
        <f t="shared" ref="R663:R694" si="40">+P663-Q663</f>
        <v>-103</v>
      </c>
      <c r="S663" s="17">
        <v>2500</v>
      </c>
      <c r="T663" s="19" t="s">
        <v>42</v>
      </c>
      <c r="U663" s="17" t="s">
        <v>221</v>
      </c>
      <c r="V663" s="64">
        <v>44553</v>
      </c>
      <c r="W663" s="17" t="s">
        <v>69</v>
      </c>
      <c r="Y663" s="68">
        <v>44562</v>
      </c>
      <c r="Z663" s="17" t="s">
        <v>191</v>
      </c>
      <c r="AA663" s="17" t="s">
        <v>46</v>
      </c>
      <c r="AB663" s="17" t="s">
        <v>321</v>
      </c>
      <c r="AC663" s="66">
        <v>44560</v>
      </c>
      <c r="AD663" s="65">
        <v>1254</v>
      </c>
    </row>
    <row r="664" s="17" customFormat="1" hidden="1" spans="1:35">
      <c r="A664" s="17" t="s">
        <v>34</v>
      </c>
      <c r="B664" s="19">
        <v>757</v>
      </c>
      <c r="C664" s="64">
        <v>44553</v>
      </c>
      <c r="D664" s="17" t="s">
        <v>52</v>
      </c>
      <c r="E664" s="17" t="s">
        <v>214</v>
      </c>
      <c r="F664" s="17" t="s">
        <v>54</v>
      </c>
      <c r="H664" s="65">
        <v>1.2379</v>
      </c>
      <c r="I664" s="65"/>
      <c r="J664" s="17" t="s">
        <v>82</v>
      </c>
      <c r="K664" s="17">
        <v>405</v>
      </c>
      <c r="L664" s="17">
        <v>49</v>
      </c>
      <c r="N664" s="17" t="s">
        <v>40</v>
      </c>
      <c r="O664" s="19" t="s">
        <v>50</v>
      </c>
      <c r="P664" s="65">
        <v>467</v>
      </c>
      <c r="Q664" s="17">
        <v>572</v>
      </c>
      <c r="R664" s="95">
        <f t="shared" si="40"/>
        <v>-105</v>
      </c>
      <c r="S664" s="17">
        <v>2500</v>
      </c>
      <c r="T664" s="19" t="s">
        <v>42</v>
      </c>
      <c r="U664" s="17" t="s">
        <v>221</v>
      </c>
      <c r="V664" s="64">
        <v>44553</v>
      </c>
      <c r="W664" s="17" t="s">
        <v>69</v>
      </c>
      <c r="Y664" s="68">
        <v>44562</v>
      </c>
      <c r="Z664" s="17" t="s">
        <v>191</v>
      </c>
      <c r="AA664" s="17" t="s">
        <v>46</v>
      </c>
      <c r="AB664" s="17" t="s">
        <v>321</v>
      </c>
      <c r="AC664" s="66">
        <v>44560</v>
      </c>
      <c r="AD664" s="65">
        <v>1254</v>
      </c>
    </row>
    <row r="665" s="17" customFormat="1" hidden="1" spans="1:35">
      <c r="A665" s="17" t="s">
        <v>34</v>
      </c>
      <c r="B665" s="19">
        <v>758</v>
      </c>
      <c r="C665" s="101">
        <v>44559</v>
      </c>
      <c r="D665" s="17" t="s">
        <v>52</v>
      </c>
      <c r="E665" s="17" t="s">
        <v>322</v>
      </c>
      <c r="F665" s="17" t="s">
        <v>54</v>
      </c>
      <c r="H665" s="19">
        <v>1.2311</v>
      </c>
      <c r="I665" s="19"/>
      <c r="J665" s="17" t="s">
        <v>39</v>
      </c>
      <c r="K665" s="17">
        <v>212</v>
      </c>
      <c r="L665" s="91"/>
      <c r="M665" s="19">
        <v>4000</v>
      </c>
      <c r="N665" s="19" t="s">
        <v>66</v>
      </c>
      <c r="O665" s="19" t="s">
        <v>50</v>
      </c>
      <c r="P665" s="19">
        <v>3000</v>
      </c>
      <c r="Q665" s="17">
        <v>1338</v>
      </c>
      <c r="R665" s="17">
        <f t="shared" si="40"/>
        <v>1662</v>
      </c>
      <c r="S665" s="17">
        <v>1700</v>
      </c>
      <c r="T665" s="19" t="s">
        <v>42</v>
      </c>
      <c r="U665" s="102" t="s">
        <v>323</v>
      </c>
      <c r="V665" s="110">
        <v>44561</v>
      </c>
      <c r="W665" s="17" t="s">
        <v>69</v>
      </c>
      <c r="Y665" s="68">
        <v>44621</v>
      </c>
      <c r="Z665" s="17" t="s">
        <v>191</v>
      </c>
      <c r="AA665" s="17" t="s">
        <v>46</v>
      </c>
      <c r="AB665" s="17" t="s">
        <v>324</v>
      </c>
      <c r="AC665" s="66" t="s">
        <v>325</v>
      </c>
      <c r="AD665" s="65">
        <v>1318</v>
      </c>
      <c r="AE665" s="17" t="s">
        <v>74</v>
      </c>
      <c r="AF665" s="17" t="s">
        <v>245</v>
      </c>
      <c r="AH665" s="17" t="s">
        <v>326</v>
      </c>
      <c r="AI665" s="95">
        <f t="shared" ref="AI665:AI676" si="41">149501/1000</f>
        <v>149.501</v>
      </c>
    </row>
    <row r="666" s="17" customFormat="1" hidden="1" spans="1:35">
      <c r="A666" s="17" t="s">
        <v>34</v>
      </c>
      <c r="B666" s="19">
        <v>758</v>
      </c>
      <c r="C666" s="101">
        <v>44559</v>
      </c>
      <c r="D666" s="17" t="s">
        <v>52</v>
      </c>
      <c r="E666" s="17" t="s">
        <v>322</v>
      </c>
      <c r="F666" s="17" t="s">
        <v>54</v>
      </c>
      <c r="H666" s="19">
        <v>1.2311</v>
      </c>
      <c r="I666" s="19"/>
      <c r="J666" s="17" t="s">
        <v>39</v>
      </c>
      <c r="K666" s="17">
        <v>222</v>
      </c>
      <c r="L666" s="91"/>
      <c r="M666" s="19">
        <v>4000</v>
      </c>
      <c r="N666" s="19" t="s">
        <v>66</v>
      </c>
      <c r="O666" s="19" t="s">
        <v>50</v>
      </c>
      <c r="P666" s="19">
        <v>2000</v>
      </c>
      <c r="Q666" s="17">
        <v>1416</v>
      </c>
      <c r="R666" s="17">
        <f t="shared" si="40"/>
        <v>584</v>
      </c>
      <c r="S666" s="17">
        <v>1700</v>
      </c>
      <c r="T666" s="19" t="s">
        <v>42</v>
      </c>
      <c r="U666" s="102" t="s">
        <v>323</v>
      </c>
      <c r="V666" s="110">
        <v>44561</v>
      </c>
      <c r="W666" s="17" t="s">
        <v>69</v>
      </c>
      <c r="Y666" s="68">
        <v>44621</v>
      </c>
      <c r="Z666" s="17" t="s">
        <v>191</v>
      </c>
      <c r="AA666" s="17" t="s">
        <v>46</v>
      </c>
      <c r="AB666" s="17" t="s">
        <v>324</v>
      </c>
      <c r="AC666" s="66" t="s">
        <v>325</v>
      </c>
      <c r="AD666" s="65">
        <v>1318</v>
      </c>
      <c r="AE666" s="17" t="s">
        <v>74</v>
      </c>
      <c r="AF666" s="17" t="s">
        <v>245</v>
      </c>
      <c r="AH666" s="17" t="s">
        <v>326</v>
      </c>
      <c r="AI666" s="95">
        <f t="shared" si="41"/>
        <v>149.501</v>
      </c>
    </row>
    <row r="667" s="17" customFormat="1" hidden="1" spans="1:35">
      <c r="A667" s="17" t="s">
        <v>34</v>
      </c>
      <c r="B667" s="19">
        <v>758</v>
      </c>
      <c r="C667" s="101">
        <v>44559</v>
      </c>
      <c r="D667" s="17" t="s">
        <v>52</v>
      </c>
      <c r="E667" s="17" t="s">
        <v>322</v>
      </c>
      <c r="F667" s="17" t="s">
        <v>54</v>
      </c>
      <c r="H667" s="19">
        <v>1.2311</v>
      </c>
      <c r="I667" s="19"/>
      <c r="J667" s="17" t="s">
        <v>39</v>
      </c>
      <c r="K667" s="17">
        <v>232</v>
      </c>
      <c r="L667" s="91"/>
      <c r="M667" s="19">
        <v>4000</v>
      </c>
      <c r="N667" s="19" t="s">
        <v>66</v>
      </c>
      <c r="O667" s="19" t="s">
        <v>50</v>
      </c>
      <c r="P667" s="19">
        <v>2000</v>
      </c>
      <c r="Q667" s="17">
        <v>1504</v>
      </c>
      <c r="R667" s="17">
        <f t="shared" si="40"/>
        <v>496</v>
      </c>
      <c r="S667" s="17">
        <v>1700</v>
      </c>
      <c r="T667" s="19" t="s">
        <v>42</v>
      </c>
      <c r="U667" s="102" t="s">
        <v>323</v>
      </c>
      <c r="V667" s="110">
        <v>44561</v>
      </c>
      <c r="W667" s="17" t="s">
        <v>69</v>
      </c>
      <c r="Y667" s="68">
        <v>44621</v>
      </c>
      <c r="Z667" s="17" t="s">
        <v>191</v>
      </c>
      <c r="AA667" s="17" t="s">
        <v>46</v>
      </c>
      <c r="AB667" s="17" t="s">
        <v>324</v>
      </c>
      <c r="AC667" s="66" t="s">
        <v>325</v>
      </c>
      <c r="AD667" s="65">
        <v>1318</v>
      </c>
      <c r="AE667" s="17" t="s">
        <v>74</v>
      </c>
      <c r="AF667" s="17" t="s">
        <v>245</v>
      </c>
      <c r="AH667" s="17" t="s">
        <v>326</v>
      </c>
      <c r="AI667" s="95">
        <f t="shared" si="41"/>
        <v>149.501</v>
      </c>
    </row>
    <row r="668" s="17" customFormat="1" hidden="1" spans="1:35">
      <c r="A668" s="17" t="s">
        <v>34</v>
      </c>
      <c r="B668" s="19">
        <v>758</v>
      </c>
      <c r="C668" s="101">
        <v>44559</v>
      </c>
      <c r="D668" s="17" t="s">
        <v>52</v>
      </c>
      <c r="E668" s="17" t="s">
        <v>322</v>
      </c>
      <c r="F668" s="17" t="s">
        <v>54</v>
      </c>
      <c r="H668" s="19">
        <v>1.2311</v>
      </c>
      <c r="I668" s="19"/>
      <c r="J668" s="17" t="s">
        <v>39</v>
      </c>
      <c r="K668" s="17">
        <v>252</v>
      </c>
      <c r="L668" s="91"/>
      <c r="M668" s="19">
        <v>4000</v>
      </c>
      <c r="N668" s="19" t="s">
        <v>66</v>
      </c>
      <c r="O668" s="19" t="s">
        <v>50</v>
      </c>
      <c r="P668" s="19">
        <v>2000</v>
      </c>
      <c r="Q668" s="17">
        <v>1576</v>
      </c>
      <c r="R668" s="17">
        <f t="shared" si="40"/>
        <v>424</v>
      </c>
      <c r="S668" s="17">
        <v>1700</v>
      </c>
      <c r="T668" s="19" t="s">
        <v>42</v>
      </c>
      <c r="U668" s="102" t="s">
        <v>323</v>
      </c>
      <c r="V668" s="110">
        <v>44561</v>
      </c>
      <c r="W668" s="17" t="s">
        <v>69</v>
      </c>
      <c r="Y668" s="68">
        <v>44621</v>
      </c>
      <c r="Z668" s="17" t="s">
        <v>191</v>
      </c>
      <c r="AA668" s="17" t="s">
        <v>46</v>
      </c>
      <c r="AB668" s="17" t="s">
        <v>324</v>
      </c>
      <c r="AC668" s="66" t="s">
        <v>325</v>
      </c>
      <c r="AD668" s="65">
        <v>1318</v>
      </c>
      <c r="AE668" s="17" t="s">
        <v>74</v>
      </c>
      <c r="AF668" s="17" t="s">
        <v>245</v>
      </c>
      <c r="AH668" s="17" t="s">
        <v>326</v>
      </c>
      <c r="AI668" s="95">
        <f t="shared" si="41"/>
        <v>149.501</v>
      </c>
    </row>
    <row r="669" s="17" customFormat="1" hidden="1" spans="1:35">
      <c r="A669" s="17" t="s">
        <v>34</v>
      </c>
      <c r="B669" s="19">
        <v>758</v>
      </c>
      <c r="C669" s="101">
        <v>44559</v>
      </c>
      <c r="D669" s="17" t="s">
        <v>52</v>
      </c>
      <c r="E669" s="17" t="s">
        <v>322</v>
      </c>
      <c r="F669" s="17" t="s">
        <v>54</v>
      </c>
      <c r="H669" s="19">
        <v>1.2311</v>
      </c>
      <c r="I669" s="19"/>
      <c r="J669" s="17" t="s">
        <v>39</v>
      </c>
      <c r="K669" s="17">
        <v>262</v>
      </c>
      <c r="L669" s="91"/>
      <c r="M669" s="19">
        <v>4000</v>
      </c>
      <c r="N669" s="19" t="s">
        <v>66</v>
      </c>
      <c r="O669" s="19" t="s">
        <v>50</v>
      </c>
      <c r="P669" s="19">
        <v>2000</v>
      </c>
      <c r="Q669" s="17">
        <v>1900</v>
      </c>
      <c r="R669" s="17">
        <f t="shared" si="40"/>
        <v>100</v>
      </c>
      <c r="S669" s="17">
        <v>1700</v>
      </c>
      <c r="T669" s="19" t="s">
        <v>42</v>
      </c>
      <c r="U669" s="102" t="s">
        <v>323</v>
      </c>
      <c r="V669" s="110">
        <v>44561</v>
      </c>
      <c r="W669" s="17" t="s">
        <v>69</v>
      </c>
      <c r="Y669" s="68">
        <v>44621</v>
      </c>
      <c r="Z669" s="17" t="s">
        <v>191</v>
      </c>
      <c r="AA669" s="17" t="s">
        <v>46</v>
      </c>
      <c r="AB669" s="17" t="s">
        <v>324</v>
      </c>
      <c r="AC669" s="66" t="s">
        <v>325</v>
      </c>
      <c r="AD669" s="65">
        <v>1318</v>
      </c>
      <c r="AE669" s="17" t="s">
        <v>74</v>
      </c>
      <c r="AF669" s="17" t="s">
        <v>245</v>
      </c>
      <c r="AH669" s="17" t="s">
        <v>326</v>
      </c>
      <c r="AI669" s="95">
        <f t="shared" si="41"/>
        <v>149.501</v>
      </c>
    </row>
    <row r="670" s="17" customFormat="1" hidden="1" spans="1:35">
      <c r="A670" s="17" t="s">
        <v>34</v>
      </c>
      <c r="B670" s="19">
        <v>758</v>
      </c>
      <c r="C670" s="101">
        <v>44559</v>
      </c>
      <c r="D670" s="17" t="s">
        <v>52</v>
      </c>
      <c r="E670" s="17" t="s">
        <v>322</v>
      </c>
      <c r="F670" s="17" t="s">
        <v>54</v>
      </c>
      <c r="H670" s="19">
        <v>1.2311</v>
      </c>
      <c r="I670" s="19"/>
      <c r="J670" s="17" t="s">
        <v>39</v>
      </c>
      <c r="K670" s="17">
        <v>272</v>
      </c>
      <c r="L670" s="91"/>
      <c r="M670" s="19">
        <v>4000</v>
      </c>
      <c r="N670" s="19" t="s">
        <v>66</v>
      </c>
      <c r="O670" s="19" t="s">
        <v>50</v>
      </c>
      <c r="P670" s="19">
        <v>2500</v>
      </c>
      <c r="Q670" s="17">
        <v>2040</v>
      </c>
      <c r="R670" s="17">
        <f t="shared" si="40"/>
        <v>460</v>
      </c>
      <c r="S670" s="17">
        <v>1700</v>
      </c>
      <c r="T670" s="19" t="s">
        <v>42</v>
      </c>
      <c r="U670" s="102" t="s">
        <v>323</v>
      </c>
      <c r="V670" s="110">
        <v>44561</v>
      </c>
      <c r="W670" s="17" t="s">
        <v>69</v>
      </c>
      <c r="Y670" s="68">
        <v>44621</v>
      </c>
      <c r="Z670" s="17" t="s">
        <v>191</v>
      </c>
      <c r="AA670" s="17" t="s">
        <v>46</v>
      </c>
      <c r="AB670" s="17" t="s">
        <v>324</v>
      </c>
      <c r="AC670" s="66" t="s">
        <v>325</v>
      </c>
      <c r="AD670" s="65">
        <v>1318</v>
      </c>
      <c r="AE670" s="17" t="s">
        <v>74</v>
      </c>
      <c r="AF670" s="17" t="s">
        <v>245</v>
      </c>
      <c r="AH670" s="17" t="s">
        <v>326</v>
      </c>
      <c r="AI670" s="95">
        <f t="shared" si="41"/>
        <v>149.501</v>
      </c>
    </row>
    <row r="671" s="17" customFormat="1" hidden="1" spans="1:35">
      <c r="A671" s="17" t="s">
        <v>34</v>
      </c>
      <c r="B671" s="19">
        <v>758</v>
      </c>
      <c r="C671" s="101">
        <v>44559</v>
      </c>
      <c r="D671" s="17" t="s">
        <v>52</v>
      </c>
      <c r="E671" s="17" t="s">
        <v>322</v>
      </c>
      <c r="F671" s="17" t="s">
        <v>54</v>
      </c>
      <c r="H671" s="19">
        <v>1.2311</v>
      </c>
      <c r="I671" s="19"/>
      <c r="J671" s="17" t="s">
        <v>39</v>
      </c>
      <c r="K671" s="17">
        <v>282</v>
      </c>
      <c r="L671" s="91"/>
      <c r="M671" s="19">
        <v>4000</v>
      </c>
      <c r="N671" s="19" t="s">
        <v>66</v>
      </c>
      <c r="O671" s="19" t="s">
        <v>50</v>
      </c>
      <c r="P671" s="19">
        <v>2500</v>
      </c>
      <c r="Q671" s="17">
        <v>1420</v>
      </c>
      <c r="R671" s="17">
        <f t="shared" si="40"/>
        <v>1080</v>
      </c>
      <c r="S671" s="17">
        <v>1700</v>
      </c>
      <c r="T671" s="19" t="s">
        <v>42</v>
      </c>
      <c r="U671" s="102" t="s">
        <v>323</v>
      </c>
      <c r="V671" s="110">
        <v>44561</v>
      </c>
      <c r="W671" s="17" t="s">
        <v>69</v>
      </c>
      <c r="Y671" s="68">
        <v>44621</v>
      </c>
      <c r="Z671" s="17" t="s">
        <v>191</v>
      </c>
      <c r="AA671" s="17" t="s">
        <v>46</v>
      </c>
      <c r="AB671" s="17" t="s">
        <v>324</v>
      </c>
      <c r="AC671" s="66" t="s">
        <v>325</v>
      </c>
      <c r="AD671" s="65">
        <v>1318</v>
      </c>
      <c r="AE671" s="17" t="s">
        <v>74</v>
      </c>
      <c r="AF671" s="17" t="s">
        <v>245</v>
      </c>
      <c r="AH671" s="17" t="s">
        <v>326</v>
      </c>
      <c r="AI671" s="95">
        <f t="shared" si="41"/>
        <v>149.501</v>
      </c>
    </row>
    <row r="672" s="17" customFormat="1" hidden="1" spans="1:35">
      <c r="A672" s="17" t="s">
        <v>34</v>
      </c>
      <c r="B672" s="19">
        <v>758</v>
      </c>
      <c r="C672" s="101">
        <v>44559</v>
      </c>
      <c r="D672" s="17" t="s">
        <v>52</v>
      </c>
      <c r="E672" s="17" t="s">
        <v>322</v>
      </c>
      <c r="F672" s="17" t="s">
        <v>54</v>
      </c>
      <c r="H672" s="19">
        <v>1.2311</v>
      </c>
      <c r="I672" s="19"/>
      <c r="J672" s="17" t="s">
        <v>39</v>
      </c>
      <c r="K672" s="17">
        <v>312</v>
      </c>
      <c r="L672" s="91"/>
      <c r="M672" s="19">
        <v>4000</v>
      </c>
      <c r="N672" s="19" t="s">
        <v>66</v>
      </c>
      <c r="O672" s="19" t="s">
        <v>50</v>
      </c>
      <c r="P672" s="19">
        <v>3000</v>
      </c>
      <c r="Q672" s="17">
        <v>3660</v>
      </c>
      <c r="R672" s="17">
        <f t="shared" si="40"/>
        <v>-660</v>
      </c>
      <c r="S672" s="17">
        <v>1650</v>
      </c>
      <c r="T672" s="19" t="s">
        <v>94</v>
      </c>
      <c r="U672" s="102" t="s">
        <v>323</v>
      </c>
      <c r="V672" s="110">
        <v>44561</v>
      </c>
      <c r="W672" s="17" t="s">
        <v>69</v>
      </c>
      <c r="Y672" s="68">
        <v>44621</v>
      </c>
      <c r="Z672" s="17" t="s">
        <v>191</v>
      </c>
      <c r="AA672" s="17" t="s">
        <v>46</v>
      </c>
      <c r="AB672" s="17" t="s">
        <v>327</v>
      </c>
      <c r="AC672" s="66" t="s">
        <v>328</v>
      </c>
      <c r="AD672" s="65">
        <v>1317</v>
      </c>
      <c r="AE672" s="17" t="s">
        <v>74</v>
      </c>
      <c r="AF672" s="17" t="s">
        <v>245</v>
      </c>
      <c r="AH672" s="17" t="s">
        <v>326</v>
      </c>
      <c r="AI672" s="95">
        <f t="shared" si="41"/>
        <v>149.501</v>
      </c>
    </row>
    <row r="673" s="17" customFormat="1" hidden="1" spans="1:36">
      <c r="A673" s="17" t="s">
        <v>34</v>
      </c>
      <c r="B673" s="19">
        <v>758</v>
      </c>
      <c r="C673" s="101">
        <v>44559</v>
      </c>
      <c r="D673" s="17" t="s">
        <v>52</v>
      </c>
      <c r="E673" s="17" t="s">
        <v>322</v>
      </c>
      <c r="F673" s="17" t="s">
        <v>54</v>
      </c>
      <c r="H673" s="19">
        <v>1.2311</v>
      </c>
      <c r="I673" s="19"/>
      <c r="J673" s="17" t="s">
        <v>39</v>
      </c>
      <c r="K673" s="17">
        <v>332</v>
      </c>
      <c r="L673" s="91"/>
      <c r="M673" s="19">
        <v>4000</v>
      </c>
      <c r="N673" s="19" t="s">
        <v>66</v>
      </c>
      <c r="O673" s="19" t="s">
        <v>50</v>
      </c>
      <c r="P673" s="19">
        <v>3000</v>
      </c>
      <c r="R673" s="17">
        <f t="shared" si="40"/>
        <v>3000</v>
      </c>
      <c r="S673" s="17">
        <v>1700</v>
      </c>
      <c r="T673" s="19" t="s">
        <v>42</v>
      </c>
      <c r="U673" s="102" t="s">
        <v>323</v>
      </c>
      <c r="V673" s="110">
        <v>44561</v>
      </c>
      <c r="W673" s="17" t="s">
        <v>69</v>
      </c>
      <c r="Y673" s="68">
        <v>44621</v>
      </c>
      <c r="Z673" s="17" t="s">
        <v>191</v>
      </c>
      <c r="AA673" s="17" t="s">
        <v>46</v>
      </c>
      <c r="AC673" s="66"/>
      <c r="AD673" s="65"/>
      <c r="AE673" s="17" t="s">
        <v>74</v>
      </c>
      <c r="AF673" s="17" t="s">
        <v>245</v>
      </c>
      <c r="AH673" s="17" t="s">
        <v>326</v>
      </c>
      <c r="AI673" s="95">
        <f t="shared" si="41"/>
        <v>149.501</v>
      </c>
      <c r="AJ673" s="17" t="s">
        <v>329</v>
      </c>
    </row>
    <row r="674" s="17" customFormat="1" hidden="1" spans="1:36">
      <c r="A674" s="17" t="s">
        <v>34</v>
      </c>
      <c r="B674" s="19">
        <v>758</v>
      </c>
      <c r="C674" s="101">
        <v>44559</v>
      </c>
      <c r="D674" s="17" t="s">
        <v>52</v>
      </c>
      <c r="E674" s="17" t="s">
        <v>322</v>
      </c>
      <c r="F674" s="17" t="s">
        <v>54</v>
      </c>
      <c r="H674" s="19">
        <v>1.2311</v>
      </c>
      <c r="I674" s="19"/>
      <c r="J674" s="17" t="s">
        <v>39</v>
      </c>
      <c r="K674" s="17">
        <v>360</v>
      </c>
      <c r="L674" s="91"/>
      <c r="M674" s="19">
        <v>4000</v>
      </c>
      <c r="N674" s="19" t="s">
        <v>66</v>
      </c>
      <c r="O674" s="19" t="s">
        <v>50</v>
      </c>
      <c r="P674" s="19">
        <v>4000</v>
      </c>
      <c r="Q674" s="17">
        <v>4145</v>
      </c>
      <c r="R674" s="17">
        <f t="shared" si="40"/>
        <v>-145</v>
      </c>
      <c r="S674" s="17">
        <v>1700</v>
      </c>
      <c r="T674" s="19" t="s">
        <v>42</v>
      </c>
      <c r="U674" s="102" t="s">
        <v>323</v>
      </c>
      <c r="V674" s="110">
        <v>44561</v>
      </c>
      <c r="W674" s="17" t="s">
        <v>69</v>
      </c>
      <c r="Y674" s="68">
        <v>44621</v>
      </c>
      <c r="Z674" s="17" t="s">
        <v>191</v>
      </c>
      <c r="AA674" s="17" t="s">
        <v>46</v>
      </c>
      <c r="AB674" s="17" t="s">
        <v>324</v>
      </c>
      <c r="AC674" s="66" t="s">
        <v>325</v>
      </c>
      <c r="AD674" s="65">
        <v>1318</v>
      </c>
      <c r="AE674" s="17" t="s">
        <v>74</v>
      </c>
      <c r="AF674" s="17" t="s">
        <v>245</v>
      </c>
      <c r="AH674" s="17" t="s">
        <v>326</v>
      </c>
      <c r="AI674" s="95">
        <f t="shared" si="41"/>
        <v>149.501</v>
      </c>
    </row>
    <row r="675" s="17" customFormat="1" hidden="1" spans="1:36">
      <c r="A675" s="17" t="s">
        <v>34</v>
      </c>
      <c r="B675" s="19">
        <v>758</v>
      </c>
      <c r="C675" s="101">
        <v>44559</v>
      </c>
      <c r="D675" s="17" t="s">
        <v>52</v>
      </c>
      <c r="E675" s="17" t="s">
        <v>322</v>
      </c>
      <c r="F675" s="17" t="s">
        <v>54</v>
      </c>
      <c r="H675" s="19">
        <v>1.2311</v>
      </c>
      <c r="I675" s="19"/>
      <c r="J675" s="17" t="s">
        <v>39</v>
      </c>
      <c r="K675" s="17">
        <v>410</v>
      </c>
      <c r="L675" s="91"/>
      <c r="M675" s="19">
        <v>4000</v>
      </c>
      <c r="N675" s="19" t="s">
        <v>66</v>
      </c>
      <c r="O675" s="19" t="s">
        <v>50</v>
      </c>
      <c r="P675" s="19">
        <v>5000</v>
      </c>
      <c r="Q675" s="17">
        <v>5280</v>
      </c>
      <c r="R675" s="17">
        <f t="shared" si="40"/>
        <v>-280</v>
      </c>
      <c r="S675" s="17">
        <v>1700</v>
      </c>
      <c r="T675" s="19" t="s">
        <v>42</v>
      </c>
      <c r="U675" s="102" t="s">
        <v>323</v>
      </c>
      <c r="V675" s="110">
        <v>44561</v>
      </c>
      <c r="W675" s="17" t="s">
        <v>69</v>
      </c>
      <c r="Y675" s="68">
        <v>44621</v>
      </c>
      <c r="Z675" s="17" t="s">
        <v>191</v>
      </c>
      <c r="AA675" s="17" t="s">
        <v>46</v>
      </c>
      <c r="AB675" s="17" t="s">
        <v>324</v>
      </c>
      <c r="AC675" s="66" t="s">
        <v>325</v>
      </c>
      <c r="AD675" s="65">
        <v>1318</v>
      </c>
      <c r="AE675" s="17" t="s">
        <v>74</v>
      </c>
      <c r="AF675" s="17" t="s">
        <v>245</v>
      </c>
      <c r="AH675" s="17" t="s">
        <v>326</v>
      </c>
      <c r="AI675" s="95">
        <f t="shared" si="41"/>
        <v>149.501</v>
      </c>
    </row>
    <row r="676" s="17" customFormat="1" hidden="1" spans="1:36">
      <c r="A676" s="17" t="s">
        <v>34</v>
      </c>
      <c r="B676" s="19">
        <v>758</v>
      </c>
      <c r="C676" s="101">
        <v>44559</v>
      </c>
      <c r="D676" s="17" t="s">
        <v>52</v>
      </c>
      <c r="E676" s="17" t="s">
        <v>322</v>
      </c>
      <c r="F676" s="17" t="s">
        <v>54</v>
      </c>
      <c r="H676" s="19">
        <v>1.2311</v>
      </c>
      <c r="I676" s="19"/>
      <c r="J676" s="17" t="s">
        <v>39</v>
      </c>
      <c r="K676" s="17">
        <v>510</v>
      </c>
      <c r="L676" s="91"/>
      <c r="M676" s="19">
        <v>4000</v>
      </c>
      <c r="N676" s="19" t="s">
        <v>66</v>
      </c>
      <c r="O676" s="19" t="s">
        <v>50</v>
      </c>
      <c r="P676" s="19">
        <v>8000</v>
      </c>
      <c r="Q676" s="17">
        <v>9366</v>
      </c>
      <c r="R676" s="17">
        <f t="shared" si="40"/>
        <v>-1366</v>
      </c>
      <c r="S676" s="17">
        <v>1700</v>
      </c>
      <c r="T676" s="19" t="s">
        <v>42</v>
      </c>
      <c r="U676" s="102" t="s">
        <v>323</v>
      </c>
      <c r="V676" s="110">
        <v>44561</v>
      </c>
      <c r="W676" s="17" t="s">
        <v>69</v>
      </c>
      <c r="Y676" s="68">
        <v>44621</v>
      </c>
      <c r="Z676" s="17" t="s">
        <v>191</v>
      </c>
      <c r="AA676" s="17" t="s">
        <v>46</v>
      </c>
      <c r="AB676" s="17" t="s">
        <v>324</v>
      </c>
      <c r="AC676" s="66" t="s">
        <v>325</v>
      </c>
      <c r="AD676" s="65">
        <v>1318</v>
      </c>
      <c r="AE676" s="17" t="s">
        <v>74</v>
      </c>
      <c r="AF676" s="17" t="s">
        <v>245</v>
      </c>
      <c r="AH676" s="17" t="s">
        <v>326</v>
      </c>
      <c r="AI676" s="95">
        <f t="shared" si="41"/>
        <v>149.501</v>
      </c>
    </row>
    <row r="677" s="17" customFormat="1" hidden="1" spans="1:36">
      <c r="A677" s="17" t="s">
        <v>34</v>
      </c>
      <c r="B677" s="19">
        <v>761</v>
      </c>
      <c r="C677" s="64">
        <v>44572</v>
      </c>
      <c r="D677" s="17" t="s">
        <v>35</v>
      </c>
      <c r="E677" s="17" t="s">
        <v>148</v>
      </c>
      <c r="F677" s="17" t="s">
        <v>236</v>
      </c>
      <c r="H677" s="65" t="s">
        <v>97</v>
      </c>
      <c r="I677" s="65"/>
      <c r="J677" s="17" t="s">
        <v>82</v>
      </c>
      <c r="K677" s="17">
        <v>410</v>
      </c>
      <c r="L677" s="17">
        <v>55</v>
      </c>
      <c r="M677" s="17" t="s">
        <v>330</v>
      </c>
      <c r="N677" s="17" t="s">
        <v>40</v>
      </c>
      <c r="O677" s="19" t="s">
        <v>149</v>
      </c>
      <c r="P677" s="19">
        <v>644</v>
      </c>
      <c r="Q677" s="19">
        <v>663</v>
      </c>
      <c r="R677" s="17">
        <f t="shared" si="40"/>
        <v>-19</v>
      </c>
      <c r="S677" s="17">
        <v>320</v>
      </c>
      <c r="T677" s="19" t="s">
        <v>99</v>
      </c>
      <c r="U677" s="17" t="s">
        <v>331</v>
      </c>
      <c r="V677" s="64">
        <v>44574</v>
      </c>
      <c r="W677" s="17" t="s">
        <v>44</v>
      </c>
      <c r="Y677" s="68">
        <v>44621</v>
      </c>
      <c r="Z677" s="17" t="s">
        <v>199</v>
      </c>
      <c r="AA677" s="17" t="s">
        <v>46</v>
      </c>
      <c r="AB677" s="17" t="s">
        <v>332</v>
      </c>
      <c r="AC677" s="66">
        <v>44642</v>
      </c>
      <c r="AD677" s="65">
        <v>1265</v>
      </c>
      <c r="AE677" s="17" t="s">
        <v>48</v>
      </c>
    </row>
    <row r="678" s="17" customFormat="1" hidden="1" spans="1:36">
      <c r="A678" s="17" t="s">
        <v>34</v>
      </c>
      <c r="B678" s="19">
        <v>761</v>
      </c>
      <c r="C678" s="64">
        <v>44572</v>
      </c>
      <c r="D678" s="17" t="s">
        <v>35</v>
      </c>
      <c r="E678" s="17" t="s">
        <v>148</v>
      </c>
      <c r="F678" s="17" t="s">
        <v>236</v>
      </c>
      <c r="H678" s="65" t="s">
        <v>97</v>
      </c>
      <c r="I678" s="65"/>
      <c r="J678" s="17" t="s">
        <v>82</v>
      </c>
      <c r="K678" s="133">
        <v>410</v>
      </c>
      <c r="L678" s="134">
        <v>75</v>
      </c>
      <c r="M678" s="17" t="s">
        <v>330</v>
      </c>
      <c r="N678" s="17" t="s">
        <v>40</v>
      </c>
      <c r="O678" s="19" t="s">
        <v>149</v>
      </c>
      <c r="P678" s="97">
        <v>744</v>
      </c>
      <c r="Q678" s="97">
        <v>766</v>
      </c>
      <c r="R678" s="17">
        <f t="shared" si="40"/>
        <v>-22</v>
      </c>
      <c r="S678" s="17">
        <v>320</v>
      </c>
      <c r="T678" s="19" t="s">
        <v>99</v>
      </c>
      <c r="U678" s="17" t="s">
        <v>331</v>
      </c>
      <c r="V678" s="64">
        <v>44574</v>
      </c>
      <c r="W678" s="17" t="s">
        <v>44</v>
      </c>
      <c r="Y678" s="68">
        <v>44621</v>
      </c>
      <c r="Z678" s="17" t="s">
        <v>199</v>
      </c>
      <c r="AA678" s="17" t="s">
        <v>46</v>
      </c>
      <c r="AB678" s="17" t="s">
        <v>332</v>
      </c>
      <c r="AC678" s="66">
        <v>44642</v>
      </c>
      <c r="AD678" s="65">
        <v>1265</v>
      </c>
      <c r="AE678" s="17" t="s">
        <v>48</v>
      </c>
    </row>
    <row r="679" s="17" customFormat="1" hidden="1" spans="1:36">
      <c r="A679" s="17" t="s">
        <v>34</v>
      </c>
      <c r="B679" s="19">
        <v>761</v>
      </c>
      <c r="C679" s="64">
        <v>44572</v>
      </c>
      <c r="D679" s="17" t="s">
        <v>35</v>
      </c>
      <c r="E679" s="17" t="s">
        <v>148</v>
      </c>
      <c r="F679" s="17" t="s">
        <v>236</v>
      </c>
      <c r="H679" s="65" t="s">
        <v>97</v>
      </c>
      <c r="I679" s="65"/>
      <c r="J679" s="17" t="s">
        <v>82</v>
      </c>
      <c r="K679" s="133">
        <v>520</v>
      </c>
      <c r="L679" s="134">
        <v>75</v>
      </c>
      <c r="M679" s="17" t="s">
        <v>330</v>
      </c>
      <c r="N679" s="17" t="s">
        <v>40</v>
      </c>
      <c r="O679" s="19" t="s">
        <v>149</v>
      </c>
      <c r="P679" s="97">
        <v>1086</v>
      </c>
      <c r="Q679" s="97">
        <v>1100</v>
      </c>
      <c r="R679" s="17">
        <f t="shared" si="40"/>
        <v>-14</v>
      </c>
      <c r="S679" s="17">
        <v>320</v>
      </c>
      <c r="T679" s="19" t="s">
        <v>99</v>
      </c>
      <c r="U679" s="17" t="s">
        <v>331</v>
      </c>
      <c r="V679" s="64">
        <v>44574</v>
      </c>
      <c r="W679" s="17" t="s">
        <v>44</v>
      </c>
      <c r="Y679" s="68">
        <v>44621</v>
      </c>
      <c r="Z679" s="17" t="s">
        <v>199</v>
      </c>
      <c r="AA679" s="17" t="s">
        <v>46</v>
      </c>
      <c r="AB679" s="17" t="s">
        <v>332</v>
      </c>
      <c r="AC679" s="66">
        <v>44642</v>
      </c>
      <c r="AD679" s="65">
        <v>1265</v>
      </c>
      <c r="AE679" s="17" t="s">
        <v>48</v>
      </c>
    </row>
    <row r="680" s="17" customFormat="1" hidden="1" spans="1:36">
      <c r="A680" s="17" t="s">
        <v>34</v>
      </c>
      <c r="B680" s="19">
        <v>761</v>
      </c>
      <c r="C680" s="64">
        <v>44572</v>
      </c>
      <c r="D680" s="17" t="s">
        <v>35</v>
      </c>
      <c r="E680" s="17" t="s">
        <v>148</v>
      </c>
      <c r="F680" s="17" t="s">
        <v>236</v>
      </c>
      <c r="H680" s="65" t="s">
        <v>97</v>
      </c>
      <c r="I680" s="65"/>
      <c r="J680" s="17" t="s">
        <v>82</v>
      </c>
      <c r="K680" s="133">
        <v>310</v>
      </c>
      <c r="L680" s="134">
        <v>80</v>
      </c>
      <c r="M680" s="17" t="s">
        <v>330</v>
      </c>
      <c r="N680" s="17" t="s">
        <v>40</v>
      </c>
      <c r="O680" s="19" t="s">
        <v>149</v>
      </c>
      <c r="P680" s="97">
        <v>714</v>
      </c>
      <c r="Q680" s="97">
        <v>734</v>
      </c>
      <c r="R680" s="17">
        <f t="shared" si="40"/>
        <v>-20</v>
      </c>
      <c r="S680" s="17">
        <v>320</v>
      </c>
      <c r="T680" s="19" t="s">
        <v>99</v>
      </c>
      <c r="U680" s="17" t="s">
        <v>331</v>
      </c>
      <c r="V680" s="64">
        <v>44574</v>
      </c>
      <c r="W680" s="17" t="s">
        <v>44</v>
      </c>
      <c r="Y680" s="68">
        <v>44621</v>
      </c>
      <c r="Z680" s="17" t="s">
        <v>199</v>
      </c>
      <c r="AA680" s="17" t="s">
        <v>46</v>
      </c>
      <c r="AB680" s="17" t="s">
        <v>332</v>
      </c>
      <c r="AC680" s="66">
        <v>44642</v>
      </c>
      <c r="AD680" s="65">
        <v>1265</v>
      </c>
      <c r="AE680" s="17" t="s">
        <v>48</v>
      </c>
    </row>
    <row r="681" s="17" customFormat="1" hidden="1" spans="1:36">
      <c r="A681" s="17" t="s">
        <v>34</v>
      </c>
      <c r="B681" s="19">
        <v>761</v>
      </c>
      <c r="C681" s="64">
        <v>44572</v>
      </c>
      <c r="D681" s="17" t="s">
        <v>35</v>
      </c>
      <c r="E681" s="17" t="s">
        <v>148</v>
      </c>
      <c r="F681" s="17" t="s">
        <v>236</v>
      </c>
      <c r="H681" s="65" t="s">
        <v>97</v>
      </c>
      <c r="I681" s="65"/>
      <c r="J681" s="17" t="s">
        <v>82</v>
      </c>
      <c r="K681" s="133">
        <v>160</v>
      </c>
      <c r="L681" s="134">
        <v>90</v>
      </c>
      <c r="M681" s="17" t="s">
        <v>330</v>
      </c>
      <c r="N681" s="17" t="s">
        <v>40</v>
      </c>
      <c r="O681" s="19" t="s">
        <v>149</v>
      </c>
      <c r="P681" s="97">
        <v>441</v>
      </c>
      <c r="Q681" s="97">
        <v>433</v>
      </c>
      <c r="R681" s="17">
        <f t="shared" si="40"/>
        <v>8</v>
      </c>
      <c r="S681" s="17">
        <v>320</v>
      </c>
      <c r="T681" s="19" t="s">
        <v>99</v>
      </c>
      <c r="U681" s="17" t="s">
        <v>331</v>
      </c>
      <c r="V681" s="64">
        <v>44574</v>
      </c>
      <c r="W681" s="17" t="s">
        <v>44</v>
      </c>
      <c r="Y681" s="68">
        <v>44621</v>
      </c>
      <c r="Z681" s="17" t="s">
        <v>199</v>
      </c>
      <c r="AA681" s="17" t="s">
        <v>46</v>
      </c>
      <c r="AB681" s="17" t="s">
        <v>332</v>
      </c>
      <c r="AC681" s="66">
        <v>44642</v>
      </c>
      <c r="AD681" s="65">
        <v>1265</v>
      </c>
      <c r="AE681" s="17" t="s">
        <v>48</v>
      </c>
    </row>
    <row r="682" s="17" customFormat="1" hidden="1" spans="1:36">
      <c r="A682" s="17" t="s">
        <v>34</v>
      </c>
      <c r="B682" s="19">
        <v>761</v>
      </c>
      <c r="C682" s="64">
        <v>44572</v>
      </c>
      <c r="D682" s="17" t="s">
        <v>35</v>
      </c>
      <c r="E682" s="17" t="s">
        <v>148</v>
      </c>
      <c r="F682" s="17" t="s">
        <v>236</v>
      </c>
      <c r="H682" s="65" t="s">
        <v>97</v>
      </c>
      <c r="I682" s="65"/>
      <c r="J682" s="17" t="s">
        <v>82</v>
      </c>
      <c r="K682" s="133">
        <v>310</v>
      </c>
      <c r="L682" s="134">
        <v>90</v>
      </c>
      <c r="M682" s="17" t="s">
        <v>330</v>
      </c>
      <c r="N682" s="17" t="s">
        <v>40</v>
      </c>
      <c r="O682" s="19" t="s">
        <v>149</v>
      </c>
      <c r="P682" s="97">
        <v>703</v>
      </c>
      <c r="Q682" s="97">
        <v>719</v>
      </c>
      <c r="R682" s="17">
        <f t="shared" si="40"/>
        <v>-16</v>
      </c>
      <c r="S682" s="17">
        <v>320</v>
      </c>
      <c r="T682" s="19" t="s">
        <v>99</v>
      </c>
      <c r="U682" s="17" t="s">
        <v>331</v>
      </c>
      <c r="V682" s="64">
        <v>44574</v>
      </c>
      <c r="W682" s="17" t="s">
        <v>44</v>
      </c>
      <c r="Y682" s="68">
        <v>44621</v>
      </c>
      <c r="Z682" s="17" t="s">
        <v>199</v>
      </c>
      <c r="AA682" s="17" t="s">
        <v>46</v>
      </c>
      <c r="AB682" s="17" t="s">
        <v>332</v>
      </c>
      <c r="AC682" s="66">
        <v>44642</v>
      </c>
      <c r="AD682" s="65">
        <v>1265</v>
      </c>
      <c r="AE682" s="17" t="s">
        <v>48</v>
      </c>
    </row>
    <row r="683" s="17" customFormat="1" hidden="1" spans="1:36">
      <c r="A683" s="17" t="s">
        <v>34</v>
      </c>
      <c r="B683" s="19">
        <v>761</v>
      </c>
      <c r="C683" s="64">
        <v>44572</v>
      </c>
      <c r="D683" s="17" t="s">
        <v>35</v>
      </c>
      <c r="E683" s="17" t="s">
        <v>148</v>
      </c>
      <c r="F683" s="17" t="s">
        <v>236</v>
      </c>
      <c r="H683" s="65" t="s">
        <v>97</v>
      </c>
      <c r="I683" s="65"/>
      <c r="J683" s="17" t="s">
        <v>82</v>
      </c>
      <c r="K683" s="133">
        <v>410</v>
      </c>
      <c r="L683" s="134">
        <v>95</v>
      </c>
      <c r="M683" s="17" t="s">
        <v>330</v>
      </c>
      <c r="N683" s="17" t="s">
        <v>40</v>
      </c>
      <c r="O683" s="19" t="s">
        <v>149</v>
      </c>
      <c r="P683" s="97">
        <v>1007</v>
      </c>
      <c r="Q683" s="97">
        <v>1020</v>
      </c>
      <c r="R683" s="17">
        <f t="shared" si="40"/>
        <v>-13</v>
      </c>
      <c r="S683" s="17">
        <v>320</v>
      </c>
      <c r="T683" s="19" t="s">
        <v>99</v>
      </c>
      <c r="U683" s="17" t="s">
        <v>331</v>
      </c>
      <c r="V683" s="64">
        <v>44574</v>
      </c>
      <c r="W683" s="17" t="s">
        <v>44</v>
      </c>
      <c r="Y683" s="68">
        <v>44621</v>
      </c>
      <c r="Z683" s="17" t="s">
        <v>199</v>
      </c>
      <c r="AA683" s="17" t="s">
        <v>46</v>
      </c>
      <c r="AB683" s="17" t="s">
        <v>332</v>
      </c>
      <c r="AC683" s="66">
        <v>44642</v>
      </c>
      <c r="AD683" s="65">
        <v>1265</v>
      </c>
      <c r="AE683" s="17" t="s">
        <v>48</v>
      </c>
    </row>
    <row r="684" s="17" customFormat="1" hidden="1" spans="1:36">
      <c r="A684" s="17" t="s">
        <v>34</v>
      </c>
      <c r="B684" s="19">
        <v>761</v>
      </c>
      <c r="C684" s="64">
        <v>44572</v>
      </c>
      <c r="D684" s="17" t="s">
        <v>35</v>
      </c>
      <c r="E684" s="17" t="s">
        <v>148</v>
      </c>
      <c r="F684" s="17" t="s">
        <v>236</v>
      </c>
      <c r="H684" s="65" t="s">
        <v>97</v>
      </c>
      <c r="I684" s="65"/>
      <c r="J684" s="17" t="s">
        <v>82</v>
      </c>
      <c r="K684" s="133">
        <v>360</v>
      </c>
      <c r="L684" s="134">
        <v>105</v>
      </c>
      <c r="M684" s="17" t="s">
        <v>330</v>
      </c>
      <c r="N684" s="17" t="s">
        <v>40</v>
      </c>
      <c r="O684" s="19" t="s">
        <v>149</v>
      </c>
      <c r="P684" s="97">
        <v>1093</v>
      </c>
      <c r="Q684" s="97">
        <v>1137</v>
      </c>
      <c r="R684" s="17">
        <f t="shared" si="40"/>
        <v>-44</v>
      </c>
      <c r="S684" s="17">
        <v>320</v>
      </c>
      <c r="T684" s="19" t="s">
        <v>99</v>
      </c>
      <c r="U684" s="17" t="s">
        <v>331</v>
      </c>
      <c r="V684" s="64">
        <v>44574</v>
      </c>
      <c r="W684" s="17" t="s">
        <v>44</v>
      </c>
      <c r="Y684" s="68">
        <v>44621</v>
      </c>
      <c r="Z684" s="17" t="s">
        <v>199</v>
      </c>
      <c r="AA684" s="17" t="s">
        <v>46</v>
      </c>
      <c r="AB684" s="17" t="s">
        <v>332</v>
      </c>
      <c r="AC684" s="66">
        <v>44642</v>
      </c>
      <c r="AD684" s="65">
        <v>1265</v>
      </c>
      <c r="AE684" s="17" t="s">
        <v>48</v>
      </c>
    </row>
    <row r="685" s="17" customFormat="1" hidden="1" spans="1:36">
      <c r="A685" s="17" t="s">
        <v>34</v>
      </c>
      <c r="B685" s="19">
        <v>761</v>
      </c>
      <c r="C685" s="64">
        <v>44572</v>
      </c>
      <c r="D685" s="17" t="s">
        <v>35</v>
      </c>
      <c r="E685" s="17" t="s">
        <v>148</v>
      </c>
      <c r="F685" s="17" t="s">
        <v>236</v>
      </c>
      <c r="H685" s="65" t="s">
        <v>97</v>
      </c>
      <c r="I685" s="65"/>
      <c r="J685" s="17" t="s">
        <v>82</v>
      </c>
      <c r="K685" s="133">
        <v>360</v>
      </c>
      <c r="L685" s="134">
        <v>120</v>
      </c>
      <c r="M685" s="17" t="s">
        <v>330</v>
      </c>
      <c r="N685" s="17" t="s">
        <v>40</v>
      </c>
      <c r="O685" s="19" t="s">
        <v>149</v>
      </c>
      <c r="P685" s="97">
        <v>1090</v>
      </c>
      <c r="Q685" s="97">
        <v>1109</v>
      </c>
      <c r="R685" s="17">
        <f t="shared" si="40"/>
        <v>-19</v>
      </c>
      <c r="S685" s="17">
        <v>320</v>
      </c>
      <c r="T685" s="19" t="s">
        <v>99</v>
      </c>
      <c r="U685" s="17" t="s">
        <v>331</v>
      </c>
      <c r="V685" s="64">
        <v>44574</v>
      </c>
      <c r="W685" s="17" t="s">
        <v>44</v>
      </c>
      <c r="Y685" s="68">
        <v>44621</v>
      </c>
      <c r="Z685" s="17" t="s">
        <v>199</v>
      </c>
      <c r="AA685" s="17" t="s">
        <v>46</v>
      </c>
      <c r="AB685" s="17" t="s">
        <v>332</v>
      </c>
      <c r="AC685" s="66">
        <v>44642</v>
      </c>
      <c r="AD685" s="65">
        <v>1265</v>
      </c>
      <c r="AE685" s="17" t="s">
        <v>48</v>
      </c>
    </row>
    <row r="686" s="17" customFormat="1" hidden="1" spans="1:36">
      <c r="A686" s="17" t="s">
        <v>34</v>
      </c>
      <c r="B686" s="19">
        <v>761</v>
      </c>
      <c r="C686" s="64">
        <v>44572</v>
      </c>
      <c r="D686" s="17" t="s">
        <v>35</v>
      </c>
      <c r="E686" s="17" t="s">
        <v>148</v>
      </c>
      <c r="F686" s="17" t="s">
        <v>236</v>
      </c>
      <c r="H686" s="65" t="s">
        <v>97</v>
      </c>
      <c r="I686" s="65"/>
      <c r="J686" s="17" t="s">
        <v>82</v>
      </c>
      <c r="K686" s="133">
        <v>520</v>
      </c>
      <c r="L686" s="134">
        <v>120</v>
      </c>
      <c r="M686" s="17" t="s">
        <v>330</v>
      </c>
      <c r="N686" s="17" t="s">
        <v>40</v>
      </c>
      <c r="O686" s="19" t="s">
        <v>149</v>
      </c>
      <c r="P686" s="97">
        <v>1622</v>
      </c>
      <c r="Q686" s="97">
        <v>1610</v>
      </c>
      <c r="R686" s="17">
        <f t="shared" si="40"/>
        <v>12</v>
      </c>
      <c r="S686" s="17">
        <v>320</v>
      </c>
      <c r="T686" s="19" t="s">
        <v>99</v>
      </c>
      <c r="U686" s="17" t="s">
        <v>331</v>
      </c>
      <c r="V686" s="64">
        <v>44574</v>
      </c>
      <c r="W686" s="17" t="s">
        <v>44</v>
      </c>
      <c r="Y686" s="68">
        <v>44621</v>
      </c>
      <c r="Z686" s="17" t="s">
        <v>199</v>
      </c>
      <c r="AA686" s="17" t="s">
        <v>46</v>
      </c>
      <c r="AB686" s="17" t="s">
        <v>332</v>
      </c>
      <c r="AC686" s="66">
        <v>44642</v>
      </c>
      <c r="AD686" s="65">
        <v>1265</v>
      </c>
      <c r="AE686" s="17" t="s">
        <v>48</v>
      </c>
    </row>
    <row r="687" s="17" customFormat="1" hidden="1" spans="1:36">
      <c r="A687" s="17" t="s">
        <v>34</v>
      </c>
      <c r="B687" s="19">
        <v>761</v>
      </c>
      <c r="C687" s="64">
        <v>44572</v>
      </c>
      <c r="D687" s="17" t="s">
        <v>35</v>
      </c>
      <c r="E687" s="17" t="s">
        <v>148</v>
      </c>
      <c r="F687" s="17" t="s">
        <v>236</v>
      </c>
      <c r="H687" s="65" t="s">
        <v>97</v>
      </c>
      <c r="I687" s="65"/>
      <c r="J687" s="17" t="s">
        <v>82</v>
      </c>
      <c r="K687" s="133">
        <v>210</v>
      </c>
      <c r="L687" s="134">
        <v>130</v>
      </c>
      <c r="M687" s="17" t="s">
        <v>330</v>
      </c>
      <c r="N687" s="17" t="s">
        <v>40</v>
      </c>
      <c r="O687" s="19" t="s">
        <v>149</v>
      </c>
      <c r="P687" s="97">
        <v>690</v>
      </c>
      <c r="Q687" s="97">
        <v>712</v>
      </c>
      <c r="R687" s="17">
        <f t="shared" si="40"/>
        <v>-22</v>
      </c>
      <c r="S687" s="17">
        <v>320</v>
      </c>
      <c r="T687" s="19" t="s">
        <v>99</v>
      </c>
      <c r="U687" s="17" t="s">
        <v>331</v>
      </c>
      <c r="V687" s="64">
        <v>44574</v>
      </c>
      <c r="W687" s="17" t="s">
        <v>44</v>
      </c>
      <c r="Y687" s="68">
        <v>44621</v>
      </c>
      <c r="Z687" s="17" t="s">
        <v>199</v>
      </c>
      <c r="AA687" s="17" t="s">
        <v>46</v>
      </c>
      <c r="AB687" s="17" t="s">
        <v>332</v>
      </c>
      <c r="AC687" s="66">
        <v>44642</v>
      </c>
      <c r="AD687" s="65">
        <v>1265</v>
      </c>
      <c r="AE687" s="17" t="s">
        <v>48</v>
      </c>
    </row>
    <row r="688" s="17" customFormat="1" hidden="1" spans="1:36">
      <c r="A688" s="17" t="s">
        <v>34</v>
      </c>
      <c r="B688" s="19">
        <v>761</v>
      </c>
      <c r="C688" s="64">
        <v>44572</v>
      </c>
      <c r="D688" s="17" t="s">
        <v>35</v>
      </c>
      <c r="E688" s="17" t="s">
        <v>148</v>
      </c>
      <c r="F688" s="17" t="s">
        <v>236</v>
      </c>
      <c r="H688" s="65" t="s">
        <v>97</v>
      </c>
      <c r="I688" s="65"/>
      <c r="J688" s="17" t="s">
        <v>82</v>
      </c>
      <c r="K688" s="133">
        <v>410</v>
      </c>
      <c r="L688" s="134">
        <v>150</v>
      </c>
      <c r="M688" s="17" t="s">
        <v>330</v>
      </c>
      <c r="N688" s="17" t="s">
        <v>40</v>
      </c>
      <c r="O688" s="19" t="s">
        <v>149</v>
      </c>
      <c r="P688" s="97">
        <v>1309</v>
      </c>
      <c r="Q688" s="97">
        <v>1303</v>
      </c>
      <c r="R688" s="17">
        <f t="shared" si="40"/>
        <v>6</v>
      </c>
      <c r="S688" s="17">
        <v>320</v>
      </c>
      <c r="T688" s="19" t="s">
        <v>99</v>
      </c>
      <c r="U688" s="17" t="s">
        <v>331</v>
      </c>
      <c r="V688" s="64">
        <v>44574</v>
      </c>
      <c r="W688" s="17" t="s">
        <v>44</v>
      </c>
      <c r="Y688" s="68">
        <v>44621</v>
      </c>
      <c r="Z688" s="17" t="s">
        <v>199</v>
      </c>
      <c r="AA688" s="17" t="s">
        <v>46</v>
      </c>
      <c r="AB688" s="17" t="s">
        <v>332</v>
      </c>
      <c r="AC688" s="66">
        <v>44642</v>
      </c>
      <c r="AD688" s="65">
        <v>1265</v>
      </c>
      <c r="AE688" s="17" t="s">
        <v>48</v>
      </c>
    </row>
    <row r="689" s="17" customFormat="1" hidden="1" spans="1:35">
      <c r="A689" s="17" t="s">
        <v>34</v>
      </c>
      <c r="B689" s="19">
        <v>761</v>
      </c>
      <c r="C689" s="64">
        <v>44572</v>
      </c>
      <c r="D689" s="17" t="s">
        <v>35</v>
      </c>
      <c r="E689" s="17" t="s">
        <v>148</v>
      </c>
      <c r="F689" s="17" t="s">
        <v>236</v>
      </c>
      <c r="H689" s="65" t="s">
        <v>97</v>
      </c>
      <c r="I689" s="65"/>
      <c r="J689" s="17" t="s">
        <v>82</v>
      </c>
      <c r="K689" s="133">
        <v>410</v>
      </c>
      <c r="L689" s="134">
        <v>180</v>
      </c>
      <c r="M689" s="17" t="s">
        <v>330</v>
      </c>
      <c r="N689" s="17" t="s">
        <v>40</v>
      </c>
      <c r="O689" s="19" t="s">
        <v>149</v>
      </c>
      <c r="P689" s="97">
        <v>1958</v>
      </c>
      <c r="Q689" s="97">
        <v>1972</v>
      </c>
      <c r="R689" s="17">
        <f t="shared" si="40"/>
        <v>-14</v>
      </c>
      <c r="S689" s="17">
        <v>320</v>
      </c>
      <c r="T689" s="19" t="s">
        <v>99</v>
      </c>
      <c r="U689" s="17" t="s">
        <v>331</v>
      </c>
      <c r="V689" s="64">
        <v>44574</v>
      </c>
      <c r="W689" s="17" t="s">
        <v>44</v>
      </c>
      <c r="Y689" s="68">
        <v>44621</v>
      </c>
      <c r="Z689" s="17" t="s">
        <v>199</v>
      </c>
      <c r="AA689" s="17" t="s">
        <v>46</v>
      </c>
      <c r="AB689" s="17" t="s">
        <v>332</v>
      </c>
      <c r="AC689" s="66">
        <v>44642</v>
      </c>
      <c r="AD689" s="65">
        <v>1265</v>
      </c>
      <c r="AE689" s="17" t="s">
        <v>48</v>
      </c>
    </row>
    <row r="690" s="17" customFormat="1" hidden="1" spans="1:35">
      <c r="A690" s="17" t="s">
        <v>34</v>
      </c>
      <c r="B690" s="19">
        <v>761</v>
      </c>
      <c r="C690" s="64">
        <v>44572</v>
      </c>
      <c r="D690" s="17" t="s">
        <v>35</v>
      </c>
      <c r="E690" s="17" t="s">
        <v>148</v>
      </c>
      <c r="F690" s="17" t="s">
        <v>236</v>
      </c>
      <c r="H690" s="65" t="s">
        <v>97</v>
      </c>
      <c r="I690" s="65"/>
      <c r="J690" s="17" t="s">
        <v>82</v>
      </c>
      <c r="K690" s="133">
        <v>310</v>
      </c>
      <c r="L690" s="134">
        <v>200</v>
      </c>
      <c r="M690" s="17" t="s">
        <v>330</v>
      </c>
      <c r="N690" s="17" t="s">
        <v>40</v>
      </c>
      <c r="O690" s="19" t="s">
        <v>149</v>
      </c>
      <c r="P690" s="97">
        <v>1814</v>
      </c>
      <c r="Q690" s="97">
        <v>1851</v>
      </c>
      <c r="R690" s="17">
        <f t="shared" si="40"/>
        <v>-37</v>
      </c>
      <c r="S690" s="17">
        <v>320</v>
      </c>
      <c r="T690" s="19" t="s">
        <v>99</v>
      </c>
      <c r="U690" s="17" t="s">
        <v>331</v>
      </c>
      <c r="V690" s="64">
        <v>44574</v>
      </c>
      <c r="W690" s="17" t="s">
        <v>44</v>
      </c>
      <c r="Y690" s="68">
        <v>44621</v>
      </c>
      <c r="Z690" s="17" t="s">
        <v>199</v>
      </c>
      <c r="AA690" s="17" t="s">
        <v>46</v>
      </c>
      <c r="AB690" s="17" t="s">
        <v>332</v>
      </c>
      <c r="AC690" s="66">
        <v>44642</v>
      </c>
      <c r="AD690" s="65">
        <v>1265</v>
      </c>
      <c r="AE690" s="17" t="s">
        <v>48</v>
      </c>
    </row>
    <row r="691" s="17" customFormat="1" hidden="1" spans="1:35">
      <c r="A691" s="17" t="s">
        <v>34</v>
      </c>
      <c r="B691" s="19">
        <v>761</v>
      </c>
      <c r="C691" s="64">
        <v>44572</v>
      </c>
      <c r="D691" s="17" t="s">
        <v>35</v>
      </c>
      <c r="E691" s="17" t="s">
        <v>148</v>
      </c>
      <c r="F691" s="17" t="s">
        <v>236</v>
      </c>
      <c r="H691" s="65" t="s">
        <v>97</v>
      </c>
      <c r="I691" s="65"/>
      <c r="J691" s="17" t="s">
        <v>82</v>
      </c>
      <c r="K691" s="133">
        <v>410</v>
      </c>
      <c r="L691" s="134">
        <v>200</v>
      </c>
      <c r="M691" s="17" t="s">
        <v>330</v>
      </c>
      <c r="N691" s="17" t="s">
        <v>40</v>
      </c>
      <c r="O691" s="19" t="s">
        <v>149</v>
      </c>
      <c r="P691" s="97">
        <v>2153</v>
      </c>
      <c r="Q691" s="97">
        <v>2167</v>
      </c>
      <c r="R691" s="17">
        <f t="shared" si="40"/>
        <v>-14</v>
      </c>
      <c r="S691" s="17">
        <v>320</v>
      </c>
      <c r="T691" s="19" t="s">
        <v>99</v>
      </c>
      <c r="U691" s="17" t="s">
        <v>331</v>
      </c>
      <c r="V691" s="64">
        <v>44574</v>
      </c>
      <c r="W691" s="17" t="s">
        <v>44</v>
      </c>
      <c r="Y691" s="68">
        <v>44621</v>
      </c>
      <c r="Z691" s="17" t="s">
        <v>199</v>
      </c>
      <c r="AA691" s="17" t="s">
        <v>46</v>
      </c>
      <c r="AB691" s="17" t="s">
        <v>332</v>
      </c>
      <c r="AC691" s="66">
        <v>44642</v>
      </c>
      <c r="AD691" s="65">
        <v>1265</v>
      </c>
      <c r="AE691" s="17" t="s">
        <v>48</v>
      </c>
    </row>
    <row r="692" s="17" customFormat="1" hidden="1" spans="1:35">
      <c r="A692" s="17" t="s">
        <v>34</v>
      </c>
      <c r="B692" s="19">
        <v>761</v>
      </c>
      <c r="C692" s="64">
        <v>44572</v>
      </c>
      <c r="D692" s="17" t="s">
        <v>35</v>
      </c>
      <c r="E692" s="17" t="s">
        <v>148</v>
      </c>
      <c r="F692" s="17" t="s">
        <v>236</v>
      </c>
      <c r="H692" s="65" t="s">
        <v>97</v>
      </c>
      <c r="I692" s="65"/>
      <c r="J692" s="17" t="s">
        <v>82</v>
      </c>
      <c r="K692" s="133">
        <v>360</v>
      </c>
      <c r="L692" s="134">
        <v>280</v>
      </c>
      <c r="M692" s="17" t="s">
        <v>330</v>
      </c>
      <c r="N692" s="17" t="s">
        <v>40</v>
      </c>
      <c r="O692" s="19" t="s">
        <v>149</v>
      </c>
      <c r="P692" s="97">
        <v>2294</v>
      </c>
      <c r="Q692" s="97">
        <v>2301</v>
      </c>
      <c r="R692" s="17">
        <f t="shared" si="40"/>
        <v>-7</v>
      </c>
      <c r="S692" s="17">
        <v>320</v>
      </c>
      <c r="T692" s="19" t="s">
        <v>99</v>
      </c>
      <c r="U692" s="17" t="s">
        <v>331</v>
      </c>
      <c r="V692" s="64">
        <v>44574</v>
      </c>
      <c r="W692" s="17" t="s">
        <v>44</v>
      </c>
      <c r="Y692" s="68">
        <v>44621</v>
      </c>
      <c r="Z692" s="17" t="s">
        <v>199</v>
      </c>
      <c r="AA692" s="17" t="s">
        <v>46</v>
      </c>
      <c r="AB692" s="17" t="s">
        <v>332</v>
      </c>
      <c r="AC692" s="66">
        <v>44642</v>
      </c>
      <c r="AD692" s="65">
        <v>1265</v>
      </c>
      <c r="AE692" s="17" t="s">
        <v>48</v>
      </c>
    </row>
    <row r="693" s="17" customFormat="1" hidden="1" spans="1:35">
      <c r="A693" s="17" t="s">
        <v>34</v>
      </c>
      <c r="B693" s="19">
        <v>761</v>
      </c>
      <c r="C693" s="64">
        <v>44572</v>
      </c>
      <c r="D693" s="17" t="s">
        <v>35</v>
      </c>
      <c r="E693" s="17" t="s">
        <v>148</v>
      </c>
      <c r="F693" s="17" t="s">
        <v>236</v>
      </c>
      <c r="H693" s="65" t="s">
        <v>97</v>
      </c>
      <c r="I693" s="65"/>
      <c r="J693" s="17" t="s">
        <v>82</v>
      </c>
      <c r="K693" s="133">
        <v>360</v>
      </c>
      <c r="L693" s="134">
        <v>310</v>
      </c>
      <c r="M693" s="17" t="s">
        <v>330</v>
      </c>
      <c r="N693" s="17" t="s">
        <v>40</v>
      </c>
      <c r="O693" s="19" t="s">
        <v>149</v>
      </c>
      <c r="P693" s="97">
        <v>2798</v>
      </c>
      <c r="Q693" s="97">
        <v>2823</v>
      </c>
      <c r="R693" s="17">
        <f t="shared" si="40"/>
        <v>-25</v>
      </c>
      <c r="S693" s="17">
        <v>320</v>
      </c>
      <c r="T693" s="19" t="s">
        <v>99</v>
      </c>
      <c r="U693" s="17" t="s">
        <v>331</v>
      </c>
      <c r="V693" s="64">
        <v>44574</v>
      </c>
      <c r="W693" s="17" t="s">
        <v>44</v>
      </c>
      <c r="Y693" s="68">
        <v>44621</v>
      </c>
      <c r="Z693" s="17" t="s">
        <v>199</v>
      </c>
      <c r="AA693" s="17" t="s">
        <v>46</v>
      </c>
      <c r="AB693" s="17" t="s">
        <v>332</v>
      </c>
      <c r="AC693" s="66">
        <v>44642</v>
      </c>
      <c r="AD693" s="65">
        <v>1265</v>
      </c>
      <c r="AE693" s="17" t="s">
        <v>48</v>
      </c>
    </row>
    <row r="694" s="17" customFormat="1" hidden="1" spans="1:35">
      <c r="A694" s="17" t="s">
        <v>34</v>
      </c>
      <c r="B694" s="19">
        <v>764</v>
      </c>
      <c r="C694" s="101">
        <v>44576</v>
      </c>
      <c r="D694" s="17" t="s">
        <v>52</v>
      </c>
      <c r="E694" s="17" t="s">
        <v>187</v>
      </c>
      <c r="F694" s="17" t="s">
        <v>54</v>
      </c>
      <c r="H694" s="19">
        <v>1.2344</v>
      </c>
      <c r="I694" s="19"/>
      <c r="J694" s="17" t="s">
        <v>39</v>
      </c>
      <c r="K694" s="17">
        <v>220</v>
      </c>
      <c r="L694" s="91"/>
      <c r="M694" s="17" t="s">
        <v>333</v>
      </c>
      <c r="N694" s="17" t="s">
        <v>40</v>
      </c>
      <c r="O694" s="19" t="s">
        <v>50</v>
      </c>
      <c r="P694" s="19">
        <v>2000</v>
      </c>
      <c r="Q694" s="17">
        <f>999+1072</f>
        <v>2071</v>
      </c>
      <c r="R694" s="17">
        <f t="shared" si="40"/>
        <v>-71</v>
      </c>
      <c r="S694" s="17">
        <v>2200</v>
      </c>
      <c r="T694" s="19" t="s">
        <v>42</v>
      </c>
      <c r="U694" s="102" t="s">
        <v>334</v>
      </c>
      <c r="V694" s="64">
        <v>44579</v>
      </c>
      <c r="W694" s="17" t="s">
        <v>44</v>
      </c>
      <c r="Y694" s="68">
        <v>44621</v>
      </c>
      <c r="Z694" s="17" t="s">
        <v>191</v>
      </c>
      <c r="AA694" s="17" t="s">
        <v>46</v>
      </c>
      <c r="AB694" s="17" t="s">
        <v>335</v>
      </c>
      <c r="AC694" s="66">
        <v>44667</v>
      </c>
      <c r="AD694" s="65">
        <v>1288</v>
      </c>
      <c r="AE694" s="17" t="s">
        <v>223</v>
      </c>
      <c r="AF694" s="17" t="s">
        <v>258</v>
      </c>
      <c r="AH694" s="17" t="s">
        <v>336</v>
      </c>
    </row>
    <row r="695" s="17" customFormat="1" hidden="1" spans="1:35">
      <c r="A695" s="17" t="s">
        <v>34</v>
      </c>
      <c r="B695" s="19">
        <v>764</v>
      </c>
      <c r="C695" s="101">
        <v>44576</v>
      </c>
      <c r="D695" s="17" t="s">
        <v>52</v>
      </c>
      <c r="E695" s="17" t="s">
        <v>187</v>
      </c>
      <c r="F695" s="17" t="s">
        <v>54</v>
      </c>
      <c r="H695" s="19">
        <v>1.2344</v>
      </c>
      <c r="I695" s="19"/>
      <c r="J695" s="17" t="s">
        <v>39</v>
      </c>
      <c r="K695" s="17">
        <v>230</v>
      </c>
      <c r="L695" s="91"/>
      <c r="M695" s="17" t="s">
        <v>333</v>
      </c>
      <c r="N695" s="17" t="s">
        <v>40</v>
      </c>
      <c r="O695" s="19" t="s">
        <v>50</v>
      </c>
      <c r="P695" s="19">
        <v>2000</v>
      </c>
      <c r="Q695" s="17">
        <f>722+713+729+739</f>
        <v>2903</v>
      </c>
      <c r="R695" s="17">
        <f t="shared" ref="R695:R703" si="42">+P695-Q695</f>
        <v>-903</v>
      </c>
      <c r="S695" s="17">
        <v>2200</v>
      </c>
      <c r="T695" s="19" t="s">
        <v>42</v>
      </c>
      <c r="U695" s="102" t="s">
        <v>334</v>
      </c>
      <c r="V695" s="64">
        <v>44579</v>
      </c>
      <c r="W695" s="17" t="s">
        <v>44</v>
      </c>
      <c r="Y695" s="68">
        <v>44621</v>
      </c>
      <c r="Z695" s="17" t="s">
        <v>191</v>
      </c>
      <c r="AA695" s="17" t="s">
        <v>46</v>
      </c>
      <c r="AB695" s="17" t="s">
        <v>335</v>
      </c>
      <c r="AC695" s="66">
        <v>44667</v>
      </c>
      <c r="AD695" s="65">
        <v>1288</v>
      </c>
      <c r="AE695" s="17" t="s">
        <v>223</v>
      </c>
      <c r="AF695" s="17" t="s">
        <v>258</v>
      </c>
      <c r="AH695" s="17" t="s">
        <v>336</v>
      </c>
    </row>
    <row r="696" s="17" customFormat="1" hidden="1" spans="1:35">
      <c r="A696" s="17" t="s">
        <v>34</v>
      </c>
      <c r="B696" s="19">
        <v>764</v>
      </c>
      <c r="C696" s="101">
        <v>44576</v>
      </c>
      <c r="D696" s="17" t="s">
        <v>52</v>
      </c>
      <c r="E696" s="17" t="s">
        <v>187</v>
      </c>
      <c r="F696" s="17" t="s">
        <v>54</v>
      </c>
      <c r="H696" s="19">
        <v>1.2344</v>
      </c>
      <c r="I696" s="19"/>
      <c r="J696" s="17" t="s">
        <v>39</v>
      </c>
      <c r="K696" s="17">
        <v>250</v>
      </c>
      <c r="L696" s="91"/>
      <c r="M696" s="17" t="s">
        <v>333</v>
      </c>
      <c r="N696" s="17" t="s">
        <v>40</v>
      </c>
      <c r="O696" s="19" t="s">
        <v>50</v>
      </c>
      <c r="P696" s="19">
        <v>10000</v>
      </c>
      <c r="Q696" s="17">
        <f>1483+1509+1508+1513+1081+1081+916+916</f>
        <v>10007</v>
      </c>
      <c r="R696" s="17">
        <f t="shared" si="42"/>
        <v>-7</v>
      </c>
      <c r="S696" s="17">
        <v>2200</v>
      </c>
      <c r="T696" s="19" t="s">
        <v>42</v>
      </c>
      <c r="U696" s="102" t="s">
        <v>334</v>
      </c>
      <c r="V696" s="64">
        <v>44579</v>
      </c>
      <c r="W696" s="17" t="s">
        <v>44</v>
      </c>
      <c r="Y696" s="68">
        <v>44621</v>
      </c>
      <c r="Z696" s="17" t="s">
        <v>191</v>
      </c>
      <c r="AA696" s="17" t="s">
        <v>46</v>
      </c>
      <c r="AB696" s="17" t="s">
        <v>335</v>
      </c>
      <c r="AC696" s="66">
        <v>44667</v>
      </c>
      <c r="AD696" s="65">
        <v>1288</v>
      </c>
      <c r="AE696" s="17" t="s">
        <v>223</v>
      </c>
      <c r="AF696" s="17" t="s">
        <v>258</v>
      </c>
      <c r="AH696" s="17" t="s">
        <v>336</v>
      </c>
    </row>
    <row r="697" s="17" customFormat="1" hidden="1" spans="1:35">
      <c r="A697" s="17" t="s">
        <v>34</v>
      </c>
      <c r="B697" s="19">
        <v>764</v>
      </c>
      <c r="C697" s="101">
        <v>44576</v>
      </c>
      <c r="D697" s="17" t="s">
        <v>52</v>
      </c>
      <c r="E697" s="17" t="s">
        <v>187</v>
      </c>
      <c r="F697" s="17" t="s">
        <v>54</v>
      </c>
      <c r="H697" s="19">
        <v>1.2344</v>
      </c>
      <c r="I697" s="19"/>
      <c r="J697" s="17" t="s">
        <v>39</v>
      </c>
      <c r="K697" s="17">
        <v>280</v>
      </c>
      <c r="L697" s="91"/>
      <c r="M697" s="17" t="s">
        <v>333</v>
      </c>
      <c r="N697" s="17" t="s">
        <v>40</v>
      </c>
      <c r="O697" s="19" t="s">
        <v>50</v>
      </c>
      <c r="P697" s="19">
        <v>10000</v>
      </c>
      <c r="Q697" s="17">
        <f>1577+1469+1474+1482+1471+1486+1486</f>
        <v>10445</v>
      </c>
      <c r="R697" s="17">
        <f t="shared" si="42"/>
        <v>-445</v>
      </c>
      <c r="S697" s="17">
        <v>2200</v>
      </c>
      <c r="T697" s="19" t="s">
        <v>42</v>
      </c>
      <c r="U697" s="102" t="s">
        <v>334</v>
      </c>
      <c r="V697" s="64">
        <v>44579</v>
      </c>
      <c r="W697" s="17" t="s">
        <v>44</v>
      </c>
      <c r="Y697" s="68">
        <v>44621</v>
      </c>
      <c r="Z697" s="17" t="s">
        <v>191</v>
      </c>
      <c r="AA697" s="17" t="s">
        <v>46</v>
      </c>
      <c r="AB697" s="17" t="s">
        <v>335</v>
      </c>
      <c r="AC697" s="66">
        <v>44667</v>
      </c>
      <c r="AD697" s="65">
        <v>1288</v>
      </c>
      <c r="AE697" s="17" t="s">
        <v>223</v>
      </c>
      <c r="AF697" s="17" t="s">
        <v>258</v>
      </c>
      <c r="AH697" s="17" t="s">
        <v>336</v>
      </c>
    </row>
    <row r="698" s="17" customFormat="1" hidden="1" spans="1:35">
      <c r="A698" s="17" t="s">
        <v>34</v>
      </c>
      <c r="B698" s="19">
        <v>766</v>
      </c>
      <c r="C698" s="101">
        <v>44579</v>
      </c>
      <c r="D698" s="17" t="s">
        <v>35</v>
      </c>
      <c r="E698" s="17" t="s">
        <v>71</v>
      </c>
      <c r="F698" s="17" t="s">
        <v>72</v>
      </c>
      <c r="H698" s="19">
        <v>1.2379</v>
      </c>
      <c r="I698" s="19"/>
      <c r="J698" s="17" t="s">
        <v>39</v>
      </c>
      <c r="K698" s="17">
        <v>121</v>
      </c>
      <c r="L698" s="91"/>
      <c r="M698" s="17" t="s">
        <v>330</v>
      </c>
      <c r="N698" s="17" t="s">
        <v>40</v>
      </c>
      <c r="O698" s="19" t="s">
        <v>50</v>
      </c>
      <c r="P698" s="19">
        <f>3500+3500</f>
        <v>7000</v>
      </c>
      <c r="Q698" s="17">
        <f>2730+445+2235+2625</f>
        <v>8035</v>
      </c>
      <c r="R698" s="17">
        <f t="shared" si="42"/>
        <v>-1035</v>
      </c>
      <c r="S698" s="17">
        <f t="shared" ref="S698:S730" si="43">2600-15</f>
        <v>2585</v>
      </c>
      <c r="T698" s="19" t="s">
        <v>42</v>
      </c>
      <c r="U698" s="102" t="s">
        <v>337</v>
      </c>
      <c r="V698" s="64">
        <v>44582</v>
      </c>
      <c r="W698" s="17" t="s">
        <v>44</v>
      </c>
      <c r="Y698" s="68">
        <v>44652</v>
      </c>
      <c r="Z698" s="17" t="s">
        <v>338</v>
      </c>
      <c r="AA698" s="17" t="s">
        <v>46</v>
      </c>
      <c r="AB698" s="17" t="s">
        <v>339</v>
      </c>
      <c r="AC698" s="66">
        <v>44706</v>
      </c>
      <c r="AD698" s="65">
        <v>1299</v>
      </c>
      <c r="AE698" s="17" t="s">
        <v>129</v>
      </c>
      <c r="AF698" s="17" t="s">
        <v>261</v>
      </c>
      <c r="AH698" s="17" t="s">
        <v>340</v>
      </c>
      <c r="AI698" s="95">
        <f t="shared" ref="AI698:AI730" si="44">242342.6/1000</f>
        <v>242.3426</v>
      </c>
    </row>
    <row r="699" s="17" customFormat="1" hidden="1" spans="1:35">
      <c r="A699" s="17" t="s">
        <v>34</v>
      </c>
      <c r="B699" s="19">
        <v>766</v>
      </c>
      <c r="C699" s="101">
        <v>44579</v>
      </c>
      <c r="D699" s="17" t="s">
        <v>35</v>
      </c>
      <c r="E699" s="17" t="s">
        <v>71</v>
      </c>
      <c r="F699" s="17" t="s">
        <v>72</v>
      </c>
      <c r="H699" s="19">
        <v>1.2379</v>
      </c>
      <c r="I699" s="19"/>
      <c r="J699" s="17" t="s">
        <v>39</v>
      </c>
      <c r="K699" s="17">
        <v>123</v>
      </c>
      <c r="L699" s="91"/>
      <c r="M699" s="17" t="s">
        <v>330</v>
      </c>
      <c r="N699" s="17" t="s">
        <v>40</v>
      </c>
      <c r="O699" s="19" t="s">
        <v>50</v>
      </c>
      <c r="P699" s="19">
        <v>3500</v>
      </c>
      <c r="Q699" s="17">
        <f>1625+1815</f>
        <v>3440</v>
      </c>
      <c r="R699" s="17">
        <f t="shared" si="42"/>
        <v>60</v>
      </c>
      <c r="S699" s="17">
        <f t="shared" si="43"/>
        <v>2585</v>
      </c>
      <c r="T699" s="19" t="s">
        <v>42</v>
      </c>
      <c r="U699" s="102" t="s">
        <v>337</v>
      </c>
      <c r="V699" s="64">
        <v>44582</v>
      </c>
      <c r="W699" s="17" t="s">
        <v>44</v>
      </c>
      <c r="Y699" s="68">
        <v>44652</v>
      </c>
      <c r="Z699" s="17" t="s">
        <v>338</v>
      </c>
      <c r="AA699" s="17" t="s">
        <v>46</v>
      </c>
      <c r="AB699" s="17" t="s">
        <v>318</v>
      </c>
      <c r="AC699" s="66">
        <v>44706</v>
      </c>
      <c r="AD699" s="65">
        <v>1300</v>
      </c>
      <c r="AE699" s="17" t="s">
        <v>129</v>
      </c>
      <c r="AF699" s="17" t="s">
        <v>261</v>
      </c>
      <c r="AH699" s="17" t="s">
        <v>340</v>
      </c>
      <c r="AI699" s="95">
        <f t="shared" si="44"/>
        <v>242.3426</v>
      </c>
    </row>
    <row r="700" s="17" customFormat="1" hidden="1" spans="1:35">
      <c r="A700" s="17" t="s">
        <v>34</v>
      </c>
      <c r="B700" s="19">
        <v>766</v>
      </c>
      <c r="C700" s="101">
        <v>44579</v>
      </c>
      <c r="D700" s="17" t="s">
        <v>35</v>
      </c>
      <c r="E700" s="17" t="s">
        <v>71</v>
      </c>
      <c r="F700" s="17" t="s">
        <v>72</v>
      </c>
      <c r="H700" s="19">
        <v>1.2379</v>
      </c>
      <c r="I700" s="19"/>
      <c r="J700" s="17" t="s">
        <v>39</v>
      </c>
      <c r="K700" s="17">
        <v>132</v>
      </c>
      <c r="L700" s="91"/>
      <c r="M700" s="17" t="s">
        <v>330</v>
      </c>
      <c r="N700" s="17" t="s">
        <v>40</v>
      </c>
      <c r="O700" s="19" t="s">
        <v>50</v>
      </c>
      <c r="P700" s="19">
        <v>3500</v>
      </c>
      <c r="Q700" s="17">
        <f>1725+1815+565</f>
        <v>4105</v>
      </c>
      <c r="R700" s="17">
        <f t="shared" si="42"/>
        <v>-605</v>
      </c>
      <c r="S700" s="17">
        <f t="shared" si="43"/>
        <v>2585</v>
      </c>
      <c r="T700" s="19" t="s">
        <v>42</v>
      </c>
      <c r="U700" s="102" t="s">
        <v>337</v>
      </c>
      <c r="V700" s="64">
        <v>44582</v>
      </c>
      <c r="W700" s="17" t="s">
        <v>44</v>
      </c>
      <c r="Y700" s="68">
        <v>44652</v>
      </c>
      <c r="Z700" s="17" t="s">
        <v>338</v>
      </c>
      <c r="AA700" s="17" t="s">
        <v>46</v>
      </c>
      <c r="AB700" s="17" t="s">
        <v>318</v>
      </c>
      <c r="AC700" s="66">
        <v>44706</v>
      </c>
      <c r="AD700" s="65">
        <v>1300</v>
      </c>
      <c r="AE700" s="17" t="s">
        <v>129</v>
      </c>
      <c r="AF700" s="17" t="s">
        <v>261</v>
      </c>
      <c r="AH700" s="17" t="s">
        <v>340</v>
      </c>
      <c r="AI700" s="95">
        <f t="shared" si="44"/>
        <v>242.3426</v>
      </c>
    </row>
    <row r="701" s="17" customFormat="1" hidden="1" spans="1:35">
      <c r="A701" s="17" t="s">
        <v>34</v>
      </c>
      <c r="B701" s="19">
        <v>766</v>
      </c>
      <c r="C701" s="101">
        <v>44579</v>
      </c>
      <c r="D701" s="17" t="s">
        <v>35</v>
      </c>
      <c r="E701" s="17" t="s">
        <v>71</v>
      </c>
      <c r="F701" s="17" t="s">
        <v>72</v>
      </c>
      <c r="H701" s="19">
        <v>1.2379</v>
      </c>
      <c r="I701" s="19"/>
      <c r="J701" s="17" t="s">
        <v>39</v>
      </c>
      <c r="K701" s="17">
        <v>142</v>
      </c>
      <c r="L701" s="91"/>
      <c r="M701" s="17" t="s">
        <v>330</v>
      </c>
      <c r="N701" s="17" t="s">
        <v>40</v>
      </c>
      <c r="O701" s="19" t="s">
        <v>50</v>
      </c>
      <c r="P701" s="19">
        <v>3500</v>
      </c>
      <c r="Q701" s="17">
        <f>660+2680</f>
        <v>3340</v>
      </c>
      <c r="R701" s="17">
        <f t="shared" si="42"/>
        <v>160</v>
      </c>
      <c r="S701" s="17">
        <f t="shared" si="43"/>
        <v>2585</v>
      </c>
      <c r="T701" s="19" t="s">
        <v>42</v>
      </c>
      <c r="U701" s="102" t="s">
        <v>337</v>
      </c>
      <c r="V701" s="64">
        <v>44582</v>
      </c>
      <c r="W701" s="17" t="s">
        <v>44</v>
      </c>
      <c r="Y701" s="68">
        <v>44652</v>
      </c>
      <c r="Z701" s="17" t="s">
        <v>338</v>
      </c>
      <c r="AA701" s="17" t="s">
        <v>46</v>
      </c>
      <c r="AB701" s="17" t="s">
        <v>339</v>
      </c>
      <c r="AC701" s="66">
        <v>44706</v>
      </c>
      <c r="AD701" s="65">
        <v>1299</v>
      </c>
      <c r="AE701" s="17" t="s">
        <v>129</v>
      </c>
      <c r="AF701" s="17" t="s">
        <v>261</v>
      </c>
      <c r="AH701" s="17" t="s">
        <v>340</v>
      </c>
      <c r="AI701" s="95">
        <f t="shared" si="44"/>
        <v>242.3426</v>
      </c>
    </row>
    <row r="702" s="17" customFormat="1" hidden="1" spans="1:35">
      <c r="A702" s="17" t="s">
        <v>34</v>
      </c>
      <c r="B702" s="19">
        <v>766</v>
      </c>
      <c r="C702" s="101">
        <v>44579</v>
      </c>
      <c r="D702" s="17" t="s">
        <v>35</v>
      </c>
      <c r="E702" s="17" t="s">
        <v>71</v>
      </c>
      <c r="F702" s="17" t="s">
        <v>72</v>
      </c>
      <c r="H702" s="19">
        <v>1.2379</v>
      </c>
      <c r="I702" s="19"/>
      <c r="J702" s="17" t="s">
        <v>39</v>
      </c>
      <c r="K702" s="17">
        <v>152</v>
      </c>
      <c r="L702" s="91"/>
      <c r="M702" s="17" t="s">
        <v>330</v>
      </c>
      <c r="N702" s="17" t="s">
        <v>40</v>
      </c>
      <c r="O702" s="19" t="s">
        <v>50</v>
      </c>
      <c r="P702" s="19">
        <v>3700</v>
      </c>
      <c r="Q702" s="17">
        <v>4120</v>
      </c>
      <c r="R702" s="17">
        <f t="shared" si="42"/>
        <v>-420</v>
      </c>
      <c r="S702" s="17">
        <f t="shared" si="43"/>
        <v>2585</v>
      </c>
      <c r="T702" s="19" t="s">
        <v>42</v>
      </c>
      <c r="U702" s="102" t="s">
        <v>337</v>
      </c>
      <c r="V702" s="64">
        <v>44582</v>
      </c>
      <c r="W702" s="17" t="s">
        <v>44</v>
      </c>
      <c r="Y702" s="68">
        <v>44652</v>
      </c>
      <c r="Z702" s="17" t="s">
        <v>338</v>
      </c>
      <c r="AA702" s="17" t="s">
        <v>46</v>
      </c>
      <c r="AB702" s="17" t="s">
        <v>339</v>
      </c>
      <c r="AC702" s="66">
        <v>44706</v>
      </c>
      <c r="AD702" s="65">
        <v>1299</v>
      </c>
      <c r="AE702" s="17" t="s">
        <v>129</v>
      </c>
      <c r="AF702" s="17" t="s">
        <v>261</v>
      </c>
      <c r="AH702" s="17" t="s">
        <v>340</v>
      </c>
      <c r="AI702" s="95">
        <f t="shared" si="44"/>
        <v>242.3426</v>
      </c>
    </row>
    <row r="703" s="17" customFormat="1" hidden="1" spans="1:35">
      <c r="A703" s="17" t="s">
        <v>34</v>
      </c>
      <c r="B703" s="19">
        <v>766</v>
      </c>
      <c r="C703" s="101">
        <v>44579</v>
      </c>
      <c r="D703" s="17" t="s">
        <v>35</v>
      </c>
      <c r="E703" s="17" t="s">
        <v>71</v>
      </c>
      <c r="F703" s="17" t="s">
        <v>72</v>
      </c>
      <c r="H703" s="19">
        <v>1.2379</v>
      </c>
      <c r="I703" s="19"/>
      <c r="J703" s="17" t="s">
        <v>39</v>
      </c>
      <c r="K703" s="17">
        <v>162</v>
      </c>
      <c r="L703" s="91"/>
      <c r="M703" s="17" t="s">
        <v>330</v>
      </c>
      <c r="N703" s="17" t="s">
        <v>40</v>
      </c>
      <c r="O703" s="19" t="s">
        <v>50</v>
      </c>
      <c r="P703" s="19">
        <v>3500</v>
      </c>
      <c r="Q703" s="17">
        <v>3190</v>
      </c>
      <c r="R703" s="17">
        <f t="shared" si="42"/>
        <v>310</v>
      </c>
      <c r="S703" s="17">
        <f t="shared" si="43"/>
        <v>2585</v>
      </c>
      <c r="T703" s="19" t="s">
        <v>42</v>
      </c>
      <c r="U703" s="102" t="s">
        <v>337</v>
      </c>
      <c r="V703" s="64">
        <v>44582</v>
      </c>
      <c r="W703" s="17" t="s">
        <v>44</v>
      </c>
      <c r="Y703" s="68">
        <v>44652</v>
      </c>
      <c r="Z703" s="17" t="s">
        <v>338</v>
      </c>
      <c r="AA703" s="17" t="s">
        <v>46</v>
      </c>
      <c r="AB703" s="17" t="s">
        <v>341</v>
      </c>
      <c r="AC703" s="66">
        <v>44651</v>
      </c>
      <c r="AD703" s="65">
        <v>1278</v>
      </c>
      <c r="AE703" s="17" t="s">
        <v>129</v>
      </c>
      <c r="AF703" s="17" t="s">
        <v>261</v>
      </c>
      <c r="AH703" s="17" t="s">
        <v>340</v>
      </c>
      <c r="AI703" s="95">
        <f t="shared" si="44"/>
        <v>242.3426</v>
      </c>
    </row>
    <row r="704" s="17" customFormat="1" hidden="1" spans="1:35">
      <c r="A704" s="17" t="s">
        <v>34</v>
      </c>
      <c r="B704" s="19">
        <v>766</v>
      </c>
      <c r="C704" s="101">
        <v>44579</v>
      </c>
      <c r="D704" s="17" t="s">
        <v>35</v>
      </c>
      <c r="E704" s="17" t="s">
        <v>71</v>
      </c>
      <c r="F704" s="17" t="s">
        <v>72</v>
      </c>
      <c r="H704" s="19">
        <v>1.2379</v>
      </c>
      <c r="I704" s="19"/>
      <c r="J704" s="17" t="s">
        <v>39</v>
      </c>
      <c r="K704" s="17">
        <v>172</v>
      </c>
      <c r="L704" s="91"/>
      <c r="M704" s="17" t="s">
        <v>330</v>
      </c>
      <c r="N704" s="17" t="s">
        <v>40</v>
      </c>
      <c r="O704" s="19" t="s">
        <v>50</v>
      </c>
      <c r="P704" s="19">
        <f>3700+3700</f>
        <v>7400</v>
      </c>
      <c r="Q704" s="17">
        <v>3320</v>
      </c>
      <c r="S704" s="17">
        <f t="shared" si="43"/>
        <v>2585</v>
      </c>
      <c r="T704" s="19" t="s">
        <v>42</v>
      </c>
      <c r="U704" s="102" t="s">
        <v>337</v>
      </c>
      <c r="V704" s="64">
        <v>44582</v>
      </c>
      <c r="W704" s="17" t="s">
        <v>44</v>
      </c>
      <c r="Y704" s="68">
        <v>44652</v>
      </c>
      <c r="Z704" s="17" t="s">
        <v>338</v>
      </c>
      <c r="AA704" s="17" t="s">
        <v>46</v>
      </c>
      <c r="AB704" s="17" t="s">
        <v>341</v>
      </c>
      <c r="AC704" s="66">
        <v>44651</v>
      </c>
      <c r="AD704" s="65">
        <v>1278</v>
      </c>
      <c r="AE704" s="17" t="s">
        <v>129</v>
      </c>
      <c r="AF704" s="17" t="s">
        <v>261</v>
      </c>
      <c r="AH704" s="17" t="s">
        <v>340</v>
      </c>
      <c r="AI704" s="95">
        <f t="shared" si="44"/>
        <v>242.3426</v>
      </c>
    </row>
    <row r="705" s="17" customFormat="1" hidden="1" spans="1:35">
      <c r="A705" s="17" t="s">
        <v>34</v>
      </c>
      <c r="B705" s="19">
        <v>766</v>
      </c>
      <c r="C705" s="101">
        <v>44579</v>
      </c>
      <c r="D705" s="17" t="s">
        <v>35</v>
      </c>
      <c r="E705" s="17" t="s">
        <v>71</v>
      </c>
      <c r="F705" s="17" t="s">
        <v>72</v>
      </c>
      <c r="H705" s="19">
        <v>1.2379</v>
      </c>
      <c r="I705" s="19"/>
      <c r="J705" s="17" t="s">
        <v>39</v>
      </c>
      <c r="K705" s="17">
        <v>172</v>
      </c>
      <c r="L705" s="91"/>
      <c r="M705" s="17" t="s">
        <v>330</v>
      </c>
      <c r="N705" s="17" t="s">
        <v>40</v>
      </c>
      <c r="O705" s="19" t="s">
        <v>50</v>
      </c>
      <c r="P705" s="19"/>
      <c r="Q705" s="17">
        <v>2460</v>
      </c>
      <c r="R705" s="17">
        <f>+P704-Q704-Q705</f>
        <v>1620</v>
      </c>
      <c r="S705" s="17">
        <f t="shared" si="43"/>
        <v>2585</v>
      </c>
      <c r="T705" s="19" t="s">
        <v>42</v>
      </c>
      <c r="U705" s="102" t="s">
        <v>337</v>
      </c>
      <c r="V705" s="64">
        <v>44582</v>
      </c>
      <c r="W705" s="17" t="s">
        <v>44</v>
      </c>
      <c r="Y705" s="68">
        <v>44652</v>
      </c>
      <c r="Z705" s="17" t="s">
        <v>338</v>
      </c>
      <c r="AA705" s="17" t="s">
        <v>46</v>
      </c>
      <c r="AB705" s="17" t="s">
        <v>342</v>
      </c>
      <c r="AC705" s="66">
        <v>44657</v>
      </c>
      <c r="AD705" s="65">
        <v>1287</v>
      </c>
      <c r="AE705" s="17" t="s">
        <v>129</v>
      </c>
      <c r="AF705" s="17" t="s">
        <v>261</v>
      </c>
      <c r="AH705" s="17" t="s">
        <v>340</v>
      </c>
      <c r="AI705" s="95">
        <f t="shared" si="44"/>
        <v>242.3426</v>
      </c>
    </row>
    <row r="706" s="17" customFormat="1" hidden="1" spans="1:35">
      <c r="A706" s="17" t="s">
        <v>34</v>
      </c>
      <c r="B706" s="19">
        <v>766</v>
      </c>
      <c r="C706" s="101">
        <v>44579</v>
      </c>
      <c r="D706" s="17" t="s">
        <v>35</v>
      </c>
      <c r="E706" s="17" t="s">
        <v>71</v>
      </c>
      <c r="F706" s="17" t="s">
        <v>72</v>
      </c>
      <c r="H706" s="19">
        <v>1.2379</v>
      </c>
      <c r="I706" s="19"/>
      <c r="J706" s="17" t="s">
        <v>39</v>
      </c>
      <c r="K706" s="17">
        <v>182</v>
      </c>
      <c r="L706" s="91"/>
      <c r="M706" s="17" t="s">
        <v>330</v>
      </c>
      <c r="N706" s="17" t="s">
        <v>40</v>
      </c>
      <c r="O706" s="19" t="s">
        <v>50</v>
      </c>
      <c r="P706" s="19">
        <v>3700</v>
      </c>
      <c r="Q706" s="17">
        <v>3550</v>
      </c>
      <c r="R706" s="17">
        <f>+P706-Q706</f>
        <v>150</v>
      </c>
      <c r="S706" s="17">
        <f t="shared" si="43"/>
        <v>2585</v>
      </c>
      <c r="T706" s="19" t="s">
        <v>42</v>
      </c>
      <c r="U706" s="102" t="s">
        <v>337</v>
      </c>
      <c r="V706" s="64">
        <v>44582</v>
      </c>
      <c r="W706" s="17" t="s">
        <v>44</v>
      </c>
      <c r="Y706" s="68">
        <v>44652</v>
      </c>
      <c r="Z706" s="17" t="s">
        <v>338</v>
      </c>
      <c r="AA706" s="17" t="s">
        <v>46</v>
      </c>
      <c r="AB706" s="17" t="s">
        <v>342</v>
      </c>
      <c r="AC706" s="66">
        <v>44657</v>
      </c>
      <c r="AD706" s="65">
        <v>1287</v>
      </c>
      <c r="AE706" s="17" t="s">
        <v>129</v>
      </c>
      <c r="AF706" s="17" t="s">
        <v>261</v>
      </c>
      <c r="AH706" s="17" t="s">
        <v>340</v>
      </c>
      <c r="AI706" s="95">
        <f t="shared" si="44"/>
        <v>242.3426</v>
      </c>
    </row>
    <row r="707" s="17" customFormat="1" hidden="1" spans="1:35">
      <c r="A707" s="17" t="s">
        <v>34</v>
      </c>
      <c r="B707" s="19">
        <v>766</v>
      </c>
      <c r="C707" s="101">
        <v>44579</v>
      </c>
      <c r="D707" s="17" t="s">
        <v>35</v>
      </c>
      <c r="E707" s="17" t="s">
        <v>71</v>
      </c>
      <c r="F707" s="17" t="s">
        <v>72</v>
      </c>
      <c r="H707" s="19">
        <v>1.2379</v>
      </c>
      <c r="I707" s="19"/>
      <c r="J707" s="17" t="s">
        <v>39</v>
      </c>
      <c r="K707" s="17">
        <v>192</v>
      </c>
      <c r="L707" s="91"/>
      <c r="M707" s="17" t="s">
        <v>330</v>
      </c>
      <c r="N707" s="17" t="s">
        <v>40</v>
      </c>
      <c r="O707" s="19" t="s">
        <v>50</v>
      </c>
      <c r="P707" s="19">
        <v>3700</v>
      </c>
      <c r="Q707" s="17">
        <v>3515</v>
      </c>
      <c r="R707" s="17">
        <f>+P707-Q707</f>
        <v>185</v>
      </c>
      <c r="S707" s="17">
        <f t="shared" si="43"/>
        <v>2585</v>
      </c>
      <c r="T707" s="19" t="s">
        <v>42</v>
      </c>
      <c r="U707" s="102" t="s">
        <v>337</v>
      </c>
      <c r="V707" s="64">
        <v>44582</v>
      </c>
      <c r="W707" s="17" t="s">
        <v>44</v>
      </c>
      <c r="Y707" s="68">
        <v>44652</v>
      </c>
      <c r="Z707" s="17" t="s">
        <v>338</v>
      </c>
      <c r="AA707" s="17" t="s">
        <v>46</v>
      </c>
      <c r="AB707" s="17" t="s">
        <v>342</v>
      </c>
      <c r="AC707" s="66">
        <v>44657</v>
      </c>
      <c r="AD707" s="65">
        <v>1287</v>
      </c>
      <c r="AE707" s="17" t="s">
        <v>129</v>
      </c>
      <c r="AF707" s="17" t="s">
        <v>261</v>
      </c>
      <c r="AH707" s="17" t="s">
        <v>340</v>
      </c>
      <c r="AI707" s="95">
        <f t="shared" si="44"/>
        <v>242.3426</v>
      </c>
    </row>
    <row r="708" s="17" customFormat="1" hidden="1" spans="1:35">
      <c r="A708" s="17" t="s">
        <v>34</v>
      </c>
      <c r="B708" s="19">
        <v>766</v>
      </c>
      <c r="C708" s="101">
        <v>44579</v>
      </c>
      <c r="D708" s="17" t="s">
        <v>35</v>
      </c>
      <c r="E708" s="17" t="s">
        <v>71</v>
      </c>
      <c r="F708" s="17" t="s">
        <v>72</v>
      </c>
      <c r="H708" s="19">
        <v>1.2379</v>
      </c>
      <c r="I708" s="19"/>
      <c r="J708" s="17" t="s">
        <v>39</v>
      </c>
      <c r="K708" s="17">
        <v>202</v>
      </c>
      <c r="L708" s="91"/>
      <c r="M708" s="17" t="s">
        <v>330</v>
      </c>
      <c r="N708" s="17" t="s">
        <v>40</v>
      </c>
      <c r="O708" s="19" t="s">
        <v>50</v>
      </c>
      <c r="P708" s="19">
        <v>4500</v>
      </c>
      <c r="Q708" s="17">
        <f>1210+1220</f>
        <v>2430</v>
      </c>
      <c r="S708" s="17">
        <f t="shared" si="43"/>
        <v>2585</v>
      </c>
      <c r="T708" s="19" t="s">
        <v>42</v>
      </c>
      <c r="U708" s="102" t="s">
        <v>337</v>
      </c>
      <c r="V708" s="64">
        <v>44582</v>
      </c>
      <c r="W708" s="17" t="s">
        <v>44</v>
      </c>
      <c r="Y708" s="68">
        <v>44652</v>
      </c>
      <c r="Z708" s="17" t="s">
        <v>338</v>
      </c>
      <c r="AA708" s="17" t="s">
        <v>46</v>
      </c>
      <c r="AB708" s="17" t="s">
        <v>343</v>
      </c>
      <c r="AC708" s="66">
        <v>44630</v>
      </c>
      <c r="AD708" s="65">
        <v>1277</v>
      </c>
      <c r="AE708" s="17" t="s">
        <v>129</v>
      </c>
      <c r="AF708" s="17" t="s">
        <v>261</v>
      </c>
      <c r="AH708" s="17" t="s">
        <v>340</v>
      </c>
      <c r="AI708" s="95">
        <f t="shared" si="44"/>
        <v>242.3426</v>
      </c>
    </row>
    <row r="709" s="17" customFormat="1" hidden="1" spans="1:35">
      <c r="A709" s="17" t="s">
        <v>34</v>
      </c>
      <c r="B709" s="19">
        <v>766</v>
      </c>
      <c r="C709" s="101">
        <v>44579</v>
      </c>
      <c r="D709" s="17" t="s">
        <v>35</v>
      </c>
      <c r="E709" s="17" t="s">
        <v>71</v>
      </c>
      <c r="F709" s="17" t="s">
        <v>72</v>
      </c>
      <c r="H709" s="19">
        <v>1.2379</v>
      </c>
      <c r="I709" s="19"/>
      <c r="J709" s="17" t="s">
        <v>39</v>
      </c>
      <c r="K709" s="17">
        <v>202</v>
      </c>
      <c r="L709" s="91"/>
      <c r="M709" s="17" t="s">
        <v>330</v>
      </c>
      <c r="N709" s="17" t="s">
        <v>40</v>
      </c>
      <c r="O709" s="19" t="s">
        <v>50</v>
      </c>
      <c r="P709" s="19"/>
      <c r="Q709" s="17">
        <f>1205+1210</f>
        <v>2415</v>
      </c>
      <c r="R709" s="17">
        <f>+P708-Q708-Q709</f>
        <v>-345</v>
      </c>
      <c r="S709" s="17">
        <f t="shared" si="43"/>
        <v>2585</v>
      </c>
      <c r="T709" s="19" t="s">
        <v>42</v>
      </c>
      <c r="U709" s="102" t="s">
        <v>337</v>
      </c>
      <c r="V709" s="64">
        <v>44582</v>
      </c>
      <c r="W709" s="17" t="s">
        <v>44</v>
      </c>
      <c r="Y709" s="68">
        <v>44652</v>
      </c>
      <c r="Z709" s="17" t="s">
        <v>338</v>
      </c>
      <c r="AA709" s="17" t="s">
        <v>46</v>
      </c>
      <c r="AB709" s="17" t="s">
        <v>342</v>
      </c>
      <c r="AC709" s="66">
        <v>44657</v>
      </c>
      <c r="AD709" s="65">
        <v>1287</v>
      </c>
      <c r="AE709" s="17" t="s">
        <v>129</v>
      </c>
      <c r="AF709" s="17" t="s">
        <v>261</v>
      </c>
      <c r="AH709" s="17" t="s">
        <v>340</v>
      </c>
      <c r="AI709" s="95">
        <f t="shared" si="44"/>
        <v>242.3426</v>
      </c>
    </row>
    <row r="710" s="17" customFormat="1" hidden="1" spans="1:35">
      <c r="A710" s="17" t="s">
        <v>34</v>
      </c>
      <c r="B710" s="19">
        <v>766</v>
      </c>
      <c r="C710" s="101">
        <v>44579</v>
      </c>
      <c r="D710" s="17" t="s">
        <v>35</v>
      </c>
      <c r="E710" s="17" t="s">
        <v>71</v>
      </c>
      <c r="F710" s="17" t="s">
        <v>72</v>
      </c>
      <c r="H710" s="19">
        <v>1.2379</v>
      </c>
      <c r="I710" s="19"/>
      <c r="J710" s="17" t="s">
        <v>39</v>
      </c>
      <c r="K710" s="17">
        <v>212</v>
      </c>
      <c r="L710" s="91"/>
      <c r="M710" s="17" t="s">
        <v>330</v>
      </c>
      <c r="N710" s="17" t="s">
        <v>40</v>
      </c>
      <c r="O710" s="19" t="s">
        <v>50</v>
      </c>
      <c r="P710" s="19">
        <v>4500</v>
      </c>
      <c r="Q710" s="17">
        <f>1230+1220</f>
        <v>2450</v>
      </c>
      <c r="S710" s="17">
        <f t="shared" si="43"/>
        <v>2585</v>
      </c>
      <c r="T710" s="19" t="s">
        <v>42</v>
      </c>
      <c r="U710" s="102" t="s">
        <v>337</v>
      </c>
      <c r="V710" s="64">
        <v>44582</v>
      </c>
      <c r="W710" s="17" t="s">
        <v>44</v>
      </c>
      <c r="Y710" s="68">
        <v>44652</v>
      </c>
      <c r="Z710" s="17" t="s">
        <v>338</v>
      </c>
      <c r="AA710" s="17" t="s">
        <v>46</v>
      </c>
      <c r="AB710" s="17" t="s">
        <v>343</v>
      </c>
      <c r="AC710" s="66">
        <v>44630</v>
      </c>
      <c r="AD710" s="65">
        <v>1277</v>
      </c>
      <c r="AE710" s="17" t="s">
        <v>129</v>
      </c>
      <c r="AF710" s="17" t="s">
        <v>261</v>
      </c>
      <c r="AH710" s="17" t="s">
        <v>340</v>
      </c>
      <c r="AI710" s="95">
        <f t="shared" si="44"/>
        <v>242.3426</v>
      </c>
    </row>
    <row r="711" s="17" customFormat="1" hidden="1" spans="1:35">
      <c r="A711" s="17" t="s">
        <v>34</v>
      </c>
      <c r="B711" s="19">
        <v>766</v>
      </c>
      <c r="C711" s="101">
        <v>44579</v>
      </c>
      <c r="D711" s="17" t="s">
        <v>35</v>
      </c>
      <c r="E711" s="17" t="s">
        <v>71</v>
      </c>
      <c r="F711" s="17" t="s">
        <v>72</v>
      </c>
      <c r="H711" s="19">
        <v>1.2379</v>
      </c>
      <c r="I711" s="19"/>
      <c r="J711" s="17" t="s">
        <v>39</v>
      </c>
      <c r="K711" s="17">
        <v>212</v>
      </c>
      <c r="L711" s="91"/>
      <c r="M711" s="17" t="s">
        <v>330</v>
      </c>
      <c r="N711" s="17" t="s">
        <v>40</v>
      </c>
      <c r="O711" s="19" t="s">
        <v>50</v>
      </c>
      <c r="P711" s="19"/>
      <c r="Q711" s="17">
        <f>1260+1255</f>
        <v>2515</v>
      </c>
      <c r="R711" s="17">
        <f>+P710-Q710-Q711</f>
        <v>-465</v>
      </c>
      <c r="S711" s="17">
        <f t="shared" si="43"/>
        <v>2585</v>
      </c>
      <c r="T711" s="19" t="s">
        <v>42</v>
      </c>
      <c r="U711" s="102" t="s">
        <v>337</v>
      </c>
      <c r="V711" s="64">
        <v>44582</v>
      </c>
      <c r="W711" s="17" t="s">
        <v>44</v>
      </c>
      <c r="Y711" s="68">
        <v>44652</v>
      </c>
      <c r="Z711" s="17" t="s">
        <v>338</v>
      </c>
      <c r="AA711" s="17" t="s">
        <v>46</v>
      </c>
      <c r="AB711" s="17" t="s">
        <v>341</v>
      </c>
      <c r="AC711" s="66">
        <v>44651</v>
      </c>
      <c r="AD711" s="65">
        <v>1278</v>
      </c>
      <c r="AE711" s="17" t="s">
        <v>129</v>
      </c>
      <c r="AF711" s="17" t="s">
        <v>261</v>
      </c>
      <c r="AH711" s="17" t="s">
        <v>340</v>
      </c>
      <c r="AI711" s="95">
        <f t="shared" si="44"/>
        <v>242.3426</v>
      </c>
    </row>
    <row r="712" s="17" customFormat="1" hidden="1" spans="1:35">
      <c r="A712" s="17" t="s">
        <v>34</v>
      </c>
      <c r="B712" s="19">
        <v>766</v>
      </c>
      <c r="C712" s="101">
        <v>44579</v>
      </c>
      <c r="D712" s="17" t="s">
        <v>35</v>
      </c>
      <c r="E712" s="17" t="s">
        <v>71</v>
      </c>
      <c r="F712" s="17" t="s">
        <v>72</v>
      </c>
      <c r="H712" s="19">
        <v>1.2379</v>
      </c>
      <c r="I712" s="19"/>
      <c r="J712" s="17" t="s">
        <v>39</v>
      </c>
      <c r="K712" s="17">
        <v>222</v>
      </c>
      <c r="L712" s="91"/>
      <c r="M712" s="17" t="s">
        <v>330</v>
      </c>
      <c r="N712" s="17" t="s">
        <v>40</v>
      </c>
      <c r="O712" s="19" t="s">
        <v>50</v>
      </c>
      <c r="P712" s="19">
        <v>3000</v>
      </c>
      <c r="Q712" s="17">
        <f>1530+1200</f>
        <v>2730</v>
      </c>
      <c r="R712" s="17">
        <f>+P712-Q712</f>
        <v>270</v>
      </c>
      <c r="S712" s="17">
        <f t="shared" si="43"/>
        <v>2585</v>
      </c>
      <c r="T712" s="19" t="s">
        <v>42</v>
      </c>
      <c r="U712" s="102" t="s">
        <v>337</v>
      </c>
      <c r="V712" s="64">
        <v>44582</v>
      </c>
      <c r="W712" s="17" t="s">
        <v>44</v>
      </c>
      <c r="Y712" s="68">
        <v>44652</v>
      </c>
      <c r="Z712" s="17" t="s">
        <v>338</v>
      </c>
      <c r="AA712" s="17" t="s">
        <v>46</v>
      </c>
      <c r="AB712" s="17" t="s">
        <v>343</v>
      </c>
      <c r="AC712" s="66">
        <v>44630</v>
      </c>
      <c r="AD712" s="65">
        <v>1277</v>
      </c>
      <c r="AE712" s="17" t="s">
        <v>129</v>
      </c>
      <c r="AF712" s="17" t="s">
        <v>261</v>
      </c>
      <c r="AH712" s="17" t="s">
        <v>340</v>
      </c>
      <c r="AI712" s="95">
        <f t="shared" si="44"/>
        <v>242.3426</v>
      </c>
    </row>
    <row r="713" s="17" customFormat="1" hidden="1" spans="1:35">
      <c r="A713" s="17" t="s">
        <v>34</v>
      </c>
      <c r="B713" s="19">
        <v>766</v>
      </c>
      <c r="C713" s="101">
        <v>44579</v>
      </c>
      <c r="D713" s="17" t="s">
        <v>35</v>
      </c>
      <c r="E713" s="17" t="s">
        <v>71</v>
      </c>
      <c r="F713" s="17" t="s">
        <v>72</v>
      </c>
      <c r="H713" s="19">
        <v>1.2379</v>
      </c>
      <c r="I713" s="19"/>
      <c r="J713" s="17" t="s">
        <v>39</v>
      </c>
      <c r="K713" s="17">
        <v>232</v>
      </c>
      <c r="L713" s="91"/>
      <c r="M713" s="17" t="s">
        <v>330</v>
      </c>
      <c r="N713" s="17" t="s">
        <v>40</v>
      </c>
      <c r="O713" s="19" t="s">
        <v>50</v>
      </c>
      <c r="P713" s="19">
        <v>4800</v>
      </c>
      <c r="Q713" s="17">
        <f>1580+1580</f>
        <v>3160</v>
      </c>
      <c r="S713" s="17">
        <f t="shared" si="43"/>
        <v>2585</v>
      </c>
      <c r="T713" s="19" t="s">
        <v>42</v>
      </c>
      <c r="U713" s="102" t="s">
        <v>337</v>
      </c>
      <c r="V713" s="64">
        <v>44582</v>
      </c>
      <c r="W713" s="17" t="s">
        <v>44</v>
      </c>
      <c r="Y713" s="68">
        <v>44652</v>
      </c>
      <c r="Z713" s="17" t="s">
        <v>338</v>
      </c>
      <c r="AA713" s="17" t="s">
        <v>46</v>
      </c>
      <c r="AB713" s="17" t="s">
        <v>343</v>
      </c>
      <c r="AC713" s="66">
        <v>44630</v>
      </c>
      <c r="AD713" s="65">
        <v>1277</v>
      </c>
      <c r="AE713" s="17" t="s">
        <v>129</v>
      </c>
      <c r="AF713" s="17" t="s">
        <v>261</v>
      </c>
      <c r="AH713" s="17" t="s">
        <v>340</v>
      </c>
      <c r="AI713" s="95">
        <f t="shared" si="44"/>
        <v>242.3426</v>
      </c>
    </row>
    <row r="714" s="17" customFormat="1" hidden="1" spans="1:35">
      <c r="A714" s="17" t="s">
        <v>34</v>
      </c>
      <c r="B714" s="19">
        <v>766</v>
      </c>
      <c r="C714" s="101">
        <v>44579</v>
      </c>
      <c r="D714" s="17" t="s">
        <v>35</v>
      </c>
      <c r="E714" s="17" t="s">
        <v>71</v>
      </c>
      <c r="F714" s="17" t="s">
        <v>72</v>
      </c>
      <c r="H714" s="19">
        <v>1.2379</v>
      </c>
      <c r="I714" s="19"/>
      <c r="J714" s="17" t="s">
        <v>39</v>
      </c>
      <c r="K714" s="17">
        <v>232</v>
      </c>
      <c r="L714" s="91"/>
      <c r="M714" s="17" t="s">
        <v>330</v>
      </c>
      <c r="N714" s="17" t="s">
        <v>40</v>
      </c>
      <c r="O714" s="19" t="s">
        <v>50</v>
      </c>
      <c r="P714" s="19"/>
      <c r="Q714" s="17">
        <f>1505+1435</f>
        <v>2940</v>
      </c>
      <c r="R714" s="17">
        <f>+P713-Q713-Q714</f>
        <v>-1300</v>
      </c>
      <c r="S714" s="17">
        <f t="shared" si="43"/>
        <v>2585</v>
      </c>
      <c r="T714" s="19" t="s">
        <v>42</v>
      </c>
      <c r="U714" s="102" t="s">
        <v>337</v>
      </c>
      <c r="V714" s="64">
        <v>44582</v>
      </c>
      <c r="W714" s="17" t="s">
        <v>44</v>
      </c>
      <c r="Y714" s="68">
        <v>44652</v>
      </c>
      <c r="Z714" s="17" t="s">
        <v>338</v>
      </c>
      <c r="AA714" s="17" t="s">
        <v>46</v>
      </c>
      <c r="AB714" s="17" t="s">
        <v>341</v>
      </c>
      <c r="AC714" s="66">
        <v>44651</v>
      </c>
      <c r="AD714" s="65">
        <v>1278</v>
      </c>
      <c r="AE714" s="17" t="s">
        <v>129</v>
      </c>
      <c r="AF714" s="17" t="s">
        <v>261</v>
      </c>
      <c r="AH714" s="17" t="s">
        <v>340</v>
      </c>
      <c r="AI714" s="95">
        <f t="shared" si="44"/>
        <v>242.3426</v>
      </c>
    </row>
    <row r="715" s="17" customFormat="1" hidden="1" spans="1:35">
      <c r="A715" s="17" t="s">
        <v>34</v>
      </c>
      <c r="B715" s="19">
        <v>766</v>
      </c>
      <c r="C715" s="101">
        <v>44579</v>
      </c>
      <c r="D715" s="17" t="s">
        <v>35</v>
      </c>
      <c r="E715" s="17" t="s">
        <v>71</v>
      </c>
      <c r="F715" s="17" t="s">
        <v>72</v>
      </c>
      <c r="H715" s="19">
        <v>1.2379</v>
      </c>
      <c r="I715" s="19"/>
      <c r="J715" s="17" t="s">
        <v>39</v>
      </c>
      <c r="K715" s="17">
        <v>242</v>
      </c>
      <c r="L715" s="91"/>
      <c r="M715" s="17" t="s">
        <v>330</v>
      </c>
      <c r="N715" s="17" t="s">
        <v>40</v>
      </c>
      <c r="O715" s="19" t="s">
        <v>50</v>
      </c>
      <c r="P715" s="19">
        <v>4800</v>
      </c>
      <c r="Q715" s="17">
        <v>1515</v>
      </c>
      <c r="S715" s="17">
        <f t="shared" si="43"/>
        <v>2585</v>
      </c>
      <c r="T715" s="19" t="s">
        <v>42</v>
      </c>
      <c r="U715" s="102" t="s">
        <v>337</v>
      </c>
      <c r="V715" s="64">
        <v>44582</v>
      </c>
      <c r="W715" s="17" t="s">
        <v>44</v>
      </c>
      <c r="Y715" s="68">
        <v>44652</v>
      </c>
      <c r="Z715" s="17" t="s">
        <v>338</v>
      </c>
      <c r="AA715" s="17" t="s">
        <v>46</v>
      </c>
      <c r="AB715" s="17" t="s">
        <v>343</v>
      </c>
      <c r="AC715" s="66">
        <v>44630</v>
      </c>
      <c r="AD715" s="65">
        <v>1277</v>
      </c>
      <c r="AE715" s="17" t="s">
        <v>129</v>
      </c>
      <c r="AF715" s="17" t="s">
        <v>261</v>
      </c>
      <c r="AH715" s="17" t="s">
        <v>340</v>
      </c>
      <c r="AI715" s="95">
        <f t="shared" si="44"/>
        <v>242.3426</v>
      </c>
    </row>
    <row r="716" s="17" customFormat="1" hidden="1" spans="1:35">
      <c r="A716" s="17" t="s">
        <v>34</v>
      </c>
      <c r="B716" s="19">
        <v>766</v>
      </c>
      <c r="C716" s="101">
        <v>44579</v>
      </c>
      <c r="D716" s="17" t="s">
        <v>35</v>
      </c>
      <c r="E716" s="17" t="s">
        <v>71</v>
      </c>
      <c r="F716" s="17" t="s">
        <v>72</v>
      </c>
      <c r="H716" s="19">
        <v>1.2379</v>
      </c>
      <c r="I716" s="19"/>
      <c r="J716" s="17" t="s">
        <v>39</v>
      </c>
      <c r="K716" s="17">
        <v>242</v>
      </c>
      <c r="L716" s="91"/>
      <c r="M716" s="17" t="s">
        <v>330</v>
      </c>
      <c r="N716" s="17" t="s">
        <v>40</v>
      </c>
      <c r="O716" s="19" t="s">
        <v>50</v>
      </c>
      <c r="P716" s="19"/>
      <c r="Q716" s="17">
        <f>1530+1515</f>
        <v>3045</v>
      </c>
      <c r="S716" s="17">
        <f t="shared" si="43"/>
        <v>2585</v>
      </c>
      <c r="T716" s="19" t="s">
        <v>42</v>
      </c>
      <c r="U716" s="102" t="s">
        <v>337</v>
      </c>
      <c r="V716" s="64">
        <v>44582</v>
      </c>
      <c r="W716" s="17" t="s">
        <v>44</v>
      </c>
      <c r="Y716" s="68">
        <v>44652</v>
      </c>
      <c r="Z716" s="17" t="s">
        <v>338</v>
      </c>
      <c r="AA716" s="17" t="s">
        <v>46</v>
      </c>
      <c r="AB716" s="17" t="s">
        <v>341</v>
      </c>
      <c r="AC716" s="66">
        <v>44651</v>
      </c>
      <c r="AD716" s="65">
        <v>1278</v>
      </c>
      <c r="AE716" s="17" t="s">
        <v>129</v>
      </c>
      <c r="AF716" s="17" t="s">
        <v>261</v>
      </c>
      <c r="AH716" s="17" t="s">
        <v>340</v>
      </c>
      <c r="AI716" s="95">
        <f t="shared" si="44"/>
        <v>242.3426</v>
      </c>
    </row>
    <row r="717" s="17" customFormat="1" hidden="1" spans="1:35">
      <c r="A717" s="17" t="s">
        <v>34</v>
      </c>
      <c r="B717" s="19">
        <v>766</v>
      </c>
      <c r="C717" s="101">
        <v>44579</v>
      </c>
      <c r="D717" s="17" t="s">
        <v>35</v>
      </c>
      <c r="E717" s="17" t="s">
        <v>71</v>
      </c>
      <c r="F717" s="17" t="s">
        <v>72</v>
      </c>
      <c r="H717" s="19">
        <v>1.2379</v>
      </c>
      <c r="I717" s="19"/>
      <c r="J717" s="17" t="s">
        <v>39</v>
      </c>
      <c r="K717" s="17">
        <v>242</v>
      </c>
      <c r="L717" s="91"/>
      <c r="M717" s="17" t="s">
        <v>330</v>
      </c>
      <c r="N717" s="17" t="s">
        <v>40</v>
      </c>
      <c r="O717" s="19" t="s">
        <v>50</v>
      </c>
      <c r="P717" s="19"/>
      <c r="Q717" s="17">
        <v>1540</v>
      </c>
      <c r="R717" s="17">
        <f>+P715-Q715-Q716-Q717</f>
        <v>-1300</v>
      </c>
      <c r="S717" s="17">
        <f t="shared" si="43"/>
        <v>2585</v>
      </c>
      <c r="T717" s="19" t="s">
        <v>42</v>
      </c>
      <c r="U717" s="102" t="s">
        <v>337</v>
      </c>
      <c r="V717" s="64">
        <v>44582</v>
      </c>
      <c r="W717" s="17" t="s">
        <v>44</v>
      </c>
      <c r="Y717" s="68">
        <v>44652</v>
      </c>
      <c r="Z717" s="17" t="s">
        <v>338</v>
      </c>
      <c r="AA717" s="17" t="s">
        <v>46</v>
      </c>
      <c r="AB717" s="17" t="s">
        <v>342</v>
      </c>
      <c r="AC717" s="66">
        <v>44657</v>
      </c>
      <c r="AD717" s="65">
        <v>1287</v>
      </c>
      <c r="AE717" s="17" t="s">
        <v>129</v>
      </c>
      <c r="AF717" s="17" t="s">
        <v>261</v>
      </c>
      <c r="AH717" s="17" t="s">
        <v>340</v>
      </c>
      <c r="AI717" s="95">
        <f t="shared" si="44"/>
        <v>242.3426</v>
      </c>
    </row>
    <row r="718" s="17" customFormat="1" hidden="1" spans="1:35">
      <c r="A718" s="17" t="s">
        <v>34</v>
      </c>
      <c r="B718" s="19">
        <v>766</v>
      </c>
      <c r="C718" s="101">
        <v>44579</v>
      </c>
      <c r="D718" s="17" t="s">
        <v>35</v>
      </c>
      <c r="E718" s="17" t="s">
        <v>71</v>
      </c>
      <c r="F718" s="17" t="s">
        <v>72</v>
      </c>
      <c r="H718" s="19">
        <v>1.2379</v>
      </c>
      <c r="I718" s="19"/>
      <c r="J718" s="17" t="s">
        <v>39</v>
      </c>
      <c r="K718" s="17">
        <v>252</v>
      </c>
      <c r="L718" s="91"/>
      <c r="M718" s="17" t="s">
        <v>330</v>
      </c>
      <c r="N718" s="17" t="s">
        <v>40</v>
      </c>
      <c r="O718" s="19" t="s">
        <v>50</v>
      </c>
      <c r="P718" s="19">
        <v>4800</v>
      </c>
      <c r="Q718" s="17">
        <v>2115</v>
      </c>
      <c r="S718" s="17">
        <f t="shared" si="43"/>
        <v>2585</v>
      </c>
      <c r="T718" s="19" t="s">
        <v>42</v>
      </c>
      <c r="U718" s="102" t="s">
        <v>337</v>
      </c>
      <c r="V718" s="64">
        <v>44582</v>
      </c>
      <c r="W718" s="17" t="s">
        <v>44</v>
      </c>
      <c r="Y718" s="68">
        <v>44652</v>
      </c>
      <c r="Z718" s="17" t="s">
        <v>338</v>
      </c>
      <c r="AA718" s="17" t="s">
        <v>46</v>
      </c>
      <c r="AB718" s="17" t="s">
        <v>341</v>
      </c>
      <c r="AC718" s="66">
        <v>44651</v>
      </c>
      <c r="AD718" s="65">
        <v>1278</v>
      </c>
      <c r="AE718" s="17" t="s">
        <v>129</v>
      </c>
      <c r="AF718" s="17" t="s">
        <v>261</v>
      </c>
      <c r="AH718" s="17" t="s">
        <v>340</v>
      </c>
      <c r="AI718" s="95">
        <f t="shared" si="44"/>
        <v>242.3426</v>
      </c>
    </row>
    <row r="719" s="17" customFormat="1" hidden="1" spans="1:35">
      <c r="A719" s="17" t="s">
        <v>34</v>
      </c>
      <c r="B719" s="19">
        <v>766</v>
      </c>
      <c r="C719" s="101">
        <v>44579</v>
      </c>
      <c r="D719" s="17" t="s">
        <v>35</v>
      </c>
      <c r="E719" s="17" t="s">
        <v>71</v>
      </c>
      <c r="F719" s="17" t="s">
        <v>72</v>
      </c>
      <c r="H719" s="19">
        <v>1.2379</v>
      </c>
      <c r="I719" s="19"/>
      <c r="J719" s="17" t="s">
        <v>39</v>
      </c>
      <c r="K719" s="17">
        <v>252</v>
      </c>
      <c r="L719" s="91"/>
      <c r="M719" s="17" t="s">
        <v>330</v>
      </c>
      <c r="N719" s="17" t="s">
        <v>40</v>
      </c>
      <c r="O719" s="19" t="s">
        <v>50</v>
      </c>
      <c r="P719" s="19"/>
      <c r="Q719" s="17">
        <v>2090</v>
      </c>
      <c r="R719" s="17">
        <f>+P718-Q718-Q719</f>
        <v>595</v>
      </c>
      <c r="S719" s="17">
        <f t="shared" si="43"/>
        <v>2585</v>
      </c>
      <c r="T719" s="19" t="s">
        <v>42</v>
      </c>
      <c r="U719" s="102" t="s">
        <v>337</v>
      </c>
      <c r="V719" s="64">
        <v>44582</v>
      </c>
      <c r="W719" s="17" t="s">
        <v>44</v>
      </c>
      <c r="Y719" s="68">
        <v>44652</v>
      </c>
      <c r="Z719" s="17" t="s">
        <v>338</v>
      </c>
      <c r="AA719" s="17" t="s">
        <v>46</v>
      </c>
      <c r="AB719" s="17" t="s">
        <v>342</v>
      </c>
      <c r="AC719" s="66">
        <v>44657</v>
      </c>
      <c r="AD719" s="65">
        <v>1287</v>
      </c>
      <c r="AE719" s="17" t="s">
        <v>129</v>
      </c>
      <c r="AF719" s="17" t="s">
        <v>261</v>
      </c>
      <c r="AH719" s="17" t="s">
        <v>340</v>
      </c>
      <c r="AI719" s="95">
        <f t="shared" si="44"/>
        <v>242.3426</v>
      </c>
    </row>
    <row r="720" s="17" customFormat="1" hidden="1" spans="1:35">
      <c r="A720" s="17" t="s">
        <v>34</v>
      </c>
      <c r="B720" s="19">
        <v>766</v>
      </c>
      <c r="C720" s="101">
        <v>44579</v>
      </c>
      <c r="D720" s="17" t="s">
        <v>35</v>
      </c>
      <c r="E720" s="17" t="s">
        <v>71</v>
      </c>
      <c r="F720" s="17" t="s">
        <v>72</v>
      </c>
      <c r="H720" s="19">
        <v>1.2379</v>
      </c>
      <c r="I720" s="19"/>
      <c r="J720" s="17" t="s">
        <v>39</v>
      </c>
      <c r="K720" s="17">
        <v>262</v>
      </c>
      <c r="L720" s="91"/>
      <c r="M720" s="17" t="s">
        <v>330</v>
      </c>
      <c r="N720" s="17" t="s">
        <v>40</v>
      </c>
      <c r="O720" s="19" t="s">
        <v>50</v>
      </c>
      <c r="P720" s="19">
        <v>4800</v>
      </c>
      <c r="Q720" s="17">
        <v>2075</v>
      </c>
      <c r="S720" s="17">
        <f t="shared" si="43"/>
        <v>2585</v>
      </c>
      <c r="T720" s="19" t="s">
        <v>42</v>
      </c>
      <c r="U720" s="102" t="s">
        <v>337</v>
      </c>
      <c r="V720" s="64">
        <v>44582</v>
      </c>
      <c r="W720" s="17" t="s">
        <v>44</v>
      </c>
      <c r="Y720" s="68">
        <v>44652</v>
      </c>
      <c r="Z720" s="17" t="s">
        <v>338</v>
      </c>
      <c r="AA720" s="17" t="s">
        <v>46</v>
      </c>
      <c r="AB720" s="17" t="s">
        <v>343</v>
      </c>
      <c r="AC720" s="66">
        <v>44630</v>
      </c>
      <c r="AD720" s="65">
        <v>1277</v>
      </c>
      <c r="AE720" s="17" t="s">
        <v>129</v>
      </c>
      <c r="AF720" s="17" t="s">
        <v>261</v>
      </c>
      <c r="AH720" s="17" t="s">
        <v>340</v>
      </c>
      <c r="AI720" s="95">
        <f t="shared" si="44"/>
        <v>242.3426</v>
      </c>
    </row>
    <row r="721" s="17" customFormat="1" hidden="1" spans="1:36">
      <c r="A721" s="17" t="s">
        <v>34</v>
      </c>
      <c r="B721" s="19">
        <v>766</v>
      </c>
      <c r="C721" s="101">
        <v>44579</v>
      </c>
      <c r="D721" s="17" t="s">
        <v>35</v>
      </c>
      <c r="E721" s="17" t="s">
        <v>71</v>
      </c>
      <c r="F721" s="17" t="s">
        <v>72</v>
      </c>
      <c r="H721" s="19">
        <v>1.2379</v>
      </c>
      <c r="I721" s="19"/>
      <c r="J721" s="17" t="s">
        <v>39</v>
      </c>
      <c r="K721" s="17">
        <v>262</v>
      </c>
      <c r="L721" s="91"/>
      <c r="M721" s="17" t="s">
        <v>330</v>
      </c>
      <c r="N721" s="17" t="s">
        <v>40</v>
      </c>
      <c r="O721" s="19" t="s">
        <v>50</v>
      </c>
      <c r="P721" s="19"/>
      <c r="Q721" s="17">
        <v>2055</v>
      </c>
      <c r="R721" s="17">
        <f>+P720-Q720-Q721</f>
        <v>670</v>
      </c>
      <c r="S721" s="17">
        <f t="shared" si="43"/>
        <v>2585</v>
      </c>
      <c r="T721" s="19" t="s">
        <v>42</v>
      </c>
      <c r="U721" s="102" t="s">
        <v>337</v>
      </c>
      <c r="V721" s="64">
        <v>44582</v>
      </c>
      <c r="W721" s="17" t="s">
        <v>44</v>
      </c>
      <c r="Y721" s="68">
        <v>44652</v>
      </c>
      <c r="Z721" s="17" t="s">
        <v>338</v>
      </c>
      <c r="AA721" s="17" t="s">
        <v>46</v>
      </c>
      <c r="AB721" s="17" t="s">
        <v>342</v>
      </c>
      <c r="AC721" s="66">
        <v>44657</v>
      </c>
      <c r="AD721" s="65">
        <v>1287</v>
      </c>
      <c r="AE721" s="17" t="s">
        <v>129</v>
      </c>
      <c r="AF721" s="17" t="s">
        <v>261</v>
      </c>
      <c r="AH721" s="17" t="s">
        <v>340</v>
      </c>
      <c r="AI721" s="95">
        <f t="shared" si="44"/>
        <v>242.3426</v>
      </c>
    </row>
    <row r="722" s="17" customFormat="1" hidden="1" spans="1:36">
      <c r="A722" s="17" t="s">
        <v>34</v>
      </c>
      <c r="B722" s="19">
        <v>766</v>
      </c>
      <c r="C722" s="101">
        <v>44579</v>
      </c>
      <c r="D722" s="17" t="s">
        <v>35</v>
      </c>
      <c r="E722" s="17" t="s">
        <v>71</v>
      </c>
      <c r="F722" s="17" t="s">
        <v>72</v>
      </c>
      <c r="H722" s="19">
        <v>1.2379</v>
      </c>
      <c r="I722" s="19"/>
      <c r="J722" s="17" t="s">
        <v>39</v>
      </c>
      <c r="K722" s="17">
        <v>302</v>
      </c>
      <c r="L722" s="91"/>
      <c r="M722" s="17" t="s">
        <v>330</v>
      </c>
      <c r="N722" s="17" t="s">
        <v>40</v>
      </c>
      <c r="O722" s="19" t="s">
        <v>50</v>
      </c>
      <c r="P722" s="19">
        <v>4800</v>
      </c>
      <c r="Q722" s="17">
        <v>2840</v>
      </c>
      <c r="S722" s="17">
        <f t="shared" si="43"/>
        <v>2585</v>
      </c>
      <c r="T722" s="19" t="s">
        <v>42</v>
      </c>
      <c r="U722" s="102" t="s">
        <v>337</v>
      </c>
      <c r="V722" s="64">
        <v>44582</v>
      </c>
      <c r="W722" s="17" t="s">
        <v>44</v>
      </c>
      <c r="Y722" s="68">
        <v>44652</v>
      </c>
      <c r="Z722" s="17" t="s">
        <v>338</v>
      </c>
      <c r="AA722" s="17" t="s">
        <v>46</v>
      </c>
      <c r="AB722" s="17" t="s">
        <v>343</v>
      </c>
      <c r="AC722" s="66">
        <v>44630</v>
      </c>
      <c r="AD722" s="65">
        <v>1277</v>
      </c>
      <c r="AE722" s="17" t="s">
        <v>129</v>
      </c>
      <c r="AF722" s="17" t="s">
        <v>261</v>
      </c>
      <c r="AH722" s="17" t="s">
        <v>340</v>
      </c>
      <c r="AI722" s="95">
        <f t="shared" si="44"/>
        <v>242.3426</v>
      </c>
    </row>
    <row r="723" s="17" customFormat="1" hidden="1" spans="1:36">
      <c r="A723" s="17" t="s">
        <v>34</v>
      </c>
      <c r="B723" s="19">
        <v>766</v>
      </c>
      <c r="C723" s="101">
        <v>44579</v>
      </c>
      <c r="D723" s="17" t="s">
        <v>35</v>
      </c>
      <c r="E723" s="17" t="s">
        <v>71</v>
      </c>
      <c r="F723" s="17" t="s">
        <v>72</v>
      </c>
      <c r="H723" s="19">
        <v>1.2379</v>
      </c>
      <c r="I723" s="19"/>
      <c r="J723" s="17" t="s">
        <v>39</v>
      </c>
      <c r="K723" s="17">
        <v>302</v>
      </c>
      <c r="L723" s="91"/>
      <c r="M723" s="17" t="s">
        <v>330</v>
      </c>
      <c r="N723" s="17" t="s">
        <v>40</v>
      </c>
      <c r="O723" s="19" t="s">
        <v>50</v>
      </c>
      <c r="P723" s="19"/>
      <c r="Q723" s="17">
        <v>2910</v>
      </c>
      <c r="R723" s="17">
        <f>+P722-Q722-Q723</f>
        <v>-950</v>
      </c>
      <c r="S723" s="17">
        <f t="shared" si="43"/>
        <v>2585</v>
      </c>
      <c r="T723" s="19" t="s">
        <v>42</v>
      </c>
      <c r="U723" s="102" t="s">
        <v>337</v>
      </c>
      <c r="V723" s="64">
        <v>44582</v>
      </c>
      <c r="W723" s="17" t="s">
        <v>44</v>
      </c>
      <c r="Y723" s="68">
        <v>44652</v>
      </c>
      <c r="Z723" s="17" t="s">
        <v>338</v>
      </c>
      <c r="AA723" s="17" t="s">
        <v>46</v>
      </c>
      <c r="AB723" s="17" t="s">
        <v>342</v>
      </c>
      <c r="AC723" s="66">
        <v>44657</v>
      </c>
      <c r="AD723" s="65">
        <v>1287</v>
      </c>
      <c r="AE723" s="17" t="s">
        <v>129</v>
      </c>
      <c r="AF723" s="17" t="s">
        <v>261</v>
      </c>
      <c r="AH723" s="17" t="s">
        <v>340</v>
      </c>
      <c r="AI723" s="95">
        <f t="shared" si="44"/>
        <v>242.3426</v>
      </c>
    </row>
    <row r="724" s="17" customFormat="1" hidden="1" spans="1:36">
      <c r="A724" s="17" t="s">
        <v>34</v>
      </c>
      <c r="B724" s="19">
        <v>766</v>
      </c>
      <c r="C724" s="101">
        <v>44579</v>
      </c>
      <c r="D724" s="17" t="s">
        <v>35</v>
      </c>
      <c r="E724" s="17" t="s">
        <v>71</v>
      </c>
      <c r="F724" s="17" t="s">
        <v>72</v>
      </c>
      <c r="H724" s="19">
        <v>1.2379</v>
      </c>
      <c r="I724" s="19"/>
      <c r="J724" s="17" t="s">
        <v>39</v>
      </c>
      <c r="K724" s="17">
        <v>332</v>
      </c>
      <c r="L724" s="91"/>
      <c r="M724" s="17" t="s">
        <v>330</v>
      </c>
      <c r="N724" s="17" t="s">
        <v>40</v>
      </c>
      <c r="O724" s="19" t="s">
        <v>50</v>
      </c>
      <c r="P724" s="19">
        <v>6000</v>
      </c>
      <c r="Q724" s="17">
        <v>3185</v>
      </c>
      <c r="S724" s="17">
        <f t="shared" si="43"/>
        <v>2585</v>
      </c>
      <c r="T724" s="19" t="s">
        <v>42</v>
      </c>
      <c r="U724" s="102" t="s">
        <v>337</v>
      </c>
      <c r="V724" s="64">
        <v>44582</v>
      </c>
      <c r="W724" s="17" t="s">
        <v>44</v>
      </c>
      <c r="Y724" s="68">
        <v>44652</v>
      </c>
      <c r="Z724" s="17" t="s">
        <v>338</v>
      </c>
      <c r="AA724" s="17" t="s">
        <v>46</v>
      </c>
      <c r="AB724" s="17" t="s">
        <v>341</v>
      </c>
      <c r="AC724" s="66">
        <v>44651</v>
      </c>
      <c r="AD724" s="65">
        <v>1278</v>
      </c>
      <c r="AE724" s="17" t="s">
        <v>129</v>
      </c>
      <c r="AF724" s="17" t="s">
        <v>261</v>
      </c>
      <c r="AH724" s="17" t="s">
        <v>340</v>
      </c>
      <c r="AI724" s="95">
        <f t="shared" si="44"/>
        <v>242.3426</v>
      </c>
    </row>
    <row r="725" s="17" customFormat="1" hidden="1" spans="1:36">
      <c r="A725" s="17" t="s">
        <v>34</v>
      </c>
      <c r="B725" s="19">
        <v>766</v>
      </c>
      <c r="C725" s="101">
        <v>44579</v>
      </c>
      <c r="D725" s="17" t="s">
        <v>35</v>
      </c>
      <c r="E725" s="17" t="s">
        <v>71</v>
      </c>
      <c r="F725" s="17" t="s">
        <v>72</v>
      </c>
      <c r="H725" s="19">
        <v>1.2379</v>
      </c>
      <c r="I725" s="19"/>
      <c r="J725" s="17" t="s">
        <v>39</v>
      </c>
      <c r="K725" s="17">
        <v>332</v>
      </c>
      <c r="L725" s="91"/>
      <c r="M725" s="17" t="s">
        <v>330</v>
      </c>
      <c r="N725" s="17" t="s">
        <v>40</v>
      </c>
      <c r="O725" s="19" t="s">
        <v>50</v>
      </c>
      <c r="P725" s="19"/>
      <c r="Q725" s="17">
        <v>2890</v>
      </c>
      <c r="R725" s="17">
        <f>+P724-Q724-Q725</f>
        <v>-75</v>
      </c>
      <c r="S725" s="17">
        <f t="shared" si="43"/>
        <v>2585</v>
      </c>
      <c r="T725" s="19" t="s">
        <v>42</v>
      </c>
      <c r="U725" s="102" t="s">
        <v>337</v>
      </c>
      <c r="V725" s="64">
        <v>44582</v>
      </c>
      <c r="W725" s="17" t="s">
        <v>44</v>
      </c>
      <c r="Y725" s="68">
        <v>44652</v>
      </c>
      <c r="Z725" s="17" t="s">
        <v>338</v>
      </c>
      <c r="AA725" s="17" t="s">
        <v>46</v>
      </c>
      <c r="AB725" s="17" t="s">
        <v>342</v>
      </c>
      <c r="AC725" s="66">
        <v>44657</v>
      </c>
      <c r="AD725" s="65">
        <v>1287</v>
      </c>
      <c r="AE725" s="17" t="s">
        <v>129</v>
      </c>
      <c r="AF725" s="17" t="s">
        <v>261</v>
      </c>
      <c r="AH725" s="17" t="s">
        <v>340</v>
      </c>
      <c r="AI725" s="95">
        <f t="shared" si="44"/>
        <v>242.3426</v>
      </c>
    </row>
    <row r="726" s="17" customFormat="1" hidden="1" spans="1:36">
      <c r="A726" s="17" t="s">
        <v>34</v>
      </c>
      <c r="B726" s="19">
        <v>766</v>
      </c>
      <c r="C726" s="101">
        <v>44579</v>
      </c>
      <c r="D726" s="17" t="s">
        <v>35</v>
      </c>
      <c r="E726" s="17" t="s">
        <v>71</v>
      </c>
      <c r="F726" s="17" t="s">
        <v>72</v>
      </c>
      <c r="H726" s="19">
        <v>1.2379</v>
      </c>
      <c r="I726" s="19"/>
      <c r="J726" s="17" t="s">
        <v>39</v>
      </c>
      <c r="K726" s="17">
        <v>353</v>
      </c>
      <c r="L726" s="91"/>
      <c r="M726" s="17" t="s">
        <v>330</v>
      </c>
      <c r="N726" s="17" t="s">
        <v>40</v>
      </c>
      <c r="O726" s="19" t="s">
        <v>50</v>
      </c>
      <c r="P726" s="19">
        <v>6000</v>
      </c>
      <c r="Q726" s="17">
        <f>3080+2930</f>
        <v>6010</v>
      </c>
      <c r="R726" s="17">
        <f>+P726-Q726</f>
        <v>-10</v>
      </c>
      <c r="S726" s="17">
        <f t="shared" si="43"/>
        <v>2585</v>
      </c>
      <c r="T726" s="19" t="s">
        <v>42</v>
      </c>
      <c r="U726" s="102" t="s">
        <v>337</v>
      </c>
      <c r="V726" s="64">
        <v>44582</v>
      </c>
      <c r="W726" s="17" t="s">
        <v>44</v>
      </c>
      <c r="Y726" s="68">
        <v>44652</v>
      </c>
      <c r="Z726" s="17" t="s">
        <v>338</v>
      </c>
      <c r="AA726" s="17" t="s">
        <v>46</v>
      </c>
      <c r="AB726" s="17" t="s">
        <v>339</v>
      </c>
      <c r="AC726" s="66">
        <v>44706</v>
      </c>
      <c r="AD726" s="65">
        <v>1299</v>
      </c>
      <c r="AE726" s="17" t="s">
        <v>129</v>
      </c>
      <c r="AF726" s="17" t="s">
        <v>261</v>
      </c>
      <c r="AH726" s="17" t="s">
        <v>340</v>
      </c>
      <c r="AI726" s="95">
        <f t="shared" si="44"/>
        <v>242.3426</v>
      </c>
    </row>
    <row r="727" s="17" customFormat="1" hidden="1" spans="1:36">
      <c r="A727" s="17" t="s">
        <v>34</v>
      </c>
      <c r="B727" s="19">
        <v>766</v>
      </c>
      <c r="C727" s="101">
        <v>44579</v>
      </c>
      <c r="D727" s="17" t="s">
        <v>35</v>
      </c>
      <c r="E727" s="17" t="s">
        <v>71</v>
      </c>
      <c r="F727" s="17" t="s">
        <v>72</v>
      </c>
      <c r="H727" s="19">
        <v>1.2379</v>
      </c>
      <c r="I727" s="19"/>
      <c r="J727" s="17" t="s">
        <v>39</v>
      </c>
      <c r="K727" s="17">
        <v>362</v>
      </c>
      <c r="L727" s="91"/>
      <c r="M727" s="17" t="s">
        <v>330</v>
      </c>
      <c r="N727" s="17" t="s">
        <v>40</v>
      </c>
      <c r="O727" s="19" t="s">
        <v>50</v>
      </c>
      <c r="P727" s="19">
        <v>6000</v>
      </c>
      <c r="Q727" s="17">
        <v>2770</v>
      </c>
      <c r="S727" s="17">
        <f t="shared" si="43"/>
        <v>2585</v>
      </c>
      <c r="T727" s="19" t="s">
        <v>42</v>
      </c>
      <c r="U727" s="102" t="s">
        <v>337</v>
      </c>
      <c r="V727" s="64">
        <v>44582</v>
      </c>
      <c r="W727" s="17" t="s">
        <v>44</v>
      </c>
      <c r="Y727" s="68">
        <v>44652</v>
      </c>
      <c r="Z727" s="17" t="s">
        <v>338</v>
      </c>
      <c r="AA727" s="17" t="s">
        <v>46</v>
      </c>
      <c r="AB727" s="17" t="s">
        <v>343</v>
      </c>
      <c r="AC727" s="66">
        <v>44630</v>
      </c>
      <c r="AD727" s="65">
        <v>1277</v>
      </c>
      <c r="AE727" s="17" t="s">
        <v>129</v>
      </c>
      <c r="AF727" s="17" t="s">
        <v>261</v>
      </c>
      <c r="AH727" s="17" t="s">
        <v>340</v>
      </c>
      <c r="AI727" s="95">
        <f t="shared" si="44"/>
        <v>242.3426</v>
      </c>
    </row>
    <row r="728" s="17" customFormat="1" hidden="1" spans="1:36">
      <c r="A728" s="17" t="s">
        <v>34</v>
      </c>
      <c r="B728" s="19">
        <v>766</v>
      </c>
      <c r="C728" s="101">
        <v>44579</v>
      </c>
      <c r="D728" s="17" t="s">
        <v>35</v>
      </c>
      <c r="E728" s="17" t="s">
        <v>71</v>
      </c>
      <c r="F728" s="17" t="s">
        <v>72</v>
      </c>
      <c r="H728" s="19">
        <v>1.2379</v>
      </c>
      <c r="I728" s="19"/>
      <c r="J728" s="17" t="s">
        <v>39</v>
      </c>
      <c r="K728" s="17">
        <v>362</v>
      </c>
      <c r="L728" s="91"/>
      <c r="M728" s="17" t="s">
        <v>330</v>
      </c>
      <c r="N728" s="17" t="s">
        <v>40</v>
      </c>
      <c r="O728" s="19" t="s">
        <v>50</v>
      </c>
      <c r="P728" s="19"/>
      <c r="Q728" s="17">
        <v>3070</v>
      </c>
      <c r="R728" s="17">
        <f>+P727-Q727-Q728</f>
        <v>160</v>
      </c>
      <c r="S728" s="17">
        <f t="shared" si="43"/>
        <v>2585</v>
      </c>
      <c r="T728" s="19" t="s">
        <v>42</v>
      </c>
      <c r="U728" s="102" t="s">
        <v>337</v>
      </c>
      <c r="V728" s="64">
        <v>44582</v>
      </c>
      <c r="W728" s="17" t="s">
        <v>44</v>
      </c>
      <c r="Y728" s="68">
        <v>44652</v>
      </c>
      <c r="Z728" s="17" t="s">
        <v>338</v>
      </c>
      <c r="AA728" s="17" t="s">
        <v>46</v>
      </c>
      <c r="AB728" s="17" t="s">
        <v>342</v>
      </c>
      <c r="AC728" s="66">
        <v>44657</v>
      </c>
      <c r="AD728" s="65">
        <v>1287</v>
      </c>
      <c r="AE728" s="17" t="s">
        <v>129</v>
      </c>
      <c r="AF728" s="17" t="s">
        <v>261</v>
      </c>
      <c r="AH728" s="17" t="s">
        <v>340</v>
      </c>
      <c r="AI728" s="95">
        <f t="shared" si="44"/>
        <v>242.3426</v>
      </c>
    </row>
    <row r="729" s="17" customFormat="1" hidden="1" spans="1:36">
      <c r="A729" s="17" t="s">
        <v>34</v>
      </c>
      <c r="B729" s="19">
        <v>766</v>
      </c>
      <c r="C729" s="101">
        <v>44579</v>
      </c>
      <c r="D729" s="17" t="s">
        <v>35</v>
      </c>
      <c r="E729" s="17" t="s">
        <v>71</v>
      </c>
      <c r="F729" s="17" t="s">
        <v>72</v>
      </c>
      <c r="H729" s="19">
        <v>1.2379</v>
      </c>
      <c r="I729" s="19"/>
      <c r="J729" s="17" t="s">
        <v>39</v>
      </c>
      <c r="K729" s="17">
        <v>382</v>
      </c>
      <c r="L729" s="91"/>
      <c r="M729" s="17" t="s">
        <v>330</v>
      </c>
      <c r="N729" s="17" t="s">
        <v>40</v>
      </c>
      <c r="O729" s="19" t="s">
        <v>50</v>
      </c>
      <c r="P729" s="19">
        <v>6000</v>
      </c>
      <c r="Q729" s="17">
        <f>2910+2885</f>
        <v>5795</v>
      </c>
      <c r="R729" s="17">
        <f t="shared" ref="R729:R764" si="45">+P729-Q729</f>
        <v>205</v>
      </c>
      <c r="S729" s="17">
        <f t="shared" si="43"/>
        <v>2585</v>
      </c>
      <c r="T729" s="19" t="s">
        <v>42</v>
      </c>
      <c r="U729" s="102" t="s">
        <v>337</v>
      </c>
      <c r="V729" s="64">
        <v>44582</v>
      </c>
      <c r="W729" s="17" t="s">
        <v>44</v>
      </c>
      <c r="Y729" s="68">
        <v>44652</v>
      </c>
      <c r="Z729" s="17" t="s">
        <v>338</v>
      </c>
      <c r="AA729" s="17" t="s">
        <v>46</v>
      </c>
      <c r="AB729" s="17" t="s">
        <v>341</v>
      </c>
      <c r="AC729" s="66">
        <v>44651</v>
      </c>
      <c r="AD729" s="65">
        <v>1278</v>
      </c>
      <c r="AE729" s="17" t="s">
        <v>129</v>
      </c>
      <c r="AF729" s="17" t="s">
        <v>261</v>
      </c>
      <c r="AH729" s="17" t="s">
        <v>340</v>
      </c>
      <c r="AI729" s="95">
        <f t="shared" si="44"/>
        <v>242.3426</v>
      </c>
    </row>
    <row r="730" s="17" customFormat="1" hidden="1" spans="1:36">
      <c r="A730" s="17" t="s">
        <v>34</v>
      </c>
      <c r="B730" s="19">
        <v>766</v>
      </c>
      <c r="C730" s="101">
        <v>44579</v>
      </c>
      <c r="D730" s="17" t="s">
        <v>35</v>
      </c>
      <c r="E730" s="17" t="s">
        <v>71</v>
      </c>
      <c r="F730" s="17" t="s">
        <v>72</v>
      </c>
      <c r="H730" s="19">
        <v>1.2379</v>
      </c>
      <c r="I730" s="19"/>
      <c r="J730" s="17" t="s">
        <v>39</v>
      </c>
      <c r="K730" s="17">
        <v>410</v>
      </c>
      <c r="L730" s="91"/>
      <c r="M730" s="17" t="s">
        <v>330</v>
      </c>
      <c r="N730" s="17" t="s">
        <v>40</v>
      </c>
      <c r="O730" s="19" t="s">
        <v>50</v>
      </c>
      <c r="P730" s="19">
        <v>6000</v>
      </c>
      <c r="Q730" s="17">
        <v>5905</v>
      </c>
      <c r="R730" s="17">
        <f t="shared" si="45"/>
        <v>95</v>
      </c>
      <c r="S730" s="17">
        <f t="shared" si="43"/>
        <v>2585</v>
      </c>
      <c r="T730" s="19" t="s">
        <v>42</v>
      </c>
      <c r="U730" s="102" t="s">
        <v>337</v>
      </c>
      <c r="V730" s="64">
        <v>44582</v>
      </c>
      <c r="W730" s="17" t="s">
        <v>44</v>
      </c>
      <c r="Y730" s="68">
        <v>44652</v>
      </c>
      <c r="Z730" s="17" t="s">
        <v>338</v>
      </c>
      <c r="AA730" s="17" t="s">
        <v>46</v>
      </c>
      <c r="AB730" s="17" t="s">
        <v>343</v>
      </c>
      <c r="AC730" s="66">
        <v>44630</v>
      </c>
      <c r="AD730" s="65">
        <v>1277</v>
      </c>
      <c r="AE730" s="17" t="s">
        <v>129</v>
      </c>
      <c r="AF730" s="17" t="s">
        <v>261</v>
      </c>
      <c r="AH730" s="17" t="s">
        <v>340</v>
      </c>
      <c r="AI730" s="95">
        <f t="shared" si="44"/>
        <v>242.3426</v>
      </c>
    </row>
    <row r="731" s="18" customFormat="1" ht="15.6" hidden="1" spans="1:36">
      <c r="B731" s="75">
        <v>768</v>
      </c>
      <c r="C731" s="135">
        <v>44581</v>
      </c>
      <c r="D731" s="18" t="s">
        <v>52</v>
      </c>
      <c r="E731" s="18" t="s">
        <v>187</v>
      </c>
      <c r="F731" s="18" t="s">
        <v>54</v>
      </c>
      <c r="H731" s="75">
        <v>1.2344</v>
      </c>
      <c r="I731" s="75"/>
      <c r="J731" s="18" t="s">
        <v>39</v>
      </c>
      <c r="K731" s="18">
        <v>16</v>
      </c>
      <c r="L731" s="111"/>
      <c r="M731" s="75">
        <v>2500</v>
      </c>
      <c r="N731" s="75" t="s">
        <v>40</v>
      </c>
      <c r="O731" s="75" t="s">
        <v>84</v>
      </c>
      <c r="P731" s="136">
        <v>1500</v>
      </c>
      <c r="R731" s="18">
        <f t="shared" si="45"/>
        <v>1500</v>
      </c>
      <c r="S731" s="75">
        <v>2360</v>
      </c>
      <c r="T731" s="75" t="s">
        <v>42</v>
      </c>
      <c r="U731" s="137" t="s">
        <v>344</v>
      </c>
      <c r="V731" s="138">
        <v>44585</v>
      </c>
      <c r="W731" s="18" t="s">
        <v>69</v>
      </c>
      <c r="Y731" s="114">
        <v>44621</v>
      </c>
      <c r="Z731" s="18" t="s">
        <v>191</v>
      </c>
      <c r="AA731" s="18" t="s">
        <v>46</v>
      </c>
      <c r="AC731" s="83"/>
      <c r="AD731" s="77"/>
      <c r="AE731" s="18" t="s">
        <v>129</v>
      </c>
      <c r="AF731" s="18" t="s">
        <v>345</v>
      </c>
      <c r="AH731" s="18" t="s">
        <v>346</v>
      </c>
      <c r="AI731" s="113">
        <f t="shared" ref="AI731:AI743" si="46">215480/1000</f>
        <v>215.48</v>
      </c>
      <c r="AJ731" s="18" t="s">
        <v>347</v>
      </c>
    </row>
    <row r="732" s="18" customFormat="1" ht="15.6" hidden="1" spans="1:36">
      <c r="B732" s="75">
        <v>768</v>
      </c>
      <c r="C732" s="135">
        <v>44581</v>
      </c>
      <c r="D732" s="18" t="s">
        <v>52</v>
      </c>
      <c r="E732" s="18" t="s">
        <v>187</v>
      </c>
      <c r="F732" s="18" t="s">
        <v>54</v>
      </c>
      <c r="H732" s="75">
        <v>1.2344</v>
      </c>
      <c r="I732" s="75"/>
      <c r="J732" s="18" t="s">
        <v>39</v>
      </c>
      <c r="K732" s="18">
        <v>18</v>
      </c>
      <c r="L732" s="111"/>
      <c r="M732" s="75">
        <v>2500</v>
      </c>
      <c r="N732" s="75" t="s">
        <v>40</v>
      </c>
      <c r="O732" s="75" t="s">
        <v>84</v>
      </c>
      <c r="P732" s="139">
        <v>1000</v>
      </c>
      <c r="R732" s="18">
        <f t="shared" si="45"/>
        <v>1000</v>
      </c>
      <c r="S732" s="75">
        <v>2360</v>
      </c>
      <c r="T732" s="75" t="s">
        <v>42</v>
      </c>
      <c r="U732" s="137" t="s">
        <v>344</v>
      </c>
      <c r="V732" s="138">
        <v>44585</v>
      </c>
      <c r="W732" s="18" t="s">
        <v>69</v>
      </c>
      <c r="Y732" s="114">
        <v>44621</v>
      </c>
      <c r="Z732" s="18" t="s">
        <v>191</v>
      </c>
      <c r="AA732" s="18" t="s">
        <v>46</v>
      </c>
      <c r="AC732" s="83"/>
      <c r="AD732" s="77"/>
      <c r="AE732" s="18" t="s">
        <v>129</v>
      </c>
      <c r="AF732" s="18" t="s">
        <v>345</v>
      </c>
      <c r="AH732" s="18" t="s">
        <v>346</v>
      </c>
      <c r="AI732" s="113">
        <f t="shared" si="46"/>
        <v>215.48</v>
      </c>
      <c r="AJ732" s="18" t="s">
        <v>347</v>
      </c>
    </row>
    <row r="733" s="18" customFormat="1" ht="15.6" hidden="1" spans="1:36">
      <c r="B733" s="75">
        <v>768</v>
      </c>
      <c r="C733" s="135">
        <v>44581</v>
      </c>
      <c r="D733" s="18" t="s">
        <v>52</v>
      </c>
      <c r="E733" s="18" t="s">
        <v>187</v>
      </c>
      <c r="F733" s="18" t="s">
        <v>54</v>
      </c>
      <c r="H733" s="75">
        <v>1.2344</v>
      </c>
      <c r="I733" s="75"/>
      <c r="J733" s="18" t="s">
        <v>39</v>
      </c>
      <c r="K733" s="18">
        <v>22</v>
      </c>
      <c r="L733" s="111"/>
      <c r="M733" s="75">
        <v>2500</v>
      </c>
      <c r="N733" s="75" t="s">
        <v>40</v>
      </c>
      <c r="O733" s="75" t="s">
        <v>84</v>
      </c>
      <c r="P733" s="139">
        <v>1000</v>
      </c>
      <c r="R733" s="18">
        <f t="shared" si="45"/>
        <v>1000</v>
      </c>
      <c r="S733" s="75">
        <v>2360</v>
      </c>
      <c r="T733" s="75" t="s">
        <v>42</v>
      </c>
      <c r="U733" s="137" t="s">
        <v>344</v>
      </c>
      <c r="V733" s="138">
        <v>44585</v>
      </c>
      <c r="W733" s="18" t="s">
        <v>69</v>
      </c>
      <c r="Y733" s="114">
        <v>44621</v>
      </c>
      <c r="Z733" s="18" t="s">
        <v>191</v>
      </c>
      <c r="AA733" s="18" t="s">
        <v>46</v>
      </c>
      <c r="AC733" s="83"/>
      <c r="AD733" s="77"/>
      <c r="AE733" s="18" t="s">
        <v>129</v>
      </c>
      <c r="AF733" s="18" t="s">
        <v>345</v>
      </c>
      <c r="AH733" s="18" t="s">
        <v>346</v>
      </c>
      <c r="AI733" s="113">
        <f t="shared" si="46"/>
        <v>215.48</v>
      </c>
      <c r="AJ733" s="18" t="s">
        <v>347</v>
      </c>
    </row>
    <row r="734" s="17" customFormat="1" ht="15.6" hidden="1" spans="1:36">
      <c r="A734" s="17" t="s">
        <v>34</v>
      </c>
      <c r="B734" s="19">
        <v>768</v>
      </c>
      <c r="C734" s="101">
        <v>44581</v>
      </c>
      <c r="D734" s="17" t="s">
        <v>52</v>
      </c>
      <c r="E734" s="17" t="s">
        <v>187</v>
      </c>
      <c r="F734" s="17" t="s">
        <v>54</v>
      </c>
      <c r="H734" s="19">
        <v>1.2344</v>
      </c>
      <c r="I734" s="19"/>
      <c r="J734" s="17" t="s">
        <v>39</v>
      </c>
      <c r="K734" s="17">
        <v>28</v>
      </c>
      <c r="L734" s="91"/>
      <c r="M734" s="19">
        <v>2500</v>
      </c>
      <c r="N734" s="19" t="s">
        <v>40</v>
      </c>
      <c r="O734" s="19" t="s">
        <v>84</v>
      </c>
      <c r="P734" s="140">
        <v>1000</v>
      </c>
      <c r="Q734" s="17">
        <v>1020</v>
      </c>
      <c r="R734" s="17">
        <f t="shared" si="45"/>
        <v>-20</v>
      </c>
      <c r="S734" s="19">
        <f>2360-65</f>
        <v>2295</v>
      </c>
      <c r="T734" s="19" t="s">
        <v>42</v>
      </c>
      <c r="U734" s="102" t="s">
        <v>344</v>
      </c>
      <c r="V734" s="110">
        <v>44585</v>
      </c>
      <c r="W734" s="17" t="s">
        <v>69</v>
      </c>
      <c r="Y734" s="68">
        <v>44621</v>
      </c>
      <c r="Z734" s="17" t="s">
        <v>191</v>
      </c>
      <c r="AA734" s="17" t="s">
        <v>46</v>
      </c>
      <c r="AB734" s="17" t="s">
        <v>348</v>
      </c>
      <c r="AC734" s="66" t="s">
        <v>349</v>
      </c>
      <c r="AD734" s="65">
        <v>1326</v>
      </c>
      <c r="AE734" s="17" t="s">
        <v>129</v>
      </c>
      <c r="AF734" s="17" t="s">
        <v>345</v>
      </c>
      <c r="AH734" s="17" t="s">
        <v>346</v>
      </c>
      <c r="AI734" s="95">
        <f t="shared" si="46"/>
        <v>215.48</v>
      </c>
    </row>
    <row r="735" s="17" customFormat="1" ht="15.6" hidden="1" spans="1:36">
      <c r="A735" s="17" t="s">
        <v>34</v>
      </c>
      <c r="B735" s="19">
        <v>768</v>
      </c>
      <c r="C735" s="101">
        <v>44581</v>
      </c>
      <c r="D735" s="17" t="s">
        <v>52</v>
      </c>
      <c r="E735" s="17" t="s">
        <v>187</v>
      </c>
      <c r="F735" s="17" t="s">
        <v>54</v>
      </c>
      <c r="H735" s="19">
        <v>1.2344</v>
      </c>
      <c r="I735" s="19"/>
      <c r="J735" s="17" t="s">
        <v>39</v>
      </c>
      <c r="K735" s="17">
        <v>86</v>
      </c>
      <c r="L735" s="91"/>
      <c r="M735" s="19">
        <v>2500</v>
      </c>
      <c r="N735" s="19" t="s">
        <v>40</v>
      </c>
      <c r="O735" s="19" t="s">
        <v>50</v>
      </c>
      <c r="P735" s="140">
        <v>500</v>
      </c>
      <c r="Q735" s="17">
        <v>572</v>
      </c>
      <c r="R735" s="17">
        <f t="shared" si="45"/>
        <v>-72</v>
      </c>
      <c r="S735" s="19">
        <v>2360</v>
      </c>
      <c r="T735" s="19" t="s">
        <v>42</v>
      </c>
      <c r="U735" s="102" t="s">
        <v>344</v>
      </c>
      <c r="V735" s="64">
        <v>44585</v>
      </c>
      <c r="W735" s="17" t="s">
        <v>69</v>
      </c>
      <c r="Y735" s="68">
        <v>44621</v>
      </c>
      <c r="Z735" s="17" t="s">
        <v>191</v>
      </c>
      <c r="AA735" s="17" t="s">
        <v>46</v>
      </c>
      <c r="AB735" s="17" t="s">
        <v>350</v>
      </c>
      <c r="AC735" s="66">
        <v>44714</v>
      </c>
      <c r="AD735" s="65">
        <v>1305</v>
      </c>
      <c r="AE735" s="17" t="s">
        <v>129</v>
      </c>
      <c r="AF735" s="17" t="s">
        <v>345</v>
      </c>
      <c r="AH735" s="17" t="s">
        <v>346</v>
      </c>
      <c r="AI735" s="95">
        <f t="shared" si="46"/>
        <v>215.48</v>
      </c>
    </row>
    <row r="736" s="17" customFormat="1" ht="15.6" hidden="1" spans="1:36">
      <c r="A736" s="17" t="s">
        <v>34</v>
      </c>
      <c r="B736" s="19">
        <v>768</v>
      </c>
      <c r="C736" s="101">
        <v>44581</v>
      </c>
      <c r="D736" s="17" t="s">
        <v>52</v>
      </c>
      <c r="E736" s="17" t="s">
        <v>187</v>
      </c>
      <c r="F736" s="17" t="s">
        <v>54</v>
      </c>
      <c r="H736" s="19">
        <v>1.2344</v>
      </c>
      <c r="I736" s="19"/>
      <c r="J736" s="17" t="s">
        <v>39</v>
      </c>
      <c r="K736" s="17">
        <v>91</v>
      </c>
      <c r="L736" s="91"/>
      <c r="M736" s="19">
        <v>2500</v>
      </c>
      <c r="N736" s="19" t="s">
        <v>40</v>
      </c>
      <c r="O736" s="19" t="s">
        <v>50</v>
      </c>
      <c r="P736" s="140">
        <v>1000</v>
      </c>
      <c r="Q736" s="17">
        <v>1230</v>
      </c>
      <c r="R736" s="17">
        <f t="shared" si="45"/>
        <v>-230</v>
      </c>
      <c r="S736" s="19">
        <v>2360</v>
      </c>
      <c r="T736" s="19" t="s">
        <v>42</v>
      </c>
      <c r="U736" s="102" t="s">
        <v>344</v>
      </c>
      <c r="V736" s="64">
        <v>44585</v>
      </c>
      <c r="W736" s="17" t="s">
        <v>69</v>
      </c>
      <c r="Y736" s="68">
        <v>44621</v>
      </c>
      <c r="Z736" s="17" t="s">
        <v>191</v>
      </c>
      <c r="AA736" s="17" t="s">
        <v>46</v>
      </c>
      <c r="AB736" s="17" t="s">
        <v>350</v>
      </c>
      <c r="AC736" s="66">
        <v>44714</v>
      </c>
      <c r="AD736" s="65">
        <v>1305</v>
      </c>
      <c r="AE736" s="17" t="s">
        <v>129</v>
      </c>
      <c r="AF736" s="17" t="s">
        <v>345</v>
      </c>
      <c r="AH736" s="17" t="s">
        <v>346</v>
      </c>
      <c r="AI736" s="95">
        <f t="shared" si="46"/>
        <v>215.48</v>
      </c>
    </row>
    <row r="737" s="17" customFormat="1" ht="15.6" hidden="1" spans="1:35">
      <c r="A737" s="17" t="s">
        <v>34</v>
      </c>
      <c r="B737" s="19">
        <v>768</v>
      </c>
      <c r="C737" s="101">
        <v>44581</v>
      </c>
      <c r="D737" s="17" t="s">
        <v>52</v>
      </c>
      <c r="E737" s="17" t="s">
        <v>187</v>
      </c>
      <c r="F737" s="17" t="s">
        <v>54</v>
      </c>
      <c r="H737" s="19">
        <v>1.2344</v>
      </c>
      <c r="I737" s="19"/>
      <c r="J737" s="17" t="s">
        <v>39</v>
      </c>
      <c r="K737" s="17">
        <v>101</v>
      </c>
      <c r="L737" s="91"/>
      <c r="M737" s="19">
        <v>2500</v>
      </c>
      <c r="N737" s="19" t="s">
        <v>40</v>
      </c>
      <c r="O737" s="19" t="s">
        <v>50</v>
      </c>
      <c r="P737" s="140">
        <v>500</v>
      </c>
      <c r="Q737" s="17">
        <v>446</v>
      </c>
      <c r="R737" s="17">
        <f t="shared" si="45"/>
        <v>54</v>
      </c>
      <c r="S737" s="19">
        <v>2360</v>
      </c>
      <c r="T737" s="19" t="s">
        <v>42</v>
      </c>
      <c r="U737" s="102" t="s">
        <v>344</v>
      </c>
      <c r="V737" s="64">
        <v>44585</v>
      </c>
      <c r="W737" s="17" t="s">
        <v>69</v>
      </c>
      <c r="Y737" s="68">
        <v>44621</v>
      </c>
      <c r="Z737" s="17" t="s">
        <v>191</v>
      </c>
      <c r="AA737" s="17" t="s">
        <v>46</v>
      </c>
      <c r="AB737" s="17" t="s">
        <v>350</v>
      </c>
      <c r="AC737" s="66">
        <v>44714</v>
      </c>
      <c r="AD737" s="65">
        <v>1305</v>
      </c>
      <c r="AE737" s="17" t="s">
        <v>129</v>
      </c>
      <c r="AF737" s="17" t="s">
        <v>345</v>
      </c>
      <c r="AH737" s="17" t="s">
        <v>346</v>
      </c>
      <c r="AI737" s="95">
        <f t="shared" si="46"/>
        <v>215.48</v>
      </c>
    </row>
    <row r="738" s="17" customFormat="1" ht="15.6" hidden="1" spans="1:35">
      <c r="A738" s="17" t="s">
        <v>34</v>
      </c>
      <c r="B738" s="19">
        <v>768</v>
      </c>
      <c r="C738" s="101">
        <v>44581</v>
      </c>
      <c r="D738" s="17" t="s">
        <v>52</v>
      </c>
      <c r="E738" s="17" t="s">
        <v>187</v>
      </c>
      <c r="F738" s="17" t="s">
        <v>54</v>
      </c>
      <c r="H738" s="19">
        <v>1.2344</v>
      </c>
      <c r="I738" s="19"/>
      <c r="J738" s="17" t="s">
        <v>39</v>
      </c>
      <c r="K738" s="17">
        <v>105</v>
      </c>
      <c r="L738" s="91"/>
      <c r="M738" s="19">
        <v>2500</v>
      </c>
      <c r="N738" s="19" t="s">
        <v>40</v>
      </c>
      <c r="O738" s="19" t="s">
        <v>50</v>
      </c>
      <c r="P738" s="140">
        <v>500</v>
      </c>
      <c r="Q738" s="17">
        <v>696</v>
      </c>
      <c r="R738" s="17">
        <f t="shared" si="45"/>
        <v>-196</v>
      </c>
      <c r="S738" s="19">
        <v>2360</v>
      </c>
      <c r="T738" s="19" t="s">
        <v>42</v>
      </c>
      <c r="U738" s="102" t="s">
        <v>344</v>
      </c>
      <c r="V738" s="64">
        <v>44585</v>
      </c>
      <c r="W738" s="17" t="s">
        <v>69</v>
      </c>
      <c r="Y738" s="68">
        <v>44621</v>
      </c>
      <c r="Z738" s="17" t="s">
        <v>191</v>
      </c>
      <c r="AA738" s="17" t="s">
        <v>46</v>
      </c>
      <c r="AB738" s="17" t="s">
        <v>350</v>
      </c>
      <c r="AC738" s="66">
        <v>44714</v>
      </c>
      <c r="AD738" s="65">
        <v>1305</v>
      </c>
      <c r="AE738" s="17" t="s">
        <v>129</v>
      </c>
      <c r="AF738" s="17" t="s">
        <v>345</v>
      </c>
      <c r="AH738" s="17" t="s">
        <v>346</v>
      </c>
      <c r="AI738" s="95">
        <f t="shared" si="46"/>
        <v>215.48</v>
      </c>
    </row>
    <row r="739" s="17" customFormat="1" ht="15.6" hidden="1" spans="1:35">
      <c r="A739" s="17" t="s">
        <v>34</v>
      </c>
      <c r="B739" s="19">
        <v>768</v>
      </c>
      <c r="C739" s="101">
        <v>44581</v>
      </c>
      <c r="D739" s="17" t="s">
        <v>52</v>
      </c>
      <c r="E739" s="17" t="s">
        <v>187</v>
      </c>
      <c r="F739" s="17" t="s">
        <v>54</v>
      </c>
      <c r="H739" s="19">
        <v>1.2344</v>
      </c>
      <c r="I739" s="19"/>
      <c r="J739" s="17" t="s">
        <v>39</v>
      </c>
      <c r="K739" s="17">
        <v>110</v>
      </c>
      <c r="L739" s="91"/>
      <c r="M739" s="19">
        <v>2500</v>
      </c>
      <c r="N739" s="19" t="s">
        <v>40</v>
      </c>
      <c r="O739" s="19" t="s">
        <v>50</v>
      </c>
      <c r="P739" s="140">
        <v>500</v>
      </c>
      <c r="Q739" s="17">
        <v>628</v>
      </c>
      <c r="R739" s="17">
        <f t="shared" si="45"/>
        <v>-128</v>
      </c>
      <c r="S739" s="19">
        <v>2360</v>
      </c>
      <c r="T739" s="19" t="s">
        <v>42</v>
      </c>
      <c r="U739" s="102" t="s">
        <v>344</v>
      </c>
      <c r="V739" s="64">
        <v>44585</v>
      </c>
      <c r="W739" s="17" t="s">
        <v>69</v>
      </c>
      <c r="Y739" s="68">
        <v>44621</v>
      </c>
      <c r="Z739" s="17" t="s">
        <v>191</v>
      </c>
      <c r="AA739" s="17" t="s">
        <v>46</v>
      </c>
      <c r="AB739" s="17" t="s">
        <v>350</v>
      </c>
      <c r="AC739" s="66">
        <v>44714</v>
      </c>
      <c r="AD739" s="65">
        <v>1305</v>
      </c>
      <c r="AE739" s="17" t="s">
        <v>129</v>
      </c>
      <c r="AF739" s="17" t="s">
        <v>345</v>
      </c>
      <c r="AH739" s="17" t="s">
        <v>346</v>
      </c>
      <c r="AI739" s="95">
        <f t="shared" si="46"/>
        <v>215.48</v>
      </c>
    </row>
    <row r="740" s="17" customFormat="1" ht="15.6" hidden="1" spans="1:35">
      <c r="A740" s="17" t="s">
        <v>34</v>
      </c>
      <c r="B740" s="19">
        <v>768</v>
      </c>
      <c r="C740" s="101">
        <v>44581</v>
      </c>
      <c r="D740" s="17" t="s">
        <v>52</v>
      </c>
      <c r="E740" s="17" t="s">
        <v>187</v>
      </c>
      <c r="F740" s="17" t="s">
        <v>54</v>
      </c>
      <c r="H740" s="19">
        <v>1.2344</v>
      </c>
      <c r="I740" s="19"/>
      <c r="J740" s="17" t="s">
        <v>39</v>
      </c>
      <c r="K740" s="17">
        <v>115</v>
      </c>
      <c r="L740" s="91"/>
      <c r="M740" s="19">
        <v>2500</v>
      </c>
      <c r="N740" s="19" t="s">
        <v>40</v>
      </c>
      <c r="O740" s="19" t="s">
        <v>50</v>
      </c>
      <c r="P740" s="140">
        <v>500</v>
      </c>
      <c r="Q740" s="17">
        <v>637</v>
      </c>
      <c r="R740" s="17">
        <f t="shared" si="45"/>
        <v>-137</v>
      </c>
      <c r="S740" s="19">
        <v>2360</v>
      </c>
      <c r="T740" s="19" t="s">
        <v>42</v>
      </c>
      <c r="U740" s="102" t="s">
        <v>344</v>
      </c>
      <c r="V740" s="64">
        <v>44585</v>
      </c>
      <c r="W740" s="17" t="s">
        <v>69</v>
      </c>
      <c r="Y740" s="68">
        <v>44621</v>
      </c>
      <c r="Z740" s="17" t="s">
        <v>191</v>
      </c>
      <c r="AA740" s="17" t="s">
        <v>46</v>
      </c>
      <c r="AB740" s="17" t="s">
        <v>350</v>
      </c>
      <c r="AC740" s="66">
        <v>44714</v>
      </c>
      <c r="AD740" s="65">
        <v>1305</v>
      </c>
      <c r="AE740" s="17" t="s">
        <v>129</v>
      </c>
      <c r="AF740" s="17" t="s">
        <v>345</v>
      </c>
      <c r="AH740" s="17" t="s">
        <v>346</v>
      </c>
      <c r="AI740" s="95">
        <f t="shared" si="46"/>
        <v>215.48</v>
      </c>
    </row>
    <row r="741" s="17" customFormat="1" ht="15.6" hidden="1" spans="1:35">
      <c r="A741" s="17" t="s">
        <v>34</v>
      </c>
      <c r="B741" s="19">
        <v>768</v>
      </c>
      <c r="C741" s="101">
        <v>44581</v>
      </c>
      <c r="D741" s="17" t="s">
        <v>52</v>
      </c>
      <c r="E741" s="17" t="s">
        <v>187</v>
      </c>
      <c r="F741" s="17" t="s">
        <v>54</v>
      </c>
      <c r="H741" s="19">
        <v>1.2344</v>
      </c>
      <c r="I741" s="19"/>
      <c r="J741" s="17" t="s">
        <v>39</v>
      </c>
      <c r="K741" s="17">
        <v>120</v>
      </c>
      <c r="L741" s="91"/>
      <c r="M741" s="19">
        <v>2500</v>
      </c>
      <c r="N741" s="19" t="s">
        <v>40</v>
      </c>
      <c r="O741" s="19" t="s">
        <v>50</v>
      </c>
      <c r="P741" s="140">
        <v>500</v>
      </c>
      <c r="Q741" s="17">
        <v>1052</v>
      </c>
      <c r="R741" s="17">
        <f t="shared" si="45"/>
        <v>-552</v>
      </c>
      <c r="S741" s="19">
        <v>2360</v>
      </c>
      <c r="T741" s="19" t="s">
        <v>42</v>
      </c>
      <c r="U741" s="102" t="s">
        <v>344</v>
      </c>
      <c r="V741" s="64">
        <v>44585</v>
      </c>
      <c r="W741" s="17" t="s">
        <v>69</v>
      </c>
      <c r="Y741" s="68">
        <v>44621</v>
      </c>
      <c r="Z741" s="17" t="s">
        <v>191</v>
      </c>
      <c r="AA741" s="17" t="s">
        <v>46</v>
      </c>
      <c r="AB741" s="17" t="s">
        <v>350</v>
      </c>
      <c r="AC741" s="66">
        <v>44714</v>
      </c>
      <c r="AD741" s="65">
        <v>1305</v>
      </c>
      <c r="AE741" s="17" t="s">
        <v>129</v>
      </c>
      <c r="AF741" s="17" t="s">
        <v>345</v>
      </c>
      <c r="AH741" s="17" t="s">
        <v>346</v>
      </c>
      <c r="AI741" s="95">
        <f t="shared" si="46"/>
        <v>215.48</v>
      </c>
    </row>
    <row r="742" s="17" customFormat="1" ht="15.6" hidden="1" spans="1:35">
      <c r="A742" s="17" t="s">
        <v>34</v>
      </c>
      <c r="B742" s="19">
        <v>768</v>
      </c>
      <c r="C742" s="101">
        <v>44581</v>
      </c>
      <c r="D742" s="17" t="s">
        <v>52</v>
      </c>
      <c r="E742" s="17" t="s">
        <v>187</v>
      </c>
      <c r="F742" s="17" t="s">
        <v>54</v>
      </c>
      <c r="H742" s="19">
        <v>1.2344</v>
      </c>
      <c r="I742" s="19"/>
      <c r="J742" s="17" t="s">
        <v>39</v>
      </c>
      <c r="K742" s="17">
        <v>131</v>
      </c>
      <c r="L742" s="91"/>
      <c r="M742" s="19">
        <v>2500</v>
      </c>
      <c r="N742" s="19" t="s">
        <v>40</v>
      </c>
      <c r="O742" s="19" t="s">
        <v>50</v>
      </c>
      <c r="P742" s="140">
        <v>800</v>
      </c>
      <c r="Q742" s="17">
        <f>394+448</f>
        <v>842</v>
      </c>
      <c r="R742" s="17">
        <f t="shared" si="45"/>
        <v>-42</v>
      </c>
      <c r="S742" s="19">
        <v>2360</v>
      </c>
      <c r="T742" s="19" t="s">
        <v>42</v>
      </c>
      <c r="U742" s="102" t="s">
        <v>344</v>
      </c>
      <c r="V742" s="64">
        <v>44585</v>
      </c>
      <c r="W742" s="17" t="s">
        <v>69</v>
      </c>
      <c r="Y742" s="68">
        <v>44621</v>
      </c>
      <c r="Z742" s="17" t="s">
        <v>191</v>
      </c>
      <c r="AA742" s="17" t="s">
        <v>46</v>
      </c>
      <c r="AB742" s="17" t="s">
        <v>351</v>
      </c>
      <c r="AC742" s="66">
        <v>44679</v>
      </c>
      <c r="AD742" s="65">
        <v>1293</v>
      </c>
      <c r="AE742" s="17" t="s">
        <v>129</v>
      </c>
      <c r="AF742" s="17" t="s">
        <v>345</v>
      </c>
      <c r="AH742" s="17" t="s">
        <v>346</v>
      </c>
      <c r="AI742" s="95">
        <f t="shared" si="46"/>
        <v>215.48</v>
      </c>
    </row>
    <row r="743" s="17" customFormat="1" ht="15.6" hidden="1" spans="1:35">
      <c r="A743" s="17" t="s">
        <v>34</v>
      </c>
      <c r="B743" s="19">
        <v>768</v>
      </c>
      <c r="C743" s="101">
        <v>44581</v>
      </c>
      <c r="D743" s="17" t="s">
        <v>52</v>
      </c>
      <c r="E743" s="17" t="s">
        <v>187</v>
      </c>
      <c r="F743" s="17" t="s">
        <v>54</v>
      </c>
      <c r="H743" s="19">
        <v>1.2344</v>
      </c>
      <c r="I743" s="19"/>
      <c r="J743" s="17" t="s">
        <v>39</v>
      </c>
      <c r="K743" s="17">
        <v>141</v>
      </c>
      <c r="L743" s="91"/>
      <c r="M743" s="19">
        <v>2500</v>
      </c>
      <c r="N743" s="19" t="s">
        <v>40</v>
      </c>
      <c r="O743" s="19" t="s">
        <v>50</v>
      </c>
      <c r="P743" s="140">
        <v>800</v>
      </c>
      <c r="Q743" s="17">
        <f>582+275</f>
        <v>857</v>
      </c>
      <c r="R743" s="17">
        <f t="shared" si="45"/>
        <v>-57</v>
      </c>
      <c r="S743" s="19">
        <v>2360</v>
      </c>
      <c r="T743" s="19" t="s">
        <v>42</v>
      </c>
      <c r="U743" s="102" t="s">
        <v>344</v>
      </c>
      <c r="V743" s="64">
        <v>44585</v>
      </c>
      <c r="W743" s="17" t="s">
        <v>69</v>
      </c>
      <c r="Y743" s="68">
        <v>44621</v>
      </c>
      <c r="Z743" s="17" t="s">
        <v>191</v>
      </c>
      <c r="AA743" s="17" t="s">
        <v>46</v>
      </c>
      <c r="AB743" s="17" t="s">
        <v>351</v>
      </c>
      <c r="AC743" s="66">
        <v>44679</v>
      </c>
      <c r="AD743" s="65">
        <v>1293</v>
      </c>
      <c r="AE743" s="17" t="s">
        <v>129</v>
      </c>
      <c r="AF743" s="17" t="s">
        <v>345</v>
      </c>
      <c r="AH743" s="17" t="s">
        <v>346</v>
      </c>
      <c r="AI743" s="95">
        <f t="shared" si="46"/>
        <v>215.48</v>
      </c>
    </row>
    <row r="744" s="17" customFormat="1" ht="15.6" hidden="1" spans="1:35">
      <c r="A744" s="17" t="s">
        <v>34</v>
      </c>
      <c r="B744" s="19">
        <v>768</v>
      </c>
      <c r="C744" s="101">
        <v>44581</v>
      </c>
      <c r="D744" s="17" t="s">
        <v>52</v>
      </c>
      <c r="E744" s="17" t="s">
        <v>187</v>
      </c>
      <c r="F744" s="17" t="s">
        <v>54</v>
      </c>
      <c r="H744" s="19">
        <v>1.2344</v>
      </c>
      <c r="I744" s="19"/>
      <c r="J744" s="17" t="s">
        <v>39</v>
      </c>
      <c r="K744" s="17">
        <v>151</v>
      </c>
      <c r="L744" s="91"/>
      <c r="M744" s="19">
        <v>2500</v>
      </c>
      <c r="N744" s="19" t="s">
        <v>40</v>
      </c>
      <c r="O744" s="19" t="s">
        <v>50</v>
      </c>
      <c r="P744" s="140">
        <v>800</v>
      </c>
      <c r="Q744" s="17">
        <v>811</v>
      </c>
      <c r="R744" s="17">
        <f t="shared" si="45"/>
        <v>-11</v>
      </c>
      <c r="S744" s="19">
        <v>2330</v>
      </c>
      <c r="T744" s="19" t="s">
        <v>42</v>
      </c>
      <c r="U744" s="102" t="s">
        <v>344</v>
      </c>
      <c r="V744" s="64">
        <v>44585</v>
      </c>
      <c r="W744" s="17" t="s">
        <v>69</v>
      </c>
      <c r="Y744" s="68">
        <v>44621</v>
      </c>
      <c r="Z744" s="17" t="s">
        <v>191</v>
      </c>
      <c r="AA744" s="17" t="s">
        <v>46</v>
      </c>
      <c r="AB744" s="17" t="s">
        <v>351</v>
      </c>
      <c r="AC744" s="66">
        <v>44679</v>
      </c>
      <c r="AD744" s="65">
        <v>1293</v>
      </c>
      <c r="AE744" s="17" t="s">
        <v>129</v>
      </c>
      <c r="AF744" s="17" t="s">
        <v>345</v>
      </c>
      <c r="AH744" s="17" t="s">
        <v>352</v>
      </c>
      <c r="AI744" s="95">
        <f t="shared" ref="AI744:AI757" si="47">212904/1000</f>
        <v>212.904</v>
      </c>
    </row>
    <row r="745" s="17" customFormat="1" ht="15.6" hidden="1" spans="1:35">
      <c r="A745" s="17" t="s">
        <v>34</v>
      </c>
      <c r="B745" s="19">
        <v>768</v>
      </c>
      <c r="C745" s="101">
        <v>44581</v>
      </c>
      <c r="D745" s="17" t="s">
        <v>52</v>
      </c>
      <c r="E745" s="17" t="s">
        <v>187</v>
      </c>
      <c r="F745" s="17" t="s">
        <v>54</v>
      </c>
      <c r="H745" s="19">
        <v>1.2344</v>
      </c>
      <c r="I745" s="19"/>
      <c r="J745" s="17" t="s">
        <v>39</v>
      </c>
      <c r="K745" s="17">
        <v>161</v>
      </c>
      <c r="L745" s="91"/>
      <c r="M745" s="19">
        <v>2500</v>
      </c>
      <c r="N745" s="19" t="s">
        <v>40</v>
      </c>
      <c r="O745" s="19" t="s">
        <v>50</v>
      </c>
      <c r="P745" s="140">
        <v>800</v>
      </c>
      <c r="Q745" s="17">
        <v>527</v>
      </c>
      <c r="R745" s="17">
        <f t="shared" si="45"/>
        <v>273</v>
      </c>
      <c r="S745" s="19">
        <v>2330</v>
      </c>
      <c r="T745" s="19" t="s">
        <v>42</v>
      </c>
      <c r="U745" s="102" t="s">
        <v>344</v>
      </c>
      <c r="V745" s="64">
        <v>44585</v>
      </c>
      <c r="W745" s="17" t="s">
        <v>69</v>
      </c>
      <c r="Y745" s="68">
        <v>44621</v>
      </c>
      <c r="Z745" s="17" t="s">
        <v>191</v>
      </c>
      <c r="AA745" s="17" t="s">
        <v>46</v>
      </c>
      <c r="AB745" s="17" t="s">
        <v>351</v>
      </c>
      <c r="AC745" s="66">
        <v>44679</v>
      </c>
      <c r="AD745" s="65">
        <v>1293</v>
      </c>
      <c r="AE745" s="17" t="s">
        <v>129</v>
      </c>
      <c r="AF745" s="17" t="s">
        <v>345</v>
      </c>
      <c r="AH745" s="17" t="s">
        <v>352</v>
      </c>
      <c r="AI745" s="95">
        <f t="shared" si="47"/>
        <v>212.904</v>
      </c>
    </row>
    <row r="746" s="17" customFormat="1" ht="15.6" hidden="1" spans="1:35">
      <c r="A746" s="17" t="s">
        <v>34</v>
      </c>
      <c r="B746" s="19">
        <v>768</v>
      </c>
      <c r="C746" s="101">
        <v>44581</v>
      </c>
      <c r="D746" s="17" t="s">
        <v>52</v>
      </c>
      <c r="E746" s="17" t="s">
        <v>187</v>
      </c>
      <c r="F746" s="17" t="s">
        <v>54</v>
      </c>
      <c r="H746" s="19">
        <v>1.2344</v>
      </c>
      <c r="I746" s="19"/>
      <c r="J746" s="17" t="s">
        <v>39</v>
      </c>
      <c r="K746" s="17">
        <v>172</v>
      </c>
      <c r="L746" s="91"/>
      <c r="M746" s="19">
        <v>2500</v>
      </c>
      <c r="N746" s="19" t="s">
        <v>40</v>
      </c>
      <c r="O746" s="19" t="s">
        <v>50</v>
      </c>
      <c r="P746" s="140">
        <v>800</v>
      </c>
      <c r="Q746" s="17">
        <v>352</v>
      </c>
      <c r="R746" s="17">
        <f t="shared" si="45"/>
        <v>448</v>
      </c>
      <c r="S746" s="19">
        <v>2330</v>
      </c>
      <c r="T746" s="19" t="s">
        <v>42</v>
      </c>
      <c r="U746" s="102" t="s">
        <v>344</v>
      </c>
      <c r="V746" s="64">
        <v>44585</v>
      </c>
      <c r="W746" s="17" t="s">
        <v>69</v>
      </c>
      <c r="Y746" s="68">
        <v>44621</v>
      </c>
      <c r="Z746" s="17" t="s">
        <v>191</v>
      </c>
      <c r="AA746" s="17" t="s">
        <v>46</v>
      </c>
      <c r="AB746" s="17" t="s">
        <v>351</v>
      </c>
      <c r="AC746" s="66">
        <v>44679</v>
      </c>
      <c r="AD746" s="65">
        <v>1293</v>
      </c>
      <c r="AE746" s="17" t="s">
        <v>129</v>
      </c>
      <c r="AF746" s="17" t="s">
        <v>345</v>
      </c>
      <c r="AH746" s="17" t="s">
        <v>352</v>
      </c>
      <c r="AI746" s="95">
        <f t="shared" si="47"/>
        <v>212.904</v>
      </c>
    </row>
    <row r="747" s="17" customFormat="1" ht="15.6" hidden="1" spans="1:35">
      <c r="A747" s="17" t="s">
        <v>34</v>
      </c>
      <c r="B747" s="19">
        <v>768</v>
      </c>
      <c r="C747" s="101">
        <v>44581</v>
      </c>
      <c r="D747" s="17" t="s">
        <v>52</v>
      </c>
      <c r="E747" s="17" t="s">
        <v>187</v>
      </c>
      <c r="F747" s="17" t="s">
        <v>54</v>
      </c>
      <c r="H747" s="19">
        <v>1.2344</v>
      </c>
      <c r="I747" s="19"/>
      <c r="J747" s="17" t="s">
        <v>39</v>
      </c>
      <c r="K747" s="17">
        <v>182</v>
      </c>
      <c r="L747" s="91"/>
      <c r="M747" s="19">
        <v>2500</v>
      </c>
      <c r="N747" s="19" t="s">
        <v>40</v>
      </c>
      <c r="O747" s="19" t="s">
        <v>50</v>
      </c>
      <c r="P747" s="140">
        <v>800</v>
      </c>
      <c r="Q747" s="17">
        <v>906</v>
      </c>
      <c r="R747" s="17">
        <f t="shared" si="45"/>
        <v>-106</v>
      </c>
      <c r="S747" s="19">
        <v>2330</v>
      </c>
      <c r="T747" s="19" t="s">
        <v>42</v>
      </c>
      <c r="U747" s="102" t="s">
        <v>344</v>
      </c>
      <c r="V747" s="64">
        <v>44585</v>
      </c>
      <c r="W747" s="17" t="s">
        <v>69</v>
      </c>
      <c r="Y747" s="68">
        <v>44621</v>
      </c>
      <c r="Z747" s="17" t="s">
        <v>191</v>
      </c>
      <c r="AA747" s="17" t="s">
        <v>46</v>
      </c>
      <c r="AB747" s="17" t="s">
        <v>351</v>
      </c>
      <c r="AC747" s="66">
        <v>44679</v>
      </c>
      <c r="AD747" s="65">
        <v>1293</v>
      </c>
      <c r="AE747" s="17" t="s">
        <v>129</v>
      </c>
      <c r="AF747" s="17" t="s">
        <v>345</v>
      </c>
      <c r="AH747" s="17" t="s">
        <v>352</v>
      </c>
      <c r="AI747" s="95">
        <f t="shared" si="47"/>
        <v>212.904</v>
      </c>
    </row>
    <row r="748" s="17" customFormat="1" ht="15.6" hidden="1" spans="1:35">
      <c r="A748" s="17" t="s">
        <v>34</v>
      </c>
      <c r="B748" s="19">
        <v>768</v>
      </c>
      <c r="C748" s="101">
        <v>44581</v>
      </c>
      <c r="D748" s="17" t="s">
        <v>52</v>
      </c>
      <c r="E748" s="17" t="s">
        <v>187</v>
      </c>
      <c r="F748" s="17" t="s">
        <v>54</v>
      </c>
      <c r="H748" s="19">
        <v>1.2344</v>
      </c>
      <c r="I748" s="19"/>
      <c r="J748" s="17" t="s">
        <v>39</v>
      </c>
      <c r="K748" s="17">
        <v>192</v>
      </c>
      <c r="L748" s="91"/>
      <c r="M748" s="19">
        <v>2500</v>
      </c>
      <c r="N748" s="19" t="s">
        <v>40</v>
      </c>
      <c r="O748" s="19" t="s">
        <v>50</v>
      </c>
      <c r="P748" s="140">
        <v>2800</v>
      </c>
      <c r="Q748" s="17">
        <f>833+1046+761+976</f>
        <v>3616</v>
      </c>
      <c r="R748" s="17">
        <f t="shared" si="45"/>
        <v>-816</v>
      </c>
      <c r="S748" s="19">
        <v>2330</v>
      </c>
      <c r="T748" s="19" t="s">
        <v>42</v>
      </c>
      <c r="U748" s="102" t="s">
        <v>344</v>
      </c>
      <c r="V748" s="64">
        <v>44585</v>
      </c>
      <c r="W748" s="17" t="s">
        <v>69</v>
      </c>
      <c r="Y748" s="68">
        <v>44621</v>
      </c>
      <c r="Z748" s="17" t="s">
        <v>191</v>
      </c>
      <c r="AA748" s="17" t="s">
        <v>46</v>
      </c>
      <c r="AB748" s="17" t="s">
        <v>351</v>
      </c>
      <c r="AC748" s="66">
        <v>44679</v>
      </c>
      <c r="AD748" s="65">
        <v>1293</v>
      </c>
      <c r="AE748" s="17" t="s">
        <v>129</v>
      </c>
      <c r="AF748" s="17" t="s">
        <v>345</v>
      </c>
      <c r="AH748" s="17" t="s">
        <v>352</v>
      </c>
      <c r="AI748" s="95">
        <f t="shared" si="47"/>
        <v>212.904</v>
      </c>
    </row>
    <row r="749" s="17" customFormat="1" ht="15.6" hidden="1" spans="1:35">
      <c r="A749" s="17" t="s">
        <v>34</v>
      </c>
      <c r="B749" s="19">
        <v>768</v>
      </c>
      <c r="C749" s="101">
        <v>44581</v>
      </c>
      <c r="D749" s="17" t="s">
        <v>52</v>
      </c>
      <c r="E749" s="17" t="s">
        <v>187</v>
      </c>
      <c r="F749" s="17" t="s">
        <v>54</v>
      </c>
      <c r="H749" s="19">
        <v>1.2344</v>
      </c>
      <c r="I749" s="19"/>
      <c r="J749" s="17" t="s">
        <v>39</v>
      </c>
      <c r="K749" s="17">
        <v>202</v>
      </c>
      <c r="L749" s="91"/>
      <c r="M749" s="19">
        <v>2500</v>
      </c>
      <c r="N749" s="19" t="s">
        <v>40</v>
      </c>
      <c r="O749" s="19" t="s">
        <v>50</v>
      </c>
      <c r="P749" s="140">
        <v>800</v>
      </c>
      <c r="Q749" s="17">
        <v>1198</v>
      </c>
      <c r="R749" s="17">
        <f t="shared" si="45"/>
        <v>-398</v>
      </c>
      <c r="S749" s="19">
        <v>2330</v>
      </c>
      <c r="T749" s="19" t="s">
        <v>42</v>
      </c>
      <c r="U749" s="102" t="s">
        <v>344</v>
      </c>
      <c r="V749" s="64">
        <v>44585</v>
      </c>
      <c r="W749" s="17" t="s">
        <v>69</v>
      </c>
      <c r="Y749" s="68">
        <v>44621</v>
      </c>
      <c r="Z749" s="17" t="s">
        <v>191</v>
      </c>
      <c r="AA749" s="17" t="s">
        <v>46</v>
      </c>
      <c r="AB749" s="17" t="s">
        <v>351</v>
      </c>
      <c r="AC749" s="66">
        <v>44679</v>
      </c>
      <c r="AD749" s="65">
        <v>1293</v>
      </c>
      <c r="AE749" s="17" t="s">
        <v>129</v>
      </c>
      <c r="AF749" s="17" t="s">
        <v>345</v>
      </c>
      <c r="AH749" s="17" t="s">
        <v>352</v>
      </c>
      <c r="AI749" s="95">
        <f t="shared" si="47"/>
        <v>212.904</v>
      </c>
    </row>
    <row r="750" s="17" customFormat="1" ht="15.6" hidden="1" spans="1:35">
      <c r="A750" s="17" t="s">
        <v>34</v>
      </c>
      <c r="B750" s="19">
        <v>768</v>
      </c>
      <c r="C750" s="101">
        <v>44581</v>
      </c>
      <c r="D750" s="17" t="s">
        <v>52</v>
      </c>
      <c r="E750" s="17" t="s">
        <v>187</v>
      </c>
      <c r="F750" s="17" t="s">
        <v>54</v>
      </c>
      <c r="H750" s="19">
        <v>1.2344</v>
      </c>
      <c r="I750" s="19"/>
      <c r="J750" s="17" t="s">
        <v>39</v>
      </c>
      <c r="K750" s="17">
        <v>212</v>
      </c>
      <c r="L750" s="91"/>
      <c r="M750" s="19">
        <v>2500</v>
      </c>
      <c r="N750" s="19" t="s">
        <v>40</v>
      </c>
      <c r="O750" s="19" t="s">
        <v>50</v>
      </c>
      <c r="P750" s="140">
        <v>2000</v>
      </c>
      <c r="Q750" s="17">
        <f>775+613+481+786</f>
        <v>2655</v>
      </c>
      <c r="R750" s="17">
        <f t="shared" si="45"/>
        <v>-655</v>
      </c>
      <c r="S750" s="19">
        <v>2330</v>
      </c>
      <c r="T750" s="19" t="s">
        <v>42</v>
      </c>
      <c r="U750" s="102" t="s">
        <v>344</v>
      </c>
      <c r="V750" s="64">
        <v>44585</v>
      </c>
      <c r="W750" s="17" t="s">
        <v>69</v>
      </c>
      <c r="Y750" s="68">
        <v>44621</v>
      </c>
      <c r="Z750" s="17" t="s">
        <v>191</v>
      </c>
      <c r="AA750" s="17" t="s">
        <v>46</v>
      </c>
      <c r="AB750" s="17" t="s">
        <v>351</v>
      </c>
      <c r="AC750" s="66">
        <v>44679</v>
      </c>
      <c r="AD750" s="65">
        <v>1293</v>
      </c>
      <c r="AE750" s="17" t="s">
        <v>129</v>
      </c>
      <c r="AF750" s="17" t="s">
        <v>345</v>
      </c>
      <c r="AH750" s="17" t="s">
        <v>352</v>
      </c>
      <c r="AI750" s="95">
        <f t="shared" si="47"/>
        <v>212.904</v>
      </c>
    </row>
    <row r="751" s="17" customFormat="1" ht="15.6" hidden="1" spans="1:35">
      <c r="A751" s="17" t="s">
        <v>34</v>
      </c>
      <c r="B751" s="19">
        <v>768</v>
      </c>
      <c r="C751" s="101">
        <v>44581</v>
      </c>
      <c r="D751" s="17" t="s">
        <v>52</v>
      </c>
      <c r="E751" s="17" t="s">
        <v>187</v>
      </c>
      <c r="F751" s="17" t="s">
        <v>54</v>
      </c>
      <c r="H751" s="19">
        <v>1.2344</v>
      </c>
      <c r="I751" s="19"/>
      <c r="J751" s="17" t="s">
        <v>39</v>
      </c>
      <c r="K751" s="17">
        <v>222</v>
      </c>
      <c r="L751" s="91"/>
      <c r="M751" s="19">
        <v>2500</v>
      </c>
      <c r="N751" s="19" t="s">
        <v>40</v>
      </c>
      <c r="O751" s="19" t="s">
        <v>50</v>
      </c>
      <c r="P751" s="140">
        <v>1000</v>
      </c>
      <c r="Q751" s="17">
        <v>1458</v>
      </c>
      <c r="R751" s="17">
        <f t="shared" si="45"/>
        <v>-458</v>
      </c>
      <c r="S751" s="19">
        <v>2330</v>
      </c>
      <c r="T751" s="19" t="s">
        <v>42</v>
      </c>
      <c r="U751" s="102" t="s">
        <v>344</v>
      </c>
      <c r="V751" s="64">
        <v>44585</v>
      </c>
      <c r="W751" s="17" t="s">
        <v>69</v>
      </c>
      <c r="Y751" s="68">
        <v>44621</v>
      </c>
      <c r="Z751" s="17" t="s">
        <v>191</v>
      </c>
      <c r="AA751" s="17" t="s">
        <v>46</v>
      </c>
      <c r="AB751" s="17" t="s">
        <v>351</v>
      </c>
      <c r="AC751" s="66">
        <v>44679</v>
      </c>
      <c r="AD751" s="65">
        <v>1293</v>
      </c>
      <c r="AE751" s="17" t="s">
        <v>129</v>
      </c>
      <c r="AF751" s="17" t="s">
        <v>345</v>
      </c>
      <c r="AH751" s="17" t="s">
        <v>352</v>
      </c>
      <c r="AI751" s="95">
        <f t="shared" si="47"/>
        <v>212.904</v>
      </c>
    </row>
    <row r="752" s="17" customFormat="1" ht="15.6" hidden="1" spans="1:35">
      <c r="A752" s="17" t="s">
        <v>34</v>
      </c>
      <c r="B752" s="19">
        <v>768</v>
      </c>
      <c r="C752" s="101">
        <v>44581</v>
      </c>
      <c r="D752" s="17" t="s">
        <v>52</v>
      </c>
      <c r="E752" s="17" t="s">
        <v>187</v>
      </c>
      <c r="F752" s="17" t="s">
        <v>54</v>
      </c>
      <c r="H752" s="19">
        <v>1.2344</v>
      </c>
      <c r="I752" s="19"/>
      <c r="J752" s="17" t="s">
        <v>39</v>
      </c>
      <c r="K752" s="17">
        <v>232</v>
      </c>
      <c r="L752" s="91"/>
      <c r="M752" s="19">
        <v>2500</v>
      </c>
      <c r="N752" s="19" t="s">
        <v>40</v>
      </c>
      <c r="O752" s="19" t="s">
        <v>50</v>
      </c>
      <c r="P752" s="140">
        <v>1000</v>
      </c>
      <c r="Q752" s="17">
        <v>845</v>
      </c>
      <c r="R752" s="17">
        <f t="shared" si="45"/>
        <v>155</v>
      </c>
      <c r="S752" s="19">
        <v>2330</v>
      </c>
      <c r="T752" s="19" t="s">
        <v>42</v>
      </c>
      <c r="U752" s="102" t="s">
        <v>344</v>
      </c>
      <c r="V752" s="64">
        <v>44585</v>
      </c>
      <c r="W752" s="17" t="s">
        <v>69</v>
      </c>
      <c r="Y752" s="68">
        <v>44621</v>
      </c>
      <c r="Z752" s="17" t="s">
        <v>191</v>
      </c>
      <c r="AA752" s="17" t="s">
        <v>46</v>
      </c>
      <c r="AB752" s="17" t="s">
        <v>351</v>
      </c>
      <c r="AC752" s="66">
        <v>44679</v>
      </c>
      <c r="AD752" s="65">
        <v>1293</v>
      </c>
      <c r="AE752" s="17" t="s">
        <v>129</v>
      </c>
      <c r="AF752" s="17" t="s">
        <v>345</v>
      </c>
      <c r="AH752" s="17" t="s">
        <v>352</v>
      </c>
      <c r="AI752" s="95">
        <f t="shared" si="47"/>
        <v>212.904</v>
      </c>
    </row>
    <row r="753" s="17" customFormat="1" ht="15.6" hidden="1" spans="1:36">
      <c r="A753" s="17" t="s">
        <v>34</v>
      </c>
      <c r="B753" s="19">
        <v>768</v>
      </c>
      <c r="C753" s="101">
        <v>44581</v>
      </c>
      <c r="D753" s="17" t="s">
        <v>52</v>
      </c>
      <c r="E753" s="17" t="s">
        <v>187</v>
      </c>
      <c r="F753" s="17" t="s">
        <v>54</v>
      </c>
      <c r="H753" s="19">
        <v>1.2344</v>
      </c>
      <c r="I753" s="19"/>
      <c r="J753" s="17" t="s">
        <v>39</v>
      </c>
      <c r="K753" s="17">
        <v>262</v>
      </c>
      <c r="L753" s="91"/>
      <c r="M753" s="19">
        <v>2500</v>
      </c>
      <c r="N753" s="19" t="s">
        <v>40</v>
      </c>
      <c r="O753" s="19" t="s">
        <v>50</v>
      </c>
      <c r="P753" s="140">
        <v>1000</v>
      </c>
      <c r="Q753" s="17">
        <v>1854</v>
      </c>
      <c r="R753" s="17">
        <f t="shared" si="45"/>
        <v>-854</v>
      </c>
      <c r="S753" s="19">
        <v>2330</v>
      </c>
      <c r="T753" s="19" t="s">
        <v>42</v>
      </c>
      <c r="U753" s="102" t="s">
        <v>344</v>
      </c>
      <c r="V753" s="64">
        <v>44585</v>
      </c>
      <c r="W753" s="17" t="s">
        <v>69</v>
      </c>
      <c r="Y753" s="68">
        <v>44621</v>
      </c>
      <c r="Z753" s="17" t="s">
        <v>191</v>
      </c>
      <c r="AA753" s="17" t="s">
        <v>46</v>
      </c>
      <c r="AB753" s="17" t="s">
        <v>351</v>
      </c>
      <c r="AC753" s="66">
        <v>44679</v>
      </c>
      <c r="AD753" s="65">
        <v>1293</v>
      </c>
      <c r="AE753" s="17" t="s">
        <v>129</v>
      </c>
      <c r="AF753" s="17" t="s">
        <v>345</v>
      </c>
      <c r="AH753" s="17" t="s">
        <v>352</v>
      </c>
      <c r="AI753" s="95">
        <f t="shared" si="47"/>
        <v>212.904</v>
      </c>
    </row>
    <row r="754" s="17" customFormat="1" ht="15.6" hidden="1" spans="1:36">
      <c r="A754" s="17" t="s">
        <v>34</v>
      </c>
      <c r="B754" s="19">
        <v>768</v>
      </c>
      <c r="C754" s="101">
        <v>44581</v>
      </c>
      <c r="D754" s="17" t="s">
        <v>52</v>
      </c>
      <c r="E754" s="17" t="s">
        <v>187</v>
      </c>
      <c r="F754" s="17" t="s">
        <v>54</v>
      </c>
      <c r="H754" s="19">
        <v>1.2344</v>
      </c>
      <c r="I754" s="19"/>
      <c r="J754" s="17" t="s">
        <v>39</v>
      </c>
      <c r="K754" s="17">
        <v>282</v>
      </c>
      <c r="L754" s="91"/>
      <c r="M754" s="19">
        <v>2500</v>
      </c>
      <c r="N754" s="19" t="s">
        <v>40</v>
      </c>
      <c r="O754" s="19" t="s">
        <v>50</v>
      </c>
      <c r="P754" s="140">
        <v>1000</v>
      </c>
      <c r="Q754" s="17">
        <v>2771</v>
      </c>
      <c r="R754" s="17">
        <f t="shared" si="45"/>
        <v>-1771</v>
      </c>
      <c r="S754" s="19">
        <v>2330</v>
      </c>
      <c r="T754" s="19" t="s">
        <v>42</v>
      </c>
      <c r="U754" s="102" t="s">
        <v>344</v>
      </c>
      <c r="V754" s="64">
        <v>44585</v>
      </c>
      <c r="W754" s="17" t="s">
        <v>69</v>
      </c>
      <c r="Y754" s="68">
        <v>44621</v>
      </c>
      <c r="Z754" s="17" t="s">
        <v>191</v>
      </c>
      <c r="AA754" s="17" t="s">
        <v>46</v>
      </c>
      <c r="AB754" s="17" t="s">
        <v>351</v>
      </c>
      <c r="AC754" s="66">
        <v>44679</v>
      </c>
      <c r="AD754" s="65">
        <v>1293</v>
      </c>
      <c r="AE754" s="17" t="s">
        <v>129</v>
      </c>
      <c r="AF754" s="17" t="s">
        <v>345</v>
      </c>
      <c r="AH754" s="17" t="s">
        <v>352</v>
      </c>
      <c r="AI754" s="95">
        <f t="shared" si="47"/>
        <v>212.904</v>
      </c>
    </row>
    <row r="755" s="17" customFormat="1" ht="15.6" hidden="1" spans="1:36">
      <c r="A755" s="17" t="s">
        <v>34</v>
      </c>
      <c r="B755" s="19">
        <v>768</v>
      </c>
      <c r="C755" s="101">
        <v>44581</v>
      </c>
      <c r="D755" s="17" t="s">
        <v>52</v>
      </c>
      <c r="E755" s="17" t="s">
        <v>187</v>
      </c>
      <c r="F755" s="17" t="s">
        <v>54</v>
      </c>
      <c r="H755" s="19">
        <v>1.2344</v>
      </c>
      <c r="I755" s="19"/>
      <c r="J755" s="17" t="s">
        <v>39</v>
      </c>
      <c r="K755" s="17">
        <v>305</v>
      </c>
      <c r="L755" s="91"/>
      <c r="M755" s="19">
        <v>2500</v>
      </c>
      <c r="N755" s="19" t="s">
        <v>40</v>
      </c>
      <c r="O755" s="19" t="s">
        <v>50</v>
      </c>
      <c r="P755" s="140">
        <v>1000</v>
      </c>
      <c r="Q755" s="17">
        <f>1137+2846</f>
        <v>3983</v>
      </c>
      <c r="R755" s="17">
        <f t="shared" si="45"/>
        <v>-2983</v>
      </c>
      <c r="S755" s="19">
        <v>2330</v>
      </c>
      <c r="T755" s="19" t="s">
        <v>42</v>
      </c>
      <c r="U755" s="102" t="s">
        <v>344</v>
      </c>
      <c r="V755" s="64">
        <v>44585</v>
      </c>
      <c r="W755" s="17" t="s">
        <v>69</v>
      </c>
      <c r="Y755" s="68">
        <v>44621</v>
      </c>
      <c r="Z755" s="17" t="s">
        <v>191</v>
      </c>
      <c r="AA755" s="17" t="s">
        <v>46</v>
      </c>
      <c r="AB755" s="17" t="s">
        <v>351</v>
      </c>
      <c r="AC755" s="66">
        <v>44679</v>
      </c>
      <c r="AD755" s="65">
        <v>1293</v>
      </c>
      <c r="AE755" s="17" t="s">
        <v>129</v>
      </c>
      <c r="AF755" s="17" t="s">
        <v>345</v>
      </c>
      <c r="AH755" s="17" t="s">
        <v>352</v>
      </c>
      <c r="AI755" s="95">
        <f t="shared" si="47"/>
        <v>212.904</v>
      </c>
    </row>
    <row r="756" s="17" customFormat="1" ht="15.6" hidden="1" spans="1:36">
      <c r="A756" s="17" t="s">
        <v>34</v>
      </c>
      <c r="B756" s="19">
        <v>768</v>
      </c>
      <c r="C756" s="101">
        <v>44581</v>
      </c>
      <c r="D756" s="17" t="s">
        <v>52</v>
      </c>
      <c r="E756" s="17" t="s">
        <v>187</v>
      </c>
      <c r="F756" s="17" t="s">
        <v>54</v>
      </c>
      <c r="H756" s="19">
        <v>1.2344</v>
      </c>
      <c r="I756" s="19"/>
      <c r="J756" s="17" t="s">
        <v>39</v>
      </c>
      <c r="K756" s="17">
        <v>332</v>
      </c>
      <c r="L756" s="91"/>
      <c r="M756" s="19">
        <v>2500</v>
      </c>
      <c r="N756" s="19" t="s">
        <v>40</v>
      </c>
      <c r="O756" s="19" t="s">
        <v>50</v>
      </c>
      <c r="P756" s="140">
        <v>2720</v>
      </c>
      <c r="Q756" s="17">
        <v>2195</v>
      </c>
      <c r="R756" s="17">
        <f t="shared" si="45"/>
        <v>525</v>
      </c>
      <c r="S756" s="19">
        <v>2330</v>
      </c>
      <c r="T756" s="19" t="s">
        <v>42</v>
      </c>
      <c r="U756" s="102" t="s">
        <v>344</v>
      </c>
      <c r="V756" s="64">
        <v>44585</v>
      </c>
      <c r="W756" s="17" t="s">
        <v>69</v>
      </c>
      <c r="Y756" s="68">
        <v>44621</v>
      </c>
      <c r="Z756" s="17" t="s">
        <v>191</v>
      </c>
      <c r="AA756" s="17" t="s">
        <v>46</v>
      </c>
      <c r="AB756" s="17" t="s">
        <v>351</v>
      </c>
      <c r="AC756" s="66">
        <v>44679</v>
      </c>
      <c r="AD756" s="65">
        <v>1293</v>
      </c>
      <c r="AE756" s="17" t="s">
        <v>129</v>
      </c>
      <c r="AF756" s="17" t="s">
        <v>345</v>
      </c>
      <c r="AH756" s="17" t="s">
        <v>352</v>
      </c>
      <c r="AI756" s="95">
        <f t="shared" si="47"/>
        <v>212.904</v>
      </c>
    </row>
    <row r="757" s="17" customFormat="1" ht="15.6" hidden="1" spans="1:36">
      <c r="A757" s="17" t="s">
        <v>34</v>
      </c>
      <c r="B757" s="19">
        <v>768</v>
      </c>
      <c r="C757" s="101">
        <v>44581</v>
      </c>
      <c r="D757" s="17" t="s">
        <v>52</v>
      </c>
      <c r="E757" s="17" t="s">
        <v>187</v>
      </c>
      <c r="F757" s="17" t="s">
        <v>54</v>
      </c>
      <c r="H757" s="19">
        <v>1.2344</v>
      </c>
      <c r="I757" s="19"/>
      <c r="J757" s="17" t="s">
        <v>39</v>
      </c>
      <c r="K757" s="17">
        <v>362</v>
      </c>
      <c r="L757" s="91"/>
      <c r="M757" s="19">
        <v>2500</v>
      </c>
      <c r="N757" s="19" t="s">
        <v>40</v>
      </c>
      <c r="O757" s="19" t="s">
        <v>50</v>
      </c>
      <c r="P757" s="140">
        <v>3234</v>
      </c>
      <c r="Q757" s="17">
        <v>2141</v>
      </c>
      <c r="R757" s="17">
        <f t="shared" si="45"/>
        <v>1093</v>
      </c>
      <c r="S757" s="19">
        <v>2330</v>
      </c>
      <c r="T757" s="19" t="s">
        <v>42</v>
      </c>
      <c r="U757" s="102" t="s">
        <v>344</v>
      </c>
      <c r="V757" s="64">
        <v>44585</v>
      </c>
      <c r="W757" s="17" t="s">
        <v>69</v>
      </c>
      <c r="Y757" s="68">
        <v>44621</v>
      </c>
      <c r="Z757" s="17" t="s">
        <v>191</v>
      </c>
      <c r="AA757" s="17" t="s">
        <v>46</v>
      </c>
      <c r="AB757" s="17" t="s">
        <v>351</v>
      </c>
      <c r="AC757" s="66">
        <v>44679</v>
      </c>
      <c r="AD757" s="65">
        <v>1293</v>
      </c>
      <c r="AE757" s="17" t="s">
        <v>129</v>
      </c>
      <c r="AF757" s="17" t="s">
        <v>345</v>
      </c>
      <c r="AH757" s="17" t="s">
        <v>352</v>
      </c>
      <c r="AI757" s="95">
        <f t="shared" si="47"/>
        <v>212.904</v>
      </c>
    </row>
    <row r="758" s="18" customFormat="1" ht="15.6" hidden="1" spans="1:36">
      <c r="B758" s="75">
        <v>768</v>
      </c>
      <c r="C758" s="135">
        <v>44581</v>
      </c>
      <c r="D758" s="18" t="s">
        <v>52</v>
      </c>
      <c r="E758" s="18" t="s">
        <v>187</v>
      </c>
      <c r="F758" s="18" t="s">
        <v>54</v>
      </c>
      <c r="H758" s="75">
        <v>1.2344</v>
      </c>
      <c r="I758" s="75"/>
      <c r="J758" s="18" t="s">
        <v>39</v>
      </c>
      <c r="K758" s="18">
        <v>405</v>
      </c>
      <c r="L758" s="111"/>
      <c r="M758" s="75">
        <v>2500</v>
      </c>
      <c r="N758" s="75" t="s">
        <v>40</v>
      </c>
      <c r="O758" s="75" t="s">
        <v>50</v>
      </c>
      <c r="P758" s="139">
        <v>4048</v>
      </c>
      <c r="R758" s="18">
        <f t="shared" si="45"/>
        <v>4048</v>
      </c>
      <c r="S758" s="75">
        <v>2380</v>
      </c>
      <c r="T758" s="75" t="s">
        <v>42</v>
      </c>
      <c r="U758" s="137" t="s">
        <v>344</v>
      </c>
      <c r="V758" s="138">
        <v>44585</v>
      </c>
      <c r="W758" s="18" t="s">
        <v>69</v>
      </c>
      <c r="Y758" s="114">
        <v>44621</v>
      </c>
      <c r="Z758" s="18" t="s">
        <v>191</v>
      </c>
      <c r="AA758" s="18" t="s">
        <v>46</v>
      </c>
      <c r="AC758" s="83"/>
      <c r="AD758" s="77"/>
      <c r="AE758" s="18" t="s">
        <v>129</v>
      </c>
      <c r="AF758" s="18" t="s">
        <v>345</v>
      </c>
      <c r="AH758" s="18" t="s">
        <v>353</v>
      </c>
      <c r="AI758" s="113">
        <f>217198/1000</f>
        <v>217.198</v>
      </c>
      <c r="AJ758" s="18" t="s">
        <v>347</v>
      </c>
    </row>
    <row r="759" s="17" customFormat="1" ht="15.6" hidden="1" spans="1:36">
      <c r="A759" s="17" t="s">
        <v>34</v>
      </c>
      <c r="B759" s="19">
        <v>768</v>
      </c>
      <c r="C759" s="101">
        <v>44581</v>
      </c>
      <c r="D759" s="17" t="s">
        <v>52</v>
      </c>
      <c r="E759" s="17" t="s">
        <v>187</v>
      </c>
      <c r="F759" s="17" t="s">
        <v>54</v>
      </c>
      <c r="H759" s="19">
        <v>1.2344</v>
      </c>
      <c r="I759" s="19"/>
      <c r="J759" s="17" t="s">
        <v>82</v>
      </c>
      <c r="K759" s="17">
        <v>610</v>
      </c>
      <c r="L759" s="91">
        <v>305</v>
      </c>
      <c r="M759" s="19">
        <v>2000</v>
      </c>
      <c r="N759" s="19" t="s">
        <v>40</v>
      </c>
      <c r="O759" s="19" t="s">
        <v>50</v>
      </c>
      <c r="P759" s="140">
        <v>5000</v>
      </c>
      <c r="Q759" s="17">
        <v>4435</v>
      </c>
      <c r="R759" s="17">
        <f t="shared" si="45"/>
        <v>565</v>
      </c>
      <c r="S759" s="19">
        <v>2410</v>
      </c>
      <c r="T759" s="19" t="s">
        <v>42</v>
      </c>
      <c r="U759" s="102" t="s">
        <v>344</v>
      </c>
      <c r="V759" s="64">
        <v>44585</v>
      </c>
      <c r="W759" s="17" t="s">
        <v>69</v>
      </c>
      <c r="Y759" s="68">
        <v>44621</v>
      </c>
      <c r="Z759" s="17" t="s">
        <v>191</v>
      </c>
      <c r="AA759" s="17" t="s">
        <v>46</v>
      </c>
      <c r="AB759" s="17" t="s">
        <v>351</v>
      </c>
      <c r="AC759" s="66">
        <v>44679</v>
      </c>
      <c r="AD759" s="65">
        <v>1293</v>
      </c>
      <c r="AE759" s="17" t="s">
        <v>129</v>
      </c>
      <c r="AF759" s="17" t="s">
        <v>345</v>
      </c>
      <c r="AH759" s="17" t="s">
        <v>354</v>
      </c>
      <c r="AI759" s="95">
        <f>219775/1000</f>
        <v>219.775</v>
      </c>
    </row>
    <row r="760" s="17" customFormat="1" ht="15.6" hidden="1" spans="1:36">
      <c r="A760" s="17" t="s">
        <v>34</v>
      </c>
      <c r="B760" s="19">
        <v>768</v>
      </c>
      <c r="C760" s="101">
        <v>44581</v>
      </c>
      <c r="D760" s="17" t="s">
        <v>52</v>
      </c>
      <c r="E760" s="17" t="s">
        <v>187</v>
      </c>
      <c r="F760" s="17" t="s">
        <v>54</v>
      </c>
      <c r="H760" s="19">
        <v>1.2344</v>
      </c>
      <c r="I760" s="19"/>
      <c r="J760" s="17" t="s">
        <v>82</v>
      </c>
      <c r="K760" s="17">
        <v>610</v>
      </c>
      <c r="L760" s="91">
        <v>355</v>
      </c>
      <c r="M760" s="19">
        <v>2000</v>
      </c>
      <c r="N760" s="19" t="s">
        <v>40</v>
      </c>
      <c r="O760" s="19" t="s">
        <v>50</v>
      </c>
      <c r="P760" s="140">
        <v>5000</v>
      </c>
      <c r="Q760" s="17">
        <v>4495</v>
      </c>
      <c r="R760" s="17">
        <f t="shared" si="45"/>
        <v>505</v>
      </c>
      <c r="S760" s="19">
        <v>2410</v>
      </c>
      <c r="T760" s="19" t="s">
        <v>42</v>
      </c>
      <c r="U760" s="102" t="s">
        <v>344</v>
      </c>
      <c r="V760" s="64">
        <v>44585</v>
      </c>
      <c r="W760" s="17" t="s">
        <v>69</v>
      </c>
      <c r="Y760" s="68">
        <v>44621</v>
      </c>
      <c r="Z760" s="17" t="s">
        <v>191</v>
      </c>
      <c r="AA760" s="17" t="s">
        <v>46</v>
      </c>
      <c r="AB760" s="17" t="s">
        <v>351</v>
      </c>
      <c r="AC760" s="66">
        <v>44679</v>
      </c>
      <c r="AD760" s="65">
        <v>1293</v>
      </c>
      <c r="AE760" s="17" t="s">
        <v>129</v>
      </c>
      <c r="AF760" s="17" t="s">
        <v>345</v>
      </c>
      <c r="AH760" s="17" t="s">
        <v>354</v>
      </c>
      <c r="AI760" s="95">
        <f>219775/1000</f>
        <v>219.775</v>
      </c>
    </row>
    <row r="761" s="18" customFormat="1" ht="15.6" hidden="1" spans="1:36">
      <c r="B761" s="75">
        <v>768</v>
      </c>
      <c r="C761" s="135">
        <v>44581</v>
      </c>
      <c r="D761" s="18" t="s">
        <v>52</v>
      </c>
      <c r="E761" s="18" t="s">
        <v>187</v>
      </c>
      <c r="F761" s="18" t="s">
        <v>54</v>
      </c>
      <c r="H761" s="75">
        <v>1.2379</v>
      </c>
      <c r="I761" s="75"/>
      <c r="J761" s="18" t="s">
        <v>39</v>
      </c>
      <c r="K761" s="18">
        <v>16</v>
      </c>
      <c r="L761" s="111"/>
      <c r="M761" s="75">
        <v>2500</v>
      </c>
      <c r="N761" s="75" t="s">
        <v>40</v>
      </c>
      <c r="O761" s="75" t="s">
        <v>84</v>
      </c>
      <c r="P761" s="139">
        <v>1000</v>
      </c>
      <c r="R761" s="18">
        <f t="shared" si="45"/>
        <v>1000</v>
      </c>
      <c r="S761" s="75">
        <v>2650</v>
      </c>
      <c r="T761" s="75" t="s">
        <v>42</v>
      </c>
      <c r="U761" s="137" t="s">
        <v>344</v>
      </c>
      <c r="V761" s="138">
        <v>44585</v>
      </c>
      <c r="W761" s="18" t="s">
        <v>69</v>
      </c>
      <c r="Y761" s="114">
        <v>44621</v>
      </c>
      <c r="Z761" s="18" t="s">
        <v>191</v>
      </c>
      <c r="AA761" s="18" t="s">
        <v>46</v>
      </c>
      <c r="AC761" s="83"/>
      <c r="AD761" s="77"/>
      <c r="AE761" s="18" t="s">
        <v>129</v>
      </c>
      <c r="AF761" s="18" t="s">
        <v>345</v>
      </c>
      <c r="AH761" s="18" t="s">
        <v>355</v>
      </c>
      <c r="AI761" s="113">
        <f>240386/1000</f>
        <v>240.386</v>
      </c>
      <c r="AJ761" s="18" t="s">
        <v>347</v>
      </c>
    </row>
    <row r="762" s="18" customFormat="1" ht="15.6" hidden="1" spans="1:36">
      <c r="B762" s="75">
        <v>768</v>
      </c>
      <c r="C762" s="135">
        <v>44581</v>
      </c>
      <c r="D762" s="18" t="s">
        <v>52</v>
      </c>
      <c r="E762" s="18" t="s">
        <v>187</v>
      </c>
      <c r="F762" s="18" t="s">
        <v>54</v>
      </c>
      <c r="H762" s="75">
        <v>1.2379</v>
      </c>
      <c r="I762" s="75"/>
      <c r="J762" s="18" t="s">
        <v>39</v>
      </c>
      <c r="K762" s="18">
        <v>20</v>
      </c>
      <c r="L762" s="111"/>
      <c r="M762" s="75">
        <v>2500</v>
      </c>
      <c r="N762" s="75" t="s">
        <v>40</v>
      </c>
      <c r="O762" s="75" t="s">
        <v>84</v>
      </c>
      <c r="P762" s="139">
        <v>1000</v>
      </c>
      <c r="R762" s="18">
        <f t="shared" si="45"/>
        <v>1000</v>
      </c>
      <c r="S762" s="75">
        <v>2650</v>
      </c>
      <c r="T762" s="75" t="s">
        <v>42</v>
      </c>
      <c r="U762" s="137" t="s">
        <v>344</v>
      </c>
      <c r="V762" s="138">
        <v>44585</v>
      </c>
      <c r="W762" s="18" t="s">
        <v>69</v>
      </c>
      <c r="Y762" s="114">
        <v>44621</v>
      </c>
      <c r="Z762" s="18" t="s">
        <v>191</v>
      </c>
      <c r="AA762" s="18" t="s">
        <v>46</v>
      </c>
      <c r="AC762" s="83"/>
      <c r="AD762" s="77"/>
      <c r="AE762" s="18" t="s">
        <v>129</v>
      </c>
      <c r="AF762" s="18" t="s">
        <v>345</v>
      </c>
      <c r="AH762" s="18" t="s">
        <v>355</v>
      </c>
      <c r="AI762" s="113">
        <f>240386/1000</f>
        <v>240.386</v>
      </c>
      <c r="AJ762" s="18" t="s">
        <v>347</v>
      </c>
    </row>
    <row r="763" s="18" customFormat="1" ht="15.6" hidden="1" spans="1:36">
      <c r="B763" s="75">
        <v>768</v>
      </c>
      <c r="C763" s="135">
        <v>44581</v>
      </c>
      <c r="D763" s="18" t="s">
        <v>52</v>
      </c>
      <c r="E763" s="18" t="s">
        <v>187</v>
      </c>
      <c r="F763" s="18" t="s">
        <v>54</v>
      </c>
      <c r="H763" s="75">
        <v>1.2379</v>
      </c>
      <c r="I763" s="75"/>
      <c r="J763" s="18" t="s">
        <v>39</v>
      </c>
      <c r="K763" s="18">
        <v>22</v>
      </c>
      <c r="L763" s="111"/>
      <c r="M763" s="75">
        <v>2500</v>
      </c>
      <c r="N763" s="75" t="s">
        <v>40</v>
      </c>
      <c r="O763" s="75" t="s">
        <v>84</v>
      </c>
      <c r="P763" s="139">
        <v>1000</v>
      </c>
      <c r="R763" s="18">
        <f t="shared" si="45"/>
        <v>1000</v>
      </c>
      <c r="S763" s="75">
        <v>2650</v>
      </c>
      <c r="T763" s="75" t="s">
        <v>42</v>
      </c>
      <c r="U763" s="137" t="s">
        <v>344</v>
      </c>
      <c r="V763" s="138">
        <v>44585</v>
      </c>
      <c r="W763" s="18" t="s">
        <v>69</v>
      </c>
      <c r="Y763" s="114">
        <v>44621</v>
      </c>
      <c r="Z763" s="18" t="s">
        <v>191</v>
      </c>
      <c r="AA763" s="18" t="s">
        <v>46</v>
      </c>
      <c r="AC763" s="83"/>
      <c r="AD763" s="77"/>
      <c r="AE763" s="18" t="s">
        <v>129</v>
      </c>
      <c r="AF763" s="18" t="s">
        <v>345</v>
      </c>
      <c r="AH763" s="18" t="s">
        <v>355</v>
      </c>
      <c r="AI763" s="113">
        <f>240386/1000</f>
        <v>240.386</v>
      </c>
      <c r="AJ763" s="18" t="s">
        <v>347</v>
      </c>
    </row>
    <row r="764" s="18" customFormat="1" ht="15.6" hidden="1" spans="1:36">
      <c r="B764" s="75">
        <v>768</v>
      </c>
      <c r="C764" s="135">
        <v>44581</v>
      </c>
      <c r="D764" s="18" t="s">
        <v>52</v>
      </c>
      <c r="E764" s="18" t="s">
        <v>187</v>
      </c>
      <c r="F764" s="18" t="s">
        <v>54</v>
      </c>
      <c r="H764" s="75">
        <v>1.2379</v>
      </c>
      <c r="I764" s="75"/>
      <c r="J764" s="18" t="s">
        <v>39</v>
      </c>
      <c r="K764" s="18">
        <v>26</v>
      </c>
      <c r="L764" s="111"/>
      <c r="M764" s="75">
        <v>2500</v>
      </c>
      <c r="N764" s="75" t="s">
        <v>40</v>
      </c>
      <c r="O764" s="75" t="s">
        <v>84</v>
      </c>
      <c r="P764" s="139">
        <v>1000</v>
      </c>
      <c r="Q764" s="18">
        <v>606</v>
      </c>
      <c r="R764" s="18">
        <f t="shared" si="45"/>
        <v>394</v>
      </c>
      <c r="S764" s="75">
        <v>2625</v>
      </c>
      <c r="T764" s="75" t="s">
        <v>42</v>
      </c>
      <c r="U764" s="137" t="s">
        <v>344</v>
      </c>
      <c r="V764" s="76">
        <v>44585</v>
      </c>
      <c r="W764" s="18" t="s">
        <v>69</v>
      </c>
      <c r="Y764" s="114">
        <v>44621</v>
      </c>
      <c r="Z764" s="18" t="s">
        <v>191</v>
      </c>
      <c r="AA764" s="18" t="s">
        <v>46</v>
      </c>
      <c r="AB764" s="18" t="s">
        <v>356</v>
      </c>
      <c r="AC764" s="83">
        <v>44873</v>
      </c>
      <c r="AD764" s="77">
        <v>1328</v>
      </c>
      <c r="AE764" s="18" t="s">
        <v>129</v>
      </c>
      <c r="AF764" s="18" t="s">
        <v>345</v>
      </c>
      <c r="AH764" s="18" t="s">
        <v>357</v>
      </c>
      <c r="AI764" s="113">
        <f>238235.5/1000</f>
        <v>238.2355</v>
      </c>
      <c r="AJ764" s="18" t="s">
        <v>347</v>
      </c>
    </row>
    <row r="765" s="17" customFormat="1" ht="15.6" hidden="1" spans="1:36">
      <c r="A765" s="17" t="s">
        <v>34</v>
      </c>
      <c r="B765" s="19">
        <v>768</v>
      </c>
      <c r="C765" s="101">
        <v>44581</v>
      </c>
      <c r="D765" s="17" t="s">
        <v>52</v>
      </c>
      <c r="E765" s="17" t="s">
        <v>187</v>
      </c>
      <c r="F765" s="17" t="s">
        <v>54</v>
      </c>
      <c r="H765" s="19">
        <v>1.2379</v>
      </c>
      <c r="I765" s="19"/>
      <c r="J765" s="17" t="s">
        <v>39</v>
      </c>
      <c r="K765" s="17">
        <v>28</v>
      </c>
      <c r="L765" s="91"/>
      <c r="M765" s="19">
        <v>2500</v>
      </c>
      <c r="N765" s="19" t="s">
        <v>40</v>
      </c>
      <c r="O765" s="19" t="s">
        <v>84</v>
      </c>
      <c r="P765" s="140">
        <v>2000</v>
      </c>
      <c r="Q765" s="17">
        <f>720+476+466</f>
        <v>1662</v>
      </c>
      <c r="S765" s="19">
        <f t="shared" ref="S765:S773" si="48">2625-65</f>
        <v>2560</v>
      </c>
      <c r="T765" s="19" t="s">
        <v>42</v>
      </c>
      <c r="U765" s="102" t="s">
        <v>344</v>
      </c>
      <c r="V765" s="110">
        <v>44585</v>
      </c>
      <c r="W765" s="17" t="s">
        <v>69</v>
      </c>
      <c r="Y765" s="68">
        <v>44621</v>
      </c>
      <c r="Z765" s="17" t="s">
        <v>191</v>
      </c>
      <c r="AA765" s="17" t="s">
        <v>46</v>
      </c>
      <c r="AB765" s="17" t="s">
        <v>348</v>
      </c>
      <c r="AC765" s="66" t="s">
        <v>349</v>
      </c>
      <c r="AD765" s="65">
        <v>1326</v>
      </c>
      <c r="AE765" s="17" t="s">
        <v>129</v>
      </c>
      <c r="AF765" s="17" t="s">
        <v>345</v>
      </c>
      <c r="AH765" s="17" t="s">
        <v>357</v>
      </c>
      <c r="AI765" s="95">
        <f>238235.5/1000</f>
        <v>238.2355</v>
      </c>
    </row>
    <row r="766" s="17" customFormat="1" ht="15.6" hidden="1" spans="1:36">
      <c r="A766" s="17" t="s">
        <v>34</v>
      </c>
      <c r="B766" s="19">
        <v>768</v>
      </c>
      <c r="C766" s="101">
        <v>44581</v>
      </c>
      <c r="D766" s="17" t="s">
        <v>52</v>
      </c>
      <c r="E766" s="17" t="s">
        <v>187</v>
      </c>
      <c r="F766" s="17" t="s">
        <v>54</v>
      </c>
      <c r="H766" s="19">
        <v>1.2379</v>
      </c>
      <c r="I766" s="19"/>
      <c r="J766" s="17" t="s">
        <v>39</v>
      </c>
      <c r="K766" s="17">
        <v>28</v>
      </c>
      <c r="L766" s="91"/>
      <c r="M766" s="19">
        <v>2500</v>
      </c>
      <c r="N766" s="19" t="s">
        <v>40</v>
      </c>
      <c r="O766" s="19" t="s">
        <v>84</v>
      </c>
      <c r="P766" s="140"/>
      <c r="Q766" s="17">
        <v>350</v>
      </c>
      <c r="R766" s="17">
        <f>+P765-Q765-Q766</f>
        <v>-12</v>
      </c>
      <c r="S766" s="19">
        <f t="shared" si="48"/>
        <v>2560</v>
      </c>
      <c r="T766" s="19" t="s">
        <v>42</v>
      </c>
      <c r="U766" s="102" t="s">
        <v>344</v>
      </c>
      <c r="V766" s="64">
        <v>44585</v>
      </c>
      <c r="W766" s="17" t="s">
        <v>69</v>
      </c>
      <c r="Y766" s="68">
        <v>44621</v>
      </c>
      <c r="Z766" s="17" t="s">
        <v>191</v>
      </c>
      <c r="AA766" s="17" t="s">
        <v>46</v>
      </c>
      <c r="AB766" s="17" t="s">
        <v>356</v>
      </c>
      <c r="AC766" s="66">
        <v>44873</v>
      </c>
      <c r="AD766" s="65">
        <v>1328</v>
      </c>
      <c r="AE766" s="17" t="s">
        <v>129</v>
      </c>
      <c r="AI766" s="95"/>
    </row>
    <row r="767" s="17" customFormat="1" ht="15.6" hidden="1" spans="1:36">
      <c r="A767" s="17" t="s">
        <v>34</v>
      </c>
      <c r="B767" s="19">
        <v>768</v>
      </c>
      <c r="C767" s="101">
        <v>44581</v>
      </c>
      <c r="D767" s="17" t="s">
        <v>52</v>
      </c>
      <c r="E767" s="17" t="s">
        <v>187</v>
      </c>
      <c r="F767" s="17" t="s">
        <v>54</v>
      </c>
      <c r="H767" s="19">
        <v>1.2379</v>
      </c>
      <c r="I767" s="19"/>
      <c r="J767" s="17" t="s">
        <v>39</v>
      </c>
      <c r="K767" s="17">
        <v>32</v>
      </c>
      <c r="L767" s="91"/>
      <c r="M767" s="19">
        <v>2500</v>
      </c>
      <c r="N767" s="19" t="s">
        <v>40</v>
      </c>
      <c r="O767" s="19" t="s">
        <v>84</v>
      </c>
      <c r="P767" s="140">
        <v>2000</v>
      </c>
      <c r="Q767" s="17">
        <f>732+738</f>
        <v>1470</v>
      </c>
      <c r="S767" s="19">
        <f t="shared" si="48"/>
        <v>2560</v>
      </c>
      <c r="T767" s="19" t="s">
        <v>42</v>
      </c>
      <c r="U767" s="102" t="s">
        <v>344</v>
      </c>
      <c r="V767" s="110">
        <v>44585</v>
      </c>
      <c r="W767" s="17" t="s">
        <v>69</v>
      </c>
      <c r="Y767" s="68">
        <v>44621</v>
      </c>
      <c r="Z767" s="17" t="s">
        <v>191</v>
      </c>
      <c r="AA767" s="17" t="s">
        <v>46</v>
      </c>
      <c r="AB767" s="17" t="s">
        <v>348</v>
      </c>
      <c r="AC767" s="66" t="s">
        <v>349</v>
      </c>
      <c r="AD767" s="65">
        <v>1326</v>
      </c>
      <c r="AE767" s="17" t="s">
        <v>129</v>
      </c>
      <c r="AF767" s="17" t="s">
        <v>345</v>
      </c>
      <c r="AH767" s="17" t="s">
        <v>357</v>
      </c>
      <c r="AI767" s="95">
        <f>238235.5/1000</f>
        <v>238.2355</v>
      </c>
    </row>
    <row r="768" s="17" customFormat="1" ht="15.6" hidden="1" spans="1:36">
      <c r="A768" s="17" t="s">
        <v>34</v>
      </c>
      <c r="B768" s="19">
        <v>768</v>
      </c>
      <c r="C768" s="101">
        <v>44581</v>
      </c>
      <c r="D768" s="17" t="s">
        <v>52</v>
      </c>
      <c r="E768" s="17" t="s">
        <v>187</v>
      </c>
      <c r="F768" s="17" t="s">
        <v>54</v>
      </c>
      <c r="H768" s="19">
        <v>1.2379</v>
      </c>
      <c r="I768" s="19"/>
      <c r="J768" s="17" t="s">
        <v>39</v>
      </c>
      <c r="K768" s="17">
        <v>33</v>
      </c>
      <c r="L768" s="91"/>
      <c r="M768" s="19">
        <v>2500</v>
      </c>
      <c r="N768" s="19" t="s">
        <v>40</v>
      </c>
      <c r="O768" s="19" t="s">
        <v>84</v>
      </c>
      <c r="P768" s="140"/>
      <c r="Q768" s="17">
        <f>606+606+658+602</f>
        <v>2472</v>
      </c>
      <c r="R768" s="17">
        <f>+P767-Q767-Q768</f>
        <v>-1942</v>
      </c>
      <c r="S768" s="19">
        <f t="shared" si="48"/>
        <v>2560</v>
      </c>
      <c r="T768" s="19" t="s">
        <v>42</v>
      </c>
      <c r="U768" s="102" t="s">
        <v>344</v>
      </c>
      <c r="V768" s="64">
        <v>44585</v>
      </c>
      <c r="W768" s="17" t="s">
        <v>69</v>
      </c>
      <c r="Y768" s="68">
        <v>44621</v>
      </c>
      <c r="Z768" s="17" t="s">
        <v>191</v>
      </c>
      <c r="AA768" s="17" t="s">
        <v>46</v>
      </c>
      <c r="AB768" s="17" t="s">
        <v>356</v>
      </c>
      <c r="AC768" s="66">
        <v>44873</v>
      </c>
      <c r="AD768" s="65">
        <v>1328</v>
      </c>
      <c r="AE768" s="17" t="s">
        <v>129</v>
      </c>
      <c r="AI768" s="95"/>
    </row>
    <row r="769" s="17" customFormat="1" ht="15.6" hidden="1" spans="1:36">
      <c r="A769" s="17" t="s">
        <v>34</v>
      </c>
      <c r="B769" s="19">
        <v>768</v>
      </c>
      <c r="C769" s="101">
        <v>44581</v>
      </c>
      <c r="D769" s="17" t="s">
        <v>52</v>
      </c>
      <c r="E769" s="17" t="s">
        <v>187</v>
      </c>
      <c r="F769" s="17" t="s">
        <v>54</v>
      </c>
      <c r="H769" s="19">
        <v>1.2379</v>
      </c>
      <c r="I769" s="19"/>
      <c r="J769" s="17" t="s">
        <v>39</v>
      </c>
      <c r="K769" s="17">
        <v>36</v>
      </c>
      <c r="L769" s="91"/>
      <c r="M769" s="19">
        <v>2500</v>
      </c>
      <c r="N769" s="19" t="s">
        <v>40</v>
      </c>
      <c r="O769" s="19" t="s">
        <v>84</v>
      </c>
      <c r="P769" s="140">
        <v>2000</v>
      </c>
      <c r="Q769" s="17">
        <f>744+498+490</f>
        <v>1732</v>
      </c>
      <c r="S769" s="19">
        <f t="shared" si="48"/>
        <v>2560</v>
      </c>
      <c r="T769" s="19" t="s">
        <v>42</v>
      </c>
      <c r="U769" s="102" t="s">
        <v>344</v>
      </c>
      <c r="V769" s="110">
        <v>44585</v>
      </c>
      <c r="W769" s="17" t="s">
        <v>69</v>
      </c>
      <c r="Y769" s="68">
        <v>44621</v>
      </c>
      <c r="Z769" s="17" t="s">
        <v>191</v>
      </c>
      <c r="AA769" s="17" t="s">
        <v>46</v>
      </c>
      <c r="AB769" s="17" t="s">
        <v>348</v>
      </c>
      <c r="AC769" s="66" t="s">
        <v>349</v>
      </c>
      <c r="AD769" s="65">
        <v>1326</v>
      </c>
      <c r="AE769" s="17" t="s">
        <v>129</v>
      </c>
      <c r="AF769" s="17" t="s">
        <v>345</v>
      </c>
      <c r="AH769" s="17" t="s">
        <v>357</v>
      </c>
      <c r="AI769" s="95">
        <f>238235.5/1000</f>
        <v>238.2355</v>
      </c>
    </row>
    <row r="770" s="17" customFormat="1" ht="15.6" hidden="1" spans="1:36">
      <c r="A770" s="17" t="s">
        <v>34</v>
      </c>
      <c r="B770" s="19">
        <v>768</v>
      </c>
      <c r="C770" s="101">
        <v>44581</v>
      </c>
      <c r="D770" s="17" t="s">
        <v>52</v>
      </c>
      <c r="E770" s="17" t="s">
        <v>187</v>
      </c>
      <c r="F770" s="17" t="s">
        <v>54</v>
      </c>
      <c r="H770" s="19">
        <v>1.2379</v>
      </c>
      <c r="I770" s="19"/>
      <c r="J770" s="17" t="s">
        <v>39</v>
      </c>
      <c r="K770" s="17">
        <v>36</v>
      </c>
      <c r="L770" s="91"/>
      <c r="M770" s="19">
        <v>2500</v>
      </c>
      <c r="N770" s="19" t="s">
        <v>40</v>
      </c>
      <c r="O770" s="19" t="s">
        <v>84</v>
      </c>
      <c r="P770" s="140"/>
      <c r="Q770" s="17">
        <v>322</v>
      </c>
      <c r="R770" s="17">
        <f>+P769-Q769-Q770</f>
        <v>-54</v>
      </c>
      <c r="S770" s="19">
        <f t="shared" si="48"/>
        <v>2560</v>
      </c>
      <c r="T770" s="19" t="s">
        <v>42</v>
      </c>
      <c r="U770" s="102" t="s">
        <v>344</v>
      </c>
      <c r="V770" s="64">
        <v>44585</v>
      </c>
      <c r="W770" s="17" t="s">
        <v>69</v>
      </c>
      <c r="Y770" s="68">
        <v>44621</v>
      </c>
      <c r="Z770" s="17" t="s">
        <v>191</v>
      </c>
      <c r="AA770" s="17" t="s">
        <v>46</v>
      </c>
      <c r="AB770" s="17" t="s">
        <v>356</v>
      </c>
      <c r="AC770" s="66">
        <v>44873</v>
      </c>
      <c r="AD770" s="65">
        <v>1328</v>
      </c>
      <c r="AE770" s="17" t="s">
        <v>129</v>
      </c>
      <c r="AI770" s="95"/>
    </row>
    <row r="771" s="17" customFormat="1" ht="15.6" hidden="1" spans="1:36">
      <c r="A771" s="17" t="s">
        <v>34</v>
      </c>
      <c r="B771" s="19">
        <v>768</v>
      </c>
      <c r="C771" s="101">
        <v>44581</v>
      </c>
      <c r="D771" s="17" t="s">
        <v>52</v>
      </c>
      <c r="E771" s="17" t="s">
        <v>187</v>
      </c>
      <c r="F771" s="17" t="s">
        <v>54</v>
      </c>
      <c r="H771" s="19">
        <v>1.2379</v>
      </c>
      <c r="I771" s="19"/>
      <c r="J771" s="17" t="s">
        <v>39</v>
      </c>
      <c r="K771" s="17">
        <v>40</v>
      </c>
      <c r="L771" s="91"/>
      <c r="M771" s="19">
        <v>2500</v>
      </c>
      <c r="N771" s="19" t="s">
        <v>40</v>
      </c>
      <c r="O771" s="19" t="s">
        <v>84</v>
      </c>
      <c r="P771" s="140">
        <v>2000</v>
      </c>
      <c r="Q771" s="17">
        <f>736+320</f>
        <v>1056</v>
      </c>
      <c r="S771" s="19">
        <f t="shared" si="48"/>
        <v>2560</v>
      </c>
      <c r="T771" s="19" t="s">
        <v>42</v>
      </c>
      <c r="U771" s="102" t="s">
        <v>344</v>
      </c>
      <c r="V771" s="110">
        <v>44585</v>
      </c>
      <c r="W771" s="17" t="s">
        <v>69</v>
      </c>
      <c r="Y771" s="68">
        <v>44621</v>
      </c>
      <c r="Z771" s="17" t="s">
        <v>191</v>
      </c>
      <c r="AA771" s="17" t="s">
        <v>46</v>
      </c>
      <c r="AB771" s="17" t="s">
        <v>348</v>
      </c>
      <c r="AC771" s="66" t="s">
        <v>349</v>
      </c>
      <c r="AD771" s="65">
        <v>1326</v>
      </c>
      <c r="AE771" s="17" t="s">
        <v>129</v>
      </c>
      <c r="AF771" s="17" t="s">
        <v>345</v>
      </c>
      <c r="AH771" s="17" t="s">
        <v>357</v>
      </c>
      <c r="AI771" s="95">
        <f>238235.5/1000</f>
        <v>238.2355</v>
      </c>
    </row>
    <row r="772" s="17" customFormat="1" ht="15.6" hidden="1" spans="1:36">
      <c r="A772" s="17" t="s">
        <v>34</v>
      </c>
      <c r="B772" s="19">
        <v>768</v>
      </c>
      <c r="C772" s="101">
        <v>44581</v>
      </c>
      <c r="D772" s="17" t="s">
        <v>52</v>
      </c>
      <c r="E772" s="17" t="s">
        <v>187</v>
      </c>
      <c r="F772" s="17" t="s">
        <v>54</v>
      </c>
      <c r="H772" s="19">
        <v>1.2379</v>
      </c>
      <c r="I772" s="19"/>
      <c r="J772" s="17" t="s">
        <v>39</v>
      </c>
      <c r="K772" s="17">
        <v>41</v>
      </c>
      <c r="L772" s="91"/>
      <c r="M772" s="19">
        <v>2500</v>
      </c>
      <c r="N772" s="19" t="s">
        <v>40</v>
      </c>
      <c r="O772" s="19" t="s">
        <v>84</v>
      </c>
      <c r="P772" s="140"/>
      <c r="Q772" s="17">
        <v>700</v>
      </c>
      <c r="R772" s="17">
        <f>+P771-Q771-Q772</f>
        <v>244</v>
      </c>
      <c r="S772" s="19">
        <f t="shared" si="48"/>
        <v>2560</v>
      </c>
      <c r="T772" s="19" t="s">
        <v>42</v>
      </c>
      <c r="U772" s="102" t="s">
        <v>344</v>
      </c>
      <c r="V772" s="64">
        <v>44585</v>
      </c>
      <c r="W772" s="17" t="s">
        <v>69</v>
      </c>
      <c r="Y772" s="68">
        <v>44621</v>
      </c>
      <c r="Z772" s="17" t="s">
        <v>191</v>
      </c>
      <c r="AA772" s="17" t="s">
        <v>46</v>
      </c>
      <c r="AB772" s="17" t="s">
        <v>356</v>
      </c>
      <c r="AC772" s="66">
        <v>44873</v>
      </c>
      <c r="AD772" s="65">
        <v>1328</v>
      </c>
      <c r="AE772" s="17" t="s">
        <v>129</v>
      </c>
      <c r="AI772" s="95"/>
    </row>
    <row r="773" s="18" customFormat="1" ht="15.6" hidden="1" spans="1:36">
      <c r="A773" s="18" t="s">
        <v>34</v>
      </c>
      <c r="B773" s="75">
        <v>768</v>
      </c>
      <c r="C773" s="135">
        <v>44581</v>
      </c>
      <c r="D773" s="18" t="s">
        <v>52</v>
      </c>
      <c r="E773" s="18" t="s">
        <v>187</v>
      </c>
      <c r="F773" s="18" t="s">
        <v>54</v>
      </c>
      <c r="H773" s="75">
        <v>1.2379</v>
      </c>
      <c r="I773" s="75"/>
      <c r="J773" s="18" t="s">
        <v>39</v>
      </c>
      <c r="K773" s="18">
        <v>45</v>
      </c>
      <c r="L773" s="111"/>
      <c r="M773" s="75">
        <v>2500</v>
      </c>
      <c r="N773" s="75" t="s">
        <v>40</v>
      </c>
      <c r="O773" s="75" t="s">
        <v>84</v>
      </c>
      <c r="P773" s="139">
        <v>2000</v>
      </c>
      <c r="Q773" s="18">
        <f>494+600+324</f>
        <v>1418</v>
      </c>
      <c r="R773" s="18">
        <f>+P773-Q773</f>
        <v>582</v>
      </c>
      <c r="S773" s="75">
        <f t="shared" si="48"/>
        <v>2560</v>
      </c>
      <c r="T773" s="75" t="s">
        <v>42</v>
      </c>
      <c r="U773" s="137" t="s">
        <v>344</v>
      </c>
      <c r="V773" s="76">
        <v>44585</v>
      </c>
      <c r="W773" s="18" t="s">
        <v>69</v>
      </c>
      <c r="Y773" s="114">
        <v>44621</v>
      </c>
      <c r="Z773" s="18" t="s">
        <v>191</v>
      </c>
      <c r="AA773" s="18" t="s">
        <v>46</v>
      </c>
      <c r="AB773" s="18" t="s">
        <v>356</v>
      </c>
      <c r="AC773" s="83">
        <v>44873</v>
      </c>
      <c r="AD773" s="77">
        <v>1328</v>
      </c>
      <c r="AE773" s="18" t="s">
        <v>129</v>
      </c>
      <c r="AF773" s="18" t="s">
        <v>345</v>
      </c>
      <c r="AH773" s="18" t="s">
        <v>357</v>
      </c>
      <c r="AI773" s="113">
        <f>238235.5/1000</f>
        <v>238.2355</v>
      </c>
      <c r="AJ773" s="18" t="s">
        <v>347</v>
      </c>
    </row>
    <row r="774" s="17" customFormat="1" ht="15.6" hidden="1" spans="1:36">
      <c r="A774" s="17" t="s">
        <v>34</v>
      </c>
      <c r="B774" s="19">
        <v>768</v>
      </c>
      <c r="C774" s="101">
        <v>44581</v>
      </c>
      <c r="D774" s="17" t="s">
        <v>52</v>
      </c>
      <c r="E774" s="17" t="s">
        <v>187</v>
      </c>
      <c r="F774" s="17" t="s">
        <v>54</v>
      </c>
      <c r="H774" s="19">
        <v>1.2379</v>
      </c>
      <c r="I774" s="19"/>
      <c r="J774" s="17" t="s">
        <v>39</v>
      </c>
      <c r="K774" s="17">
        <v>51</v>
      </c>
      <c r="L774" s="91"/>
      <c r="M774" s="19">
        <v>2500</v>
      </c>
      <c r="N774" s="19" t="s">
        <v>40</v>
      </c>
      <c r="O774" s="19" t="s">
        <v>50</v>
      </c>
      <c r="P774" s="140">
        <v>2500</v>
      </c>
      <c r="Q774" s="17">
        <v>2350</v>
      </c>
      <c r="R774" s="17">
        <f>+P774-Q774</f>
        <v>150</v>
      </c>
      <c r="S774" s="19">
        <v>2625</v>
      </c>
      <c r="T774" s="19" t="s">
        <v>42</v>
      </c>
      <c r="U774" s="102" t="s">
        <v>344</v>
      </c>
      <c r="V774" s="64">
        <v>44585</v>
      </c>
      <c r="W774" s="17" t="s">
        <v>69</v>
      </c>
      <c r="Y774" s="68">
        <v>44621</v>
      </c>
      <c r="Z774" s="17" t="s">
        <v>191</v>
      </c>
      <c r="AA774" s="17" t="s">
        <v>46</v>
      </c>
      <c r="AB774" s="17" t="s">
        <v>350</v>
      </c>
      <c r="AC774" s="66">
        <v>44714</v>
      </c>
      <c r="AD774" s="65">
        <v>1305</v>
      </c>
      <c r="AE774" s="17" t="s">
        <v>129</v>
      </c>
      <c r="AF774" s="17" t="s">
        <v>345</v>
      </c>
      <c r="AH774" s="17" t="s">
        <v>357</v>
      </c>
      <c r="AI774" s="95">
        <f>238235.5/1000</f>
        <v>238.2355</v>
      </c>
    </row>
    <row r="775" s="17" customFormat="1" ht="15.6" hidden="1" spans="1:36">
      <c r="A775" s="17" t="s">
        <v>34</v>
      </c>
      <c r="B775" s="19">
        <v>768</v>
      </c>
      <c r="C775" s="101">
        <v>44581</v>
      </c>
      <c r="D775" s="17" t="s">
        <v>52</v>
      </c>
      <c r="E775" s="17" t="s">
        <v>187</v>
      </c>
      <c r="F775" s="17" t="s">
        <v>54</v>
      </c>
      <c r="H775" s="19">
        <v>1.2379</v>
      </c>
      <c r="I775" s="19"/>
      <c r="J775" s="17" t="s">
        <v>39</v>
      </c>
      <c r="K775" s="17">
        <v>56</v>
      </c>
      <c r="L775" s="91"/>
      <c r="M775" s="19">
        <v>2500</v>
      </c>
      <c r="N775" s="19" t="s">
        <v>40</v>
      </c>
      <c r="O775" s="19" t="s">
        <v>50</v>
      </c>
      <c r="P775" s="140">
        <v>2500</v>
      </c>
      <c r="Q775" s="17">
        <f>720+722</f>
        <v>1442</v>
      </c>
      <c r="S775" s="19">
        <v>2550</v>
      </c>
      <c r="T775" s="19" t="s">
        <v>42</v>
      </c>
      <c r="U775" s="102" t="s">
        <v>344</v>
      </c>
      <c r="V775" s="64">
        <v>44585</v>
      </c>
      <c r="W775" s="17" t="s">
        <v>69</v>
      </c>
      <c r="Y775" s="68">
        <v>44621</v>
      </c>
      <c r="Z775" s="17" t="s">
        <v>191</v>
      </c>
      <c r="AA775" s="17" t="s">
        <v>46</v>
      </c>
      <c r="AB775" s="17" t="s">
        <v>350</v>
      </c>
      <c r="AC775" s="66">
        <v>44714</v>
      </c>
      <c r="AD775" s="65">
        <v>1305</v>
      </c>
      <c r="AE775" s="17" t="s">
        <v>129</v>
      </c>
      <c r="AF775" s="17" t="s">
        <v>345</v>
      </c>
      <c r="AH775" s="17" t="s">
        <v>358</v>
      </c>
      <c r="AI775" s="95">
        <f t="shared" ref="AI775:AI794" si="49">231798/1000</f>
        <v>231.798</v>
      </c>
    </row>
    <row r="776" s="17" customFormat="1" ht="15.6" hidden="1" spans="1:36">
      <c r="A776" s="17" t="s">
        <v>34</v>
      </c>
      <c r="B776" s="19">
        <v>768</v>
      </c>
      <c r="C776" s="101">
        <v>44581</v>
      </c>
      <c r="D776" s="17" t="s">
        <v>52</v>
      </c>
      <c r="E776" s="17" t="s">
        <v>187</v>
      </c>
      <c r="F776" s="17" t="s">
        <v>54</v>
      </c>
      <c r="H776" s="19">
        <v>1.2379</v>
      </c>
      <c r="I776" s="19"/>
      <c r="J776" s="17" t="s">
        <v>39</v>
      </c>
      <c r="K776" s="17">
        <v>56</v>
      </c>
      <c r="L776" s="91"/>
      <c r="M776" s="19">
        <v>2500</v>
      </c>
      <c r="N776" s="19" t="s">
        <v>40</v>
      </c>
      <c r="O776" s="19" t="s">
        <v>50</v>
      </c>
      <c r="P776" s="140"/>
      <c r="Q776" s="17">
        <v>755</v>
      </c>
      <c r="R776" s="17">
        <f>+P775-Q775-Q776</f>
        <v>303</v>
      </c>
      <c r="S776" s="19">
        <f>2550-65</f>
        <v>2485</v>
      </c>
      <c r="T776" s="19" t="s">
        <v>42</v>
      </c>
      <c r="U776" s="102" t="s">
        <v>344</v>
      </c>
      <c r="V776" s="110">
        <v>44585</v>
      </c>
      <c r="W776" s="17" t="s">
        <v>69</v>
      </c>
      <c r="Y776" s="68">
        <v>44621</v>
      </c>
      <c r="Z776" s="17" t="s">
        <v>191</v>
      </c>
      <c r="AA776" s="17" t="s">
        <v>46</v>
      </c>
      <c r="AB776" s="17" t="s">
        <v>348</v>
      </c>
      <c r="AC776" s="66" t="s">
        <v>349</v>
      </c>
      <c r="AD776" s="65">
        <v>1326</v>
      </c>
      <c r="AE776" s="17" t="s">
        <v>129</v>
      </c>
      <c r="AF776" s="17" t="s">
        <v>345</v>
      </c>
      <c r="AH776" s="17" t="s">
        <v>358</v>
      </c>
      <c r="AI776" s="95">
        <f t="shared" si="49"/>
        <v>231.798</v>
      </c>
    </row>
    <row r="777" s="17" customFormat="1" ht="15.6" hidden="1" spans="1:36">
      <c r="A777" s="17" t="s">
        <v>34</v>
      </c>
      <c r="B777" s="19">
        <v>768</v>
      </c>
      <c r="C777" s="101">
        <v>44581</v>
      </c>
      <c r="D777" s="17" t="s">
        <v>52</v>
      </c>
      <c r="E777" s="17" t="s">
        <v>187</v>
      </c>
      <c r="F777" s="17" t="s">
        <v>54</v>
      </c>
      <c r="H777" s="19">
        <v>1.2379</v>
      </c>
      <c r="I777" s="19"/>
      <c r="J777" s="17" t="s">
        <v>39</v>
      </c>
      <c r="K777" s="17">
        <v>61</v>
      </c>
      <c r="L777" s="91"/>
      <c r="M777" s="19">
        <v>2500</v>
      </c>
      <c r="N777" s="19" t="s">
        <v>40</v>
      </c>
      <c r="O777" s="19" t="s">
        <v>50</v>
      </c>
      <c r="P777" s="140">
        <v>2000</v>
      </c>
      <c r="Q777" s="17">
        <v>2394</v>
      </c>
      <c r="R777" s="17">
        <f t="shared" ref="R777:R813" si="50">+P777-Q777</f>
        <v>-394</v>
      </c>
      <c r="S777" s="19">
        <v>2550</v>
      </c>
      <c r="T777" s="19" t="s">
        <v>42</v>
      </c>
      <c r="U777" s="102" t="s">
        <v>344</v>
      </c>
      <c r="V777" s="64">
        <v>44585</v>
      </c>
      <c r="W777" s="17" t="s">
        <v>69</v>
      </c>
      <c r="Y777" s="68">
        <v>44621</v>
      </c>
      <c r="Z777" s="17" t="s">
        <v>191</v>
      </c>
      <c r="AA777" s="17" t="s">
        <v>46</v>
      </c>
      <c r="AB777" s="17" t="s">
        <v>350</v>
      </c>
      <c r="AC777" s="66">
        <v>44714</v>
      </c>
      <c r="AD777" s="65">
        <v>1305</v>
      </c>
      <c r="AE777" s="17" t="s">
        <v>129</v>
      </c>
      <c r="AF777" s="17" t="s">
        <v>345</v>
      </c>
      <c r="AH777" s="17" t="s">
        <v>358</v>
      </c>
      <c r="AI777" s="95">
        <f t="shared" si="49"/>
        <v>231.798</v>
      </c>
    </row>
    <row r="778" s="17" customFormat="1" ht="15.6" hidden="1" spans="1:36">
      <c r="A778" s="17" t="s">
        <v>34</v>
      </c>
      <c r="B778" s="19">
        <v>768</v>
      </c>
      <c r="C778" s="101">
        <v>44581</v>
      </c>
      <c r="D778" s="17" t="s">
        <v>52</v>
      </c>
      <c r="E778" s="17" t="s">
        <v>187</v>
      </c>
      <c r="F778" s="17" t="s">
        <v>54</v>
      </c>
      <c r="H778" s="19">
        <v>1.2379</v>
      </c>
      <c r="I778" s="19"/>
      <c r="J778" s="17" t="s">
        <v>39</v>
      </c>
      <c r="K778" s="17">
        <v>66</v>
      </c>
      <c r="L778" s="91"/>
      <c r="M778" s="19">
        <v>2500</v>
      </c>
      <c r="N778" s="19" t="s">
        <v>40</v>
      </c>
      <c r="O778" s="19" t="s">
        <v>50</v>
      </c>
      <c r="P778" s="140">
        <v>2000</v>
      </c>
      <c r="Q778" s="17">
        <v>1878</v>
      </c>
      <c r="R778" s="17">
        <f t="shared" si="50"/>
        <v>122</v>
      </c>
      <c r="S778" s="19">
        <v>2550</v>
      </c>
      <c r="T778" s="19" t="s">
        <v>42</v>
      </c>
      <c r="U778" s="102" t="s">
        <v>344</v>
      </c>
      <c r="V778" s="64">
        <v>44585</v>
      </c>
      <c r="W778" s="17" t="s">
        <v>69</v>
      </c>
      <c r="Y778" s="68">
        <v>44621</v>
      </c>
      <c r="Z778" s="17" t="s">
        <v>191</v>
      </c>
      <c r="AA778" s="17" t="s">
        <v>46</v>
      </c>
      <c r="AB778" s="17" t="s">
        <v>350</v>
      </c>
      <c r="AC778" s="66">
        <v>44714</v>
      </c>
      <c r="AD778" s="65">
        <v>1305</v>
      </c>
      <c r="AE778" s="17" t="s">
        <v>129</v>
      </c>
      <c r="AF778" s="17" t="s">
        <v>345</v>
      </c>
      <c r="AH778" s="17" t="s">
        <v>358</v>
      </c>
      <c r="AI778" s="95">
        <f t="shared" si="49"/>
        <v>231.798</v>
      </c>
    </row>
    <row r="779" s="17" customFormat="1" ht="15.6" hidden="1" spans="1:36">
      <c r="A779" s="17" t="s">
        <v>34</v>
      </c>
      <c r="B779" s="19">
        <v>768</v>
      </c>
      <c r="C779" s="101">
        <v>44581</v>
      </c>
      <c r="D779" s="17" t="s">
        <v>52</v>
      </c>
      <c r="E779" s="17" t="s">
        <v>187</v>
      </c>
      <c r="F779" s="17" t="s">
        <v>54</v>
      </c>
      <c r="H779" s="19">
        <v>1.2379</v>
      </c>
      <c r="I779" s="19"/>
      <c r="J779" s="17" t="s">
        <v>39</v>
      </c>
      <c r="K779" s="17">
        <v>71</v>
      </c>
      <c r="L779" s="91"/>
      <c r="M779" s="19">
        <v>2500</v>
      </c>
      <c r="N779" s="19" t="s">
        <v>40</v>
      </c>
      <c r="O779" s="19" t="s">
        <v>50</v>
      </c>
      <c r="P779" s="140">
        <v>1000</v>
      </c>
      <c r="Q779" s="17">
        <v>1142</v>
      </c>
      <c r="R779" s="17">
        <f t="shared" si="50"/>
        <v>-142</v>
      </c>
      <c r="S779" s="19">
        <v>2550</v>
      </c>
      <c r="T779" s="19" t="s">
        <v>42</v>
      </c>
      <c r="U779" s="102" t="s">
        <v>344</v>
      </c>
      <c r="V779" s="64">
        <v>44585</v>
      </c>
      <c r="W779" s="17" t="s">
        <v>69</v>
      </c>
      <c r="Y779" s="68">
        <v>44621</v>
      </c>
      <c r="Z779" s="17" t="s">
        <v>191</v>
      </c>
      <c r="AA779" s="17" t="s">
        <v>46</v>
      </c>
      <c r="AB779" s="17" t="s">
        <v>350</v>
      </c>
      <c r="AC779" s="66">
        <v>44714</v>
      </c>
      <c r="AD779" s="65">
        <v>1305</v>
      </c>
      <c r="AE779" s="17" t="s">
        <v>129</v>
      </c>
      <c r="AF779" s="17" t="s">
        <v>345</v>
      </c>
      <c r="AH779" s="17" t="s">
        <v>358</v>
      </c>
      <c r="AI779" s="95">
        <f t="shared" si="49"/>
        <v>231.798</v>
      </c>
    </row>
    <row r="780" s="17" customFormat="1" ht="15.6" hidden="1" spans="1:36">
      <c r="A780" s="17" t="s">
        <v>34</v>
      </c>
      <c r="B780" s="19">
        <v>768</v>
      </c>
      <c r="C780" s="101">
        <v>44581</v>
      </c>
      <c r="D780" s="17" t="s">
        <v>52</v>
      </c>
      <c r="E780" s="17" t="s">
        <v>187</v>
      </c>
      <c r="F780" s="17" t="s">
        <v>54</v>
      </c>
      <c r="H780" s="19">
        <v>1.2379</v>
      </c>
      <c r="I780" s="19"/>
      <c r="J780" s="17" t="s">
        <v>39</v>
      </c>
      <c r="K780" s="17">
        <v>76</v>
      </c>
      <c r="L780" s="91"/>
      <c r="M780" s="19">
        <v>2500</v>
      </c>
      <c r="N780" s="19" t="s">
        <v>40</v>
      </c>
      <c r="O780" s="19" t="s">
        <v>50</v>
      </c>
      <c r="P780" s="140">
        <v>1000</v>
      </c>
      <c r="Q780" s="17">
        <v>1025</v>
      </c>
      <c r="R780" s="17">
        <f t="shared" si="50"/>
        <v>-25</v>
      </c>
      <c r="S780" s="19">
        <f>2550-65</f>
        <v>2485</v>
      </c>
      <c r="T780" s="19" t="s">
        <v>42</v>
      </c>
      <c r="U780" s="102" t="s">
        <v>344</v>
      </c>
      <c r="V780" s="110">
        <v>44585</v>
      </c>
      <c r="W780" s="17" t="s">
        <v>69</v>
      </c>
      <c r="Y780" s="68">
        <v>44621</v>
      </c>
      <c r="Z780" s="17" t="s">
        <v>191</v>
      </c>
      <c r="AA780" s="17" t="s">
        <v>46</v>
      </c>
      <c r="AB780" s="17" t="s">
        <v>348</v>
      </c>
      <c r="AC780" s="66" t="s">
        <v>349</v>
      </c>
      <c r="AD780" s="65">
        <v>1326</v>
      </c>
      <c r="AE780" s="17" t="s">
        <v>129</v>
      </c>
      <c r="AF780" s="17" t="s">
        <v>345</v>
      </c>
      <c r="AH780" s="17" t="s">
        <v>358</v>
      </c>
      <c r="AI780" s="95">
        <f t="shared" si="49"/>
        <v>231.798</v>
      </c>
    </row>
    <row r="781" s="17" customFormat="1" ht="15.6" hidden="1" spans="1:36">
      <c r="A781" s="17" t="s">
        <v>34</v>
      </c>
      <c r="B781" s="19">
        <v>768</v>
      </c>
      <c r="C781" s="101">
        <v>44581</v>
      </c>
      <c r="D781" s="17" t="s">
        <v>52</v>
      </c>
      <c r="E781" s="17" t="s">
        <v>187</v>
      </c>
      <c r="F781" s="17" t="s">
        <v>54</v>
      </c>
      <c r="H781" s="19">
        <v>1.2379</v>
      </c>
      <c r="I781" s="19"/>
      <c r="J781" s="17" t="s">
        <v>39</v>
      </c>
      <c r="K781" s="17">
        <v>81</v>
      </c>
      <c r="L781" s="91"/>
      <c r="M781" s="19">
        <v>2500</v>
      </c>
      <c r="N781" s="19" t="s">
        <v>40</v>
      </c>
      <c r="O781" s="19" t="s">
        <v>50</v>
      </c>
      <c r="P781" s="140">
        <v>2500</v>
      </c>
      <c r="Q781" s="17">
        <v>2501</v>
      </c>
      <c r="R781" s="17">
        <f t="shared" si="50"/>
        <v>-1</v>
      </c>
      <c r="S781" s="19">
        <v>2550</v>
      </c>
      <c r="T781" s="19" t="s">
        <v>42</v>
      </c>
      <c r="U781" s="102" t="s">
        <v>344</v>
      </c>
      <c r="V781" s="64">
        <v>44585</v>
      </c>
      <c r="W781" s="17" t="s">
        <v>69</v>
      </c>
      <c r="Y781" s="68">
        <v>44621</v>
      </c>
      <c r="Z781" s="17" t="s">
        <v>191</v>
      </c>
      <c r="AA781" s="17" t="s">
        <v>46</v>
      </c>
      <c r="AB781" s="17" t="s">
        <v>350</v>
      </c>
      <c r="AC781" s="66">
        <v>44714</v>
      </c>
      <c r="AD781" s="65">
        <v>1305</v>
      </c>
      <c r="AE781" s="17" t="s">
        <v>129</v>
      </c>
      <c r="AF781" s="17" t="s">
        <v>345</v>
      </c>
      <c r="AH781" s="17" t="s">
        <v>358</v>
      </c>
      <c r="AI781" s="95">
        <f t="shared" si="49"/>
        <v>231.798</v>
      </c>
    </row>
    <row r="782" s="17" customFormat="1" ht="15.6" hidden="1" spans="1:36">
      <c r="A782" s="17" t="s">
        <v>34</v>
      </c>
      <c r="B782" s="19">
        <v>768</v>
      </c>
      <c r="C782" s="101">
        <v>44581</v>
      </c>
      <c r="D782" s="17" t="s">
        <v>52</v>
      </c>
      <c r="E782" s="17" t="s">
        <v>187</v>
      </c>
      <c r="F782" s="17" t="s">
        <v>54</v>
      </c>
      <c r="H782" s="19">
        <v>1.2379</v>
      </c>
      <c r="I782" s="19"/>
      <c r="J782" s="17" t="s">
        <v>39</v>
      </c>
      <c r="K782" s="17">
        <v>91</v>
      </c>
      <c r="L782" s="91"/>
      <c r="M782" s="19">
        <v>2500</v>
      </c>
      <c r="N782" s="19" t="s">
        <v>40</v>
      </c>
      <c r="O782" s="19" t="s">
        <v>50</v>
      </c>
      <c r="P782" s="140">
        <v>1000</v>
      </c>
      <c r="Q782" s="17">
        <v>1230</v>
      </c>
      <c r="R782" s="17">
        <f t="shared" si="50"/>
        <v>-230</v>
      </c>
      <c r="S782" s="19">
        <v>2550</v>
      </c>
      <c r="T782" s="19" t="s">
        <v>42</v>
      </c>
      <c r="U782" s="102" t="s">
        <v>344</v>
      </c>
      <c r="V782" s="64">
        <v>44585</v>
      </c>
      <c r="W782" s="17" t="s">
        <v>69</v>
      </c>
      <c r="Y782" s="68">
        <v>44621</v>
      </c>
      <c r="Z782" s="17" t="s">
        <v>191</v>
      </c>
      <c r="AA782" s="17" t="s">
        <v>46</v>
      </c>
      <c r="AB782" s="17" t="s">
        <v>350</v>
      </c>
      <c r="AC782" s="66">
        <v>44714</v>
      </c>
      <c r="AD782" s="65">
        <v>1305</v>
      </c>
      <c r="AE782" s="17" t="s">
        <v>129</v>
      </c>
      <c r="AF782" s="17" t="s">
        <v>345</v>
      </c>
      <c r="AH782" s="17" t="s">
        <v>358</v>
      </c>
      <c r="AI782" s="95">
        <f t="shared" si="49"/>
        <v>231.798</v>
      </c>
    </row>
    <row r="783" s="17" customFormat="1" ht="15.6" hidden="1" spans="1:36">
      <c r="A783" s="17" t="s">
        <v>34</v>
      </c>
      <c r="B783" s="19">
        <v>768</v>
      </c>
      <c r="C783" s="101">
        <v>44581</v>
      </c>
      <c r="D783" s="17" t="s">
        <v>52</v>
      </c>
      <c r="E783" s="17" t="s">
        <v>187</v>
      </c>
      <c r="F783" s="17" t="s">
        <v>54</v>
      </c>
      <c r="H783" s="19">
        <v>1.2379</v>
      </c>
      <c r="I783" s="19"/>
      <c r="J783" s="17" t="s">
        <v>39</v>
      </c>
      <c r="K783" s="17">
        <v>101</v>
      </c>
      <c r="L783" s="91"/>
      <c r="M783" s="19">
        <v>2500</v>
      </c>
      <c r="N783" s="19" t="s">
        <v>40</v>
      </c>
      <c r="O783" s="19" t="s">
        <v>50</v>
      </c>
      <c r="P783" s="140">
        <v>1000</v>
      </c>
      <c r="Q783" s="17">
        <v>888</v>
      </c>
      <c r="R783" s="17">
        <f t="shared" si="50"/>
        <v>112</v>
      </c>
      <c r="S783" s="19">
        <v>2550</v>
      </c>
      <c r="T783" s="19" t="s">
        <v>42</v>
      </c>
      <c r="U783" s="102" t="s">
        <v>344</v>
      </c>
      <c r="V783" s="64">
        <v>44585</v>
      </c>
      <c r="W783" s="17" t="s">
        <v>69</v>
      </c>
      <c r="Y783" s="68">
        <v>44621</v>
      </c>
      <c r="Z783" s="17" t="s">
        <v>191</v>
      </c>
      <c r="AA783" s="17" t="s">
        <v>46</v>
      </c>
      <c r="AB783" s="17" t="s">
        <v>350</v>
      </c>
      <c r="AC783" s="66">
        <v>44714</v>
      </c>
      <c r="AD783" s="65">
        <v>1305</v>
      </c>
      <c r="AE783" s="17" t="s">
        <v>129</v>
      </c>
      <c r="AF783" s="17" t="s">
        <v>345</v>
      </c>
      <c r="AH783" s="17" t="s">
        <v>358</v>
      </c>
      <c r="AI783" s="95">
        <f t="shared" si="49"/>
        <v>231.798</v>
      </c>
    </row>
    <row r="784" s="17" customFormat="1" ht="15.6" hidden="1" spans="1:36">
      <c r="A784" s="17" t="s">
        <v>34</v>
      </c>
      <c r="B784" s="19">
        <v>768</v>
      </c>
      <c r="C784" s="101">
        <v>44581</v>
      </c>
      <c r="D784" s="17" t="s">
        <v>52</v>
      </c>
      <c r="E784" s="17" t="s">
        <v>187</v>
      </c>
      <c r="F784" s="17" t="s">
        <v>54</v>
      </c>
      <c r="H784" s="19">
        <v>1.2379</v>
      </c>
      <c r="I784" s="19"/>
      <c r="J784" s="17" t="s">
        <v>39</v>
      </c>
      <c r="K784" s="17">
        <v>105</v>
      </c>
      <c r="L784" s="91"/>
      <c r="M784" s="19">
        <v>2500</v>
      </c>
      <c r="N784" s="19" t="s">
        <v>40</v>
      </c>
      <c r="O784" s="19" t="s">
        <v>50</v>
      </c>
      <c r="P784" s="140">
        <v>1500</v>
      </c>
      <c r="Q784" s="17">
        <v>1715</v>
      </c>
      <c r="R784" s="17">
        <f t="shared" si="50"/>
        <v>-215</v>
      </c>
      <c r="S784" s="19">
        <v>2550</v>
      </c>
      <c r="T784" s="19" t="s">
        <v>42</v>
      </c>
      <c r="U784" s="102" t="s">
        <v>344</v>
      </c>
      <c r="V784" s="64">
        <v>44585</v>
      </c>
      <c r="W784" s="17" t="s">
        <v>69</v>
      </c>
      <c r="Y784" s="68">
        <v>44621</v>
      </c>
      <c r="Z784" s="17" t="s">
        <v>191</v>
      </c>
      <c r="AA784" s="17" t="s">
        <v>46</v>
      </c>
      <c r="AB784" s="17" t="s">
        <v>350</v>
      </c>
      <c r="AC784" s="66">
        <v>44714</v>
      </c>
      <c r="AD784" s="65">
        <v>1305</v>
      </c>
      <c r="AE784" s="17" t="s">
        <v>129</v>
      </c>
      <c r="AF784" s="17" t="s">
        <v>345</v>
      </c>
      <c r="AH784" s="17" t="s">
        <v>358</v>
      </c>
      <c r="AI784" s="95">
        <f t="shared" si="49"/>
        <v>231.798</v>
      </c>
    </row>
    <row r="785" s="17" customFormat="1" ht="15.6" hidden="1" spans="1:35">
      <c r="A785" s="17" t="s">
        <v>34</v>
      </c>
      <c r="B785" s="19">
        <v>768</v>
      </c>
      <c r="C785" s="101">
        <v>44581</v>
      </c>
      <c r="D785" s="17" t="s">
        <v>52</v>
      </c>
      <c r="E785" s="17" t="s">
        <v>187</v>
      </c>
      <c r="F785" s="17" t="s">
        <v>54</v>
      </c>
      <c r="H785" s="19">
        <v>1.2379</v>
      </c>
      <c r="I785" s="19"/>
      <c r="J785" s="17" t="s">
        <v>39</v>
      </c>
      <c r="K785" s="17">
        <v>111</v>
      </c>
      <c r="L785" s="91"/>
      <c r="M785" s="19">
        <v>2500</v>
      </c>
      <c r="N785" s="19" t="s">
        <v>40</v>
      </c>
      <c r="O785" s="19" t="s">
        <v>50</v>
      </c>
      <c r="P785" s="140">
        <v>1000</v>
      </c>
      <c r="Q785" s="17">
        <v>1226</v>
      </c>
      <c r="R785" s="17">
        <f t="shared" si="50"/>
        <v>-226</v>
      </c>
      <c r="S785" s="19">
        <v>2550</v>
      </c>
      <c r="T785" s="19" t="s">
        <v>42</v>
      </c>
      <c r="U785" s="102" t="s">
        <v>344</v>
      </c>
      <c r="V785" s="64">
        <v>44585</v>
      </c>
      <c r="W785" s="17" t="s">
        <v>69</v>
      </c>
      <c r="Y785" s="68">
        <v>44621</v>
      </c>
      <c r="Z785" s="17" t="s">
        <v>191</v>
      </c>
      <c r="AA785" s="17" t="s">
        <v>46</v>
      </c>
      <c r="AB785" s="17" t="s">
        <v>350</v>
      </c>
      <c r="AC785" s="66">
        <v>44714</v>
      </c>
      <c r="AD785" s="65">
        <v>1305</v>
      </c>
      <c r="AE785" s="17" t="s">
        <v>129</v>
      </c>
      <c r="AF785" s="17" t="s">
        <v>345</v>
      </c>
      <c r="AH785" s="17" t="s">
        <v>358</v>
      </c>
      <c r="AI785" s="95">
        <f t="shared" si="49"/>
        <v>231.798</v>
      </c>
    </row>
    <row r="786" s="17" customFormat="1" ht="15.6" hidden="1" spans="1:35">
      <c r="A786" s="17" t="s">
        <v>34</v>
      </c>
      <c r="B786" s="19">
        <v>768</v>
      </c>
      <c r="C786" s="101">
        <v>44581</v>
      </c>
      <c r="D786" s="17" t="s">
        <v>52</v>
      </c>
      <c r="E786" s="17" t="s">
        <v>187</v>
      </c>
      <c r="F786" s="17" t="s">
        <v>54</v>
      </c>
      <c r="H786" s="19">
        <v>1.2379</v>
      </c>
      <c r="I786" s="19"/>
      <c r="J786" s="17" t="s">
        <v>39</v>
      </c>
      <c r="K786" s="17">
        <v>121</v>
      </c>
      <c r="L786" s="91"/>
      <c r="M786" s="19">
        <v>2500</v>
      </c>
      <c r="N786" s="19" t="s">
        <v>40</v>
      </c>
      <c r="O786" s="19" t="s">
        <v>50</v>
      </c>
      <c r="P786" s="140">
        <v>1000</v>
      </c>
      <c r="Q786" s="17">
        <v>1102</v>
      </c>
      <c r="R786" s="17">
        <f t="shared" si="50"/>
        <v>-102</v>
      </c>
      <c r="S786" s="19">
        <v>2550</v>
      </c>
      <c r="T786" s="19" t="s">
        <v>42</v>
      </c>
      <c r="U786" s="102" t="s">
        <v>344</v>
      </c>
      <c r="V786" s="64">
        <v>44585</v>
      </c>
      <c r="W786" s="17" t="s">
        <v>69</v>
      </c>
      <c r="Y786" s="68">
        <v>44621</v>
      </c>
      <c r="Z786" s="17" t="s">
        <v>191</v>
      </c>
      <c r="AA786" s="17" t="s">
        <v>46</v>
      </c>
      <c r="AB786" s="17" t="s">
        <v>350</v>
      </c>
      <c r="AC786" s="66">
        <v>44714</v>
      </c>
      <c r="AD786" s="65">
        <v>1305</v>
      </c>
      <c r="AE786" s="17" t="s">
        <v>129</v>
      </c>
      <c r="AF786" s="17" t="s">
        <v>345</v>
      </c>
      <c r="AH786" s="17" t="s">
        <v>358</v>
      </c>
      <c r="AI786" s="95">
        <f t="shared" si="49"/>
        <v>231.798</v>
      </c>
    </row>
    <row r="787" s="17" customFormat="1" ht="15.6" hidden="1" spans="1:35">
      <c r="A787" s="17" t="s">
        <v>34</v>
      </c>
      <c r="B787" s="19">
        <v>768</v>
      </c>
      <c r="C787" s="101">
        <v>44581</v>
      </c>
      <c r="D787" s="17" t="s">
        <v>52</v>
      </c>
      <c r="E787" s="17" t="s">
        <v>187</v>
      </c>
      <c r="F787" s="17" t="s">
        <v>54</v>
      </c>
      <c r="H787" s="19">
        <v>1.2379</v>
      </c>
      <c r="I787" s="19"/>
      <c r="J787" s="17" t="s">
        <v>39</v>
      </c>
      <c r="K787" s="17">
        <v>132</v>
      </c>
      <c r="L787" s="91"/>
      <c r="M787" s="19">
        <v>2500</v>
      </c>
      <c r="N787" s="19" t="s">
        <v>40</v>
      </c>
      <c r="O787" s="19" t="s">
        <v>50</v>
      </c>
      <c r="P787" s="140">
        <v>1000</v>
      </c>
      <c r="Q787" s="17">
        <v>970</v>
      </c>
      <c r="R787" s="17">
        <f t="shared" si="50"/>
        <v>30</v>
      </c>
      <c r="S787" s="19">
        <v>2550</v>
      </c>
      <c r="T787" s="19" t="s">
        <v>42</v>
      </c>
      <c r="U787" s="102" t="s">
        <v>344</v>
      </c>
      <c r="V787" s="64">
        <v>44585</v>
      </c>
      <c r="W787" s="17" t="s">
        <v>69</v>
      </c>
      <c r="Y787" s="68">
        <v>44621</v>
      </c>
      <c r="Z787" s="17" t="s">
        <v>191</v>
      </c>
      <c r="AA787" s="17" t="s">
        <v>46</v>
      </c>
      <c r="AB787" s="17" t="s">
        <v>350</v>
      </c>
      <c r="AC787" s="66">
        <v>44714</v>
      </c>
      <c r="AD787" s="65">
        <v>1305</v>
      </c>
      <c r="AE787" s="17" t="s">
        <v>129</v>
      </c>
      <c r="AF787" s="17" t="s">
        <v>345</v>
      </c>
      <c r="AH787" s="17" t="s">
        <v>358</v>
      </c>
      <c r="AI787" s="95">
        <f t="shared" si="49"/>
        <v>231.798</v>
      </c>
    </row>
    <row r="788" s="17" customFormat="1" ht="15.6" hidden="1" spans="1:35">
      <c r="A788" s="17" t="s">
        <v>34</v>
      </c>
      <c r="B788" s="19">
        <v>768</v>
      </c>
      <c r="C788" s="101">
        <v>44581</v>
      </c>
      <c r="D788" s="17" t="s">
        <v>52</v>
      </c>
      <c r="E788" s="17" t="s">
        <v>187</v>
      </c>
      <c r="F788" s="17" t="s">
        <v>54</v>
      </c>
      <c r="H788" s="19">
        <v>1.2379</v>
      </c>
      <c r="I788" s="19"/>
      <c r="J788" s="17" t="s">
        <v>39</v>
      </c>
      <c r="K788" s="17">
        <v>142</v>
      </c>
      <c r="L788" s="91"/>
      <c r="M788" s="19">
        <v>2500</v>
      </c>
      <c r="N788" s="19" t="s">
        <v>40</v>
      </c>
      <c r="O788" s="19" t="s">
        <v>50</v>
      </c>
      <c r="P788" s="140">
        <v>1000</v>
      </c>
      <c r="Q788" s="17">
        <v>1017</v>
      </c>
      <c r="R788" s="17">
        <f t="shared" si="50"/>
        <v>-17</v>
      </c>
      <c r="S788" s="19">
        <v>2550</v>
      </c>
      <c r="T788" s="19" t="s">
        <v>42</v>
      </c>
      <c r="U788" s="102" t="s">
        <v>344</v>
      </c>
      <c r="V788" s="64">
        <v>44585</v>
      </c>
      <c r="W788" s="17" t="s">
        <v>69</v>
      </c>
      <c r="Y788" s="68">
        <v>44621</v>
      </c>
      <c r="Z788" s="17" t="s">
        <v>191</v>
      </c>
      <c r="AA788" s="17" t="s">
        <v>46</v>
      </c>
      <c r="AB788" s="17" t="s">
        <v>350</v>
      </c>
      <c r="AC788" s="66">
        <v>44714</v>
      </c>
      <c r="AD788" s="65">
        <v>1305</v>
      </c>
      <c r="AE788" s="17" t="s">
        <v>129</v>
      </c>
      <c r="AF788" s="17" t="s">
        <v>345</v>
      </c>
      <c r="AH788" s="17" t="s">
        <v>358</v>
      </c>
      <c r="AI788" s="95">
        <f t="shared" si="49"/>
        <v>231.798</v>
      </c>
    </row>
    <row r="789" s="17" customFormat="1" ht="15.6" hidden="1" spans="1:35">
      <c r="A789" s="17" t="s">
        <v>34</v>
      </c>
      <c r="B789" s="19">
        <v>768</v>
      </c>
      <c r="C789" s="101">
        <v>44581</v>
      </c>
      <c r="D789" s="17" t="s">
        <v>52</v>
      </c>
      <c r="E789" s="17" t="s">
        <v>187</v>
      </c>
      <c r="F789" s="17" t="s">
        <v>54</v>
      </c>
      <c r="H789" s="19">
        <v>1.2379</v>
      </c>
      <c r="I789" s="19"/>
      <c r="J789" s="17" t="s">
        <v>39</v>
      </c>
      <c r="K789" s="17">
        <v>152</v>
      </c>
      <c r="L789" s="91"/>
      <c r="M789" s="19">
        <v>2500</v>
      </c>
      <c r="N789" s="19" t="s">
        <v>40</v>
      </c>
      <c r="O789" s="19" t="s">
        <v>50</v>
      </c>
      <c r="P789" s="140">
        <v>1000</v>
      </c>
      <c r="Q789" s="17">
        <v>1236</v>
      </c>
      <c r="R789" s="17">
        <f t="shared" si="50"/>
        <v>-236</v>
      </c>
      <c r="S789" s="19">
        <v>2550</v>
      </c>
      <c r="T789" s="19" t="s">
        <v>42</v>
      </c>
      <c r="U789" s="102" t="s">
        <v>344</v>
      </c>
      <c r="V789" s="64">
        <v>44585</v>
      </c>
      <c r="W789" s="17" t="s">
        <v>69</v>
      </c>
      <c r="Y789" s="68">
        <v>44621</v>
      </c>
      <c r="Z789" s="17" t="s">
        <v>191</v>
      </c>
      <c r="AA789" s="17" t="s">
        <v>46</v>
      </c>
      <c r="AB789" s="17" t="s">
        <v>350</v>
      </c>
      <c r="AC789" s="66">
        <v>44714</v>
      </c>
      <c r="AD789" s="65">
        <v>1305</v>
      </c>
      <c r="AE789" s="17" t="s">
        <v>129</v>
      </c>
      <c r="AF789" s="17" t="s">
        <v>345</v>
      </c>
      <c r="AH789" s="17" t="s">
        <v>358</v>
      </c>
      <c r="AI789" s="95">
        <f t="shared" si="49"/>
        <v>231.798</v>
      </c>
    </row>
    <row r="790" s="17" customFormat="1" ht="15.6" hidden="1" spans="1:35">
      <c r="A790" s="17" t="s">
        <v>34</v>
      </c>
      <c r="B790" s="19">
        <v>768</v>
      </c>
      <c r="C790" s="101">
        <v>44581</v>
      </c>
      <c r="D790" s="17" t="s">
        <v>52</v>
      </c>
      <c r="E790" s="17" t="s">
        <v>187</v>
      </c>
      <c r="F790" s="17" t="s">
        <v>54</v>
      </c>
      <c r="H790" s="19">
        <v>1.2379</v>
      </c>
      <c r="I790" s="19"/>
      <c r="J790" s="17" t="s">
        <v>39</v>
      </c>
      <c r="K790" s="17">
        <v>162</v>
      </c>
      <c r="L790" s="91"/>
      <c r="M790" s="19">
        <v>2500</v>
      </c>
      <c r="N790" s="19" t="s">
        <v>40</v>
      </c>
      <c r="O790" s="19" t="s">
        <v>50</v>
      </c>
      <c r="P790" s="140">
        <v>1000</v>
      </c>
      <c r="Q790" s="17">
        <v>1180</v>
      </c>
      <c r="R790" s="17">
        <f t="shared" si="50"/>
        <v>-180</v>
      </c>
      <c r="S790" s="19">
        <f>2550-65</f>
        <v>2485</v>
      </c>
      <c r="T790" s="19" t="s">
        <v>42</v>
      </c>
      <c r="U790" s="102" t="s">
        <v>344</v>
      </c>
      <c r="V790" s="110">
        <v>44585</v>
      </c>
      <c r="W790" s="17" t="s">
        <v>69</v>
      </c>
      <c r="Y790" s="68">
        <v>44621</v>
      </c>
      <c r="Z790" s="17" t="s">
        <v>191</v>
      </c>
      <c r="AA790" s="17" t="s">
        <v>46</v>
      </c>
      <c r="AB790" s="17" t="s">
        <v>348</v>
      </c>
      <c r="AC790" s="66" t="s">
        <v>349</v>
      </c>
      <c r="AD790" s="65">
        <v>1326</v>
      </c>
      <c r="AE790" s="17" t="s">
        <v>129</v>
      </c>
      <c r="AF790" s="17" t="s">
        <v>345</v>
      </c>
      <c r="AH790" s="17" t="s">
        <v>358</v>
      </c>
      <c r="AI790" s="95">
        <f t="shared" si="49"/>
        <v>231.798</v>
      </c>
    </row>
    <row r="791" s="17" customFormat="1" ht="15.6" hidden="1" spans="1:35">
      <c r="A791" s="17" t="s">
        <v>34</v>
      </c>
      <c r="B791" s="19">
        <v>768</v>
      </c>
      <c r="C791" s="101">
        <v>44581</v>
      </c>
      <c r="D791" s="17" t="s">
        <v>52</v>
      </c>
      <c r="E791" s="17" t="s">
        <v>187</v>
      </c>
      <c r="F791" s="17" t="s">
        <v>54</v>
      </c>
      <c r="H791" s="19">
        <v>1.2379</v>
      </c>
      <c r="I791" s="19"/>
      <c r="J791" s="17" t="s">
        <v>39</v>
      </c>
      <c r="K791" s="17">
        <v>172</v>
      </c>
      <c r="L791" s="91"/>
      <c r="M791" s="19">
        <v>2500</v>
      </c>
      <c r="N791" s="19" t="s">
        <v>40</v>
      </c>
      <c r="O791" s="19" t="s">
        <v>50</v>
      </c>
      <c r="P791" s="140">
        <v>1000</v>
      </c>
      <c r="Q791" s="17">
        <v>1552</v>
      </c>
      <c r="R791" s="17">
        <f t="shared" si="50"/>
        <v>-552</v>
      </c>
      <c r="S791" s="19">
        <f>2550-65</f>
        <v>2485</v>
      </c>
      <c r="T791" s="19" t="s">
        <v>42</v>
      </c>
      <c r="U791" s="102" t="s">
        <v>344</v>
      </c>
      <c r="V791" s="110">
        <v>44585</v>
      </c>
      <c r="W791" s="17" t="s">
        <v>69</v>
      </c>
      <c r="Y791" s="68">
        <v>44621</v>
      </c>
      <c r="Z791" s="17" t="s">
        <v>191</v>
      </c>
      <c r="AA791" s="17" t="s">
        <v>46</v>
      </c>
      <c r="AB791" s="17" t="s">
        <v>348</v>
      </c>
      <c r="AC791" s="66" t="s">
        <v>349</v>
      </c>
      <c r="AD791" s="65">
        <v>1326</v>
      </c>
      <c r="AE791" s="17" t="s">
        <v>129</v>
      </c>
      <c r="AF791" s="17" t="s">
        <v>345</v>
      </c>
      <c r="AH791" s="17" t="s">
        <v>358</v>
      </c>
      <c r="AI791" s="95">
        <f t="shared" si="49"/>
        <v>231.798</v>
      </c>
    </row>
    <row r="792" s="17" customFormat="1" ht="15.6" hidden="1" spans="1:35">
      <c r="A792" s="17" t="s">
        <v>34</v>
      </c>
      <c r="B792" s="19">
        <v>768</v>
      </c>
      <c r="C792" s="101">
        <v>44581</v>
      </c>
      <c r="D792" s="17" t="s">
        <v>52</v>
      </c>
      <c r="E792" s="17" t="s">
        <v>187</v>
      </c>
      <c r="F792" s="17" t="s">
        <v>54</v>
      </c>
      <c r="H792" s="19">
        <v>1.2379</v>
      </c>
      <c r="I792" s="19"/>
      <c r="J792" s="17" t="s">
        <v>39</v>
      </c>
      <c r="K792" s="17">
        <v>182</v>
      </c>
      <c r="L792" s="91"/>
      <c r="M792" s="19">
        <v>2500</v>
      </c>
      <c r="N792" s="19" t="s">
        <v>40</v>
      </c>
      <c r="O792" s="19" t="s">
        <v>50</v>
      </c>
      <c r="P792" s="140">
        <v>1000</v>
      </c>
      <c r="Q792" s="17">
        <v>1790</v>
      </c>
      <c r="R792" s="17">
        <f t="shared" si="50"/>
        <v>-790</v>
      </c>
      <c r="S792" s="19">
        <f>2550-65</f>
        <v>2485</v>
      </c>
      <c r="T792" s="19" t="s">
        <v>42</v>
      </c>
      <c r="U792" s="102" t="s">
        <v>344</v>
      </c>
      <c r="V792" s="110">
        <v>44585</v>
      </c>
      <c r="W792" s="17" t="s">
        <v>69</v>
      </c>
      <c r="Y792" s="68">
        <v>44621</v>
      </c>
      <c r="Z792" s="17" t="s">
        <v>191</v>
      </c>
      <c r="AA792" s="17" t="s">
        <v>46</v>
      </c>
      <c r="AB792" s="17" t="s">
        <v>348</v>
      </c>
      <c r="AC792" s="66" t="s">
        <v>349</v>
      </c>
      <c r="AD792" s="65">
        <v>1326</v>
      </c>
      <c r="AE792" s="17" t="s">
        <v>129</v>
      </c>
      <c r="AF792" s="17" t="s">
        <v>345</v>
      </c>
      <c r="AH792" s="17" t="s">
        <v>358</v>
      </c>
      <c r="AI792" s="95">
        <f t="shared" si="49"/>
        <v>231.798</v>
      </c>
    </row>
    <row r="793" s="17" customFormat="1" ht="15.6" hidden="1" spans="1:35">
      <c r="A793" s="17" t="s">
        <v>34</v>
      </c>
      <c r="B793" s="19">
        <v>768</v>
      </c>
      <c r="C793" s="101">
        <v>44581</v>
      </c>
      <c r="D793" s="17" t="s">
        <v>52</v>
      </c>
      <c r="E793" s="17" t="s">
        <v>187</v>
      </c>
      <c r="F793" s="17" t="s">
        <v>54</v>
      </c>
      <c r="H793" s="19">
        <v>1.2379</v>
      </c>
      <c r="I793" s="19"/>
      <c r="J793" s="17" t="s">
        <v>39</v>
      </c>
      <c r="K793" s="17">
        <v>192</v>
      </c>
      <c r="L793" s="91"/>
      <c r="M793" s="19">
        <v>2500</v>
      </c>
      <c r="N793" s="19" t="s">
        <v>40</v>
      </c>
      <c r="O793" s="19" t="s">
        <v>50</v>
      </c>
      <c r="P793" s="140">
        <v>1000</v>
      </c>
      <c r="Q793" s="17">
        <v>1148</v>
      </c>
      <c r="R793" s="17">
        <f t="shared" si="50"/>
        <v>-148</v>
      </c>
      <c r="S793" s="19">
        <v>2550</v>
      </c>
      <c r="T793" s="19" t="s">
        <v>42</v>
      </c>
      <c r="U793" s="102" t="s">
        <v>344</v>
      </c>
      <c r="V793" s="64">
        <v>44585</v>
      </c>
      <c r="W793" s="17" t="s">
        <v>69</v>
      </c>
      <c r="Y793" s="68">
        <v>44621</v>
      </c>
      <c r="Z793" s="17" t="s">
        <v>191</v>
      </c>
      <c r="AA793" s="17" t="s">
        <v>46</v>
      </c>
      <c r="AB793" s="17" t="s">
        <v>350</v>
      </c>
      <c r="AC793" s="66">
        <v>44714</v>
      </c>
      <c r="AD793" s="65">
        <v>1305</v>
      </c>
      <c r="AE793" s="17" t="s">
        <v>129</v>
      </c>
      <c r="AF793" s="17" t="s">
        <v>345</v>
      </c>
      <c r="AH793" s="17" t="s">
        <v>358</v>
      </c>
      <c r="AI793" s="95">
        <f t="shared" si="49"/>
        <v>231.798</v>
      </c>
    </row>
    <row r="794" s="17" customFormat="1" ht="15.6" hidden="1" spans="1:35">
      <c r="A794" s="17" t="s">
        <v>34</v>
      </c>
      <c r="B794" s="19">
        <v>768</v>
      </c>
      <c r="C794" s="101">
        <v>44581</v>
      </c>
      <c r="D794" s="17" t="s">
        <v>52</v>
      </c>
      <c r="E794" s="17" t="s">
        <v>187</v>
      </c>
      <c r="F794" s="17" t="s">
        <v>54</v>
      </c>
      <c r="H794" s="19">
        <v>1.2379</v>
      </c>
      <c r="I794" s="19"/>
      <c r="J794" s="17" t="s">
        <v>39</v>
      </c>
      <c r="K794" s="17">
        <v>202</v>
      </c>
      <c r="L794" s="91"/>
      <c r="M794" s="19">
        <v>2500</v>
      </c>
      <c r="N794" s="19" t="s">
        <v>40</v>
      </c>
      <c r="O794" s="19" t="s">
        <v>50</v>
      </c>
      <c r="P794" s="140">
        <v>1000</v>
      </c>
      <c r="Q794" s="17">
        <v>1246</v>
      </c>
      <c r="R794" s="17">
        <f t="shared" si="50"/>
        <v>-246</v>
      </c>
      <c r="S794" s="19">
        <f>2550-65</f>
        <v>2485</v>
      </c>
      <c r="T794" s="19" t="s">
        <v>42</v>
      </c>
      <c r="U794" s="102" t="s">
        <v>344</v>
      </c>
      <c r="V794" s="110">
        <v>44585</v>
      </c>
      <c r="W794" s="17" t="s">
        <v>69</v>
      </c>
      <c r="Y794" s="68">
        <v>44621</v>
      </c>
      <c r="Z794" s="17" t="s">
        <v>191</v>
      </c>
      <c r="AA794" s="17" t="s">
        <v>46</v>
      </c>
      <c r="AB794" s="17" t="s">
        <v>348</v>
      </c>
      <c r="AC794" s="66" t="s">
        <v>349</v>
      </c>
      <c r="AD794" s="65">
        <v>1326</v>
      </c>
      <c r="AE794" s="17" t="s">
        <v>129</v>
      </c>
      <c r="AF794" s="17" t="s">
        <v>345</v>
      </c>
      <c r="AH794" s="17" t="s">
        <v>358</v>
      </c>
      <c r="AI794" s="95">
        <f t="shared" si="49"/>
        <v>231.798</v>
      </c>
    </row>
    <row r="795" s="17" customFormat="1" hidden="1" spans="1:35">
      <c r="A795" s="17" t="s">
        <v>34</v>
      </c>
      <c r="B795" s="19">
        <v>769</v>
      </c>
      <c r="C795" s="64">
        <v>44589</v>
      </c>
      <c r="D795" s="17" t="s">
        <v>52</v>
      </c>
      <c r="E795" s="17" t="s">
        <v>187</v>
      </c>
      <c r="F795" s="17" t="s">
        <v>54</v>
      </c>
      <c r="H795" s="141" t="s">
        <v>111</v>
      </c>
      <c r="I795" s="141"/>
      <c r="J795" s="17" t="s">
        <v>49</v>
      </c>
      <c r="K795" s="17">
        <v>605</v>
      </c>
      <c r="L795" s="17">
        <v>203</v>
      </c>
      <c r="M795" s="17">
        <v>3860</v>
      </c>
      <c r="N795" s="17" t="s">
        <v>40</v>
      </c>
      <c r="O795" s="19" t="s">
        <v>50</v>
      </c>
      <c r="P795" s="19">
        <v>2729</v>
      </c>
      <c r="Q795" s="17">
        <v>3695</v>
      </c>
      <c r="R795" s="17">
        <f t="shared" si="50"/>
        <v>-966</v>
      </c>
      <c r="S795" s="17">
        <f>2585-30-100</f>
        <v>2455</v>
      </c>
      <c r="T795" s="19" t="s">
        <v>42</v>
      </c>
      <c r="U795" s="17" t="s">
        <v>359</v>
      </c>
      <c r="V795" s="64">
        <v>44599</v>
      </c>
      <c r="W795" s="17" t="s">
        <v>69</v>
      </c>
      <c r="Y795" s="68">
        <v>44621</v>
      </c>
      <c r="Z795" s="17" t="s">
        <v>191</v>
      </c>
      <c r="AA795" s="17" t="s">
        <v>46</v>
      </c>
      <c r="AB795" s="17" t="s">
        <v>272</v>
      </c>
      <c r="AC795" s="66">
        <v>44604</v>
      </c>
      <c r="AD795" s="65">
        <v>1262</v>
      </c>
      <c r="AE795" s="17" t="s">
        <v>48</v>
      </c>
      <c r="AF795" s="17" t="s">
        <v>345</v>
      </c>
    </row>
    <row r="796" s="17" customFormat="1" hidden="1" spans="1:35">
      <c r="A796" s="17" t="s">
        <v>34</v>
      </c>
      <c r="B796" s="19">
        <v>769</v>
      </c>
      <c r="C796" s="64">
        <v>44589</v>
      </c>
      <c r="D796" s="17" t="s">
        <v>52</v>
      </c>
      <c r="E796" s="17" t="s">
        <v>187</v>
      </c>
      <c r="F796" s="17" t="s">
        <v>54</v>
      </c>
      <c r="H796" s="141" t="s">
        <v>111</v>
      </c>
      <c r="I796" s="141"/>
      <c r="J796" s="17" t="s">
        <v>49</v>
      </c>
      <c r="K796" s="17">
        <v>815</v>
      </c>
      <c r="L796" s="17">
        <v>304</v>
      </c>
      <c r="M796" s="17">
        <v>2480</v>
      </c>
      <c r="N796" s="17" t="s">
        <v>40</v>
      </c>
      <c r="O796" s="19" t="s">
        <v>50</v>
      </c>
      <c r="P796" s="19">
        <v>4735</v>
      </c>
      <c r="Q796" s="17">
        <v>4738</v>
      </c>
      <c r="R796" s="17">
        <f t="shared" si="50"/>
        <v>-3</v>
      </c>
      <c r="S796" s="17">
        <f>2755-30-100</f>
        <v>2625</v>
      </c>
      <c r="T796" s="19" t="s">
        <v>42</v>
      </c>
      <c r="U796" s="17" t="s">
        <v>359</v>
      </c>
      <c r="V796" s="64">
        <v>44599</v>
      </c>
      <c r="W796" s="17" t="s">
        <v>69</v>
      </c>
      <c r="Y796" s="68">
        <v>44621</v>
      </c>
      <c r="Z796" s="17" t="s">
        <v>191</v>
      </c>
      <c r="AA796" s="17" t="s">
        <v>46</v>
      </c>
      <c r="AB796" s="17" t="s">
        <v>272</v>
      </c>
      <c r="AC796" s="66">
        <v>44604</v>
      </c>
      <c r="AD796" s="65">
        <v>1262</v>
      </c>
      <c r="AE796" s="17" t="s">
        <v>48</v>
      </c>
      <c r="AF796" s="17" t="s">
        <v>345</v>
      </c>
    </row>
    <row r="797" s="17" customFormat="1" hidden="1" spans="1:35">
      <c r="A797" s="17" t="s">
        <v>34</v>
      </c>
      <c r="B797" s="19">
        <v>769</v>
      </c>
      <c r="C797" s="64">
        <v>44589</v>
      </c>
      <c r="D797" s="17" t="s">
        <v>52</v>
      </c>
      <c r="E797" s="17" t="s">
        <v>187</v>
      </c>
      <c r="F797" s="17" t="s">
        <v>54</v>
      </c>
      <c r="H797" s="141" t="s">
        <v>111</v>
      </c>
      <c r="I797" s="141"/>
      <c r="J797" s="17" t="s">
        <v>49</v>
      </c>
      <c r="K797" s="17">
        <v>1010</v>
      </c>
      <c r="L797" s="17">
        <v>349</v>
      </c>
      <c r="M797" s="17">
        <v>1620</v>
      </c>
      <c r="N797" s="17" t="s">
        <v>40</v>
      </c>
      <c r="O797" s="19" t="s">
        <v>50</v>
      </c>
      <c r="P797" s="19">
        <v>4450</v>
      </c>
      <c r="Q797" s="17">
        <v>4400</v>
      </c>
      <c r="R797" s="17">
        <f t="shared" si="50"/>
        <v>50</v>
      </c>
      <c r="S797" s="17">
        <f>2755-30-100</f>
        <v>2625</v>
      </c>
      <c r="T797" s="19" t="s">
        <v>42</v>
      </c>
      <c r="U797" s="17" t="s">
        <v>359</v>
      </c>
      <c r="V797" s="64">
        <v>44599</v>
      </c>
      <c r="W797" s="17" t="s">
        <v>69</v>
      </c>
      <c r="Y797" s="68">
        <v>44621</v>
      </c>
      <c r="Z797" s="17" t="s">
        <v>191</v>
      </c>
      <c r="AA797" s="17" t="s">
        <v>46</v>
      </c>
      <c r="AB797" s="17" t="s">
        <v>272</v>
      </c>
      <c r="AC797" s="66">
        <v>44604</v>
      </c>
      <c r="AD797" s="65">
        <v>1262</v>
      </c>
      <c r="AE797" s="17" t="s">
        <v>48</v>
      </c>
      <c r="AF797" s="17" t="s">
        <v>345</v>
      </c>
    </row>
    <row r="798" s="17" customFormat="1" hidden="1" spans="1:35">
      <c r="A798" s="17" t="s">
        <v>34</v>
      </c>
      <c r="B798" s="19">
        <v>769</v>
      </c>
      <c r="C798" s="64">
        <v>44589</v>
      </c>
      <c r="D798" s="17" t="s">
        <v>52</v>
      </c>
      <c r="E798" s="17" t="s">
        <v>187</v>
      </c>
      <c r="F798" s="17" t="s">
        <v>54</v>
      </c>
      <c r="H798" s="65">
        <v>1.2738</v>
      </c>
      <c r="I798" s="65"/>
      <c r="J798" s="17" t="s">
        <v>49</v>
      </c>
      <c r="K798" s="17">
        <v>2250</v>
      </c>
      <c r="L798" s="142">
        <v>45</v>
      </c>
      <c r="M798" s="17">
        <v>5250</v>
      </c>
      <c r="N798" s="17" t="s">
        <v>66</v>
      </c>
      <c r="O798" s="19" t="s">
        <v>141</v>
      </c>
      <c r="P798" s="93">
        <v>3350</v>
      </c>
      <c r="Q798" s="17">
        <v>4290</v>
      </c>
      <c r="R798" s="17">
        <f t="shared" si="50"/>
        <v>-940</v>
      </c>
      <c r="S798" s="17">
        <v>1535</v>
      </c>
      <c r="T798" s="19" t="s">
        <v>42</v>
      </c>
      <c r="U798" s="17" t="s">
        <v>359</v>
      </c>
      <c r="V798" s="64">
        <v>44599</v>
      </c>
      <c r="W798" s="17" t="s">
        <v>69</v>
      </c>
      <c r="Y798" s="68">
        <v>44621</v>
      </c>
      <c r="Z798" s="17" t="s">
        <v>191</v>
      </c>
      <c r="AA798" s="17" t="s">
        <v>46</v>
      </c>
      <c r="AB798" s="17" t="s">
        <v>272</v>
      </c>
      <c r="AC798" s="66">
        <v>44604</v>
      </c>
      <c r="AD798" s="65">
        <v>1262</v>
      </c>
      <c r="AE798" s="17" t="s">
        <v>48</v>
      </c>
      <c r="AF798" s="17" t="s">
        <v>360</v>
      </c>
    </row>
    <row r="799" s="17" customFormat="1" hidden="1" spans="1:35">
      <c r="A799" s="17" t="s">
        <v>34</v>
      </c>
      <c r="B799" s="19">
        <v>770</v>
      </c>
      <c r="C799" s="64">
        <v>44590</v>
      </c>
      <c r="D799" s="17" t="s">
        <v>52</v>
      </c>
      <c r="E799" s="17" t="s">
        <v>187</v>
      </c>
      <c r="F799" s="17" t="s">
        <v>54</v>
      </c>
      <c r="H799" s="65">
        <v>1.2738</v>
      </c>
      <c r="I799" s="65"/>
      <c r="J799" s="17" t="s">
        <v>82</v>
      </c>
      <c r="K799" s="19">
        <v>205</v>
      </c>
      <c r="L799" s="129">
        <v>25</v>
      </c>
      <c r="M799" s="17" t="s">
        <v>361</v>
      </c>
      <c r="N799" s="17" t="s">
        <v>66</v>
      </c>
      <c r="O799" s="19" t="s">
        <v>141</v>
      </c>
      <c r="P799" s="93">
        <v>550</v>
      </c>
      <c r="Q799" s="17">
        <f>89+88+89+88+89+88+88</f>
        <v>619</v>
      </c>
      <c r="R799" s="17">
        <f t="shared" si="50"/>
        <v>-69</v>
      </c>
      <c r="S799" s="17">
        <f t="shared" ref="S799:S830" si="51">1590-15</f>
        <v>1575</v>
      </c>
      <c r="T799" s="19" t="s">
        <v>42</v>
      </c>
      <c r="U799" s="17" t="s">
        <v>362</v>
      </c>
      <c r="V799" s="64">
        <v>44600</v>
      </c>
      <c r="W799" s="17" t="s">
        <v>69</v>
      </c>
      <c r="Y799" s="68">
        <v>44621</v>
      </c>
      <c r="Z799" s="17" t="s">
        <v>191</v>
      </c>
      <c r="AA799" s="17" t="s">
        <v>46</v>
      </c>
      <c r="AB799" s="17" t="s">
        <v>363</v>
      </c>
      <c r="AC799" s="66">
        <v>44622</v>
      </c>
      <c r="AD799" s="65">
        <v>1266</v>
      </c>
      <c r="AE799" s="17" t="s">
        <v>129</v>
      </c>
      <c r="AF799" s="17" t="s">
        <v>364</v>
      </c>
      <c r="AH799" s="17" t="s">
        <v>365</v>
      </c>
      <c r="AI799" s="95">
        <f t="shared" ref="AI799:AI830" si="52">137327/1000</f>
        <v>137.327</v>
      </c>
    </row>
    <row r="800" s="17" customFormat="1" hidden="1" spans="1:35">
      <c r="A800" s="17" t="s">
        <v>34</v>
      </c>
      <c r="B800" s="19">
        <v>770</v>
      </c>
      <c r="C800" s="64">
        <v>44590</v>
      </c>
      <c r="D800" s="17" t="s">
        <v>52</v>
      </c>
      <c r="E800" s="17" t="s">
        <v>187</v>
      </c>
      <c r="F800" s="17" t="s">
        <v>54</v>
      </c>
      <c r="H800" s="65">
        <v>1.2738</v>
      </c>
      <c r="I800" s="65"/>
      <c r="J800" s="17" t="s">
        <v>82</v>
      </c>
      <c r="K800" s="19">
        <v>255</v>
      </c>
      <c r="L800" s="143">
        <v>25</v>
      </c>
      <c r="M800" s="17" t="s">
        <v>361</v>
      </c>
      <c r="N800" s="17" t="s">
        <v>66</v>
      </c>
      <c r="O800" s="19" t="s">
        <v>141</v>
      </c>
      <c r="P800" s="19">
        <v>600</v>
      </c>
      <c r="Q800" s="17">
        <f>110+110+111+111+110+110</f>
        <v>662</v>
      </c>
      <c r="R800" s="17">
        <f t="shared" si="50"/>
        <v>-62</v>
      </c>
      <c r="S800" s="17">
        <f t="shared" si="51"/>
        <v>1575</v>
      </c>
      <c r="T800" s="19" t="s">
        <v>42</v>
      </c>
      <c r="U800" s="17" t="s">
        <v>362</v>
      </c>
      <c r="V800" s="64">
        <v>44600</v>
      </c>
      <c r="W800" s="17" t="s">
        <v>69</v>
      </c>
      <c r="Y800" s="68">
        <v>44621</v>
      </c>
      <c r="Z800" s="17" t="s">
        <v>191</v>
      </c>
      <c r="AA800" s="17" t="s">
        <v>46</v>
      </c>
      <c r="AB800" s="17" t="s">
        <v>363</v>
      </c>
      <c r="AC800" s="66">
        <v>44622</v>
      </c>
      <c r="AD800" s="65">
        <v>1266</v>
      </c>
      <c r="AE800" s="17" t="s">
        <v>129</v>
      </c>
      <c r="AF800" s="17" t="s">
        <v>364</v>
      </c>
      <c r="AH800" s="17" t="s">
        <v>365</v>
      </c>
      <c r="AI800" s="95">
        <f t="shared" si="52"/>
        <v>137.327</v>
      </c>
    </row>
    <row r="801" s="17" customFormat="1" hidden="1" spans="1:35">
      <c r="A801" s="17" t="s">
        <v>34</v>
      </c>
      <c r="B801" s="19">
        <v>770</v>
      </c>
      <c r="C801" s="64">
        <v>44590</v>
      </c>
      <c r="D801" s="17" t="s">
        <v>52</v>
      </c>
      <c r="E801" s="17" t="s">
        <v>187</v>
      </c>
      <c r="F801" s="17" t="s">
        <v>54</v>
      </c>
      <c r="H801" s="65">
        <v>1.2738</v>
      </c>
      <c r="I801" s="65"/>
      <c r="J801" s="17" t="s">
        <v>82</v>
      </c>
      <c r="K801" s="19">
        <v>305</v>
      </c>
      <c r="L801" s="143">
        <v>25</v>
      </c>
      <c r="M801" s="17" t="s">
        <v>361</v>
      </c>
      <c r="N801" s="17" t="s">
        <v>66</v>
      </c>
      <c r="O801" s="19" t="s">
        <v>141</v>
      </c>
      <c r="P801" s="19">
        <v>700</v>
      </c>
      <c r="Q801" s="17">
        <f>131+131+127+131+131+132</f>
        <v>783</v>
      </c>
      <c r="R801" s="17">
        <f t="shared" si="50"/>
        <v>-83</v>
      </c>
      <c r="S801" s="17">
        <f t="shared" si="51"/>
        <v>1575</v>
      </c>
      <c r="T801" s="19" t="s">
        <v>42</v>
      </c>
      <c r="U801" s="17" t="s">
        <v>362</v>
      </c>
      <c r="V801" s="64">
        <v>44600</v>
      </c>
      <c r="W801" s="17" t="s">
        <v>69</v>
      </c>
      <c r="Y801" s="68">
        <v>44621</v>
      </c>
      <c r="Z801" s="17" t="s">
        <v>191</v>
      </c>
      <c r="AA801" s="17" t="s">
        <v>46</v>
      </c>
      <c r="AB801" s="17" t="s">
        <v>363</v>
      </c>
      <c r="AC801" s="66">
        <v>44622</v>
      </c>
      <c r="AD801" s="65">
        <v>1266</v>
      </c>
      <c r="AE801" s="17" t="s">
        <v>129</v>
      </c>
      <c r="AF801" s="17" t="s">
        <v>364</v>
      </c>
      <c r="AH801" s="17" t="s">
        <v>365</v>
      </c>
      <c r="AI801" s="95">
        <f t="shared" si="52"/>
        <v>137.327</v>
      </c>
    </row>
    <row r="802" s="17" customFormat="1" hidden="1" spans="1:35">
      <c r="A802" s="17" t="s">
        <v>34</v>
      </c>
      <c r="B802" s="19">
        <v>770</v>
      </c>
      <c r="C802" s="64">
        <v>44590</v>
      </c>
      <c r="D802" s="17" t="s">
        <v>52</v>
      </c>
      <c r="E802" s="17" t="s">
        <v>187</v>
      </c>
      <c r="F802" s="17" t="s">
        <v>54</v>
      </c>
      <c r="H802" s="65">
        <v>1.2738</v>
      </c>
      <c r="I802" s="65"/>
      <c r="J802" s="17" t="s">
        <v>82</v>
      </c>
      <c r="K802" s="19">
        <v>355</v>
      </c>
      <c r="L802" s="143">
        <v>25</v>
      </c>
      <c r="M802" s="17" t="s">
        <v>361</v>
      </c>
      <c r="N802" s="17" t="s">
        <v>66</v>
      </c>
      <c r="O802" s="19" t="s">
        <v>141</v>
      </c>
      <c r="P802" s="19">
        <v>700</v>
      </c>
      <c r="Q802" s="17">
        <f>153+152+152+153+152</f>
        <v>762</v>
      </c>
      <c r="R802" s="17">
        <f t="shared" si="50"/>
        <v>-62</v>
      </c>
      <c r="S802" s="17">
        <f t="shared" si="51"/>
        <v>1575</v>
      </c>
      <c r="T802" s="19" t="s">
        <v>42</v>
      </c>
      <c r="U802" s="17" t="s">
        <v>362</v>
      </c>
      <c r="V802" s="64">
        <v>44600</v>
      </c>
      <c r="W802" s="17" t="s">
        <v>69</v>
      </c>
      <c r="Y802" s="68">
        <v>44621</v>
      </c>
      <c r="Z802" s="17" t="s">
        <v>191</v>
      </c>
      <c r="AA802" s="17" t="s">
        <v>46</v>
      </c>
      <c r="AB802" s="17" t="s">
        <v>363</v>
      </c>
      <c r="AC802" s="66">
        <v>44622</v>
      </c>
      <c r="AD802" s="65">
        <v>1266</v>
      </c>
      <c r="AE802" s="17" t="s">
        <v>129</v>
      </c>
      <c r="AF802" s="17" t="s">
        <v>364</v>
      </c>
      <c r="AH802" s="17" t="s">
        <v>365</v>
      </c>
      <c r="AI802" s="95">
        <f t="shared" si="52"/>
        <v>137.327</v>
      </c>
    </row>
    <row r="803" s="17" customFormat="1" hidden="1" spans="1:35">
      <c r="A803" s="17" t="s">
        <v>34</v>
      </c>
      <c r="B803" s="19">
        <v>770</v>
      </c>
      <c r="C803" s="64">
        <v>44590</v>
      </c>
      <c r="D803" s="17" t="s">
        <v>52</v>
      </c>
      <c r="E803" s="17" t="s">
        <v>187</v>
      </c>
      <c r="F803" s="17" t="s">
        <v>54</v>
      </c>
      <c r="H803" s="65">
        <v>1.2738</v>
      </c>
      <c r="I803" s="65"/>
      <c r="J803" s="17" t="s">
        <v>82</v>
      </c>
      <c r="K803" s="19">
        <v>405</v>
      </c>
      <c r="L803" s="143">
        <v>25</v>
      </c>
      <c r="M803" s="17" t="s">
        <v>361</v>
      </c>
      <c r="N803" s="17" t="s">
        <v>66</v>
      </c>
      <c r="O803" s="19" t="s">
        <v>141</v>
      </c>
      <c r="P803" s="19">
        <v>600</v>
      </c>
      <c r="Q803" s="17">
        <f>175+175+174+174</f>
        <v>698</v>
      </c>
      <c r="R803" s="17">
        <f t="shared" si="50"/>
        <v>-98</v>
      </c>
      <c r="S803" s="17">
        <f t="shared" si="51"/>
        <v>1575</v>
      </c>
      <c r="T803" s="19" t="s">
        <v>42</v>
      </c>
      <c r="U803" s="17" t="s">
        <v>362</v>
      </c>
      <c r="V803" s="64">
        <v>44600</v>
      </c>
      <c r="W803" s="17" t="s">
        <v>69</v>
      </c>
      <c r="Y803" s="68">
        <v>44621</v>
      </c>
      <c r="Z803" s="17" t="s">
        <v>191</v>
      </c>
      <c r="AA803" s="17" t="s">
        <v>46</v>
      </c>
      <c r="AB803" s="17" t="s">
        <v>363</v>
      </c>
      <c r="AC803" s="66">
        <v>44622</v>
      </c>
      <c r="AD803" s="65">
        <v>1266</v>
      </c>
      <c r="AE803" s="17" t="s">
        <v>129</v>
      </c>
      <c r="AF803" s="17" t="s">
        <v>364</v>
      </c>
      <c r="AH803" s="17" t="s">
        <v>365</v>
      </c>
      <c r="AI803" s="95">
        <f t="shared" si="52"/>
        <v>137.327</v>
      </c>
    </row>
    <row r="804" s="17" customFormat="1" hidden="1" spans="1:35">
      <c r="A804" s="17" t="s">
        <v>34</v>
      </c>
      <c r="B804" s="19">
        <v>770</v>
      </c>
      <c r="C804" s="64">
        <v>44590</v>
      </c>
      <c r="D804" s="17" t="s">
        <v>52</v>
      </c>
      <c r="E804" s="17" t="s">
        <v>187</v>
      </c>
      <c r="F804" s="17" t="s">
        <v>54</v>
      </c>
      <c r="H804" s="65">
        <v>1.2738</v>
      </c>
      <c r="I804" s="65"/>
      <c r="J804" s="17" t="s">
        <v>82</v>
      </c>
      <c r="K804" s="19">
        <v>505</v>
      </c>
      <c r="L804" s="143">
        <v>25</v>
      </c>
      <c r="M804" s="17" t="s">
        <v>361</v>
      </c>
      <c r="N804" s="17" t="s">
        <v>66</v>
      </c>
      <c r="O804" s="19" t="s">
        <v>141</v>
      </c>
      <c r="P804" s="19">
        <v>600</v>
      </c>
      <c r="Q804" s="17">
        <f>217+216+216</f>
        <v>649</v>
      </c>
      <c r="R804" s="17">
        <f t="shared" si="50"/>
        <v>-49</v>
      </c>
      <c r="S804" s="17">
        <f t="shared" si="51"/>
        <v>1575</v>
      </c>
      <c r="T804" s="19" t="s">
        <v>42</v>
      </c>
      <c r="U804" s="17" t="s">
        <v>362</v>
      </c>
      <c r="V804" s="64">
        <v>44600</v>
      </c>
      <c r="W804" s="17" t="s">
        <v>69</v>
      </c>
      <c r="Y804" s="68">
        <v>44621</v>
      </c>
      <c r="Z804" s="17" t="s">
        <v>191</v>
      </c>
      <c r="AA804" s="17" t="s">
        <v>46</v>
      </c>
      <c r="AB804" s="17" t="s">
        <v>363</v>
      </c>
      <c r="AC804" s="66">
        <v>44622</v>
      </c>
      <c r="AD804" s="65">
        <v>1266</v>
      </c>
      <c r="AE804" s="17" t="s">
        <v>129</v>
      </c>
      <c r="AF804" s="17" t="s">
        <v>364</v>
      </c>
      <c r="AH804" s="17" t="s">
        <v>365</v>
      </c>
      <c r="AI804" s="95">
        <f t="shared" si="52"/>
        <v>137.327</v>
      </c>
    </row>
    <row r="805" s="17" customFormat="1" hidden="1" spans="1:35">
      <c r="A805" s="17" t="s">
        <v>34</v>
      </c>
      <c r="B805" s="19">
        <v>770</v>
      </c>
      <c r="C805" s="64">
        <v>44590</v>
      </c>
      <c r="D805" s="17" t="s">
        <v>52</v>
      </c>
      <c r="E805" s="17" t="s">
        <v>187</v>
      </c>
      <c r="F805" s="17" t="s">
        <v>54</v>
      </c>
      <c r="H805" s="65">
        <v>1.2738</v>
      </c>
      <c r="I805" s="65"/>
      <c r="J805" s="17" t="s">
        <v>82</v>
      </c>
      <c r="K805" s="19">
        <v>205</v>
      </c>
      <c r="L805" s="143">
        <v>32</v>
      </c>
      <c r="M805" s="17" t="s">
        <v>361</v>
      </c>
      <c r="N805" s="17" t="s">
        <v>66</v>
      </c>
      <c r="O805" s="19" t="s">
        <v>141</v>
      </c>
      <c r="P805" s="19">
        <v>700</v>
      </c>
      <c r="Q805" s="17">
        <f>105+106+107+106+107+103+104</f>
        <v>738</v>
      </c>
      <c r="R805" s="17">
        <f t="shared" si="50"/>
        <v>-38</v>
      </c>
      <c r="S805" s="17">
        <f t="shared" si="51"/>
        <v>1575</v>
      </c>
      <c r="T805" s="19" t="s">
        <v>42</v>
      </c>
      <c r="U805" s="17" t="s">
        <v>362</v>
      </c>
      <c r="V805" s="64">
        <v>44600</v>
      </c>
      <c r="W805" s="17" t="s">
        <v>69</v>
      </c>
      <c r="Y805" s="68">
        <v>44621</v>
      </c>
      <c r="Z805" s="17" t="s">
        <v>191</v>
      </c>
      <c r="AA805" s="17" t="s">
        <v>46</v>
      </c>
      <c r="AB805" s="17" t="s">
        <v>363</v>
      </c>
      <c r="AC805" s="66">
        <v>44622</v>
      </c>
      <c r="AD805" s="65">
        <v>1266</v>
      </c>
      <c r="AE805" s="17" t="s">
        <v>129</v>
      </c>
      <c r="AF805" s="17" t="s">
        <v>364</v>
      </c>
      <c r="AH805" s="17" t="s">
        <v>365</v>
      </c>
      <c r="AI805" s="95">
        <f t="shared" si="52"/>
        <v>137.327</v>
      </c>
    </row>
    <row r="806" s="17" customFormat="1" hidden="1" spans="1:35">
      <c r="A806" s="17" t="s">
        <v>34</v>
      </c>
      <c r="B806" s="19">
        <v>770</v>
      </c>
      <c r="C806" s="64">
        <v>44590</v>
      </c>
      <c r="D806" s="17" t="s">
        <v>52</v>
      </c>
      <c r="E806" s="17" t="s">
        <v>187</v>
      </c>
      <c r="F806" s="17" t="s">
        <v>54</v>
      </c>
      <c r="H806" s="65">
        <v>1.2738</v>
      </c>
      <c r="I806" s="65"/>
      <c r="J806" s="17" t="s">
        <v>82</v>
      </c>
      <c r="K806" s="19">
        <v>255</v>
      </c>
      <c r="L806" s="143">
        <v>32</v>
      </c>
      <c r="M806" s="17" t="s">
        <v>361</v>
      </c>
      <c r="N806" s="17" t="s">
        <v>66</v>
      </c>
      <c r="O806" s="19" t="s">
        <v>141</v>
      </c>
      <c r="P806" s="19">
        <v>550</v>
      </c>
      <c r="Q806" s="17">
        <f>130+130+131+131</f>
        <v>522</v>
      </c>
      <c r="R806" s="17">
        <f t="shared" si="50"/>
        <v>28</v>
      </c>
      <c r="S806" s="17">
        <f t="shared" si="51"/>
        <v>1575</v>
      </c>
      <c r="T806" s="19" t="s">
        <v>42</v>
      </c>
      <c r="U806" s="17" t="s">
        <v>362</v>
      </c>
      <c r="V806" s="64">
        <v>44600</v>
      </c>
      <c r="W806" s="17" t="s">
        <v>69</v>
      </c>
      <c r="Y806" s="68">
        <v>44621</v>
      </c>
      <c r="Z806" s="17" t="s">
        <v>191</v>
      </c>
      <c r="AA806" s="17" t="s">
        <v>46</v>
      </c>
      <c r="AB806" s="17" t="s">
        <v>363</v>
      </c>
      <c r="AC806" s="66">
        <v>44622</v>
      </c>
      <c r="AD806" s="65">
        <v>1266</v>
      </c>
      <c r="AE806" s="17" t="s">
        <v>129</v>
      </c>
      <c r="AF806" s="17" t="s">
        <v>364</v>
      </c>
      <c r="AH806" s="17" t="s">
        <v>365</v>
      </c>
      <c r="AI806" s="95">
        <f t="shared" si="52"/>
        <v>137.327</v>
      </c>
    </row>
    <row r="807" s="17" customFormat="1" hidden="1" spans="1:35">
      <c r="A807" s="17" t="s">
        <v>34</v>
      </c>
      <c r="B807" s="19">
        <v>770</v>
      </c>
      <c r="C807" s="64">
        <v>44590</v>
      </c>
      <c r="D807" s="17" t="s">
        <v>52</v>
      </c>
      <c r="E807" s="17" t="s">
        <v>187</v>
      </c>
      <c r="F807" s="17" t="s">
        <v>54</v>
      </c>
      <c r="H807" s="65">
        <v>1.2738</v>
      </c>
      <c r="I807" s="65"/>
      <c r="J807" s="17" t="s">
        <v>82</v>
      </c>
      <c r="K807" s="19">
        <v>305</v>
      </c>
      <c r="L807" s="143">
        <v>32</v>
      </c>
      <c r="M807" s="17" t="s">
        <v>361</v>
      </c>
      <c r="N807" s="17" t="s">
        <v>66</v>
      </c>
      <c r="O807" s="19" t="s">
        <v>141</v>
      </c>
      <c r="P807" s="19">
        <v>750</v>
      </c>
      <c r="Q807" s="17">
        <f>155+157+158+156+157</f>
        <v>783</v>
      </c>
      <c r="R807" s="17">
        <f t="shared" si="50"/>
        <v>-33</v>
      </c>
      <c r="S807" s="17">
        <f t="shared" si="51"/>
        <v>1575</v>
      </c>
      <c r="T807" s="19" t="s">
        <v>42</v>
      </c>
      <c r="U807" s="17" t="s">
        <v>362</v>
      </c>
      <c r="V807" s="64">
        <v>44600</v>
      </c>
      <c r="W807" s="17" t="s">
        <v>69</v>
      </c>
      <c r="Y807" s="68">
        <v>44621</v>
      </c>
      <c r="Z807" s="17" t="s">
        <v>191</v>
      </c>
      <c r="AA807" s="17" t="s">
        <v>46</v>
      </c>
      <c r="AB807" s="17" t="s">
        <v>363</v>
      </c>
      <c r="AC807" s="66">
        <v>44622</v>
      </c>
      <c r="AD807" s="65">
        <v>1266</v>
      </c>
      <c r="AE807" s="17" t="s">
        <v>129</v>
      </c>
      <c r="AF807" s="17" t="s">
        <v>364</v>
      </c>
      <c r="AH807" s="17" t="s">
        <v>365</v>
      </c>
      <c r="AI807" s="95">
        <f t="shared" si="52"/>
        <v>137.327</v>
      </c>
    </row>
    <row r="808" s="17" customFormat="1" hidden="1" spans="1:35">
      <c r="A808" s="17" t="s">
        <v>34</v>
      </c>
      <c r="B808" s="19">
        <v>770</v>
      </c>
      <c r="C808" s="64">
        <v>44590</v>
      </c>
      <c r="D808" s="17" t="s">
        <v>52</v>
      </c>
      <c r="E808" s="17" t="s">
        <v>187</v>
      </c>
      <c r="F808" s="17" t="s">
        <v>54</v>
      </c>
      <c r="H808" s="65">
        <v>1.2738</v>
      </c>
      <c r="I808" s="65"/>
      <c r="J808" s="17" t="s">
        <v>82</v>
      </c>
      <c r="K808" s="19">
        <v>330</v>
      </c>
      <c r="L808" s="143">
        <v>32</v>
      </c>
      <c r="M808" s="17" t="s">
        <v>361</v>
      </c>
      <c r="N808" s="17" t="s">
        <v>66</v>
      </c>
      <c r="O808" s="19" t="s">
        <v>141</v>
      </c>
      <c r="P808" s="19">
        <v>200</v>
      </c>
      <c r="Q808" s="17">
        <v>167</v>
      </c>
      <c r="R808" s="17">
        <f t="shared" si="50"/>
        <v>33</v>
      </c>
      <c r="S808" s="17">
        <f t="shared" si="51"/>
        <v>1575</v>
      </c>
      <c r="T808" s="19" t="s">
        <v>42</v>
      </c>
      <c r="U808" s="17" t="s">
        <v>362</v>
      </c>
      <c r="V808" s="64">
        <v>44600</v>
      </c>
      <c r="W808" s="17" t="s">
        <v>69</v>
      </c>
      <c r="Y808" s="68">
        <v>44621</v>
      </c>
      <c r="Z808" s="17" t="s">
        <v>191</v>
      </c>
      <c r="AA808" s="17" t="s">
        <v>46</v>
      </c>
      <c r="AB808" s="17" t="s">
        <v>363</v>
      </c>
      <c r="AC808" s="66">
        <v>44622</v>
      </c>
      <c r="AD808" s="65">
        <v>1266</v>
      </c>
      <c r="AE808" s="17" t="s">
        <v>129</v>
      </c>
      <c r="AF808" s="17" t="s">
        <v>364</v>
      </c>
      <c r="AH808" s="17" t="s">
        <v>365</v>
      </c>
      <c r="AI808" s="95">
        <f t="shared" si="52"/>
        <v>137.327</v>
      </c>
    </row>
    <row r="809" s="17" customFormat="1" hidden="1" spans="1:35">
      <c r="A809" s="17" t="s">
        <v>34</v>
      </c>
      <c r="B809" s="19">
        <v>770</v>
      </c>
      <c r="C809" s="64">
        <v>44590</v>
      </c>
      <c r="D809" s="17" t="s">
        <v>52</v>
      </c>
      <c r="E809" s="17" t="s">
        <v>187</v>
      </c>
      <c r="F809" s="17" t="s">
        <v>54</v>
      </c>
      <c r="H809" s="65">
        <v>1.2738</v>
      </c>
      <c r="I809" s="65"/>
      <c r="J809" s="17" t="s">
        <v>82</v>
      </c>
      <c r="K809" s="19">
        <v>355</v>
      </c>
      <c r="L809" s="143">
        <v>32</v>
      </c>
      <c r="M809" s="17" t="s">
        <v>361</v>
      </c>
      <c r="N809" s="17" t="s">
        <v>66</v>
      </c>
      <c r="O809" s="19" t="s">
        <v>141</v>
      </c>
      <c r="P809" s="19">
        <v>700</v>
      </c>
      <c r="Q809" s="17">
        <f>180+181+182+174</f>
        <v>717</v>
      </c>
      <c r="R809" s="17">
        <f t="shared" si="50"/>
        <v>-17</v>
      </c>
      <c r="S809" s="17">
        <f t="shared" si="51"/>
        <v>1575</v>
      </c>
      <c r="T809" s="19" t="s">
        <v>42</v>
      </c>
      <c r="U809" s="17" t="s">
        <v>362</v>
      </c>
      <c r="V809" s="64">
        <v>44600</v>
      </c>
      <c r="W809" s="17" t="s">
        <v>69</v>
      </c>
      <c r="Y809" s="68">
        <v>44621</v>
      </c>
      <c r="Z809" s="17" t="s">
        <v>191</v>
      </c>
      <c r="AA809" s="17" t="s">
        <v>46</v>
      </c>
      <c r="AB809" s="17" t="s">
        <v>363</v>
      </c>
      <c r="AC809" s="66">
        <v>44622</v>
      </c>
      <c r="AD809" s="65">
        <v>1266</v>
      </c>
      <c r="AE809" s="17" t="s">
        <v>129</v>
      </c>
      <c r="AF809" s="17" t="s">
        <v>364</v>
      </c>
      <c r="AH809" s="17" t="s">
        <v>365</v>
      </c>
      <c r="AI809" s="95">
        <f t="shared" si="52"/>
        <v>137.327</v>
      </c>
    </row>
    <row r="810" s="17" customFormat="1" hidden="1" spans="1:35">
      <c r="A810" s="17" t="s">
        <v>34</v>
      </c>
      <c r="B810" s="19">
        <v>770</v>
      </c>
      <c r="C810" s="64">
        <v>44590</v>
      </c>
      <c r="D810" s="17" t="s">
        <v>52</v>
      </c>
      <c r="E810" s="17" t="s">
        <v>187</v>
      </c>
      <c r="F810" s="17" t="s">
        <v>54</v>
      </c>
      <c r="H810" s="65">
        <v>1.2738</v>
      </c>
      <c r="I810" s="65"/>
      <c r="J810" s="17" t="s">
        <v>82</v>
      </c>
      <c r="K810" s="19">
        <v>380</v>
      </c>
      <c r="L810" s="143">
        <v>32</v>
      </c>
      <c r="M810" s="17" t="s">
        <v>361</v>
      </c>
      <c r="N810" s="17" t="s">
        <v>66</v>
      </c>
      <c r="O810" s="19" t="s">
        <v>141</v>
      </c>
      <c r="P810" s="19">
        <v>200</v>
      </c>
      <c r="Q810" s="17">
        <v>192</v>
      </c>
      <c r="R810" s="17">
        <f t="shared" si="50"/>
        <v>8</v>
      </c>
      <c r="S810" s="17">
        <f t="shared" si="51"/>
        <v>1575</v>
      </c>
      <c r="T810" s="19" t="s">
        <v>42</v>
      </c>
      <c r="U810" s="17" t="s">
        <v>362</v>
      </c>
      <c r="V810" s="64">
        <v>44600</v>
      </c>
      <c r="W810" s="17" t="s">
        <v>69</v>
      </c>
      <c r="Y810" s="68">
        <v>44621</v>
      </c>
      <c r="Z810" s="17" t="s">
        <v>191</v>
      </c>
      <c r="AA810" s="17" t="s">
        <v>46</v>
      </c>
      <c r="AB810" s="17" t="s">
        <v>363</v>
      </c>
      <c r="AC810" s="66">
        <v>44622</v>
      </c>
      <c r="AD810" s="65">
        <v>1266</v>
      </c>
      <c r="AE810" s="17" t="s">
        <v>129</v>
      </c>
      <c r="AF810" s="17" t="s">
        <v>364</v>
      </c>
      <c r="AH810" s="17" t="s">
        <v>365</v>
      </c>
      <c r="AI810" s="95">
        <f t="shared" si="52"/>
        <v>137.327</v>
      </c>
    </row>
    <row r="811" s="17" customFormat="1" hidden="1" spans="1:35">
      <c r="A811" s="17" t="s">
        <v>34</v>
      </c>
      <c r="B811" s="19">
        <v>770</v>
      </c>
      <c r="C811" s="64">
        <v>44590</v>
      </c>
      <c r="D811" s="17" t="s">
        <v>52</v>
      </c>
      <c r="E811" s="17" t="s">
        <v>187</v>
      </c>
      <c r="F811" s="17" t="s">
        <v>54</v>
      </c>
      <c r="H811" s="65">
        <v>1.2738</v>
      </c>
      <c r="I811" s="65"/>
      <c r="J811" s="17" t="s">
        <v>82</v>
      </c>
      <c r="K811" s="19">
        <v>405</v>
      </c>
      <c r="L811" s="143">
        <v>32</v>
      </c>
      <c r="M811" s="17" t="s">
        <v>361</v>
      </c>
      <c r="N811" s="17" t="s">
        <v>66</v>
      </c>
      <c r="O811" s="19" t="s">
        <v>141</v>
      </c>
      <c r="P811" s="19">
        <v>800</v>
      </c>
      <c r="Q811" s="17">
        <f>207+208+206+207</f>
        <v>828</v>
      </c>
      <c r="R811" s="17">
        <f t="shared" si="50"/>
        <v>-28</v>
      </c>
      <c r="S811" s="17">
        <f t="shared" si="51"/>
        <v>1575</v>
      </c>
      <c r="T811" s="19" t="s">
        <v>42</v>
      </c>
      <c r="U811" s="17" t="s">
        <v>362</v>
      </c>
      <c r="V811" s="64">
        <v>44600</v>
      </c>
      <c r="W811" s="17" t="s">
        <v>69</v>
      </c>
      <c r="Y811" s="68">
        <v>44621</v>
      </c>
      <c r="Z811" s="17" t="s">
        <v>191</v>
      </c>
      <c r="AA811" s="17" t="s">
        <v>46</v>
      </c>
      <c r="AB811" s="17" t="s">
        <v>363</v>
      </c>
      <c r="AC811" s="66">
        <v>44622</v>
      </c>
      <c r="AD811" s="65">
        <v>1266</v>
      </c>
      <c r="AE811" s="17" t="s">
        <v>129</v>
      </c>
      <c r="AF811" s="17" t="s">
        <v>364</v>
      </c>
      <c r="AH811" s="17" t="s">
        <v>365</v>
      </c>
      <c r="AI811" s="95">
        <f t="shared" si="52"/>
        <v>137.327</v>
      </c>
    </row>
    <row r="812" s="17" customFormat="1" hidden="1" spans="1:35">
      <c r="A812" s="17" t="s">
        <v>34</v>
      </c>
      <c r="B812" s="19">
        <v>770</v>
      </c>
      <c r="C812" s="64">
        <v>44590</v>
      </c>
      <c r="D812" s="17" t="s">
        <v>52</v>
      </c>
      <c r="E812" s="17" t="s">
        <v>187</v>
      </c>
      <c r="F812" s="17" t="s">
        <v>54</v>
      </c>
      <c r="H812" s="65">
        <v>1.2738</v>
      </c>
      <c r="I812" s="65"/>
      <c r="J812" s="17" t="s">
        <v>82</v>
      </c>
      <c r="K812" s="19">
        <v>455</v>
      </c>
      <c r="L812" s="143">
        <v>32</v>
      </c>
      <c r="M812" s="17" t="s">
        <v>361</v>
      </c>
      <c r="N812" s="17" t="s">
        <v>66</v>
      </c>
      <c r="O812" s="19" t="s">
        <v>141</v>
      </c>
      <c r="P812" s="19">
        <v>700</v>
      </c>
      <c r="Q812" s="17">
        <f>231+231+231</f>
        <v>693</v>
      </c>
      <c r="R812" s="17">
        <f t="shared" si="50"/>
        <v>7</v>
      </c>
      <c r="S812" s="17">
        <f t="shared" si="51"/>
        <v>1575</v>
      </c>
      <c r="T812" s="19" t="s">
        <v>42</v>
      </c>
      <c r="U812" s="17" t="s">
        <v>362</v>
      </c>
      <c r="V812" s="64">
        <v>44600</v>
      </c>
      <c r="W812" s="17" t="s">
        <v>69</v>
      </c>
      <c r="Y812" s="68">
        <v>44621</v>
      </c>
      <c r="Z812" s="17" t="s">
        <v>191</v>
      </c>
      <c r="AA812" s="17" t="s">
        <v>46</v>
      </c>
      <c r="AB812" s="17" t="s">
        <v>363</v>
      </c>
      <c r="AC812" s="66">
        <v>44622</v>
      </c>
      <c r="AD812" s="65">
        <v>1266</v>
      </c>
      <c r="AE812" s="17" t="s">
        <v>129</v>
      </c>
      <c r="AF812" s="17" t="s">
        <v>364</v>
      </c>
      <c r="AH812" s="17" t="s">
        <v>365</v>
      </c>
      <c r="AI812" s="95">
        <f t="shared" si="52"/>
        <v>137.327</v>
      </c>
    </row>
    <row r="813" s="17" customFormat="1" hidden="1" spans="1:35">
      <c r="A813" s="17" t="s">
        <v>34</v>
      </c>
      <c r="B813" s="19">
        <v>770</v>
      </c>
      <c r="C813" s="64">
        <v>44590</v>
      </c>
      <c r="D813" s="17" t="s">
        <v>52</v>
      </c>
      <c r="E813" s="17" t="s">
        <v>187</v>
      </c>
      <c r="F813" s="17" t="s">
        <v>54</v>
      </c>
      <c r="H813" s="65">
        <v>1.2738</v>
      </c>
      <c r="I813" s="65"/>
      <c r="J813" s="17" t="s">
        <v>82</v>
      </c>
      <c r="K813" s="19">
        <v>505</v>
      </c>
      <c r="L813" s="143">
        <v>32</v>
      </c>
      <c r="M813" s="17" t="s">
        <v>361</v>
      </c>
      <c r="N813" s="17" t="s">
        <v>66</v>
      </c>
      <c r="O813" s="19" t="s">
        <v>141</v>
      </c>
      <c r="P813" s="19">
        <v>800</v>
      </c>
      <c r="Q813" s="17">
        <f>256+255+257</f>
        <v>768</v>
      </c>
      <c r="R813" s="17">
        <f t="shared" si="50"/>
        <v>32</v>
      </c>
      <c r="S813" s="17">
        <f t="shared" si="51"/>
        <v>1575</v>
      </c>
      <c r="T813" s="19" t="s">
        <v>42</v>
      </c>
      <c r="U813" s="17" t="s">
        <v>362</v>
      </c>
      <c r="V813" s="64">
        <v>44600</v>
      </c>
      <c r="W813" s="17" t="s">
        <v>69</v>
      </c>
      <c r="Y813" s="68">
        <v>44621</v>
      </c>
      <c r="Z813" s="17" t="s">
        <v>191</v>
      </c>
      <c r="AA813" s="17" t="s">
        <v>46</v>
      </c>
      <c r="AB813" s="17" t="s">
        <v>363</v>
      </c>
      <c r="AC813" s="66">
        <v>44622</v>
      </c>
      <c r="AD813" s="65">
        <v>1266</v>
      </c>
      <c r="AE813" s="17" t="s">
        <v>129</v>
      </c>
      <c r="AF813" s="17" t="s">
        <v>364</v>
      </c>
      <c r="AH813" s="17" t="s">
        <v>365</v>
      </c>
      <c r="AI813" s="95">
        <f t="shared" si="52"/>
        <v>137.327</v>
      </c>
    </row>
    <row r="814" s="17" customFormat="1" hidden="1" spans="1:35">
      <c r="A814" s="17" t="s">
        <v>34</v>
      </c>
      <c r="B814" s="19">
        <v>770</v>
      </c>
      <c r="C814" s="64">
        <v>44590</v>
      </c>
      <c r="D814" s="17" t="s">
        <v>52</v>
      </c>
      <c r="E814" s="17" t="s">
        <v>187</v>
      </c>
      <c r="F814" s="17" t="s">
        <v>54</v>
      </c>
      <c r="H814" s="65">
        <v>1.2738</v>
      </c>
      <c r="I814" s="65"/>
      <c r="J814" s="17" t="s">
        <v>82</v>
      </c>
      <c r="K814" s="19">
        <v>255</v>
      </c>
      <c r="L814" s="143">
        <v>36</v>
      </c>
      <c r="M814" s="17" t="s">
        <v>361</v>
      </c>
      <c r="N814" s="17" t="s">
        <v>66</v>
      </c>
      <c r="O814" s="19" t="s">
        <v>141</v>
      </c>
      <c r="P814" s="19">
        <v>600</v>
      </c>
      <c r="Q814" s="17">
        <f>153+153+153</f>
        <v>459</v>
      </c>
      <c r="S814" s="17">
        <f t="shared" si="51"/>
        <v>1575</v>
      </c>
      <c r="T814" s="19" t="s">
        <v>42</v>
      </c>
      <c r="U814" s="17" t="s">
        <v>362</v>
      </c>
      <c r="V814" s="64">
        <v>44600</v>
      </c>
      <c r="W814" s="17" t="s">
        <v>69</v>
      </c>
      <c r="Y814" s="68">
        <v>44621</v>
      </c>
      <c r="Z814" s="17" t="s">
        <v>191</v>
      </c>
      <c r="AA814" s="17" t="s">
        <v>46</v>
      </c>
      <c r="AB814" s="17" t="s">
        <v>351</v>
      </c>
      <c r="AC814" s="66">
        <v>44679</v>
      </c>
      <c r="AD814" s="65">
        <v>1293</v>
      </c>
      <c r="AE814" s="17" t="s">
        <v>129</v>
      </c>
      <c r="AF814" s="17" t="s">
        <v>364</v>
      </c>
      <c r="AH814" s="17" t="s">
        <v>365</v>
      </c>
      <c r="AI814" s="95">
        <f t="shared" si="52"/>
        <v>137.327</v>
      </c>
    </row>
    <row r="815" s="17" customFormat="1" hidden="1" spans="1:35">
      <c r="B815" s="19">
        <v>770</v>
      </c>
      <c r="C815" s="64">
        <v>44590</v>
      </c>
      <c r="D815" s="17" t="s">
        <v>52</v>
      </c>
      <c r="E815" s="17" t="s">
        <v>187</v>
      </c>
      <c r="F815" s="17" t="s">
        <v>54</v>
      </c>
      <c r="H815" s="65">
        <v>1.2738</v>
      </c>
      <c r="I815" s="65"/>
      <c r="J815" s="17" t="s">
        <v>82</v>
      </c>
      <c r="K815" s="19">
        <v>255</v>
      </c>
      <c r="L815" s="143">
        <v>36</v>
      </c>
      <c r="M815" s="17" t="s">
        <v>361</v>
      </c>
      <c r="N815" s="17" t="s">
        <v>66</v>
      </c>
      <c r="O815" s="19" t="s">
        <v>141</v>
      </c>
      <c r="P815" s="19"/>
      <c r="Q815" s="17">
        <v>153</v>
      </c>
      <c r="R815" s="17">
        <f>+P814-Q814-Q815</f>
        <v>-12</v>
      </c>
      <c r="S815" s="17">
        <f t="shared" si="51"/>
        <v>1575</v>
      </c>
      <c r="T815" s="19" t="s">
        <v>42</v>
      </c>
      <c r="U815" s="17" t="s">
        <v>362</v>
      </c>
      <c r="V815" s="64">
        <v>44600</v>
      </c>
      <c r="W815" s="17" t="s">
        <v>69</v>
      </c>
      <c r="Y815" s="68">
        <v>44621</v>
      </c>
      <c r="Z815" s="17" t="s">
        <v>191</v>
      </c>
      <c r="AA815" s="17" t="s">
        <v>46</v>
      </c>
      <c r="AB815" s="17" t="s">
        <v>366</v>
      </c>
      <c r="AC815" s="66">
        <v>44714</v>
      </c>
      <c r="AD815" s="65">
        <v>1306</v>
      </c>
      <c r="AE815" s="17" t="s">
        <v>129</v>
      </c>
      <c r="AF815" s="17" t="s">
        <v>364</v>
      </c>
      <c r="AH815" s="17" t="s">
        <v>365</v>
      </c>
      <c r="AI815" s="95">
        <f t="shared" si="52"/>
        <v>137.327</v>
      </c>
    </row>
    <row r="816" s="17" customFormat="1" hidden="1" spans="1:35">
      <c r="A816" s="17" t="s">
        <v>34</v>
      </c>
      <c r="B816" s="19">
        <v>770</v>
      </c>
      <c r="C816" s="64">
        <v>44590</v>
      </c>
      <c r="D816" s="17" t="s">
        <v>52</v>
      </c>
      <c r="E816" s="17" t="s">
        <v>187</v>
      </c>
      <c r="F816" s="17" t="s">
        <v>54</v>
      </c>
      <c r="H816" s="65">
        <v>1.2738</v>
      </c>
      <c r="I816" s="65"/>
      <c r="J816" s="17" t="s">
        <v>82</v>
      </c>
      <c r="K816" s="19">
        <v>305</v>
      </c>
      <c r="L816" s="143">
        <v>36</v>
      </c>
      <c r="M816" s="17" t="s">
        <v>361</v>
      </c>
      <c r="N816" s="17" t="s">
        <v>66</v>
      </c>
      <c r="O816" s="19" t="s">
        <v>141</v>
      </c>
      <c r="P816" s="19">
        <v>600</v>
      </c>
      <c r="Q816" s="17">
        <f>183+182+185</f>
        <v>550</v>
      </c>
      <c r="S816" s="17">
        <f t="shared" si="51"/>
        <v>1575</v>
      </c>
      <c r="T816" s="19" t="s">
        <v>42</v>
      </c>
      <c r="U816" s="17" t="s">
        <v>362</v>
      </c>
      <c r="V816" s="64">
        <v>44600</v>
      </c>
      <c r="W816" s="17" t="s">
        <v>69</v>
      </c>
      <c r="Y816" s="68">
        <v>44621</v>
      </c>
      <c r="Z816" s="17" t="s">
        <v>191</v>
      </c>
      <c r="AA816" s="17" t="s">
        <v>46</v>
      </c>
      <c r="AB816" s="17" t="s">
        <v>363</v>
      </c>
      <c r="AC816" s="66">
        <v>44622</v>
      </c>
      <c r="AD816" s="65">
        <v>1266</v>
      </c>
      <c r="AE816" s="17" t="s">
        <v>129</v>
      </c>
      <c r="AF816" s="17" t="s">
        <v>364</v>
      </c>
      <c r="AH816" s="17" t="s">
        <v>365</v>
      </c>
      <c r="AI816" s="95">
        <f t="shared" si="52"/>
        <v>137.327</v>
      </c>
    </row>
    <row r="817" s="17" customFormat="1" hidden="1" spans="1:35">
      <c r="B817" s="19">
        <v>770</v>
      </c>
      <c r="C817" s="64">
        <v>44590</v>
      </c>
      <c r="D817" s="17" t="s">
        <v>52</v>
      </c>
      <c r="E817" s="17" t="s">
        <v>187</v>
      </c>
      <c r="F817" s="17" t="s">
        <v>54</v>
      </c>
      <c r="H817" s="65">
        <v>1.2738</v>
      </c>
      <c r="I817" s="65"/>
      <c r="J817" s="17" t="s">
        <v>82</v>
      </c>
      <c r="K817" s="19">
        <v>305</v>
      </c>
      <c r="L817" s="143">
        <v>36</v>
      </c>
      <c r="M817" s="17" t="s">
        <v>361</v>
      </c>
      <c r="N817" s="17" t="s">
        <v>66</v>
      </c>
      <c r="O817" s="19" t="s">
        <v>141</v>
      </c>
      <c r="P817" s="19"/>
      <c r="Q817" s="17">
        <v>181</v>
      </c>
      <c r="R817" s="17">
        <f>+P816-Q816-Q817</f>
        <v>-131</v>
      </c>
      <c r="S817" s="17">
        <f t="shared" si="51"/>
        <v>1575</v>
      </c>
      <c r="T817" s="19" t="s">
        <v>42</v>
      </c>
      <c r="U817" s="17" t="s">
        <v>362</v>
      </c>
      <c r="V817" s="64">
        <v>44600</v>
      </c>
      <c r="W817" s="17" t="s">
        <v>69</v>
      </c>
      <c r="Y817" s="68">
        <v>44621</v>
      </c>
      <c r="Z817" s="17" t="s">
        <v>191</v>
      </c>
      <c r="AA817" s="17" t="s">
        <v>46</v>
      </c>
      <c r="AB817" s="17" t="s">
        <v>366</v>
      </c>
      <c r="AC817" s="66">
        <v>44714</v>
      </c>
      <c r="AD817" s="65">
        <v>1306</v>
      </c>
      <c r="AE817" s="17" t="s">
        <v>129</v>
      </c>
      <c r="AF817" s="17" t="s">
        <v>364</v>
      </c>
      <c r="AH817" s="17" t="s">
        <v>365</v>
      </c>
      <c r="AI817" s="95">
        <f t="shared" si="52"/>
        <v>137.327</v>
      </c>
    </row>
    <row r="818" s="17" customFormat="1" hidden="1" spans="1:35">
      <c r="A818" s="17" t="s">
        <v>34</v>
      </c>
      <c r="B818" s="19">
        <v>770</v>
      </c>
      <c r="C818" s="64">
        <v>44590</v>
      </c>
      <c r="D818" s="17" t="s">
        <v>52</v>
      </c>
      <c r="E818" s="17" t="s">
        <v>187</v>
      </c>
      <c r="F818" s="17" t="s">
        <v>54</v>
      </c>
      <c r="H818" s="65">
        <v>1.2738</v>
      </c>
      <c r="I818" s="65"/>
      <c r="J818" s="17" t="s">
        <v>82</v>
      </c>
      <c r="K818" s="19">
        <v>405</v>
      </c>
      <c r="L818" s="143">
        <v>36</v>
      </c>
      <c r="M818" s="17" t="s">
        <v>361</v>
      </c>
      <c r="N818" s="17" t="s">
        <v>66</v>
      </c>
      <c r="O818" s="19" t="s">
        <v>141</v>
      </c>
      <c r="P818" s="19">
        <v>700</v>
      </c>
      <c r="Q818" s="17">
        <f>241+240+240</f>
        <v>721</v>
      </c>
      <c r="R818" s="17">
        <f>+P818-Q818</f>
        <v>-21</v>
      </c>
      <c r="S818" s="17">
        <f t="shared" si="51"/>
        <v>1575</v>
      </c>
      <c r="T818" s="19" t="s">
        <v>42</v>
      </c>
      <c r="U818" s="17" t="s">
        <v>362</v>
      </c>
      <c r="V818" s="64">
        <v>44600</v>
      </c>
      <c r="W818" s="17" t="s">
        <v>69</v>
      </c>
      <c r="Y818" s="68">
        <v>44621</v>
      </c>
      <c r="Z818" s="17" t="s">
        <v>191</v>
      </c>
      <c r="AA818" s="17" t="s">
        <v>46</v>
      </c>
      <c r="AB818" s="17" t="s">
        <v>363</v>
      </c>
      <c r="AC818" s="66">
        <v>44622</v>
      </c>
      <c r="AD818" s="65">
        <v>1266</v>
      </c>
      <c r="AE818" s="17" t="s">
        <v>129</v>
      </c>
      <c r="AF818" s="17" t="s">
        <v>364</v>
      </c>
      <c r="AH818" s="17" t="s">
        <v>365</v>
      </c>
      <c r="AI818" s="95">
        <f t="shared" si="52"/>
        <v>137.327</v>
      </c>
    </row>
    <row r="819" s="17" customFormat="1" hidden="1" spans="1:35">
      <c r="A819" s="17" t="s">
        <v>34</v>
      </c>
      <c r="B819" s="19">
        <v>770</v>
      </c>
      <c r="C819" s="64">
        <v>44590</v>
      </c>
      <c r="D819" s="17" t="s">
        <v>52</v>
      </c>
      <c r="E819" s="17" t="s">
        <v>187</v>
      </c>
      <c r="F819" s="17" t="s">
        <v>54</v>
      </c>
      <c r="H819" s="65">
        <v>1.2738</v>
      </c>
      <c r="I819" s="65"/>
      <c r="J819" s="17" t="s">
        <v>82</v>
      </c>
      <c r="K819" s="19">
        <v>505</v>
      </c>
      <c r="L819" s="143">
        <v>36</v>
      </c>
      <c r="M819" s="17" t="s">
        <v>361</v>
      </c>
      <c r="N819" s="17" t="s">
        <v>66</v>
      </c>
      <c r="O819" s="19" t="s">
        <v>141</v>
      </c>
      <c r="P819" s="19">
        <v>700</v>
      </c>
      <c r="Q819" s="17">
        <f>300+301</f>
        <v>601</v>
      </c>
      <c r="S819" s="17">
        <f t="shared" si="51"/>
        <v>1575</v>
      </c>
      <c r="T819" s="19" t="s">
        <v>42</v>
      </c>
      <c r="U819" s="17" t="s">
        <v>362</v>
      </c>
      <c r="V819" s="64">
        <v>44600</v>
      </c>
      <c r="W819" s="17" t="s">
        <v>69</v>
      </c>
      <c r="Y819" s="68">
        <v>44621</v>
      </c>
      <c r="Z819" s="17" t="s">
        <v>191</v>
      </c>
      <c r="AA819" s="17" t="s">
        <v>46</v>
      </c>
      <c r="AB819" s="17" t="s">
        <v>363</v>
      </c>
      <c r="AC819" s="66">
        <v>44622</v>
      </c>
      <c r="AD819" s="65">
        <v>1266</v>
      </c>
      <c r="AE819" s="17" t="s">
        <v>129</v>
      </c>
      <c r="AF819" s="17" t="s">
        <v>364</v>
      </c>
      <c r="AH819" s="17" t="s">
        <v>365</v>
      </c>
      <c r="AI819" s="95">
        <f t="shared" si="52"/>
        <v>137.327</v>
      </c>
    </row>
    <row r="820" s="17" customFormat="1" hidden="1" spans="1:35">
      <c r="A820" s="17" t="s">
        <v>34</v>
      </c>
      <c r="B820" s="19">
        <v>770</v>
      </c>
      <c r="C820" s="64">
        <v>44590</v>
      </c>
      <c r="D820" s="17" t="s">
        <v>52</v>
      </c>
      <c r="E820" s="17" t="s">
        <v>187</v>
      </c>
      <c r="F820" s="17" t="s">
        <v>54</v>
      </c>
      <c r="H820" s="65">
        <v>1.2738</v>
      </c>
      <c r="I820" s="65"/>
      <c r="J820" s="17" t="s">
        <v>82</v>
      </c>
      <c r="K820" s="19">
        <v>505</v>
      </c>
      <c r="L820" s="143">
        <v>36</v>
      </c>
      <c r="M820" s="17" t="s">
        <v>361</v>
      </c>
      <c r="N820" s="17" t="s">
        <v>66</v>
      </c>
      <c r="O820" s="19" t="s">
        <v>141</v>
      </c>
      <c r="P820" s="19"/>
      <c r="Q820" s="17">
        <v>302</v>
      </c>
      <c r="R820" s="17">
        <f>+P819-Q819-Q820</f>
        <v>-203</v>
      </c>
      <c r="S820" s="17">
        <f t="shared" si="51"/>
        <v>1575</v>
      </c>
      <c r="T820" s="19" t="s">
        <v>42</v>
      </c>
      <c r="U820" s="17" t="s">
        <v>362</v>
      </c>
      <c r="V820" s="64">
        <v>44600</v>
      </c>
      <c r="W820" s="17" t="s">
        <v>69</v>
      </c>
      <c r="Y820" s="68">
        <v>44621</v>
      </c>
      <c r="Z820" s="17" t="s">
        <v>191</v>
      </c>
      <c r="AA820" s="17" t="s">
        <v>46</v>
      </c>
      <c r="AB820" s="17" t="s">
        <v>351</v>
      </c>
      <c r="AC820" s="66">
        <v>44679</v>
      </c>
      <c r="AD820" s="65">
        <v>1293</v>
      </c>
      <c r="AE820" s="17" t="s">
        <v>129</v>
      </c>
      <c r="AF820" s="17" t="s">
        <v>364</v>
      </c>
      <c r="AH820" s="17" t="s">
        <v>365</v>
      </c>
      <c r="AI820" s="95">
        <f t="shared" si="52"/>
        <v>137.327</v>
      </c>
    </row>
    <row r="821" s="17" customFormat="1" hidden="1" spans="1:35">
      <c r="A821" s="17" t="s">
        <v>34</v>
      </c>
      <c r="B821" s="19">
        <v>770</v>
      </c>
      <c r="C821" s="64">
        <v>44590</v>
      </c>
      <c r="D821" s="17" t="s">
        <v>52</v>
      </c>
      <c r="E821" s="17" t="s">
        <v>187</v>
      </c>
      <c r="F821" s="17" t="s">
        <v>54</v>
      </c>
      <c r="H821" s="65">
        <v>1.2738</v>
      </c>
      <c r="I821" s="65"/>
      <c r="J821" s="17" t="s">
        <v>82</v>
      </c>
      <c r="K821" s="19">
        <v>205</v>
      </c>
      <c r="L821" s="143">
        <v>41</v>
      </c>
      <c r="M821" s="17" t="s">
        <v>361</v>
      </c>
      <c r="N821" s="17" t="s">
        <v>66</v>
      </c>
      <c r="O821" s="19" t="s">
        <v>141</v>
      </c>
      <c r="P821" s="19">
        <v>700</v>
      </c>
      <c r="Q821" s="17">
        <f>149+151+151+140+140</f>
        <v>731</v>
      </c>
      <c r="R821" s="17">
        <f t="shared" ref="R821:R852" si="53">+P821-Q821</f>
        <v>-31</v>
      </c>
      <c r="S821" s="17">
        <f t="shared" si="51"/>
        <v>1575</v>
      </c>
      <c r="T821" s="19" t="s">
        <v>42</v>
      </c>
      <c r="U821" s="17" t="s">
        <v>362</v>
      </c>
      <c r="V821" s="64">
        <v>44600</v>
      </c>
      <c r="W821" s="17" t="s">
        <v>69</v>
      </c>
      <c r="Y821" s="68">
        <v>44621</v>
      </c>
      <c r="Z821" s="17" t="s">
        <v>191</v>
      </c>
      <c r="AA821" s="17" t="s">
        <v>46</v>
      </c>
      <c r="AB821" s="17" t="s">
        <v>363</v>
      </c>
      <c r="AC821" s="66">
        <v>44622</v>
      </c>
      <c r="AD821" s="65">
        <v>1266</v>
      </c>
      <c r="AE821" s="17" t="s">
        <v>129</v>
      </c>
      <c r="AF821" s="17" t="s">
        <v>364</v>
      </c>
      <c r="AH821" s="17" t="s">
        <v>365</v>
      </c>
      <c r="AI821" s="95">
        <f t="shared" si="52"/>
        <v>137.327</v>
      </c>
    </row>
    <row r="822" s="17" customFormat="1" hidden="1" spans="1:35">
      <c r="A822" s="17" t="s">
        <v>34</v>
      </c>
      <c r="B822" s="19">
        <v>770</v>
      </c>
      <c r="C822" s="64">
        <v>44590</v>
      </c>
      <c r="D822" s="17" t="s">
        <v>52</v>
      </c>
      <c r="E822" s="17" t="s">
        <v>187</v>
      </c>
      <c r="F822" s="17" t="s">
        <v>54</v>
      </c>
      <c r="H822" s="65">
        <v>1.2738</v>
      </c>
      <c r="I822" s="65"/>
      <c r="J822" s="17" t="s">
        <v>82</v>
      </c>
      <c r="K822" s="19">
        <v>255</v>
      </c>
      <c r="L822" s="143">
        <v>41</v>
      </c>
      <c r="M822" s="17" t="s">
        <v>361</v>
      </c>
      <c r="N822" s="17" t="s">
        <v>66</v>
      </c>
      <c r="O822" s="19" t="s">
        <v>141</v>
      </c>
      <c r="P822" s="19">
        <v>700</v>
      </c>
      <c r="Q822" s="17">
        <f>188+186+174+174</f>
        <v>722</v>
      </c>
      <c r="R822" s="17">
        <f t="shared" si="53"/>
        <v>-22</v>
      </c>
      <c r="S822" s="17">
        <f t="shared" si="51"/>
        <v>1575</v>
      </c>
      <c r="T822" s="19" t="s">
        <v>42</v>
      </c>
      <c r="U822" s="17" t="s">
        <v>362</v>
      </c>
      <c r="V822" s="64">
        <v>44600</v>
      </c>
      <c r="W822" s="17" t="s">
        <v>69</v>
      </c>
      <c r="Y822" s="68">
        <v>44621</v>
      </c>
      <c r="Z822" s="17" t="s">
        <v>191</v>
      </c>
      <c r="AA822" s="17" t="s">
        <v>46</v>
      </c>
      <c r="AB822" s="17" t="s">
        <v>363</v>
      </c>
      <c r="AC822" s="66">
        <v>44622</v>
      </c>
      <c r="AD822" s="65">
        <v>1266</v>
      </c>
      <c r="AE822" s="17" t="s">
        <v>129</v>
      </c>
      <c r="AF822" s="17" t="s">
        <v>364</v>
      </c>
      <c r="AH822" s="17" t="s">
        <v>365</v>
      </c>
      <c r="AI822" s="95">
        <f t="shared" si="52"/>
        <v>137.327</v>
      </c>
    </row>
    <row r="823" s="17" customFormat="1" hidden="1" spans="1:35">
      <c r="A823" s="17" t="s">
        <v>34</v>
      </c>
      <c r="B823" s="19">
        <v>770</v>
      </c>
      <c r="C823" s="64">
        <v>44590</v>
      </c>
      <c r="D823" s="17" t="s">
        <v>52</v>
      </c>
      <c r="E823" s="17" t="s">
        <v>187</v>
      </c>
      <c r="F823" s="17" t="s">
        <v>54</v>
      </c>
      <c r="H823" s="65">
        <v>1.2738</v>
      </c>
      <c r="I823" s="65"/>
      <c r="J823" s="17" t="s">
        <v>82</v>
      </c>
      <c r="K823" s="19">
        <v>305</v>
      </c>
      <c r="L823" s="143">
        <v>41</v>
      </c>
      <c r="M823" s="17" t="s">
        <v>361</v>
      </c>
      <c r="N823" s="17" t="s">
        <v>66</v>
      </c>
      <c r="O823" s="19" t="s">
        <v>141</v>
      </c>
      <c r="P823" s="19">
        <v>800</v>
      </c>
      <c r="Q823" s="17">
        <f>205+205+206+208</f>
        <v>824</v>
      </c>
      <c r="R823" s="17">
        <f t="shared" si="53"/>
        <v>-24</v>
      </c>
      <c r="S823" s="17">
        <f t="shared" si="51"/>
        <v>1575</v>
      </c>
      <c r="T823" s="19" t="s">
        <v>42</v>
      </c>
      <c r="U823" s="17" t="s">
        <v>362</v>
      </c>
      <c r="V823" s="64">
        <v>44600</v>
      </c>
      <c r="W823" s="17" t="s">
        <v>69</v>
      </c>
      <c r="Y823" s="68">
        <v>44621</v>
      </c>
      <c r="Z823" s="17" t="s">
        <v>191</v>
      </c>
      <c r="AA823" s="17" t="s">
        <v>46</v>
      </c>
      <c r="AB823" s="17" t="s">
        <v>363</v>
      </c>
      <c r="AC823" s="66">
        <v>44622</v>
      </c>
      <c r="AD823" s="65">
        <v>1266</v>
      </c>
      <c r="AE823" s="17" t="s">
        <v>129</v>
      </c>
      <c r="AF823" s="17" t="s">
        <v>364</v>
      </c>
      <c r="AH823" s="17" t="s">
        <v>365</v>
      </c>
      <c r="AI823" s="95">
        <f t="shared" si="52"/>
        <v>137.327</v>
      </c>
    </row>
    <row r="824" s="17" customFormat="1" hidden="1" spans="1:35">
      <c r="A824" s="17" t="s">
        <v>34</v>
      </c>
      <c r="B824" s="19">
        <v>770</v>
      </c>
      <c r="C824" s="64">
        <v>44590</v>
      </c>
      <c r="D824" s="17" t="s">
        <v>52</v>
      </c>
      <c r="E824" s="17" t="s">
        <v>187</v>
      </c>
      <c r="F824" s="17" t="s">
        <v>54</v>
      </c>
      <c r="H824" s="65">
        <v>1.2738</v>
      </c>
      <c r="I824" s="65"/>
      <c r="J824" s="17" t="s">
        <v>82</v>
      </c>
      <c r="K824" s="19">
        <v>330</v>
      </c>
      <c r="L824" s="143">
        <v>41</v>
      </c>
      <c r="M824" s="17" t="s">
        <v>361</v>
      </c>
      <c r="N824" s="17" t="s">
        <v>66</v>
      </c>
      <c r="O824" s="19" t="s">
        <v>141</v>
      </c>
      <c r="P824" s="19">
        <v>200</v>
      </c>
      <c r="Q824" s="17">
        <v>224</v>
      </c>
      <c r="R824" s="17">
        <f t="shared" si="53"/>
        <v>-24</v>
      </c>
      <c r="S824" s="17">
        <f t="shared" si="51"/>
        <v>1575</v>
      </c>
      <c r="T824" s="19" t="s">
        <v>42</v>
      </c>
      <c r="U824" s="17" t="s">
        <v>362</v>
      </c>
      <c r="V824" s="64">
        <v>44600</v>
      </c>
      <c r="W824" s="17" t="s">
        <v>69</v>
      </c>
      <c r="Y824" s="68">
        <v>44621</v>
      </c>
      <c r="Z824" s="17" t="s">
        <v>191</v>
      </c>
      <c r="AA824" s="17" t="s">
        <v>46</v>
      </c>
      <c r="AB824" s="17" t="s">
        <v>363</v>
      </c>
      <c r="AC824" s="66">
        <v>44622</v>
      </c>
      <c r="AD824" s="65">
        <v>1266</v>
      </c>
      <c r="AE824" s="17" t="s">
        <v>129</v>
      </c>
      <c r="AF824" s="17" t="s">
        <v>364</v>
      </c>
      <c r="AH824" s="17" t="s">
        <v>365</v>
      </c>
      <c r="AI824" s="95">
        <f t="shared" si="52"/>
        <v>137.327</v>
      </c>
    </row>
    <row r="825" s="17" customFormat="1" hidden="1" spans="1:35">
      <c r="A825" s="17" t="s">
        <v>34</v>
      </c>
      <c r="B825" s="19">
        <v>770</v>
      </c>
      <c r="C825" s="64">
        <v>44590</v>
      </c>
      <c r="D825" s="17" t="s">
        <v>52</v>
      </c>
      <c r="E825" s="17" t="s">
        <v>187</v>
      </c>
      <c r="F825" s="17" t="s">
        <v>54</v>
      </c>
      <c r="H825" s="65">
        <v>1.2738</v>
      </c>
      <c r="I825" s="65"/>
      <c r="J825" s="17" t="s">
        <v>82</v>
      </c>
      <c r="K825" s="19">
        <v>355</v>
      </c>
      <c r="L825" s="19">
        <v>41</v>
      </c>
      <c r="M825" s="17" t="s">
        <v>361</v>
      </c>
      <c r="N825" s="17" t="s">
        <v>66</v>
      </c>
      <c r="O825" s="19" t="s">
        <v>141</v>
      </c>
      <c r="P825" s="19">
        <v>700</v>
      </c>
      <c r="Q825" s="17">
        <f>262+261+241</f>
        <v>764</v>
      </c>
      <c r="R825" s="17">
        <f t="shared" si="53"/>
        <v>-64</v>
      </c>
      <c r="S825" s="17">
        <f t="shared" si="51"/>
        <v>1575</v>
      </c>
      <c r="T825" s="19" t="s">
        <v>42</v>
      </c>
      <c r="U825" s="17" t="s">
        <v>362</v>
      </c>
      <c r="V825" s="64">
        <v>44600</v>
      </c>
      <c r="W825" s="17" t="s">
        <v>69</v>
      </c>
      <c r="Y825" s="68">
        <v>44621</v>
      </c>
      <c r="Z825" s="17" t="s">
        <v>191</v>
      </c>
      <c r="AA825" s="17" t="s">
        <v>46</v>
      </c>
      <c r="AB825" s="17" t="s">
        <v>363</v>
      </c>
      <c r="AC825" s="66">
        <v>44622</v>
      </c>
      <c r="AD825" s="65">
        <v>1266</v>
      </c>
      <c r="AE825" s="17" t="s">
        <v>129</v>
      </c>
      <c r="AF825" s="17" t="s">
        <v>364</v>
      </c>
      <c r="AH825" s="17" t="s">
        <v>365</v>
      </c>
      <c r="AI825" s="95">
        <f t="shared" si="52"/>
        <v>137.327</v>
      </c>
    </row>
    <row r="826" s="17" customFormat="1" hidden="1" spans="1:35">
      <c r="A826" s="17" t="s">
        <v>34</v>
      </c>
      <c r="B826" s="19">
        <v>770</v>
      </c>
      <c r="C826" s="64">
        <v>44590</v>
      </c>
      <c r="D826" s="17" t="s">
        <v>52</v>
      </c>
      <c r="E826" s="17" t="s">
        <v>187</v>
      </c>
      <c r="F826" s="17" t="s">
        <v>54</v>
      </c>
      <c r="H826" s="65">
        <v>1.2738</v>
      </c>
      <c r="I826" s="65"/>
      <c r="J826" s="17" t="s">
        <v>82</v>
      </c>
      <c r="K826" s="19">
        <v>380</v>
      </c>
      <c r="L826" s="19">
        <v>41</v>
      </c>
      <c r="M826" s="17" t="s">
        <v>361</v>
      </c>
      <c r="N826" s="17" t="s">
        <v>66</v>
      </c>
      <c r="O826" s="19" t="s">
        <v>141</v>
      </c>
      <c r="P826" s="19">
        <v>200</v>
      </c>
      <c r="Q826" s="17">
        <v>279</v>
      </c>
      <c r="R826" s="17">
        <f t="shared" si="53"/>
        <v>-79</v>
      </c>
      <c r="S826" s="17">
        <f t="shared" si="51"/>
        <v>1575</v>
      </c>
      <c r="T826" s="19" t="s">
        <v>42</v>
      </c>
      <c r="U826" s="17" t="s">
        <v>362</v>
      </c>
      <c r="V826" s="64">
        <v>44600</v>
      </c>
      <c r="W826" s="17" t="s">
        <v>69</v>
      </c>
      <c r="Y826" s="68">
        <v>44621</v>
      </c>
      <c r="Z826" s="17" t="s">
        <v>191</v>
      </c>
      <c r="AA826" s="17" t="s">
        <v>46</v>
      </c>
      <c r="AB826" s="17" t="s">
        <v>363</v>
      </c>
      <c r="AC826" s="66">
        <v>44622</v>
      </c>
      <c r="AD826" s="65">
        <v>1266</v>
      </c>
      <c r="AE826" s="17" t="s">
        <v>129</v>
      </c>
      <c r="AF826" s="17" t="s">
        <v>364</v>
      </c>
      <c r="AH826" s="17" t="s">
        <v>365</v>
      </c>
      <c r="AI826" s="95">
        <f t="shared" si="52"/>
        <v>137.327</v>
      </c>
    </row>
    <row r="827" s="17" customFormat="1" hidden="1" spans="1:35">
      <c r="A827" s="17" t="s">
        <v>34</v>
      </c>
      <c r="B827" s="19">
        <v>770</v>
      </c>
      <c r="C827" s="64">
        <v>44590</v>
      </c>
      <c r="D827" s="17" t="s">
        <v>52</v>
      </c>
      <c r="E827" s="17" t="s">
        <v>187</v>
      </c>
      <c r="F827" s="17" t="s">
        <v>54</v>
      </c>
      <c r="H827" s="65">
        <v>1.2738</v>
      </c>
      <c r="I827" s="65"/>
      <c r="J827" s="17" t="s">
        <v>82</v>
      </c>
      <c r="K827" s="19">
        <v>405</v>
      </c>
      <c r="L827" s="19">
        <v>41</v>
      </c>
      <c r="M827" s="17" t="s">
        <v>361</v>
      </c>
      <c r="N827" s="17" t="s">
        <v>66</v>
      </c>
      <c r="O827" s="19" t="s">
        <v>141</v>
      </c>
      <c r="P827" s="19">
        <v>800</v>
      </c>
      <c r="Q827" s="17">
        <f>300+295+274</f>
        <v>869</v>
      </c>
      <c r="R827" s="17">
        <f t="shared" si="53"/>
        <v>-69</v>
      </c>
      <c r="S827" s="17">
        <f t="shared" si="51"/>
        <v>1575</v>
      </c>
      <c r="T827" s="19" t="s">
        <v>42</v>
      </c>
      <c r="U827" s="17" t="s">
        <v>362</v>
      </c>
      <c r="V827" s="64">
        <v>44600</v>
      </c>
      <c r="W827" s="17" t="s">
        <v>69</v>
      </c>
      <c r="Y827" s="68">
        <v>44621</v>
      </c>
      <c r="Z827" s="17" t="s">
        <v>191</v>
      </c>
      <c r="AA827" s="17" t="s">
        <v>46</v>
      </c>
      <c r="AB827" s="17" t="s">
        <v>363</v>
      </c>
      <c r="AC827" s="66">
        <v>44622</v>
      </c>
      <c r="AD827" s="65">
        <v>1266</v>
      </c>
      <c r="AE827" s="17" t="s">
        <v>129</v>
      </c>
      <c r="AF827" s="17" t="s">
        <v>364</v>
      </c>
      <c r="AH827" s="17" t="s">
        <v>365</v>
      </c>
      <c r="AI827" s="95">
        <f t="shared" si="52"/>
        <v>137.327</v>
      </c>
    </row>
    <row r="828" s="17" customFormat="1" hidden="1" spans="1:35">
      <c r="A828" s="17" t="s">
        <v>34</v>
      </c>
      <c r="B828" s="19">
        <v>770</v>
      </c>
      <c r="C828" s="64">
        <v>44590</v>
      </c>
      <c r="D828" s="17" t="s">
        <v>52</v>
      </c>
      <c r="E828" s="17" t="s">
        <v>187</v>
      </c>
      <c r="F828" s="17" t="s">
        <v>54</v>
      </c>
      <c r="H828" s="65">
        <v>1.2738</v>
      </c>
      <c r="I828" s="65"/>
      <c r="J828" s="17" t="s">
        <v>82</v>
      </c>
      <c r="K828" s="19">
        <v>455</v>
      </c>
      <c r="L828" s="19">
        <v>41</v>
      </c>
      <c r="M828" s="17" t="s">
        <v>361</v>
      </c>
      <c r="N828" s="17" t="s">
        <v>66</v>
      </c>
      <c r="O828" s="19" t="s">
        <v>141</v>
      </c>
      <c r="P828" s="19">
        <v>700</v>
      </c>
      <c r="Q828" s="17">
        <f>331+309</f>
        <v>640</v>
      </c>
      <c r="R828" s="17">
        <f t="shared" si="53"/>
        <v>60</v>
      </c>
      <c r="S828" s="17">
        <f t="shared" si="51"/>
        <v>1575</v>
      </c>
      <c r="T828" s="19" t="s">
        <v>42</v>
      </c>
      <c r="U828" s="17" t="s">
        <v>362</v>
      </c>
      <c r="V828" s="64">
        <v>44600</v>
      </c>
      <c r="W828" s="17" t="s">
        <v>69</v>
      </c>
      <c r="Y828" s="68">
        <v>44621</v>
      </c>
      <c r="Z828" s="17" t="s">
        <v>191</v>
      </c>
      <c r="AA828" s="17" t="s">
        <v>46</v>
      </c>
      <c r="AB828" s="17" t="s">
        <v>363</v>
      </c>
      <c r="AC828" s="66">
        <v>44622</v>
      </c>
      <c r="AD828" s="65">
        <v>1266</v>
      </c>
      <c r="AE828" s="17" t="s">
        <v>129</v>
      </c>
      <c r="AF828" s="17" t="s">
        <v>364</v>
      </c>
      <c r="AH828" s="17" t="s">
        <v>365</v>
      </c>
      <c r="AI828" s="95">
        <f t="shared" si="52"/>
        <v>137.327</v>
      </c>
    </row>
    <row r="829" s="17" customFormat="1" hidden="1" spans="1:35">
      <c r="A829" s="17" t="s">
        <v>34</v>
      </c>
      <c r="B829" s="19">
        <v>770</v>
      </c>
      <c r="C829" s="64">
        <v>44590</v>
      </c>
      <c r="D829" s="17" t="s">
        <v>52</v>
      </c>
      <c r="E829" s="17" t="s">
        <v>187</v>
      </c>
      <c r="F829" s="17" t="s">
        <v>54</v>
      </c>
      <c r="H829" s="65">
        <v>1.2738</v>
      </c>
      <c r="I829" s="65"/>
      <c r="J829" s="17" t="s">
        <v>82</v>
      </c>
      <c r="K829" s="19">
        <v>505</v>
      </c>
      <c r="L829" s="19">
        <v>41</v>
      </c>
      <c r="M829" s="17" t="s">
        <v>361</v>
      </c>
      <c r="N829" s="17" t="s">
        <v>66</v>
      </c>
      <c r="O829" s="19" t="s">
        <v>141</v>
      </c>
      <c r="P829" s="19">
        <v>800</v>
      </c>
      <c r="Q829" s="17">
        <f>367+369+341</f>
        <v>1077</v>
      </c>
      <c r="R829" s="17">
        <f t="shared" si="53"/>
        <v>-277</v>
      </c>
      <c r="S829" s="17">
        <f t="shared" si="51"/>
        <v>1575</v>
      </c>
      <c r="T829" s="19" t="s">
        <v>42</v>
      </c>
      <c r="U829" s="17" t="s">
        <v>362</v>
      </c>
      <c r="V829" s="64">
        <v>44600</v>
      </c>
      <c r="W829" s="17" t="s">
        <v>69</v>
      </c>
      <c r="Y829" s="68">
        <v>44621</v>
      </c>
      <c r="Z829" s="17" t="s">
        <v>191</v>
      </c>
      <c r="AA829" s="17" t="s">
        <v>46</v>
      </c>
      <c r="AB829" s="17" t="s">
        <v>363</v>
      </c>
      <c r="AC829" s="66">
        <v>44622</v>
      </c>
      <c r="AD829" s="65">
        <v>1266</v>
      </c>
      <c r="AE829" s="17" t="s">
        <v>129</v>
      </c>
      <c r="AF829" s="17" t="s">
        <v>364</v>
      </c>
      <c r="AH829" s="17" t="s">
        <v>365</v>
      </c>
      <c r="AI829" s="95">
        <f t="shared" si="52"/>
        <v>137.327</v>
      </c>
    </row>
    <row r="830" s="17" customFormat="1" hidden="1" spans="1:35">
      <c r="A830" s="17" t="s">
        <v>34</v>
      </c>
      <c r="B830" s="19">
        <v>770</v>
      </c>
      <c r="C830" s="64">
        <v>44590</v>
      </c>
      <c r="D830" s="17" t="s">
        <v>52</v>
      </c>
      <c r="E830" s="17" t="s">
        <v>187</v>
      </c>
      <c r="F830" s="17" t="s">
        <v>54</v>
      </c>
      <c r="H830" s="65">
        <v>1.2738</v>
      </c>
      <c r="I830" s="65"/>
      <c r="J830" s="17" t="s">
        <v>82</v>
      </c>
      <c r="K830" s="19">
        <v>255</v>
      </c>
      <c r="L830" s="19">
        <v>45</v>
      </c>
      <c r="M830" s="17" t="s">
        <v>361</v>
      </c>
      <c r="N830" s="17" t="s">
        <v>66</v>
      </c>
      <c r="O830" s="19" t="s">
        <v>141</v>
      </c>
      <c r="P830" s="19">
        <v>400</v>
      </c>
      <c r="Q830" s="17">
        <f>208+209</f>
        <v>417</v>
      </c>
      <c r="R830" s="17">
        <f t="shared" si="53"/>
        <v>-17</v>
      </c>
      <c r="S830" s="17">
        <f t="shared" si="51"/>
        <v>1575</v>
      </c>
      <c r="T830" s="19" t="s">
        <v>42</v>
      </c>
      <c r="U830" s="17" t="s">
        <v>362</v>
      </c>
      <c r="V830" s="64">
        <v>44600</v>
      </c>
      <c r="W830" s="17" t="s">
        <v>69</v>
      </c>
      <c r="Y830" s="68">
        <v>44621</v>
      </c>
      <c r="Z830" s="17" t="s">
        <v>191</v>
      </c>
      <c r="AA830" s="17" t="s">
        <v>46</v>
      </c>
      <c r="AB830" s="17" t="s">
        <v>363</v>
      </c>
      <c r="AC830" s="66">
        <v>44622</v>
      </c>
      <c r="AD830" s="65">
        <v>1266</v>
      </c>
      <c r="AE830" s="17" t="s">
        <v>129</v>
      </c>
      <c r="AF830" s="17" t="s">
        <v>364</v>
      </c>
      <c r="AH830" s="17" t="s">
        <v>365</v>
      </c>
      <c r="AI830" s="95">
        <f t="shared" si="52"/>
        <v>137.327</v>
      </c>
    </row>
    <row r="831" s="17" customFormat="1" hidden="1" spans="1:35">
      <c r="A831" s="17" t="s">
        <v>34</v>
      </c>
      <c r="B831" s="19">
        <v>770</v>
      </c>
      <c r="C831" s="64">
        <v>44590</v>
      </c>
      <c r="D831" s="17" t="s">
        <v>52</v>
      </c>
      <c r="E831" s="17" t="s">
        <v>187</v>
      </c>
      <c r="F831" s="17" t="s">
        <v>54</v>
      </c>
      <c r="H831" s="65">
        <v>1.2738</v>
      </c>
      <c r="I831" s="65"/>
      <c r="J831" s="17" t="s">
        <v>82</v>
      </c>
      <c r="K831" s="19">
        <v>305</v>
      </c>
      <c r="L831" s="19">
        <v>45</v>
      </c>
      <c r="M831" s="17" t="s">
        <v>361</v>
      </c>
      <c r="N831" s="17" t="s">
        <v>66</v>
      </c>
      <c r="O831" s="19" t="s">
        <v>141</v>
      </c>
      <c r="P831" s="19">
        <v>400</v>
      </c>
      <c r="Q831" s="17">
        <f>248+249</f>
        <v>497</v>
      </c>
      <c r="R831" s="17">
        <f t="shared" si="53"/>
        <v>-97</v>
      </c>
      <c r="S831" s="17">
        <f t="shared" ref="S831:S862" si="54">1590-15</f>
        <v>1575</v>
      </c>
      <c r="T831" s="19" t="s">
        <v>42</v>
      </c>
      <c r="U831" s="17" t="s">
        <v>362</v>
      </c>
      <c r="V831" s="64">
        <v>44600</v>
      </c>
      <c r="W831" s="17" t="s">
        <v>69</v>
      </c>
      <c r="Y831" s="68">
        <v>44621</v>
      </c>
      <c r="Z831" s="17" t="s">
        <v>191</v>
      </c>
      <c r="AA831" s="17" t="s">
        <v>46</v>
      </c>
      <c r="AB831" s="17" t="s">
        <v>363</v>
      </c>
      <c r="AC831" s="66">
        <v>44622</v>
      </c>
      <c r="AD831" s="65">
        <v>1266</v>
      </c>
      <c r="AE831" s="17" t="s">
        <v>129</v>
      </c>
      <c r="AF831" s="17" t="s">
        <v>364</v>
      </c>
      <c r="AH831" s="17" t="s">
        <v>365</v>
      </c>
      <c r="AI831" s="95">
        <f t="shared" ref="AI831:AI862" si="55">137327/1000</f>
        <v>137.327</v>
      </c>
    </row>
    <row r="832" s="17" customFormat="1" hidden="1" spans="1:35">
      <c r="A832" s="17" t="s">
        <v>34</v>
      </c>
      <c r="B832" s="19">
        <v>770</v>
      </c>
      <c r="C832" s="64">
        <v>44590</v>
      </c>
      <c r="D832" s="17" t="s">
        <v>52</v>
      </c>
      <c r="E832" s="17" t="s">
        <v>187</v>
      </c>
      <c r="F832" s="17" t="s">
        <v>54</v>
      </c>
      <c r="H832" s="65">
        <v>1.2738</v>
      </c>
      <c r="I832" s="65"/>
      <c r="J832" s="17" t="s">
        <v>82</v>
      </c>
      <c r="K832" s="19">
        <v>405</v>
      </c>
      <c r="L832" s="19">
        <v>45</v>
      </c>
      <c r="M832" s="17" t="s">
        <v>361</v>
      </c>
      <c r="N832" s="17" t="s">
        <v>66</v>
      </c>
      <c r="O832" s="19" t="s">
        <v>141</v>
      </c>
      <c r="P832" s="19">
        <v>400</v>
      </c>
      <c r="Q832" s="17">
        <f>307+306</f>
        <v>613</v>
      </c>
      <c r="R832" s="17">
        <f t="shared" si="53"/>
        <v>-213</v>
      </c>
      <c r="S832" s="17">
        <f t="shared" si="54"/>
        <v>1575</v>
      </c>
      <c r="T832" s="19" t="s">
        <v>42</v>
      </c>
      <c r="U832" s="17" t="s">
        <v>362</v>
      </c>
      <c r="V832" s="64">
        <v>44600</v>
      </c>
      <c r="W832" s="17" t="s">
        <v>69</v>
      </c>
      <c r="Y832" s="68">
        <v>44621</v>
      </c>
      <c r="Z832" s="17" t="s">
        <v>191</v>
      </c>
      <c r="AA832" s="17" t="s">
        <v>46</v>
      </c>
      <c r="AB832" s="17" t="s">
        <v>363</v>
      </c>
      <c r="AC832" s="66">
        <v>44622</v>
      </c>
      <c r="AD832" s="65">
        <v>1266</v>
      </c>
      <c r="AE832" s="17" t="s">
        <v>129</v>
      </c>
      <c r="AF832" s="17" t="s">
        <v>364</v>
      </c>
      <c r="AH832" s="17" t="s">
        <v>365</v>
      </c>
      <c r="AI832" s="95">
        <f t="shared" si="55"/>
        <v>137.327</v>
      </c>
    </row>
    <row r="833" s="17" customFormat="1" hidden="1" spans="1:35">
      <c r="A833" s="17" t="s">
        <v>34</v>
      </c>
      <c r="B833" s="19">
        <v>770</v>
      </c>
      <c r="C833" s="64">
        <v>44590</v>
      </c>
      <c r="D833" s="17" t="s">
        <v>52</v>
      </c>
      <c r="E833" s="17" t="s">
        <v>187</v>
      </c>
      <c r="F833" s="17" t="s">
        <v>54</v>
      </c>
      <c r="H833" s="65">
        <v>1.2738</v>
      </c>
      <c r="I833" s="65"/>
      <c r="J833" s="17" t="s">
        <v>82</v>
      </c>
      <c r="K833" s="19">
        <v>505</v>
      </c>
      <c r="L833" s="19">
        <v>45</v>
      </c>
      <c r="M833" s="17" t="s">
        <v>361</v>
      </c>
      <c r="N833" s="17" t="s">
        <v>66</v>
      </c>
      <c r="O833" s="19" t="s">
        <v>141</v>
      </c>
      <c r="P833" s="19">
        <v>400</v>
      </c>
      <c r="Q833" s="17">
        <v>380</v>
      </c>
      <c r="R833" s="17">
        <f t="shared" si="53"/>
        <v>20</v>
      </c>
      <c r="S833" s="17">
        <f t="shared" si="54"/>
        <v>1575</v>
      </c>
      <c r="T833" s="19" t="s">
        <v>42</v>
      </c>
      <c r="U833" s="17" t="s">
        <v>362</v>
      </c>
      <c r="V833" s="64">
        <v>44600</v>
      </c>
      <c r="W833" s="17" t="s">
        <v>69</v>
      </c>
      <c r="Y833" s="68">
        <v>44621</v>
      </c>
      <c r="Z833" s="17" t="s">
        <v>191</v>
      </c>
      <c r="AA833" s="17" t="s">
        <v>46</v>
      </c>
      <c r="AB833" s="17" t="s">
        <v>363</v>
      </c>
      <c r="AC833" s="66">
        <v>44622</v>
      </c>
      <c r="AD833" s="65">
        <v>1266</v>
      </c>
      <c r="AE833" s="17" t="s">
        <v>129</v>
      </c>
      <c r="AF833" s="17" t="s">
        <v>364</v>
      </c>
      <c r="AH833" s="17" t="s">
        <v>365</v>
      </c>
      <c r="AI833" s="95">
        <f t="shared" si="55"/>
        <v>137.327</v>
      </c>
    </row>
    <row r="834" s="17" customFormat="1" hidden="1" spans="1:35">
      <c r="A834" s="17" t="s">
        <v>34</v>
      </c>
      <c r="B834" s="19">
        <v>770</v>
      </c>
      <c r="C834" s="64">
        <v>44590</v>
      </c>
      <c r="D834" s="17" t="s">
        <v>52</v>
      </c>
      <c r="E834" s="17" t="s">
        <v>187</v>
      </c>
      <c r="F834" s="17" t="s">
        <v>54</v>
      </c>
      <c r="H834" s="65">
        <v>1.2738</v>
      </c>
      <c r="I834" s="65"/>
      <c r="J834" s="17" t="s">
        <v>82</v>
      </c>
      <c r="K834" s="19">
        <v>205</v>
      </c>
      <c r="L834" s="19">
        <v>51</v>
      </c>
      <c r="M834" s="17" t="s">
        <v>361</v>
      </c>
      <c r="N834" s="17" t="s">
        <v>66</v>
      </c>
      <c r="O834" s="19" t="s">
        <v>141</v>
      </c>
      <c r="P834" s="19">
        <v>700</v>
      </c>
      <c r="Q834" s="17">
        <f>188+187+188+187</f>
        <v>750</v>
      </c>
      <c r="R834" s="17">
        <f t="shared" si="53"/>
        <v>-50</v>
      </c>
      <c r="S834" s="17">
        <f t="shared" si="54"/>
        <v>1575</v>
      </c>
      <c r="T834" s="19" t="s">
        <v>42</v>
      </c>
      <c r="U834" s="17" t="s">
        <v>362</v>
      </c>
      <c r="V834" s="64">
        <v>44600</v>
      </c>
      <c r="W834" s="17" t="s">
        <v>69</v>
      </c>
      <c r="Y834" s="68">
        <v>44621</v>
      </c>
      <c r="Z834" s="17" t="s">
        <v>191</v>
      </c>
      <c r="AA834" s="17" t="s">
        <v>46</v>
      </c>
      <c r="AB834" s="17" t="s">
        <v>363</v>
      </c>
      <c r="AC834" s="66">
        <v>44622</v>
      </c>
      <c r="AD834" s="65">
        <v>1266</v>
      </c>
      <c r="AE834" s="17" t="s">
        <v>129</v>
      </c>
      <c r="AF834" s="17" t="s">
        <v>364</v>
      </c>
      <c r="AH834" s="17" t="s">
        <v>365</v>
      </c>
      <c r="AI834" s="95">
        <f t="shared" si="55"/>
        <v>137.327</v>
      </c>
    </row>
    <row r="835" s="17" customFormat="1" hidden="1" spans="1:35">
      <c r="A835" s="17" t="s">
        <v>34</v>
      </c>
      <c r="B835" s="19">
        <v>770</v>
      </c>
      <c r="C835" s="64">
        <v>44590</v>
      </c>
      <c r="D835" s="17" t="s">
        <v>52</v>
      </c>
      <c r="E835" s="17" t="s">
        <v>187</v>
      </c>
      <c r="F835" s="17" t="s">
        <v>54</v>
      </c>
      <c r="H835" s="65">
        <v>1.2738</v>
      </c>
      <c r="I835" s="65"/>
      <c r="J835" s="17" t="s">
        <v>82</v>
      </c>
      <c r="K835" s="19">
        <v>255</v>
      </c>
      <c r="L835" s="19">
        <v>51</v>
      </c>
      <c r="M835" s="17" t="s">
        <v>361</v>
      </c>
      <c r="N835" s="17" t="s">
        <v>66</v>
      </c>
      <c r="O835" s="19" t="s">
        <v>141</v>
      </c>
      <c r="P835" s="19">
        <v>700</v>
      </c>
      <c r="Q835" s="17">
        <f>231+230+233+232</f>
        <v>926</v>
      </c>
      <c r="R835" s="17">
        <f t="shared" si="53"/>
        <v>-226</v>
      </c>
      <c r="S835" s="17">
        <f t="shared" si="54"/>
        <v>1575</v>
      </c>
      <c r="T835" s="19" t="s">
        <v>42</v>
      </c>
      <c r="U835" s="17" t="s">
        <v>362</v>
      </c>
      <c r="V835" s="64">
        <v>44600</v>
      </c>
      <c r="W835" s="17" t="s">
        <v>69</v>
      </c>
      <c r="Y835" s="68">
        <v>44621</v>
      </c>
      <c r="Z835" s="17" t="s">
        <v>191</v>
      </c>
      <c r="AA835" s="17" t="s">
        <v>46</v>
      </c>
      <c r="AB835" s="17" t="s">
        <v>363</v>
      </c>
      <c r="AC835" s="66">
        <v>44622</v>
      </c>
      <c r="AD835" s="65">
        <v>1266</v>
      </c>
      <c r="AE835" s="17" t="s">
        <v>129</v>
      </c>
      <c r="AF835" s="17" t="s">
        <v>364</v>
      </c>
      <c r="AH835" s="17" t="s">
        <v>365</v>
      </c>
      <c r="AI835" s="95">
        <f t="shared" si="55"/>
        <v>137.327</v>
      </c>
    </row>
    <row r="836" s="17" customFormat="1" hidden="1" spans="1:35">
      <c r="A836" s="17" t="s">
        <v>34</v>
      </c>
      <c r="B836" s="19">
        <v>770</v>
      </c>
      <c r="C836" s="64">
        <v>44590</v>
      </c>
      <c r="D836" s="17" t="s">
        <v>52</v>
      </c>
      <c r="E836" s="17" t="s">
        <v>187</v>
      </c>
      <c r="F836" s="17" t="s">
        <v>54</v>
      </c>
      <c r="H836" s="65">
        <v>1.2738</v>
      </c>
      <c r="I836" s="65"/>
      <c r="J836" s="17" t="s">
        <v>82</v>
      </c>
      <c r="K836" s="19">
        <v>305</v>
      </c>
      <c r="L836" s="19">
        <v>51</v>
      </c>
      <c r="M836" s="17" t="s">
        <v>361</v>
      </c>
      <c r="N836" s="17" t="s">
        <v>66</v>
      </c>
      <c r="O836" s="19" t="s">
        <v>141</v>
      </c>
      <c r="P836" s="19">
        <v>800</v>
      </c>
      <c r="Q836" s="17">
        <f>276+278+277</f>
        <v>831</v>
      </c>
      <c r="R836" s="17">
        <f t="shared" si="53"/>
        <v>-31</v>
      </c>
      <c r="S836" s="17">
        <f t="shared" si="54"/>
        <v>1575</v>
      </c>
      <c r="T836" s="19" t="s">
        <v>42</v>
      </c>
      <c r="U836" s="17" t="s">
        <v>362</v>
      </c>
      <c r="V836" s="64">
        <v>44600</v>
      </c>
      <c r="W836" s="17" t="s">
        <v>69</v>
      </c>
      <c r="Y836" s="68">
        <v>44621</v>
      </c>
      <c r="Z836" s="17" t="s">
        <v>191</v>
      </c>
      <c r="AA836" s="17" t="s">
        <v>46</v>
      </c>
      <c r="AB836" s="17" t="s">
        <v>363</v>
      </c>
      <c r="AC836" s="66">
        <v>44622</v>
      </c>
      <c r="AD836" s="65">
        <v>1266</v>
      </c>
      <c r="AE836" s="17" t="s">
        <v>129</v>
      </c>
      <c r="AF836" s="17" t="s">
        <v>364</v>
      </c>
      <c r="AH836" s="17" t="s">
        <v>365</v>
      </c>
      <c r="AI836" s="95">
        <f t="shared" si="55"/>
        <v>137.327</v>
      </c>
    </row>
    <row r="837" s="17" customFormat="1" hidden="1" spans="1:35">
      <c r="A837" s="17" t="s">
        <v>34</v>
      </c>
      <c r="B837" s="19">
        <v>770</v>
      </c>
      <c r="C837" s="64">
        <v>44590</v>
      </c>
      <c r="D837" s="17" t="s">
        <v>52</v>
      </c>
      <c r="E837" s="17" t="s">
        <v>187</v>
      </c>
      <c r="F837" s="17" t="s">
        <v>54</v>
      </c>
      <c r="H837" s="65">
        <v>1.2738</v>
      </c>
      <c r="I837" s="65"/>
      <c r="J837" s="17" t="s">
        <v>82</v>
      </c>
      <c r="K837" s="19">
        <v>330</v>
      </c>
      <c r="L837" s="19">
        <v>51</v>
      </c>
      <c r="M837" s="17" t="s">
        <v>361</v>
      </c>
      <c r="N837" s="17" t="s">
        <v>66</v>
      </c>
      <c r="O837" s="19" t="s">
        <v>141</v>
      </c>
      <c r="P837" s="19">
        <v>200</v>
      </c>
      <c r="Q837" s="17">
        <v>298</v>
      </c>
      <c r="R837" s="17">
        <f t="shared" si="53"/>
        <v>-98</v>
      </c>
      <c r="S837" s="17">
        <f t="shared" si="54"/>
        <v>1575</v>
      </c>
      <c r="T837" s="19" t="s">
        <v>42</v>
      </c>
      <c r="U837" s="17" t="s">
        <v>362</v>
      </c>
      <c r="V837" s="64">
        <v>44600</v>
      </c>
      <c r="W837" s="17" t="s">
        <v>69</v>
      </c>
      <c r="Y837" s="68">
        <v>44621</v>
      </c>
      <c r="Z837" s="17" t="s">
        <v>191</v>
      </c>
      <c r="AA837" s="17" t="s">
        <v>46</v>
      </c>
      <c r="AB837" s="17" t="s">
        <v>363</v>
      </c>
      <c r="AC837" s="66">
        <v>44622</v>
      </c>
      <c r="AD837" s="65">
        <v>1266</v>
      </c>
      <c r="AE837" s="17" t="s">
        <v>129</v>
      </c>
      <c r="AF837" s="17" t="s">
        <v>364</v>
      </c>
      <c r="AH837" s="17" t="s">
        <v>365</v>
      </c>
      <c r="AI837" s="95">
        <f t="shared" si="55"/>
        <v>137.327</v>
      </c>
    </row>
    <row r="838" s="17" customFormat="1" hidden="1" spans="1:35">
      <c r="A838" s="17" t="s">
        <v>34</v>
      </c>
      <c r="B838" s="19">
        <v>770</v>
      </c>
      <c r="C838" s="64">
        <v>44590</v>
      </c>
      <c r="D838" s="17" t="s">
        <v>52</v>
      </c>
      <c r="E838" s="17" t="s">
        <v>187</v>
      </c>
      <c r="F838" s="17" t="s">
        <v>54</v>
      </c>
      <c r="H838" s="65">
        <v>1.2738</v>
      </c>
      <c r="I838" s="65"/>
      <c r="J838" s="17" t="s">
        <v>82</v>
      </c>
      <c r="K838" s="19">
        <v>355</v>
      </c>
      <c r="L838" s="19">
        <v>51</v>
      </c>
      <c r="M838" s="17" t="s">
        <v>361</v>
      </c>
      <c r="N838" s="17" t="s">
        <v>66</v>
      </c>
      <c r="O838" s="19" t="s">
        <v>141</v>
      </c>
      <c r="P838" s="19">
        <v>700</v>
      </c>
      <c r="Q838" s="17">
        <f>321+323+323</f>
        <v>967</v>
      </c>
      <c r="R838" s="17">
        <f t="shared" si="53"/>
        <v>-267</v>
      </c>
      <c r="S838" s="17">
        <f t="shared" si="54"/>
        <v>1575</v>
      </c>
      <c r="T838" s="19" t="s">
        <v>42</v>
      </c>
      <c r="U838" s="17" t="s">
        <v>362</v>
      </c>
      <c r="V838" s="64">
        <v>44600</v>
      </c>
      <c r="W838" s="17" t="s">
        <v>69</v>
      </c>
      <c r="Y838" s="68">
        <v>44621</v>
      </c>
      <c r="Z838" s="17" t="s">
        <v>191</v>
      </c>
      <c r="AA838" s="17" t="s">
        <v>46</v>
      </c>
      <c r="AB838" s="17" t="s">
        <v>363</v>
      </c>
      <c r="AC838" s="66">
        <v>44622</v>
      </c>
      <c r="AD838" s="65">
        <v>1266</v>
      </c>
      <c r="AE838" s="17" t="s">
        <v>129</v>
      </c>
      <c r="AF838" s="17" t="s">
        <v>364</v>
      </c>
      <c r="AH838" s="17" t="s">
        <v>365</v>
      </c>
      <c r="AI838" s="95">
        <f t="shared" si="55"/>
        <v>137.327</v>
      </c>
    </row>
    <row r="839" s="17" customFormat="1" hidden="1" spans="1:35">
      <c r="A839" s="17" t="s">
        <v>34</v>
      </c>
      <c r="B839" s="19">
        <v>770</v>
      </c>
      <c r="C839" s="64">
        <v>44590</v>
      </c>
      <c r="D839" s="17" t="s">
        <v>52</v>
      </c>
      <c r="E839" s="17" t="s">
        <v>187</v>
      </c>
      <c r="F839" s="17" t="s">
        <v>54</v>
      </c>
      <c r="H839" s="65">
        <v>1.2738</v>
      </c>
      <c r="I839" s="65"/>
      <c r="J839" s="17" t="s">
        <v>82</v>
      </c>
      <c r="K839" s="19">
        <v>380</v>
      </c>
      <c r="L839" s="19">
        <v>51</v>
      </c>
      <c r="M839" s="17" t="s">
        <v>361</v>
      </c>
      <c r="N839" s="17" t="s">
        <v>66</v>
      </c>
      <c r="O839" s="19" t="s">
        <v>141</v>
      </c>
      <c r="P839" s="19">
        <v>200</v>
      </c>
      <c r="Q839" s="17">
        <v>345</v>
      </c>
      <c r="R839" s="17">
        <f t="shared" si="53"/>
        <v>-145</v>
      </c>
      <c r="S839" s="17">
        <f t="shared" si="54"/>
        <v>1575</v>
      </c>
      <c r="T839" s="19" t="s">
        <v>42</v>
      </c>
      <c r="U839" s="17" t="s">
        <v>362</v>
      </c>
      <c r="V839" s="64">
        <v>44600</v>
      </c>
      <c r="W839" s="17" t="s">
        <v>69</v>
      </c>
      <c r="Y839" s="68">
        <v>44621</v>
      </c>
      <c r="Z839" s="17" t="s">
        <v>191</v>
      </c>
      <c r="AA839" s="17" t="s">
        <v>46</v>
      </c>
      <c r="AB839" s="17" t="s">
        <v>363</v>
      </c>
      <c r="AC839" s="66">
        <v>44622</v>
      </c>
      <c r="AD839" s="65">
        <v>1266</v>
      </c>
      <c r="AE839" s="17" t="s">
        <v>129</v>
      </c>
      <c r="AF839" s="17" t="s">
        <v>364</v>
      </c>
      <c r="AH839" s="17" t="s">
        <v>365</v>
      </c>
      <c r="AI839" s="95">
        <f t="shared" si="55"/>
        <v>137.327</v>
      </c>
    </row>
    <row r="840" s="17" customFormat="1" hidden="1" spans="1:35">
      <c r="A840" s="17" t="s">
        <v>34</v>
      </c>
      <c r="B840" s="19">
        <v>770</v>
      </c>
      <c r="C840" s="64">
        <v>44590</v>
      </c>
      <c r="D840" s="17" t="s">
        <v>52</v>
      </c>
      <c r="E840" s="17" t="s">
        <v>187</v>
      </c>
      <c r="F840" s="17" t="s">
        <v>54</v>
      </c>
      <c r="H840" s="65">
        <v>1.2738</v>
      </c>
      <c r="I840" s="65"/>
      <c r="J840" s="17" t="s">
        <v>82</v>
      </c>
      <c r="K840" s="19">
        <v>405</v>
      </c>
      <c r="L840" s="19">
        <v>51</v>
      </c>
      <c r="M840" s="17" t="s">
        <v>361</v>
      </c>
      <c r="N840" s="17" t="s">
        <v>66</v>
      </c>
      <c r="O840" s="19" t="s">
        <v>141</v>
      </c>
      <c r="P840" s="19">
        <v>1000</v>
      </c>
      <c r="Q840" s="17">
        <f>371+368+367</f>
        <v>1106</v>
      </c>
      <c r="R840" s="17">
        <f t="shared" si="53"/>
        <v>-106</v>
      </c>
      <c r="S840" s="17">
        <f t="shared" si="54"/>
        <v>1575</v>
      </c>
      <c r="T840" s="19" t="s">
        <v>42</v>
      </c>
      <c r="U840" s="17" t="s">
        <v>362</v>
      </c>
      <c r="V840" s="64">
        <v>44600</v>
      </c>
      <c r="W840" s="17" t="s">
        <v>69</v>
      </c>
      <c r="Y840" s="68">
        <v>44621</v>
      </c>
      <c r="Z840" s="17" t="s">
        <v>191</v>
      </c>
      <c r="AA840" s="17" t="s">
        <v>46</v>
      </c>
      <c r="AB840" s="17" t="s">
        <v>363</v>
      </c>
      <c r="AC840" s="66">
        <v>44622</v>
      </c>
      <c r="AD840" s="65">
        <v>1266</v>
      </c>
      <c r="AE840" s="17" t="s">
        <v>129</v>
      </c>
      <c r="AF840" s="17" t="s">
        <v>364</v>
      </c>
      <c r="AH840" s="17" t="s">
        <v>365</v>
      </c>
      <c r="AI840" s="95">
        <f t="shared" si="55"/>
        <v>137.327</v>
      </c>
    </row>
    <row r="841" s="17" customFormat="1" hidden="1" spans="1:35">
      <c r="A841" s="17" t="s">
        <v>34</v>
      </c>
      <c r="B841" s="19">
        <v>770</v>
      </c>
      <c r="C841" s="64">
        <v>44590</v>
      </c>
      <c r="D841" s="17" t="s">
        <v>52</v>
      </c>
      <c r="E841" s="17" t="s">
        <v>187</v>
      </c>
      <c r="F841" s="17" t="s">
        <v>54</v>
      </c>
      <c r="H841" s="65">
        <v>1.2738</v>
      </c>
      <c r="I841" s="65"/>
      <c r="J841" s="17" t="s">
        <v>82</v>
      </c>
      <c r="K841" s="19">
        <v>455</v>
      </c>
      <c r="L841" s="19">
        <v>51</v>
      </c>
      <c r="M841" s="17" t="s">
        <v>361</v>
      </c>
      <c r="N841" s="17" t="s">
        <v>66</v>
      </c>
      <c r="O841" s="19" t="s">
        <v>141</v>
      </c>
      <c r="P841" s="19">
        <v>700</v>
      </c>
      <c r="Q841" s="17">
        <f>417+414</f>
        <v>831</v>
      </c>
      <c r="R841" s="17">
        <f t="shared" si="53"/>
        <v>-131</v>
      </c>
      <c r="S841" s="17">
        <f t="shared" si="54"/>
        <v>1575</v>
      </c>
      <c r="T841" s="19" t="s">
        <v>42</v>
      </c>
      <c r="U841" s="17" t="s">
        <v>362</v>
      </c>
      <c r="V841" s="64">
        <v>44600</v>
      </c>
      <c r="W841" s="17" t="s">
        <v>69</v>
      </c>
      <c r="Y841" s="68">
        <v>44621</v>
      </c>
      <c r="Z841" s="17" t="s">
        <v>191</v>
      </c>
      <c r="AA841" s="17" t="s">
        <v>46</v>
      </c>
      <c r="AB841" s="17" t="s">
        <v>363</v>
      </c>
      <c r="AC841" s="66">
        <v>44622</v>
      </c>
      <c r="AD841" s="65">
        <v>1266</v>
      </c>
      <c r="AE841" s="17" t="s">
        <v>129</v>
      </c>
      <c r="AF841" s="17" t="s">
        <v>364</v>
      </c>
      <c r="AH841" s="17" t="s">
        <v>365</v>
      </c>
      <c r="AI841" s="95">
        <f t="shared" si="55"/>
        <v>137.327</v>
      </c>
    </row>
    <row r="842" s="17" customFormat="1" hidden="1" spans="1:35">
      <c r="A842" s="17" t="s">
        <v>34</v>
      </c>
      <c r="B842" s="19">
        <v>770</v>
      </c>
      <c r="C842" s="64">
        <v>44590</v>
      </c>
      <c r="D842" s="17" t="s">
        <v>52</v>
      </c>
      <c r="E842" s="17" t="s">
        <v>187</v>
      </c>
      <c r="F842" s="17" t="s">
        <v>54</v>
      </c>
      <c r="H842" s="65">
        <v>1.2738</v>
      </c>
      <c r="I842" s="65"/>
      <c r="J842" s="17" t="s">
        <v>82</v>
      </c>
      <c r="K842" s="19">
        <v>505</v>
      </c>
      <c r="L842" s="19">
        <v>51</v>
      </c>
      <c r="M842" s="17" t="s">
        <v>361</v>
      </c>
      <c r="N842" s="17" t="s">
        <v>66</v>
      </c>
      <c r="O842" s="19" t="s">
        <v>141</v>
      </c>
      <c r="P842" s="19">
        <v>1100</v>
      </c>
      <c r="Q842" s="17">
        <f>458+460+458</f>
        <v>1376</v>
      </c>
      <c r="R842" s="17">
        <f t="shared" si="53"/>
        <v>-276</v>
      </c>
      <c r="S842" s="17">
        <f t="shared" si="54"/>
        <v>1575</v>
      </c>
      <c r="T842" s="19" t="s">
        <v>42</v>
      </c>
      <c r="U842" s="17" t="s">
        <v>362</v>
      </c>
      <c r="V842" s="64">
        <v>44600</v>
      </c>
      <c r="W842" s="17" t="s">
        <v>69</v>
      </c>
      <c r="Y842" s="68">
        <v>44621</v>
      </c>
      <c r="Z842" s="17" t="s">
        <v>191</v>
      </c>
      <c r="AA842" s="17" t="s">
        <v>46</v>
      </c>
      <c r="AB842" s="17" t="s">
        <v>363</v>
      </c>
      <c r="AC842" s="66">
        <v>44622</v>
      </c>
      <c r="AD842" s="65">
        <v>1266</v>
      </c>
      <c r="AE842" s="17" t="s">
        <v>129</v>
      </c>
      <c r="AF842" s="17" t="s">
        <v>364</v>
      </c>
      <c r="AH842" s="17" t="s">
        <v>365</v>
      </c>
      <c r="AI842" s="95">
        <f t="shared" si="55"/>
        <v>137.327</v>
      </c>
    </row>
    <row r="843" s="17" customFormat="1" hidden="1" spans="1:35">
      <c r="A843" s="17" t="s">
        <v>34</v>
      </c>
      <c r="B843" s="19">
        <v>770</v>
      </c>
      <c r="C843" s="64">
        <v>44590</v>
      </c>
      <c r="D843" s="17" t="s">
        <v>52</v>
      </c>
      <c r="E843" s="17" t="s">
        <v>187</v>
      </c>
      <c r="F843" s="17" t="s">
        <v>54</v>
      </c>
      <c r="H843" s="65">
        <v>1.2738</v>
      </c>
      <c r="I843" s="65"/>
      <c r="J843" s="17" t="s">
        <v>82</v>
      </c>
      <c r="K843" s="19">
        <v>610</v>
      </c>
      <c r="L843" s="19">
        <v>51</v>
      </c>
      <c r="M843" s="17" t="s">
        <v>361</v>
      </c>
      <c r="N843" s="17" t="s">
        <v>66</v>
      </c>
      <c r="O843" s="19" t="s">
        <v>141</v>
      </c>
      <c r="P843" s="19">
        <v>500</v>
      </c>
      <c r="Q843" s="17">
        <v>554</v>
      </c>
      <c r="R843" s="17">
        <f t="shared" si="53"/>
        <v>-54</v>
      </c>
      <c r="S843" s="17">
        <f t="shared" si="54"/>
        <v>1575</v>
      </c>
      <c r="T843" s="19" t="s">
        <v>42</v>
      </c>
      <c r="U843" s="17" t="s">
        <v>362</v>
      </c>
      <c r="V843" s="64">
        <v>44600</v>
      </c>
      <c r="W843" s="17" t="s">
        <v>69</v>
      </c>
      <c r="Y843" s="68">
        <v>44621</v>
      </c>
      <c r="Z843" s="17" t="s">
        <v>191</v>
      </c>
      <c r="AA843" s="17" t="s">
        <v>46</v>
      </c>
      <c r="AB843" s="17" t="s">
        <v>363</v>
      </c>
      <c r="AC843" s="66">
        <v>44622</v>
      </c>
      <c r="AD843" s="65">
        <v>1266</v>
      </c>
      <c r="AE843" s="17" t="s">
        <v>129</v>
      </c>
      <c r="AF843" s="17" t="s">
        <v>364</v>
      </c>
      <c r="AH843" s="17" t="s">
        <v>365</v>
      </c>
      <c r="AI843" s="95">
        <f t="shared" si="55"/>
        <v>137.327</v>
      </c>
    </row>
    <row r="844" s="17" customFormat="1" hidden="1" spans="1:35">
      <c r="A844" s="17" t="s">
        <v>34</v>
      </c>
      <c r="B844" s="19">
        <v>770</v>
      </c>
      <c r="C844" s="64">
        <v>44590</v>
      </c>
      <c r="D844" s="17" t="s">
        <v>52</v>
      </c>
      <c r="E844" s="17" t="s">
        <v>187</v>
      </c>
      <c r="F844" s="17" t="s">
        <v>54</v>
      </c>
      <c r="H844" s="65">
        <v>1.2738</v>
      </c>
      <c r="I844" s="65"/>
      <c r="J844" s="17" t="s">
        <v>82</v>
      </c>
      <c r="K844" s="19">
        <v>255</v>
      </c>
      <c r="L844" s="19">
        <v>56</v>
      </c>
      <c r="M844" s="17" t="s">
        <v>361</v>
      </c>
      <c r="N844" s="17" t="s">
        <v>66</v>
      </c>
      <c r="O844" s="19" t="s">
        <v>141</v>
      </c>
      <c r="P844" s="19">
        <v>400</v>
      </c>
      <c r="Q844" s="17">
        <v>466</v>
      </c>
      <c r="R844" s="17">
        <f t="shared" si="53"/>
        <v>-66</v>
      </c>
      <c r="S844" s="17">
        <f t="shared" si="54"/>
        <v>1575</v>
      </c>
      <c r="T844" s="19" t="s">
        <v>42</v>
      </c>
      <c r="U844" s="17" t="s">
        <v>362</v>
      </c>
      <c r="V844" s="64">
        <v>44600</v>
      </c>
      <c r="W844" s="17" t="s">
        <v>69</v>
      </c>
      <c r="Y844" s="68">
        <v>44621</v>
      </c>
      <c r="Z844" s="17" t="s">
        <v>191</v>
      </c>
      <c r="AA844" s="17" t="s">
        <v>46</v>
      </c>
      <c r="AB844" s="17" t="s">
        <v>367</v>
      </c>
      <c r="AC844" s="66">
        <v>44650</v>
      </c>
      <c r="AD844" s="65">
        <v>1285</v>
      </c>
      <c r="AE844" s="17" t="s">
        <v>129</v>
      </c>
      <c r="AF844" s="17" t="s">
        <v>364</v>
      </c>
      <c r="AH844" s="17" t="s">
        <v>365</v>
      </c>
      <c r="AI844" s="95">
        <f t="shared" si="55"/>
        <v>137.327</v>
      </c>
    </row>
    <row r="845" s="17" customFormat="1" hidden="1" spans="1:35">
      <c r="A845" s="17" t="s">
        <v>34</v>
      </c>
      <c r="B845" s="19">
        <v>770</v>
      </c>
      <c r="C845" s="64">
        <v>44590</v>
      </c>
      <c r="D845" s="17" t="s">
        <v>52</v>
      </c>
      <c r="E845" s="17" t="s">
        <v>187</v>
      </c>
      <c r="F845" s="17" t="s">
        <v>54</v>
      </c>
      <c r="H845" s="65">
        <v>1.2738</v>
      </c>
      <c r="I845" s="65"/>
      <c r="J845" s="17" t="s">
        <v>82</v>
      </c>
      <c r="K845" s="19">
        <v>305</v>
      </c>
      <c r="L845" s="19">
        <v>56</v>
      </c>
      <c r="M845" s="17" t="s">
        <v>361</v>
      </c>
      <c r="N845" s="17" t="s">
        <v>66</v>
      </c>
      <c r="O845" s="19" t="s">
        <v>141</v>
      </c>
      <c r="P845" s="19">
        <v>400</v>
      </c>
      <c r="Q845" s="17">
        <v>559</v>
      </c>
      <c r="R845" s="17">
        <f t="shared" si="53"/>
        <v>-159</v>
      </c>
      <c r="S845" s="17">
        <f t="shared" si="54"/>
        <v>1575</v>
      </c>
      <c r="T845" s="19" t="s">
        <v>42</v>
      </c>
      <c r="U845" s="17" t="s">
        <v>362</v>
      </c>
      <c r="V845" s="64">
        <v>44600</v>
      </c>
      <c r="W845" s="17" t="s">
        <v>69</v>
      </c>
      <c r="Y845" s="68">
        <v>44621</v>
      </c>
      <c r="Z845" s="17" t="s">
        <v>191</v>
      </c>
      <c r="AA845" s="17" t="s">
        <v>46</v>
      </c>
      <c r="AB845" s="17" t="s">
        <v>367</v>
      </c>
      <c r="AC845" s="66">
        <v>44650</v>
      </c>
      <c r="AD845" s="65">
        <v>1285</v>
      </c>
      <c r="AE845" s="17" t="s">
        <v>129</v>
      </c>
      <c r="AF845" s="17" t="s">
        <v>364</v>
      </c>
      <c r="AH845" s="17" t="s">
        <v>365</v>
      </c>
      <c r="AI845" s="95">
        <f t="shared" si="55"/>
        <v>137.327</v>
      </c>
    </row>
    <row r="846" s="17" customFormat="1" hidden="1" spans="1:35">
      <c r="A846" s="17" t="s">
        <v>34</v>
      </c>
      <c r="B846" s="19">
        <v>770</v>
      </c>
      <c r="C846" s="64">
        <v>44590</v>
      </c>
      <c r="D846" s="17" t="s">
        <v>52</v>
      </c>
      <c r="E846" s="17" t="s">
        <v>187</v>
      </c>
      <c r="F846" s="17" t="s">
        <v>54</v>
      </c>
      <c r="H846" s="65">
        <v>1.2738</v>
      </c>
      <c r="I846" s="65"/>
      <c r="J846" s="17" t="s">
        <v>82</v>
      </c>
      <c r="K846" s="19">
        <v>405</v>
      </c>
      <c r="L846" s="19">
        <v>56</v>
      </c>
      <c r="M846" s="17" t="s">
        <v>361</v>
      </c>
      <c r="N846" s="17" t="s">
        <v>66</v>
      </c>
      <c r="O846" s="19" t="s">
        <v>141</v>
      </c>
      <c r="P846" s="19">
        <v>400</v>
      </c>
      <c r="Q846" s="17">
        <v>371</v>
      </c>
      <c r="R846" s="17">
        <f t="shared" si="53"/>
        <v>29</v>
      </c>
      <c r="S846" s="17">
        <f t="shared" si="54"/>
        <v>1575</v>
      </c>
      <c r="T846" s="19" t="s">
        <v>42</v>
      </c>
      <c r="U846" s="17" t="s">
        <v>362</v>
      </c>
      <c r="V846" s="64">
        <v>44600</v>
      </c>
      <c r="W846" s="17" t="s">
        <v>69</v>
      </c>
      <c r="Y846" s="68">
        <v>44621</v>
      </c>
      <c r="Z846" s="17" t="s">
        <v>191</v>
      </c>
      <c r="AA846" s="17" t="s">
        <v>46</v>
      </c>
      <c r="AB846" s="17" t="s">
        <v>367</v>
      </c>
      <c r="AC846" s="66">
        <v>44650</v>
      </c>
      <c r="AD846" s="65">
        <v>1285</v>
      </c>
      <c r="AE846" s="17" t="s">
        <v>129</v>
      </c>
      <c r="AF846" s="17" t="s">
        <v>364</v>
      </c>
      <c r="AH846" s="17" t="s">
        <v>365</v>
      </c>
      <c r="AI846" s="95">
        <f t="shared" si="55"/>
        <v>137.327</v>
      </c>
    </row>
    <row r="847" s="17" customFormat="1" hidden="1" spans="1:35">
      <c r="A847" s="17" t="s">
        <v>34</v>
      </c>
      <c r="B847" s="19">
        <v>770</v>
      </c>
      <c r="C847" s="64">
        <v>44590</v>
      </c>
      <c r="D847" s="17" t="s">
        <v>52</v>
      </c>
      <c r="E847" s="17" t="s">
        <v>187</v>
      </c>
      <c r="F847" s="17" t="s">
        <v>54</v>
      </c>
      <c r="H847" s="65">
        <v>1.2738</v>
      </c>
      <c r="I847" s="65"/>
      <c r="J847" s="17" t="s">
        <v>82</v>
      </c>
      <c r="K847" s="19">
        <v>505</v>
      </c>
      <c r="L847" s="19">
        <v>56</v>
      </c>
      <c r="M847" s="17" t="s">
        <v>361</v>
      </c>
      <c r="N847" s="17" t="s">
        <v>66</v>
      </c>
      <c r="O847" s="19" t="s">
        <v>141</v>
      </c>
      <c r="P847" s="19">
        <v>400</v>
      </c>
      <c r="Q847" s="17">
        <v>463</v>
      </c>
      <c r="R847" s="17">
        <f t="shared" si="53"/>
        <v>-63</v>
      </c>
      <c r="S847" s="17">
        <f t="shared" si="54"/>
        <v>1575</v>
      </c>
      <c r="T847" s="19" t="s">
        <v>42</v>
      </c>
      <c r="U847" s="17" t="s">
        <v>362</v>
      </c>
      <c r="V847" s="64">
        <v>44600</v>
      </c>
      <c r="W847" s="17" t="s">
        <v>69</v>
      </c>
      <c r="Y847" s="68">
        <v>44621</v>
      </c>
      <c r="Z847" s="17" t="s">
        <v>191</v>
      </c>
      <c r="AA847" s="17" t="s">
        <v>46</v>
      </c>
      <c r="AB847" s="17" t="s">
        <v>367</v>
      </c>
      <c r="AC847" s="66">
        <v>44650</v>
      </c>
      <c r="AD847" s="65">
        <v>1285</v>
      </c>
      <c r="AE847" s="17" t="s">
        <v>129</v>
      </c>
      <c r="AF847" s="17" t="s">
        <v>364</v>
      </c>
      <c r="AH847" s="17" t="s">
        <v>365</v>
      </c>
      <c r="AI847" s="95">
        <f t="shared" si="55"/>
        <v>137.327</v>
      </c>
    </row>
    <row r="848" s="17" customFormat="1" hidden="1" spans="1:35">
      <c r="A848" s="17" t="s">
        <v>34</v>
      </c>
      <c r="B848" s="19">
        <v>770</v>
      </c>
      <c r="C848" s="64">
        <v>44590</v>
      </c>
      <c r="D848" s="17" t="s">
        <v>52</v>
      </c>
      <c r="E848" s="17" t="s">
        <v>187</v>
      </c>
      <c r="F848" s="17" t="s">
        <v>54</v>
      </c>
      <c r="H848" s="65">
        <v>1.2738</v>
      </c>
      <c r="I848" s="65"/>
      <c r="J848" s="17" t="s">
        <v>82</v>
      </c>
      <c r="K848" s="19">
        <v>505</v>
      </c>
      <c r="L848" s="19">
        <v>61</v>
      </c>
      <c r="M848" s="17" t="s">
        <v>361</v>
      </c>
      <c r="N848" s="17" t="s">
        <v>66</v>
      </c>
      <c r="O848" s="19" t="s">
        <v>141</v>
      </c>
      <c r="P848" s="19">
        <v>500</v>
      </c>
      <c r="Q848" s="17">
        <v>500</v>
      </c>
      <c r="R848" s="17">
        <f t="shared" si="53"/>
        <v>0</v>
      </c>
      <c r="S848" s="17">
        <f t="shared" si="54"/>
        <v>1575</v>
      </c>
      <c r="T848" s="19" t="s">
        <v>42</v>
      </c>
      <c r="U848" s="17" t="s">
        <v>362</v>
      </c>
      <c r="V848" s="64">
        <v>44600</v>
      </c>
      <c r="W848" s="17" t="s">
        <v>69</v>
      </c>
      <c r="Y848" s="68">
        <v>44621</v>
      </c>
      <c r="Z848" s="17" t="s">
        <v>191</v>
      </c>
      <c r="AA848" s="17" t="s">
        <v>46</v>
      </c>
      <c r="AB848" s="17" t="s">
        <v>367</v>
      </c>
      <c r="AC848" s="66">
        <v>44650</v>
      </c>
      <c r="AD848" s="65">
        <v>1285</v>
      </c>
      <c r="AE848" s="17" t="s">
        <v>129</v>
      </c>
      <c r="AF848" s="17" t="s">
        <v>364</v>
      </c>
      <c r="AH848" s="17" t="s">
        <v>365</v>
      </c>
      <c r="AI848" s="95">
        <f t="shared" si="55"/>
        <v>137.327</v>
      </c>
    </row>
    <row r="849" s="17" customFormat="1" hidden="1" spans="1:35">
      <c r="A849" s="17" t="s">
        <v>34</v>
      </c>
      <c r="B849" s="19">
        <v>770</v>
      </c>
      <c r="C849" s="64">
        <v>44590</v>
      </c>
      <c r="D849" s="17" t="s">
        <v>52</v>
      </c>
      <c r="E849" s="17" t="s">
        <v>187</v>
      </c>
      <c r="F849" s="17" t="s">
        <v>54</v>
      </c>
      <c r="H849" s="65">
        <v>1.2738</v>
      </c>
      <c r="I849" s="65"/>
      <c r="J849" s="17" t="s">
        <v>82</v>
      </c>
      <c r="K849" s="19">
        <v>205</v>
      </c>
      <c r="L849" s="19">
        <v>65</v>
      </c>
      <c r="M849" s="17" t="s">
        <v>361</v>
      </c>
      <c r="N849" s="17" t="s">
        <v>66</v>
      </c>
      <c r="O849" s="19" t="s">
        <v>141</v>
      </c>
      <c r="P849" s="19">
        <v>700</v>
      </c>
      <c r="Q849" s="17">
        <v>665</v>
      </c>
      <c r="R849" s="17">
        <f t="shared" si="53"/>
        <v>35</v>
      </c>
      <c r="S849" s="17">
        <f t="shared" si="54"/>
        <v>1575</v>
      </c>
      <c r="T849" s="19" t="s">
        <v>42</v>
      </c>
      <c r="U849" s="17" t="s">
        <v>362</v>
      </c>
      <c r="V849" s="64">
        <v>44600</v>
      </c>
      <c r="W849" s="17" t="s">
        <v>69</v>
      </c>
      <c r="Y849" s="68">
        <v>44621</v>
      </c>
      <c r="Z849" s="17" t="s">
        <v>191</v>
      </c>
      <c r="AA849" s="17" t="s">
        <v>46</v>
      </c>
      <c r="AB849" s="17" t="s">
        <v>367</v>
      </c>
      <c r="AC849" s="66">
        <v>44650</v>
      </c>
      <c r="AD849" s="65">
        <v>1285</v>
      </c>
      <c r="AE849" s="17" t="s">
        <v>129</v>
      </c>
      <c r="AF849" s="17" t="s">
        <v>364</v>
      </c>
      <c r="AH849" s="17" t="s">
        <v>365</v>
      </c>
      <c r="AI849" s="95">
        <f t="shared" si="55"/>
        <v>137.327</v>
      </c>
    </row>
    <row r="850" s="17" customFormat="1" hidden="1" spans="1:35">
      <c r="A850" s="17" t="s">
        <v>34</v>
      </c>
      <c r="B850" s="19">
        <v>770</v>
      </c>
      <c r="C850" s="64">
        <v>44590</v>
      </c>
      <c r="D850" s="17" t="s">
        <v>52</v>
      </c>
      <c r="E850" s="17" t="s">
        <v>187</v>
      </c>
      <c r="F850" s="17" t="s">
        <v>54</v>
      </c>
      <c r="H850" s="65">
        <v>1.2738</v>
      </c>
      <c r="I850" s="65"/>
      <c r="J850" s="17" t="s">
        <v>82</v>
      </c>
      <c r="K850" s="19">
        <v>255</v>
      </c>
      <c r="L850" s="19">
        <v>65</v>
      </c>
      <c r="M850" s="17" t="s">
        <v>361</v>
      </c>
      <c r="N850" s="17" t="s">
        <v>66</v>
      </c>
      <c r="O850" s="19" t="s">
        <v>141</v>
      </c>
      <c r="P850" s="19">
        <v>700</v>
      </c>
      <c r="Q850" s="17">
        <v>828</v>
      </c>
      <c r="R850" s="17">
        <f t="shared" si="53"/>
        <v>-128</v>
      </c>
      <c r="S850" s="17">
        <f t="shared" si="54"/>
        <v>1575</v>
      </c>
      <c r="T850" s="19" t="s">
        <v>42</v>
      </c>
      <c r="U850" s="17" t="s">
        <v>362</v>
      </c>
      <c r="V850" s="64">
        <v>44600</v>
      </c>
      <c r="W850" s="17" t="s">
        <v>69</v>
      </c>
      <c r="Y850" s="68">
        <v>44621</v>
      </c>
      <c r="Z850" s="17" t="s">
        <v>191</v>
      </c>
      <c r="AA850" s="17" t="s">
        <v>46</v>
      </c>
      <c r="AB850" s="17" t="s">
        <v>367</v>
      </c>
      <c r="AC850" s="66">
        <v>44650</v>
      </c>
      <c r="AD850" s="65">
        <v>1285</v>
      </c>
      <c r="AE850" s="17" t="s">
        <v>129</v>
      </c>
      <c r="AF850" s="17" t="s">
        <v>364</v>
      </c>
      <c r="AH850" s="17" t="s">
        <v>365</v>
      </c>
      <c r="AI850" s="95">
        <f t="shared" si="55"/>
        <v>137.327</v>
      </c>
    </row>
    <row r="851" s="17" customFormat="1" hidden="1" spans="1:35">
      <c r="A851" s="17" t="s">
        <v>34</v>
      </c>
      <c r="B851" s="19">
        <v>770</v>
      </c>
      <c r="C851" s="64">
        <v>44590</v>
      </c>
      <c r="D851" s="17" t="s">
        <v>52</v>
      </c>
      <c r="E851" s="17" t="s">
        <v>187</v>
      </c>
      <c r="F851" s="17" t="s">
        <v>54</v>
      </c>
      <c r="H851" s="65">
        <v>1.2738</v>
      </c>
      <c r="I851" s="65"/>
      <c r="J851" s="17" t="s">
        <v>82</v>
      </c>
      <c r="K851" s="19">
        <v>305</v>
      </c>
      <c r="L851" s="19">
        <v>65</v>
      </c>
      <c r="M851" s="17" t="s">
        <v>361</v>
      </c>
      <c r="N851" s="17" t="s">
        <v>66</v>
      </c>
      <c r="O851" s="19" t="s">
        <v>141</v>
      </c>
      <c r="P851" s="19">
        <v>1000</v>
      </c>
      <c r="Q851" s="17">
        <v>990</v>
      </c>
      <c r="R851" s="17">
        <f t="shared" si="53"/>
        <v>10</v>
      </c>
      <c r="S851" s="17">
        <f t="shared" si="54"/>
        <v>1575</v>
      </c>
      <c r="T851" s="19" t="s">
        <v>42</v>
      </c>
      <c r="U851" s="17" t="s">
        <v>362</v>
      </c>
      <c r="V851" s="64">
        <v>44600</v>
      </c>
      <c r="W851" s="17" t="s">
        <v>69</v>
      </c>
      <c r="Y851" s="68">
        <v>44621</v>
      </c>
      <c r="Z851" s="17" t="s">
        <v>191</v>
      </c>
      <c r="AA851" s="17" t="s">
        <v>46</v>
      </c>
      <c r="AB851" s="17" t="s">
        <v>367</v>
      </c>
      <c r="AC851" s="66">
        <v>44650</v>
      </c>
      <c r="AD851" s="65">
        <v>1285</v>
      </c>
      <c r="AE851" s="17" t="s">
        <v>129</v>
      </c>
      <c r="AF851" s="17" t="s">
        <v>364</v>
      </c>
      <c r="AH851" s="17" t="s">
        <v>365</v>
      </c>
      <c r="AI851" s="95">
        <f t="shared" si="55"/>
        <v>137.327</v>
      </c>
    </row>
    <row r="852" s="17" customFormat="1" hidden="1" spans="1:35">
      <c r="A852" s="17" t="s">
        <v>34</v>
      </c>
      <c r="B852" s="19">
        <v>770</v>
      </c>
      <c r="C852" s="64">
        <v>44590</v>
      </c>
      <c r="D852" s="17" t="s">
        <v>52</v>
      </c>
      <c r="E852" s="17" t="s">
        <v>187</v>
      </c>
      <c r="F852" s="17" t="s">
        <v>54</v>
      </c>
      <c r="H852" s="65">
        <v>1.2738</v>
      </c>
      <c r="I852" s="65"/>
      <c r="J852" s="17" t="s">
        <v>82</v>
      </c>
      <c r="K852" s="19">
        <v>330</v>
      </c>
      <c r="L852" s="19">
        <v>65</v>
      </c>
      <c r="M852" s="17" t="s">
        <v>361</v>
      </c>
      <c r="N852" s="17" t="s">
        <v>66</v>
      </c>
      <c r="O852" s="19" t="s">
        <v>141</v>
      </c>
      <c r="P852" s="19">
        <v>200</v>
      </c>
      <c r="Q852" s="17">
        <v>359</v>
      </c>
      <c r="R852" s="17">
        <f t="shared" si="53"/>
        <v>-159</v>
      </c>
      <c r="S852" s="17">
        <f t="shared" si="54"/>
        <v>1575</v>
      </c>
      <c r="T852" s="19" t="s">
        <v>42</v>
      </c>
      <c r="U852" s="17" t="s">
        <v>362</v>
      </c>
      <c r="V852" s="64">
        <v>44600</v>
      </c>
      <c r="W852" s="17" t="s">
        <v>69</v>
      </c>
      <c r="Y852" s="68">
        <v>44621</v>
      </c>
      <c r="Z852" s="17" t="s">
        <v>191</v>
      </c>
      <c r="AA852" s="17" t="s">
        <v>46</v>
      </c>
      <c r="AB852" s="17" t="s">
        <v>367</v>
      </c>
      <c r="AC852" s="66">
        <v>44650</v>
      </c>
      <c r="AD852" s="65">
        <v>1285</v>
      </c>
      <c r="AE852" s="17" t="s">
        <v>129</v>
      </c>
      <c r="AF852" s="17" t="s">
        <v>364</v>
      </c>
      <c r="AH852" s="17" t="s">
        <v>365</v>
      </c>
      <c r="AI852" s="95">
        <f t="shared" si="55"/>
        <v>137.327</v>
      </c>
    </row>
    <row r="853" s="17" customFormat="1" hidden="1" spans="1:35">
      <c r="A853" s="17" t="s">
        <v>34</v>
      </c>
      <c r="B853" s="19">
        <v>770</v>
      </c>
      <c r="C853" s="64">
        <v>44590</v>
      </c>
      <c r="D853" s="17" t="s">
        <v>52</v>
      </c>
      <c r="E853" s="17" t="s">
        <v>187</v>
      </c>
      <c r="F853" s="17" t="s">
        <v>54</v>
      </c>
      <c r="H853" s="65">
        <v>1.2738</v>
      </c>
      <c r="I853" s="65"/>
      <c r="J853" s="17" t="s">
        <v>82</v>
      </c>
      <c r="K853" s="19">
        <v>355</v>
      </c>
      <c r="L853" s="19">
        <v>65</v>
      </c>
      <c r="M853" s="17" t="s">
        <v>361</v>
      </c>
      <c r="N853" s="17" t="s">
        <v>66</v>
      </c>
      <c r="O853" s="19" t="s">
        <v>141</v>
      </c>
      <c r="P853" s="19">
        <v>700</v>
      </c>
      <c r="Q853" s="17">
        <v>773</v>
      </c>
      <c r="R853" s="17">
        <f t="shared" ref="R853:R884" si="56">+P853-Q853</f>
        <v>-73</v>
      </c>
      <c r="S853" s="17">
        <f t="shared" si="54"/>
        <v>1575</v>
      </c>
      <c r="T853" s="19" t="s">
        <v>42</v>
      </c>
      <c r="U853" s="17" t="s">
        <v>362</v>
      </c>
      <c r="V853" s="64">
        <v>44600</v>
      </c>
      <c r="W853" s="17" t="s">
        <v>69</v>
      </c>
      <c r="Y853" s="68">
        <v>44621</v>
      </c>
      <c r="Z853" s="17" t="s">
        <v>191</v>
      </c>
      <c r="AA853" s="17" t="s">
        <v>46</v>
      </c>
      <c r="AB853" s="17" t="s">
        <v>367</v>
      </c>
      <c r="AC853" s="66">
        <v>44650</v>
      </c>
      <c r="AD853" s="65">
        <v>1285</v>
      </c>
      <c r="AE853" s="17" t="s">
        <v>129</v>
      </c>
      <c r="AF853" s="17" t="s">
        <v>364</v>
      </c>
      <c r="AH853" s="17" t="s">
        <v>365</v>
      </c>
      <c r="AI853" s="95">
        <f t="shared" si="55"/>
        <v>137.327</v>
      </c>
    </row>
    <row r="854" s="17" customFormat="1" hidden="1" spans="1:35">
      <c r="A854" s="17" t="s">
        <v>34</v>
      </c>
      <c r="B854" s="19">
        <v>770</v>
      </c>
      <c r="C854" s="64">
        <v>44590</v>
      </c>
      <c r="D854" s="17" t="s">
        <v>52</v>
      </c>
      <c r="E854" s="17" t="s">
        <v>187</v>
      </c>
      <c r="F854" s="17" t="s">
        <v>54</v>
      </c>
      <c r="H854" s="65">
        <v>1.2738</v>
      </c>
      <c r="I854" s="65"/>
      <c r="J854" s="17" t="s">
        <v>82</v>
      </c>
      <c r="K854" s="19">
        <v>380</v>
      </c>
      <c r="L854" s="19">
        <v>65</v>
      </c>
      <c r="M854" s="17" t="s">
        <v>361</v>
      </c>
      <c r="N854" s="17" t="s">
        <v>66</v>
      </c>
      <c r="O854" s="19" t="s">
        <v>141</v>
      </c>
      <c r="P854" s="19">
        <v>200</v>
      </c>
      <c r="Q854" s="17">
        <v>410</v>
      </c>
      <c r="R854" s="17">
        <f t="shared" si="56"/>
        <v>-210</v>
      </c>
      <c r="S854" s="17">
        <f t="shared" si="54"/>
        <v>1575</v>
      </c>
      <c r="T854" s="19" t="s">
        <v>42</v>
      </c>
      <c r="U854" s="17" t="s">
        <v>362</v>
      </c>
      <c r="V854" s="64">
        <v>44600</v>
      </c>
      <c r="W854" s="17" t="s">
        <v>69</v>
      </c>
      <c r="Y854" s="68">
        <v>44621</v>
      </c>
      <c r="Z854" s="17" t="s">
        <v>191</v>
      </c>
      <c r="AA854" s="17" t="s">
        <v>46</v>
      </c>
      <c r="AB854" s="17" t="s">
        <v>367</v>
      </c>
      <c r="AC854" s="66">
        <v>44650</v>
      </c>
      <c r="AD854" s="65">
        <v>1285</v>
      </c>
      <c r="AE854" s="17" t="s">
        <v>129</v>
      </c>
      <c r="AF854" s="17" t="s">
        <v>364</v>
      </c>
      <c r="AH854" s="17" t="s">
        <v>365</v>
      </c>
      <c r="AI854" s="95">
        <f t="shared" si="55"/>
        <v>137.327</v>
      </c>
    </row>
    <row r="855" s="17" customFormat="1" hidden="1" spans="1:35">
      <c r="A855" s="17" t="s">
        <v>34</v>
      </c>
      <c r="B855" s="19">
        <v>770</v>
      </c>
      <c r="C855" s="64">
        <v>44590</v>
      </c>
      <c r="D855" s="17" t="s">
        <v>52</v>
      </c>
      <c r="E855" s="17" t="s">
        <v>187</v>
      </c>
      <c r="F855" s="17" t="s">
        <v>54</v>
      </c>
      <c r="H855" s="65">
        <v>1.2738</v>
      </c>
      <c r="I855" s="65"/>
      <c r="J855" s="17" t="s">
        <v>82</v>
      </c>
      <c r="K855" s="19">
        <v>405</v>
      </c>
      <c r="L855" s="19">
        <v>65</v>
      </c>
      <c r="M855" s="17" t="s">
        <v>361</v>
      </c>
      <c r="N855" s="17" t="s">
        <v>66</v>
      </c>
      <c r="O855" s="19" t="s">
        <v>141</v>
      </c>
      <c r="P855" s="19">
        <v>1000</v>
      </c>
      <c r="Q855" s="17">
        <v>875</v>
      </c>
      <c r="R855" s="17">
        <f t="shared" si="56"/>
        <v>125</v>
      </c>
      <c r="S855" s="17">
        <f t="shared" si="54"/>
        <v>1575</v>
      </c>
      <c r="T855" s="19" t="s">
        <v>42</v>
      </c>
      <c r="U855" s="17" t="s">
        <v>362</v>
      </c>
      <c r="V855" s="64">
        <v>44600</v>
      </c>
      <c r="W855" s="17" t="s">
        <v>69</v>
      </c>
      <c r="Y855" s="68">
        <v>44621</v>
      </c>
      <c r="Z855" s="17" t="s">
        <v>191</v>
      </c>
      <c r="AA855" s="17" t="s">
        <v>46</v>
      </c>
      <c r="AB855" s="17" t="s">
        <v>367</v>
      </c>
      <c r="AC855" s="66">
        <v>44650</v>
      </c>
      <c r="AD855" s="65">
        <v>1285</v>
      </c>
      <c r="AE855" s="17" t="s">
        <v>129</v>
      </c>
      <c r="AF855" s="17" t="s">
        <v>364</v>
      </c>
      <c r="AH855" s="17" t="s">
        <v>365</v>
      </c>
      <c r="AI855" s="95">
        <f t="shared" si="55"/>
        <v>137.327</v>
      </c>
    </row>
    <row r="856" s="17" customFormat="1" hidden="1" spans="1:35">
      <c r="A856" s="17" t="s">
        <v>34</v>
      </c>
      <c r="B856" s="19">
        <v>770</v>
      </c>
      <c r="C856" s="64">
        <v>44590</v>
      </c>
      <c r="D856" s="17" t="s">
        <v>52</v>
      </c>
      <c r="E856" s="17" t="s">
        <v>187</v>
      </c>
      <c r="F856" s="17" t="s">
        <v>54</v>
      </c>
      <c r="H856" s="65">
        <v>1.2738</v>
      </c>
      <c r="I856" s="65"/>
      <c r="J856" s="17" t="s">
        <v>82</v>
      </c>
      <c r="K856" s="19">
        <v>455</v>
      </c>
      <c r="L856" s="19">
        <v>65</v>
      </c>
      <c r="M856" s="17" t="s">
        <v>361</v>
      </c>
      <c r="N856" s="17" t="s">
        <v>66</v>
      </c>
      <c r="O856" s="19" t="s">
        <v>141</v>
      </c>
      <c r="P856" s="19">
        <v>700</v>
      </c>
      <c r="Q856" s="17">
        <v>987</v>
      </c>
      <c r="R856" s="17">
        <f t="shared" si="56"/>
        <v>-287</v>
      </c>
      <c r="S856" s="17">
        <f t="shared" si="54"/>
        <v>1575</v>
      </c>
      <c r="T856" s="19" t="s">
        <v>42</v>
      </c>
      <c r="U856" s="17" t="s">
        <v>362</v>
      </c>
      <c r="V856" s="64">
        <v>44600</v>
      </c>
      <c r="W856" s="17" t="s">
        <v>69</v>
      </c>
      <c r="Y856" s="68">
        <v>44621</v>
      </c>
      <c r="Z856" s="17" t="s">
        <v>191</v>
      </c>
      <c r="AA856" s="17" t="s">
        <v>46</v>
      </c>
      <c r="AB856" s="17" t="s">
        <v>367</v>
      </c>
      <c r="AC856" s="66">
        <v>44650</v>
      </c>
      <c r="AD856" s="65">
        <v>1285</v>
      </c>
      <c r="AE856" s="17" t="s">
        <v>129</v>
      </c>
      <c r="AF856" s="17" t="s">
        <v>364</v>
      </c>
      <c r="AH856" s="17" t="s">
        <v>365</v>
      </c>
      <c r="AI856" s="95">
        <f t="shared" si="55"/>
        <v>137.327</v>
      </c>
    </row>
    <row r="857" s="17" customFormat="1" hidden="1" spans="1:35">
      <c r="A857" s="17" t="s">
        <v>34</v>
      </c>
      <c r="B857" s="19">
        <v>770</v>
      </c>
      <c r="C857" s="64">
        <v>44590</v>
      </c>
      <c r="D857" s="17" t="s">
        <v>52</v>
      </c>
      <c r="E857" s="17" t="s">
        <v>187</v>
      </c>
      <c r="F857" s="17" t="s">
        <v>54</v>
      </c>
      <c r="H857" s="65">
        <v>1.2738</v>
      </c>
      <c r="I857" s="65"/>
      <c r="J857" s="17" t="s">
        <v>82</v>
      </c>
      <c r="K857" s="19">
        <v>505</v>
      </c>
      <c r="L857" s="19">
        <v>65</v>
      </c>
      <c r="M857" s="17" t="s">
        <v>361</v>
      </c>
      <c r="N857" s="17" t="s">
        <v>66</v>
      </c>
      <c r="O857" s="19" t="s">
        <v>141</v>
      </c>
      <c r="P857" s="19">
        <v>1200</v>
      </c>
      <c r="Q857" s="17">
        <v>1090</v>
      </c>
      <c r="R857" s="17">
        <f t="shared" si="56"/>
        <v>110</v>
      </c>
      <c r="S857" s="17">
        <f t="shared" si="54"/>
        <v>1575</v>
      </c>
      <c r="T857" s="19" t="s">
        <v>42</v>
      </c>
      <c r="U857" s="17" t="s">
        <v>362</v>
      </c>
      <c r="V857" s="64">
        <v>44600</v>
      </c>
      <c r="W857" s="17" t="s">
        <v>69</v>
      </c>
      <c r="Y857" s="68">
        <v>44621</v>
      </c>
      <c r="Z857" s="17" t="s">
        <v>191</v>
      </c>
      <c r="AA857" s="17" t="s">
        <v>46</v>
      </c>
      <c r="AB857" s="17" t="s">
        <v>367</v>
      </c>
      <c r="AC857" s="66">
        <v>44650</v>
      </c>
      <c r="AD857" s="65">
        <v>1285</v>
      </c>
      <c r="AE857" s="17" t="s">
        <v>129</v>
      </c>
      <c r="AF857" s="17" t="s">
        <v>364</v>
      </c>
      <c r="AH857" s="17" t="s">
        <v>365</v>
      </c>
      <c r="AI857" s="95">
        <f t="shared" si="55"/>
        <v>137.327</v>
      </c>
    </row>
    <row r="858" s="17" customFormat="1" hidden="1" spans="1:35">
      <c r="A858" s="17" t="s">
        <v>34</v>
      </c>
      <c r="B858" s="19">
        <v>770</v>
      </c>
      <c r="C858" s="64">
        <v>44590</v>
      </c>
      <c r="D858" s="17" t="s">
        <v>52</v>
      </c>
      <c r="E858" s="17" t="s">
        <v>187</v>
      </c>
      <c r="F858" s="17" t="s">
        <v>54</v>
      </c>
      <c r="H858" s="65">
        <v>1.2738</v>
      </c>
      <c r="I858" s="65"/>
      <c r="J858" s="17" t="s">
        <v>82</v>
      </c>
      <c r="K858" s="19">
        <v>610</v>
      </c>
      <c r="L858" s="19">
        <v>65</v>
      </c>
      <c r="M858" s="17" t="s">
        <v>361</v>
      </c>
      <c r="N858" s="17" t="s">
        <v>66</v>
      </c>
      <c r="O858" s="19" t="s">
        <v>141</v>
      </c>
      <c r="P858" s="19">
        <v>500</v>
      </c>
      <c r="Q858" s="17">
        <v>649</v>
      </c>
      <c r="R858" s="17">
        <f t="shared" si="56"/>
        <v>-149</v>
      </c>
      <c r="S858" s="17">
        <f t="shared" si="54"/>
        <v>1575</v>
      </c>
      <c r="T858" s="19" t="s">
        <v>42</v>
      </c>
      <c r="U858" s="17" t="s">
        <v>362</v>
      </c>
      <c r="V858" s="64">
        <v>44600</v>
      </c>
      <c r="W858" s="17" t="s">
        <v>69</v>
      </c>
      <c r="Y858" s="68">
        <v>44621</v>
      </c>
      <c r="Z858" s="17" t="s">
        <v>191</v>
      </c>
      <c r="AA858" s="17" t="s">
        <v>46</v>
      </c>
      <c r="AB858" s="17" t="s">
        <v>367</v>
      </c>
      <c r="AC858" s="66">
        <v>44650</v>
      </c>
      <c r="AD858" s="65">
        <v>1285</v>
      </c>
      <c r="AE858" s="17" t="s">
        <v>129</v>
      </c>
      <c r="AF858" s="17" t="s">
        <v>364</v>
      </c>
      <c r="AH858" s="17" t="s">
        <v>365</v>
      </c>
      <c r="AI858" s="95">
        <f t="shared" si="55"/>
        <v>137.327</v>
      </c>
    </row>
    <row r="859" s="17" customFormat="1" hidden="1" spans="1:35">
      <c r="A859" s="17" t="s">
        <v>34</v>
      </c>
      <c r="B859" s="19">
        <v>770</v>
      </c>
      <c r="C859" s="64">
        <v>44590</v>
      </c>
      <c r="D859" s="17" t="s">
        <v>52</v>
      </c>
      <c r="E859" s="17" t="s">
        <v>187</v>
      </c>
      <c r="F859" s="17" t="s">
        <v>54</v>
      </c>
      <c r="H859" s="65">
        <v>1.2738</v>
      </c>
      <c r="I859" s="65"/>
      <c r="J859" s="17" t="s">
        <v>82</v>
      </c>
      <c r="K859" s="19">
        <v>610</v>
      </c>
      <c r="L859" s="19">
        <v>70</v>
      </c>
      <c r="M859" s="17" t="s">
        <v>361</v>
      </c>
      <c r="N859" s="17" t="s">
        <v>66</v>
      </c>
      <c r="O859" s="19" t="s">
        <v>141</v>
      </c>
      <c r="P859" s="19">
        <v>500</v>
      </c>
      <c r="Q859" s="17">
        <v>705</v>
      </c>
      <c r="R859" s="17">
        <f t="shared" si="56"/>
        <v>-205</v>
      </c>
      <c r="S859" s="17">
        <f t="shared" si="54"/>
        <v>1575</v>
      </c>
      <c r="T859" s="19" t="s">
        <v>42</v>
      </c>
      <c r="U859" s="17" t="s">
        <v>362</v>
      </c>
      <c r="V859" s="64">
        <v>44600</v>
      </c>
      <c r="W859" s="17" t="s">
        <v>69</v>
      </c>
      <c r="Y859" s="68">
        <v>44621</v>
      </c>
      <c r="Z859" s="17" t="s">
        <v>191</v>
      </c>
      <c r="AA859" s="17" t="s">
        <v>46</v>
      </c>
      <c r="AB859" s="17" t="s">
        <v>367</v>
      </c>
      <c r="AC859" s="66">
        <v>44650</v>
      </c>
      <c r="AD859" s="65">
        <v>1285</v>
      </c>
      <c r="AE859" s="17" t="s">
        <v>129</v>
      </c>
      <c r="AF859" s="17" t="s">
        <v>364</v>
      </c>
      <c r="AH859" s="17" t="s">
        <v>365</v>
      </c>
      <c r="AI859" s="95">
        <f t="shared" si="55"/>
        <v>137.327</v>
      </c>
    </row>
    <row r="860" s="17" customFormat="1" hidden="1" spans="1:35">
      <c r="A860" s="17" t="s">
        <v>34</v>
      </c>
      <c r="B860" s="19">
        <v>770</v>
      </c>
      <c r="C860" s="64">
        <v>44590</v>
      </c>
      <c r="D860" s="17" t="s">
        <v>52</v>
      </c>
      <c r="E860" s="17" t="s">
        <v>187</v>
      </c>
      <c r="F860" s="17" t="s">
        <v>54</v>
      </c>
      <c r="H860" s="65">
        <v>1.2738</v>
      </c>
      <c r="I860" s="65"/>
      <c r="J860" s="17" t="s">
        <v>82</v>
      </c>
      <c r="K860" s="19">
        <v>610</v>
      </c>
      <c r="L860" s="19">
        <v>75</v>
      </c>
      <c r="M860" s="17" t="s">
        <v>361</v>
      </c>
      <c r="N860" s="17" t="s">
        <v>66</v>
      </c>
      <c r="O860" s="19" t="s">
        <v>141</v>
      </c>
      <c r="P860" s="19">
        <v>500</v>
      </c>
      <c r="Q860" s="17">
        <v>750</v>
      </c>
      <c r="R860" s="17">
        <f t="shared" si="56"/>
        <v>-250</v>
      </c>
      <c r="S860" s="17">
        <f t="shared" si="54"/>
        <v>1575</v>
      </c>
      <c r="T860" s="19" t="s">
        <v>42</v>
      </c>
      <c r="U860" s="17" t="s">
        <v>362</v>
      </c>
      <c r="V860" s="64">
        <v>44600</v>
      </c>
      <c r="W860" s="17" t="s">
        <v>69</v>
      </c>
      <c r="Y860" s="68">
        <v>44621</v>
      </c>
      <c r="Z860" s="17" t="s">
        <v>191</v>
      </c>
      <c r="AA860" s="17" t="s">
        <v>46</v>
      </c>
      <c r="AB860" s="17" t="s">
        <v>367</v>
      </c>
      <c r="AC860" s="66">
        <v>44650</v>
      </c>
      <c r="AD860" s="65">
        <v>1285</v>
      </c>
      <c r="AE860" s="17" t="s">
        <v>129</v>
      </c>
      <c r="AF860" s="17" t="s">
        <v>364</v>
      </c>
      <c r="AH860" s="17" t="s">
        <v>365</v>
      </c>
      <c r="AI860" s="95">
        <f t="shared" si="55"/>
        <v>137.327</v>
      </c>
    </row>
    <row r="861" s="17" customFormat="1" hidden="1" spans="1:35">
      <c r="A861" s="17" t="s">
        <v>34</v>
      </c>
      <c r="B861" s="19">
        <v>770</v>
      </c>
      <c r="C861" s="64">
        <v>44590</v>
      </c>
      <c r="D861" s="17" t="s">
        <v>52</v>
      </c>
      <c r="E861" s="17" t="s">
        <v>187</v>
      </c>
      <c r="F861" s="17" t="s">
        <v>54</v>
      </c>
      <c r="H861" s="65">
        <v>1.2738</v>
      </c>
      <c r="I861" s="65"/>
      <c r="J861" s="17" t="s">
        <v>82</v>
      </c>
      <c r="K861" s="19">
        <v>205</v>
      </c>
      <c r="L861" s="19">
        <v>80</v>
      </c>
      <c r="M861" s="17" t="s">
        <v>361</v>
      </c>
      <c r="N861" s="17" t="s">
        <v>66</v>
      </c>
      <c r="O861" s="19" t="s">
        <v>141</v>
      </c>
      <c r="P861" s="19">
        <v>700</v>
      </c>
      <c r="Q861" s="17">
        <v>817</v>
      </c>
      <c r="R861" s="17">
        <f t="shared" si="56"/>
        <v>-117</v>
      </c>
      <c r="S861" s="17">
        <f t="shared" si="54"/>
        <v>1575</v>
      </c>
      <c r="T861" s="19" t="s">
        <v>42</v>
      </c>
      <c r="U861" s="17" t="s">
        <v>362</v>
      </c>
      <c r="V861" s="64">
        <v>44600</v>
      </c>
      <c r="W861" s="17" t="s">
        <v>69</v>
      </c>
      <c r="Y861" s="68">
        <v>44621</v>
      </c>
      <c r="Z861" s="17" t="s">
        <v>191</v>
      </c>
      <c r="AA861" s="17" t="s">
        <v>46</v>
      </c>
      <c r="AB861" s="17" t="s">
        <v>367</v>
      </c>
      <c r="AC861" s="66">
        <v>44650</v>
      </c>
      <c r="AD861" s="65">
        <v>1285</v>
      </c>
      <c r="AE861" s="17" t="s">
        <v>129</v>
      </c>
      <c r="AF861" s="17" t="s">
        <v>364</v>
      </c>
      <c r="AH861" s="17" t="s">
        <v>365</v>
      </c>
      <c r="AI861" s="95">
        <f t="shared" si="55"/>
        <v>137.327</v>
      </c>
    </row>
    <row r="862" s="17" customFormat="1" hidden="1" spans="1:35">
      <c r="A862" s="17" t="s">
        <v>34</v>
      </c>
      <c r="B862" s="19">
        <v>770</v>
      </c>
      <c r="C862" s="64">
        <v>44590</v>
      </c>
      <c r="D862" s="17" t="s">
        <v>52</v>
      </c>
      <c r="E862" s="17" t="s">
        <v>187</v>
      </c>
      <c r="F862" s="17" t="s">
        <v>54</v>
      </c>
      <c r="H862" s="65">
        <v>1.2738</v>
      </c>
      <c r="I862" s="65"/>
      <c r="J862" s="17" t="s">
        <v>82</v>
      </c>
      <c r="K862" s="19">
        <v>255</v>
      </c>
      <c r="L862" s="19">
        <v>80</v>
      </c>
      <c r="M862" s="17" t="s">
        <v>361</v>
      </c>
      <c r="N862" s="17" t="s">
        <v>66</v>
      </c>
      <c r="O862" s="19" t="s">
        <v>141</v>
      </c>
      <c r="P862" s="19">
        <v>700</v>
      </c>
      <c r="Q862" s="17">
        <v>336</v>
      </c>
      <c r="R862" s="17">
        <f t="shared" si="56"/>
        <v>364</v>
      </c>
      <c r="S862" s="17">
        <f t="shared" si="54"/>
        <v>1575</v>
      </c>
      <c r="T862" s="19" t="s">
        <v>42</v>
      </c>
      <c r="U862" s="17" t="s">
        <v>362</v>
      </c>
      <c r="V862" s="64">
        <v>44600</v>
      </c>
      <c r="W862" s="17" t="s">
        <v>69</v>
      </c>
      <c r="Y862" s="68">
        <v>44621</v>
      </c>
      <c r="Z862" s="17" t="s">
        <v>191</v>
      </c>
      <c r="AA862" s="17" t="s">
        <v>46</v>
      </c>
      <c r="AB862" s="17" t="s">
        <v>367</v>
      </c>
      <c r="AC862" s="66">
        <v>44650</v>
      </c>
      <c r="AD862" s="65">
        <v>1285</v>
      </c>
      <c r="AE862" s="17" t="s">
        <v>129</v>
      </c>
      <c r="AF862" s="17" t="s">
        <v>364</v>
      </c>
      <c r="AH862" s="17" t="s">
        <v>365</v>
      </c>
      <c r="AI862" s="95">
        <f t="shared" si="55"/>
        <v>137.327</v>
      </c>
    </row>
    <row r="863" s="17" customFormat="1" hidden="1" spans="1:35">
      <c r="A863" s="17" t="s">
        <v>34</v>
      </c>
      <c r="B863" s="19">
        <v>770</v>
      </c>
      <c r="C863" s="64">
        <v>44590</v>
      </c>
      <c r="D863" s="17" t="s">
        <v>52</v>
      </c>
      <c r="E863" s="17" t="s">
        <v>187</v>
      </c>
      <c r="F863" s="17" t="s">
        <v>54</v>
      </c>
      <c r="H863" s="65">
        <v>1.2738</v>
      </c>
      <c r="I863" s="65"/>
      <c r="J863" s="17" t="s">
        <v>82</v>
      </c>
      <c r="K863" s="19">
        <v>305</v>
      </c>
      <c r="L863" s="19">
        <v>80</v>
      </c>
      <c r="M863" s="17" t="s">
        <v>361</v>
      </c>
      <c r="N863" s="17" t="s">
        <v>66</v>
      </c>
      <c r="O863" s="19" t="s">
        <v>141</v>
      </c>
      <c r="P863" s="19">
        <v>800</v>
      </c>
      <c r="Q863" s="17">
        <v>404</v>
      </c>
      <c r="R863" s="17">
        <f t="shared" si="56"/>
        <v>396</v>
      </c>
      <c r="S863" s="17">
        <f t="shared" ref="S863:S882" si="57">1590-15</f>
        <v>1575</v>
      </c>
      <c r="T863" s="19" t="s">
        <v>42</v>
      </c>
      <c r="U863" s="17" t="s">
        <v>362</v>
      </c>
      <c r="V863" s="64">
        <v>44600</v>
      </c>
      <c r="W863" s="17" t="s">
        <v>69</v>
      </c>
      <c r="Y863" s="68">
        <v>44621</v>
      </c>
      <c r="Z863" s="17" t="s">
        <v>191</v>
      </c>
      <c r="AA863" s="17" t="s">
        <v>46</v>
      </c>
      <c r="AB863" s="17" t="s">
        <v>367</v>
      </c>
      <c r="AC863" s="66">
        <v>44650</v>
      </c>
      <c r="AD863" s="65">
        <v>1285</v>
      </c>
      <c r="AE863" s="17" t="s">
        <v>129</v>
      </c>
      <c r="AF863" s="17" t="s">
        <v>364</v>
      </c>
      <c r="AH863" s="17" t="s">
        <v>365</v>
      </c>
      <c r="AI863" s="95">
        <f t="shared" ref="AI863:AI882" si="58">137327/1000</f>
        <v>137.327</v>
      </c>
    </row>
    <row r="864" s="17" customFormat="1" hidden="1" spans="1:35">
      <c r="A864" s="17" t="s">
        <v>34</v>
      </c>
      <c r="B864" s="19">
        <v>770</v>
      </c>
      <c r="C864" s="64">
        <v>44590</v>
      </c>
      <c r="D864" s="17" t="s">
        <v>52</v>
      </c>
      <c r="E864" s="17" t="s">
        <v>187</v>
      </c>
      <c r="F864" s="17" t="s">
        <v>54</v>
      </c>
      <c r="H864" s="65">
        <v>1.2738</v>
      </c>
      <c r="I864" s="65"/>
      <c r="J864" s="17" t="s">
        <v>82</v>
      </c>
      <c r="K864" s="19">
        <v>330</v>
      </c>
      <c r="L864" s="19">
        <v>80</v>
      </c>
      <c r="M864" s="17" t="s">
        <v>361</v>
      </c>
      <c r="N864" s="17" t="s">
        <v>66</v>
      </c>
      <c r="O864" s="19" t="s">
        <v>141</v>
      </c>
      <c r="P864" s="19">
        <v>200</v>
      </c>
      <c r="Q864" s="17">
        <v>438</v>
      </c>
      <c r="R864" s="17">
        <f t="shared" si="56"/>
        <v>-238</v>
      </c>
      <c r="S864" s="17">
        <f t="shared" si="57"/>
        <v>1575</v>
      </c>
      <c r="T864" s="19" t="s">
        <v>42</v>
      </c>
      <c r="U864" s="17" t="s">
        <v>362</v>
      </c>
      <c r="V864" s="64">
        <v>44600</v>
      </c>
      <c r="W864" s="17" t="s">
        <v>69</v>
      </c>
      <c r="Y864" s="68">
        <v>44621</v>
      </c>
      <c r="Z864" s="17" t="s">
        <v>191</v>
      </c>
      <c r="AA864" s="17" t="s">
        <v>46</v>
      </c>
      <c r="AB864" s="17" t="s">
        <v>367</v>
      </c>
      <c r="AC864" s="66">
        <v>44650</v>
      </c>
      <c r="AD864" s="65">
        <v>1285</v>
      </c>
      <c r="AE864" s="17" t="s">
        <v>129</v>
      </c>
      <c r="AF864" s="17" t="s">
        <v>364</v>
      </c>
      <c r="AH864" s="17" t="s">
        <v>365</v>
      </c>
      <c r="AI864" s="95">
        <f t="shared" si="58"/>
        <v>137.327</v>
      </c>
    </row>
    <row r="865" s="17" customFormat="1" hidden="1" spans="1:35">
      <c r="A865" s="17" t="s">
        <v>34</v>
      </c>
      <c r="B865" s="19">
        <v>770</v>
      </c>
      <c r="C865" s="64">
        <v>44590</v>
      </c>
      <c r="D865" s="17" t="s">
        <v>52</v>
      </c>
      <c r="E865" s="17" t="s">
        <v>187</v>
      </c>
      <c r="F865" s="17" t="s">
        <v>54</v>
      </c>
      <c r="H865" s="65">
        <v>1.2738</v>
      </c>
      <c r="I865" s="65"/>
      <c r="J865" s="17" t="s">
        <v>82</v>
      </c>
      <c r="K865" s="19">
        <v>355</v>
      </c>
      <c r="L865" s="19">
        <v>80</v>
      </c>
      <c r="M865" s="17" t="s">
        <v>361</v>
      </c>
      <c r="N865" s="17" t="s">
        <v>66</v>
      </c>
      <c r="O865" s="19" t="s">
        <v>141</v>
      </c>
      <c r="P865" s="19">
        <v>700</v>
      </c>
      <c r="Q865" s="17">
        <v>466</v>
      </c>
      <c r="R865" s="17">
        <f t="shared" si="56"/>
        <v>234</v>
      </c>
      <c r="S865" s="17">
        <f t="shared" si="57"/>
        <v>1575</v>
      </c>
      <c r="T865" s="19" t="s">
        <v>42</v>
      </c>
      <c r="U865" s="17" t="s">
        <v>362</v>
      </c>
      <c r="V865" s="64">
        <v>44600</v>
      </c>
      <c r="W865" s="17" t="s">
        <v>69</v>
      </c>
      <c r="Y865" s="68">
        <v>44621</v>
      </c>
      <c r="Z865" s="17" t="s">
        <v>191</v>
      </c>
      <c r="AA865" s="17" t="s">
        <v>46</v>
      </c>
      <c r="AB865" s="17" t="s">
        <v>367</v>
      </c>
      <c r="AC865" s="66">
        <v>44650</v>
      </c>
      <c r="AD865" s="65">
        <v>1285</v>
      </c>
      <c r="AE865" s="17" t="s">
        <v>129</v>
      </c>
      <c r="AF865" s="17" t="s">
        <v>364</v>
      </c>
      <c r="AH865" s="17" t="s">
        <v>365</v>
      </c>
      <c r="AI865" s="95">
        <f t="shared" si="58"/>
        <v>137.327</v>
      </c>
    </row>
    <row r="866" s="17" customFormat="1" hidden="1" spans="1:35">
      <c r="A866" s="17" t="s">
        <v>34</v>
      </c>
      <c r="B866" s="19">
        <v>770</v>
      </c>
      <c r="C866" s="64">
        <v>44590</v>
      </c>
      <c r="D866" s="17" t="s">
        <v>52</v>
      </c>
      <c r="E866" s="17" t="s">
        <v>187</v>
      </c>
      <c r="F866" s="17" t="s">
        <v>54</v>
      </c>
      <c r="H866" s="65">
        <v>1.2738</v>
      </c>
      <c r="I866" s="65"/>
      <c r="J866" s="17" t="s">
        <v>82</v>
      </c>
      <c r="K866" s="19">
        <v>380</v>
      </c>
      <c r="L866" s="19">
        <v>80</v>
      </c>
      <c r="M866" s="17" t="s">
        <v>361</v>
      </c>
      <c r="N866" s="17" t="s">
        <v>66</v>
      </c>
      <c r="O866" s="19" t="s">
        <v>141</v>
      </c>
      <c r="P866" s="19">
        <v>200</v>
      </c>
      <c r="Q866" s="17">
        <v>500</v>
      </c>
      <c r="R866" s="17">
        <f t="shared" si="56"/>
        <v>-300</v>
      </c>
      <c r="S866" s="17">
        <f t="shared" si="57"/>
        <v>1575</v>
      </c>
      <c r="T866" s="19" t="s">
        <v>42</v>
      </c>
      <c r="U866" s="17" t="s">
        <v>362</v>
      </c>
      <c r="V866" s="64">
        <v>44600</v>
      </c>
      <c r="W866" s="17" t="s">
        <v>69</v>
      </c>
      <c r="Y866" s="68">
        <v>44621</v>
      </c>
      <c r="Z866" s="17" t="s">
        <v>191</v>
      </c>
      <c r="AA866" s="17" t="s">
        <v>46</v>
      </c>
      <c r="AB866" s="17" t="s">
        <v>367</v>
      </c>
      <c r="AC866" s="66">
        <v>44650</v>
      </c>
      <c r="AD866" s="65">
        <v>1285</v>
      </c>
      <c r="AE866" s="17" t="s">
        <v>129</v>
      </c>
      <c r="AF866" s="17" t="s">
        <v>364</v>
      </c>
      <c r="AH866" s="17" t="s">
        <v>365</v>
      </c>
      <c r="AI866" s="95">
        <f t="shared" si="58"/>
        <v>137.327</v>
      </c>
    </row>
    <row r="867" s="17" customFormat="1" hidden="1" spans="1:35">
      <c r="A867" s="17" t="s">
        <v>34</v>
      </c>
      <c r="B867" s="19">
        <v>770</v>
      </c>
      <c r="C867" s="64">
        <v>44590</v>
      </c>
      <c r="D867" s="17" t="s">
        <v>52</v>
      </c>
      <c r="E867" s="17" t="s">
        <v>187</v>
      </c>
      <c r="F867" s="17" t="s">
        <v>54</v>
      </c>
      <c r="H867" s="65">
        <v>1.2738</v>
      </c>
      <c r="I867" s="65"/>
      <c r="J867" s="17" t="s">
        <v>82</v>
      </c>
      <c r="K867" s="19">
        <v>405</v>
      </c>
      <c r="L867" s="19">
        <v>80</v>
      </c>
      <c r="M867" s="17" t="s">
        <v>361</v>
      </c>
      <c r="N867" s="17" t="s">
        <v>66</v>
      </c>
      <c r="O867" s="19" t="s">
        <v>141</v>
      </c>
      <c r="P867" s="19">
        <v>1000</v>
      </c>
      <c r="Q867" s="17">
        <v>1066</v>
      </c>
      <c r="R867" s="17">
        <f t="shared" si="56"/>
        <v>-66</v>
      </c>
      <c r="S867" s="17">
        <f t="shared" si="57"/>
        <v>1575</v>
      </c>
      <c r="T867" s="19" t="s">
        <v>42</v>
      </c>
      <c r="U867" s="17" t="s">
        <v>362</v>
      </c>
      <c r="V867" s="64">
        <v>44600</v>
      </c>
      <c r="W867" s="17" t="s">
        <v>69</v>
      </c>
      <c r="Y867" s="68">
        <v>44621</v>
      </c>
      <c r="Z867" s="17" t="s">
        <v>191</v>
      </c>
      <c r="AA867" s="17" t="s">
        <v>46</v>
      </c>
      <c r="AB867" s="17" t="s">
        <v>367</v>
      </c>
      <c r="AC867" s="66">
        <v>44650</v>
      </c>
      <c r="AD867" s="65">
        <v>1285</v>
      </c>
      <c r="AE867" s="17" t="s">
        <v>129</v>
      </c>
      <c r="AF867" s="17" t="s">
        <v>364</v>
      </c>
      <c r="AH867" s="17" t="s">
        <v>365</v>
      </c>
      <c r="AI867" s="95">
        <f t="shared" si="58"/>
        <v>137.327</v>
      </c>
    </row>
    <row r="868" s="17" customFormat="1" hidden="1" spans="1:35">
      <c r="A868" s="17" t="s">
        <v>34</v>
      </c>
      <c r="B868" s="19">
        <v>770</v>
      </c>
      <c r="C868" s="64">
        <v>44590</v>
      </c>
      <c r="D868" s="17" t="s">
        <v>52</v>
      </c>
      <c r="E868" s="17" t="s">
        <v>187</v>
      </c>
      <c r="F868" s="17" t="s">
        <v>54</v>
      </c>
      <c r="H868" s="65">
        <v>1.2738</v>
      </c>
      <c r="I868" s="65"/>
      <c r="J868" s="17" t="s">
        <v>82</v>
      </c>
      <c r="K868" s="19">
        <v>455</v>
      </c>
      <c r="L868" s="19">
        <v>80</v>
      </c>
      <c r="M868" s="17" t="s">
        <v>361</v>
      </c>
      <c r="N868" s="17" t="s">
        <v>66</v>
      </c>
      <c r="O868" s="19" t="s">
        <v>141</v>
      </c>
      <c r="P868" s="19">
        <v>700</v>
      </c>
      <c r="Q868" s="17">
        <v>597</v>
      </c>
      <c r="R868" s="17">
        <f t="shared" si="56"/>
        <v>103</v>
      </c>
      <c r="S868" s="17">
        <f t="shared" si="57"/>
        <v>1575</v>
      </c>
      <c r="T868" s="19" t="s">
        <v>42</v>
      </c>
      <c r="U868" s="17" t="s">
        <v>362</v>
      </c>
      <c r="V868" s="64">
        <v>44600</v>
      </c>
      <c r="W868" s="17" t="s">
        <v>69</v>
      </c>
      <c r="Y868" s="68">
        <v>44621</v>
      </c>
      <c r="Z868" s="17" t="s">
        <v>191</v>
      </c>
      <c r="AA868" s="17" t="s">
        <v>46</v>
      </c>
      <c r="AB868" s="17" t="s">
        <v>367</v>
      </c>
      <c r="AC868" s="66">
        <v>44650</v>
      </c>
      <c r="AD868" s="65">
        <v>1285</v>
      </c>
      <c r="AE868" s="17" t="s">
        <v>129</v>
      </c>
      <c r="AF868" s="17" t="s">
        <v>364</v>
      </c>
      <c r="AH868" s="17" t="s">
        <v>365</v>
      </c>
      <c r="AI868" s="95">
        <f t="shared" si="58"/>
        <v>137.327</v>
      </c>
    </row>
    <row r="869" s="17" customFormat="1" hidden="1" spans="1:35">
      <c r="A869" s="17" t="s">
        <v>34</v>
      </c>
      <c r="B869" s="19">
        <v>770</v>
      </c>
      <c r="C869" s="64">
        <v>44590</v>
      </c>
      <c r="D869" s="17" t="s">
        <v>52</v>
      </c>
      <c r="E869" s="17" t="s">
        <v>187</v>
      </c>
      <c r="F869" s="17" t="s">
        <v>54</v>
      </c>
      <c r="H869" s="65">
        <v>1.2738</v>
      </c>
      <c r="I869" s="65"/>
      <c r="J869" s="17" t="s">
        <v>82</v>
      </c>
      <c r="K869" s="19">
        <v>505</v>
      </c>
      <c r="L869" s="19">
        <v>80</v>
      </c>
      <c r="M869" s="17" t="s">
        <v>361</v>
      </c>
      <c r="N869" s="17" t="s">
        <v>66</v>
      </c>
      <c r="O869" s="19" t="s">
        <v>141</v>
      </c>
      <c r="P869" s="19">
        <v>500</v>
      </c>
      <c r="Q869" s="17">
        <v>668</v>
      </c>
      <c r="R869" s="17">
        <f t="shared" si="56"/>
        <v>-168</v>
      </c>
      <c r="S869" s="17">
        <f t="shared" si="57"/>
        <v>1575</v>
      </c>
      <c r="T869" s="19" t="s">
        <v>42</v>
      </c>
      <c r="U869" s="17" t="s">
        <v>362</v>
      </c>
      <c r="V869" s="64">
        <v>44600</v>
      </c>
      <c r="W869" s="17" t="s">
        <v>69</v>
      </c>
      <c r="Y869" s="68">
        <v>44621</v>
      </c>
      <c r="Z869" s="17" t="s">
        <v>191</v>
      </c>
      <c r="AA869" s="17" t="s">
        <v>46</v>
      </c>
      <c r="AB869" s="17" t="s">
        <v>367</v>
      </c>
      <c r="AC869" s="66">
        <v>44650</v>
      </c>
      <c r="AD869" s="65">
        <v>1285</v>
      </c>
      <c r="AE869" s="17" t="s">
        <v>129</v>
      </c>
      <c r="AF869" s="17" t="s">
        <v>364</v>
      </c>
      <c r="AH869" s="17" t="s">
        <v>365</v>
      </c>
      <c r="AI869" s="95">
        <f t="shared" si="58"/>
        <v>137.327</v>
      </c>
    </row>
    <row r="870" s="17" customFormat="1" hidden="1" spans="1:35">
      <c r="A870" s="17" t="s">
        <v>34</v>
      </c>
      <c r="B870" s="19">
        <v>770</v>
      </c>
      <c r="C870" s="64">
        <v>44590</v>
      </c>
      <c r="D870" s="17" t="s">
        <v>52</v>
      </c>
      <c r="E870" s="17" t="s">
        <v>187</v>
      </c>
      <c r="F870" s="17" t="s">
        <v>54</v>
      </c>
      <c r="H870" s="65">
        <v>1.2738</v>
      </c>
      <c r="I870" s="65"/>
      <c r="J870" s="17" t="s">
        <v>82</v>
      </c>
      <c r="K870" s="19">
        <v>510</v>
      </c>
      <c r="L870" s="19">
        <v>80</v>
      </c>
      <c r="M870" s="17" t="s">
        <v>361</v>
      </c>
      <c r="N870" s="17" t="s">
        <v>66</v>
      </c>
      <c r="O870" s="19" t="s">
        <v>141</v>
      </c>
      <c r="P870" s="19">
        <v>500</v>
      </c>
      <c r="Q870" s="17">
        <v>668</v>
      </c>
      <c r="R870" s="17">
        <f t="shared" si="56"/>
        <v>-168</v>
      </c>
      <c r="S870" s="17">
        <f t="shared" si="57"/>
        <v>1575</v>
      </c>
      <c r="T870" s="19" t="s">
        <v>42</v>
      </c>
      <c r="U870" s="17" t="s">
        <v>362</v>
      </c>
      <c r="V870" s="64">
        <v>44600</v>
      </c>
      <c r="W870" s="17" t="s">
        <v>69</v>
      </c>
      <c r="Y870" s="68">
        <v>44621</v>
      </c>
      <c r="Z870" s="17" t="s">
        <v>191</v>
      </c>
      <c r="AA870" s="17" t="s">
        <v>46</v>
      </c>
      <c r="AB870" s="17" t="s">
        <v>367</v>
      </c>
      <c r="AC870" s="66">
        <v>44650</v>
      </c>
      <c r="AD870" s="65">
        <v>1285</v>
      </c>
      <c r="AE870" s="17" t="s">
        <v>129</v>
      </c>
      <c r="AF870" s="17" t="s">
        <v>364</v>
      </c>
      <c r="AH870" s="17" t="s">
        <v>365</v>
      </c>
      <c r="AI870" s="95">
        <f t="shared" si="58"/>
        <v>137.327</v>
      </c>
    </row>
    <row r="871" s="17" customFormat="1" hidden="1" spans="1:35">
      <c r="A871" s="17" t="s">
        <v>34</v>
      </c>
      <c r="B871" s="19">
        <v>770</v>
      </c>
      <c r="C871" s="64">
        <v>44590</v>
      </c>
      <c r="D871" s="17" t="s">
        <v>52</v>
      </c>
      <c r="E871" s="17" t="s">
        <v>187</v>
      </c>
      <c r="F871" s="17" t="s">
        <v>54</v>
      </c>
      <c r="H871" s="65">
        <v>1.2738</v>
      </c>
      <c r="I871" s="65"/>
      <c r="J871" s="17" t="s">
        <v>82</v>
      </c>
      <c r="K871" s="19">
        <v>610</v>
      </c>
      <c r="L871" s="19">
        <v>90</v>
      </c>
      <c r="M871" s="17" t="s">
        <v>361</v>
      </c>
      <c r="N871" s="17" t="s">
        <v>66</v>
      </c>
      <c r="O871" s="19" t="s">
        <v>141</v>
      </c>
      <c r="P871" s="19">
        <v>1000</v>
      </c>
      <c r="Q871" s="17">
        <v>974</v>
      </c>
      <c r="R871" s="17">
        <f t="shared" si="56"/>
        <v>26</v>
      </c>
      <c r="S871" s="17">
        <f t="shared" si="57"/>
        <v>1575</v>
      </c>
      <c r="T871" s="19" t="s">
        <v>42</v>
      </c>
      <c r="U871" s="17" t="s">
        <v>362</v>
      </c>
      <c r="V871" s="64">
        <v>44600</v>
      </c>
      <c r="W871" s="17" t="s">
        <v>69</v>
      </c>
      <c r="Y871" s="68">
        <v>44621</v>
      </c>
      <c r="Z871" s="17" t="s">
        <v>191</v>
      </c>
      <c r="AA871" s="17" t="s">
        <v>46</v>
      </c>
      <c r="AB871" s="17" t="s">
        <v>367</v>
      </c>
      <c r="AC871" s="66">
        <v>44650</v>
      </c>
      <c r="AD871" s="65">
        <v>1285</v>
      </c>
      <c r="AE871" s="17" t="s">
        <v>129</v>
      </c>
      <c r="AF871" s="17" t="s">
        <v>364</v>
      </c>
      <c r="AH871" s="17" t="s">
        <v>365</v>
      </c>
      <c r="AI871" s="95">
        <f t="shared" si="58"/>
        <v>137.327</v>
      </c>
    </row>
    <row r="872" s="17" customFormat="1" hidden="1" spans="1:35">
      <c r="A872" s="17" t="s">
        <v>34</v>
      </c>
      <c r="B872" s="19">
        <v>770</v>
      </c>
      <c r="C872" s="64">
        <v>44590</v>
      </c>
      <c r="D872" s="17" t="s">
        <v>52</v>
      </c>
      <c r="E872" s="17" t="s">
        <v>187</v>
      </c>
      <c r="F872" s="17" t="s">
        <v>54</v>
      </c>
      <c r="H872" s="65">
        <v>1.2738</v>
      </c>
      <c r="I872" s="65"/>
      <c r="J872" s="17" t="s">
        <v>82</v>
      </c>
      <c r="K872" s="19">
        <v>610</v>
      </c>
      <c r="L872" s="19">
        <v>100</v>
      </c>
      <c r="M872" s="17" t="s">
        <v>361</v>
      </c>
      <c r="N872" s="17" t="s">
        <v>66</v>
      </c>
      <c r="O872" s="19" t="s">
        <v>141</v>
      </c>
      <c r="P872" s="19">
        <v>1000</v>
      </c>
      <c r="Q872" s="17">
        <v>1144</v>
      </c>
      <c r="R872" s="17">
        <f t="shared" si="56"/>
        <v>-144</v>
      </c>
      <c r="S872" s="17">
        <f t="shared" si="57"/>
        <v>1575</v>
      </c>
      <c r="T872" s="19" t="s">
        <v>42</v>
      </c>
      <c r="U872" s="17" t="s">
        <v>362</v>
      </c>
      <c r="V872" s="64">
        <v>44600</v>
      </c>
      <c r="W872" s="17" t="s">
        <v>69</v>
      </c>
      <c r="Y872" s="68">
        <v>44621</v>
      </c>
      <c r="Z872" s="17" t="s">
        <v>191</v>
      </c>
      <c r="AA872" s="17" t="s">
        <v>46</v>
      </c>
      <c r="AB872" s="17" t="s">
        <v>367</v>
      </c>
      <c r="AC872" s="66">
        <v>44650</v>
      </c>
      <c r="AD872" s="65">
        <v>1285</v>
      </c>
      <c r="AE872" s="17" t="s">
        <v>129</v>
      </c>
      <c r="AF872" s="17" t="s">
        <v>364</v>
      </c>
      <c r="AH872" s="17" t="s">
        <v>365</v>
      </c>
      <c r="AI872" s="95">
        <f t="shared" si="58"/>
        <v>137.327</v>
      </c>
    </row>
    <row r="873" s="17" customFormat="1" hidden="1" spans="1:35">
      <c r="A873" s="17" t="s">
        <v>34</v>
      </c>
      <c r="B873" s="19">
        <v>770</v>
      </c>
      <c r="C873" s="64">
        <v>44590</v>
      </c>
      <c r="D873" s="17" t="s">
        <v>52</v>
      </c>
      <c r="E873" s="17" t="s">
        <v>187</v>
      </c>
      <c r="F873" s="17" t="s">
        <v>54</v>
      </c>
      <c r="H873" s="65">
        <v>1.2738</v>
      </c>
      <c r="I873" s="65"/>
      <c r="J873" s="17" t="s">
        <v>82</v>
      </c>
      <c r="K873" s="19">
        <v>205</v>
      </c>
      <c r="L873" s="19">
        <v>105</v>
      </c>
      <c r="M873" s="17" t="s">
        <v>361</v>
      </c>
      <c r="N873" s="17" t="s">
        <v>66</v>
      </c>
      <c r="O873" s="19" t="s">
        <v>141</v>
      </c>
      <c r="P873" s="19">
        <v>700</v>
      </c>
      <c r="Q873" s="17">
        <v>744</v>
      </c>
      <c r="R873" s="17">
        <f t="shared" si="56"/>
        <v>-44</v>
      </c>
      <c r="S873" s="17">
        <f t="shared" si="57"/>
        <v>1575</v>
      </c>
      <c r="T873" s="19" t="s">
        <v>42</v>
      </c>
      <c r="U873" s="17" t="s">
        <v>362</v>
      </c>
      <c r="V873" s="64">
        <v>44600</v>
      </c>
      <c r="W873" s="17" t="s">
        <v>69</v>
      </c>
      <c r="Y873" s="68">
        <v>44621</v>
      </c>
      <c r="Z873" s="17" t="s">
        <v>191</v>
      </c>
      <c r="AA873" s="17" t="s">
        <v>46</v>
      </c>
      <c r="AB873" s="17" t="s">
        <v>367</v>
      </c>
      <c r="AC873" s="66">
        <v>44650</v>
      </c>
      <c r="AD873" s="65">
        <v>1285</v>
      </c>
      <c r="AE873" s="17" t="s">
        <v>129</v>
      </c>
      <c r="AF873" s="17" t="s">
        <v>364</v>
      </c>
      <c r="AH873" s="17" t="s">
        <v>365</v>
      </c>
      <c r="AI873" s="95">
        <f t="shared" si="58"/>
        <v>137.327</v>
      </c>
    </row>
    <row r="874" s="17" customFormat="1" hidden="1" spans="1:35">
      <c r="A874" s="17" t="s">
        <v>34</v>
      </c>
      <c r="B874" s="19">
        <v>770</v>
      </c>
      <c r="C874" s="64">
        <v>44590</v>
      </c>
      <c r="D874" s="17" t="s">
        <v>52</v>
      </c>
      <c r="E874" s="17" t="s">
        <v>187</v>
      </c>
      <c r="F874" s="17" t="s">
        <v>54</v>
      </c>
      <c r="H874" s="65">
        <v>1.2738</v>
      </c>
      <c r="I874" s="65"/>
      <c r="J874" s="17" t="s">
        <v>82</v>
      </c>
      <c r="K874" s="19">
        <v>255</v>
      </c>
      <c r="L874" s="19">
        <v>105</v>
      </c>
      <c r="M874" s="17" t="s">
        <v>361</v>
      </c>
      <c r="N874" s="17" t="s">
        <v>66</v>
      </c>
      <c r="O874" s="19" t="s">
        <v>141</v>
      </c>
      <c r="P874" s="19">
        <v>700</v>
      </c>
      <c r="Q874" s="17">
        <v>914</v>
      </c>
      <c r="R874" s="17">
        <f t="shared" si="56"/>
        <v>-214</v>
      </c>
      <c r="S874" s="17">
        <f t="shared" si="57"/>
        <v>1575</v>
      </c>
      <c r="T874" s="19" t="s">
        <v>42</v>
      </c>
      <c r="U874" s="17" t="s">
        <v>362</v>
      </c>
      <c r="V874" s="64">
        <v>44600</v>
      </c>
      <c r="W874" s="17" t="s">
        <v>69</v>
      </c>
      <c r="Y874" s="68">
        <v>44621</v>
      </c>
      <c r="Z874" s="17" t="s">
        <v>191</v>
      </c>
      <c r="AA874" s="17" t="s">
        <v>46</v>
      </c>
      <c r="AB874" s="17" t="s">
        <v>367</v>
      </c>
      <c r="AC874" s="66">
        <v>44650</v>
      </c>
      <c r="AD874" s="65">
        <v>1285</v>
      </c>
      <c r="AE874" s="17" t="s">
        <v>129</v>
      </c>
      <c r="AF874" s="17" t="s">
        <v>364</v>
      </c>
      <c r="AH874" s="17" t="s">
        <v>365</v>
      </c>
      <c r="AI874" s="95">
        <f t="shared" si="58"/>
        <v>137.327</v>
      </c>
    </row>
    <row r="875" s="17" customFormat="1" hidden="1" spans="1:35">
      <c r="A875" s="17" t="s">
        <v>34</v>
      </c>
      <c r="B875" s="19">
        <v>770</v>
      </c>
      <c r="C875" s="64">
        <v>44590</v>
      </c>
      <c r="D875" s="17" t="s">
        <v>52</v>
      </c>
      <c r="E875" s="17" t="s">
        <v>187</v>
      </c>
      <c r="F875" s="17" t="s">
        <v>54</v>
      </c>
      <c r="H875" s="65">
        <v>1.2738</v>
      </c>
      <c r="I875" s="65"/>
      <c r="J875" s="17" t="s">
        <v>82</v>
      </c>
      <c r="K875" s="19">
        <v>305</v>
      </c>
      <c r="L875" s="19">
        <v>105</v>
      </c>
      <c r="M875" s="17" t="s">
        <v>361</v>
      </c>
      <c r="N875" s="17" t="s">
        <v>66</v>
      </c>
      <c r="O875" s="19" t="s">
        <v>141</v>
      </c>
      <c r="P875" s="19">
        <v>1000</v>
      </c>
      <c r="Q875" s="17">
        <v>1098</v>
      </c>
      <c r="R875" s="17">
        <f t="shared" si="56"/>
        <v>-98</v>
      </c>
      <c r="S875" s="17">
        <f t="shared" si="57"/>
        <v>1575</v>
      </c>
      <c r="T875" s="19" t="s">
        <v>42</v>
      </c>
      <c r="U875" s="17" t="s">
        <v>362</v>
      </c>
      <c r="V875" s="64">
        <v>44600</v>
      </c>
      <c r="W875" s="17" t="s">
        <v>69</v>
      </c>
      <c r="Y875" s="68">
        <v>44621</v>
      </c>
      <c r="Z875" s="17" t="s">
        <v>191</v>
      </c>
      <c r="AA875" s="17" t="s">
        <v>46</v>
      </c>
      <c r="AB875" s="17" t="s">
        <v>367</v>
      </c>
      <c r="AC875" s="66">
        <v>44650</v>
      </c>
      <c r="AD875" s="65">
        <v>1285</v>
      </c>
      <c r="AE875" s="17" t="s">
        <v>129</v>
      </c>
      <c r="AF875" s="17" t="s">
        <v>364</v>
      </c>
      <c r="AH875" s="17" t="s">
        <v>365</v>
      </c>
      <c r="AI875" s="95">
        <f t="shared" si="58"/>
        <v>137.327</v>
      </c>
    </row>
    <row r="876" s="17" customFormat="1" hidden="1" spans="1:35">
      <c r="A876" s="17" t="s">
        <v>34</v>
      </c>
      <c r="B876" s="19">
        <v>770</v>
      </c>
      <c r="C876" s="64">
        <v>44590</v>
      </c>
      <c r="D876" s="17" t="s">
        <v>52</v>
      </c>
      <c r="E876" s="17" t="s">
        <v>187</v>
      </c>
      <c r="F876" s="17" t="s">
        <v>54</v>
      </c>
      <c r="H876" s="65">
        <v>1.2738</v>
      </c>
      <c r="I876" s="65"/>
      <c r="J876" s="17" t="s">
        <v>82</v>
      </c>
      <c r="K876" s="19">
        <v>330</v>
      </c>
      <c r="L876" s="19">
        <v>105</v>
      </c>
      <c r="M876" s="17" t="s">
        <v>361</v>
      </c>
      <c r="N876" s="17" t="s">
        <v>66</v>
      </c>
      <c r="O876" s="19" t="s">
        <v>141</v>
      </c>
      <c r="P876" s="19">
        <v>200</v>
      </c>
      <c r="Q876" s="17">
        <v>590</v>
      </c>
      <c r="R876" s="17">
        <f t="shared" si="56"/>
        <v>-390</v>
      </c>
      <c r="S876" s="17">
        <f t="shared" si="57"/>
        <v>1575</v>
      </c>
      <c r="T876" s="19" t="s">
        <v>42</v>
      </c>
      <c r="U876" s="17" t="s">
        <v>362</v>
      </c>
      <c r="V876" s="64">
        <v>44600</v>
      </c>
      <c r="W876" s="17" t="s">
        <v>69</v>
      </c>
      <c r="Y876" s="68">
        <v>44621</v>
      </c>
      <c r="Z876" s="17" t="s">
        <v>191</v>
      </c>
      <c r="AA876" s="17" t="s">
        <v>46</v>
      </c>
      <c r="AB876" s="17" t="s">
        <v>367</v>
      </c>
      <c r="AC876" s="66">
        <v>44650</v>
      </c>
      <c r="AD876" s="65">
        <v>1285</v>
      </c>
      <c r="AE876" s="17" t="s">
        <v>129</v>
      </c>
      <c r="AF876" s="17" t="s">
        <v>364</v>
      </c>
      <c r="AH876" s="17" t="s">
        <v>365</v>
      </c>
      <c r="AI876" s="95">
        <f t="shared" si="58"/>
        <v>137.327</v>
      </c>
    </row>
    <row r="877" s="17" customFormat="1" hidden="1" spans="1:35">
      <c r="A877" s="17" t="s">
        <v>34</v>
      </c>
      <c r="B877" s="19">
        <v>770</v>
      </c>
      <c r="C877" s="64">
        <v>44590</v>
      </c>
      <c r="D877" s="17" t="s">
        <v>52</v>
      </c>
      <c r="E877" s="17" t="s">
        <v>187</v>
      </c>
      <c r="F877" s="17" t="s">
        <v>54</v>
      </c>
      <c r="H877" s="65">
        <v>1.2738</v>
      </c>
      <c r="I877" s="65"/>
      <c r="J877" s="17" t="s">
        <v>82</v>
      </c>
      <c r="K877" s="19">
        <v>355</v>
      </c>
      <c r="L877" s="19">
        <v>105</v>
      </c>
      <c r="M877" s="17" t="s">
        <v>361</v>
      </c>
      <c r="N877" s="17" t="s">
        <v>66</v>
      </c>
      <c r="O877" s="19" t="s">
        <v>141</v>
      </c>
      <c r="P877" s="19">
        <v>700</v>
      </c>
      <c r="Q877" s="17">
        <v>636</v>
      </c>
      <c r="R877" s="17">
        <f t="shared" si="56"/>
        <v>64</v>
      </c>
      <c r="S877" s="17">
        <f t="shared" si="57"/>
        <v>1575</v>
      </c>
      <c r="T877" s="19" t="s">
        <v>42</v>
      </c>
      <c r="U877" s="17" t="s">
        <v>362</v>
      </c>
      <c r="V877" s="64">
        <v>44600</v>
      </c>
      <c r="W877" s="17" t="s">
        <v>69</v>
      </c>
      <c r="Y877" s="68">
        <v>44621</v>
      </c>
      <c r="Z877" s="17" t="s">
        <v>191</v>
      </c>
      <c r="AA877" s="17" t="s">
        <v>46</v>
      </c>
      <c r="AB877" s="17" t="s">
        <v>367</v>
      </c>
      <c r="AC877" s="66">
        <v>44650</v>
      </c>
      <c r="AD877" s="65">
        <v>1285</v>
      </c>
      <c r="AE877" s="17" t="s">
        <v>129</v>
      </c>
      <c r="AF877" s="17" t="s">
        <v>364</v>
      </c>
      <c r="AH877" s="17" t="s">
        <v>365</v>
      </c>
      <c r="AI877" s="95">
        <f t="shared" si="58"/>
        <v>137.327</v>
      </c>
    </row>
    <row r="878" s="17" customFormat="1" hidden="1" spans="1:35">
      <c r="A878" s="17" t="s">
        <v>34</v>
      </c>
      <c r="B878" s="19">
        <v>770</v>
      </c>
      <c r="C878" s="64">
        <v>44590</v>
      </c>
      <c r="D878" s="17" t="s">
        <v>52</v>
      </c>
      <c r="E878" s="17" t="s">
        <v>187</v>
      </c>
      <c r="F878" s="17" t="s">
        <v>54</v>
      </c>
      <c r="H878" s="65">
        <v>1.2738</v>
      </c>
      <c r="I878" s="65"/>
      <c r="J878" s="17" t="s">
        <v>82</v>
      </c>
      <c r="K878" s="19">
        <v>380</v>
      </c>
      <c r="L878" s="19">
        <v>105</v>
      </c>
      <c r="M878" s="17" t="s">
        <v>361</v>
      </c>
      <c r="N878" s="17" t="s">
        <v>66</v>
      </c>
      <c r="O878" s="19" t="s">
        <v>141</v>
      </c>
      <c r="P878" s="19">
        <v>200</v>
      </c>
      <c r="Q878" s="17">
        <v>712</v>
      </c>
      <c r="R878" s="17">
        <f t="shared" si="56"/>
        <v>-512</v>
      </c>
      <c r="S878" s="17">
        <f t="shared" si="57"/>
        <v>1575</v>
      </c>
      <c r="T878" s="19" t="s">
        <v>42</v>
      </c>
      <c r="U878" s="17" t="s">
        <v>362</v>
      </c>
      <c r="V878" s="64">
        <v>44600</v>
      </c>
      <c r="W878" s="17" t="s">
        <v>69</v>
      </c>
      <c r="Y878" s="68">
        <v>44621</v>
      </c>
      <c r="Z878" s="17" t="s">
        <v>191</v>
      </c>
      <c r="AA878" s="17" t="s">
        <v>46</v>
      </c>
      <c r="AB878" s="17" t="s">
        <v>367</v>
      </c>
      <c r="AC878" s="66">
        <v>44650</v>
      </c>
      <c r="AD878" s="65">
        <v>1285</v>
      </c>
      <c r="AE878" s="17" t="s">
        <v>129</v>
      </c>
      <c r="AF878" s="17" t="s">
        <v>364</v>
      </c>
      <c r="AH878" s="17" t="s">
        <v>365</v>
      </c>
      <c r="AI878" s="95">
        <f t="shared" si="58"/>
        <v>137.327</v>
      </c>
    </row>
    <row r="879" s="17" customFormat="1" hidden="1" spans="1:35">
      <c r="A879" s="17" t="s">
        <v>34</v>
      </c>
      <c r="B879" s="19">
        <v>770</v>
      </c>
      <c r="C879" s="64">
        <v>44590</v>
      </c>
      <c r="D879" s="17" t="s">
        <v>52</v>
      </c>
      <c r="E879" s="17" t="s">
        <v>187</v>
      </c>
      <c r="F879" s="17" t="s">
        <v>54</v>
      </c>
      <c r="H879" s="65">
        <v>1.2738</v>
      </c>
      <c r="I879" s="65"/>
      <c r="J879" s="17" t="s">
        <v>82</v>
      </c>
      <c r="K879" s="19">
        <v>405</v>
      </c>
      <c r="L879" s="19">
        <v>105</v>
      </c>
      <c r="M879" s="17" t="s">
        <v>361</v>
      </c>
      <c r="N879" s="17" t="s">
        <v>66</v>
      </c>
      <c r="O879" s="19" t="s">
        <v>141</v>
      </c>
      <c r="P879" s="19">
        <v>800</v>
      </c>
      <c r="Q879" s="17">
        <v>758</v>
      </c>
      <c r="R879" s="17">
        <f t="shared" si="56"/>
        <v>42</v>
      </c>
      <c r="S879" s="17">
        <f t="shared" si="57"/>
        <v>1575</v>
      </c>
      <c r="T879" s="19" t="s">
        <v>42</v>
      </c>
      <c r="U879" s="17" t="s">
        <v>362</v>
      </c>
      <c r="V879" s="64">
        <v>44600</v>
      </c>
      <c r="W879" s="17" t="s">
        <v>69</v>
      </c>
      <c r="Y879" s="68">
        <v>44621</v>
      </c>
      <c r="Z879" s="17" t="s">
        <v>191</v>
      </c>
      <c r="AA879" s="17" t="s">
        <v>46</v>
      </c>
      <c r="AB879" s="17" t="s">
        <v>367</v>
      </c>
      <c r="AC879" s="66">
        <v>44650</v>
      </c>
      <c r="AD879" s="65">
        <v>1285</v>
      </c>
      <c r="AE879" s="17" t="s">
        <v>129</v>
      </c>
      <c r="AF879" s="17" t="s">
        <v>364</v>
      </c>
      <c r="AH879" s="17" t="s">
        <v>365</v>
      </c>
      <c r="AI879" s="95">
        <f t="shared" si="58"/>
        <v>137.327</v>
      </c>
    </row>
    <row r="880" s="17" customFormat="1" hidden="1" spans="1:35">
      <c r="A880" s="17" t="s">
        <v>34</v>
      </c>
      <c r="B880" s="19">
        <v>770</v>
      </c>
      <c r="C880" s="64">
        <v>44590</v>
      </c>
      <c r="D880" s="17" t="s">
        <v>52</v>
      </c>
      <c r="E880" s="17" t="s">
        <v>187</v>
      </c>
      <c r="F880" s="17" t="s">
        <v>54</v>
      </c>
      <c r="H880" s="65">
        <v>1.2738</v>
      </c>
      <c r="I880" s="65"/>
      <c r="J880" s="17" t="s">
        <v>82</v>
      </c>
      <c r="K880" s="19">
        <v>455</v>
      </c>
      <c r="L880" s="19">
        <v>105</v>
      </c>
      <c r="M880" s="17" t="s">
        <v>361</v>
      </c>
      <c r="N880" s="17" t="s">
        <v>66</v>
      </c>
      <c r="O880" s="19" t="s">
        <v>141</v>
      </c>
      <c r="P880" s="19">
        <v>700</v>
      </c>
      <c r="Q880" s="17">
        <v>853</v>
      </c>
      <c r="R880" s="17">
        <f t="shared" si="56"/>
        <v>-153</v>
      </c>
      <c r="S880" s="17">
        <f t="shared" si="57"/>
        <v>1575</v>
      </c>
      <c r="T880" s="19" t="s">
        <v>42</v>
      </c>
      <c r="U880" s="17" t="s">
        <v>362</v>
      </c>
      <c r="V880" s="64">
        <v>44600</v>
      </c>
      <c r="W880" s="17" t="s">
        <v>69</v>
      </c>
      <c r="Y880" s="68">
        <v>44621</v>
      </c>
      <c r="Z880" s="17" t="s">
        <v>191</v>
      </c>
      <c r="AA880" s="17" t="s">
        <v>46</v>
      </c>
      <c r="AB880" s="17" t="s">
        <v>367</v>
      </c>
      <c r="AC880" s="66">
        <v>44650</v>
      </c>
      <c r="AD880" s="65">
        <v>1285</v>
      </c>
      <c r="AE880" s="17" t="s">
        <v>129</v>
      </c>
      <c r="AF880" s="17" t="s">
        <v>364</v>
      </c>
      <c r="AH880" s="17" t="s">
        <v>365</v>
      </c>
      <c r="AI880" s="95">
        <f t="shared" si="58"/>
        <v>137.327</v>
      </c>
    </row>
    <row r="881" s="17" customFormat="1" hidden="1" spans="1:35">
      <c r="A881" s="17" t="s">
        <v>34</v>
      </c>
      <c r="B881" s="19">
        <v>770</v>
      </c>
      <c r="C881" s="64">
        <v>44590</v>
      </c>
      <c r="D881" s="17" t="s">
        <v>52</v>
      </c>
      <c r="E881" s="17" t="s">
        <v>187</v>
      </c>
      <c r="F881" s="17" t="s">
        <v>54</v>
      </c>
      <c r="H881" s="65">
        <v>1.2738</v>
      </c>
      <c r="I881" s="65"/>
      <c r="J881" s="17" t="s">
        <v>82</v>
      </c>
      <c r="K881" s="19">
        <v>505</v>
      </c>
      <c r="L881" s="19">
        <v>105</v>
      </c>
      <c r="M881" s="17" t="s">
        <v>361</v>
      </c>
      <c r="N881" s="17" t="s">
        <v>66</v>
      </c>
      <c r="O881" s="19" t="s">
        <v>141</v>
      </c>
      <c r="P881" s="19">
        <v>1000</v>
      </c>
      <c r="Q881" s="17">
        <v>946</v>
      </c>
      <c r="R881" s="17">
        <f t="shared" si="56"/>
        <v>54</v>
      </c>
      <c r="S881" s="17">
        <f t="shared" si="57"/>
        <v>1575</v>
      </c>
      <c r="T881" s="19" t="s">
        <v>42</v>
      </c>
      <c r="U881" s="17" t="s">
        <v>362</v>
      </c>
      <c r="V881" s="64">
        <v>44600</v>
      </c>
      <c r="W881" s="17" t="s">
        <v>69</v>
      </c>
      <c r="Y881" s="68">
        <v>44621</v>
      </c>
      <c r="Z881" s="17" t="s">
        <v>191</v>
      </c>
      <c r="AA881" s="17" t="s">
        <v>46</v>
      </c>
      <c r="AB881" s="17" t="s">
        <v>367</v>
      </c>
      <c r="AC881" s="66">
        <v>44650</v>
      </c>
      <c r="AD881" s="65">
        <v>1285</v>
      </c>
      <c r="AE881" s="17" t="s">
        <v>129</v>
      </c>
      <c r="AF881" s="17" t="s">
        <v>364</v>
      </c>
      <c r="AH881" s="17" t="s">
        <v>365</v>
      </c>
      <c r="AI881" s="95">
        <f t="shared" si="58"/>
        <v>137.327</v>
      </c>
    </row>
    <row r="882" s="17" customFormat="1" hidden="1" spans="1:35">
      <c r="A882" s="17" t="s">
        <v>34</v>
      </c>
      <c r="B882" s="19">
        <v>770</v>
      </c>
      <c r="C882" s="64">
        <v>44590</v>
      </c>
      <c r="D882" s="17" t="s">
        <v>52</v>
      </c>
      <c r="E882" s="17" t="s">
        <v>187</v>
      </c>
      <c r="F882" s="17" t="s">
        <v>54</v>
      </c>
      <c r="H882" s="65">
        <v>1.2738</v>
      </c>
      <c r="I882" s="65"/>
      <c r="J882" s="17" t="s">
        <v>82</v>
      </c>
      <c r="K882" s="19">
        <v>610</v>
      </c>
      <c r="L882" s="19">
        <v>105</v>
      </c>
      <c r="M882" s="17" t="s">
        <v>361</v>
      </c>
      <c r="N882" s="17" t="s">
        <v>66</v>
      </c>
      <c r="O882" s="19" t="s">
        <v>141</v>
      </c>
      <c r="P882" s="19">
        <v>500</v>
      </c>
      <c r="Q882" s="17">
        <f>1068</f>
        <v>1068</v>
      </c>
      <c r="R882" s="17">
        <f t="shared" si="56"/>
        <v>-568</v>
      </c>
      <c r="S882" s="17">
        <f t="shared" si="57"/>
        <v>1575</v>
      </c>
      <c r="T882" s="19" t="s">
        <v>42</v>
      </c>
      <c r="U882" s="17" t="s">
        <v>362</v>
      </c>
      <c r="V882" s="64">
        <v>44600</v>
      </c>
      <c r="W882" s="17" t="s">
        <v>69</v>
      </c>
      <c r="Y882" s="68">
        <v>44621</v>
      </c>
      <c r="Z882" s="17" t="s">
        <v>191</v>
      </c>
      <c r="AA882" s="17" t="s">
        <v>46</v>
      </c>
      <c r="AB882" s="17" t="s">
        <v>367</v>
      </c>
      <c r="AC882" s="66">
        <v>44650</v>
      </c>
      <c r="AD882" s="65">
        <v>1285</v>
      </c>
      <c r="AE882" s="17" t="s">
        <v>129</v>
      </c>
      <c r="AF882" s="17" t="s">
        <v>364</v>
      </c>
      <c r="AH882" s="17" t="s">
        <v>365</v>
      </c>
      <c r="AI882" s="95">
        <f t="shared" si="58"/>
        <v>137.327</v>
      </c>
    </row>
    <row r="883" s="17" customFormat="1" hidden="1" spans="1:35">
      <c r="A883" s="17" t="s">
        <v>34</v>
      </c>
      <c r="B883" s="19">
        <v>771</v>
      </c>
      <c r="C883" s="101">
        <v>44590</v>
      </c>
      <c r="D883" s="17" t="s">
        <v>300</v>
      </c>
      <c r="E883" s="17" t="s">
        <v>301</v>
      </c>
      <c r="F883" s="17" t="s">
        <v>300</v>
      </c>
      <c r="H883" s="124">
        <v>1.208</v>
      </c>
      <c r="I883" s="124"/>
      <c r="J883" s="17" t="s">
        <v>39</v>
      </c>
      <c r="K883" s="17">
        <v>172</v>
      </c>
      <c r="L883" s="91"/>
      <c r="M883" s="19">
        <v>3000</v>
      </c>
      <c r="N883" s="19" t="s">
        <v>40</v>
      </c>
      <c r="O883" s="19" t="s">
        <v>84</v>
      </c>
      <c r="P883" s="65">
        <v>3000</v>
      </c>
      <c r="Q883" s="17">
        <v>3052</v>
      </c>
      <c r="R883" s="17">
        <f t="shared" si="56"/>
        <v>-52</v>
      </c>
      <c r="S883" s="17">
        <v>2500</v>
      </c>
      <c r="T883" s="19" t="s">
        <v>42</v>
      </c>
      <c r="U883" s="102">
        <v>2021006684</v>
      </c>
      <c r="V883" s="64">
        <v>44550</v>
      </c>
      <c r="W883" s="17" t="s">
        <v>44</v>
      </c>
      <c r="Y883" s="68">
        <v>44652</v>
      </c>
      <c r="Z883" s="17" t="s">
        <v>302</v>
      </c>
      <c r="AA883" s="17" t="s">
        <v>46</v>
      </c>
      <c r="AB883" s="17" t="s">
        <v>303</v>
      </c>
      <c r="AC883" s="66">
        <v>44750</v>
      </c>
      <c r="AD883" s="65">
        <v>1324</v>
      </c>
      <c r="AE883" s="17" t="s">
        <v>48</v>
      </c>
    </row>
    <row r="884" s="17" customFormat="1" hidden="1" spans="1:35">
      <c r="A884" s="17" t="s">
        <v>34</v>
      </c>
      <c r="B884" s="19">
        <v>775</v>
      </c>
      <c r="C884" s="101">
        <v>44608</v>
      </c>
      <c r="D884" s="17" t="s">
        <v>35</v>
      </c>
      <c r="E884" s="17" t="s">
        <v>148</v>
      </c>
      <c r="F884" s="17" t="s">
        <v>37</v>
      </c>
      <c r="H884" s="19">
        <v>1.2344</v>
      </c>
      <c r="I884" s="19"/>
      <c r="J884" s="17" t="s">
        <v>39</v>
      </c>
      <c r="K884" s="17">
        <v>280</v>
      </c>
      <c r="L884" s="91"/>
      <c r="M884" s="19"/>
      <c r="N884" s="19" t="s">
        <v>40</v>
      </c>
      <c r="O884" s="19" t="s">
        <v>50</v>
      </c>
      <c r="P884" s="19">
        <v>6000</v>
      </c>
      <c r="Q884" s="17">
        <v>5330</v>
      </c>
      <c r="R884" s="17">
        <f t="shared" si="56"/>
        <v>670</v>
      </c>
      <c r="S884" s="17">
        <v>3670</v>
      </c>
      <c r="T884" s="19" t="s">
        <v>42</v>
      </c>
      <c r="U884" s="102" t="s">
        <v>368</v>
      </c>
      <c r="V884" s="110">
        <v>44608</v>
      </c>
      <c r="W884" s="17" t="s">
        <v>44</v>
      </c>
      <c r="Y884" s="68">
        <v>44743</v>
      </c>
      <c r="Z884" s="17" t="s">
        <v>250</v>
      </c>
      <c r="AA884" s="17" t="s">
        <v>369</v>
      </c>
      <c r="AB884" s="17" t="s">
        <v>370</v>
      </c>
      <c r="AC884" s="66" t="s">
        <v>371</v>
      </c>
      <c r="AD884" s="65">
        <v>1319</v>
      </c>
      <c r="AE884" s="17" t="s">
        <v>252</v>
      </c>
      <c r="AG884" s="17" t="s">
        <v>372</v>
      </c>
    </row>
    <row r="885" s="17" customFormat="1" hidden="1" spans="1:35">
      <c r="A885" s="17" t="s">
        <v>34</v>
      </c>
      <c r="B885" s="19">
        <v>775</v>
      </c>
      <c r="C885" s="101">
        <v>44608</v>
      </c>
      <c r="D885" s="17" t="s">
        <v>35</v>
      </c>
      <c r="E885" s="17" t="s">
        <v>148</v>
      </c>
      <c r="F885" s="17" t="s">
        <v>37</v>
      </c>
      <c r="H885" s="19">
        <v>1.2344</v>
      </c>
      <c r="I885" s="19"/>
      <c r="J885" s="17" t="s">
        <v>39</v>
      </c>
      <c r="K885" s="17">
        <v>322</v>
      </c>
      <c r="L885" s="91"/>
      <c r="M885" s="19"/>
      <c r="N885" s="19" t="s">
        <v>40</v>
      </c>
      <c r="O885" s="19" t="s">
        <v>50</v>
      </c>
      <c r="P885" s="19">
        <v>4000</v>
      </c>
      <c r="Q885" s="17">
        <v>3568</v>
      </c>
      <c r="R885" s="17">
        <f t="shared" ref="R885:R898" si="59">+P885-Q885</f>
        <v>432</v>
      </c>
      <c r="S885" s="17">
        <v>3670</v>
      </c>
      <c r="T885" s="19" t="s">
        <v>42</v>
      </c>
      <c r="U885" s="102" t="s">
        <v>368</v>
      </c>
      <c r="V885" s="110">
        <v>44608</v>
      </c>
      <c r="W885" s="17" t="s">
        <v>44</v>
      </c>
      <c r="Y885" s="68">
        <v>44743</v>
      </c>
      <c r="Z885" s="17" t="s">
        <v>250</v>
      </c>
      <c r="AA885" s="17" t="s">
        <v>369</v>
      </c>
      <c r="AB885" s="17" t="s">
        <v>370</v>
      </c>
      <c r="AC885" s="66" t="s">
        <v>371</v>
      </c>
      <c r="AD885" s="65">
        <v>1319</v>
      </c>
      <c r="AE885" s="17" t="s">
        <v>252</v>
      </c>
      <c r="AG885" s="17" t="s">
        <v>372</v>
      </c>
    </row>
    <row r="886" s="17" customFormat="1" hidden="1" spans="1:35">
      <c r="A886" s="17" t="s">
        <v>34</v>
      </c>
      <c r="B886" s="19">
        <v>775</v>
      </c>
      <c r="C886" s="101">
        <v>44608</v>
      </c>
      <c r="D886" s="17" t="s">
        <v>35</v>
      </c>
      <c r="E886" s="17" t="s">
        <v>148</v>
      </c>
      <c r="F886" s="17" t="s">
        <v>37</v>
      </c>
      <c r="H886" s="19">
        <v>1.2344</v>
      </c>
      <c r="I886" s="19"/>
      <c r="J886" s="17" t="s">
        <v>39</v>
      </c>
      <c r="K886" s="17">
        <v>402</v>
      </c>
      <c r="L886" s="91"/>
      <c r="M886" s="19"/>
      <c r="N886" s="19" t="s">
        <v>40</v>
      </c>
      <c r="O886" s="19" t="s">
        <v>50</v>
      </c>
      <c r="P886" s="19">
        <v>6000</v>
      </c>
      <c r="Q886" s="17">
        <v>6090</v>
      </c>
      <c r="R886" s="17">
        <f t="shared" si="59"/>
        <v>-90</v>
      </c>
      <c r="S886" s="17">
        <v>3670</v>
      </c>
      <c r="T886" s="19" t="s">
        <v>42</v>
      </c>
      <c r="U886" s="102" t="s">
        <v>368</v>
      </c>
      <c r="V886" s="110">
        <v>44608</v>
      </c>
      <c r="W886" s="17" t="s">
        <v>44</v>
      </c>
      <c r="Y886" s="68">
        <v>44743</v>
      </c>
      <c r="Z886" s="17" t="s">
        <v>250</v>
      </c>
      <c r="AA886" s="17" t="s">
        <v>369</v>
      </c>
      <c r="AB886" s="17" t="s">
        <v>370</v>
      </c>
      <c r="AC886" s="66" t="s">
        <v>371</v>
      </c>
      <c r="AD886" s="65">
        <v>1319</v>
      </c>
      <c r="AE886" s="17" t="s">
        <v>252</v>
      </c>
      <c r="AG886" s="17" t="s">
        <v>372</v>
      </c>
    </row>
    <row r="887" s="17" customFormat="1" hidden="1" spans="1:35">
      <c r="A887" s="17" t="s">
        <v>34</v>
      </c>
      <c r="B887" s="19">
        <v>775</v>
      </c>
      <c r="C887" s="101">
        <v>44608</v>
      </c>
      <c r="D887" s="17" t="s">
        <v>35</v>
      </c>
      <c r="E887" s="17" t="s">
        <v>148</v>
      </c>
      <c r="F887" s="17" t="s">
        <v>37</v>
      </c>
      <c r="H887" s="19">
        <v>1.2344</v>
      </c>
      <c r="I887" s="19"/>
      <c r="J887" s="17" t="s">
        <v>39</v>
      </c>
      <c r="K887" s="17">
        <v>502</v>
      </c>
      <c r="L887" s="91"/>
      <c r="M887" s="19"/>
      <c r="N887" s="19" t="s">
        <v>40</v>
      </c>
      <c r="O887" s="19" t="s">
        <v>50</v>
      </c>
      <c r="P887" s="19">
        <v>6000</v>
      </c>
      <c r="Q887" s="17">
        <v>5872</v>
      </c>
      <c r="R887" s="17">
        <f t="shared" si="59"/>
        <v>128</v>
      </c>
      <c r="S887" s="17">
        <v>3670</v>
      </c>
      <c r="T887" s="19" t="s">
        <v>42</v>
      </c>
      <c r="U887" s="102" t="s">
        <v>368</v>
      </c>
      <c r="V887" s="110">
        <v>44608</v>
      </c>
      <c r="W887" s="17" t="s">
        <v>44</v>
      </c>
      <c r="Y887" s="68">
        <v>44743</v>
      </c>
      <c r="Z887" s="17" t="s">
        <v>250</v>
      </c>
      <c r="AA887" s="17" t="s">
        <v>369</v>
      </c>
      <c r="AB887" s="17" t="s">
        <v>370</v>
      </c>
      <c r="AC887" s="66" t="s">
        <v>371</v>
      </c>
      <c r="AD887" s="65">
        <v>1319</v>
      </c>
      <c r="AE887" s="17" t="s">
        <v>252</v>
      </c>
      <c r="AG887" s="17" t="s">
        <v>372</v>
      </c>
    </row>
    <row r="888" s="17" customFormat="1" hidden="1" spans="1:35">
      <c r="A888" s="17" t="s">
        <v>34</v>
      </c>
      <c r="B888" s="19">
        <v>776</v>
      </c>
      <c r="C888" s="101">
        <v>44608</v>
      </c>
      <c r="D888" s="17" t="s">
        <v>35</v>
      </c>
      <c r="E888" s="17" t="s">
        <v>148</v>
      </c>
      <c r="F888" s="17" t="s">
        <v>37</v>
      </c>
      <c r="H888" s="19">
        <v>1.2344</v>
      </c>
      <c r="I888" s="19"/>
      <c r="J888" s="17" t="s">
        <v>39</v>
      </c>
      <c r="K888" s="17">
        <v>16</v>
      </c>
      <c r="L888" s="91"/>
      <c r="N888" s="17" t="s">
        <v>40</v>
      </c>
      <c r="O888" s="19" t="s">
        <v>141</v>
      </c>
      <c r="P888" s="19">
        <v>417</v>
      </c>
      <c r="Q888" s="17">
        <v>417</v>
      </c>
      <c r="R888" s="17">
        <f t="shared" si="59"/>
        <v>0</v>
      </c>
      <c r="S888" s="17">
        <v>3820</v>
      </c>
      <c r="T888" s="19" t="s">
        <v>42</v>
      </c>
      <c r="U888" s="102" t="s">
        <v>373</v>
      </c>
      <c r="V888" s="64">
        <v>44609</v>
      </c>
      <c r="W888" s="17" t="s">
        <v>44</v>
      </c>
      <c r="Y888" s="496" t="s">
        <v>374</v>
      </c>
      <c r="Z888" s="17" t="s">
        <v>199</v>
      </c>
      <c r="AA888" s="17" t="s">
        <v>46</v>
      </c>
      <c r="AB888" s="17" t="s">
        <v>266</v>
      </c>
      <c r="AC888" s="66">
        <v>44627</v>
      </c>
      <c r="AD888" s="65">
        <v>1291</v>
      </c>
      <c r="AE888" s="17" t="s">
        <v>48</v>
      </c>
    </row>
    <row r="889" s="17" customFormat="1" hidden="1" spans="1:35">
      <c r="A889" s="17" t="s">
        <v>34</v>
      </c>
      <c r="B889" s="19">
        <v>776</v>
      </c>
      <c r="C889" s="101">
        <v>44608</v>
      </c>
      <c r="D889" s="17" t="s">
        <v>35</v>
      </c>
      <c r="E889" s="17" t="s">
        <v>148</v>
      </c>
      <c r="F889" s="17" t="s">
        <v>37</v>
      </c>
      <c r="H889" s="19">
        <v>1.2344</v>
      </c>
      <c r="I889" s="19"/>
      <c r="J889" s="17" t="s">
        <v>39</v>
      </c>
      <c r="K889" s="17">
        <v>42</v>
      </c>
      <c r="L889" s="91"/>
      <c r="N889" s="17" t="s">
        <v>40</v>
      </c>
      <c r="O889" s="19" t="s">
        <v>141</v>
      </c>
      <c r="P889" s="19">
        <v>456</v>
      </c>
      <c r="Q889" s="17">
        <v>456</v>
      </c>
      <c r="R889" s="17">
        <f t="shared" si="59"/>
        <v>0</v>
      </c>
      <c r="S889" s="17">
        <v>3820</v>
      </c>
      <c r="T889" s="19" t="s">
        <v>42</v>
      </c>
      <c r="U889" s="102" t="s">
        <v>373</v>
      </c>
      <c r="V889" s="64">
        <v>44609</v>
      </c>
      <c r="W889" s="17" t="s">
        <v>44</v>
      </c>
      <c r="Y889" s="496" t="s">
        <v>374</v>
      </c>
      <c r="Z889" s="17" t="s">
        <v>199</v>
      </c>
      <c r="AA889" s="17" t="s">
        <v>46</v>
      </c>
      <c r="AB889" s="17" t="s">
        <v>266</v>
      </c>
      <c r="AC889" s="66">
        <v>44627</v>
      </c>
      <c r="AD889" s="65">
        <v>1291</v>
      </c>
      <c r="AE889" s="17" t="s">
        <v>48</v>
      </c>
    </row>
    <row r="890" s="17" customFormat="1" hidden="1" spans="1:35">
      <c r="A890" s="17" t="s">
        <v>34</v>
      </c>
      <c r="B890" s="19">
        <v>776</v>
      </c>
      <c r="C890" s="101">
        <v>44608</v>
      </c>
      <c r="D890" s="17" t="s">
        <v>35</v>
      </c>
      <c r="E890" s="17" t="s">
        <v>148</v>
      </c>
      <c r="F890" s="17" t="s">
        <v>37</v>
      </c>
      <c r="H890" s="19">
        <v>1.2344</v>
      </c>
      <c r="I890" s="19"/>
      <c r="J890" s="17" t="s">
        <v>39</v>
      </c>
      <c r="K890" s="17">
        <v>50</v>
      </c>
      <c r="L890" s="91"/>
      <c r="N890" s="17" t="s">
        <v>40</v>
      </c>
      <c r="O890" s="19" t="s">
        <v>141</v>
      </c>
      <c r="P890" s="19">
        <v>184</v>
      </c>
      <c r="Q890" s="17">
        <v>184</v>
      </c>
      <c r="R890" s="17">
        <f t="shared" si="59"/>
        <v>0</v>
      </c>
      <c r="S890" s="17">
        <v>3820</v>
      </c>
      <c r="T890" s="19" t="s">
        <v>42</v>
      </c>
      <c r="U890" s="102" t="s">
        <v>373</v>
      </c>
      <c r="V890" s="64">
        <v>44609</v>
      </c>
      <c r="W890" s="17" t="s">
        <v>44</v>
      </c>
      <c r="Y890" s="496" t="s">
        <v>374</v>
      </c>
      <c r="Z890" s="17" t="s">
        <v>199</v>
      </c>
      <c r="AA890" s="17" t="s">
        <v>46</v>
      </c>
      <c r="AB890" s="17" t="s">
        <v>266</v>
      </c>
      <c r="AC890" s="66">
        <v>44627</v>
      </c>
      <c r="AD890" s="65">
        <v>1291</v>
      </c>
      <c r="AE890" s="17" t="s">
        <v>48</v>
      </c>
    </row>
    <row r="891" s="17" customFormat="1" hidden="1" spans="1:35">
      <c r="A891" s="17" t="s">
        <v>34</v>
      </c>
      <c r="B891" s="19">
        <v>776</v>
      </c>
      <c r="C891" s="101">
        <v>44608</v>
      </c>
      <c r="D891" s="17" t="s">
        <v>35</v>
      </c>
      <c r="E891" s="17" t="s">
        <v>148</v>
      </c>
      <c r="F891" s="17" t="s">
        <v>37</v>
      </c>
      <c r="H891" s="19">
        <v>1.2344</v>
      </c>
      <c r="I891" s="19"/>
      <c r="J891" s="17" t="s">
        <v>39</v>
      </c>
      <c r="K891" s="17">
        <v>55</v>
      </c>
      <c r="L891" s="91"/>
      <c r="N891" s="17" t="s">
        <v>40</v>
      </c>
      <c r="O891" s="19" t="s">
        <v>141</v>
      </c>
      <c r="P891" s="19">
        <v>158</v>
      </c>
      <c r="Q891" s="17">
        <v>158</v>
      </c>
      <c r="R891" s="17">
        <f t="shared" si="59"/>
        <v>0</v>
      </c>
      <c r="S891" s="17">
        <v>3820</v>
      </c>
      <c r="T891" s="19" t="s">
        <v>42</v>
      </c>
      <c r="U891" s="102" t="s">
        <v>373</v>
      </c>
      <c r="V891" s="64">
        <v>44609</v>
      </c>
      <c r="W891" s="17" t="s">
        <v>44</v>
      </c>
      <c r="Y891" s="496" t="s">
        <v>374</v>
      </c>
      <c r="Z891" s="17" t="s">
        <v>199</v>
      </c>
      <c r="AA891" s="17" t="s">
        <v>46</v>
      </c>
      <c r="AB891" s="17" t="s">
        <v>266</v>
      </c>
      <c r="AC891" s="66">
        <v>44627</v>
      </c>
      <c r="AD891" s="65">
        <v>1291</v>
      </c>
      <c r="AE891" s="17" t="s">
        <v>48</v>
      </c>
    </row>
    <row r="892" s="17" customFormat="1" hidden="1" spans="1:35">
      <c r="A892" s="17" t="s">
        <v>34</v>
      </c>
      <c r="B892" s="19">
        <v>776</v>
      </c>
      <c r="C892" s="101">
        <v>44608</v>
      </c>
      <c r="D892" s="17" t="s">
        <v>35</v>
      </c>
      <c r="E892" s="17" t="s">
        <v>148</v>
      </c>
      <c r="F892" s="17" t="s">
        <v>37</v>
      </c>
      <c r="H892" s="19">
        <v>1.2344</v>
      </c>
      <c r="I892" s="19"/>
      <c r="J892" s="17" t="s">
        <v>39</v>
      </c>
      <c r="K892" s="17">
        <v>65</v>
      </c>
      <c r="L892" s="91"/>
      <c r="N892" s="17" t="s">
        <v>40</v>
      </c>
      <c r="O892" s="19" t="s">
        <v>141</v>
      </c>
      <c r="P892" s="19">
        <v>210</v>
      </c>
      <c r="Q892" s="17">
        <v>210</v>
      </c>
      <c r="R892" s="17">
        <f t="shared" si="59"/>
        <v>0</v>
      </c>
      <c r="S892" s="17">
        <v>3820</v>
      </c>
      <c r="T892" s="19" t="s">
        <v>42</v>
      </c>
      <c r="U892" s="102" t="s">
        <v>373</v>
      </c>
      <c r="V892" s="64">
        <v>44609</v>
      </c>
      <c r="W892" s="17" t="s">
        <v>44</v>
      </c>
      <c r="Y892" s="496" t="s">
        <v>374</v>
      </c>
      <c r="Z892" s="17" t="s">
        <v>199</v>
      </c>
      <c r="AA892" s="17" t="s">
        <v>46</v>
      </c>
      <c r="AB892" s="17" t="s">
        <v>266</v>
      </c>
      <c r="AC892" s="66">
        <v>44627</v>
      </c>
      <c r="AD892" s="65">
        <v>1291</v>
      </c>
      <c r="AE892" s="17" t="s">
        <v>48</v>
      </c>
    </row>
    <row r="893" s="17" customFormat="1" hidden="1" spans="1:35">
      <c r="A893" s="17" t="s">
        <v>34</v>
      </c>
      <c r="B893" s="19">
        <v>776</v>
      </c>
      <c r="C893" s="101">
        <v>44608</v>
      </c>
      <c r="D893" s="17" t="s">
        <v>35</v>
      </c>
      <c r="E893" s="17" t="s">
        <v>148</v>
      </c>
      <c r="F893" s="17" t="s">
        <v>37</v>
      </c>
      <c r="H893" s="19">
        <v>1.2344</v>
      </c>
      <c r="I893" s="19"/>
      <c r="J893" s="17" t="s">
        <v>39</v>
      </c>
      <c r="K893" s="17">
        <v>80</v>
      </c>
      <c r="L893" s="91"/>
      <c r="N893" s="17" t="s">
        <v>40</v>
      </c>
      <c r="O893" s="19" t="s">
        <v>141</v>
      </c>
      <c r="P893" s="19">
        <v>328</v>
      </c>
      <c r="Q893" s="17">
        <v>328</v>
      </c>
      <c r="R893" s="17">
        <f t="shared" si="59"/>
        <v>0</v>
      </c>
      <c r="S893" s="17">
        <v>3820</v>
      </c>
      <c r="T893" s="19" t="s">
        <v>42</v>
      </c>
      <c r="U893" s="102" t="s">
        <v>373</v>
      </c>
      <c r="V893" s="64">
        <v>44609</v>
      </c>
      <c r="W893" s="17" t="s">
        <v>44</v>
      </c>
      <c r="Y893" s="496" t="s">
        <v>374</v>
      </c>
      <c r="Z893" s="17" t="s">
        <v>199</v>
      </c>
      <c r="AA893" s="17" t="s">
        <v>46</v>
      </c>
      <c r="AB893" s="17" t="s">
        <v>266</v>
      </c>
      <c r="AC893" s="66">
        <v>44627</v>
      </c>
      <c r="AD893" s="65">
        <v>1291</v>
      </c>
      <c r="AE893" s="17" t="s">
        <v>48</v>
      </c>
    </row>
    <row r="894" s="17" customFormat="1" hidden="1" spans="1:35">
      <c r="A894" s="17" t="s">
        <v>34</v>
      </c>
      <c r="B894" s="19">
        <v>776</v>
      </c>
      <c r="C894" s="101">
        <v>44608</v>
      </c>
      <c r="D894" s="17" t="s">
        <v>35</v>
      </c>
      <c r="E894" s="17" t="s">
        <v>148</v>
      </c>
      <c r="F894" s="17" t="s">
        <v>37</v>
      </c>
      <c r="H894" s="19">
        <v>1.2344</v>
      </c>
      <c r="I894" s="19"/>
      <c r="J894" s="17" t="s">
        <v>39</v>
      </c>
      <c r="K894" s="17">
        <v>90</v>
      </c>
      <c r="L894" s="91"/>
      <c r="N894" s="17" t="s">
        <v>40</v>
      </c>
      <c r="O894" s="19" t="s">
        <v>141</v>
      </c>
      <c r="P894" s="19">
        <v>779</v>
      </c>
      <c r="Q894" s="17">
        <v>779</v>
      </c>
      <c r="R894" s="17">
        <f t="shared" si="59"/>
        <v>0</v>
      </c>
      <c r="S894" s="17">
        <v>3820</v>
      </c>
      <c r="T894" s="19" t="s">
        <v>42</v>
      </c>
      <c r="U894" s="102" t="s">
        <v>373</v>
      </c>
      <c r="V894" s="64">
        <v>44609</v>
      </c>
      <c r="W894" s="17" t="s">
        <v>44</v>
      </c>
      <c r="Y894" s="496" t="s">
        <v>374</v>
      </c>
      <c r="Z894" s="17" t="s">
        <v>199</v>
      </c>
      <c r="AA894" s="17" t="s">
        <v>46</v>
      </c>
      <c r="AB894" s="17" t="s">
        <v>266</v>
      </c>
      <c r="AC894" s="66">
        <v>44627</v>
      </c>
      <c r="AD894" s="65">
        <v>1291</v>
      </c>
      <c r="AE894" s="17" t="s">
        <v>48</v>
      </c>
    </row>
    <row r="895" s="17" customFormat="1" hidden="1" spans="1:35">
      <c r="A895" s="17" t="s">
        <v>34</v>
      </c>
      <c r="B895" s="19">
        <v>776</v>
      </c>
      <c r="C895" s="101">
        <v>44608</v>
      </c>
      <c r="D895" s="17" t="s">
        <v>35</v>
      </c>
      <c r="E895" s="17" t="s">
        <v>148</v>
      </c>
      <c r="F895" s="17" t="s">
        <v>37</v>
      </c>
      <c r="H895" s="19">
        <v>1.2344</v>
      </c>
      <c r="I895" s="19"/>
      <c r="J895" s="17" t="s">
        <v>39</v>
      </c>
      <c r="K895" s="17">
        <v>252</v>
      </c>
      <c r="L895" s="91"/>
      <c r="N895" s="17" t="s">
        <v>40</v>
      </c>
      <c r="O895" s="19" t="s">
        <v>50</v>
      </c>
      <c r="P895" s="19">
        <v>1524</v>
      </c>
      <c r="Q895" s="17">
        <v>1524</v>
      </c>
      <c r="R895" s="17">
        <f t="shared" si="59"/>
        <v>0</v>
      </c>
      <c r="S895" s="17">
        <v>3820</v>
      </c>
      <c r="T895" s="19" t="s">
        <v>42</v>
      </c>
      <c r="U895" s="102" t="s">
        <v>373</v>
      </c>
      <c r="V895" s="64">
        <v>44609</v>
      </c>
      <c r="W895" s="17" t="s">
        <v>44</v>
      </c>
      <c r="Y895" s="496" t="s">
        <v>374</v>
      </c>
      <c r="Z895" s="17" t="s">
        <v>199</v>
      </c>
      <c r="AA895" s="17" t="s">
        <v>46</v>
      </c>
      <c r="AB895" s="17" t="s">
        <v>375</v>
      </c>
      <c r="AC895" s="66">
        <v>44662</v>
      </c>
      <c r="AD895" s="65">
        <v>1264</v>
      </c>
      <c r="AE895" s="17" t="s">
        <v>48</v>
      </c>
    </row>
    <row r="896" s="17" customFormat="1" hidden="1" spans="1:35">
      <c r="A896" s="17" t="s">
        <v>34</v>
      </c>
      <c r="B896" s="19">
        <v>776</v>
      </c>
      <c r="C896" s="101">
        <v>44608</v>
      </c>
      <c r="D896" s="17" t="s">
        <v>35</v>
      </c>
      <c r="E896" s="17" t="s">
        <v>148</v>
      </c>
      <c r="F896" s="17" t="s">
        <v>37</v>
      </c>
      <c r="H896" s="19">
        <v>1.2344</v>
      </c>
      <c r="I896" s="19"/>
      <c r="J896" s="17" t="s">
        <v>39</v>
      </c>
      <c r="K896" s="17">
        <v>262</v>
      </c>
      <c r="L896" s="91"/>
      <c r="N896" s="17" t="s">
        <v>40</v>
      </c>
      <c r="O896" s="19" t="s">
        <v>50</v>
      </c>
      <c r="P896" s="19">
        <v>1731</v>
      </c>
      <c r="Q896" s="17">
        <v>1731</v>
      </c>
      <c r="R896" s="17">
        <f t="shared" si="59"/>
        <v>0</v>
      </c>
      <c r="S896" s="17">
        <v>3820</v>
      </c>
      <c r="T896" s="19" t="s">
        <v>42</v>
      </c>
      <c r="U896" s="102" t="s">
        <v>373</v>
      </c>
      <c r="V896" s="64">
        <v>44609</v>
      </c>
      <c r="W896" s="17" t="s">
        <v>44</v>
      </c>
      <c r="Y896" s="496" t="s">
        <v>374</v>
      </c>
      <c r="Z896" s="17" t="s">
        <v>199</v>
      </c>
      <c r="AA896" s="17" t="s">
        <v>46</v>
      </c>
      <c r="AB896" s="17" t="s">
        <v>375</v>
      </c>
      <c r="AC896" s="66">
        <v>44662</v>
      </c>
      <c r="AD896" s="65">
        <v>1264</v>
      </c>
      <c r="AE896" s="17" t="s">
        <v>252</v>
      </c>
      <c r="AG896" s="17" t="s">
        <v>376</v>
      </c>
    </row>
    <row r="897" s="17" customFormat="1" hidden="1" spans="1:35">
      <c r="A897" s="17" t="s">
        <v>34</v>
      </c>
      <c r="B897" s="19">
        <v>776</v>
      </c>
      <c r="C897" s="101">
        <v>44608</v>
      </c>
      <c r="D897" s="17" t="s">
        <v>35</v>
      </c>
      <c r="E897" s="17" t="s">
        <v>148</v>
      </c>
      <c r="F897" s="17" t="s">
        <v>37</v>
      </c>
      <c r="H897" s="19">
        <v>1.2344</v>
      </c>
      <c r="I897" s="19"/>
      <c r="J897" s="17" t="s">
        <v>39</v>
      </c>
      <c r="K897" s="17">
        <v>282</v>
      </c>
      <c r="L897" s="91"/>
      <c r="N897" s="17" t="s">
        <v>40</v>
      </c>
      <c r="O897" s="19" t="s">
        <v>50</v>
      </c>
      <c r="P897" s="19">
        <v>1724</v>
      </c>
      <c r="Q897" s="17">
        <v>1724</v>
      </c>
      <c r="R897" s="17">
        <f t="shared" si="59"/>
        <v>0</v>
      </c>
      <c r="S897" s="17">
        <v>3820</v>
      </c>
      <c r="T897" s="19" t="s">
        <v>42</v>
      </c>
      <c r="U897" s="102" t="s">
        <v>373</v>
      </c>
      <c r="V897" s="64">
        <v>44609</v>
      </c>
      <c r="W897" s="17" t="s">
        <v>44</v>
      </c>
      <c r="Y897" s="496" t="s">
        <v>374</v>
      </c>
      <c r="Z897" s="17" t="s">
        <v>199</v>
      </c>
      <c r="AA897" s="17" t="s">
        <v>46</v>
      </c>
      <c r="AB897" s="17" t="s">
        <v>375</v>
      </c>
      <c r="AC897" s="66">
        <v>44662</v>
      </c>
      <c r="AD897" s="65">
        <v>1264</v>
      </c>
      <c r="AE897" s="17" t="s">
        <v>252</v>
      </c>
      <c r="AG897" s="17" t="s">
        <v>376</v>
      </c>
    </row>
    <row r="898" s="17" customFormat="1" hidden="1" spans="1:35">
      <c r="A898" s="17" t="s">
        <v>34</v>
      </c>
      <c r="B898" s="19">
        <v>776</v>
      </c>
      <c r="C898" s="101">
        <v>44608</v>
      </c>
      <c r="D898" s="17" t="s">
        <v>35</v>
      </c>
      <c r="E898" s="17" t="s">
        <v>148</v>
      </c>
      <c r="F898" s="17" t="s">
        <v>37</v>
      </c>
      <c r="H898" s="19">
        <v>1.2344</v>
      </c>
      <c r="I898" s="19"/>
      <c r="J898" s="17" t="s">
        <v>39</v>
      </c>
      <c r="K898" s="17">
        <v>302</v>
      </c>
      <c r="L898" s="91"/>
      <c r="N898" s="17" t="s">
        <v>40</v>
      </c>
      <c r="O898" s="19" t="s">
        <v>50</v>
      </c>
      <c r="P898" s="19">
        <v>1180</v>
      </c>
      <c r="Q898" s="17">
        <v>1180</v>
      </c>
      <c r="R898" s="17">
        <f t="shared" si="59"/>
        <v>0</v>
      </c>
      <c r="S898" s="17">
        <v>3820</v>
      </c>
      <c r="T898" s="19" t="s">
        <v>42</v>
      </c>
      <c r="U898" s="102" t="s">
        <v>373</v>
      </c>
      <c r="V898" s="64">
        <v>44609</v>
      </c>
      <c r="W898" s="17" t="s">
        <v>44</v>
      </c>
      <c r="Y898" s="496" t="s">
        <v>374</v>
      </c>
      <c r="Z898" s="17" t="s">
        <v>199</v>
      </c>
      <c r="AA898" s="17" t="s">
        <v>46</v>
      </c>
      <c r="AB898" s="17" t="s">
        <v>266</v>
      </c>
      <c r="AC898" s="66">
        <v>44627</v>
      </c>
      <c r="AD898" s="65">
        <v>1291</v>
      </c>
      <c r="AE898" s="17" t="s">
        <v>48</v>
      </c>
    </row>
    <row r="899" s="17" customFormat="1" hidden="1" spans="1:35">
      <c r="A899" s="17" t="s">
        <v>34</v>
      </c>
      <c r="B899" s="19">
        <v>776</v>
      </c>
      <c r="C899" s="101">
        <v>44608</v>
      </c>
      <c r="D899" s="17" t="s">
        <v>35</v>
      </c>
      <c r="E899" s="17" t="s">
        <v>148</v>
      </c>
      <c r="F899" s="17" t="s">
        <v>37</v>
      </c>
      <c r="H899" s="19">
        <v>1.2344</v>
      </c>
      <c r="I899" s="19"/>
      <c r="J899" s="17" t="s">
        <v>39</v>
      </c>
      <c r="K899" s="17">
        <v>322</v>
      </c>
      <c r="L899" s="91"/>
      <c r="N899" s="17" t="s">
        <v>40</v>
      </c>
      <c r="O899" s="19" t="s">
        <v>50</v>
      </c>
      <c r="P899" s="19">
        <v>8780</v>
      </c>
      <c r="Q899" s="17">
        <v>6968</v>
      </c>
      <c r="S899" s="17">
        <v>3820</v>
      </c>
      <c r="T899" s="19" t="s">
        <v>42</v>
      </c>
      <c r="U899" s="102" t="s">
        <v>373</v>
      </c>
      <c r="V899" s="64">
        <v>44609</v>
      </c>
      <c r="W899" s="17" t="s">
        <v>44</v>
      </c>
      <c r="Y899" s="496" t="s">
        <v>374</v>
      </c>
      <c r="Z899" s="17" t="s">
        <v>199</v>
      </c>
      <c r="AA899" s="17" t="s">
        <v>46</v>
      </c>
      <c r="AB899" s="17" t="s">
        <v>375</v>
      </c>
      <c r="AC899" s="66">
        <v>44662</v>
      </c>
      <c r="AD899" s="65">
        <v>1264</v>
      </c>
      <c r="AE899" s="17" t="s">
        <v>252</v>
      </c>
      <c r="AG899" s="17" t="s">
        <v>376</v>
      </c>
    </row>
    <row r="900" s="17" customFormat="1" hidden="1" spans="1:35">
      <c r="A900" s="17" t="s">
        <v>34</v>
      </c>
      <c r="B900" s="19">
        <v>776</v>
      </c>
      <c r="C900" s="101">
        <v>44608</v>
      </c>
      <c r="D900" s="17" t="s">
        <v>35</v>
      </c>
      <c r="E900" s="17" t="s">
        <v>148</v>
      </c>
      <c r="F900" s="17" t="s">
        <v>37</v>
      </c>
      <c r="H900" s="19">
        <v>1.2344</v>
      </c>
      <c r="I900" s="19"/>
      <c r="J900" s="17" t="s">
        <v>39</v>
      </c>
      <c r="K900" s="17">
        <v>322</v>
      </c>
      <c r="L900" s="91"/>
      <c r="N900" s="17" t="s">
        <v>40</v>
      </c>
      <c r="O900" s="19" t="s">
        <v>50</v>
      </c>
      <c r="P900" s="19"/>
      <c r="Q900" s="17">
        <v>1812</v>
      </c>
      <c r="R900" s="17">
        <f>+P899-Q899-Q900</f>
        <v>0</v>
      </c>
      <c r="S900" s="17">
        <v>3820</v>
      </c>
      <c r="T900" s="19" t="s">
        <v>42</v>
      </c>
      <c r="U900" s="102" t="s">
        <v>373</v>
      </c>
      <c r="V900" s="64">
        <v>44609</v>
      </c>
      <c r="W900" s="17" t="s">
        <v>44</v>
      </c>
      <c r="Y900" s="496" t="s">
        <v>374</v>
      </c>
      <c r="Z900" s="17" t="s">
        <v>199</v>
      </c>
      <c r="AA900" s="17" t="s">
        <v>46</v>
      </c>
      <c r="AB900" s="17" t="s">
        <v>266</v>
      </c>
      <c r="AC900" s="66">
        <v>44627</v>
      </c>
      <c r="AD900" s="65">
        <v>1291</v>
      </c>
      <c r="AE900" s="17" t="s">
        <v>252</v>
      </c>
      <c r="AG900" s="17" t="s">
        <v>376</v>
      </c>
    </row>
    <row r="901" s="17" customFormat="1" hidden="1" spans="1:35">
      <c r="A901" s="17" t="s">
        <v>34</v>
      </c>
      <c r="B901" s="19">
        <v>776</v>
      </c>
      <c r="C901" s="101">
        <v>44608</v>
      </c>
      <c r="D901" s="17" t="s">
        <v>35</v>
      </c>
      <c r="E901" s="17" t="s">
        <v>148</v>
      </c>
      <c r="F901" s="17" t="s">
        <v>37</v>
      </c>
      <c r="H901" s="19">
        <v>1.2344</v>
      </c>
      <c r="I901" s="19"/>
      <c r="J901" s="17" t="s">
        <v>39</v>
      </c>
      <c r="K901" s="17">
        <v>402</v>
      </c>
      <c r="L901" s="91"/>
      <c r="N901" s="17" t="s">
        <v>40</v>
      </c>
      <c r="O901" s="19" t="s">
        <v>50</v>
      </c>
      <c r="P901" s="19">
        <v>5376</v>
      </c>
      <c r="Q901" s="17">
        <v>5376</v>
      </c>
      <c r="R901" s="17">
        <f>+P901-Q901</f>
        <v>0</v>
      </c>
      <c r="S901" s="17">
        <v>3820</v>
      </c>
      <c r="T901" s="19" t="s">
        <v>42</v>
      </c>
      <c r="U901" s="102" t="s">
        <v>373</v>
      </c>
      <c r="V901" s="64">
        <v>44609</v>
      </c>
      <c r="W901" s="17" t="s">
        <v>44</v>
      </c>
      <c r="Y901" s="496" t="s">
        <v>374</v>
      </c>
      <c r="Z901" s="17" t="s">
        <v>199</v>
      </c>
      <c r="AA901" s="17" t="s">
        <v>46</v>
      </c>
      <c r="AB901" s="17" t="s">
        <v>375</v>
      </c>
      <c r="AC901" s="66">
        <v>44662</v>
      </c>
      <c r="AD901" s="65">
        <v>1264</v>
      </c>
      <c r="AE901" s="17" t="s">
        <v>252</v>
      </c>
      <c r="AG901" s="17" t="s">
        <v>376</v>
      </c>
    </row>
    <row r="902" s="17" customFormat="1" hidden="1" spans="1:35">
      <c r="A902" s="17" t="s">
        <v>34</v>
      </c>
      <c r="B902" s="19">
        <v>776</v>
      </c>
      <c r="C902" s="101">
        <v>44608</v>
      </c>
      <c r="D902" s="17" t="s">
        <v>35</v>
      </c>
      <c r="E902" s="17" t="s">
        <v>148</v>
      </c>
      <c r="F902" s="17" t="s">
        <v>37</v>
      </c>
      <c r="H902" s="19">
        <v>1.2344</v>
      </c>
      <c r="I902" s="19"/>
      <c r="J902" s="17" t="s">
        <v>39</v>
      </c>
      <c r="K902" s="17">
        <v>412</v>
      </c>
      <c r="L902" s="91"/>
      <c r="N902" s="17" t="s">
        <v>40</v>
      </c>
      <c r="O902" s="19" t="s">
        <v>50</v>
      </c>
      <c r="P902" s="19">
        <v>2406</v>
      </c>
      <c r="Q902" s="17">
        <v>2406</v>
      </c>
      <c r="R902" s="17">
        <f>+P902-Q902</f>
        <v>0</v>
      </c>
      <c r="S902" s="17">
        <v>3820</v>
      </c>
      <c r="T902" s="19" t="s">
        <v>42</v>
      </c>
      <c r="U902" s="102" t="s">
        <v>373</v>
      </c>
      <c r="V902" s="64">
        <v>44609</v>
      </c>
      <c r="W902" s="17" t="s">
        <v>44</v>
      </c>
      <c r="Y902" s="496" t="s">
        <v>374</v>
      </c>
      <c r="Z902" s="17" t="s">
        <v>199</v>
      </c>
      <c r="AA902" s="17" t="s">
        <v>46</v>
      </c>
      <c r="AB902" s="17" t="s">
        <v>266</v>
      </c>
      <c r="AC902" s="66">
        <v>44627</v>
      </c>
      <c r="AD902" s="65">
        <v>1291</v>
      </c>
      <c r="AE902" s="17" t="s">
        <v>48</v>
      </c>
    </row>
    <row r="903" s="17" customFormat="1" hidden="1" spans="1:35">
      <c r="A903" s="17" t="s">
        <v>34</v>
      </c>
      <c r="B903" s="19">
        <v>777</v>
      </c>
      <c r="C903" s="64">
        <v>44609</v>
      </c>
      <c r="D903" s="17" t="s">
        <v>52</v>
      </c>
      <c r="E903" s="17" t="s">
        <v>187</v>
      </c>
      <c r="F903" s="17" t="s">
        <v>54</v>
      </c>
      <c r="H903" s="65">
        <v>1.2311</v>
      </c>
      <c r="I903" s="65"/>
      <c r="J903" s="17" t="s">
        <v>49</v>
      </c>
      <c r="K903" s="19">
        <v>2200</v>
      </c>
      <c r="L903" s="19">
        <v>16</v>
      </c>
      <c r="M903" s="17" t="s">
        <v>377</v>
      </c>
      <c r="N903" s="17" t="s">
        <v>66</v>
      </c>
      <c r="O903" s="19" t="s">
        <v>141</v>
      </c>
      <c r="P903" s="145">
        <v>1381.6</v>
      </c>
      <c r="Q903" s="17">
        <v>1490</v>
      </c>
      <c r="R903" s="95">
        <f>+P903-Q903</f>
        <v>-108.4</v>
      </c>
      <c r="S903" s="17">
        <v>1265</v>
      </c>
      <c r="T903" s="19" t="s">
        <v>42</v>
      </c>
      <c r="U903" s="17" t="s">
        <v>378</v>
      </c>
      <c r="V903" s="64">
        <v>44613</v>
      </c>
      <c r="W903" s="17" t="s">
        <v>69</v>
      </c>
      <c r="Y903" s="497" t="s">
        <v>374</v>
      </c>
      <c r="Z903" s="17" t="s">
        <v>191</v>
      </c>
      <c r="AA903" s="17" t="s">
        <v>46</v>
      </c>
      <c r="AB903" s="17" t="s">
        <v>379</v>
      </c>
      <c r="AC903" s="66">
        <v>44645</v>
      </c>
      <c r="AD903" s="65">
        <v>1279</v>
      </c>
      <c r="AE903" s="17" t="s">
        <v>48</v>
      </c>
      <c r="AF903" s="17" t="s">
        <v>380</v>
      </c>
    </row>
    <row r="904" s="17" customFormat="1" hidden="1" spans="1:35">
      <c r="A904" s="17" t="s">
        <v>34</v>
      </c>
      <c r="B904" s="19">
        <v>777</v>
      </c>
      <c r="C904" s="64">
        <v>44609</v>
      </c>
      <c r="D904" s="17" t="s">
        <v>52</v>
      </c>
      <c r="E904" s="17" t="s">
        <v>187</v>
      </c>
      <c r="F904" s="17" t="s">
        <v>54</v>
      </c>
      <c r="H904" s="65">
        <v>1.2311</v>
      </c>
      <c r="I904" s="65"/>
      <c r="J904" s="17" t="s">
        <v>49</v>
      </c>
      <c r="K904" s="19">
        <v>2200</v>
      </c>
      <c r="L904" s="19">
        <v>26</v>
      </c>
      <c r="M904" s="17" t="s">
        <v>377</v>
      </c>
      <c r="N904" s="17" t="s">
        <v>66</v>
      </c>
      <c r="O904" s="19" t="s">
        <v>141</v>
      </c>
      <c r="P904" s="99">
        <v>4490.2</v>
      </c>
      <c r="Q904" s="17">
        <f>2560+2594</f>
        <v>5154</v>
      </c>
      <c r="R904" s="95">
        <f>+P904-Q904</f>
        <v>-663.8</v>
      </c>
      <c r="S904" s="17">
        <v>1200</v>
      </c>
      <c r="T904" s="19" t="s">
        <v>42</v>
      </c>
      <c r="U904" s="17" t="s">
        <v>378</v>
      </c>
      <c r="V904" s="64">
        <v>44613</v>
      </c>
      <c r="W904" s="17" t="s">
        <v>69</v>
      </c>
      <c r="Y904" s="497" t="s">
        <v>374</v>
      </c>
      <c r="Z904" s="17" t="s">
        <v>191</v>
      </c>
      <c r="AA904" s="17" t="s">
        <v>46</v>
      </c>
      <c r="AB904" s="17" t="s">
        <v>381</v>
      </c>
      <c r="AC904" s="66">
        <v>44662</v>
      </c>
      <c r="AD904" s="65">
        <v>1290</v>
      </c>
      <c r="AE904" s="17" t="s">
        <v>382</v>
      </c>
      <c r="AF904" s="17" t="s">
        <v>380</v>
      </c>
      <c r="AH904" s="17" t="s">
        <v>383</v>
      </c>
      <c r="AI904" s="95">
        <v>105</v>
      </c>
    </row>
    <row r="905" s="17" customFormat="1" hidden="1" spans="1:35">
      <c r="A905" s="17" t="s">
        <v>34</v>
      </c>
      <c r="B905" s="19">
        <v>777</v>
      </c>
      <c r="C905" s="64">
        <v>44609</v>
      </c>
      <c r="D905" s="17" t="s">
        <v>52</v>
      </c>
      <c r="E905" s="17" t="s">
        <v>187</v>
      </c>
      <c r="F905" s="17" t="s">
        <v>54</v>
      </c>
      <c r="H905" s="65">
        <v>1.2311</v>
      </c>
      <c r="I905" s="65"/>
      <c r="J905" s="17" t="s">
        <v>49</v>
      </c>
      <c r="K905" s="19">
        <v>2200</v>
      </c>
      <c r="L905" s="19">
        <v>32</v>
      </c>
      <c r="M905" s="17" t="s">
        <v>377</v>
      </c>
      <c r="N905" s="17" t="s">
        <v>66</v>
      </c>
      <c r="O905" s="19" t="s">
        <v>141</v>
      </c>
      <c r="P905" s="99">
        <v>5526.4</v>
      </c>
      <c r="Q905" s="17">
        <v>3036</v>
      </c>
      <c r="S905" s="17">
        <v>1200</v>
      </c>
      <c r="T905" s="19" t="s">
        <v>42</v>
      </c>
      <c r="U905" s="17" t="s">
        <v>378</v>
      </c>
      <c r="V905" s="64">
        <v>44613</v>
      </c>
      <c r="W905" s="17" t="s">
        <v>69</v>
      </c>
      <c r="Y905" s="497" t="s">
        <v>374</v>
      </c>
      <c r="Z905" s="17" t="s">
        <v>191</v>
      </c>
      <c r="AA905" s="17" t="s">
        <v>46</v>
      </c>
      <c r="AB905" s="17" t="s">
        <v>384</v>
      </c>
      <c r="AC905" s="66">
        <v>44632</v>
      </c>
      <c r="AD905" s="65">
        <v>1272</v>
      </c>
      <c r="AE905" s="17" t="s">
        <v>382</v>
      </c>
      <c r="AF905" s="17" t="s">
        <v>380</v>
      </c>
      <c r="AH905" s="17" t="s">
        <v>383</v>
      </c>
      <c r="AI905" s="95">
        <v>105</v>
      </c>
    </row>
    <row r="906" s="17" customFormat="1" hidden="1" spans="1:35">
      <c r="A906" s="17" t="s">
        <v>34</v>
      </c>
      <c r="B906" s="19">
        <v>777</v>
      </c>
      <c r="C906" s="64">
        <v>44609</v>
      </c>
      <c r="D906" s="17" t="s">
        <v>52</v>
      </c>
      <c r="E906" s="17" t="s">
        <v>187</v>
      </c>
      <c r="F906" s="17" t="s">
        <v>54</v>
      </c>
      <c r="H906" s="65">
        <v>1.2311</v>
      </c>
      <c r="I906" s="65"/>
      <c r="J906" s="17" t="s">
        <v>49</v>
      </c>
      <c r="K906" s="19">
        <v>2200</v>
      </c>
      <c r="L906" s="19">
        <v>32</v>
      </c>
      <c r="M906" s="17" t="s">
        <v>377</v>
      </c>
      <c r="N906" s="17" t="s">
        <v>66</v>
      </c>
      <c r="O906" s="19" t="s">
        <v>141</v>
      </c>
      <c r="P906" s="99"/>
      <c r="Q906" s="17">
        <v>3080</v>
      </c>
      <c r="R906" s="95">
        <f>+P905-Q905-Q906</f>
        <v>-589.6</v>
      </c>
      <c r="S906" s="17">
        <v>1200</v>
      </c>
      <c r="T906" s="19" t="s">
        <v>42</v>
      </c>
      <c r="U906" s="17" t="s">
        <v>378</v>
      </c>
      <c r="V906" s="64">
        <v>44613</v>
      </c>
      <c r="W906" s="17" t="s">
        <v>69</v>
      </c>
      <c r="Y906" s="497" t="s">
        <v>374</v>
      </c>
      <c r="Z906" s="17" t="s">
        <v>191</v>
      </c>
      <c r="AA906" s="17" t="s">
        <v>46</v>
      </c>
      <c r="AB906" s="17" t="s">
        <v>385</v>
      </c>
      <c r="AC906" s="66">
        <v>44632</v>
      </c>
      <c r="AD906" s="65">
        <v>1273</v>
      </c>
      <c r="AE906" s="17" t="s">
        <v>382</v>
      </c>
      <c r="AF906" s="17" t="s">
        <v>380</v>
      </c>
      <c r="AH906" s="17" t="s">
        <v>383</v>
      </c>
      <c r="AI906" s="95">
        <v>105</v>
      </c>
    </row>
    <row r="907" s="17" customFormat="1" hidden="1" spans="1:35">
      <c r="A907" s="17" t="s">
        <v>34</v>
      </c>
      <c r="B907" s="19">
        <v>777</v>
      </c>
      <c r="C907" s="64">
        <v>44609</v>
      </c>
      <c r="D907" s="17" t="s">
        <v>52</v>
      </c>
      <c r="E907" s="17" t="s">
        <v>187</v>
      </c>
      <c r="F907" s="17" t="s">
        <v>54</v>
      </c>
      <c r="H907" s="65">
        <v>1.2311</v>
      </c>
      <c r="I907" s="65"/>
      <c r="J907" s="17" t="s">
        <v>49</v>
      </c>
      <c r="K907" s="19">
        <v>2200</v>
      </c>
      <c r="L907" s="19">
        <v>36</v>
      </c>
      <c r="M907" s="17" t="s">
        <v>377</v>
      </c>
      <c r="N907" s="17" t="s">
        <v>66</v>
      </c>
      <c r="O907" s="19" t="s">
        <v>141</v>
      </c>
      <c r="P907" s="99">
        <v>6217.2</v>
      </c>
      <c r="Q907" s="17">
        <f>3485+3555</f>
        <v>7040</v>
      </c>
      <c r="R907" s="95">
        <f>+P907-Q907</f>
        <v>-822.800000000001</v>
      </c>
      <c r="S907" s="17">
        <v>1200</v>
      </c>
      <c r="T907" s="19" t="s">
        <v>42</v>
      </c>
      <c r="U907" s="17" t="s">
        <v>378</v>
      </c>
      <c r="V907" s="64">
        <v>44613</v>
      </c>
      <c r="W907" s="17" t="s">
        <v>69</v>
      </c>
      <c r="Y907" s="497" t="s">
        <v>374</v>
      </c>
      <c r="Z907" s="17" t="s">
        <v>191</v>
      </c>
      <c r="AA907" s="17" t="s">
        <v>46</v>
      </c>
      <c r="AB907" s="17" t="s">
        <v>384</v>
      </c>
      <c r="AC907" s="66">
        <v>44632</v>
      </c>
      <c r="AD907" s="65">
        <v>1272</v>
      </c>
      <c r="AE907" s="17" t="s">
        <v>382</v>
      </c>
      <c r="AF907" s="17" t="s">
        <v>380</v>
      </c>
      <c r="AH907" s="17" t="s">
        <v>383</v>
      </c>
      <c r="AI907" s="95">
        <v>105</v>
      </c>
    </row>
    <row r="908" s="17" customFormat="1" hidden="1" spans="1:35">
      <c r="A908" s="17" t="s">
        <v>34</v>
      </c>
      <c r="B908" s="19">
        <v>777</v>
      </c>
      <c r="C908" s="64">
        <v>44609</v>
      </c>
      <c r="D908" s="17" t="s">
        <v>52</v>
      </c>
      <c r="E908" s="17" t="s">
        <v>187</v>
      </c>
      <c r="F908" s="17" t="s">
        <v>54</v>
      </c>
      <c r="H908" s="65">
        <v>1.2311</v>
      </c>
      <c r="I908" s="65"/>
      <c r="J908" s="17" t="s">
        <v>49</v>
      </c>
      <c r="K908" s="19">
        <v>2200</v>
      </c>
      <c r="L908" s="19">
        <v>40</v>
      </c>
      <c r="M908" s="17" t="s">
        <v>377</v>
      </c>
      <c r="N908" s="17" t="s">
        <v>66</v>
      </c>
      <c r="O908" s="19" t="s">
        <v>141</v>
      </c>
      <c r="P908" s="99">
        <v>13816</v>
      </c>
      <c r="Q908" s="17">
        <f>3449+3433</f>
        <v>6882</v>
      </c>
      <c r="S908" s="17">
        <v>1200</v>
      </c>
      <c r="T908" s="19" t="s">
        <v>42</v>
      </c>
      <c r="U908" s="17" t="s">
        <v>378</v>
      </c>
      <c r="V908" s="64">
        <v>44613</v>
      </c>
      <c r="W908" s="17" t="s">
        <v>69</v>
      </c>
      <c r="Y908" s="497" t="s">
        <v>374</v>
      </c>
      <c r="Z908" s="17" t="s">
        <v>191</v>
      </c>
      <c r="AA908" s="17" t="s">
        <v>46</v>
      </c>
      <c r="AB908" s="17" t="s">
        <v>384</v>
      </c>
      <c r="AC908" s="66">
        <v>44632</v>
      </c>
      <c r="AD908" s="65">
        <v>1272</v>
      </c>
      <c r="AE908" s="17" t="s">
        <v>386</v>
      </c>
      <c r="AF908" s="17" t="s">
        <v>380</v>
      </c>
      <c r="AH908" s="17" t="s">
        <v>383</v>
      </c>
      <c r="AI908" s="95">
        <v>105</v>
      </c>
    </row>
    <row r="909" s="17" customFormat="1" hidden="1" spans="1:35">
      <c r="A909" s="17" t="s">
        <v>34</v>
      </c>
      <c r="B909" s="19">
        <v>777</v>
      </c>
      <c r="C909" s="64">
        <v>44609</v>
      </c>
      <c r="D909" s="17" t="s">
        <v>52</v>
      </c>
      <c r="E909" s="17" t="s">
        <v>187</v>
      </c>
      <c r="F909" s="17" t="s">
        <v>54</v>
      </c>
      <c r="H909" s="65">
        <v>1.2311</v>
      </c>
      <c r="I909" s="65"/>
      <c r="J909" s="17" t="s">
        <v>49</v>
      </c>
      <c r="K909" s="19">
        <v>2200</v>
      </c>
      <c r="L909" s="19">
        <v>40</v>
      </c>
      <c r="M909" s="17" t="s">
        <v>377</v>
      </c>
      <c r="N909" s="17" t="s">
        <v>66</v>
      </c>
      <c r="O909" s="19" t="s">
        <v>141</v>
      </c>
      <c r="P909" s="99"/>
      <c r="Q909" s="17">
        <f>4025+4066</f>
        <v>8091</v>
      </c>
      <c r="R909" s="95">
        <f>+P908-Q908-Q909</f>
        <v>-1157</v>
      </c>
      <c r="S909" s="17">
        <v>1200</v>
      </c>
      <c r="T909" s="19" t="s">
        <v>42</v>
      </c>
      <c r="U909" s="17" t="s">
        <v>378</v>
      </c>
      <c r="V909" s="64">
        <v>44613</v>
      </c>
      <c r="W909" s="17" t="s">
        <v>69</v>
      </c>
      <c r="Y909" s="497" t="s">
        <v>374</v>
      </c>
      <c r="Z909" s="17" t="s">
        <v>191</v>
      </c>
      <c r="AA909" s="17" t="s">
        <v>46</v>
      </c>
      <c r="AB909" s="17" t="s">
        <v>385</v>
      </c>
      <c r="AC909" s="66">
        <v>44632</v>
      </c>
      <c r="AD909" s="65">
        <v>1273</v>
      </c>
      <c r="AE909" s="17" t="s">
        <v>386</v>
      </c>
      <c r="AF909" s="17" t="s">
        <v>380</v>
      </c>
      <c r="AH909" s="17" t="s">
        <v>383</v>
      </c>
      <c r="AI909" s="95">
        <v>105</v>
      </c>
    </row>
    <row r="910" s="17" customFormat="1" hidden="1" spans="1:35">
      <c r="A910" s="17" t="s">
        <v>34</v>
      </c>
      <c r="B910" s="19">
        <v>777</v>
      </c>
      <c r="C910" s="64">
        <v>44609</v>
      </c>
      <c r="D910" s="17" t="s">
        <v>52</v>
      </c>
      <c r="E910" s="17" t="s">
        <v>187</v>
      </c>
      <c r="F910" s="17" t="s">
        <v>54</v>
      </c>
      <c r="H910" s="65">
        <v>1.2311</v>
      </c>
      <c r="I910" s="65"/>
      <c r="J910" s="17" t="s">
        <v>49</v>
      </c>
      <c r="K910" s="19">
        <v>2200</v>
      </c>
      <c r="L910" s="19">
        <v>45</v>
      </c>
      <c r="M910" s="17" t="s">
        <v>377</v>
      </c>
      <c r="N910" s="17" t="s">
        <v>66</v>
      </c>
      <c r="O910" s="19" t="s">
        <v>141</v>
      </c>
      <c r="P910" s="99">
        <v>11657.25</v>
      </c>
      <c r="Q910" s="17">
        <v>4290</v>
      </c>
      <c r="S910" s="17">
        <v>1200</v>
      </c>
      <c r="T910" s="19" t="s">
        <v>42</v>
      </c>
      <c r="U910" s="17" t="s">
        <v>378</v>
      </c>
      <c r="V910" s="64">
        <v>44613</v>
      </c>
      <c r="W910" s="17" t="s">
        <v>69</v>
      </c>
      <c r="Y910" s="497" t="s">
        <v>374</v>
      </c>
      <c r="Z910" s="17" t="s">
        <v>191</v>
      </c>
      <c r="AA910" s="17" t="s">
        <v>46</v>
      </c>
      <c r="AB910" s="17" t="s">
        <v>384</v>
      </c>
      <c r="AC910" s="66">
        <v>44632</v>
      </c>
      <c r="AD910" s="65">
        <v>1272</v>
      </c>
      <c r="AE910" s="17" t="s">
        <v>387</v>
      </c>
      <c r="AF910" s="17" t="s">
        <v>380</v>
      </c>
      <c r="AH910" s="17" t="s">
        <v>383</v>
      </c>
      <c r="AI910" s="95">
        <v>105</v>
      </c>
    </row>
    <row r="911" s="17" customFormat="1" hidden="1" spans="1:35">
      <c r="A911" s="17" t="s">
        <v>34</v>
      </c>
      <c r="B911" s="19">
        <v>777</v>
      </c>
      <c r="C911" s="64">
        <v>44609</v>
      </c>
      <c r="D911" s="17" t="s">
        <v>52</v>
      </c>
      <c r="E911" s="17" t="s">
        <v>187</v>
      </c>
      <c r="F911" s="17" t="s">
        <v>54</v>
      </c>
      <c r="H911" s="65">
        <v>1.2311</v>
      </c>
      <c r="I911" s="65"/>
      <c r="J911" s="17" t="s">
        <v>49</v>
      </c>
      <c r="K911" s="19">
        <v>2200</v>
      </c>
      <c r="L911" s="19">
        <v>45</v>
      </c>
      <c r="M911" s="17" t="s">
        <v>377</v>
      </c>
      <c r="N911" s="17" t="s">
        <v>66</v>
      </c>
      <c r="O911" s="19" t="s">
        <v>141</v>
      </c>
      <c r="P911" s="99"/>
      <c r="Q911" s="17">
        <v>3870</v>
      </c>
      <c r="S911" s="17">
        <v>1200</v>
      </c>
      <c r="T911" s="19" t="s">
        <v>42</v>
      </c>
      <c r="U911" s="17" t="s">
        <v>378</v>
      </c>
      <c r="V911" s="64">
        <v>44613</v>
      </c>
      <c r="W911" s="17" t="s">
        <v>69</v>
      </c>
      <c r="Y911" s="497" t="s">
        <v>374</v>
      </c>
      <c r="Z911" s="17" t="s">
        <v>191</v>
      </c>
      <c r="AA911" s="17" t="s">
        <v>46</v>
      </c>
      <c r="AB911" s="17" t="s">
        <v>379</v>
      </c>
      <c r="AC911" s="66">
        <v>44645</v>
      </c>
      <c r="AD911" s="65">
        <v>1279</v>
      </c>
      <c r="AE911" s="17" t="s">
        <v>387</v>
      </c>
      <c r="AF911" s="17" t="s">
        <v>380</v>
      </c>
      <c r="AH911" s="17" t="s">
        <v>383</v>
      </c>
      <c r="AI911" s="95">
        <v>105</v>
      </c>
    </row>
    <row r="912" s="17" customFormat="1" hidden="1" spans="1:35">
      <c r="A912" s="17" t="s">
        <v>34</v>
      </c>
      <c r="B912" s="19">
        <v>777</v>
      </c>
      <c r="C912" s="64">
        <v>44609</v>
      </c>
      <c r="D912" s="17" t="s">
        <v>52</v>
      </c>
      <c r="E912" s="17" t="s">
        <v>187</v>
      </c>
      <c r="F912" s="17" t="s">
        <v>54</v>
      </c>
      <c r="H912" s="65">
        <v>1.2311</v>
      </c>
      <c r="I912" s="65"/>
      <c r="J912" s="17" t="s">
        <v>49</v>
      </c>
      <c r="K912" s="19">
        <v>2200</v>
      </c>
      <c r="L912" s="19">
        <v>45</v>
      </c>
      <c r="M912" s="17" t="s">
        <v>377</v>
      </c>
      <c r="N912" s="17" t="s">
        <v>66</v>
      </c>
      <c r="O912" s="19" t="s">
        <v>141</v>
      </c>
      <c r="P912" s="99"/>
      <c r="Q912" s="17">
        <v>3860</v>
      </c>
      <c r="R912" s="95">
        <f>+P910-Q910-Q911-Q912</f>
        <v>-362.750000000002</v>
      </c>
      <c r="T912" s="19" t="s">
        <v>42</v>
      </c>
      <c r="U912" s="17" t="s">
        <v>378</v>
      </c>
      <c r="V912" s="64">
        <v>44613</v>
      </c>
      <c r="W912" s="17" t="s">
        <v>69</v>
      </c>
      <c r="Y912" s="497" t="s">
        <v>374</v>
      </c>
      <c r="Z912" s="17" t="s">
        <v>191</v>
      </c>
      <c r="AA912" s="17" t="s">
        <v>46</v>
      </c>
      <c r="AB912" s="17" t="s">
        <v>381</v>
      </c>
      <c r="AC912" s="66">
        <v>44662</v>
      </c>
      <c r="AD912" s="65">
        <v>1290</v>
      </c>
      <c r="AE912" s="17" t="s">
        <v>387</v>
      </c>
      <c r="AI912" s="95"/>
    </row>
    <row r="913" s="17" customFormat="1" hidden="1" spans="1:35">
      <c r="A913" s="17" t="s">
        <v>34</v>
      </c>
      <c r="B913" s="19">
        <v>777</v>
      </c>
      <c r="C913" s="64">
        <v>44609</v>
      </c>
      <c r="D913" s="17" t="s">
        <v>52</v>
      </c>
      <c r="E913" s="17" t="s">
        <v>187</v>
      </c>
      <c r="F913" s="17" t="s">
        <v>54</v>
      </c>
      <c r="H913" s="65">
        <v>1.2311</v>
      </c>
      <c r="I913" s="65"/>
      <c r="J913" s="17" t="s">
        <v>49</v>
      </c>
      <c r="K913" s="19">
        <v>2200</v>
      </c>
      <c r="L913" s="19">
        <v>51</v>
      </c>
      <c r="M913" s="17" t="s">
        <v>377</v>
      </c>
      <c r="N913" s="17" t="s">
        <v>66</v>
      </c>
      <c r="O913" s="19" t="s">
        <v>141</v>
      </c>
      <c r="P913" s="99">
        <v>22019.25</v>
      </c>
      <c r="Q913" s="17">
        <v>27795</v>
      </c>
      <c r="R913" s="95">
        <f>+P913-Q913</f>
        <v>-5775.75</v>
      </c>
      <c r="S913" s="17">
        <v>1200</v>
      </c>
      <c r="T913" s="19" t="s">
        <v>42</v>
      </c>
      <c r="U913" s="17" t="s">
        <v>378</v>
      </c>
      <c r="V913" s="64">
        <v>44613</v>
      </c>
      <c r="W913" s="17" t="s">
        <v>69</v>
      </c>
      <c r="Y913" s="497" t="s">
        <v>374</v>
      </c>
      <c r="Z913" s="17" t="s">
        <v>191</v>
      </c>
      <c r="AA913" s="17" t="s">
        <v>46</v>
      </c>
      <c r="AB913" s="17" t="s">
        <v>363</v>
      </c>
      <c r="AC913" s="66">
        <v>44622</v>
      </c>
      <c r="AD913" s="65">
        <v>1266</v>
      </c>
      <c r="AE913" s="17" t="s">
        <v>388</v>
      </c>
      <c r="AF913" s="17" t="s">
        <v>380</v>
      </c>
      <c r="AH913" s="17" t="s">
        <v>383</v>
      </c>
      <c r="AI913" s="95">
        <v>105</v>
      </c>
    </row>
    <row r="914" s="17" customFormat="1" hidden="1" spans="1:35">
      <c r="A914" s="17" t="s">
        <v>34</v>
      </c>
      <c r="B914" s="19">
        <v>777</v>
      </c>
      <c r="C914" s="64">
        <v>44609</v>
      </c>
      <c r="D914" s="17" t="s">
        <v>52</v>
      </c>
      <c r="E914" s="17" t="s">
        <v>187</v>
      </c>
      <c r="F914" s="17" t="s">
        <v>54</v>
      </c>
      <c r="H914" s="65">
        <v>1.2311</v>
      </c>
      <c r="I914" s="65"/>
      <c r="J914" s="17" t="s">
        <v>49</v>
      </c>
      <c r="K914" s="19">
        <v>2200</v>
      </c>
      <c r="L914" s="19">
        <v>56</v>
      </c>
      <c r="M914" s="17" t="s">
        <v>389</v>
      </c>
      <c r="N914" s="17" t="s">
        <v>66</v>
      </c>
      <c r="O914" s="19" t="s">
        <v>141</v>
      </c>
      <c r="P914" s="99">
        <v>11605.44</v>
      </c>
      <c r="Q914" s="17">
        <f>3668+3678+5380</f>
        <v>12726</v>
      </c>
      <c r="R914" s="95">
        <f>+P914-Q914</f>
        <v>-1120.56</v>
      </c>
      <c r="S914" s="17">
        <v>1200</v>
      </c>
      <c r="T914" s="19" t="s">
        <v>42</v>
      </c>
      <c r="U914" s="17" t="s">
        <v>378</v>
      </c>
      <c r="V914" s="64">
        <v>44613</v>
      </c>
      <c r="W914" s="17" t="s">
        <v>69</v>
      </c>
      <c r="Y914" s="497" t="s">
        <v>374</v>
      </c>
      <c r="Z914" s="17" t="s">
        <v>191</v>
      </c>
      <c r="AA914" s="17" t="s">
        <v>46</v>
      </c>
      <c r="AB914" s="17" t="s">
        <v>384</v>
      </c>
      <c r="AC914" s="66">
        <v>44632</v>
      </c>
      <c r="AD914" s="65">
        <v>1272</v>
      </c>
      <c r="AE914" s="17" t="s">
        <v>387</v>
      </c>
      <c r="AF914" s="17" t="s">
        <v>380</v>
      </c>
      <c r="AH914" s="17" t="s">
        <v>383</v>
      </c>
      <c r="AI914" s="95">
        <v>105</v>
      </c>
    </row>
    <row r="915" s="17" customFormat="1" hidden="1" spans="1:35">
      <c r="A915" s="17" t="s">
        <v>34</v>
      </c>
      <c r="B915" s="19">
        <v>777</v>
      </c>
      <c r="C915" s="64">
        <v>44609</v>
      </c>
      <c r="D915" s="17" t="s">
        <v>52</v>
      </c>
      <c r="E915" s="17" t="s">
        <v>187</v>
      </c>
      <c r="F915" s="17" t="s">
        <v>54</v>
      </c>
      <c r="H915" s="65">
        <v>1.2311</v>
      </c>
      <c r="I915" s="65"/>
      <c r="J915" s="17" t="s">
        <v>49</v>
      </c>
      <c r="K915" s="19">
        <v>2200</v>
      </c>
      <c r="L915" s="19">
        <v>61</v>
      </c>
      <c r="M915" s="17" t="s">
        <v>389</v>
      </c>
      <c r="N915" s="17" t="s">
        <v>66</v>
      </c>
      <c r="O915" s="19" t="s">
        <v>141</v>
      </c>
      <c r="P915" s="99">
        <v>5267.35</v>
      </c>
      <c r="Q915" s="17">
        <v>5610</v>
      </c>
      <c r="R915" s="95">
        <f>+P915-Q915</f>
        <v>-342.65</v>
      </c>
      <c r="S915" s="17">
        <v>1200</v>
      </c>
      <c r="T915" s="19" t="s">
        <v>42</v>
      </c>
      <c r="U915" s="17" t="s">
        <v>378</v>
      </c>
      <c r="V915" s="64">
        <v>44613</v>
      </c>
      <c r="W915" s="17" t="s">
        <v>69</v>
      </c>
      <c r="Y915" s="496" t="s">
        <v>374</v>
      </c>
      <c r="Z915" s="17" t="s">
        <v>191</v>
      </c>
      <c r="AA915" s="17" t="s">
        <v>46</v>
      </c>
      <c r="AB915" s="17" t="s">
        <v>351</v>
      </c>
      <c r="AC915" s="66">
        <v>44679</v>
      </c>
      <c r="AD915" s="65">
        <v>1293</v>
      </c>
      <c r="AE915" s="17" t="s">
        <v>48</v>
      </c>
      <c r="AF915" s="17" t="s">
        <v>380</v>
      </c>
    </row>
    <row r="916" s="17" customFormat="1" hidden="1" spans="1:35">
      <c r="A916" s="17" t="s">
        <v>34</v>
      </c>
      <c r="B916" s="19">
        <v>777</v>
      </c>
      <c r="C916" s="64">
        <v>44609</v>
      </c>
      <c r="D916" s="17" t="s">
        <v>52</v>
      </c>
      <c r="E916" s="17" t="s">
        <v>187</v>
      </c>
      <c r="F916" s="17" t="s">
        <v>54</v>
      </c>
      <c r="H916" s="65">
        <v>1.2311</v>
      </c>
      <c r="I916" s="65"/>
      <c r="J916" s="17" t="s">
        <v>49</v>
      </c>
      <c r="K916" s="19">
        <v>2200</v>
      </c>
      <c r="L916" s="19">
        <v>65</v>
      </c>
      <c r="M916" s="17" t="s">
        <v>389</v>
      </c>
      <c r="N916" s="17" t="s">
        <v>66</v>
      </c>
      <c r="O916" s="19" t="s">
        <v>141</v>
      </c>
      <c r="P916" s="99">
        <v>16838.25</v>
      </c>
      <c r="Q916" s="17">
        <v>6040</v>
      </c>
      <c r="S916" s="17">
        <v>1200</v>
      </c>
      <c r="T916" s="19" t="s">
        <v>42</v>
      </c>
      <c r="U916" s="17" t="s">
        <v>378</v>
      </c>
      <c r="V916" s="64">
        <v>44613</v>
      </c>
      <c r="W916" s="17" t="s">
        <v>69</v>
      </c>
      <c r="Y916" s="497" t="s">
        <v>374</v>
      </c>
      <c r="Z916" s="17" t="s">
        <v>191</v>
      </c>
      <c r="AA916" s="17" t="s">
        <v>46</v>
      </c>
      <c r="AB916" s="17" t="s">
        <v>385</v>
      </c>
      <c r="AC916" s="66">
        <v>44632</v>
      </c>
      <c r="AD916" s="65">
        <v>1273</v>
      </c>
      <c r="AE916" s="17" t="s">
        <v>387</v>
      </c>
      <c r="AF916" s="17" t="s">
        <v>380</v>
      </c>
      <c r="AH916" s="17" t="s">
        <v>383</v>
      </c>
      <c r="AI916" s="17">
        <v>105</v>
      </c>
    </row>
    <row r="917" s="17" customFormat="1" hidden="1" spans="1:35">
      <c r="A917" s="17" t="s">
        <v>34</v>
      </c>
      <c r="B917" s="19">
        <v>777</v>
      </c>
      <c r="C917" s="64">
        <v>44609</v>
      </c>
      <c r="D917" s="17" t="s">
        <v>52</v>
      </c>
      <c r="E917" s="17" t="s">
        <v>187</v>
      </c>
      <c r="F917" s="17" t="s">
        <v>54</v>
      </c>
      <c r="H917" s="65">
        <v>1.2311</v>
      </c>
      <c r="I917" s="65"/>
      <c r="J917" s="17" t="s">
        <v>49</v>
      </c>
      <c r="K917" s="19">
        <v>2200</v>
      </c>
      <c r="L917" s="19">
        <v>65</v>
      </c>
      <c r="M917" s="17" t="s">
        <v>389</v>
      </c>
      <c r="N917" s="17" t="s">
        <v>66</v>
      </c>
      <c r="O917" s="19" t="s">
        <v>141</v>
      </c>
      <c r="P917" s="99"/>
      <c r="Q917" s="17">
        <f>5670+6420</f>
        <v>12090</v>
      </c>
      <c r="R917" s="95">
        <f>+P916-Q916-Q917</f>
        <v>-1291.75</v>
      </c>
      <c r="S917" s="17">
        <v>1200</v>
      </c>
      <c r="T917" s="19" t="s">
        <v>42</v>
      </c>
      <c r="U917" s="17" t="s">
        <v>378</v>
      </c>
      <c r="V917" s="64">
        <v>44613</v>
      </c>
      <c r="W917" s="17" t="s">
        <v>69</v>
      </c>
      <c r="Y917" s="497" t="s">
        <v>374</v>
      </c>
      <c r="Z917" s="17" t="s">
        <v>191</v>
      </c>
      <c r="AA917" s="17" t="s">
        <v>46</v>
      </c>
      <c r="AB917" s="17" t="s">
        <v>379</v>
      </c>
      <c r="AC917" s="66">
        <v>44645</v>
      </c>
      <c r="AD917" s="65">
        <v>1279</v>
      </c>
      <c r="AE917" s="17" t="s">
        <v>387</v>
      </c>
      <c r="AF917" s="17" t="s">
        <v>380</v>
      </c>
      <c r="AH917" s="17" t="s">
        <v>383</v>
      </c>
      <c r="AI917" s="17">
        <v>105</v>
      </c>
    </row>
    <row r="918" s="17" customFormat="1" hidden="1" spans="1:35">
      <c r="A918" s="17" t="s">
        <v>34</v>
      </c>
      <c r="B918" s="19">
        <v>777</v>
      </c>
      <c r="C918" s="64">
        <v>44609</v>
      </c>
      <c r="D918" s="17" t="s">
        <v>52</v>
      </c>
      <c r="E918" s="17" t="s">
        <v>187</v>
      </c>
      <c r="F918" s="17" t="s">
        <v>54</v>
      </c>
      <c r="H918" s="65">
        <v>1.2311</v>
      </c>
      <c r="I918" s="65"/>
      <c r="J918" s="17" t="s">
        <v>49</v>
      </c>
      <c r="K918" s="19">
        <v>2200</v>
      </c>
      <c r="L918" s="19">
        <v>71</v>
      </c>
      <c r="M918" s="17" t="s">
        <v>389</v>
      </c>
      <c r="N918" s="17" t="s">
        <v>66</v>
      </c>
      <c r="O918" s="19" t="s">
        <v>141</v>
      </c>
      <c r="P918" s="99">
        <v>6130.85</v>
      </c>
      <c r="Q918" s="17">
        <v>6000</v>
      </c>
      <c r="R918" s="95">
        <f>+P918-Q918</f>
        <v>130.849999999999</v>
      </c>
      <c r="S918" s="17">
        <v>1200</v>
      </c>
      <c r="T918" s="19" t="s">
        <v>42</v>
      </c>
      <c r="U918" s="17" t="s">
        <v>378</v>
      </c>
      <c r="V918" s="64">
        <v>44613</v>
      </c>
      <c r="W918" s="17" t="s">
        <v>69</v>
      </c>
      <c r="Y918" s="497" t="s">
        <v>374</v>
      </c>
      <c r="Z918" s="17" t="s">
        <v>191</v>
      </c>
      <c r="AA918" s="17" t="s">
        <v>46</v>
      </c>
      <c r="AB918" s="17" t="s">
        <v>379</v>
      </c>
      <c r="AC918" s="66">
        <v>44645</v>
      </c>
      <c r="AD918" s="65">
        <v>1279</v>
      </c>
      <c r="AE918" s="17" t="s">
        <v>48</v>
      </c>
      <c r="AF918" s="17" t="s">
        <v>380</v>
      </c>
    </row>
    <row r="919" s="17" customFormat="1" hidden="1" spans="1:35">
      <c r="A919" s="17" t="s">
        <v>34</v>
      </c>
      <c r="B919" s="19">
        <v>777</v>
      </c>
      <c r="C919" s="64">
        <v>44609</v>
      </c>
      <c r="D919" s="17" t="s">
        <v>52</v>
      </c>
      <c r="E919" s="17" t="s">
        <v>187</v>
      </c>
      <c r="F919" s="17" t="s">
        <v>54</v>
      </c>
      <c r="H919" s="65">
        <v>1.2311</v>
      </c>
      <c r="I919" s="65"/>
      <c r="J919" s="17" t="s">
        <v>49</v>
      </c>
      <c r="K919" s="19">
        <v>2200</v>
      </c>
      <c r="L919" s="19">
        <v>75</v>
      </c>
      <c r="M919" s="17" t="s">
        <v>389</v>
      </c>
      <c r="N919" s="17" t="s">
        <v>66</v>
      </c>
      <c r="O919" s="19" t="s">
        <v>141</v>
      </c>
      <c r="P919" s="99">
        <v>6476</v>
      </c>
      <c r="Q919" s="17">
        <v>6920</v>
      </c>
      <c r="R919" s="17">
        <f>+P919-Q919</f>
        <v>-444</v>
      </c>
      <c r="S919" s="17">
        <v>1200</v>
      </c>
      <c r="T919" s="19" t="s">
        <v>42</v>
      </c>
      <c r="U919" s="17" t="s">
        <v>378</v>
      </c>
      <c r="V919" s="64">
        <v>44613</v>
      </c>
      <c r="W919" s="17" t="s">
        <v>69</v>
      </c>
      <c r="Y919" s="497" t="s">
        <v>374</v>
      </c>
      <c r="Z919" s="17" t="s">
        <v>191</v>
      </c>
      <c r="AA919" s="17" t="s">
        <v>46</v>
      </c>
      <c r="AB919" s="17" t="s">
        <v>379</v>
      </c>
      <c r="AC919" s="66">
        <v>44645</v>
      </c>
      <c r="AD919" s="65">
        <v>1279</v>
      </c>
      <c r="AE919" s="17" t="s">
        <v>48</v>
      </c>
      <c r="AF919" s="17" t="s">
        <v>380</v>
      </c>
    </row>
    <row r="920" s="17" customFormat="1" hidden="1" spans="1:35">
      <c r="A920" s="17" t="s">
        <v>34</v>
      </c>
      <c r="B920" s="19">
        <v>777</v>
      </c>
      <c r="C920" s="64">
        <v>44609</v>
      </c>
      <c r="D920" s="17" t="s">
        <v>52</v>
      </c>
      <c r="E920" s="17" t="s">
        <v>187</v>
      </c>
      <c r="F920" s="17" t="s">
        <v>54</v>
      </c>
      <c r="H920" s="65">
        <v>1.2311</v>
      </c>
      <c r="I920" s="65"/>
      <c r="J920" s="17" t="s">
        <v>49</v>
      </c>
      <c r="K920" s="19">
        <v>2200</v>
      </c>
      <c r="L920" s="19">
        <v>81</v>
      </c>
      <c r="M920" s="17" t="s">
        <v>389</v>
      </c>
      <c r="N920" s="17" t="s">
        <v>66</v>
      </c>
      <c r="O920" s="19" t="s">
        <v>141</v>
      </c>
      <c r="P920" s="99">
        <v>13988.7</v>
      </c>
      <c r="Q920" s="17">
        <v>7310</v>
      </c>
      <c r="S920" s="17">
        <v>1200</v>
      </c>
      <c r="T920" s="19" t="s">
        <v>42</v>
      </c>
      <c r="U920" s="17" t="s">
        <v>378</v>
      </c>
      <c r="V920" s="64">
        <v>44613</v>
      </c>
      <c r="W920" s="17" t="s">
        <v>69</v>
      </c>
      <c r="Y920" s="497" t="s">
        <v>374</v>
      </c>
      <c r="Z920" s="17" t="s">
        <v>191</v>
      </c>
      <c r="AA920" s="17" t="s">
        <v>46</v>
      </c>
      <c r="AB920" s="17" t="s">
        <v>385</v>
      </c>
      <c r="AC920" s="66">
        <v>44632</v>
      </c>
      <c r="AD920" s="65">
        <v>1273</v>
      </c>
      <c r="AE920" s="17" t="s">
        <v>382</v>
      </c>
      <c r="AF920" s="17" t="s">
        <v>380</v>
      </c>
      <c r="AH920" s="17" t="s">
        <v>383</v>
      </c>
      <c r="AI920" s="17">
        <v>105</v>
      </c>
    </row>
    <row r="921" s="17" customFormat="1" hidden="1" spans="1:35">
      <c r="A921" s="17" t="s">
        <v>34</v>
      </c>
      <c r="B921" s="19">
        <v>777</v>
      </c>
      <c r="C921" s="64">
        <v>44609</v>
      </c>
      <c r="D921" s="17" t="s">
        <v>52</v>
      </c>
      <c r="E921" s="17" t="s">
        <v>187</v>
      </c>
      <c r="F921" s="17" t="s">
        <v>54</v>
      </c>
      <c r="H921" s="65">
        <v>1.2311</v>
      </c>
      <c r="I921" s="65"/>
      <c r="J921" s="17" t="s">
        <v>49</v>
      </c>
      <c r="K921" s="19">
        <v>2200</v>
      </c>
      <c r="L921" s="19">
        <v>81</v>
      </c>
      <c r="M921" s="17" t="s">
        <v>389</v>
      </c>
      <c r="N921" s="17" t="s">
        <v>66</v>
      </c>
      <c r="O921" s="19" t="s">
        <v>141</v>
      </c>
      <c r="P921" s="99"/>
      <c r="Q921" s="17">
        <v>7320</v>
      </c>
      <c r="R921" s="95">
        <f>+P920-Q920-Q921</f>
        <v>-641.300000000001</v>
      </c>
      <c r="S921" s="17">
        <v>1200</v>
      </c>
      <c r="T921" s="19" t="s">
        <v>42</v>
      </c>
      <c r="U921" s="17" t="s">
        <v>378</v>
      </c>
      <c r="V921" s="64">
        <v>44613</v>
      </c>
      <c r="W921" s="17" t="s">
        <v>69</v>
      </c>
      <c r="Y921" s="497" t="s">
        <v>374</v>
      </c>
      <c r="Z921" s="17" t="s">
        <v>191</v>
      </c>
      <c r="AA921" s="17" t="s">
        <v>46</v>
      </c>
      <c r="AB921" s="17" t="s">
        <v>379</v>
      </c>
      <c r="AC921" s="66">
        <v>44645</v>
      </c>
      <c r="AD921" s="65">
        <v>1279</v>
      </c>
      <c r="AE921" s="17" t="s">
        <v>390</v>
      </c>
      <c r="AF921" s="17" t="s">
        <v>380</v>
      </c>
      <c r="AH921" s="17" t="s">
        <v>383</v>
      </c>
      <c r="AI921" s="17">
        <v>105</v>
      </c>
    </row>
    <row r="922" s="17" customFormat="1" hidden="1" spans="1:35">
      <c r="A922" s="17" t="s">
        <v>34</v>
      </c>
      <c r="B922" s="19">
        <v>777</v>
      </c>
      <c r="C922" s="64">
        <v>44609</v>
      </c>
      <c r="D922" s="17" t="s">
        <v>52</v>
      </c>
      <c r="E922" s="17" t="s">
        <v>187</v>
      </c>
      <c r="F922" s="17" t="s">
        <v>54</v>
      </c>
      <c r="H922" s="65">
        <v>1.2311</v>
      </c>
      <c r="I922" s="65"/>
      <c r="J922" s="17" t="s">
        <v>49</v>
      </c>
      <c r="K922" s="19">
        <v>2200</v>
      </c>
      <c r="L922" s="19">
        <v>90</v>
      </c>
      <c r="M922" s="17" t="s">
        <v>389</v>
      </c>
      <c r="N922" s="17" t="s">
        <v>66</v>
      </c>
      <c r="O922" s="19" t="s">
        <v>141</v>
      </c>
      <c r="P922" s="99">
        <v>8549</v>
      </c>
      <c r="Q922" s="17">
        <v>8250</v>
      </c>
      <c r="R922" s="17">
        <f t="shared" ref="R922:R953" si="60">+P922-Q922</f>
        <v>299</v>
      </c>
      <c r="S922" s="17">
        <v>1200</v>
      </c>
      <c r="T922" s="19" t="s">
        <v>42</v>
      </c>
      <c r="U922" s="17" t="s">
        <v>378</v>
      </c>
      <c r="V922" s="64">
        <v>44613</v>
      </c>
      <c r="W922" s="17" t="s">
        <v>69</v>
      </c>
      <c r="Y922" s="497" t="s">
        <v>374</v>
      </c>
      <c r="Z922" s="17" t="s">
        <v>191</v>
      </c>
      <c r="AA922" s="17" t="s">
        <v>46</v>
      </c>
      <c r="AB922" s="17" t="s">
        <v>384</v>
      </c>
      <c r="AC922" s="66">
        <v>44632</v>
      </c>
      <c r="AD922" s="65">
        <v>1272</v>
      </c>
      <c r="AE922" s="17" t="s">
        <v>382</v>
      </c>
      <c r="AF922" s="17" t="s">
        <v>380</v>
      </c>
      <c r="AH922" s="17" t="s">
        <v>383</v>
      </c>
      <c r="AI922" s="17">
        <v>105</v>
      </c>
    </row>
    <row r="923" s="17" customFormat="1" hidden="1" spans="1:35">
      <c r="A923" s="17" t="s">
        <v>34</v>
      </c>
      <c r="B923" s="19">
        <v>777</v>
      </c>
      <c r="C923" s="64">
        <v>44609</v>
      </c>
      <c r="D923" s="17" t="s">
        <v>52</v>
      </c>
      <c r="E923" s="17" t="s">
        <v>187</v>
      </c>
      <c r="F923" s="17" t="s">
        <v>54</v>
      </c>
      <c r="H923" s="65">
        <v>1.2311</v>
      </c>
      <c r="I923" s="65"/>
      <c r="J923" s="17" t="s">
        <v>49</v>
      </c>
      <c r="K923" s="19">
        <v>2200</v>
      </c>
      <c r="L923" s="19">
        <v>100</v>
      </c>
      <c r="M923" s="17" t="s">
        <v>389</v>
      </c>
      <c r="N923" s="17" t="s">
        <v>66</v>
      </c>
      <c r="O923" s="19" t="s">
        <v>141</v>
      </c>
      <c r="P923" s="99">
        <v>8635</v>
      </c>
      <c r="Q923" s="17">
        <v>9030</v>
      </c>
      <c r="R923" s="17">
        <f t="shared" si="60"/>
        <v>-395</v>
      </c>
      <c r="S923" s="17">
        <v>1200</v>
      </c>
      <c r="T923" s="19" t="s">
        <v>42</v>
      </c>
      <c r="U923" s="17" t="s">
        <v>378</v>
      </c>
      <c r="V923" s="64">
        <v>44613</v>
      </c>
      <c r="W923" s="17" t="s">
        <v>69</v>
      </c>
      <c r="Y923" s="497" t="s">
        <v>374</v>
      </c>
      <c r="Z923" s="17" t="s">
        <v>191</v>
      </c>
      <c r="AA923" s="17" t="s">
        <v>46</v>
      </c>
      <c r="AB923" s="17" t="s">
        <v>379</v>
      </c>
      <c r="AC923" s="66">
        <v>44645</v>
      </c>
      <c r="AD923" s="65">
        <v>1279</v>
      </c>
      <c r="AE923" s="17" t="s">
        <v>48</v>
      </c>
      <c r="AF923" s="17" t="s">
        <v>380</v>
      </c>
    </row>
    <row r="924" s="17" customFormat="1" hidden="1" spans="1:35">
      <c r="A924" s="17" t="s">
        <v>34</v>
      </c>
      <c r="B924" s="19">
        <v>777</v>
      </c>
      <c r="C924" s="64">
        <v>44609</v>
      </c>
      <c r="D924" s="17" t="s">
        <v>52</v>
      </c>
      <c r="E924" s="17" t="s">
        <v>187</v>
      </c>
      <c r="F924" s="17" t="s">
        <v>54</v>
      </c>
      <c r="H924" s="65">
        <v>1.2311</v>
      </c>
      <c r="I924" s="65"/>
      <c r="J924" s="17" t="s">
        <v>49</v>
      </c>
      <c r="K924" s="19">
        <v>2200</v>
      </c>
      <c r="L924" s="19">
        <v>105</v>
      </c>
      <c r="M924" s="17" t="s">
        <v>389</v>
      </c>
      <c r="N924" s="17" t="s">
        <v>66</v>
      </c>
      <c r="O924" s="19" t="s">
        <v>141</v>
      </c>
      <c r="P924" s="99">
        <v>18133.5</v>
      </c>
      <c r="Q924" s="17">
        <f>9400+8970</f>
        <v>18370</v>
      </c>
      <c r="R924" s="95">
        <f t="shared" si="60"/>
        <v>-236.5</v>
      </c>
      <c r="S924" s="17">
        <v>1200</v>
      </c>
      <c r="T924" s="19" t="s">
        <v>42</v>
      </c>
      <c r="U924" s="17" t="s">
        <v>378</v>
      </c>
      <c r="V924" s="64">
        <v>44613</v>
      </c>
      <c r="W924" s="17" t="s">
        <v>69</v>
      </c>
      <c r="Y924" s="497" t="s">
        <v>374</v>
      </c>
      <c r="Z924" s="17" t="s">
        <v>191</v>
      </c>
      <c r="AA924" s="17" t="s">
        <v>46</v>
      </c>
      <c r="AB924" s="17" t="s">
        <v>385</v>
      </c>
      <c r="AC924" s="66">
        <v>44632</v>
      </c>
      <c r="AD924" s="65">
        <v>1273</v>
      </c>
      <c r="AE924" s="17" t="s">
        <v>382</v>
      </c>
      <c r="AF924" s="17" t="s">
        <v>380</v>
      </c>
      <c r="AH924" s="17" t="s">
        <v>383</v>
      </c>
      <c r="AI924" s="17">
        <v>105</v>
      </c>
    </row>
    <row r="925" s="17" customFormat="1" hidden="1" spans="1:35">
      <c r="A925" s="17" t="s">
        <v>34</v>
      </c>
      <c r="B925" s="19">
        <v>777</v>
      </c>
      <c r="C925" s="64">
        <v>44609</v>
      </c>
      <c r="D925" s="17" t="s">
        <v>52</v>
      </c>
      <c r="E925" s="17" t="s">
        <v>187</v>
      </c>
      <c r="F925" s="17" t="s">
        <v>54</v>
      </c>
      <c r="H925" s="65">
        <v>1.2311</v>
      </c>
      <c r="I925" s="65"/>
      <c r="J925" s="17" t="s">
        <v>49</v>
      </c>
      <c r="K925" s="19">
        <v>2200</v>
      </c>
      <c r="L925" s="19">
        <v>130</v>
      </c>
      <c r="M925" s="17" t="s">
        <v>389</v>
      </c>
      <c r="N925" s="17" t="s">
        <v>66</v>
      </c>
      <c r="O925" s="19" t="s">
        <v>141</v>
      </c>
      <c r="P925" s="99">
        <v>10103</v>
      </c>
      <c r="Q925" s="17">
        <v>12290</v>
      </c>
      <c r="R925" s="17">
        <f t="shared" si="60"/>
        <v>-2187</v>
      </c>
      <c r="S925" s="17">
        <v>1220</v>
      </c>
      <c r="T925" s="19" t="s">
        <v>42</v>
      </c>
      <c r="U925" s="17" t="s">
        <v>378</v>
      </c>
      <c r="V925" s="64">
        <v>44613</v>
      </c>
      <c r="W925" s="17" t="s">
        <v>69</v>
      </c>
      <c r="Y925" s="497" t="s">
        <v>374</v>
      </c>
      <c r="Z925" s="17" t="s">
        <v>191</v>
      </c>
      <c r="AA925" s="17" t="s">
        <v>46</v>
      </c>
      <c r="AB925" s="17" t="s">
        <v>385</v>
      </c>
      <c r="AC925" s="66">
        <v>44632</v>
      </c>
      <c r="AD925" s="65">
        <v>1273</v>
      </c>
      <c r="AE925" s="17" t="s">
        <v>48</v>
      </c>
      <c r="AF925" s="17" t="s">
        <v>380</v>
      </c>
    </row>
    <row r="926" s="17" customFormat="1" hidden="1" spans="1:35">
      <c r="A926" s="17" t="s">
        <v>34</v>
      </c>
      <c r="B926" s="19">
        <v>777</v>
      </c>
      <c r="C926" s="64">
        <v>44609</v>
      </c>
      <c r="D926" s="17" t="s">
        <v>52</v>
      </c>
      <c r="E926" s="17" t="s">
        <v>187</v>
      </c>
      <c r="F926" s="17" t="s">
        <v>54</v>
      </c>
      <c r="H926" s="65">
        <v>1.2311</v>
      </c>
      <c r="I926" s="65"/>
      <c r="J926" s="17" t="s">
        <v>49</v>
      </c>
      <c r="K926" s="19">
        <v>2200</v>
      </c>
      <c r="L926" s="19">
        <v>155</v>
      </c>
      <c r="M926" s="17" t="s">
        <v>389</v>
      </c>
      <c r="N926" s="17" t="s">
        <v>66</v>
      </c>
      <c r="O926" s="19" t="s">
        <v>141</v>
      </c>
      <c r="P926" s="99">
        <v>13384</v>
      </c>
      <c r="Q926" s="17">
        <v>13425</v>
      </c>
      <c r="R926" s="17">
        <f t="shared" si="60"/>
        <v>-41</v>
      </c>
      <c r="S926" s="17">
        <v>1240</v>
      </c>
      <c r="T926" s="19" t="s">
        <v>42</v>
      </c>
      <c r="U926" s="17" t="s">
        <v>378</v>
      </c>
      <c r="V926" s="64">
        <v>44613</v>
      </c>
      <c r="W926" s="17" t="s">
        <v>69</v>
      </c>
      <c r="Y926" s="497" t="s">
        <v>374</v>
      </c>
      <c r="Z926" s="17" t="s">
        <v>191</v>
      </c>
      <c r="AA926" s="17" t="s">
        <v>46</v>
      </c>
      <c r="AB926" s="17" t="s">
        <v>384</v>
      </c>
      <c r="AC926" s="66">
        <v>44632</v>
      </c>
      <c r="AD926" s="65">
        <v>1272</v>
      </c>
      <c r="AE926" s="17" t="s">
        <v>48</v>
      </c>
      <c r="AF926" s="17" t="s">
        <v>380</v>
      </c>
    </row>
    <row r="927" s="17" customFormat="1" hidden="1" spans="1:35">
      <c r="A927" s="17" t="s">
        <v>34</v>
      </c>
      <c r="B927" s="19">
        <v>777</v>
      </c>
      <c r="C927" s="64">
        <v>44609</v>
      </c>
      <c r="D927" s="17" t="s">
        <v>52</v>
      </c>
      <c r="E927" s="17" t="s">
        <v>187</v>
      </c>
      <c r="F927" s="17" t="s">
        <v>54</v>
      </c>
      <c r="H927" s="65">
        <v>1.2311</v>
      </c>
      <c r="I927" s="65"/>
      <c r="J927" s="17" t="s">
        <v>49</v>
      </c>
      <c r="K927" s="19">
        <v>2200</v>
      </c>
      <c r="L927" s="146">
        <v>205</v>
      </c>
      <c r="M927" s="17" t="s">
        <v>389</v>
      </c>
      <c r="N927" s="17" t="s">
        <v>66</v>
      </c>
      <c r="O927" s="19" t="s">
        <v>141</v>
      </c>
      <c r="P927" s="99">
        <v>19947</v>
      </c>
      <c r="Q927" s="17">
        <v>8000</v>
      </c>
      <c r="R927" s="17">
        <f t="shared" si="60"/>
        <v>11947</v>
      </c>
      <c r="S927" s="17">
        <v>1340</v>
      </c>
      <c r="T927" s="19" t="s">
        <v>42</v>
      </c>
      <c r="U927" s="17" t="s">
        <v>378</v>
      </c>
      <c r="V927" s="64">
        <v>44613</v>
      </c>
      <c r="W927" s="17" t="s">
        <v>69</v>
      </c>
      <c r="Y927" s="497" t="s">
        <v>374</v>
      </c>
      <c r="Z927" s="17" t="s">
        <v>191</v>
      </c>
      <c r="AA927" s="17" t="s">
        <v>46</v>
      </c>
      <c r="AB927" s="17" t="s">
        <v>379</v>
      </c>
      <c r="AC927" s="66">
        <v>44645</v>
      </c>
      <c r="AD927" s="65">
        <v>1279</v>
      </c>
      <c r="AE927" s="17" t="s">
        <v>382</v>
      </c>
      <c r="AF927" s="17" t="s">
        <v>380</v>
      </c>
      <c r="AH927" s="17" t="s">
        <v>391</v>
      </c>
      <c r="AI927" s="17">
        <v>117</v>
      </c>
    </row>
    <row r="928" s="17" customFormat="1" hidden="1" spans="1:35">
      <c r="A928" s="17" t="s">
        <v>34</v>
      </c>
      <c r="B928" s="19">
        <v>777</v>
      </c>
      <c r="C928" s="64">
        <v>44609</v>
      </c>
      <c r="D928" s="17" t="s">
        <v>52</v>
      </c>
      <c r="E928" s="17" t="s">
        <v>187</v>
      </c>
      <c r="F928" s="17" t="s">
        <v>54</v>
      </c>
      <c r="H928" s="65">
        <v>1.2311</v>
      </c>
      <c r="I928" s="65"/>
      <c r="J928" s="17" t="s">
        <v>82</v>
      </c>
      <c r="K928" s="19">
        <v>505</v>
      </c>
      <c r="L928" s="19">
        <v>50</v>
      </c>
      <c r="M928" s="17" t="s">
        <v>389</v>
      </c>
      <c r="N928" s="17" t="s">
        <v>66</v>
      </c>
      <c r="O928" s="19" t="s">
        <v>141</v>
      </c>
      <c r="P928" s="19">
        <v>5000</v>
      </c>
      <c r="Q928" s="17">
        <f>448+449+450+450+448+448+449+447+448+447+441</f>
        <v>4925</v>
      </c>
      <c r="R928" s="17">
        <f t="shared" si="60"/>
        <v>75</v>
      </c>
      <c r="S928" s="17">
        <v>1220</v>
      </c>
      <c r="T928" s="19" t="s">
        <v>42</v>
      </c>
      <c r="V928" s="64"/>
      <c r="W928" s="17" t="s">
        <v>69</v>
      </c>
      <c r="Z928" s="17" t="s">
        <v>191</v>
      </c>
      <c r="AA928" s="17" t="s">
        <v>46</v>
      </c>
      <c r="AB928" s="17" t="s">
        <v>351</v>
      </c>
      <c r="AC928" s="66">
        <v>44679</v>
      </c>
      <c r="AD928" s="65">
        <v>1293</v>
      </c>
      <c r="AE928" s="17" t="s">
        <v>48</v>
      </c>
      <c r="AF928" s="17" t="s">
        <v>380</v>
      </c>
    </row>
    <row r="929" s="17" customFormat="1" hidden="1" spans="1:35">
      <c r="A929" s="17" t="s">
        <v>34</v>
      </c>
      <c r="B929" s="19">
        <v>778</v>
      </c>
      <c r="C929" s="64">
        <v>44610</v>
      </c>
      <c r="D929" s="17" t="s">
        <v>52</v>
      </c>
      <c r="E929" s="17" t="s">
        <v>187</v>
      </c>
      <c r="F929" s="17" t="s">
        <v>54</v>
      </c>
      <c r="H929" s="65">
        <v>1.2311</v>
      </c>
      <c r="I929" s="65"/>
      <c r="J929" s="17" t="s">
        <v>82</v>
      </c>
      <c r="K929" s="19">
        <v>205</v>
      </c>
      <c r="L929" s="19">
        <v>25</v>
      </c>
      <c r="M929" s="17" t="s">
        <v>361</v>
      </c>
      <c r="N929" s="17" t="s">
        <v>66</v>
      </c>
      <c r="O929" s="19" t="s">
        <v>141</v>
      </c>
      <c r="P929" s="19">
        <v>1500</v>
      </c>
      <c r="Q929" s="17">
        <f>1514+96</f>
        <v>1610</v>
      </c>
      <c r="R929" s="17">
        <f t="shared" si="60"/>
        <v>-110</v>
      </c>
      <c r="S929" s="17">
        <v>1220</v>
      </c>
      <c r="T929" s="19" t="s">
        <v>42</v>
      </c>
      <c r="U929" s="17" t="s">
        <v>392</v>
      </c>
      <c r="V929" s="64">
        <v>44613</v>
      </c>
      <c r="W929" s="17" t="s">
        <v>69</v>
      </c>
      <c r="Y929" s="68">
        <v>44621</v>
      </c>
      <c r="Z929" s="17" t="s">
        <v>191</v>
      </c>
      <c r="AA929" s="17" t="s">
        <v>46</v>
      </c>
      <c r="AB929" s="17" t="s">
        <v>393</v>
      </c>
      <c r="AC929" s="66">
        <v>44635</v>
      </c>
      <c r="AD929" s="65">
        <v>1274</v>
      </c>
      <c r="AE929" s="17" t="s">
        <v>74</v>
      </c>
      <c r="AF929" s="17" t="s">
        <v>380</v>
      </c>
      <c r="AH929" s="17" t="s">
        <v>394</v>
      </c>
      <c r="AI929" s="17">
        <v>107</v>
      </c>
    </row>
    <row r="930" s="17" customFormat="1" hidden="1" spans="1:35">
      <c r="A930" s="17" t="s">
        <v>34</v>
      </c>
      <c r="B930" s="19">
        <v>778</v>
      </c>
      <c r="C930" s="64">
        <v>44610</v>
      </c>
      <c r="D930" s="17" t="s">
        <v>52</v>
      </c>
      <c r="E930" s="17" t="s">
        <v>187</v>
      </c>
      <c r="F930" s="17" t="s">
        <v>54</v>
      </c>
      <c r="H930" s="65">
        <v>1.2311</v>
      </c>
      <c r="I930" s="65"/>
      <c r="J930" s="17" t="s">
        <v>82</v>
      </c>
      <c r="K930" s="19">
        <v>255</v>
      </c>
      <c r="L930" s="19">
        <v>25</v>
      </c>
      <c r="M930" s="17" t="s">
        <v>361</v>
      </c>
      <c r="N930" s="17" t="s">
        <v>66</v>
      </c>
      <c r="O930" s="19" t="s">
        <v>141</v>
      </c>
      <c r="P930" s="19">
        <v>1000</v>
      </c>
      <c r="Q930" s="17">
        <f>943+119</f>
        <v>1062</v>
      </c>
      <c r="R930" s="17">
        <f t="shared" si="60"/>
        <v>-62</v>
      </c>
      <c r="S930" s="17">
        <v>1220</v>
      </c>
      <c r="T930" s="19" t="s">
        <v>42</v>
      </c>
      <c r="U930" s="17" t="s">
        <v>392</v>
      </c>
      <c r="V930" s="64">
        <v>44613</v>
      </c>
      <c r="W930" s="17" t="s">
        <v>69</v>
      </c>
      <c r="Y930" s="68">
        <v>44621</v>
      </c>
      <c r="Z930" s="17" t="s">
        <v>191</v>
      </c>
      <c r="AA930" s="17" t="s">
        <v>46</v>
      </c>
      <c r="AB930" s="17" t="s">
        <v>393</v>
      </c>
      <c r="AC930" s="66">
        <v>44635</v>
      </c>
      <c r="AD930" s="65">
        <v>1274</v>
      </c>
      <c r="AE930" s="17" t="s">
        <v>74</v>
      </c>
      <c r="AF930" s="17" t="s">
        <v>380</v>
      </c>
      <c r="AH930" s="17" t="s">
        <v>394</v>
      </c>
      <c r="AI930" s="17">
        <v>107</v>
      </c>
    </row>
    <row r="931" s="17" customFormat="1" hidden="1" spans="1:35">
      <c r="A931" s="17" t="s">
        <v>34</v>
      </c>
      <c r="B931" s="19">
        <v>778</v>
      </c>
      <c r="C931" s="64">
        <v>44610</v>
      </c>
      <c r="D931" s="17" t="s">
        <v>52</v>
      </c>
      <c r="E931" s="17" t="s">
        <v>187</v>
      </c>
      <c r="F931" s="17" t="s">
        <v>54</v>
      </c>
      <c r="H931" s="65">
        <v>1.2311</v>
      </c>
      <c r="I931" s="65"/>
      <c r="J931" s="17" t="s">
        <v>82</v>
      </c>
      <c r="K931" s="19">
        <v>305</v>
      </c>
      <c r="L931" s="19">
        <v>25</v>
      </c>
      <c r="M931" s="17" t="s">
        <v>361</v>
      </c>
      <c r="N931" s="17" t="s">
        <v>66</v>
      </c>
      <c r="O931" s="19" t="s">
        <v>141</v>
      </c>
      <c r="P931" s="19">
        <v>1000</v>
      </c>
      <c r="Q931" s="17">
        <v>1131</v>
      </c>
      <c r="R931" s="17">
        <f t="shared" si="60"/>
        <v>-131</v>
      </c>
      <c r="S931" s="17">
        <v>1220</v>
      </c>
      <c r="T931" s="19" t="s">
        <v>42</v>
      </c>
      <c r="U931" s="17" t="s">
        <v>392</v>
      </c>
      <c r="V931" s="64">
        <v>44613</v>
      </c>
      <c r="W931" s="17" t="s">
        <v>69</v>
      </c>
      <c r="Y931" s="68">
        <v>44621</v>
      </c>
      <c r="Z931" s="17" t="s">
        <v>191</v>
      </c>
      <c r="AA931" s="17" t="s">
        <v>46</v>
      </c>
      <c r="AB931" s="17" t="s">
        <v>393</v>
      </c>
      <c r="AC931" s="66">
        <v>44635</v>
      </c>
      <c r="AD931" s="65">
        <v>1274</v>
      </c>
      <c r="AE931" s="17" t="s">
        <v>74</v>
      </c>
      <c r="AF931" s="17" t="s">
        <v>380</v>
      </c>
      <c r="AH931" s="17" t="s">
        <v>394</v>
      </c>
      <c r="AI931" s="17">
        <v>107</v>
      </c>
    </row>
    <row r="932" s="17" customFormat="1" hidden="1" spans="1:35">
      <c r="A932" s="17" t="s">
        <v>34</v>
      </c>
      <c r="B932" s="19">
        <v>778</v>
      </c>
      <c r="C932" s="64">
        <v>44610</v>
      </c>
      <c r="D932" s="17" t="s">
        <v>52</v>
      </c>
      <c r="E932" s="17" t="s">
        <v>187</v>
      </c>
      <c r="F932" s="17" t="s">
        <v>54</v>
      </c>
      <c r="H932" s="65">
        <v>1.2311</v>
      </c>
      <c r="I932" s="65"/>
      <c r="J932" s="17" t="s">
        <v>82</v>
      </c>
      <c r="K932" s="19">
        <v>355</v>
      </c>
      <c r="L932" s="19">
        <v>25</v>
      </c>
      <c r="M932" s="17" t="s">
        <v>361</v>
      </c>
      <c r="N932" s="17" t="s">
        <v>66</v>
      </c>
      <c r="O932" s="19" t="s">
        <v>141</v>
      </c>
      <c r="P932" s="19">
        <v>1000</v>
      </c>
      <c r="Q932" s="17">
        <v>1152</v>
      </c>
      <c r="R932" s="17">
        <f t="shared" si="60"/>
        <v>-152</v>
      </c>
      <c r="S932" s="17">
        <v>1220</v>
      </c>
      <c r="T932" s="19" t="s">
        <v>42</v>
      </c>
      <c r="U932" s="17" t="s">
        <v>392</v>
      </c>
      <c r="V932" s="64">
        <v>44613</v>
      </c>
      <c r="W932" s="17" t="s">
        <v>69</v>
      </c>
      <c r="Y932" s="68">
        <v>44621</v>
      </c>
      <c r="Z932" s="17" t="s">
        <v>191</v>
      </c>
      <c r="AA932" s="17" t="s">
        <v>46</v>
      </c>
      <c r="AB932" s="17" t="s">
        <v>393</v>
      </c>
      <c r="AC932" s="66">
        <v>44635</v>
      </c>
      <c r="AD932" s="65">
        <v>1274</v>
      </c>
      <c r="AE932" s="17" t="s">
        <v>74</v>
      </c>
      <c r="AF932" s="17" t="s">
        <v>380</v>
      </c>
      <c r="AH932" s="17" t="s">
        <v>394</v>
      </c>
      <c r="AI932" s="17">
        <v>107</v>
      </c>
    </row>
    <row r="933" s="17" customFormat="1" hidden="1" spans="1:35">
      <c r="A933" s="17" t="s">
        <v>34</v>
      </c>
      <c r="B933" s="19">
        <v>778</v>
      </c>
      <c r="C933" s="64">
        <v>44610</v>
      </c>
      <c r="D933" s="17" t="s">
        <v>52</v>
      </c>
      <c r="E933" s="17" t="s">
        <v>187</v>
      </c>
      <c r="F933" s="17" t="s">
        <v>54</v>
      </c>
      <c r="H933" s="65">
        <v>1.2311</v>
      </c>
      <c r="I933" s="65"/>
      <c r="J933" s="17" t="s">
        <v>82</v>
      </c>
      <c r="K933" s="19">
        <v>405</v>
      </c>
      <c r="L933" s="19">
        <v>25</v>
      </c>
      <c r="M933" s="17" t="s">
        <v>361</v>
      </c>
      <c r="N933" s="17" t="s">
        <v>66</v>
      </c>
      <c r="O933" s="19" t="s">
        <v>141</v>
      </c>
      <c r="P933" s="19">
        <v>500</v>
      </c>
      <c r="Q933" s="17">
        <f>376+186</f>
        <v>562</v>
      </c>
      <c r="R933" s="17">
        <f t="shared" si="60"/>
        <v>-62</v>
      </c>
      <c r="S933" s="17">
        <v>1220</v>
      </c>
      <c r="T933" s="19" t="s">
        <v>42</v>
      </c>
      <c r="U933" s="17" t="s">
        <v>392</v>
      </c>
      <c r="V933" s="64">
        <v>44613</v>
      </c>
      <c r="W933" s="17" t="s">
        <v>69</v>
      </c>
      <c r="Y933" s="68">
        <v>44621</v>
      </c>
      <c r="Z933" s="17" t="s">
        <v>191</v>
      </c>
      <c r="AA933" s="17" t="s">
        <v>46</v>
      </c>
      <c r="AB933" s="17" t="s">
        <v>393</v>
      </c>
      <c r="AC933" s="66">
        <v>44635</v>
      </c>
      <c r="AD933" s="65">
        <v>1274</v>
      </c>
      <c r="AE933" s="17" t="s">
        <v>74</v>
      </c>
      <c r="AF933" s="17" t="s">
        <v>380</v>
      </c>
      <c r="AH933" s="17" t="s">
        <v>394</v>
      </c>
      <c r="AI933" s="17">
        <v>107</v>
      </c>
    </row>
    <row r="934" s="17" customFormat="1" hidden="1" spans="1:35">
      <c r="A934" s="17" t="s">
        <v>34</v>
      </c>
      <c r="B934" s="19">
        <v>778</v>
      </c>
      <c r="C934" s="64">
        <v>44610</v>
      </c>
      <c r="D934" s="17" t="s">
        <v>52</v>
      </c>
      <c r="E934" s="17" t="s">
        <v>187</v>
      </c>
      <c r="F934" s="17" t="s">
        <v>54</v>
      </c>
      <c r="H934" s="65">
        <v>1.2311</v>
      </c>
      <c r="I934" s="65"/>
      <c r="J934" s="17" t="s">
        <v>82</v>
      </c>
      <c r="K934" s="19">
        <v>455</v>
      </c>
      <c r="L934" s="19">
        <v>25</v>
      </c>
      <c r="M934" s="17" t="s">
        <v>361</v>
      </c>
      <c r="N934" s="17" t="s">
        <v>66</v>
      </c>
      <c r="O934" s="19" t="s">
        <v>141</v>
      </c>
      <c r="P934" s="19">
        <v>500</v>
      </c>
      <c r="Q934" s="17">
        <v>636</v>
      </c>
      <c r="R934" s="17">
        <f t="shared" si="60"/>
        <v>-136</v>
      </c>
      <c r="S934" s="17">
        <v>1220</v>
      </c>
      <c r="T934" s="19" t="s">
        <v>42</v>
      </c>
      <c r="U934" s="17" t="s">
        <v>392</v>
      </c>
      <c r="V934" s="64">
        <v>44613</v>
      </c>
      <c r="W934" s="17" t="s">
        <v>69</v>
      </c>
      <c r="Y934" s="68">
        <v>44621</v>
      </c>
      <c r="Z934" s="17" t="s">
        <v>191</v>
      </c>
      <c r="AA934" s="17" t="s">
        <v>46</v>
      </c>
      <c r="AB934" s="17" t="s">
        <v>393</v>
      </c>
      <c r="AC934" s="66">
        <v>44635</v>
      </c>
      <c r="AD934" s="65">
        <v>1274</v>
      </c>
      <c r="AE934" s="17" t="s">
        <v>74</v>
      </c>
      <c r="AF934" s="17" t="s">
        <v>380</v>
      </c>
      <c r="AH934" s="17" t="s">
        <v>394</v>
      </c>
      <c r="AI934" s="17">
        <v>107</v>
      </c>
    </row>
    <row r="935" s="17" customFormat="1" hidden="1" spans="1:35">
      <c r="A935" s="17" t="s">
        <v>34</v>
      </c>
      <c r="B935" s="19">
        <v>778</v>
      </c>
      <c r="C935" s="64">
        <v>44610</v>
      </c>
      <c r="D935" s="17" t="s">
        <v>52</v>
      </c>
      <c r="E935" s="17" t="s">
        <v>187</v>
      </c>
      <c r="F935" s="17" t="s">
        <v>54</v>
      </c>
      <c r="H935" s="65">
        <v>1.2311</v>
      </c>
      <c r="I935" s="65"/>
      <c r="J935" s="17" t="s">
        <v>82</v>
      </c>
      <c r="K935" s="19">
        <v>505</v>
      </c>
      <c r="L935" s="19">
        <v>25</v>
      </c>
      <c r="M935" s="17" t="s">
        <v>361</v>
      </c>
      <c r="N935" s="17" t="s">
        <v>66</v>
      </c>
      <c r="O935" s="19" t="s">
        <v>141</v>
      </c>
      <c r="P935" s="19">
        <v>1000</v>
      </c>
      <c r="Q935" s="17">
        <v>1163</v>
      </c>
      <c r="R935" s="17">
        <f t="shared" si="60"/>
        <v>-163</v>
      </c>
      <c r="S935" s="17">
        <v>1220</v>
      </c>
      <c r="T935" s="19" t="s">
        <v>42</v>
      </c>
      <c r="U935" s="17" t="s">
        <v>392</v>
      </c>
      <c r="V935" s="64">
        <v>44613</v>
      </c>
      <c r="W935" s="17" t="s">
        <v>69</v>
      </c>
      <c r="Y935" s="68">
        <v>44621</v>
      </c>
      <c r="Z935" s="17" t="s">
        <v>191</v>
      </c>
      <c r="AA935" s="17" t="s">
        <v>46</v>
      </c>
      <c r="AB935" s="17" t="s">
        <v>393</v>
      </c>
      <c r="AC935" s="66">
        <v>44635</v>
      </c>
      <c r="AD935" s="65">
        <v>1274</v>
      </c>
      <c r="AE935" s="17" t="s">
        <v>74</v>
      </c>
      <c r="AF935" s="17" t="s">
        <v>380</v>
      </c>
      <c r="AH935" s="17" t="s">
        <v>394</v>
      </c>
      <c r="AI935" s="17">
        <v>107</v>
      </c>
    </row>
    <row r="936" s="17" customFormat="1" hidden="1" spans="1:35">
      <c r="A936" s="17" t="s">
        <v>34</v>
      </c>
      <c r="B936" s="19">
        <v>778</v>
      </c>
      <c r="C936" s="64">
        <v>44610</v>
      </c>
      <c r="D936" s="17" t="s">
        <v>52</v>
      </c>
      <c r="E936" s="17" t="s">
        <v>187</v>
      </c>
      <c r="F936" s="17" t="s">
        <v>54</v>
      </c>
      <c r="H936" s="65">
        <v>1.2311</v>
      </c>
      <c r="I936" s="65"/>
      <c r="J936" s="17" t="s">
        <v>82</v>
      </c>
      <c r="K936" s="19">
        <v>555</v>
      </c>
      <c r="L936" s="19">
        <v>25</v>
      </c>
      <c r="M936" s="17" t="s">
        <v>361</v>
      </c>
      <c r="N936" s="17" t="s">
        <v>66</v>
      </c>
      <c r="O936" s="19" t="s">
        <v>141</v>
      </c>
      <c r="P936" s="19">
        <v>500</v>
      </c>
      <c r="Q936" s="17">
        <v>512</v>
      </c>
      <c r="R936" s="17">
        <f t="shared" si="60"/>
        <v>-12</v>
      </c>
      <c r="S936" s="17">
        <v>1220</v>
      </c>
      <c r="T936" s="19" t="s">
        <v>42</v>
      </c>
      <c r="U936" s="17" t="s">
        <v>392</v>
      </c>
      <c r="V936" s="64">
        <v>44613</v>
      </c>
      <c r="W936" s="17" t="s">
        <v>69</v>
      </c>
      <c r="Y936" s="68">
        <v>44621</v>
      </c>
      <c r="Z936" s="17" t="s">
        <v>191</v>
      </c>
      <c r="AA936" s="17" t="s">
        <v>46</v>
      </c>
      <c r="AB936" s="17" t="s">
        <v>393</v>
      </c>
      <c r="AC936" s="66">
        <v>44635</v>
      </c>
      <c r="AD936" s="65">
        <v>1274</v>
      </c>
      <c r="AE936" s="17" t="s">
        <v>74</v>
      </c>
      <c r="AF936" s="17" t="s">
        <v>380</v>
      </c>
      <c r="AH936" s="17" t="s">
        <v>394</v>
      </c>
      <c r="AI936" s="17">
        <v>107</v>
      </c>
    </row>
    <row r="937" s="17" customFormat="1" hidden="1" spans="1:35">
      <c r="A937" s="17" t="s">
        <v>34</v>
      </c>
      <c r="B937" s="19">
        <v>778</v>
      </c>
      <c r="C937" s="64">
        <v>44610</v>
      </c>
      <c r="D937" s="17" t="s">
        <v>52</v>
      </c>
      <c r="E937" s="17" t="s">
        <v>187</v>
      </c>
      <c r="F937" s="17" t="s">
        <v>54</v>
      </c>
      <c r="H937" s="65">
        <v>1.2311</v>
      </c>
      <c r="I937" s="65"/>
      <c r="J937" s="17" t="s">
        <v>82</v>
      </c>
      <c r="K937" s="19">
        <v>205</v>
      </c>
      <c r="L937" s="19">
        <v>32</v>
      </c>
      <c r="M937" s="17" t="s">
        <v>361</v>
      </c>
      <c r="N937" s="17" t="s">
        <v>66</v>
      </c>
      <c r="O937" s="19" t="s">
        <v>141</v>
      </c>
      <c r="P937" s="19">
        <v>1000</v>
      </c>
      <c r="Q937" s="17">
        <f>340+684</f>
        <v>1024</v>
      </c>
      <c r="R937" s="17">
        <f t="shared" si="60"/>
        <v>-24</v>
      </c>
      <c r="S937" s="17">
        <v>1220</v>
      </c>
      <c r="T937" s="19" t="s">
        <v>42</v>
      </c>
      <c r="U937" s="17" t="s">
        <v>392</v>
      </c>
      <c r="V937" s="64">
        <v>44613</v>
      </c>
      <c r="W937" s="17" t="s">
        <v>69</v>
      </c>
      <c r="Y937" s="68">
        <v>44621</v>
      </c>
      <c r="Z937" s="17" t="s">
        <v>191</v>
      </c>
      <c r="AA937" s="17" t="s">
        <v>46</v>
      </c>
      <c r="AB937" s="17" t="s">
        <v>393</v>
      </c>
      <c r="AC937" s="66">
        <v>44635</v>
      </c>
      <c r="AD937" s="65">
        <v>1274</v>
      </c>
      <c r="AE937" s="17" t="s">
        <v>74</v>
      </c>
      <c r="AF937" s="17" t="s">
        <v>380</v>
      </c>
      <c r="AH937" s="17" t="s">
        <v>394</v>
      </c>
      <c r="AI937" s="17">
        <v>107</v>
      </c>
    </row>
    <row r="938" s="17" customFormat="1" hidden="1" spans="1:35">
      <c r="A938" s="17" t="s">
        <v>34</v>
      </c>
      <c r="B938" s="19">
        <v>778</v>
      </c>
      <c r="C938" s="64">
        <v>44610</v>
      </c>
      <c r="D938" s="17" t="s">
        <v>52</v>
      </c>
      <c r="E938" s="17" t="s">
        <v>187</v>
      </c>
      <c r="F938" s="17" t="s">
        <v>54</v>
      </c>
      <c r="H938" s="65">
        <v>1.2311</v>
      </c>
      <c r="I938" s="65"/>
      <c r="J938" s="17" t="s">
        <v>82</v>
      </c>
      <c r="K938" s="19">
        <v>255</v>
      </c>
      <c r="L938" s="19">
        <v>32</v>
      </c>
      <c r="M938" s="17" t="s">
        <v>361</v>
      </c>
      <c r="N938" s="17" t="s">
        <v>66</v>
      </c>
      <c r="O938" s="19" t="s">
        <v>141</v>
      </c>
      <c r="P938" s="19">
        <v>1000</v>
      </c>
      <c r="Q938" s="17">
        <v>1133</v>
      </c>
      <c r="R938" s="17">
        <f t="shared" si="60"/>
        <v>-133</v>
      </c>
      <c r="S938" s="17">
        <v>1220</v>
      </c>
      <c r="T938" s="19" t="s">
        <v>42</v>
      </c>
      <c r="U938" s="17" t="s">
        <v>392</v>
      </c>
      <c r="V938" s="64">
        <v>44613</v>
      </c>
      <c r="W938" s="17" t="s">
        <v>69</v>
      </c>
      <c r="Y938" s="68">
        <v>44621</v>
      </c>
      <c r="Z938" s="17" t="s">
        <v>191</v>
      </c>
      <c r="AA938" s="17" t="s">
        <v>46</v>
      </c>
      <c r="AB938" s="17" t="s">
        <v>393</v>
      </c>
      <c r="AC938" s="66">
        <v>44635</v>
      </c>
      <c r="AD938" s="65">
        <v>1274</v>
      </c>
      <c r="AE938" s="17" t="s">
        <v>74</v>
      </c>
      <c r="AF938" s="17" t="s">
        <v>380</v>
      </c>
      <c r="AH938" s="17" t="s">
        <v>394</v>
      </c>
      <c r="AI938" s="17">
        <v>107</v>
      </c>
    </row>
    <row r="939" s="17" customFormat="1" hidden="1" spans="1:35">
      <c r="A939" s="17" t="s">
        <v>34</v>
      </c>
      <c r="B939" s="19">
        <v>778</v>
      </c>
      <c r="C939" s="64">
        <v>44610</v>
      </c>
      <c r="D939" s="17" t="s">
        <v>52</v>
      </c>
      <c r="E939" s="17" t="s">
        <v>187</v>
      </c>
      <c r="F939" s="17" t="s">
        <v>54</v>
      </c>
      <c r="H939" s="65">
        <v>1.2311</v>
      </c>
      <c r="I939" s="65"/>
      <c r="J939" s="17" t="s">
        <v>82</v>
      </c>
      <c r="K939" s="19">
        <v>305</v>
      </c>
      <c r="L939" s="19">
        <v>32</v>
      </c>
      <c r="M939" s="17" t="s">
        <v>361</v>
      </c>
      <c r="N939" s="17" t="s">
        <v>66</v>
      </c>
      <c r="O939" s="19" t="s">
        <v>141</v>
      </c>
      <c r="P939" s="19">
        <v>1000</v>
      </c>
      <c r="Q939" s="17">
        <f>501+504</f>
        <v>1005</v>
      </c>
      <c r="R939" s="17">
        <f t="shared" si="60"/>
        <v>-5</v>
      </c>
      <c r="S939" s="17">
        <v>1220</v>
      </c>
      <c r="T939" s="19" t="s">
        <v>42</v>
      </c>
      <c r="U939" s="17" t="s">
        <v>392</v>
      </c>
      <c r="V939" s="64">
        <v>44613</v>
      </c>
      <c r="W939" s="17" t="s">
        <v>69</v>
      </c>
      <c r="Y939" s="68">
        <v>44621</v>
      </c>
      <c r="Z939" s="17" t="s">
        <v>191</v>
      </c>
      <c r="AA939" s="17" t="s">
        <v>46</v>
      </c>
      <c r="AB939" s="17" t="s">
        <v>393</v>
      </c>
      <c r="AC939" s="66">
        <v>44635</v>
      </c>
      <c r="AD939" s="65">
        <v>1274</v>
      </c>
      <c r="AE939" s="17" t="s">
        <v>74</v>
      </c>
      <c r="AF939" s="17" t="s">
        <v>380</v>
      </c>
      <c r="AH939" s="17" t="s">
        <v>394</v>
      </c>
      <c r="AI939" s="17">
        <v>107</v>
      </c>
    </row>
    <row r="940" s="17" customFormat="1" hidden="1" spans="1:35">
      <c r="A940" s="17" t="s">
        <v>34</v>
      </c>
      <c r="B940" s="19">
        <v>778</v>
      </c>
      <c r="C940" s="64">
        <v>44610</v>
      </c>
      <c r="D940" s="17" t="s">
        <v>52</v>
      </c>
      <c r="E940" s="17" t="s">
        <v>187</v>
      </c>
      <c r="F940" s="17" t="s">
        <v>54</v>
      </c>
      <c r="H940" s="65">
        <v>1.2311</v>
      </c>
      <c r="I940" s="65"/>
      <c r="J940" s="17" t="s">
        <v>82</v>
      </c>
      <c r="K940" s="19">
        <v>355</v>
      </c>
      <c r="L940" s="19">
        <v>32</v>
      </c>
      <c r="M940" s="17" t="s">
        <v>361</v>
      </c>
      <c r="N940" s="17" t="s">
        <v>66</v>
      </c>
      <c r="O940" s="19" t="s">
        <v>141</v>
      </c>
      <c r="P940" s="19">
        <v>500</v>
      </c>
      <c r="Q940" s="17">
        <v>584</v>
      </c>
      <c r="R940" s="17">
        <f t="shared" si="60"/>
        <v>-84</v>
      </c>
      <c r="S940" s="17">
        <v>1220</v>
      </c>
      <c r="T940" s="19" t="s">
        <v>42</v>
      </c>
      <c r="U940" s="17" t="s">
        <v>392</v>
      </c>
      <c r="V940" s="64">
        <v>44613</v>
      </c>
      <c r="W940" s="17" t="s">
        <v>69</v>
      </c>
      <c r="Y940" s="68">
        <v>44621</v>
      </c>
      <c r="Z940" s="17" t="s">
        <v>191</v>
      </c>
      <c r="AA940" s="17" t="s">
        <v>46</v>
      </c>
      <c r="AB940" s="17" t="s">
        <v>393</v>
      </c>
      <c r="AC940" s="66">
        <v>44635</v>
      </c>
      <c r="AD940" s="65">
        <v>1274</v>
      </c>
      <c r="AE940" s="17" t="s">
        <v>74</v>
      </c>
      <c r="AF940" s="17" t="s">
        <v>380</v>
      </c>
      <c r="AH940" s="17" t="s">
        <v>394</v>
      </c>
      <c r="AI940" s="17">
        <v>107</v>
      </c>
    </row>
    <row r="941" s="17" customFormat="1" hidden="1" spans="1:35">
      <c r="A941" s="17" t="s">
        <v>34</v>
      </c>
      <c r="B941" s="19">
        <v>778</v>
      </c>
      <c r="C941" s="64">
        <v>44610</v>
      </c>
      <c r="D941" s="17" t="s">
        <v>52</v>
      </c>
      <c r="E941" s="17" t="s">
        <v>187</v>
      </c>
      <c r="F941" s="17" t="s">
        <v>54</v>
      </c>
      <c r="H941" s="65">
        <v>1.2311</v>
      </c>
      <c r="I941" s="65"/>
      <c r="J941" s="17" t="s">
        <v>82</v>
      </c>
      <c r="K941" s="19">
        <v>405</v>
      </c>
      <c r="L941" s="19">
        <v>32</v>
      </c>
      <c r="M941" s="17" t="s">
        <v>361</v>
      </c>
      <c r="N941" s="17" t="s">
        <v>66</v>
      </c>
      <c r="O941" s="19" t="s">
        <v>141</v>
      </c>
      <c r="P941" s="19">
        <v>500</v>
      </c>
      <c r="Q941" s="17">
        <v>452</v>
      </c>
      <c r="R941" s="17">
        <f t="shared" si="60"/>
        <v>48</v>
      </c>
      <c r="S941" s="17">
        <v>1220</v>
      </c>
      <c r="T941" s="19" t="s">
        <v>42</v>
      </c>
      <c r="U941" s="17" t="s">
        <v>392</v>
      </c>
      <c r="V941" s="64">
        <v>44613</v>
      </c>
      <c r="W941" s="17" t="s">
        <v>69</v>
      </c>
      <c r="Y941" s="68">
        <v>44621</v>
      </c>
      <c r="Z941" s="17" t="s">
        <v>191</v>
      </c>
      <c r="AA941" s="17" t="s">
        <v>46</v>
      </c>
      <c r="AB941" s="17" t="s">
        <v>393</v>
      </c>
      <c r="AC941" s="66">
        <v>44635</v>
      </c>
      <c r="AD941" s="65">
        <v>1274</v>
      </c>
      <c r="AE941" s="17" t="s">
        <v>74</v>
      </c>
      <c r="AF941" s="17" t="s">
        <v>380</v>
      </c>
      <c r="AH941" s="17" t="s">
        <v>394</v>
      </c>
      <c r="AI941" s="17">
        <v>107</v>
      </c>
    </row>
    <row r="942" s="17" customFormat="1" hidden="1" spans="1:35">
      <c r="A942" s="17" t="s">
        <v>34</v>
      </c>
      <c r="B942" s="19">
        <v>778</v>
      </c>
      <c r="C942" s="64">
        <v>44610</v>
      </c>
      <c r="D942" s="17" t="s">
        <v>52</v>
      </c>
      <c r="E942" s="17" t="s">
        <v>187</v>
      </c>
      <c r="F942" s="17" t="s">
        <v>54</v>
      </c>
      <c r="H942" s="65">
        <v>1.2311</v>
      </c>
      <c r="I942" s="65"/>
      <c r="J942" s="17" t="s">
        <v>82</v>
      </c>
      <c r="K942" s="19">
        <v>455</v>
      </c>
      <c r="L942" s="19">
        <v>32</v>
      </c>
      <c r="M942" s="17" t="s">
        <v>361</v>
      </c>
      <c r="N942" s="17" t="s">
        <v>66</v>
      </c>
      <c r="O942" s="19" t="s">
        <v>141</v>
      </c>
      <c r="P942" s="19">
        <v>500</v>
      </c>
      <c r="Q942" s="17">
        <v>501</v>
      </c>
      <c r="R942" s="17">
        <f t="shared" si="60"/>
        <v>-1</v>
      </c>
      <c r="S942" s="17">
        <v>1220</v>
      </c>
      <c r="T942" s="19" t="s">
        <v>42</v>
      </c>
      <c r="U942" s="17" t="s">
        <v>392</v>
      </c>
      <c r="V942" s="64">
        <v>44613</v>
      </c>
      <c r="W942" s="17" t="s">
        <v>69</v>
      </c>
      <c r="Y942" s="68">
        <v>44621</v>
      </c>
      <c r="Z942" s="17" t="s">
        <v>191</v>
      </c>
      <c r="AA942" s="17" t="s">
        <v>46</v>
      </c>
      <c r="AB942" s="17" t="s">
        <v>393</v>
      </c>
      <c r="AC942" s="66">
        <v>44635</v>
      </c>
      <c r="AD942" s="65">
        <v>1274</v>
      </c>
      <c r="AE942" s="17" t="s">
        <v>74</v>
      </c>
      <c r="AF942" s="17" t="s">
        <v>380</v>
      </c>
      <c r="AH942" s="17" t="s">
        <v>394</v>
      </c>
      <c r="AI942" s="17">
        <v>107</v>
      </c>
    </row>
    <row r="943" s="17" customFormat="1" hidden="1" spans="1:35">
      <c r="A943" s="17" t="s">
        <v>34</v>
      </c>
      <c r="B943" s="19">
        <v>778</v>
      </c>
      <c r="C943" s="64">
        <v>44610</v>
      </c>
      <c r="D943" s="17" t="s">
        <v>52</v>
      </c>
      <c r="E943" s="17" t="s">
        <v>187</v>
      </c>
      <c r="F943" s="17" t="s">
        <v>54</v>
      </c>
      <c r="H943" s="65">
        <v>1.2311</v>
      </c>
      <c r="I943" s="65"/>
      <c r="J943" s="17" t="s">
        <v>82</v>
      </c>
      <c r="K943" s="19">
        <v>605</v>
      </c>
      <c r="L943" s="19">
        <v>32</v>
      </c>
      <c r="M943" s="17" t="s">
        <v>361</v>
      </c>
      <c r="N943" s="17" t="s">
        <v>66</v>
      </c>
      <c r="O943" s="19" t="s">
        <v>141</v>
      </c>
      <c r="P943" s="19">
        <v>500</v>
      </c>
      <c r="Q943" s="17">
        <v>667</v>
      </c>
      <c r="R943" s="17">
        <f t="shared" si="60"/>
        <v>-167</v>
      </c>
      <c r="S943" s="17">
        <v>1220</v>
      </c>
      <c r="T943" s="19" t="s">
        <v>42</v>
      </c>
      <c r="U943" s="17" t="s">
        <v>392</v>
      </c>
      <c r="V943" s="64">
        <v>44613</v>
      </c>
      <c r="W943" s="17" t="s">
        <v>69</v>
      </c>
      <c r="Y943" s="68">
        <v>44621</v>
      </c>
      <c r="Z943" s="17" t="s">
        <v>191</v>
      </c>
      <c r="AA943" s="17" t="s">
        <v>46</v>
      </c>
      <c r="AB943" s="17" t="s">
        <v>393</v>
      </c>
      <c r="AC943" s="66">
        <v>44635</v>
      </c>
      <c r="AD943" s="65">
        <v>1274</v>
      </c>
      <c r="AE943" s="17" t="s">
        <v>74</v>
      </c>
      <c r="AF943" s="17" t="s">
        <v>380</v>
      </c>
      <c r="AH943" s="17" t="s">
        <v>394</v>
      </c>
      <c r="AI943" s="17">
        <v>107</v>
      </c>
    </row>
    <row r="944" s="17" customFormat="1" hidden="1" spans="1:35">
      <c r="A944" s="17" t="s">
        <v>34</v>
      </c>
      <c r="B944" s="19">
        <v>778</v>
      </c>
      <c r="C944" s="64">
        <v>44610</v>
      </c>
      <c r="D944" s="17" t="s">
        <v>52</v>
      </c>
      <c r="E944" s="17" t="s">
        <v>187</v>
      </c>
      <c r="F944" s="17" t="s">
        <v>54</v>
      </c>
      <c r="H944" s="65">
        <v>1.2311</v>
      </c>
      <c r="I944" s="65"/>
      <c r="J944" s="17" t="s">
        <v>82</v>
      </c>
      <c r="K944" s="19">
        <v>205</v>
      </c>
      <c r="L944" s="19">
        <v>35</v>
      </c>
      <c r="M944" s="17" t="s">
        <v>361</v>
      </c>
      <c r="N944" s="17" t="s">
        <v>66</v>
      </c>
      <c r="O944" s="19" t="s">
        <v>141</v>
      </c>
      <c r="P944" s="19">
        <v>500</v>
      </c>
      <c r="Q944" s="17">
        <v>532</v>
      </c>
      <c r="R944" s="17">
        <f t="shared" si="60"/>
        <v>-32</v>
      </c>
      <c r="S944" s="17">
        <v>1220</v>
      </c>
      <c r="T944" s="19" t="s">
        <v>42</v>
      </c>
      <c r="U944" s="17" t="s">
        <v>392</v>
      </c>
      <c r="V944" s="64">
        <v>44613</v>
      </c>
      <c r="W944" s="17" t="s">
        <v>69</v>
      </c>
      <c r="Y944" s="68">
        <v>44621</v>
      </c>
      <c r="Z944" s="17" t="s">
        <v>191</v>
      </c>
      <c r="AA944" s="17" t="s">
        <v>46</v>
      </c>
      <c r="AB944" s="17" t="s">
        <v>393</v>
      </c>
      <c r="AC944" s="66">
        <v>44635</v>
      </c>
      <c r="AD944" s="65">
        <v>1274</v>
      </c>
      <c r="AE944" s="17" t="s">
        <v>74</v>
      </c>
      <c r="AF944" s="17" t="s">
        <v>380</v>
      </c>
      <c r="AH944" s="17" t="s">
        <v>394</v>
      </c>
      <c r="AI944" s="17">
        <v>107</v>
      </c>
    </row>
    <row r="945" s="17" customFormat="1" hidden="1" spans="1:35">
      <c r="A945" s="17" t="s">
        <v>34</v>
      </c>
      <c r="B945" s="19">
        <v>778</v>
      </c>
      <c r="C945" s="64">
        <v>44610</v>
      </c>
      <c r="D945" s="17" t="s">
        <v>52</v>
      </c>
      <c r="E945" s="17" t="s">
        <v>187</v>
      </c>
      <c r="F945" s="17" t="s">
        <v>54</v>
      </c>
      <c r="H945" s="65">
        <v>1.2311</v>
      </c>
      <c r="I945" s="65"/>
      <c r="J945" s="17" t="s">
        <v>82</v>
      </c>
      <c r="K945" s="19">
        <v>255</v>
      </c>
      <c r="L945" s="19">
        <v>35</v>
      </c>
      <c r="M945" s="17" t="s">
        <v>361</v>
      </c>
      <c r="N945" s="17" t="s">
        <v>66</v>
      </c>
      <c r="O945" s="19" t="s">
        <v>141</v>
      </c>
      <c r="P945" s="19">
        <v>500</v>
      </c>
      <c r="Q945" s="17">
        <v>495</v>
      </c>
      <c r="R945" s="17">
        <f t="shared" si="60"/>
        <v>5</v>
      </c>
      <c r="S945" s="17">
        <v>1220</v>
      </c>
      <c r="T945" s="19" t="s">
        <v>42</v>
      </c>
      <c r="U945" s="17" t="s">
        <v>392</v>
      </c>
      <c r="V945" s="64">
        <v>44613</v>
      </c>
      <c r="W945" s="17" t="s">
        <v>69</v>
      </c>
      <c r="Y945" s="68">
        <v>44621</v>
      </c>
      <c r="Z945" s="17" t="s">
        <v>191</v>
      </c>
      <c r="AA945" s="17" t="s">
        <v>46</v>
      </c>
      <c r="AB945" s="17" t="s">
        <v>393</v>
      </c>
      <c r="AC945" s="66">
        <v>44635</v>
      </c>
      <c r="AD945" s="65">
        <v>1274</v>
      </c>
      <c r="AE945" s="17" t="s">
        <v>74</v>
      </c>
      <c r="AF945" s="17" t="s">
        <v>380</v>
      </c>
      <c r="AH945" s="17" t="s">
        <v>394</v>
      </c>
      <c r="AI945" s="17">
        <v>107</v>
      </c>
    </row>
    <row r="946" s="17" customFormat="1" hidden="1" spans="1:35">
      <c r="A946" s="17" t="s">
        <v>34</v>
      </c>
      <c r="B946" s="19">
        <v>778</v>
      </c>
      <c r="C946" s="64">
        <v>44610</v>
      </c>
      <c r="D946" s="17" t="s">
        <v>52</v>
      </c>
      <c r="E946" s="17" t="s">
        <v>187</v>
      </c>
      <c r="F946" s="17" t="s">
        <v>54</v>
      </c>
      <c r="H946" s="65">
        <v>1.2311</v>
      </c>
      <c r="I946" s="65"/>
      <c r="J946" s="17" t="s">
        <v>82</v>
      </c>
      <c r="K946" s="19">
        <v>305</v>
      </c>
      <c r="L946" s="19">
        <v>35</v>
      </c>
      <c r="M946" s="17" t="s">
        <v>361</v>
      </c>
      <c r="N946" s="17" t="s">
        <v>66</v>
      </c>
      <c r="O946" s="19" t="s">
        <v>141</v>
      </c>
      <c r="P946" s="19">
        <v>500</v>
      </c>
      <c r="Q946" s="17">
        <v>589</v>
      </c>
      <c r="R946" s="17">
        <f t="shared" si="60"/>
        <v>-89</v>
      </c>
      <c r="S946" s="17">
        <v>1220</v>
      </c>
      <c r="T946" s="19" t="s">
        <v>42</v>
      </c>
      <c r="U946" s="17" t="s">
        <v>392</v>
      </c>
      <c r="V946" s="64">
        <v>44613</v>
      </c>
      <c r="W946" s="17" t="s">
        <v>69</v>
      </c>
      <c r="Y946" s="68">
        <v>44621</v>
      </c>
      <c r="Z946" s="17" t="s">
        <v>191</v>
      </c>
      <c r="AA946" s="17" t="s">
        <v>46</v>
      </c>
      <c r="AB946" s="17" t="s">
        <v>393</v>
      </c>
      <c r="AC946" s="66">
        <v>44635</v>
      </c>
      <c r="AD946" s="65">
        <v>1274</v>
      </c>
      <c r="AE946" s="17" t="s">
        <v>74</v>
      </c>
      <c r="AF946" s="17" t="s">
        <v>380</v>
      </c>
      <c r="AH946" s="17" t="s">
        <v>394</v>
      </c>
      <c r="AI946" s="17">
        <v>107</v>
      </c>
    </row>
    <row r="947" s="17" customFormat="1" hidden="1" spans="1:35">
      <c r="A947" s="17" t="s">
        <v>34</v>
      </c>
      <c r="B947" s="19">
        <v>778</v>
      </c>
      <c r="C947" s="64">
        <v>44610</v>
      </c>
      <c r="D947" s="17" t="s">
        <v>52</v>
      </c>
      <c r="E947" s="17" t="s">
        <v>187</v>
      </c>
      <c r="F947" s="17" t="s">
        <v>54</v>
      </c>
      <c r="H947" s="65">
        <v>1.2311</v>
      </c>
      <c r="I947" s="65"/>
      <c r="J947" s="17" t="s">
        <v>82</v>
      </c>
      <c r="K947" s="19">
        <v>355</v>
      </c>
      <c r="L947" s="19">
        <v>35</v>
      </c>
      <c r="M947" s="17" t="s">
        <v>361</v>
      </c>
      <c r="N947" s="17" t="s">
        <v>66</v>
      </c>
      <c r="O947" s="19" t="s">
        <v>141</v>
      </c>
      <c r="P947" s="19">
        <v>500</v>
      </c>
      <c r="Q947" s="17">
        <v>456</v>
      </c>
      <c r="R947" s="17">
        <f t="shared" si="60"/>
        <v>44</v>
      </c>
      <c r="S947" s="17">
        <v>1220</v>
      </c>
      <c r="T947" s="19" t="s">
        <v>42</v>
      </c>
      <c r="U947" s="17" t="s">
        <v>392</v>
      </c>
      <c r="V947" s="64">
        <v>44613</v>
      </c>
      <c r="W947" s="17" t="s">
        <v>69</v>
      </c>
      <c r="Y947" s="68">
        <v>44621</v>
      </c>
      <c r="Z947" s="17" t="s">
        <v>191</v>
      </c>
      <c r="AA947" s="17" t="s">
        <v>46</v>
      </c>
      <c r="AB947" s="17" t="s">
        <v>393</v>
      </c>
      <c r="AC947" s="66">
        <v>44635</v>
      </c>
      <c r="AD947" s="65">
        <v>1274</v>
      </c>
      <c r="AE947" s="17" t="s">
        <v>74</v>
      </c>
      <c r="AF947" s="17" t="s">
        <v>380</v>
      </c>
      <c r="AH947" s="17" t="s">
        <v>394</v>
      </c>
      <c r="AI947" s="17">
        <v>107</v>
      </c>
    </row>
    <row r="948" s="17" customFormat="1" hidden="1" spans="1:35">
      <c r="A948" s="17" t="s">
        <v>34</v>
      </c>
      <c r="B948" s="19">
        <v>778</v>
      </c>
      <c r="C948" s="64">
        <v>44610</v>
      </c>
      <c r="D948" s="17" t="s">
        <v>52</v>
      </c>
      <c r="E948" s="17" t="s">
        <v>187</v>
      </c>
      <c r="F948" s="17" t="s">
        <v>54</v>
      </c>
      <c r="H948" s="65">
        <v>1.2311</v>
      </c>
      <c r="I948" s="65"/>
      <c r="J948" s="17" t="s">
        <v>82</v>
      </c>
      <c r="K948" s="19">
        <v>405</v>
      </c>
      <c r="L948" s="19">
        <v>35</v>
      </c>
      <c r="M948" s="17" t="s">
        <v>361</v>
      </c>
      <c r="N948" s="17" t="s">
        <v>66</v>
      </c>
      <c r="O948" s="19" t="s">
        <v>141</v>
      </c>
      <c r="P948" s="19">
        <v>500</v>
      </c>
      <c r="Q948" s="17">
        <v>521</v>
      </c>
      <c r="R948" s="17">
        <f t="shared" si="60"/>
        <v>-21</v>
      </c>
      <c r="S948" s="17">
        <v>1220</v>
      </c>
      <c r="T948" s="19" t="s">
        <v>42</v>
      </c>
      <c r="U948" s="17" t="s">
        <v>392</v>
      </c>
      <c r="V948" s="64">
        <v>44613</v>
      </c>
      <c r="W948" s="17" t="s">
        <v>69</v>
      </c>
      <c r="Y948" s="68">
        <v>44621</v>
      </c>
      <c r="Z948" s="17" t="s">
        <v>191</v>
      </c>
      <c r="AA948" s="17" t="s">
        <v>46</v>
      </c>
      <c r="AB948" s="17" t="s">
        <v>393</v>
      </c>
      <c r="AC948" s="66">
        <v>44635</v>
      </c>
      <c r="AD948" s="65">
        <v>1274</v>
      </c>
      <c r="AE948" s="17" t="s">
        <v>74</v>
      </c>
      <c r="AF948" s="17" t="s">
        <v>380</v>
      </c>
      <c r="AH948" s="17" t="s">
        <v>394</v>
      </c>
      <c r="AI948" s="17">
        <v>107</v>
      </c>
    </row>
    <row r="949" s="17" customFormat="1" hidden="1" spans="1:35">
      <c r="A949" s="17" t="s">
        <v>34</v>
      </c>
      <c r="B949" s="19">
        <v>778</v>
      </c>
      <c r="C949" s="64">
        <v>44610</v>
      </c>
      <c r="D949" s="17" t="s">
        <v>52</v>
      </c>
      <c r="E949" s="17" t="s">
        <v>187</v>
      </c>
      <c r="F949" s="17" t="s">
        <v>54</v>
      </c>
      <c r="H949" s="65">
        <v>1.2311</v>
      </c>
      <c r="I949" s="65"/>
      <c r="J949" s="17" t="s">
        <v>82</v>
      </c>
      <c r="K949" s="19">
        <v>455</v>
      </c>
      <c r="L949" s="19">
        <v>35</v>
      </c>
      <c r="M949" s="17" t="s">
        <v>361</v>
      </c>
      <c r="N949" s="17" t="s">
        <v>66</v>
      </c>
      <c r="O949" s="19" t="s">
        <v>141</v>
      </c>
      <c r="P949" s="19">
        <v>500</v>
      </c>
      <c r="Q949" s="17">
        <v>584</v>
      </c>
      <c r="R949" s="17">
        <f t="shared" si="60"/>
        <v>-84</v>
      </c>
      <c r="S949" s="17">
        <v>1220</v>
      </c>
      <c r="T949" s="19" t="s">
        <v>42</v>
      </c>
      <c r="U949" s="17" t="s">
        <v>392</v>
      </c>
      <c r="V949" s="64">
        <v>44613</v>
      </c>
      <c r="W949" s="17" t="s">
        <v>69</v>
      </c>
      <c r="Y949" s="68">
        <v>44621</v>
      </c>
      <c r="Z949" s="17" t="s">
        <v>191</v>
      </c>
      <c r="AA949" s="17" t="s">
        <v>46</v>
      </c>
      <c r="AB949" s="17" t="s">
        <v>393</v>
      </c>
      <c r="AC949" s="66">
        <v>44635</v>
      </c>
      <c r="AD949" s="65">
        <v>1274</v>
      </c>
      <c r="AE949" s="17" t="s">
        <v>74</v>
      </c>
      <c r="AF949" s="17" t="s">
        <v>380</v>
      </c>
      <c r="AH949" s="17" t="s">
        <v>394</v>
      </c>
      <c r="AI949" s="17">
        <v>107</v>
      </c>
    </row>
    <row r="950" s="17" customFormat="1" hidden="1" spans="1:35">
      <c r="A950" s="17" t="s">
        <v>34</v>
      </c>
      <c r="B950" s="19">
        <v>778</v>
      </c>
      <c r="C950" s="64">
        <v>44610</v>
      </c>
      <c r="D950" s="17" t="s">
        <v>52</v>
      </c>
      <c r="E950" s="17" t="s">
        <v>187</v>
      </c>
      <c r="F950" s="17" t="s">
        <v>54</v>
      </c>
      <c r="H950" s="65">
        <v>1.2311</v>
      </c>
      <c r="I950" s="65"/>
      <c r="J950" s="17" t="s">
        <v>82</v>
      </c>
      <c r="K950" s="19">
        <v>505</v>
      </c>
      <c r="L950" s="19">
        <v>35</v>
      </c>
      <c r="M950" s="17" t="s">
        <v>361</v>
      </c>
      <c r="N950" s="17" t="s">
        <v>66</v>
      </c>
      <c r="O950" s="19" t="s">
        <v>141</v>
      </c>
      <c r="P950" s="19">
        <v>500</v>
      </c>
      <c r="Q950" s="17">
        <v>648</v>
      </c>
      <c r="R950" s="17">
        <f t="shared" si="60"/>
        <v>-148</v>
      </c>
      <c r="S950" s="17">
        <v>1220</v>
      </c>
      <c r="T950" s="19" t="s">
        <v>42</v>
      </c>
      <c r="U950" s="17" t="s">
        <v>392</v>
      </c>
      <c r="V950" s="64">
        <v>44613</v>
      </c>
      <c r="W950" s="17" t="s">
        <v>69</v>
      </c>
      <c r="Y950" s="68">
        <v>44621</v>
      </c>
      <c r="Z950" s="17" t="s">
        <v>191</v>
      </c>
      <c r="AA950" s="17" t="s">
        <v>46</v>
      </c>
      <c r="AB950" s="17" t="s">
        <v>393</v>
      </c>
      <c r="AC950" s="66">
        <v>44635</v>
      </c>
      <c r="AD950" s="65">
        <v>1274</v>
      </c>
      <c r="AE950" s="17" t="s">
        <v>74</v>
      </c>
      <c r="AF950" s="17" t="s">
        <v>380</v>
      </c>
      <c r="AH950" s="17" t="s">
        <v>394</v>
      </c>
      <c r="AI950" s="17">
        <v>107</v>
      </c>
    </row>
    <row r="951" s="17" customFormat="1" hidden="1" spans="1:35">
      <c r="A951" s="17" t="s">
        <v>34</v>
      </c>
      <c r="B951" s="19">
        <v>778</v>
      </c>
      <c r="C951" s="64">
        <v>44610</v>
      </c>
      <c r="D951" s="17" t="s">
        <v>52</v>
      </c>
      <c r="E951" s="17" t="s">
        <v>187</v>
      </c>
      <c r="F951" s="17" t="s">
        <v>54</v>
      </c>
      <c r="H951" s="65">
        <v>1.2311</v>
      </c>
      <c r="I951" s="65"/>
      <c r="J951" s="17" t="s">
        <v>82</v>
      </c>
      <c r="K951" s="19">
        <v>205</v>
      </c>
      <c r="L951" s="19">
        <v>40</v>
      </c>
      <c r="M951" s="17" t="s">
        <v>361</v>
      </c>
      <c r="N951" s="17" t="s">
        <v>66</v>
      </c>
      <c r="O951" s="19" t="s">
        <v>141</v>
      </c>
      <c r="P951" s="19">
        <v>2000</v>
      </c>
      <c r="Q951" s="17">
        <f>1358+741</f>
        <v>2099</v>
      </c>
      <c r="R951" s="17">
        <f t="shared" si="60"/>
        <v>-99</v>
      </c>
      <c r="S951" s="17">
        <v>1220</v>
      </c>
      <c r="T951" s="19" t="s">
        <v>42</v>
      </c>
      <c r="U951" s="17" t="s">
        <v>392</v>
      </c>
      <c r="V951" s="64">
        <v>44613</v>
      </c>
      <c r="W951" s="17" t="s">
        <v>69</v>
      </c>
      <c r="Y951" s="68">
        <v>44621</v>
      </c>
      <c r="Z951" s="17" t="s">
        <v>191</v>
      </c>
      <c r="AA951" s="17" t="s">
        <v>46</v>
      </c>
      <c r="AB951" s="17" t="s">
        <v>393</v>
      </c>
      <c r="AC951" s="66">
        <v>44635</v>
      </c>
      <c r="AD951" s="65">
        <v>1274</v>
      </c>
      <c r="AE951" s="17" t="s">
        <v>74</v>
      </c>
      <c r="AF951" s="17" t="s">
        <v>380</v>
      </c>
      <c r="AH951" s="17" t="s">
        <v>394</v>
      </c>
      <c r="AI951" s="17">
        <v>107</v>
      </c>
    </row>
    <row r="952" s="17" customFormat="1" hidden="1" spans="1:35">
      <c r="A952" s="17" t="s">
        <v>34</v>
      </c>
      <c r="B952" s="19">
        <v>778</v>
      </c>
      <c r="C952" s="64">
        <v>44610</v>
      </c>
      <c r="D952" s="17" t="s">
        <v>52</v>
      </c>
      <c r="E952" s="17" t="s">
        <v>187</v>
      </c>
      <c r="F952" s="17" t="s">
        <v>54</v>
      </c>
      <c r="H952" s="65">
        <v>1.2311</v>
      </c>
      <c r="I952" s="65"/>
      <c r="J952" s="17" t="s">
        <v>82</v>
      </c>
      <c r="K952" s="19">
        <v>255</v>
      </c>
      <c r="L952" s="19">
        <v>40</v>
      </c>
      <c r="M952" s="17" t="s">
        <v>361</v>
      </c>
      <c r="N952" s="17" t="s">
        <v>66</v>
      </c>
      <c r="O952" s="19" t="s">
        <v>141</v>
      </c>
      <c r="P952" s="19">
        <v>2000</v>
      </c>
      <c r="Q952" s="17">
        <f>744+1321</f>
        <v>2065</v>
      </c>
      <c r="R952" s="17">
        <f t="shared" si="60"/>
        <v>-65</v>
      </c>
      <c r="S952" s="17">
        <v>1220</v>
      </c>
      <c r="T952" s="19" t="s">
        <v>42</v>
      </c>
      <c r="U952" s="17" t="s">
        <v>392</v>
      </c>
      <c r="V952" s="64">
        <v>44613</v>
      </c>
      <c r="W952" s="17" t="s">
        <v>69</v>
      </c>
      <c r="Y952" s="68">
        <v>44621</v>
      </c>
      <c r="Z952" s="17" t="s">
        <v>191</v>
      </c>
      <c r="AA952" s="17" t="s">
        <v>46</v>
      </c>
      <c r="AB952" s="17" t="s">
        <v>393</v>
      </c>
      <c r="AC952" s="66">
        <v>44635</v>
      </c>
      <c r="AD952" s="65">
        <v>1274</v>
      </c>
      <c r="AE952" s="17" t="s">
        <v>74</v>
      </c>
      <c r="AF952" s="17" t="s">
        <v>380</v>
      </c>
      <c r="AH952" s="17" t="s">
        <v>394</v>
      </c>
      <c r="AI952" s="17">
        <v>107</v>
      </c>
    </row>
    <row r="953" s="17" customFormat="1" hidden="1" spans="1:35">
      <c r="A953" s="17" t="s">
        <v>34</v>
      </c>
      <c r="B953" s="19">
        <v>778</v>
      </c>
      <c r="C953" s="64">
        <v>44610</v>
      </c>
      <c r="D953" s="17" t="s">
        <v>52</v>
      </c>
      <c r="E953" s="17" t="s">
        <v>187</v>
      </c>
      <c r="F953" s="17" t="s">
        <v>54</v>
      </c>
      <c r="H953" s="65">
        <v>1.2311</v>
      </c>
      <c r="I953" s="65"/>
      <c r="J953" s="17" t="s">
        <v>82</v>
      </c>
      <c r="K953" s="19">
        <v>305</v>
      </c>
      <c r="L953" s="19">
        <v>40</v>
      </c>
      <c r="M953" s="17" t="s">
        <v>361</v>
      </c>
      <c r="N953" s="17" t="s">
        <v>66</v>
      </c>
      <c r="O953" s="19" t="s">
        <v>141</v>
      </c>
      <c r="P953" s="19">
        <v>2000</v>
      </c>
      <c r="Q953" s="17">
        <v>2222</v>
      </c>
      <c r="R953" s="17">
        <f t="shared" si="60"/>
        <v>-222</v>
      </c>
      <c r="S953" s="17">
        <v>1220</v>
      </c>
      <c r="T953" s="19" t="s">
        <v>42</v>
      </c>
      <c r="U953" s="17" t="s">
        <v>392</v>
      </c>
      <c r="V953" s="64">
        <v>44613</v>
      </c>
      <c r="W953" s="17" t="s">
        <v>69</v>
      </c>
      <c r="Y953" s="68">
        <v>44621</v>
      </c>
      <c r="Z953" s="17" t="s">
        <v>191</v>
      </c>
      <c r="AA953" s="17" t="s">
        <v>46</v>
      </c>
      <c r="AB953" s="17" t="s">
        <v>393</v>
      </c>
      <c r="AC953" s="66">
        <v>44635</v>
      </c>
      <c r="AD953" s="65">
        <v>1274</v>
      </c>
      <c r="AE953" s="17" t="s">
        <v>74</v>
      </c>
      <c r="AF953" s="17" t="s">
        <v>380</v>
      </c>
      <c r="AH953" s="17" t="s">
        <v>394</v>
      </c>
      <c r="AI953" s="17">
        <v>107</v>
      </c>
    </row>
    <row r="954" s="17" customFormat="1" hidden="1" spans="1:35">
      <c r="A954" s="17" t="s">
        <v>34</v>
      </c>
      <c r="B954" s="19">
        <v>778</v>
      </c>
      <c r="C954" s="64">
        <v>44610</v>
      </c>
      <c r="D954" s="17" t="s">
        <v>52</v>
      </c>
      <c r="E954" s="17" t="s">
        <v>187</v>
      </c>
      <c r="F954" s="17" t="s">
        <v>54</v>
      </c>
      <c r="H954" s="65">
        <v>1.2311</v>
      </c>
      <c r="I954" s="65"/>
      <c r="J954" s="17" t="s">
        <v>82</v>
      </c>
      <c r="K954" s="19">
        <v>355</v>
      </c>
      <c r="L954" s="19">
        <v>40</v>
      </c>
      <c r="M954" s="17" t="s">
        <v>361</v>
      </c>
      <c r="N954" s="17" t="s">
        <v>66</v>
      </c>
      <c r="O954" s="19" t="s">
        <v>141</v>
      </c>
      <c r="P954" s="19">
        <v>2000</v>
      </c>
      <c r="Q954" s="17">
        <f>514+1821</f>
        <v>2335</v>
      </c>
      <c r="R954" s="17">
        <f t="shared" ref="R954:R971" si="61">+P954-Q954</f>
        <v>-335</v>
      </c>
      <c r="S954" s="17">
        <v>1220</v>
      </c>
      <c r="T954" s="19" t="s">
        <v>42</v>
      </c>
      <c r="U954" s="17" t="s">
        <v>392</v>
      </c>
      <c r="V954" s="64">
        <v>44613</v>
      </c>
      <c r="W954" s="17" t="s">
        <v>69</v>
      </c>
      <c r="Y954" s="68">
        <v>44621</v>
      </c>
      <c r="Z954" s="17" t="s">
        <v>191</v>
      </c>
      <c r="AA954" s="17" t="s">
        <v>46</v>
      </c>
      <c r="AB954" s="17" t="s">
        <v>393</v>
      </c>
      <c r="AC954" s="66">
        <v>44635</v>
      </c>
      <c r="AD954" s="65">
        <v>1274</v>
      </c>
      <c r="AE954" s="17" t="s">
        <v>74</v>
      </c>
      <c r="AF954" s="17" t="s">
        <v>380</v>
      </c>
      <c r="AH954" s="17" t="s">
        <v>394</v>
      </c>
      <c r="AI954" s="17">
        <v>107</v>
      </c>
    </row>
    <row r="955" s="17" customFormat="1" hidden="1" spans="1:35">
      <c r="A955" s="17" t="s">
        <v>34</v>
      </c>
      <c r="B955" s="19">
        <v>778</v>
      </c>
      <c r="C955" s="64">
        <v>44610</v>
      </c>
      <c r="D955" s="17" t="s">
        <v>52</v>
      </c>
      <c r="E955" s="17" t="s">
        <v>187</v>
      </c>
      <c r="F955" s="17" t="s">
        <v>54</v>
      </c>
      <c r="H955" s="65">
        <v>1.2311</v>
      </c>
      <c r="I955" s="65"/>
      <c r="J955" s="17" t="s">
        <v>82</v>
      </c>
      <c r="K955" s="19">
        <v>405</v>
      </c>
      <c r="L955" s="19">
        <v>40</v>
      </c>
      <c r="M955" s="17" t="s">
        <v>361</v>
      </c>
      <c r="N955" s="17" t="s">
        <v>66</v>
      </c>
      <c r="O955" s="19" t="s">
        <v>141</v>
      </c>
      <c r="P955" s="19">
        <v>1500</v>
      </c>
      <c r="Q955" s="17">
        <v>1490</v>
      </c>
      <c r="R955" s="17">
        <f t="shared" si="61"/>
        <v>10</v>
      </c>
      <c r="S955" s="17">
        <v>1220</v>
      </c>
      <c r="T955" s="19" t="s">
        <v>42</v>
      </c>
      <c r="U955" s="17" t="s">
        <v>392</v>
      </c>
      <c r="V955" s="64">
        <v>44613</v>
      </c>
      <c r="W955" s="17" t="s">
        <v>69</v>
      </c>
      <c r="Y955" s="68">
        <v>44621</v>
      </c>
      <c r="Z955" s="17" t="s">
        <v>191</v>
      </c>
      <c r="AA955" s="17" t="s">
        <v>46</v>
      </c>
      <c r="AB955" s="17" t="s">
        <v>393</v>
      </c>
      <c r="AC955" s="66">
        <v>44635</v>
      </c>
      <c r="AD955" s="65">
        <v>1274</v>
      </c>
      <c r="AE955" s="17" t="s">
        <v>74</v>
      </c>
      <c r="AF955" s="17" t="s">
        <v>380</v>
      </c>
      <c r="AH955" s="17" t="s">
        <v>394</v>
      </c>
      <c r="AI955" s="17">
        <v>107</v>
      </c>
    </row>
    <row r="956" s="17" customFormat="1" hidden="1" spans="1:35">
      <c r="A956" s="17" t="s">
        <v>34</v>
      </c>
      <c r="B956" s="19">
        <v>778</v>
      </c>
      <c r="C956" s="64">
        <v>44610</v>
      </c>
      <c r="D956" s="17" t="s">
        <v>52</v>
      </c>
      <c r="E956" s="17" t="s">
        <v>187</v>
      </c>
      <c r="F956" s="17" t="s">
        <v>54</v>
      </c>
      <c r="H956" s="65">
        <v>1.2311</v>
      </c>
      <c r="I956" s="65"/>
      <c r="J956" s="17" t="s">
        <v>82</v>
      </c>
      <c r="K956" s="19">
        <v>455</v>
      </c>
      <c r="L956" s="19">
        <v>40</v>
      </c>
      <c r="M956" s="17" t="s">
        <v>361</v>
      </c>
      <c r="N956" s="17" t="s">
        <v>66</v>
      </c>
      <c r="O956" s="19" t="s">
        <v>141</v>
      </c>
      <c r="P956" s="19">
        <v>1000</v>
      </c>
      <c r="Q956" s="17">
        <v>996</v>
      </c>
      <c r="R956" s="17">
        <f t="shared" si="61"/>
        <v>4</v>
      </c>
      <c r="S956" s="17">
        <v>1220</v>
      </c>
      <c r="T956" s="19" t="s">
        <v>42</v>
      </c>
      <c r="U956" s="17" t="s">
        <v>392</v>
      </c>
      <c r="V956" s="64">
        <v>44613</v>
      </c>
      <c r="W956" s="17" t="s">
        <v>69</v>
      </c>
      <c r="Y956" s="68">
        <v>44621</v>
      </c>
      <c r="Z956" s="17" t="s">
        <v>191</v>
      </c>
      <c r="AA956" s="17" t="s">
        <v>46</v>
      </c>
      <c r="AB956" s="17" t="s">
        <v>393</v>
      </c>
      <c r="AC956" s="66">
        <v>44635</v>
      </c>
      <c r="AD956" s="65">
        <v>1274</v>
      </c>
      <c r="AE956" s="17" t="s">
        <v>74</v>
      </c>
      <c r="AF956" s="17" t="s">
        <v>380</v>
      </c>
      <c r="AH956" s="17" t="s">
        <v>394</v>
      </c>
      <c r="AI956" s="17">
        <v>107</v>
      </c>
    </row>
    <row r="957" s="17" customFormat="1" hidden="1" spans="1:35">
      <c r="A957" s="17" t="s">
        <v>34</v>
      </c>
      <c r="B957" s="19">
        <v>778</v>
      </c>
      <c r="C957" s="64">
        <v>44610</v>
      </c>
      <c r="D957" s="17" t="s">
        <v>52</v>
      </c>
      <c r="E957" s="17" t="s">
        <v>187</v>
      </c>
      <c r="F957" s="17" t="s">
        <v>54</v>
      </c>
      <c r="H957" s="65">
        <v>1.2311</v>
      </c>
      <c r="I957" s="65"/>
      <c r="J957" s="17" t="s">
        <v>82</v>
      </c>
      <c r="K957" s="19">
        <v>510</v>
      </c>
      <c r="L957" s="19">
        <v>40</v>
      </c>
      <c r="M957" s="17" t="s">
        <v>361</v>
      </c>
      <c r="N957" s="17" t="s">
        <v>66</v>
      </c>
      <c r="O957" s="19" t="s">
        <v>141</v>
      </c>
      <c r="P957" s="19">
        <v>1000</v>
      </c>
      <c r="Q957" s="17">
        <v>1122</v>
      </c>
      <c r="R957" s="17">
        <f t="shared" si="61"/>
        <v>-122</v>
      </c>
      <c r="S957" s="17">
        <v>1220</v>
      </c>
      <c r="T957" s="19" t="s">
        <v>42</v>
      </c>
      <c r="U957" s="17" t="s">
        <v>392</v>
      </c>
      <c r="V957" s="64">
        <v>44613</v>
      </c>
      <c r="W957" s="17" t="s">
        <v>69</v>
      </c>
      <c r="Y957" s="68">
        <v>44621</v>
      </c>
      <c r="Z957" s="17" t="s">
        <v>191</v>
      </c>
      <c r="AA957" s="17" t="s">
        <v>46</v>
      </c>
      <c r="AB957" s="17" t="s">
        <v>393</v>
      </c>
      <c r="AC957" s="66">
        <v>44635</v>
      </c>
      <c r="AD957" s="65">
        <v>1274</v>
      </c>
      <c r="AE957" s="17" t="s">
        <v>74</v>
      </c>
      <c r="AF957" s="17" t="s">
        <v>380</v>
      </c>
      <c r="AH957" s="17" t="s">
        <v>394</v>
      </c>
      <c r="AI957" s="17">
        <v>107</v>
      </c>
    </row>
    <row r="958" s="17" customFormat="1" hidden="1" spans="1:35">
      <c r="A958" s="17" t="s">
        <v>34</v>
      </c>
      <c r="B958" s="19">
        <v>778</v>
      </c>
      <c r="C958" s="64">
        <v>44610</v>
      </c>
      <c r="D958" s="17" t="s">
        <v>52</v>
      </c>
      <c r="E958" s="17" t="s">
        <v>187</v>
      </c>
      <c r="F958" s="17" t="s">
        <v>54</v>
      </c>
      <c r="H958" s="65">
        <v>1.2311</v>
      </c>
      <c r="I958" s="65"/>
      <c r="J958" s="17" t="s">
        <v>82</v>
      </c>
      <c r="K958" s="19">
        <v>555</v>
      </c>
      <c r="L958" s="19">
        <v>40</v>
      </c>
      <c r="M958" s="17" t="s">
        <v>361</v>
      </c>
      <c r="N958" s="17" t="s">
        <v>66</v>
      </c>
      <c r="O958" s="19" t="s">
        <v>141</v>
      </c>
      <c r="P958" s="19">
        <v>1000</v>
      </c>
      <c r="Q958" s="17">
        <v>1200</v>
      </c>
      <c r="R958" s="17">
        <f t="shared" si="61"/>
        <v>-200</v>
      </c>
      <c r="S958" s="17">
        <v>1220</v>
      </c>
      <c r="T958" s="19" t="s">
        <v>42</v>
      </c>
      <c r="U958" s="17" t="s">
        <v>392</v>
      </c>
      <c r="V958" s="64">
        <v>44613</v>
      </c>
      <c r="W958" s="17" t="s">
        <v>69</v>
      </c>
      <c r="Y958" s="68">
        <v>44621</v>
      </c>
      <c r="Z958" s="17" t="s">
        <v>191</v>
      </c>
      <c r="AA958" s="17" t="s">
        <v>46</v>
      </c>
      <c r="AB958" s="17" t="s">
        <v>393</v>
      </c>
      <c r="AC958" s="66">
        <v>44635</v>
      </c>
      <c r="AD958" s="65">
        <v>1274</v>
      </c>
      <c r="AE958" s="17" t="s">
        <v>74</v>
      </c>
      <c r="AF958" s="17" t="s">
        <v>380</v>
      </c>
      <c r="AH958" s="17" t="s">
        <v>394</v>
      </c>
      <c r="AI958" s="17">
        <v>107</v>
      </c>
    </row>
    <row r="959" s="17" customFormat="1" hidden="1" spans="1:35">
      <c r="A959" s="17" t="s">
        <v>34</v>
      </c>
      <c r="B959" s="19">
        <v>778</v>
      </c>
      <c r="C959" s="64">
        <v>44610</v>
      </c>
      <c r="D959" s="17" t="s">
        <v>52</v>
      </c>
      <c r="E959" s="17" t="s">
        <v>187</v>
      </c>
      <c r="F959" s="17" t="s">
        <v>54</v>
      </c>
      <c r="H959" s="65">
        <v>1.2311</v>
      </c>
      <c r="I959" s="65"/>
      <c r="J959" s="17" t="s">
        <v>82</v>
      </c>
      <c r="K959" s="19">
        <v>610</v>
      </c>
      <c r="L959" s="19">
        <v>40</v>
      </c>
      <c r="M959" s="17" t="s">
        <v>361</v>
      </c>
      <c r="N959" s="17" t="s">
        <v>66</v>
      </c>
      <c r="O959" s="19" t="s">
        <v>141</v>
      </c>
      <c r="P959" s="19">
        <v>1000</v>
      </c>
      <c r="Q959" s="17">
        <v>891</v>
      </c>
      <c r="R959" s="17">
        <f t="shared" si="61"/>
        <v>109</v>
      </c>
      <c r="S959" s="17">
        <v>1220</v>
      </c>
      <c r="T959" s="19" t="s">
        <v>42</v>
      </c>
      <c r="U959" s="17" t="s">
        <v>392</v>
      </c>
      <c r="V959" s="64">
        <v>44613</v>
      </c>
      <c r="W959" s="17" t="s">
        <v>69</v>
      </c>
      <c r="Y959" s="68">
        <v>44621</v>
      </c>
      <c r="Z959" s="17" t="s">
        <v>191</v>
      </c>
      <c r="AA959" s="17" t="s">
        <v>46</v>
      </c>
      <c r="AB959" s="17" t="s">
        <v>393</v>
      </c>
      <c r="AC959" s="66">
        <v>44635</v>
      </c>
      <c r="AD959" s="65">
        <v>1274</v>
      </c>
      <c r="AE959" s="17" t="s">
        <v>74</v>
      </c>
      <c r="AF959" s="17" t="s">
        <v>380</v>
      </c>
      <c r="AH959" s="17" t="s">
        <v>394</v>
      </c>
      <c r="AI959" s="17">
        <v>107</v>
      </c>
    </row>
    <row r="960" s="17" customFormat="1" hidden="1" spans="1:35">
      <c r="A960" s="17" t="s">
        <v>34</v>
      </c>
      <c r="B960" s="19">
        <v>778</v>
      </c>
      <c r="C960" s="64">
        <v>44610</v>
      </c>
      <c r="D960" s="17" t="s">
        <v>52</v>
      </c>
      <c r="E960" s="17" t="s">
        <v>187</v>
      </c>
      <c r="F960" s="17" t="s">
        <v>54</v>
      </c>
      <c r="H960" s="65">
        <v>1.2311</v>
      </c>
      <c r="I960" s="65"/>
      <c r="J960" s="17" t="s">
        <v>82</v>
      </c>
      <c r="K960" s="19">
        <v>205</v>
      </c>
      <c r="L960" s="19">
        <v>50</v>
      </c>
      <c r="M960" s="17" t="s">
        <v>361</v>
      </c>
      <c r="N960" s="17" t="s">
        <v>66</v>
      </c>
      <c r="O960" s="19" t="s">
        <v>141</v>
      </c>
      <c r="P960" s="19">
        <v>2000</v>
      </c>
      <c r="Q960" s="17">
        <f>723+1258</f>
        <v>1981</v>
      </c>
      <c r="R960" s="17">
        <f t="shared" si="61"/>
        <v>19</v>
      </c>
      <c r="S960" s="17">
        <v>1220</v>
      </c>
      <c r="T960" s="19" t="s">
        <v>42</v>
      </c>
      <c r="U960" s="17" t="s">
        <v>392</v>
      </c>
      <c r="V960" s="64">
        <v>44613</v>
      </c>
      <c r="W960" s="17" t="s">
        <v>69</v>
      </c>
      <c r="Y960" s="68">
        <v>44621</v>
      </c>
      <c r="Z960" s="17" t="s">
        <v>191</v>
      </c>
      <c r="AA960" s="17" t="s">
        <v>46</v>
      </c>
      <c r="AB960" s="17" t="s">
        <v>393</v>
      </c>
      <c r="AC960" s="66">
        <v>44635</v>
      </c>
      <c r="AD960" s="65">
        <v>1274</v>
      </c>
      <c r="AE960" s="17" t="s">
        <v>74</v>
      </c>
      <c r="AF960" s="17" t="s">
        <v>380</v>
      </c>
      <c r="AH960" s="17" t="s">
        <v>394</v>
      </c>
      <c r="AI960" s="17">
        <v>107</v>
      </c>
    </row>
    <row r="961" s="17" customFormat="1" hidden="1" spans="1:35">
      <c r="A961" s="17" t="s">
        <v>34</v>
      </c>
      <c r="B961" s="19">
        <v>778</v>
      </c>
      <c r="C961" s="64">
        <v>44610</v>
      </c>
      <c r="D961" s="17" t="s">
        <v>52</v>
      </c>
      <c r="E961" s="17" t="s">
        <v>187</v>
      </c>
      <c r="F961" s="17" t="s">
        <v>54</v>
      </c>
      <c r="H961" s="65">
        <v>1.2311</v>
      </c>
      <c r="I961" s="65"/>
      <c r="J961" s="17" t="s">
        <v>82</v>
      </c>
      <c r="K961" s="19">
        <v>255</v>
      </c>
      <c r="L961" s="19">
        <v>50</v>
      </c>
      <c r="M961" s="17" t="s">
        <v>361</v>
      </c>
      <c r="N961" s="17" t="s">
        <v>66</v>
      </c>
      <c r="O961" s="19" t="s">
        <v>141</v>
      </c>
      <c r="P961" s="19">
        <v>2000</v>
      </c>
      <c r="Q961" s="17">
        <f>1102+865</f>
        <v>1967</v>
      </c>
      <c r="R961" s="17">
        <f t="shared" si="61"/>
        <v>33</v>
      </c>
      <c r="S961" s="17">
        <v>1220</v>
      </c>
      <c r="T961" s="19" t="s">
        <v>42</v>
      </c>
      <c r="U961" s="17" t="s">
        <v>392</v>
      </c>
      <c r="V961" s="64">
        <v>44613</v>
      </c>
      <c r="W961" s="17" t="s">
        <v>69</v>
      </c>
      <c r="Y961" s="68">
        <v>44621</v>
      </c>
      <c r="Z961" s="17" t="s">
        <v>191</v>
      </c>
      <c r="AA961" s="17" t="s">
        <v>46</v>
      </c>
      <c r="AB961" s="17" t="s">
        <v>393</v>
      </c>
      <c r="AC961" s="66">
        <v>44635</v>
      </c>
      <c r="AD961" s="65">
        <v>1274</v>
      </c>
      <c r="AE961" s="17" t="s">
        <v>74</v>
      </c>
      <c r="AF961" s="17" t="s">
        <v>380</v>
      </c>
      <c r="AH961" s="17" t="s">
        <v>394</v>
      </c>
      <c r="AI961" s="17">
        <v>107</v>
      </c>
    </row>
    <row r="962" s="17" customFormat="1" hidden="1" spans="1:35">
      <c r="A962" s="17" t="s">
        <v>34</v>
      </c>
      <c r="B962" s="19">
        <v>778</v>
      </c>
      <c r="C962" s="64">
        <v>44610</v>
      </c>
      <c r="D962" s="17" t="s">
        <v>52</v>
      </c>
      <c r="E962" s="17" t="s">
        <v>187</v>
      </c>
      <c r="F962" s="17" t="s">
        <v>54</v>
      </c>
      <c r="H962" s="65">
        <v>1.2311</v>
      </c>
      <c r="I962" s="65"/>
      <c r="J962" s="17" t="s">
        <v>82</v>
      </c>
      <c r="K962" s="19">
        <v>305</v>
      </c>
      <c r="L962" s="19">
        <v>50</v>
      </c>
      <c r="M962" s="17" t="s">
        <v>361</v>
      </c>
      <c r="N962" s="17" t="s">
        <v>66</v>
      </c>
      <c r="O962" s="19" t="s">
        <v>141</v>
      </c>
      <c r="P962" s="19">
        <v>2000</v>
      </c>
      <c r="Q962" s="17">
        <f>812+1070</f>
        <v>1882</v>
      </c>
      <c r="R962" s="17">
        <f t="shared" si="61"/>
        <v>118</v>
      </c>
      <c r="S962" s="17">
        <v>1220</v>
      </c>
      <c r="T962" s="19" t="s">
        <v>42</v>
      </c>
      <c r="U962" s="17" t="s">
        <v>392</v>
      </c>
      <c r="V962" s="64">
        <v>44613</v>
      </c>
      <c r="W962" s="17" t="s">
        <v>69</v>
      </c>
      <c r="Y962" s="68">
        <v>44621</v>
      </c>
      <c r="Z962" s="17" t="s">
        <v>191</v>
      </c>
      <c r="AA962" s="17" t="s">
        <v>46</v>
      </c>
      <c r="AB962" s="17" t="s">
        <v>393</v>
      </c>
      <c r="AC962" s="66">
        <v>44635</v>
      </c>
      <c r="AD962" s="65">
        <v>1274</v>
      </c>
      <c r="AE962" s="17" t="s">
        <v>74</v>
      </c>
      <c r="AF962" s="17" t="s">
        <v>380</v>
      </c>
      <c r="AH962" s="17" t="s">
        <v>394</v>
      </c>
      <c r="AI962" s="17">
        <v>107</v>
      </c>
    </row>
    <row r="963" s="17" customFormat="1" hidden="1" spans="1:35">
      <c r="A963" s="17" t="s">
        <v>34</v>
      </c>
      <c r="B963" s="19">
        <v>778</v>
      </c>
      <c r="C963" s="64">
        <v>44610</v>
      </c>
      <c r="D963" s="17" t="s">
        <v>52</v>
      </c>
      <c r="E963" s="17" t="s">
        <v>187</v>
      </c>
      <c r="F963" s="17" t="s">
        <v>54</v>
      </c>
      <c r="H963" s="65">
        <v>1.2311</v>
      </c>
      <c r="I963" s="65"/>
      <c r="J963" s="17" t="s">
        <v>82</v>
      </c>
      <c r="K963" s="19">
        <v>355</v>
      </c>
      <c r="L963" s="19">
        <v>50</v>
      </c>
      <c r="M963" s="17" t="s">
        <v>361</v>
      </c>
      <c r="N963" s="17" t="s">
        <v>66</v>
      </c>
      <c r="O963" s="19" t="s">
        <v>141</v>
      </c>
      <c r="P963" s="19">
        <v>2000</v>
      </c>
      <c r="Q963" s="17">
        <f>1517+300</f>
        <v>1817</v>
      </c>
      <c r="R963" s="17">
        <f t="shared" si="61"/>
        <v>183</v>
      </c>
      <c r="S963" s="17">
        <v>1220</v>
      </c>
      <c r="T963" s="19" t="s">
        <v>42</v>
      </c>
      <c r="U963" s="17" t="s">
        <v>392</v>
      </c>
      <c r="V963" s="64">
        <v>44613</v>
      </c>
      <c r="W963" s="17" t="s">
        <v>69</v>
      </c>
      <c r="Y963" s="68">
        <v>44621</v>
      </c>
      <c r="Z963" s="17" t="s">
        <v>191</v>
      </c>
      <c r="AA963" s="17" t="s">
        <v>46</v>
      </c>
      <c r="AB963" s="17" t="s">
        <v>393</v>
      </c>
      <c r="AC963" s="66">
        <v>44635</v>
      </c>
      <c r="AD963" s="65">
        <v>1274</v>
      </c>
      <c r="AE963" s="17" t="s">
        <v>74</v>
      </c>
      <c r="AF963" s="17" t="s">
        <v>380</v>
      </c>
      <c r="AH963" s="17" t="s">
        <v>394</v>
      </c>
      <c r="AI963" s="17">
        <v>107</v>
      </c>
    </row>
    <row r="964" s="17" customFormat="1" hidden="1" spans="1:35">
      <c r="A964" s="17" t="s">
        <v>34</v>
      </c>
      <c r="B964" s="19">
        <v>778</v>
      </c>
      <c r="C964" s="64">
        <v>44610</v>
      </c>
      <c r="D964" s="17" t="s">
        <v>52</v>
      </c>
      <c r="E964" s="17" t="s">
        <v>187</v>
      </c>
      <c r="F964" s="17" t="s">
        <v>54</v>
      </c>
      <c r="H964" s="65">
        <v>1.2311</v>
      </c>
      <c r="I964" s="65"/>
      <c r="J964" s="17" t="s">
        <v>82</v>
      </c>
      <c r="K964" s="19">
        <v>405</v>
      </c>
      <c r="L964" s="19">
        <v>50</v>
      </c>
      <c r="M964" s="17" t="s">
        <v>361</v>
      </c>
      <c r="N964" s="17" t="s">
        <v>66</v>
      </c>
      <c r="O964" s="19" t="s">
        <v>141</v>
      </c>
      <c r="P964" s="19">
        <v>2000</v>
      </c>
      <c r="Q964" s="17">
        <v>1752</v>
      </c>
      <c r="R964" s="17">
        <f t="shared" si="61"/>
        <v>248</v>
      </c>
      <c r="S964" s="17">
        <v>1220</v>
      </c>
      <c r="T964" s="19" t="s">
        <v>42</v>
      </c>
      <c r="U964" s="17" t="s">
        <v>392</v>
      </c>
      <c r="V964" s="64">
        <v>44613</v>
      </c>
      <c r="W964" s="17" t="s">
        <v>69</v>
      </c>
      <c r="Y964" s="68">
        <v>44621</v>
      </c>
      <c r="Z964" s="17" t="s">
        <v>191</v>
      </c>
      <c r="AA964" s="17" t="s">
        <v>46</v>
      </c>
      <c r="AB964" s="17" t="s">
        <v>393</v>
      </c>
      <c r="AC964" s="66">
        <v>44635</v>
      </c>
      <c r="AD964" s="65">
        <v>1274</v>
      </c>
      <c r="AE964" s="17" t="s">
        <v>74</v>
      </c>
      <c r="AF964" s="17" t="s">
        <v>380</v>
      </c>
      <c r="AH964" s="17" t="s">
        <v>394</v>
      </c>
      <c r="AI964" s="17">
        <v>107</v>
      </c>
    </row>
    <row r="965" s="17" customFormat="1" hidden="1" spans="1:35">
      <c r="A965" s="17" t="s">
        <v>34</v>
      </c>
      <c r="B965" s="19">
        <v>778</v>
      </c>
      <c r="C965" s="64">
        <v>44610</v>
      </c>
      <c r="D965" s="17" t="s">
        <v>52</v>
      </c>
      <c r="E965" s="17" t="s">
        <v>187</v>
      </c>
      <c r="F965" s="17" t="s">
        <v>54</v>
      </c>
      <c r="H965" s="65">
        <v>1.2311</v>
      </c>
      <c r="I965" s="65"/>
      <c r="J965" s="17" t="s">
        <v>82</v>
      </c>
      <c r="K965" s="19">
        <v>455</v>
      </c>
      <c r="L965" s="19">
        <v>50</v>
      </c>
      <c r="M965" s="17" t="s">
        <v>361</v>
      </c>
      <c r="N965" s="17" t="s">
        <v>66</v>
      </c>
      <c r="O965" s="19" t="s">
        <v>141</v>
      </c>
      <c r="P965" s="19">
        <v>2000</v>
      </c>
      <c r="Q965" s="17">
        <v>1962</v>
      </c>
      <c r="R965" s="17">
        <f t="shared" si="61"/>
        <v>38</v>
      </c>
      <c r="S965" s="17">
        <v>1220</v>
      </c>
      <c r="T965" s="19" t="s">
        <v>42</v>
      </c>
      <c r="U965" s="17" t="s">
        <v>392</v>
      </c>
      <c r="V965" s="64">
        <v>44613</v>
      </c>
      <c r="W965" s="17" t="s">
        <v>69</v>
      </c>
      <c r="Y965" s="68">
        <v>44621</v>
      </c>
      <c r="Z965" s="17" t="s">
        <v>191</v>
      </c>
      <c r="AA965" s="17" t="s">
        <v>46</v>
      </c>
      <c r="AB965" s="17" t="s">
        <v>393</v>
      </c>
      <c r="AC965" s="66">
        <v>44635</v>
      </c>
      <c r="AD965" s="65">
        <v>1274</v>
      </c>
      <c r="AE965" s="17" t="s">
        <v>74</v>
      </c>
      <c r="AF965" s="17" t="s">
        <v>380</v>
      </c>
      <c r="AH965" s="17" t="s">
        <v>394</v>
      </c>
      <c r="AI965" s="17">
        <v>107</v>
      </c>
    </row>
    <row r="966" s="17" customFormat="1" hidden="1" spans="1:35">
      <c r="A966" s="17" t="s">
        <v>34</v>
      </c>
      <c r="B966" s="19">
        <v>778</v>
      </c>
      <c r="C966" s="64">
        <v>44610</v>
      </c>
      <c r="D966" s="17" t="s">
        <v>52</v>
      </c>
      <c r="E966" s="17" t="s">
        <v>187</v>
      </c>
      <c r="F966" s="17" t="s">
        <v>54</v>
      </c>
      <c r="H966" s="65">
        <v>1.2311</v>
      </c>
      <c r="I966" s="65"/>
      <c r="J966" s="17" t="s">
        <v>82</v>
      </c>
      <c r="K966" s="19">
        <v>510</v>
      </c>
      <c r="L966" s="19">
        <v>50</v>
      </c>
      <c r="M966" s="17" t="s">
        <v>361</v>
      </c>
      <c r="N966" s="17" t="s">
        <v>66</v>
      </c>
      <c r="O966" s="19" t="s">
        <v>141</v>
      </c>
      <c r="P966" s="19">
        <v>1500</v>
      </c>
      <c r="Q966" s="17">
        <v>1280</v>
      </c>
      <c r="R966" s="17">
        <f t="shared" si="61"/>
        <v>220</v>
      </c>
      <c r="S966" s="17">
        <v>1220</v>
      </c>
      <c r="T966" s="19" t="s">
        <v>42</v>
      </c>
      <c r="U966" s="17" t="s">
        <v>392</v>
      </c>
      <c r="V966" s="64">
        <v>44613</v>
      </c>
      <c r="W966" s="17" t="s">
        <v>69</v>
      </c>
      <c r="Y966" s="68">
        <v>44621</v>
      </c>
      <c r="Z966" s="17" t="s">
        <v>191</v>
      </c>
      <c r="AA966" s="17" t="s">
        <v>46</v>
      </c>
      <c r="AB966" s="17" t="s">
        <v>393</v>
      </c>
      <c r="AC966" s="66">
        <v>44635</v>
      </c>
      <c r="AD966" s="65">
        <v>1274</v>
      </c>
      <c r="AE966" s="17" t="s">
        <v>74</v>
      </c>
      <c r="AF966" s="17" t="s">
        <v>380</v>
      </c>
      <c r="AH966" s="17" t="s">
        <v>394</v>
      </c>
      <c r="AI966" s="17">
        <v>107</v>
      </c>
    </row>
    <row r="967" s="17" customFormat="1" hidden="1" spans="1:35">
      <c r="A967" s="17" t="s">
        <v>34</v>
      </c>
      <c r="B967" s="19">
        <v>778</v>
      </c>
      <c r="C967" s="64">
        <v>44610</v>
      </c>
      <c r="D967" s="17" t="s">
        <v>52</v>
      </c>
      <c r="E967" s="17" t="s">
        <v>187</v>
      </c>
      <c r="F967" s="17" t="s">
        <v>54</v>
      </c>
      <c r="H967" s="65">
        <v>1.2311</v>
      </c>
      <c r="I967" s="65"/>
      <c r="J967" s="17" t="s">
        <v>82</v>
      </c>
      <c r="K967" s="19">
        <v>555</v>
      </c>
      <c r="L967" s="19">
        <v>50</v>
      </c>
      <c r="M967" s="17" t="s">
        <v>361</v>
      </c>
      <c r="N967" s="17" t="s">
        <v>66</v>
      </c>
      <c r="O967" s="19" t="s">
        <v>141</v>
      </c>
      <c r="P967" s="19">
        <v>1000</v>
      </c>
      <c r="Q967" s="17">
        <v>1003</v>
      </c>
      <c r="R967" s="17">
        <f t="shared" si="61"/>
        <v>-3</v>
      </c>
      <c r="S967" s="17">
        <v>1220</v>
      </c>
      <c r="T967" s="19" t="s">
        <v>42</v>
      </c>
      <c r="U967" s="17" t="s">
        <v>392</v>
      </c>
      <c r="V967" s="64">
        <v>44613</v>
      </c>
      <c r="W967" s="17" t="s">
        <v>69</v>
      </c>
      <c r="Y967" s="68">
        <v>44621</v>
      </c>
      <c r="Z967" s="17" t="s">
        <v>191</v>
      </c>
      <c r="AA967" s="17" t="s">
        <v>46</v>
      </c>
      <c r="AB967" s="17" t="s">
        <v>393</v>
      </c>
      <c r="AC967" s="66">
        <v>44635</v>
      </c>
      <c r="AD967" s="65">
        <v>1274</v>
      </c>
      <c r="AE967" s="17" t="s">
        <v>74</v>
      </c>
      <c r="AF967" s="17" t="s">
        <v>380</v>
      </c>
      <c r="AH967" s="17" t="s">
        <v>394</v>
      </c>
      <c r="AI967" s="17">
        <v>107</v>
      </c>
    </row>
    <row r="968" s="17" customFormat="1" hidden="1" spans="1:35">
      <c r="A968" s="17" t="s">
        <v>34</v>
      </c>
      <c r="B968" s="19">
        <v>778</v>
      </c>
      <c r="C968" s="64">
        <v>44610</v>
      </c>
      <c r="D968" s="17" t="s">
        <v>52</v>
      </c>
      <c r="E968" s="17" t="s">
        <v>187</v>
      </c>
      <c r="F968" s="17" t="s">
        <v>54</v>
      </c>
      <c r="H968" s="65">
        <v>1.2311</v>
      </c>
      <c r="I968" s="65"/>
      <c r="J968" s="17" t="s">
        <v>82</v>
      </c>
      <c r="K968" s="19">
        <v>610</v>
      </c>
      <c r="L968" s="19">
        <v>50</v>
      </c>
      <c r="M968" s="17" t="s">
        <v>361</v>
      </c>
      <c r="N968" s="17" t="s">
        <v>66</v>
      </c>
      <c r="O968" s="19" t="s">
        <v>141</v>
      </c>
      <c r="P968" s="19">
        <v>1000</v>
      </c>
      <c r="Q968" s="17">
        <v>1022</v>
      </c>
      <c r="R968" s="17">
        <f t="shared" si="61"/>
        <v>-22</v>
      </c>
      <c r="S968" s="17">
        <v>1220</v>
      </c>
      <c r="T968" s="19" t="s">
        <v>42</v>
      </c>
      <c r="U968" s="17" t="s">
        <v>392</v>
      </c>
      <c r="V968" s="64">
        <v>44613</v>
      </c>
      <c r="W968" s="17" t="s">
        <v>69</v>
      </c>
      <c r="Y968" s="68">
        <v>44621</v>
      </c>
      <c r="Z968" s="17" t="s">
        <v>191</v>
      </c>
      <c r="AA968" s="17" t="s">
        <v>46</v>
      </c>
      <c r="AB968" s="17" t="s">
        <v>393</v>
      </c>
      <c r="AC968" s="66">
        <v>44635</v>
      </c>
      <c r="AD968" s="65">
        <v>1274</v>
      </c>
      <c r="AE968" s="17" t="s">
        <v>74</v>
      </c>
      <c r="AF968" s="17" t="s">
        <v>380</v>
      </c>
      <c r="AH968" s="17" t="s">
        <v>394</v>
      </c>
      <c r="AI968" s="17">
        <v>107</v>
      </c>
    </row>
    <row r="969" s="17" customFormat="1" hidden="1" spans="1:35">
      <c r="A969" s="17" t="s">
        <v>34</v>
      </c>
      <c r="B969" s="19">
        <v>778</v>
      </c>
      <c r="C969" s="64">
        <v>44610</v>
      </c>
      <c r="D969" s="17" t="s">
        <v>52</v>
      </c>
      <c r="E969" s="17" t="s">
        <v>187</v>
      </c>
      <c r="F969" s="17" t="s">
        <v>54</v>
      </c>
      <c r="H969" s="65">
        <v>1.2311</v>
      </c>
      <c r="I969" s="65"/>
      <c r="J969" s="17" t="s">
        <v>82</v>
      </c>
      <c r="K969" s="19">
        <v>205</v>
      </c>
      <c r="L969" s="19">
        <v>65</v>
      </c>
      <c r="M969" s="17" t="s">
        <v>361</v>
      </c>
      <c r="N969" s="17" t="s">
        <v>66</v>
      </c>
      <c r="O969" s="19" t="s">
        <v>141</v>
      </c>
      <c r="P969" s="19">
        <v>2000</v>
      </c>
      <c r="Q969" s="17">
        <v>2014</v>
      </c>
      <c r="R969" s="17">
        <f t="shared" si="61"/>
        <v>-14</v>
      </c>
      <c r="S969" s="17">
        <v>1220</v>
      </c>
      <c r="T969" s="19" t="s">
        <v>42</v>
      </c>
      <c r="U969" s="17" t="s">
        <v>392</v>
      </c>
      <c r="V969" s="64">
        <v>44613</v>
      </c>
      <c r="W969" s="17" t="s">
        <v>69</v>
      </c>
      <c r="Y969" s="68">
        <v>44621</v>
      </c>
      <c r="Z969" s="17" t="s">
        <v>191</v>
      </c>
      <c r="AA969" s="17" t="s">
        <v>46</v>
      </c>
      <c r="AB969" s="17" t="s">
        <v>367</v>
      </c>
      <c r="AC969" s="66">
        <v>44650</v>
      </c>
      <c r="AD969" s="65">
        <v>1285</v>
      </c>
      <c r="AE969" s="17" t="s">
        <v>74</v>
      </c>
      <c r="AF969" s="17" t="s">
        <v>380</v>
      </c>
      <c r="AH969" s="17" t="s">
        <v>394</v>
      </c>
      <c r="AI969" s="17">
        <v>107</v>
      </c>
    </row>
    <row r="970" s="17" customFormat="1" hidden="1" spans="1:35">
      <c r="A970" s="17" t="s">
        <v>34</v>
      </c>
      <c r="B970" s="19">
        <v>778</v>
      </c>
      <c r="C970" s="64">
        <v>44610</v>
      </c>
      <c r="D970" s="17" t="s">
        <v>52</v>
      </c>
      <c r="E970" s="17" t="s">
        <v>187</v>
      </c>
      <c r="F970" s="17" t="s">
        <v>54</v>
      </c>
      <c r="H970" s="65">
        <v>1.2311</v>
      </c>
      <c r="I970" s="65"/>
      <c r="J970" s="17" t="s">
        <v>82</v>
      </c>
      <c r="K970" s="19">
        <v>255</v>
      </c>
      <c r="L970" s="19">
        <v>65</v>
      </c>
      <c r="M970" s="17" t="s">
        <v>361</v>
      </c>
      <c r="N970" s="17" t="s">
        <v>66</v>
      </c>
      <c r="O970" s="19" t="s">
        <v>141</v>
      </c>
      <c r="P970" s="19">
        <v>2000</v>
      </c>
      <c r="Q970" s="17">
        <v>2178</v>
      </c>
      <c r="R970" s="17">
        <f t="shared" si="61"/>
        <v>-178</v>
      </c>
      <c r="S970" s="17">
        <v>1220</v>
      </c>
      <c r="T970" s="19" t="s">
        <v>42</v>
      </c>
      <c r="U970" s="17" t="s">
        <v>392</v>
      </c>
      <c r="V970" s="64">
        <v>44613</v>
      </c>
      <c r="W970" s="17" t="s">
        <v>69</v>
      </c>
      <c r="Y970" s="68">
        <v>44621</v>
      </c>
      <c r="Z970" s="17" t="s">
        <v>191</v>
      </c>
      <c r="AA970" s="17" t="s">
        <v>46</v>
      </c>
      <c r="AB970" s="17" t="s">
        <v>367</v>
      </c>
      <c r="AC970" s="66">
        <v>44650</v>
      </c>
      <c r="AD970" s="65">
        <v>1285</v>
      </c>
      <c r="AE970" s="17" t="s">
        <v>74</v>
      </c>
      <c r="AF970" s="17" t="s">
        <v>380</v>
      </c>
      <c r="AH970" s="17" t="s">
        <v>394</v>
      </c>
      <c r="AI970" s="17">
        <v>107</v>
      </c>
    </row>
    <row r="971" s="17" customFormat="1" hidden="1" spans="1:35">
      <c r="A971" s="17" t="s">
        <v>34</v>
      </c>
      <c r="B971" s="19">
        <v>778</v>
      </c>
      <c r="C971" s="64">
        <v>44610</v>
      </c>
      <c r="D971" s="17" t="s">
        <v>52</v>
      </c>
      <c r="E971" s="17" t="s">
        <v>187</v>
      </c>
      <c r="F971" s="17" t="s">
        <v>54</v>
      </c>
      <c r="H971" s="65">
        <v>1.2311</v>
      </c>
      <c r="I971" s="65"/>
      <c r="J971" s="17" t="s">
        <v>82</v>
      </c>
      <c r="K971" s="19">
        <v>305</v>
      </c>
      <c r="L971" s="19">
        <v>65</v>
      </c>
      <c r="M971" s="17" t="s">
        <v>361</v>
      </c>
      <c r="N971" s="17" t="s">
        <v>66</v>
      </c>
      <c r="O971" s="19" t="s">
        <v>141</v>
      </c>
      <c r="P971" s="19">
        <v>2000</v>
      </c>
      <c r="Q971" s="17">
        <v>2236</v>
      </c>
      <c r="R971" s="17">
        <f t="shared" si="61"/>
        <v>-236</v>
      </c>
      <c r="S971" s="17">
        <v>1220</v>
      </c>
      <c r="T971" s="19" t="s">
        <v>42</v>
      </c>
      <c r="U971" s="17" t="s">
        <v>392</v>
      </c>
      <c r="V971" s="64">
        <v>44613</v>
      </c>
      <c r="W971" s="17" t="s">
        <v>69</v>
      </c>
      <c r="Y971" s="68">
        <v>44621</v>
      </c>
      <c r="Z971" s="17" t="s">
        <v>191</v>
      </c>
      <c r="AA971" s="17" t="s">
        <v>46</v>
      </c>
      <c r="AB971" s="17" t="s">
        <v>367</v>
      </c>
      <c r="AC971" s="66">
        <v>44650</v>
      </c>
      <c r="AD971" s="65">
        <v>1285</v>
      </c>
      <c r="AE971" s="17" t="s">
        <v>74</v>
      </c>
      <c r="AF971" s="17" t="s">
        <v>380</v>
      </c>
      <c r="AH971" s="17" t="s">
        <v>394</v>
      </c>
      <c r="AI971" s="17">
        <v>107</v>
      </c>
    </row>
    <row r="972" s="17" customFormat="1" hidden="1" spans="1:35">
      <c r="A972" s="17" t="s">
        <v>34</v>
      </c>
      <c r="B972" s="19">
        <v>778</v>
      </c>
      <c r="C972" s="64">
        <v>44610</v>
      </c>
      <c r="D972" s="17" t="s">
        <v>52</v>
      </c>
      <c r="E972" s="17" t="s">
        <v>187</v>
      </c>
      <c r="F972" s="17" t="s">
        <v>54</v>
      </c>
      <c r="H972" s="65">
        <v>1.2311</v>
      </c>
      <c r="I972" s="65"/>
      <c r="J972" s="17" t="s">
        <v>82</v>
      </c>
      <c r="K972" s="19">
        <v>355</v>
      </c>
      <c r="L972" s="19">
        <v>65</v>
      </c>
      <c r="M972" s="17" t="s">
        <v>361</v>
      </c>
      <c r="N972" s="17" t="s">
        <v>66</v>
      </c>
      <c r="O972" s="19" t="s">
        <v>141</v>
      </c>
      <c r="P972" s="19">
        <v>2000</v>
      </c>
      <c r="Q972" s="17">
        <v>1288</v>
      </c>
      <c r="S972" s="17">
        <v>1220</v>
      </c>
      <c r="T972" s="19" t="s">
        <v>42</v>
      </c>
      <c r="U972" s="17" t="s">
        <v>392</v>
      </c>
      <c r="V972" s="64">
        <v>44613</v>
      </c>
      <c r="W972" s="17" t="s">
        <v>69</v>
      </c>
      <c r="Y972" s="68">
        <v>44621</v>
      </c>
      <c r="Z972" s="17" t="s">
        <v>191</v>
      </c>
      <c r="AA972" s="17" t="s">
        <v>46</v>
      </c>
      <c r="AB972" s="17" t="s">
        <v>367</v>
      </c>
      <c r="AC972" s="66">
        <v>44650</v>
      </c>
      <c r="AD972" s="65">
        <v>1285</v>
      </c>
      <c r="AE972" s="17" t="s">
        <v>74</v>
      </c>
      <c r="AF972" s="17" t="s">
        <v>380</v>
      </c>
      <c r="AH972" s="17" t="s">
        <v>394</v>
      </c>
      <c r="AI972" s="17">
        <v>107</v>
      </c>
    </row>
    <row r="973" s="18" customFormat="1" hidden="1" spans="1:35">
      <c r="A973" s="18" t="s">
        <v>34</v>
      </c>
      <c r="B973" s="19">
        <v>778</v>
      </c>
      <c r="C973" s="64">
        <v>44610</v>
      </c>
      <c r="D973" s="17" t="s">
        <v>52</v>
      </c>
      <c r="E973" s="17" t="s">
        <v>187</v>
      </c>
      <c r="F973" s="17" t="s">
        <v>54</v>
      </c>
      <c r="G973" s="17"/>
      <c r="H973" s="65">
        <v>1.2311</v>
      </c>
      <c r="I973" s="65"/>
      <c r="J973" s="17" t="s">
        <v>82</v>
      </c>
      <c r="K973" s="19">
        <v>355</v>
      </c>
      <c r="L973" s="19">
        <v>65</v>
      </c>
      <c r="M973" s="17">
        <v>2250</v>
      </c>
      <c r="N973" s="17" t="s">
        <v>66</v>
      </c>
      <c r="O973" s="19" t="s">
        <v>141</v>
      </c>
      <c r="P973" s="19"/>
      <c r="Q973" s="17">
        <f>426+426</f>
        <v>852</v>
      </c>
      <c r="R973" s="17">
        <f>+P972-Q972-Q973</f>
        <v>-140</v>
      </c>
      <c r="S973" s="17">
        <v>1220</v>
      </c>
      <c r="T973" s="19" t="s">
        <v>42</v>
      </c>
      <c r="U973" s="17" t="s">
        <v>392</v>
      </c>
      <c r="V973" s="64">
        <v>44613</v>
      </c>
      <c r="W973" s="17" t="s">
        <v>69</v>
      </c>
      <c r="X973" s="17"/>
      <c r="Y973" s="68">
        <v>44621</v>
      </c>
      <c r="Z973" s="17" t="s">
        <v>191</v>
      </c>
      <c r="AA973" s="17" t="s">
        <v>46</v>
      </c>
      <c r="AB973" s="17" t="s">
        <v>351</v>
      </c>
      <c r="AC973" s="66">
        <v>44679</v>
      </c>
      <c r="AD973" s="65">
        <v>1293</v>
      </c>
      <c r="AE973" s="17" t="s">
        <v>74</v>
      </c>
      <c r="AF973" s="17" t="s">
        <v>380</v>
      </c>
      <c r="AG973" s="17"/>
      <c r="AH973" s="17" t="s">
        <v>394</v>
      </c>
      <c r="AI973" s="17">
        <v>107</v>
      </c>
    </row>
    <row r="974" s="18" customFormat="1" hidden="1" spans="1:35">
      <c r="A974" s="17"/>
      <c r="B974" s="19">
        <v>778</v>
      </c>
      <c r="C974" s="64">
        <v>44610</v>
      </c>
      <c r="D974" s="17" t="s">
        <v>52</v>
      </c>
      <c r="E974" s="17" t="s">
        <v>187</v>
      </c>
      <c r="F974" s="17" t="s">
        <v>54</v>
      </c>
      <c r="G974" s="17"/>
      <c r="H974" s="65">
        <v>1.2311</v>
      </c>
      <c r="I974" s="65"/>
      <c r="J974" s="17" t="s">
        <v>82</v>
      </c>
      <c r="K974" s="19">
        <v>405</v>
      </c>
      <c r="L974" s="19">
        <v>65</v>
      </c>
      <c r="M974" s="17" t="s">
        <v>361</v>
      </c>
      <c r="N974" s="17" t="s">
        <v>66</v>
      </c>
      <c r="O974" s="19" t="s">
        <v>141</v>
      </c>
      <c r="P974" s="19">
        <v>1500</v>
      </c>
      <c r="Q974" s="17">
        <v>974</v>
      </c>
      <c r="R974" s="17"/>
      <c r="S974" s="17">
        <v>1220</v>
      </c>
      <c r="T974" s="19" t="s">
        <v>42</v>
      </c>
      <c r="U974" s="17" t="s">
        <v>392</v>
      </c>
      <c r="V974" s="64">
        <v>44613</v>
      </c>
      <c r="W974" s="17" t="s">
        <v>69</v>
      </c>
      <c r="X974" s="17"/>
      <c r="Y974" s="68">
        <v>44621</v>
      </c>
      <c r="Z974" s="17" t="s">
        <v>191</v>
      </c>
      <c r="AA974" s="17" t="s">
        <v>46</v>
      </c>
      <c r="AB974" s="17" t="s">
        <v>367</v>
      </c>
      <c r="AC974" s="66">
        <v>44650</v>
      </c>
      <c r="AD974" s="65">
        <v>1285</v>
      </c>
      <c r="AE974" s="17" t="s">
        <v>74</v>
      </c>
      <c r="AF974" s="17" t="s">
        <v>380</v>
      </c>
      <c r="AG974" s="17"/>
      <c r="AH974" s="17" t="s">
        <v>394</v>
      </c>
      <c r="AI974" s="17">
        <v>107</v>
      </c>
    </row>
    <row r="975" s="17" customFormat="1" hidden="1" spans="1:35">
      <c r="A975" s="17" t="s">
        <v>34</v>
      </c>
      <c r="B975" s="19">
        <v>778</v>
      </c>
      <c r="C975" s="64">
        <v>44610</v>
      </c>
      <c r="D975" s="17" t="s">
        <v>52</v>
      </c>
      <c r="E975" s="17" t="s">
        <v>187</v>
      </c>
      <c r="F975" s="17" t="s">
        <v>54</v>
      </c>
      <c r="H975" s="65">
        <v>1.2311</v>
      </c>
      <c r="I975" s="65"/>
      <c r="J975" s="17" t="s">
        <v>82</v>
      </c>
      <c r="K975" s="19">
        <v>405</v>
      </c>
      <c r="L975" s="19">
        <v>65</v>
      </c>
      <c r="M975" s="17" t="s">
        <v>361</v>
      </c>
      <c r="N975" s="17" t="s">
        <v>66</v>
      </c>
      <c r="O975" s="19" t="s">
        <v>141</v>
      </c>
      <c r="Q975" s="17">
        <f>485+485</f>
        <v>970</v>
      </c>
      <c r="R975" s="17">
        <f>+P974-Q974-Q975</f>
        <v>-444</v>
      </c>
      <c r="S975" s="17">
        <v>1220</v>
      </c>
      <c r="T975" s="19" t="s">
        <v>42</v>
      </c>
      <c r="U975" s="17" t="s">
        <v>392</v>
      </c>
      <c r="V975" s="64">
        <v>44613</v>
      </c>
      <c r="W975" s="17" t="s">
        <v>69</v>
      </c>
      <c r="Y975" s="68">
        <v>44621</v>
      </c>
      <c r="Z975" s="17" t="s">
        <v>191</v>
      </c>
      <c r="AA975" s="17" t="s">
        <v>46</v>
      </c>
      <c r="AB975" s="17" t="s">
        <v>351</v>
      </c>
      <c r="AC975" s="66">
        <v>44679</v>
      </c>
      <c r="AD975" s="17">
        <v>1293</v>
      </c>
      <c r="AE975" s="17" t="s">
        <v>74</v>
      </c>
      <c r="AF975" s="17" t="s">
        <v>380</v>
      </c>
      <c r="AH975" s="17" t="s">
        <v>394</v>
      </c>
      <c r="AI975" s="17">
        <v>107</v>
      </c>
    </row>
    <row r="976" s="17" customFormat="1" hidden="1" spans="1:35">
      <c r="A976" s="17" t="s">
        <v>34</v>
      </c>
      <c r="B976" s="19">
        <v>778</v>
      </c>
      <c r="C976" s="64">
        <v>44610</v>
      </c>
      <c r="D976" s="17" t="s">
        <v>52</v>
      </c>
      <c r="E976" s="17" t="s">
        <v>187</v>
      </c>
      <c r="F976" s="17" t="s">
        <v>54</v>
      </c>
      <c r="H976" s="65">
        <v>1.2311</v>
      </c>
      <c r="I976" s="65"/>
      <c r="J976" s="17" t="s">
        <v>82</v>
      </c>
      <c r="K976" s="19">
        <v>455</v>
      </c>
      <c r="L976" s="19">
        <v>65</v>
      </c>
      <c r="M976" s="17" t="s">
        <v>361</v>
      </c>
      <c r="N976" s="17" t="s">
        <v>66</v>
      </c>
      <c r="O976" s="19" t="s">
        <v>141</v>
      </c>
      <c r="P976" s="19">
        <v>1500</v>
      </c>
      <c r="Q976" s="17">
        <v>552</v>
      </c>
      <c r="S976" s="17">
        <v>1220</v>
      </c>
      <c r="T976" s="19" t="s">
        <v>42</v>
      </c>
      <c r="U976" s="17" t="s">
        <v>392</v>
      </c>
      <c r="V976" s="64">
        <v>44613</v>
      </c>
      <c r="W976" s="17" t="s">
        <v>69</v>
      </c>
      <c r="Y976" s="68">
        <v>44621</v>
      </c>
      <c r="Z976" s="17" t="s">
        <v>191</v>
      </c>
      <c r="AA976" s="17" t="s">
        <v>46</v>
      </c>
      <c r="AB976" s="17" t="s">
        <v>367</v>
      </c>
      <c r="AC976" s="66">
        <v>44650</v>
      </c>
      <c r="AD976" s="65">
        <v>1285</v>
      </c>
      <c r="AE976" s="17" t="s">
        <v>74</v>
      </c>
      <c r="AF976" s="17" t="s">
        <v>380</v>
      </c>
      <c r="AH976" s="17" t="s">
        <v>394</v>
      </c>
      <c r="AI976" s="17">
        <v>107</v>
      </c>
    </row>
    <row r="977" s="18" customFormat="1" hidden="1" spans="1:35">
      <c r="A977" s="18" t="s">
        <v>34</v>
      </c>
      <c r="B977" s="19">
        <v>778</v>
      </c>
      <c r="C977" s="64">
        <v>44610</v>
      </c>
      <c r="D977" s="17" t="s">
        <v>52</v>
      </c>
      <c r="E977" s="17" t="s">
        <v>187</v>
      </c>
      <c r="F977" s="17" t="s">
        <v>54</v>
      </c>
      <c r="G977" s="17"/>
      <c r="H977" s="65">
        <v>1.2311</v>
      </c>
      <c r="I977" s="65"/>
      <c r="J977" s="17" t="s">
        <v>82</v>
      </c>
      <c r="K977" s="19">
        <v>455</v>
      </c>
      <c r="L977" s="19">
        <v>65</v>
      </c>
      <c r="M977" s="17">
        <v>2250</v>
      </c>
      <c r="N977" s="17" t="s">
        <v>66</v>
      </c>
      <c r="O977" s="19" t="s">
        <v>141</v>
      </c>
      <c r="P977" s="19"/>
      <c r="Q977" s="17">
        <f>546+546</f>
        <v>1092</v>
      </c>
      <c r="R977" s="17">
        <f>+P976-Q976-Q977</f>
        <v>-144</v>
      </c>
      <c r="S977" s="17">
        <v>1220</v>
      </c>
      <c r="T977" s="19" t="s">
        <v>42</v>
      </c>
      <c r="U977" s="17" t="s">
        <v>392</v>
      </c>
      <c r="V977" s="64">
        <v>44613</v>
      </c>
      <c r="W977" s="17" t="s">
        <v>69</v>
      </c>
      <c r="X977" s="17"/>
      <c r="Y977" s="68">
        <v>44621</v>
      </c>
      <c r="Z977" s="17" t="s">
        <v>191</v>
      </c>
      <c r="AA977" s="17" t="s">
        <v>46</v>
      </c>
      <c r="AB977" s="17" t="s">
        <v>351</v>
      </c>
      <c r="AC977" s="66">
        <v>44679</v>
      </c>
      <c r="AD977" s="65">
        <v>1293</v>
      </c>
      <c r="AE977" s="17" t="s">
        <v>74</v>
      </c>
      <c r="AF977" s="17" t="s">
        <v>380</v>
      </c>
      <c r="AG977" s="17"/>
      <c r="AH977" s="17" t="s">
        <v>394</v>
      </c>
      <c r="AI977" s="17">
        <v>107</v>
      </c>
    </row>
    <row r="978" s="17" customFormat="1" hidden="1" spans="1:35">
      <c r="A978" s="17" t="s">
        <v>34</v>
      </c>
      <c r="B978" s="19">
        <v>778</v>
      </c>
      <c r="C978" s="64">
        <v>44610</v>
      </c>
      <c r="D978" s="17" t="s">
        <v>52</v>
      </c>
      <c r="E978" s="17" t="s">
        <v>187</v>
      </c>
      <c r="F978" s="17" t="s">
        <v>54</v>
      </c>
      <c r="H978" s="65">
        <v>1.2311</v>
      </c>
      <c r="I978" s="65"/>
      <c r="J978" s="17" t="s">
        <v>82</v>
      </c>
      <c r="K978" s="19">
        <v>505</v>
      </c>
      <c r="L978" s="19">
        <v>65</v>
      </c>
      <c r="M978" s="17" t="s">
        <v>361</v>
      </c>
      <c r="N978" s="17" t="s">
        <v>66</v>
      </c>
      <c r="O978" s="19" t="s">
        <v>141</v>
      </c>
      <c r="P978" s="19">
        <v>1000</v>
      </c>
      <c r="Q978" s="17">
        <v>1222</v>
      </c>
      <c r="R978" s="17">
        <f t="shared" ref="R978:R983" si="62">+P978-Q978</f>
        <v>-222</v>
      </c>
      <c r="S978" s="17">
        <v>1220</v>
      </c>
      <c r="T978" s="19" t="s">
        <v>42</v>
      </c>
      <c r="U978" s="17" t="s">
        <v>392</v>
      </c>
      <c r="V978" s="64">
        <v>44613</v>
      </c>
      <c r="W978" s="17" t="s">
        <v>69</v>
      </c>
      <c r="Y978" s="68">
        <v>44621</v>
      </c>
      <c r="Z978" s="17" t="s">
        <v>191</v>
      </c>
      <c r="AA978" s="17" t="s">
        <v>46</v>
      </c>
      <c r="AB978" s="17" t="s">
        <v>367</v>
      </c>
      <c r="AC978" s="66">
        <v>44650</v>
      </c>
      <c r="AD978" s="65">
        <v>1285</v>
      </c>
      <c r="AE978" s="17" t="s">
        <v>74</v>
      </c>
      <c r="AF978" s="17" t="s">
        <v>380</v>
      </c>
      <c r="AH978" s="17" t="s">
        <v>394</v>
      </c>
      <c r="AI978" s="17">
        <v>107</v>
      </c>
    </row>
    <row r="979" s="17" customFormat="1" hidden="1" spans="1:35">
      <c r="A979" s="17" t="s">
        <v>34</v>
      </c>
      <c r="B979" s="19">
        <v>778</v>
      </c>
      <c r="C979" s="64">
        <v>44610</v>
      </c>
      <c r="D979" s="17" t="s">
        <v>52</v>
      </c>
      <c r="E979" s="17" t="s">
        <v>187</v>
      </c>
      <c r="F979" s="17" t="s">
        <v>54</v>
      </c>
      <c r="H979" s="65">
        <v>1.2311</v>
      </c>
      <c r="I979" s="65"/>
      <c r="J979" s="17" t="s">
        <v>82</v>
      </c>
      <c r="K979" s="19">
        <v>555</v>
      </c>
      <c r="L979" s="19">
        <v>65</v>
      </c>
      <c r="M979" s="17" t="s">
        <v>361</v>
      </c>
      <c r="N979" s="17" t="s">
        <v>66</v>
      </c>
      <c r="O979" s="19" t="s">
        <v>141</v>
      </c>
      <c r="P979" s="19">
        <v>1000</v>
      </c>
      <c r="Q979" s="17">
        <v>1332</v>
      </c>
      <c r="R979" s="17">
        <f t="shared" si="62"/>
        <v>-332</v>
      </c>
      <c r="S979" s="17">
        <v>1220</v>
      </c>
      <c r="T979" s="19" t="s">
        <v>42</v>
      </c>
      <c r="U979" s="17" t="s">
        <v>392</v>
      </c>
      <c r="V979" s="64">
        <v>44613</v>
      </c>
      <c r="W979" s="17" t="s">
        <v>69</v>
      </c>
      <c r="Y979" s="68">
        <v>44621</v>
      </c>
      <c r="Z979" s="17" t="s">
        <v>191</v>
      </c>
      <c r="AA979" s="17" t="s">
        <v>46</v>
      </c>
      <c r="AB979" s="17" t="s">
        <v>367</v>
      </c>
      <c r="AC979" s="66">
        <v>44650</v>
      </c>
      <c r="AD979" s="65">
        <v>1285</v>
      </c>
      <c r="AE979" s="17" t="s">
        <v>74</v>
      </c>
      <c r="AF979" s="17" t="s">
        <v>380</v>
      </c>
      <c r="AH979" s="17" t="s">
        <v>394</v>
      </c>
      <c r="AI979" s="17">
        <v>107</v>
      </c>
    </row>
    <row r="980" s="17" customFormat="1" hidden="1" spans="1:35">
      <c r="A980" s="17" t="s">
        <v>34</v>
      </c>
      <c r="B980" s="19">
        <v>778</v>
      </c>
      <c r="C980" s="64">
        <v>44610</v>
      </c>
      <c r="D980" s="17" t="s">
        <v>52</v>
      </c>
      <c r="E980" s="17" t="s">
        <v>187</v>
      </c>
      <c r="F980" s="17" t="s">
        <v>54</v>
      </c>
      <c r="H980" s="65">
        <v>1.2311</v>
      </c>
      <c r="I980" s="65"/>
      <c r="J980" s="17" t="s">
        <v>82</v>
      </c>
      <c r="K980" s="19">
        <v>610</v>
      </c>
      <c r="L980" s="19">
        <v>65</v>
      </c>
      <c r="M980" s="17" t="s">
        <v>361</v>
      </c>
      <c r="N980" s="17" t="s">
        <v>66</v>
      </c>
      <c r="O980" s="19" t="s">
        <v>141</v>
      </c>
      <c r="P980" s="19">
        <v>1000</v>
      </c>
      <c r="Q980" s="17">
        <f>724+724</f>
        <v>1448</v>
      </c>
      <c r="R980" s="17">
        <f t="shared" si="62"/>
        <v>-448</v>
      </c>
      <c r="S980" s="17">
        <v>1220</v>
      </c>
      <c r="T980" s="19" t="s">
        <v>42</v>
      </c>
      <c r="U980" s="17" t="s">
        <v>392</v>
      </c>
      <c r="V980" s="64">
        <v>44613</v>
      </c>
      <c r="W980" s="17" t="s">
        <v>69</v>
      </c>
      <c r="Y980" s="68">
        <v>44621</v>
      </c>
      <c r="Z980" s="17" t="s">
        <v>191</v>
      </c>
      <c r="AA980" s="17" t="s">
        <v>46</v>
      </c>
      <c r="AB980" s="17" t="s">
        <v>351</v>
      </c>
      <c r="AC980" s="66">
        <v>44679</v>
      </c>
      <c r="AD980" s="65">
        <v>1293</v>
      </c>
      <c r="AE980" s="17" t="s">
        <v>74</v>
      </c>
      <c r="AF980" s="17" t="s">
        <v>380</v>
      </c>
      <c r="AH980" s="17" t="s">
        <v>394</v>
      </c>
      <c r="AI980" s="17">
        <v>107</v>
      </c>
    </row>
    <row r="981" s="17" customFormat="1" hidden="1" spans="1:35">
      <c r="A981" s="17" t="s">
        <v>34</v>
      </c>
      <c r="B981" s="19">
        <v>778</v>
      </c>
      <c r="C981" s="64">
        <v>44610</v>
      </c>
      <c r="D981" s="17" t="s">
        <v>52</v>
      </c>
      <c r="E981" s="17" t="s">
        <v>187</v>
      </c>
      <c r="F981" s="17" t="s">
        <v>54</v>
      </c>
      <c r="H981" s="65">
        <v>1.2311</v>
      </c>
      <c r="I981" s="65"/>
      <c r="J981" s="17" t="s">
        <v>82</v>
      </c>
      <c r="K981" s="19">
        <v>205</v>
      </c>
      <c r="L981" s="19">
        <v>80</v>
      </c>
      <c r="M981" s="17" t="s">
        <v>361</v>
      </c>
      <c r="N981" s="17" t="s">
        <v>66</v>
      </c>
      <c r="O981" s="19" t="s">
        <v>141</v>
      </c>
      <c r="P981" s="19">
        <v>2000</v>
      </c>
      <c r="Q981" s="17">
        <v>2154</v>
      </c>
      <c r="R981" s="17">
        <f t="shared" si="62"/>
        <v>-154</v>
      </c>
      <c r="S981" s="17">
        <v>1220</v>
      </c>
      <c r="T981" s="19" t="s">
        <v>42</v>
      </c>
      <c r="U981" s="17" t="s">
        <v>392</v>
      </c>
      <c r="V981" s="64">
        <v>44613</v>
      </c>
      <c r="W981" s="17" t="s">
        <v>69</v>
      </c>
      <c r="Y981" s="68">
        <v>44621</v>
      </c>
      <c r="Z981" s="17" t="s">
        <v>191</v>
      </c>
      <c r="AA981" s="17" t="s">
        <v>46</v>
      </c>
      <c r="AB981" s="17" t="s">
        <v>367</v>
      </c>
      <c r="AC981" s="66">
        <v>44650</v>
      </c>
      <c r="AD981" s="65">
        <v>1285</v>
      </c>
      <c r="AE981" s="17" t="s">
        <v>74</v>
      </c>
      <c r="AF981" s="17" t="s">
        <v>380</v>
      </c>
      <c r="AH981" s="17" t="s">
        <v>394</v>
      </c>
      <c r="AI981" s="17">
        <v>107</v>
      </c>
    </row>
    <row r="982" s="17" customFormat="1" hidden="1" spans="1:35">
      <c r="A982" s="17" t="s">
        <v>34</v>
      </c>
      <c r="B982" s="19">
        <v>778</v>
      </c>
      <c r="C982" s="64">
        <v>44610</v>
      </c>
      <c r="D982" s="17" t="s">
        <v>52</v>
      </c>
      <c r="E982" s="17" t="s">
        <v>187</v>
      </c>
      <c r="F982" s="17" t="s">
        <v>54</v>
      </c>
      <c r="H982" s="65">
        <v>1.2311</v>
      </c>
      <c r="I982" s="65"/>
      <c r="J982" s="17" t="s">
        <v>82</v>
      </c>
      <c r="K982" s="19">
        <v>255</v>
      </c>
      <c r="L982" s="19">
        <v>80</v>
      </c>
      <c r="M982" s="17" t="s">
        <v>361</v>
      </c>
      <c r="N982" s="17" t="s">
        <v>66</v>
      </c>
      <c r="O982" s="19" t="s">
        <v>141</v>
      </c>
      <c r="P982" s="19">
        <v>2000</v>
      </c>
      <c r="Q982" s="17">
        <v>1902</v>
      </c>
      <c r="R982" s="17">
        <f t="shared" si="62"/>
        <v>98</v>
      </c>
      <c r="S982" s="17">
        <v>1220</v>
      </c>
      <c r="T982" s="19" t="s">
        <v>42</v>
      </c>
      <c r="U982" s="17" t="s">
        <v>392</v>
      </c>
      <c r="V982" s="64">
        <v>44613</v>
      </c>
      <c r="W982" s="17" t="s">
        <v>69</v>
      </c>
      <c r="Y982" s="68">
        <v>44621</v>
      </c>
      <c r="Z982" s="17" t="s">
        <v>191</v>
      </c>
      <c r="AA982" s="17" t="s">
        <v>46</v>
      </c>
      <c r="AB982" s="17" t="s">
        <v>367</v>
      </c>
      <c r="AC982" s="66">
        <v>44650</v>
      </c>
      <c r="AD982" s="65">
        <v>1285</v>
      </c>
      <c r="AE982" s="17" t="s">
        <v>74</v>
      </c>
      <c r="AF982" s="17" t="s">
        <v>380</v>
      </c>
      <c r="AH982" s="17" t="s">
        <v>394</v>
      </c>
      <c r="AI982" s="17">
        <v>107</v>
      </c>
    </row>
    <row r="983" s="17" customFormat="1" hidden="1" spans="1:35">
      <c r="A983" s="17" t="s">
        <v>34</v>
      </c>
      <c r="B983" s="19">
        <v>778</v>
      </c>
      <c r="C983" s="64">
        <v>44610</v>
      </c>
      <c r="D983" s="17" t="s">
        <v>52</v>
      </c>
      <c r="E983" s="17" t="s">
        <v>187</v>
      </c>
      <c r="F983" s="17" t="s">
        <v>54</v>
      </c>
      <c r="H983" s="65">
        <v>1.2311</v>
      </c>
      <c r="I983" s="65"/>
      <c r="J983" s="17" t="s">
        <v>82</v>
      </c>
      <c r="K983" s="19">
        <v>305</v>
      </c>
      <c r="L983" s="19">
        <v>80</v>
      </c>
      <c r="M983" s="17" t="s">
        <v>361</v>
      </c>
      <c r="N983" s="17" t="s">
        <v>66</v>
      </c>
      <c r="O983" s="19" t="s">
        <v>141</v>
      </c>
      <c r="P983" s="19">
        <v>2000</v>
      </c>
      <c r="Q983" s="17">
        <v>1816</v>
      </c>
      <c r="R983" s="17">
        <f t="shared" si="62"/>
        <v>184</v>
      </c>
      <c r="S983" s="17">
        <v>1220</v>
      </c>
      <c r="T983" s="19" t="s">
        <v>42</v>
      </c>
      <c r="U983" s="17" t="s">
        <v>392</v>
      </c>
      <c r="V983" s="64">
        <v>44613</v>
      </c>
      <c r="W983" s="17" t="s">
        <v>69</v>
      </c>
      <c r="Y983" s="68">
        <v>44621</v>
      </c>
      <c r="Z983" s="17" t="s">
        <v>191</v>
      </c>
      <c r="AA983" s="17" t="s">
        <v>46</v>
      </c>
      <c r="AB983" s="17" t="s">
        <v>367</v>
      </c>
      <c r="AC983" s="66">
        <v>44650</v>
      </c>
      <c r="AD983" s="65">
        <v>1285</v>
      </c>
      <c r="AE983" s="17" t="s">
        <v>74</v>
      </c>
      <c r="AF983" s="17" t="s">
        <v>380</v>
      </c>
      <c r="AH983" s="17" t="s">
        <v>394</v>
      </c>
      <c r="AI983" s="17">
        <v>107</v>
      </c>
    </row>
    <row r="984" s="17" customFormat="1" hidden="1" spans="1:35">
      <c r="A984" s="17" t="s">
        <v>34</v>
      </c>
      <c r="B984" s="19">
        <v>778</v>
      </c>
      <c r="C984" s="64">
        <v>44610</v>
      </c>
      <c r="D984" s="17" t="s">
        <v>52</v>
      </c>
      <c r="E984" s="17" t="s">
        <v>187</v>
      </c>
      <c r="F984" s="17" t="s">
        <v>54</v>
      </c>
      <c r="H984" s="65">
        <v>1.2311</v>
      </c>
      <c r="I984" s="65"/>
      <c r="J984" s="17" t="s">
        <v>82</v>
      </c>
      <c r="K984" s="19">
        <v>355</v>
      </c>
      <c r="L984" s="19">
        <v>80</v>
      </c>
      <c r="M984" s="17" t="s">
        <v>361</v>
      </c>
      <c r="N984" s="17" t="s">
        <v>66</v>
      </c>
      <c r="O984" s="19" t="s">
        <v>141</v>
      </c>
      <c r="P984" s="19">
        <v>2000</v>
      </c>
      <c r="Q984" s="17">
        <v>1055</v>
      </c>
      <c r="S984" s="17">
        <v>1220</v>
      </c>
      <c r="T984" s="19" t="s">
        <v>42</v>
      </c>
      <c r="U984" s="17" t="s">
        <v>392</v>
      </c>
      <c r="V984" s="64">
        <v>44613</v>
      </c>
      <c r="W984" s="17" t="s">
        <v>69</v>
      </c>
      <c r="Y984" s="68">
        <v>44621</v>
      </c>
      <c r="Z984" s="17" t="s">
        <v>191</v>
      </c>
      <c r="AA984" s="17" t="s">
        <v>46</v>
      </c>
      <c r="AB984" s="17" t="s">
        <v>367</v>
      </c>
      <c r="AC984" s="66">
        <v>44650</v>
      </c>
      <c r="AD984" s="65">
        <v>1285</v>
      </c>
      <c r="AE984" s="17" t="s">
        <v>74</v>
      </c>
      <c r="AF984" s="17" t="s">
        <v>380</v>
      </c>
      <c r="AH984" s="17" t="s">
        <v>394</v>
      </c>
      <c r="AI984" s="17">
        <v>107</v>
      </c>
    </row>
    <row r="985" s="17" customFormat="1" hidden="1" spans="1:35">
      <c r="A985" s="17" t="s">
        <v>34</v>
      </c>
      <c r="B985" s="19">
        <v>778</v>
      </c>
      <c r="C985" s="64">
        <v>44610</v>
      </c>
      <c r="D985" s="17" t="s">
        <v>52</v>
      </c>
      <c r="E985" s="17" t="s">
        <v>187</v>
      </c>
      <c r="F985" s="17" t="s">
        <v>54</v>
      </c>
      <c r="H985" s="65">
        <v>1.2311</v>
      </c>
      <c r="I985" s="65"/>
      <c r="J985" s="17" t="s">
        <v>82</v>
      </c>
      <c r="K985" s="19">
        <v>355</v>
      </c>
      <c r="L985" s="19">
        <v>80</v>
      </c>
      <c r="M985" s="17" t="s">
        <v>361</v>
      </c>
      <c r="N985" s="17" t="s">
        <v>66</v>
      </c>
      <c r="O985" s="19" t="s">
        <v>141</v>
      </c>
      <c r="P985" s="19"/>
      <c r="Q985" s="17">
        <v>1055</v>
      </c>
      <c r="R985" s="17">
        <f>+P984-Q984-Q985</f>
        <v>-110</v>
      </c>
      <c r="S985" s="17">
        <v>1220</v>
      </c>
      <c r="T985" s="19" t="s">
        <v>42</v>
      </c>
      <c r="U985" s="17" t="s">
        <v>392</v>
      </c>
      <c r="V985" s="64">
        <v>44613</v>
      </c>
      <c r="W985" s="17" t="s">
        <v>69</v>
      </c>
      <c r="Y985" s="68">
        <v>44621</v>
      </c>
      <c r="Z985" s="17" t="s">
        <v>191</v>
      </c>
      <c r="AA985" s="17" t="s">
        <v>46</v>
      </c>
      <c r="AB985" s="17" t="s">
        <v>351</v>
      </c>
      <c r="AC985" s="66">
        <v>44679</v>
      </c>
      <c r="AD985" s="65">
        <v>1293</v>
      </c>
      <c r="AE985" s="17" t="s">
        <v>74</v>
      </c>
      <c r="AF985" s="17" t="s">
        <v>380</v>
      </c>
      <c r="AH985" s="17" t="s">
        <v>394</v>
      </c>
      <c r="AI985" s="17">
        <v>107</v>
      </c>
    </row>
    <row r="986" s="17" customFormat="1" hidden="1" spans="1:35">
      <c r="A986" s="17" t="s">
        <v>34</v>
      </c>
      <c r="B986" s="19">
        <v>778</v>
      </c>
      <c r="C986" s="64">
        <v>44610</v>
      </c>
      <c r="D986" s="17" t="s">
        <v>52</v>
      </c>
      <c r="E986" s="17" t="s">
        <v>187</v>
      </c>
      <c r="F986" s="17" t="s">
        <v>54</v>
      </c>
      <c r="H986" s="65">
        <v>1.2311</v>
      </c>
      <c r="I986" s="65"/>
      <c r="J986" s="17" t="s">
        <v>82</v>
      </c>
      <c r="K986" s="19">
        <v>405</v>
      </c>
      <c r="L986" s="19">
        <v>80</v>
      </c>
      <c r="M986" s="17" t="s">
        <v>361</v>
      </c>
      <c r="N986" s="17" t="s">
        <v>66</v>
      </c>
      <c r="O986" s="19" t="s">
        <v>141</v>
      </c>
      <c r="P986" s="19">
        <v>2000</v>
      </c>
      <c r="Q986" s="17">
        <v>1786</v>
      </c>
      <c r="R986" s="17">
        <f t="shared" ref="R986:R1021" si="63">+P986-Q986</f>
        <v>214</v>
      </c>
      <c r="S986" s="17">
        <v>1220</v>
      </c>
      <c r="T986" s="19" t="s">
        <v>42</v>
      </c>
      <c r="U986" s="17" t="s">
        <v>392</v>
      </c>
      <c r="V986" s="64">
        <v>44613</v>
      </c>
      <c r="W986" s="17" t="s">
        <v>69</v>
      </c>
      <c r="Y986" s="68">
        <v>44621</v>
      </c>
      <c r="Z986" s="17" t="s">
        <v>191</v>
      </c>
      <c r="AA986" s="17" t="s">
        <v>46</v>
      </c>
      <c r="AB986" s="17" t="s">
        <v>367</v>
      </c>
      <c r="AC986" s="66">
        <v>44650</v>
      </c>
      <c r="AD986" s="65">
        <v>1285</v>
      </c>
      <c r="AE986" s="17" t="s">
        <v>74</v>
      </c>
      <c r="AF986" s="17" t="s">
        <v>380</v>
      </c>
      <c r="AH986" s="17" t="s">
        <v>394</v>
      </c>
      <c r="AI986" s="17">
        <v>107</v>
      </c>
    </row>
    <row r="987" s="17" customFormat="1" hidden="1" spans="1:35">
      <c r="A987" s="17" t="s">
        <v>34</v>
      </c>
      <c r="B987" s="19">
        <v>778</v>
      </c>
      <c r="C987" s="64">
        <v>44610</v>
      </c>
      <c r="D987" s="17" t="s">
        <v>52</v>
      </c>
      <c r="E987" s="17" t="s">
        <v>187</v>
      </c>
      <c r="F987" s="17" t="s">
        <v>54</v>
      </c>
      <c r="H987" s="65">
        <v>1.2311</v>
      </c>
      <c r="I987" s="65"/>
      <c r="J987" s="17" t="s">
        <v>82</v>
      </c>
      <c r="K987" s="19">
        <v>455</v>
      </c>
      <c r="L987" s="19">
        <v>80</v>
      </c>
      <c r="M987" s="17" t="s">
        <v>361</v>
      </c>
      <c r="N987" s="17" t="s">
        <v>66</v>
      </c>
      <c r="O987" s="19" t="s">
        <v>141</v>
      </c>
      <c r="P987" s="19">
        <v>1500</v>
      </c>
      <c r="Q987" s="17">
        <v>1334</v>
      </c>
      <c r="R987" s="17">
        <f t="shared" si="63"/>
        <v>166</v>
      </c>
      <c r="S987" s="17">
        <v>1220</v>
      </c>
      <c r="T987" s="19" t="s">
        <v>42</v>
      </c>
      <c r="U987" s="17" t="s">
        <v>392</v>
      </c>
      <c r="V987" s="64">
        <v>44613</v>
      </c>
      <c r="W987" s="17" t="s">
        <v>69</v>
      </c>
      <c r="Y987" s="68">
        <v>44621</v>
      </c>
      <c r="Z987" s="17" t="s">
        <v>191</v>
      </c>
      <c r="AA987" s="17" t="s">
        <v>46</v>
      </c>
      <c r="AB987" s="17" t="s">
        <v>367</v>
      </c>
      <c r="AC987" s="66">
        <v>44650</v>
      </c>
      <c r="AD987" s="65">
        <v>1285</v>
      </c>
      <c r="AE987" s="17" t="s">
        <v>74</v>
      </c>
      <c r="AF987" s="17" t="s">
        <v>380</v>
      </c>
      <c r="AH987" s="17" t="s">
        <v>394</v>
      </c>
      <c r="AI987" s="17">
        <v>107</v>
      </c>
    </row>
    <row r="988" s="17" customFormat="1" hidden="1" spans="1:35">
      <c r="A988" s="17" t="s">
        <v>34</v>
      </c>
      <c r="B988" s="19">
        <v>778</v>
      </c>
      <c r="C988" s="64">
        <v>44610</v>
      </c>
      <c r="D988" s="17" t="s">
        <v>52</v>
      </c>
      <c r="E988" s="17" t="s">
        <v>187</v>
      </c>
      <c r="F988" s="17" t="s">
        <v>54</v>
      </c>
      <c r="H988" s="65">
        <v>1.2311</v>
      </c>
      <c r="I988" s="65"/>
      <c r="J988" s="17" t="s">
        <v>82</v>
      </c>
      <c r="K988" s="19">
        <v>505</v>
      </c>
      <c r="L988" s="19">
        <v>80</v>
      </c>
      <c r="M988" s="17" t="s">
        <v>361</v>
      </c>
      <c r="N988" s="17" t="s">
        <v>66</v>
      </c>
      <c r="O988" s="19" t="s">
        <v>141</v>
      </c>
      <c r="P988" s="19">
        <v>1000</v>
      </c>
      <c r="Q988" s="17">
        <v>744</v>
      </c>
      <c r="R988" s="17">
        <f t="shared" si="63"/>
        <v>256</v>
      </c>
      <c r="S988" s="17">
        <v>1220</v>
      </c>
      <c r="T988" s="19" t="s">
        <v>42</v>
      </c>
      <c r="U988" s="17" t="s">
        <v>392</v>
      </c>
      <c r="V988" s="64">
        <v>44613</v>
      </c>
      <c r="W988" s="17" t="s">
        <v>69</v>
      </c>
      <c r="Y988" s="68">
        <v>44621</v>
      </c>
      <c r="Z988" s="17" t="s">
        <v>191</v>
      </c>
      <c r="AA988" s="17" t="s">
        <v>46</v>
      </c>
      <c r="AB988" s="17" t="s">
        <v>367</v>
      </c>
      <c r="AC988" s="66">
        <v>44650</v>
      </c>
      <c r="AD988" s="65">
        <v>1285</v>
      </c>
      <c r="AE988" s="17" t="s">
        <v>74</v>
      </c>
      <c r="AF988" s="17" t="s">
        <v>380</v>
      </c>
      <c r="AH988" s="17" t="s">
        <v>394</v>
      </c>
      <c r="AI988" s="17">
        <v>107</v>
      </c>
    </row>
    <row r="989" s="17" customFormat="1" hidden="1" spans="1:35">
      <c r="A989" s="17" t="s">
        <v>34</v>
      </c>
      <c r="B989" s="19">
        <v>778</v>
      </c>
      <c r="C989" s="64">
        <v>44610</v>
      </c>
      <c r="D989" s="17" t="s">
        <v>52</v>
      </c>
      <c r="E989" s="17" t="s">
        <v>187</v>
      </c>
      <c r="F989" s="17" t="s">
        <v>54</v>
      </c>
      <c r="H989" s="65">
        <v>1.2311</v>
      </c>
      <c r="I989" s="65"/>
      <c r="J989" s="17" t="s">
        <v>82</v>
      </c>
      <c r="K989" s="19">
        <v>555</v>
      </c>
      <c r="L989" s="19">
        <v>80</v>
      </c>
      <c r="M989" s="17" t="s">
        <v>361</v>
      </c>
      <c r="N989" s="17" t="s">
        <v>66</v>
      </c>
      <c r="O989" s="19" t="s">
        <v>141</v>
      </c>
      <c r="P989" s="19">
        <v>1000</v>
      </c>
      <c r="Q989" s="17">
        <v>818</v>
      </c>
      <c r="R989" s="17">
        <f t="shared" si="63"/>
        <v>182</v>
      </c>
      <c r="S989" s="17">
        <v>1220</v>
      </c>
      <c r="T989" s="19" t="s">
        <v>42</v>
      </c>
      <c r="U989" s="17" t="s">
        <v>392</v>
      </c>
      <c r="V989" s="64">
        <v>44613</v>
      </c>
      <c r="W989" s="17" t="s">
        <v>69</v>
      </c>
      <c r="Y989" s="68">
        <v>44621</v>
      </c>
      <c r="Z989" s="17" t="s">
        <v>191</v>
      </c>
      <c r="AA989" s="17" t="s">
        <v>46</v>
      </c>
      <c r="AB989" s="17" t="s">
        <v>367</v>
      </c>
      <c r="AC989" s="66">
        <v>44650</v>
      </c>
      <c r="AD989" s="65">
        <v>1285</v>
      </c>
      <c r="AE989" s="17" t="s">
        <v>74</v>
      </c>
      <c r="AF989" s="17" t="s">
        <v>380</v>
      </c>
      <c r="AH989" s="17" t="s">
        <v>394</v>
      </c>
      <c r="AI989" s="17">
        <v>107</v>
      </c>
    </row>
    <row r="990" s="17" customFormat="1" hidden="1" spans="1:35">
      <c r="A990" s="17" t="s">
        <v>34</v>
      </c>
      <c r="B990" s="19">
        <v>778</v>
      </c>
      <c r="C990" s="64">
        <v>44610</v>
      </c>
      <c r="D990" s="17" t="s">
        <v>52</v>
      </c>
      <c r="E990" s="17" t="s">
        <v>187</v>
      </c>
      <c r="F990" s="17" t="s">
        <v>54</v>
      </c>
      <c r="H990" s="65">
        <v>1.2311</v>
      </c>
      <c r="I990" s="65"/>
      <c r="J990" s="17" t="s">
        <v>82</v>
      </c>
      <c r="K990" s="19">
        <v>605</v>
      </c>
      <c r="L990" s="19">
        <v>80</v>
      </c>
      <c r="M990" s="17" t="s">
        <v>361</v>
      </c>
      <c r="N990" s="17" t="s">
        <v>66</v>
      </c>
      <c r="O990" s="19" t="s">
        <v>141</v>
      </c>
      <c r="P990" s="19">
        <v>1000</v>
      </c>
      <c r="Q990" s="17">
        <v>890</v>
      </c>
      <c r="R990" s="17">
        <f t="shared" si="63"/>
        <v>110</v>
      </c>
      <c r="S990" s="17">
        <v>1220</v>
      </c>
      <c r="T990" s="19" t="s">
        <v>42</v>
      </c>
      <c r="U990" s="17" t="s">
        <v>392</v>
      </c>
      <c r="V990" s="64">
        <v>44613</v>
      </c>
      <c r="W990" s="17" t="s">
        <v>69</v>
      </c>
      <c r="Y990" s="68">
        <v>44621</v>
      </c>
      <c r="Z990" s="17" t="s">
        <v>191</v>
      </c>
      <c r="AA990" s="17" t="s">
        <v>46</v>
      </c>
      <c r="AB990" s="17" t="s">
        <v>367</v>
      </c>
      <c r="AC990" s="66">
        <v>44650</v>
      </c>
      <c r="AD990" s="65">
        <v>1285</v>
      </c>
      <c r="AE990" s="17" t="s">
        <v>74</v>
      </c>
      <c r="AF990" s="17" t="s">
        <v>380</v>
      </c>
      <c r="AH990" s="17" t="s">
        <v>394</v>
      </c>
      <c r="AI990" s="17">
        <v>107</v>
      </c>
    </row>
    <row r="991" s="17" customFormat="1" hidden="1" spans="1:35">
      <c r="A991" s="17" t="s">
        <v>34</v>
      </c>
      <c r="B991" s="19">
        <v>778</v>
      </c>
      <c r="C991" s="64">
        <v>44610</v>
      </c>
      <c r="D991" s="17" t="s">
        <v>52</v>
      </c>
      <c r="E991" s="17" t="s">
        <v>187</v>
      </c>
      <c r="F991" s="17" t="s">
        <v>54</v>
      </c>
      <c r="H991" s="65">
        <v>1.2311</v>
      </c>
      <c r="I991" s="65"/>
      <c r="J991" s="17" t="s">
        <v>82</v>
      </c>
      <c r="K991" s="19">
        <v>205</v>
      </c>
      <c r="L991" s="19">
        <v>105</v>
      </c>
      <c r="M991" s="17" t="s">
        <v>361</v>
      </c>
      <c r="N991" s="17" t="s">
        <v>66</v>
      </c>
      <c r="O991" s="19" t="s">
        <v>141</v>
      </c>
      <c r="P991" s="19">
        <v>1500</v>
      </c>
      <c r="Q991" s="17">
        <v>1073</v>
      </c>
      <c r="R991" s="17">
        <f t="shared" si="63"/>
        <v>427</v>
      </c>
      <c r="S991" s="17">
        <v>1220</v>
      </c>
      <c r="T991" s="19" t="s">
        <v>42</v>
      </c>
      <c r="U991" s="17" t="s">
        <v>392</v>
      </c>
      <c r="V991" s="64">
        <v>44613</v>
      </c>
      <c r="W991" s="17" t="s">
        <v>69</v>
      </c>
      <c r="Y991" s="68">
        <v>44621</v>
      </c>
      <c r="Z991" s="17" t="s">
        <v>191</v>
      </c>
      <c r="AA991" s="17" t="s">
        <v>46</v>
      </c>
      <c r="AB991" s="17" t="s">
        <v>393</v>
      </c>
      <c r="AC991" s="66">
        <v>44635</v>
      </c>
      <c r="AD991" s="65">
        <v>1274</v>
      </c>
      <c r="AE991" s="17" t="s">
        <v>74</v>
      </c>
      <c r="AF991" s="17" t="s">
        <v>380</v>
      </c>
      <c r="AH991" s="17" t="s">
        <v>394</v>
      </c>
      <c r="AI991" s="17">
        <v>107</v>
      </c>
    </row>
    <row r="992" s="17" customFormat="1" hidden="1" spans="1:35">
      <c r="A992" s="17" t="s">
        <v>34</v>
      </c>
      <c r="B992" s="19">
        <v>778</v>
      </c>
      <c r="C992" s="64">
        <v>44610</v>
      </c>
      <c r="D992" s="17" t="s">
        <v>52</v>
      </c>
      <c r="E992" s="17" t="s">
        <v>187</v>
      </c>
      <c r="F992" s="17" t="s">
        <v>54</v>
      </c>
      <c r="H992" s="65">
        <v>1.2311</v>
      </c>
      <c r="I992" s="65"/>
      <c r="J992" s="17" t="s">
        <v>82</v>
      </c>
      <c r="K992" s="19">
        <v>255</v>
      </c>
      <c r="L992" s="19">
        <v>105</v>
      </c>
      <c r="M992" s="17" t="s">
        <v>361</v>
      </c>
      <c r="N992" s="17" t="s">
        <v>66</v>
      </c>
      <c r="O992" s="19" t="s">
        <v>141</v>
      </c>
      <c r="P992" s="19">
        <v>1500</v>
      </c>
      <c r="Q992" s="17">
        <f>882+443</f>
        <v>1325</v>
      </c>
      <c r="R992" s="17">
        <f t="shared" si="63"/>
        <v>175</v>
      </c>
      <c r="S992" s="17">
        <v>1220</v>
      </c>
      <c r="T992" s="19" t="s">
        <v>42</v>
      </c>
      <c r="U992" s="17" t="s">
        <v>392</v>
      </c>
      <c r="V992" s="64">
        <v>44613</v>
      </c>
      <c r="W992" s="17" t="s">
        <v>69</v>
      </c>
      <c r="Y992" s="68">
        <v>44621</v>
      </c>
      <c r="Z992" s="17" t="s">
        <v>191</v>
      </c>
      <c r="AA992" s="17" t="s">
        <v>46</v>
      </c>
      <c r="AB992" s="17" t="s">
        <v>393</v>
      </c>
      <c r="AC992" s="66">
        <v>44635</v>
      </c>
      <c r="AD992" s="65">
        <v>1274</v>
      </c>
      <c r="AE992" s="17" t="s">
        <v>74</v>
      </c>
      <c r="AF992" s="17" t="s">
        <v>380</v>
      </c>
      <c r="AH992" s="17" t="s">
        <v>394</v>
      </c>
      <c r="AI992" s="17">
        <v>107</v>
      </c>
    </row>
    <row r="993" s="17" customFormat="1" hidden="1" spans="1:35">
      <c r="A993" s="17" t="s">
        <v>34</v>
      </c>
      <c r="B993" s="19">
        <v>778</v>
      </c>
      <c r="C993" s="64">
        <v>44610</v>
      </c>
      <c r="D993" s="17" t="s">
        <v>52</v>
      </c>
      <c r="E993" s="17" t="s">
        <v>187</v>
      </c>
      <c r="F993" s="17" t="s">
        <v>54</v>
      </c>
      <c r="H993" s="65">
        <v>1.2311</v>
      </c>
      <c r="I993" s="65"/>
      <c r="J993" s="17" t="s">
        <v>82</v>
      </c>
      <c r="K993" s="19">
        <v>305</v>
      </c>
      <c r="L993" s="19">
        <v>105</v>
      </c>
      <c r="M993" s="17" t="s">
        <v>361</v>
      </c>
      <c r="N993" s="17" t="s">
        <v>66</v>
      </c>
      <c r="O993" s="19" t="s">
        <v>141</v>
      </c>
      <c r="P993" s="19">
        <v>1500</v>
      </c>
      <c r="Q993" s="17">
        <v>1762</v>
      </c>
      <c r="R993" s="17">
        <f t="shared" si="63"/>
        <v>-262</v>
      </c>
      <c r="S993" s="17">
        <v>1220</v>
      </c>
      <c r="T993" s="19" t="s">
        <v>42</v>
      </c>
      <c r="U993" s="17" t="s">
        <v>392</v>
      </c>
      <c r="V993" s="64">
        <v>44613</v>
      </c>
      <c r="W993" s="17" t="s">
        <v>69</v>
      </c>
      <c r="Y993" s="68">
        <v>44621</v>
      </c>
      <c r="Z993" s="17" t="s">
        <v>191</v>
      </c>
      <c r="AA993" s="17" t="s">
        <v>46</v>
      </c>
      <c r="AB993" s="17" t="s">
        <v>367</v>
      </c>
      <c r="AC993" s="66">
        <v>44650</v>
      </c>
      <c r="AD993" s="65">
        <v>1285</v>
      </c>
      <c r="AE993" s="17" t="s">
        <v>74</v>
      </c>
      <c r="AF993" s="17" t="s">
        <v>380</v>
      </c>
      <c r="AH993" s="17" t="s">
        <v>394</v>
      </c>
      <c r="AI993" s="17">
        <v>107</v>
      </c>
    </row>
    <row r="994" s="17" customFormat="1" hidden="1" spans="1:35">
      <c r="A994" s="17" t="s">
        <v>34</v>
      </c>
      <c r="B994" s="19">
        <v>778</v>
      </c>
      <c r="C994" s="64">
        <v>44610</v>
      </c>
      <c r="D994" s="17" t="s">
        <v>52</v>
      </c>
      <c r="E994" s="17" t="s">
        <v>187</v>
      </c>
      <c r="F994" s="17" t="s">
        <v>54</v>
      </c>
      <c r="H994" s="65">
        <v>1.2311</v>
      </c>
      <c r="I994" s="65"/>
      <c r="J994" s="17" t="s">
        <v>82</v>
      </c>
      <c r="K994" s="19">
        <v>355</v>
      </c>
      <c r="L994" s="19">
        <v>105</v>
      </c>
      <c r="M994" s="17" t="s">
        <v>361</v>
      </c>
      <c r="N994" s="17" t="s">
        <v>66</v>
      </c>
      <c r="O994" s="19" t="s">
        <v>141</v>
      </c>
      <c r="P994" s="19">
        <v>1000</v>
      </c>
      <c r="Q994" s="17">
        <f>683+683</f>
        <v>1366</v>
      </c>
      <c r="R994" s="17">
        <f t="shared" si="63"/>
        <v>-366</v>
      </c>
      <c r="S994" s="17">
        <v>1220</v>
      </c>
      <c r="T994" s="19" t="s">
        <v>42</v>
      </c>
      <c r="U994" s="17" t="s">
        <v>392</v>
      </c>
      <c r="V994" s="64">
        <v>44613</v>
      </c>
      <c r="W994" s="17" t="s">
        <v>69</v>
      </c>
      <c r="Y994" s="68">
        <v>44621</v>
      </c>
      <c r="Z994" s="17" t="s">
        <v>191</v>
      </c>
      <c r="AA994" s="17" t="s">
        <v>46</v>
      </c>
      <c r="AB994" s="17" t="s">
        <v>351</v>
      </c>
      <c r="AC994" s="66">
        <v>44679</v>
      </c>
      <c r="AD994" s="65">
        <v>1293</v>
      </c>
      <c r="AE994" s="17" t="s">
        <v>74</v>
      </c>
      <c r="AF994" s="17" t="s">
        <v>380</v>
      </c>
      <c r="AH994" s="17" t="s">
        <v>394</v>
      </c>
      <c r="AI994" s="17">
        <v>107</v>
      </c>
    </row>
    <row r="995" s="17" customFormat="1" hidden="1" spans="1:35">
      <c r="A995" s="17" t="s">
        <v>34</v>
      </c>
      <c r="B995" s="19">
        <v>778</v>
      </c>
      <c r="C995" s="64">
        <v>44610</v>
      </c>
      <c r="D995" s="17" t="s">
        <v>52</v>
      </c>
      <c r="E995" s="17" t="s">
        <v>187</v>
      </c>
      <c r="F995" s="17" t="s">
        <v>54</v>
      </c>
      <c r="H995" s="65">
        <v>1.2311</v>
      </c>
      <c r="I995" s="65"/>
      <c r="J995" s="17" t="s">
        <v>82</v>
      </c>
      <c r="K995" s="19">
        <v>405</v>
      </c>
      <c r="L995" s="19">
        <v>105</v>
      </c>
      <c r="M995" s="17" t="s">
        <v>361</v>
      </c>
      <c r="N995" s="17" t="s">
        <v>66</v>
      </c>
      <c r="O995" s="19" t="s">
        <v>141</v>
      </c>
      <c r="P995" s="19">
        <v>1000</v>
      </c>
      <c r="Q995" s="17">
        <v>784</v>
      </c>
      <c r="R995" s="17">
        <f t="shared" si="63"/>
        <v>216</v>
      </c>
      <c r="S995" s="17">
        <v>1220</v>
      </c>
      <c r="T995" s="19" t="s">
        <v>42</v>
      </c>
      <c r="U995" s="17" t="s">
        <v>392</v>
      </c>
      <c r="V995" s="64">
        <v>44613</v>
      </c>
      <c r="W995" s="17" t="s">
        <v>69</v>
      </c>
      <c r="Y995" s="68">
        <v>44621</v>
      </c>
      <c r="Z995" s="17" t="s">
        <v>191</v>
      </c>
      <c r="AA995" s="17" t="s">
        <v>46</v>
      </c>
      <c r="AB995" s="17" t="s">
        <v>367</v>
      </c>
      <c r="AC995" s="66">
        <v>44650</v>
      </c>
      <c r="AD995" s="65">
        <v>1285</v>
      </c>
      <c r="AE995" s="17" t="s">
        <v>74</v>
      </c>
      <c r="AF995" s="17" t="s">
        <v>380</v>
      </c>
      <c r="AH995" s="17" t="s">
        <v>394</v>
      </c>
      <c r="AI995" s="17">
        <v>107</v>
      </c>
    </row>
    <row r="996" s="17" customFormat="1" hidden="1" spans="1:35">
      <c r="A996" s="17" t="s">
        <v>34</v>
      </c>
      <c r="B996" s="19">
        <v>778</v>
      </c>
      <c r="C996" s="64">
        <v>44610</v>
      </c>
      <c r="D996" s="17" t="s">
        <v>52</v>
      </c>
      <c r="E996" s="17" t="s">
        <v>187</v>
      </c>
      <c r="F996" s="17" t="s">
        <v>54</v>
      </c>
      <c r="H996" s="65">
        <v>1.2311</v>
      </c>
      <c r="I996" s="65"/>
      <c r="J996" s="17" t="s">
        <v>82</v>
      </c>
      <c r="K996" s="19">
        <v>455</v>
      </c>
      <c r="L996" s="19">
        <v>105</v>
      </c>
      <c r="M996" s="17" t="s">
        <v>361</v>
      </c>
      <c r="N996" s="17" t="s">
        <v>66</v>
      </c>
      <c r="O996" s="19" t="s">
        <v>141</v>
      </c>
      <c r="P996" s="19">
        <v>1000</v>
      </c>
      <c r="Q996" s="17">
        <v>876</v>
      </c>
      <c r="R996" s="17">
        <f t="shared" si="63"/>
        <v>124</v>
      </c>
      <c r="S996" s="17">
        <v>1220</v>
      </c>
      <c r="T996" s="19" t="s">
        <v>42</v>
      </c>
      <c r="U996" s="17" t="s">
        <v>392</v>
      </c>
      <c r="V996" s="64">
        <v>44613</v>
      </c>
      <c r="W996" s="17" t="s">
        <v>69</v>
      </c>
      <c r="Y996" s="68">
        <v>44621</v>
      </c>
      <c r="Z996" s="17" t="s">
        <v>191</v>
      </c>
      <c r="AA996" s="17" t="s">
        <v>46</v>
      </c>
      <c r="AB996" s="17" t="s">
        <v>367</v>
      </c>
      <c r="AC996" s="66">
        <v>44650</v>
      </c>
      <c r="AD996" s="65">
        <v>1285</v>
      </c>
      <c r="AE996" s="17" t="s">
        <v>74</v>
      </c>
      <c r="AF996" s="17" t="s">
        <v>380</v>
      </c>
      <c r="AH996" s="17" t="s">
        <v>394</v>
      </c>
      <c r="AI996" s="17">
        <v>107</v>
      </c>
    </row>
    <row r="997" s="17" customFormat="1" hidden="1" spans="1:35">
      <c r="A997" s="17" t="s">
        <v>34</v>
      </c>
      <c r="B997" s="19">
        <v>778</v>
      </c>
      <c r="C997" s="64">
        <v>44610</v>
      </c>
      <c r="D997" s="17" t="s">
        <v>52</v>
      </c>
      <c r="E997" s="17" t="s">
        <v>187</v>
      </c>
      <c r="F997" s="17" t="s">
        <v>54</v>
      </c>
      <c r="H997" s="65">
        <v>1.2311</v>
      </c>
      <c r="I997" s="65"/>
      <c r="J997" s="17" t="s">
        <v>82</v>
      </c>
      <c r="K997" s="19">
        <v>505</v>
      </c>
      <c r="L997" s="19">
        <v>105</v>
      </c>
      <c r="M997" s="17" t="s">
        <v>361</v>
      </c>
      <c r="N997" s="17" t="s">
        <v>66</v>
      </c>
      <c r="O997" s="19" t="s">
        <v>141</v>
      </c>
      <c r="P997" s="19">
        <v>1000</v>
      </c>
      <c r="Q997" s="17">
        <v>863</v>
      </c>
      <c r="R997" s="17">
        <f t="shared" si="63"/>
        <v>137</v>
      </c>
      <c r="S997" s="17">
        <v>1220</v>
      </c>
      <c r="T997" s="19" t="s">
        <v>42</v>
      </c>
      <c r="U997" s="17" t="s">
        <v>392</v>
      </c>
      <c r="V997" s="64">
        <v>44613</v>
      </c>
      <c r="W997" s="17" t="s">
        <v>69</v>
      </c>
      <c r="Y997" s="68">
        <v>44621</v>
      </c>
      <c r="Z997" s="17" t="s">
        <v>191</v>
      </c>
      <c r="AA997" s="17" t="s">
        <v>46</v>
      </c>
      <c r="AB997" s="17" t="s">
        <v>393</v>
      </c>
      <c r="AC997" s="66">
        <v>44635</v>
      </c>
      <c r="AD997" s="65">
        <v>1274</v>
      </c>
      <c r="AE997" s="17" t="s">
        <v>74</v>
      </c>
      <c r="AF997" s="17" t="s">
        <v>380</v>
      </c>
      <c r="AH997" s="17" t="s">
        <v>394</v>
      </c>
      <c r="AI997" s="17">
        <v>107</v>
      </c>
    </row>
    <row r="998" s="17" customFormat="1" hidden="1" spans="1:35">
      <c r="A998" s="17" t="s">
        <v>34</v>
      </c>
      <c r="B998" s="19">
        <v>778</v>
      </c>
      <c r="C998" s="64">
        <v>44610</v>
      </c>
      <c r="D998" s="17" t="s">
        <v>52</v>
      </c>
      <c r="E998" s="17" t="s">
        <v>187</v>
      </c>
      <c r="F998" s="17" t="s">
        <v>54</v>
      </c>
      <c r="H998" s="65">
        <v>1.2311</v>
      </c>
      <c r="I998" s="65"/>
      <c r="J998" s="17" t="s">
        <v>82</v>
      </c>
      <c r="K998" s="19">
        <v>555</v>
      </c>
      <c r="L998" s="19">
        <v>105</v>
      </c>
      <c r="M998" s="17" t="s">
        <v>361</v>
      </c>
      <c r="N998" s="17" t="s">
        <v>66</v>
      </c>
      <c r="O998" s="19" t="s">
        <v>141</v>
      </c>
      <c r="P998" s="147">
        <v>1000</v>
      </c>
      <c r="Q998" s="17">
        <v>955</v>
      </c>
      <c r="R998" s="17">
        <f t="shared" si="63"/>
        <v>45</v>
      </c>
      <c r="S998" s="17">
        <v>1220</v>
      </c>
      <c r="T998" s="19" t="s">
        <v>42</v>
      </c>
      <c r="U998" s="17" t="s">
        <v>392</v>
      </c>
      <c r="V998" s="64">
        <v>44613</v>
      </c>
      <c r="W998" s="17" t="s">
        <v>69</v>
      </c>
      <c r="Y998" s="68">
        <v>44621</v>
      </c>
      <c r="Z998" s="17" t="s">
        <v>191</v>
      </c>
      <c r="AA998" s="17" t="s">
        <v>46</v>
      </c>
      <c r="AB998" s="17" t="s">
        <v>393</v>
      </c>
      <c r="AC998" s="66">
        <v>44635</v>
      </c>
      <c r="AD998" s="65">
        <v>1274</v>
      </c>
      <c r="AE998" s="17" t="s">
        <v>74</v>
      </c>
      <c r="AF998" s="17" t="s">
        <v>380</v>
      </c>
      <c r="AH998" s="17" t="s">
        <v>394</v>
      </c>
      <c r="AI998" s="17">
        <v>107</v>
      </c>
    </row>
    <row r="999" s="17" customFormat="1" hidden="1" spans="1:35">
      <c r="A999" s="17" t="s">
        <v>34</v>
      </c>
      <c r="B999" s="19">
        <v>779</v>
      </c>
      <c r="C999" s="64">
        <v>44617</v>
      </c>
      <c r="D999" s="17" t="s">
        <v>35</v>
      </c>
      <c r="E999" s="17" t="s">
        <v>148</v>
      </c>
      <c r="F999" s="17" t="s">
        <v>37</v>
      </c>
      <c r="H999" s="65" t="s">
        <v>197</v>
      </c>
      <c r="I999" s="65"/>
      <c r="J999" s="17" t="s">
        <v>39</v>
      </c>
      <c r="K999" s="17">
        <v>36</v>
      </c>
      <c r="N999" s="17" t="s">
        <v>40</v>
      </c>
      <c r="O999" s="19" t="s">
        <v>141</v>
      </c>
      <c r="P999" s="19">
        <v>100</v>
      </c>
      <c r="Q999" s="143">
        <v>137</v>
      </c>
      <c r="R999" s="17">
        <f t="shared" si="63"/>
        <v>-37</v>
      </c>
      <c r="S999" s="17">
        <v>6055</v>
      </c>
      <c r="T999" s="19" t="s">
        <v>42</v>
      </c>
      <c r="U999" s="17" t="s">
        <v>395</v>
      </c>
      <c r="V999" s="64">
        <v>44627</v>
      </c>
      <c r="W999" s="17" t="s">
        <v>44</v>
      </c>
      <c r="Y999" s="68">
        <v>44621</v>
      </c>
      <c r="Z999" s="17" t="s">
        <v>199</v>
      </c>
      <c r="AA999" s="17" t="s">
        <v>46</v>
      </c>
      <c r="AB999" s="17" t="s">
        <v>375</v>
      </c>
      <c r="AC999" s="66">
        <v>44662</v>
      </c>
      <c r="AD999" s="65">
        <v>1264</v>
      </c>
      <c r="AE999" s="17" t="s">
        <v>48</v>
      </c>
    </row>
    <row r="1000" s="17" customFormat="1" hidden="1" spans="1:35">
      <c r="A1000" s="17" t="s">
        <v>34</v>
      </c>
      <c r="B1000" s="19">
        <v>779</v>
      </c>
      <c r="C1000" s="64">
        <v>44617</v>
      </c>
      <c r="D1000" s="17" t="s">
        <v>35</v>
      </c>
      <c r="E1000" s="17" t="s">
        <v>148</v>
      </c>
      <c r="F1000" s="17" t="s">
        <v>37</v>
      </c>
      <c r="H1000" s="65" t="s">
        <v>197</v>
      </c>
      <c r="I1000" s="65"/>
      <c r="J1000" s="17" t="s">
        <v>39</v>
      </c>
      <c r="K1000" s="17">
        <v>42</v>
      </c>
      <c r="N1000" s="17" t="s">
        <v>40</v>
      </c>
      <c r="O1000" s="19" t="s">
        <v>141</v>
      </c>
      <c r="P1000" s="19">
        <v>120</v>
      </c>
      <c r="Q1000" s="143">
        <v>124</v>
      </c>
      <c r="R1000" s="17">
        <f t="shared" si="63"/>
        <v>-4</v>
      </c>
      <c r="S1000" s="17">
        <v>6055</v>
      </c>
      <c r="T1000" s="19" t="s">
        <v>42</v>
      </c>
      <c r="U1000" s="17" t="s">
        <v>395</v>
      </c>
      <c r="V1000" s="64">
        <v>44627</v>
      </c>
      <c r="W1000" s="17" t="s">
        <v>44</v>
      </c>
      <c r="Y1000" s="68">
        <v>44621</v>
      </c>
      <c r="Z1000" s="17" t="s">
        <v>199</v>
      </c>
      <c r="AA1000" s="17" t="s">
        <v>46</v>
      </c>
      <c r="AB1000" s="17" t="s">
        <v>375</v>
      </c>
      <c r="AC1000" s="66">
        <v>44662</v>
      </c>
      <c r="AD1000" s="65">
        <v>1264</v>
      </c>
      <c r="AE1000" s="17" t="s">
        <v>48</v>
      </c>
    </row>
    <row r="1001" s="17" customFormat="1" hidden="1" spans="1:35">
      <c r="A1001" s="17" t="s">
        <v>34</v>
      </c>
      <c r="B1001" s="19">
        <v>779</v>
      </c>
      <c r="C1001" s="64">
        <v>44617</v>
      </c>
      <c r="D1001" s="17" t="s">
        <v>35</v>
      </c>
      <c r="E1001" s="17" t="s">
        <v>148</v>
      </c>
      <c r="F1001" s="17" t="s">
        <v>37</v>
      </c>
      <c r="H1001" s="65" t="s">
        <v>197</v>
      </c>
      <c r="I1001" s="65"/>
      <c r="J1001" s="17" t="s">
        <v>39</v>
      </c>
      <c r="K1001" s="17">
        <v>46</v>
      </c>
      <c r="N1001" s="17" t="s">
        <v>40</v>
      </c>
      <c r="O1001" s="19" t="s">
        <v>141</v>
      </c>
      <c r="P1001" s="19">
        <v>200</v>
      </c>
      <c r="Q1001" s="143">
        <v>218</v>
      </c>
      <c r="R1001" s="17">
        <f t="shared" si="63"/>
        <v>-18</v>
      </c>
      <c r="S1001" s="17">
        <v>6055</v>
      </c>
      <c r="T1001" s="19" t="s">
        <v>42</v>
      </c>
      <c r="U1001" s="17" t="s">
        <v>395</v>
      </c>
      <c r="V1001" s="64">
        <v>44627</v>
      </c>
      <c r="W1001" s="17" t="s">
        <v>44</v>
      </c>
      <c r="Y1001" s="68">
        <v>44621</v>
      </c>
      <c r="Z1001" s="17" t="s">
        <v>199</v>
      </c>
      <c r="AA1001" s="17" t="s">
        <v>46</v>
      </c>
      <c r="AB1001" s="17" t="s">
        <v>375</v>
      </c>
      <c r="AC1001" s="66">
        <v>44662</v>
      </c>
      <c r="AD1001" s="65">
        <v>1264</v>
      </c>
      <c r="AE1001" s="17" t="s">
        <v>48</v>
      </c>
    </row>
    <row r="1002" s="17" customFormat="1" hidden="1" spans="1:35">
      <c r="A1002" s="17" t="s">
        <v>34</v>
      </c>
      <c r="B1002" s="19">
        <v>779</v>
      </c>
      <c r="C1002" s="64">
        <v>44617</v>
      </c>
      <c r="D1002" s="17" t="s">
        <v>35</v>
      </c>
      <c r="E1002" s="17" t="s">
        <v>148</v>
      </c>
      <c r="F1002" s="17" t="s">
        <v>37</v>
      </c>
      <c r="H1002" s="65" t="s">
        <v>197</v>
      </c>
      <c r="I1002" s="65"/>
      <c r="J1002" s="17" t="s">
        <v>39</v>
      </c>
      <c r="K1002" s="17">
        <v>50</v>
      </c>
      <c r="N1002" s="17" t="s">
        <v>40</v>
      </c>
      <c r="O1002" s="19" t="s">
        <v>141</v>
      </c>
      <c r="P1002" s="19">
        <v>100</v>
      </c>
      <c r="Q1002" s="143">
        <v>168</v>
      </c>
      <c r="R1002" s="17">
        <f t="shared" si="63"/>
        <v>-68</v>
      </c>
      <c r="S1002" s="17">
        <v>6055</v>
      </c>
      <c r="T1002" s="19" t="s">
        <v>42</v>
      </c>
      <c r="U1002" s="17" t="s">
        <v>395</v>
      </c>
      <c r="V1002" s="64">
        <v>44627</v>
      </c>
      <c r="W1002" s="17" t="s">
        <v>44</v>
      </c>
      <c r="Y1002" s="68">
        <v>44621</v>
      </c>
      <c r="Z1002" s="17" t="s">
        <v>199</v>
      </c>
      <c r="AA1002" s="17" t="s">
        <v>46</v>
      </c>
      <c r="AB1002" s="17" t="s">
        <v>375</v>
      </c>
      <c r="AC1002" s="66">
        <v>44662</v>
      </c>
      <c r="AD1002" s="65">
        <v>1264</v>
      </c>
      <c r="AE1002" s="17" t="s">
        <v>48</v>
      </c>
    </row>
    <row r="1003" s="17" customFormat="1" hidden="1" spans="1:35">
      <c r="A1003" s="17" t="s">
        <v>34</v>
      </c>
      <c r="B1003" s="19">
        <v>779</v>
      </c>
      <c r="C1003" s="64">
        <v>44617</v>
      </c>
      <c r="D1003" s="17" t="s">
        <v>35</v>
      </c>
      <c r="E1003" s="17" t="s">
        <v>148</v>
      </c>
      <c r="F1003" s="17" t="s">
        <v>37</v>
      </c>
      <c r="H1003" s="65" t="s">
        <v>197</v>
      </c>
      <c r="I1003" s="65"/>
      <c r="J1003" s="17" t="s">
        <v>39</v>
      </c>
      <c r="K1003" s="17">
        <v>55</v>
      </c>
      <c r="N1003" s="17" t="s">
        <v>40</v>
      </c>
      <c r="O1003" s="19" t="s">
        <v>141</v>
      </c>
      <c r="P1003" s="97">
        <v>100</v>
      </c>
      <c r="Q1003" s="148">
        <v>109</v>
      </c>
      <c r="R1003" s="17">
        <f t="shared" si="63"/>
        <v>-9</v>
      </c>
      <c r="S1003" s="17">
        <v>6055</v>
      </c>
      <c r="T1003" s="19" t="s">
        <v>42</v>
      </c>
      <c r="U1003" s="17" t="s">
        <v>395</v>
      </c>
      <c r="V1003" s="64">
        <v>44627</v>
      </c>
      <c r="W1003" s="17" t="s">
        <v>44</v>
      </c>
      <c r="Y1003" s="68">
        <v>44621</v>
      </c>
      <c r="Z1003" s="17" t="s">
        <v>199</v>
      </c>
      <c r="AA1003" s="17" t="s">
        <v>46</v>
      </c>
      <c r="AB1003" s="17" t="s">
        <v>375</v>
      </c>
      <c r="AC1003" s="66">
        <v>44662</v>
      </c>
      <c r="AD1003" s="65">
        <v>1264</v>
      </c>
      <c r="AE1003" s="17" t="s">
        <v>48</v>
      </c>
    </row>
    <row r="1004" s="17" customFormat="1" hidden="1" spans="1:35">
      <c r="A1004" s="17" t="s">
        <v>34</v>
      </c>
      <c r="B1004" s="19">
        <v>779</v>
      </c>
      <c r="C1004" s="64">
        <v>44617</v>
      </c>
      <c r="D1004" s="17" t="s">
        <v>35</v>
      </c>
      <c r="E1004" s="17" t="s">
        <v>148</v>
      </c>
      <c r="F1004" s="17" t="s">
        <v>37</v>
      </c>
      <c r="H1004" s="65" t="s">
        <v>197</v>
      </c>
      <c r="I1004" s="65"/>
      <c r="J1004" s="17" t="s">
        <v>39</v>
      </c>
      <c r="K1004" s="17">
        <v>60</v>
      </c>
      <c r="N1004" s="17" t="s">
        <v>40</v>
      </c>
      <c r="O1004" s="19" t="s">
        <v>141</v>
      </c>
      <c r="P1004" s="97">
        <v>250</v>
      </c>
      <c r="Q1004" s="148">
        <v>360</v>
      </c>
      <c r="R1004" s="17">
        <f t="shared" si="63"/>
        <v>-110</v>
      </c>
      <c r="S1004" s="17">
        <v>6055</v>
      </c>
      <c r="T1004" s="19" t="s">
        <v>42</v>
      </c>
      <c r="U1004" s="17" t="s">
        <v>395</v>
      </c>
      <c r="V1004" s="64">
        <v>44627</v>
      </c>
      <c r="W1004" s="17" t="s">
        <v>44</v>
      </c>
      <c r="Y1004" s="68">
        <v>44621</v>
      </c>
      <c r="Z1004" s="17" t="s">
        <v>199</v>
      </c>
      <c r="AA1004" s="17" t="s">
        <v>46</v>
      </c>
      <c r="AB1004" s="17" t="s">
        <v>375</v>
      </c>
      <c r="AC1004" s="66">
        <v>44662</v>
      </c>
      <c r="AD1004" s="65">
        <v>1264</v>
      </c>
      <c r="AE1004" s="17" t="s">
        <v>48</v>
      </c>
    </row>
    <row r="1005" s="17" customFormat="1" hidden="1" spans="1:35">
      <c r="A1005" s="17" t="s">
        <v>34</v>
      </c>
      <c r="B1005" s="19">
        <v>779</v>
      </c>
      <c r="C1005" s="64">
        <v>44617</v>
      </c>
      <c r="D1005" s="17" t="s">
        <v>35</v>
      </c>
      <c r="E1005" s="17" t="s">
        <v>148</v>
      </c>
      <c r="F1005" s="17" t="s">
        <v>37</v>
      </c>
      <c r="H1005" s="65" t="s">
        <v>197</v>
      </c>
      <c r="I1005" s="65"/>
      <c r="J1005" s="17" t="s">
        <v>39</v>
      </c>
      <c r="K1005" s="17">
        <v>70</v>
      </c>
      <c r="N1005" s="17" t="s">
        <v>40</v>
      </c>
      <c r="O1005" s="19" t="s">
        <v>141</v>
      </c>
      <c r="P1005" s="97">
        <v>400</v>
      </c>
      <c r="Q1005" s="148">
        <v>483</v>
      </c>
      <c r="R1005" s="17">
        <f t="shared" si="63"/>
        <v>-83</v>
      </c>
      <c r="S1005" s="17">
        <v>6055</v>
      </c>
      <c r="T1005" s="19" t="s">
        <v>42</v>
      </c>
      <c r="U1005" s="17" t="s">
        <v>395</v>
      </c>
      <c r="V1005" s="64">
        <v>44627</v>
      </c>
      <c r="W1005" s="17" t="s">
        <v>44</v>
      </c>
      <c r="Y1005" s="68">
        <v>44621</v>
      </c>
      <c r="Z1005" s="17" t="s">
        <v>199</v>
      </c>
      <c r="AA1005" s="17" t="s">
        <v>46</v>
      </c>
      <c r="AB1005" s="17" t="s">
        <v>375</v>
      </c>
      <c r="AC1005" s="66">
        <v>44662</v>
      </c>
      <c r="AD1005" s="65">
        <v>1264</v>
      </c>
      <c r="AE1005" s="17" t="s">
        <v>48</v>
      </c>
    </row>
    <row r="1006" s="17" customFormat="1" hidden="1" spans="1:35">
      <c r="A1006" s="17" t="s">
        <v>34</v>
      </c>
      <c r="B1006" s="19">
        <v>779</v>
      </c>
      <c r="C1006" s="64">
        <v>44617</v>
      </c>
      <c r="D1006" s="17" t="s">
        <v>35</v>
      </c>
      <c r="E1006" s="17" t="s">
        <v>148</v>
      </c>
      <c r="F1006" s="17" t="s">
        <v>37</v>
      </c>
      <c r="H1006" s="65" t="s">
        <v>197</v>
      </c>
      <c r="I1006" s="65"/>
      <c r="J1006" s="17" t="s">
        <v>39</v>
      </c>
      <c r="K1006" s="17">
        <v>80</v>
      </c>
      <c r="N1006" s="17" t="s">
        <v>40</v>
      </c>
      <c r="O1006" s="19" t="s">
        <v>141</v>
      </c>
      <c r="P1006" s="97">
        <v>400</v>
      </c>
      <c r="Q1006" s="148">
        <v>583</v>
      </c>
      <c r="R1006" s="17">
        <f t="shared" si="63"/>
        <v>-183</v>
      </c>
      <c r="S1006" s="17">
        <v>6055</v>
      </c>
      <c r="T1006" s="19" t="s">
        <v>42</v>
      </c>
      <c r="U1006" s="17" t="s">
        <v>395</v>
      </c>
      <c r="V1006" s="64">
        <v>44627</v>
      </c>
      <c r="W1006" s="17" t="s">
        <v>44</v>
      </c>
      <c r="Y1006" s="68">
        <v>44621</v>
      </c>
      <c r="Z1006" s="17" t="s">
        <v>199</v>
      </c>
      <c r="AA1006" s="17" t="s">
        <v>46</v>
      </c>
      <c r="AB1006" s="17" t="s">
        <v>375</v>
      </c>
      <c r="AC1006" s="66">
        <v>44662</v>
      </c>
      <c r="AD1006" s="65">
        <v>1264</v>
      </c>
      <c r="AE1006" s="17" t="s">
        <v>48</v>
      </c>
    </row>
    <row r="1007" s="17" customFormat="1" hidden="1" spans="1:35">
      <c r="A1007" s="17" t="s">
        <v>34</v>
      </c>
      <c r="B1007" s="19">
        <v>779</v>
      </c>
      <c r="C1007" s="64">
        <v>44617</v>
      </c>
      <c r="D1007" s="17" t="s">
        <v>35</v>
      </c>
      <c r="E1007" s="17" t="s">
        <v>148</v>
      </c>
      <c r="F1007" s="17" t="s">
        <v>37</v>
      </c>
      <c r="H1007" s="65" t="s">
        <v>197</v>
      </c>
      <c r="I1007" s="65"/>
      <c r="J1007" s="17" t="s">
        <v>39</v>
      </c>
      <c r="K1007" s="17">
        <v>85</v>
      </c>
      <c r="N1007" s="17" t="s">
        <v>40</v>
      </c>
      <c r="O1007" s="19" t="s">
        <v>141</v>
      </c>
      <c r="P1007" s="97">
        <v>400</v>
      </c>
      <c r="Q1007" s="148">
        <v>473</v>
      </c>
      <c r="R1007" s="17">
        <f t="shared" si="63"/>
        <v>-73</v>
      </c>
      <c r="S1007" s="17">
        <v>6055</v>
      </c>
      <c r="T1007" s="19" t="s">
        <v>42</v>
      </c>
      <c r="U1007" s="17" t="s">
        <v>395</v>
      </c>
      <c r="V1007" s="64">
        <v>44627</v>
      </c>
      <c r="W1007" s="17" t="s">
        <v>44</v>
      </c>
      <c r="Y1007" s="68">
        <v>44621</v>
      </c>
      <c r="Z1007" s="17" t="s">
        <v>199</v>
      </c>
      <c r="AA1007" s="17" t="s">
        <v>46</v>
      </c>
      <c r="AB1007" s="17" t="s">
        <v>375</v>
      </c>
      <c r="AC1007" s="66">
        <v>44662</v>
      </c>
      <c r="AD1007" s="65">
        <v>1264</v>
      </c>
      <c r="AE1007" s="17" t="s">
        <v>48</v>
      </c>
    </row>
    <row r="1008" s="17" customFormat="1" hidden="1" spans="1:35">
      <c r="A1008" s="17" t="s">
        <v>34</v>
      </c>
      <c r="B1008" s="19">
        <v>779</v>
      </c>
      <c r="C1008" s="64">
        <v>44617</v>
      </c>
      <c r="D1008" s="17" t="s">
        <v>35</v>
      </c>
      <c r="E1008" s="17" t="s">
        <v>148</v>
      </c>
      <c r="F1008" s="17" t="s">
        <v>37</v>
      </c>
      <c r="H1008" s="65" t="s">
        <v>197</v>
      </c>
      <c r="I1008" s="65"/>
      <c r="J1008" s="17" t="s">
        <v>39</v>
      </c>
      <c r="K1008" s="17">
        <v>95</v>
      </c>
      <c r="N1008" s="17" t="s">
        <v>40</v>
      </c>
      <c r="O1008" s="19" t="s">
        <v>141</v>
      </c>
      <c r="P1008" s="97">
        <v>450</v>
      </c>
      <c r="Q1008" s="148">
        <v>479</v>
      </c>
      <c r="R1008" s="17">
        <f t="shared" si="63"/>
        <v>-29</v>
      </c>
      <c r="S1008" s="17">
        <v>6055</v>
      </c>
      <c r="T1008" s="19" t="s">
        <v>42</v>
      </c>
      <c r="U1008" s="17" t="s">
        <v>395</v>
      </c>
      <c r="V1008" s="64">
        <v>44627</v>
      </c>
      <c r="W1008" s="17" t="s">
        <v>44</v>
      </c>
      <c r="Y1008" s="68">
        <v>44621</v>
      </c>
      <c r="Z1008" s="17" t="s">
        <v>199</v>
      </c>
      <c r="AA1008" s="17" t="s">
        <v>46</v>
      </c>
      <c r="AB1008" s="17" t="s">
        <v>375</v>
      </c>
      <c r="AC1008" s="66">
        <v>44662</v>
      </c>
      <c r="AD1008" s="65">
        <v>1264</v>
      </c>
      <c r="AE1008" s="17" t="s">
        <v>48</v>
      </c>
    </row>
    <row r="1009" s="17" customFormat="1" hidden="1" spans="1:35">
      <c r="A1009" s="17" t="s">
        <v>34</v>
      </c>
      <c r="B1009" s="19">
        <v>779</v>
      </c>
      <c r="C1009" s="64">
        <v>44617</v>
      </c>
      <c r="D1009" s="17" t="s">
        <v>35</v>
      </c>
      <c r="E1009" s="17" t="s">
        <v>148</v>
      </c>
      <c r="F1009" s="17" t="s">
        <v>37</v>
      </c>
      <c r="H1009" s="65" t="s">
        <v>197</v>
      </c>
      <c r="I1009" s="65"/>
      <c r="J1009" s="17" t="s">
        <v>39</v>
      </c>
      <c r="K1009" s="17">
        <v>110</v>
      </c>
      <c r="N1009" s="17" t="s">
        <v>40</v>
      </c>
      <c r="O1009" s="19" t="s">
        <v>84</v>
      </c>
      <c r="P1009" s="97">
        <v>300</v>
      </c>
      <c r="Q1009" s="148">
        <v>382</v>
      </c>
      <c r="R1009" s="17">
        <f t="shared" si="63"/>
        <v>-82</v>
      </c>
      <c r="S1009" s="17">
        <v>6055</v>
      </c>
      <c r="T1009" s="19" t="s">
        <v>42</v>
      </c>
      <c r="U1009" s="17" t="s">
        <v>395</v>
      </c>
      <c r="V1009" s="64">
        <v>44627</v>
      </c>
      <c r="W1009" s="17" t="s">
        <v>44</v>
      </c>
      <c r="Y1009" s="68">
        <v>44621</v>
      </c>
      <c r="Z1009" s="17" t="s">
        <v>199</v>
      </c>
      <c r="AA1009" s="17" t="s">
        <v>46</v>
      </c>
      <c r="AB1009" s="17" t="s">
        <v>375</v>
      </c>
      <c r="AC1009" s="66">
        <v>44662</v>
      </c>
      <c r="AD1009" s="65">
        <v>1264</v>
      </c>
      <c r="AE1009" s="17" t="s">
        <v>48</v>
      </c>
    </row>
    <row r="1010" s="17" customFormat="1" hidden="1" spans="1:35">
      <c r="A1010" s="17" t="s">
        <v>34</v>
      </c>
      <c r="B1010" s="19">
        <v>779</v>
      </c>
      <c r="C1010" s="64">
        <v>44617</v>
      </c>
      <c r="D1010" s="17" t="s">
        <v>35</v>
      </c>
      <c r="E1010" s="17" t="s">
        <v>148</v>
      </c>
      <c r="F1010" s="17" t="s">
        <v>37</v>
      </c>
      <c r="H1010" s="65" t="s">
        <v>197</v>
      </c>
      <c r="I1010" s="65"/>
      <c r="J1010" s="17" t="s">
        <v>39</v>
      </c>
      <c r="K1010" s="17">
        <v>120</v>
      </c>
      <c r="N1010" s="17" t="s">
        <v>40</v>
      </c>
      <c r="O1010" s="19" t="s">
        <v>84</v>
      </c>
      <c r="P1010" s="97">
        <v>1500</v>
      </c>
      <c r="Q1010" s="148">
        <v>1503</v>
      </c>
      <c r="R1010" s="17">
        <f t="shared" si="63"/>
        <v>-3</v>
      </c>
      <c r="S1010" s="17">
        <v>6055</v>
      </c>
      <c r="T1010" s="19" t="s">
        <v>42</v>
      </c>
      <c r="U1010" s="17" t="s">
        <v>395</v>
      </c>
      <c r="V1010" s="64">
        <v>44627</v>
      </c>
      <c r="W1010" s="17" t="s">
        <v>44</v>
      </c>
      <c r="Y1010" s="68">
        <v>44621</v>
      </c>
      <c r="Z1010" s="17" t="s">
        <v>199</v>
      </c>
      <c r="AA1010" s="17" t="s">
        <v>46</v>
      </c>
      <c r="AB1010" s="17" t="s">
        <v>375</v>
      </c>
      <c r="AC1010" s="66">
        <v>44662</v>
      </c>
      <c r="AD1010" s="65">
        <v>1264</v>
      </c>
      <c r="AE1010" s="17" t="s">
        <v>48</v>
      </c>
    </row>
    <row r="1011" s="17" customFormat="1" hidden="1" spans="1:35">
      <c r="A1011" s="17" t="s">
        <v>34</v>
      </c>
      <c r="B1011" s="19">
        <v>779</v>
      </c>
      <c r="C1011" s="64">
        <v>44617</v>
      </c>
      <c r="D1011" s="17" t="s">
        <v>35</v>
      </c>
      <c r="E1011" s="17" t="s">
        <v>148</v>
      </c>
      <c r="F1011" s="17" t="s">
        <v>37</v>
      </c>
      <c r="H1011" s="65" t="s">
        <v>197</v>
      </c>
      <c r="I1011" s="65"/>
      <c r="J1011" s="17" t="s">
        <v>39</v>
      </c>
      <c r="K1011" s="17">
        <v>125</v>
      </c>
      <c r="N1011" s="17" t="s">
        <v>40</v>
      </c>
      <c r="O1011" s="19" t="s">
        <v>84</v>
      </c>
      <c r="P1011" s="97">
        <v>500</v>
      </c>
      <c r="Q1011" s="148">
        <v>474</v>
      </c>
      <c r="R1011" s="17">
        <f t="shared" si="63"/>
        <v>26</v>
      </c>
      <c r="S1011" s="17">
        <v>6055</v>
      </c>
      <c r="T1011" s="19" t="s">
        <v>42</v>
      </c>
      <c r="U1011" s="17" t="s">
        <v>395</v>
      </c>
      <c r="V1011" s="64">
        <v>44627</v>
      </c>
      <c r="W1011" s="17" t="s">
        <v>44</v>
      </c>
      <c r="Y1011" s="68">
        <v>44621</v>
      </c>
      <c r="Z1011" s="17" t="s">
        <v>199</v>
      </c>
      <c r="AA1011" s="17" t="s">
        <v>46</v>
      </c>
      <c r="AB1011" s="17" t="s">
        <v>375</v>
      </c>
      <c r="AC1011" s="66">
        <v>44662</v>
      </c>
      <c r="AD1011" s="65">
        <v>1264</v>
      </c>
      <c r="AE1011" s="17" t="s">
        <v>48</v>
      </c>
    </row>
    <row r="1012" s="17" customFormat="1" hidden="1" spans="1:35">
      <c r="A1012" s="17" t="s">
        <v>34</v>
      </c>
      <c r="B1012" s="19">
        <v>779</v>
      </c>
      <c r="C1012" s="64">
        <v>44617</v>
      </c>
      <c r="D1012" s="17" t="s">
        <v>35</v>
      </c>
      <c r="E1012" s="17" t="s">
        <v>148</v>
      </c>
      <c r="F1012" s="17" t="s">
        <v>37</v>
      </c>
      <c r="H1012" s="65" t="s">
        <v>197</v>
      </c>
      <c r="I1012" s="65"/>
      <c r="J1012" s="17" t="s">
        <v>39</v>
      </c>
      <c r="K1012" s="17">
        <v>130</v>
      </c>
      <c r="N1012" s="17" t="s">
        <v>40</v>
      </c>
      <c r="O1012" s="19" t="s">
        <v>84</v>
      </c>
      <c r="P1012" s="97">
        <v>600</v>
      </c>
      <c r="Q1012" s="148">
        <v>632</v>
      </c>
      <c r="R1012" s="17">
        <f t="shared" si="63"/>
        <v>-32</v>
      </c>
      <c r="S1012" s="17">
        <v>6055</v>
      </c>
      <c r="T1012" s="19" t="s">
        <v>42</v>
      </c>
      <c r="U1012" s="17" t="s">
        <v>395</v>
      </c>
      <c r="V1012" s="64">
        <v>44627</v>
      </c>
      <c r="W1012" s="17" t="s">
        <v>44</v>
      </c>
      <c r="Y1012" s="68">
        <v>44621</v>
      </c>
      <c r="Z1012" s="17" t="s">
        <v>199</v>
      </c>
      <c r="AA1012" s="17" t="s">
        <v>46</v>
      </c>
      <c r="AB1012" s="17" t="s">
        <v>375</v>
      </c>
      <c r="AC1012" s="66">
        <v>44662</v>
      </c>
      <c r="AD1012" s="65">
        <v>1264</v>
      </c>
      <c r="AE1012" s="17" t="s">
        <v>48</v>
      </c>
    </row>
    <row r="1013" s="17" customFormat="1" hidden="1" spans="1:35">
      <c r="A1013" s="17" t="s">
        <v>34</v>
      </c>
      <c r="B1013" s="19">
        <v>779</v>
      </c>
      <c r="C1013" s="64">
        <v>44617</v>
      </c>
      <c r="D1013" s="17" t="s">
        <v>35</v>
      </c>
      <c r="E1013" s="17" t="s">
        <v>148</v>
      </c>
      <c r="F1013" s="17" t="s">
        <v>37</v>
      </c>
      <c r="H1013" s="65" t="s">
        <v>197</v>
      </c>
      <c r="I1013" s="65"/>
      <c r="J1013" s="17" t="s">
        <v>39</v>
      </c>
      <c r="K1013" s="17">
        <v>150</v>
      </c>
      <c r="N1013" s="17" t="s">
        <v>40</v>
      </c>
      <c r="O1013" s="19" t="s">
        <v>84</v>
      </c>
      <c r="P1013" s="97">
        <v>2000</v>
      </c>
      <c r="Q1013" s="148">
        <v>2351</v>
      </c>
      <c r="R1013" s="17">
        <f t="shared" si="63"/>
        <v>-351</v>
      </c>
      <c r="S1013" s="17">
        <v>6055</v>
      </c>
      <c r="T1013" s="19" t="s">
        <v>42</v>
      </c>
      <c r="U1013" s="17" t="s">
        <v>395</v>
      </c>
      <c r="V1013" s="64">
        <v>44627</v>
      </c>
      <c r="W1013" s="17" t="s">
        <v>44</v>
      </c>
      <c r="Y1013" s="68">
        <v>44621</v>
      </c>
      <c r="Z1013" s="17" t="s">
        <v>199</v>
      </c>
      <c r="AA1013" s="17" t="s">
        <v>46</v>
      </c>
      <c r="AB1013" s="17" t="s">
        <v>375</v>
      </c>
      <c r="AC1013" s="66">
        <v>44662</v>
      </c>
      <c r="AD1013" s="65">
        <v>1264</v>
      </c>
      <c r="AE1013" s="17" t="s">
        <v>48</v>
      </c>
    </row>
    <row r="1014" s="17" customFormat="1" hidden="1" spans="1:35">
      <c r="A1014" s="17" t="s">
        <v>34</v>
      </c>
      <c r="B1014" s="19">
        <v>781</v>
      </c>
      <c r="C1014" s="101">
        <v>44623</v>
      </c>
      <c r="D1014" s="17" t="s">
        <v>52</v>
      </c>
      <c r="E1014" s="17" t="s">
        <v>291</v>
      </c>
      <c r="F1014" s="17" t="s">
        <v>54</v>
      </c>
      <c r="H1014" s="19">
        <v>1.2311</v>
      </c>
      <c r="I1014" s="19"/>
      <c r="J1014" s="17" t="s">
        <v>82</v>
      </c>
      <c r="K1014" s="19">
        <v>207</v>
      </c>
      <c r="L1014" s="91">
        <v>20</v>
      </c>
      <c r="M1014" s="19">
        <v>3500</v>
      </c>
      <c r="N1014" s="19" t="s">
        <v>66</v>
      </c>
      <c r="O1014" s="19" t="s">
        <v>141</v>
      </c>
      <c r="P1014" s="19">
        <v>1092</v>
      </c>
      <c r="Q1014" s="17">
        <f>160+154+156+158</f>
        <v>628</v>
      </c>
      <c r="R1014" s="17">
        <f t="shared" si="63"/>
        <v>464</v>
      </c>
      <c r="S1014" s="65">
        <v>1220</v>
      </c>
      <c r="T1014" s="19" t="s">
        <v>42</v>
      </c>
      <c r="U1014" s="102" t="s">
        <v>396</v>
      </c>
      <c r="V1014" s="64">
        <v>44628</v>
      </c>
      <c r="W1014" s="17" t="s">
        <v>69</v>
      </c>
      <c r="Y1014" s="68">
        <v>44621</v>
      </c>
      <c r="Z1014" s="17" t="s">
        <v>397</v>
      </c>
      <c r="AA1014" s="17" t="s">
        <v>46</v>
      </c>
      <c r="AB1014" s="17" t="s">
        <v>398</v>
      </c>
      <c r="AC1014" s="66">
        <v>44666</v>
      </c>
      <c r="AD1014" s="65">
        <v>1289</v>
      </c>
      <c r="AE1014" s="17" t="s">
        <v>74</v>
      </c>
      <c r="AF1014" s="149" t="s">
        <v>399</v>
      </c>
      <c r="AH1014" s="17" t="s">
        <v>400</v>
      </c>
      <c r="AI1014" s="17">
        <v>107</v>
      </c>
    </row>
    <row r="1015" s="17" customFormat="1" hidden="1" spans="1:35">
      <c r="A1015" s="17" t="s">
        <v>34</v>
      </c>
      <c r="B1015" s="19">
        <v>781</v>
      </c>
      <c r="C1015" s="101">
        <v>44623</v>
      </c>
      <c r="D1015" s="17" t="s">
        <v>52</v>
      </c>
      <c r="E1015" s="17" t="s">
        <v>291</v>
      </c>
      <c r="F1015" s="17" t="s">
        <v>54</v>
      </c>
      <c r="H1015" s="19">
        <v>1.2311</v>
      </c>
      <c r="I1015" s="19"/>
      <c r="J1015" s="17" t="s">
        <v>82</v>
      </c>
      <c r="K1015" s="19">
        <v>257</v>
      </c>
      <c r="L1015" s="91">
        <v>20</v>
      </c>
      <c r="M1015" s="19">
        <v>3500</v>
      </c>
      <c r="N1015" s="19" t="s">
        <v>66</v>
      </c>
      <c r="O1015" s="19" t="s">
        <v>141</v>
      </c>
      <c r="P1015" s="19">
        <v>1017</v>
      </c>
      <c r="Q1015" s="17">
        <f>196+195+194+195</f>
        <v>780</v>
      </c>
      <c r="R1015" s="17">
        <f t="shared" si="63"/>
        <v>237</v>
      </c>
      <c r="S1015" s="65">
        <v>1220</v>
      </c>
      <c r="T1015" s="19" t="s">
        <v>42</v>
      </c>
      <c r="U1015" s="102" t="s">
        <v>396</v>
      </c>
      <c r="V1015" s="64">
        <v>44628</v>
      </c>
      <c r="W1015" s="17" t="s">
        <v>69</v>
      </c>
      <c r="Y1015" s="68">
        <v>44621</v>
      </c>
      <c r="Z1015" s="17" t="s">
        <v>397</v>
      </c>
      <c r="AA1015" s="17" t="s">
        <v>46</v>
      </c>
      <c r="AB1015" s="17" t="s">
        <v>398</v>
      </c>
      <c r="AC1015" s="66">
        <v>44666</v>
      </c>
      <c r="AD1015" s="65">
        <v>1289</v>
      </c>
      <c r="AE1015" s="17" t="s">
        <v>74</v>
      </c>
      <c r="AF1015" s="149" t="s">
        <v>399</v>
      </c>
      <c r="AH1015" s="17" t="s">
        <v>400</v>
      </c>
      <c r="AI1015" s="17">
        <v>107</v>
      </c>
    </row>
    <row r="1016" s="17" customFormat="1" hidden="1" spans="1:35">
      <c r="A1016" s="17" t="s">
        <v>34</v>
      </c>
      <c r="B1016" s="19">
        <v>781</v>
      </c>
      <c r="C1016" s="101">
        <v>44623</v>
      </c>
      <c r="D1016" s="17" t="s">
        <v>52</v>
      </c>
      <c r="E1016" s="17" t="s">
        <v>291</v>
      </c>
      <c r="F1016" s="17" t="s">
        <v>54</v>
      </c>
      <c r="H1016" s="19">
        <v>1.2311</v>
      </c>
      <c r="I1016" s="19"/>
      <c r="J1016" s="17" t="s">
        <v>82</v>
      </c>
      <c r="K1016" s="19">
        <v>307</v>
      </c>
      <c r="L1016" s="91">
        <v>20</v>
      </c>
      <c r="M1016" s="19">
        <v>3500</v>
      </c>
      <c r="N1016" s="19" t="s">
        <v>66</v>
      </c>
      <c r="O1016" s="19" t="s">
        <v>141</v>
      </c>
      <c r="P1016" s="19">
        <v>1012</v>
      </c>
      <c r="Q1016" s="17">
        <f>233+232+233+234+239+236</f>
        <v>1407</v>
      </c>
      <c r="R1016" s="17">
        <f t="shared" si="63"/>
        <v>-395</v>
      </c>
      <c r="S1016" s="65">
        <v>1220</v>
      </c>
      <c r="T1016" s="19" t="s">
        <v>42</v>
      </c>
      <c r="U1016" s="102" t="s">
        <v>396</v>
      </c>
      <c r="V1016" s="64">
        <v>44628</v>
      </c>
      <c r="W1016" s="17" t="s">
        <v>69</v>
      </c>
      <c r="Y1016" s="68">
        <v>44621</v>
      </c>
      <c r="Z1016" s="17" t="s">
        <v>397</v>
      </c>
      <c r="AA1016" s="17" t="s">
        <v>46</v>
      </c>
      <c r="AB1016" s="17" t="s">
        <v>398</v>
      </c>
      <c r="AC1016" s="66">
        <v>44666</v>
      </c>
      <c r="AD1016" s="65">
        <v>1289</v>
      </c>
      <c r="AE1016" s="17" t="s">
        <v>74</v>
      </c>
      <c r="AF1016" s="149" t="s">
        <v>399</v>
      </c>
      <c r="AH1016" s="17" t="s">
        <v>400</v>
      </c>
      <c r="AI1016" s="17">
        <v>107</v>
      </c>
    </row>
    <row r="1017" s="17" customFormat="1" hidden="1" spans="1:35">
      <c r="A1017" s="17" t="s">
        <v>34</v>
      </c>
      <c r="B1017" s="19">
        <v>781</v>
      </c>
      <c r="C1017" s="101">
        <v>44623</v>
      </c>
      <c r="D1017" s="17" t="s">
        <v>52</v>
      </c>
      <c r="E1017" s="17" t="s">
        <v>291</v>
      </c>
      <c r="F1017" s="17" t="s">
        <v>54</v>
      </c>
      <c r="H1017" s="19">
        <v>1.2311</v>
      </c>
      <c r="I1017" s="19"/>
      <c r="J1017" s="17" t="s">
        <v>82</v>
      </c>
      <c r="K1017" s="19">
        <v>357</v>
      </c>
      <c r="L1017" s="91">
        <v>20</v>
      </c>
      <c r="M1017" s="19">
        <v>3500</v>
      </c>
      <c r="N1017" s="19" t="s">
        <v>66</v>
      </c>
      <c r="O1017" s="19" t="s">
        <v>141</v>
      </c>
      <c r="P1017" s="19">
        <v>1177</v>
      </c>
      <c r="Q1017" s="17">
        <f>274+270+271+265</f>
        <v>1080</v>
      </c>
      <c r="R1017" s="17">
        <f t="shared" si="63"/>
        <v>97</v>
      </c>
      <c r="S1017" s="65">
        <v>1220</v>
      </c>
      <c r="T1017" s="19" t="s">
        <v>42</v>
      </c>
      <c r="U1017" s="102" t="s">
        <v>396</v>
      </c>
      <c r="V1017" s="64">
        <v>44628</v>
      </c>
      <c r="W1017" s="17" t="s">
        <v>69</v>
      </c>
      <c r="Y1017" s="68">
        <v>44621</v>
      </c>
      <c r="Z1017" s="17" t="s">
        <v>397</v>
      </c>
      <c r="AA1017" s="17" t="s">
        <v>46</v>
      </c>
      <c r="AB1017" s="17" t="s">
        <v>398</v>
      </c>
      <c r="AC1017" s="66">
        <v>44666</v>
      </c>
      <c r="AD1017" s="65">
        <v>1289</v>
      </c>
      <c r="AE1017" s="17" t="s">
        <v>74</v>
      </c>
      <c r="AF1017" s="149" t="s">
        <v>399</v>
      </c>
      <c r="AH1017" s="17" t="s">
        <v>400</v>
      </c>
      <c r="AI1017" s="17">
        <v>107</v>
      </c>
    </row>
    <row r="1018" s="17" customFormat="1" hidden="1" spans="1:35">
      <c r="A1018" s="17" t="s">
        <v>34</v>
      </c>
      <c r="B1018" s="19">
        <v>781</v>
      </c>
      <c r="C1018" s="101">
        <v>44623</v>
      </c>
      <c r="D1018" s="17" t="s">
        <v>52</v>
      </c>
      <c r="E1018" s="17" t="s">
        <v>291</v>
      </c>
      <c r="F1018" s="17" t="s">
        <v>54</v>
      </c>
      <c r="H1018" s="19">
        <v>1.2311</v>
      </c>
      <c r="I1018" s="19"/>
      <c r="J1018" s="17" t="s">
        <v>82</v>
      </c>
      <c r="K1018" s="19">
        <v>407</v>
      </c>
      <c r="L1018" s="91">
        <v>20</v>
      </c>
      <c r="M1018" s="19">
        <v>3500</v>
      </c>
      <c r="N1018" s="19" t="s">
        <v>66</v>
      </c>
      <c r="O1018" s="19" t="s">
        <v>141</v>
      </c>
      <c r="P1018" s="19">
        <v>1074</v>
      </c>
      <c r="Q1018" s="17">
        <f>310+308</f>
        <v>618</v>
      </c>
      <c r="R1018" s="17">
        <f t="shared" si="63"/>
        <v>456</v>
      </c>
      <c r="S1018" s="65">
        <v>1220</v>
      </c>
      <c r="T1018" s="19" t="s">
        <v>42</v>
      </c>
      <c r="U1018" s="102" t="s">
        <v>396</v>
      </c>
      <c r="V1018" s="64">
        <v>44628</v>
      </c>
      <c r="W1018" s="17" t="s">
        <v>69</v>
      </c>
      <c r="Y1018" s="68">
        <v>44621</v>
      </c>
      <c r="Z1018" s="17" t="s">
        <v>397</v>
      </c>
      <c r="AA1018" s="17" t="s">
        <v>46</v>
      </c>
      <c r="AB1018" s="17" t="s">
        <v>398</v>
      </c>
      <c r="AC1018" s="66">
        <v>44666</v>
      </c>
      <c r="AD1018" s="65">
        <v>1289</v>
      </c>
      <c r="AE1018" s="17" t="s">
        <v>74</v>
      </c>
      <c r="AF1018" s="149" t="s">
        <v>399</v>
      </c>
      <c r="AH1018" s="17" t="s">
        <v>400</v>
      </c>
      <c r="AI1018" s="17">
        <v>107</v>
      </c>
    </row>
    <row r="1019" s="17" customFormat="1" hidden="1" spans="1:35">
      <c r="A1019" s="17" t="s">
        <v>34</v>
      </c>
      <c r="B1019" s="19">
        <v>781</v>
      </c>
      <c r="C1019" s="101">
        <v>44623</v>
      </c>
      <c r="D1019" s="17" t="s">
        <v>52</v>
      </c>
      <c r="E1019" s="17" t="s">
        <v>291</v>
      </c>
      <c r="F1019" s="17" t="s">
        <v>54</v>
      </c>
      <c r="H1019" s="19">
        <v>1.2311</v>
      </c>
      <c r="I1019" s="19"/>
      <c r="J1019" s="17" t="s">
        <v>82</v>
      </c>
      <c r="K1019" s="19">
        <v>457</v>
      </c>
      <c r="L1019" s="91">
        <v>20</v>
      </c>
      <c r="M1019" s="19">
        <v>3500</v>
      </c>
      <c r="N1019" s="19" t="s">
        <v>66</v>
      </c>
      <c r="O1019" s="19" t="s">
        <v>141</v>
      </c>
      <c r="P1019" s="19">
        <v>1205</v>
      </c>
      <c r="Q1019" s="17">
        <f>346+344+341+345</f>
        <v>1376</v>
      </c>
      <c r="R1019" s="17">
        <f t="shared" si="63"/>
        <v>-171</v>
      </c>
      <c r="S1019" s="65">
        <v>1220</v>
      </c>
      <c r="T1019" s="19" t="s">
        <v>42</v>
      </c>
      <c r="U1019" s="102" t="s">
        <v>396</v>
      </c>
      <c r="V1019" s="64">
        <v>44628</v>
      </c>
      <c r="W1019" s="17" t="s">
        <v>69</v>
      </c>
      <c r="Y1019" s="68">
        <v>44621</v>
      </c>
      <c r="Z1019" s="17" t="s">
        <v>397</v>
      </c>
      <c r="AA1019" s="17" t="s">
        <v>46</v>
      </c>
      <c r="AB1019" s="17" t="s">
        <v>398</v>
      </c>
      <c r="AC1019" s="66">
        <v>44666</v>
      </c>
      <c r="AD1019" s="65">
        <v>1289</v>
      </c>
      <c r="AE1019" s="17" t="s">
        <v>74</v>
      </c>
      <c r="AF1019" s="149" t="s">
        <v>399</v>
      </c>
      <c r="AH1019" s="17" t="s">
        <v>400</v>
      </c>
      <c r="AI1019" s="17">
        <v>107</v>
      </c>
    </row>
    <row r="1020" s="17" customFormat="1" hidden="1" spans="1:35">
      <c r="A1020" s="17" t="s">
        <v>34</v>
      </c>
      <c r="B1020" s="19">
        <v>781</v>
      </c>
      <c r="C1020" s="101">
        <v>44623</v>
      </c>
      <c r="D1020" s="17" t="s">
        <v>52</v>
      </c>
      <c r="E1020" s="17" t="s">
        <v>291</v>
      </c>
      <c r="F1020" s="17" t="s">
        <v>54</v>
      </c>
      <c r="H1020" s="19">
        <v>1.2311</v>
      </c>
      <c r="I1020" s="19"/>
      <c r="J1020" s="17" t="s">
        <v>82</v>
      </c>
      <c r="K1020" s="19">
        <v>507</v>
      </c>
      <c r="L1020" s="91">
        <v>20</v>
      </c>
      <c r="M1020" s="19">
        <v>3500</v>
      </c>
      <c r="N1020" s="19" t="s">
        <v>66</v>
      </c>
      <c r="O1020" s="19" t="s">
        <v>141</v>
      </c>
      <c r="P1020" s="19">
        <v>1003</v>
      </c>
      <c r="Q1020" s="17">
        <f>382+387</f>
        <v>769</v>
      </c>
      <c r="R1020" s="17">
        <f t="shared" si="63"/>
        <v>234</v>
      </c>
      <c r="S1020" s="65">
        <v>1220</v>
      </c>
      <c r="T1020" s="19" t="s">
        <v>42</v>
      </c>
      <c r="U1020" s="102" t="s">
        <v>396</v>
      </c>
      <c r="V1020" s="64">
        <v>44628</v>
      </c>
      <c r="W1020" s="17" t="s">
        <v>69</v>
      </c>
      <c r="Y1020" s="68">
        <v>44621</v>
      </c>
      <c r="Z1020" s="17" t="s">
        <v>397</v>
      </c>
      <c r="AA1020" s="17" t="s">
        <v>46</v>
      </c>
      <c r="AB1020" s="17" t="s">
        <v>398</v>
      </c>
      <c r="AC1020" s="66">
        <v>44666</v>
      </c>
      <c r="AD1020" s="65">
        <v>1289</v>
      </c>
      <c r="AE1020" s="17" t="s">
        <v>74</v>
      </c>
      <c r="AF1020" s="149" t="s">
        <v>399</v>
      </c>
      <c r="AH1020" s="17" t="s">
        <v>400</v>
      </c>
      <c r="AI1020" s="17">
        <v>107</v>
      </c>
    </row>
    <row r="1021" s="17" customFormat="1" hidden="1" spans="1:35">
      <c r="A1021" s="17" t="s">
        <v>34</v>
      </c>
      <c r="B1021" s="19">
        <v>781</v>
      </c>
      <c r="C1021" s="101">
        <v>44623</v>
      </c>
      <c r="D1021" s="17" t="s">
        <v>52</v>
      </c>
      <c r="E1021" s="17" t="s">
        <v>291</v>
      </c>
      <c r="F1021" s="17" t="s">
        <v>54</v>
      </c>
      <c r="H1021" s="19">
        <v>1.2311</v>
      </c>
      <c r="I1021" s="19"/>
      <c r="J1021" s="17" t="s">
        <v>82</v>
      </c>
      <c r="K1021" s="19">
        <v>207</v>
      </c>
      <c r="L1021" s="91">
        <v>25</v>
      </c>
      <c r="M1021" s="19"/>
      <c r="N1021" s="19" t="s">
        <v>66</v>
      </c>
      <c r="O1021" s="19" t="s">
        <v>141</v>
      </c>
      <c r="P1021" s="19">
        <v>1024</v>
      </c>
      <c r="Q1021" s="17">
        <f>187+172+201+199+201+199</f>
        <v>1159</v>
      </c>
      <c r="R1021" s="17">
        <f t="shared" si="63"/>
        <v>-135</v>
      </c>
      <c r="S1021" s="65">
        <v>1220</v>
      </c>
      <c r="T1021" s="19" t="s">
        <v>42</v>
      </c>
      <c r="U1021" s="102" t="s">
        <v>396</v>
      </c>
      <c r="V1021" s="64">
        <v>44628</v>
      </c>
      <c r="W1021" s="17" t="s">
        <v>69</v>
      </c>
      <c r="Y1021" s="68">
        <v>44621</v>
      </c>
      <c r="Z1021" s="17" t="s">
        <v>397</v>
      </c>
      <c r="AA1021" s="17" t="s">
        <v>46</v>
      </c>
      <c r="AB1021" s="17" t="s">
        <v>401</v>
      </c>
      <c r="AC1021" s="66">
        <v>44639</v>
      </c>
      <c r="AD1021" s="65">
        <v>1275</v>
      </c>
      <c r="AE1021" s="17" t="s">
        <v>74</v>
      </c>
      <c r="AF1021" s="149" t="s">
        <v>399</v>
      </c>
      <c r="AH1021" s="17" t="s">
        <v>400</v>
      </c>
      <c r="AI1021" s="17">
        <v>107</v>
      </c>
    </row>
    <row r="1022" s="17" customFormat="1" hidden="1" spans="1:35">
      <c r="A1022" s="17" t="s">
        <v>34</v>
      </c>
      <c r="B1022" s="19">
        <v>781</v>
      </c>
      <c r="C1022" s="101">
        <v>44623</v>
      </c>
      <c r="D1022" s="17" t="s">
        <v>52</v>
      </c>
      <c r="E1022" s="17" t="s">
        <v>291</v>
      </c>
      <c r="F1022" s="17" t="s">
        <v>54</v>
      </c>
      <c r="H1022" s="19">
        <v>1.2311</v>
      </c>
      <c r="I1022" s="19"/>
      <c r="J1022" s="17" t="s">
        <v>82</v>
      </c>
      <c r="K1022" s="19">
        <v>257</v>
      </c>
      <c r="L1022" s="91">
        <v>25</v>
      </c>
      <c r="M1022" s="19">
        <v>3000</v>
      </c>
      <c r="N1022" s="19" t="s">
        <v>66</v>
      </c>
      <c r="O1022" s="19" t="s">
        <v>141</v>
      </c>
      <c r="P1022" s="19">
        <v>1059</v>
      </c>
      <c r="Q1022" s="17">
        <f>244+245+198</f>
        <v>687</v>
      </c>
      <c r="S1022" s="65">
        <v>1220</v>
      </c>
      <c r="T1022" s="19" t="s">
        <v>42</v>
      </c>
      <c r="U1022" s="102" t="s">
        <v>396</v>
      </c>
      <c r="V1022" s="64">
        <v>44628</v>
      </c>
      <c r="W1022" s="17" t="s">
        <v>69</v>
      </c>
      <c r="Y1022" s="68">
        <v>44621</v>
      </c>
      <c r="Z1022" s="17" t="s">
        <v>397</v>
      </c>
      <c r="AA1022" s="17" t="s">
        <v>46</v>
      </c>
      <c r="AB1022" s="17" t="s">
        <v>401</v>
      </c>
      <c r="AC1022" s="66">
        <v>44639</v>
      </c>
      <c r="AD1022" s="65">
        <v>1275</v>
      </c>
      <c r="AE1022" s="17" t="s">
        <v>74</v>
      </c>
      <c r="AF1022" s="149" t="s">
        <v>399</v>
      </c>
      <c r="AH1022" s="17" t="s">
        <v>400</v>
      </c>
      <c r="AI1022" s="17">
        <v>107</v>
      </c>
    </row>
    <row r="1023" s="17" customFormat="1" hidden="1" spans="1:35">
      <c r="A1023" s="17" t="s">
        <v>34</v>
      </c>
      <c r="B1023" s="19">
        <v>781</v>
      </c>
      <c r="C1023" s="101">
        <v>44623</v>
      </c>
      <c r="D1023" s="17" t="s">
        <v>52</v>
      </c>
      <c r="E1023" s="17" t="s">
        <v>291</v>
      </c>
      <c r="F1023" s="17" t="s">
        <v>54</v>
      </c>
      <c r="H1023" s="19">
        <v>1.2311</v>
      </c>
      <c r="I1023" s="19"/>
      <c r="J1023" s="17" t="s">
        <v>82</v>
      </c>
      <c r="K1023" s="19">
        <v>257</v>
      </c>
      <c r="L1023" s="91">
        <v>25</v>
      </c>
      <c r="M1023" s="19">
        <v>3000</v>
      </c>
      <c r="N1023" s="19" t="s">
        <v>66</v>
      </c>
      <c r="O1023" s="19" t="s">
        <v>141</v>
      </c>
      <c r="P1023" s="19"/>
      <c r="Q1023" s="17">
        <f>214+197</f>
        <v>411</v>
      </c>
      <c r="R1023" s="17">
        <f>+P1022-Q1022-Q1023</f>
        <v>-39</v>
      </c>
      <c r="S1023" s="65">
        <v>1220</v>
      </c>
      <c r="T1023" s="19" t="s">
        <v>42</v>
      </c>
      <c r="U1023" s="102" t="s">
        <v>396</v>
      </c>
      <c r="V1023" s="64">
        <v>44628</v>
      </c>
      <c r="W1023" s="17" t="s">
        <v>69</v>
      </c>
      <c r="Y1023" s="68">
        <v>44621</v>
      </c>
      <c r="Z1023" s="17" t="s">
        <v>397</v>
      </c>
      <c r="AA1023" s="17" t="s">
        <v>46</v>
      </c>
      <c r="AB1023" s="17" t="s">
        <v>402</v>
      </c>
      <c r="AC1023" s="66">
        <v>44651</v>
      </c>
      <c r="AD1023" s="65">
        <v>1283</v>
      </c>
      <c r="AE1023" s="17" t="s">
        <v>74</v>
      </c>
      <c r="AF1023" s="149" t="s">
        <v>399</v>
      </c>
      <c r="AH1023" s="17" t="s">
        <v>400</v>
      </c>
      <c r="AI1023" s="17">
        <v>107</v>
      </c>
    </row>
    <row r="1024" s="17" customFormat="1" hidden="1" spans="1:35">
      <c r="A1024" s="17" t="s">
        <v>34</v>
      </c>
      <c r="B1024" s="19">
        <v>781</v>
      </c>
      <c r="C1024" s="101">
        <v>44623</v>
      </c>
      <c r="D1024" s="17" t="s">
        <v>52</v>
      </c>
      <c r="E1024" s="17" t="s">
        <v>291</v>
      </c>
      <c r="F1024" s="17" t="s">
        <v>54</v>
      </c>
      <c r="H1024" s="19">
        <v>1.2311</v>
      </c>
      <c r="I1024" s="19"/>
      <c r="J1024" s="17" t="s">
        <v>82</v>
      </c>
      <c r="K1024" s="19">
        <v>307</v>
      </c>
      <c r="L1024" s="91">
        <v>25</v>
      </c>
      <c r="M1024" s="19">
        <v>3000</v>
      </c>
      <c r="N1024" s="19" t="s">
        <v>66</v>
      </c>
      <c r="O1024" s="19" t="s">
        <v>141</v>
      </c>
      <c r="P1024" s="19">
        <v>1012</v>
      </c>
      <c r="Q1024" s="17">
        <f>288+212+294+262</f>
        <v>1056</v>
      </c>
      <c r="R1024" s="17">
        <f>+P1024-Q1024</f>
        <v>-44</v>
      </c>
      <c r="S1024" s="65">
        <v>1220</v>
      </c>
      <c r="T1024" s="19" t="s">
        <v>42</v>
      </c>
      <c r="U1024" s="102" t="s">
        <v>396</v>
      </c>
      <c r="V1024" s="64">
        <v>44628</v>
      </c>
      <c r="W1024" s="17" t="s">
        <v>69</v>
      </c>
      <c r="Y1024" s="68">
        <v>44621</v>
      </c>
      <c r="Z1024" s="17" t="s">
        <v>397</v>
      </c>
      <c r="AA1024" s="17" t="s">
        <v>46</v>
      </c>
      <c r="AB1024" s="17" t="s">
        <v>402</v>
      </c>
      <c r="AC1024" s="66">
        <v>44651</v>
      </c>
      <c r="AD1024" s="65">
        <v>1283</v>
      </c>
      <c r="AE1024" s="17" t="s">
        <v>74</v>
      </c>
      <c r="AF1024" s="149" t="s">
        <v>399</v>
      </c>
      <c r="AH1024" s="17" t="s">
        <v>400</v>
      </c>
      <c r="AI1024" s="17">
        <v>107</v>
      </c>
    </row>
    <row r="1025" s="17" customFormat="1" hidden="1" spans="1:35">
      <c r="A1025" s="17" t="s">
        <v>34</v>
      </c>
      <c r="B1025" s="19">
        <v>781</v>
      </c>
      <c r="C1025" s="101">
        <v>44623</v>
      </c>
      <c r="D1025" s="17" t="s">
        <v>52</v>
      </c>
      <c r="E1025" s="17" t="s">
        <v>291</v>
      </c>
      <c r="F1025" s="17" t="s">
        <v>54</v>
      </c>
      <c r="H1025" s="19">
        <v>1.2311</v>
      </c>
      <c r="I1025" s="19"/>
      <c r="J1025" s="17" t="s">
        <v>82</v>
      </c>
      <c r="K1025" s="19">
        <v>357</v>
      </c>
      <c r="L1025" s="91">
        <v>25</v>
      </c>
      <c r="M1025" s="19">
        <v>3000</v>
      </c>
      <c r="N1025" s="19" t="s">
        <v>66</v>
      </c>
      <c r="O1025" s="19" t="s">
        <v>141</v>
      </c>
      <c r="P1025" s="19">
        <v>1177</v>
      </c>
      <c r="Q1025" s="17">
        <f>284+285+327+306</f>
        <v>1202</v>
      </c>
      <c r="R1025" s="17">
        <f>+P1025-Q1025</f>
        <v>-25</v>
      </c>
      <c r="S1025" s="65">
        <v>1220</v>
      </c>
      <c r="T1025" s="19" t="s">
        <v>42</v>
      </c>
      <c r="U1025" s="102" t="s">
        <v>396</v>
      </c>
      <c r="V1025" s="64">
        <v>44628</v>
      </c>
      <c r="W1025" s="17" t="s">
        <v>69</v>
      </c>
      <c r="Y1025" s="68">
        <v>44621</v>
      </c>
      <c r="Z1025" s="17" t="s">
        <v>397</v>
      </c>
      <c r="AA1025" s="17" t="s">
        <v>46</v>
      </c>
      <c r="AB1025" s="17" t="s">
        <v>402</v>
      </c>
      <c r="AC1025" s="66">
        <v>44651</v>
      </c>
      <c r="AD1025" s="65">
        <v>1283</v>
      </c>
      <c r="AE1025" s="17" t="s">
        <v>74</v>
      </c>
      <c r="AF1025" s="149" t="s">
        <v>399</v>
      </c>
      <c r="AH1025" s="17" t="s">
        <v>400</v>
      </c>
      <c r="AI1025" s="17">
        <v>107</v>
      </c>
    </row>
    <row r="1026" s="17" customFormat="1" hidden="1" spans="1:35">
      <c r="A1026" s="17" t="s">
        <v>34</v>
      </c>
      <c r="B1026" s="19">
        <v>781</v>
      </c>
      <c r="C1026" s="101">
        <v>44623</v>
      </c>
      <c r="D1026" s="17" t="s">
        <v>52</v>
      </c>
      <c r="E1026" s="17" t="s">
        <v>291</v>
      </c>
      <c r="F1026" s="17" t="s">
        <v>54</v>
      </c>
      <c r="H1026" s="19">
        <v>1.2311</v>
      </c>
      <c r="I1026" s="19"/>
      <c r="J1026" s="17" t="s">
        <v>82</v>
      </c>
      <c r="K1026" s="19">
        <v>407</v>
      </c>
      <c r="L1026" s="91">
        <v>25</v>
      </c>
      <c r="M1026" s="19">
        <v>3000</v>
      </c>
      <c r="N1026" s="19" t="s">
        <v>66</v>
      </c>
      <c r="O1026" s="19" t="s">
        <v>141</v>
      </c>
      <c r="P1026" s="19">
        <v>1006</v>
      </c>
      <c r="Q1026" s="17">
        <f>323+347</f>
        <v>670</v>
      </c>
      <c r="S1026" s="65">
        <v>1220</v>
      </c>
      <c r="T1026" s="19" t="s">
        <v>42</v>
      </c>
      <c r="U1026" s="102" t="s">
        <v>396</v>
      </c>
      <c r="V1026" s="64">
        <v>44628</v>
      </c>
      <c r="W1026" s="17" t="s">
        <v>69</v>
      </c>
      <c r="Y1026" s="68">
        <v>44621</v>
      </c>
      <c r="Z1026" s="17" t="s">
        <v>397</v>
      </c>
      <c r="AA1026" s="17" t="s">
        <v>46</v>
      </c>
      <c r="AB1026" s="17" t="s">
        <v>401</v>
      </c>
      <c r="AC1026" s="66">
        <v>44639</v>
      </c>
      <c r="AD1026" s="65">
        <v>1275</v>
      </c>
      <c r="AE1026" s="17" t="s">
        <v>74</v>
      </c>
      <c r="AF1026" s="149" t="s">
        <v>399</v>
      </c>
      <c r="AH1026" s="17" t="s">
        <v>400</v>
      </c>
      <c r="AI1026" s="17">
        <v>107</v>
      </c>
    </row>
    <row r="1027" s="17" customFormat="1" hidden="1" spans="1:35">
      <c r="A1027" s="17" t="s">
        <v>34</v>
      </c>
      <c r="B1027" s="19">
        <v>781</v>
      </c>
      <c r="C1027" s="101">
        <v>44623</v>
      </c>
      <c r="D1027" s="17" t="s">
        <v>52</v>
      </c>
      <c r="E1027" s="17" t="s">
        <v>291</v>
      </c>
      <c r="F1027" s="17" t="s">
        <v>54</v>
      </c>
      <c r="H1027" s="19">
        <v>1.2311</v>
      </c>
      <c r="I1027" s="19"/>
      <c r="J1027" s="17" t="s">
        <v>82</v>
      </c>
      <c r="K1027" s="19">
        <v>405</v>
      </c>
      <c r="L1027" s="91">
        <v>25</v>
      </c>
      <c r="M1027" s="19">
        <v>3500</v>
      </c>
      <c r="N1027" s="19" t="s">
        <v>66</v>
      </c>
      <c r="O1027" s="19" t="s">
        <v>141</v>
      </c>
      <c r="P1027" s="19"/>
      <c r="Q1027" s="17">
        <v>435</v>
      </c>
      <c r="R1027" s="17">
        <f>+P1026-Q1026-Q1027</f>
        <v>-99</v>
      </c>
      <c r="S1027" s="65">
        <v>1220</v>
      </c>
      <c r="T1027" s="19" t="s">
        <v>42</v>
      </c>
      <c r="U1027" s="102" t="s">
        <v>396</v>
      </c>
      <c r="V1027" s="64">
        <v>44628</v>
      </c>
      <c r="W1027" s="17" t="s">
        <v>69</v>
      </c>
      <c r="Y1027" s="68">
        <v>44621</v>
      </c>
      <c r="Z1027" s="17" t="s">
        <v>397</v>
      </c>
      <c r="AA1027" s="17" t="s">
        <v>46</v>
      </c>
      <c r="AB1027" s="17" t="s">
        <v>398</v>
      </c>
      <c r="AC1027" s="66">
        <v>44666</v>
      </c>
      <c r="AD1027" s="65">
        <v>1289</v>
      </c>
      <c r="AE1027" s="17" t="s">
        <v>74</v>
      </c>
      <c r="AF1027" s="149" t="s">
        <v>399</v>
      </c>
      <c r="AH1027" s="17" t="s">
        <v>400</v>
      </c>
      <c r="AI1027" s="17">
        <v>107</v>
      </c>
    </row>
    <row r="1028" s="17" customFormat="1" hidden="1" spans="1:35">
      <c r="A1028" s="17" t="s">
        <v>34</v>
      </c>
      <c r="B1028" s="19">
        <v>781</v>
      </c>
      <c r="C1028" s="101">
        <v>44623</v>
      </c>
      <c r="D1028" s="17" t="s">
        <v>52</v>
      </c>
      <c r="E1028" s="17" t="s">
        <v>291</v>
      </c>
      <c r="F1028" s="17" t="s">
        <v>54</v>
      </c>
      <c r="H1028" s="19">
        <v>1.2311</v>
      </c>
      <c r="I1028" s="19"/>
      <c r="J1028" s="17" t="s">
        <v>82</v>
      </c>
      <c r="K1028" s="19">
        <v>457</v>
      </c>
      <c r="L1028" s="91">
        <v>25</v>
      </c>
      <c r="M1028" s="19">
        <v>3000</v>
      </c>
      <c r="N1028" s="19" t="s">
        <v>66</v>
      </c>
      <c r="O1028" s="19" t="s">
        <v>141</v>
      </c>
      <c r="P1028" s="19">
        <v>1130</v>
      </c>
      <c r="Q1028" s="17">
        <v>414</v>
      </c>
      <c r="S1028" s="65">
        <v>1220</v>
      </c>
      <c r="T1028" s="19" t="s">
        <v>42</v>
      </c>
      <c r="U1028" s="102" t="s">
        <v>396</v>
      </c>
      <c r="V1028" s="64">
        <v>44628</v>
      </c>
      <c r="W1028" s="17" t="s">
        <v>69</v>
      </c>
      <c r="Y1028" s="68">
        <v>44621</v>
      </c>
      <c r="Z1028" s="17" t="s">
        <v>397</v>
      </c>
      <c r="AA1028" s="17" t="s">
        <v>46</v>
      </c>
      <c r="AB1028" s="17" t="s">
        <v>401</v>
      </c>
      <c r="AC1028" s="66">
        <v>44639</v>
      </c>
      <c r="AD1028" s="65">
        <v>1275</v>
      </c>
      <c r="AE1028" s="17" t="s">
        <v>74</v>
      </c>
      <c r="AF1028" s="149" t="s">
        <v>399</v>
      </c>
      <c r="AH1028" s="17" t="s">
        <v>400</v>
      </c>
      <c r="AI1028" s="17">
        <v>107</v>
      </c>
    </row>
    <row r="1029" s="17" customFormat="1" hidden="1" spans="1:35">
      <c r="A1029" s="17" t="s">
        <v>34</v>
      </c>
      <c r="B1029" s="19">
        <v>781</v>
      </c>
      <c r="C1029" s="101">
        <v>44623</v>
      </c>
      <c r="D1029" s="17" t="s">
        <v>52</v>
      </c>
      <c r="E1029" s="17" t="s">
        <v>291</v>
      </c>
      <c r="F1029" s="17" t="s">
        <v>54</v>
      </c>
      <c r="H1029" s="19">
        <v>1.2311</v>
      </c>
      <c r="I1029" s="19"/>
      <c r="J1029" s="17" t="s">
        <v>82</v>
      </c>
      <c r="K1029" s="19">
        <v>457</v>
      </c>
      <c r="L1029" s="91">
        <v>25</v>
      </c>
      <c r="M1029" s="19">
        <v>3000</v>
      </c>
      <c r="N1029" s="19" t="s">
        <v>66</v>
      </c>
      <c r="O1029" s="19" t="s">
        <v>141</v>
      </c>
      <c r="P1029" s="19"/>
      <c r="Q1029" s="17">
        <v>362</v>
      </c>
      <c r="R1029" s="17">
        <f>+P1028-Q1028-Q1029</f>
        <v>354</v>
      </c>
      <c r="S1029" s="65">
        <v>1220</v>
      </c>
      <c r="T1029" s="19" t="s">
        <v>42</v>
      </c>
      <c r="U1029" s="102" t="s">
        <v>396</v>
      </c>
      <c r="V1029" s="64">
        <v>44628</v>
      </c>
      <c r="W1029" s="17" t="s">
        <v>69</v>
      </c>
      <c r="Y1029" s="68">
        <v>44621</v>
      </c>
      <c r="Z1029" s="17" t="s">
        <v>397</v>
      </c>
      <c r="AA1029" s="17" t="s">
        <v>46</v>
      </c>
      <c r="AB1029" s="17" t="s">
        <v>402</v>
      </c>
      <c r="AC1029" s="66">
        <v>44651</v>
      </c>
      <c r="AD1029" s="65">
        <v>1283</v>
      </c>
      <c r="AE1029" s="17" t="s">
        <v>74</v>
      </c>
      <c r="AF1029" s="149" t="s">
        <v>399</v>
      </c>
      <c r="AH1029" s="17" t="s">
        <v>400</v>
      </c>
      <c r="AI1029" s="17">
        <v>107</v>
      </c>
    </row>
    <row r="1030" s="17" customFormat="1" hidden="1" spans="1:35">
      <c r="A1030" s="17" t="s">
        <v>34</v>
      </c>
      <c r="B1030" s="19">
        <v>781</v>
      </c>
      <c r="C1030" s="101">
        <v>44623</v>
      </c>
      <c r="D1030" s="17" t="s">
        <v>52</v>
      </c>
      <c r="E1030" s="17" t="s">
        <v>291</v>
      </c>
      <c r="F1030" s="17" t="s">
        <v>54</v>
      </c>
      <c r="H1030" s="19">
        <v>1.2311</v>
      </c>
      <c r="I1030" s="19"/>
      <c r="J1030" s="17" t="s">
        <v>82</v>
      </c>
      <c r="K1030" s="19">
        <v>507</v>
      </c>
      <c r="L1030" s="91">
        <v>25</v>
      </c>
      <c r="M1030" s="19">
        <v>3000</v>
      </c>
      <c r="N1030" s="19" t="s">
        <v>66</v>
      </c>
      <c r="O1030" s="19" t="s">
        <v>141</v>
      </c>
      <c r="P1030" s="19">
        <v>1254</v>
      </c>
      <c r="Q1030" s="17">
        <f>426+427+431</f>
        <v>1284</v>
      </c>
      <c r="R1030" s="17">
        <f>+P1030-Q1030</f>
        <v>-30</v>
      </c>
      <c r="S1030" s="65">
        <v>1220</v>
      </c>
      <c r="T1030" s="19" t="s">
        <v>42</v>
      </c>
      <c r="U1030" s="102" t="s">
        <v>396</v>
      </c>
      <c r="V1030" s="64">
        <v>44628</v>
      </c>
      <c r="W1030" s="17" t="s">
        <v>69</v>
      </c>
      <c r="Y1030" s="68">
        <v>44621</v>
      </c>
      <c r="Z1030" s="17" t="s">
        <v>397</v>
      </c>
      <c r="AA1030" s="17" t="s">
        <v>46</v>
      </c>
      <c r="AB1030" s="17" t="s">
        <v>401</v>
      </c>
      <c r="AC1030" s="66">
        <v>44639</v>
      </c>
      <c r="AD1030" s="65">
        <v>1275</v>
      </c>
      <c r="AE1030" s="17" t="s">
        <v>74</v>
      </c>
      <c r="AF1030" s="149" t="s">
        <v>399</v>
      </c>
      <c r="AH1030" s="17" t="s">
        <v>400</v>
      </c>
      <c r="AI1030" s="17">
        <v>107</v>
      </c>
    </row>
    <row r="1031" s="17" customFormat="1" hidden="1" spans="1:35">
      <c r="A1031" s="17" t="s">
        <v>34</v>
      </c>
      <c r="B1031" s="19">
        <v>781</v>
      </c>
      <c r="C1031" s="101">
        <v>44623</v>
      </c>
      <c r="D1031" s="17" t="s">
        <v>52</v>
      </c>
      <c r="E1031" s="17" t="s">
        <v>291</v>
      </c>
      <c r="F1031" s="17" t="s">
        <v>54</v>
      </c>
      <c r="H1031" s="19">
        <v>1.2311</v>
      </c>
      <c r="I1031" s="19"/>
      <c r="J1031" s="17" t="s">
        <v>82</v>
      </c>
      <c r="K1031" s="19">
        <v>557</v>
      </c>
      <c r="L1031" s="91">
        <v>25</v>
      </c>
      <c r="M1031" s="19">
        <v>3000</v>
      </c>
      <c r="N1031" s="19" t="s">
        <v>66</v>
      </c>
      <c r="O1031" s="19" t="s">
        <v>141</v>
      </c>
      <c r="P1031" s="19">
        <v>1377</v>
      </c>
      <c r="Q1031" s="17">
        <f>531+472+488</f>
        <v>1491</v>
      </c>
      <c r="R1031" s="17">
        <f>+P1031-Q1031</f>
        <v>-114</v>
      </c>
      <c r="S1031" s="65">
        <v>1220</v>
      </c>
      <c r="T1031" s="19" t="s">
        <v>42</v>
      </c>
      <c r="U1031" s="102" t="s">
        <v>396</v>
      </c>
      <c r="V1031" s="64">
        <v>44628</v>
      </c>
      <c r="W1031" s="17" t="s">
        <v>69</v>
      </c>
      <c r="Y1031" s="68">
        <v>44621</v>
      </c>
      <c r="Z1031" s="17" t="s">
        <v>397</v>
      </c>
      <c r="AA1031" s="17" t="s">
        <v>46</v>
      </c>
      <c r="AB1031" s="17" t="s">
        <v>401</v>
      </c>
      <c r="AC1031" s="66">
        <v>44639</v>
      </c>
      <c r="AD1031" s="65">
        <v>1275</v>
      </c>
      <c r="AE1031" s="17" t="s">
        <v>74</v>
      </c>
      <c r="AF1031" s="149" t="s">
        <v>399</v>
      </c>
      <c r="AH1031" s="17" t="s">
        <v>400</v>
      </c>
      <c r="AI1031" s="17">
        <v>107</v>
      </c>
    </row>
    <row r="1032" s="17" customFormat="1" hidden="1" spans="1:35">
      <c r="A1032" s="17" t="s">
        <v>34</v>
      </c>
      <c r="B1032" s="19">
        <v>781</v>
      </c>
      <c r="C1032" s="101">
        <v>44623</v>
      </c>
      <c r="D1032" s="17" t="s">
        <v>52</v>
      </c>
      <c r="E1032" s="17" t="s">
        <v>291</v>
      </c>
      <c r="F1032" s="17" t="s">
        <v>54</v>
      </c>
      <c r="H1032" s="19">
        <v>1.2311</v>
      </c>
      <c r="I1032" s="19"/>
      <c r="J1032" s="17" t="s">
        <v>82</v>
      </c>
      <c r="K1032" s="19">
        <v>207</v>
      </c>
      <c r="L1032" s="91">
        <v>32</v>
      </c>
      <c r="M1032" s="19">
        <v>3000</v>
      </c>
      <c r="N1032" s="19" t="s">
        <v>66</v>
      </c>
      <c r="O1032" s="19" t="s">
        <v>141</v>
      </c>
      <c r="P1032" s="19">
        <v>1529</v>
      </c>
      <c r="Q1032" s="17">
        <f>199+244+244+244+241+243+244</f>
        <v>1659</v>
      </c>
      <c r="R1032" s="17">
        <f>+P1032-Q1032</f>
        <v>-130</v>
      </c>
      <c r="S1032" s="65">
        <v>1220</v>
      </c>
      <c r="T1032" s="19" t="s">
        <v>42</v>
      </c>
      <c r="U1032" s="102" t="s">
        <v>396</v>
      </c>
      <c r="V1032" s="64">
        <v>44628</v>
      </c>
      <c r="W1032" s="17" t="s">
        <v>69</v>
      </c>
      <c r="Y1032" s="68">
        <v>44621</v>
      </c>
      <c r="Z1032" s="17" t="s">
        <v>397</v>
      </c>
      <c r="AA1032" s="17" t="s">
        <v>46</v>
      </c>
      <c r="AB1032" s="17" t="s">
        <v>401</v>
      </c>
      <c r="AC1032" s="66">
        <v>44639</v>
      </c>
      <c r="AD1032" s="65">
        <v>1275</v>
      </c>
      <c r="AE1032" s="17" t="s">
        <v>74</v>
      </c>
      <c r="AF1032" s="149" t="s">
        <v>399</v>
      </c>
      <c r="AH1032" s="17" t="s">
        <v>400</v>
      </c>
      <c r="AI1032" s="17">
        <v>107</v>
      </c>
    </row>
    <row r="1033" s="17" customFormat="1" hidden="1" spans="1:35">
      <c r="A1033" s="17" t="s">
        <v>34</v>
      </c>
      <c r="B1033" s="19">
        <v>781</v>
      </c>
      <c r="C1033" s="101">
        <v>44623</v>
      </c>
      <c r="D1033" s="17" t="s">
        <v>52</v>
      </c>
      <c r="E1033" s="17" t="s">
        <v>291</v>
      </c>
      <c r="F1033" s="17" t="s">
        <v>54</v>
      </c>
      <c r="H1033" s="19">
        <v>1.2311</v>
      </c>
      <c r="I1033" s="19"/>
      <c r="J1033" s="17" t="s">
        <v>82</v>
      </c>
      <c r="K1033" s="19">
        <v>257</v>
      </c>
      <c r="L1033" s="91">
        <v>32</v>
      </c>
      <c r="M1033" s="19">
        <v>3000</v>
      </c>
      <c r="N1033" s="19" t="s">
        <v>66</v>
      </c>
      <c r="O1033" s="19" t="s">
        <v>141</v>
      </c>
      <c r="P1033" s="19">
        <v>1627</v>
      </c>
      <c r="Q1033" s="17">
        <v>295</v>
      </c>
      <c r="S1033" s="65">
        <v>1220</v>
      </c>
      <c r="T1033" s="19" t="s">
        <v>42</v>
      </c>
      <c r="U1033" s="102" t="s">
        <v>396</v>
      </c>
      <c r="V1033" s="64">
        <v>44628</v>
      </c>
      <c r="W1033" s="17" t="s">
        <v>69</v>
      </c>
      <c r="Y1033" s="68">
        <v>44621</v>
      </c>
      <c r="Z1033" s="17" t="s">
        <v>397</v>
      </c>
      <c r="AA1033" s="17" t="s">
        <v>46</v>
      </c>
      <c r="AB1033" s="17" t="s">
        <v>401</v>
      </c>
      <c r="AC1033" s="66">
        <v>44639</v>
      </c>
      <c r="AD1033" s="65">
        <v>1275</v>
      </c>
      <c r="AE1033" s="17" t="s">
        <v>74</v>
      </c>
      <c r="AF1033" s="149" t="s">
        <v>399</v>
      </c>
      <c r="AH1033" s="17" t="s">
        <v>400</v>
      </c>
      <c r="AI1033" s="17">
        <v>107</v>
      </c>
    </row>
    <row r="1034" s="17" customFormat="1" hidden="1" spans="1:35">
      <c r="A1034" s="17" t="s">
        <v>34</v>
      </c>
      <c r="B1034" s="19">
        <v>781</v>
      </c>
      <c r="C1034" s="101">
        <v>44623</v>
      </c>
      <c r="D1034" s="17" t="s">
        <v>52</v>
      </c>
      <c r="E1034" s="17" t="s">
        <v>291</v>
      </c>
      <c r="F1034" s="17" t="s">
        <v>54</v>
      </c>
      <c r="H1034" s="19">
        <v>1.2311</v>
      </c>
      <c r="I1034" s="19"/>
      <c r="J1034" s="17" t="s">
        <v>82</v>
      </c>
      <c r="K1034" s="19">
        <v>255</v>
      </c>
      <c r="L1034" s="91">
        <v>32</v>
      </c>
      <c r="M1034" s="19">
        <v>3500</v>
      </c>
      <c r="N1034" s="19" t="s">
        <v>66</v>
      </c>
      <c r="O1034" s="19" t="s">
        <v>141</v>
      </c>
      <c r="P1034" s="19"/>
      <c r="Q1034" s="17">
        <v>297</v>
      </c>
      <c r="R1034" s="17">
        <f>+P1033-Q1033-Q1034</f>
        <v>1035</v>
      </c>
      <c r="S1034" s="65">
        <v>1220</v>
      </c>
      <c r="T1034" s="19" t="s">
        <v>42</v>
      </c>
      <c r="U1034" s="102" t="s">
        <v>396</v>
      </c>
      <c r="V1034" s="64">
        <v>44628</v>
      </c>
      <c r="W1034" s="17" t="s">
        <v>69</v>
      </c>
      <c r="Y1034" s="68">
        <v>44621</v>
      </c>
      <c r="Z1034" s="17" t="s">
        <v>397</v>
      </c>
      <c r="AA1034" s="17" t="s">
        <v>46</v>
      </c>
      <c r="AB1034" s="17" t="s">
        <v>398</v>
      </c>
      <c r="AC1034" s="66">
        <v>44666</v>
      </c>
      <c r="AD1034" s="65">
        <v>1289</v>
      </c>
      <c r="AE1034" s="17" t="s">
        <v>74</v>
      </c>
      <c r="AF1034" s="149" t="s">
        <v>399</v>
      </c>
      <c r="AH1034" s="17" t="s">
        <v>400</v>
      </c>
      <c r="AI1034" s="17">
        <v>107</v>
      </c>
    </row>
    <row r="1035" s="17" customFormat="1" hidden="1" spans="1:35">
      <c r="A1035" s="17" t="s">
        <v>34</v>
      </c>
      <c r="B1035" s="19">
        <v>781</v>
      </c>
      <c r="C1035" s="101">
        <v>44623</v>
      </c>
      <c r="D1035" s="17" t="s">
        <v>52</v>
      </c>
      <c r="E1035" s="17" t="s">
        <v>291</v>
      </c>
      <c r="F1035" s="17" t="s">
        <v>54</v>
      </c>
      <c r="H1035" s="19">
        <v>1.2311</v>
      </c>
      <c r="I1035" s="19"/>
      <c r="J1035" s="17" t="s">
        <v>82</v>
      </c>
      <c r="K1035" s="19">
        <v>307</v>
      </c>
      <c r="L1035" s="91">
        <v>32</v>
      </c>
      <c r="M1035" s="19">
        <v>3000</v>
      </c>
      <c r="N1035" s="19" t="s">
        <v>66</v>
      </c>
      <c r="O1035" s="19" t="s">
        <v>141</v>
      </c>
      <c r="P1035" s="19">
        <v>1619</v>
      </c>
      <c r="Q1035" s="17">
        <f>311+313+290</f>
        <v>914</v>
      </c>
      <c r="S1035" s="65">
        <v>1220</v>
      </c>
      <c r="T1035" s="19" t="s">
        <v>42</v>
      </c>
      <c r="U1035" s="102" t="s">
        <v>396</v>
      </c>
      <c r="V1035" s="64">
        <v>44628</v>
      </c>
      <c r="W1035" s="17" t="s">
        <v>69</v>
      </c>
      <c r="Y1035" s="68">
        <v>44621</v>
      </c>
      <c r="Z1035" s="17" t="s">
        <v>397</v>
      </c>
      <c r="AA1035" s="17" t="s">
        <v>46</v>
      </c>
      <c r="AB1035" s="17" t="s">
        <v>402</v>
      </c>
      <c r="AC1035" s="66">
        <v>44651</v>
      </c>
      <c r="AD1035" s="65">
        <v>1283</v>
      </c>
      <c r="AE1035" s="17" t="s">
        <v>74</v>
      </c>
      <c r="AF1035" s="149" t="s">
        <v>399</v>
      </c>
      <c r="AH1035" s="17" t="s">
        <v>400</v>
      </c>
      <c r="AI1035" s="17">
        <v>107</v>
      </c>
    </row>
    <row r="1036" s="17" customFormat="1" hidden="1" spans="1:35">
      <c r="A1036" s="17" t="s">
        <v>34</v>
      </c>
      <c r="B1036" s="19">
        <v>781</v>
      </c>
      <c r="C1036" s="101">
        <v>44623</v>
      </c>
      <c r="D1036" s="17" t="s">
        <v>52</v>
      </c>
      <c r="E1036" s="17" t="s">
        <v>291</v>
      </c>
      <c r="F1036" s="17" t="s">
        <v>54</v>
      </c>
      <c r="H1036" s="19">
        <v>1.2311</v>
      </c>
      <c r="I1036" s="19"/>
      <c r="J1036" s="17" t="s">
        <v>82</v>
      </c>
      <c r="K1036" s="19">
        <v>307</v>
      </c>
      <c r="L1036" s="91">
        <v>32</v>
      </c>
      <c r="M1036" s="19">
        <v>3500</v>
      </c>
      <c r="N1036" s="19" t="s">
        <v>66</v>
      </c>
      <c r="O1036" s="19" t="s">
        <v>141</v>
      </c>
      <c r="P1036" s="19"/>
      <c r="Q1036" s="17">
        <f>290+290</f>
        <v>580</v>
      </c>
      <c r="R1036" s="17">
        <f>+P1035-Q1035-Q1036</f>
        <v>125</v>
      </c>
      <c r="S1036" s="65">
        <v>1220</v>
      </c>
      <c r="T1036" s="19" t="s">
        <v>42</v>
      </c>
      <c r="U1036" s="102" t="s">
        <v>396</v>
      </c>
      <c r="V1036" s="64">
        <v>44628</v>
      </c>
      <c r="W1036" s="17" t="s">
        <v>69</v>
      </c>
      <c r="Y1036" s="68">
        <v>44621</v>
      </c>
      <c r="Z1036" s="17" t="s">
        <v>397</v>
      </c>
      <c r="AA1036" s="17" t="s">
        <v>46</v>
      </c>
      <c r="AB1036" s="17" t="s">
        <v>398</v>
      </c>
      <c r="AC1036" s="66">
        <v>44666</v>
      </c>
      <c r="AD1036" s="65">
        <v>1289</v>
      </c>
      <c r="AE1036" s="17" t="s">
        <v>74</v>
      </c>
      <c r="AF1036" s="149" t="s">
        <v>399</v>
      </c>
      <c r="AH1036" s="17" t="s">
        <v>400</v>
      </c>
      <c r="AI1036" s="17">
        <v>107</v>
      </c>
    </row>
    <row r="1037" s="17" customFormat="1" hidden="1" spans="1:35">
      <c r="A1037" s="17" t="s">
        <v>34</v>
      </c>
      <c r="B1037" s="19">
        <v>781</v>
      </c>
      <c r="C1037" s="101">
        <v>44623</v>
      </c>
      <c r="D1037" s="17" t="s">
        <v>52</v>
      </c>
      <c r="E1037" s="17" t="s">
        <v>291</v>
      </c>
      <c r="F1037" s="17" t="s">
        <v>54</v>
      </c>
      <c r="H1037" s="19">
        <v>1.2311</v>
      </c>
      <c r="I1037" s="19"/>
      <c r="J1037" s="17" t="s">
        <v>82</v>
      </c>
      <c r="K1037" s="19">
        <v>357</v>
      </c>
      <c r="L1037" s="91">
        <v>32</v>
      </c>
      <c r="M1037" s="19">
        <v>3000</v>
      </c>
      <c r="N1037" s="19" t="s">
        <v>66</v>
      </c>
      <c r="O1037" s="19" t="s">
        <v>141</v>
      </c>
      <c r="P1037" s="19">
        <v>1507</v>
      </c>
      <c r="Q1037" s="17">
        <f>329+331+341</f>
        <v>1001</v>
      </c>
      <c r="R1037" s="17">
        <f>+P1037-Q1037</f>
        <v>506</v>
      </c>
      <c r="S1037" s="65">
        <v>1220</v>
      </c>
      <c r="T1037" s="19" t="s">
        <v>42</v>
      </c>
      <c r="U1037" s="102" t="s">
        <v>396</v>
      </c>
      <c r="V1037" s="64">
        <v>44628</v>
      </c>
      <c r="W1037" s="17" t="s">
        <v>69</v>
      </c>
      <c r="Y1037" s="68">
        <v>44621</v>
      </c>
      <c r="Z1037" s="17" t="s">
        <v>397</v>
      </c>
      <c r="AA1037" s="17" t="s">
        <v>46</v>
      </c>
      <c r="AB1037" s="17" t="s">
        <v>402</v>
      </c>
      <c r="AC1037" s="66">
        <v>44651</v>
      </c>
      <c r="AD1037" s="65">
        <v>1283</v>
      </c>
      <c r="AE1037" s="17" t="s">
        <v>74</v>
      </c>
      <c r="AF1037" s="149" t="s">
        <v>399</v>
      </c>
      <c r="AH1037" s="17" t="s">
        <v>400</v>
      </c>
      <c r="AI1037" s="17">
        <v>107</v>
      </c>
    </row>
    <row r="1038" s="17" customFormat="1" hidden="1" spans="1:35">
      <c r="A1038" s="17" t="s">
        <v>34</v>
      </c>
      <c r="B1038" s="19">
        <v>781</v>
      </c>
      <c r="C1038" s="101">
        <v>44623</v>
      </c>
      <c r="D1038" s="17" t="s">
        <v>52</v>
      </c>
      <c r="E1038" s="17" t="s">
        <v>291</v>
      </c>
      <c r="F1038" s="17" t="s">
        <v>54</v>
      </c>
      <c r="H1038" s="19">
        <v>1.2311</v>
      </c>
      <c r="I1038" s="19"/>
      <c r="J1038" s="17" t="s">
        <v>82</v>
      </c>
      <c r="K1038" s="19">
        <v>405</v>
      </c>
      <c r="L1038" s="91">
        <v>32</v>
      </c>
      <c r="M1038" s="19">
        <v>3500</v>
      </c>
      <c r="N1038" s="19" t="s">
        <v>66</v>
      </c>
      <c r="O1038" s="19" t="s">
        <v>141</v>
      </c>
      <c r="P1038" s="19"/>
      <c r="Q1038" s="17">
        <v>520</v>
      </c>
      <c r="S1038" s="65">
        <v>1220</v>
      </c>
      <c r="T1038" s="19" t="s">
        <v>42</v>
      </c>
      <c r="U1038" s="102" t="s">
        <v>396</v>
      </c>
      <c r="V1038" s="64">
        <v>44628</v>
      </c>
      <c r="W1038" s="17" t="s">
        <v>69</v>
      </c>
      <c r="Y1038" s="68">
        <v>44621</v>
      </c>
      <c r="Z1038" s="17" t="s">
        <v>397</v>
      </c>
      <c r="AA1038" s="17" t="s">
        <v>46</v>
      </c>
      <c r="AB1038" s="17" t="s">
        <v>398</v>
      </c>
      <c r="AC1038" s="66">
        <v>44666</v>
      </c>
      <c r="AD1038" s="65">
        <v>1289</v>
      </c>
      <c r="AF1038" s="149" t="s">
        <v>399</v>
      </c>
    </row>
    <row r="1039" s="17" customFormat="1" hidden="1" spans="1:35">
      <c r="A1039" s="17" t="s">
        <v>34</v>
      </c>
      <c r="B1039" s="19">
        <v>781</v>
      </c>
      <c r="C1039" s="101">
        <v>44623</v>
      </c>
      <c r="D1039" s="17" t="s">
        <v>52</v>
      </c>
      <c r="E1039" s="17" t="s">
        <v>291</v>
      </c>
      <c r="F1039" s="17" t="s">
        <v>54</v>
      </c>
      <c r="H1039" s="19">
        <v>1.2311</v>
      </c>
      <c r="I1039" s="19"/>
      <c r="J1039" s="17" t="s">
        <v>82</v>
      </c>
      <c r="K1039" s="19">
        <v>407</v>
      </c>
      <c r="L1039" s="91">
        <v>32</v>
      </c>
      <c r="M1039" s="19">
        <v>3000</v>
      </c>
      <c r="N1039" s="19" t="s">
        <v>66</v>
      </c>
      <c r="O1039" s="19" t="s">
        <v>141</v>
      </c>
      <c r="P1039" s="19"/>
      <c r="Q1039" s="17">
        <f>385+412</f>
        <v>797</v>
      </c>
      <c r="S1039" s="65">
        <v>1220</v>
      </c>
      <c r="T1039" s="19" t="s">
        <v>42</v>
      </c>
      <c r="U1039" s="102" t="s">
        <v>396</v>
      </c>
      <c r="V1039" s="64">
        <v>44628</v>
      </c>
      <c r="W1039" s="17" t="s">
        <v>69</v>
      </c>
      <c r="Y1039" s="68">
        <v>44621</v>
      </c>
      <c r="Z1039" s="17" t="s">
        <v>397</v>
      </c>
      <c r="AA1039" s="17" t="s">
        <v>46</v>
      </c>
      <c r="AB1039" s="17" t="s">
        <v>401</v>
      </c>
      <c r="AC1039" s="66">
        <v>44639</v>
      </c>
      <c r="AD1039" s="65">
        <v>1275</v>
      </c>
      <c r="AF1039" s="149" t="s">
        <v>399</v>
      </c>
    </row>
    <row r="1040" s="17" customFormat="1" hidden="1" spans="1:35">
      <c r="A1040" s="17" t="s">
        <v>34</v>
      </c>
      <c r="B1040" s="19">
        <v>781</v>
      </c>
      <c r="C1040" s="101">
        <v>44623</v>
      </c>
      <c r="D1040" s="17" t="s">
        <v>52</v>
      </c>
      <c r="E1040" s="17" t="s">
        <v>291</v>
      </c>
      <c r="F1040" s="17" t="s">
        <v>54</v>
      </c>
      <c r="H1040" s="19">
        <v>1.2311</v>
      </c>
      <c r="I1040" s="19"/>
      <c r="J1040" s="17" t="s">
        <v>82</v>
      </c>
      <c r="K1040" s="19">
        <v>410</v>
      </c>
      <c r="L1040" s="91">
        <v>32</v>
      </c>
      <c r="M1040" s="19">
        <v>3000</v>
      </c>
      <c r="N1040" s="19" t="s">
        <v>66</v>
      </c>
      <c r="O1040" s="19" t="s">
        <v>141</v>
      </c>
      <c r="P1040" s="19">
        <v>1718</v>
      </c>
      <c r="Q1040" s="17">
        <f>394+397</f>
        <v>791</v>
      </c>
      <c r="R1040" s="17">
        <f>+P1040-Q1040</f>
        <v>927</v>
      </c>
      <c r="S1040" s="65">
        <v>1220</v>
      </c>
      <c r="T1040" s="19" t="s">
        <v>42</v>
      </c>
      <c r="U1040" s="102" t="s">
        <v>396</v>
      </c>
      <c r="V1040" s="64">
        <v>44628</v>
      </c>
      <c r="W1040" s="17" t="s">
        <v>69</v>
      </c>
      <c r="Y1040" s="68">
        <v>44621</v>
      </c>
      <c r="Z1040" s="17" t="s">
        <v>397</v>
      </c>
      <c r="AA1040" s="17" t="s">
        <v>46</v>
      </c>
      <c r="AB1040" s="17" t="s">
        <v>402</v>
      </c>
      <c r="AC1040" s="66">
        <v>44651</v>
      </c>
      <c r="AD1040" s="65">
        <v>1283</v>
      </c>
      <c r="AE1040" s="17" t="s">
        <v>74</v>
      </c>
      <c r="AF1040" s="149" t="s">
        <v>399</v>
      </c>
      <c r="AH1040" s="17" t="s">
        <v>400</v>
      </c>
      <c r="AI1040" s="17">
        <v>107</v>
      </c>
    </row>
    <row r="1041" s="17" customFormat="1" hidden="1" spans="1:35">
      <c r="A1041" s="17" t="s">
        <v>34</v>
      </c>
      <c r="B1041" s="19">
        <v>781</v>
      </c>
      <c r="C1041" s="101">
        <v>44623</v>
      </c>
      <c r="D1041" s="17" t="s">
        <v>52</v>
      </c>
      <c r="E1041" s="17" t="s">
        <v>291</v>
      </c>
      <c r="F1041" s="17" t="s">
        <v>54</v>
      </c>
      <c r="H1041" s="19">
        <v>1.2311</v>
      </c>
      <c r="I1041" s="19"/>
      <c r="J1041" s="17" t="s">
        <v>82</v>
      </c>
      <c r="K1041" s="19">
        <v>457</v>
      </c>
      <c r="L1041" s="91">
        <v>32</v>
      </c>
      <c r="M1041" s="19">
        <v>3000</v>
      </c>
      <c r="N1041" s="19" t="s">
        <v>66</v>
      </c>
      <c r="O1041" s="19" t="s">
        <v>141</v>
      </c>
      <c r="P1041" s="19">
        <v>1446</v>
      </c>
      <c r="Q1041" s="17">
        <f>434+437</f>
        <v>871</v>
      </c>
      <c r="R1041" s="17">
        <f>+P1041-Q1041</f>
        <v>575</v>
      </c>
      <c r="S1041" s="65">
        <v>1220</v>
      </c>
      <c r="T1041" s="19" t="s">
        <v>42</v>
      </c>
      <c r="U1041" s="102" t="s">
        <v>396</v>
      </c>
      <c r="V1041" s="64">
        <v>44628</v>
      </c>
      <c r="W1041" s="17" t="s">
        <v>69</v>
      </c>
      <c r="Y1041" s="68">
        <v>44621</v>
      </c>
      <c r="Z1041" s="17" t="s">
        <v>397</v>
      </c>
      <c r="AA1041" s="17" t="s">
        <v>46</v>
      </c>
      <c r="AB1041" s="17" t="s">
        <v>402</v>
      </c>
      <c r="AC1041" s="66">
        <v>44651</v>
      </c>
      <c r="AD1041" s="65">
        <v>1283</v>
      </c>
      <c r="AE1041" s="17" t="s">
        <v>74</v>
      </c>
      <c r="AF1041" s="149" t="s">
        <v>399</v>
      </c>
      <c r="AH1041" s="17" t="s">
        <v>400</v>
      </c>
      <c r="AI1041" s="17">
        <v>107</v>
      </c>
    </row>
    <row r="1042" s="17" customFormat="1" hidden="1" spans="1:35">
      <c r="A1042" s="17" t="s">
        <v>34</v>
      </c>
      <c r="B1042" s="19">
        <v>781</v>
      </c>
      <c r="C1042" s="101">
        <v>44623</v>
      </c>
      <c r="D1042" s="17" t="s">
        <v>52</v>
      </c>
      <c r="E1042" s="17" t="s">
        <v>291</v>
      </c>
      <c r="F1042" s="17" t="s">
        <v>54</v>
      </c>
      <c r="H1042" s="19">
        <v>1.2311</v>
      </c>
      <c r="I1042" s="19"/>
      <c r="J1042" s="17" t="s">
        <v>82</v>
      </c>
      <c r="K1042" s="19">
        <v>507</v>
      </c>
      <c r="L1042" s="91">
        <v>32</v>
      </c>
      <c r="M1042" s="19">
        <v>3000</v>
      </c>
      <c r="N1042" s="19" t="s">
        <v>66</v>
      </c>
      <c r="O1042" s="19" t="s">
        <v>141</v>
      </c>
      <c r="P1042" s="19">
        <v>1605</v>
      </c>
      <c r="Q1042" s="17">
        <f>482+512+515</f>
        <v>1509</v>
      </c>
      <c r="R1042" s="17">
        <f>+P1042-Q1042</f>
        <v>96</v>
      </c>
      <c r="S1042" s="65">
        <v>1220</v>
      </c>
      <c r="T1042" s="19" t="s">
        <v>42</v>
      </c>
      <c r="U1042" s="102" t="s">
        <v>396</v>
      </c>
      <c r="V1042" s="64">
        <v>44628</v>
      </c>
      <c r="W1042" s="17" t="s">
        <v>69</v>
      </c>
      <c r="Y1042" s="68">
        <v>44621</v>
      </c>
      <c r="Z1042" s="17" t="s">
        <v>397</v>
      </c>
      <c r="AA1042" s="17" t="s">
        <v>46</v>
      </c>
      <c r="AB1042" s="17" t="s">
        <v>401</v>
      </c>
      <c r="AC1042" s="66">
        <v>44639</v>
      </c>
      <c r="AD1042" s="65">
        <v>1275</v>
      </c>
      <c r="AE1042" s="17" t="s">
        <v>74</v>
      </c>
      <c r="AF1042" s="149" t="s">
        <v>399</v>
      </c>
      <c r="AH1042" s="17" t="s">
        <v>400</v>
      </c>
      <c r="AI1042" s="17">
        <v>107</v>
      </c>
    </row>
    <row r="1043" s="17" customFormat="1" hidden="1" spans="1:35">
      <c r="A1043" s="17" t="s">
        <v>34</v>
      </c>
      <c r="B1043" s="19">
        <v>781</v>
      </c>
      <c r="C1043" s="101">
        <v>44623</v>
      </c>
      <c r="D1043" s="17" t="s">
        <v>52</v>
      </c>
      <c r="E1043" s="17" t="s">
        <v>291</v>
      </c>
      <c r="F1043" s="17" t="s">
        <v>54</v>
      </c>
      <c r="H1043" s="19">
        <v>1.2311</v>
      </c>
      <c r="I1043" s="19"/>
      <c r="J1043" s="17" t="s">
        <v>82</v>
      </c>
      <c r="K1043" s="19">
        <v>557</v>
      </c>
      <c r="L1043" s="91">
        <v>32</v>
      </c>
      <c r="M1043" s="19">
        <v>3000</v>
      </c>
      <c r="N1043" s="19" t="s">
        <v>66</v>
      </c>
      <c r="O1043" s="19" t="s">
        <v>141</v>
      </c>
      <c r="P1043" s="19">
        <v>1763</v>
      </c>
      <c r="Q1043" s="17">
        <f>562+565</f>
        <v>1127</v>
      </c>
      <c r="S1043" s="65">
        <v>1220</v>
      </c>
      <c r="T1043" s="19" t="s">
        <v>42</v>
      </c>
      <c r="U1043" s="102" t="s">
        <v>396</v>
      </c>
      <c r="V1043" s="64">
        <v>44628</v>
      </c>
      <c r="W1043" s="17" t="s">
        <v>69</v>
      </c>
      <c r="Y1043" s="68">
        <v>44621</v>
      </c>
      <c r="Z1043" s="17" t="s">
        <v>397</v>
      </c>
      <c r="AA1043" s="17" t="s">
        <v>46</v>
      </c>
      <c r="AB1043" s="17" t="s">
        <v>401</v>
      </c>
      <c r="AC1043" s="66">
        <v>44639</v>
      </c>
      <c r="AD1043" s="65">
        <v>1275</v>
      </c>
      <c r="AE1043" s="17" t="s">
        <v>74</v>
      </c>
      <c r="AF1043" s="149" t="s">
        <v>399</v>
      </c>
      <c r="AH1043" s="17" t="s">
        <v>400</v>
      </c>
      <c r="AI1043" s="17">
        <v>107</v>
      </c>
    </row>
    <row r="1044" s="17" customFormat="1" hidden="1" spans="1:35">
      <c r="A1044" s="17" t="s">
        <v>34</v>
      </c>
      <c r="B1044" s="19">
        <v>781</v>
      </c>
      <c r="C1044" s="101">
        <v>44623</v>
      </c>
      <c r="D1044" s="17" t="s">
        <v>52</v>
      </c>
      <c r="E1044" s="17" t="s">
        <v>291</v>
      </c>
      <c r="F1044" s="17" t="s">
        <v>54</v>
      </c>
      <c r="H1044" s="19">
        <v>1.2311</v>
      </c>
      <c r="I1044" s="19"/>
      <c r="J1044" s="17" t="s">
        <v>82</v>
      </c>
      <c r="K1044" s="19">
        <v>557</v>
      </c>
      <c r="L1044" s="91">
        <v>32</v>
      </c>
      <c r="M1044" s="19">
        <v>3000</v>
      </c>
      <c r="N1044" s="19" t="s">
        <v>66</v>
      </c>
      <c r="O1044" s="19" t="s">
        <v>141</v>
      </c>
      <c r="P1044" s="19"/>
      <c r="Q1044" s="17">
        <v>531</v>
      </c>
      <c r="R1044" s="17">
        <f>+P1043-Q1043-Q1044</f>
        <v>105</v>
      </c>
      <c r="S1044" s="65">
        <v>1220</v>
      </c>
      <c r="T1044" s="19" t="s">
        <v>42</v>
      </c>
      <c r="U1044" s="102" t="s">
        <v>396</v>
      </c>
      <c r="V1044" s="64">
        <v>44628</v>
      </c>
      <c r="W1044" s="17" t="s">
        <v>69</v>
      </c>
      <c r="Y1044" s="68">
        <v>44621</v>
      </c>
      <c r="Z1044" s="17" t="s">
        <v>397</v>
      </c>
      <c r="AA1044" s="17" t="s">
        <v>46</v>
      </c>
      <c r="AB1044" s="17" t="s">
        <v>402</v>
      </c>
      <c r="AC1044" s="66">
        <v>44651</v>
      </c>
      <c r="AD1044" s="65">
        <v>1283</v>
      </c>
      <c r="AE1044" s="17" t="s">
        <v>74</v>
      </c>
      <c r="AF1044" s="149" t="s">
        <v>399</v>
      </c>
      <c r="AH1044" s="17" t="s">
        <v>400</v>
      </c>
      <c r="AI1044" s="17">
        <v>107</v>
      </c>
    </row>
    <row r="1045" s="17" customFormat="1" hidden="1" spans="1:35">
      <c r="A1045" s="17" t="s">
        <v>34</v>
      </c>
      <c r="B1045" s="19">
        <v>781</v>
      </c>
      <c r="C1045" s="101">
        <v>44623</v>
      </c>
      <c r="D1045" s="17" t="s">
        <v>52</v>
      </c>
      <c r="E1045" s="17" t="s">
        <v>291</v>
      </c>
      <c r="F1045" s="17" t="s">
        <v>54</v>
      </c>
      <c r="H1045" s="19">
        <v>1.2311</v>
      </c>
      <c r="I1045" s="19"/>
      <c r="J1045" s="17" t="s">
        <v>82</v>
      </c>
      <c r="K1045" s="19">
        <v>608</v>
      </c>
      <c r="L1045" s="91">
        <v>32</v>
      </c>
      <c r="M1045" s="19">
        <v>3000</v>
      </c>
      <c r="N1045" s="19" t="s">
        <v>66</v>
      </c>
      <c r="O1045" s="19" t="s">
        <v>141</v>
      </c>
      <c r="P1045" s="19">
        <v>1924</v>
      </c>
      <c r="Q1045" s="17">
        <v>614</v>
      </c>
      <c r="S1045" s="65">
        <v>1220</v>
      </c>
      <c r="T1045" s="19" t="s">
        <v>42</v>
      </c>
      <c r="U1045" s="102" t="s">
        <v>396</v>
      </c>
      <c r="V1045" s="64">
        <v>44628</v>
      </c>
      <c r="W1045" s="17" t="s">
        <v>69</v>
      </c>
      <c r="Y1045" s="68">
        <v>44621</v>
      </c>
      <c r="Z1045" s="17" t="s">
        <v>397</v>
      </c>
      <c r="AA1045" s="17" t="s">
        <v>46</v>
      </c>
      <c r="AB1045" s="17" t="s">
        <v>401</v>
      </c>
      <c r="AC1045" s="66">
        <v>44639</v>
      </c>
      <c r="AD1045" s="65">
        <v>1275</v>
      </c>
      <c r="AE1045" s="17" t="s">
        <v>74</v>
      </c>
      <c r="AF1045" s="149" t="s">
        <v>399</v>
      </c>
      <c r="AH1045" s="17" t="s">
        <v>400</v>
      </c>
      <c r="AI1045" s="17">
        <v>107</v>
      </c>
    </row>
    <row r="1046" s="17" customFormat="1" hidden="1" spans="1:35">
      <c r="A1046" s="17" t="s">
        <v>34</v>
      </c>
      <c r="B1046" s="19">
        <v>781</v>
      </c>
      <c r="C1046" s="101">
        <v>44623</v>
      </c>
      <c r="D1046" s="17" t="s">
        <v>52</v>
      </c>
      <c r="E1046" s="17" t="s">
        <v>291</v>
      </c>
      <c r="F1046" s="17" t="s">
        <v>54</v>
      </c>
      <c r="H1046" s="19">
        <v>1.2311</v>
      </c>
      <c r="I1046" s="19"/>
      <c r="J1046" s="17" t="s">
        <v>82</v>
      </c>
      <c r="K1046" s="19">
        <v>608</v>
      </c>
      <c r="L1046" s="91">
        <v>32</v>
      </c>
      <c r="M1046" s="19">
        <v>3000</v>
      </c>
      <c r="N1046" s="19" t="s">
        <v>66</v>
      </c>
      <c r="O1046" s="19" t="s">
        <v>141</v>
      </c>
      <c r="P1046" s="19"/>
      <c r="Q1046" s="17">
        <f>609+572</f>
        <v>1181</v>
      </c>
      <c r="R1046" s="17">
        <f>+P1045-Q1045-Q1046</f>
        <v>129</v>
      </c>
      <c r="S1046" s="65">
        <v>1220</v>
      </c>
      <c r="T1046" s="19" t="s">
        <v>42</v>
      </c>
      <c r="U1046" s="102" t="s">
        <v>396</v>
      </c>
      <c r="V1046" s="64">
        <v>44628</v>
      </c>
      <c r="W1046" s="17" t="s">
        <v>69</v>
      </c>
      <c r="Y1046" s="68">
        <v>44621</v>
      </c>
      <c r="Z1046" s="17" t="s">
        <v>397</v>
      </c>
      <c r="AA1046" s="17" t="s">
        <v>46</v>
      </c>
      <c r="AB1046" s="17" t="s">
        <v>402</v>
      </c>
      <c r="AC1046" s="66">
        <v>44651</v>
      </c>
      <c r="AD1046" s="65">
        <v>1283</v>
      </c>
      <c r="AE1046" s="17" t="s">
        <v>74</v>
      </c>
      <c r="AF1046" s="149" t="s">
        <v>399</v>
      </c>
      <c r="AH1046" s="17" t="s">
        <v>400</v>
      </c>
      <c r="AI1046" s="17">
        <v>107</v>
      </c>
    </row>
    <row r="1047" s="17" customFormat="1" hidden="1" spans="1:35">
      <c r="A1047" s="17" t="s">
        <v>34</v>
      </c>
      <c r="B1047" s="19">
        <v>781</v>
      </c>
      <c r="C1047" s="101">
        <v>44623</v>
      </c>
      <c r="D1047" s="17" t="s">
        <v>52</v>
      </c>
      <c r="E1047" s="17" t="s">
        <v>291</v>
      </c>
      <c r="F1047" s="17" t="s">
        <v>54</v>
      </c>
      <c r="H1047" s="19">
        <v>1.2311</v>
      </c>
      <c r="I1047" s="19"/>
      <c r="J1047" s="17" t="s">
        <v>82</v>
      </c>
      <c r="K1047" s="19">
        <v>207</v>
      </c>
      <c r="L1047" s="91">
        <v>40</v>
      </c>
      <c r="M1047" s="19">
        <v>3000</v>
      </c>
      <c r="N1047" s="19" t="s">
        <v>66</v>
      </c>
      <c r="O1047" s="19" t="s">
        <v>141</v>
      </c>
      <c r="P1047" s="19">
        <v>2457</v>
      </c>
      <c r="Q1047" s="17">
        <f>313+315+331</f>
        <v>959</v>
      </c>
      <c r="S1047" s="65">
        <v>1220</v>
      </c>
      <c r="T1047" s="19" t="s">
        <v>42</v>
      </c>
      <c r="U1047" s="102" t="s">
        <v>396</v>
      </c>
      <c r="V1047" s="64">
        <v>44628</v>
      </c>
      <c r="W1047" s="17" t="s">
        <v>69</v>
      </c>
      <c r="Y1047" s="68">
        <v>44621</v>
      </c>
      <c r="Z1047" s="17" t="s">
        <v>397</v>
      </c>
      <c r="AA1047" s="17" t="s">
        <v>46</v>
      </c>
      <c r="AB1047" s="17" t="s">
        <v>401</v>
      </c>
      <c r="AC1047" s="66">
        <v>44639</v>
      </c>
      <c r="AD1047" s="65">
        <v>1275</v>
      </c>
      <c r="AE1047" s="17" t="s">
        <v>74</v>
      </c>
      <c r="AF1047" s="149" t="s">
        <v>399</v>
      </c>
      <c r="AH1047" s="17" t="s">
        <v>400</v>
      </c>
      <c r="AI1047" s="17">
        <v>107</v>
      </c>
    </row>
    <row r="1048" s="17" customFormat="1" hidden="1" spans="1:35">
      <c r="A1048" s="17" t="s">
        <v>34</v>
      </c>
      <c r="B1048" s="19">
        <v>781</v>
      </c>
      <c r="C1048" s="101">
        <v>44623</v>
      </c>
      <c r="D1048" s="17" t="s">
        <v>52</v>
      </c>
      <c r="E1048" s="17" t="s">
        <v>291</v>
      </c>
      <c r="F1048" s="17" t="s">
        <v>54</v>
      </c>
      <c r="H1048" s="19">
        <v>1.2311</v>
      </c>
      <c r="I1048" s="19"/>
      <c r="J1048" s="17" t="s">
        <v>82</v>
      </c>
      <c r="K1048" s="19">
        <v>207</v>
      </c>
      <c r="L1048" s="91">
        <v>40</v>
      </c>
      <c r="M1048" s="19">
        <v>3000</v>
      </c>
      <c r="N1048" s="19" t="s">
        <v>66</v>
      </c>
      <c r="O1048" s="19" t="s">
        <v>141</v>
      </c>
      <c r="P1048" s="19"/>
      <c r="Q1048" s="17">
        <f>313+275+237+278</f>
        <v>1103</v>
      </c>
      <c r="S1048" s="65">
        <v>1220</v>
      </c>
      <c r="T1048" s="19" t="s">
        <v>42</v>
      </c>
      <c r="U1048" s="102" t="s">
        <v>396</v>
      </c>
      <c r="V1048" s="64">
        <v>44628</v>
      </c>
      <c r="W1048" s="17" t="s">
        <v>69</v>
      </c>
      <c r="Y1048" s="68">
        <v>44621</v>
      </c>
      <c r="Z1048" s="17" t="s">
        <v>397</v>
      </c>
      <c r="AA1048" s="17" t="s">
        <v>46</v>
      </c>
      <c r="AB1048" s="17" t="s">
        <v>402</v>
      </c>
      <c r="AC1048" s="66">
        <v>44651</v>
      </c>
      <c r="AD1048" s="65">
        <v>1283</v>
      </c>
      <c r="AE1048" s="17" t="s">
        <v>74</v>
      </c>
      <c r="AF1048" s="149" t="s">
        <v>399</v>
      </c>
      <c r="AH1048" s="17" t="s">
        <v>400</v>
      </c>
      <c r="AI1048" s="17">
        <v>107</v>
      </c>
    </row>
    <row r="1049" s="17" customFormat="1" hidden="1" spans="1:35">
      <c r="A1049" s="17" t="s">
        <v>34</v>
      </c>
      <c r="B1049" s="19">
        <v>781</v>
      </c>
      <c r="C1049" s="101">
        <v>44623</v>
      </c>
      <c r="D1049" s="17" t="s">
        <v>52</v>
      </c>
      <c r="E1049" s="17" t="s">
        <v>291</v>
      </c>
      <c r="F1049" s="17" t="s">
        <v>54</v>
      </c>
      <c r="H1049" s="19">
        <v>1.2311</v>
      </c>
      <c r="I1049" s="19"/>
      <c r="J1049" s="17" t="s">
        <v>82</v>
      </c>
      <c r="K1049" s="19">
        <v>207</v>
      </c>
      <c r="L1049" s="91">
        <v>40</v>
      </c>
      <c r="M1049" s="19">
        <v>3500</v>
      </c>
      <c r="N1049" s="19" t="s">
        <v>66</v>
      </c>
      <c r="O1049" s="19" t="s">
        <v>141</v>
      </c>
      <c r="P1049" s="19"/>
      <c r="Q1049" s="17">
        <f>271+233</f>
        <v>504</v>
      </c>
      <c r="R1049" s="17">
        <f>+P1047-Q1047-Q1048-Q1049</f>
        <v>-109</v>
      </c>
      <c r="S1049" s="65">
        <v>1220</v>
      </c>
      <c r="T1049" s="19" t="s">
        <v>42</v>
      </c>
      <c r="U1049" s="102" t="s">
        <v>396</v>
      </c>
      <c r="V1049" s="64">
        <v>44628</v>
      </c>
      <c r="W1049" s="17" t="s">
        <v>69</v>
      </c>
      <c r="Y1049" s="68">
        <v>44621</v>
      </c>
      <c r="Z1049" s="17" t="s">
        <v>397</v>
      </c>
      <c r="AA1049" s="17" t="s">
        <v>46</v>
      </c>
      <c r="AB1049" s="17" t="s">
        <v>398</v>
      </c>
      <c r="AC1049" s="66">
        <v>44666</v>
      </c>
      <c r="AD1049" s="65">
        <v>1289</v>
      </c>
      <c r="AE1049" s="17" t="s">
        <v>74</v>
      </c>
      <c r="AF1049" s="149" t="s">
        <v>399</v>
      </c>
      <c r="AH1049" s="17" t="s">
        <v>400</v>
      </c>
      <c r="AI1049" s="17">
        <v>107</v>
      </c>
    </row>
    <row r="1050" s="17" customFormat="1" hidden="1" spans="1:35">
      <c r="A1050" s="17" t="s">
        <v>34</v>
      </c>
      <c r="B1050" s="19">
        <v>781</v>
      </c>
      <c r="C1050" s="101">
        <v>44623</v>
      </c>
      <c r="D1050" s="17" t="s">
        <v>52</v>
      </c>
      <c r="E1050" s="17" t="s">
        <v>291</v>
      </c>
      <c r="F1050" s="17" t="s">
        <v>54</v>
      </c>
      <c r="H1050" s="19">
        <v>1.2311</v>
      </c>
      <c r="I1050" s="19"/>
      <c r="J1050" s="17" t="s">
        <v>82</v>
      </c>
      <c r="K1050" s="19">
        <v>257</v>
      </c>
      <c r="L1050" s="91">
        <v>40</v>
      </c>
      <c r="M1050" s="19">
        <v>3000</v>
      </c>
      <c r="N1050" s="19" t="s">
        <v>66</v>
      </c>
      <c r="O1050" s="19" t="s">
        <v>141</v>
      </c>
      <c r="P1050" s="19">
        <v>2711</v>
      </c>
      <c r="Q1050" s="17">
        <f>429+428</f>
        <v>857</v>
      </c>
      <c r="S1050" s="65">
        <v>1220</v>
      </c>
      <c r="T1050" s="19" t="s">
        <v>42</v>
      </c>
      <c r="U1050" s="102" t="s">
        <v>396</v>
      </c>
      <c r="V1050" s="64">
        <v>44628</v>
      </c>
      <c r="W1050" s="17" t="s">
        <v>69</v>
      </c>
      <c r="Y1050" s="68">
        <v>44621</v>
      </c>
      <c r="Z1050" s="17" t="s">
        <v>397</v>
      </c>
      <c r="AA1050" s="17" t="s">
        <v>46</v>
      </c>
      <c r="AB1050" s="17" t="s">
        <v>401</v>
      </c>
      <c r="AC1050" s="66">
        <v>44639</v>
      </c>
      <c r="AD1050" s="65">
        <v>1275</v>
      </c>
      <c r="AE1050" s="17" t="s">
        <v>74</v>
      </c>
      <c r="AF1050" s="149" t="s">
        <v>399</v>
      </c>
      <c r="AH1050" s="17" t="s">
        <v>400</v>
      </c>
      <c r="AI1050" s="17">
        <v>107</v>
      </c>
    </row>
    <row r="1051" s="17" customFormat="1" hidden="1" spans="1:35">
      <c r="A1051" s="17" t="s">
        <v>34</v>
      </c>
      <c r="B1051" s="19">
        <v>781</v>
      </c>
      <c r="C1051" s="101">
        <v>44623</v>
      </c>
      <c r="D1051" s="17" t="s">
        <v>52</v>
      </c>
      <c r="E1051" s="17" t="s">
        <v>291</v>
      </c>
      <c r="F1051" s="17" t="s">
        <v>54</v>
      </c>
      <c r="H1051" s="19">
        <v>1.2311</v>
      </c>
      <c r="I1051" s="19"/>
      <c r="J1051" s="17" t="s">
        <v>82</v>
      </c>
      <c r="K1051" s="19">
        <v>257</v>
      </c>
      <c r="L1051" s="91">
        <v>40</v>
      </c>
      <c r="M1051" s="19">
        <v>3000</v>
      </c>
      <c r="N1051" s="19" t="s">
        <v>66</v>
      </c>
      <c r="O1051" s="19" t="s">
        <v>141</v>
      </c>
      <c r="P1051" s="19"/>
      <c r="Q1051" s="17">
        <f>288+336+334+288+427+380+387+333+289+290+337</f>
        <v>3689</v>
      </c>
      <c r="R1051" s="17">
        <f>+P1050-Q1050-Q1051</f>
        <v>-1835</v>
      </c>
      <c r="S1051" s="65">
        <v>1220</v>
      </c>
      <c r="T1051" s="19" t="s">
        <v>42</v>
      </c>
      <c r="U1051" s="102" t="s">
        <v>396</v>
      </c>
      <c r="V1051" s="64">
        <v>44628</v>
      </c>
      <c r="W1051" s="17" t="s">
        <v>69</v>
      </c>
      <c r="Y1051" s="68">
        <v>44621</v>
      </c>
      <c r="Z1051" s="17" t="s">
        <v>397</v>
      </c>
      <c r="AA1051" s="17" t="s">
        <v>46</v>
      </c>
      <c r="AB1051" s="17" t="s">
        <v>402</v>
      </c>
      <c r="AC1051" s="66">
        <v>44651</v>
      </c>
      <c r="AD1051" s="65">
        <v>1283</v>
      </c>
      <c r="AE1051" s="17" t="s">
        <v>74</v>
      </c>
      <c r="AF1051" s="149" t="s">
        <v>399</v>
      </c>
      <c r="AH1051" s="17" t="s">
        <v>400</v>
      </c>
      <c r="AI1051" s="17">
        <v>107</v>
      </c>
    </row>
    <row r="1052" s="17" customFormat="1" hidden="1" spans="1:35">
      <c r="A1052" s="17" t="s">
        <v>34</v>
      </c>
      <c r="B1052" s="19">
        <v>781</v>
      </c>
      <c r="C1052" s="101">
        <v>44623</v>
      </c>
      <c r="D1052" s="17" t="s">
        <v>52</v>
      </c>
      <c r="E1052" s="17" t="s">
        <v>291</v>
      </c>
      <c r="F1052" s="17" t="s">
        <v>54</v>
      </c>
      <c r="H1052" s="19">
        <v>1.2311</v>
      </c>
      <c r="I1052" s="19"/>
      <c r="J1052" s="17" t="s">
        <v>82</v>
      </c>
      <c r="K1052" s="19">
        <v>307</v>
      </c>
      <c r="L1052" s="91">
        <v>40</v>
      </c>
      <c r="M1052" s="19">
        <v>3000</v>
      </c>
      <c r="N1052" s="19" t="s">
        <v>66</v>
      </c>
      <c r="O1052" s="19" t="s">
        <v>141</v>
      </c>
      <c r="P1052" s="19">
        <v>2429</v>
      </c>
      <c r="Q1052" s="17">
        <f>488+507+479+508+457+346+387</f>
        <v>3172</v>
      </c>
      <c r="R1052" s="17">
        <f>+P1052-Q1052</f>
        <v>-743</v>
      </c>
      <c r="S1052" s="65">
        <v>1220</v>
      </c>
      <c r="T1052" s="19" t="s">
        <v>42</v>
      </c>
      <c r="U1052" s="102" t="s">
        <v>396</v>
      </c>
      <c r="V1052" s="64">
        <v>44628</v>
      </c>
      <c r="W1052" s="17" t="s">
        <v>69</v>
      </c>
      <c r="Y1052" s="68">
        <v>44621</v>
      </c>
      <c r="Z1052" s="17" t="s">
        <v>397</v>
      </c>
      <c r="AA1052" s="17" t="s">
        <v>46</v>
      </c>
      <c r="AB1052" s="17" t="s">
        <v>402</v>
      </c>
      <c r="AC1052" s="66">
        <v>44651</v>
      </c>
      <c r="AD1052" s="65">
        <v>1283</v>
      </c>
      <c r="AE1052" s="17" t="s">
        <v>74</v>
      </c>
      <c r="AF1052" s="149" t="s">
        <v>399</v>
      </c>
      <c r="AH1052" s="17" t="s">
        <v>400</v>
      </c>
      <c r="AI1052" s="17">
        <v>107</v>
      </c>
    </row>
    <row r="1053" s="17" customFormat="1" hidden="1" spans="1:35">
      <c r="A1053" s="17" t="s">
        <v>34</v>
      </c>
      <c r="B1053" s="19">
        <v>781</v>
      </c>
      <c r="C1053" s="101">
        <v>44623</v>
      </c>
      <c r="D1053" s="17" t="s">
        <v>52</v>
      </c>
      <c r="E1053" s="17" t="s">
        <v>291</v>
      </c>
      <c r="F1053" s="17" t="s">
        <v>54</v>
      </c>
      <c r="H1053" s="19">
        <v>1.2311</v>
      </c>
      <c r="I1053" s="19"/>
      <c r="J1053" s="17" t="s">
        <v>82</v>
      </c>
      <c r="K1053" s="19">
        <v>357</v>
      </c>
      <c r="L1053" s="91">
        <v>40</v>
      </c>
      <c r="M1053" s="19">
        <v>3000</v>
      </c>
      <c r="N1053" s="19" t="s">
        <v>66</v>
      </c>
      <c r="O1053" s="19" t="s">
        <v>141</v>
      </c>
      <c r="P1053" s="19">
        <v>2825</v>
      </c>
      <c r="Q1053" s="17">
        <f>444+399+454+465+475+480+472</f>
        <v>3189</v>
      </c>
      <c r="R1053" s="17">
        <f>+P1053-Q1053</f>
        <v>-364</v>
      </c>
      <c r="S1053" s="65">
        <v>1220</v>
      </c>
      <c r="T1053" s="19" t="s">
        <v>42</v>
      </c>
      <c r="U1053" s="102" t="s">
        <v>396</v>
      </c>
      <c r="V1053" s="64">
        <v>44628</v>
      </c>
      <c r="W1053" s="17" t="s">
        <v>69</v>
      </c>
      <c r="Y1053" s="68">
        <v>44621</v>
      </c>
      <c r="Z1053" s="17" t="s">
        <v>397</v>
      </c>
      <c r="AA1053" s="17" t="s">
        <v>46</v>
      </c>
      <c r="AB1053" s="17" t="s">
        <v>402</v>
      </c>
      <c r="AC1053" s="66">
        <v>44651</v>
      </c>
      <c r="AD1053" s="65">
        <v>1283</v>
      </c>
      <c r="AE1053" s="17" t="s">
        <v>74</v>
      </c>
      <c r="AF1053" s="149" t="s">
        <v>399</v>
      </c>
      <c r="AH1053" s="17" t="s">
        <v>400</v>
      </c>
      <c r="AI1053" s="17">
        <v>107</v>
      </c>
    </row>
    <row r="1054" s="17" customFormat="1" hidden="1" spans="1:35">
      <c r="A1054" s="17" t="s">
        <v>34</v>
      </c>
      <c r="B1054" s="19">
        <v>781</v>
      </c>
      <c r="C1054" s="101">
        <v>44623</v>
      </c>
      <c r="D1054" s="17" t="s">
        <v>52</v>
      </c>
      <c r="E1054" s="17" t="s">
        <v>291</v>
      </c>
      <c r="F1054" s="17" t="s">
        <v>54</v>
      </c>
      <c r="H1054" s="19">
        <v>1.2311</v>
      </c>
      <c r="I1054" s="19"/>
      <c r="J1054" s="17" t="s">
        <v>82</v>
      </c>
      <c r="K1054" s="19">
        <v>608</v>
      </c>
      <c r="L1054" s="91">
        <v>40</v>
      </c>
      <c r="M1054" s="19">
        <v>3000</v>
      </c>
      <c r="N1054" s="19" t="s">
        <v>66</v>
      </c>
      <c r="O1054" s="19" t="s">
        <v>141</v>
      </c>
      <c r="P1054" s="19">
        <v>802</v>
      </c>
      <c r="Q1054" s="17">
        <v>736</v>
      </c>
      <c r="R1054" s="17">
        <f>+P1054-Q1054</f>
        <v>66</v>
      </c>
      <c r="S1054" s="65">
        <v>1220</v>
      </c>
      <c r="T1054" s="19" t="s">
        <v>42</v>
      </c>
      <c r="U1054" s="102" t="s">
        <v>396</v>
      </c>
      <c r="V1054" s="64">
        <v>44628</v>
      </c>
      <c r="W1054" s="17" t="s">
        <v>69</v>
      </c>
      <c r="Y1054" s="68">
        <v>44621</v>
      </c>
      <c r="Z1054" s="17" t="s">
        <v>397</v>
      </c>
      <c r="AA1054" s="17" t="s">
        <v>46</v>
      </c>
      <c r="AB1054" s="17" t="s">
        <v>401</v>
      </c>
      <c r="AC1054" s="66">
        <v>44639</v>
      </c>
      <c r="AD1054" s="65">
        <v>1275</v>
      </c>
      <c r="AE1054" s="17" t="s">
        <v>74</v>
      </c>
      <c r="AF1054" s="149" t="s">
        <v>399</v>
      </c>
      <c r="AH1054" s="17" t="s">
        <v>400</v>
      </c>
      <c r="AI1054" s="17">
        <v>107</v>
      </c>
    </row>
    <row r="1055" s="17" customFormat="1" hidden="1" spans="1:35">
      <c r="A1055" s="17" t="s">
        <v>34</v>
      </c>
      <c r="B1055" s="19">
        <v>781</v>
      </c>
      <c r="C1055" s="101">
        <v>44623</v>
      </c>
      <c r="D1055" s="17" t="s">
        <v>52</v>
      </c>
      <c r="E1055" s="17" t="s">
        <v>291</v>
      </c>
      <c r="F1055" s="17" t="s">
        <v>54</v>
      </c>
      <c r="H1055" s="19">
        <v>1.2311</v>
      </c>
      <c r="I1055" s="19"/>
      <c r="J1055" s="17" t="s">
        <v>82</v>
      </c>
      <c r="K1055" s="19">
        <v>455</v>
      </c>
      <c r="L1055" s="91">
        <v>50</v>
      </c>
      <c r="M1055" s="19">
        <v>3000</v>
      </c>
      <c r="N1055" s="19" t="s">
        <v>66</v>
      </c>
      <c r="O1055" s="19" t="s">
        <v>141</v>
      </c>
      <c r="P1055" s="19">
        <v>1500</v>
      </c>
      <c r="Q1055" s="17">
        <v>780</v>
      </c>
      <c r="R1055" s="17">
        <f>+P1055-Q1055</f>
        <v>720</v>
      </c>
      <c r="S1055" s="65">
        <v>1220</v>
      </c>
      <c r="T1055" s="19" t="s">
        <v>42</v>
      </c>
      <c r="U1055" s="102" t="s">
        <v>396</v>
      </c>
      <c r="V1055" s="64">
        <v>44628</v>
      </c>
      <c r="W1055" s="17" t="s">
        <v>69</v>
      </c>
      <c r="Y1055" s="68">
        <v>44621</v>
      </c>
      <c r="Z1055" s="17" t="s">
        <v>397</v>
      </c>
      <c r="AA1055" s="17" t="s">
        <v>46</v>
      </c>
      <c r="AB1055" s="17" t="s">
        <v>402</v>
      </c>
      <c r="AC1055" s="66">
        <v>44651</v>
      </c>
      <c r="AD1055" s="65">
        <v>1283</v>
      </c>
      <c r="AE1055" s="17" t="s">
        <v>74</v>
      </c>
      <c r="AF1055" s="149" t="s">
        <v>399</v>
      </c>
      <c r="AH1055" s="17" t="s">
        <v>400</v>
      </c>
      <c r="AI1055" s="17">
        <v>107</v>
      </c>
    </row>
    <row r="1056" s="17" customFormat="1" hidden="1" spans="1:35">
      <c r="A1056" s="17" t="s">
        <v>34</v>
      </c>
      <c r="B1056" s="19">
        <v>781</v>
      </c>
      <c r="C1056" s="101">
        <v>44623</v>
      </c>
      <c r="D1056" s="17" t="s">
        <v>52</v>
      </c>
      <c r="E1056" s="17" t="s">
        <v>291</v>
      </c>
      <c r="F1056" s="17" t="s">
        <v>54</v>
      </c>
      <c r="H1056" s="19">
        <v>1.2311</v>
      </c>
      <c r="I1056" s="19"/>
      <c r="J1056" s="17" t="s">
        <v>82</v>
      </c>
      <c r="K1056" s="19">
        <v>510</v>
      </c>
      <c r="L1056" s="91">
        <v>50</v>
      </c>
      <c r="M1056" s="19">
        <v>3000</v>
      </c>
      <c r="N1056" s="19" t="s">
        <v>66</v>
      </c>
      <c r="O1056" s="19" t="s">
        <v>141</v>
      </c>
      <c r="P1056" s="19">
        <v>2522</v>
      </c>
      <c r="Q1056" s="17">
        <f>936+811</f>
        <v>1747</v>
      </c>
      <c r="S1056" s="65">
        <v>1220</v>
      </c>
      <c r="T1056" s="19" t="s">
        <v>42</v>
      </c>
      <c r="U1056" s="102" t="s">
        <v>396</v>
      </c>
      <c r="V1056" s="64">
        <v>44628</v>
      </c>
      <c r="W1056" s="17" t="s">
        <v>69</v>
      </c>
      <c r="Y1056" s="68">
        <v>44621</v>
      </c>
      <c r="Z1056" s="17" t="s">
        <v>397</v>
      </c>
      <c r="AA1056" s="17" t="s">
        <v>46</v>
      </c>
      <c r="AB1056" s="17" t="s">
        <v>402</v>
      </c>
      <c r="AC1056" s="66">
        <v>44651</v>
      </c>
      <c r="AD1056" s="65">
        <v>1283</v>
      </c>
      <c r="AE1056" s="17" t="s">
        <v>74</v>
      </c>
      <c r="AF1056" s="149" t="s">
        <v>399</v>
      </c>
      <c r="AH1056" s="17" t="s">
        <v>400</v>
      </c>
      <c r="AI1056" s="17">
        <v>107</v>
      </c>
    </row>
    <row r="1057" s="17" customFormat="1" hidden="1" spans="1:35">
      <c r="A1057" s="17" t="s">
        <v>34</v>
      </c>
      <c r="B1057" s="19">
        <v>781</v>
      </c>
      <c r="C1057" s="101">
        <v>44623</v>
      </c>
      <c r="D1057" s="17" t="s">
        <v>52</v>
      </c>
      <c r="E1057" s="17" t="s">
        <v>291</v>
      </c>
      <c r="F1057" s="17" t="s">
        <v>54</v>
      </c>
      <c r="H1057" s="19">
        <v>1.2311</v>
      </c>
      <c r="I1057" s="19"/>
      <c r="J1057" s="17" t="s">
        <v>82</v>
      </c>
      <c r="K1057" s="19">
        <v>510</v>
      </c>
      <c r="L1057" s="91">
        <v>50</v>
      </c>
      <c r="M1057" s="19">
        <v>3000</v>
      </c>
      <c r="N1057" s="19" t="s">
        <v>66</v>
      </c>
      <c r="O1057" s="19" t="s">
        <v>141</v>
      </c>
      <c r="P1057" s="19"/>
      <c r="Q1057" s="17">
        <v>865</v>
      </c>
      <c r="R1057" s="17">
        <f>+P1056-Q1056-Q1057</f>
        <v>-90</v>
      </c>
      <c r="S1057" s="65">
        <v>1220</v>
      </c>
      <c r="T1057" s="19" t="s">
        <v>42</v>
      </c>
      <c r="U1057" s="102" t="s">
        <v>396</v>
      </c>
      <c r="V1057" s="64">
        <v>44628</v>
      </c>
      <c r="W1057" s="17" t="s">
        <v>69</v>
      </c>
      <c r="Y1057" s="68">
        <v>44621</v>
      </c>
      <c r="Z1057" s="17" t="s">
        <v>397</v>
      </c>
      <c r="AA1057" s="17" t="s">
        <v>46</v>
      </c>
      <c r="AB1057" s="17" t="s">
        <v>402</v>
      </c>
      <c r="AC1057" s="66">
        <v>44651</v>
      </c>
      <c r="AD1057" s="65">
        <v>1283</v>
      </c>
      <c r="AE1057" s="17" t="s">
        <v>74</v>
      </c>
      <c r="AF1057" s="149" t="s">
        <v>399</v>
      </c>
      <c r="AH1057" s="17" t="s">
        <v>400</v>
      </c>
      <c r="AI1057" s="17">
        <v>107</v>
      </c>
    </row>
    <row r="1058" s="17" customFormat="1" hidden="1" spans="1:35">
      <c r="A1058" s="17" t="s">
        <v>34</v>
      </c>
      <c r="B1058" s="19">
        <v>781</v>
      </c>
      <c r="C1058" s="101">
        <v>44623</v>
      </c>
      <c r="D1058" s="17" t="s">
        <v>52</v>
      </c>
      <c r="E1058" s="17" t="s">
        <v>291</v>
      </c>
      <c r="F1058" s="17" t="s">
        <v>54</v>
      </c>
      <c r="H1058" s="19">
        <v>1.2311</v>
      </c>
      <c r="I1058" s="19"/>
      <c r="J1058" s="17" t="s">
        <v>82</v>
      </c>
      <c r="K1058" s="19">
        <v>560</v>
      </c>
      <c r="L1058" s="91">
        <v>50</v>
      </c>
      <c r="M1058" s="19">
        <v>3000</v>
      </c>
      <c r="N1058" s="19" t="s">
        <v>66</v>
      </c>
      <c r="O1058" s="19" t="s">
        <v>141</v>
      </c>
      <c r="P1058" s="19">
        <v>1846</v>
      </c>
      <c r="Q1058" s="17">
        <f>951+1030</f>
        <v>1981</v>
      </c>
      <c r="R1058" s="17">
        <f>+P1058-Q1058</f>
        <v>-135</v>
      </c>
      <c r="S1058" s="65">
        <v>1220</v>
      </c>
      <c r="T1058" s="19" t="s">
        <v>42</v>
      </c>
      <c r="U1058" s="102" t="s">
        <v>396</v>
      </c>
      <c r="V1058" s="64">
        <v>44628</v>
      </c>
      <c r="W1058" s="17" t="s">
        <v>69</v>
      </c>
      <c r="Y1058" s="68">
        <v>44621</v>
      </c>
      <c r="Z1058" s="17" t="s">
        <v>397</v>
      </c>
      <c r="AA1058" s="17" t="s">
        <v>46</v>
      </c>
      <c r="AB1058" s="17" t="s">
        <v>402</v>
      </c>
      <c r="AC1058" s="66">
        <v>44651</v>
      </c>
      <c r="AD1058" s="65">
        <v>1283</v>
      </c>
      <c r="AE1058" s="17" t="s">
        <v>74</v>
      </c>
      <c r="AF1058" s="149" t="s">
        <v>399</v>
      </c>
      <c r="AH1058" s="17" t="s">
        <v>400</v>
      </c>
      <c r="AI1058" s="17">
        <v>107</v>
      </c>
    </row>
    <row r="1059" s="17" customFormat="1" hidden="1" spans="1:35">
      <c r="A1059" s="17" t="s">
        <v>34</v>
      </c>
      <c r="B1059" s="19">
        <v>781</v>
      </c>
      <c r="C1059" s="101">
        <v>44623</v>
      </c>
      <c r="D1059" s="17" t="s">
        <v>52</v>
      </c>
      <c r="E1059" s="17" t="s">
        <v>291</v>
      </c>
      <c r="F1059" s="17" t="s">
        <v>54</v>
      </c>
      <c r="H1059" s="19">
        <v>1.2311</v>
      </c>
      <c r="I1059" s="19"/>
      <c r="J1059" s="17" t="s">
        <v>82</v>
      </c>
      <c r="K1059" s="19">
        <v>610</v>
      </c>
      <c r="L1059" s="91">
        <v>50</v>
      </c>
      <c r="M1059" s="19">
        <v>3000</v>
      </c>
      <c r="N1059" s="19" t="s">
        <v>66</v>
      </c>
      <c r="O1059" s="19" t="s">
        <v>141</v>
      </c>
      <c r="P1059" s="19">
        <v>1006</v>
      </c>
      <c r="Q1059" s="17">
        <v>975</v>
      </c>
      <c r="R1059" s="17">
        <f>+P1059-Q1059</f>
        <v>31</v>
      </c>
      <c r="S1059" s="65">
        <v>1220</v>
      </c>
      <c r="T1059" s="19" t="s">
        <v>42</v>
      </c>
      <c r="U1059" s="102" t="s">
        <v>396</v>
      </c>
      <c r="V1059" s="64">
        <v>44628</v>
      </c>
      <c r="W1059" s="17" t="s">
        <v>69</v>
      </c>
      <c r="Y1059" s="68">
        <v>44621</v>
      </c>
      <c r="Z1059" s="17" t="s">
        <v>397</v>
      </c>
      <c r="AA1059" s="17" t="s">
        <v>46</v>
      </c>
      <c r="AB1059" s="17" t="s">
        <v>402</v>
      </c>
      <c r="AC1059" s="66">
        <v>44651</v>
      </c>
      <c r="AD1059" s="65">
        <v>1283</v>
      </c>
      <c r="AE1059" s="17" t="s">
        <v>74</v>
      </c>
      <c r="AF1059" s="149" t="s">
        <v>399</v>
      </c>
      <c r="AH1059" s="17" t="s">
        <v>400</v>
      </c>
      <c r="AI1059" s="17">
        <v>107</v>
      </c>
    </row>
    <row r="1060" s="18" customFormat="1" hidden="1" spans="1:35">
      <c r="B1060" s="75">
        <v>781</v>
      </c>
      <c r="C1060" s="135">
        <v>44623</v>
      </c>
      <c r="D1060" s="18" t="s">
        <v>52</v>
      </c>
      <c r="E1060" s="17" t="s">
        <v>291</v>
      </c>
      <c r="F1060" s="18" t="s">
        <v>54</v>
      </c>
      <c r="H1060" s="75">
        <v>1.2311</v>
      </c>
      <c r="I1060" s="75"/>
      <c r="J1060" s="18" t="s">
        <v>82</v>
      </c>
      <c r="K1060" s="75">
        <v>810</v>
      </c>
      <c r="L1060" s="111">
        <v>50</v>
      </c>
      <c r="M1060" s="75"/>
      <c r="N1060" s="75" t="s">
        <v>66</v>
      </c>
      <c r="O1060" s="75" t="s">
        <v>141</v>
      </c>
      <c r="P1060" s="75">
        <v>1335</v>
      </c>
      <c r="R1060" s="18">
        <f>+P1060-Q1060</f>
        <v>1335</v>
      </c>
      <c r="S1060" s="77">
        <v>1220</v>
      </c>
      <c r="T1060" s="75" t="s">
        <v>42</v>
      </c>
      <c r="U1060" s="137" t="s">
        <v>396</v>
      </c>
      <c r="V1060" s="138">
        <v>44628</v>
      </c>
      <c r="W1060" s="18" t="s">
        <v>69</v>
      </c>
      <c r="Y1060" s="114">
        <v>44621</v>
      </c>
      <c r="Z1060" s="18" t="s">
        <v>397</v>
      </c>
      <c r="AA1060" s="18" t="s">
        <v>46</v>
      </c>
      <c r="AC1060" s="83"/>
      <c r="AD1060" s="77"/>
      <c r="AE1060" s="18" t="s">
        <v>74</v>
      </c>
      <c r="AF1060" s="150" t="s">
        <v>399</v>
      </c>
      <c r="AH1060" s="17" t="s">
        <v>400</v>
      </c>
      <c r="AI1060" s="17">
        <v>107</v>
      </c>
    </row>
    <row r="1061" s="17" customFormat="1" hidden="1" spans="1:35">
      <c r="A1061" s="17" t="s">
        <v>34</v>
      </c>
      <c r="B1061" s="19">
        <v>781</v>
      </c>
      <c r="C1061" s="101">
        <v>44623</v>
      </c>
      <c r="D1061" s="17" t="s">
        <v>52</v>
      </c>
      <c r="E1061" s="17" t="s">
        <v>291</v>
      </c>
      <c r="F1061" s="17" t="s">
        <v>54</v>
      </c>
      <c r="H1061" s="19">
        <v>1.2311</v>
      </c>
      <c r="I1061" s="19"/>
      <c r="J1061" s="17" t="s">
        <v>82</v>
      </c>
      <c r="K1061" s="19">
        <v>255</v>
      </c>
      <c r="L1061" s="91">
        <v>105</v>
      </c>
      <c r="M1061" s="19">
        <v>3000</v>
      </c>
      <c r="N1061" s="19" t="s">
        <v>66</v>
      </c>
      <c r="O1061" s="19" t="s">
        <v>141</v>
      </c>
      <c r="P1061" s="19"/>
      <c r="Q1061" s="17">
        <v>922</v>
      </c>
      <c r="S1061" s="65">
        <v>1220</v>
      </c>
      <c r="T1061" s="19" t="s">
        <v>42</v>
      </c>
      <c r="U1061" s="102" t="s">
        <v>396</v>
      </c>
      <c r="V1061" s="64">
        <v>44628</v>
      </c>
      <c r="W1061" s="17" t="s">
        <v>69</v>
      </c>
      <c r="Y1061" s="68">
        <v>44621</v>
      </c>
      <c r="Z1061" s="17" t="s">
        <v>397</v>
      </c>
      <c r="AA1061" s="17" t="s">
        <v>46</v>
      </c>
      <c r="AB1061" s="17" t="s">
        <v>402</v>
      </c>
      <c r="AC1061" s="66">
        <v>44651</v>
      </c>
      <c r="AD1061" s="65">
        <v>1283</v>
      </c>
      <c r="AF1061" s="149"/>
    </row>
    <row r="1062" s="17" customFormat="1" hidden="1" spans="1:35">
      <c r="A1062" s="17" t="s">
        <v>34</v>
      </c>
      <c r="B1062" s="19">
        <v>781</v>
      </c>
      <c r="C1062" s="101">
        <v>44623</v>
      </c>
      <c r="D1062" s="17" t="s">
        <v>52</v>
      </c>
      <c r="E1062" s="17" t="s">
        <v>291</v>
      </c>
      <c r="F1062" s="17" t="s">
        <v>54</v>
      </c>
      <c r="H1062" s="19">
        <v>1.2311</v>
      </c>
      <c r="I1062" s="19"/>
      <c r="J1062" s="17" t="s">
        <v>82</v>
      </c>
      <c r="K1062" s="19">
        <v>260</v>
      </c>
      <c r="L1062" s="91">
        <v>105</v>
      </c>
      <c r="M1062" s="19">
        <v>3000</v>
      </c>
      <c r="N1062" s="19" t="s">
        <v>66</v>
      </c>
      <c r="O1062" s="19" t="s">
        <v>141</v>
      </c>
      <c r="P1062" s="19">
        <v>1800</v>
      </c>
      <c r="Q1062" s="17">
        <v>932</v>
      </c>
      <c r="R1062" s="17">
        <f>+P1062-Q1062</f>
        <v>868</v>
      </c>
      <c r="S1062" s="65">
        <v>1220</v>
      </c>
      <c r="T1062" s="19" t="s">
        <v>42</v>
      </c>
      <c r="U1062" s="102" t="s">
        <v>396</v>
      </c>
      <c r="V1062" s="64">
        <v>44628</v>
      </c>
      <c r="W1062" s="17" t="s">
        <v>69</v>
      </c>
      <c r="Y1062" s="68">
        <v>44621</v>
      </c>
      <c r="Z1062" s="17" t="s">
        <v>397</v>
      </c>
      <c r="AA1062" s="17" t="s">
        <v>46</v>
      </c>
      <c r="AB1062" s="17" t="s">
        <v>401</v>
      </c>
      <c r="AC1062" s="66">
        <v>44639</v>
      </c>
      <c r="AD1062" s="65">
        <v>1275</v>
      </c>
      <c r="AE1062" s="17" t="s">
        <v>74</v>
      </c>
      <c r="AF1062" s="149" t="s">
        <v>399</v>
      </c>
      <c r="AH1062" s="17" t="s">
        <v>400</v>
      </c>
      <c r="AI1062" s="17">
        <v>107</v>
      </c>
    </row>
    <row r="1063" s="17" customFormat="1" hidden="1" spans="1:35">
      <c r="A1063" s="17" t="s">
        <v>34</v>
      </c>
      <c r="B1063" s="19">
        <v>781</v>
      </c>
      <c r="C1063" s="101">
        <v>44623</v>
      </c>
      <c r="D1063" s="17" t="s">
        <v>52</v>
      </c>
      <c r="E1063" s="17" t="s">
        <v>291</v>
      </c>
      <c r="F1063" s="17" t="s">
        <v>54</v>
      </c>
      <c r="H1063" s="19">
        <v>1.2311</v>
      </c>
      <c r="I1063" s="19"/>
      <c r="J1063" s="17" t="s">
        <v>82</v>
      </c>
      <c r="K1063" s="19">
        <v>310</v>
      </c>
      <c r="L1063" s="91">
        <v>105</v>
      </c>
      <c r="M1063" s="19">
        <v>3000</v>
      </c>
      <c r="N1063" s="19" t="s">
        <v>66</v>
      </c>
      <c r="O1063" s="19" t="s">
        <v>141</v>
      </c>
      <c r="P1063" s="19">
        <v>1073</v>
      </c>
      <c r="Q1063" s="17">
        <v>1175</v>
      </c>
      <c r="R1063" s="17">
        <f>+P1063-Q1063</f>
        <v>-102</v>
      </c>
      <c r="S1063" s="65">
        <v>1220</v>
      </c>
      <c r="T1063" s="19" t="s">
        <v>42</v>
      </c>
      <c r="U1063" s="102" t="s">
        <v>396</v>
      </c>
      <c r="V1063" s="64">
        <v>44628</v>
      </c>
      <c r="W1063" s="17" t="s">
        <v>69</v>
      </c>
      <c r="Y1063" s="68">
        <v>44621</v>
      </c>
      <c r="Z1063" s="17" t="s">
        <v>397</v>
      </c>
      <c r="AA1063" s="17" t="s">
        <v>46</v>
      </c>
      <c r="AB1063" s="17" t="s">
        <v>402</v>
      </c>
      <c r="AC1063" s="66">
        <v>44651</v>
      </c>
      <c r="AD1063" s="65">
        <v>1283</v>
      </c>
      <c r="AE1063" s="17" t="s">
        <v>74</v>
      </c>
      <c r="AF1063" s="149" t="s">
        <v>399</v>
      </c>
      <c r="AH1063" s="17" t="s">
        <v>400</v>
      </c>
      <c r="AI1063" s="17">
        <v>107</v>
      </c>
    </row>
    <row r="1064" s="18" customFormat="1" hidden="1" spans="1:35">
      <c r="B1064" s="75">
        <v>781</v>
      </c>
      <c r="C1064" s="135">
        <v>44623</v>
      </c>
      <c r="D1064" s="18" t="s">
        <v>52</v>
      </c>
      <c r="E1064" s="17" t="s">
        <v>291</v>
      </c>
      <c r="F1064" s="18" t="s">
        <v>54</v>
      </c>
      <c r="H1064" s="75">
        <v>1.2311</v>
      </c>
      <c r="I1064" s="75"/>
      <c r="J1064" s="18" t="s">
        <v>82</v>
      </c>
      <c r="K1064" s="75">
        <v>360</v>
      </c>
      <c r="L1064" s="111">
        <v>105</v>
      </c>
      <c r="M1064" s="75"/>
      <c r="N1064" s="75" t="s">
        <v>66</v>
      </c>
      <c r="O1064" s="75" t="s">
        <v>141</v>
      </c>
      <c r="P1064" s="75">
        <v>1246</v>
      </c>
      <c r="R1064" s="18">
        <f>+P1064-Q1064</f>
        <v>1246</v>
      </c>
      <c r="S1064" s="77">
        <v>1220</v>
      </c>
      <c r="T1064" s="75" t="s">
        <v>42</v>
      </c>
      <c r="U1064" s="137" t="s">
        <v>396</v>
      </c>
      <c r="V1064" s="138">
        <v>44628</v>
      </c>
      <c r="W1064" s="18" t="s">
        <v>69</v>
      </c>
      <c r="Y1064" s="114">
        <v>44621</v>
      </c>
      <c r="Z1064" s="18" t="s">
        <v>397</v>
      </c>
      <c r="AA1064" s="18" t="s">
        <v>46</v>
      </c>
      <c r="AC1064" s="83"/>
      <c r="AD1064" s="77"/>
      <c r="AE1064" s="18" t="s">
        <v>74</v>
      </c>
      <c r="AF1064" s="150" t="s">
        <v>399</v>
      </c>
      <c r="AH1064" s="17" t="s">
        <v>400</v>
      </c>
      <c r="AI1064" s="17">
        <v>107</v>
      </c>
    </row>
    <row r="1065" s="17" customFormat="1" hidden="1" spans="1:35">
      <c r="A1065" s="17" t="s">
        <v>34</v>
      </c>
      <c r="B1065" s="19">
        <v>781</v>
      </c>
      <c r="C1065" s="101">
        <v>44623</v>
      </c>
      <c r="D1065" s="17" t="s">
        <v>52</v>
      </c>
      <c r="E1065" s="17" t="s">
        <v>291</v>
      </c>
      <c r="F1065" s="17" t="s">
        <v>54</v>
      </c>
      <c r="H1065" s="19">
        <v>1.2311</v>
      </c>
      <c r="I1065" s="19"/>
      <c r="J1065" s="17" t="s">
        <v>82</v>
      </c>
      <c r="K1065" s="19">
        <v>355</v>
      </c>
      <c r="L1065" s="91">
        <v>105</v>
      </c>
      <c r="M1065" s="19">
        <v>3000</v>
      </c>
      <c r="N1065" s="19" t="s">
        <v>66</v>
      </c>
      <c r="O1065" s="19" t="s">
        <v>141</v>
      </c>
      <c r="P1065" s="147"/>
      <c r="Q1065" s="17">
        <v>1364</v>
      </c>
      <c r="S1065" s="65">
        <v>1220</v>
      </c>
      <c r="T1065" s="19" t="s">
        <v>42</v>
      </c>
      <c r="U1065" s="102" t="s">
        <v>396</v>
      </c>
      <c r="V1065" s="64">
        <v>44628</v>
      </c>
      <c r="W1065" s="17" t="s">
        <v>69</v>
      </c>
      <c r="Y1065" s="68">
        <v>44621</v>
      </c>
      <c r="Z1065" s="17" t="s">
        <v>397</v>
      </c>
      <c r="AA1065" s="17" t="s">
        <v>46</v>
      </c>
      <c r="AB1065" s="17" t="s">
        <v>402</v>
      </c>
      <c r="AC1065" s="66">
        <v>44651</v>
      </c>
      <c r="AD1065" s="65">
        <v>1283</v>
      </c>
      <c r="AF1065" s="149"/>
    </row>
    <row r="1066" s="17" customFormat="1" hidden="1" spans="1:35">
      <c r="A1066" s="17" t="s">
        <v>34</v>
      </c>
      <c r="B1066" s="19">
        <v>781</v>
      </c>
      <c r="C1066" s="101">
        <v>44623</v>
      </c>
      <c r="D1066" s="17" t="s">
        <v>52</v>
      </c>
      <c r="E1066" s="17" t="s">
        <v>291</v>
      </c>
      <c r="F1066" s="17" t="s">
        <v>54</v>
      </c>
      <c r="H1066" s="19">
        <v>1.2311</v>
      </c>
      <c r="I1066" s="19"/>
      <c r="J1066" s="17" t="s">
        <v>82</v>
      </c>
      <c r="K1066" s="19">
        <v>560</v>
      </c>
      <c r="L1066" s="91">
        <v>105</v>
      </c>
      <c r="M1066" s="19">
        <v>3000</v>
      </c>
      <c r="N1066" s="19" t="s">
        <v>66</v>
      </c>
      <c r="O1066" s="19" t="s">
        <v>141</v>
      </c>
      <c r="P1066" s="147">
        <v>1939</v>
      </c>
      <c r="Q1066" s="17">
        <v>1877</v>
      </c>
      <c r="R1066" s="17">
        <f t="shared" ref="R1066:R1076" si="64">+P1066-Q1066</f>
        <v>62</v>
      </c>
      <c r="S1066" s="65">
        <v>1220</v>
      </c>
      <c r="T1066" s="19" t="s">
        <v>42</v>
      </c>
      <c r="U1066" s="102" t="s">
        <v>396</v>
      </c>
      <c r="V1066" s="64">
        <v>44628</v>
      </c>
      <c r="W1066" s="17" t="s">
        <v>69</v>
      </c>
      <c r="Y1066" s="68">
        <v>44621</v>
      </c>
      <c r="Z1066" s="17" t="s">
        <v>397</v>
      </c>
      <c r="AA1066" s="17" t="s">
        <v>46</v>
      </c>
      <c r="AB1066" s="17" t="s">
        <v>402</v>
      </c>
      <c r="AC1066" s="66">
        <v>44651</v>
      </c>
      <c r="AD1066" s="65">
        <v>1283</v>
      </c>
      <c r="AE1066" s="17" t="s">
        <v>74</v>
      </c>
      <c r="AF1066" s="149" t="s">
        <v>399</v>
      </c>
      <c r="AH1066" s="17" t="s">
        <v>400</v>
      </c>
      <c r="AI1066" s="17">
        <v>107</v>
      </c>
    </row>
    <row r="1067" s="18" customFormat="1" hidden="1" spans="1:35">
      <c r="B1067" s="75">
        <v>781</v>
      </c>
      <c r="C1067" s="135">
        <v>44623</v>
      </c>
      <c r="D1067" s="18" t="s">
        <v>52</v>
      </c>
      <c r="E1067" s="17" t="s">
        <v>291</v>
      </c>
      <c r="F1067" s="18" t="s">
        <v>54</v>
      </c>
      <c r="H1067" s="75">
        <v>1.2311</v>
      </c>
      <c r="I1067" s="75"/>
      <c r="J1067" s="18" t="s">
        <v>82</v>
      </c>
      <c r="K1067" s="75">
        <v>205</v>
      </c>
      <c r="L1067" s="111">
        <v>40</v>
      </c>
      <c r="M1067" s="75"/>
      <c r="N1067" s="75" t="s">
        <v>66</v>
      </c>
      <c r="O1067" s="75" t="s">
        <v>141</v>
      </c>
      <c r="P1067" s="75">
        <v>2433</v>
      </c>
      <c r="R1067" s="18">
        <f t="shared" si="64"/>
        <v>2433</v>
      </c>
      <c r="S1067" s="77">
        <v>1220</v>
      </c>
      <c r="T1067" s="75" t="s">
        <v>42</v>
      </c>
      <c r="U1067" s="137" t="s">
        <v>396</v>
      </c>
      <c r="V1067" s="138">
        <v>44628</v>
      </c>
      <c r="W1067" s="18" t="s">
        <v>69</v>
      </c>
      <c r="Y1067" s="114">
        <v>44621</v>
      </c>
      <c r="Z1067" s="18" t="s">
        <v>397</v>
      </c>
      <c r="AA1067" s="18" t="s">
        <v>46</v>
      </c>
      <c r="AC1067" s="83"/>
      <c r="AD1067" s="77"/>
      <c r="AE1067" s="18" t="s">
        <v>74</v>
      </c>
      <c r="AF1067" s="150" t="s">
        <v>399</v>
      </c>
      <c r="AH1067" s="17" t="s">
        <v>400</v>
      </c>
      <c r="AI1067" s="17">
        <v>107</v>
      </c>
    </row>
    <row r="1068" s="17" customFormat="1" hidden="1" spans="1:35">
      <c r="A1068" s="17" t="s">
        <v>34</v>
      </c>
      <c r="B1068" s="19">
        <v>781</v>
      </c>
      <c r="C1068" s="101">
        <v>44623</v>
      </c>
      <c r="D1068" s="17" t="s">
        <v>52</v>
      </c>
      <c r="E1068" s="17" t="s">
        <v>291</v>
      </c>
      <c r="F1068" s="17" t="s">
        <v>54</v>
      </c>
      <c r="H1068" s="19">
        <v>1.2311</v>
      </c>
      <c r="I1068" s="19"/>
      <c r="J1068" s="17" t="s">
        <v>82</v>
      </c>
      <c r="K1068" s="19">
        <v>255</v>
      </c>
      <c r="L1068" s="91">
        <v>40</v>
      </c>
      <c r="M1068" s="19">
        <v>3000</v>
      </c>
      <c r="N1068" s="19" t="s">
        <v>66</v>
      </c>
      <c r="O1068" s="19" t="s">
        <v>141</v>
      </c>
      <c r="P1068" s="19">
        <v>2018</v>
      </c>
      <c r="Q1068" s="17">
        <v>427</v>
      </c>
      <c r="R1068" s="17">
        <f t="shared" si="64"/>
        <v>1591</v>
      </c>
      <c r="S1068" s="151">
        <v>1220</v>
      </c>
      <c r="T1068" s="19" t="s">
        <v>42</v>
      </c>
      <c r="U1068" s="102" t="s">
        <v>396</v>
      </c>
      <c r="V1068" s="64">
        <v>44628</v>
      </c>
      <c r="W1068" s="17" t="s">
        <v>69</v>
      </c>
      <c r="Y1068" s="68">
        <v>44621</v>
      </c>
      <c r="Z1068" s="17" t="s">
        <v>397</v>
      </c>
      <c r="AA1068" s="17" t="s">
        <v>46</v>
      </c>
      <c r="AB1068" s="17" t="s">
        <v>402</v>
      </c>
      <c r="AC1068" s="66">
        <v>44651</v>
      </c>
      <c r="AD1068" s="65">
        <v>1283</v>
      </c>
      <c r="AE1068" s="17" t="s">
        <v>74</v>
      </c>
      <c r="AF1068" s="149" t="s">
        <v>399</v>
      </c>
      <c r="AH1068" s="17" t="s">
        <v>400</v>
      </c>
      <c r="AI1068" s="17">
        <v>107</v>
      </c>
    </row>
    <row r="1069" s="17" customFormat="1" hidden="1" spans="1:35">
      <c r="A1069" s="17" t="s">
        <v>34</v>
      </c>
      <c r="B1069" s="19">
        <v>781</v>
      </c>
      <c r="C1069" s="101">
        <v>44623</v>
      </c>
      <c r="D1069" s="17" t="s">
        <v>52</v>
      </c>
      <c r="E1069" s="17" t="s">
        <v>291</v>
      </c>
      <c r="F1069" s="17" t="s">
        <v>54</v>
      </c>
      <c r="H1069" s="19">
        <v>1.2311</v>
      </c>
      <c r="I1069" s="19"/>
      <c r="J1069" s="17" t="s">
        <v>82</v>
      </c>
      <c r="K1069" s="19">
        <v>305</v>
      </c>
      <c r="L1069" s="91">
        <v>40</v>
      </c>
      <c r="M1069" s="19">
        <v>3000</v>
      </c>
      <c r="N1069" s="19" t="s">
        <v>66</v>
      </c>
      <c r="O1069" s="19" t="s">
        <v>141</v>
      </c>
      <c r="P1069" s="19">
        <v>2011</v>
      </c>
      <c r="Q1069" s="17">
        <f>400+399+398+398</f>
        <v>1595</v>
      </c>
      <c r="R1069" s="17">
        <f t="shared" si="64"/>
        <v>416</v>
      </c>
      <c r="S1069" s="151">
        <v>1220</v>
      </c>
      <c r="T1069" s="19" t="s">
        <v>42</v>
      </c>
      <c r="U1069" s="102" t="s">
        <v>396</v>
      </c>
      <c r="V1069" s="64">
        <v>44628</v>
      </c>
      <c r="W1069" s="17" t="s">
        <v>69</v>
      </c>
      <c r="Y1069" s="68">
        <v>44621</v>
      </c>
      <c r="Z1069" s="17" t="s">
        <v>397</v>
      </c>
      <c r="AA1069" s="17" t="s">
        <v>46</v>
      </c>
      <c r="AB1069" s="17" t="s">
        <v>402</v>
      </c>
      <c r="AC1069" s="66">
        <v>44651</v>
      </c>
      <c r="AD1069" s="65">
        <v>1283</v>
      </c>
      <c r="AE1069" s="17" t="s">
        <v>74</v>
      </c>
      <c r="AF1069" s="149" t="s">
        <v>399</v>
      </c>
      <c r="AH1069" s="17" t="s">
        <v>400</v>
      </c>
      <c r="AI1069" s="17">
        <v>107</v>
      </c>
    </row>
    <row r="1070" s="17" customFormat="1" hidden="1" spans="1:35">
      <c r="A1070" s="17" t="s">
        <v>34</v>
      </c>
      <c r="B1070" s="19">
        <v>781</v>
      </c>
      <c r="C1070" s="101">
        <v>44623</v>
      </c>
      <c r="D1070" s="17" t="s">
        <v>52</v>
      </c>
      <c r="E1070" s="17" t="s">
        <v>291</v>
      </c>
      <c r="F1070" s="17" t="s">
        <v>54</v>
      </c>
      <c r="H1070" s="19">
        <v>1.2311</v>
      </c>
      <c r="I1070" s="19"/>
      <c r="J1070" s="17" t="s">
        <v>82</v>
      </c>
      <c r="K1070" s="19">
        <v>355</v>
      </c>
      <c r="L1070" s="91">
        <v>40</v>
      </c>
      <c r="M1070" s="19">
        <v>3000</v>
      </c>
      <c r="N1070" s="19" t="s">
        <v>66</v>
      </c>
      <c r="O1070" s="19" t="s">
        <v>141</v>
      </c>
      <c r="P1070" s="19">
        <v>1405</v>
      </c>
      <c r="Q1070" s="17">
        <f>395+525</f>
        <v>920</v>
      </c>
      <c r="R1070" s="17">
        <f t="shared" si="64"/>
        <v>485</v>
      </c>
      <c r="S1070" s="151">
        <v>1220</v>
      </c>
      <c r="T1070" s="19" t="s">
        <v>42</v>
      </c>
      <c r="U1070" s="102" t="s">
        <v>396</v>
      </c>
      <c r="V1070" s="64">
        <v>44628</v>
      </c>
      <c r="W1070" s="17" t="s">
        <v>69</v>
      </c>
      <c r="Y1070" s="68">
        <v>44621</v>
      </c>
      <c r="Z1070" s="17" t="s">
        <v>397</v>
      </c>
      <c r="AA1070" s="17" t="s">
        <v>46</v>
      </c>
      <c r="AB1070" s="17" t="s">
        <v>402</v>
      </c>
      <c r="AC1070" s="66">
        <v>44651</v>
      </c>
      <c r="AD1070" s="65">
        <v>1283</v>
      </c>
      <c r="AE1070" s="17" t="s">
        <v>74</v>
      </c>
      <c r="AF1070" s="149" t="s">
        <v>399</v>
      </c>
      <c r="AH1070" s="17" t="s">
        <v>400</v>
      </c>
      <c r="AI1070" s="17">
        <v>107</v>
      </c>
    </row>
    <row r="1071" s="17" customFormat="1" hidden="1" spans="1:35">
      <c r="A1071" s="17" t="s">
        <v>34</v>
      </c>
      <c r="B1071" s="19">
        <v>781</v>
      </c>
      <c r="C1071" s="101">
        <v>44623</v>
      </c>
      <c r="D1071" s="17" t="s">
        <v>52</v>
      </c>
      <c r="E1071" s="17" t="s">
        <v>291</v>
      </c>
      <c r="F1071" s="17" t="s">
        <v>54</v>
      </c>
      <c r="H1071" s="19">
        <v>1.2311</v>
      </c>
      <c r="I1071" s="19"/>
      <c r="J1071" s="17" t="s">
        <v>82</v>
      </c>
      <c r="K1071" s="19">
        <v>405</v>
      </c>
      <c r="L1071" s="91">
        <v>40</v>
      </c>
      <c r="M1071" s="19">
        <v>3000</v>
      </c>
      <c r="N1071" s="19" t="s">
        <v>66</v>
      </c>
      <c r="O1071" s="19" t="s">
        <v>141</v>
      </c>
      <c r="P1071" s="19">
        <v>1068</v>
      </c>
      <c r="Q1071" s="17">
        <f>538+542</f>
        <v>1080</v>
      </c>
      <c r="R1071" s="17">
        <f t="shared" si="64"/>
        <v>-12</v>
      </c>
      <c r="S1071" s="151">
        <v>1220</v>
      </c>
      <c r="T1071" s="19" t="s">
        <v>42</v>
      </c>
      <c r="U1071" s="102" t="s">
        <v>396</v>
      </c>
      <c r="V1071" s="64">
        <v>44628</v>
      </c>
      <c r="W1071" s="17" t="s">
        <v>69</v>
      </c>
      <c r="Y1071" s="68">
        <v>44621</v>
      </c>
      <c r="Z1071" s="17" t="s">
        <v>397</v>
      </c>
      <c r="AA1071" s="17" t="s">
        <v>46</v>
      </c>
      <c r="AB1071" s="17" t="s">
        <v>401</v>
      </c>
      <c r="AC1071" s="66">
        <v>44639</v>
      </c>
      <c r="AD1071" s="65">
        <v>1275</v>
      </c>
      <c r="AE1071" s="17" t="s">
        <v>74</v>
      </c>
      <c r="AF1071" s="149" t="s">
        <v>399</v>
      </c>
      <c r="AH1071" s="17" t="s">
        <v>400</v>
      </c>
      <c r="AI1071" s="17">
        <v>107</v>
      </c>
    </row>
    <row r="1072" s="17" customFormat="1" hidden="1" spans="1:35">
      <c r="A1072" s="17" t="s">
        <v>34</v>
      </c>
      <c r="B1072" s="19">
        <v>781</v>
      </c>
      <c r="C1072" s="101">
        <v>44623</v>
      </c>
      <c r="D1072" s="17" t="s">
        <v>52</v>
      </c>
      <c r="E1072" s="17" t="s">
        <v>291</v>
      </c>
      <c r="F1072" s="17" t="s">
        <v>54</v>
      </c>
      <c r="H1072" s="19">
        <v>1.2311</v>
      </c>
      <c r="I1072" s="19"/>
      <c r="J1072" s="17" t="s">
        <v>82</v>
      </c>
      <c r="K1072" s="19">
        <v>455</v>
      </c>
      <c r="L1072" s="91">
        <v>40</v>
      </c>
      <c r="M1072" s="19">
        <v>3000</v>
      </c>
      <c r="N1072" s="19" t="s">
        <v>66</v>
      </c>
      <c r="O1072" s="19" t="s">
        <v>141</v>
      </c>
      <c r="P1072" s="19">
        <v>1200</v>
      </c>
      <c r="Q1072" s="17">
        <f>590+504</f>
        <v>1094</v>
      </c>
      <c r="R1072" s="17">
        <f t="shared" si="64"/>
        <v>106</v>
      </c>
      <c r="S1072" s="151">
        <v>1220</v>
      </c>
      <c r="T1072" s="19" t="s">
        <v>42</v>
      </c>
      <c r="U1072" s="102" t="s">
        <v>396</v>
      </c>
      <c r="V1072" s="64">
        <v>44628</v>
      </c>
      <c r="W1072" s="17" t="s">
        <v>69</v>
      </c>
      <c r="Y1072" s="68">
        <v>44621</v>
      </c>
      <c r="Z1072" s="17" t="s">
        <v>397</v>
      </c>
      <c r="AA1072" s="17" t="s">
        <v>46</v>
      </c>
      <c r="AB1072" s="17" t="s">
        <v>402</v>
      </c>
      <c r="AC1072" s="66">
        <v>44651</v>
      </c>
      <c r="AD1072" s="65">
        <v>1283</v>
      </c>
      <c r="AE1072" s="17" t="s">
        <v>74</v>
      </c>
      <c r="AF1072" s="149" t="s">
        <v>399</v>
      </c>
      <c r="AH1072" s="17" t="s">
        <v>400</v>
      </c>
      <c r="AI1072" s="17">
        <v>107</v>
      </c>
    </row>
    <row r="1073" s="17" customFormat="1" hidden="1" spans="1:35">
      <c r="A1073" s="17" t="s">
        <v>34</v>
      </c>
      <c r="B1073" s="19">
        <v>781</v>
      </c>
      <c r="C1073" s="101">
        <v>44623</v>
      </c>
      <c r="D1073" s="17" t="s">
        <v>52</v>
      </c>
      <c r="E1073" s="17" t="s">
        <v>291</v>
      </c>
      <c r="F1073" s="17" t="s">
        <v>54</v>
      </c>
      <c r="H1073" s="19">
        <v>1.2311</v>
      </c>
      <c r="I1073" s="19"/>
      <c r="J1073" s="17" t="s">
        <v>82</v>
      </c>
      <c r="K1073" s="19">
        <v>510</v>
      </c>
      <c r="L1073" s="91">
        <v>40</v>
      </c>
      <c r="M1073" s="19">
        <v>3000</v>
      </c>
      <c r="N1073" s="19" t="s">
        <v>66</v>
      </c>
      <c r="O1073" s="19" t="s">
        <v>141</v>
      </c>
      <c r="P1073" s="19">
        <v>1345</v>
      </c>
      <c r="Q1073" s="17">
        <f>658+618</f>
        <v>1276</v>
      </c>
      <c r="R1073" s="17">
        <f t="shared" si="64"/>
        <v>69</v>
      </c>
      <c r="S1073" s="151">
        <v>1220</v>
      </c>
      <c r="T1073" s="19" t="s">
        <v>42</v>
      </c>
      <c r="U1073" s="102" t="s">
        <v>396</v>
      </c>
      <c r="V1073" s="64">
        <v>44628</v>
      </c>
      <c r="W1073" s="17" t="s">
        <v>69</v>
      </c>
      <c r="Y1073" s="68">
        <v>44621</v>
      </c>
      <c r="Z1073" s="17" t="s">
        <v>397</v>
      </c>
      <c r="AA1073" s="17" t="s">
        <v>46</v>
      </c>
      <c r="AB1073" s="17" t="s">
        <v>401</v>
      </c>
      <c r="AC1073" s="66">
        <v>44639</v>
      </c>
      <c r="AD1073" s="65">
        <v>1275</v>
      </c>
      <c r="AE1073" s="17" t="s">
        <v>74</v>
      </c>
      <c r="AF1073" s="149" t="s">
        <v>399</v>
      </c>
      <c r="AH1073" s="17" t="s">
        <v>400</v>
      </c>
      <c r="AI1073" s="17">
        <v>107</v>
      </c>
    </row>
    <row r="1074" s="17" customFormat="1" hidden="1" spans="1:35">
      <c r="A1074" s="17" t="s">
        <v>34</v>
      </c>
      <c r="B1074" s="19">
        <v>781</v>
      </c>
      <c r="C1074" s="101">
        <v>44623</v>
      </c>
      <c r="D1074" s="17" t="s">
        <v>52</v>
      </c>
      <c r="E1074" s="17" t="s">
        <v>291</v>
      </c>
      <c r="F1074" s="17" t="s">
        <v>54</v>
      </c>
      <c r="H1074" s="19">
        <v>1.2311</v>
      </c>
      <c r="I1074" s="19"/>
      <c r="J1074" s="17" t="s">
        <v>82</v>
      </c>
      <c r="K1074" s="19">
        <v>205</v>
      </c>
      <c r="L1074" s="91">
        <v>50</v>
      </c>
      <c r="M1074" s="19">
        <v>3000</v>
      </c>
      <c r="N1074" s="19" t="s">
        <v>66</v>
      </c>
      <c r="O1074" s="19" t="s">
        <v>141</v>
      </c>
      <c r="P1074" s="19">
        <v>2704</v>
      </c>
      <c r="Q1074" s="17">
        <f>365+385+389+373+369+372+370+369</f>
        <v>2992</v>
      </c>
      <c r="R1074" s="17">
        <f t="shared" si="64"/>
        <v>-288</v>
      </c>
      <c r="S1074" s="151">
        <v>1220</v>
      </c>
      <c r="T1074" s="19" t="s">
        <v>42</v>
      </c>
      <c r="U1074" s="102" t="s">
        <v>396</v>
      </c>
      <c r="V1074" s="64">
        <v>44628</v>
      </c>
      <c r="W1074" s="17" t="s">
        <v>69</v>
      </c>
      <c r="Y1074" s="68">
        <v>44621</v>
      </c>
      <c r="Z1074" s="17" t="s">
        <v>397</v>
      </c>
      <c r="AA1074" s="17" t="s">
        <v>46</v>
      </c>
      <c r="AB1074" s="17" t="s">
        <v>401</v>
      </c>
      <c r="AC1074" s="66">
        <v>44639</v>
      </c>
      <c r="AD1074" s="65">
        <v>1275</v>
      </c>
      <c r="AE1074" s="17" t="s">
        <v>74</v>
      </c>
      <c r="AF1074" s="149" t="s">
        <v>399</v>
      </c>
      <c r="AH1074" s="17" t="s">
        <v>400</v>
      </c>
      <c r="AI1074" s="17">
        <v>107</v>
      </c>
    </row>
    <row r="1075" s="17" customFormat="1" hidden="1" spans="1:35">
      <c r="A1075" s="17" t="s">
        <v>34</v>
      </c>
      <c r="B1075" s="19">
        <v>781</v>
      </c>
      <c r="C1075" s="101">
        <v>44623</v>
      </c>
      <c r="D1075" s="17" t="s">
        <v>52</v>
      </c>
      <c r="E1075" s="17" t="s">
        <v>291</v>
      </c>
      <c r="F1075" s="17" t="s">
        <v>54</v>
      </c>
      <c r="H1075" s="19">
        <v>1.2311</v>
      </c>
      <c r="I1075" s="19"/>
      <c r="J1075" s="17" t="s">
        <v>82</v>
      </c>
      <c r="K1075" s="19">
        <v>255</v>
      </c>
      <c r="L1075" s="91">
        <v>50</v>
      </c>
      <c r="M1075" s="19">
        <v>3000</v>
      </c>
      <c r="N1075" s="19" t="s">
        <v>66</v>
      </c>
      <c r="O1075" s="19" t="s">
        <v>141</v>
      </c>
      <c r="P1075" s="19">
        <v>2522</v>
      </c>
      <c r="Q1075" s="17">
        <f>451+452+458+457+458+453</f>
        <v>2729</v>
      </c>
      <c r="R1075" s="17">
        <f t="shared" si="64"/>
        <v>-207</v>
      </c>
      <c r="S1075" s="151">
        <v>1220</v>
      </c>
      <c r="T1075" s="19" t="s">
        <v>42</v>
      </c>
      <c r="U1075" s="102" t="s">
        <v>396</v>
      </c>
      <c r="V1075" s="64">
        <v>44628</v>
      </c>
      <c r="W1075" s="17" t="s">
        <v>69</v>
      </c>
      <c r="Y1075" s="68">
        <v>44621</v>
      </c>
      <c r="Z1075" s="17" t="s">
        <v>397</v>
      </c>
      <c r="AA1075" s="17" t="s">
        <v>46</v>
      </c>
      <c r="AB1075" s="17" t="s">
        <v>401</v>
      </c>
      <c r="AC1075" s="66">
        <v>44639</v>
      </c>
      <c r="AD1075" s="65">
        <v>1275</v>
      </c>
      <c r="AE1075" s="17" t="s">
        <v>74</v>
      </c>
      <c r="AF1075" s="149" t="s">
        <v>399</v>
      </c>
      <c r="AH1075" s="17" t="s">
        <v>400</v>
      </c>
      <c r="AI1075" s="17">
        <v>107</v>
      </c>
    </row>
    <row r="1076" s="17" customFormat="1" hidden="1" spans="1:35">
      <c r="A1076" s="17" t="s">
        <v>34</v>
      </c>
      <c r="B1076" s="19">
        <v>781</v>
      </c>
      <c r="C1076" s="101">
        <v>44623</v>
      </c>
      <c r="D1076" s="17" t="s">
        <v>52</v>
      </c>
      <c r="E1076" s="17" t="s">
        <v>291</v>
      </c>
      <c r="F1076" s="17" t="s">
        <v>54</v>
      </c>
      <c r="H1076" s="19">
        <v>1.2311</v>
      </c>
      <c r="I1076" s="19"/>
      <c r="J1076" s="17" t="s">
        <v>82</v>
      </c>
      <c r="K1076" s="19">
        <v>305</v>
      </c>
      <c r="L1076" s="91">
        <v>50</v>
      </c>
      <c r="M1076" s="19">
        <v>3000</v>
      </c>
      <c r="N1076" s="19" t="s">
        <v>66</v>
      </c>
      <c r="O1076" s="19" t="s">
        <v>141</v>
      </c>
      <c r="P1076" s="19">
        <v>2514</v>
      </c>
      <c r="Q1076" s="17">
        <f>559+533+537</f>
        <v>1629</v>
      </c>
      <c r="R1076" s="17">
        <f t="shared" si="64"/>
        <v>885</v>
      </c>
      <c r="S1076" s="151">
        <v>1220</v>
      </c>
      <c r="T1076" s="19" t="s">
        <v>42</v>
      </c>
      <c r="U1076" s="102" t="s">
        <v>396</v>
      </c>
      <c r="V1076" s="64">
        <v>44628</v>
      </c>
      <c r="W1076" s="17" t="s">
        <v>69</v>
      </c>
      <c r="Y1076" s="68">
        <v>44621</v>
      </c>
      <c r="Z1076" s="17" t="s">
        <v>397</v>
      </c>
      <c r="AA1076" s="17" t="s">
        <v>46</v>
      </c>
      <c r="AB1076" s="17" t="s">
        <v>402</v>
      </c>
      <c r="AC1076" s="66">
        <v>44651</v>
      </c>
      <c r="AD1076" s="65">
        <v>1283</v>
      </c>
      <c r="AE1076" s="17" t="s">
        <v>74</v>
      </c>
      <c r="AF1076" s="149" t="s">
        <v>399</v>
      </c>
      <c r="AH1076" s="17" t="s">
        <v>400</v>
      </c>
      <c r="AI1076" s="17">
        <v>107</v>
      </c>
    </row>
    <row r="1077" s="17" customFormat="1" hidden="1" spans="1:35">
      <c r="A1077" s="17" t="s">
        <v>34</v>
      </c>
      <c r="B1077" s="19">
        <v>781</v>
      </c>
      <c r="C1077" s="101">
        <v>44623</v>
      </c>
      <c r="D1077" s="17" t="s">
        <v>52</v>
      </c>
      <c r="E1077" s="17" t="s">
        <v>291</v>
      </c>
      <c r="F1077" s="17" t="s">
        <v>54</v>
      </c>
      <c r="H1077" s="19">
        <v>1.2311</v>
      </c>
      <c r="I1077" s="19"/>
      <c r="J1077" s="17" t="s">
        <v>82</v>
      </c>
      <c r="K1077" s="19">
        <v>307</v>
      </c>
      <c r="L1077" s="91">
        <v>50</v>
      </c>
      <c r="M1077" s="19">
        <v>3000</v>
      </c>
      <c r="N1077" s="19" t="s">
        <v>66</v>
      </c>
      <c r="O1077" s="19" t="s">
        <v>141</v>
      </c>
      <c r="P1077" s="19"/>
      <c r="Q1077" s="17">
        <f>537+537</f>
        <v>1074</v>
      </c>
      <c r="S1077" s="151">
        <v>1220</v>
      </c>
      <c r="T1077" s="19" t="s">
        <v>42</v>
      </c>
      <c r="U1077" s="102" t="s">
        <v>396</v>
      </c>
      <c r="V1077" s="64">
        <v>44628</v>
      </c>
      <c r="W1077" s="17" t="s">
        <v>69</v>
      </c>
      <c r="Y1077" s="68">
        <v>44621</v>
      </c>
      <c r="Z1077" s="17" t="s">
        <v>397</v>
      </c>
      <c r="AA1077" s="17" t="s">
        <v>46</v>
      </c>
      <c r="AB1077" s="17" t="s">
        <v>402</v>
      </c>
      <c r="AC1077" s="66">
        <v>44651</v>
      </c>
      <c r="AD1077" s="65">
        <v>1283</v>
      </c>
      <c r="AF1077" s="149" t="s">
        <v>399</v>
      </c>
    </row>
    <row r="1078" s="17" customFormat="1" hidden="1" spans="1:35">
      <c r="A1078" s="17" t="s">
        <v>34</v>
      </c>
      <c r="B1078" s="19">
        <v>781</v>
      </c>
      <c r="C1078" s="101">
        <v>44623</v>
      </c>
      <c r="D1078" s="17" t="s">
        <v>52</v>
      </c>
      <c r="E1078" s="17" t="s">
        <v>291</v>
      </c>
      <c r="F1078" s="17" t="s">
        <v>54</v>
      </c>
      <c r="H1078" s="19">
        <v>1.2311</v>
      </c>
      <c r="I1078" s="19"/>
      <c r="J1078" s="17" t="s">
        <v>82</v>
      </c>
      <c r="K1078" s="19">
        <v>355</v>
      </c>
      <c r="L1078" s="91">
        <v>50</v>
      </c>
      <c r="M1078" s="19">
        <v>3000</v>
      </c>
      <c r="N1078" s="19" t="s">
        <v>66</v>
      </c>
      <c r="O1078" s="19" t="s">
        <v>141</v>
      </c>
      <c r="P1078" s="19">
        <v>1756</v>
      </c>
      <c r="Q1078" s="17">
        <f>655+599+596</f>
        <v>1850</v>
      </c>
      <c r="R1078" s="17">
        <f>+P1078-Q1078</f>
        <v>-94</v>
      </c>
      <c r="S1078" s="151">
        <v>1220</v>
      </c>
      <c r="T1078" s="19" t="s">
        <v>42</v>
      </c>
      <c r="U1078" s="102" t="s">
        <v>396</v>
      </c>
      <c r="V1078" s="64">
        <v>44628</v>
      </c>
      <c r="W1078" s="17" t="s">
        <v>69</v>
      </c>
      <c r="Y1078" s="68">
        <v>44621</v>
      </c>
      <c r="Z1078" s="17" t="s">
        <v>397</v>
      </c>
      <c r="AA1078" s="17" t="s">
        <v>46</v>
      </c>
      <c r="AB1078" s="17" t="s">
        <v>402</v>
      </c>
      <c r="AC1078" s="66">
        <v>44651</v>
      </c>
      <c r="AD1078" s="65">
        <v>1283</v>
      </c>
      <c r="AE1078" s="17" t="s">
        <v>74</v>
      </c>
      <c r="AF1078" s="149" t="s">
        <v>399</v>
      </c>
      <c r="AH1078" s="17" t="s">
        <v>400</v>
      </c>
      <c r="AI1078" s="17">
        <v>107</v>
      </c>
    </row>
    <row r="1079" s="17" customFormat="1" hidden="1" spans="1:35">
      <c r="A1079" s="17" t="s">
        <v>34</v>
      </c>
      <c r="B1079" s="19">
        <v>781</v>
      </c>
      <c r="C1079" s="101">
        <v>44623</v>
      </c>
      <c r="D1079" s="17" t="s">
        <v>52</v>
      </c>
      <c r="E1079" s="17" t="s">
        <v>291</v>
      </c>
      <c r="F1079" s="17" t="s">
        <v>54</v>
      </c>
      <c r="H1079" s="19">
        <v>1.2311</v>
      </c>
      <c r="I1079" s="19"/>
      <c r="J1079" s="17" t="s">
        <v>82</v>
      </c>
      <c r="K1079" s="19">
        <v>410</v>
      </c>
      <c r="L1079" s="91">
        <v>50</v>
      </c>
      <c r="M1079" s="19">
        <v>3000</v>
      </c>
      <c r="N1079" s="19" t="s">
        <v>66</v>
      </c>
      <c r="O1079" s="19" t="s">
        <v>141</v>
      </c>
      <c r="P1079" s="19">
        <v>1335</v>
      </c>
      <c r="Q1079" s="17">
        <f>706+710</f>
        <v>1416</v>
      </c>
      <c r="R1079" s="17">
        <f>+P1079-Q1079</f>
        <v>-81</v>
      </c>
      <c r="S1079" s="151">
        <v>1220</v>
      </c>
      <c r="T1079" s="19" t="s">
        <v>42</v>
      </c>
      <c r="U1079" s="102" t="s">
        <v>396</v>
      </c>
      <c r="V1079" s="64">
        <v>44628</v>
      </c>
      <c r="W1079" s="17" t="s">
        <v>69</v>
      </c>
      <c r="Y1079" s="68">
        <v>44621</v>
      </c>
      <c r="Z1079" s="17" t="s">
        <v>397</v>
      </c>
      <c r="AA1079" s="17" t="s">
        <v>46</v>
      </c>
      <c r="AB1079" s="17" t="s">
        <v>402</v>
      </c>
      <c r="AC1079" s="66">
        <v>44651</v>
      </c>
      <c r="AD1079" s="65">
        <v>1283</v>
      </c>
      <c r="AE1079" s="17" t="s">
        <v>74</v>
      </c>
      <c r="AF1079" s="149" t="s">
        <v>399</v>
      </c>
      <c r="AH1079" s="17" t="s">
        <v>400</v>
      </c>
      <c r="AI1079" s="17">
        <v>107</v>
      </c>
    </row>
    <row r="1080" s="17" customFormat="1" hidden="1" spans="1:35">
      <c r="A1080" s="17" t="s">
        <v>34</v>
      </c>
      <c r="B1080" s="19">
        <v>781</v>
      </c>
      <c r="C1080" s="101">
        <v>44623</v>
      </c>
      <c r="D1080" s="17" t="s">
        <v>52</v>
      </c>
      <c r="E1080" s="17" t="s">
        <v>291</v>
      </c>
      <c r="F1080" s="17" t="s">
        <v>54</v>
      </c>
      <c r="H1080" s="19">
        <v>1.2311</v>
      </c>
      <c r="I1080" s="19"/>
      <c r="J1080" s="17" t="s">
        <v>82</v>
      </c>
      <c r="K1080" s="19">
        <v>455</v>
      </c>
      <c r="L1080" s="91">
        <v>50</v>
      </c>
      <c r="M1080" s="19">
        <v>3000</v>
      </c>
      <c r="N1080" s="19" t="s">
        <v>66</v>
      </c>
      <c r="O1080" s="19" t="s">
        <v>141</v>
      </c>
      <c r="P1080" s="19">
        <v>1500</v>
      </c>
      <c r="R1080" s="17">
        <f>+P1080-Q1080</f>
        <v>1500</v>
      </c>
      <c r="S1080" s="151">
        <v>1220</v>
      </c>
      <c r="T1080" s="19" t="s">
        <v>42</v>
      </c>
      <c r="U1080" s="102" t="s">
        <v>396</v>
      </c>
      <c r="V1080" s="64">
        <v>44628</v>
      </c>
      <c r="W1080" s="17" t="s">
        <v>69</v>
      </c>
      <c r="Y1080" s="68">
        <v>44621</v>
      </c>
      <c r="Z1080" s="17" t="s">
        <v>397</v>
      </c>
      <c r="AA1080" s="17" t="s">
        <v>46</v>
      </c>
      <c r="AB1080" s="17" t="s">
        <v>402</v>
      </c>
      <c r="AC1080" s="66">
        <v>44651</v>
      </c>
      <c r="AD1080" s="65">
        <v>1283</v>
      </c>
      <c r="AE1080" s="17" t="s">
        <v>74</v>
      </c>
      <c r="AF1080" s="149" t="s">
        <v>399</v>
      </c>
      <c r="AH1080" s="17" t="s">
        <v>400</v>
      </c>
      <c r="AI1080" s="17">
        <v>107</v>
      </c>
    </row>
    <row r="1081" s="17" customFormat="1" hidden="1" spans="1:35">
      <c r="A1081" s="17" t="s">
        <v>34</v>
      </c>
      <c r="B1081" s="19">
        <v>781</v>
      </c>
      <c r="C1081" s="101">
        <v>44623</v>
      </c>
      <c r="D1081" s="17" t="s">
        <v>52</v>
      </c>
      <c r="E1081" s="17" t="s">
        <v>291</v>
      </c>
      <c r="F1081" s="17" t="s">
        <v>54</v>
      </c>
      <c r="H1081" s="19">
        <v>1.2311</v>
      </c>
      <c r="I1081" s="19"/>
      <c r="J1081" s="17" t="s">
        <v>82</v>
      </c>
      <c r="K1081" s="19">
        <v>510</v>
      </c>
      <c r="L1081" s="91">
        <v>50</v>
      </c>
      <c r="M1081" s="19">
        <v>3000</v>
      </c>
      <c r="N1081" s="19" t="s">
        <v>66</v>
      </c>
      <c r="O1081" s="19" t="s">
        <v>141</v>
      </c>
      <c r="P1081" s="19">
        <v>1681</v>
      </c>
      <c r="Q1081" s="17">
        <f>813+936</f>
        <v>1749</v>
      </c>
      <c r="R1081" s="17">
        <f>+P1081-Q1081</f>
        <v>-68</v>
      </c>
      <c r="S1081" s="151">
        <v>1220</v>
      </c>
      <c r="T1081" s="19" t="s">
        <v>42</v>
      </c>
      <c r="U1081" s="102" t="s">
        <v>396</v>
      </c>
      <c r="V1081" s="64">
        <v>44628</v>
      </c>
      <c r="W1081" s="17" t="s">
        <v>69</v>
      </c>
      <c r="Y1081" s="68">
        <v>44621</v>
      </c>
      <c r="Z1081" s="17" t="s">
        <v>397</v>
      </c>
      <c r="AA1081" s="17" t="s">
        <v>46</v>
      </c>
      <c r="AB1081" s="17" t="s">
        <v>402</v>
      </c>
      <c r="AC1081" s="66">
        <v>44651</v>
      </c>
      <c r="AD1081" s="65">
        <v>1283</v>
      </c>
      <c r="AE1081" s="17" t="s">
        <v>74</v>
      </c>
      <c r="AF1081" s="149" t="s">
        <v>399</v>
      </c>
      <c r="AH1081" s="17" t="s">
        <v>400</v>
      </c>
      <c r="AI1081" s="17">
        <v>107</v>
      </c>
    </row>
    <row r="1082" s="17" customFormat="1" hidden="1" spans="1:35">
      <c r="A1082" s="17" t="s">
        <v>34</v>
      </c>
      <c r="B1082" s="19">
        <v>781</v>
      </c>
      <c r="C1082" s="101">
        <v>44623</v>
      </c>
      <c r="D1082" s="17" t="s">
        <v>52</v>
      </c>
      <c r="E1082" s="17" t="s">
        <v>291</v>
      </c>
      <c r="F1082" s="17" t="s">
        <v>54</v>
      </c>
      <c r="H1082" s="19">
        <v>1.2311</v>
      </c>
      <c r="I1082" s="19"/>
      <c r="J1082" s="17" t="s">
        <v>82</v>
      </c>
      <c r="K1082" s="19">
        <v>205</v>
      </c>
      <c r="L1082" s="91">
        <v>65</v>
      </c>
      <c r="M1082" s="19">
        <v>3000</v>
      </c>
      <c r="N1082" s="19" t="s">
        <v>66</v>
      </c>
      <c r="O1082" s="19" t="s">
        <v>141</v>
      </c>
      <c r="P1082" s="19">
        <v>2197</v>
      </c>
      <c r="Q1082" s="17">
        <f>499+493</f>
        <v>992</v>
      </c>
      <c r="R1082" s="17">
        <f>+P1082-Q1082</f>
        <v>1205</v>
      </c>
      <c r="S1082" s="151">
        <v>1220</v>
      </c>
      <c r="T1082" s="19" t="s">
        <v>42</v>
      </c>
      <c r="U1082" s="102" t="s">
        <v>396</v>
      </c>
      <c r="V1082" s="64">
        <v>44628</v>
      </c>
      <c r="W1082" s="17" t="s">
        <v>69</v>
      </c>
      <c r="Y1082" s="68">
        <v>44621</v>
      </c>
      <c r="Z1082" s="17" t="s">
        <v>397</v>
      </c>
      <c r="AA1082" s="17" t="s">
        <v>46</v>
      </c>
      <c r="AB1082" s="17" t="s">
        <v>402</v>
      </c>
      <c r="AC1082" s="66">
        <v>44651</v>
      </c>
      <c r="AD1082" s="65">
        <v>1283</v>
      </c>
      <c r="AE1082" s="17" t="s">
        <v>74</v>
      </c>
      <c r="AF1082" s="149" t="s">
        <v>399</v>
      </c>
      <c r="AH1082" s="17" t="s">
        <v>400</v>
      </c>
      <c r="AI1082" s="17">
        <v>107</v>
      </c>
    </row>
    <row r="1083" s="17" customFormat="1" hidden="1" spans="1:35">
      <c r="A1083" s="17" t="s">
        <v>34</v>
      </c>
      <c r="B1083" s="19">
        <v>781</v>
      </c>
      <c r="C1083" s="101">
        <v>44623</v>
      </c>
      <c r="D1083" s="17" t="s">
        <v>52</v>
      </c>
      <c r="E1083" s="17" t="s">
        <v>291</v>
      </c>
      <c r="F1083" s="17" t="s">
        <v>54</v>
      </c>
      <c r="H1083" s="19">
        <v>1.2311</v>
      </c>
      <c r="I1083" s="19"/>
      <c r="J1083" s="17" t="s">
        <v>82</v>
      </c>
      <c r="K1083" s="19">
        <v>255</v>
      </c>
      <c r="L1083" s="91">
        <v>65</v>
      </c>
      <c r="M1083" s="19">
        <v>3000</v>
      </c>
      <c r="N1083" s="19" t="s">
        <v>66</v>
      </c>
      <c r="O1083" s="19" t="s">
        <v>141</v>
      </c>
      <c r="P1083" s="19">
        <v>2186</v>
      </c>
      <c r="Q1083" s="17">
        <v>632</v>
      </c>
      <c r="S1083" s="151">
        <v>1220</v>
      </c>
      <c r="T1083" s="19" t="s">
        <v>42</v>
      </c>
      <c r="U1083" s="102" t="s">
        <v>396</v>
      </c>
      <c r="V1083" s="64">
        <v>44628</v>
      </c>
      <c r="W1083" s="17" t="s">
        <v>69</v>
      </c>
      <c r="Y1083" s="68">
        <v>44621</v>
      </c>
      <c r="Z1083" s="17" t="s">
        <v>397</v>
      </c>
      <c r="AA1083" s="17" t="s">
        <v>46</v>
      </c>
      <c r="AB1083" s="17" t="s">
        <v>402</v>
      </c>
      <c r="AC1083" s="66">
        <v>44651</v>
      </c>
      <c r="AD1083" s="65">
        <v>1283</v>
      </c>
      <c r="AE1083" s="17" t="s">
        <v>74</v>
      </c>
      <c r="AF1083" s="149" t="s">
        <v>399</v>
      </c>
      <c r="AH1083" s="17" t="s">
        <v>400</v>
      </c>
      <c r="AI1083" s="17">
        <v>107</v>
      </c>
    </row>
    <row r="1084" s="17" customFormat="1" hidden="1" spans="1:35">
      <c r="A1084" s="17" t="s">
        <v>34</v>
      </c>
      <c r="B1084" s="19">
        <v>781</v>
      </c>
      <c r="C1084" s="101">
        <v>44623</v>
      </c>
      <c r="D1084" s="17" t="s">
        <v>52</v>
      </c>
      <c r="E1084" s="17" t="s">
        <v>291</v>
      </c>
      <c r="F1084" s="17" t="s">
        <v>54</v>
      </c>
      <c r="H1084" s="19">
        <v>1.2311</v>
      </c>
      <c r="I1084" s="19"/>
      <c r="J1084" s="17" t="s">
        <v>82</v>
      </c>
      <c r="K1084" s="19">
        <v>255</v>
      </c>
      <c r="L1084" s="91">
        <v>65</v>
      </c>
      <c r="M1084" s="19">
        <v>3500</v>
      </c>
      <c r="N1084" s="19" t="s">
        <v>66</v>
      </c>
      <c r="O1084" s="19" t="s">
        <v>141</v>
      </c>
      <c r="P1084" s="19"/>
      <c r="Q1084" s="17">
        <v>617</v>
      </c>
      <c r="R1084" s="17">
        <f>+P1083-Q1083-Q1084</f>
        <v>937</v>
      </c>
      <c r="S1084" s="151">
        <v>1220</v>
      </c>
      <c r="T1084" s="19" t="s">
        <v>42</v>
      </c>
      <c r="U1084" s="102" t="s">
        <v>396</v>
      </c>
      <c r="V1084" s="64">
        <v>44628</v>
      </c>
      <c r="W1084" s="17" t="s">
        <v>69</v>
      </c>
      <c r="Y1084" s="68">
        <v>44621</v>
      </c>
      <c r="Z1084" s="17" t="s">
        <v>397</v>
      </c>
      <c r="AA1084" s="17" t="s">
        <v>46</v>
      </c>
      <c r="AB1084" s="17" t="s">
        <v>398</v>
      </c>
      <c r="AC1084" s="66">
        <v>44666</v>
      </c>
      <c r="AD1084" s="65">
        <v>1289</v>
      </c>
      <c r="AE1084" s="17" t="s">
        <v>74</v>
      </c>
      <c r="AF1084" s="149"/>
      <c r="AH1084" s="17" t="s">
        <v>400</v>
      </c>
      <c r="AI1084" s="17">
        <v>107</v>
      </c>
    </row>
    <row r="1085" s="17" customFormat="1" hidden="1" spans="1:35">
      <c r="A1085" s="17" t="s">
        <v>34</v>
      </c>
      <c r="B1085" s="19">
        <v>781</v>
      </c>
      <c r="C1085" s="101">
        <v>44623</v>
      </c>
      <c r="D1085" s="17" t="s">
        <v>52</v>
      </c>
      <c r="E1085" s="17" t="s">
        <v>291</v>
      </c>
      <c r="F1085" s="17" t="s">
        <v>54</v>
      </c>
      <c r="H1085" s="19">
        <v>1.2311</v>
      </c>
      <c r="I1085" s="19"/>
      <c r="J1085" s="17" t="s">
        <v>82</v>
      </c>
      <c r="K1085" s="19">
        <v>305</v>
      </c>
      <c r="L1085" s="91">
        <v>65</v>
      </c>
      <c r="M1085" s="19">
        <v>3000</v>
      </c>
      <c r="N1085" s="19" t="s">
        <v>66</v>
      </c>
      <c r="O1085" s="19" t="s">
        <v>141</v>
      </c>
      <c r="P1085" s="19">
        <v>1961</v>
      </c>
      <c r="Q1085" s="17">
        <v>575</v>
      </c>
      <c r="R1085" s="17">
        <f>+P1085-Q1085</f>
        <v>1386</v>
      </c>
      <c r="S1085" s="151">
        <v>1220</v>
      </c>
      <c r="T1085" s="19" t="s">
        <v>42</v>
      </c>
      <c r="U1085" s="102" t="s">
        <v>396</v>
      </c>
      <c r="V1085" s="64">
        <v>44628</v>
      </c>
      <c r="W1085" s="17" t="s">
        <v>69</v>
      </c>
      <c r="Y1085" s="68">
        <v>44621</v>
      </c>
      <c r="Z1085" s="17" t="s">
        <v>397</v>
      </c>
      <c r="AA1085" s="17" t="s">
        <v>46</v>
      </c>
      <c r="AB1085" s="17" t="s">
        <v>402</v>
      </c>
      <c r="AC1085" s="66">
        <v>44651</v>
      </c>
      <c r="AD1085" s="65">
        <v>1283</v>
      </c>
      <c r="AE1085" s="17" t="s">
        <v>74</v>
      </c>
      <c r="AF1085" s="149" t="s">
        <v>399</v>
      </c>
      <c r="AH1085" s="17" t="s">
        <v>400</v>
      </c>
      <c r="AI1085" s="17">
        <v>107</v>
      </c>
    </row>
    <row r="1086" s="17" customFormat="1" hidden="1" spans="1:35">
      <c r="A1086" s="17" t="s">
        <v>34</v>
      </c>
      <c r="B1086" s="19">
        <v>781</v>
      </c>
      <c r="C1086" s="101">
        <v>44623</v>
      </c>
      <c r="D1086" s="17" t="s">
        <v>52</v>
      </c>
      <c r="E1086" s="17" t="s">
        <v>291</v>
      </c>
      <c r="F1086" s="17" t="s">
        <v>54</v>
      </c>
      <c r="H1086" s="19">
        <v>1.2311</v>
      </c>
      <c r="I1086" s="19"/>
      <c r="J1086" s="17" t="s">
        <v>82</v>
      </c>
      <c r="K1086" s="19">
        <v>355</v>
      </c>
      <c r="L1086" s="91">
        <v>65</v>
      </c>
      <c r="M1086" s="19">
        <v>3000</v>
      </c>
      <c r="N1086" s="19" t="s">
        <v>66</v>
      </c>
      <c r="O1086" s="19" t="s">
        <v>141</v>
      </c>
      <c r="P1086" s="19">
        <v>1522</v>
      </c>
      <c r="Q1086" s="17">
        <v>847</v>
      </c>
      <c r="R1086" s="17">
        <f>+P1086-Q1086</f>
        <v>675</v>
      </c>
      <c r="S1086" s="151">
        <v>1220</v>
      </c>
      <c r="T1086" s="19" t="s">
        <v>42</v>
      </c>
      <c r="U1086" s="102" t="s">
        <v>396</v>
      </c>
      <c r="V1086" s="64">
        <v>44628</v>
      </c>
      <c r="W1086" s="17" t="s">
        <v>69</v>
      </c>
      <c r="Y1086" s="68">
        <v>44621</v>
      </c>
      <c r="Z1086" s="17" t="s">
        <v>397</v>
      </c>
      <c r="AA1086" s="17" t="s">
        <v>46</v>
      </c>
      <c r="AB1086" s="17" t="s">
        <v>402</v>
      </c>
      <c r="AC1086" s="66">
        <v>44651</v>
      </c>
      <c r="AD1086" s="65">
        <v>1283</v>
      </c>
      <c r="AE1086" s="17" t="s">
        <v>74</v>
      </c>
      <c r="AF1086" s="149" t="s">
        <v>399</v>
      </c>
      <c r="AH1086" s="17" t="s">
        <v>400</v>
      </c>
      <c r="AI1086" s="17">
        <v>107</v>
      </c>
    </row>
    <row r="1087" s="17" customFormat="1" hidden="1" spans="1:35">
      <c r="A1087" s="17" t="s">
        <v>34</v>
      </c>
      <c r="B1087" s="19">
        <v>781</v>
      </c>
      <c r="C1087" s="101">
        <v>44623</v>
      </c>
      <c r="D1087" s="17" t="s">
        <v>52</v>
      </c>
      <c r="E1087" s="17" t="s">
        <v>291</v>
      </c>
      <c r="F1087" s="17" t="s">
        <v>54</v>
      </c>
      <c r="H1087" s="19">
        <v>1.2311</v>
      </c>
      <c r="I1087" s="19"/>
      <c r="J1087" s="17" t="s">
        <v>82</v>
      </c>
      <c r="K1087" s="19">
        <v>405</v>
      </c>
      <c r="L1087" s="91">
        <v>65</v>
      </c>
      <c r="M1087" s="19">
        <v>3000</v>
      </c>
      <c r="N1087" s="19" t="s">
        <v>66</v>
      </c>
      <c r="O1087" s="19" t="s">
        <v>141</v>
      </c>
      <c r="P1087" s="19">
        <v>1736</v>
      </c>
      <c r="Q1087" s="17">
        <f>897+995</f>
        <v>1892</v>
      </c>
      <c r="S1087" s="151">
        <v>1220</v>
      </c>
      <c r="T1087" s="19" t="s">
        <v>42</v>
      </c>
      <c r="U1087" s="102" t="s">
        <v>396</v>
      </c>
      <c r="V1087" s="64">
        <v>44628</v>
      </c>
      <c r="W1087" s="17" t="s">
        <v>69</v>
      </c>
      <c r="Y1087" s="68">
        <v>44621</v>
      </c>
      <c r="Z1087" s="17" t="s">
        <v>397</v>
      </c>
      <c r="AA1087" s="17" t="s">
        <v>46</v>
      </c>
      <c r="AB1087" s="17" t="s">
        <v>401</v>
      </c>
      <c r="AC1087" s="66">
        <v>44639</v>
      </c>
      <c r="AD1087" s="65">
        <v>1275</v>
      </c>
      <c r="AE1087" s="17" t="s">
        <v>74</v>
      </c>
      <c r="AF1087" s="149" t="s">
        <v>399</v>
      </c>
      <c r="AH1087" s="17" t="s">
        <v>400</v>
      </c>
      <c r="AI1087" s="17">
        <v>107</v>
      </c>
    </row>
    <row r="1088" s="17" customFormat="1" hidden="1" spans="1:35">
      <c r="A1088" s="17" t="s">
        <v>34</v>
      </c>
      <c r="B1088" s="19">
        <v>781</v>
      </c>
      <c r="C1088" s="101">
        <v>44623</v>
      </c>
      <c r="D1088" s="17" t="s">
        <v>52</v>
      </c>
      <c r="E1088" s="17" t="s">
        <v>291</v>
      </c>
      <c r="F1088" s="17" t="s">
        <v>54</v>
      </c>
      <c r="H1088" s="19">
        <v>1.2311</v>
      </c>
      <c r="I1088" s="19"/>
      <c r="J1088" s="17" t="s">
        <v>82</v>
      </c>
      <c r="K1088" s="19">
        <v>405</v>
      </c>
      <c r="L1088" s="91">
        <v>65</v>
      </c>
      <c r="M1088" s="19">
        <v>3500</v>
      </c>
      <c r="N1088" s="19" t="s">
        <v>66</v>
      </c>
      <c r="O1088" s="19" t="s">
        <v>141</v>
      </c>
      <c r="P1088" s="19"/>
      <c r="Q1088" s="17">
        <v>1091</v>
      </c>
      <c r="R1088" s="17">
        <f>+P1087-Q1087-Q1088</f>
        <v>-1247</v>
      </c>
      <c r="S1088" s="151">
        <v>1220</v>
      </c>
      <c r="T1088" s="19" t="s">
        <v>42</v>
      </c>
      <c r="U1088" s="102" t="s">
        <v>396</v>
      </c>
      <c r="V1088" s="64">
        <v>44628</v>
      </c>
      <c r="W1088" s="17" t="s">
        <v>69</v>
      </c>
      <c r="Y1088" s="68">
        <v>44621</v>
      </c>
      <c r="Z1088" s="17" t="s">
        <v>397</v>
      </c>
      <c r="AA1088" s="17" t="s">
        <v>46</v>
      </c>
      <c r="AB1088" s="17" t="s">
        <v>398</v>
      </c>
      <c r="AC1088" s="66">
        <v>44666</v>
      </c>
      <c r="AD1088" s="65">
        <v>1289</v>
      </c>
      <c r="AE1088" s="17" t="s">
        <v>74</v>
      </c>
      <c r="AF1088" s="149"/>
      <c r="AH1088" s="17" t="s">
        <v>400</v>
      </c>
      <c r="AI1088" s="17">
        <v>107</v>
      </c>
    </row>
    <row r="1089" s="18" customFormat="1" hidden="1" spans="1:35">
      <c r="B1089" s="75">
        <v>781</v>
      </c>
      <c r="C1089" s="135">
        <v>44623</v>
      </c>
      <c r="D1089" s="18" t="s">
        <v>52</v>
      </c>
      <c r="E1089" s="17" t="s">
        <v>291</v>
      </c>
      <c r="F1089" s="18" t="s">
        <v>54</v>
      </c>
      <c r="H1089" s="75">
        <v>1.2311</v>
      </c>
      <c r="I1089" s="75"/>
      <c r="J1089" s="18" t="s">
        <v>82</v>
      </c>
      <c r="K1089" s="152">
        <v>455</v>
      </c>
      <c r="L1089" s="153">
        <v>65</v>
      </c>
      <c r="M1089" s="75"/>
      <c r="N1089" s="75" t="s">
        <v>66</v>
      </c>
      <c r="O1089" s="75" t="s">
        <v>141</v>
      </c>
      <c r="P1089" s="152">
        <v>1950</v>
      </c>
      <c r="R1089" s="18">
        <f>+P1089-Q1089</f>
        <v>1950</v>
      </c>
      <c r="S1089" s="154">
        <v>1220</v>
      </c>
      <c r="T1089" s="75" t="s">
        <v>42</v>
      </c>
      <c r="U1089" s="137" t="s">
        <v>396</v>
      </c>
      <c r="V1089" s="138">
        <v>44628</v>
      </c>
      <c r="W1089" s="18" t="s">
        <v>69</v>
      </c>
      <c r="Y1089" s="114">
        <v>44621</v>
      </c>
      <c r="Z1089" s="18" t="s">
        <v>397</v>
      </c>
      <c r="AA1089" s="18" t="s">
        <v>46</v>
      </c>
      <c r="AC1089" s="83"/>
      <c r="AD1089" s="77"/>
      <c r="AE1089" s="18" t="s">
        <v>74</v>
      </c>
      <c r="AF1089" s="150" t="s">
        <v>399</v>
      </c>
      <c r="AH1089" s="17" t="s">
        <v>400</v>
      </c>
      <c r="AI1089" s="17">
        <v>107</v>
      </c>
    </row>
    <row r="1090" s="18" customFormat="1" hidden="1" spans="1:35">
      <c r="B1090" s="75">
        <v>781</v>
      </c>
      <c r="C1090" s="135">
        <v>44623</v>
      </c>
      <c r="D1090" s="18" t="s">
        <v>52</v>
      </c>
      <c r="E1090" s="17" t="s">
        <v>291</v>
      </c>
      <c r="F1090" s="18" t="s">
        <v>54</v>
      </c>
      <c r="H1090" s="75">
        <v>1.2311</v>
      </c>
      <c r="I1090" s="75"/>
      <c r="J1090" s="18" t="s">
        <v>82</v>
      </c>
      <c r="K1090" s="152">
        <v>505</v>
      </c>
      <c r="L1090" s="153">
        <v>65</v>
      </c>
      <c r="M1090" s="75"/>
      <c r="N1090" s="75" t="s">
        <v>66</v>
      </c>
      <c r="O1090" s="75" t="s">
        <v>141</v>
      </c>
      <c r="P1090" s="152">
        <v>1082</v>
      </c>
      <c r="R1090" s="18">
        <f>+P1090-Q1090</f>
        <v>1082</v>
      </c>
      <c r="S1090" s="154">
        <v>1220</v>
      </c>
      <c r="T1090" s="75" t="s">
        <v>42</v>
      </c>
      <c r="U1090" s="137" t="s">
        <v>396</v>
      </c>
      <c r="V1090" s="138">
        <v>44628</v>
      </c>
      <c r="W1090" s="18" t="s">
        <v>69</v>
      </c>
      <c r="Y1090" s="114">
        <v>44621</v>
      </c>
      <c r="Z1090" s="18" t="s">
        <v>397</v>
      </c>
      <c r="AA1090" s="18" t="s">
        <v>46</v>
      </c>
      <c r="AC1090" s="83"/>
      <c r="AD1090" s="77"/>
      <c r="AE1090" s="18" t="s">
        <v>74</v>
      </c>
      <c r="AF1090" s="150" t="s">
        <v>399</v>
      </c>
      <c r="AH1090" s="17" t="s">
        <v>400</v>
      </c>
      <c r="AI1090" s="17">
        <v>107</v>
      </c>
    </row>
    <row r="1091" s="17" customFormat="1" hidden="1" spans="1:35">
      <c r="A1091" s="17" t="s">
        <v>34</v>
      </c>
      <c r="B1091" s="19">
        <v>781</v>
      </c>
      <c r="C1091" s="101">
        <v>44623</v>
      </c>
      <c r="D1091" s="17" t="s">
        <v>52</v>
      </c>
      <c r="E1091" s="17" t="s">
        <v>291</v>
      </c>
      <c r="F1091" s="17" t="s">
        <v>54</v>
      </c>
      <c r="H1091" s="19">
        <v>1.2311</v>
      </c>
      <c r="I1091" s="19"/>
      <c r="J1091" s="17" t="s">
        <v>82</v>
      </c>
      <c r="K1091" s="19">
        <v>205</v>
      </c>
      <c r="L1091" s="91">
        <v>80</v>
      </c>
      <c r="M1091" s="19">
        <v>3000</v>
      </c>
      <c r="N1091" s="19" t="s">
        <v>66</v>
      </c>
      <c r="O1091" s="19" t="s">
        <v>141</v>
      </c>
      <c r="P1091" s="19">
        <v>2163</v>
      </c>
      <c r="Q1091" s="17">
        <f>485+615+613</f>
        <v>1713</v>
      </c>
      <c r="S1091" s="151">
        <v>1220</v>
      </c>
      <c r="T1091" s="19" t="s">
        <v>42</v>
      </c>
      <c r="U1091" s="102" t="s">
        <v>396</v>
      </c>
      <c r="V1091" s="64">
        <v>44628</v>
      </c>
      <c r="W1091" s="17" t="s">
        <v>69</v>
      </c>
      <c r="Y1091" s="68">
        <v>44621</v>
      </c>
      <c r="Z1091" s="17" t="s">
        <v>397</v>
      </c>
      <c r="AA1091" s="17" t="s">
        <v>46</v>
      </c>
      <c r="AB1091" s="17" t="s">
        <v>401</v>
      </c>
      <c r="AC1091" s="66">
        <v>44639</v>
      </c>
      <c r="AD1091" s="65">
        <v>1275</v>
      </c>
      <c r="AE1091" s="17" t="s">
        <v>74</v>
      </c>
      <c r="AF1091" s="149" t="s">
        <v>399</v>
      </c>
      <c r="AH1091" s="17" t="s">
        <v>400</v>
      </c>
      <c r="AI1091" s="17">
        <v>107</v>
      </c>
    </row>
    <row r="1092" s="17" customFormat="1" hidden="1" spans="1:35">
      <c r="A1092" s="17" t="s">
        <v>34</v>
      </c>
      <c r="B1092" s="19">
        <v>781</v>
      </c>
      <c r="C1092" s="101">
        <v>44623</v>
      </c>
      <c r="D1092" s="17" t="s">
        <v>52</v>
      </c>
      <c r="E1092" s="17" t="s">
        <v>291</v>
      </c>
      <c r="F1092" s="17" t="s">
        <v>54</v>
      </c>
      <c r="H1092" s="19">
        <v>1.2311</v>
      </c>
      <c r="I1092" s="19"/>
      <c r="J1092" s="17" t="s">
        <v>82</v>
      </c>
      <c r="K1092" s="19">
        <v>207</v>
      </c>
      <c r="L1092" s="91">
        <v>80</v>
      </c>
      <c r="M1092" s="19">
        <v>3000</v>
      </c>
      <c r="N1092" s="19" t="s">
        <v>66</v>
      </c>
      <c r="O1092" s="19" t="s">
        <v>141</v>
      </c>
      <c r="P1092" s="19"/>
      <c r="Q1092" s="17">
        <v>613</v>
      </c>
      <c r="R1092" s="17">
        <f>+P1091-Q1091-Q1092</f>
        <v>-163</v>
      </c>
      <c r="S1092" s="151">
        <v>1220</v>
      </c>
      <c r="T1092" s="19" t="s">
        <v>42</v>
      </c>
      <c r="U1092" s="102" t="s">
        <v>396</v>
      </c>
      <c r="V1092" s="64">
        <v>44628</v>
      </c>
      <c r="W1092" s="17" t="s">
        <v>69</v>
      </c>
      <c r="Y1092" s="68">
        <v>44621</v>
      </c>
      <c r="Z1092" s="17" t="s">
        <v>397</v>
      </c>
      <c r="AA1092" s="17" t="s">
        <v>46</v>
      </c>
      <c r="AB1092" s="17" t="s">
        <v>402</v>
      </c>
      <c r="AC1092" s="66">
        <v>44651</v>
      </c>
      <c r="AD1092" s="65">
        <v>1283</v>
      </c>
      <c r="AE1092" s="17" t="s">
        <v>74</v>
      </c>
      <c r="AF1092" s="149"/>
      <c r="AH1092" s="17" t="s">
        <v>400</v>
      </c>
      <c r="AI1092" s="17">
        <v>107</v>
      </c>
    </row>
    <row r="1093" s="17" customFormat="1" hidden="1" spans="1:35">
      <c r="A1093" s="17" t="s">
        <v>34</v>
      </c>
      <c r="B1093" s="19">
        <v>781</v>
      </c>
      <c r="C1093" s="101">
        <v>44623</v>
      </c>
      <c r="D1093" s="17" t="s">
        <v>52</v>
      </c>
      <c r="E1093" s="17" t="s">
        <v>291</v>
      </c>
      <c r="F1093" s="17" t="s">
        <v>54</v>
      </c>
      <c r="H1093" s="19">
        <v>1.2311</v>
      </c>
      <c r="I1093" s="19"/>
      <c r="J1093" s="17" t="s">
        <v>82</v>
      </c>
      <c r="K1093" s="19">
        <v>255</v>
      </c>
      <c r="L1093" s="91">
        <v>80</v>
      </c>
      <c r="M1093" s="19">
        <v>3000</v>
      </c>
      <c r="N1093" s="19" t="s">
        <v>66</v>
      </c>
      <c r="O1093" s="19" t="s">
        <v>141</v>
      </c>
      <c r="P1093" s="19">
        <v>2018</v>
      </c>
      <c r="Q1093" s="17">
        <f>757</f>
        <v>757</v>
      </c>
      <c r="S1093" s="151">
        <v>1220</v>
      </c>
      <c r="T1093" s="19" t="s">
        <v>42</v>
      </c>
      <c r="U1093" s="102" t="s">
        <v>396</v>
      </c>
      <c r="V1093" s="64">
        <v>44628</v>
      </c>
      <c r="W1093" s="17" t="s">
        <v>69</v>
      </c>
      <c r="Y1093" s="68">
        <v>44621</v>
      </c>
      <c r="Z1093" s="17" t="s">
        <v>397</v>
      </c>
      <c r="AA1093" s="17" t="s">
        <v>46</v>
      </c>
      <c r="AB1093" s="17" t="s">
        <v>401</v>
      </c>
      <c r="AC1093" s="66">
        <v>44639</v>
      </c>
      <c r="AD1093" s="65">
        <v>1275</v>
      </c>
      <c r="AE1093" s="17" t="s">
        <v>74</v>
      </c>
      <c r="AF1093" s="149" t="s">
        <v>399</v>
      </c>
      <c r="AH1093" s="17" t="s">
        <v>400</v>
      </c>
      <c r="AI1093" s="17">
        <v>107</v>
      </c>
    </row>
    <row r="1094" s="17" customFormat="1" hidden="1" spans="1:35">
      <c r="A1094" s="17" t="s">
        <v>34</v>
      </c>
      <c r="B1094" s="19">
        <v>781</v>
      </c>
      <c r="C1094" s="101">
        <v>44623</v>
      </c>
      <c r="D1094" s="17" t="s">
        <v>52</v>
      </c>
      <c r="E1094" s="17" t="s">
        <v>291</v>
      </c>
      <c r="F1094" s="17" t="s">
        <v>54</v>
      </c>
      <c r="H1094" s="19">
        <v>1.2311</v>
      </c>
      <c r="I1094" s="19"/>
      <c r="J1094" s="17" t="s">
        <v>82</v>
      </c>
      <c r="K1094" s="19">
        <v>255</v>
      </c>
      <c r="L1094" s="91">
        <v>80</v>
      </c>
      <c r="M1094" s="19">
        <v>3000</v>
      </c>
      <c r="N1094" s="19" t="s">
        <v>66</v>
      </c>
      <c r="O1094" s="19" t="s">
        <v>141</v>
      </c>
      <c r="P1094" s="19"/>
      <c r="Q1094" s="17">
        <f>599+599</f>
        <v>1198</v>
      </c>
      <c r="R1094" s="17">
        <f>+P1093-Q1093-Q1094</f>
        <v>63</v>
      </c>
      <c r="S1094" s="151">
        <v>1220</v>
      </c>
      <c r="T1094" s="19" t="s">
        <v>42</v>
      </c>
      <c r="U1094" s="102" t="s">
        <v>396</v>
      </c>
      <c r="V1094" s="64">
        <v>44628</v>
      </c>
      <c r="W1094" s="17" t="s">
        <v>69</v>
      </c>
      <c r="Y1094" s="68">
        <v>44621</v>
      </c>
      <c r="Z1094" s="17" t="s">
        <v>397</v>
      </c>
      <c r="AA1094" s="17" t="s">
        <v>46</v>
      </c>
      <c r="AB1094" s="17" t="s">
        <v>402</v>
      </c>
      <c r="AC1094" s="66">
        <v>44651</v>
      </c>
      <c r="AD1094" s="65">
        <v>1283</v>
      </c>
      <c r="AE1094" s="17" t="s">
        <v>74</v>
      </c>
      <c r="AF1094" s="149" t="s">
        <v>399</v>
      </c>
      <c r="AH1094" s="17" t="s">
        <v>400</v>
      </c>
      <c r="AI1094" s="17">
        <v>107</v>
      </c>
    </row>
    <row r="1095" s="17" customFormat="1" hidden="1" spans="1:35">
      <c r="A1095" s="17" t="s">
        <v>34</v>
      </c>
      <c r="B1095" s="19">
        <v>781</v>
      </c>
      <c r="C1095" s="101">
        <v>44623</v>
      </c>
      <c r="D1095" s="17" t="s">
        <v>52</v>
      </c>
      <c r="E1095" s="17" t="s">
        <v>291</v>
      </c>
      <c r="F1095" s="17" t="s">
        <v>54</v>
      </c>
      <c r="H1095" s="19">
        <v>1.2311</v>
      </c>
      <c r="I1095" s="19"/>
      <c r="J1095" s="17" t="s">
        <v>82</v>
      </c>
      <c r="K1095" s="19">
        <v>305</v>
      </c>
      <c r="L1095" s="91">
        <v>80</v>
      </c>
      <c r="M1095" s="19">
        <v>3000</v>
      </c>
      <c r="N1095" s="19" t="s">
        <v>66</v>
      </c>
      <c r="O1095" s="19" t="s">
        <v>141</v>
      </c>
      <c r="P1095" s="19">
        <v>1609</v>
      </c>
      <c r="Q1095" s="17">
        <f>893+895</f>
        <v>1788</v>
      </c>
      <c r="R1095" s="17">
        <f t="shared" ref="R1095:R1112" si="65">+P1095-Q1095</f>
        <v>-179</v>
      </c>
      <c r="S1095" s="151">
        <v>1220</v>
      </c>
      <c r="T1095" s="19" t="s">
        <v>42</v>
      </c>
      <c r="U1095" s="102" t="s">
        <v>396</v>
      </c>
      <c r="V1095" s="64">
        <v>44628</v>
      </c>
      <c r="W1095" s="17" t="s">
        <v>69</v>
      </c>
      <c r="Y1095" s="68">
        <v>44621</v>
      </c>
      <c r="Z1095" s="17" t="s">
        <v>397</v>
      </c>
      <c r="AA1095" s="17" t="s">
        <v>46</v>
      </c>
      <c r="AB1095" s="17" t="s">
        <v>402</v>
      </c>
      <c r="AC1095" s="66">
        <v>44651</v>
      </c>
      <c r="AD1095" s="65">
        <v>1283</v>
      </c>
      <c r="AE1095" s="17" t="s">
        <v>74</v>
      </c>
      <c r="AF1095" s="149" t="s">
        <v>399</v>
      </c>
      <c r="AH1095" s="17" t="s">
        <v>400</v>
      </c>
      <c r="AI1095" s="17">
        <v>107</v>
      </c>
    </row>
    <row r="1096" s="17" customFormat="1" hidden="1" spans="1:35">
      <c r="A1096" s="17" t="s">
        <v>34</v>
      </c>
      <c r="B1096" s="19">
        <v>781</v>
      </c>
      <c r="C1096" s="101">
        <v>44623</v>
      </c>
      <c r="D1096" s="17" t="s">
        <v>52</v>
      </c>
      <c r="E1096" s="17" t="s">
        <v>291</v>
      </c>
      <c r="F1096" s="17" t="s">
        <v>54</v>
      </c>
      <c r="H1096" s="19">
        <v>1.2311</v>
      </c>
      <c r="I1096" s="19"/>
      <c r="J1096" s="17" t="s">
        <v>82</v>
      </c>
      <c r="K1096" s="19">
        <v>355</v>
      </c>
      <c r="L1096" s="91">
        <v>80</v>
      </c>
      <c r="M1096" s="19">
        <v>3000</v>
      </c>
      <c r="N1096" s="19" t="s">
        <v>66</v>
      </c>
      <c r="O1096" s="19" t="s">
        <v>141</v>
      </c>
      <c r="P1096" s="19">
        <v>1873</v>
      </c>
      <c r="Q1096" s="17">
        <f>923+1037</f>
        <v>1960</v>
      </c>
      <c r="R1096" s="17">
        <f t="shared" si="65"/>
        <v>-87</v>
      </c>
      <c r="S1096" s="151">
        <v>1220</v>
      </c>
      <c r="T1096" s="19" t="s">
        <v>42</v>
      </c>
      <c r="U1096" s="102" t="s">
        <v>396</v>
      </c>
      <c r="V1096" s="64">
        <v>44628</v>
      </c>
      <c r="W1096" s="17" t="s">
        <v>69</v>
      </c>
      <c r="Y1096" s="68">
        <v>44621</v>
      </c>
      <c r="Z1096" s="17" t="s">
        <v>397</v>
      </c>
      <c r="AA1096" s="17" t="s">
        <v>46</v>
      </c>
      <c r="AB1096" s="17" t="s">
        <v>402</v>
      </c>
      <c r="AC1096" s="66">
        <v>44651</v>
      </c>
      <c r="AD1096" s="65">
        <v>1283</v>
      </c>
      <c r="AE1096" s="17" t="s">
        <v>74</v>
      </c>
      <c r="AF1096" s="149" t="s">
        <v>399</v>
      </c>
      <c r="AH1096" s="17" t="s">
        <v>400</v>
      </c>
      <c r="AI1096" s="17">
        <v>107</v>
      </c>
    </row>
    <row r="1097" s="17" customFormat="1" hidden="1" spans="1:35">
      <c r="A1097" s="17" t="s">
        <v>34</v>
      </c>
      <c r="B1097" s="19">
        <v>781</v>
      </c>
      <c r="C1097" s="101">
        <v>44623</v>
      </c>
      <c r="D1097" s="17" t="s">
        <v>52</v>
      </c>
      <c r="E1097" s="17" t="s">
        <v>291</v>
      </c>
      <c r="F1097" s="17" t="s">
        <v>54</v>
      </c>
      <c r="H1097" s="19">
        <v>1.2311</v>
      </c>
      <c r="I1097" s="19"/>
      <c r="J1097" s="17" t="s">
        <v>82</v>
      </c>
      <c r="K1097" s="19">
        <v>405</v>
      </c>
      <c r="L1097" s="91">
        <v>80</v>
      </c>
      <c r="M1097" s="19">
        <v>3000</v>
      </c>
      <c r="N1097" s="19" t="s">
        <v>66</v>
      </c>
      <c r="O1097" s="19" t="s">
        <v>141</v>
      </c>
      <c r="P1097" s="19">
        <v>1068</v>
      </c>
      <c r="Q1097" s="17">
        <v>1178</v>
      </c>
      <c r="R1097" s="17">
        <f t="shared" si="65"/>
        <v>-110</v>
      </c>
      <c r="S1097" s="151">
        <v>1220</v>
      </c>
      <c r="T1097" s="19" t="s">
        <v>42</v>
      </c>
      <c r="U1097" s="102" t="s">
        <v>396</v>
      </c>
      <c r="V1097" s="64">
        <v>44628</v>
      </c>
      <c r="W1097" s="17" t="s">
        <v>69</v>
      </c>
      <c r="Y1097" s="68">
        <v>44621</v>
      </c>
      <c r="Z1097" s="17" t="s">
        <v>397</v>
      </c>
      <c r="AA1097" s="17" t="s">
        <v>46</v>
      </c>
      <c r="AB1097" s="17" t="s">
        <v>402</v>
      </c>
      <c r="AC1097" s="66">
        <v>44651</v>
      </c>
      <c r="AD1097" s="65">
        <v>1283</v>
      </c>
      <c r="AE1097" s="17" t="s">
        <v>74</v>
      </c>
      <c r="AF1097" s="149" t="s">
        <v>399</v>
      </c>
      <c r="AH1097" s="17" t="s">
        <v>400</v>
      </c>
      <c r="AI1097" s="17">
        <v>107</v>
      </c>
    </row>
    <row r="1098" s="17" customFormat="1" hidden="1" spans="1:35">
      <c r="A1098" s="17" t="s">
        <v>34</v>
      </c>
      <c r="B1098" s="19">
        <v>781</v>
      </c>
      <c r="C1098" s="101">
        <v>44623</v>
      </c>
      <c r="D1098" s="17" t="s">
        <v>52</v>
      </c>
      <c r="E1098" s="17" t="s">
        <v>291</v>
      </c>
      <c r="F1098" s="17" t="s">
        <v>54</v>
      </c>
      <c r="H1098" s="19">
        <v>1.2311</v>
      </c>
      <c r="I1098" s="19"/>
      <c r="J1098" s="17" t="s">
        <v>82</v>
      </c>
      <c r="K1098" s="19">
        <v>455</v>
      </c>
      <c r="L1098" s="91">
        <v>80</v>
      </c>
      <c r="M1098" s="19">
        <v>3000</v>
      </c>
      <c r="N1098" s="19" t="s">
        <v>66</v>
      </c>
      <c r="O1098" s="19" t="s">
        <v>141</v>
      </c>
      <c r="P1098" s="19">
        <v>1200</v>
      </c>
      <c r="Q1098" s="17">
        <v>1332</v>
      </c>
      <c r="R1098" s="17">
        <f t="shared" si="65"/>
        <v>-132</v>
      </c>
      <c r="S1098" s="151">
        <v>1220</v>
      </c>
      <c r="T1098" s="19" t="s">
        <v>42</v>
      </c>
      <c r="U1098" s="102" t="s">
        <v>396</v>
      </c>
      <c r="V1098" s="64">
        <v>44628</v>
      </c>
      <c r="W1098" s="17" t="s">
        <v>69</v>
      </c>
      <c r="Y1098" s="68">
        <v>44621</v>
      </c>
      <c r="Z1098" s="17" t="s">
        <v>397</v>
      </c>
      <c r="AA1098" s="17" t="s">
        <v>46</v>
      </c>
      <c r="AB1098" s="17" t="s">
        <v>402</v>
      </c>
      <c r="AC1098" s="66">
        <v>44651</v>
      </c>
      <c r="AD1098" s="65">
        <v>1283</v>
      </c>
      <c r="AE1098" s="17" t="s">
        <v>74</v>
      </c>
      <c r="AF1098" s="149" t="s">
        <v>399</v>
      </c>
      <c r="AH1098" s="17" t="s">
        <v>400</v>
      </c>
      <c r="AI1098" s="17">
        <v>107</v>
      </c>
    </row>
    <row r="1099" s="17" customFormat="1" hidden="1" spans="1:35">
      <c r="A1099" s="17" t="s">
        <v>34</v>
      </c>
      <c r="B1099" s="19">
        <v>781</v>
      </c>
      <c r="C1099" s="101">
        <v>44623</v>
      </c>
      <c r="D1099" s="17" t="s">
        <v>52</v>
      </c>
      <c r="E1099" s="17" t="s">
        <v>291</v>
      </c>
      <c r="F1099" s="17" t="s">
        <v>54</v>
      </c>
      <c r="H1099" s="19">
        <v>1.2311</v>
      </c>
      <c r="I1099" s="19"/>
      <c r="J1099" s="17" t="s">
        <v>82</v>
      </c>
      <c r="K1099" s="19">
        <v>505</v>
      </c>
      <c r="L1099" s="91">
        <v>80</v>
      </c>
      <c r="M1099" s="19">
        <v>3000</v>
      </c>
      <c r="N1099" s="19" t="s">
        <v>66</v>
      </c>
      <c r="O1099" s="19" t="s">
        <v>141</v>
      </c>
      <c r="P1099" s="19">
        <v>1332</v>
      </c>
      <c r="Q1099" s="17">
        <v>1468</v>
      </c>
      <c r="R1099" s="17">
        <f t="shared" si="65"/>
        <v>-136</v>
      </c>
      <c r="S1099" s="151">
        <v>1220</v>
      </c>
      <c r="T1099" s="19" t="s">
        <v>42</v>
      </c>
      <c r="U1099" s="102" t="s">
        <v>396</v>
      </c>
      <c r="V1099" s="64">
        <v>44628</v>
      </c>
      <c r="W1099" s="17" t="s">
        <v>69</v>
      </c>
      <c r="Y1099" s="68">
        <v>44621</v>
      </c>
      <c r="Z1099" s="17" t="s">
        <v>397</v>
      </c>
      <c r="AA1099" s="17" t="s">
        <v>46</v>
      </c>
      <c r="AB1099" s="17" t="s">
        <v>402</v>
      </c>
      <c r="AC1099" s="66">
        <v>44651</v>
      </c>
      <c r="AD1099" s="65">
        <v>1283</v>
      </c>
      <c r="AE1099" s="17" t="s">
        <v>74</v>
      </c>
      <c r="AF1099" s="149" t="s">
        <v>399</v>
      </c>
      <c r="AH1099" s="17" t="s">
        <v>400</v>
      </c>
      <c r="AI1099" s="17">
        <v>107</v>
      </c>
    </row>
    <row r="1100" s="17" customFormat="1" hidden="1" spans="1:35">
      <c r="A1100" s="17" t="s">
        <v>34</v>
      </c>
      <c r="B1100" s="19">
        <v>782</v>
      </c>
      <c r="C1100" s="64">
        <v>44623</v>
      </c>
      <c r="D1100" s="17" t="s">
        <v>52</v>
      </c>
      <c r="E1100" s="17" t="s">
        <v>187</v>
      </c>
      <c r="F1100" s="17" t="s">
        <v>54</v>
      </c>
      <c r="H1100" s="65">
        <v>1.2738</v>
      </c>
      <c r="I1100" s="65"/>
      <c r="J1100" s="17" t="s">
        <v>49</v>
      </c>
      <c r="K1100" s="17">
        <v>1630</v>
      </c>
      <c r="L1100" s="17">
        <v>375</v>
      </c>
      <c r="M1100" s="17">
        <v>3745</v>
      </c>
      <c r="N1100" s="17" t="s">
        <v>66</v>
      </c>
      <c r="O1100" s="19" t="s">
        <v>149</v>
      </c>
      <c r="P1100" s="19">
        <v>14740</v>
      </c>
      <c r="Q1100" s="17">
        <v>15010</v>
      </c>
      <c r="R1100" s="17">
        <f t="shared" si="65"/>
        <v>-270</v>
      </c>
      <c r="S1100" s="17">
        <v>2016</v>
      </c>
      <c r="T1100" s="19" t="s">
        <v>42</v>
      </c>
      <c r="U1100" s="17" t="s">
        <v>403</v>
      </c>
      <c r="V1100" s="64">
        <v>44626</v>
      </c>
      <c r="W1100" s="17" t="s">
        <v>69</v>
      </c>
      <c r="Y1100" s="68">
        <v>44621</v>
      </c>
      <c r="Z1100" s="17" t="s">
        <v>191</v>
      </c>
      <c r="AA1100" s="17" t="s">
        <v>46</v>
      </c>
      <c r="AB1100" s="17" t="s">
        <v>404</v>
      </c>
      <c r="AC1100" s="66">
        <v>44653</v>
      </c>
      <c r="AD1100" s="65">
        <v>1286</v>
      </c>
      <c r="AE1100" s="17" t="s">
        <v>48</v>
      </c>
      <c r="AF1100" s="17" t="s">
        <v>193</v>
      </c>
    </row>
    <row r="1101" s="17" customFormat="1" hidden="1" spans="1:35">
      <c r="A1101" s="17" t="s">
        <v>34</v>
      </c>
      <c r="B1101" s="19">
        <v>782</v>
      </c>
      <c r="C1101" s="64">
        <v>44623</v>
      </c>
      <c r="D1101" s="17" t="s">
        <v>52</v>
      </c>
      <c r="E1101" s="17" t="s">
        <v>187</v>
      </c>
      <c r="F1101" s="17" t="s">
        <v>54</v>
      </c>
      <c r="H1101" s="65">
        <v>1.2738</v>
      </c>
      <c r="I1101" s="65"/>
      <c r="J1101" s="17" t="s">
        <v>49</v>
      </c>
      <c r="K1101" s="17">
        <v>1620</v>
      </c>
      <c r="L1101" s="17">
        <v>420</v>
      </c>
      <c r="M1101" s="17">
        <v>3300</v>
      </c>
      <c r="N1101" s="17" t="s">
        <v>66</v>
      </c>
      <c r="O1101" s="19" t="s">
        <v>149</v>
      </c>
      <c r="P1101" s="19">
        <v>12514</v>
      </c>
      <c r="Q1101" s="17">
        <v>12940</v>
      </c>
      <c r="R1101" s="17">
        <f t="shared" si="65"/>
        <v>-426</v>
      </c>
      <c r="S1101" s="17">
        <v>2016</v>
      </c>
      <c r="T1101" s="19" t="s">
        <v>42</v>
      </c>
      <c r="U1101" s="17" t="s">
        <v>403</v>
      </c>
      <c r="V1101" s="64">
        <v>44626</v>
      </c>
      <c r="W1101" s="17" t="s">
        <v>69</v>
      </c>
      <c r="Y1101" s="68">
        <v>44621</v>
      </c>
      <c r="Z1101" s="17" t="s">
        <v>191</v>
      </c>
      <c r="AA1101" s="17" t="s">
        <v>46</v>
      </c>
      <c r="AB1101" s="17" t="s">
        <v>404</v>
      </c>
      <c r="AC1101" s="66">
        <v>44653</v>
      </c>
      <c r="AD1101" s="65">
        <v>1286</v>
      </c>
      <c r="AE1101" s="17" t="s">
        <v>48</v>
      </c>
      <c r="AF1101" s="17" t="s">
        <v>193</v>
      </c>
    </row>
    <row r="1102" s="17" customFormat="1" hidden="1" spans="1:35">
      <c r="A1102" s="17" t="s">
        <v>34</v>
      </c>
      <c r="B1102" s="19">
        <v>782</v>
      </c>
      <c r="C1102" s="64">
        <v>44623</v>
      </c>
      <c r="D1102" s="17" t="s">
        <v>52</v>
      </c>
      <c r="E1102" s="17" t="s">
        <v>187</v>
      </c>
      <c r="F1102" s="17" t="s">
        <v>54</v>
      </c>
      <c r="H1102" s="65">
        <v>1.2311</v>
      </c>
      <c r="I1102" s="65"/>
      <c r="J1102" s="17" t="s">
        <v>49</v>
      </c>
      <c r="K1102" s="17">
        <v>1640</v>
      </c>
      <c r="L1102" s="17">
        <v>485</v>
      </c>
      <c r="M1102" s="17">
        <v>3420</v>
      </c>
      <c r="N1102" s="17" t="s">
        <v>66</v>
      </c>
      <c r="O1102" s="19" t="s">
        <v>149</v>
      </c>
      <c r="P1102" s="19">
        <v>14522</v>
      </c>
      <c r="Q1102" s="17">
        <v>17880</v>
      </c>
      <c r="R1102" s="17">
        <f t="shared" si="65"/>
        <v>-3358</v>
      </c>
      <c r="S1102" s="17">
        <v>1813</v>
      </c>
      <c r="T1102" s="19" t="s">
        <v>42</v>
      </c>
      <c r="U1102" s="17" t="s">
        <v>403</v>
      </c>
      <c r="V1102" s="64">
        <v>44626</v>
      </c>
      <c r="W1102" s="17" t="s">
        <v>69</v>
      </c>
      <c r="Y1102" s="68">
        <v>44621</v>
      </c>
      <c r="Z1102" s="17" t="s">
        <v>191</v>
      </c>
      <c r="AA1102" s="17" t="s">
        <v>46</v>
      </c>
      <c r="AB1102" s="17" t="s">
        <v>404</v>
      </c>
      <c r="AC1102" s="66">
        <v>44653</v>
      </c>
      <c r="AD1102" s="65">
        <v>1286</v>
      </c>
      <c r="AE1102" s="17" t="s">
        <v>48</v>
      </c>
      <c r="AF1102" s="17" t="s">
        <v>193</v>
      </c>
    </row>
    <row r="1103" s="17" customFormat="1" hidden="1" spans="1:35">
      <c r="A1103" s="17" t="s">
        <v>34</v>
      </c>
      <c r="B1103" s="19">
        <v>783</v>
      </c>
      <c r="C1103" s="101">
        <v>44623</v>
      </c>
      <c r="D1103" s="17" t="s">
        <v>52</v>
      </c>
      <c r="E1103" s="17" t="s">
        <v>187</v>
      </c>
      <c r="F1103" s="17" t="s">
        <v>54</v>
      </c>
      <c r="H1103" s="19">
        <v>1.2738</v>
      </c>
      <c r="I1103" s="19"/>
      <c r="J1103" s="17" t="s">
        <v>49</v>
      </c>
      <c r="K1103" s="17">
        <v>1550</v>
      </c>
      <c r="L1103" s="91">
        <v>255</v>
      </c>
      <c r="M1103" s="17">
        <v>4000</v>
      </c>
      <c r="N1103" s="17" t="s">
        <v>66</v>
      </c>
      <c r="O1103" s="19" t="s">
        <v>168</v>
      </c>
      <c r="P1103" s="19">
        <v>10859</v>
      </c>
      <c r="Q1103" s="17">
        <v>11030</v>
      </c>
      <c r="R1103" s="17">
        <f t="shared" si="65"/>
        <v>-171</v>
      </c>
      <c r="S1103" s="17">
        <v>1805</v>
      </c>
      <c r="T1103" s="19" t="s">
        <v>42</v>
      </c>
      <c r="U1103" s="102" t="s">
        <v>405</v>
      </c>
      <c r="V1103" s="64">
        <v>44626</v>
      </c>
      <c r="W1103" s="17" t="s">
        <v>69</v>
      </c>
      <c r="Y1103" s="68">
        <v>44682</v>
      </c>
      <c r="Z1103" s="17" t="s">
        <v>191</v>
      </c>
      <c r="AA1103" s="17" t="s">
        <v>46</v>
      </c>
      <c r="AB1103" s="17" t="s">
        <v>381</v>
      </c>
      <c r="AC1103" s="66">
        <v>44662</v>
      </c>
      <c r="AD1103" s="65">
        <v>1290</v>
      </c>
      <c r="AE1103" s="17" t="s">
        <v>48</v>
      </c>
      <c r="AF1103" s="17" t="s">
        <v>193</v>
      </c>
    </row>
    <row r="1104" s="17" customFormat="1" hidden="1" spans="1:35">
      <c r="A1104" s="17" t="s">
        <v>34</v>
      </c>
      <c r="B1104" s="19">
        <v>783</v>
      </c>
      <c r="C1104" s="101">
        <v>44623</v>
      </c>
      <c r="D1104" s="17" t="s">
        <v>52</v>
      </c>
      <c r="E1104" s="17" t="s">
        <v>187</v>
      </c>
      <c r="F1104" s="17" t="s">
        <v>54</v>
      </c>
      <c r="H1104" s="19">
        <v>1.2738</v>
      </c>
      <c r="I1104" s="19"/>
      <c r="J1104" s="17" t="s">
        <v>49</v>
      </c>
      <c r="K1104" s="17">
        <v>1550</v>
      </c>
      <c r="L1104" s="91">
        <v>355</v>
      </c>
      <c r="M1104" s="17">
        <v>4000</v>
      </c>
      <c r="N1104" s="17" t="s">
        <v>66</v>
      </c>
      <c r="O1104" s="19" t="s">
        <v>168</v>
      </c>
      <c r="P1104" s="19">
        <v>15118</v>
      </c>
      <c r="Q1104" s="17">
        <v>13784</v>
      </c>
      <c r="R1104" s="17">
        <f t="shared" si="65"/>
        <v>1334</v>
      </c>
      <c r="S1104" s="17">
        <v>1805</v>
      </c>
      <c r="T1104" s="19" t="s">
        <v>42</v>
      </c>
      <c r="U1104" s="102" t="s">
        <v>405</v>
      </c>
      <c r="V1104" s="64">
        <v>44626</v>
      </c>
      <c r="W1104" s="17" t="s">
        <v>69</v>
      </c>
      <c r="Y1104" s="68">
        <v>44682</v>
      </c>
      <c r="Z1104" s="17" t="s">
        <v>191</v>
      </c>
      <c r="AA1104" s="17" t="s">
        <v>46</v>
      </c>
      <c r="AB1104" s="17" t="s">
        <v>366</v>
      </c>
      <c r="AC1104" s="66">
        <v>44714</v>
      </c>
      <c r="AD1104" s="65">
        <v>1306</v>
      </c>
      <c r="AE1104" s="17" t="s">
        <v>48</v>
      </c>
      <c r="AF1104" s="17" t="s">
        <v>193</v>
      </c>
    </row>
    <row r="1105" s="17" customFormat="1" hidden="1" spans="1:35">
      <c r="A1105" s="17" t="s">
        <v>34</v>
      </c>
      <c r="B1105" s="19">
        <v>783</v>
      </c>
      <c r="C1105" s="101">
        <v>44623</v>
      </c>
      <c r="D1105" s="17" t="s">
        <v>52</v>
      </c>
      <c r="E1105" s="17" t="s">
        <v>187</v>
      </c>
      <c r="F1105" s="17" t="s">
        <v>54</v>
      </c>
      <c r="H1105" s="19">
        <v>1.2311</v>
      </c>
      <c r="I1105" s="19"/>
      <c r="J1105" s="17" t="s">
        <v>49</v>
      </c>
      <c r="K1105" s="17">
        <v>1550</v>
      </c>
      <c r="L1105" s="91">
        <v>255</v>
      </c>
      <c r="M1105" s="17">
        <v>4000</v>
      </c>
      <c r="N1105" s="17" t="s">
        <v>66</v>
      </c>
      <c r="O1105" s="19" t="s">
        <v>168</v>
      </c>
      <c r="P1105" s="19">
        <v>10859</v>
      </c>
      <c r="Q1105" s="17">
        <v>12130</v>
      </c>
      <c r="R1105" s="17">
        <f t="shared" si="65"/>
        <v>-1271</v>
      </c>
      <c r="S1105" s="17">
        <v>1635</v>
      </c>
      <c r="T1105" s="19" t="s">
        <v>42</v>
      </c>
      <c r="U1105" s="102" t="s">
        <v>405</v>
      </c>
      <c r="V1105" s="64">
        <v>44626</v>
      </c>
      <c r="W1105" s="17" t="s">
        <v>69</v>
      </c>
      <c r="Y1105" s="68">
        <v>44682</v>
      </c>
      <c r="Z1105" s="17" t="s">
        <v>191</v>
      </c>
      <c r="AA1105" s="17" t="s">
        <v>46</v>
      </c>
      <c r="AB1105" s="17" t="s">
        <v>381</v>
      </c>
      <c r="AC1105" s="66">
        <v>44662</v>
      </c>
      <c r="AD1105" s="65">
        <v>1290</v>
      </c>
      <c r="AE1105" s="17" t="s">
        <v>48</v>
      </c>
      <c r="AF1105" s="17" t="s">
        <v>193</v>
      </c>
    </row>
    <row r="1106" s="17" customFormat="1" hidden="1" spans="1:35">
      <c r="A1106" s="17" t="s">
        <v>34</v>
      </c>
      <c r="B1106" s="19">
        <v>783</v>
      </c>
      <c r="C1106" s="101">
        <v>44623</v>
      </c>
      <c r="D1106" s="17" t="s">
        <v>52</v>
      </c>
      <c r="E1106" s="17" t="s">
        <v>187</v>
      </c>
      <c r="F1106" s="17" t="s">
        <v>54</v>
      </c>
      <c r="H1106" s="19">
        <v>1.2311</v>
      </c>
      <c r="I1106" s="19"/>
      <c r="J1106" s="17" t="s">
        <v>49</v>
      </c>
      <c r="K1106" s="17">
        <v>1550</v>
      </c>
      <c r="L1106" s="91">
        <v>405</v>
      </c>
      <c r="M1106" s="17">
        <v>4000</v>
      </c>
      <c r="N1106" s="17" t="s">
        <v>66</v>
      </c>
      <c r="O1106" s="19" t="s">
        <v>168</v>
      </c>
      <c r="P1106" s="19">
        <v>17247</v>
      </c>
      <c r="Q1106" s="17">
        <v>19570</v>
      </c>
      <c r="R1106" s="17">
        <f t="shared" si="65"/>
        <v>-2323</v>
      </c>
      <c r="S1106" s="17">
        <v>1635</v>
      </c>
      <c r="T1106" s="19" t="s">
        <v>42</v>
      </c>
      <c r="U1106" s="102" t="s">
        <v>405</v>
      </c>
      <c r="V1106" s="64">
        <v>44626</v>
      </c>
      <c r="W1106" s="17" t="s">
        <v>69</v>
      </c>
      <c r="Y1106" s="68">
        <v>44682</v>
      </c>
      <c r="Z1106" s="17" t="s">
        <v>191</v>
      </c>
      <c r="AA1106" s="17" t="s">
        <v>46</v>
      </c>
      <c r="AB1106" s="17" t="s">
        <v>381</v>
      </c>
      <c r="AC1106" s="66">
        <v>44662</v>
      </c>
      <c r="AD1106" s="65">
        <v>1290</v>
      </c>
      <c r="AE1106" s="17" t="s">
        <v>48</v>
      </c>
      <c r="AF1106" s="17" t="s">
        <v>193</v>
      </c>
    </row>
    <row r="1107" s="17" customFormat="1" hidden="1" spans="1:35">
      <c r="A1107" s="17" t="s">
        <v>34</v>
      </c>
      <c r="B1107" s="19">
        <v>784</v>
      </c>
      <c r="C1107" s="101">
        <v>44624</v>
      </c>
      <c r="D1107" s="17" t="s">
        <v>181</v>
      </c>
      <c r="E1107" s="17" t="s">
        <v>182</v>
      </c>
      <c r="F1107" s="17" t="s">
        <v>183</v>
      </c>
      <c r="H1107" s="19">
        <v>1.2316</v>
      </c>
      <c r="I1107" s="19"/>
      <c r="J1107" s="17" t="s">
        <v>49</v>
      </c>
      <c r="K1107" s="17">
        <v>1250</v>
      </c>
      <c r="L1107" s="91">
        <v>255</v>
      </c>
      <c r="M1107" s="19">
        <v>4400</v>
      </c>
      <c r="N1107" s="19" t="s">
        <v>66</v>
      </c>
      <c r="O1107" s="19" t="s">
        <v>149</v>
      </c>
      <c r="P1107" s="19">
        <v>10800</v>
      </c>
      <c r="Q1107" s="17">
        <v>9990</v>
      </c>
      <c r="R1107" s="17">
        <f t="shared" si="65"/>
        <v>810</v>
      </c>
      <c r="S1107" s="17">
        <v>3750</v>
      </c>
      <c r="T1107" s="19" t="s">
        <v>94</v>
      </c>
      <c r="U1107" s="102">
        <v>8220188</v>
      </c>
      <c r="V1107" s="110">
        <v>44627</v>
      </c>
      <c r="W1107" s="17" t="s">
        <v>406</v>
      </c>
      <c r="Y1107" s="68">
        <v>44713</v>
      </c>
      <c r="Z1107" s="17" t="s">
        <v>407</v>
      </c>
      <c r="AA1107" s="17" t="s">
        <v>46</v>
      </c>
      <c r="AB1107" s="17">
        <v>82200440</v>
      </c>
      <c r="AC1107" s="66" t="s">
        <v>408</v>
      </c>
      <c r="AD1107" s="65">
        <v>1304</v>
      </c>
      <c r="AE1107" s="17" t="s">
        <v>48</v>
      </c>
    </row>
    <row r="1108" s="17" customFormat="1" hidden="1" spans="1:35">
      <c r="A1108" s="17" t="s">
        <v>34</v>
      </c>
      <c r="B1108" s="19">
        <v>784</v>
      </c>
      <c r="C1108" s="101">
        <v>44624</v>
      </c>
      <c r="D1108" s="17" t="s">
        <v>181</v>
      </c>
      <c r="E1108" s="17" t="s">
        <v>182</v>
      </c>
      <c r="F1108" s="17" t="s">
        <v>183</v>
      </c>
      <c r="H1108" s="19">
        <v>1.2316</v>
      </c>
      <c r="I1108" s="19"/>
      <c r="J1108" s="17" t="s">
        <v>49</v>
      </c>
      <c r="K1108" s="17">
        <v>1250</v>
      </c>
      <c r="L1108" s="91">
        <v>305</v>
      </c>
      <c r="M1108" s="19">
        <v>3700</v>
      </c>
      <c r="N1108" s="19" t="s">
        <v>66</v>
      </c>
      <c r="O1108" s="19" t="s">
        <v>149</v>
      </c>
      <c r="P1108" s="19">
        <v>10900</v>
      </c>
      <c r="Q1108" s="17">
        <v>10350</v>
      </c>
      <c r="R1108" s="17">
        <f t="shared" si="65"/>
        <v>550</v>
      </c>
      <c r="S1108" s="17">
        <v>3750</v>
      </c>
      <c r="T1108" s="19" t="s">
        <v>94</v>
      </c>
      <c r="U1108" s="102">
        <v>8220188</v>
      </c>
      <c r="V1108" s="110">
        <v>44627</v>
      </c>
      <c r="W1108" s="17" t="s">
        <v>406</v>
      </c>
      <c r="Y1108" s="68">
        <v>44713</v>
      </c>
      <c r="Z1108" s="17" t="s">
        <v>407</v>
      </c>
      <c r="AA1108" s="17" t="s">
        <v>46</v>
      </c>
      <c r="AB1108" s="17">
        <v>82200440</v>
      </c>
      <c r="AC1108" s="66" t="s">
        <v>408</v>
      </c>
      <c r="AD1108" s="65">
        <v>1304</v>
      </c>
      <c r="AE1108" s="17" t="s">
        <v>48</v>
      </c>
    </row>
    <row r="1109" s="17" customFormat="1" hidden="1" spans="1:35">
      <c r="A1109" s="17" t="s">
        <v>34</v>
      </c>
      <c r="B1109" s="19">
        <v>784</v>
      </c>
      <c r="C1109" s="101">
        <v>44624</v>
      </c>
      <c r="D1109" s="17" t="s">
        <v>181</v>
      </c>
      <c r="E1109" s="17" t="s">
        <v>182</v>
      </c>
      <c r="F1109" s="17" t="s">
        <v>183</v>
      </c>
      <c r="H1109" s="19" t="s">
        <v>117</v>
      </c>
      <c r="I1109" s="19"/>
      <c r="J1109" s="17" t="s">
        <v>49</v>
      </c>
      <c r="K1109" s="17">
        <v>1250</v>
      </c>
      <c r="L1109" s="91">
        <v>255</v>
      </c>
      <c r="M1109" s="19">
        <v>4400</v>
      </c>
      <c r="N1109" s="19" t="s">
        <v>66</v>
      </c>
      <c r="O1109" s="19" t="s">
        <v>149</v>
      </c>
      <c r="P1109" s="19">
        <v>10800</v>
      </c>
      <c r="Q1109" s="17">
        <v>10240</v>
      </c>
      <c r="R1109" s="17">
        <f t="shared" si="65"/>
        <v>560</v>
      </c>
      <c r="S1109" s="17">
        <v>3850</v>
      </c>
      <c r="T1109" s="19" t="s">
        <v>94</v>
      </c>
      <c r="U1109" s="102">
        <v>8220188</v>
      </c>
      <c r="V1109" s="64">
        <v>44627</v>
      </c>
      <c r="W1109" s="17" t="s">
        <v>406</v>
      </c>
      <c r="Y1109" s="68">
        <v>44713</v>
      </c>
      <c r="Z1109" s="17" t="s">
        <v>407</v>
      </c>
      <c r="AA1109" s="17" t="s">
        <v>46</v>
      </c>
      <c r="AB1109" s="17">
        <v>82200558</v>
      </c>
      <c r="AC1109" s="66">
        <v>44569</v>
      </c>
      <c r="AD1109" s="65">
        <v>1323</v>
      </c>
      <c r="AE1109" s="17" t="s">
        <v>48</v>
      </c>
    </row>
    <row r="1110" s="17" customFormat="1" hidden="1" spans="1:35">
      <c r="A1110" s="17" t="s">
        <v>34</v>
      </c>
      <c r="B1110" s="19">
        <v>784</v>
      </c>
      <c r="C1110" s="101">
        <v>44624</v>
      </c>
      <c r="D1110" s="17" t="s">
        <v>181</v>
      </c>
      <c r="E1110" s="17" t="s">
        <v>182</v>
      </c>
      <c r="F1110" s="17" t="s">
        <v>183</v>
      </c>
      <c r="H1110" s="19" t="s">
        <v>117</v>
      </c>
      <c r="I1110" s="19"/>
      <c r="J1110" s="17" t="s">
        <v>49</v>
      </c>
      <c r="K1110" s="17">
        <v>1250</v>
      </c>
      <c r="L1110" s="91">
        <v>305</v>
      </c>
      <c r="M1110" s="19">
        <v>3700</v>
      </c>
      <c r="N1110" s="19" t="s">
        <v>66</v>
      </c>
      <c r="O1110" s="19" t="s">
        <v>149</v>
      </c>
      <c r="P1110" s="19">
        <v>10900</v>
      </c>
      <c r="Q1110" s="17">
        <v>10560</v>
      </c>
      <c r="R1110" s="17">
        <f t="shared" si="65"/>
        <v>340</v>
      </c>
      <c r="S1110" s="17">
        <v>3850</v>
      </c>
      <c r="T1110" s="19" t="s">
        <v>94</v>
      </c>
      <c r="U1110" s="102">
        <v>8220188</v>
      </c>
      <c r="V1110" s="64">
        <v>44627</v>
      </c>
      <c r="W1110" s="17" t="s">
        <v>406</v>
      </c>
      <c r="Y1110" s="68">
        <v>44713</v>
      </c>
      <c r="Z1110" s="17" t="s">
        <v>407</v>
      </c>
      <c r="AA1110" s="17" t="s">
        <v>46</v>
      </c>
      <c r="AB1110" s="17">
        <v>82200558</v>
      </c>
      <c r="AC1110" s="66">
        <v>44569</v>
      </c>
      <c r="AD1110" s="65">
        <v>1323</v>
      </c>
      <c r="AE1110" s="17" t="s">
        <v>48</v>
      </c>
    </row>
    <row r="1111" s="17" customFormat="1" hidden="1" spans="1:35">
      <c r="A1111" s="17" t="s">
        <v>34</v>
      </c>
      <c r="B1111" s="19">
        <v>785</v>
      </c>
      <c r="C1111" s="64">
        <v>44629</v>
      </c>
      <c r="D1111" s="17" t="s">
        <v>52</v>
      </c>
      <c r="E1111" s="17" t="s">
        <v>291</v>
      </c>
      <c r="F1111" s="17" t="s">
        <v>54</v>
      </c>
      <c r="H1111" s="65">
        <v>1.2738</v>
      </c>
      <c r="I1111" s="65"/>
      <c r="J1111" s="17" t="s">
        <v>49</v>
      </c>
      <c r="K1111" s="155">
        <v>2200</v>
      </c>
      <c r="L1111" s="156">
        <v>25</v>
      </c>
      <c r="M1111" s="126" t="s">
        <v>409</v>
      </c>
      <c r="N1111" s="17" t="s">
        <v>66</v>
      </c>
      <c r="O1111" s="19" t="s">
        <v>141</v>
      </c>
      <c r="P1111" s="94">
        <v>1727</v>
      </c>
      <c r="Q1111" s="17">
        <v>2510</v>
      </c>
      <c r="R1111" s="17">
        <f t="shared" si="65"/>
        <v>-783</v>
      </c>
      <c r="S1111" s="145">
        <v>1610</v>
      </c>
      <c r="T1111" s="19" t="s">
        <v>42</v>
      </c>
      <c r="U1111" s="17" t="s">
        <v>410</v>
      </c>
      <c r="V1111" s="64">
        <v>44629</v>
      </c>
      <c r="W1111" s="17" t="s">
        <v>69</v>
      </c>
      <c r="Y1111" s="68">
        <v>44621</v>
      </c>
      <c r="Z1111" s="17" t="s">
        <v>397</v>
      </c>
      <c r="AA1111" s="17" t="s">
        <v>46</v>
      </c>
      <c r="AB1111" s="17" t="s">
        <v>411</v>
      </c>
      <c r="AC1111" s="66">
        <v>44639</v>
      </c>
      <c r="AD1111" s="65">
        <v>1276</v>
      </c>
      <c r="AE1111" s="17" t="s">
        <v>129</v>
      </c>
      <c r="AF1111" s="149" t="s">
        <v>399</v>
      </c>
      <c r="AH1111" s="17" t="s">
        <v>298</v>
      </c>
      <c r="AI1111" s="17">
        <v>145</v>
      </c>
    </row>
    <row r="1112" s="17" customFormat="1" hidden="1" spans="1:35">
      <c r="A1112" s="17" t="s">
        <v>34</v>
      </c>
      <c r="B1112" s="19">
        <v>785</v>
      </c>
      <c r="C1112" s="64">
        <v>44629</v>
      </c>
      <c r="D1112" s="17" t="s">
        <v>52</v>
      </c>
      <c r="E1112" s="17" t="s">
        <v>291</v>
      </c>
      <c r="F1112" s="17" t="s">
        <v>54</v>
      </c>
      <c r="H1112" s="65">
        <v>1.2738</v>
      </c>
      <c r="I1112" s="65"/>
      <c r="J1112" s="17" t="s">
        <v>49</v>
      </c>
      <c r="K1112" s="155">
        <v>2200</v>
      </c>
      <c r="L1112" s="155">
        <v>32</v>
      </c>
      <c r="M1112" s="17" t="s">
        <v>409</v>
      </c>
      <c r="N1112" s="17" t="s">
        <v>66</v>
      </c>
      <c r="O1112" s="19" t="s">
        <v>141</v>
      </c>
      <c r="P1112" s="94">
        <v>2211</v>
      </c>
      <c r="Q1112" s="17">
        <v>2520</v>
      </c>
      <c r="R1112" s="17">
        <f t="shared" si="65"/>
        <v>-309</v>
      </c>
      <c r="S1112" s="145">
        <v>1610</v>
      </c>
      <c r="T1112" s="19" t="s">
        <v>42</v>
      </c>
      <c r="U1112" s="17" t="s">
        <v>410</v>
      </c>
      <c r="V1112" s="64">
        <v>44629</v>
      </c>
      <c r="W1112" s="17" t="s">
        <v>69</v>
      </c>
      <c r="Y1112" s="68">
        <v>44621</v>
      </c>
      <c r="Z1112" s="17" t="s">
        <v>397</v>
      </c>
      <c r="AA1112" s="17" t="s">
        <v>46</v>
      </c>
      <c r="AB1112" s="17" t="s">
        <v>411</v>
      </c>
      <c r="AC1112" s="66">
        <v>44639</v>
      </c>
      <c r="AD1112" s="65">
        <v>1276</v>
      </c>
      <c r="AE1112" s="17" t="s">
        <v>129</v>
      </c>
      <c r="AF1112" s="149" t="s">
        <v>399</v>
      </c>
      <c r="AH1112" s="17" t="s">
        <v>298</v>
      </c>
      <c r="AI1112" s="17">
        <v>145</v>
      </c>
    </row>
    <row r="1113" s="17" customFormat="1" hidden="1" spans="1:35">
      <c r="A1113" s="17" t="s">
        <v>34</v>
      </c>
      <c r="B1113" s="19">
        <v>785</v>
      </c>
      <c r="C1113" s="64">
        <v>44629</v>
      </c>
      <c r="D1113" s="17" t="s">
        <v>52</v>
      </c>
      <c r="E1113" s="17" t="s">
        <v>291</v>
      </c>
      <c r="F1113" s="17" t="s">
        <v>54</v>
      </c>
      <c r="H1113" s="65">
        <v>1.2738</v>
      </c>
      <c r="I1113" s="65"/>
      <c r="J1113" s="17" t="s">
        <v>49</v>
      </c>
      <c r="K1113" s="155">
        <v>2200</v>
      </c>
      <c r="L1113" s="155">
        <v>36</v>
      </c>
      <c r="M1113" s="17" t="s">
        <v>409</v>
      </c>
      <c r="N1113" s="17" t="s">
        <v>66</v>
      </c>
      <c r="O1113" s="19" t="s">
        <v>141</v>
      </c>
      <c r="P1113" s="94">
        <v>4974</v>
      </c>
      <c r="Q1113" s="17">
        <v>2680</v>
      </c>
      <c r="S1113" s="145">
        <v>1610</v>
      </c>
      <c r="T1113" s="19" t="s">
        <v>42</v>
      </c>
      <c r="U1113" s="17" t="s">
        <v>410</v>
      </c>
      <c r="V1113" s="64">
        <v>44629</v>
      </c>
      <c r="W1113" s="17" t="s">
        <v>69</v>
      </c>
      <c r="Y1113" s="68">
        <v>44621</v>
      </c>
      <c r="Z1113" s="17" t="s">
        <v>397</v>
      </c>
      <c r="AA1113" s="17" t="s">
        <v>46</v>
      </c>
      <c r="AB1113" s="17" t="s">
        <v>401</v>
      </c>
      <c r="AC1113" s="66">
        <v>44639</v>
      </c>
      <c r="AD1113" s="65">
        <v>1275</v>
      </c>
      <c r="AE1113" s="17" t="s">
        <v>129</v>
      </c>
      <c r="AF1113" s="149" t="s">
        <v>399</v>
      </c>
      <c r="AH1113" s="17" t="s">
        <v>298</v>
      </c>
      <c r="AI1113" s="17">
        <v>145</v>
      </c>
    </row>
    <row r="1114" s="17" customFormat="1" hidden="1" spans="1:35">
      <c r="A1114" s="17" t="s">
        <v>34</v>
      </c>
      <c r="B1114" s="19">
        <v>785</v>
      </c>
      <c r="C1114" s="64">
        <v>44629</v>
      </c>
      <c r="D1114" s="17" t="s">
        <v>52</v>
      </c>
      <c r="E1114" s="17" t="s">
        <v>291</v>
      </c>
      <c r="F1114" s="17" t="s">
        <v>54</v>
      </c>
      <c r="H1114" s="65">
        <v>1.2738</v>
      </c>
      <c r="I1114" s="65"/>
      <c r="J1114" s="17" t="s">
        <v>49</v>
      </c>
      <c r="K1114" s="155">
        <v>2200</v>
      </c>
      <c r="L1114" s="155">
        <v>36</v>
      </c>
      <c r="M1114" s="17" t="s">
        <v>409</v>
      </c>
      <c r="N1114" s="17" t="s">
        <v>66</v>
      </c>
      <c r="O1114" s="19" t="s">
        <v>141</v>
      </c>
      <c r="P1114" s="94"/>
      <c r="Q1114" s="17">
        <v>2640</v>
      </c>
      <c r="R1114" s="95">
        <f>+P1113-Q1113-Q1114</f>
        <v>-346</v>
      </c>
      <c r="S1114" s="145">
        <v>1610</v>
      </c>
      <c r="T1114" s="19" t="s">
        <v>42</v>
      </c>
      <c r="U1114" s="17" t="s">
        <v>410</v>
      </c>
      <c r="V1114" s="64">
        <v>44629</v>
      </c>
      <c r="W1114" s="17" t="s">
        <v>69</v>
      </c>
      <c r="Y1114" s="68">
        <v>44621</v>
      </c>
      <c r="Z1114" s="17" t="s">
        <v>397</v>
      </c>
      <c r="AA1114" s="17" t="s">
        <v>46</v>
      </c>
      <c r="AB1114" s="17" t="s">
        <v>412</v>
      </c>
      <c r="AC1114" s="66">
        <v>44651</v>
      </c>
      <c r="AD1114" s="65">
        <v>1282</v>
      </c>
      <c r="AE1114" s="17" t="s">
        <v>129</v>
      </c>
      <c r="AF1114" s="149" t="s">
        <v>399</v>
      </c>
      <c r="AH1114" s="17" t="s">
        <v>298</v>
      </c>
      <c r="AI1114" s="17">
        <v>145</v>
      </c>
    </row>
    <row r="1115" s="17" customFormat="1" hidden="1" spans="1:35">
      <c r="A1115" s="17" t="s">
        <v>34</v>
      </c>
      <c r="B1115" s="19">
        <v>785</v>
      </c>
      <c r="C1115" s="64">
        <v>44629</v>
      </c>
      <c r="D1115" s="17" t="s">
        <v>52</v>
      </c>
      <c r="E1115" s="17" t="s">
        <v>291</v>
      </c>
      <c r="F1115" s="17" t="s">
        <v>54</v>
      </c>
      <c r="H1115" s="65">
        <v>1.2738</v>
      </c>
      <c r="I1115" s="65"/>
      <c r="J1115" s="17" t="s">
        <v>49</v>
      </c>
      <c r="K1115" s="155">
        <v>2200</v>
      </c>
      <c r="L1115" s="155">
        <v>40</v>
      </c>
      <c r="M1115" s="17" t="s">
        <v>409</v>
      </c>
      <c r="N1115" s="17" t="s">
        <v>66</v>
      </c>
      <c r="O1115" s="19" t="s">
        <v>141</v>
      </c>
      <c r="P1115" s="94">
        <v>8290</v>
      </c>
      <c r="Q1115" s="17">
        <f>3400+3900</f>
        <v>7300</v>
      </c>
      <c r="S1115" s="145">
        <v>1610</v>
      </c>
      <c r="T1115" s="19" t="s">
        <v>42</v>
      </c>
      <c r="U1115" s="17" t="s">
        <v>410</v>
      </c>
      <c r="V1115" s="64">
        <v>44629</v>
      </c>
      <c r="W1115" s="17" t="s">
        <v>69</v>
      </c>
      <c r="Y1115" s="68">
        <v>44621</v>
      </c>
      <c r="Z1115" s="17" t="s">
        <v>397</v>
      </c>
      <c r="AA1115" s="17" t="s">
        <v>46</v>
      </c>
      <c r="AB1115" s="17" t="s">
        <v>401</v>
      </c>
      <c r="AC1115" s="66">
        <v>44639</v>
      </c>
      <c r="AD1115" s="65">
        <v>1275</v>
      </c>
      <c r="AE1115" s="17" t="s">
        <v>129</v>
      </c>
      <c r="AF1115" s="149" t="s">
        <v>399</v>
      </c>
      <c r="AH1115" s="17" t="s">
        <v>298</v>
      </c>
      <c r="AI1115" s="17">
        <v>145</v>
      </c>
    </row>
    <row r="1116" s="17" customFormat="1" hidden="1" spans="1:35">
      <c r="A1116" s="17" t="s">
        <v>34</v>
      </c>
      <c r="B1116" s="19">
        <v>785</v>
      </c>
      <c r="C1116" s="64">
        <v>44629</v>
      </c>
      <c r="D1116" s="17" t="s">
        <v>52</v>
      </c>
      <c r="E1116" s="17" t="s">
        <v>291</v>
      </c>
      <c r="F1116" s="17" t="s">
        <v>54</v>
      </c>
      <c r="H1116" s="65">
        <v>1.2738</v>
      </c>
      <c r="I1116" s="65"/>
      <c r="J1116" s="17" t="s">
        <v>49</v>
      </c>
      <c r="K1116" s="155">
        <v>2200</v>
      </c>
      <c r="L1116" s="155">
        <v>40</v>
      </c>
      <c r="M1116" s="17" t="s">
        <v>409</v>
      </c>
      <c r="N1116" s="17" t="s">
        <v>66</v>
      </c>
      <c r="O1116" s="19" t="s">
        <v>141</v>
      </c>
      <c r="P1116" s="94"/>
      <c r="Q1116" s="17">
        <v>3900</v>
      </c>
      <c r="R1116" s="95">
        <f>+P1115-Q1115-Q1116</f>
        <v>-2910</v>
      </c>
      <c r="S1116" s="145">
        <v>1610</v>
      </c>
      <c r="T1116" s="19" t="s">
        <v>42</v>
      </c>
      <c r="U1116" s="17" t="s">
        <v>410</v>
      </c>
      <c r="V1116" s="64">
        <v>44629</v>
      </c>
      <c r="W1116" s="17" t="s">
        <v>69</v>
      </c>
      <c r="Y1116" s="68">
        <v>44621</v>
      </c>
      <c r="Z1116" s="17" t="s">
        <v>397</v>
      </c>
      <c r="AA1116" s="17" t="s">
        <v>46</v>
      </c>
      <c r="AB1116" s="17" t="s">
        <v>411</v>
      </c>
      <c r="AC1116" s="66">
        <v>44639</v>
      </c>
      <c r="AD1116" s="65">
        <v>1276</v>
      </c>
      <c r="AE1116" s="17" t="s">
        <v>129</v>
      </c>
      <c r="AF1116" s="149" t="s">
        <v>399</v>
      </c>
      <c r="AH1116" s="17" t="s">
        <v>298</v>
      </c>
      <c r="AI1116" s="17">
        <v>145</v>
      </c>
    </row>
    <row r="1117" s="17" customFormat="1" hidden="1" spans="1:35">
      <c r="A1117" s="17" t="s">
        <v>34</v>
      </c>
      <c r="B1117" s="19">
        <v>785</v>
      </c>
      <c r="C1117" s="64">
        <v>44629</v>
      </c>
      <c r="D1117" s="17" t="s">
        <v>52</v>
      </c>
      <c r="E1117" s="17" t="s">
        <v>291</v>
      </c>
      <c r="F1117" s="17" t="s">
        <v>54</v>
      </c>
      <c r="H1117" s="65">
        <v>1.2738</v>
      </c>
      <c r="I1117" s="65"/>
      <c r="J1117" s="17" t="s">
        <v>49</v>
      </c>
      <c r="K1117" s="155">
        <v>2200</v>
      </c>
      <c r="L1117" s="155">
        <v>45</v>
      </c>
      <c r="M1117" s="17" t="s">
        <v>409</v>
      </c>
      <c r="N1117" s="17" t="s">
        <v>66</v>
      </c>
      <c r="O1117" s="19" t="s">
        <v>141</v>
      </c>
      <c r="P1117" s="94">
        <v>3109</v>
      </c>
      <c r="Q1117" s="17">
        <v>3150</v>
      </c>
      <c r="R1117" s="17">
        <f>+P1117-Q1117</f>
        <v>-41</v>
      </c>
      <c r="S1117" s="145">
        <v>1610</v>
      </c>
      <c r="T1117" s="19" t="s">
        <v>42</v>
      </c>
      <c r="U1117" s="17" t="s">
        <v>410</v>
      </c>
      <c r="V1117" s="64">
        <v>44629</v>
      </c>
      <c r="W1117" s="17" t="s">
        <v>69</v>
      </c>
      <c r="Y1117" s="68">
        <v>44621</v>
      </c>
      <c r="Z1117" s="17" t="s">
        <v>397</v>
      </c>
      <c r="AA1117" s="17" t="s">
        <v>46</v>
      </c>
      <c r="AB1117" s="17" t="s">
        <v>398</v>
      </c>
      <c r="AC1117" s="66">
        <v>44666</v>
      </c>
      <c r="AD1117" s="65">
        <v>1289</v>
      </c>
      <c r="AE1117" s="17" t="s">
        <v>129</v>
      </c>
      <c r="AF1117" s="149" t="s">
        <v>399</v>
      </c>
      <c r="AH1117" s="17" t="s">
        <v>298</v>
      </c>
      <c r="AI1117" s="17">
        <v>145</v>
      </c>
    </row>
    <row r="1118" s="17" customFormat="1" hidden="1" spans="1:35">
      <c r="A1118" s="17" t="s">
        <v>34</v>
      </c>
      <c r="B1118" s="19">
        <v>785</v>
      </c>
      <c r="C1118" s="64">
        <v>44629</v>
      </c>
      <c r="D1118" s="17" t="s">
        <v>52</v>
      </c>
      <c r="E1118" s="17" t="s">
        <v>291</v>
      </c>
      <c r="F1118" s="17" t="s">
        <v>54</v>
      </c>
      <c r="H1118" s="65">
        <v>1.2738</v>
      </c>
      <c r="I1118" s="65"/>
      <c r="J1118" s="17" t="s">
        <v>49</v>
      </c>
      <c r="K1118" s="155">
        <v>2200</v>
      </c>
      <c r="L1118" s="155">
        <v>50</v>
      </c>
      <c r="M1118" s="17" t="s">
        <v>409</v>
      </c>
      <c r="N1118" s="17" t="s">
        <v>66</v>
      </c>
      <c r="O1118" s="19" t="s">
        <v>141</v>
      </c>
      <c r="P1118" s="94">
        <v>10362</v>
      </c>
      <c r="Q1118" s="17">
        <v>2990</v>
      </c>
      <c r="S1118" s="145">
        <v>1610</v>
      </c>
      <c r="T1118" s="19" t="s">
        <v>42</v>
      </c>
      <c r="U1118" s="17" t="s">
        <v>410</v>
      </c>
      <c r="V1118" s="64">
        <v>44629</v>
      </c>
      <c r="W1118" s="17" t="s">
        <v>69</v>
      </c>
      <c r="Y1118" s="68">
        <v>44621</v>
      </c>
      <c r="Z1118" s="17" t="s">
        <v>397</v>
      </c>
      <c r="AA1118" s="17" t="s">
        <v>46</v>
      </c>
      <c r="AB1118" s="17" t="s">
        <v>401</v>
      </c>
      <c r="AC1118" s="66">
        <v>44639</v>
      </c>
      <c r="AD1118" s="65">
        <v>1275</v>
      </c>
      <c r="AE1118" s="17" t="s">
        <v>129</v>
      </c>
      <c r="AF1118" s="149" t="s">
        <v>399</v>
      </c>
      <c r="AH1118" s="17" t="s">
        <v>298</v>
      </c>
      <c r="AI1118" s="17">
        <v>145</v>
      </c>
    </row>
    <row r="1119" s="17" customFormat="1" hidden="1" spans="1:35">
      <c r="A1119" s="17" t="s">
        <v>34</v>
      </c>
      <c r="B1119" s="19">
        <v>785</v>
      </c>
      <c r="C1119" s="64">
        <v>44629</v>
      </c>
      <c r="D1119" s="17" t="s">
        <v>52</v>
      </c>
      <c r="E1119" s="17" t="s">
        <v>291</v>
      </c>
      <c r="F1119" s="17" t="s">
        <v>54</v>
      </c>
      <c r="H1119" s="65">
        <v>1.2738</v>
      </c>
      <c r="I1119" s="65"/>
      <c r="J1119" s="17" t="s">
        <v>49</v>
      </c>
      <c r="K1119" s="155">
        <v>2200</v>
      </c>
      <c r="L1119" s="155">
        <v>50</v>
      </c>
      <c r="M1119" s="17" t="s">
        <v>409</v>
      </c>
      <c r="N1119" s="17" t="s">
        <v>66</v>
      </c>
      <c r="O1119" s="19" t="s">
        <v>141</v>
      </c>
      <c r="P1119" s="94"/>
      <c r="Q1119" s="17">
        <v>3760</v>
      </c>
      <c r="S1119" s="145">
        <v>1610</v>
      </c>
      <c r="T1119" s="19" t="s">
        <v>42</v>
      </c>
      <c r="U1119" s="17" t="s">
        <v>410</v>
      </c>
      <c r="V1119" s="64">
        <v>44629</v>
      </c>
      <c r="W1119" s="17" t="s">
        <v>69</v>
      </c>
      <c r="Y1119" s="68">
        <v>44621</v>
      </c>
      <c r="Z1119" s="17" t="s">
        <v>397</v>
      </c>
      <c r="AA1119" s="17" t="s">
        <v>46</v>
      </c>
      <c r="AB1119" s="17" t="s">
        <v>411</v>
      </c>
      <c r="AC1119" s="66">
        <v>44639</v>
      </c>
      <c r="AD1119" s="65">
        <v>1276</v>
      </c>
      <c r="AE1119" s="17" t="s">
        <v>129</v>
      </c>
      <c r="AF1119" s="149" t="s">
        <v>399</v>
      </c>
      <c r="AH1119" s="17" t="s">
        <v>298</v>
      </c>
      <c r="AI1119" s="17">
        <v>145</v>
      </c>
    </row>
    <row r="1120" s="17" customFormat="1" hidden="1" spans="1:35">
      <c r="A1120" s="17" t="s">
        <v>34</v>
      </c>
      <c r="B1120" s="19">
        <v>785</v>
      </c>
      <c r="C1120" s="64">
        <v>44629</v>
      </c>
      <c r="D1120" s="17" t="s">
        <v>52</v>
      </c>
      <c r="E1120" s="17" t="s">
        <v>291</v>
      </c>
      <c r="F1120" s="17" t="s">
        <v>54</v>
      </c>
      <c r="H1120" s="65">
        <v>1.2738</v>
      </c>
      <c r="I1120" s="65"/>
      <c r="J1120" s="17" t="s">
        <v>49</v>
      </c>
      <c r="K1120" s="155">
        <v>2200</v>
      </c>
      <c r="L1120" s="155">
        <v>50</v>
      </c>
      <c r="M1120" s="17" t="s">
        <v>409</v>
      </c>
      <c r="N1120" s="17" t="s">
        <v>66</v>
      </c>
      <c r="O1120" s="19" t="s">
        <v>141</v>
      </c>
      <c r="P1120" s="94"/>
      <c r="Q1120" s="17">
        <v>3620</v>
      </c>
      <c r="R1120" s="95">
        <f>+P1118-Q1118-Q1119-Q1120</f>
        <v>-8</v>
      </c>
      <c r="S1120" s="145">
        <v>1610</v>
      </c>
      <c r="T1120" s="19" t="s">
        <v>42</v>
      </c>
      <c r="U1120" s="17" t="s">
        <v>410</v>
      </c>
      <c r="V1120" s="64">
        <v>44629</v>
      </c>
      <c r="W1120" s="17" t="s">
        <v>69</v>
      </c>
      <c r="Y1120" s="68">
        <v>44621</v>
      </c>
      <c r="Z1120" s="17" t="s">
        <v>397</v>
      </c>
      <c r="AA1120" s="17" t="s">
        <v>46</v>
      </c>
      <c r="AB1120" s="17" t="s">
        <v>398</v>
      </c>
      <c r="AC1120" s="66">
        <v>44666</v>
      </c>
      <c r="AD1120" s="65">
        <v>1289</v>
      </c>
      <c r="AF1120" s="149"/>
    </row>
    <row r="1121" s="17" customFormat="1" hidden="1" spans="1:36">
      <c r="A1121" s="17" t="s">
        <v>34</v>
      </c>
      <c r="B1121" s="19">
        <v>785</v>
      </c>
      <c r="C1121" s="64">
        <v>44629</v>
      </c>
      <c r="D1121" s="17" t="s">
        <v>52</v>
      </c>
      <c r="E1121" s="17" t="s">
        <v>291</v>
      </c>
      <c r="F1121" s="17" t="s">
        <v>54</v>
      </c>
      <c r="H1121" s="65">
        <v>1.2738</v>
      </c>
      <c r="I1121" s="65"/>
      <c r="J1121" s="17" t="s">
        <v>49</v>
      </c>
      <c r="K1121" s="155">
        <v>2200</v>
      </c>
      <c r="L1121" s="155">
        <v>65</v>
      </c>
      <c r="M1121" s="17" t="s">
        <v>409</v>
      </c>
      <c r="N1121" s="17" t="s">
        <v>66</v>
      </c>
      <c r="O1121" s="19" t="s">
        <v>141</v>
      </c>
      <c r="P1121" s="94">
        <v>13471</v>
      </c>
      <c r="Q1121" s="17">
        <f>3910+3930+3770</f>
        <v>11610</v>
      </c>
      <c r="R1121" s="17">
        <f>+P1121-Q1121</f>
        <v>1861</v>
      </c>
      <c r="S1121" s="145">
        <v>1610</v>
      </c>
      <c r="T1121" s="19" t="s">
        <v>42</v>
      </c>
      <c r="U1121" s="17" t="s">
        <v>410</v>
      </c>
      <c r="V1121" s="64">
        <v>44629</v>
      </c>
      <c r="W1121" s="17" t="s">
        <v>69</v>
      </c>
      <c r="Y1121" s="68">
        <v>44621</v>
      </c>
      <c r="Z1121" s="17" t="s">
        <v>397</v>
      </c>
      <c r="AA1121" s="17" t="s">
        <v>46</v>
      </c>
      <c r="AB1121" s="17" t="s">
        <v>411</v>
      </c>
      <c r="AC1121" s="66">
        <v>44639</v>
      </c>
      <c r="AD1121" s="65">
        <v>1276</v>
      </c>
      <c r="AE1121" s="17" t="s">
        <v>129</v>
      </c>
      <c r="AF1121" s="149" t="s">
        <v>399</v>
      </c>
      <c r="AH1121" s="17" t="s">
        <v>298</v>
      </c>
      <c r="AI1121" s="17">
        <v>145</v>
      </c>
    </row>
    <row r="1122" s="17" customFormat="1" hidden="1" spans="1:36">
      <c r="A1122" s="17" t="s">
        <v>34</v>
      </c>
      <c r="B1122" s="19">
        <v>785</v>
      </c>
      <c r="C1122" s="64">
        <v>44629</v>
      </c>
      <c r="D1122" s="17" t="s">
        <v>52</v>
      </c>
      <c r="E1122" s="17" t="s">
        <v>291</v>
      </c>
      <c r="F1122" s="17" t="s">
        <v>54</v>
      </c>
      <c r="H1122" s="65">
        <v>1.2738</v>
      </c>
      <c r="I1122" s="65"/>
      <c r="J1122" s="17" t="s">
        <v>49</v>
      </c>
      <c r="K1122" s="155">
        <v>2200</v>
      </c>
      <c r="L1122" s="155">
        <v>70</v>
      </c>
      <c r="M1122" s="17" t="s">
        <v>409</v>
      </c>
      <c r="N1122" s="17" t="s">
        <v>66</v>
      </c>
      <c r="O1122" s="19" t="s">
        <v>141</v>
      </c>
      <c r="P1122" s="94">
        <v>4836</v>
      </c>
      <c r="Q1122" s="17">
        <v>5240</v>
      </c>
      <c r="R1122" s="17">
        <f>+P1122-Q1122</f>
        <v>-404</v>
      </c>
      <c r="S1122" s="145">
        <v>1610</v>
      </c>
      <c r="T1122" s="19" t="s">
        <v>42</v>
      </c>
      <c r="U1122" s="17" t="s">
        <v>410</v>
      </c>
      <c r="V1122" s="64">
        <v>44629</v>
      </c>
      <c r="W1122" s="17" t="s">
        <v>69</v>
      </c>
      <c r="Y1122" s="68">
        <v>44621</v>
      </c>
      <c r="Z1122" s="17" t="s">
        <v>397</v>
      </c>
      <c r="AA1122" s="17" t="s">
        <v>46</v>
      </c>
      <c r="AB1122" s="17" t="s">
        <v>412</v>
      </c>
      <c r="AC1122" s="66">
        <v>44651</v>
      </c>
      <c r="AD1122" s="65">
        <v>1282</v>
      </c>
      <c r="AE1122" s="17" t="s">
        <v>129</v>
      </c>
      <c r="AF1122" s="149" t="s">
        <v>399</v>
      </c>
      <c r="AH1122" s="17" t="s">
        <v>298</v>
      </c>
      <c r="AI1122" s="17">
        <v>145</v>
      </c>
    </row>
    <row r="1123" s="17" customFormat="1" hidden="1" spans="1:36">
      <c r="A1123" s="17" t="s">
        <v>34</v>
      </c>
      <c r="B1123" s="19">
        <v>785</v>
      </c>
      <c r="C1123" s="64">
        <v>44629</v>
      </c>
      <c r="D1123" s="17" t="s">
        <v>52</v>
      </c>
      <c r="E1123" s="17" t="s">
        <v>291</v>
      </c>
      <c r="F1123" s="17" t="s">
        <v>54</v>
      </c>
      <c r="H1123" s="65">
        <v>1.2738</v>
      </c>
      <c r="I1123" s="65"/>
      <c r="J1123" s="17" t="s">
        <v>49</v>
      </c>
      <c r="K1123" s="155">
        <v>2200</v>
      </c>
      <c r="L1123" s="155">
        <v>80</v>
      </c>
      <c r="M1123" s="17" t="s">
        <v>409</v>
      </c>
      <c r="N1123" s="17" t="s">
        <v>66</v>
      </c>
      <c r="O1123" s="19" t="s">
        <v>141</v>
      </c>
      <c r="P1123" s="99">
        <v>16579</v>
      </c>
      <c r="Q1123" s="17">
        <f>7610+7340</f>
        <v>14950</v>
      </c>
      <c r="S1123" s="145">
        <f>1610+20</f>
        <v>1630</v>
      </c>
      <c r="T1123" s="19" t="s">
        <v>42</v>
      </c>
      <c r="U1123" s="17" t="s">
        <v>410</v>
      </c>
      <c r="V1123" s="64">
        <v>44629</v>
      </c>
      <c r="W1123" s="17" t="s">
        <v>69</v>
      </c>
      <c r="Y1123" s="68">
        <v>44621</v>
      </c>
      <c r="Z1123" s="17" t="s">
        <v>397</v>
      </c>
      <c r="AA1123" s="17" t="s">
        <v>46</v>
      </c>
      <c r="AB1123" s="17" t="s">
        <v>411</v>
      </c>
      <c r="AC1123" s="66">
        <v>44639</v>
      </c>
      <c r="AD1123" s="65">
        <v>1276</v>
      </c>
      <c r="AE1123" s="17" t="s">
        <v>129</v>
      </c>
      <c r="AF1123" s="149" t="s">
        <v>399</v>
      </c>
      <c r="AH1123" s="17" t="s">
        <v>298</v>
      </c>
      <c r="AI1123" s="17">
        <v>145</v>
      </c>
      <c r="AJ1123" s="17" t="s">
        <v>413</v>
      </c>
    </row>
    <row r="1124" s="17" customFormat="1" hidden="1" spans="1:36">
      <c r="A1124" s="17" t="s">
        <v>34</v>
      </c>
      <c r="B1124" s="19">
        <v>785</v>
      </c>
      <c r="C1124" s="64">
        <v>44629</v>
      </c>
      <c r="D1124" s="17" t="s">
        <v>52</v>
      </c>
      <c r="E1124" s="17" t="s">
        <v>291</v>
      </c>
      <c r="F1124" s="17" t="s">
        <v>54</v>
      </c>
      <c r="H1124" s="65">
        <v>1.2738</v>
      </c>
      <c r="I1124" s="65"/>
      <c r="J1124" s="17" t="s">
        <v>49</v>
      </c>
      <c r="K1124" s="155">
        <v>2200</v>
      </c>
      <c r="L1124" s="155">
        <v>80</v>
      </c>
      <c r="M1124" s="17" t="s">
        <v>409</v>
      </c>
      <c r="N1124" s="17" t="s">
        <v>66</v>
      </c>
      <c r="O1124" s="19" t="s">
        <v>141</v>
      </c>
      <c r="P1124" s="99"/>
      <c r="Q1124" s="17">
        <v>7780</v>
      </c>
      <c r="R1124" s="95">
        <f>+P1123-Q1123-Q1124</f>
        <v>-6151</v>
      </c>
      <c r="S1124" s="145">
        <v>1610</v>
      </c>
      <c r="T1124" s="19" t="s">
        <v>42</v>
      </c>
      <c r="U1124" s="17" t="s">
        <v>410</v>
      </c>
      <c r="V1124" s="64">
        <v>44629</v>
      </c>
      <c r="W1124" s="17" t="s">
        <v>69</v>
      </c>
      <c r="Y1124" s="68">
        <v>44621</v>
      </c>
      <c r="Z1124" s="17" t="s">
        <v>397</v>
      </c>
      <c r="AA1124" s="17" t="s">
        <v>46</v>
      </c>
      <c r="AB1124" s="17" t="s">
        <v>411</v>
      </c>
      <c r="AC1124" s="66">
        <v>44639</v>
      </c>
      <c r="AD1124" s="65">
        <v>1276</v>
      </c>
      <c r="AE1124" s="17" t="s">
        <v>129</v>
      </c>
      <c r="AF1124" s="149" t="s">
        <v>399</v>
      </c>
      <c r="AH1124" s="17" t="s">
        <v>298</v>
      </c>
      <c r="AI1124" s="17">
        <v>145</v>
      </c>
      <c r="AJ1124" s="17" t="s">
        <v>414</v>
      </c>
    </row>
    <row r="1125" s="17" customFormat="1" hidden="1" spans="1:36">
      <c r="A1125" s="17" t="s">
        <v>34</v>
      </c>
      <c r="B1125" s="19">
        <v>785</v>
      </c>
      <c r="C1125" s="64">
        <v>44629</v>
      </c>
      <c r="D1125" s="17" t="s">
        <v>52</v>
      </c>
      <c r="E1125" s="17" t="s">
        <v>291</v>
      </c>
      <c r="F1125" s="17" t="s">
        <v>54</v>
      </c>
      <c r="H1125" s="65">
        <v>1.2738</v>
      </c>
      <c r="I1125" s="65"/>
      <c r="J1125" s="17" t="s">
        <v>49</v>
      </c>
      <c r="K1125" s="155">
        <v>2200</v>
      </c>
      <c r="L1125" s="155">
        <v>105</v>
      </c>
      <c r="M1125" s="17" t="s">
        <v>409</v>
      </c>
      <c r="N1125" s="17" t="s">
        <v>66</v>
      </c>
      <c r="O1125" s="19" t="s">
        <v>141</v>
      </c>
      <c r="P1125" s="99">
        <v>7253</v>
      </c>
      <c r="Q1125" s="17">
        <v>7620</v>
      </c>
      <c r="R1125" s="17">
        <f t="shared" ref="R1125:R1156" si="66">+P1125-Q1125</f>
        <v>-367</v>
      </c>
      <c r="S1125" s="99">
        <f>1610+20</f>
        <v>1630</v>
      </c>
      <c r="T1125" s="19" t="s">
        <v>42</v>
      </c>
      <c r="U1125" s="17" t="s">
        <v>410</v>
      </c>
      <c r="V1125" s="64">
        <v>44629</v>
      </c>
      <c r="W1125" s="17" t="s">
        <v>69</v>
      </c>
      <c r="Y1125" s="68">
        <v>44621</v>
      </c>
      <c r="Z1125" s="17" t="s">
        <v>397</v>
      </c>
      <c r="AA1125" s="17" t="s">
        <v>46</v>
      </c>
      <c r="AB1125" s="17" t="s">
        <v>411</v>
      </c>
      <c r="AC1125" s="66">
        <v>44639</v>
      </c>
      <c r="AD1125" s="65">
        <v>1276</v>
      </c>
      <c r="AE1125" s="17" t="s">
        <v>129</v>
      </c>
      <c r="AF1125" s="149" t="s">
        <v>399</v>
      </c>
      <c r="AH1125" s="17" t="s">
        <v>298</v>
      </c>
      <c r="AI1125" s="17">
        <v>145</v>
      </c>
      <c r="AJ1125" s="17" t="s">
        <v>413</v>
      </c>
    </row>
    <row r="1126" s="17" customFormat="1" hidden="1" spans="1:36">
      <c r="A1126" s="17" t="s">
        <v>34</v>
      </c>
      <c r="B1126" s="19">
        <v>785</v>
      </c>
      <c r="C1126" s="64">
        <v>44629</v>
      </c>
      <c r="D1126" s="17" t="s">
        <v>52</v>
      </c>
      <c r="E1126" s="17" t="s">
        <v>291</v>
      </c>
      <c r="F1126" s="17" t="s">
        <v>54</v>
      </c>
      <c r="H1126" s="65">
        <v>1.2738</v>
      </c>
      <c r="I1126" s="65"/>
      <c r="J1126" s="17" t="s">
        <v>49</v>
      </c>
      <c r="K1126" s="155">
        <v>2200</v>
      </c>
      <c r="L1126" s="155">
        <v>125</v>
      </c>
      <c r="M1126" s="17" t="s">
        <v>409</v>
      </c>
      <c r="N1126" s="17" t="s">
        <v>66</v>
      </c>
      <c r="O1126" s="19" t="s">
        <v>141</v>
      </c>
      <c r="P1126" s="99">
        <v>8635</v>
      </c>
      <c r="Q1126" s="17">
        <v>9380</v>
      </c>
      <c r="R1126" s="17">
        <f t="shared" si="66"/>
        <v>-745</v>
      </c>
      <c r="S1126" s="99">
        <v>1825</v>
      </c>
      <c r="T1126" s="19" t="s">
        <v>42</v>
      </c>
      <c r="U1126" s="17" t="s">
        <v>410</v>
      </c>
      <c r="V1126" s="64">
        <v>44629</v>
      </c>
      <c r="W1126" s="17" t="s">
        <v>69</v>
      </c>
      <c r="Y1126" s="68">
        <v>44621</v>
      </c>
      <c r="Z1126" s="17" t="s">
        <v>397</v>
      </c>
      <c r="AA1126" s="17" t="s">
        <v>46</v>
      </c>
      <c r="AB1126" s="17" t="s">
        <v>412</v>
      </c>
      <c r="AC1126" s="66">
        <v>44651</v>
      </c>
      <c r="AD1126" s="65">
        <v>1282</v>
      </c>
      <c r="AE1126" s="17" t="s">
        <v>129</v>
      </c>
      <c r="AF1126" s="149" t="s">
        <v>399</v>
      </c>
      <c r="AH1126" s="17" t="s">
        <v>298</v>
      </c>
      <c r="AI1126" s="17">
        <v>145</v>
      </c>
    </row>
    <row r="1127" s="17" customFormat="1" hidden="1" spans="1:36">
      <c r="A1127" s="17" t="s">
        <v>34</v>
      </c>
      <c r="B1127" s="19">
        <v>786</v>
      </c>
      <c r="C1127" s="64">
        <v>44630</v>
      </c>
      <c r="D1127" s="17" t="s">
        <v>52</v>
      </c>
      <c r="E1127" s="17" t="s">
        <v>291</v>
      </c>
      <c r="F1127" s="17" t="s">
        <v>54</v>
      </c>
      <c r="H1127" s="65">
        <v>1.2311</v>
      </c>
      <c r="I1127" s="65"/>
      <c r="J1127" s="17" t="s">
        <v>49</v>
      </c>
      <c r="K1127" s="155">
        <v>2200</v>
      </c>
      <c r="L1127" s="155">
        <v>45</v>
      </c>
      <c r="M1127" s="19">
        <v>5000</v>
      </c>
      <c r="N1127" s="17" t="s">
        <v>66</v>
      </c>
      <c r="O1127" s="19" t="s">
        <v>141</v>
      </c>
      <c r="P1127" s="94">
        <v>3885.7</v>
      </c>
      <c r="Q1127" s="17">
        <v>4210</v>
      </c>
      <c r="R1127" s="95">
        <f t="shared" si="66"/>
        <v>-324.3</v>
      </c>
      <c r="S1127" s="145">
        <v>1180</v>
      </c>
      <c r="T1127" s="19" t="s">
        <v>42</v>
      </c>
      <c r="U1127" s="17" t="s">
        <v>415</v>
      </c>
      <c r="V1127" s="64">
        <v>44630</v>
      </c>
      <c r="W1127" s="17" t="s">
        <v>69</v>
      </c>
      <c r="Y1127" s="68">
        <v>44621</v>
      </c>
      <c r="Z1127" s="17" t="s">
        <v>397</v>
      </c>
      <c r="AA1127" s="17" t="s">
        <v>46</v>
      </c>
      <c r="AB1127" s="17" t="s">
        <v>398</v>
      </c>
      <c r="AC1127" s="66">
        <v>44666</v>
      </c>
      <c r="AD1127" s="65">
        <v>1289</v>
      </c>
      <c r="AE1127" s="17" t="s">
        <v>129</v>
      </c>
      <c r="AF1127" s="149" t="s">
        <v>399</v>
      </c>
      <c r="AH1127" s="17" t="s">
        <v>298</v>
      </c>
      <c r="AI1127" s="17">
        <v>145</v>
      </c>
    </row>
    <row r="1128" s="17" customFormat="1" hidden="1" spans="1:36">
      <c r="A1128" s="17" t="s">
        <v>34</v>
      </c>
      <c r="B1128" s="19">
        <v>786</v>
      </c>
      <c r="C1128" s="64">
        <v>44630</v>
      </c>
      <c r="D1128" s="17" t="s">
        <v>52</v>
      </c>
      <c r="E1128" s="17" t="s">
        <v>291</v>
      </c>
      <c r="F1128" s="17" t="s">
        <v>54</v>
      </c>
      <c r="H1128" s="65">
        <v>1.2311</v>
      </c>
      <c r="I1128" s="65"/>
      <c r="J1128" s="17" t="s">
        <v>49</v>
      </c>
      <c r="K1128" s="155">
        <v>2200</v>
      </c>
      <c r="L1128" s="155">
        <v>71</v>
      </c>
      <c r="M1128" s="19">
        <v>5000</v>
      </c>
      <c r="N1128" s="17" t="s">
        <v>66</v>
      </c>
      <c r="O1128" s="19" t="s">
        <v>141</v>
      </c>
      <c r="P1128" s="94">
        <v>6130</v>
      </c>
      <c r="Q1128" s="17">
        <v>6280</v>
      </c>
      <c r="R1128" s="17">
        <f t="shared" si="66"/>
        <v>-150</v>
      </c>
      <c r="S1128" s="145">
        <v>1180</v>
      </c>
      <c r="T1128" s="19" t="s">
        <v>42</v>
      </c>
      <c r="U1128" s="17" t="s">
        <v>415</v>
      </c>
      <c r="V1128" s="64">
        <v>44630</v>
      </c>
      <c r="W1128" s="17" t="s">
        <v>69</v>
      </c>
      <c r="Y1128" s="68">
        <v>44621</v>
      </c>
      <c r="Z1128" s="17" t="s">
        <v>397</v>
      </c>
      <c r="AA1128" s="17" t="s">
        <v>46</v>
      </c>
      <c r="AB1128" s="17" t="s">
        <v>398</v>
      </c>
      <c r="AC1128" s="66">
        <v>44666</v>
      </c>
      <c r="AD1128" s="65">
        <v>1289</v>
      </c>
      <c r="AE1128" s="17" t="s">
        <v>129</v>
      </c>
      <c r="AF1128" s="149" t="s">
        <v>399</v>
      </c>
      <c r="AH1128" s="17" t="s">
        <v>298</v>
      </c>
      <c r="AI1128" s="17">
        <v>145</v>
      </c>
    </row>
    <row r="1129" s="17" customFormat="1" hidden="1" spans="1:36">
      <c r="A1129" s="17" t="s">
        <v>34</v>
      </c>
      <c r="B1129" s="19">
        <v>786</v>
      </c>
      <c r="C1129" s="64">
        <v>44630</v>
      </c>
      <c r="D1129" s="17" t="s">
        <v>52</v>
      </c>
      <c r="E1129" s="17" t="s">
        <v>291</v>
      </c>
      <c r="F1129" s="17" t="s">
        <v>54</v>
      </c>
      <c r="H1129" s="65">
        <v>1.2311</v>
      </c>
      <c r="I1129" s="65"/>
      <c r="J1129" s="17" t="s">
        <v>49</v>
      </c>
      <c r="K1129" s="155">
        <v>2200</v>
      </c>
      <c r="L1129" s="155">
        <v>125</v>
      </c>
      <c r="M1129" s="19">
        <v>5000</v>
      </c>
      <c r="N1129" s="17" t="s">
        <v>66</v>
      </c>
      <c r="O1129" s="19" t="s">
        <v>141</v>
      </c>
      <c r="P1129" s="94">
        <v>10793</v>
      </c>
      <c r="Q1129" s="17">
        <v>11505</v>
      </c>
      <c r="R1129" s="17">
        <f t="shared" si="66"/>
        <v>-712</v>
      </c>
      <c r="S1129" s="145">
        <v>1215</v>
      </c>
      <c r="T1129" s="19" t="s">
        <v>42</v>
      </c>
      <c r="U1129" s="17" t="s">
        <v>415</v>
      </c>
      <c r="V1129" s="64">
        <v>44630</v>
      </c>
      <c r="W1129" s="17" t="s">
        <v>69</v>
      </c>
      <c r="Y1129" s="68">
        <v>44621</v>
      </c>
      <c r="Z1129" s="17" t="s">
        <v>397</v>
      </c>
      <c r="AA1129" s="17" t="s">
        <v>46</v>
      </c>
      <c r="AB1129" s="17" t="s">
        <v>412</v>
      </c>
      <c r="AC1129" s="66">
        <v>44651</v>
      </c>
      <c r="AD1129" s="65">
        <v>1282</v>
      </c>
      <c r="AE1129" s="17" t="s">
        <v>129</v>
      </c>
      <c r="AF1129" s="149" t="s">
        <v>399</v>
      </c>
      <c r="AH1129" s="17" t="s">
        <v>298</v>
      </c>
      <c r="AI1129" s="17">
        <v>145</v>
      </c>
    </row>
    <row r="1130" s="17" customFormat="1" hidden="1" spans="1:36">
      <c r="A1130" s="17" t="s">
        <v>34</v>
      </c>
      <c r="B1130" s="19">
        <v>786</v>
      </c>
      <c r="C1130" s="64">
        <v>44630</v>
      </c>
      <c r="D1130" s="17" t="s">
        <v>52</v>
      </c>
      <c r="E1130" s="17" t="s">
        <v>291</v>
      </c>
      <c r="F1130" s="17" t="s">
        <v>54</v>
      </c>
      <c r="H1130" s="65">
        <v>1.2311</v>
      </c>
      <c r="I1130" s="65"/>
      <c r="J1130" s="17" t="s">
        <v>49</v>
      </c>
      <c r="K1130" s="155">
        <v>2200</v>
      </c>
      <c r="L1130" s="155">
        <v>180</v>
      </c>
      <c r="M1130" s="19">
        <v>2500</v>
      </c>
      <c r="N1130" s="17" t="s">
        <v>66</v>
      </c>
      <c r="O1130" s="19" t="s">
        <v>141</v>
      </c>
      <c r="P1130" s="94">
        <v>7771</v>
      </c>
      <c r="Q1130" s="17">
        <v>8100</v>
      </c>
      <c r="R1130" s="17">
        <f t="shared" si="66"/>
        <v>-329</v>
      </c>
      <c r="S1130" s="145">
        <v>1255</v>
      </c>
      <c r="T1130" s="19" t="s">
        <v>42</v>
      </c>
      <c r="U1130" s="17" t="s">
        <v>415</v>
      </c>
      <c r="V1130" s="64">
        <v>44630</v>
      </c>
      <c r="W1130" s="17" t="s">
        <v>69</v>
      </c>
      <c r="Y1130" s="68">
        <v>44621</v>
      </c>
      <c r="Z1130" s="17" t="s">
        <v>397</v>
      </c>
      <c r="AA1130" s="17" t="s">
        <v>46</v>
      </c>
      <c r="AB1130" s="17" t="s">
        <v>412</v>
      </c>
      <c r="AC1130" s="66">
        <v>44651</v>
      </c>
      <c r="AD1130" s="65">
        <v>1282</v>
      </c>
      <c r="AE1130" s="17" t="s">
        <v>129</v>
      </c>
      <c r="AF1130" s="149" t="s">
        <v>399</v>
      </c>
      <c r="AH1130" s="17" t="s">
        <v>298</v>
      </c>
      <c r="AI1130" s="17">
        <v>145</v>
      </c>
    </row>
    <row r="1131" s="17" customFormat="1" hidden="1" spans="1:36">
      <c r="A1131" s="17" t="s">
        <v>34</v>
      </c>
      <c r="B1131" s="19">
        <v>786</v>
      </c>
      <c r="C1131" s="64">
        <v>44630</v>
      </c>
      <c r="D1131" s="17" t="s">
        <v>52</v>
      </c>
      <c r="E1131" s="17" t="s">
        <v>291</v>
      </c>
      <c r="F1131" s="17" t="s">
        <v>54</v>
      </c>
      <c r="H1131" s="65">
        <v>1.2311</v>
      </c>
      <c r="I1131" s="65"/>
      <c r="J1131" s="17" t="s">
        <v>49</v>
      </c>
      <c r="K1131" s="155">
        <v>2200</v>
      </c>
      <c r="L1131" s="155">
        <v>235</v>
      </c>
      <c r="M1131" s="19">
        <v>5000</v>
      </c>
      <c r="N1131" s="17" t="s">
        <v>66</v>
      </c>
      <c r="O1131" s="19" t="s">
        <v>141</v>
      </c>
      <c r="P1131" s="99">
        <v>18447</v>
      </c>
      <c r="Q1131" s="17">
        <v>16940</v>
      </c>
      <c r="R1131" s="17">
        <f t="shared" si="66"/>
        <v>1507</v>
      </c>
      <c r="S1131" s="145">
        <v>1470</v>
      </c>
      <c r="T1131" s="19" t="s">
        <v>42</v>
      </c>
      <c r="U1131" s="17" t="s">
        <v>415</v>
      </c>
      <c r="V1131" s="64">
        <v>44630</v>
      </c>
      <c r="W1131" s="17" t="s">
        <v>69</v>
      </c>
      <c r="Y1131" s="68">
        <v>44621</v>
      </c>
      <c r="Z1131" s="17" t="s">
        <v>397</v>
      </c>
      <c r="AA1131" s="17" t="s">
        <v>46</v>
      </c>
      <c r="AB1131" s="17" t="s">
        <v>412</v>
      </c>
      <c r="AC1131" s="66">
        <v>44651</v>
      </c>
      <c r="AD1131" s="65">
        <v>1282</v>
      </c>
      <c r="AE1131" s="17" t="s">
        <v>129</v>
      </c>
      <c r="AF1131" s="149" t="s">
        <v>399</v>
      </c>
      <c r="AH1131" s="17" t="s">
        <v>298</v>
      </c>
      <c r="AI1131" s="17">
        <v>145</v>
      </c>
    </row>
    <row r="1132" s="17" customFormat="1" hidden="1" spans="1:36">
      <c r="A1132" s="17" t="s">
        <v>34</v>
      </c>
      <c r="B1132" s="19">
        <v>786</v>
      </c>
      <c r="C1132" s="64">
        <v>44630</v>
      </c>
      <c r="D1132" s="17" t="s">
        <v>52</v>
      </c>
      <c r="E1132" s="17" t="s">
        <v>291</v>
      </c>
      <c r="F1132" s="17" t="s">
        <v>54</v>
      </c>
      <c r="H1132" s="65">
        <v>1.2311</v>
      </c>
      <c r="I1132" s="65"/>
      <c r="J1132" s="17" t="s">
        <v>49</v>
      </c>
      <c r="K1132" s="155">
        <v>2200</v>
      </c>
      <c r="L1132" s="155">
        <v>255</v>
      </c>
      <c r="M1132" s="19">
        <v>3000</v>
      </c>
      <c r="N1132" s="17" t="s">
        <v>66</v>
      </c>
      <c r="O1132" s="19" t="s">
        <v>141</v>
      </c>
      <c r="P1132" s="157">
        <v>12010</v>
      </c>
      <c r="Q1132" s="22">
        <v>13990</v>
      </c>
      <c r="R1132" s="17">
        <f t="shared" si="66"/>
        <v>-1980</v>
      </c>
      <c r="S1132" s="99">
        <v>1470</v>
      </c>
      <c r="T1132" s="19" t="s">
        <v>42</v>
      </c>
      <c r="U1132" s="17" t="s">
        <v>415</v>
      </c>
      <c r="V1132" s="64">
        <v>44630</v>
      </c>
      <c r="W1132" s="17" t="s">
        <v>69</v>
      </c>
      <c r="Y1132" s="68">
        <v>44621</v>
      </c>
      <c r="Z1132" s="17" t="s">
        <v>397</v>
      </c>
      <c r="AA1132" s="17" t="s">
        <v>46</v>
      </c>
      <c r="AB1132" s="17" t="s">
        <v>401</v>
      </c>
      <c r="AC1132" s="66">
        <v>44639</v>
      </c>
      <c r="AD1132" s="65">
        <v>1275</v>
      </c>
      <c r="AE1132" s="17" t="s">
        <v>129</v>
      </c>
      <c r="AF1132" s="149" t="s">
        <v>399</v>
      </c>
      <c r="AH1132" s="17" t="s">
        <v>298</v>
      </c>
      <c r="AI1132" s="17">
        <v>145</v>
      </c>
    </row>
    <row r="1133" s="17" customFormat="1" hidden="1" spans="1:36">
      <c r="A1133" s="17" t="s">
        <v>34</v>
      </c>
      <c r="B1133" s="19">
        <v>787</v>
      </c>
      <c r="C1133" s="101">
        <v>44631</v>
      </c>
      <c r="D1133" s="17" t="s">
        <v>52</v>
      </c>
      <c r="E1133" s="17" t="s">
        <v>187</v>
      </c>
      <c r="F1133" s="17" t="s">
        <v>54</v>
      </c>
      <c r="H1133" s="19" t="s">
        <v>106</v>
      </c>
      <c r="I1133" s="19"/>
      <c r="J1133" s="17" t="s">
        <v>82</v>
      </c>
      <c r="K1133" s="158">
        <v>610</v>
      </c>
      <c r="L1133" s="159">
        <v>26</v>
      </c>
      <c r="M1133" s="93">
        <v>4000</v>
      </c>
      <c r="N1133" s="17" t="s">
        <v>66</v>
      </c>
      <c r="O1133" s="19" t="s">
        <v>141</v>
      </c>
      <c r="P1133" s="160">
        <v>498.004</v>
      </c>
      <c r="Q1133" s="160">
        <v>542</v>
      </c>
      <c r="R1133" s="95">
        <f t="shared" si="66"/>
        <v>-43.996</v>
      </c>
      <c r="S1133" s="161">
        <v>1985</v>
      </c>
      <c r="T1133" s="19" t="s">
        <v>42</v>
      </c>
      <c r="U1133" s="102" t="s">
        <v>416</v>
      </c>
      <c r="V1133" s="64">
        <v>44632</v>
      </c>
      <c r="W1133" s="17" t="s">
        <v>69</v>
      </c>
      <c r="Y1133" s="68">
        <v>44652</v>
      </c>
      <c r="Z1133" s="17" t="s">
        <v>191</v>
      </c>
      <c r="AA1133" s="17" t="s">
        <v>46</v>
      </c>
      <c r="AB1133" s="17" t="s">
        <v>404</v>
      </c>
      <c r="AC1133" s="66">
        <v>44653</v>
      </c>
      <c r="AD1133" s="65">
        <v>1286</v>
      </c>
      <c r="AE1133" s="17" t="s">
        <v>48</v>
      </c>
    </row>
    <row r="1134" s="17" customFormat="1" hidden="1" spans="1:36">
      <c r="A1134" s="17" t="s">
        <v>34</v>
      </c>
      <c r="B1134" s="19">
        <v>787</v>
      </c>
      <c r="C1134" s="101">
        <v>44631</v>
      </c>
      <c r="D1134" s="17" t="s">
        <v>52</v>
      </c>
      <c r="E1134" s="17" t="s">
        <v>187</v>
      </c>
      <c r="F1134" s="17" t="s">
        <v>54</v>
      </c>
      <c r="H1134" s="19" t="s">
        <v>106</v>
      </c>
      <c r="I1134" s="19"/>
      <c r="J1134" s="17" t="s">
        <v>82</v>
      </c>
      <c r="K1134" s="162">
        <v>610</v>
      </c>
      <c r="L1134" s="159">
        <v>31</v>
      </c>
      <c r="M1134" s="19">
        <v>4000</v>
      </c>
      <c r="N1134" s="17" t="s">
        <v>66</v>
      </c>
      <c r="O1134" s="19" t="s">
        <v>141</v>
      </c>
      <c r="P1134" s="160">
        <v>593.774</v>
      </c>
      <c r="Q1134" s="160">
        <v>656</v>
      </c>
      <c r="R1134" s="95">
        <f t="shared" si="66"/>
        <v>-62.226</v>
      </c>
      <c r="S1134" s="161">
        <v>1985</v>
      </c>
      <c r="T1134" s="19" t="s">
        <v>42</v>
      </c>
      <c r="U1134" s="102" t="s">
        <v>416</v>
      </c>
      <c r="V1134" s="64">
        <v>44632</v>
      </c>
      <c r="W1134" s="17" t="s">
        <v>69</v>
      </c>
      <c r="Y1134" s="68">
        <v>44652</v>
      </c>
      <c r="Z1134" s="17" t="s">
        <v>191</v>
      </c>
      <c r="AA1134" s="17" t="s">
        <v>46</v>
      </c>
      <c r="AB1134" s="17" t="s">
        <v>404</v>
      </c>
      <c r="AC1134" s="66">
        <v>44653</v>
      </c>
      <c r="AD1134" s="65">
        <v>1286</v>
      </c>
      <c r="AE1134" s="17" t="s">
        <v>48</v>
      </c>
    </row>
    <row r="1135" s="17" customFormat="1" hidden="1" spans="1:36">
      <c r="A1135" s="17" t="s">
        <v>34</v>
      </c>
      <c r="B1135" s="19">
        <v>787</v>
      </c>
      <c r="C1135" s="101">
        <v>44631</v>
      </c>
      <c r="D1135" s="17" t="s">
        <v>52</v>
      </c>
      <c r="E1135" s="17" t="s">
        <v>187</v>
      </c>
      <c r="F1135" s="17" t="s">
        <v>54</v>
      </c>
      <c r="H1135" s="19" t="s">
        <v>106</v>
      </c>
      <c r="I1135" s="19"/>
      <c r="J1135" s="17" t="s">
        <v>82</v>
      </c>
      <c r="K1135" s="162">
        <v>610</v>
      </c>
      <c r="L1135" s="159">
        <v>36</v>
      </c>
      <c r="M1135" s="19">
        <v>4000</v>
      </c>
      <c r="N1135" s="17" t="s">
        <v>66</v>
      </c>
      <c r="O1135" s="19" t="s">
        <v>141</v>
      </c>
      <c r="P1135" s="160">
        <v>689.544</v>
      </c>
      <c r="Q1135" s="160">
        <v>544</v>
      </c>
      <c r="R1135" s="95">
        <f t="shared" si="66"/>
        <v>145.544</v>
      </c>
      <c r="S1135" s="161">
        <v>1985</v>
      </c>
      <c r="T1135" s="19" t="s">
        <v>42</v>
      </c>
      <c r="U1135" s="102" t="s">
        <v>416</v>
      </c>
      <c r="V1135" s="64">
        <v>44632</v>
      </c>
      <c r="W1135" s="17" t="s">
        <v>69</v>
      </c>
      <c r="Y1135" s="68">
        <v>44652</v>
      </c>
      <c r="Z1135" s="17" t="s">
        <v>191</v>
      </c>
      <c r="AA1135" s="17" t="s">
        <v>46</v>
      </c>
      <c r="AB1135" s="17" t="s">
        <v>404</v>
      </c>
      <c r="AC1135" s="66">
        <v>44653</v>
      </c>
      <c r="AD1135" s="65">
        <v>1286</v>
      </c>
      <c r="AE1135" s="17" t="s">
        <v>48</v>
      </c>
    </row>
    <row r="1136" s="17" customFormat="1" hidden="1" spans="1:36">
      <c r="A1136" s="17" t="s">
        <v>34</v>
      </c>
      <c r="B1136" s="19">
        <v>787</v>
      </c>
      <c r="C1136" s="101">
        <v>44631</v>
      </c>
      <c r="D1136" s="17" t="s">
        <v>52</v>
      </c>
      <c r="E1136" s="17" t="s">
        <v>187</v>
      </c>
      <c r="F1136" s="17" t="s">
        <v>54</v>
      </c>
      <c r="H1136" s="19" t="s">
        <v>106</v>
      </c>
      <c r="I1136" s="19"/>
      <c r="J1136" s="17" t="s">
        <v>82</v>
      </c>
      <c r="K1136" s="162">
        <v>510</v>
      </c>
      <c r="L1136" s="159">
        <v>40</v>
      </c>
      <c r="M1136" s="19">
        <v>4000</v>
      </c>
      <c r="N1136" s="17" t="s">
        <v>66</v>
      </c>
      <c r="O1136" s="19" t="s">
        <v>141</v>
      </c>
      <c r="P1136" s="160">
        <v>640.56</v>
      </c>
      <c r="Q1136" s="160">
        <v>785</v>
      </c>
      <c r="R1136" s="95">
        <f t="shared" si="66"/>
        <v>-144.44</v>
      </c>
      <c r="S1136" s="161">
        <v>1985</v>
      </c>
      <c r="T1136" s="19" t="s">
        <v>42</v>
      </c>
      <c r="U1136" s="102" t="s">
        <v>416</v>
      </c>
      <c r="V1136" s="64">
        <v>44632</v>
      </c>
      <c r="W1136" s="17" t="s">
        <v>69</v>
      </c>
      <c r="Y1136" s="68">
        <v>44652</v>
      </c>
      <c r="Z1136" s="17" t="s">
        <v>191</v>
      </c>
      <c r="AA1136" s="17" t="s">
        <v>46</v>
      </c>
      <c r="AB1136" s="17" t="s">
        <v>404</v>
      </c>
      <c r="AC1136" s="66">
        <v>44653</v>
      </c>
      <c r="AD1136" s="65">
        <v>1286</v>
      </c>
      <c r="AE1136" s="17" t="s">
        <v>48</v>
      </c>
    </row>
    <row r="1137" s="17" customFormat="1" hidden="1" spans="1:32">
      <c r="A1137" s="17" t="s">
        <v>34</v>
      </c>
      <c r="B1137" s="19">
        <v>787</v>
      </c>
      <c r="C1137" s="101">
        <v>44631</v>
      </c>
      <c r="D1137" s="17" t="s">
        <v>52</v>
      </c>
      <c r="E1137" s="17" t="s">
        <v>187</v>
      </c>
      <c r="F1137" s="17" t="s">
        <v>54</v>
      </c>
      <c r="H1137" s="19" t="s">
        <v>106</v>
      </c>
      <c r="I1137" s="19"/>
      <c r="J1137" s="17" t="s">
        <v>82</v>
      </c>
      <c r="K1137" s="162">
        <v>610</v>
      </c>
      <c r="L1137" s="159">
        <v>40</v>
      </c>
      <c r="M1137" s="19">
        <v>4000</v>
      </c>
      <c r="N1137" s="17" t="s">
        <v>66</v>
      </c>
      <c r="O1137" s="19" t="s">
        <v>141</v>
      </c>
      <c r="P1137" s="160">
        <v>766.16</v>
      </c>
      <c r="Q1137" s="160">
        <v>965</v>
      </c>
      <c r="R1137" s="95">
        <f t="shared" si="66"/>
        <v>-198.84</v>
      </c>
      <c r="S1137" s="161">
        <v>1985</v>
      </c>
      <c r="T1137" s="19" t="s">
        <v>42</v>
      </c>
      <c r="U1137" s="102" t="s">
        <v>416</v>
      </c>
      <c r="V1137" s="64">
        <v>44632</v>
      </c>
      <c r="W1137" s="17" t="s">
        <v>69</v>
      </c>
      <c r="Y1137" s="68">
        <v>44652</v>
      </c>
      <c r="Z1137" s="17" t="s">
        <v>191</v>
      </c>
      <c r="AA1137" s="17" t="s">
        <v>46</v>
      </c>
      <c r="AB1137" s="17" t="s">
        <v>404</v>
      </c>
      <c r="AC1137" s="66">
        <v>44653</v>
      </c>
      <c r="AD1137" s="65">
        <v>1286</v>
      </c>
      <c r="AE1137" s="17" t="s">
        <v>48</v>
      </c>
    </row>
    <row r="1138" s="17" customFormat="1" hidden="1" spans="1:32">
      <c r="A1138" s="17" t="s">
        <v>34</v>
      </c>
      <c r="B1138" s="19">
        <v>787</v>
      </c>
      <c r="C1138" s="101">
        <v>44631</v>
      </c>
      <c r="D1138" s="17" t="s">
        <v>52</v>
      </c>
      <c r="E1138" s="17" t="s">
        <v>187</v>
      </c>
      <c r="F1138" s="17" t="s">
        <v>54</v>
      </c>
      <c r="H1138" s="19" t="s">
        <v>106</v>
      </c>
      <c r="I1138" s="19"/>
      <c r="J1138" s="17" t="s">
        <v>82</v>
      </c>
      <c r="K1138" s="162">
        <v>410</v>
      </c>
      <c r="L1138" s="159">
        <v>46</v>
      </c>
      <c r="M1138" s="19">
        <v>4000</v>
      </c>
      <c r="N1138" s="17" t="s">
        <v>66</v>
      </c>
      <c r="O1138" s="19" t="s">
        <v>141</v>
      </c>
      <c r="P1138" s="160">
        <v>592.204</v>
      </c>
      <c r="Q1138" s="160">
        <v>671</v>
      </c>
      <c r="R1138" s="95">
        <f t="shared" si="66"/>
        <v>-78.796</v>
      </c>
      <c r="S1138" s="161">
        <v>1985</v>
      </c>
      <c r="T1138" s="19" t="s">
        <v>42</v>
      </c>
      <c r="U1138" s="102" t="s">
        <v>416</v>
      </c>
      <c r="V1138" s="64">
        <v>44632</v>
      </c>
      <c r="W1138" s="17" t="s">
        <v>69</v>
      </c>
      <c r="Y1138" s="68">
        <v>44652</v>
      </c>
      <c r="Z1138" s="17" t="s">
        <v>191</v>
      </c>
      <c r="AA1138" s="17" t="s">
        <v>46</v>
      </c>
      <c r="AB1138" s="17" t="s">
        <v>404</v>
      </c>
      <c r="AC1138" s="66">
        <v>44653</v>
      </c>
      <c r="AD1138" s="65">
        <v>1286</v>
      </c>
      <c r="AE1138" s="17" t="s">
        <v>48</v>
      </c>
    </row>
    <row r="1139" s="17" customFormat="1" hidden="1" spans="1:32">
      <c r="A1139" s="17" t="s">
        <v>34</v>
      </c>
      <c r="B1139" s="19">
        <v>787</v>
      </c>
      <c r="C1139" s="101">
        <v>44631</v>
      </c>
      <c r="D1139" s="17" t="s">
        <v>52</v>
      </c>
      <c r="E1139" s="17" t="s">
        <v>187</v>
      </c>
      <c r="F1139" s="17" t="s">
        <v>54</v>
      </c>
      <c r="H1139" s="19" t="s">
        <v>106</v>
      </c>
      <c r="I1139" s="19"/>
      <c r="J1139" s="17" t="s">
        <v>82</v>
      </c>
      <c r="K1139" s="162">
        <v>510</v>
      </c>
      <c r="L1139" s="159">
        <v>46</v>
      </c>
      <c r="M1139" s="19">
        <v>4000</v>
      </c>
      <c r="N1139" s="17" t="s">
        <v>66</v>
      </c>
      <c r="O1139" s="19" t="s">
        <v>141</v>
      </c>
      <c r="P1139" s="160">
        <v>736.644</v>
      </c>
      <c r="Q1139" s="160">
        <v>1069</v>
      </c>
      <c r="R1139" s="95">
        <f t="shared" si="66"/>
        <v>-332.356</v>
      </c>
      <c r="S1139" s="161">
        <v>1985</v>
      </c>
      <c r="T1139" s="19" t="s">
        <v>42</v>
      </c>
      <c r="U1139" s="102" t="s">
        <v>416</v>
      </c>
      <c r="V1139" s="64">
        <v>44632</v>
      </c>
      <c r="W1139" s="17" t="s">
        <v>69</v>
      </c>
      <c r="Y1139" s="68">
        <v>44652</v>
      </c>
      <c r="Z1139" s="17" t="s">
        <v>191</v>
      </c>
      <c r="AA1139" s="17" t="s">
        <v>46</v>
      </c>
      <c r="AB1139" s="17" t="s">
        <v>404</v>
      </c>
      <c r="AC1139" s="66">
        <v>44653</v>
      </c>
      <c r="AD1139" s="65">
        <v>1286</v>
      </c>
      <c r="AE1139" s="17" t="s">
        <v>48</v>
      </c>
    </row>
    <row r="1140" s="17" customFormat="1" hidden="1" spans="1:32">
      <c r="A1140" s="17" t="s">
        <v>34</v>
      </c>
      <c r="B1140" s="19">
        <v>787</v>
      </c>
      <c r="C1140" s="101">
        <v>44631</v>
      </c>
      <c r="D1140" s="17" t="s">
        <v>52</v>
      </c>
      <c r="E1140" s="17" t="s">
        <v>187</v>
      </c>
      <c r="F1140" s="17" t="s">
        <v>54</v>
      </c>
      <c r="H1140" s="19" t="s">
        <v>106</v>
      </c>
      <c r="I1140" s="19"/>
      <c r="J1140" s="17" t="s">
        <v>82</v>
      </c>
      <c r="K1140" s="162">
        <v>560</v>
      </c>
      <c r="L1140" s="159">
        <v>46</v>
      </c>
      <c r="M1140" s="19">
        <v>4000</v>
      </c>
      <c r="N1140" s="17" t="s">
        <v>66</v>
      </c>
      <c r="O1140" s="19" t="s">
        <v>141</v>
      </c>
      <c r="P1140" s="160">
        <v>881.084</v>
      </c>
      <c r="Q1140" s="160">
        <v>908</v>
      </c>
      <c r="R1140" s="95">
        <f t="shared" si="66"/>
        <v>-26.9160000000002</v>
      </c>
      <c r="S1140" s="161">
        <v>1985</v>
      </c>
      <c r="T1140" s="19" t="s">
        <v>42</v>
      </c>
      <c r="U1140" s="102" t="s">
        <v>416</v>
      </c>
      <c r="V1140" s="64">
        <v>44632</v>
      </c>
      <c r="W1140" s="17" t="s">
        <v>69</v>
      </c>
      <c r="Y1140" s="68">
        <v>44652</v>
      </c>
      <c r="Z1140" s="17" t="s">
        <v>191</v>
      </c>
      <c r="AA1140" s="17" t="s">
        <v>46</v>
      </c>
      <c r="AB1140" s="17" t="s">
        <v>404</v>
      </c>
      <c r="AC1140" s="66">
        <v>44653</v>
      </c>
      <c r="AD1140" s="65">
        <v>1286</v>
      </c>
      <c r="AE1140" s="17" t="s">
        <v>48</v>
      </c>
    </row>
    <row r="1141" s="17" customFormat="1" hidden="1" spans="1:32">
      <c r="A1141" s="17" t="s">
        <v>34</v>
      </c>
      <c r="B1141" s="19">
        <v>787</v>
      </c>
      <c r="C1141" s="101">
        <v>44631</v>
      </c>
      <c r="D1141" s="17" t="s">
        <v>52</v>
      </c>
      <c r="E1141" s="17" t="s">
        <v>187</v>
      </c>
      <c r="F1141" s="17" t="s">
        <v>54</v>
      </c>
      <c r="H1141" s="19" t="s">
        <v>106</v>
      </c>
      <c r="I1141" s="19"/>
      <c r="J1141" s="17" t="s">
        <v>82</v>
      </c>
      <c r="K1141" s="162">
        <v>510</v>
      </c>
      <c r="L1141" s="159">
        <v>51</v>
      </c>
      <c r="M1141" s="19">
        <v>4000</v>
      </c>
      <c r="N1141" s="17" t="s">
        <v>66</v>
      </c>
      <c r="O1141" s="19" t="s">
        <v>141</v>
      </c>
      <c r="P1141" s="160">
        <v>816.714</v>
      </c>
      <c r="Q1141" s="160">
        <v>805</v>
      </c>
      <c r="R1141" s="95">
        <f t="shared" si="66"/>
        <v>11.7139999999998</v>
      </c>
      <c r="S1141" s="161">
        <v>1985</v>
      </c>
      <c r="T1141" s="19" t="s">
        <v>42</v>
      </c>
      <c r="U1141" s="102" t="s">
        <v>416</v>
      </c>
      <c r="V1141" s="64">
        <v>44632</v>
      </c>
      <c r="W1141" s="17" t="s">
        <v>69</v>
      </c>
      <c r="Y1141" s="68">
        <v>44652</v>
      </c>
      <c r="Z1141" s="17" t="s">
        <v>191</v>
      </c>
      <c r="AA1141" s="17" t="s">
        <v>46</v>
      </c>
      <c r="AB1141" s="17" t="s">
        <v>404</v>
      </c>
      <c r="AC1141" s="66">
        <v>44653</v>
      </c>
      <c r="AD1141" s="65">
        <v>1286</v>
      </c>
      <c r="AE1141" s="17" t="s">
        <v>48</v>
      </c>
    </row>
    <row r="1142" s="17" customFormat="1" hidden="1" spans="1:32">
      <c r="A1142" s="17" t="s">
        <v>34</v>
      </c>
      <c r="B1142" s="19">
        <v>787</v>
      </c>
      <c r="C1142" s="101">
        <v>44631</v>
      </c>
      <c r="D1142" s="17" t="s">
        <v>52</v>
      </c>
      <c r="E1142" s="17" t="s">
        <v>187</v>
      </c>
      <c r="F1142" s="17" t="s">
        <v>54</v>
      </c>
      <c r="H1142" s="19" t="s">
        <v>106</v>
      </c>
      <c r="I1142" s="19"/>
      <c r="J1142" s="17" t="s">
        <v>82</v>
      </c>
      <c r="K1142" s="162">
        <v>560</v>
      </c>
      <c r="L1142" s="159">
        <v>51</v>
      </c>
      <c r="M1142" s="19">
        <v>4000</v>
      </c>
      <c r="N1142" s="17" t="s">
        <v>66</v>
      </c>
      <c r="O1142" s="19" t="s">
        <v>141</v>
      </c>
      <c r="P1142" s="160">
        <v>896.784</v>
      </c>
      <c r="Q1142" s="160">
        <v>762</v>
      </c>
      <c r="R1142" s="95">
        <f t="shared" si="66"/>
        <v>134.784</v>
      </c>
      <c r="S1142" s="161">
        <v>1985</v>
      </c>
      <c r="T1142" s="19" t="s">
        <v>42</v>
      </c>
      <c r="U1142" s="102" t="s">
        <v>416</v>
      </c>
      <c r="V1142" s="64">
        <v>44632</v>
      </c>
      <c r="W1142" s="17" t="s">
        <v>69</v>
      </c>
      <c r="Y1142" s="68">
        <v>44652</v>
      </c>
      <c r="Z1142" s="17" t="s">
        <v>191</v>
      </c>
      <c r="AA1142" s="17" t="s">
        <v>46</v>
      </c>
      <c r="AB1142" s="17" t="s">
        <v>404</v>
      </c>
      <c r="AC1142" s="66">
        <v>44653</v>
      </c>
      <c r="AD1142" s="65">
        <v>1286</v>
      </c>
      <c r="AE1142" s="17" t="s">
        <v>48</v>
      </c>
    </row>
    <row r="1143" s="17" customFormat="1" hidden="1" spans="1:32">
      <c r="A1143" s="17" t="s">
        <v>34</v>
      </c>
      <c r="B1143" s="19">
        <v>787</v>
      </c>
      <c r="C1143" s="101">
        <v>44631</v>
      </c>
      <c r="D1143" s="17" t="s">
        <v>52</v>
      </c>
      <c r="E1143" s="17" t="s">
        <v>187</v>
      </c>
      <c r="F1143" s="17" t="s">
        <v>54</v>
      </c>
      <c r="H1143" s="19" t="s">
        <v>106</v>
      </c>
      <c r="I1143" s="19"/>
      <c r="J1143" s="17" t="s">
        <v>82</v>
      </c>
      <c r="K1143" s="162">
        <v>610</v>
      </c>
      <c r="L1143" s="159">
        <v>51</v>
      </c>
      <c r="M1143" s="19">
        <v>4000</v>
      </c>
      <c r="N1143" s="17" t="s">
        <v>66</v>
      </c>
      <c r="O1143" s="19" t="s">
        <v>141</v>
      </c>
      <c r="P1143" s="160">
        <v>976.854</v>
      </c>
      <c r="Q1143" s="160">
        <v>1282</v>
      </c>
      <c r="R1143" s="95">
        <f t="shared" si="66"/>
        <v>-305.146</v>
      </c>
      <c r="S1143" s="161">
        <v>1985</v>
      </c>
      <c r="T1143" s="19" t="s">
        <v>42</v>
      </c>
      <c r="U1143" s="102" t="s">
        <v>416</v>
      </c>
      <c r="V1143" s="64">
        <v>44632</v>
      </c>
      <c r="W1143" s="17" t="s">
        <v>69</v>
      </c>
      <c r="Y1143" s="68">
        <v>44652</v>
      </c>
      <c r="Z1143" s="17" t="s">
        <v>191</v>
      </c>
      <c r="AA1143" s="17" t="s">
        <v>46</v>
      </c>
      <c r="AB1143" s="17" t="s">
        <v>404</v>
      </c>
      <c r="AC1143" s="66">
        <v>44653</v>
      </c>
      <c r="AD1143" s="65">
        <v>1286</v>
      </c>
      <c r="AE1143" s="17" t="s">
        <v>48</v>
      </c>
    </row>
    <row r="1144" s="17" customFormat="1" hidden="1" spans="1:32">
      <c r="A1144" s="17" t="s">
        <v>34</v>
      </c>
      <c r="B1144" s="19">
        <v>787</v>
      </c>
      <c r="C1144" s="101">
        <v>44631</v>
      </c>
      <c r="D1144" s="17" t="s">
        <v>52</v>
      </c>
      <c r="E1144" s="17" t="s">
        <v>187</v>
      </c>
      <c r="F1144" s="17" t="s">
        <v>54</v>
      </c>
      <c r="H1144" s="19" t="s">
        <v>106</v>
      </c>
      <c r="I1144" s="19"/>
      <c r="J1144" s="17" t="s">
        <v>82</v>
      </c>
      <c r="K1144" s="162">
        <v>560</v>
      </c>
      <c r="L1144" s="159">
        <v>56</v>
      </c>
      <c r="M1144" s="19">
        <v>4000</v>
      </c>
      <c r="N1144" s="17" t="s">
        <v>66</v>
      </c>
      <c r="O1144" s="19" t="s">
        <v>141</v>
      </c>
      <c r="P1144" s="160">
        <v>984.704</v>
      </c>
      <c r="Q1144" s="160">
        <v>912</v>
      </c>
      <c r="R1144" s="95">
        <f t="shared" si="66"/>
        <v>72.7039999999998</v>
      </c>
      <c r="S1144" s="161">
        <v>1985</v>
      </c>
      <c r="T1144" s="19" t="s">
        <v>42</v>
      </c>
      <c r="U1144" s="102" t="s">
        <v>416</v>
      </c>
      <c r="V1144" s="64">
        <v>44632</v>
      </c>
      <c r="W1144" s="17" t="s">
        <v>69</v>
      </c>
      <c r="Y1144" s="68">
        <v>44652</v>
      </c>
      <c r="Z1144" s="17" t="s">
        <v>191</v>
      </c>
      <c r="AA1144" s="17" t="s">
        <v>46</v>
      </c>
      <c r="AB1144" s="17" t="s">
        <v>404</v>
      </c>
      <c r="AC1144" s="66">
        <v>44653</v>
      </c>
      <c r="AD1144" s="65">
        <v>1286</v>
      </c>
      <c r="AE1144" s="17" t="s">
        <v>48</v>
      </c>
    </row>
    <row r="1145" s="17" customFormat="1" hidden="1" spans="1:32">
      <c r="A1145" s="17" t="s">
        <v>34</v>
      </c>
      <c r="B1145" s="19">
        <v>787</v>
      </c>
      <c r="C1145" s="101">
        <v>44631</v>
      </c>
      <c r="D1145" s="17" t="s">
        <v>52</v>
      </c>
      <c r="E1145" s="17" t="s">
        <v>187</v>
      </c>
      <c r="F1145" s="17" t="s">
        <v>54</v>
      </c>
      <c r="H1145" s="19" t="s">
        <v>106</v>
      </c>
      <c r="I1145" s="19"/>
      <c r="J1145" s="17" t="s">
        <v>82</v>
      </c>
      <c r="K1145" s="162">
        <v>610</v>
      </c>
      <c r="L1145" s="159">
        <v>61</v>
      </c>
      <c r="M1145" s="19">
        <v>4000</v>
      </c>
      <c r="N1145" s="17" t="s">
        <v>66</v>
      </c>
      <c r="O1145" s="19" t="s">
        <v>141</v>
      </c>
      <c r="P1145" s="160">
        <v>1168.394</v>
      </c>
      <c r="Q1145" s="160">
        <v>1278</v>
      </c>
      <c r="R1145" s="95">
        <f t="shared" si="66"/>
        <v>-109.606</v>
      </c>
      <c r="S1145" s="161">
        <v>1985</v>
      </c>
      <c r="T1145" s="19" t="s">
        <v>42</v>
      </c>
      <c r="U1145" s="102" t="s">
        <v>416</v>
      </c>
      <c r="V1145" s="64">
        <v>44632</v>
      </c>
      <c r="W1145" s="17" t="s">
        <v>69</v>
      </c>
      <c r="Y1145" s="68">
        <v>44652</v>
      </c>
      <c r="Z1145" s="17" t="s">
        <v>191</v>
      </c>
      <c r="AA1145" s="17" t="s">
        <v>46</v>
      </c>
      <c r="AB1145" s="17" t="s">
        <v>381</v>
      </c>
      <c r="AC1145" s="66">
        <v>44662</v>
      </c>
      <c r="AD1145" s="65">
        <v>1290</v>
      </c>
      <c r="AE1145" s="17" t="s">
        <v>48</v>
      </c>
    </row>
    <row r="1146" s="17" customFormat="1" hidden="1" spans="1:32">
      <c r="A1146" s="17" t="s">
        <v>34</v>
      </c>
      <c r="B1146" s="19">
        <v>787</v>
      </c>
      <c r="C1146" s="101">
        <v>44631</v>
      </c>
      <c r="D1146" s="17" t="s">
        <v>52</v>
      </c>
      <c r="E1146" s="17" t="s">
        <v>187</v>
      </c>
      <c r="F1146" s="17" t="s">
        <v>54</v>
      </c>
      <c r="H1146" s="19" t="s">
        <v>106</v>
      </c>
      <c r="I1146" s="19"/>
      <c r="J1146" s="17" t="s">
        <v>82</v>
      </c>
      <c r="K1146" s="162">
        <v>510</v>
      </c>
      <c r="L1146" s="159">
        <v>66</v>
      </c>
      <c r="M1146" s="19">
        <v>4000</v>
      </c>
      <c r="N1146" s="17" t="s">
        <v>66</v>
      </c>
      <c r="O1146" s="19" t="s">
        <v>141</v>
      </c>
      <c r="P1146" s="160">
        <v>1056.924</v>
      </c>
      <c r="Q1146" s="160">
        <v>1004</v>
      </c>
      <c r="R1146" s="95">
        <f t="shared" si="66"/>
        <v>52.924</v>
      </c>
      <c r="S1146" s="161">
        <v>1985</v>
      </c>
      <c r="T1146" s="19" t="s">
        <v>42</v>
      </c>
      <c r="U1146" s="102" t="s">
        <v>416</v>
      </c>
      <c r="V1146" s="64">
        <v>44632</v>
      </c>
      <c r="W1146" s="17" t="s">
        <v>69</v>
      </c>
      <c r="Y1146" s="68">
        <v>44652</v>
      </c>
      <c r="Z1146" s="17" t="s">
        <v>191</v>
      </c>
      <c r="AA1146" s="17" t="s">
        <v>46</v>
      </c>
      <c r="AB1146" s="17" t="s">
        <v>381</v>
      </c>
      <c r="AC1146" s="66">
        <v>44662</v>
      </c>
      <c r="AD1146" s="65">
        <v>1290</v>
      </c>
      <c r="AE1146" s="17" t="s">
        <v>48</v>
      </c>
    </row>
    <row r="1147" s="17" customFormat="1" hidden="1" spans="1:32">
      <c r="A1147" s="17" t="s">
        <v>34</v>
      </c>
      <c r="B1147" s="19">
        <v>787</v>
      </c>
      <c r="C1147" s="101">
        <v>44631</v>
      </c>
      <c r="D1147" s="17" t="s">
        <v>52</v>
      </c>
      <c r="E1147" s="17" t="s">
        <v>187</v>
      </c>
      <c r="F1147" s="17" t="s">
        <v>54</v>
      </c>
      <c r="H1147" s="19" t="s">
        <v>106</v>
      </c>
      <c r="I1147" s="19"/>
      <c r="J1147" s="17" t="s">
        <v>82</v>
      </c>
      <c r="K1147" s="162">
        <v>560</v>
      </c>
      <c r="L1147" s="159">
        <v>82</v>
      </c>
      <c r="M1147" s="19">
        <v>4000</v>
      </c>
      <c r="N1147" s="17" t="s">
        <v>66</v>
      </c>
      <c r="O1147" s="19" t="s">
        <v>141</v>
      </c>
      <c r="P1147" s="160">
        <v>1441.888</v>
      </c>
      <c r="Q1147" s="160">
        <v>1305</v>
      </c>
      <c r="R1147" s="95">
        <f t="shared" si="66"/>
        <v>136.888</v>
      </c>
      <c r="S1147" s="161">
        <v>1985</v>
      </c>
      <c r="T1147" s="19" t="s">
        <v>42</v>
      </c>
      <c r="U1147" s="102" t="s">
        <v>416</v>
      </c>
      <c r="V1147" s="64">
        <v>44632</v>
      </c>
      <c r="W1147" s="17" t="s">
        <v>69</v>
      </c>
      <c r="Y1147" s="68">
        <v>44652</v>
      </c>
      <c r="Z1147" s="17" t="s">
        <v>191</v>
      </c>
      <c r="AA1147" s="17" t="s">
        <v>46</v>
      </c>
      <c r="AB1147" s="17" t="s">
        <v>381</v>
      </c>
      <c r="AC1147" s="66">
        <v>44662</v>
      </c>
      <c r="AD1147" s="65">
        <v>1290</v>
      </c>
      <c r="AE1147" s="17" t="s">
        <v>48</v>
      </c>
    </row>
    <row r="1148" s="17" customFormat="1" hidden="1" spans="1:32">
      <c r="A1148" s="17" t="s">
        <v>34</v>
      </c>
      <c r="B1148" s="19">
        <v>787</v>
      </c>
      <c r="C1148" s="101">
        <v>44631</v>
      </c>
      <c r="D1148" s="17" t="s">
        <v>52</v>
      </c>
      <c r="E1148" s="17" t="s">
        <v>187</v>
      </c>
      <c r="F1148" s="17" t="s">
        <v>54</v>
      </c>
      <c r="H1148" s="19" t="s">
        <v>106</v>
      </c>
      <c r="I1148" s="19"/>
      <c r="J1148" s="17" t="s">
        <v>82</v>
      </c>
      <c r="K1148" s="162">
        <v>560</v>
      </c>
      <c r="L1148" s="159">
        <v>120</v>
      </c>
      <c r="M1148" s="19">
        <v>4000</v>
      </c>
      <c r="N1148" s="17" t="s">
        <v>66</v>
      </c>
      <c r="O1148" s="19" t="s">
        <v>141</v>
      </c>
      <c r="P1148" s="160">
        <v>2110.08</v>
      </c>
      <c r="Q1148" s="160">
        <f>1342+1328</f>
        <v>2670</v>
      </c>
      <c r="R1148" s="95">
        <f t="shared" si="66"/>
        <v>-559.92</v>
      </c>
      <c r="S1148" s="161">
        <v>1985</v>
      </c>
      <c r="T1148" s="19" t="s">
        <v>42</v>
      </c>
      <c r="U1148" s="102" t="s">
        <v>416</v>
      </c>
      <c r="V1148" s="64">
        <v>44632</v>
      </c>
      <c r="W1148" s="17" t="s">
        <v>69</v>
      </c>
      <c r="Y1148" s="68">
        <v>44652</v>
      </c>
      <c r="Z1148" s="17" t="s">
        <v>191</v>
      </c>
      <c r="AA1148" s="17" t="s">
        <v>46</v>
      </c>
      <c r="AB1148" s="17" t="s">
        <v>366</v>
      </c>
      <c r="AC1148" s="66">
        <v>44714</v>
      </c>
      <c r="AD1148" s="65">
        <v>1306</v>
      </c>
      <c r="AE1148" s="17" t="s">
        <v>48</v>
      </c>
    </row>
    <row r="1149" s="17" customFormat="1" hidden="1" spans="1:32">
      <c r="A1149" s="17" t="s">
        <v>34</v>
      </c>
      <c r="B1149" s="19">
        <v>789</v>
      </c>
      <c r="C1149" s="101" t="s">
        <v>417</v>
      </c>
      <c r="D1149" s="17" t="s">
        <v>418</v>
      </c>
      <c r="E1149" s="17" t="s">
        <v>419</v>
      </c>
      <c r="H1149" s="19" t="s">
        <v>420</v>
      </c>
      <c r="I1149" s="19"/>
      <c r="J1149" s="17" t="s">
        <v>39</v>
      </c>
      <c r="K1149" s="162">
        <v>202</v>
      </c>
      <c r="L1149" s="163"/>
      <c r="M1149" s="19">
        <v>4010</v>
      </c>
      <c r="N1149" s="19"/>
      <c r="O1149" s="19"/>
      <c r="P1149" s="160">
        <v>1014</v>
      </c>
      <c r="Q1149" s="160">
        <v>1014</v>
      </c>
      <c r="R1149" s="95">
        <f t="shared" si="66"/>
        <v>0</v>
      </c>
      <c r="S1149" s="161">
        <v>485</v>
      </c>
      <c r="T1149" s="19" t="s">
        <v>421</v>
      </c>
      <c r="U1149" s="102" t="s">
        <v>422</v>
      </c>
      <c r="V1149" s="64" t="s">
        <v>423</v>
      </c>
      <c r="Y1149" s="68"/>
      <c r="Z1149" s="17" t="s">
        <v>424</v>
      </c>
      <c r="AB1149" s="17" t="s">
        <v>425</v>
      </c>
      <c r="AC1149" s="66">
        <v>44659</v>
      </c>
      <c r="AD1149" s="65"/>
      <c r="AE1149" s="17" t="s">
        <v>48</v>
      </c>
    </row>
    <row r="1150" s="17" customFormat="1" hidden="1" spans="1:32">
      <c r="A1150" s="17" t="s">
        <v>34</v>
      </c>
      <c r="B1150" s="19">
        <v>789</v>
      </c>
      <c r="C1150" s="101" t="s">
        <v>417</v>
      </c>
      <c r="D1150" s="17" t="s">
        <v>418</v>
      </c>
      <c r="E1150" s="17" t="s">
        <v>419</v>
      </c>
      <c r="H1150" s="19" t="s">
        <v>420</v>
      </c>
      <c r="I1150" s="19"/>
      <c r="J1150" s="17" t="s">
        <v>39</v>
      </c>
      <c r="K1150" s="162">
        <v>202</v>
      </c>
      <c r="L1150" s="163"/>
      <c r="M1150" s="19">
        <v>4065</v>
      </c>
      <c r="N1150" s="19"/>
      <c r="O1150" s="19"/>
      <c r="P1150" s="160">
        <v>1023</v>
      </c>
      <c r="Q1150" s="160">
        <v>1030</v>
      </c>
      <c r="R1150" s="95">
        <f t="shared" si="66"/>
        <v>-7</v>
      </c>
      <c r="S1150" s="161">
        <v>485</v>
      </c>
      <c r="T1150" s="19" t="s">
        <v>421</v>
      </c>
      <c r="U1150" s="102" t="s">
        <v>422</v>
      </c>
      <c r="V1150" s="64" t="s">
        <v>423</v>
      </c>
      <c r="Y1150" s="68"/>
      <c r="Z1150" s="17" t="s">
        <v>424</v>
      </c>
      <c r="AB1150" s="17" t="s">
        <v>425</v>
      </c>
      <c r="AC1150" s="66">
        <v>44659</v>
      </c>
      <c r="AD1150" s="65"/>
      <c r="AE1150" s="17" t="s">
        <v>48</v>
      </c>
    </row>
    <row r="1151" s="17" customFormat="1" hidden="1" spans="1:32">
      <c r="A1151" s="17" t="s">
        <v>34</v>
      </c>
      <c r="B1151" s="19">
        <v>789</v>
      </c>
      <c r="C1151" s="101" t="s">
        <v>417</v>
      </c>
      <c r="D1151" s="17" t="s">
        <v>418</v>
      </c>
      <c r="E1151" s="17" t="s">
        <v>419</v>
      </c>
      <c r="H1151" s="19" t="s">
        <v>420</v>
      </c>
      <c r="I1151" s="19"/>
      <c r="J1151" s="17" t="s">
        <v>39</v>
      </c>
      <c r="K1151" s="162">
        <v>202</v>
      </c>
      <c r="L1151" s="163"/>
      <c r="M1151" s="19">
        <v>4030</v>
      </c>
      <c r="N1151" s="19"/>
      <c r="O1151" s="19"/>
      <c r="P1151" s="160">
        <v>1009</v>
      </c>
      <c r="Q1151" s="160">
        <v>1018</v>
      </c>
      <c r="R1151" s="95">
        <f t="shared" si="66"/>
        <v>-9</v>
      </c>
      <c r="S1151" s="161">
        <v>485</v>
      </c>
      <c r="T1151" s="19" t="s">
        <v>421</v>
      </c>
      <c r="U1151" s="102" t="s">
        <v>422</v>
      </c>
      <c r="V1151" s="64" t="s">
        <v>423</v>
      </c>
      <c r="Y1151" s="68"/>
      <c r="Z1151" s="17" t="s">
        <v>424</v>
      </c>
      <c r="AB1151" s="17" t="s">
        <v>425</v>
      </c>
      <c r="AC1151" s="66">
        <v>44659</v>
      </c>
      <c r="AD1151" s="65"/>
      <c r="AE1151" s="17" t="s">
        <v>48</v>
      </c>
    </row>
    <row r="1152" s="17" customFormat="1" hidden="1" spans="1:32">
      <c r="A1152" s="17" t="s">
        <v>34</v>
      </c>
      <c r="B1152" s="19">
        <v>790</v>
      </c>
      <c r="C1152" s="101">
        <v>44658</v>
      </c>
      <c r="D1152" s="17" t="s">
        <v>52</v>
      </c>
      <c r="E1152" s="17" t="s">
        <v>187</v>
      </c>
      <c r="F1152" s="17" t="s">
        <v>54</v>
      </c>
      <c r="H1152" s="19" t="s">
        <v>426</v>
      </c>
      <c r="I1152" s="19"/>
      <c r="J1152" s="17" t="s">
        <v>49</v>
      </c>
      <c r="K1152" s="162">
        <v>2000</v>
      </c>
      <c r="L1152" s="163">
        <v>25</v>
      </c>
      <c r="M1152" s="17" t="s">
        <v>274</v>
      </c>
      <c r="O1152" s="19" t="s">
        <v>141</v>
      </c>
      <c r="P1152" s="19">
        <v>2208</v>
      </c>
      <c r="Q1152" s="17">
        <v>2130</v>
      </c>
      <c r="R1152" s="17">
        <f t="shared" si="66"/>
        <v>78</v>
      </c>
      <c r="S1152" s="17">
        <v>1085</v>
      </c>
      <c r="T1152" s="19" t="s">
        <v>42</v>
      </c>
      <c r="U1152" s="102" t="s">
        <v>427</v>
      </c>
      <c r="V1152" s="64">
        <v>44659</v>
      </c>
      <c r="W1152" s="17" t="s">
        <v>69</v>
      </c>
      <c r="Y1152" s="68">
        <v>44652</v>
      </c>
      <c r="Z1152" s="17" t="s">
        <v>191</v>
      </c>
      <c r="AA1152" s="17" t="s">
        <v>46</v>
      </c>
      <c r="AB1152" s="17" t="s">
        <v>366</v>
      </c>
      <c r="AC1152" s="66">
        <v>44714</v>
      </c>
      <c r="AD1152" s="65">
        <v>1306</v>
      </c>
      <c r="AE1152" s="17" t="s">
        <v>48</v>
      </c>
      <c r="AF1152" s="17" t="s">
        <v>193</v>
      </c>
    </row>
    <row r="1153" s="17" customFormat="1" hidden="1" spans="1:32">
      <c r="A1153" s="17" t="s">
        <v>34</v>
      </c>
      <c r="B1153" s="19">
        <v>790</v>
      </c>
      <c r="C1153" s="101">
        <v>44658</v>
      </c>
      <c r="D1153" s="17" t="s">
        <v>52</v>
      </c>
      <c r="E1153" s="17" t="s">
        <v>187</v>
      </c>
      <c r="F1153" s="17" t="s">
        <v>54</v>
      </c>
      <c r="H1153" s="19" t="s">
        <v>426</v>
      </c>
      <c r="I1153" s="19"/>
      <c r="J1153" s="17" t="s">
        <v>49</v>
      </c>
      <c r="K1153" s="162">
        <v>2000</v>
      </c>
      <c r="L1153" s="164">
        <v>28</v>
      </c>
      <c r="M1153" s="17" t="s">
        <v>274</v>
      </c>
      <c r="O1153" s="19" t="s">
        <v>141</v>
      </c>
      <c r="P1153" s="19">
        <v>2473</v>
      </c>
      <c r="Q1153" s="17">
        <v>2430</v>
      </c>
      <c r="R1153" s="17">
        <f t="shared" si="66"/>
        <v>43</v>
      </c>
      <c r="S1153" s="17">
        <v>1085</v>
      </c>
      <c r="T1153" s="19" t="s">
        <v>42</v>
      </c>
      <c r="U1153" s="102" t="s">
        <v>427</v>
      </c>
      <c r="V1153" s="64">
        <v>44659</v>
      </c>
      <c r="W1153" s="17" t="s">
        <v>69</v>
      </c>
      <c r="Y1153" s="68">
        <v>44652</v>
      </c>
      <c r="Z1153" s="17" t="s">
        <v>191</v>
      </c>
      <c r="AA1153" s="17" t="s">
        <v>46</v>
      </c>
      <c r="AB1153" s="17" t="s">
        <v>428</v>
      </c>
      <c r="AC1153" s="66">
        <v>44679</v>
      </c>
      <c r="AD1153" s="65">
        <v>1294</v>
      </c>
      <c r="AE1153" s="17" t="s">
        <v>48</v>
      </c>
      <c r="AF1153" s="17" t="s">
        <v>193</v>
      </c>
    </row>
    <row r="1154" s="17" customFormat="1" hidden="1" spans="1:32">
      <c r="A1154" s="17" t="s">
        <v>34</v>
      </c>
      <c r="B1154" s="19">
        <v>790</v>
      </c>
      <c r="C1154" s="101">
        <v>44658</v>
      </c>
      <c r="D1154" s="17" t="s">
        <v>52</v>
      </c>
      <c r="E1154" s="17" t="s">
        <v>187</v>
      </c>
      <c r="F1154" s="17" t="s">
        <v>54</v>
      </c>
      <c r="H1154" s="19" t="s">
        <v>426</v>
      </c>
      <c r="I1154" s="19"/>
      <c r="J1154" s="17" t="s">
        <v>49</v>
      </c>
      <c r="K1154" s="162">
        <v>2000</v>
      </c>
      <c r="L1154" s="164">
        <v>33</v>
      </c>
      <c r="M1154" s="17" t="s">
        <v>274</v>
      </c>
      <c r="O1154" s="19" t="s">
        <v>141</v>
      </c>
      <c r="P1154" s="19">
        <v>2914</v>
      </c>
      <c r="Q1154" s="17">
        <v>2810</v>
      </c>
      <c r="R1154" s="17">
        <f t="shared" si="66"/>
        <v>104</v>
      </c>
      <c r="S1154" s="17">
        <v>1085</v>
      </c>
      <c r="T1154" s="19" t="s">
        <v>42</v>
      </c>
      <c r="U1154" s="102" t="s">
        <v>427</v>
      </c>
      <c r="V1154" s="64">
        <v>44659</v>
      </c>
      <c r="W1154" s="17" t="s">
        <v>69</v>
      </c>
      <c r="Y1154" s="68">
        <v>44652</v>
      </c>
      <c r="Z1154" s="17" t="s">
        <v>191</v>
      </c>
      <c r="AA1154" s="17" t="s">
        <v>46</v>
      </c>
      <c r="AB1154" s="17" t="s">
        <v>428</v>
      </c>
      <c r="AC1154" s="66">
        <v>44679</v>
      </c>
      <c r="AD1154" s="65">
        <v>1294</v>
      </c>
      <c r="AE1154" s="17" t="s">
        <v>48</v>
      </c>
      <c r="AF1154" s="17" t="s">
        <v>193</v>
      </c>
    </row>
    <row r="1155" s="17" customFormat="1" hidden="1" spans="1:32">
      <c r="A1155" s="17" t="s">
        <v>34</v>
      </c>
      <c r="B1155" s="19">
        <v>790</v>
      </c>
      <c r="C1155" s="101">
        <v>44658</v>
      </c>
      <c r="D1155" s="17" t="s">
        <v>52</v>
      </c>
      <c r="E1155" s="17" t="s">
        <v>187</v>
      </c>
      <c r="F1155" s="17" t="s">
        <v>54</v>
      </c>
      <c r="H1155" s="19" t="s">
        <v>426</v>
      </c>
      <c r="I1155" s="19"/>
      <c r="J1155" s="17" t="s">
        <v>49</v>
      </c>
      <c r="K1155" s="162">
        <v>2000</v>
      </c>
      <c r="L1155" s="164">
        <v>38</v>
      </c>
      <c r="M1155" s="17" t="s">
        <v>274</v>
      </c>
      <c r="O1155" s="19" t="s">
        <v>141</v>
      </c>
      <c r="P1155" s="19">
        <v>3356</v>
      </c>
      <c r="Q1155" s="17">
        <v>3230</v>
      </c>
      <c r="R1155" s="17">
        <f t="shared" si="66"/>
        <v>126</v>
      </c>
      <c r="S1155" s="17">
        <v>1085</v>
      </c>
      <c r="T1155" s="19" t="s">
        <v>42</v>
      </c>
      <c r="U1155" s="102" t="s">
        <v>427</v>
      </c>
      <c r="V1155" s="64">
        <v>44659</v>
      </c>
      <c r="W1155" s="17" t="s">
        <v>69</v>
      </c>
      <c r="Y1155" s="68">
        <v>44652</v>
      </c>
      <c r="Z1155" s="17" t="s">
        <v>191</v>
      </c>
      <c r="AA1155" s="17" t="s">
        <v>46</v>
      </c>
      <c r="AB1155" s="17" t="s">
        <v>428</v>
      </c>
      <c r="AC1155" s="66">
        <v>44679</v>
      </c>
      <c r="AD1155" s="65">
        <v>1294</v>
      </c>
      <c r="AE1155" s="17" t="s">
        <v>48</v>
      </c>
      <c r="AF1155" s="17" t="s">
        <v>193</v>
      </c>
    </row>
    <row r="1156" s="17" customFormat="1" hidden="1" spans="1:32">
      <c r="A1156" s="17" t="s">
        <v>34</v>
      </c>
      <c r="B1156" s="19">
        <v>790</v>
      </c>
      <c r="C1156" s="101">
        <v>44658</v>
      </c>
      <c r="D1156" s="17" t="s">
        <v>52</v>
      </c>
      <c r="E1156" s="17" t="s">
        <v>187</v>
      </c>
      <c r="F1156" s="17" t="s">
        <v>54</v>
      </c>
      <c r="H1156" s="19" t="s">
        <v>426</v>
      </c>
      <c r="I1156" s="19"/>
      <c r="J1156" s="17" t="s">
        <v>49</v>
      </c>
      <c r="K1156" s="162">
        <v>2000</v>
      </c>
      <c r="L1156" s="164">
        <v>40</v>
      </c>
      <c r="M1156" s="17" t="s">
        <v>274</v>
      </c>
      <c r="O1156" s="19" t="s">
        <v>141</v>
      </c>
      <c r="P1156" s="19">
        <v>3533</v>
      </c>
      <c r="Q1156" s="17">
        <v>3390</v>
      </c>
      <c r="R1156" s="17">
        <f t="shared" si="66"/>
        <v>143</v>
      </c>
      <c r="S1156" s="17">
        <v>1085</v>
      </c>
      <c r="T1156" s="19" t="s">
        <v>42</v>
      </c>
      <c r="U1156" s="102" t="s">
        <v>427</v>
      </c>
      <c r="V1156" s="64">
        <v>44659</v>
      </c>
      <c r="W1156" s="17" t="s">
        <v>69</v>
      </c>
      <c r="Y1156" s="68">
        <v>44652</v>
      </c>
      <c r="Z1156" s="17" t="s">
        <v>191</v>
      </c>
      <c r="AA1156" s="17" t="s">
        <v>46</v>
      </c>
      <c r="AB1156" s="17" t="s">
        <v>428</v>
      </c>
      <c r="AC1156" s="66">
        <v>44679</v>
      </c>
      <c r="AD1156" s="65">
        <v>1294</v>
      </c>
      <c r="AE1156" s="17" t="s">
        <v>48</v>
      </c>
      <c r="AF1156" s="17" t="s">
        <v>193</v>
      </c>
    </row>
    <row r="1157" s="17" customFormat="1" hidden="1" spans="1:32">
      <c r="A1157" s="17" t="s">
        <v>34</v>
      </c>
      <c r="B1157" s="19">
        <v>790</v>
      </c>
      <c r="C1157" s="101">
        <v>44658</v>
      </c>
      <c r="D1157" s="17" t="s">
        <v>52</v>
      </c>
      <c r="E1157" s="17" t="s">
        <v>187</v>
      </c>
      <c r="F1157" s="17" t="s">
        <v>54</v>
      </c>
      <c r="H1157" s="19" t="s">
        <v>426</v>
      </c>
      <c r="I1157" s="19"/>
      <c r="J1157" s="17" t="s">
        <v>49</v>
      </c>
      <c r="K1157" s="162">
        <v>2000</v>
      </c>
      <c r="L1157" s="164">
        <v>43</v>
      </c>
      <c r="M1157" s="17" t="s">
        <v>274</v>
      </c>
      <c r="O1157" s="19" t="s">
        <v>141</v>
      </c>
      <c r="P1157" s="19">
        <v>3797</v>
      </c>
      <c r="Q1157" s="17">
        <v>3650</v>
      </c>
      <c r="R1157" s="17">
        <f t="shared" ref="R1157:R1188" si="67">+P1157-Q1157</f>
        <v>147</v>
      </c>
      <c r="S1157" s="17">
        <v>1085</v>
      </c>
      <c r="T1157" s="19" t="s">
        <v>42</v>
      </c>
      <c r="U1157" s="102" t="s">
        <v>427</v>
      </c>
      <c r="V1157" s="64">
        <v>44659</v>
      </c>
      <c r="W1157" s="17" t="s">
        <v>69</v>
      </c>
      <c r="Y1157" s="68">
        <v>44652</v>
      </c>
      <c r="Z1157" s="17" t="s">
        <v>191</v>
      </c>
      <c r="AA1157" s="17" t="s">
        <v>46</v>
      </c>
      <c r="AB1157" s="17" t="s">
        <v>428</v>
      </c>
      <c r="AC1157" s="66">
        <v>44679</v>
      </c>
      <c r="AD1157" s="65">
        <v>1294</v>
      </c>
      <c r="AE1157" s="17" t="s">
        <v>48</v>
      </c>
      <c r="AF1157" s="17" t="s">
        <v>193</v>
      </c>
    </row>
    <row r="1158" s="17" customFormat="1" hidden="1" spans="1:32">
      <c r="A1158" s="17" t="s">
        <v>34</v>
      </c>
      <c r="B1158" s="19">
        <v>790</v>
      </c>
      <c r="C1158" s="101">
        <v>44658</v>
      </c>
      <c r="D1158" s="17" t="s">
        <v>52</v>
      </c>
      <c r="E1158" s="17" t="s">
        <v>187</v>
      </c>
      <c r="F1158" s="17" t="s">
        <v>54</v>
      </c>
      <c r="H1158" s="19" t="s">
        <v>426</v>
      </c>
      <c r="I1158" s="19"/>
      <c r="J1158" s="17" t="s">
        <v>49</v>
      </c>
      <c r="K1158" s="162">
        <v>2000</v>
      </c>
      <c r="L1158" s="164">
        <v>45</v>
      </c>
      <c r="M1158" s="17" t="s">
        <v>429</v>
      </c>
      <c r="O1158" s="19" t="s">
        <v>141</v>
      </c>
      <c r="P1158" s="19">
        <v>3577</v>
      </c>
      <c r="Q1158" s="17">
        <v>3800</v>
      </c>
      <c r="R1158" s="17">
        <f t="shared" si="67"/>
        <v>-223</v>
      </c>
      <c r="S1158" s="17">
        <v>1085</v>
      </c>
      <c r="T1158" s="19" t="s">
        <v>42</v>
      </c>
      <c r="U1158" s="102" t="s">
        <v>427</v>
      </c>
      <c r="V1158" s="64">
        <v>44659</v>
      </c>
      <c r="W1158" s="17" t="s">
        <v>69</v>
      </c>
      <c r="Y1158" s="68">
        <v>44652</v>
      </c>
      <c r="Z1158" s="17" t="s">
        <v>191</v>
      </c>
      <c r="AA1158" s="17" t="s">
        <v>46</v>
      </c>
      <c r="AB1158" s="17" t="s">
        <v>428</v>
      </c>
      <c r="AC1158" s="66">
        <v>44679</v>
      </c>
      <c r="AD1158" s="65">
        <v>1294</v>
      </c>
      <c r="AE1158" s="17" t="s">
        <v>48</v>
      </c>
      <c r="AF1158" s="17" t="s">
        <v>193</v>
      </c>
    </row>
    <row r="1159" s="17" customFormat="1" hidden="1" spans="1:32">
      <c r="A1159" s="17" t="s">
        <v>34</v>
      </c>
      <c r="B1159" s="19">
        <v>790</v>
      </c>
      <c r="C1159" s="101">
        <v>44658</v>
      </c>
      <c r="D1159" s="17" t="s">
        <v>52</v>
      </c>
      <c r="E1159" s="17" t="s">
        <v>187</v>
      </c>
      <c r="F1159" s="17" t="s">
        <v>54</v>
      </c>
      <c r="H1159" s="19" t="s">
        <v>426</v>
      </c>
      <c r="I1159" s="19"/>
      <c r="J1159" s="17" t="s">
        <v>49</v>
      </c>
      <c r="K1159" s="162">
        <v>2000</v>
      </c>
      <c r="L1159" s="164">
        <v>50</v>
      </c>
      <c r="M1159" s="17" t="s">
        <v>429</v>
      </c>
      <c r="O1159" s="19" t="s">
        <v>141</v>
      </c>
      <c r="P1159" s="19">
        <v>3974</v>
      </c>
      <c r="Q1159" s="17">
        <v>4230</v>
      </c>
      <c r="R1159" s="17">
        <f t="shared" si="67"/>
        <v>-256</v>
      </c>
      <c r="S1159" s="17">
        <v>1085</v>
      </c>
      <c r="T1159" s="19" t="s">
        <v>42</v>
      </c>
      <c r="U1159" s="102" t="s">
        <v>427</v>
      </c>
      <c r="V1159" s="64">
        <v>44659</v>
      </c>
      <c r="W1159" s="17" t="s">
        <v>69</v>
      </c>
      <c r="Y1159" s="68">
        <v>44652</v>
      </c>
      <c r="Z1159" s="17" t="s">
        <v>191</v>
      </c>
      <c r="AA1159" s="17" t="s">
        <v>46</v>
      </c>
      <c r="AB1159" s="17" t="s">
        <v>428</v>
      </c>
      <c r="AC1159" s="66">
        <v>44679</v>
      </c>
      <c r="AD1159" s="65">
        <v>1294</v>
      </c>
      <c r="AE1159" s="17" t="s">
        <v>48</v>
      </c>
      <c r="AF1159" s="17" t="s">
        <v>193</v>
      </c>
    </row>
    <row r="1160" s="17" customFormat="1" hidden="1" spans="1:32">
      <c r="A1160" s="17" t="s">
        <v>34</v>
      </c>
      <c r="B1160" s="19">
        <v>790</v>
      </c>
      <c r="C1160" s="101">
        <v>44658</v>
      </c>
      <c r="D1160" s="17" t="s">
        <v>52</v>
      </c>
      <c r="E1160" s="17" t="s">
        <v>187</v>
      </c>
      <c r="F1160" s="17" t="s">
        <v>54</v>
      </c>
      <c r="H1160" s="19" t="s">
        <v>426</v>
      </c>
      <c r="I1160" s="19"/>
      <c r="J1160" s="17" t="s">
        <v>49</v>
      </c>
      <c r="K1160" s="162">
        <v>2000</v>
      </c>
      <c r="L1160" s="164">
        <v>53</v>
      </c>
      <c r="M1160" s="17" t="s">
        <v>429</v>
      </c>
      <c r="O1160" s="19" t="s">
        <v>141</v>
      </c>
      <c r="P1160" s="19">
        <v>4213</v>
      </c>
      <c r="Q1160" s="17">
        <v>4570</v>
      </c>
      <c r="R1160" s="17">
        <f t="shared" si="67"/>
        <v>-357</v>
      </c>
      <c r="S1160" s="17">
        <v>1085</v>
      </c>
      <c r="T1160" s="19" t="s">
        <v>42</v>
      </c>
      <c r="U1160" s="102" t="s">
        <v>427</v>
      </c>
      <c r="V1160" s="64">
        <v>44659</v>
      </c>
      <c r="W1160" s="17" t="s">
        <v>69</v>
      </c>
      <c r="Y1160" s="68">
        <v>44652</v>
      </c>
      <c r="Z1160" s="17" t="s">
        <v>191</v>
      </c>
      <c r="AA1160" s="17" t="s">
        <v>46</v>
      </c>
      <c r="AB1160" s="17" t="s">
        <v>430</v>
      </c>
      <c r="AC1160" s="66">
        <v>44673</v>
      </c>
      <c r="AD1160" s="65">
        <v>1292</v>
      </c>
      <c r="AE1160" s="17" t="s">
        <v>48</v>
      </c>
      <c r="AF1160" s="17" t="s">
        <v>193</v>
      </c>
    </row>
    <row r="1161" s="17" customFormat="1" hidden="1" spans="1:32">
      <c r="A1161" s="17" t="s">
        <v>34</v>
      </c>
      <c r="B1161" s="19">
        <v>790</v>
      </c>
      <c r="C1161" s="101">
        <v>44658</v>
      </c>
      <c r="D1161" s="17" t="s">
        <v>52</v>
      </c>
      <c r="E1161" s="17" t="s">
        <v>187</v>
      </c>
      <c r="F1161" s="17" t="s">
        <v>54</v>
      </c>
      <c r="H1161" s="19" t="s">
        <v>426</v>
      </c>
      <c r="I1161" s="19"/>
      <c r="J1161" s="17" t="s">
        <v>49</v>
      </c>
      <c r="K1161" s="162">
        <v>2000</v>
      </c>
      <c r="L1161" s="164">
        <v>56</v>
      </c>
      <c r="M1161" s="17" t="s">
        <v>429</v>
      </c>
      <c r="O1161" s="19" t="s">
        <v>141</v>
      </c>
      <c r="P1161" s="19">
        <v>4451</v>
      </c>
      <c r="Q1161" s="17">
        <v>4710</v>
      </c>
      <c r="R1161" s="17">
        <f t="shared" si="67"/>
        <v>-259</v>
      </c>
      <c r="S1161" s="17">
        <v>1085</v>
      </c>
      <c r="T1161" s="19" t="s">
        <v>42</v>
      </c>
      <c r="U1161" s="102" t="s">
        <v>427</v>
      </c>
      <c r="V1161" s="64">
        <v>44659</v>
      </c>
      <c r="W1161" s="17" t="s">
        <v>69</v>
      </c>
      <c r="Y1161" s="68">
        <v>44652</v>
      </c>
      <c r="Z1161" s="17" t="s">
        <v>191</v>
      </c>
      <c r="AA1161" s="17" t="s">
        <v>46</v>
      </c>
      <c r="AB1161" s="17" t="s">
        <v>430</v>
      </c>
      <c r="AC1161" s="66">
        <v>44673</v>
      </c>
      <c r="AD1161" s="65">
        <v>1292</v>
      </c>
      <c r="AE1161" s="17" t="s">
        <v>48</v>
      </c>
      <c r="AF1161" s="17" t="s">
        <v>193</v>
      </c>
    </row>
    <row r="1162" s="17" customFormat="1" hidden="1" spans="1:32">
      <c r="A1162" s="17" t="s">
        <v>34</v>
      </c>
      <c r="B1162" s="19">
        <v>790</v>
      </c>
      <c r="C1162" s="101">
        <v>44658</v>
      </c>
      <c r="D1162" s="17" t="s">
        <v>52</v>
      </c>
      <c r="E1162" s="17" t="s">
        <v>187</v>
      </c>
      <c r="F1162" s="17" t="s">
        <v>54</v>
      </c>
      <c r="H1162" s="19" t="s">
        <v>426</v>
      </c>
      <c r="I1162" s="19"/>
      <c r="J1162" s="17" t="s">
        <v>49</v>
      </c>
      <c r="K1162" s="162">
        <v>2000</v>
      </c>
      <c r="L1162" s="164">
        <v>60</v>
      </c>
      <c r="M1162" s="17" t="s">
        <v>429</v>
      </c>
      <c r="O1162" s="19" t="s">
        <v>141</v>
      </c>
      <c r="P1162" s="19">
        <v>4769</v>
      </c>
      <c r="Q1162" s="17">
        <v>5090</v>
      </c>
      <c r="R1162" s="17">
        <f t="shared" si="67"/>
        <v>-321</v>
      </c>
      <c r="S1162" s="17">
        <v>1085</v>
      </c>
      <c r="T1162" s="19" t="s">
        <v>42</v>
      </c>
      <c r="U1162" s="102" t="s">
        <v>427</v>
      </c>
      <c r="V1162" s="64">
        <v>44659</v>
      </c>
      <c r="W1162" s="17" t="s">
        <v>69</v>
      </c>
      <c r="Y1162" s="68">
        <v>44652</v>
      </c>
      <c r="Z1162" s="17" t="s">
        <v>191</v>
      </c>
      <c r="AA1162" s="17" t="s">
        <v>46</v>
      </c>
      <c r="AB1162" s="17" t="s">
        <v>428</v>
      </c>
      <c r="AC1162" s="66">
        <v>44679</v>
      </c>
      <c r="AD1162" s="65">
        <v>1294</v>
      </c>
      <c r="AE1162" s="17" t="s">
        <v>48</v>
      </c>
      <c r="AF1162" s="17" t="s">
        <v>193</v>
      </c>
    </row>
    <row r="1163" s="17" customFormat="1" hidden="1" spans="1:32">
      <c r="A1163" s="17" t="s">
        <v>34</v>
      </c>
      <c r="B1163" s="19">
        <v>790</v>
      </c>
      <c r="C1163" s="101">
        <v>44658</v>
      </c>
      <c r="D1163" s="17" t="s">
        <v>52</v>
      </c>
      <c r="E1163" s="17" t="s">
        <v>187</v>
      </c>
      <c r="F1163" s="17" t="s">
        <v>54</v>
      </c>
      <c r="H1163" s="19" t="s">
        <v>426</v>
      </c>
      <c r="I1163" s="19"/>
      <c r="J1163" s="17" t="s">
        <v>49</v>
      </c>
      <c r="K1163" s="162">
        <v>2000</v>
      </c>
      <c r="L1163" s="164">
        <v>65</v>
      </c>
      <c r="M1163" s="17" t="s">
        <v>429</v>
      </c>
      <c r="O1163" s="19" t="s">
        <v>141</v>
      </c>
      <c r="P1163" s="19">
        <v>5166</v>
      </c>
      <c r="Q1163" s="17">
        <v>5470</v>
      </c>
      <c r="R1163" s="17">
        <f t="shared" si="67"/>
        <v>-304</v>
      </c>
      <c r="S1163" s="17">
        <v>1085</v>
      </c>
      <c r="T1163" s="19" t="s">
        <v>42</v>
      </c>
      <c r="U1163" s="102" t="s">
        <v>427</v>
      </c>
      <c r="V1163" s="64">
        <v>44659</v>
      </c>
      <c r="W1163" s="17" t="s">
        <v>69</v>
      </c>
      <c r="Y1163" s="68">
        <v>44652</v>
      </c>
      <c r="Z1163" s="17" t="s">
        <v>191</v>
      </c>
      <c r="AA1163" s="17" t="s">
        <v>46</v>
      </c>
      <c r="AB1163" s="17" t="s">
        <v>430</v>
      </c>
      <c r="AC1163" s="66">
        <v>44673</v>
      </c>
      <c r="AD1163" s="65">
        <v>1292</v>
      </c>
      <c r="AE1163" s="17" t="s">
        <v>48</v>
      </c>
      <c r="AF1163" s="17" t="s">
        <v>193</v>
      </c>
    </row>
    <row r="1164" s="17" customFormat="1" hidden="1" spans="1:32">
      <c r="A1164" s="17" t="s">
        <v>34</v>
      </c>
      <c r="B1164" s="19">
        <v>790</v>
      </c>
      <c r="C1164" s="101">
        <v>44658</v>
      </c>
      <c r="D1164" s="17" t="s">
        <v>52</v>
      </c>
      <c r="E1164" s="17" t="s">
        <v>187</v>
      </c>
      <c r="F1164" s="17" t="s">
        <v>54</v>
      </c>
      <c r="H1164" s="19" t="s">
        <v>426</v>
      </c>
      <c r="I1164" s="19"/>
      <c r="J1164" s="17" t="s">
        <v>49</v>
      </c>
      <c r="K1164" s="162">
        <v>2000</v>
      </c>
      <c r="L1164" s="164">
        <v>70</v>
      </c>
      <c r="M1164" s="17" t="s">
        <v>429</v>
      </c>
      <c r="O1164" s="19" t="s">
        <v>141</v>
      </c>
      <c r="P1164" s="19">
        <v>5564</v>
      </c>
      <c r="Q1164" s="17">
        <v>6040</v>
      </c>
      <c r="R1164" s="17">
        <f t="shared" si="67"/>
        <v>-476</v>
      </c>
      <c r="S1164" s="17">
        <v>1085</v>
      </c>
      <c r="T1164" s="19" t="s">
        <v>42</v>
      </c>
      <c r="U1164" s="102" t="s">
        <v>427</v>
      </c>
      <c r="V1164" s="64">
        <v>44659</v>
      </c>
      <c r="W1164" s="17" t="s">
        <v>69</v>
      </c>
      <c r="Y1164" s="68">
        <v>44652</v>
      </c>
      <c r="Z1164" s="17" t="s">
        <v>191</v>
      </c>
      <c r="AA1164" s="17" t="s">
        <v>46</v>
      </c>
      <c r="AB1164" s="17" t="s">
        <v>428</v>
      </c>
      <c r="AC1164" s="66">
        <v>44679</v>
      </c>
      <c r="AD1164" s="65">
        <v>1294</v>
      </c>
      <c r="AE1164" s="17" t="s">
        <v>48</v>
      </c>
      <c r="AF1164" s="17" t="s">
        <v>193</v>
      </c>
    </row>
    <row r="1165" s="17" customFormat="1" hidden="1" spans="1:32">
      <c r="A1165" s="17" t="s">
        <v>34</v>
      </c>
      <c r="B1165" s="19">
        <v>790</v>
      </c>
      <c r="C1165" s="101">
        <v>44658</v>
      </c>
      <c r="D1165" s="17" t="s">
        <v>52</v>
      </c>
      <c r="E1165" s="17" t="s">
        <v>187</v>
      </c>
      <c r="F1165" s="17" t="s">
        <v>54</v>
      </c>
      <c r="H1165" s="19" t="s">
        <v>426</v>
      </c>
      <c r="I1165" s="19"/>
      <c r="J1165" s="17" t="s">
        <v>49</v>
      </c>
      <c r="K1165" s="162">
        <v>2000</v>
      </c>
      <c r="L1165" s="164">
        <v>80</v>
      </c>
      <c r="M1165" s="17" t="s">
        <v>429</v>
      </c>
      <c r="O1165" s="19" t="s">
        <v>141</v>
      </c>
      <c r="P1165" s="19">
        <v>6359</v>
      </c>
      <c r="Q1165" s="17">
        <v>6870</v>
      </c>
      <c r="R1165" s="17">
        <f t="shared" si="67"/>
        <v>-511</v>
      </c>
      <c r="S1165" s="17">
        <v>1085</v>
      </c>
      <c r="T1165" s="19" t="s">
        <v>42</v>
      </c>
      <c r="U1165" s="102" t="s">
        <v>427</v>
      </c>
      <c r="V1165" s="64">
        <v>44659</v>
      </c>
      <c r="W1165" s="17" t="s">
        <v>69</v>
      </c>
      <c r="Y1165" s="68">
        <v>44652</v>
      </c>
      <c r="Z1165" s="17" t="s">
        <v>191</v>
      </c>
      <c r="AA1165" s="17" t="s">
        <v>46</v>
      </c>
      <c r="AB1165" s="17" t="s">
        <v>430</v>
      </c>
      <c r="AC1165" s="66">
        <v>44673</v>
      </c>
      <c r="AD1165" s="65">
        <v>1292</v>
      </c>
      <c r="AE1165" s="17" t="s">
        <v>48</v>
      </c>
      <c r="AF1165" s="17" t="s">
        <v>193</v>
      </c>
    </row>
    <row r="1166" s="17" customFormat="1" hidden="1" spans="1:32">
      <c r="A1166" s="17" t="s">
        <v>34</v>
      </c>
      <c r="B1166" s="19">
        <v>790</v>
      </c>
      <c r="C1166" s="101">
        <v>44658</v>
      </c>
      <c r="D1166" s="17" t="s">
        <v>52</v>
      </c>
      <c r="E1166" s="17" t="s">
        <v>187</v>
      </c>
      <c r="F1166" s="17" t="s">
        <v>54</v>
      </c>
      <c r="H1166" s="19" t="s">
        <v>426</v>
      </c>
      <c r="I1166" s="19"/>
      <c r="J1166" s="17" t="s">
        <v>49</v>
      </c>
      <c r="K1166" s="162">
        <v>2000</v>
      </c>
      <c r="L1166" s="164">
        <v>85</v>
      </c>
      <c r="M1166" s="17" t="s">
        <v>431</v>
      </c>
      <c r="O1166" s="19" t="s">
        <v>141</v>
      </c>
      <c r="P1166" s="19">
        <v>6756</v>
      </c>
      <c r="Q1166" s="17">
        <v>5660</v>
      </c>
      <c r="R1166" s="17">
        <f t="shared" si="67"/>
        <v>1096</v>
      </c>
      <c r="S1166" s="17">
        <v>1085</v>
      </c>
      <c r="T1166" s="19" t="s">
        <v>42</v>
      </c>
      <c r="U1166" s="102" t="s">
        <v>427</v>
      </c>
      <c r="V1166" s="64">
        <v>44659</v>
      </c>
      <c r="W1166" s="17" t="s">
        <v>69</v>
      </c>
      <c r="Y1166" s="68">
        <v>44652</v>
      </c>
      <c r="Z1166" s="17" t="s">
        <v>191</v>
      </c>
      <c r="AA1166" s="17" t="s">
        <v>46</v>
      </c>
      <c r="AB1166" s="17" t="s">
        <v>430</v>
      </c>
      <c r="AC1166" s="66">
        <v>44673</v>
      </c>
      <c r="AD1166" s="65">
        <v>1292</v>
      </c>
      <c r="AE1166" s="17" t="s">
        <v>48</v>
      </c>
      <c r="AF1166" s="17" t="s">
        <v>193</v>
      </c>
    </row>
    <row r="1167" s="17" customFormat="1" hidden="1" spans="1:32">
      <c r="A1167" s="17" t="s">
        <v>34</v>
      </c>
      <c r="B1167" s="19">
        <v>790</v>
      </c>
      <c r="C1167" s="101">
        <v>44658</v>
      </c>
      <c r="D1167" s="17" t="s">
        <v>52</v>
      </c>
      <c r="E1167" s="17" t="s">
        <v>187</v>
      </c>
      <c r="F1167" s="17" t="s">
        <v>54</v>
      </c>
      <c r="H1167" s="19" t="s">
        <v>426</v>
      </c>
      <c r="I1167" s="19"/>
      <c r="J1167" s="17" t="s">
        <v>49</v>
      </c>
      <c r="K1167" s="162">
        <v>2000</v>
      </c>
      <c r="L1167" s="164">
        <v>90</v>
      </c>
      <c r="M1167" s="17" t="s">
        <v>274</v>
      </c>
      <c r="O1167" s="19" t="s">
        <v>141</v>
      </c>
      <c r="P1167" s="19">
        <v>7153</v>
      </c>
      <c r="Q1167" s="17">
        <v>7780</v>
      </c>
      <c r="R1167" s="17">
        <f t="shared" si="67"/>
        <v>-627</v>
      </c>
      <c r="S1167" s="17">
        <v>1085</v>
      </c>
      <c r="T1167" s="19" t="s">
        <v>42</v>
      </c>
      <c r="U1167" s="102" t="s">
        <v>427</v>
      </c>
      <c r="V1167" s="64">
        <v>44659</v>
      </c>
      <c r="W1167" s="17" t="s">
        <v>69</v>
      </c>
      <c r="Y1167" s="68">
        <v>44652</v>
      </c>
      <c r="Z1167" s="17" t="s">
        <v>191</v>
      </c>
      <c r="AA1167" s="17" t="s">
        <v>46</v>
      </c>
      <c r="AB1167" s="17" t="s">
        <v>430</v>
      </c>
      <c r="AC1167" s="66">
        <v>44673</v>
      </c>
      <c r="AD1167" s="65">
        <v>1292</v>
      </c>
      <c r="AE1167" s="17" t="s">
        <v>48</v>
      </c>
      <c r="AF1167" s="17" t="s">
        <v>193</v>
      </c>
    </row>
    <row r="1168" s="17" customFormat="1" hidden="1" spans="1:32">
      <c r="A1168" s="17" t="s">
        <v>34</v>
      </c>
      <c r="B1168" s="19">
        <v>790</v>
      </c>
      <c r="C1168" s="101">
        <v>44658</v>
      </c>
      <c r="D1168" s="17" t="s">
        <v>52</v>
      </c>
      <c r="E1168" s="17" t="s">
        <v>187</v>
      </c>
      <c r="F1168" s="17" t="s">
        <v>54</v>
      </c>
      <c r="H1168" s="19" t="s">
        <v>426</v>
      </c>
      <c r="I1168" s="19"/>
      <c r="J1168" s="17" t="s">
        <v>49</v>
      </c>
      <c r="K1168" s="162">
        <v>2000</v>
      </c>
      <c r="L1168" s="165">
        <v>95</v>
      </c>
      <c r="M1168" s="17" t="s">
        <v>431</v>
      </c>
      <c r="O1168" s="19" t="s">
        <v>141</v>
      </c>
      <c r="P1168" s="19">
        <v>5873</v>
      </c>
      <c r="Q1168" s="17">
        <v>6430</v>
      </c>
      <c r="R1168" s="17">
        <f t="shared" si="67"/>
        <v>-557</v>
      </c>
      <c r="S1168" s="17">
        <v>1085</v>
      </c>
      <c r="T1168" s="19" t="s">
        <v>42</v>
      </c>
      <c r="U1168" s="102" t="s">
        <v>427</v>
      </c>
      <c r="V1168" s="64">
        <v>44659</v>
      </c>
      <c r="W1168" s="17" t="s">
        <v>69</v>
      </c>
      <c r="Y1168" s="68">
        <v>44652</v>
      </c>
      <c r="Z1168" s="17" t="s">
        <v>191</v>
      </c>
      <c r="AA1168" s="17" t="s">
        <v>46</v>
      </c>
      <c r="AB1168" s="17" t="s">
        <v>430</v>
      </c>
      <c r="AC1168" s="66">
        <v>44673</v>
      </c>
      <c r="AD1168" s="65">
        <v>1292</v>
      </c>
      <c r="AE1168" s="17" t="s">
        <v>48</v>
      </c>
      <c r="AF1168" s="17" t="s">
        <v>193</v>
      </c>
    </row>
    <row r="1169" s="17" customFormat="1" hidden="1" spans="1:32">
      <c r="A1169" s="17" t="s">
        <v>34</v>
      </c>
      <c r="B1169" s="19">
        <v>790</v>
      </c>
      <c r="C1169" s="101">
        <v>44658</v>
      </c>
      <c r="D1169" s="17" t="s">
        <v>52</v>
      </c>
      <c r="E1169" s="17" t="s">
        <v>187</v>
      </c>
      <c r="F1169" s="17" t="s">
        <v>54</v>
      </c>
      <c r="H1169" s="19" t="s">
        <v>426</v>
      </c>
      <c r="I1169" s="19"/>
      <c r="J1169" s="17" t="s">
        <v>49</v>
      </c>
      <c r="K1169" s="162">
        <v>2000</v>
      </c>
      <c r="L1169" s="165">
        <v>100</v>
      </c>
      <c r="M1169" s="17" t="s">
        <v>431</v>
      </c>
      <c r="O1169" s="19" t="s">
        <v>141</v>
      </c>
      <c r="P1169" s="19">
        <v>6182</v>
      </c>
      <c r="Q1169" s="17">
        <v>6830</v>
      </c>
      <c r="R1169" s="17">
        <f t="shared" si="67"/>
        <v>-648</v>
      </c>
      <c r="S1169" s="17">
        <v>1100</v>
      </c>
      <c r="T1169" s="19" t="s">
        <v>42</v>
      </c>
      <c r="U1169" s="102" t="s">
        <v>427</v>
      </c>
      <c r="V1169" s="64">
        <v>44659</v>
      </c>
      <c r="W1169" s="17" t="s">
        <v>69</v>
      </c>
      <c r="Y1169" s="68">
        <v>44652</v>
      </c>
      <c r="Z1169" s="17" t="s">
        <v>191</v>
      </c>
      <c r="AA1169" s="17" t="s">
        <v>46</v>
      </c>
      <c r="AB1169" s="17" t="s">
        <v>430</v>
      </c>
      <c r="AC1169" s="66">
        <v>44673</v>
      </c>
      <c r="AD1169" s="65">
        <v>1292</v>
      </c>
      <c r="AE1169" s="17" t="s">
        <v>48</v>
      </c>
      <c r="AF1169" s="17" t="s">
        <v>193</v>
      </c>
    </row>
    <row r="1170" s="17" customFormat="1" hidden="1" spans="1:32">
      <c r="A1170" s="17" t="s">
        <v>34</v>
      </c>
      <c r="B1170" s="19">
        <v>790</v>
      </c>
      <c r="C1170" s="101">
        <v>44658</v>
      </c>
      <c r="D1170" s="17" t="s">
        <v>52</v>
      </c>
      <c r="E1170" s="17" t="s">
        <v>187</v>
      </c>
      <c r="F1170" s="17" t="s">
        <v>54</v>
      </c>
      <c r="H1170" s="19" t="s">
        <v>426</v>
      </c>
      <c r="I1170" s="19"/>
      <c r="J1170" s="17" t="s">
        <v>49</v>
      </c>
      <c r="K1170" s="162">
        <v>2000</v>
      </c>
      <c r="L1170" s="165">
        <v>105</v>
      </c>
      <c r="M1170" s="17" t="s">
        <v>431</v>
      </c>
      <c r="O1170" s="19" t="s">
        <v>141</v>
      </c>
      <c r="P1170" s="19">
        <v>6491</v>
      </c>
      <c r="Q1170" s="17">
        <v>6850</v>
      </c>
      <c r="R1170" s="17">
        <f t="shared" si="67"/>
        <v>-359</v>
      </c>
      <c r="S1170" s="17">
        <v>1100</v>
      </c>
      <c r="T1170" s="19" t="s">
        <v>42</v>
      </c>
      <c r="U1170" s="102" t="s">
        <v>427</v>
      </c>
      <c r="V1170" s="64">
        <v>44659</v>
      </c>
      <c r="W1170" s="17" t="s">
        <v>69</v>
      </c>
      <c r="Y1170" s="68">
        <v>44652</v>
      </c>
      <c r="Z1170" s="17" t="s">
        <v>191</v>
      </c>
      <c r="AA1170" s="17" t="s">
        <v>46</v>
      </c>
      <c r="AB1170" s="17" t="s">
        <v>430</v>
      </c>
      <c r="AC1170" s="66">
        <v>44673</v>
      </c>
      <c r="AD1170" s="65">
        <v>1292</v>
      </c>
      <c r="AE1170" s="17" t="s">
        <v>48</v>
      </c>
      <c r="AF1170" s="17" t="s">
        <v>193</v>
      </c>
    </row>
    <row r="1171" s="17" customFormat="1" hidden="1" spans="1:32">
      <c r="A1171" s="17" t="s">
        <v>34</v>
      </c>
      <c r="B1171" s="19">
        <v>790</v>
      </c>
      <c r="C1171" s="101">
        <v>44658</v>
      </c>
      <c r="D1171" s="17" t="s">
        <v>52</v>
      </c>
      <c r="E1171" s="17" t="s">
        <v>187</v>
      </c>
      <c r="F1171" s="17" t="s">
        <v>54</v>
      </c>
      <c r="H1171" s="19" t="s">
        <v>426</v>
      </c>
      <c r="I1171" s="19"/>
      <c r="J1171" s="17" t="s">
        <v>49</v>
      </c>
      <c r="K1171" s="162">
        <v>2000</v>
      </c>
      <c r="L1171" s="165">
        <v>110</v>
      </c>
      <c r="M1171" s="17" t="s">
        <v>431</v>
      </c>
      <c r="O1171" s="19" t="s">
        <v>141</v>
      </c>
      <c r="P1171" s="19">
        <v>6800</v>
      </c>
      <c r="Q1171" s="17">
        <v>7590</v>
      </c>
      <c r="R1171" s="17">
        <f t="shared" si="67"/>
        <v>-790</v>
      </c>
      <c r="S1171" s="17">
        <v>1100</v>
      </c>
      <c r="T1171" s="19" t="s">
        <v>42</v>
      </c>
      <c r="U1171" s="102" t="s">
        <v>427</v>
      </c>
      <c r="V1171" s="64">
        <v>44659</v>
      </c>
      <c r="W1171" s="17" t="s">
        <v>69</v>
      </c>
      <c r="Y1171" s="68">
        <v>44652</v>
      </c>
      <c r="Z1171" s="17" t="s">
        <v>191</v>
      </c>
      <c r="AA1171" s="17" t="s">
        <v>46</v>
      </c>
      <c r="AB1171" s="17" t="s">
        <v>366</v>
      </c>
      <c r="AC1171" s="66">
        <v>44714</v>
      </c>
      <c r="AD1171" s="65">
        <v>1306</v>
      </c>
      <c r="AE1171" s="17" t="s">
        <v>48</v>
      </c>
      <c r="AF1171" s="17" t="s">
        <v>193</v>
      </c>
    </row>
    <row r="1172" s="17" customFormat="1" hidden="1" spans="1:32">
      <c r="A1172" s="17" t="s">
        <v>34</v>
      </c>
      <c r="B1172" s="19">
        <v>790</v>
      </c>
      <c r="C1172" s="101">
        <v>44658</v>
      </c>
      <c r="D1172" s="17" t="s">
        <v>52</v>
      </c>
      <c r="E1172" s="17" t="s">
        <v>187</v>
      </c>
      <c r="F1172" s="17" t="s">
        <v>54</v>
      </c>
      <c r="H1172" s="19" t="s">
        <v>426</v>
      </c>
      <c r="I1172" s="19"/>
      <c r="J1172" s="17" t="s">
        <v>49</v>
      </c>
      <c r="K1172" s="162">
        <v>2000</v>
      </c>
      <c r="L1172" s="165">
        <v>120</v>
      </c>
      <c r="M1172" s="17" t="s">
        <v>431</v>
      </c>
      <c r="O1172" s="19" t="s">
        <v>141</v>
      </c>
      <c r="P1172" s="19">
        <v>7418</v>
      </c>
      <c r="Q1172" s="17">
        <v>7850</v>
      </c>
      <c r="R1172" s="17">
        <f t="shared" si="67"/>
        <v>-432</v>
      </c>
      <c r="S1172" s="17">
        <v>1100</v>
      </c>
      <c r="T1172" s="19" t="s">
        <v>42</v>
      </c>
      <c r="U1172" s="102" t="s">
        <v>427</v>
      </c>
      <c r="V1172" s="64">
        <v>44659</v>
      </c>
      <c r="W1172" s="17" t="s">
        <v>69</v>
      </c>
      <c r="Y1172" s="68">
        <v>44652</v>
      </c>
      <c r="Z1172" s="17" t="s">
        <v>191</v>
      </c>
      <c r="AA1172" s="17" t="s">
        <v>46</v>
      </c>
      <c r="AB1172" s="17" t="s">
        <v>366</v>
      </c>
      <c r="AC1172" s="66">
        <v>44714</v>
      </c>
      <c r="AD1172" s="65">
        <v>1306</v>
      </c>
      <c r="AE1172" s="17" t="s">
        <v>48</v>
      </c>
      <c r="AF1172" s="17" t="s">
        <v>193</v>
      </c>
    </row>
    <row r="1173" s="17" customFormat="1" hidden="1" spans="1:32">
      <c r="A1173" s="17" t="s">
        <v>34</v>
      </c>
      <c r="B1173" s="19">
        <v>790</v>
      </c>
      <c r="C1173" s="101">
        <v>44658</v>
      </c>
      <c r="D1173" s="17" t="s">
        <v>52</v>
      </c>
      <c r="E1173" s="17" t="s">
        <v>187</v>
      </c>
      <c r="F1173" s="17" t="s">
        <v>54</v>
      </c>
      <c r="H1173" s="19" t="s">
        <v>426</v>
      </c>
      <c r="I1173" s="19"/>
      <c r="J1173" s="17" t="s">
        <v>49</v>
      </c>
      <c r="K1173" s="162">
        <v>2000</v>
      </c>
      <c r="L1173" s="165">
        <v>125</v>
      </c>
      <c r="M1173" s="17" t="s">
        <v>431</v>
      </c>
      <c r="O1173" s="19" t="s">
        <v>141</v>
      </c>
      <c r="P1173" s="19">
        <v>7727</v>
      </c>
      <c r="Q1173" s="17">
        <v>7890</v>
      </c>
      <c r="R1173" s="17">
        <f t="shared" si="67"/>
        <v>-163</v>
      </c>
      <c r="S1173" s="17">
        <v>1100</v>
      </c>
      <c r="T1173" s="19" t="s">
        <v>42</v>
      </c>
      <c r="U1173" s="102" t="s">
        <v>427</v>
      </c>
      <c r="V1173" s="64">
        <v>44659</v>
      </c>
      <c r="W1173" s="17" t="s">
        <v>69</v>
      </c>
      <c r="Y1173" s="68">
        <v>44652</v>
      </c>
      <c r="Z1173" s="17" t="s">
        <v>191</v>
      </c>
      <c r="AA1173" s="17" t="s">
        <v>46</v>
      </c>
      <c r="AB1173" s="17" t="s">
        <v>428</v>
      </c>
      <c r="AC1173" s="66">
        <v>44679</v>
      </c>
      <c r="AD1173" s="65">
        <v>1294</v>
      </c>
      <c r="AE1173" s="17" t="s">
        <v>48</v>
      </c>
      <c r="AF1173" s="17" t="s">
        <v>193</v>
      </c>
    </row>
    <row r="1174" s="17" customFormat="1" hidden="1" spans="1:32">
      <c r="A1174" s="17" t="s">
        <v>34</v>
      </c>
      <c r="B1174" s="19">
        <v>790</v>
      </c>
      <c r="C1174" s="101">
        <v>44658</v>
      </c>
      <c r="D1174" s="17" t="s">
        <v>52</v>
      </c>
      <c r="E1174" s="17" t="s">
        <v>187</v>
      </c>
      <c r="F1174" s="17" t="s">
        <v>54</v>
      </c>
      <c r="H1174" s="19" t="s">
        <v>426</v>
      </c>
      <c r="I1174" s="19"/>
      <c r="J1174" s="17" t="s">
        <v>49</v>
      </c>
      <c r="K1174" s="162">
        <v>2000</v>
      </c>
      <c r="L1174" s="165">
        <v>185</v>
      </c>
      <c r="M1174" s="17" t="s">
        <v>431</v>
      </c>
      <c r="O1174" s="19" t="s">
        <v>141</v>
      </c>
      <c r="P1174" s="19">
        <v>11436</v>
      </c>
      <c r="Q1174" s="17">
        <v>11060</v>
      </c>
      <c r="R1174" s="17">
        <f t="shared" si="67"/>
        <v>376</v>
      </c>
      <c r="S1174" s="17">
        <v>1130</v>
      </c>
      <c r="T1174" s="19" t="s">
        <v>42</v>
      </c>
      <c r="U1174" s="102" t="s">
        <v>427</v>
      </c>
      <c r="V1174" s="64">
        <v>44659</v>
      </c>
      <c r="W1174" s="17" t="s">
        <v>69</v>
      </c>
      <c r="Y1174" s="68">
        <v>44652</v>
      </c>
      <c r="Z1174" s="17" t="s">
        <v>191</v>
      </c>
      <c r="AA1174" s="17" t="s">
        <v>46</v>
      </c>
      <c r="AB1174" s="17" t="s">
        <v>366</v>
      </c>
      <c r="AC1174" s="66">
        <v>44714</v>
      </c>
      <c r="AD1174" s="65">
        <v>1306</v>
      </c>
      <c r="AE1174" s="17" t="s">
        <v>48</v>
      </c>
      <c r="AF1174" s="17" t="s">
        <v>193</v>
      </c>
    </row>
    <row r="1175" s="17" customFormat="1" hidden="1" spans="1:32">
      <c r="A1175" s="17" t="s">
        <v>34</v>
      </c>
      <c r="B1175" s="19">
        <v>790</v>
      </c>
      <c r="C1175" s="101">
        <v>44658</v>
      </c>
      <c r="D1175" s="17" t="s">
        <v>52</v>
      </c>
      <c r="E1175" s="17" t="s">
        <v>187</v>
      </c>
      <c r="F1175" s="17" t="s">
        <v>54</v>
      </c>
      <c r="H1175" s="19" t="s">
        <v>426</v>
      </c>
      <c r="I1175" s="19"/>
      <c r="J1175" s="17" t="s">
        <v>49</v>
      </c>
      <c r="K1175" s="166">
        <v>2000</v>
      </c>
      <c r="L1175" s="165">
        <v>205</v>
      </c>
      <c r="M1175" s="17" t="s">
        <v>431</v>
      </c>
      <c r="O1175" s="19" t="s">
        <v>141</v>
      </c>
      <c r="P1175" s="19">
        <v>12673</v>
      </c>
      <c r="Q1175" s="22">
        <v>11750</v>
      </c>
      <c r="R1175" s="17">
        <f t="shared" si="67"/>
        <v>923</v>
      </c>
      <c r="S1175" s="17">
        <v>1150</v>
      </c>
      <c r="T1175" s="19" t="s">
        <v>42</v>
      </c>
      <c r="U1175" s="102" t="s">
        <v>427</v>
      </c>
      <c r="V1175" s="64">
        <v>44659</v>
      </c>
      <c r="W1175" s="17" t="s">
        <v>69</v>
      </c>
      <c r="Y1175" s="68">
        <v>44652</v>
      </c>
      <c r="Z1175" s="17" t="s">
        <v>191</v>
      </c>
      <c r="AA1175" s="17" t="s">
        <v>46</v>
      </c>
      <c r="AB1175" s="17" t="s">
        <v>428</v>
      </c>
      <c r="AC1175" s="66">
        <v>44679</v>
      </c>
      <c r="AD1175" s="65">
        <v>1294</v>
      </c>
      <c r="AE1175" s="17" t="s">
        <v>48</v>
      </c>
      <c r="AF1175" s="17" t="s">
        <v>193</v>
      </c>
    </row>
    <row r="1176" s="17" customFormat="1" hidden="1" spans="1:32">
      <c r="A1176" s="17" t="s">
        <v>34</v>
      </c>
      <c r="B1176" s="19">
        <v>791</v>
      </c>
      <c r="C1176" s="101">
        <v>44666</v>
      </c>
      <c r="D1176" s="17" t="s">
        <v>432</v>
      </c>
      <c r="E1176" s="17" t="s">
        <v>433</v>
      </c>
      <c r="F1176" s="17" t="s">
        <v>434</v>
      </c>
      <c r="H1176" s="19">
        <v>1.2738</v>
      </c>
      <c r="I1176" s="19"/>
      <c r="J1176" s="17" t="s">
        <v>82</v>
      </c>
      <c r="K1176" s="167">
        <v>594</v>
      </c>
      <c r="L1176" s="167">
        <v>155</v>
      </c>
      <c r="M1176" s="167">
        <v>1270</v>
      </c>
      <c r="N1176" s="19" t="s">
        <v>66</v>
      </c>
      <c r="O1176" s="19" t="s">
        <v>168</v>
      </c>
      <c r="P1176" s="168">
        <v>918</v>
      </c>
      <c r="Q1176" s="22">
        <v>952</v>
      </c>
      <c r="R1176" s="17">
        <f t="shared" si="67"/>
        <v>-34</v>
      </c>
      <c r="S1176" s="91">
        <v>1350</v>
      </c>
      <c r="T1176" s="19" t="s">
        <v>94</v>
      </c>
      <c r="U1176" s="102" t="s">
        <v>435</v>
      </c>
      <c r="V1176" s="64">
        <v>44666</v>
      </c>
      <c r="W1176" s="17" t="s">
        <v>44</v>
      </c>
      <c r="Y1176" s="68">
        <v>44652</v>
      </c>
      <c r="Z1176" s="17" t="s">
        <v>436</v>
      </c>
      <c r="AA1176" s="17" t="s">
        <v>437</v>
      </c>
      <c r="AB1176" s="17" t="s">
        <v>438</v>
      </c>
      <c r="AC1176" s="66">
        <v>44680</v>
      </c>
      <c r="AD1176" s="65">
        <v>1281</v>
      </c>
      <c r="AE1176" s="17" t="s">
        <v>48</v>
      </c>
    </row>
    <row r="1177" s="17" customFormat="1" hidden="1" spans="1:32">
      <c r="A1177" s="17" t="s">
        <v>34</v>
      </c>
      <c r="B1177" s="19">
        <v>791</v>
      </c>
      <c r="C1177" s="101">
        <v>44666</v>
      </c>
      <c r="D1177" s="17" t="s">
        <v>432</v>
      </c>
      <c r="E1177" s="17" t="s">
        <v>433</v>
      </c>
      <c r="F1177" s="17" t="s">
        <v>434</v>
      </c>
      <c r="H1177" s="19">
        <v>1.2738</v>
      </c>
      <c r="I1177" s="19"/>
      <c r="J1177" s="17" t="s">
        <v>82</v>
      </c>
      <c r="K1177" s="169" t="s">
        <v>439</v>
      </c>
      <c r="L1177" s="170" t="s">
        <v>440</v>
      </c>
      <c r="M1177" s="169" t="s">
        <v>441</v>
      </c>
      <c r="N1177" s="19" t="s">
        <v>66</v>
      </c>
      <c r="O1177" s="19" t="s">
        <v>168</v>
      </c>
      <c r="P1177" s="99">
        <v>1004</v>
      </c>
      <c r="Q1177" s="22">
        <v>1044</v>
      </c>
      <c r="R1177" s="17">
        <f t="shared" si="67"/>
        <v>-40</v>
      </c>
      <c r="S1177" s="91">
        <v>1350</v>
      </c>
      <c r="T1177" s="19" t="s">
        <v>94</v>
      </c>
      <c r="U1177" s="102" t="s">
        <v>435</v>
      </c>
      <c r="V1177" s="64">
        <v>44666</v>
      </c>
      <c r="W1177" s="17" t="s">
        <v>44</v>
      </c>
      <c r="Y1177" s="68">
        <v>44652</v>
      </c>
      <c r="Z1177" s="17" t="s">
        <v>436</v>
      </c>
      <c r="AA1177" s="17" t="s">
        <v>437</v>
      </c>
      <c r="AB1177" s="17" t="s">
        <v>438</v>
      </c>
      <c r="AC1177" s="66">
        <v>44680</v>
      </c>
      <c r="AD1177" s="65">
        <v>1281</v>
      </c>
      <c r="AE1177" s="17" t="s">
        <v>48</v>
      </c>
    </row>
    <row r="1178" s="17" customFormat="1" hidden="1" spans="1:32">
      <c r="A1178" s="17" t="s">
        <v>34</v>
      </c>
      <c r="B1178" s="19">
        <v>791</v>
      </c>
      <c r="C1178" s="101">
        <v>44666</v>
      </c>
      <c r="D1178" s="17" t="s">
        <v>432</v>
      </c>
      <c r="E1178" s="17" t="s">
        <v>433</v>
      </c>
      <c r="F1178" s="17" t="s">
        <v>434</v>
      </c>
      <c r="H1178" s="19">
        <v>1.2738</v>
      </c>
      <c r="I1178" s="19"/>
      <c r="J1178" s="17" t="s">
        <v>82</v>
      </c>
      <c r="K1178" s="169">
        <v>810</v>
      </c>
      <c r="L1178" s="171">
        <v>145</v>
      </c>
      <c r="M1178" s="169">
        <v>1370</v>
      </c>
      <c r="N1178" s="19" t="s">
        <v>66</v>
      </c>
      <c r="O1178" s="19" t="s">
        <v>168</v>
      </c>
      <c r="P1178" s="99">
        <v>1263</v>
      </c>
      <c r="Q1178" s="22">
        <v>1400</v>
      </c>
      <c r="R1178" s="17">
        <f t="shared" si="67"/>
        <v>-137</v>
      </c>
      <c r="S1178" s="91">
        <v>1350</v>
      </c>
      <c r="T1178" s="19" t="s">
        <v>94</v>
      </c>
      <c r="U1178" s="102" t="s">
        <v>435</v>
      </c>
      <c r="V1178" s="64">
        <v>44666</v>
      </c>
      <c r="W1178" s="17" t="s">
        <v>44</v>
      </c>
      <c r="Y1178" s="68">
        <v>44652</v>
      </c>
      <c r="Z1178" s="17" t="s">
        <v>436</v>
      </c>
      <c r="AA1178" s="17" t="s">
        <v>437</v>
      </c>
      <c r="AB1178" s="17" t="s">
        <v>442</v>
      </c>
      <c r="AC1178" s="66">
        <v>44680</v>
      </c>
      <c r="AD1178" s="65">
        <v>1281</v>
      </c>
      <c r="AE1178" s="17" t="s">
        <v>48</v>
      </c>
    </row>
    <row r="1179" s="17" customFormat="1" hidden="1" spans="1:32">
      <c r="A1179" s="17" t="s">
        <v>34</v>
      </c>
      <c r="B1179" s="19">
        <v>791</v>
      </c>
      <c r="C1179" s="101">
        <v>44666</v>
      </c>
      <c r="D1179" s="17" t="s">
        <v>432</v>
      </c>
      <c r="E1179" s="17" t="s">
        <v>433</v>
      </c>
      <c r="F1179" s="17" t="s">
        <v>434</v>
      </c>
      <c r="H1179" s="19">
        <v>1.2738</v>
      </c>
      <c r="I1179" s="19"/>
      <c r="J1179" s="17" t="s">
        <v>82</v>
      </c>
      <c r="K1179" s="169">
        <v>580</v>
      </c>
      <c r="L1179" s="171">
        <v>420</v>
      </c>
      <c r="M1179" s="169">
        <v>670</v>
      </c>
      <c r="N1179" s="19" t="s">
        <v>66</v>
      </c>
      <c r="O1179" s="19" t="s">
        <v>168</v>
      </c>
      <c r="P1179" s="99">
        <v>1281</v>
      </c>
      <c r="Q1179" s="22">
        <v>1340</v>
      </c>
      <c r="R1179" s="17">
        <f t="shared" si="67"/>
        <v>-59</v>
      </c>
      <c r="S1179" s="91">
        <v>1350</v>
      </c>
      <c r="T1179" s="19" t="s">
        <v>94</v>
      </c>
      <c r="U1179" s="102" t="s">
        <v>435</v>
      </c>
      <c r="V1179" s="64">
        <v>44666</v>
      </c>
      <c r="W1179" s="17" t="s">
        <v>44</v>
      </c>
      <c r="Y1179" s="68">
        <v>44652</v>
      </c>
      <c r="Z1179" s="17" t="s">
        <v>436</v>
      </c>
      <c r="AA1179" s="17" t="s">
        <v>437</v>
      </c>
      <c r="AB1179" s="17" t="s">
        <v>442</v>
      </c>
      <c r="AC1179" s="66">
        <v>44680</v>
      </c>
      <c r="AD1179" s="65">
        <v>1281</v>
      </c>
      <c r="AE1179" s="17" t="s">
        <v>48</v>
      </c>
    </row>
    <row r="1180" s="17" customFormat="1" hidden="1" spans="1:32">
      <c r="A1180" s="17" t="s">
        <v>34</v>
      </c>
      <c r="B1180" s="19">
        <v>791</v>
      </c>
      <c r="C1180" s="101">
        <v>44666</v>
      </c>
      <c r="D1180" s="17" t="s">
        <v>432</v>
      </c>
      <c r="E1180" s="17" t="s">
        <v>433</v>
      </c>
      <c r="F1180" s="17" t="s">
        <v>434</v>
      </c>
      <c r="H1180" s="19">
        <v>1.2738</v>
      </c>
      <c r="I1180" s="19"/>
      <c r="J1180" s="17" t="s">
        <v>82</v>
      </c>
      <c r="K1180" s="169">
        <v>400</v>
      </c>
      <c r="L1180" s="171">
        <v>295</v>
      </c>
      <c r="M1180" s="169">
        <v>1365</v>
      </c>
      <c r="N1180" s="19" t="s">
        <v>66</v>
      </c>
      <c r="O1180" s="19" t="s">
        <v>168</v>
      </c>
      <c r="P1180" s="19">
        <v>1264</v>
      </c>
      <c r="Q1180" s="22">
        <v>1280</v>
      </c>
      <c r="R1180" s="17">
        <f t="shared" si="67"/>
        <v>-16</v>
      </c>
      <c r="S1180" s="91">
        <v>1350</v>
      </c>
      <c r="T1180" s="19" t="s">
        <v>94</v>
      </c>
      <c r="U1180" s="102" t="s">
        <v>435</v>
      </c>
      <c r="V1180" s="64">
        <v>44666</v>
      </c>
      <c r="W1180" s="17" t="s">
        <v>44</v>
      </c>
      <c r="Y1180" s="68">
        <v>44652</v>
      </c>
      <c r="Z1180" s="17" t="s">
        <v>436</v>
      </c>
      <c r="AA1180" s="17" t="s">
        <v>437</v>
      </c>
      <c r="AB1180" s="17" t="s">
        <v>442</v>
      </c>
      <c r="AC1180" s="66">
        <v>44680</v>
      </c>
      <c r="AD1180" s="65">
        <v>1281</v>
      </c>
      <c r="AE1180" s="17" t="s">
        <v>48</v>
      </c>
    </row>
    <row r="1181" s="17" customFormat="1" hidden="1" spans="1:32">
      <c r="A1181" s="17" t="s">
        <v>34</v>
      </c>
      <c r="B1181" s="19">
        <v>791</v>
      </c>
      <c r="C1181" s="101">
        <v>44666</v>
      </c>
      <c r="D1181" s="17" t="s">
        <v>432</v>
      </c>
      <c r="E1181" s="17" t="s">
        <v>433</v>
      </c>
      <c r="F1181" s="17" t="s">
        <v>434</v>
      </c>
      <c r="H1181" s="19">
        <v>1.2738</v>
      </c>
      <c r="I1181" s="19"/>
      <c r="J1181" s="17" t="s">
        <v>82</v>
      </c>
      <c r="K1181" s="169">
        <v>415</v>
      </c>
      <c r="L1181" s="171">
        <v>310</v>
      </c>
      <c r="M1181" s="169">
        <v>1215</v>
      </c>
      <c r="N1181" s="19" t="s">
        <v>66</v>
      </c>
      <c r="O1181" s="19" t="s">
        <v>168</v>
      </c>
      <c r="P1181" s="19">
        <v>1227</v>
      </c>
      <c r="Q1181" s="22">
        <v>1260</v>
      </c>
      <c r="R1181" s="17">
        <f t="shared" si="67"/>
        <v>-33</v>
      </c>
      <c r="S1181" s="91">
        <v>1350</v>
      </c>
      <c r="T1181" s="19" t="s">
        <v>94</v>
      </c>
      <c r="U1181" s="102" t="s">
        <v>435</v>
      </c>
      <c r="V1181" s="64">
        <v>44666</v>
      </c>
      <c r="W1181" s="17" t="s">
        <v>44</v>
      </c>
      <c r="Y1181" s="68">
        <v>44652</v>
      </c>
      <c r="Z1181" s="17" t="s">
        <v>436</v>
      </c>
      <c r="AA1181" s="17" t="s">
        <v>437</v>
      </c>
      <c r="AB1181" s="17" t="s">
        <v>438</v>
      </c>
      <c r="AC1181" s="66">
        <v>44680</v>
      </c>
      <c r="AD1181" s="65">
        <v>1281</v>
      </c>
      <c r="AE1181" s="17" t="s">
        <v>48</v>
      </c>
    </row>
    <row r="1182" s="17" customFormat="1" hidden="1" spans="1:32">
      <c r="A1182" s="17" t="s">
        <v>34</v>
      </c>
      <c r="B1182" s="19">
        <v>791</v>
      </c>
      <c r="C1182" s="101">
        <v>44666</v>
      </c>
      <c r="D1182" s="17" t="s">
        <v>432</v>
      </c>
      <c r="E1182" s="17" t="s">
        <v>433</v>
      </c>
      <c r="F1182" s="17" t="s">
        <v>434</v>
      </c>
      <c r="H1182" s="19">
        <v>1.2738</v>
      </c>
      <c r="I1182" s="19"/>
      <c r="J1182" s="17" t="s">
        <v>82</v>
      </c>
      <c r="K1182" s="169">
        <v>580</v>
      </c>
      <c r="L1182" s="171">
        <v>390</v>
      </c>
      <c r="M1182" s="169">
        <v>670</v>
      </c>
      <c r="N1182" s="19" t="s">
        <v>66</v>
      </c>
      <c r="O1182" s="19" t="s">
        <v>168</v>
      </c>
      <c r="P1182" s="19">
        <v>826</v>
      </c>
      <c r="Q1182" s="22">
        <v>1260</v>
      </c>
      <c r="R1182" s="17">
        <f t="shared" si="67"/>
        <v>-434</v>
      </c>
      <c r="S1182" s="91">
        <v>1350</v>
      </c>
      <c r="T1182" s="19" t="s">
        <v>94</v>
      </c>
      <c r="U1182" s="102" t="s">
        <v>435</v>
      </c>
      <c r="V1182" s="64">
        <v>44666</v>
      </c>
      <c r="W1182" s="17" t="s">
        <v>44</v>
      </c>
      <c r="Y1182" s="68">
        <v>44652</v>
      </c>
      <c r="Z1182" s="17" t="s">
        <v>436</v>
      </c>
      <c r="AA1182" s="17" t="s">
        <v>437</v>
      </c>
      <c r="AB1182" s="17" t="s">
        <v>442</v>
      </c>
      <c r="AC1182" s="66">
        <v>44680</v>
      </c>
      <c r="AD1182" s="65">
        <v>1281</v>
      </c>
      <c r="AE1182" s="17" t="s">
        <v>48</v>
      </c>
    </row>
    <row r="1183" s="17" customFormat="1" hidden="1" spans="1:32">
      <c r="A1183" s="17" t="s">
        <v>34</v>
      </c>
      <c r="B1183" s="19">
        <v>791</v>
      </c>
      <c r="C1183" s="101">
        <v>44666</v>
      </c>
      <c r="D1183" s="17" t="s">
        <v>432</v>
      </c>
      <c r="E1183" s="17" t="s">
        <v>433</v>
      </c>
      <c r="F1183" s="17" t="s">
        <v>434</v>
      </c>
      <c r="H1183" s="19">
        <v>1.2738</v>
      </c>
      <c r="I1183" s="19"/>
      <c r="J1183" s="17" t="s">
        <v>82</v>
      </c>
      <c r="K1183" s="169">
        <v>580</v>
      </c>
      <c r="L1183" s="171">
        <v>435</v>
      </c>
      <c r="M1183" s="169">
        <v>620</v>
      </c>
      <c r="N1183" s="19" t="s">
        <v>66</v>
      </c>
      <c r="O1183" s="19" t="s">
        <v>168</v>
      </c>
      <c r="P1183" s="19">
        <v>1228</v>
      </c>
      <c r="Q1183" s="22">
        <v>1260</v>
      </c>
      <c r="R1183" s="17">
        <f t="shared" si="67"/>
        <v>-32</v>
      </c>
      <c r="S1183" s="91">
        <v>1350</v>
      </c>
      <c r="T1183" s="19" t="s">
        <v>94</v>
      </c>
      <c r="U1183" s="102" t="s">
        <v>435</v>
      </c>
      <c r="V1183" s="64">
        <v>44666</v>
      </c>
      <c r="W1183" s="17" t="s">
        <v>44</v>
      </c>
      <c r="Y1183" s="68">
        <v>44652</v>
      </c>
      <c r="Z1183" s="17" t="s">
        <v>436</v>
      </c>
      <c r="AA1183" s="17" t="s">
        <v>437</v>
      </c>
      <c r="AB1183" s="17" t="s">
        <v>442</v>
      </c>
      <c r="AC1183" s="66">
        <v>44680</v>
      </c>
      <c r="AD1183" s="65">
        <v>1281</v>
      </c>
      <c r="AE1183" s="17" t="s">
        <v>48</v>
      </c>
    </row>
    <row r="1184" s="18" customFormat="1" hidden="1" spans="1:32">
      <c r="B1184" s="75">
        <v>791</v>
      </c>
      <c r="C1184" s="135">
        <v>44666</v>
      </c>
      <c r="D1184" s="18" t="s">
        <v>432</v>
      </c>
      <c r="E1184" s="17" t="s">
        <v>433</v>
      </c>
      <c r="F1184" s="18" t="s">
        <v>434</v>
      </c>
      <c r="H1184" s="75">
        <v>1.2738</v>
      </c>
      <c r="I1184" s="75"/>
      <c r="J1184" s="18" t="s">
        <v>82</v>
      </c>
      <c r="K1184" s="172" t="s">
        <v>443</v>
      </c>
      <c r="L1184" s="173" t="s">
        <v>444</v>
      </c>
      <c r="M1184" s="172" t="s">
        <v>445</v>
      </c>
      <c r="N1184" s="75" t="s">
        <v>66</v>
      </c>
      <c r="O1184" s="19" t="s">
        <v>168</v>
      </c>
      <c r="P1184" s="75">
        <v>641</v>
      </c>
      <c r="Q1184" s="174"/>
      <c r="R1184" s="18">
        <f t="shared" si="67"/>
        <v>641</v>
      </c>
      <c r="S1184" s="111">
        <v>1350</v>
      </c>
      <c r="T1184" s="75" t="s">
        <v>94</v>
      </c>
      <c r="U1184" s="137" t="s">
        <v>435</v>
      </c>
      <c r="V1184" s="138">
        <v>44666</v>
      </c>
      <c r="W1184" s="18" t="s">
        <v>44</v>
      </c>
      <c r="Y1184" s="114">
        <v>44652</v>
      </c>
      <c r="Z1184" s="18" t="s">
        <v>436</v>
      </c>
      <c r="AA1184" s="18" t="s">
        <v>437</v>
      </c>
      <c r="AC1184" s="83"/>
      <c r="AD1184" s="77"/>
      <c r="AE1184" s="18" t="s">
        <v>48</v>
      </c>
    </row>
    <row r="1185" s="17" customFormat="1" hidden="1" spans="1:31">
      <c r="A1185" s="17" t="s">
        <v>34</v>
      </c>
      <c r="B1185" s="19">
        <v>791</v>
      </c>
      <c r="C1185" s="101">
        <v>44666</v>
      </c>
      <c r="D1185" s="17" t="s">
        <v>432</v>
      </c>
      <c r="E1185" s="17" t="s">
        <v>433</v>
      </c>
      <c r="F1185" s="17" t="s">
        <v>434</v>
      </c>
      <c r="H1185" s="19">
        <v>1.2738</v>
      </c>
      <c r="I1185" s="19"/>
      <c r="J1185" s="17" t="s">
        <v>82</v>
      </c>
      <c r="K1185" s="169">
        <v>585</v>
      </c>
      <c r="L1185" s="171">
        <v>445</v>
      </c>
      <c r="M1185" s="169">
        <v>615</v>
      </c>
      <c r="N1185" s="19" t="s">
        <v>66</v>
      </c>
      <c r="O1185" s="19" t="s">
        <v>168</v>
      </c>
      <c r="P1185" s="19">
        <v>1257</v>
      </c>
      <c r="Q1185" s="22">
        <v>1255</v>
      </c>
      <c r="R1185" s="17">
        <f t="shared" si="67"/>
        <v>2</v>
      </c>
      <c r="S1185" s="91">
        <v>1350</v>
      </c>
      <c r="T1185" s="19" t="s">
        <v>94</v>
      </c>
      <c r="U1185" s="102" t="s">
        <v>435</v>
      </c>
      <c r="V1185" s="64">
        <v>44666</v>
      </c>
      <c r="W1185" s="17" t="s">
        <v>44</v>
      </c>
      <c r="Y1185" s="68">
        <v>44652</v>
      </c>
      <c r="Z1185" s="17" t="s">
        <v>436</v>
      </c>
      <c r="AA1185" s="17" t="s">
        <v>437</v>
      </c>
      <c r="AB1185" s="17" t="s">
        <v>442</v>
      </c>
      <c r="AC1185" s="66">
        <v>44680</v>
      </c>
      <c r="AD1185" s="65">
        <v>1281</v>
      </c>
      <c r="AE1185" s="17" t="s">
        <v>48</v>
      </c>
    </row>
    <row r="1186" s="17" customFormat="1" hidden="1" spans="1:31">
      <c r="A1186" s="17" t="s">
        <v>34</v>
      </c>
      <c r="B1186" s="19">
        <v>791</v>
      </c>
      <c r="C1186" s="101">
        <v>44666</v>
      </c>
      <c r="D1186" s="17" t="s">
        <v>432</v>
      </c>
      <c r="E1186" s="17" t="s">
        <v>433</v>
      </c>
      <c r="F1186" s="17" t="s">
        <v>434</v>
      </c>
      <c r="H1186" s="19">
        <v>1.2738</v>
      </c>
      <c r="I1186" s="19"/>
      <c r="J1186" s="17" t="s">
        <v>82</v>
      </c>
      <c r="K1186" s="169">
        <v>500</v>
      </c>
      <c r="L1186" s="171">
        <v>230</v>
      </c>
      <c r="M1186" s="169">
        <v>1255</v>
      </c>
      <c r="N1186" s="19" t="s">
        <v>66</v>
      </c>
      <c r="O1186" s="19" t="s">
        <v>168</v>
      </c>
      <c r="P1186" s="19">
        <v>1133</v>
      </c>
      <c r="Q1186" s="22">
        <v>1215</v>
      </c>
      <c r="R1186" s="17">
        <f t="shared" si="67"/>
        <v>-82</v>
      </c>
      <c r="S1186" s="91">
        <v>1350</v>
      </c>
      <c r="T1186" s="19" t="s">
        <v>94</v>
      </c>
      <c r="U1186" s="102" t="s">
        <v>435</v>
      </c>
      <c r="V1186" s="64">
        <v>44666</v>
      </c>
      <c r="W1186" s="17" t="s">
        <v>44</v>
      </c>
      <c r="Y1186" s="68">
        <v>44652</v>
      </c>
      <c r="Z1186" s="17" t="s">
        <v>436</v>
      </c>
      <c r="AA1186" s="17" t="s">
        <v>437</v>
      </c>
      <c r="AB1186" s="17" t="s">
        <v>442</v>
      </c>
      <c r="AC1186" s="66">
        <v>44680</v>
      </c>
      <c r="AD1186" s="65">
        <v>1281</v>
      </c>
      <c r="AE1186" s="17" t="s">
        <v>48</v>
      </c>
    </row>
    <row r="1187" s="17" customFormat="1" hidden="1" spans="1:31">
      <c r="A1187" s="17" t="s">
        <v>34</v>
      </c>
      <c r="B1187" s="19">
        <v>791</v>
      </c>
      <c r="C1187" s="101">
        <v>44666</v>
      </c>
      <c r="D1187" s="17" t="s">
        <v>432</v>
      </c>
      <c r="E1187" s="17" t="s">
        <v>433</v>
      </c>
      <c r="F1187" s="17" t="s">
        <v>434</v>
      </c>
      <c r="H1187" s="19">
        <v>1.2738</v>
      </c>
      <c r="I1187" s="19"/>
      <c r="J1187" s="17" t="s">
        <v>82</v>
      </c>
      <c r="K1187" s="169">
        <v>530</v>
      </c>
      <c r="L1187" s="171">
        <v>340</v>
      </c>
      <c r="M1187" s="169">
        <v>825</v>
      </c>
      <c r="N1187" s="19" t="s">
        <v>66</v>
      </c>
      <c r="O1187" s="19" t="s">
        <v>168</v>
      </c>
      <c r="P1187" s="19">
        <v>1167</v>
      </c>
      <c r="Q1187" s="22">
        <v>1215</v>
      </c>
      <c r="R1187" s="17">
        <f t="shared" si="67"/>
        <v>-48</v>
      </c>
      <c r="S1187" s="91">
        <v>1350</v>
      </c>
      <c r="T1187" s="19" t="s">
        <v>94</v>
      </c>
      <c r="U1187" s="102" t="s">
        <v>435</v>
      </c>
      <c r="V1187" s="64">
        <v>44666</v>
      </c>
      <c r="W1187" s="17" t="s">
        <v>44</v>
      </c>
      <c r="Y1187" s="68">
        <v>44652</v>
      </c>
      <c r="Z1187" s="17" t="s">
        <v>436</v>
      </c>
      <c r="AA1187" s="17" t="s">
        <v>437</v>
      </c>
      <c r="AB1187" s="17" t="s">
        <v>438</v>
      </c>
      <c r="AC1187" s="66">
        <v>44680</v>
      </c>
      <c r="AD1187" s="65">
        <v>1281</v>
      </c>
      <c r="AE1187" s="17" t="s">
        <v>48</v>
      </c>
    </row>
    <row r="1188" s="17" customFormat="1" hidden="1" spans="1:31">
      <c r="A1188" s="17" t="s">
        <v>34</v>
      </c>
      <c r="B1188" s="19">
        <v>791</v>
      </c>
      <c r="C1188" s="101">
        <v>44666</v>
      </c>
      <c r="D1188" s="17" t="s">
        <v>432</v>
      </c>
      <c r="E1188" s="17" t="s">
        <v>433</v>
      </c>
      <c r="F1188" s="17" t="s">
        <v>434</v>
      </c>
      <c r="H1188" s="19">
        <v>1.2738</v>
      </c>
      <c r="I1188" s="19"/>
      <c r="J1188" s="17" t="s">
        <v>82</v>
      </c>
      <c r="K1188" s="169">
        <v>650</v>
      </c>
      <c r="L1188" s="171">
        <v>180</v>
      </c>
      <c r="M1188" s="169">
        <v>1260</v>
      </c>
      <c r="N1188" s="19" t="s">
        <v>66</v>
      </c>
      <c r="O1188" s="19" t="s">
        <v>168</v>
      </c>
      <c r="P1188" s="19">
        <v>1157</v>
      </c>
      <c r="Q1188" s="22">
        <v>1205</v>
      </c>
      <c r="R1188" s="17">
        <f t="shared" si="67"/>
        <v>-48</v>
      </c>
      <c r="S1188" s="91">
        <v>1350</v>
      </c>
      <c r="T1188" s="19" t="s">
        <v>94</v>
      </c>
      <c r="U1188" s="102" t="s">
        <v>435</v>
      </c>
      <c r="V1188" s="64">
        <v>44666</v>
      </c>
      <c r="W1188" s="17" t="s">
        <v>44</v>
      </c>
      <c r="Y1188" s="68">
        <v>44652</v>
      </c>
      <c r="Z1188" s="17" t="s">
        <v>436</v>
      </c>
      <c r="AA1188" s="17" t="s">
        <v>437</v>
      </c>
      <c r="AB1188" s="17" t="s">
        <v>442</v>
      </c>
      <c r="AC1188" s="66">
        <v>44680</v>
      </c>
      <c r="AD1188" s="65">
        <v>1281</v>
      </c>
      <c r="AE1188" s="17" t="s">
        <v>48</v>
      </c>
    </row>
    <row r="1189" s="17" customFormat="1" hidden="1" spans="1:31">
      <c r="A1189" s="17" t="s">
        <v>34</v>
      </c>
      <c r="B1189" s="19">
        <v>791</v>
      </c>
      <c r="C1189" s="101">
        <v>44666</v>
      </c>
      <c r="D1189" s="17" t="s">
        <v>432</v>
      </c>
      <c r="E1189" s="17" t="s">
        <v>433</v>
      </c>
      <c r="F1189" s="17" t="s">
        <v>434</v>
      </c>
      <c r="H1189" s="19">
        <v>1.2738</v>
      </c>
      <c r="I1189" s="19"/>
      <c r="J1189" s="17" t="s">
        <v>82</v>
      </c>
      <c r="K1189" s="169">
        <v>590</v>
      </c>
      <c r="L1189" s="171">
        <v>410</v>
      </c>
      <c r="M1189" s="169">
        <v>620</v>
      </c>
      <c r="N1189" s="19" t="s">
        <v>66</v>
      </c>
      <c r="O1189" s="19" t="s">
        <v>168</v>
      </c>
      <c r="P1189" s="19">
        <v>1177</v>
      </c>
      <c r="Q1189" s="22">
        <v>1190</v>
      </c>
      <c r="R1189" s="17">
        <f t="shared" ref="R1189:R1220" si="68">+P1189-Q1189</f>
        <v>-13</v>
      </c>
      <c r="S1189" s="91">
        <v>1350</v>
      </c>
      <c r="T1189" s="19" t="s">
        <v>94</v>
      </c>
      <c r="U1189" s="102" t="s">
        <v>435</v>
      </c>
      <c r="V1189" s="64">
        <v>44666</v>
      </c>
      <c r="W1189" s="17" t="s">
        <v>44</v>
      </c>
      <c r="Y1189" s="68">
        <v>44652</v>
      </c>
      <c r="Z1189" s="17" t="s">
        <v>436</v>
      </c>
      <c r="AA1189" s="17" t="s">
        <v>437</v>
      </c>
      <c r="AB1189" s="17" t="s">
        <v>442</v>
      </c>
      <c r="AC1189" s="66">
        <v>44680</v>
      </c>
      <c r="AD1189" s="65">
        <v>1281</v>
      </c>
      <c r="AE1189" s="17" t="s">
        <v>48</v>
      </c>
    </row>
    <row r="1190" s="17" customFormat="1" hidden="1" spans="1:31">
      <c r="A1190" s="17" t="s">
        <v>34</v>
      </c>
      <c r="B1190" s="19">
        <v>791</v>
      </c>
      <c r="C1190" s="101">
        <v>44666</v>
      </c>
      <c r="D1190" s="17" t="s">
        <v>432</v>
      </c>
      <c r="E1190" s="17" t="s">
        <v>433</v>
      </c>
      <c r="F1190" s="17" t="s">
        <v>434</v>
      </c>
      <c r="H1190" s="19">
        <v>1.2738</v>
      </c>
      <c r="I1190" s="19"/>
      <c r="J1190" s="17" t="s">
        <v>82</v>
      </c>
      <c r="K1190" s="169">
        <v>590</v>
      </c>
      <c r="L1190" s="171">
        <v>370</v>
      </c>
      <c r="M1190" s="169">
        <v>680</v>
      </c>
      <c r="N1190" s="19" t="s">
        <v>66</v>
      </c>
      <c r="O1190" s="19" t="s">
        <v>168</v>
      </c>
      <c r="P1190" s="19">
        <v>1165</v>
      </c>
      <c r="Q1190" s="22">
        <v>1188</v>
      </c>
      <c r="R1190" s="17">
        <f t="shared" si="68"/>
        <v>-23</v>
      </c>
      <c r="S1190" s="91">
        <v>1350</v>
      </c>
      <c r="T1190" s="19" t="s">
        <v>94</v>
      </c>
      <c r="U1190" s="102" t="s">
        <v>435</v>
      </c>
      <c r="V1190" s="64">
        <v>44666</v>
      </c>
      <c r="W1190" s="17" t="s">
        <v>44</v>
      </c>
      <c r="Y1190" s="68">
        <v>44652</v>
      </c>
      <c r="Z1190" s="17" t="s">
        <v>436</v>
      </c>
      <c r="AA1190" s="17" t="s">
        <v>437</v>
      </c>
      <c r="AB1190" s="17" t="s">
        <v>438</v>
      </c>
      <c r="AC1190" s="66">
        <v>44680</v>
      </c>
      <c r="AD1190" s="65">
        <v>1281</v>
      </c>
      <c r="AE1190" s="17" t="s">
        <v>48</v>
      </c>
    </row>
    <row r="1191" s="17" customFormat="1" hidden="1" spans="1:31">
      <c r="A1191" s="17" t="s">
        <v>34</v>
      </c>
      <c r="B1191" s="19">
        <v>791</v>
      </c>
      <c r="C1191" s="101">
        <v>44666</v>
      </c>
      <c r="D1191" s="17" t="s">
        <v>432</v>
      </c>
      <c r="E1191" s="17" t="s">
        <v>433</v>
      </c>
      <c r="F1191" s="17" t="s">
        <v>434</v>
      </c>
      <c r="H1191" s="19">
        <v>1.2738</v>
      </c>
      <c r="I1191" s="19"/>
      <c r="J1191" s="17" t="s">
        <v>82</v>
      </c>
      <c r="K1191" s="169">
        <v>590</v>
      </c>
      <c r="L1191" s="171">
        <v>405</v>
      </c>
      <c r="M1191" s="169">
        <v>620</v>
      </c>
      <c r="N1191" s="19" t="s">
        <v>66</v>
      </c>
      <c r="O1191" s="19" t="s">
        <v>168</v>
      </c>
      <c r="P1191" s="19">
        <v>1163</v>
      </c>
      <c r="Q1191" s="22">
        <v>1180</v>
      </c>
      <c r="R1191" s="17">
        <f t="shared" si="68"/>
        <v>-17</v>
      </c>
      <c r="S1191" s="91">
        <v>1350</v>
      </c>
      <c r="T1191" s="19" t="s">
        <v>94</v>
      </c>
      <c r="U1191" s="102" t="s">
        <v>435</v>
      </c>
      <c r="V1191" s="64">
        <v>44666</v>
      </c>
      <c r="W1191" s="17" t="s">
        <v>44</v>
      </c>
      <c r="Y1191" s="68">
        <v>44652</v>
      </c>
      <c r="Z1191" s="17" t="s">
        <v>436</v>
      </c>
      <c r="AA1191" s="17" t="s">
        <v>437</v>
      </c>
      <c r="AB1191" s="17" t="s">
        <v>438</v>
      </c>
      <c r="AC1191" s="66">
        <v>44680</v>
      </c>
      <c r="AD1191" s="65">
        <v>1281</v>
      </c>
      <c r="AE1191" s="17" t="s">
        <v>48</v>
      </c>
    </row>
    <row r="1192" s="17" customFormat="1" hidden="1" spans="1:31">
      <c r="A1192" s="17" t="s">
        <v>34</v>
      </c>
      <c r="B1192" s="19">
        <v>791</v>
      </c>
      <c r="C1192" s="101">
        <v>44666</v>
      </c>
      <c r="D1192" s="17" t="s">
        <v>432</v>
      </c>
      <c r="E1192" s="17" t="s">
        <v>433</v>
      </c>
      <c r="F1192" s="17" t="s">
        <v>434</v>
      </c>
      <c r="H1192" s="19">
        <v>1.2738</v>
      </c>
      <c r="I1192" s="19"/>
      <c r="J1192" s="17" t="s">
        <v>82</v>
      </c>
      <c r="K1192" s="169" t="s">
        <v>446</v>
      </c>
      <c r="L1192" s="171" t="s">
        <v>447</v>
      </c>
      <c r="M1192" s="169" t="s">
        <v>448</v>
      </c>
      <c r="N1192" s="19" t="s">
        <v>66</v>
      </c>
      <c r="O1192" s="19" t="s">
        <v>168</v>
      </c>
      <c r="P1192" s="19">
        <v>961</v>
      </c>
      <c r="Q1192" s="22">
        <v>995</v>
      </c>
      <c r="R1192" s="17">
        <f t="shared" si="68"/>
        <v>-34</v>
      </c>
      <c r="S1192" s="91">
        <v>1350</v>
      </c>
      <c r="T1192" s="19" t="s">
        <v>94</v>
      </c>
      <c r="U1192" s="102" t="s">
        <v>435</v>
      </c>
      <c r="V1192" s="64">
        <v>44666</v>
      </c>
      <c r="W1192" s="17" t="s">
        <v>44</v>
      </c>
      <c r="Y1192" s="68">
        <v>44652</v>
      </c>
      <c r="Z1192" s="17" t="s">
        <v>436</v>
      </c>
      <c r="AA1192" s="17" t="s">
        <v>437</v>
      </c>
      <c r="AB1192" s="17" t="s">
        <v>442</v>
      </c>
      <c r="AC1192" s="66">
        <v>44680</v>
      </c>
      <c r="AD1192" s="65">
        <v>1281</v>
      </c>
      <c r="AE1192" s="17" t="s">
        <v>48</v>
      </c>
    </row>
    <row r="1193" s="17" customFormat="1" hidden="1" spans="1:31">
      <c r="A1193" s="17" t="s">
        <v>34</v>
      </c>
      <c r="B1193" s="19">
        <v>791</v>
      </c>
      <c r="C1193" s="101">
        <v>44666</v>
      </c>
      <c r="D1193" s="17" t="s">
        <v>432</v>
      </c>
      <c r="E1193" s="17" t="s">
        <v>433</v>
      </c>
      <c r="F1193" s="17" t="s">
        <v>434</v>
      </c>
      <c r="H1193" s="19">
        <v>1.2738</v>
      </c>
      <c r="I1193" s="19"/>
      <c r="J1193" s="17" t="s">
        <v>82</v>
      </c>
      <c r="K1193" s="169" t="s">
        <v>449</v>
      </c>
      <c r="L1193" s="171" t="s">
        <v>450</v>
      </c>
      <c r="M1193" s="169" t="s">
        <v>451</v>
      </c>
      <c r="N1193" s="19" t="s">
        <v>66</v>
      </c>
      <c r="O1193" s="19" t="s">
        <v>168</v>
      </c>
      <c r="P1193" s="19">
        <v>712</v>
      </c>
      <c r="Q1193" s="22">
        <v>760</v>
      </c>
      <c r="R1193" s="17">
        <f t="shared" si="68"/>
        <v>-48</v>
      </c>
      <c r="S1193" s="91">
        <v>1350</v>
      </c>
      <c r="T1193" s="19" t="s">
        <v>94</v>
      </c>
      <c r="U1193" s="102" t="s">
        <v>435</v>
      </c>
      <c r="V1193" s="64">
        <v>44666</v>
      </c>
      <c r="W1193" s="17" t="s">
        <v>44</v>
      </c>
      <c r="Y1193" s="68">
        <v>44652</v>
      </c>
      <c r="Z1193" s="17" t="s">
        <v>436</v>
      </c>
      <c r="AA1193" s="17" t="s">
        <v>437</v>
      </c>
      <c r="AB1193" s="17" t="s">
        <v>442</v>
      </c>
      <c r="AC1193" s="66">
        <v>44680</v>
      </c>
      <c r="AD1193" s="65">
        <v>1281</v>
      </c>
      <c r="AE1193" s="17" t="s">
        <v>48</v>
      </c>
    </row>
    <row r="1194" s="17" customFormat="1" hidden="1" spans="1:31">
      <c r="A1194" s="17" t="s">
        <v>34</v>
      </c>
      <c r="B1194" s="19">
        <v>791</v>
      </c>
      <c r="C1194" s="101">
        <v>44666</v>
      </c>
      <c r="D1194" s="17" t="s">
        <v>432</v>
      </c>
      <c r="E1194" s="17" t="s">
        <v>433</v>
      </c>
      <c r="F1194" s="17" t="s">
        <v>434</v>
      </c>
      <c r="H1194" s="19">
        <v>1.2738</v>
      </c>
      <c r="I1194" s="19"/>
      <c r="J1194" s="17" t="s">
        <v>82</v>
      </c>
      <c r="K1194" s="169" t="s">
        <v>452</v>
      </c>
      <c r="L1194" s="171" t="s">
        <v>453</v>
      </c>
      <c r="M1194" s="169" t="s">
        <v>454</v>
      </c>
      <c r="N1194" s="19" t="s">
        <v>66</v>
      </c>
      <c r="O1194" s="19" t="s">
        <v>168</v>
      </c>
      <c r="P1194" s="19">
        <v>781</v>
      </c>
      <c r="Q1194" s="22">
        <v>830</v>
      </c>
      <c r="R1194" s="17">
        <f t="shared" si="68"/>
        <v>-49</v>
      </c>
      <c r="S1194" s="91">
        <v>1350</v>
      </c>
      <c r="T1194" s="19" t="s">
        <v>94</v>
      </c>
      <c r="U1194" s="102" t="s">
        <v>435</v>
      </c>
      <c r="V1194" s="64">
        <v>44666</v>
      </c>
      <c r="W1194" s="17" t="s">
        <v>44</v>
      </c>
      <c r="Y1194" s="68">
        <v>44652</v>
      </c>
      <c r="Z1194" s="17" t="s">
        <v>436</v>
      </c>
      <c r="AA1194" s="17" t="s">
        <v>437</v>
      </c>
      <c r="AB1194" s="17" t="s">
        <v>442</v>
      </c>
      <c r="AC1194" s="66">
        <v>44680</v>
      </c>
      <c r="AD1194" s="65">
        <v>1281</v>
      </c>
      <c r="AE1194" s="17" t="s">
        <v>48</v>
      </c>
    </row>
    <row r="1195" s="17" customFormat="1" hidden="1" spans="1:31">
      <c r="A1195" s="17" t="s">
        <v>34</v>
      </c>
      <c r="B1195" s="19">
        <v>791</v>
      </c>
      <c r="C1195" s="101">
        <v>44666</v>
      </c>
      <c r="D1195" s="17" t="s">
        <v>432</v>
      </c>
      <c r="E1195" s="17" t="s">
        <v>433</v>
      </c>
      <c r="F1195" s="17" t="s">
        <v>434</v>
      </c>
      <c r="H1195" s="19">
        <v>1.2738</v>
      </c>
      <c r="I1195" s="19"/>
      <c r="J1195" s="17" t="s">
        <v>82</v>
      </c>
      <c r="K1195" s="169" t="s">
        <v>455</v>
      </c>
      <c r="L1195" s="171" t="s">
        <v>440</v>
      </c>
      <c r="M1195" s="169" t="s">
        <v>456</v>
      </c>
      <c r="N1195" s="19" t="s">
        <v>66</v>
      </c>
      <c r="O1195" s="19" t="s">
        <v>168</v>
      </c>
      <c r="P1195" s="19">
        <v>881</v>
      </c>
      <c r="Q1195" s="22">
        <v>970</v>
      </c>
      <c r="R1195" s="17">
        <f t="shared" si="68"/>
        <v>-89</v>
      </c>
      <c r="S1195" s="91">
        <v>1350</v>
      </c>
      <c r="T1195" s="19" t="s">
        <v>94</v>
      </c>
      <c r="U1195" s="102" t="s">
        <v>435</v>
      </c>
      <c r="V1195" s="64">
        <v>44666</v>
      </c>
      <c r="W1195" s="17" t="s">
        <v>44</v>
      </c>
      <c r="Y1195" s="68">
        <v>44652</v>
      </c>
      <c r="Z1195" s="17" t="s">
        <v>436</v>
      </c>
      <c r="AA1195" s="17" t="s">
        <v>437</v>
      </c>
      <c r="AB1195" s="17" t="s">
        <v>442</v>
      </c>
      <c r="AC1195" s="66">
        <v>44680</v>
      </c>
      <c r="AD1195" s="65">
        <v>1281</v>
      </c>
      <c r="AE1195" s="17" t="s">
        <v>48</v>
      </c>
    </row>
    <row r="1196" s="17" customFormat="1" hidden="1" spans="1:31">
      <c r="A1196" s="17" t="s">
        <v>34</v>
      </c>
      <c r="B1196" s="19">
        <v>791</v>
      </c>
      <c r="C1196" s="101">
        <v>44666</v>
      </c>
      <c r="D1196" s="17" t="s">
        <v>432</v>
      </c>
      <c r="E1196" s="17" t="s">
        <v>433</v>
      </c>
      <c r="F1196" s="17" t="s">
        <v>434</v>
      </c>
      <c r="H1196" s="19">
        <v>1.2738</v>
      </c>
      <c r="I1196" s="19"/>
      <c r="J1196" s="17" t="s">
        <v>82</v>
      </c>
      <c r="K1196" s="169">
        <v>630</v>
      </c>
      <c r="L1196" s="171">
        <v>220</v>
      </c>
      <c r="M1196" s="169">
        <v>1068</v>
      </c>
      <c r="N1196" s="19" t="s">
        <v>66</v>
      </c>
      <c r="O1196" s="19" t="s">
        <v>168</v>
      </c>
      <c r="P1196" s="19">
        <v>1162</v>
      </c>
      <c r="Q1196" s="22">
        <v>1170</v>
      </c>
      <c r="R1196" s="17">
        <f t="shared" si="68"/>
        <v>-8</v>
      </c>
      <c r="S1196" s="91">
        <v>1350</v>
      </c>
      <c r="T1196" s="19" t="s">
        <v>94</v>
      </c>
      <c r="U1196" s="102" t="s">
        <v>435</v>
      </c>
      <c r="V1196" s="64">
        <v>44666</v>
      </c>
      <c r="W1196" s="17" t="s">
        <v>44</v>
      </c>
      <c r="Y1196" s="68">
        <v>44652</v>
      </c>
      <c r="Z1196" s="17" t="s">
        <v>436</v>
      </c>
      <c r="AA1196" s="17" t="s">
        <v>437</v>
      </c>
      <c r="AB1196" s="17" t="s">
        <v>442</v>
      </c>
      <c r="AC1196" s="66">
        <v>44680</v>
      </c>
      <c r="AD1196" s="65">
        <v>1281</v>
      </c>
      <c r="AE1196" s="17" t="s">
        <v>48</v>
      </c>
    </row>
    <row r="1197" s="17" customFormat="1" hidden="1" spans="1:31">
      <c r="A1197" s="17" t="s">
        <v>34</v>
      </c>
      <c r="B1197" s="19">
        <v>791</v>
      </c>
      <c r="C1197" s="101">
        <v>44666</v>
      </c>
      <c r="D1197" s="17" t="s">
        <v>432</v>
      </c>
      <c r="E1197" s="17" t="s">
        <v>433</v>
      </c>
      <c r="F1197" s="17" t="s">
        <v>434</v>
      </c>
      <c r="H1197" s="19">
        <v>1.2738</v>
      </c>
      <c r="I1197" s="19"/>
      <c r="J1197" s="17" t="s">
        <v>82</v>
      </c>
      <c r="K1197" s="169">
        <v>605</v>
      </c>
      <c r="L1197" s="171">
        <v>295</v>
      </c>
      <c r="M1197" s="169">
        <v>795</v>
      </c>
      <c r="N1197" s="19" t="s">
        <v>66</v>
      </c>
      <c r="O1197" s="19" t="s">
        <v>168</v>
      </c>
      <c r="P1197" s="19">
        <v>1114</v>
      </c>
      <c r="Q1197" s="22">
        <v>1140</v>
      </c>
      <c r="R1197" s="17">
        <f t="shared" si="68"/>
        <v>-26</v>
      </c>
      <c r="S1197" s="91">
        <v>1350</v>
      </c>
      <c r="T1197" s="19" t="s">
        <v>94</v>
      </c>
      <c r="U1197" s="102" t="s">
        <v>435</v>
      </c>
      <c r="V1197" s="64">
        <v>44666</v>
      </c>
      <c r="W1197" s="17" t="s">
        <v>44</v>
      </c>
      <c r="Y1197" s="68">
        <v>44652</v>
      </c>
      <c r="Z1197" s="17" t="s">
        <v>436</v>
      </c>
      <c r="AA1197" s="17" t="s">
        <v>437</v>
      </c>
      <c r="AB1197" s="17" t="s">
        <v>442</v>
      </c>
      <c r="AC1197" s="66">
        <v>44680</v>
      </c>
      <c r="AD1197" s="65">
        <v>1281</v>
      </c>
      <c r="AE1197" s="17" t="s">
        <v>48</v>
      </c>
    </row>
    <row r="1198" s="17" customFormat="1" hidden="1" spans="1:31">
      <c r="A1198" s="17" t="s">
        <v>34</v>
      </c>
      <c r="B1198" s="19">
        <v>791</v>
      </c>
      <c r="C1198" s="101">
        <v>44666</v>
      </c>
      <c r="D1198" s="17" t="s">
        <v>432</v>
      </c>
      <c r="E1198" s="17" t="s">
        <v>433</v>
      </c>
      <c r="F1198" s="17" t="s">
        <v>434</v>
      </c>
      <c r="H1198" s="19">
        <v>1.2738</v>
      </c>
      <c r="I1198" s="19"/>
      <c r="J1198" s="17" t="s">
        <v>82</v>
      </c>
      <c r="K1198" s="169">
        <v>865</v>
      </c>
      <c r="L1198" s="171">
        <v>150</v>
      </c>
      <c r="M1198" s="169">
        <v>1050</v>
      </c>
      <c r="N1198" s="19" t="s">
        <v>66</v>
      </c>
      <c r="O1198" s="19" t="s">
        <v>168</v>
      </c>
      <c r="P1198" s="19">
        <v>1069</v>
      </c>
      <c r="Q1198" s="22">
        <v>1120</v>
      </c>
      <c r="R1198" s="17">
        <f t="shared" si="68"/>
        <v>-51</v>
      </c>
      <c r="S1198" s="91">
        <v>1350</v>
      </c>
      <c r="T1198" s="19" t="s">
        <v>94</v>
      </c>
      <c r="U1198" s="102" t="s">
        <v>435</v>
      </c>
      <c r="V1198" s="64">
        <v>44666</v>
      </c>
      <c r="W1198" s="17" t="s">
        <v>44</v>
      </c>
      <c r="Y1198" s="68">
        <v>44652</v>
      </c>
      <c r="Z1198" s="17" t="s">
        <v>436</v>
      </c>
      <c r="AA1198" s="17" t="s">
        <v>437</v>
      </c>
      <c r="AB1198" s="17" t="s">
        <v>438</v>
      </c>
      <c r="AC1198" s="66">
        <v>44680</v>
      </c>
      <c r="AD1198" s="65">
        <v>1281</v>
      </c>
      <c r="AE1198" s="17" t="s">
        <v>48</v>
      </c>
    </row>
    <row r="1199" s="17" customFormat="1" hidden="1" spans="1:31">
      <c r="A1199" s="17" t="s">
        <v>34</v>
      </c>
      <c r="B1199" s="19">
        <v>791</v>
      </c>
      <c r="C1199" s="101">
        <v>44666</v>
      </c>
      <c r="D1199" s="17" t="s">
        <v>432</v>
      </c>
      <c r="E1199" s="17" t="s">
        <v>433</v>
      </c>
      <c r="F1199" s="17" t="s">
        <v>434</v>
      </c>
      <c r="H1199" s="19">
        <v>1.2738</v>
      </c>
      <c r="I1199" s="19"/>
      <c r="J1199" s="17" t="s">
        <v>82</v>
      </c>
      <c r="K1199" s="169">
        <v>515</v>
      </c>
      <c r="L1199" s="171">
        <v>420</v>
      </c>
      <c r="M1199" s="169">
        <v>610</v>
      </c>
      <c r="N1199" s="19" t="s">
        <v>66</v>
      </c>
      <c r="O1199" s="19" t="s">
        <v>168</v>
      </c>
      <c r="P1199" s="19">
        <v>1036</v>
      </c>
      <c r="Q1199" s="22">
        <v>1070</v>
      </c>
      <c r="R1199" s="17">
        <f t="shared" si="68"/>
        <v>-34</v>
      </c>
      <c r="S1199" s="91">
        <v>1350</v>
      </c>
      <c r="T1199" s="19" t="s">
        <v>94</v>
      </c>
      <c r="U1199" s="102" t="s">
        <v>435</v>
      </c>
      <c r="V1199" s="64">
        <v>44666</v>
      </c>
      <c r="W1199" s="17" t="s">
        <v>44</v>
      </c>
      <c r="Y1199" s="68">
        <v>44652</v>
      </c>
      <c r="Z1199" s="17" t="s">
        <v>436</v>
      </c>
      <c r="AA1199" s="17" t="s">
        <v>437</v>
      </c>
      <c r="AB1199" s="17" t="s">
        <v>438</v>
      </c>
      <c r="AC1199" s="66">
        <v>44680</v>
      </c>
      <c r="AD1199" s="65">
        <v>1281</v>
      </c>
      <c r="AE1199" s="17" t="s">
        <v>48</v>
      </c>
    </row>
    <row r="1200" s="17" customFormat="1" hidden="1" spans="1:31">
      <c r="A1200" s="17" t="s">
        <v>34</v>
      </c>
      <c r="B1200" s="19">
        <v>791</v>
      </c>
      <c r="C1200" s="101">
        <v>44666</v>
      </c>
      <c r="D1200" s="17" t="s">
        <v>432</v>
      </c>
      <c r="E1200" s="17" t="s">
        <v>433</v>
      </c>
      <c r="F1200" s="17" t="s">
        <v>434</v>
      </c>
      <c r="H1200" s="19">
        <v>1.2738</v>
      </c>
      <c r="I1200" s="19"/>
      <c r="J1200" s="17" t="s">
        <v>82</v>
      </c>
      <c r="K1200" s="169">
        <v>470</v>
      </c>
      <c r="L1200" s="171">
        <v>265</v>
      </c>
      <c r="M1200" s="169">
        <v>1060</v>
      </c>
      <c r="N1200" s="19" t="s">
        <v>66</v>
      </c>
      <c r="O1200" s="19" t="s">
        <v>168</v>
      </c>
      <c r="P1200" s="19">
        <v>1055</v>
      </c>
      <c r="Q1200" s="22">
        <v>1055</v>
      </c>
      <c r="R1200" s="17">
        <f t="shared" si="68"/>
        <v>0</v>
      </c>
      <c r="S1200" s="91">
        <v>1350</v>
      </c>
      <c r="T1200" s="19" t="s">
        <v>94</v>
      </c>
      <c r="U1200" s="102" t="s">
        <v>435</v>
      </c>
      <c r="V1200" s="64">
        <v>44666</v>
      </c>
      <c r="W1200" s="17" t="s">
        <v>44</v>
      </c>
      <c r="Y1200" s="68">
        <v>44652</v>
      </c>
      <c r="Z1200" s="17" t="s">
        <v>436</v>
      </c>
      <c r="AA1200" s="17" t="s">
        <v>437</v>
      </c>
      <c r="AB1200" s="17" t="s">
        <v>438</v>
      </c>
      <c r="AC1200" s="66">
        <v>44680</v>
      </c>
      <c r="AD1200" s="65">
        <v>1281</v>
      </c>
      <c r="AE1200" s="17" t="s">
        <v>48</v>
      </c>
    </row>
    <row r="1201" s="18" customFormat="1" hidden="1" spans="1:31">
      <c r="B1201" s="75">
        <v>791</v>
      </c>
      <c r="C1201" s="135">
        <v>44666</v>
      </c>
      <c r="D1201" s="18" t="s">
        <v>432</v>
      </c>
      <c r="E1201" s="17" t="s">
        <v>433</v>
      </c>
      <c r="F1201" s="18" t="s">
        <v>434</v>
      </c>
      <c r="H1201" s="75">
        <v>1.2738</v>
      </c>
      <c r="I1201" s="75"/>
      <c r="J1201" s="18" t="s">
        <v>82</v>
      </c>
      <c r="K1201" s="172" t="s">
        <v>446</v>
      </c>
      <c r="L1201" s="173" t="s">
        <v>447</v>
      </c>
      <c r="M1201" s="172" t="s">
        <v>448</v>
      </c>
      <c r="N1201" s="75" t="s">
        <v>66</v>
      </c>
      <c r="O1201" s="19" t="s">
        <v>168</v>
      </c>
      <c r="P1201" s="1">
        <v>961</v>
      </c>
      <c r="Q1201" s="174"/>
      <c r="R1201" s="18">
        <f t="shared" si="68"/>
        <v>961</v>
      </c>
      <c r="S1201" s="112">
        <v>1350</v>
      </c>
      <c r="T1201" s="75" t="s">
        <v>94</v>
      </c>
      <c r="U1201" s="137" t="s">
        <v>435</v>
      </c>
      <c r="V1201" s="138">
        <v>44666</v>
      </c>
      <c r="W1201" s="18" t="s">
        <v>44</v>
      </c>
      <c r="Y1201" s="114">
        <v>44652</v>
      </c>
      <c r="Z1201" s="18" t="s">
        <v>436</v>
      </c>
      <c r="AA1201" s="18" t="s">
        <v>437</v>
      </c>
      <c r="AC1201" s="83"/>
      <c r="AD1201" s="77"/>
      <c r="AE1201" s="18" t="s">
        <v>48</v>
      </c>
    </row>
    <row r="1202" s="17" customFormat="1" hidden="1" spans="1:31">
      <c r="A1202" s="17" t="s">
        <v>34</v>
      </c>
      <c r="B1202" s="19">
        <v>791</v>
      </c>
      <c r="C1202" s="101">
        <v>44666</v>
      </c>
      <c r="D1202" s="17" t="s">
        <v>432</v>
      </c>
      <c r="E1202" s="17" t="s">
        <v>433</v>
      </c>
      <c r="F1202" s="17" t="s">
        <v>434</v>
      </c>
      <c r="H1202" s="19">
        <v>1.2738</v>
      </c>
      <c r="I1202" s="19"/>
      <c r="J1202" s="17" t="s">
        <v>82</v>
      </c>
      <c r="K1202" s="169">
        <v>540</v>
      </c>
      <c r="L1202" s="171">
        <v>220</v>
      </c>
      <c r="M1202" s="169">
        <v>1080</v>
      </c>
      <c r="N1202" s="19" t="s">
        <v>66</v>
      </c>
      <c r="O1202" s="19" t="s">
        <v>168</v>
      </c>
      <c r="P1202" s="19">
        <v>1007</v>
      </c>
      <c r="Q1202" s="22">
        <v>1040</v>
      </c>
      <c r="R1202" s="17">
        <f t="shared" si="68"/>
        <v>-33</v>
      </c>
      <c r="S1202" s="99">
        <v>1350</v>
      </c>
      <c r="T1202" s="19" t="s">
        <v>94</v>
      </c>
      <c r="U1202" s="102" t="s">
        <v>435</v>
      </c>
      <c r="V1202" s="64">
        <v>44666</v>
      </c>
      <c r="W1202" s="17" t="s">
        <v>44</v>
      </c>
      <c r="Y1202" s="68">
        <v>44652</v>
      </c>
      <c r="Z1202" s="17" t="s">
        <v>436</v>
      </c>
      <c r="AA1202" s="17" t="s">
        <v>437</v>
      </c>
      <c r="AB1202" s="17" t="s">
        <v>438</v>
      </c>
      <c r="AC1202" s="66">
        <v>44680</v>
      </c>
      <c r="AD1202" s="65">
        <v>1281</v>
      </c>
      <c r="AE1202" s="17" t="s">
        <v>48</v>
      </c>
    </row>
    <row r="1203" s="17" customFormat="1" hidden="1" spans="1:31">
      <c r="A1203" s="17" t="s">
        <v>34</v>
      </c>
      <c r="B1203" s="19">
        <v>791</v>
      </c>
      <c r="C1203" s="101">
        <v>44666</v>
      </c>
      <c r="D1203" s="17" t="s">
        <v>432</v>
      </c>
      <c r="E1203" s="17" t="s">
        <v>433</v>
      </c>
      <c r="F1203" s="17" t="s">
        <v>434</v>
      </c>
      <c r="H1203" s="19">
        <v>1.2738</v>
      </c>
      <c r="I1203" s="19"/>
      <c r="J1203" s="17" t="s">
        <v>82</v>
      </c>
      <c r="K1203" s="169">
        <v>515</v>
      </c>
      <c r="L1203" s="171">
        <v>410</v>
      </c>
      <c r="M1203" s="169">
        <v>610</v>
      </c>
      <c r="N1203" s="19" t="s">
        <v>66</v>
      </c>
      <c r="O1203" s="19" t="s">
        <v>168</v>
      </c>
      <c r="P1203" s="19">
        <v>1011</v>
      </c>
      <c r="Q1203" s="22">
        <v>1040</v>
      </c>
      <c r="R1203" s="17">
        <f t="shared" si="68"/>
        <v>-29</v>
      </c>
      <c r="S1203" s="99">
        <v>1350</v>
      </c>
      <c r="T1203" s="19" t="s">
        <v>94</v>
      </c>
      <c r="U1203" s="102" t="s">
        <v>435</v>
      </c>
      <c r="V1203" s="64">
        <v>44666</v>
      </c>
      <c r="W1203" s="17" t="s">
        <v>44</v>
      </c>
      <c r="Y1203" s="68">
        <v>44652</v>
      </c>
      <c r="Z1203" s="17" t="s">
        <v>436</v>
      </c>
      <c r="AA1203" s="17" t="s">
        <v>437</v>
      </c>
      <c r="AB1203" s="17" t="s">
        <v>438</v>
      </c>
      <c r="AC1203" s="66">
        <v>44680</v>
      </c>
      <c r="AD1203" s="65">
        <v>1281</v>
      </c>
      <c r="AE1203" s="17" t="s">
        <v>48</v>
      </c>
    </row>
    <row r="1204" s="17" customFormat="1" hidden="1" spans="1:31">
      <c r="A1204" s="17" t="s">
        <v>34</v>
      </c>
      <c r="B1204" s="19">
        <v>791</v>
      </c>
      <c r="C1204" s="101">
        <v>44666</v>
      </c>
      <c r="D1204" s="17" t="s">
        <v>432</v>
      </c>
      <c r="E1204" s="17" t="s">
        <v>433</v>
      </c>
      <c r="F1204" s="17" t="s">
        <v>434</v>
      </c>
      <c r="H1204" s="19">
        <v>1.2738</v>
      </c>
      <c r="I1204" s="19"/>
      <c r="J1204" s="17" t="s">
        <v>82</v>
      </c>
      <c r="K1204" s="169">
        <v>545</v>
      </c>
      <c r="L1204" s="171">
        <v>363</v>
      </c>
      <c r="M1204" s="169">
        <v>655</v>
      </c>
      <c r="N1204" s="19" t="s">
        <v>66</v>
      </c>
      <c r="O1204" s="19" t="s">
        <v>168</v>
      </c>
      <c r="P1204" s="19">
        <v>1017</v>
      </c>
      <c r="Q1204" s="22">
        <v>1035</v>
      </c>
      <c r="R1204" s="17">
        <f t="shared" si="68"/>
        <v>-18</v>
      </c>
      <c r="S1204" s="99">
        <v>1350</v>
      </c>
      <c r="T1204" s="19" t="s">
        <v>94</v>
      </c>
      <c r="U1204" s="102" t="s">
        <v>435</v>
      </c>
      <c r="V1204" s="64">
        <v>44666</v>
      </c>
      <c r="W1204" s="17" t="s">
        <v>44</v>
      </c>
      <c r="Y1204" s="68">
        <v>44652</v>
      </c>
      <c r="Z1204" s="17" t="s">
        <v>436</v>
      </c>
      <c r="AA1204" s="17" t="s">
        <v>437</v>
      </c>
      <c r="AB1204" s="17" t="s">
        <v>438</v>
      </c>
      <c r="AC1204" s="66">
        <v>44680</v>
      </c>
      <c r="AD1204" s="65">
        <v>1281</v>
      </c>
      <c r="AE1204" s="17" t="s">
        <v>48</v>
      </c>
    </row>
    <row r="1205" s="17" customFormat="1" hidden="1" spans="1:31">
      <c r="A1205" s="17" t="s">
        <v>34</v>
      </c>
      <c r="B1205" s="19">
        <v>791</v>
      </c>
      <c r="C1205" s="101">
        <v>44666</v>
      </c>
      <c r="D1205" s="17" t="s">
        <v>432</v>
      </c>
      <c r="E1205" s="17" t="s">
        <v>433</v>
      </c>
      <c r="F1205" s="17" t="s">
        <v>434</v>
      </c>
      <c r="H1205" s="19">
        <v>1.2738</v>
      </c>
      <c r="I1205" s="19"/>
      <c r="J1205" s="17" t="s">
        <v>82</v>
      </c>
      <c r="K1205" s="169">
        <v>420</v>
      </c>
      <c r="L1205" s="171">
        <v>255</v>
      </c>
      <c r="M1205" s="169">
        <v>1070</v>
      </c>
      <c r="N1205" s="19" t="s">
        <v>66</v>
      </c>
      <c r="O1205" s="19" t="s">
        <v>168</v>
      </c>
      <c r="P1205" s="19">
        <v>900</v>
      </c>
      <c r="Q1205" s="22">
        <v>964</v>
      </c>
      <c r="R1205" s="17">
        <f t="shared" si="68"/>
        <v>-64</v>
      </c>
      <c r="S1205" s="99">
        <v>1350</v>
      </c>
      <c r="T1205" s="19" t="s">
        <v>94</v>
      </c>
      <c r="U1205" s="102" t="s">
        <v>435</v>
      </c>
      <c r="V1205" s="64">
        <v>44666</v>
      </c>
      <c r="W1205" s="17" t="s">
        <v>44</v>
      </c>
      <c r="Y1205" s="68">
        <v>44652</v>
      </c>
      <c r="Z1205" s="17" t="s">
        <v>436</v>
      </c>
      <c r="AA1205" s="17" t="s">
        <v>437</v>
      </c>
      <c r="AB1205" s="17" t="s">
        <v>442</v>
      </c>
      <c r="AC1205" s="66">
        <v>44680</v>
      </c>
      <c r="AD1205" s="65">
        <v>1281</v>
      </c>
      <c r="AE1205" s="17" t="s">
        <v>48</v>
      </c>
    </row>
    <row r="1206" s="17" customFormat="1" hidden="1" spans="1:31">
      <c r="A1206" s="17" t="s">
        <v>34</v>
      </c>
      <c r="B1206" s="19">
        <v>791</v>
      </c>
      <c r="C1206" s="101">
        <v>44666</v>
      </c>
      <c r="D1206" s="17" t="s">
        <v>432</v>
      </c>
      <c r="E1206" s="17" t="s">
        <v>433</v>
      </c>
      <c r="F1206" s="17" t="s">
        <v>434</v>
      </c>
      <c r="H1206" s="19">
        <v>1.2738</v>
      </c>
      <c r="I1206" s="19"/>
      <c r="J1206" s="17" t="s">
        <v>82</v>
      </c>
      <c r="K1206" s="169">
        <v>510</v>
      </c>
      <c r="L1206" s="171">
        <v>400</v>
      </c>
      <c r="M1206" s="169">
        <v>585</v>
      </c>
      <c r="N1206" s="19" t="s">
        <v>66</v>
      </c>
      <c r="O1206" s="19" t="s">
        <v>168</v>
      </c>
      <c r="P1206" s="19">
        <v>937</v>
      </c>
      <c r="Q1206" s="22">
        <v>956</v>
      </c>
      <c r="R1206" s="17">
        <f t="shared" si="68"/>
        <v>-19</v>
      </c>
      <c r="S1206" s="99">
        <v>1350</v>
      </c>
      <c r="T1206" s="19" t="s">
        <v>94</v>
      </c>
      <c r="U1206" s="102" t="s">
        <v>435</v>
      </c>
      <c r="V1206" s="64">
        <v>44666</v>
      </c>
      <c r="W1206" s="17" t="s">
        <v>44</v>
      </c>
      <c r="Y1206" s="68">
        <v>44652</v>
      </c>
      <c r="Z1206" s="17" t="s">
        <v>436</v>
      </c>
      <c r="AA1206" s="17" t="s">
        <v>437</v>
      </c>
      <c r="AB1206" s="17" t="s">
        <v>438</v>
      </c>
      <c r="AC1206" s="66">
        <v>44680</v>
      </c>
      <c r="AD1206" s="65">
        <v>1281</v>
      </c>
      <c r="AE1206" s="17" t="s">
        <v>48</v>
      </c>
    </row>
    <row r="1207" s="17" customFormat="1" hidden="1" spans="1:31">
      <c r="A1207" s="17" t="s">
        <v>34</v>
      </c>
      <c r="B1207" s="19">
        <v>791</v>
      </c>
      <c r="C1207" s="101">
        <v>44666</v>
      </c>
      <c r="D1207" s="17" t="s">
        <v>432</v>
      </c>
      <c r="E1207" s="17" t="s">
        <v>433</v>
      </c>
      <c r="F1207" s="17" t="s">
        <v>434</v>
      </c>
      <c r="H1207" s="19">
        <v>1.2738</v>
      </c>
      <c r="I1207" s="19"/>
      <c r="J1207" s="17" t="s">
        <v>82</v>
      </c>
      <c r="K1207" s="169">
        <v>750</v>
      </c>
      <c r="L1207" s="171">
        <v>195</v>
      </c>
      <c r="M1207" s="169">
        <v>800</v>
      </c>
      <c r="N1207" s="19" t="s">
        <v>66</v>
      </c>
      <c r="O1207" s="19" t="s">
        <v>168</v>
      </c>
      <c r="P1207" s="19">
        <v>918</v>
      </c>
      <c r="Q1207" s="22">
        <v>950</v>
      </c>
      <c r="R1207" s="17">
        <f t="shared" si="68"/>
        <v>-32</v>
      </c>
      <c r="S1207" s="99">
        <v>1350</v>
      </c>
      <c r="T1207" s="19" t="s">
        <v>94</v>
      </c>
      <c r="U1207" s="102" t="s">
        <v>435</v>
      </c>
      <c r="V1207" s="64">
        <v>44666</v>
      </c>
      <c r="W1207" s="17" t="s">
        <v>44</v>
      </c>
      <c r="Y1207" s="68">
        <v>44652</v>
      </c>
      <c r="Z1207" s="17" t="s">
        <v>436</v>
      </c>
      <c r="AA1207" s="17" t="s">
        <v>437</v>
      </c>
      <c r="AB1207" s="17" t="s">
        <v>438</v>
      </c>
      <c r="AC1207" s="66">
        <v>44680</v>
      </c>
      <c r="AD1207" s="65">
        <v>1281</v>
      </c>
      <c r="AE1207" s="17" t="s">
        <v>48</v>
      </c>
    </row>
    <row r="1208" s="17" customFormat="1" hidden="1" spans="1:31">
      <c r="A1208" s="17" t="s">
        <v>34</v>
      </c>
      <c r="B1208" s="19">
        <v>791</v>
      </c>
      <c r="C1208" s="101">
        <v>44666</v>
      </c>
      <c r="D1208" s="17" t="s">
        <v>432</v>
      </c>
      <c r="E1208" s="17" t="s">
        <v>433</v>
      </c>
      <c r="F1208" s="17" t="s">
        <v>434</v>
      </c>
      <c r="H1208" s="19">
        <v>1.2738</v>
      </c>
      <c r="I1208" s="19"/>
      <c r="J1208" s="17" t="s">
        <v>82</v>
      </c>
      <c r="K1208" s="169">
        <v>505</v>
      </c>
      <c r="L1208" s="171">
        <v>175</v>
      </c>
      <c r="M1208" s="169">
        <v>1245</v>
      </c>
      <c r="N1208" s="19" t="s">
        <v>66</v>
      </c>
      <c r="O1208" s="19" t="s">
        <v>168</v>
      </c>
      <c r="P1208" s="19">
        <v>864</v>
      </c>
      <c r="Q1208" s="22">
        <v>900</v>
      </c>
      <c r="R1208" s="17">
        <f t="shared" si="68"/>
        <v>-36</v>
      </c>
      <c r="S1208" s="99">
        <v>1350</v>
      </c>
      <c r="T1208" s="19" t="s">
        <v>94</v>
      </c>
      <c r="U1208" s="102" t="s">
        <v>435</v>
      </c>
      <c r="V1208" s="64">
        <v>44666</v>
      </c>
      <c r="W1208" s="17" t="s">
        <v>44</v>
      </c>
      <c r="Y1208" s="68">
        <v>44652</v>
      </c>
      <c r="Z1208" s="17" t="s">
        <v>436</v>
      </c>
      <c r="AA1208" s="17" t="s">
        <v>437</v>
      </c>
      <c r="AB1208" s="17" t="s">
        <v>438</v>
      </c>
      <c r="AC1208" s="66">
        <v>44680</v>
      </c>
      <c r="AD1208" s="65">
        <v>1281</v>
      </c>
      <c r="AE1208" s="17" t="s">
        <v>48</v>
      </c>
    </row>
    <row r="1209" s="17" customFormat="1" hidden="1" spans="1:31">
      <c r="A1209" s="17" t="s">
        <v>34</v>
      </c>
      <c r="B1209" s="19">
        <v>791</v>
      </c>
      <c r="C1209" s="101">
        <v>44666</v>
      </c>
      <c r="D1209" s="17" t="s">
        <v>432</v>
      </c>
      <c r="E1209" s="17" t="s">
        <v>433</v>
      </c>
      <c r="F1209" s="17" t="s">
        <v>434</v>
      </c>
      <c r="H1209" s="19">
        <v>1.2738</v>
      </c>
      <c r="I1209" s="19"/>
      <c r="J1209" s="17" t="s">
        <v>82</v>
      </c>
      <c r="K1209" s="169">
        <v>405</v>
      </c>
      <c r="L1209" s="171">
        <v>360</v>
      </c>
      <c r="M1209" s="169">
        <v>760</v>
      </c>
      <c r="N1209" s="19" t="s">
        <v>66</v>
      </c>
      <c r="O1209" s="19" t="s">
        <v>168</v>
      </c>
      <c r="P1209" s="19">
        <v>870</v>
      </c>
      <c r="Q1209" s="22">
        <v>889</v>
      </c>
      <c r="R1209" s="17">
        <f t="shared" si="68"/>
        <v>-19</v>
      </c>
      <c r="S1209" s="99">
        <v>1350</v>
      </c>
      <c r="T1209" s="19" t="s">
        <v>94</v>
      </c>
      <c r="U1209" s="102" t="s">
        <v>435</v>
      </c>
      <c r="V1209" s="64">
        <v>44666</v>
      </c>
      <c r="W1209" s="17" t="s">
        <v>44</v>
      </c>
      <c r="Y1209" s="68">
        <v>44652</v>
      </c>
      <c r="Z1209" s="17" t="s">
        <v>436</v>
      </c>
      <c r="AA1209" s="17" t="s">
        <v>437</v>
      </c>
      <c r="AB1209" s="17" t="s">
        <v>438</v>
      </c>
      <c r="AC1209" s="66">
        <v>44680</v>
      </c>
      <c r="AD1209" s="65">
        <v>1281</v>
      </c>
      <c r="AE1209" s="17" t="s">
        <v>48</v>
      </c>
    </row>
    <row r="1210" s="17" customFormat="1" hidden="1" spans="1:31">
      <c r="A1210" s="17" t="s">
        <v>34</v>
      </c>
      <c r="B1210" s="19">
        <v>791</v>
      </c>
      <c r="C1210" s="101">
        <v>44666</v>
      </c>
      <c r="D1210" s="17" t="s">
        <v>432</v>
      </c>
      <c r="E1210" s="17" t="s">
        <v>433</v>
      </c>
      <c r="F1210" s="17" t="s">
        <v>434</v>
      </c>
      <c r="H1210" s="19">
        <v>1.2738</v>
      </c>
      <c r="I1210" s="19"/>
      <c r="J1210" s="17" t="s">
        <v>82</v>
      </c>
      <c r="K1210" s="169">
        <v>390</v>
      </c>
      <c r="L1210" s="171">
        <v>290</v>
      </c>
      <c r="M1210" s="169">
        <v>930</v>
      </c>
      <c r="N1210" s="19" t="s">
        <v>66</v>
      </c>
      <c r="O1210" s="19" t="s">
        <v>168</v>
      </c>
      <c r="P1210" s="19">
        <v>826</v>
      </c>
      <c r="Q1210" s="22">
        <v>862</v>
      </c>
      <c r="R1210" s="17">
        <f t="shared" si="68"/>
        <v>-36</v>
      </c>
      <c r="S1210" s="99">
        <v>1350</v>
      </c>
      <c r="T1210" s="19" t="s">
        <v>94</v>
      </c>
      <c r="U1210" s="102" t="s">
        <v>435</v>
      </c>
      <c r="V1210" s="64">
        <v>44666</v>
      </c>
      <c r="W1210" s="17" t="s">
        <v>44</v>
      </c>
      <c r="Y1210" s="68">
        <v>44652</v>
      </c>
      <c r="Z1210" s="17" t="s">
        <v>436</v>
      </c>
      <c r="AA1210" s="17" t="s">
        <v>437</v>
      </c>
      <c r="AB1210" s="17" t="s">
        <v>442</v>
      </c>
      <c r="AC1210" s="66">
        <v>44680</v>
      </c>
      <c r="AD1210" s="65">
        <v>1281</v>
      </c>
      <c r="AE1210" s="17" t="s">
        <v>48</v>
      </c>
    </row>
    <row r="1211" s="17" customFormat="1" hidden="1" spans="1:31">
      <c r="A1211" s="17" t="s">
        <v>34</v>
      </c>
      <c r="B1211" s="19">
        <v>791</v>
      </c>
      <c r="C1211" s="101">
        <v>44666</v>
      </c>
      <c r="D1211" s="17" t="s">
        <v>432</v>
      </c>
      <c r="E1211" s="17" t="s">
        <v>433</v>
      </c>
      <c r="F1211" s="17" t="s">
        <v>434</v>
      </c>
      <c r="H1211" s="19">
        <v>1.2738</v>
      </c>
      <c r="I1211" s="19"/>
      <c r="J1211" s="17" t="s">
        <v>82</v>
      </c>
      <c r="K1211" s="169">
        <v>635</v>
      </c>
      <c r="L1211" s="171">
        <v>190</v>
      </c>
      <c r="M1211" s="169">
        <v>900</v>
      </c>
      <c r="N1211" s="19" t="s">
        <v>66</v>
      </c>
      <c r="O1211" s="19" t="s">
        <v>168</v>
      </c>
      <c r="P1211" s="19">
        <v>852</v>
      </c>
      <c r="Q1211" s="22">
        <v>858</v>
      </c>
      <c r="R1211" s="17">
        <f t="shared" si="68"/>
        <v>-6</v>
      </c>
      <c r="S1211" s="99">
        <v>1350</v>
      </c>
      <c r="T1211" s="19" t="s">
        <v>94</v>
      </c>
      <c r="U1211" s="102" t="s">
        <v>435</v>
      </c>
      <c r="V1211" s="64">
        <v>44666</v>
      </c>
      <c r="W1211" s="17" t="s">
        <v>44</v>
      </c>
      <c r="Y1211" s="68">
        <v>44652</v>
      </c>
      <c r="Z1211" s="17" t="s">
        <v>436</v>
      </c>
      <c r="AA1211" s="17" t="s">
        <v>437</v>
      </c>
      <c r="AB1211" s="17" t="s">
        <v>442</v>
      </c>
      <c r="AC1211" s="66">
        <v>44680</v>
      </c>
      <c r="AD1211" s="65">
        <v>1281</v>
      </c>
      <c r="AE1211" s="17" t="s">
        <v>48</v>
      </c>
    </row>
    <row r="1212" s="17" customFormat="1" hidden="1" spans="1:31">
      <c r="A1212" s="17" t="s">
        <v>34</v>
      </c>
      <c r="B1212" s="19">
        <v>791</v>
      </c>
      <c r="C1212" s="101">
        <v>44666</v>
      </c>
      <c r="D1212" s="17" t="s">
        <v>432</v>
      </c>
      <c r="E1212" s="17" t="s">
        <v>433</v>
      </c>
      <c r="F1212" s="17" t="s">
        <v>434</v>
      </c>
      <c r="H1212" s="19">
        <v>1.2738</v>
      </c>
      <c r="I1212" s="19"/>
      <c r="J1212" s="17" t="s">
        <v>82</v>
      </c>
      <c r="K1212" s="169">
        <v>480</v>
      </c>
      <c r="L1212" s="171">
        <v>200</v>
      </c>
      <c r="M1212" s="169">
        <v>1070</v>
      </c>
      <c r="N1212" s="19" t="s">
        <v>66</v>
      </c>
      <c r="O1212" s="19" t="s">
        <v>168</v>
      </c>
      <c r="P1212" s="19">
        <v>806</v>
      </c>
      <c r="Q1212" s="22">
        <v>830</v>
      </c>
      <c r="R1212" s="17">
        <f t="shared" si="68"/>
        <v>-24</v>
      </c>
      <c r="S1212" s="99">
        <v>1350</v>
      </c>
      <c r="T1212" s="19" t="s">
        <v>94</v>
      </c>
      <c r="U1212" s="102" t="s">
        <v>435</v>
      </c>
      <c r="V1212" s="64">
        <v>44666</v>
      </c>
      <c r="W1212" s="17" t="s">
        <v>44</v>
      </c>
      <c r="Y1212" s="68">
        <v>44652</v>
      </c>
      <c r="Z1212" s="17" t="s">
        <v>436</v>
      </c>
      <c r="AA1212" s="17" t="s">
        <v>437</v>
      </c>
      <c r="AB1212" s="17" t="s">
        <v>438</v>
      </c>
      <c r="AC1212" s="66">
        <v>44680</v>
      </c>
      <c r="AD1212" s="65">
        <v>1281</v>
      </c>
      <c r="AE1212" s="17" t="s">
        <v>48</v>
      </c>
    </row>
    <row r="1213" s="18" customFormat="1" hidden="1" spans="1:31">
      <c r="A1213" s="18" t="s">
        <v>34</v>
      </c>
      <c r="B1213" s="75">
        <v>791</v>
      </c>
      <c r="C1213" s="135">
        <v>44666</v>
      </c>
      <c r="D1213" s="18" t="s">
        <v>432</v>
      </c>
      <c r="E1213" s="17" t="s">
        <v>433</v>
      </c>
      <c r="F1213" s="18" t="s">
        <v>434</v>
      </c>
      <c r="H1213" s="75">
        <v>1.2738</v>
      </c>
      <c r="I1213" s="75"/>
      <c r="J1213" s="18" t="s">
        <v>82</v>
      </c>
      <c r="K1213" s="172">
        <v>310</v>
      </c>
      <c r="L1213" s="173">
        <v>230</v>
      </c>
      <c r="M1213" s="172">
        <v>1395</v>
      </c>
      <c r="N1213" s="75" t="s">
        <v>66</v>
      </c>
      <c r="O1213" s="75" t="s">
        <v>168</v>
      </c>
      <c r="P1213" s="75">
        <v>781</v>
      </c>
      <c r="Q1213" s="174"/>
      <c r="R1213" s="18">
        <f t="shared" si="68"/>
        <v>781</v>
      </c>
      <c r="S1213" s="112">
        <v>1350</v>
      </c>
      <c r="T1213" s="75" t="s">
        <v>94</v>
      </c>
      <c r="U1213" s="137" t="s">
        <v>435</v>
      </c>
      <c r="V1213" s="138">
        <v>44666</v>
      </c>
      <c r="W1213" s="18" t="s">
        <v>44</v>
      </c>
      <c r="Y1213" s="114">
        <v>44652</v>
      </c>
      <c r="Z1213" s="18" t="s">
        <v>436</v>
      </c>
      <c r="AA1213" s="18" t="s">
        <v>437</v>
      </c>
      <c r="AC1213" s="83"/>
      <c r="AD1213" s="77"/>
      <c r="AE1213" s="18" t="s">
        <v>48</v>
      </c>
    </row>
    <row r="1214" s="17" customFormat="1" hidden="1" spans="1:31">
      <c r="A1214" s="17" t="s">
        <v>34</v>
      </c>
      <c r="B1214" s="19">
        <v>791</v>
      </c>
      <c r="C1214" s="101">
        <v>44666</v>
      </c>
      <c r="D1214" s="17" t="s">
        <v>432</v>
      </c>
      <c r="E1214" s="17" t="s">
        <v>433</v>
      </c>
      <c r="F1214" s="17" t="s">
        <v>434</v>
      </c>
      <c r="H1214" s="19">
        <v>1.2738</v>
      </c>
      <c r="I1214" s="19"/>
      <c r="J1214" s="17" t="s">
        <v>82</v>
      </c>
      <c r="K1214" s="169">
        <v>400</v>
      </c>
      <c r="L1214" s="171">
        <v>260</v>
      </c>
      <c r="M1214" s="169">
        <v>905</v>
      </c>
      <c r="N1214" s="19" t="s">
        <v>66</v>
      </c>
      <c r="O1214" s="19" t="s">
        <v>168</v>
      </c>
      <c r="P1214" s="19">
        <v>739</v>
      </c>
      <c r="Q1214" s="22">
        <v>760</v>
      </c>
      <c r="R1214" s="17">
        <f t="shared" si="68"/>
        <v>-21</v>
      </c>
      <c r="S1214" s="99">
        <v>1350</v>
      </c>
      <c r="T1214" s="19" t="s">
        <v>94</v>
      </c>
      <c r="U1214" s="102" t="s">
        <v>435</v>
      </c>
      <c r="V1214" s="64">
        <v>44666</v>
      </c>
      <c r="W1214" s="17" t="s">
        <v>44</v>
      </c>
      <c r="Y1214" s="68">
        <v>44652</v>
      </c>
      <c r="Z1214" s="17" t="s">
        <v>436</v>
      </c>
      <c r="AA1214" s="17" t="s">
        <v>437</v>
      </c>
      <c r="AB1214" s="17" t="s">
        <v>438</v>
      </c>
      <c r="AC1214" s="66">
        <v>44680</v>
      </c>
      <c r="AD1214" s="65">
        <v>1281</v>
      </c>
      <c r="AE1214" s="17" t="s">
        <v>48</v>
      </c>
    </row>
    <row r="1215" s="17" customFormat="1" hidden="1" spans="1:31">
      <c r="A1215" s="17" t="s">
        <v>34</v>
      </c>
      <c r="B1215" s="19">
        <v>791</v>
      </c>
      <c r="C1215" s="101">
        <v>44666</v>
      </c>
      <c r="D1215" s="17" t="s">
        <v>432</v>
      </c>
      <c r="E1215" s="17" t="s">
        <v>433</v>
      </c>
      <c r="F1215" s="17" t="s">
        <v>434</v>
      </c>
      <c r="H1215" s="19">
        <v>1.2738</v>
      </c>
      <c r="I1215" s="19"/>
      <c r="J1215" s="17" t="s">
        <v>82</v>
      </c>
      <c r="K1215" s="169">
        <v>480</v>
      </c>
      <c r="L1215" s="171">
        <v>175</v>
      </c>
      <c r="M1215" s="169">
        <v>1060</v>
      </c>
      <c r="N1215" s="19" t="s">
        <v>66</v>
      </c>
      <c r="O1215" s="19" t="s">
        <v>168</v>
      </c>
      <c r="P1215" s="19">
        <v>699</v>
      </c>
      <c r="Q1215" s="22">
        <v>740</v>
      </c>
      <c r="R1215" s="17">
        <f t="shared" si="68"/>
        <v>-41</v>
      </c>
      <c r="S1215" s="99">
        <v>1350</v>
      </c>
      <c r="T1215" s="19" t="s">
        <v>94</v>
      </c>
      <c r="U1215" s="102" t="s">
        <v>435</v>
      </c>
      <c r="V1215" s="64">
        <v>44666</v>
      </c>
      <c r="W1215" s="17" t="s">
        <v>44</v>
      </c>
      <c r="Y1215" s="68">
        <v>44652</v>
      </c>
      <c r="Z1215" s="17" t="s">
        <v>436</v>
      </c>
      <c r="AA1215" s="17" t="s">
        <v>437</v>
      </c>
      <c r="AB1215" s="17" t="s">
        <v>442</v>
      </c>
      <c r="AC1215" s="66">
        <v>44680</v>
      </c>
      <c r="AD1215" s="65">
        <v>1281</v>
      </c>
      <c r="AE1215" s="17" t="s">
        <v>48</v>
      </c>
    </row>
    <row r="1216" s="17" customFormat="1" hidden="1" spans="1:31">
      <c r="A1216" s="17" t="s">
        <v>34</v>
      </c>
      <c r="B1216" s="19">
        <v>791</v>
      </c>
      <c r="C1216" s="101">
        <v>44666</v>
      </c>
      <c r="D1216" s="17" t="s">
        <v>432</v>
      </c>
      <c r="E1216" s="17" t="s">
        <v>433</v>
      </c>
      <c r="F1216" s="17" t="s">
        <v>434</v>
      </c>
      <c r="H1216" s="19">
        <v>1.2738</v>
      </c>
      <c r="I1216" s="19"/>
      <c r="J1216" s="17" t="s">
        <v>82</v>
      </c>
      <c r="K1216" s="169">
        <v>380</v>
      </c>
      <c r="L1216" s="171">
        <v>360</v>
      </c>
      <c r="M1216" s="169">
        <v>665</v>
      </c>
      <c r="N1216" s="19" t="s">
        <v>66</v>
      </c>
      <c r="O1216" s="19" t="s">
        <v>168</v>
      </c>
      <c r="P1216" s="19">
        <v>714</v>
      </c>
      <c r="Q1216" s="22">
        <v>730</v>
      </c>
      <c r="R1216" s="17">
        <f t="shared" si="68"/>
        <v>-16</v>
      </c>
      <c r="S1216" s="99">
        <v>1350</v>
      </c>
      <c r="T1216" s="19" t="s">
        <v>94</v>
      </c>
      <c r="U1216" s="102" t="s">
        <v>435</v>
      </c>
      <c r="V1216" s="64">
        <v>44666</v>
      </c>
      <c r="W1216" s="17" t="s">
        <v>44</v>
      </c>
      <c r="Y1216" s="68">
        <v>44652</v>
      </c>
      <c r="Z1216" s="17" t="s">
        <v>436</v>
      </c>
      <c r="AA1216" s="17" t="s">
        <v>437</v>
      </c>
      <c r="AB1216" s="17" t="s">
        <v>438</v>
      </c>
      <c r="AC1216" s="66">
        <v>44680</v>
      </c>
      <c r="AD1216" s="65">
        <v>1281</v>
      </c>
      <c r="AE1216" s="17" t="s">
        <v>48</v>
      </c>
    </row>
    <row r="1217" s="17" customFormat="1" hidden="1" spans="1:31">
      <c r="A1217" s="17" t="s">
        <v>34</v>
      </c>
      <c r="B1217" s="19">
        <v>791</v>
      </c>
      <c r="C1217" s="101">
        <v>44666</v>
      </c>
      <c r="D1217" s="17" t="s">
        <v>432</v>
      </c>
      <c r="E1217" s="17" t="s">
        <v>433</v>
      </c>
      <c r="F1217" s="17" t="s">
        <v>434</v>
      </c>
      <c r="H1217" s="19">
        <v>1.2738</v>
      </c>
      <c r="I1217" s="19"/>
      <c r="J1217" s="17" t="s">
        <v>82</v>
      </c>
      <c r="K1217" s="169">
        <v>330</v>
      </c>
      <c r="L1217" s="171">
        <v>315</v>
      </c>
      <c r="M1217" s="169">
        <v>865</v>
      </c>
      <c r="N1217" s="19" t="s">
        <v>66</v>
      </c>
      <c r="O1217" s="19" t="s">
        <v>168</v>
      </c>
      <c r="P1217" s="19">
        <v>706</v>
      </c>
      <c r="Q1217" s="22">
        <v>720</v>
      </c>
      <c r="R1217" s="17">
        <f t="shared" si="68"/>
        <v>-14</v>
      </c>
      <c r="S1217" s="99">
        <v>1350</v>
      </c>
      <c r="T1217" s="19" t="s">
        <v>94</v>
      </c>
      <c r="U1217" s="102" t="s">
        <v>435</v>
      </c>
      <c r="V1217" s="64">
        <v>44666</v>
      </c>
      <c r="W1217" s="17" t="s">
        <v>44</v>
      </c>
      <c r="Y1217" s="68">
        <v>44652</v>
      </c>
      <c r="Z1217" s="17" t="s">
        <v>436</v>
      </c>
      <c r="AA1217" s="17" t="s">
        <v>437</v>
      </c>
      <c r="AB1217" s="17" t="s">
        <v>438</v>
      </c>
      <c r="AC1217" s="66">
        <v>44680</v>
      </c>
      <c r="AD1217" s="65">
        <v>1281</v>
      </c>
      <c r="AE1217" s="17" t="s">
        <v>48</v>
      </c>
    </row>
    <row r="1218" s="18" customFormat="1" hidden="1" spans="1:31">
      <c r="B1218" s="75">
        <v>791</v>
      </c>
      <c r="C1218" s="135">
        <v>44666</v>
      </c>
      <c r="D1218" s="18" t="s">
        <v>432</v>
      </c>
      <c r="E1218" s="17" t="s">
        <v>433</v>
      </c>
      <c r="F1218" s="18" t="s">
        <v>434</v>
      </c>
      <c r="H1218" s="75">
        <v>1.2738</v>
      </c>
      <c r="I1218" s="75"/>
      <c r="J1218" s="18" t="s">
        <v>82</v>
      </c>
      <c r="K1218" s="172" t="s">
        <v>457</v>
      </c>
      <c r="L1218" s="173" t="s">
        <v>458</v>
      </c>
      <c r="M1218" s="172" t="s">
        <v>451</v>
      </c>
      <c r="N1218" s="75" t="s">
        <v>66</v>
      </c>
      <c r="O1218" s="75" t="s">
        <v>168</v>
      </c>
      <c r="P1218" s="1">
        <v>1007</v>
      </c>
      <c r="Q1218" s="174"/>
      <c r="R1218" s="18">
        <f t="shared" si="68"/>
        <v>1007</v>
      </c>
      <c r="S1218" s="112">
        <v>1350</v>
      </c>
      <c r="T1218" s="75" t="s">
        <v>94</v>
      </c>
      <c r="U1218" s="137" t="s">
        <v>435</v>
      </c>
      <c r="V1218" s="138">
        <v>44666</v>
      </c>
      <c r="W1218" s="18" t="s">
        <v>44</v>
      </c>
      <c r="Y1218" s="114">
        <v>44652</v>
      </c>
      <c r="Z1218" s="18" t="s">
        <v>436</v>
      </c>
      <c r="AA1218" s="18" t="s">
        <v>437</v>
      </c>
      <c r="AC1218" s="83"/>
      <c r="AD1218" s="77"/>
      <c r="AE1218" s="18" t="s">
        <v>48</v>
      </c>
    </row>
    <row r="1219" s="17" customFormat="1" hidden="1" spans="1:31">
      <c r="A1219" s="17" t="s">
        <v>34</v>
      </c>
      <c r="B1219" s="19">
        <v>791</v>
      </c>
      <c r="C1219" s="101">
        <v>44666</v>
      </c>
      <c r="D1219" s="17" t="s">
        <v>432</v>
      </c>
      <c r="E1219" s="17" t="s">
        <v>433</v>
      </c>
      <c r="F1219" s="17" t="s">
        <v>434</v>
      </c>
      <c r="H1219" s="19">
        <v>1.2738</v>
      </c>
      <c r="I1219" s="19"/>
      <c r="J1219" s="17" t="s">
        <v>82</v>
      </c>
      <c r="K1219" s="169">
        <v>810</v>
      </c>
      <c r="L1219" s="171">
        <v>105</v>
      </c>
      <c r="M1219" s="169">
        <v>935</v>
      </c>
      <c r="N1219" s="19" t="s">
        <v>66</v>
      </c>
      <c r="O1219" s="19" t="s">
        <v>168</v>
      </c>
      <c r="P1219" s="19">
        <v>624</v>
      </c>
      <c r="Q1219" s="22">
        <v>690</v>
      </c>
      <c r="R1219" s="17">
        <f t="shared" si="68"/>
        <v>-66</v>
      </c>
      <c r="S1219" s="99">
        <v>1350</v>
      </c>
      <c r="T1219" s="19" t="s">
        <v>94</v>
      </c>
      <c r="U1219" s="102" t="s">
        <v>435</v>
      </c>
      <c r="V1219" s="64">
        <v>44666</v>
      </c>
      <c r="W1219" s="17" t="s">
        <v>44</v>
      </c>
      <c r="Y1219" s="68">
        <v>44652</v>
      </c>
      <c r="Z1219" s="17" t="s">
        <v>436</v>
      </c>
      <c r="AA1219" s="17" t="s">
        <v>437</v>
      </c>
      <c r="AB1219" s="17" t="s">
        <v>438</v>
      </c>
      <c r="AC1219" s="66">
        <v>44680</v>
      </c>
      <c r="AD1219" s="65">
        <v>1281</v>
      </c>
      <c r="AE1219" s="17" t="s">
        <v>48</v>
      </c>
    </row>
    <row r="1220" s="17" customFormat="1" hidden="1" spans="1:31">
      <c r="A1220" s="17" t="s">
        <v>34</v>
      </c>
      <c r="B1220" s="19">
        <v>791</v>
      </c>
      <c r="C1220" s="101">
        <v>44666</v>
      </c>
      <c r="D1220" s="17" t="s">
        <v>432</v>
      </c>
      <c r="E1220" s="17" t="s">
        <v>433</v>
      </c>
      <c r="F1220" s="17" t="s">
        <v>434</v>
      </c>
      <c r="H1220" s="19">
        <v>1.2738</v>
      </c>
      <c r="I1220" s="19"/>
      <c r="J1220" s="17" t="s">
        <v>82</v>
      </c>
      <c r="K1220" s="169" t="s">
        <v>459</v>
      </c>
      <c r="L1220" s="171" t="s">
        <v>460</v>
      </c>
      <c r="M1220" s="169" t="s">
        <v>461</v>
      </c>
      <c r="N1220" s="19" t="s">
        <v>66</v>
      </c>
      <c r="O1220" s="19" t="s">
        <v>168</v>
      </c>
      <c r="P1220" s="175">
        <v>1052</v>
      </c>
      <c r="Q1220" s="22">
        <v>1110</v>
      </c>
      <c r="R1220" s="17">
        <f t="shared" si="68"/>
        <v>-58</v>
      </c>
      <c r="S1220" s="99">
        <v>1350</v>
      </c>
      <c r="T1220" s="19" t="s">
        <v>94</v>
      </c>
      <c r="U1220" s="102" t="s">
        <v>435</v>
      </c>
      <c r="V1220" s="64">
        <v>44666</v>
      </c>
      <c r="W1220" s="17" t="s">
        <v>44</v>
      </c>
      <c r="Y1220" s="68">
        <v>44652</v>
      </c>
      <c r="Z1220" s="17" t="s">
        <v>436</v>
      </c>
      <c r="AA1220" s="17" t="s">
        <v>437</v>
      </c>
      <c r="AB1220" s="17" t="s">
        <v>438</v>
      </c>
      <c r="AC1220" s="66">
        <v>44680</v>
      </c>
      <c r="AD1220" s="65">
        <v>1281</v>
      </c>
      <c r="AE1220" s="17" t="s">
        <v>48</v>
      </c>
    </row>
    <row r="1221" s="17" customFormat="1" hidden="1" spans="1:31">
      <c r="A1221" s="17" t="s">
        <v>34</v>
      </c>
      <c r="B1221" s="19">
        <v>791</v>
      </c>
      <c r="C1221" s="101">
        <v>44666</v>
      </c>
      <c r="D1221" s="17" t="s">
        <v>432</v>
      </c>
      <c r="E1221" s="17" t="s">
        <v>433</v>
      </c>
      <c r="F1221" s="17" t="s">
        <v>434</v>
      </c>
      <c r="H1221" s="19">
        <v>1.2738</v>
      </c>
      <c r="I1221" s="19"/>
      <c r="J1221" s="17" t="s">
        <v>82</v>
      </c>
      <c r="K1221" s="169">
        <v>500</v>
      </c>
      <c r="L1221" s="171">
        <v>320</v>
      </c>
      <c r="M1221" s="169">
        <v>510</v>
      </c>
      <c r="N1221" s="19" t="s">
        <v>66</v>
      </c>
      <c r="O1221" s="19" t="s">
        <v>168</v>
      </c>
      <c r="P1221" s="19">
        <v>641</v>
      </c>
      <c r="Q1221" s="22">
        <v>670</v>
      </c>
      <c r="R1221" s="17">
        <f t="shared" ref="R1221:R1235" si="69">+P1221-Q1221</f>
        <v>-29</v>
      </c>
      <c r="S1221" s="99">
        <v>1350</v>
      </c>
      <c r="T1221" s="19" t="s">
        <v>94</v>
      </c>
      <c r="U1221" s="102" t="s">
        <v>435</v>
      </c>
      <c r="V1221" s="64">
        <v>44666</v>
      </c>
      <c r="W1221" s="17" t="s">
        <v>44</v>
      </c>
      <c r="Y1221" s="68">
        <v>44652</v>
      </c>
      <c r="Z1221" s="17" t="s">
        <v>436</v>
      </c>
      <c r="AA1221" s="17" t="s">
        <v>437</v>
      </c>
      <c r="AB1221" s="17" t="s">
        <v>438</v>
      </c>
      <c r="AC1221" s="66">
        <v>44680</v>
      </c>
      <c r="AD1221" s="65">
        <v>1281</v>
      </c>
      <c r="AE1221" s="17" t="s">
        <v>48</v>
      </c>
    </row>
    <row r="1222" s="17" customFormat="1" hidden="1" spans="1:31">
      <c r="A1222" s="17" t="s">
        <v>34</v>
      </c>
      <c r="B1222" s="19">
        <v>791</v>
      </c>
      <c r="C1222" s="101">
        <v>44666</v>
      </c>
      <c r="D1222" s="17" t="s">
        <v>432</v>
      </c>
      <c r="E1222" s="17" t="s">
        <v>433</v>
      </c>
      <c r="F1222" s="17" t="s">
        <v>434</v>
      </c>
      <c r="H1222" s="19">
        <v>1.2738</v>
      </c>
      <c r="I1222" s="19"/>
      <c r="J1222" s="17" t="s">
        <v>82</v>
      </c>
      <c r="K1222" s="169">
        <v>290</v>
      </c>
      <c r="L1222" s="171">
        <v>250</v>
      </c>
      <c r="M1222" s="169">
        <v>1105</v>
      </c>
      <c r="N1222" s="19" t="s">
        <v>66</v>
      </c>
      <c r="O1222" s="19" t="s">
        <v>168</v>
      </c>
      <c r="P1222" s="19">
        <v>629</v>
      </c>
      <c r="Q1222" s="22">
        <v>657</v>
      </c>
      <c r="R1222" s="17">
        <f t="shared" si="69"/>
        <v>-28</v>
      </c>
      <c r="S1222" s="99">
        <v>1350</v>
      </c>
      <c r="T1222" s="19" t="s">
        <v>94</v>
      </c>
      <c r="U1222" s="102" t="s">
        <v>435</v>
      </c>
      <c r="V1222" s="64">
        <v>44666</v>
      </c>
      <c r="W1222" s="17" t="s">
        <v>44</v>
      </c>
      <c r="Y1222" s="68">
        <v>44652</v>
      </c>
      <c r="Z1222" s="17" t="s">
        <v>436</v>
      </c>
      <c r="AA1222" s="17" t="s">
        <v>437</v>
      </c>
      <c r="AB1222" s="17" t="s">
        <v>438</v>
      </c>
      <c r="AC1222" s="66">
        <v>44680</v>
      </c>
      <c r="AD1222" s="65">
        <v>1281</v>
      </c>
      <c r="AE1222" s="17" t="s">
        <v>48</v>
      </c>
    </row>
    <row r="1223" s="17" customFormat="1" hidden="1" spans="1:31">
      <c r="A1223" s="17" t="s">
        <v>34</v>
      </c>
      <c r="B1223" s="19">
        <v>791</v>
      </c>
      <c r="C1223" s="101">
        <v>44666</v>
      </c>
      <c r="D1223" s="17" t="s">
        <v>432</v>
      </c>
      <c r="E1223" s="17" t="s">
        <v>433</v>
      </c>
      <c r="F1223" s="17" t="s">
        <v>434</v>
      </c>
      <c r="H1223" s="19">
        <v>1.2738</v>
      </c>
      <c r="I1223" s="19"/>
      <c r="J1223" s="17" t="s">
        <v>82</v>
      </c>
      <c r="K1223" s="169">
        <v>610</v>
      </c>
      <c r="L1223" s="171">
        <v>140</v>
      </c>
      <c r="M1223" s="169">
        <v>915</v>
      </c>
      <c r="N1223" s="19" t="s">
        <v>66</v>
      </c>
      <c r="O1223" s="19" t="s">
        <v>168</v>
      </c>
      <c r="P1223" s="19">
        <v>613</v>
      </c>
      <c r="Q1223" s="22">
        <v>646</v>
      </c>
      <c r="R1223" s="17">
        <f t="shared" si="69"/>
        <v>-33</v>
      </c>
      <c r="S1223" s="99">
        <v>1350</v>
      </c>
      <c r="T1223" s="19" t="s">
        <v>94</v>
      </c>
      <c r="U1223" s="102" t="s">
        <v>435</v>
      </c>
      <c r="V1223" s="64">
        <v>44666</v>
      </c>
      <c r="W1223" s="17" t="s">
        <v>44</v>
      </c>
      <c r="Y1223" s="68">
        <v>44652</v>
      </c>
      <c r="Z1223" s="17" t="s">
        <v>436</v>
      </c>
      <c r="AA1223" s="17" t="s">
        <v>437</v>
      </c>
      <c r="AB1223" s="17" t="s">
        <v>438</v>
      </c>
      <c r="AC1223" s="66">
        <v>44680</v>
      </c>
      <c r="AD1223" s="65">
        <v>1281</v>
      </c>
      <c r="AE1223" s="17" t="s">
        <v>48</v>
      </c>
    </row>
    <row r="1224" s="17" customFormat="1" hidden="1" spans="1:31">
      <c r="A1224" s="17" t="s">
        <v>34</v>
      </c>
      <c r="B1224" s="19">
        <v>791</v>
      </c>
      <c r="C1224" s="101">
        <v>44666</v>
      </c>
      <c r="D1224" s="17" t="s">
        <v>432</v>
      </c>
      <c r="E1224" s="17" t="s">
        <v>433</v>
      </c>
      <c r="F1224" s="17" t="s">
        <v>434</v>
      </c>
      <c r="H1224" s="19">
        <v>1.2738</v>
      </c>
      <c r="I1224" s="19"/>
      <c r="J1224" s="17" t="s">
        <v>82</v>
      </c>
      <c r="K1224" s="169">
        <v>630</v>
      </c>
      <c r="L1224" s="171">
        <v>125</v>
      </c>
      <c r="M1224" s="169">
        <v>975</v>
      </c>
      <c r="N1224" s="19" t="s">
        <v>66</v>
      </c>
      <c r="O1224" s="19" t="s">
        <v>168</v>
      </c>
      <c r="P1224" s="19">
        <v>603</v>
      </c>
      <c r="Q1224" s="22">
        <v>640</v>
      </c>
      <c r="R1224" s="17">
        <f t="shared" si="69"/>
        <v>-37</v>
      </c>
      <c r="S1224" s="99">
        <v>1350</v>
      </c>
      <c r="T1224" s="19" t="s">
        <v>94</v>
      </c>
      <c r="U1224" s="102" t="s">
        <v>435</v>
      </c>
      <c r="V1224" s="64">
        <v>44666</v>
      </c>
      <c r="W1224" s="17" t="s">
        <v>44</v>
      </c>
      <c r="Y1224" s="68">
        <v>44652</v>
      </c>
      <c r="Z1224" s="17" t="s">
        <v>436</v>
      </c>
      <c r="AA1224" s="17" t="s">
        <v>437</v>
      </c>
      <c r="AB1224" s="17" t="s">
        <v>442</v>
      </c>
      <c r="AC1224" s="66">
        <v>44680</v>
      </c>
      <c r="AD1224" s="65">
        <v>1281</v>
      </c>
      <c r="AE1224" s="17" t="s">
        <v>48</v>
      </c>
    </row>
    <row r="1225" s="17" customFormat="1" hidden="1" spans="1:31">
      <c r="A1225" s="17" t="s">
        <v>34</v>
      </c>
      <c r="B1225" s="19">
        <v>791</v>
      </c>
      <c r="C1225" s="101">
        <v>44666</v>
      </c>
      <c r="D1225" s="17" t="s">
        <v>432</v>
      </c>
      <c r="E1225" s="17" t="s">
        <v>433</v>
      </c>
      <c r="F1225" s="17" t="s">
        <v>434</v>
      </c>
      <c r="H1225" s="19">
        <v>1.2738</v>
      </c>
      <c r="I1225" s="19"/>
      <c r="J1225" s="17" t="s">
        <v>82</v>
      </c>
      <c r="K1225" s="169">
        <v>380</v>
      </c>
      <c r="L1225" s="171">
        <v>280</v>
      </c>
      <c r="M1225" s="169">
        <v>740</v>
      </c>
      <c r="N1225" s="19" t="s">
        <v>66</v>
      </c>
      <c r="O1225" s="19" t="s">
        <v>168</v>
      </c>
      <c r="P1225" s="19">
        <v>618</v>
      </c>
      <c r="Q1225" s="22">
        <v>640</v>
      </c>
      <c r="R1225" s="17">
        <f t="shared" si="69"/>
        <v>-22</v>
      </c>
      <c r="S1225" s="99">
        <v>1350</v>
      </c>
      <c r="T1225" s="19" t="s">
        <v>94</v>
      </c>
      <c r="U1225" s="102" t="s">
        <v>435</v>
      </c>
      <c r="V1225" s="64">
        <v>44666</v>
      </c>
      <c r="W1225" s="17" t="s">
        <v>44</v>
      </c>
      <c r="Y1225" s="68">
        <v>44652</v>
      </c>
      <c r="Z1225" s="17" t="s">
        <v>436</v>
      </c>
      <c r="AA1225" s="17" t="s">
        <v>437</v>
      </c>
      <c r="AB1225" s="17" t="s">
        <v>438</v>
      </c>
      <c r="AC1225" s="66">
        <v>44680</v>
      </c>
      <c r="AD1225" s="65">
        <v>1281</v>
      </c>
      <c r="AE1225" s="17" t="s">
        <v>48</v>
      </c>
    </row>
    <row r="1226" s="17" customFormat="1" hidden="1" spans="1:31">
      <c r="A1226" s="17" t="s">
        <v>34</v>
      </c>
      <c r="B1226" s="19">
        <v>791</v>
      </c>
      <c r="C1226" s="101">
        <v>44666</v>
      </c>
      <c r="D1226" s="17" t="s">
        <v>432</v>
      </c>
      <c r="E1226" s="17" t="s">
        <v>433</v>
      </c>
      <c r="F1226" s="17" t="s">
        <v>434</v>
      </c>
      <c r="H1226" s="19">
        <v>1.2738</v>
      </c>
      <c r="I1226" s="19"/>
      <c r="J1226" s="17" t="s">
        <v>82</v>
      </c>
      <c r="K1226" s="169">
        <v>680</v>
      </c>
      <c r="L1226" s="171">
        <v>70</v>
      </c>
      <c r="M1226" s="169">
        <v>1515</v>
      </c>
      <c r="N1226" s="19" t="s">
        <v>66</v>
      </c>
      <c r="O1226" s="19" t="s">
        <v>168</v>
      </c>
      <c r="P1226" s="19">
        <v>566</v>
      </c>
      <c r="Q1226" s="22">
        <v>630</v>
      </c>
      <c r="R1226" s="17">
        <f t="shared" si="69"/>
        <v>-64</v>
      </c>
      <c r="S1226" s="99">
        <v>1350</v>
      </c>
      <c r="T1226" s="19" t="s">
        <v>94</v>
      </c>
      <c r="U1226" s="102" t="s">
        <v>435</v>
      </c>
      <c r="V1226" s="64">
        <v>44666</v>
      </c>
      <c r="W1226" s="17" t="s">
        <v>44</v>
      </c>
      <c r="Y1226" s="68">
        <v>44652</v>
      </c>
      <c r="Z1226" s="17" t="s">
        <v>436</v>
      </c>
      <c r="AA1226" s="17" t="s">
        <v>437</v>
      </c>
      <c r="AB1226" s="17" t="s">
        <v>442</v>
      </c>
      <c r="AC1226" s="66">
        <v>44680</v>
      </c>
      <c r="AD1226" s="65">
        <v>1281</v>
      </c>
      <c r="AE1226" s="17" t="s">
        <v>48</v>
      </c>
    </row>
    <row r="1227" s="17" customFormat="1" hidden="1" spans="1:31">
      <c r="A1227" s="17" t="s">
        <v>34</v>
      </c>
      <c r="B1227" s="19">
        <v>791</v>
      </c>
      <c r="C1227" s="101">
        <v>44666</v>
      </c>
      <c r="D1227" s="17" t="s">
        <v>432</v>
      </c>
      <c r="E1227" s="17" t="s">
        <v>433</v>
      </c>
      <c r="F1227" s="17" t="s">
        <v>434</v>
      </c>
      <c r="H1227" s="19">
        <v>1.2738</v>
      </c>
      <c r="I1227" s="19"/>
      <c r="J1227" s="17" t="s">
        <v>82</v>
      </c>
      <c r="K1227" s="169">
        <v>400</v>
      </c>
      <c r="L1227" s="171">
        <v>210</v>
      </c>
      <c r="M1227" s="169">
        <v>910</v>
      </c>
      <c r="N1227" s="19" t="s">
        <v>66</v>
      </c>
      <c r="O1227" s="19" t="s">
        <v>168</v>
      </c>
      <c r="P1227" s="19">
        <v>600</v>
      </c>
      <c r="Q1227" s="22">
        <v>630</v>
      </c>
      <c r="R1227" s="17">
        <f t="shared" si="69"/>
        <v>-30</v>
      </c>
      <c r="S1227" s="99">
        <v>1350</v>
      </c>
      <c r="T1227" s="19" t="s">
        <v>94</v>
      </c>
      <c r="U1227" s="102" t="s">
        <v>435</v>
      </c>
      <c r="V1227" s="64">
        <v>44666</v>
      </c>
      <c r="W1227" s="17" t="s">
        <v>44</v>
      </c>
      <c r="Y1227" s="68">
        <v>44652</v>
      </c>
      <c r="Z1227" s="17" t="s">
        <v>436</v>
      </c>
      <c r="AA1227" s="17" t="s">
        <v>437</v>
      </c>
      <c r="AB1227" s="17" t="s">
        <v>438</v>
      </c>
      <c r="AC1227" s="66">
        <v>44680</v>
      </c>
      <c r="AD1227" s="65">
        <v>1281</v>
      </c>
      <c r="AE1227" s="17" t="s">
        <v>48</v>
      </c>
    </row>
    <row r="1228" s="17" customFormat="1" hidden="1" spans="1:31">
      <c r="A1228" s="17" t="s">
        <v>34</v>
      </c>
      <c r="B1228" s="19">
        <v>791</v>
      </c>
      <c r="C1228" s="101">
        <v>44666</v>
      </c>
      <c r="D1228" s="17" t="s">
        <v>432</v>
      </c>
      <c r="E1228" s="17" t="s">
        <v>433</v>
      </c>
      <c r="F1228" s="17" t="s">
        <v>434</v>
      </c>
      <c r="H1228" s="19">
        <v>1.2738</v>
      </c>
      <c r="I1228" s="19"/>
      <c r="J1228" s="17" t="s">
        <v>82</v>
      </c>
      <c r="K1228" s="169" t="s">
        <v>462</v>
      </c>
      <c r="L1228" s="171" t="s">
        <v>463</v>
      </c>
      <c r="M1228" s="169" t="s">
        <v>464</v>
      </c>
      <c r="N1228" s="19" t="s">
        <v>66</v>
      </c>
      <c r="O1228" s="19" t="s">
        <v>168</v>
      </c>
      <c r="P1228" s="19">
        <v>573</v>
      </c>
      <c r="Q1228" s="22">
        <v>780</v>
      </c>
      <c r="R1228" s="17">
        <f t="shared" si="69"/>
        <v>-207</v>
      </c>
      <c r="S1228" s="99">
        <v>1350</v>
      </c>
      <c r="T1228" s="19" t="s">
        <v>94</v>
      </c>
      <c r="U1228" s="102" t="s">
        <v>435</v>
      </c>
      <c r="V1228" s="64">
        <v>44666</v>
      </c>
      <c r="W1228" s="17" t="s">
        <v>44</v>
      </c>
      <c r="Y1228" s="68">
        <v>44652</v>
      </c>
      <c r="Z1228" s="17" t="s">
        <v>436</v>
      </c>
      <c r="AA1228" s="17" t="s">
        <v>437</v>
      </c>
      <c r="AB1228" s="17" t="s">
        <v>442</v>
      </c>
      <c r="AC1228" s="66">
        <v>44680</v>
      </c>
      <c r="AD1228" s="65">
        <v>1281</v>
      </c>
      <c r="AE1228" s="17" t="s">
        <v>48</v>
      </c>
    </row>
    <row r="1229" s="17" customFormat="1" hidden="1" spans="1:31">
      <c r="A1229" s="17" t="s">
        <v>34</v>
      </c>
      <c r="B1229" s="19">
        <v>791</v>
      </c>
      <c r="C1229" s="101">
        <v>44666</v>
      </c>
      <c r="D1229" s="17" t="s">
        <v>432</v>
      </c>
      <c r="E1229" s="17" t="s">
        <v>433</v>
      </c>
      <c r="F1229" s="17" t="s">
        <v>434</v>
      </c>
      <c r="H1229" s="19">
        <v>1.2738</v>
      </c>
      <c r="I1229" s="19"/>
      <c r="J1229" s="17" t="s">
        <v>82</v>
      </c>
      <c r="K1229" s="169">
        <v>515</v>
      </c>
      <c r="L1229" s="171">
        <v>110</v>
      </c>
      <c r="M1229" s="169">
        <v>1205</v>
      </c>
      <c r="N1229" s="19" t="s">
        <v>66</v>
      </c>
      <c r="O1229" s="19" t="s">
        <v>168</v>
      </c>
      <c r="P1229" s="19">
        <v>536</v>
      </c>
      <c r="Q1229" s="22">
        <v>600</v>
      </c>
      <c r="R1229" s="17">
        <f t="shared" si="69"/>
        <v>-64</v>
      </c>
      <c r="S1229" s="99">
        <v>1350</v>
      </c>
      <c r="T1229" s="19" t="s">
        <v>94</v>
      </c>
      <c r="U1229" s="102" t="s">
        <v>435</v>
      </c>
      <c r="V1229" s="64">
        <v>44666</v>
      </c>
      <c r="W1229" s="17" t="s">
        <v>44</v>
      </c>
      <c r="Y1229" s="68">
        <v>44652</v>
      </c>
      <c r="Z1229" s="17" t="s">
        <v>436</v>
      </c>
      <c r="AA1229" s="17" t="s">
        <v>437</v>
      </c>
      <c r="AB1229" s="17" t="s">
        <v>438</v>
      </c>
      <c r="AC1229" s="66">
        <v>44680</v>
      </c>
      <c r="AD1229" s="65">
        <v>1281</v>
      </c>
      <c r="AE1229" s="17" t="s">
        <v>48</v>
      </c>
    </row>
    <row r="1230" s="17" customFormat="1" hidden="1" spans="1:31">
      <c r="A1230" s="17" t="s">
        <v>34</v>
      </c>
      <c r="B1230" s="19">
        <v>791</v>
      </c>
      <c r="C1230" s="101">
        <v>44666</v>
      </c>
      <c r="D1230" s="17" t="s">
        <v>432</v>
      </c>
      <c r="E1230" s="17" t="s">
        <v>433</v>
      </c>
      <c r="F1230" s="17" t="s">
        <v>434</v>
      </c>
      <c r="H1230" s="19">
        <v>1.2738</v>
      </c>
      <c r="I1230" s="19"/>
      <c r="J1230" s="17" t="s">
        <v>82</v>
      </c>
      <c r="K1230" s="167">
        <v>705</v>
      </c>
      <c r="L1230" s="167">
        <v>155</v>
      </c>
      <c r="M1230" s="176">
        <v>1615</v>
      </c>
      <c r="N1230" s="19" t="s">
        <v>66</v>
      </c>
      <c r="O1230" s="19" t="s">
        <v>168</v>
      </c>
      <c r="P1230" s="168">
        <v>1385</v>
      </c>
      <c r="Q1230" s="22">
        <v>1455</v>
      </c>
      <c r="R1230" s="17">
        <f t="shared" si="69"/>
        <v>-70</v>
      </c>
      <c r="S1230" s="99">
        <v>1350</v>
      </c>
      <c r="T1230" s="19" t="s">
        <v>94</v>
      </c>
      <c r="U1230" s="102" t="s">
        <v>435</v>
      </c>
      <c r="V1230" s="64">
        <v>44666</v>
      </c>
      <c r="W1230" s="17" t="s">
        <v>44</v>
      </c>
      <c r="Y1230" s="68">
        <v>44652</v>
      </c>
      <c r="Z1230" s="17" t="s">
        <v>436</v>
      </c>
      <c r="AA1230" s="17" t="s">
        <v>437</v>
      </c>
      <c r="AB1230" s="17" t="s">
        <v>442</v>
      </c>
      <c r="AC1230" s="66">
        <v>44680</v>
      </c>
      <c r="AD1230" s="65">
        <v>1281</v>
      </c>
      <c r="AE1230" s="17" t="s">
        <v>48</v>
      </c>
    </row>
    <row r="1231" s="17" customFormat="1" hidden="1" spans="1:31">
      <c r="A1231" s="17" t="s">
        <v>34</v>
      </c>
      <c r="B1231" s="19">
        <v>791</v>
      </c>
      <c r="C1231" s="101">
        <v>44666</v>
      </c>
      <c r="D1231" s="17" t="s">
        <v>432</v>
      </c>
      <c r="E1231" s="17" t="s">
        <v>433</v>
      </c>
      <c r="F1231" s="17" t="s">
        <v>434</v>
      </c>
      <c r="H1231" s="19">
        <v>1.2738</v>
      </c>
      <c r="I1231" s="19"/>
      <c r="J1231" s="17" t="s">
        <v>82</v>
      </c>
      <c r="K1231" s="169" t="s">
        <v>465</v>
      </c>
      <c r="L1231" s="171" t="s">
        <v>440</v>
      </c>
      <c r="M1231" s="169" t="s">
        <v>466</v>
      </c>
      <c r="N1231" s="19" t="s">
        <v>66</v>
      </c>
      <c r="O1231" s="19" t="s">
        <v>168</v>
      </c>
      <c r="P1231" s="19">
        <v>1492</v>
      </c>
      <c r="Q1231" s="22">
        <v>1585</v>
      </c>
      <c r="R1231" s="17">
        <f t="shared" si="69"/>
        <v>-93</v>
      </c>
      <c r="S1231" s="99">
        <v>1350</v>
      </c>
      <c r="T1231" s="19" t="s">
        <v>94</v>
      </c>
      <c r="U1231" s="102" t="s">
        <v>435</v>
      </c>
      <c r="V1231" s="64">
        <v>44666</v>
      </c>
      <c r="W1231" s="17" t="s">
        <v>44</v>
      </c>
      <c r="Y1231" s="68">
        <v>44652</v>
      </c>
      <c r="Z1231" s="17" t="s">
        <v>436</v>
      </c>
      <c r="AA1231" s="17" t="s">
        <v>437</v>
      </c>
      <c r="AB1231" s="17" t="s">
        <v>442</v>
      </c>
      <c r="AC1231" s="66">
        <v>44680</v>
      </c>
      <c r="AD1231" s="65">
        <v>1281</v>
      </c>
      <c r="AE1231" s="17" t="s">
        <v>48</v>
      </c>
    </row>
    <row r="1232" s="18" customFormat="1" hidden="1" spans="1:31">
      <c r="B1232" s="75">
        <v>791</v>
      </c>
      <c r="C1232" s="135">
        <v>44666</v>
      </c>
      <c r="D1232" s="18" t="s">
        <v>432</v>
      </c>
      <c r="E1232" s="17" t="s">
        <v>433</v>
      </c>
      <c r="F1232" s="18" t="s">
        <v>434</v>
      </c>
      <c r="H1232" s="75">
        <v>1.2738</v>
      </c>
      <c r="I1232" s="75"/>
      <c r="J1232" s="18" t="s">
        <v>82</v>
      </c>
      <c r="K1232" s="172" t="s">
        <v>444</v>
      </c>
      <c r="L1232" s="173" t="s">
        <v>450</v>
      </c>
      <c r="M1232" s="172" t="s">
        <v>467</v>
      </c>
      <c r="N1232" s="75" t="s">
        <v>66</v>
      </c>
      <c r="O1232" s="75" t="s">
        <v>168</v>
      </c>
      <c r="P1232" s="75">
        <v>565</v>
      </c>
      <c r="Q1232" s="174"/>
      <c r="R1232" s="18">
        <f t="shared" si="69"/>
        <v>565</v>
      </c>
      <c r="S1232" s="112">
        <v>1350</v>
      </c>
      <c r="T1232" s="75" t="s">
        <v>94</v>
      </c>
      <c r="U1232" s="137" t="s">
        <v>435</v>
      </c>
      <c r="V1232" s="138">
        <v>44666</v>
      </c>
      <c r="W1232" s="18" t="s">
        <v>44</v>
      </c>
      <c r="Y1232" s="114">
        <v>44652</v>
      </c>
      <c r="Z1232" s="18" t="s">
        <v>436</v>
      </c>
      <c r="AA1232" s="18" t="s">
        <v>437</v>
      </c>
      <c r="AC1232" s="83"/>
      <c r="AD1232" s="77"/>
      <c r="AE1232" s="18" t="s">
        <v>48</v>
      </c>
    </row>
    <row r="1233" s="18" customFormat="1" hidden="1" spans="1:36">
      <c r="B1233" s="75">
        <v>791</v>
      </c>
      <c r="C1233" s="135">
        <v>44666</v>
      </c>
      <c r="D1233" s="18" t="s">
        <v>432</v>
      </c>
      <c r="E1233" s="17" t="s">
        <v>433</v>
      </c>
      <c r="F1233" s="18" t="s">
        <v>434</v>
      </c>
      <c r="H1233" s="75">
        <v>1.2738</v>
      </c>
      <c r="I1233" s="75"/>
      <c r="J1233" s="18" t="s">
        <v>82</v>
      </c>
      <c r="K1233" s="177" t="s">
        <v>468</v>
      </c>
      <c r="L1233" s="173" t="s">
        <v>469</v>
      </c>
      <c r="M1233" s="172" t="s">
        <v>470</v>
      </c>
      <c r="N1233" s="75" t="s">
        <v>66</v>
      </c>
      <c r="O1233" s="75" t="s">
        <v>168</v>
      </c>
      <c r="P1233" s="75">
        <v>1385</v>
      </c>
      <c r="Q1233" s="174"/>
      <c r="R1233" s="18">
        <f t="shared" si="69"/>
        <v>1385</v>
      </c>
      <c r="S1233" s="112">
        <v>1350</v>
      </c>
      <c r="T1233" s="75" t="s">
        <v>94</v>
      </c>
      <c r="U1233" s="137" t="s">
        <v>435</v>
      </c>
      <c r="V1233" s="138">
        <v>44666</v>
      </c>
      <c r="W1233" s="18" t="s">
        <v>44</v>
      </c>
      <c r="Y1233" s="114">
        <v>44652</v>
      </c>
      <c r="Z1233" s="18" t="s">
        <v>436</v>
      </c>
      <c r="AA1233" s="18" t="s">
        <v>437</v>
      </c>
      <c r="AC1233" s="83"/>
      <c r="AD1233" s="77"/>
      <c r="AE1233" s="18" t="s">
        <v>48</v>
      </c>
    </row>
    <row r="1234" s="18" customFormat="1" hidden="1" spans="1:36">
      <c r="B1234" s="75">
        <v>791</v>
      </c>
      <c r="C1234" s="135">
        <v>44666</v>
      </c>
      <c r="D1234" s="18" t="s">
        <v>432</v>
      </c>
      <c r="E1234" s="17" t="s">
        <v>433</v>
      </c>
      <c r="F1234" s="18" t="s">
        <v>434</v>
      </c>
      <c r="H1234" s="75">
        <v>1.2738</v>
      </c>
      <c r="I1234" s="75"/>
      <c r="J1234" s="18" t="s">
        <v>82</v>
      </c>
      <c r="K1234" s="177" t="s">
        <v>465</v>
      </c>
      <c r="L1234" s="173" t="s">
        <v>440</v>
      </c>
      <c r="M1234" s="172" t="s">
        <v>466</v>
      </c>
      <c r="N1234" s="75" t="s">
        <v>66</v>
      </c>
      <c r="O1234" s="75" t="s">
        <v>168</v>
      </c>
      <c r="P1234" s="75">
        <v>1492</v>
      </c>
      <c r="Q1234" s="174"/>
      <c r="R1234" s="18">
        <f t="shared" si="69"/>
        <v>1492</v>
      </c>
      <c r="S1234" s="112">
        <v>1350</v>
      </c>
      <c r="T1234" s="75" t="s">
        <v>94</v>
      </c>
      <c r="U1234" s="137" t="s">
        <v>435</v>
      </c>
      <c r="V1234" s="138">
        <v>44666</v>
      </c>
      <c r="W1234" s="18" t="s">
        <v>44</v>
      </c>
      <c r="Y1234" s="114">
        <v>44652</v>
      </c>
      <c r="Z1234" s="18" t="s">
        <v>436</v>
      </c>
      <c r="AA1234" s="18" t="s">
        <v>437</v>
      </c>
      <c r="AC1234" s="83"/>
      <c r="AD1234" s="77"/>
      <c r="AE1234" s="18" t="s">
        <v>48</v>
      </c>
    </row>
    <row r="1235" s="17" customFormat="1" hidden="1" spans="1:36">
      <c r="A1235" s="17" t="s">
        <v>34</v>
      </c>
      <c r="B1235" s="19">
        <v>791</v>
      </c>
      <c r="C1235" s="101">
        <v>44666</v>
      </c>
      <c r="D1235" s="17" t="s">
        <v>432</v>
      </c>
      <c r="E1235" s="17" t="s">
        <v>433</v>
      </c>
      <c r="F1235" s="17" t="s">
        <v>434</v>
      </c>
      <c r="H1235" s="19">
        <v>1.2738</v>
      </c>
      <c r="I1235" s="19"/>
      <c r="J1235" s="17" t="s">
        <v>82</v>
      </c>
      <c r="K1235" s="178" t="s">
        <v>444</v>
      </c>
      <c r="L1235" s="171" t="s">
        <v>450</v>
      </c>
      <c r="M1235" s="169" t="s">
        <v>467</v>
      </c>
      <c r="N1235" s="19" t="s">
        <v>66</v>
      </c>
      <c r="O1235" s="19" t="s">
        <v>168</v>
      </c>
      <c r="P1235" s="19">
        <v>565</v>
      </c>
      <c r="Q1235" s="22">
        <v>610</v>
      </c>
      <c r="R1235" s="17">
        <f t="shared" si="69"/>
        <v>-45</v>
      </c>
      <c r="S1235" s="99">
        <v>1350</v>
      </c>
      <c r="T1235" s="19" t="s">
        <v>94</v>
      </c>
      <c r="U1235" s="102" t="s">
        <v>435</v>
      </c>
      <c r="V1235" s="64">
        <v>44666</v>
      </c>
      <c r="W1235" s="17" t="s">
        <v>44</v>
      </c>
      <c r="Y1235" s="68">
        <v>44652</v>
      </c>
      <c r="Z1235" s="17" t="s">
        <v>436</v>
      </c>
      <c r="AA1235" s="17" t="s">
        <v>437</v>
      </c>
      <c r="AB1235" s="17" t="s">
        <v>442</v>
      </c>
      <c r="AC1235" s="66">
        <v>44680</v>
      </c>
      <c r="AD1235" s="65">
        <v>1281</v>
      </c>
      <c r="AE1235" s="17" t="s">
        <v>48</v>
      </c>
    </row>
    <row r="1236" s="17" customFormat="1" hidden="1" spans="1:36">
      <c r="A1236" s="17" t="s">
        <v>34</v>
      </c>
      <c r="B1236" s="19">
        <v>792</v>
      </c>
      <c r="C1236" s="101">
        <v>44663</v>
      </c>
      <c r="D1236" s="17" t="s">
        <v>52</v>
      </c>
      <c r="E1236" s="17" t="s">
        <v>187</v>
      </c>
      <c r="F1236" s="17" t="s">
        <v>54</v>
      </c>
      <c r="H1236" s="19">
        <v>1.2311</v>
      </c>
      <c r="I1236" s="19"/>
      <c r="J1236" s="17" t="s">
        <v>82</v>
      </c>
      <c r="K1236" s="179">
        <v>207</v>
      </c>
      <c r="L1236" s="159">
        <v>20</v>
      </c>
      <c r="M1236" s="17" t="s">
        <v>361</v>
      </c>
      <c r="N1236" s="17" t="s">
        <v>66</v>
      </c>
      <c r="O1236" s="19" t="s">
        <v>141</v>
      </c>
      <c r="P1236" s="160">
        <v>500</v>
      </c>
      <c r="Q1236" s="160">
        <f>80+83+80+82+81+80</f>
        <v>486</v>
      </c>
      <c r="S1236" s="17">
        <v>1320</v>
      </c>
      <c r="T1236" s="19" t="s">
        <v>42</v>
      </c>
      <c r="U1236" s="102" t="s">
        <v>471</v>
      </c>
      <c r="V1236" s="64">
        <v>44666</v>
      </c>
      <c r="W1236" s="17" t="s">
        <v>69</v>
      </c>
      <c r="Y1236" s="68">
        <v>44682</v>
      </c>
      <c r="Z1236" s="17" t="s">
        <v>191</v>
      </c>
      <c r="AA1236" s="17" t="s">
        <v>46</v>
      </c>
      <c r="AB1236" s="17" t="s">
        <v>366</v>
      </c>
      <c r="AC1236" s="66">
        <v>44714</v>
      </c>
      <c r="AD1236" s="65">
        <v>1306</v>
      </c>
      <c r="AE1236" s="17" t="s">
        <v>74</v>
      </c>
      <c r="AF1236" s="17" t="s">
        <v>245</v>
      </c>
      <c r="AH1236" s="17" t="s">
        <v>472</v>
      </c>
      <c r="AI1236" s="17">
        <v>116</v>
      </c>
      <c r="AJ1236" s="17" t="s">
        <v>473</v>
      </c>
    </row>
    <row r="1237" s="17" customFormat="1" hidden="1" spans="1:36">
      <c r="A1237" s="17" t="s">
        <v>34</v>
      </c>
      <c r="B1237" s="19">
        <v>792</v>
      </c>
      <c r="C1237" s="101">
        <v>44663</v>
      </c>
      <c r="D1237" s="17" t="s">
        <v>52</v>
      </c>
      <c r="E1237" s="17" t="s">
        <v>187</v>
      </c>
      <c r="F1237" s="17" t="s">
        <v>54</v>
      </c>
      <c r="H1237" s="19">
        <v>1.2311</v>
      </c>
      <c r="I1237" s="19"/>
      <c r="J1237" s="17" t="s">
        <v>82</v>
      </c>
      <c r="K1237" s="179">
        <v>207</v>
      </c>
      <c r="L1237" s="159">
        <v>20</v>
      </c>
      <c r="M1237" s="17" t="s">
        <v>361</v>
      </c>
      <c r="N1237" s="17" t="s">
        <v>66</v>
      </c>
      <c r="O1237" s="19" t="s">
        <v>141</v>
      </c>
      <c r="P1237" s="160"/>
      <c r="Q1237" s="160">
        <v>80</v>
      </c>
      <c r="R1237" s="95">
        <f>+P1236-Q1236-Q1237</f>
        <v>-66</v>
      </c>
      <c r="S1237" s="17">
        <v>1320</v>
      </c>
      <c r="T1237" s="19" t="s">
        <v>42</v>
      </c>
      <c r="U1237" s="102" t="s">
        <v>471</v>
      </c>
      <c r="V1237" s="110">
        <v>44666</v>
      </c>
      <c r="W1237" s="17" t="s">
        <v>69</v>
      </c>
      <c r="Y1237" s="68">
        <v>44682</v>
      </c>
      <c r="Z1237" s="17" t="s">
        <v>191</v>
      </c>
      <c r="AA1237" s="17" t="s">
        <v>46</v>
      </c>
      <c r="AB1237" s="17" t="s">
        <v>474</v>
      </c>
      <c r="AC1237" s="66" t="s">
        <v>475</v>
      </c>
      <c r="AD1237" s="65">
        <v>1316</v>
      </c>
      <c r="AE1237" s="17" t="s">
        <v>74</v>
      </c>
      <c r="AF1237" s="17" t="s">
        <v>245</v>
      </c>
    </row>
    <row r="1238" s="17" customFormat="1" hidden="1" spans="1:36">
      <c r="A1238" s="17" t="s">
        <v>34</v>
      </c>
      <c r="B1238" s="19">
        <v>792</v>
      </c>
      <c r="C1238" s="101">
        <v>44663</v>
      </c>
      <c r="D1238" s="17" t="s">
        <v>52</v>
      </c>
      <c r="E1238" s="17" t="s">
        <v>187</v>
      </c>
      <c r="F1238" s="17" t="s">
        <v>54</v>
      </c>
      <c r="H1238" s="19">
        <v>1.2311</v>
      </c>
      <c r="I1238" s="19"/>
      <c r="J1238" s="17" t="s">
        <v>82</v>
      </c>
      <c r="K1238" s="179">
        <v>257</v>
      </c>
      <c r="L1238" s="159">
        <v>20</v>
      </c>
      <c r="M1238" s="17" t="s">
        <v>361</v>
      </c>
      <c r="N1238" s="17" t="s">
        <v>66</v>
      </c>
      <c r="O1238" s="19" t="s">
        <v>141</v>
      </c>
      <c r="P1238" s="160">
        <v>500</v>
      </c>
      <c r="Q1238" s="160">
        <f>102+104+104+101+103+103</f>
        <v>617</v>
      </c>
      <c r="R1238" s="17">
        <f>+P1238-Q1238</f>
        <v>-117</v>
      </c>
      <c r="S1238" s="17">
        <v>1320</v>
      </c>
      <c r="T1238" s="19" t="s">
        <v>42</v>
      </c>
      <c r="U1238" s="102" t="s">
        <v>471</v>
      </c>
      <c r="V1238" s="64">
        <v>44666</v>
      </c>
      <c r="W1238" s="17" t="s">
        <v>69</v>
      </c>
      <c r="Y1238" s="68">
        <v>44682</v>
      </c>
      <c r="Z1238" s="17" t="s">
        <v>191</v>
      </c>
      <c r="AA1238" s="17" t="s">
        <v>46</v>
      </c>
      <c r="AB1238" s="17" t="s">
        <v>366</v>
      </c>
      <c r="AC1238" s="66">
        <v>44714</v>
      </c>
      <c r="AD1238" s="65">
        <v>1306</v>
      </c>
      <c r="AE1238" s="17" t="s">
        <v>74</v>
      </c>
      <c r="AF1238" s="17" t="s">
        <v>245</v>
      </c>
      <c r="AH1238" s="17" t="s">
        <v>472</v>
      </c>
      <c r="AI1238" s="17">
        <v>116</v>
      </c>
      <c r="AJ1238" s="17" t="s">
        <v>473</v>
      </c>
    </row>
    <row r="1239" s="17" customFormat="1" hidden="1" spans="1:36">
      <c r="A1239" s="17" t="s">
        <v>34</v>
      </c>
      <c r="B1239" s="19">
        <v>792</v>
      </c>
      <c r="C1239" s="101">
        <v>44663</v>
      </c>
      <c r="D1239" s="17" t="s">
        <v>52</v>
      </c>
      <c r="E1239" s="17" t="s">
        <v>187</v>
      </c>
      <c r="F1239" s="17" t="s">
        <v>54</v>
      </c>
      <c r="H1239" s="19">
        <v>1.2311</v>
      </c>
      <c r="I1239" s="19"/>
      <c r="J1239" s="17" t="s">
        <v>82</v>
      </c>
      <c r="K1239" s="179">
        <v>307</v>
      </c>
      <c r="L1239" s="159">
        <v>20</v>
      </c>
      <c r="M1239" s="17" t="s">
        <v>361</v>
      </c>
      <c r="N1239" s="17" t="s">
        <v>66</v>
      </c>
      <c r="O1239" s="19" t="s">
        <v>141</v>
      </c>
      <c r="P1239" s="160">
        <v>500</v>
      </c>
      <c r="Q1239" s="160">
        <f>121+120+120+121+118</f>
        <v>600</v>
      </c>
      <c r="R1239" s="17">
        <f>+P1239-Q1239</f>
        <v>-100</v>
      </c>
      <c r="S1239" s="17">
        <v>1320</v>
      </c>
      <c r="T1239" s="19" t="s">
        <v>42</v>
      </c>
      <c r="U1239" s="102" t="s">
        <v>471</v>
      </c>
      <c r="V1239" s="110">
        <v>44666</v>
      </c>
      <c r="W1239" s="17" t="s">
        <v>69</v>
      </c>
      <c r="Y1239" s="68">
        <v>44682</v>
      </c>
      <c r="Z1239" s="17" t="s">
        <v>191</v>
      </c>
      <c r="AA1239" s="17" t="s">
        <v>46</v>
      </c>
      <c r="AB1239" s="17" t="s">
        <v>474</v>
      </c>
      <c r="AC1239" s="66" t="s">
        <v>475</v>
      </c>
      <c r="AD1239" s="65">
        <v>1316</v>
      </c>
      <c r="AE1239" s="17" t="s">
        <v>74</v>
      </c>
      <c r="AF1239" s="17" t="s">
        <v>245</v>
      </c>
      <c r="AH1239" s="17" t="s">
        <v>472</v>
      </c>
      <c r="AI1239" s="17">
        <v>116</v>
      </c>
      <c r="AJ1239" s="17" t="s">
        <v>473</v>
      </c>
    </row>
    <row r="1240" s="17" customFormat="1" hidden="1" spans="1:36">
      <c r="A1240" s="17" t="s">
        <v>34</v>
      </c>
      <c r="B1240" s="19">
        <v>792</v>
      </c>
      <c r="C1240" s="101">
        <v>44663</v>
      </c>
      <c r="D1240" s="17" t="s">
        <v>52</v>
      </c>
      <c r="E1240" s="17" t="s">
        <v>187</v>
      </c>
      <c r="F1240" s="17" t="s">
        <v>54</v>
      </c>
      <c r="H1240" s="19">
        <v>1.2311</v>
      </c>
      <c r="I1240" s="19"/>
      <c r="J1240" s="17" t="s">
        <v>82</v>
      </c>
      <c r="K1240" s="179">
        <v>357</v>
      </c>
      <c r="L1240" s="159">
        <v>20</v>
      </c>
      <c r="M1240" s="17" t="s">
        <v>361</v>
      </c>
      <c r="N1240" s="17" t="s">
        <v>66</v>
      </c>
      <c r="O1240" s="19" t="s">
        <v>141</v>
      </c>
      <c r="P1240" s="160">
        <v>500</v>
      </c>
      <c r="Q1240" s="160">
        <f>138+138+144</f>
        <v>420</v>
      </c>
      <c r="S1240" s="17">
        <v>1320</v>
      </c>
      <c r="T1240" s="19" t="s">
        <v>42</v>
      </c>
      <c r="U1240" s="102" t="s">
        <v>471</v>
      </c>
      <c r="V1240" s="64">
        <v>44666</v>
      </c>
      <c r="W1240" s="17" t="s">
        <v>69</v>
      </c>
      <c r="Y1240" s="68">
        <v>44682</v>
      </c>
      <c r="Z1240" s="17" t="s">
        <v>191</v>
      </c>
      <c r="AA1240" s="17" t="s">
        <v>46</v>
      </c>
      <c r="AB1240" s="17" t="s">
        <v>366</v>
      </c>
      <c r="AC1240" s="66">
        <v>44714</v>
      </c>
      <c r="AD1240" s="65">
        <v>1306</v>
      </c>
      <c r="AE1240" s="17" t="s">
        <v>74</v>
      </c>
      <c r="AF1240" s="17" t="s">
        <v>245</v>
      </c>
      <c r="AH1240" s="17" t="s">
        <v>472</v>
      </c>
      <c r="AI1240" s="17">
        <v>116</v>
      </c>
      <c r="AJ1240" s="17" t="s">
        <v>473</v>
      </c>
    </row>
    <row r="1241" s="17" customFormat="1" hidden="1" spans="1:36">
      <c r="A1241" s="17" t="s">
        <v>34</v>
      </c>
      <c r="B1241" s="19">
        <v>792</v>
      </c>
      <c r="C1241" s="101">
        <v>44663</v>
      </c>
      <c r="D1241" s="17" t="s">
        <v>52</v>
      </c>
      <c r="E1241" s="17" t="s">
        <v>187</v>
      </c>
      <c r="F1241" s="17" t="s">
        <v>54</v>
      </c>
      <c r="H1241" s="19">
        <v>1.2311</v>
      </c>
      <c r="I1241" s="19"/>
      <c r="J1241" s="17" t="s">
        <v>82</v>
      </c>
      <c r="K1241" s="179">
        <v>357</v>
      </c>
      <c r="L1241" s="159">
        <v>20</v>
      </c>
      <c r="M1241" s="17" t="s">
        <v>361</v>
      </c>
      <c r="N1241" s="17" t="s">
        <v>66</v>
      </c>
      <c r="O1241" s="19" t="s">
        <v>141</v>
      </c>
      <c r="P1241" s="160"/>
      <c r="Q1241" s="160">
        <v>141</v>
      </c>
      <c r="R1241" s="95">
        <f>+P1240-Q1240-Q1241</f>
        <v>-61</v>
      </c>
      <c r="S1241" s="17">
        <v>1320</v>
      </c>
      <c r="T1241" s="19" t="s">
        <v>42</v>
      </c>
      <c r="U1241" s="102" t="s">
        <v>471</v>
      </c>
      <c r="V1241" s="110">
        <v>44666</v>
      </c>
      <c r="W1241" s="17" t="s">
        <v>69</v>
      </c>
      <c r="Y1241" s="68">
        <v>44682</v>
      </c>
      <c r="Z1241" s="17" t="s">
        <v>191</v>
      </c>
      <c r="AA1241" s="17" t="s">
        <v>46</v>
      </c>
      <c r="AB1241" s="17" t="s">
        <v>474</v>
      </c>
      <c r="AC1241" s="66" t="s">
        <v>475</v>
      </c>
      <c r="AD1241" s="65">
        <v>1316</v>
      </c>
      <c r="AE1241" s="17" t="s">
        <v>74</v>
      </c>
      <c r="AF1241" s="17" t="s">
        <v>245</v>
      </c>
    </row>
    <row r="1242" s="17" customFormat="1" hidden="1" spans="1:36">
      <c r="A1242" s="17" t="s">
        <v>34</v>
      </c>
      <c r="B1242" s="19">
        <v>792</v>
      </c>
      <c r="C1242" s="101">
        <v>44663</v>
      </c>
      <c r="D1242" s="17" t="s">
        <v>52</v>
      </c>
      <c r="E1242" s="17" t="s">
        <v>187</v>
      </c>
      <c r="F1242" s="17" t="s">
        <v>54</v>
      </c>
      <c r="H1242" s="19">
        <v>1.2311</v>
      </c>
      <c r="I1242" s="19"/>
      <c r="J1242" s="17" t="s">
        <v>82</v>
      </c>
      <c r="K1242" s="179">
        <v>407</v>
      </c>
      <c r="L1242" s="159">
        <v>20</v>
      </c>
      <c r="M1242" s="17" t="s">
        <v>361</v>
      </c>
      <c r="N1242" s="17" t="s">
        <v>66</v>
      </c>
      <c r="O1242" s="19" t="s">
        <v>141</v>
      </c>
      <c r="P1242" s="160">
        <v>500</v>
      </c>
      <c r="Q1242" s="160">
        <f>153+154+156+158+155</f>
        <v>776</v>
      </c>
      <c r="R1242" s="17">
        <f>+P1242-Q1242</f>
        <v>-276</v>
      </c>
      <c r="S1242" s="17">
        <v>1320</v>
      </c>
      <c r="T1242" s="19" t="s">
        <v>42</v>
      </c>
      <c r="U1242" s="102" t="s">
        <v>471</v>
      </c>
      <c r="V1242" s="110">
        <v>44666</v>
      </c>
      <c r="W1242" s="17" t="s">
        <v>69</v>
      </c>
      <c r="Y1242" s="68">
        <v>44682</v>
      </c>
      <c r="Z1242" s="17" t="s">
        <v>191</v>
      </c>
      <c r="AA1242" s="17" t="s">
        <v>46</v>
      </c>
      <c r="AB1242" s="17" t="s">
        <v>474</v>
      </c>
      <c r="AC1242" s="66" t="s">
        <v>475</v>
      </c>
      <c r="AD1242" s="65">
        <v>1316</v>
      </c>
      <c r="AE1242" s="17" t="s">
        <v>74</v>
      </c>
      <c r="AF1242" s="17" t="s">
        <v>245</v>
      </c>
      <c r="AH1242" s="17" t="s">
        <v>472</v>
      </c>
      <c r="AI1242" s="17">
        <v>116</v>
      </c>
      <c r="AJ1242" s="17" t="s">
        <v>473</v>
      </c>
    </row>
    <row r="1243" s="17" customFormat="1" hidden="1" spans="1:36">
      <c r="A1243" s="17" t="s">
        <v>34</v>
      </c>
      <c r="B1243" s="19">
        <v>792</v>
      </c>
      <c r="C1243" s="101">
        <v>44663</v>
      </c>
      <c r="D1243" s="17" t="s">
        <v>52</v>
      </c>
      <c r="E1243" s="17" t="s">
        <v>187</v>
      </c>
      <c r="F1243" s="17" t="s">
        <v>54</v>
      </c>
      <c r="H1243" s="19">
        <v>1.2311</v>
      </c>
      <c r="I1243" s="19"/>
      <c r="J1243" s="17" t="s">
        <v>82</v>
      </c>
      <c r="K1243" s="179">
        <v>207</v>
      </c>
      <c r="L1243" s="159">
        <v>25</v>
      </c>
      <c r="M1243" s="17" t="s">
        <v>361</v>
      </c>
      <c r="N1243" s="17" t="s">
        <v>66</v>
      </c>
      <c r="O1243" s="19" t="s">
        <v>141</v>
      </c>
      <c r="P1243" s="160">
        <v>1000</v>
      </c>
      <c r="Q1243" s="160">
        <v>817</v>
      </c>
      <c r="S1243" s="17">
        <v>1320</v>
      </c>
      <c r="T1243" s="19" t="s">
        <v>42</v>
      </c>
      <c r="U1243" s="102" t="s">
        <v>471</v>
      </c>
      <c r="V1243" s="64">
        <v>44666</v>
      </c>
      <c r="W1243" s="17" t="s">
        <v>69</v>
      </c>
      <c r="Y1243" s="68">
        <v>44682</v>
      </c>
      <c r="Z1243" s="17" t="s">
        <v>191</v>
      </c>
      <c r="AA1243" s="17" t="s">
        <v>46</v>
      </c>
      <c r="AB1243" s="17" t="s">
        <v>476</v>
      </c>
      <c r="AC1243" s="66">
        <v>44694</v>
      </c>
      <c r="AD1243" s="65">
        <v>1296</v>
      </c>
      <c r="AE1243" s="17" t="s">
        <v>74</v>
      </c>
      <c r="AF1243" s="17" t="s">
        <v>245</v>
      </c>
      <c r="AH1243" s="17" t="s">
        <v>472</v>
      </c>
      <c r="AI1243" s="17">
        <v>116</v>
      </c>
      <c r="AJ1243" s="17" t="s">
        <v>473</v>
      </c>
    </row>
    <row r="1244" s="17" customFormat="1" hidden="1" spans="1:36">
      <c r="A1244" s="17" t="s">
        <v>34</v>
      </c>
      <c r="B1244" s="19">
        <v>792</v>
      </c>
      <c r="C1244" s="101">
        <v>44663</v>
      </c>
      <c r="D1244" s="17" t="s">
        <v>52</v>
      </c>
      <c r="E1244" s="17" t="s">
        <v>187</v>
      </c>
      <c r="F1244" s="17" t="s">
        <v>54</v>
      </c>
      <c r="H1244" s="19">
        <v>1.2311</v>
      </c>
      <c r="I1244" s="19"/>
      <c r="J1244" s="17" t="s">
        <v>82</v>
      </c>
      <c r="K1244" s="179">
        <v>207</v>
      </c>
      <c r="L1244" s="159">
        <v>25</v>
      </c>
      <c r="M1244" s="17" t="s">
        <v>361</v>
      </c>
      <c r="N1244" s="17" t="s">
        <v>66</v>
      </c>
      <c r="O1244" s="19" t="s">
        <v>141</v>
      </c>
      <c r="P1244" s="160"/>
      <c r="Q1244" s="160">
        <f>100+105+103+103</f>
        <v>411</v>
      </c>
      <c r="R1244" s="95">
        <f>+P1243-Q1243-Q1244</f>
        <v>-228</v>
      </c>
      <c r="S1244" s="17">
        <v>1320</v>
      </c>
      <c r="T1244" s="19" t="s">
        <v>42</v>
      </c>
      <c r="U1244" s="102" t="s">
        <v>471</v>
      </c>
      <c r="V1244" s="64">
        <v>44666</v>
      </c>
      <c r="W1244" s="17" t="s">
        <v>69</v>
      </c>
      <c r="Y1244" s="68">
        <v>44682</v>
      </c>
      <c r="Z1244" s="17" t="s">
        <v>191</v>
      </c>
      <c r="AA1244" s="17" t="s">
        <v>46</v>
      </c>
      <c r="AB1244" s="17" t="s">
        <v>477</v>
      </c>
      <c r="AC1244" s="66">
        <v>44720</v>
      </c>
      <c r="AD1244" s="65">
        <v>1307</v>
      </c>
      <c r="AE1244" s="17" t="s">
        <v>74</v>
      </c>
      <c r="AF1244" s="17" t="s">
        <v>245</v>
      </c>
      <c r="AH1244" s="17" t="s">
        <v>472</v>
      </c>
      <c r="AI1244" s="17">
        <v>116</v>
      </c>
      <c r="AJ1244" s="17" t="s">
        <v>473</v>
      </c>
    </row>
    <row r="1245" s="17" customFormat="1" hidden="1" spans="1:36">
      <c r="A1245" s="17" t="s">
        <v>34</v>
      </c>
      <c r="B1245" s="19">
        <v>792</v>
      </c>
      <c r="C1245" s="101">
        <v>44663</v>
      </c>
      <c r="D1245" s="17" t="s">
        <v>52</v>
      </c>
      <c r="E1245" s="17" t="s">
        <v>187</v>
      </c>
      <c r="F1245" s="17" t="s">
        <v>54</v>
      </c>
      <c r="H1245" s="19">
        <v>1.2311</v>
      </c>
      <c r="I1245" s="19"/>
      <c r="J1245" s="17" t="s">
        <v>82</v>
      </c>
      <c r="K1245" s="179">
        <v>257</v>
      </c>
      <c r="L1245" s="159">
        <v>25</v>
      </c>
      <c r="M1245" s="17" t="s">
        <v>361</v>
      </c>
      <c r="N1245" s="17" t="s">
        <v>66</v>
      </c>
      <c r="O1245" s="19" t="s">
        <v>141</v>
      </c>
      <c r="P1245" s="160">
        <v>1000</v>
      </c>
      <c r="Q1245" s="160">
        <f>129+122</f>
        <v>251</v>
      </c>
      <c r="R1245" s="17">
        <f>+P1245-Q1245</f>
        <v>749</v>
      </c>
      <c r="S1245" s="17">
        <v>1320</v>
      </c>
      <c r="T1245" s="19" t="s">
        <v>42</v>
      </c>
      <c r="U1245" s="102" t="s">
        <v>471</v>
      </c>
      <c r="V1245" s="64">
        <v>44666</v>
      </c>
      <c r="W1245" s="17" t="s">
        <v>69</v>
      </c>
      <c r="Y1245" s="68">
        <v>44682</v>
      </c>
      <c r="Z1245" s="17" t="s">
        <v>191</v>
      </c>
      <c r="AA1245" s="17" t="s">
        <v>46</v>
      </c>
      <c r="AB1245" s="17" t="s">
        <v>477</v>
      </c>
      <c r="AC1245" s="66">
        <v>44720</v>
      </c>
      <c r="AD1245" s="65">
        <v>1307</v>
      </c>
      <c r="AE1245" s="17" t="s">
        <v>74</v>
      </c>
      <c r="AF1245" s="17" t="s">
        <v>245</v>
      </c>
      <c r="AH1245" s="17" t="s">
        <v>472</v>
      </c>
      <c r="AI1245" s="17">
        <v>116</v>
      </c>
      <c r="AJ1245" s="17" t="s">
        <v>473</v>
      </c>
    </row>
    <row r="1246" s="17" customFormat="1" hidden="1" spans="1:36">
      <c r="A1246" s="17" t="s">
        <v>34</v>
      </c>
      <c r="B1246" s="19">
        <v>792</v>
      </c>
      <c r="C1246" s="101">
        <v>44663</v>
      </c>
      <c r="D1246" s="17" t="s">
        <v>52</v>
      </c>
      <c r="E1246" s="17" t="s">
        <v>187</v>
      </c>
      <c r="F1246" s="17" t="s">
        <v>54</v>
      </c>
      <c r="H1246" s="19">
        <v>1.2311</v>
      </c>
      <c r="I1246" s="19"/>
      <c r="J1246" s="17" t="s">
        <v>82</v>
      </c>
      <c r="K1246" s="179">
        <v>262</v>
      </c>
      <c r="L1246" s="159">
        <v>25</v>
      </c>
      <c r="M1246" s="17" t="s">
        <v>361</v>
      </c>
      <c r="N1246" s="17" t="s">
        <v>66</v>
      </c>
      <c r="O1246" s="19" t="s">
        <v>141</v>
      </c>
      <c r="P1246" s="160"/>
      <c r="Q1246" s="160">
        <v>1010</v>
      </c>
      <c r="S1246" s="17">
        <v>1320</v>
      </c>
      <c r="T1246" s="19" t="s">
        <v>42</v>
      </c>
      <c r="U1246" s="102"/>
      <c r="V1246" s="64"/>
      <c r="Y1246" s="68">
        <v>44682</v>
      </c>
      <c r="AB1246" s="17" t="s">
        <v>476</v>
      </c>
      <c r="AC1246" s="66">
        <v>44694</v>
      </c>
      <c r="AD1246" s="65">
        <v>1296</v>
      </c>
    </row>
    <row r="1247" s="17" customFormat="1" hidden="1" spans="1:36">
      <c r="A1247" s="17" t="s">
        <v>34</v>
      </c>
      <c r="B1247" s="19">
        <v>792</v>
      </c>
      <c r="C1247" s="101">
        <v>44663</v>
      </c>
      <c r="D1247" s="17" t="s">
        <v>52</v>
      </c>
      <c r="E1247" s="17" t="s">
        <v>187</v>
      </c>
      <c r="F1247" s="17" t="s">
        <v>54</v>
      </c>
      <c r="H1247" s="19">
        <v>1.2311</v>
      </c>
      <c r="I1247" s="19"/>
      <c r="J1247" s="17" t="s">
        <v>82</v>
      </c>
      <c r="K1247" s="179">
        <v>307</v>
      </c>
      <c r="L1247" s="159">
        <v>25</v>
      </c>
      <c r="M1247" s="17" t="s">
        <v>361</v>
      </c>
      <c r="N1247" s="17" t="s">
        <v>66</v>
      </c>
      <c r="O1247" s="19" t="s">
        <v>141</v>
      </c>
      <c r="P1247" s="160">
        <v>1000</v>
      </c>
      <c r="Q1247" s="160">
        <v>1210</v>
      </c>
      <c r="R1247" s="17">
        <f t="shared" ref="R1247:R1252" si="70">+P1247-Q1247</f>
        <v>-210</v>
      </c>
      <c r="S1247" s="17">
        <v>1320</v>
      </c>
      <c r="T1247" s="19" t="s">
        <v>42</v>
      </c>
      <c r="U1247" s="102" t="s">
        <v>471</v>
      </c>
      <c r="V1247" s="64">
        <v>44666</v>
      </c>
      <c r="W1247" s="17" t="s">
        <v>69</v>
      </c>
      <c r="Y1247" s="68">
        <v>44682</v>
      </c>
      <c r="Z1247" s="17" t="s">
        <v>191</v>
      </c>
      <c r="AA1247" s="17" t="s">
        <v>46</v>
      </c>
      <c r="AB1247" s="17" t="s">
        <v>476</v>
      </c>
      <c r="AC1247" s="66">
        <v>44694</v>
      </c>
      <c r="AD1247" s="65">
        <v>1296</v>
      </c>
      <c r="AE1247" s="17" t="s">
        <v>74</v>
      </c>
      <c r="AF1247" s="17" t="s">
        <v>245</v>
      </c>
      <c r="AH1247" s="17" t="s">
        <v>472</v>
      </c>
      <c r="AI1247" s="17">
        <v>116</v>
      </c>
      <c r="AJ1247" s="17" t="s">
        <v>473</v>
      </c>
    </row>
    <row r="1248" s="17" customFormat="1" hidden="1" spans="1:36">
      <c r="A1248" s="17" t="s">
        <v>34</v>
      </c>
      <c r="B1248" s="19">
        <v>792</v>
      </c>
      <c r="C1248" s="101">
        <v>44663</v>
      </c>
      <c r="D1248" s="17" t="s">
        <v>52</v>
      </c>
      <c r="E1248" s="17" t="s">
        <v>187</v>
      </c>
      <c r="F1248" s="17" t="s">
        <v>54</v>
      </c>
      <c r="H1248" s="19">
        <v>1.2311</v>
      </c>
      <c r="I1248" s="19"/>
      <c r="J1248" s="17" t="s">
        <v>82</v>
      </c>
      <c r="K1248" s="179">
        <v>357</v>
      </c>
      <c r="L1248" s="159">
        <v>25</v>
      </c>
      <c r="M1248" s="17" t="s">
        <v>361</v>
      </c>
      <c r="N1248" s="17" t="s">
        <v>66</v>
      </c>
      <c r="O1248" s="19" t="s">
        <v>141</v>
      </c>
      <c r="P1248" s="160">
        <v>1000</v>
      </c>
      <c r="Q1248" s="160">
        <v>1055</v>
      </c>
      <c r="R1248" s="17">
        <f t="shared" si="70"/>
        <v>-55</v>
      </c>
      <c r="S1248" s="17">
        <v>1320</v>
      </c>
      <c r="T1248" s="19" t="s">
        <v>42</v>
      </c>
      <c r="U1248" s="102" t="s">
        <v>471</v>
      </c>
      <c r="V1248" s="64">
        <v>44666</v>
      </c>
      <c r="W1248" s="17" t="s">
        <v>69</v>
      </c>
      <c r="Y1248" s="68">
        <v>44682</v>
      </c>
      <c r="Z1248" s="17" t="s">
        <v>191</v>
      </c>
      <c r="AA1248" s="17" t="s">
        <v>46</v>
      </c>
      <c r="AB1248" s="17" t="s">
        <v>476</v>
      </c>
      <c r="AC1248" s="66">
        <v>44694</v>
      </c>
      <c r="AD1248" s="65">
        <v>1296</v>
      </c>
      <c r="AE1248" s="17" t="s">
        <v>74</v>
      </c>
      <c r="AF1248" s="17" t="s">
        <v>245</v>
      </c>
      <c r="AH1248" s="17" t="s">
        <v>472</v>
      </c>
      <c r="AI1248" s="17">
        <v>116</v>
      </c>
      <c r="AJ1248" s="17" t="s">
        <v>473</v>
      </c>
    </row>
    <row r="1249" s="17" customFormat="1" hidden="1" spans="1:36">
      <c r="A1249" s="17" t="s">
        <v>34</v>
      </c>
      <c r="B1249" s="19">
        <v>792</v>
      </c>
      <c r="C1249" s="101">
        <v>44663</v>
      </c>
      <c r="D1249" s="17" t="s">
        <v>52</v>
      </c>
      <c r="E1249" s="17" t="s">
        <v>187</v>
      </c>
      <c r="F1249" s="17" t="s">
        <v>54</v>
      </c>
      <c r="H1249" s="19">
        <v>1.2311</v>
      </c>
      <c r="I1249" s="19"/>
      <c r="J1249" s="17" t="s">
        <v>82</v>
      </c>
      <c r="K1249" s="179">
        <v>407</v>
      </c>
      <c r="L1249" s="159">
        <v>25</v>
      </c>
      <c r="M1249" s="17" t="s">
        <v>361</v>
      </c>
      <c r="N1249" s="17" t="s">
        <v>66</v>
      </c>
      <c r="O1249" s="19" t="s">
        <v>141</v>
      </c>
      <c r="P1249" s="160">
        <v>1000</v>
      </c>
      <c r="Q1249" s="160">
        <v>1205</v>
      </c>
      <c r="R1249" s="17">
        <f t="shared" si="70"/>
        <v>-205</v>
      </c>
      <c r="S1249" s="17">
        <v>1320</v>
      </c>
      <c r="T1249" s="19" t="s">
        <v>42</v>
      </c>
      <c r="U1249" s="102" t="s">
        <v>471</v>
      </c>
      <c r="V1249" s="64">
        <v>44666</v>
      </c>
      <c r="W1249" s="17" t="s">
        <v>69</v>
      </c>
      <c r="Y1249" s="68">
        <v>44682</v>
      </c>
      <c r="Z1249" s="17" t="s">
        <v>191</v>
      </c>
      <c r="AA1249" s="17" t="s">
        <v>46</v>
      </c>
      <c r="AB1249" s="17" t="s">
        <v>476</v>
      </c>
      <c r="AC1249" s="66">
        <v>44694</v>
      </c>
      <c r="AD1249" s="65">
        <v>1296</v>
      </c>
      <c r="AE1249" s="17" t="s">
        <v>74</v>
      </c>
      <c r="AF1249" s="17" t="s">
        <v>245</v>
      </c>
      <c r="AH1249" s="17" t="s">
        <v>472</v>
      </c>
      <c r="AI1249" s="17">
        <v>116</v>
      </c>
      <c r="AJ1249" s="17" t="s">
        <v>473</v>
      </c>
    </row>
    <row r="1250" s="17" customFormat="1" hidden="1" spans="1:36">
      <c r="A1250" s="17" t="s">
        <v>34</v>
      </c>
      <c r="B1250" s="19">
        <v>792</v>
      </c>
      <c r="C1250" s="101">
        <v>44663</v>
      </c>
      <c r="D1250" s="17" t="s">
        <v>52</v>
      </c>
      <c r="E1250" s="17" t="s">
        <v>187</v>
      </c>
      <c r="F1250" s="17" t="s">
        <v>54</v>
      </c>
      <c r="H1250" s="19">
        <v>1.2311</v>
      </c>
      <c r="I1250" s="19"/>
      <c r="J1250" s="17" t="s">
        <v>82</v>
      </c>
      <c r="K1250" s="179">
        <v>457</v>
      </c>
      <c r="L1250" s="159">
        <v>25</v>
      </c>
      <c r="M1250" s="17" t="s">
        <v>361</v>
      </c>
      <c r="N1250" s="17" t="s">
        <v>66</v>
      </c>
      <c r="O1250" s="19" t="s">
        <v>141</v>
      </c>
      <c r="P1250" s="160">
        <v>1000</v>
      </c>
      <c r="Q1250" s="160">
        <v>1109</v>
      </c>
      <c r="R1250" s="17">
        <f t="shared" si="70"/>
        <v>-109</v>
      </c>
      <c r="S1250" s="17">
        <v>1320</v>
      </c>
      <c r="T1250" s="19" t="s">
        <v>42</v>
      </c>
      <c r="U1250" s="102" t="s">
        <v>471</v>
      </c>
      <c r="V1250" s="64">
        <v>44666</v>
      </c>
      <c r="W1250" s="17" t="s">
        <v>69</v>
      </c>
      <c r="Y1250" s="68">
        <v>44682</v>
      </c>
      <c r="Z1250" s="17" t="s">
        <v>191</v>
      </c>
      <c r="AA1250" s="17" t="s">
        <v>46</v>
      </c>
      <c r="AB1250" s="17" t="s">
        <v>476</v>
      </c>
      <c r="AC1250" s="66">
        <v>44694</v>
      </c>
      <c r="AD1250" s="65">
        <v>1296</v>
      </c>
      <c r="AE1250" s="17" t="s">
        <v>74</v>
      </c>
      <c r="AF1250" s="17" t="s">
        <v>245</v>
      </c>
      <c r="AH1250" s="17" t="s">
        <v>472</v>
      </c>
      <c r="AI1250" s="17">
        <v>116</v>
      </c>
      <c r="AJ1250" s="17" t="s">
        <v>473</v>
      </c>
    </row>
    <row r="1251" s="17" customFormat="1" hidden="1" spans="1:36">
      <c r="A1251" s="17" t="s">
        <v>34</v>
      </c>
      <c r="B1251" s="19">
        <v>792</v>
      </c>
      <c r="C1251" s="101">
        <v>44663</v>
      </c>
      <c r="D1251" s="17" t="s">
        <v>52</v>
      </c>
      <c r="E1251" s="17" t="s">
        <v>187</v>
      </c>
      <c r="F1251" s="17" t="s">
        <v>54</v>
      </c>
      <c r="H1251" s="19">
        <v>1.2311</v>
      </c>
      <c r="I1251" s="19"/>
      <c r="J1251" s="17" t="s">
        <v>82</v>
      </c>
      <c r="K1251" s="179">
        <v>507</v>
      </c>
      <c r="L1251" s="159">
        <v>25</v>
      </c>
      <c r="M1251" s="17" t="s">
        <v>361</v>
      </c>
      <c r="N1251" s="17" t="s">
        <v>66</v>
      </c>
      <c r="O1251" s="19" t="s">
        <v>141</v>
      </c>
      <c r="P1251" s="160">
        <v>1000</v>
      </c>
      <c r="Q1251" s="160">
        <v>1236</v>
      </c>
      <c r="R1251" s="17">
        <f t="shared" si="70"/>
        <v>-236</v>
      </c>
      <c r="S1251" s="17">
        <v>1320</v>
      </c>
      <c r="T1251" s="19" t="s">
        <v>42</v>
      </c>
      <c r="U1251" s="102" t="s">
        <v>471</v>
      </c>
      <c r="V1251" s="64">
        <v>44666</v>
      </c>
      <c r="W1251" s="17" t="s">
        <v>69</v>
      </c>
      <c r="Y1251" s="68">
        <v>44682</v>
      </c>
      <c r="Z1251" s="17" t="s">
        <v>191</v>
      </c>
      <c r="AA1251" s="17" t="s">
        <v>46</v>
      </c>
      <c r="AB1251" s="17" t="s">
        <v>476</v>
      </c>
      <c r="AC1251" s="66">
        <v>44694</v>
      </c>
      <c r="AD1251" s="65">
        <v>1296</v>
      </c>
      <c r="AE1251" s="17" t="s">
        <v>74</v>
      </c>
      <c r="AF1251" s="17" t="s">
        <v>245</v>
      </c>
      <c r="AH1251" s="17" t="s">
        <v>472</v>
      </c>
      <c r="AI1251" s="17">
        <v>116</v>
      </c>
      <c r="AJ1251" s="17" t="s">
        <v>473</v>
      </c>
    </row>
    <row r="1252" s="17" customFormat="1" hidden="1" spans="1:36">
      <c r="A1252" s="17" t="s">
        <v>34</v>
      </c>
      <c r="B1252" s="19">
        <v>792</v>
      </c>
      <c r="C1252" s="101">
        <v>44663</v>
      </c>
      <c r="D1252" s="17" t="s">
        <v>52</v>
      </c>
      <c r="E1252" s="17" t="s">
        <v>187</v>
      </c>
      <c r="F1252" s="17" t="s">
        <v>54</v>
      </c>
      <c r="H1252" s="19">
        <v>1.2311</v>
      </c>
      <c r="I1252" s="19"/>
      <c r="J1252" s="17" t="s">
        <v>82</v>
      </c>
      <c r="K1252" s="179">
        <v>557</v>
      </c>
      <c r="L1252" s="159">
        <v>25</v>
      </c>
      <c r="M1252" s="17" t="s">
        <v>361</v>
      </c>
      <c r="N1252" s="17" t="s">
        <v>66</v>
      </c>
      <c r="O1252" s="19" t="s">
        <v>141</v>
      </c>
      <c r="P1252" s="160">
        <v>1000</v>
      </c>
      <c r="Q1252" s="160">
        <v>1096</v>
      </c>
      <c r="R1252" s="17">
        <f t="shared" si="70"/>
        <v>-96</v>
      </c>
      <c r="S1252" s="17">
        <v>1320</v>
      </c>
      <c r="T1252" s="19" t="s">
        <v>42</v>
      </c>
      <c r="U1252" s="102" t="s">
        <v>471</v>
      </c>
      <c r="V1252" s="64">
        <v>44666</v>
      </c>
      <c r="W1252" s="17" t="s">
        <v>69</v>
      </c>
      <c r="Y1252" s="68">
        <v>44682</v>
      </c>
      <c r="Z1252" s="17" t="s">
        <v>191</v>
      </c>
      <c r="AA1252" s="17" t="s">
        <v>46</v>
      </c>
      <c r="AB1252" s="17" t="s">
        <v>476</v>
      </c>
      <c r="AC1252" s="66">
        <v>44694</v>
      </c>
      <c r="AD1252" s="65">
        <v>1296</v>
      </c>
      <c r="AE1252" s="17" t="s">
        <v>74</v>
      </c>
      <c r="AF1252" s="17" t="s">
        <v>245</v>
      </c>
      <c r="AH1252" s="17" t="s">
        <v>472</v>
      </c>
      <c r="AI1252" s="17">
        <v>116</v>
      </c>
      <c r="AJ1252" s="17" t="s">
        <v>473</v>
      </c>
    </row>
    <row r="1253" s="17" customFormat="1" hidden="1" spans="1:36">
      <c r="A1253" s="17" t="s">
        <v>34</v>
      </c>
      <c r="B1253" s="19">
        <v>792</v>
      </c>
      <c r="C1253" s="101">
        <v>44663</v>
      </c>
      <c r="D1253" s="17" t="s">
        <v>52</v>
      </c>
      <c r="E1253" s="17" t="s">
        <v>187</v>
      </c>
      <c r="F1253" s="17" t="s">
        <v>54</v>
      </c>
      <c r="H1253" s="19">
        <v>1.2311</v>
      </c>
      <c r="I1253" s="19"/>
      <c r="J1253" s="17" t="s">
        <v>82</v>
      </c>
      <c r="K1253" s="179">
        <v>207</v>
      </c>
      <c r="L1253" s="159">
        <v>32</v>
      </c>
      <c r="M1253" s="17" t="s">
        <v>361</v>
      </c>
      <c r="N1253" s="17" t="s">
        <v>66</v>
      </c>
      <c r="O1253" s="19" t="s">
        <v>141</v>
      </c>
      <c r="P1253" s="160">
        <v>1000</v>
      </c>
      <c r="Q1253" s="160">
        <v>485</v>
      </c>
      <c r="S1253" s="17">
        <v>1320</v>
      </c>
      <c r="T1253" s="19" t="s">
        <v>42</v>
      </c>
      <c r="U1253" s="102" t="s">
        <v>471</v>
      </c>
      <c r="V1253" s="64">
        <v>44666</v>
      </c>
      <c r="W1253" s="17" t="s">
        <v>69</v>
      </c>
      <c r="Y1253" s="68">
        <v>44682</v>
      </c>
      <c r="Z1253" s="17" t="s">
        <v>191</v>
      </c>
      <c r="AA1253" s="17" t="s">
        <v>46</v>
      </c>
      <c r="AB1253" s="17" t="s">
        <v>476</v>
      </c>
      <c r="AC1253" s="66">
        <v>44694</v>
      </c>
      <c r="AD1253" s="65">
        <v>1296</v>
      </c>
      <c r="AE1253" s="17" t="s">
        <v>74</v>
      </c>
      <c r="AF1253" s="17" t="s">
        <v>245</v>
      </c>
      <c r="AH1253" s="17" t="s">
        <v>472</v>
      </c>
      <c r="AI1253" s="17">
        <v>116</v>
      </c>
      <c r="AJ1253" s="17" t="s">
        <v>473</v>
      </c>
    </row>
    <row r="1254" s="17" customFormat="1" hidden="1" spans="1:36">
      <c r="A1254" s="17" t="s">
        <v>34</v>
      </c>
      <c r="B1254" s="19">
        <v>792</v>
      </c>
      <c r="C1254" s="101">
        <v>44663</v>
      </c>
      <c r="D1254" s="17" t="s">
        <v>52</v>
      </c>
      <c r="E1254" s="17" t="s">
        <v>187</v>
      </c>
      <c r="F1254" s="17" t="s">
        <v>54</v>
      </c>
      <c r="H1254" s="19">
        <v>1.2311</v>
      </c>
      <c r="I1254" s="19"/>
      <c r="J1254" s="17" t="s">
        <v>82</v>
      </c>
      <c r="K1254" s="179">
        <v>207</v>
      </c>
      <c r="L1254" s="159">
        <v>32</v>
      </c>
      <c r="M1254" s="17" t="s">
        <v>361</v>
      </c>
      <c r="N1254" s="17" t="s">
        <v>66</v>
      </c>
      <c r="O1254" s="19" t="s">
        <v>141</v>
      </c>
      <c r="P1254" s="160"/>
      <c r="Q1254" s="160">
        <f>114+120+121+118</f>
        <v>473</v>
      </c>
      <c r="R1254" s="95">
        <f>+P1253-Q1253-Q1254</f>
        <v>42</v>
      </c>
      <c r="S1254" s="17">
        <v>1320</v>
      </c>
      <c r="T1254" s="19" t="s">
        <v>42</v>
      </c>
      <c r="U1254" s="102" t="s">
        <v>471</v>
      </c>
      <c r="V1254" s="64">
        <v>44666</v>
      </c>
      <c r="W1254" s="17" t="s">
        <v>69</v>
      </c>
      <c r="Y1254" s="68">
        <v>44682</v>
      </c>
      <c r="Z1254" s="17" t="s">
        <v>191</v>
      </c>
      <c r="AA1254" s="17" t="s">
        <v>46</v>
      </c>
      <c r="AB1254" s="17" t="s">
        <v>477</v>
      </c>
      <c r="AC1254" s="66">
        <v>44720</v>
      </c>
      <c r="AD1254" s="65">
        <v>1307</v>
      </c>
      <c r="AE1254" s="17" t="s">
        <v>74</v>
      </c>
      <c r="AF1254" s="17" t="s">
        <v>245</v>
      </c>
      <c r="AH1254" s="17" t="s">
        <v>472</v>
      </c>
      <c r="AI1254" s="17">
        <v>116</v>
      </c>
      <c r="AJ1254" s="17" t="s">
        <v>473</v>
      </c>
    </row>
    <row r="1255" s="17" customFormat="1" hidden="1" spans="1:36">
      <c r="A1255" s="17" t="s">
        <v>34</v>
      </c>
      <c r="B1255" s="19">
        <v>792</v>
      </c>
      <c r="C1255" s="101">
        <v>44663</v>
      </c>
      <c r="D1255" s="17" t="s">
        <v>52</v>
      </c>
      <c r="E1255" s="17" t="s">
        <v>187</v>
      </c>
      <c r="F1255" s="17" t="s">
        <v>54</v>
      </c>
      <c r="H1255" s="19">
        <v>1.2311</v>
      </c>
      <c r="I1255" s="19"/>
      <c r="J1255" s="17" t="s">
        <v>82</v>
      </c>
      <c r="K1255" s="179">
        <v>257</v>
      </c>
      <c r="L1255" s="159">
        <v>32</v>
      </c>
      <c r="M1255" s="17" t="s">
        <v>361</v>
      </c>
      <c r="N1255" s="17" t="s">
        <v>66</v>
      </c>
      <c r="O1255" s="19" t="s">
        <v>141</v>
      </c>
      <c r="P1255" s="160">
        <v>1000</v>
      </c>
      <c r="Q1255" s="160">
        <v>600</v>
      </c>
      <c r="S1255" s="17">
        <v>1320</v>
      </c>
      <c r="T1255" s="19" t="s">
        <v>42</v>
      </c>
      <c r="U1255" s="102" t="s">
        <v>471</v>
      </c>
      <c r="V1255" s="64">
        <v>44666</v>
      </c>
      <c r="W1255" s="17" t="s">
        <v>69</v>
      </c>
      <c r="Y1255" s="68">
        <v>44682</v>
      </c>
      <c r="Z1255" s="17" t="s">
        <v>191</v>
      </c>
      <c r="AA1255" s="17" t="s">
        <v>46</v>
      </c>
      <c r="AB1255" s="17" t="s">
        <v>476</v>
      </c>
      <c r="AC1255" s="66">
        <v>44694</v>
      </c>
      <c r="AD1255" s="65">
        <v>1296</v>
      </c>
      <c r="AE1255" s="17" t="s">
        <v>74</v>
      </c>
      <c r="AF1255" s="17" t="s">
        <v>245</v>
      </c>
      <c r="AH1255" s="17" t="s">
        <v>472</v>
      </c>
      <c r="AI1255" s="17">
        <v>116</v>
      </c>
      <c r="AJ1255" s="17" t="s">
        <v>473</v>
      </c>
    </row>
    <row r="1256" s="17" customFormat="1" hidden="1" spans="1:36">
      <c r="A1256" s="17" t="s">
        <v>34</v>
      </c>
      <c r="B1256" s="19">
        <v>792</v>
      </c>
      <c r="C1256" s="101">
        <v>44663</v>
      </c>
      <c r="D1256" s="17" t="s">
        <v>52</v>
      </c>
      <c r="E1256" s="17" t="s">
        <v>187</v>
      </c>
      <c r="F1256" s="17" t="s">
        <v>54</v>
      </c>
      <c r="H1256" s="19">
        <v>1.2311</v>
      </c>
      <c r="I1256" s="19"/>
      <c r="J1256" s="17" t="s">
        <v>82</v>
      </c>
      <c r="K1256" s="179">
        <v>257</v>
      </c>
      <c r="L1256" s="159">
        <v>32</v>
      </c>
      <c r="M1256" s="17" t="s">
        <v>361</v>
      </c>
      <c r="N1256" s="17" t="s">
        <v>66</v>
      </c>
      <c r="O1256" s="19" t="s">
        <v>141</v>
      </c>
      <c r="P1256" s="160"/>
      <c r="Q1256" s="160">
        <f>154+149+154</f>
        <v>457</v>
      </c>
      <c r="R1256" s="95">
        <f>+P1255-Q1255-Q1256</f>
        <v>-57</v>
      </c>
      <c r="S1256" s="17">
        <v>1320</v>
      </c>
      <c r="T1256" s="19" t="s">
        <v>42</v>
      </c>
      <c r="U1256" s="102" t="s">
        <v>471</v>
      </c>
      <c r="V1256" s="64">
        <v>44666</v>
      </c>
      <c r="W1256" s="17" t="s">
        <v>69</v>
      </c>
      <c r="Y1256" s="68">
        <v>44682</v>
      </c>
      <c r="Z1256" s="17" t="s">
        <v>191</v>
      </c>
      <c r="AA1256" s="17" t="s">
        <v>46</v>
      </c>
      <c r="AB1256" s="17" t="s">
        <v>477</v>
      </c>
      <c r="AC1256" s="66">
        <v>44720</v>
      </c>
      <c r="AD1256" s="65">
        <v>1307</v>
      </c>
      <c r="AE1256" s="17" t="s">
        <v>74</v>
      </c>
      <c r="AF1256" s="17" t="s">
        <v>245</v>
      </c>
      <c r="AH1256" s="17" t="s">
        <v>472</v>
      </c>
      <c r="AI1256" s="17">
        <v>116</v>
      </c>
      <c r="AJ1256" s="17" t="s">
        <v>473</v>
      </c>
    </row>
    <row r="1257" s="17" customFormat="1" hidden="1" spans="1:36">
      <c r="A1257" s="17" t="s">
        <v>34</v>
      </c>
      <c r="B1257" s="19">
        <v>792</v>
      </c>
      <c r="C1257" s="101">
        <v>44663</v>
      </c>
      <c r="D1257" s="17" t="s">
        <v>52</v>
      </c>
      <c r="E1257" s="17" t="s">
        <v>187</v>
      </c>
      <c r="F1257" s="17" t="s">
        <v>54</v>
      </c>
      <c r="H1257" s="19">
        <v>1.2311</v>
      </c>
      <c r="I1257" s="19"/>
      <c r="J1257" s="17" t="s">
        <v>82</v>
      </c>
      <c r="K1257" s="179">
        <v>307</v>
      </c>
      <c r="L1257" s="159">
        <v>32</v>
      </c>
      <c r="M1257" s="17" t="s">
        <v>361</v>
      </c>
      <c r="N1257" s="17" t="s">
        <v>66</v>
      </c>
      <c r="O1257" s="19" t="s">
        <v>141</v>
      </c>
      <c r="P1257" s="160">
        <v>1000</v>
      </c>
      <c r="Q1257" s="160">
        <v>1262</v>
      </c>
      <c r="R1257" s="17">
        <f t="shared" ref="R1257:R1265" si="71">+P1257-Q1257</f>
        <v>-262</v>
      </c>
      <c r="S1257" s="17">
        <v>1320</v>
      </c>
      <c r="T1257" s="19" t="s">
        <v>42</v>
      </c>
      <c r="U1257" s="102" t="s">
        <v>471</v>
      </c>
      <c r="V1257" s="64">
        <v>44666</v>
      </c>
      <c r="W1257" s="17" t="s">
        <v>69</v>
      </c>
      <c r="Y1257" s="68">
        <v>44682</v>
      </c>
      <c r="Z1257" s="17" t="s">
        <v>191</v>
      </c>
      <c r="AA1257" s="17" t="s">
        <v>46</v>
      </c>
      <c r="AB1257" s="17" t="s">
        <v>476</v>
      </c>
      <c r="AC1257" s="66">
        <v>44694</v>
      </c>
      <c r="AD1257" s="65">
        <v>1296</v>
      </c>
      <c r="AE1257" s="17" t="s">
        <v>74</v>
      </c>
      <c r="AF1257" s="17" t="s">
        <v>245</v>
      </c>
      <c r="AH1257" s="17" t="s">
        <v>472</v>
      </c>
      <c r="AI1257" s="17">
        <v>116</v>
      </c>
      <c r="AJ1257" s="17" t="s">
        <v>473</v>
      </c>
    </row>
    <row r="1258" s="17" customFormat="1" hidden="1" spans="1:36">
      <c r="A1258" s="17" t="s">
        <v>34</v>
      </c>
      <c r="B1258" s="19">
        <v>792</v>
      </c>
      <c r="C1258" s="101">
        <v>44663</v>
      </c>
      <c r="D1258" s="17" t="s">
        <v>52</v>
      </c>
      <c r="E1258" s="17" t="s">
        <v>187</v>
      </c>
      <c r="F1258" s="17" t="s">
        <v>54</v>
      </c>
      <c r="H1258" s="19">
        <v>1.2311</v>
      </c>
      <c r="I1258" s="19"/>
      <c r="J1258" s="17" t="s">
        <v>82</v>
      </c>
      <c r="K1258" s="179">
        <v>357</v>
      </c>
      <c r="L1258" s="159">
        <v>32</v>
      </c>
      <c r="M1258" s="17" t="s">
        <v>361</v>
      </c>
      <c r="N1258" s="17" t="s">
        <v>66</v>
      </c>
      <c r="O1258" s="19" t="s">
        <v>141</v>
      </c>
      <c r="P1258" s="160">
        <v>1000</v>
      </c>
      <c r="Q1258" s="160">
        <v>1260</v>
      </c>
      <c r="R1258" s="17">
        <f t="shared" si="71"/>
        <v>-260</v>
      </c>
      <c r="S1258" s="17">
        <v>1320</v>
      </c>
      <c r="T1258" s="19" t="s">
        <v>42</v>
      </c>
      <c r="U1258" s="102" t="s">
        <v>471</v>
      </c>
      <c r="V1258" s="64">
        <v>44666</v>
      </c>
      <c r="W1258" s="17" t="s">
        <v>69</v>
      </c>
      <c r="Y1258" s="68">
        <v>44682</v>
      </c>
      <c r="Z1258" s="17" t="s">
        <v>191</v>
      </c>
      <c r="AA1258" s="17" t="s">
        <v>46</v>
      </c>
      <c r="AB1258" s="17" t="s">
        <v>476</v>
      </c>
      <c r="AC1258" s="66">
        <v>44694</v>
      </c>
      <c r="AD1258" s="65">
        <v>1296</v>
      </c>
      <c r="AE1258" s="17" t="s">
        <v>74</v>
      </c>
      <c r="AF1258" s="17" t="s">
        <v>245</v>
      </c>
      <c r="AH1258" s="17" t="s">
        <v>472</v>
      </c>
      <c r="AI1258" s="17">
        <v>116</v>
      </c>
      <c r="AJ1258" s="17" t="s">
        <v>473</v>
      </c>
    </row>
    <row r="1259" s="17" customFormat="1" hidden="1" spans="1:36">
      <c r="A1259" s="17" t="s">
        <v>34</v>
      </c>
      <c r="B1259" s="19">
        <v>792</v>
      </c>
      <c r="C1259" s="101">
        <v>44663</v>
      </c>
      <c r="D1259" s="17" t="s">
        <v>52</v>
      </c>
      <c r="E1259" s="17" t="s">
        <v>187</v>
      </c>
      <c r="F1259" s="17" t="s">
        <v>54</v>
      </c>
      <c r="H1259" s="19">
        <v>1.2311</v>
      </c>
      <c r="I1259" s="19"/>
      <c r="J1259" s="17" t="s">
        <v>82</v>
      </c>
      <c r="K1259" s="179">
        <v>407</v>
      </c>
      <c r="L1259" s="159">
        <v>32</v>
      </c>
      <c r="M1259" s="17" t="s">
        <v>361</v>
      </c>
      <c r="N1259" s="17" t="s">
        <v>66</v>
      </c>
      <c r="O1259" s="19" t="s">
        <v>141</v>
      </c>
      <c r="P1259" s="160">
        <v>1000</v>
      </c>
      <c r="Q1259" s="160">
        <v>1179</v>
      </c>
      <c r="R1259" s="17">
        <f t="shared" si="71"/>
        <v>-179</v>
      </c>
      <c r="S1259" s="17">
        <v>1320</v>
      </c>
      <c r="T1259" s="19" t="s">
        <v>42</v>
      </c>
      <c r="U1259" s="102" t="s">
        <v>471</v>
      </c>
      <c r="V1259" s="64">
        <v>44666</v>
      </c>
      <c r="W1259" s="17" t="s">
        <v>69</v>
      </c>
      <c r="Y1259" s="68">
        <v>44682</v>
      </c>
      <c r="Z1259" s="17" t="s">
        <v>191</v>
      </c>
      <c r="AA1259" s="17" t="s">
        <v>46</v>
      </c>
      <c r="AB1259" s="17" t="s">
        <v>476</v>
      </c>
      <c r="AC1259" s="66">
        <v>44694</v>
      </c>
      <c r="AD1259" s="65">
        <v>1296</v>
      </c>
      <c r="AE1259" s="17" t="s">
        <v>74</v>
      </c>
      <c r="AF1259" s="17" t="s">
        <v>245</v>
      </c>
      <c r="AH1259" s="17" t="s">
        <v>472</v>
      </c>
      <c r="AI1259" s="17">
        <v>116</v>
      </c>
      <c r="AJ1259" s="17" t="s">
        <v>473</v>
      </c>
    </row>
    <row r="1260" s="17" customFormat="1" hidden="1" spans="1:36">
      <c r="A1260" s="17" t="s">
        <v>34</v>
      </c>
      <c r="B1260" s="19">
        <v>792</v>
      </c>
      <c r="C1260" s="101">
        <v>44663</v>
      </c>
      <c r="D1260" s="17" t="s">
        <v>52</v>
      </c>
      <c r="E1260" s="17" t="s">
        <v>187</v>
      </c>
      <c r="F1260" s="17" t="s">
        <v>54</v>
      </c>
      <c r="H1260" s="19">
        <v>1.2311</v>
      </c>
      <c r="I1260" s="19"/>
      <c r="J1260" s="17" t="s">
        <v>82</v>
      </c>
      <c r="K1260" s="179">
        <v>457</v>
      </c>
      <c r="L1260" s="159">
        <v>32</v>
      </c>
      <c r="M1260" s="17" t="s">
        <v>361</v>
      </c>
      <c r="N1260" s="17" t="s">
        <v>66</v>
      </c>
      <c r="O1260" s="19" t="s">
        <v>141</v>
      </c>
      <c r="P1260" s="160">
        <v>1000</v>
      </c>
      <c r="Q1260" s="160">
        <v>1059</v>
      </c>
      <c r="R1260" s="17">
        <f t="shared" si="71"/>
        <v>-59</v>
      </c>
      <c r="S1260" s="17">
        <v>1320</v>
      </c>
      <c r="T1260" s="19" t="s">
        <v>42</v>
      </c>
      <c r="U1260" s="102" t="s">
        <v>471</v>
      </c>
      <c r="V1260" s="64">
        <v>44666</v>
      </c>
      <c r="W1260" s="17" t="s">
        <v>69</v>
      </c>
      <c r="Y1260" s="68">
        <v>44682</v>
      </c>
      <c r="Z1260" s="17" t="s">
        <v>191</v>
      </c>
      <c r="AA1260" s="17" t="s">
        <v>46</v>
      </c>
      <c r="AB1260" s="17" t="s">
        <v>476</v>
      </c>
      <c r="AC1260" s="66">
        <v>44694</v>
      </c>
      <c r="AD1260" s="65">
        <v>1296</v>
      </c>
      <c r="AE1260" s="17" t="s">
        <v>74</v>
      </c>
      <c r="AF1260" s="17" t="s">
        <v>245</v>
      </c>
      <c r="AH1260" s="17" t="s">
        <v>472</v>
      </c>
      <c r="AI1260" s="17">
        <v>116</v>
      </c>
      <c r="AJ1260" s="17" t="s">
        <v>473</v>
      </c>
    </row>
    <row r="1261" s="17" customFormat="1" hidden="1" spans="1:36">
      <c r="A1261" s="17" t="s">
        <v>34</v>
      </c>
      <c r="B1261" s="19">
        <v>792</v>
      </c>
      <c r="C1261" s="101">
        <v>44663</v>
      </c>
      <c r="D1261" s="17" t="s">
        <v>52</v>
      </c>
      <c r="E1261" s="17" t="s">
        <v>187</v>
      </c>
      <c r="F1261" s="17" t="s">
        <v>54</v>
      </c>
      <c r="H1261" s="19">
        <v>1.2311</v>
      </c>
      <c r="I1261" s="19"/>
      <c r="J1261" s="17" t="s">
        <v>82</v>
      </c>
      <c r="K1261" s="179">
        <v>507</v>
      </c>
      <c r="L1261" s="159">
        <v>32</v>
      </c>
      <c r="M1261" s="17" t="s">
        <v>361</v>
      </c>
      <c r="N1261" s="17" t="s">
        <v>66</v>
      </c>
      <c r="O1261" s="19" t="s">
        <v>141</v>
      </c>
      <c r="P1261" s="160">
        <v>1000</v>
      </c>
      <c r="Q1261" s="160">
        <v>1153</v>
      </c>
      <c r="R1261" s="17">
        <f t="shared" si="71"/>
        <v>-153</v>
      </c>
      <c r="S1261" s="17">
        <v>1320</v>
      </c>
      <c r="T1261" s="19" t="s">
        <v>42</v>
      </c>
      <c r="U1261" s="102" t="s">
        <v>471</v>
      </c>
      <c r="V1261" s="64">
        <v>44666</v>
      </c>
      <c r="W1261" s="17" t="s">
        <v>69</v>
      </c>
      <c r="Y1261" s="68">
        <v>44682</v>
      </c>
      <c r="Z1261" s="17" t="s">
        <v>191</v>
      </c>
      <c r="AA1261" s="17" t="s">
        <v>46</v>
      </c>
      <c r="AB1261" s="17" t="s">
        <v>476</v>
      </c>
      <c r="AC1261" s="66">
        <v>44694</v>
      </c>
      <c r="AD1261" s="65">
        <v>1296</v>
      </c>
      <c r="AE1261" s="17" t="s">
        <v>74</v>
      </c>
      <c r="AF1261" s="17" t="s">
        <v>245</v>
      </c>
      <c r="AH1261" s="17" t="s">
        <v>472</v>
      </c>
      <c r="AI1261" s="17">
        <v>116</v>
      </c>
      <c r="AJ1261" s="17" t="s">
        <v>473</v>
      </c>
    </row>
    <row r="1262" s="17" customFormat="1" hidden="1" spans="1:36">
      <c r="A1262" s="17" t="s">
        <v>34</v>
      </c>
      <c r="B1262" s="19">
        <v>792</v>
      </c>
      <c r="C1262" s="101">
        <v>44663</v>
      </c>
      <c r="D1262" s="17" t="s">
        <v>52</v>
      </c>
      <c r="E1262" s="17" t="s">
        <v>187</v>
      </c>
      <c r="F1262" s="17" t="s">
        <v>54</v>
      </c>
      <c r="H1262" s="19">
        <v>1.2311</v>
      </c>
      <c r="I1262" s="19"/>
      <c r="J1262" s="17" t="s">
        <v>82</v>
      </c>
      <c r="K1262" s="179">
        <v>557</v>
      </c>
      <c r="L1262" s="159">
        <v>32</v>
      </c>
      <c r="M1262" s="17" t="s">
        <v>361</v>
      </c>
      <c r="N1262" s="17" t="s">
        <v>66</v>
      </c>
      <c r="O1262" s="19" t="s">
        <v>141</v>
      </c>
      <c r="P1262" s="160">
        <v>1000</v>
      </c>
      <c r="Q1262" s="160">
        <f>647+322</f>
        <v>969</v>
      </c>
      <c r="R1262" s="17">
        <f t="shared" si="71"/>
        <v>31</v>
      </c>
      <c r="S1262" s="17">
        <v>1320</v>
      </c>
      <c r="T1262" s="19" t="s">
        <v>42</v>
      </c>
      <c r="U1262" s="102" t="s">
        <v>471</v>
      </c>
      <c r="V1262" s="64">
        <v>44666</v>
      </c>
      <c r="W1262" s="17" t="s">
        <v>69</v>
      </c>
      <c r="Y1262" s="68">
        <v>44682</v>
      </c>
      <c r="Z1262" s="17" t="s">
        <v>191</v>
      </c>
      <c r="AA1262" s="17" t="s">
        <v>46</v>
      </c>
      <c r="AB1262" s="17" t="s">
        <v>476</v>
      </c>
      <c r="AC1262" s="66">
        <v>44694</v>
      </c>
      <c r="AD1262" s="65">
        <v>1296</v>
      </c>
      <c r="AE1262" s="17" t="s">
        <v>74</v>
      </c>
      <c r="AF1262" s="17" t="s">
        <v>245</v>
      </c>
      <c r="AH1262" s="17" t="s">
        <v>472</v>
      </c>
      <c r="AI1262" s="17">
        <v>116</v>
      </c>
      <c r="AJ1262" s="17" t="s">
        <v>473</v>
      </c>
    </row>
    <row r="1263" s="17" customFormat="1" hidden="1" spans="1:36">
      <c r="A1263" s="17" t="s">
        <v>34</v>
      </c>
      <c r="B1263" s="19">
        <v>792</v>
      </c>
      <c r="C1263" s="101">
        <v>44663</v>
      </c>
      <c r="D1263" s="17" t="s">
        <v>52</v>
      </c>
      <c r="E1263" s="17" t="s">
        <v>187</v>
      </c>
      <c r="F1263" s="17" t="s">
        <v>54</v>
      </c>
      <c r="H1263" s="19">
        <v>1.2311</v>
      </c>
      <c r="I1263" s="19"/>
      <c r="J1263" s="17" t="s">
        <v>82</v>
      </c>
      <c r="K1263" s="179">
        <v>207</v>
      </c>
      <c r="L1263" s="159">
        <v>35</v>
      </c>
      <c r="M1263" s="17" t="s">
        <v>361</v>
      </c>
      <c r="N1263" s="17" t="s">
        <v>66</v>
      </c>
      <c r="O1263" s="19" t="s">
        <v>141</v>
      </c>
      <c r="P1263" s="160">
        <v>1000</v>
      </c>
      <c r="Q1263" s="160">
        <v>1128</v>
      </c>
      <c r="R1263" s="17">
        <f t="shared" si="71"/>
        <v>-128</v>
      </c>
      <c r="S1263" s="17">
        <v>1320</v>
      </c>
      <c r="T1263" s="19" t="s">
        <v>42</v>
      </c>
      <c r="U1263" s="102" t="s">
        <v>471</v>
      </c>
      <c r="V1263" s="64">
        <v>44666</v>
      </c>
      <c r="W1263" s="17" t="s">
        <v>69</v>
      </c>
      <c r="Y1263" s="68">
        <v>44682</v>
      </c>
      <c r="Z1263" s="17" t="s">
        <v>191</v>
      </c>
      <c r="AA1263" s="17" t="s">
        <v>46</v>
      </c>
      <c r="AB1263" s="17" t="s">
        <v>476</v>
      </c>
      <c r="AC1263" s="66">
        <v>44694</v>
      </c>
      <c r="AD1263" s="65">
        <v>1296</v>
      </c>
      <c r="AE1263" s="17" t="s">
        <v>74</v>
      </c>
      <c r="AF1263" s="17" t="s">
        <v>245</v>
      </c>
      <c r="AH1263" s="17" t="s">
        <v>472</v>
      </c>
      <c r="AI1263" s="17">
        <v>116</v>
      </c>
      <c r="AJ1263" s="17" t="s">
        <v>473</v>
      </c>
    </row>
    <row r="1264" s="17" customFormat="1" hidden="1" spans="1:36">
      <c r="A1264" s="17" t="s">
        <v>34</v>
      </c>
      <c r="B1264" s="19">
        <v>792</v>
      </c>
      <c r="C1264" s="101">
        <v>44663</v>
      </c>
      <c r="D1264" s="17" t="s">
        <v>52</v>
      </c>
      <c r="E1264" s="17" t="s">
        <v>187</v>
      </c>
      <c r="F1264" s="17" t="s">
        <v>54</v>
      </c>
      <c r="H1264" s="19">
        <v>1.2311</v>
      </c>
      <c r="I1264" s="19"/>
      <c r="J1264" s="17" t="s">
        <v>82</v>
      </c>
      <c r="K1264" s="179">
        <v>257</v>
      </c>
      <c r="L1264" s="159">
        <v>35</v>
      </c>
      <c r="M1264" s="17" t="s">
        <v>361</v>
      </c>
      <c r="N1264" s="17" t="s">
        <v>66</v>
      </c>
      <c r="O1264" s="19" t="s">
        <v>141</v>
      </c>
      <c r="P1264" s="160">
        <v>1000</v>
      </c>
      <c r="Q1264" s="160">
        <v>1050</v>
      </c>
      <c r="R1264" s="17">
        <f t="shared" si="71"/>
        <v>-50</v>
      </c>
      <c r="S1264" s="17">
        <v>1320</v>
      </c>
      <c r="T1264" s="19" t="s">
        <v>42</v>
      </c>
      <c r="U1264" s="102" t="s">
        <v>471</v>
      </c>
      <c r="V1264" s="64">
        <v>44666</v>
      </c>
      <c r="W1264" s="17" t="s">
        <v>69</v>
      </c>
      <c r="Y1264" s="68">
        <v>44682</v>
      </c>
      <c r="Z1264" s="17" t="s">
        <v>191</v>
      </c>
      <c r="AA1264" s="17" t="s">
        <v>46</v>
      </c>
      <c r="AB1264" s="17" t="s">
        <v>476</v>
      </c>
      <c r="AC1264" s="66">
        <v>44694</v>
      </c>
      <c r="AD1264" s="65">
        <v>1296</v>
      </c>
      <c r="AE1264" s="17" t="s">
        <v>74</v>
      </c>
      <c r="AF1264" s="17" t="s">
        <v>245</v>
      </c>
      <c r="AH1264" s="17" t="s">
        <v>472</v>
      </c>
      <c r="AI1264" s="17">
        <v>116</v>
      </c>
      <c r="AJ1264" s="17" t="s">
        <v>473</v>
      </c>
    </row>
    <row r="1265" s="17" customFormat="1" hidden="1" spans="1:36">
      <c r="A1265" s="17" t="s">
        <v>34</v>
      </c>
      <c r="B1265" s="19">
        <v>792</v>
      </c>
      <c r="C1265" s="101">
        <v>44663</v>
      </c>
      <c r="D1265" s="17" t="s">
        <v>52</v>
      </c>
      <c r="E1265" s="17" t="s">
        <v>187</v>
      </c>
      <c r="F1265" s="17" t="s">
        <v>54</v>
      </c>
      <c r="H1265" s="19">
        <v>1.2311</v>
      </c>
      <c r="I1265" s="19"/>
      <c r="J1265" s="17" t="s">
        <v>82</v>
      </c>
      <c r="K1265" s="179">
        <v>307</v>
      </c>
      <c r="L1265" s="159">
        <v>35</v>
      </c>
      <c r="M1265" s="17" t="s">
        <v>361</v>
      </c>
      <c r="N1265" s="17" t="s">
        <v>66</v>
      </c>
      <c r="O1265" s="19" t="s">
        <v>141</v>
      </c>
      <c r="P1265" s="160">
        <v>1000</v>
      </c>
      <c r="Q1265" s="160">
        <v>1249</v>
      </c>
      <c r="R1265" s="17">
        <f t="shared" si="71"/>
        <v>-249</v>
      </c>
      <c r="S1265" s="17">
        <v>1320</v>
      </c>
      <c r="T1265" s="19" t="s">
        <v>42</v>
      </c>
      <c r="U1265" s="102" t="s">
        <v>471</v>
      </c>
      <c r="V1265" s="64">
        <v>44666</v>
      </c>
      <c r="W1265" s="17" t="s">
        <v>69</v>
      </c>
      <c r="Y1265" s="68">
        <v>44682</v>
      </c>
      <c r="Z1265" s="17" t="s">
        <v>191</v>
      </c>
      <c r="AA1265" s="17" t="s">
        <v>46</v>
      </c>
      <c r="AB1265" s="17" t="s">
        <v>476</v>
      </c>
      <c r="AC1265" s="66">
        <v>44694</v>
      </c>
      <c r="AD1265" s="65">
        <v>1296</v>
      </c>
      <c r="AE1265" s="17" t="s">
        <v>74</v>
      </c>
      <c r="AF1265" s="17" t="s">
        <v>245</v>
      </c>
      <c r="AH1265" s="17" t="s">
        <v>472</v>
      </c>
      <c r="AI1265" s="17">
        <v>116</v>
      </c>
      <c r="AJ1265" s="17" t="s">
        <v>473</v>
      </c>
    </row>
    <row r="1266" s="17" customFormat="1" hidden="1" spans="1:36">
      <c r="A1266" s="17" t="s">
        <v>34</v>
      </c>
      <c r="B1266" s="19">
        <v>792</v>
      </c>
      <c r="C1266" s="101">
        <v>44663</v>
      </c>
      <c r="D1266" s="17" t="s">
        <v>52</v>
      </c>
      <c r="E1266" s="17" t="s">
        <v>187</v>
      </c>
      <c r="F1266" s="17" t="s">
        <v>54</v>
      </c>
      <c r="H1266" s="19">
        <v>1.2311</v>
      </c>
      <c r="I1266" s="19"/>
      <c r="J1266" s="17" t="s">
        <v>82</v>
      </c>
      <c r="K1266" s="179">
        <v>357</v>
      </c>
      <c r="L1266" s="159">
        <v>35</v>
      </c>
      <c r="M1266" s="17" t="s">
        <v>361</v>
      </c>
      <c r="N1266" s="17" t="s">
        <v>66</v>
      </c>
      <c r="O1266" s="19" t="s">
        <v>141</v>
      </c>
      <c r="P1266" s="160">
        <v>1000</v>
      </c>
      <c r="Q1266" s="160">
        <v>959</v>
      </c>
      <c r="S1266" s="17">
        <v>1320</v>
      </c>
      <c r="T1266" s="19" t="s">
        <v>42</v>
      </c>
      <c r="U1266" s="102" t="s">
        <v>471</v>
      </c>
      <c r="V1266" s="64">
        <v>44666</v>
      </c>
      <c r="W1266" s="17" t="s">
        <v>69</v>
      </c>
      <c r="Y1266" s="68">
        <v>44682</v>
      </c>
      <c r="Z1266" s="17" t="s">
        <v>191</v>
      </c>
      <c r="AA1266" s="17" t="s">
        <v>46</v>
      </c>
      <c r="AB1266" s="17" t="s">
        <v>476</v>
      </c>
      <c r="AC1266" s="66">
        <v>44694</v>
      </c>
      <c r="AD1266" s="65">
        <v>1296</v>
      </c>
      <c r="AE1266" s="17" t="s">
        <v>74</v>
      </c>
      <c r="AF1266" s="17" t="s">
        <v>245</v>
      </c>
      <c r="AH1266" s="17" t="s">
        <v>472</v>
      </c>
      <c r="AI1266" s="17">
        <v>116</v>
      </c>
      <c r="AJ1266" s="17" t="s">
        <v>473</v>
      </c>
    </row>
    <row r="1267" s="17" customFormat="1" hidden="1" spans="1:36">
      <c r="A1267" s="17" t="s">
        <v>34</v>
      </c>
      <c r="B1267" s="19">
        <v>792</v>
      </c>
      <c r="C1267" s="101">
        <v>44663</v>
      </c>
      <c r="D1267" s="17" t="s">
        <v>52</v>
      </c>
      <c r="E1267" s="17" t="s">
        <v>187</v>
      </c>
      <c r="F1267" s="17" t="s">
        <v>54</v>
      </c>
      <c r="H1267" s="19">
        <v>1.2311</v>
      </c>
      <c r="I1267" s="19"/>
      <c r="J1267" s="17" t="s">
        <v>82</v>
      </c>
      <c r="K1267" s="179">
        <v>357</v>
      </c>
      <c r="L1267" s="159">
        <v>35</v>
      </c>
      <c r="M1267" s="17" t="s">
        <v>361</v>
      </c>
      <c r="N1267" s="17" t="s">
        <v>66</v>
      </c>
      <c r="O1267" s="19" t="s">
        <v>141</v>
      </c>
      <c r="P1267" s="160"/>
      <c r="Q1267" s="160">
        <v>242</v>
      </c>
      <c r="R1267" s="95">
        <f>+P1266-Q1266-Q1267</f>
        <v>-201</v>
      </c>
      <c r="S1267" s="17">
        <v>1320</v>
      </c>
      <c r="T1267" s="19" t="s">
        <v>42</v>
      </c>
      <c r="U1267" s="102" t="s">
        <v>471</v>
      </c>
      <c r="V1267" s="64">
        <v>44666</v>
      </c>
      <c r="W1267" s="17" t="s">
        <v>69</v>
      </c>
      <c r="Y1267" s="68">
        <v>44682</v>
      </c>
      <c r="Z1267" s="17" t="s">
        <v>191</v>
      </c>
      <c r="AA1267" s="17" t="s">
        <v>46</v>
      </c>
      <c r="AB1267" s="17" t="s">
        <v>477</v>
      </c>
      <c r="AC1267" s="66">
        <v>44720</v>
      </c>
      <c r="AD1267" s="65">
        <v>1307</v>
      </c>
      <c r="AE1267" s="17" t="s">
        <v>74</v>
      </c>
      <c r="AF1267" s="17" t="s">
        <v>245</v>
      </c>
      <c r="AH1267" s="17" t="s">
        <v>472</v>
      </c>
      <c r="AI1267" s="17">
        <v>116</v>
      </c>
      <c r="AJ1267" s="17" t="s">
        <v>473</v>
      </c>
    </row>
    <row r="1268" s="17" customFormat="1" hidden="1" spans="1:36">
      <c r="A1268" s="17" t="s">
        <v>34</v>
      </c>
      <c r="B1268" s="19">
        <v>792</v>
      </c>
      <c r="C1268" s="101">
        <v>44663</v>
      </c>
      <c r="D1268" s="17" t="s">
        <v>52</v>
      </c>
      <c r="E1268" s="17" t="s">
        <v>187</v>
      </c>
      <c r="F1268" s="17" t="s">
        <v>54</v>
      </c>
      <c r="H1268" s="19">
        <v>1.2311</v>
      </c>
      <c r="I1268" s="19"/>
      <c r="J1268" s="17" t="s">
        <v>82</v>
      </c>
      <c r="K1268" s="179">
        <v>407</v>
      </c>
      <c r="L1268" s="159">
        <v>35</v>
      </c>
      <c r="M1268" s="17" t="s">
        <v>361</v>
      </c>
      <c r="N1268" s="17" t="s">
        <v>66</v>
      </c>
      <c r="O1268" s="19" t="s">
        <v>141</v>
      </c>
      <c r="P1268" s="160">
        <v>1000</v>
      </c>
      <c r="Q1268" s="160">
        <v>550</v>
      </c>
      <c r="S1268" s="17">
        <v>1320</v>
      </c>
      <c r="T1268" s="19" t="s">
        <v>42</v>
      </c>
      <c r="U1268" s="102" t="s">
        <v>471</v>
      </c>
      <c r="V1268" s="64">
        <v>44666</v>
      </c>
      <c r="W1268" s="17" t="s">
        <v>69</v>
      </c>
      <c r="Y1268" s="68">
        <v>44682</v>
      </c>
      <c r="Z1268" s="17" t="s">
        <v>191</v>
      </c>
      <c r="AA1268" s="17" t="s">
        <v>46</v>
      </c>
      <c r="AB1268" s="17" t="s">
        <v>476</v>
      </c>
      <c r="AC1268" s="66">
        <v>44694</v>
      </c>
      <c r="AD1268" s="65">
        <v>1296</v>
      </c>
      <c r="AE1268" s="17" t="s">
        <v>74</v>
      </c>
      <c r="AF1268" s="17" t="s">
        <v>245</v>
      </c>
      <c r="AH1268" s="17" t="s">
        <v>472</v>
      </c>
      <c r="AI1268" s="17">
        <v>116</v>
      </c>
      <c r="AJ1268" s="17" t="s">
        <v>473</v>
      </c>
    </row>
    <row r="1269" s="17" customFormat="1" hidden="1" spans="1:36">
      <c r="A1269" s="17" t="s">
        <v>34</v>
      </c>
      <c r="B1269" s="19">
        <v>792</v>
      </c>
      <c r="C1269" s="101">
        <v>44663</v>
      </c>
      <c r="D1269" s="17" t="s">
        <v>52</v>
      </c>
      <c r="E1269" s="17" t="s">
        <v>187</v>
      </c>
      <c r="F1269" s="17" t="s">
        <v>54</v>
      </c>
      <c r="H1269" s="19">
        <v>1.2311</v>
      </c>
      <c r="I1269" s="19"/>
      <c r="J1269" s="17" t="s">
        <v>82</v>
      </c>
      <c r="K1269" s="179">
        <v>407</v>
      </c>
      <c r="L1269" s="159">
        <v>35</v>
      </c>
      <c r="M1269" s="17" t="s">
        <v>361</v>
      </c>
      <c r="N1269" s="17" t="s">
        <v>66</v>
      </c>
      <c r="O1269" s="19" t="s">
        <v>141</v>
      </c>
      <c r="P1269" s="160"/>
      <c r="Q1269" s="160">
        <f>271+277</f>
        <v>548</v>
      </c>
      <c r="R1269" s="95">
        <f>+P1268-Q1268-Q1269</f>
        <v>-98</v>
      </c>
      <c r="S1269" s="17">
        <v>1320</v>
      </c>
      <c r="T1269" s="19" t="s">
        <v>42</v>
      </c>
      <c r="U1269" s="102" t="s">
        <v>471</v>
      </c>
      <c r="V1269" s="64">
        <v>44666</v>
      </c>
      <c r="W1269" s="17" t="s">
        <v>69</v>
      </c>
      <c r="Y1269" s="68">
        <v>44682</v>
      </c>
      <c r="Z1269" s="17" t="s">
        <v>191</v>
      </c>
      <c r="AA1269" s="17" t="s">
        <v>46</v>
      </c>
      <c r="AB1269" s="17" t="s">
        <v>477</v>
      </c>
      <c r="AC1269" s="66">
        <v>44720</v>
      </c>
      <c r="AD1269" s="65">
        <v>1307</v>
      </c>
      <c r="AE1269" s="17" t="s">
        <v>74</v>
      </c>
      <c r="AF1269" s="17" t="s">
        <v>245</v>
      </c>
      <c r="AH1269" s="17" t="s">
        <v>472</v>
      </c>
      <c r="AI1269" s="17">
        <v>116</v>
      </c>
      <c r="AJ1269" s="17" t="s">
        <v>473</v>
      </c>
    </row>
    <row r="1270" s="17" customFormat="1" hidden="1" spans="1:36">
      <c r="A1270" s="17" t="s">
        <v>34</v>
      </c>
      <c r="B1270" s="19">
        <v>792</v>
      </c>
      <c r="C1270" s="101">
        <v>44663</v>
      </c>
      <c r="D1270" s="17" t="s">
        <v>52</v>
      </c>
      <c r="E1270" s="17" t="s">
        <v>187</v>
      </c>
      <c r="F1270" s="17" t="s">
        <v>54</v>
      </c>
      <c r="H1270" s="19">
        <v>1.2311</v>
      </c>
      <c r="I1270" s="19"/>
      <c r="J1270" s="17" t="s">
        <v>82</v>
      </c>
      <c r="K1270" s="179">
        <v>457</v>
      </c>
      <c r="L1270" s="159">
        <v>35</v>
      </c>
      <c r="M1270" s="17" t="s">
        <v>361</v>
      </c>
      <c r="N1270" s="17" t="s">
        <v>66</v>
      </c>
      <c r="O1270" s="19" t="s">
        <v>141</v>
      </c>
      <c r="P1270" s="160">
        <v>1000</v>
      </c>
      <c r="Q1270" s="160">
        <v>615</v>
      </c>
      <c r="S1270" s="17">
        <v>1320</v>
      </c>
      <c r="T1270" s="19" t="s">
        <v>42</v>
      </c>
      <c r="U1270" s="102" t="s">
        <v>471</v>
      </c>
      <c r="V1270" s="64">
        <v>44666</v>
      </c>
      <c r="W1270" s="17" t="s">
        <v>69</v>
      </c>
      <c r="Y1270" s="68">
        <v>44682</v>
      </c>
      <c r="Z1270" s="17" t="s">
        <v>191</v>
      </c>
      <c r="AA1270" s="17" t="s">
        <v>46</v>
      </c>
      <c r="AB1270" s="17" t="s">
        <v>476</v>
      </c>
      <c r="AC1270" s="66">
        <v>44694</v>
      </c>
      <c r="AD1270" s="65">
        <v>1296</v>
      </c>
      <c r="AE1270" s="17" t="s">
        <v>74</v>
      </c>
      <c r="AF1270" s="17" t="s">
        <v>245</v>
      </c>
      <c r="AH1270" s="17" t="s">
        <v>472</v>
      </c>
      <c r="AI1270" s="17">
        <v>116</v>
      </c>
      <c r="AJ1270" s="17" t="s">
        <v>473</v>
      </c>
    </row>
    <row r="1271" s="17" customFormat="1" hidden="1" spans="1:36">
      <c r="A1271" s="17" t="s">
        <v>34</v>
      </c>
      <c r="B1271" s="19">
        <v>792</v>
      </c>
      <c r="C1271" s="101">
        <v>44663</v>
      </c>
      <c r="D1271" s="17" t="s">
        <v>52</v>
      </c>
      <c r="E1271" s="17" t="s">
        <v>187</v>
      </c>
      <c r="F1271" s="17" t="s">
        <v>54</v>
      </c>
      <c r="H1271" s="19">
        <v>1.2311</v>
      </c>
      <c r="I1271" s="19"/>
      <c r="J1271" s="17" t="s">
        <v>82</v>
      </c>
      <c r="K1271" s="179">
        <v>457</v>
      </c>
      <c r="L1271" s="159">
        <v>35</v>
      </c>
      <c r="M1271" s="17" t="s">
        <v>361</v>
      </c>
      <c r="N1271" s="17" t="s">
        <v>66</v>
      </c>
      <c r="O1271" s="19" t="s">
        <v>141</v>
      </c>
      <c r="P1271" s="160"/>
      <c r="Q1271" s="160">
        <v>300</v>
      </c>
      <c r="R1271" s="95">
        <f>+P1270-Q1270-Q1271</f>
        <v>85</v>
      </c>
      <c r="S1271" s="17">
        <v>1320</v>
      </c>
      <c r="T1271" s="19" t="s">
        <v>42</v>
      </c>
      <c r="U1271" s="102" t="s">
        <v>471</v>
      </c>
      <c r="V1271" s="64">
        <v>44666</v>
      </c>
      <c r="W1271" s="17" t="s">
        <v>69</v>
      </c>
      <c r="Y1271" s="68">
        <v>44682</v>
      </c>
      <c r="Z1271" s="17" t="s">
        <v>191</v>
      </c>
      <c r="AA1271" s="17" t="s">
        <v>46</v>
      </c>
      <c r="AB1271" s="17" t="s">
        <v>477</v>
      </c>
      <c r="AC1271" s="66">
        <v>44720</v>
      </c>
      <c r="AD1271" s="65">
        <v>1307</v>
      </c>
      <c r="AE1271" s="17" t="s">
        <v>74</v>
      </c>
      <c r="AF1271" s="17" t="s">
        <v>245</v>
      </c>
      <c r="AH1271" s="17" t="s">
        <v>472</v>
      </c>
      <c r="AI1271" s="17">
        <v>116</v>
      </c>
      <c r="AJ1271" s="17" t="s">
        <v>473</v>
      </c>
    </row>
    <row r="1272" s="17" customFormat="1" hidden="1" spans="1:36">
      <c r="A1272" s="17" t="s">
        <v>34</v>
      </c>
      <c r="B1272" s="19">
        <v>792</v>
      </c>
      <c r="C1272" s="101">
        <v>44663</v>
      </c>
      <c r="D1272" s="17" t="s">
        <v>52</v>
      </c>
      <c r="E1272" s="17" t="s">
        <v>187</v>
      </c>
      <c r="F1272" s="17" t="s">
        <v>54</v>
      </c>
      <c r="H1272" s="19">
        <v>1.2311</v>
      </c>
      <c r="I1272" s="19"/>
      <c r="J1272" s="17" t="s">
        <v>82</v>
      </c>
      <c r="K1272" s="179">
        <v>507</v>
      </c>
      <c r="L1272" s="159">
        <v>35</v>
      </c>
      <c r="M1272" s="17" t="s">
        <v>361</v>
      </c>
      <c r="N1272" s="17" t="s">
        <v>66</v>
      </c>
      <c r="O1272" s="19" t="s">
        <v>141</v>
      </c>
      <c r="P1272" s="160">
        <v>1000</v>
      </c>
      <c r="Q1272" s="160">
        <v>1014</v>
      </c>
      <c r="R1272" s="17">
        <f>+P1272-Q1272</f>
        <v>-14</v>
      </c>
      <c r="S1272" s="17">
        <v>1320</v>
      </c>
      <c r="T1272" s="19" t="s">
        <v>42</v>
      </c>
      <c r="U1272" s="102" t="s">
        <v>471</v>
      </c>
      <c r="V1272" s="64">
        <v>44666</v>
      </c>
      <c r="W1272" s="17" t="s">
        <v>69</v>
      </c>
      <c r="Y1272" s="68">
        <v>44682</v>
      </c>
      <c r="Z1272" s="17" t="s">
        <v>191</v>
      </c>
      <c r="AA1272" s="17" t="s">
        <v>46</v>
      </c>
      <c r="AB1272" s="17" t="s">
        <v>476</v>
      </c>
      <c r="AC1272" s="66">
        <v>44694</v>
      </c>
      <c r="AD1272" s="65">
        <v>1296</v>
      </c>
      <c r="AE1272" s="17" t="s">
        <v>74</v>
      </c>
      <c r="AF1272" s="17" t="s">
        <v>245</v>
      </c>
      <c r="AH1272" s="17" t="s">
        <v>472</v>
      </c>
      <c r="AI1272" s="17">
        <v>116</v>
      </c>
      <c r="AJ1272" s="17" t="s">
        <v>473</v>
      </c>
    </row>
    <row r="1273" s="17" customFormat="1" hidden="1" spans="1:36">
      <c r="A1273" s="17" t="s">
        <v>34</v>
      </c>
      <c r="B1273" s="19">
        <v>792</v>
      </c>
      <c r="C1273" s="101">
        <v>44663</v>
      </c>
      <c r="D1273" s="17" t="s">
        <v>52</v>
      </c>
      <c r="E1273" s="17" t="s">
        <v>187</v>
      </c>
      <c r="F1273" s="17" t="s">
        <v>54</v>
      </c>
      <c r="H1273" s="19">
        <v>1.2311</v>
      </c>
      <c r="I1273" s="19"/>
      <c r="J1273" s="17" t="s">
        <v>82</v>
      </c>
      <c r="K1273" s="179">
        <v>557</v>
      </c>
      <c r="L1273" s="159">
        <v>35</v>
      </c>
      <c r="M1273" s="17" t="s">
        <v>361</v>
      </c>
      <c r="N1273" s="17" t="s">
        <v>66</v>
      </c>
      <c r="O1273" s="19" t="s">
        <v>141</v>
      </c>
      <c r="P1273" s="160">
        <v>1000</v>
      </c>
      <c r="Q1273" s="160">
        <v>1126</v>
      </c>
      <c r="R1273" s="17">
        <f>+P1273-Q1273</f>
        <v>-126</v>
      </c>
      <c r="S1273" s="17">
        <v>1320</v>
      </c>
      <c r="T1273" s="19" t="s">
        <v>42</v>
      </c>
      <c r="U1273" s="102" t="s">
        <v>471</v>
      </c>
      <c r="V1273" s="64">
        <v>44666</v>
      </c>
      <c r="W1273" s="17" t="s">
        <v>69</v>
      </c>
      <c r="Y1273" s="68">
        <v>44682</v>
      </c>
      <c r="Z1273" s="17" t="s">
        <v>191</v>
      </c>
      <c r="AA1273" s="17" t="s">
        <v>46</v>
      </c>
      <c r="AB1273" s="17" t="s">
        <v>476</v>
      </c>
      <c r="AC1273" s="66">
        <v>44694</v>
      </c>
      <c r="AD1273" s="65">
        <v>1296</v>
      </c>
      <c r="AE1273" s="17" t="s">
        <v>74</v>
      </c>
      <c r="AF1273" s="17" t="s">
        <v>245</v>
      </c>
      <c r="AH1273" s="17" t="s">
        <v>472</v>
      </c>
      <c r="AI1273" s="17">
        <v>116</v>
      </c>
      <c r="AJ1273" s="17" t="s">
        <v>473</v>
      </c>
    </row>
    <row r="1274" s="17" customFormat="1" hidden="1" spans="1:36">
      <c r="A1274" s="17" t="s">
        <v>34</v>
      </c>
      <c r="B1274" s="19">
        <v>792</v>
      </c>
      <c r="C1274" s="101">
        <v>44663</v>
      </c>
      <c r="D1274" s="17" t="s">
        <v>52</v>
      </c>
      <c r="E1274" s="17" t="s">
        <v>187</v>
      </c>
      <c r="F1274" s="17" t="s">
        <v>54</v>
      </c>
      <c r="H1274" s="19">
        <v>1.2311</v>
      </c>
      <c r="I1274" s="19"/>
      <c r="J1274" s="17" t="s">
        <v>82</v>
      </c>
      <c r="K1274" s="179">
        <v>207</v>
      </c>
      <c r="L1274" s="159">
        <v>40</v>
      </c>
      <c r="M1274" s="17" t="s">
        <v>361</v>
      </c>
      <c r="N1274" s="17" t="s">
        <v>66</v>
      </c>
      <c r="O1274" s="19" t="s">
        <v>141</v>
      </c>
      <c r="P1274" s="160">
        <v>2000</v>
      </c>
      <c r="Q1274" s="160">
        <v>952</v>
      </c>
      <c r="S1274" s="17">
        <v>1320</v>
      </c>
      <c r="T1274" s="19" t="s">
        <v>42</v>
      </c>
      <c r="U1274" s="102" t="s">
        <v>471</v>
      </c>
      <c r="V1274" s="64">
        <v>44666</v>
      </c>
      <c r="W1274" s="17" t="s">
        <v>69</v>
      </c>
      <c r="Y1274" s="68">
        <v>44682</v>
      </c>
      <c r="Z1274" s="17" t="s">
        <v>191</v>
      </c>
      <c r="AA1274" s="17" t="s">
        <v>46</v>
      </c>
      <c r="AB1274" s="17" t="s">
        <v>476</v>
      </c>
      <c r="AC1274" s="66">
        <v>44694</v>
      </c>
      <c r="AD1274" s="65">
        <v>1296</v>
      </c>
      <c r="AE1274" s="17" t="s">
        <v>74</v>
      </c>
      <c r="AF1274" s="17" t="s">
        <v>245</v>
      </c>
      <c r="AH1274" s="17" t="s">
        <v>472</v>
      </c>
      <c r="AI1274" s="17">
        <v>116</v>
      </c>
      <c r="AJ1274" s="17" t="s">
        <v>473</v>
      </c>
    </row>
    <row r="1275" s="17" customFormat="1" hidden="1" spans="1:36">
      <c r="A1275" s="17" t="s">
        <v>34</v>
      </c>
      <c r="B1275" s="19">
        <v>792</v>
      </c>
      <c r="C1275" s="101">
        <v>44663</v>
      </c>
      <c r="D1275" s="17" t="s">
        <v>52</v>
      </c>
      <c r="E1275" s="17" t="s">
        <v>187</v>
      </c>
      <c r="F1275" s="17" t="s">
        <v>54</v>
      </c>
      <c r="H1275" s="19">
        <v>1.2311</v>
      </c>
      <c r="I1275" s="19"/>
      <c r="J1275" s="17" t="s">
        <v>82</v>
      </c>
      <c r="K1275" s="179">
        <v>207</v>
      </c>
      <c r="L1275" s="159">
        <v>40</v>
      </c>
      <c r="M1275" s="17" t="s">
        <v>361</v>
      </c>
      <c r="N1275" s="17" t="s">
        <v>66</v>
      </c>
      <c r="O1275" s="19" t="s">
        <v>141</v>
      </c>
      <c r="P1275" s="160"/>
      <c r="Q1275" s="160">
        <f>154+153+156+160+160+156</f>
        <v>939</v>
      </c>
      <c r="R1275" s="95">
        <f>+P1274-Q1274-Q1275</f>
        <v>109</v>
      </c>
      <c r="S1275" s="17">
        <v>1320</v>
      </c>
      <c r="T1275" s="19" t="s">
        <v>42</v>
      </c>
      <c r="U1275" s="102" t="s">
        <v>471</v>
      </c>
      <c r="V1275" s="64">
        <v>44666</v>
      </c>
      <c r="W1275" s="17" t="s">
        <v>69</v>
      </c>
      <c r="Y1275" s="68">
        <v>44682</v>
      </c>
      <c r="Z1275" s="17" t="s">
        <v>191</v>
      </c>
      <c r="AA1275" s="17" t="s">
        <v>46</v>
      </c>
      <c r="AB1275" s="17" t="s">
        <v>477</v>
      </c>
      <c r="AC1275" s="66">
        <v>44720</v>
      </c>
      <c r="AD1275" s="65">
        <v>1307</v>
      </c>
      <c r="AE1275" s="17" t="s">
        <v>74</v>
      </c>
      <c r="AF1275" s="17" t="s">
        <v>245</v>
      </c>
      <c r="AH1275" s="17" t="s">
        <v>472</v>
      </c>
      <c r="AI1275" s="17">
        <v>116</v>
      </c>
      <c r="AJ1275" s="17" t="s">
        <v>473</v>
      </c>
    </row>
    <row r="1276" s="17" customFormat="1" hidden="1" spans="1:36">
      <c r="A1276" s="17" t="s">
        <v>34</v>
      </c>
      <c r="B1276" s="19">
        <v>792</v>
      </c>
      <c r="C1276" s="101">
        <v>44663</v>
      </c>
      <c r="D1276" s="17" t="s">
        <v>52</v>
      </c>
      <c r="E1276" s="17" t="s">
        <v>187</v>
      </c>
      <c r="F1276" s="17" t="s">
        <v>54</v>
      </c>
      <c r="H1276" s="19">
        <v>1.2311</v>
      </c>
      <c r="I1276" s="19"/>
      <c r="J1276" s="17" t="s">
        <v>82</v>
      </c>
      <c r="K1276" s="179">
        <v>257</v>
      </c>
      <c r="L1276" s="159">
        <v>40</v>
      </c>
      <c r="M1276" s="17" t="s">
        <v>361</v>
      </c>
      <c r="N1276" s="17" t="s">
        <v>66</v>
      </c>
      <c r="O1276" s="19" t="s">
        <v>141</v>
      </c>
      <c r="P1276" s="160">
        <v>2000</v>
      </c>
      <c r="Q1276" s="160">
        <v>1758</v>
      </c>
      <c r="S1276" s="17">
        <v>1320</v>
      </c>
      <c r="T1276" s="19" t="s">
        <v>42</v>
      </c>
      <c r="U1276" s="102" t="s">
        <v>471</v>
      </c>
      <c r="V1276" s="64">
        <v>44666</v>
      </c>
      <c r="W1276" s="17" t="s">
        <v>69</v>
      </c>
      <c r="Y1276" s="68">
        <v>44682</v>
      </c>
      <c r="Z1276" s="17" t="s">
        <v>191</v>
      </c>
      <c r="AA1276" s="17" t="s">
        <v>46</v>
      </c>
      <c r="AB1276" s="17" t="s">
        <v>476</v>
      </c>
      <c r="AC1276" s="66">
        <v>44694</v>
      </c>
      <c r="AD1276" s="65">
        <v>1296</v>
      </c>
      <c r="AE1276" s="17" t="s">
        <v>74</v>
      </c>
      <c r="AF1276" s="17" t="s">
        <v>245</v>
      </c>
      <c r="AH1276" s="17" t="s">
        <v>472</v>
      </c>
      <c r="AI1276" s="17">
        <v>116</v>
      </c>
      <c r="AJ1276" s="17" t="s">
        <v>473</v>
      </c>
    </row>
    <row r="1277" s="17" customFormat="1" hidden="1" spans="1:36">
      <c r="A1277" s="17" t="s">
        <v>34</v>
      </c>
      <c r="B1277" s="19">
        <v>792</v>
      </c>
      <c r="C1277" s="101">
        <v>44663</v>
      </c>
      <c r="D1277" s="17" t="s">
        <v>52</v>
      </c>
      <c r="E1277" s="17" t="s">
        <v>187</v>
      </c>
      <c r="F1277" s="17" t="s">
        <v>54</v>
      </c>
      <c r="H1277" s="19">
        <v>1.2311</v>
      </c>
      <c r="I1277" s="19"/>
      <c r="J1277" s="17" t="s">
        <v>82</v>
      </c>
      <c r="K1277" s="179">
        <v>257</v>
      </c>
      <c r="L1277" s="159">
        <v>40</v>
      </c>
      <c r="M1277" s="17" t="s">
        <v>361</v>
      </c>
      <c r="N1277" s="17" t="s">
        <v>66</v>
      </c>
      <c r="O1277" s="19" t="s">
        <v>141</v>
      </c>
      <c r="P1277" s="160"/>
      <c r="Q1277" s="160">
        <f>197+197</f>
        <v>394</v>
      </c>
      <c r="R1277" s="95">
        <f>+P1276-Q1276-Q1277</f>
        <v>-152</v>
      </c>
      <c r="S1277" s="17">
        <v>1320</v>
      </c>
      <c r="T1277" s="19" t="s">
        <v>42</v>
      </c>
      <c r="U1277" s="102" t="s">
        <v>471</v>
      </c>
      <c r="V1277" s="64">
        <v>44666</v>
      </c>
      <c r="W1277" s="17" t="s">
        <v>69</v>
      </c>
      <c r="Y1277" s="68">
        <v>44682</v>
      </c>
      <c r="Z1277" s="17" t="s">
        <v>191</v>
      </c>
      <c r="AA1277" s="17" t="s">
        <v>46</v>
      </c>
      <c r="AB1277" s="17" t="s">
        <v>477</v>
      </c>
      <c r="AC1277" s="66">
        <v>44720</v>
      </c>
      <c r="AD1277" s="65">
        <v>1307</v>
      </c>
      <c r="AE1277" s="17" t="s">
        <v>74</v>
      </c>
      <c r="AF1277" s="17" t="s">
        <v>245</v>
      </c>
      <c r="AH1277" s="17" t="s">
        <v>472</v>
      </c>
      <c r="AI1277" s="17">
        <v>116</v>
      </c>
      <c r="AJ1277" s="17" t="s">
        <v>473</v>
      </c>
    </row>
    <row r="1278" s="17" customFormat="1" hidden="1" spans="1:36">
      <c r="A1278" s="17" t="s">
        <v>34</v>
      </c>
      <c r="B1278" s="19">
        <v>792</v>
      </c>
      <c r="C1278" s="101">
        <v>44663</v>
      </c>
      <c r="D1278" s="17" t="s">
        <v>52</v>
      </c>
      <c r="E1278" s="17" t="s">
        <v>187</v>
      </c>
      <c r="F1278" s="17" t="s">
        <v>54</v>
      </c>
      <c r="H1278" s="19">
        <v>1.2311</v>
      </c>
      <c r="I1278" s="19"/>
      <c r="J1278" s="17" t="s">
        <v>82</v>
      </c>
      <c r="K1278" s="179">
        <v>307</v>
      </c>
      <c r="L1278" s="159">
        <v>40</v>
      </c>
      <c r="M1278" s="17" t="s">
        <v>361</v>
      </c>
      <c r="N1278" s="17" t="s">
        <v>66</v>
      </c>
      <c r="O1278" s="19" t="s">
        <v>141</v>
      </c>
      <c r="P1278" s="160">
        <v>2000</v>
      </c>
      <c r="Q1278" s="160">
        <v>2036</v>
      </c>
      <c r="R1278" s="17">
        <f>+P1278-Q1278</f>
        <v>-36</v>
      </c>
      <c r="S1278" s="17">
        <v>1320</v>
      </c>
      <c r="T1278" s="19" t="s">
        <v>42</v>
      </c>
      <c r="U1278" s="102" t="s">
        <v>471</v>
      </c>
      <c r="V1278" s="64">
        <v>44666</v>
      </c>
      <c r="W1278" s="17" t="s">
        <v>69</v>
      </c>
      <c r="Y1278" s="68">
        <v>44682</v>
      </c>
      <c r="Z1278" s="17" t="s">
        <v>191</v>
      </c>
      <c r="AA1278" s="17" t="s">
        <v>46</v>
      </c>
      <c r="AB1278" s="17" t="s">
        <v>476</v>
      </c>
      <c r="AC1278" s="66">
        <v>44694</v>
      </c>
      <c r="AD1278" s="65">
        <v>1296</v>
      </c>
      <c r="AE1278" s="17" t="s">
        <v>74</v>
      </c>
      <c r="AF1278" s="17" t="s">
        <v>245</v>
      </c>
      <c r="AH1278" s="17" t="s">
        <v>472</v>
      </c>
      <c r="AI1278" s="17">
        <v>116</v>
      </c>
      <c r="AJ1278" s="17" t="s">
        <v>473</v>
      </c>
    </row>
    <row r="1279" s="17" customFormat="1" hidden="1" spans="1:36">
      <c r="A1279" s="17" t="s">
        <v>34</v>
      </c>
      <c r="B1279" s="19">
        <v>792</v>
      </c>
      <c r="C1279" s="101">
        <v>44663</v>
      </c>
      <c r="D1279" s="17" t="s">
        <v>52</v>
      </c>
      <c r="E1279" s="17" t="s">
        <v>187</v>
      </c>
      <c r="F1279" s="17" t="s">
        <v>54</v>
      </c>
      <c r="H1279" s="19">
        <v>1.2311</v>
      </c>
      <c r="I1279" s="19"/>
      <c r="J1279" s="17" t="s">
        <v>82</v>
      </c>
      <c r="K1279" s="179">
        <v>357</v>
      </c>
      <c r="L1279" s="159">
        <v>40</v>
      </c>
      <c r="M1279" s="17" t="s">
        <v>361</v>
      </c>
      <c r="N1279" s="17" t="s">
        <v>66</v>
      </c>
      <c r="O1279" s="19" t="s">
        <v>141</v>
      </c>
      <c r="P1279" s="160">
        <v>2000</v>
      </c>
      <c r="Q1279" s="160">
        <v>783</v>
      </c>
      <c r="S1279" s="17">
        <v>1320</v>
      </c>
      <c r="T1279" s="19" t="s">
        <v>42</v>
      </c>
      <c r="U1279" s="102" t="s">
        <v>471</v>
      </c>
      <c r="V1279" s="64">
        <v>44666</v>
      </c>
      <c r="W1279" s="17" t="s">
        <v>69</v>
      </c>
      <c r="Y1279" s="68">
        <v>44682</v>
      </c>
      <c r="Z1279" s="17" t="s">
        <v>191</v>
      </c>
      <c r="AA1279" s="17" t="s">
        <v>46</v>
      </c>
      <c r="AB1279" s="17" t="s">
        <v>476</v>
      </c>
      <c r="AC1279" s="66">
        <v>44694</v>
      </c>
      <c r="AD1279" s="65">
        <v>1296</v>
      </c>
      <c r="AE1279" s="17" t="s">
        <v>74</v>
      </c>
      <c r="AF1279" s="17" t="s">
        <v>245</v>
      </c>
      <c r="AH1279" s="17" t="s">
        <v>472</v>
      </c>
      <c r="AI1279" s="17">
        <v>116</v>
      </c>
      <c r="AJ1279" s="17" t="s">
        <v>473</v>
      </c>
    </row>
    <row r="1280" s="17" customFormat="1" hidden="1" spans="1:36">
      <c r="A1280" s="17" t="s">
        <v>34</v>
      </c>
      <c r="B1280" s="19">
        <v>792</v>
      </c>
      <c r="C1280" s="101">
        <v>44663</v>
      </c>
      <c r="D1280" s="17" t="s">
        <v>52</v>
      </c>
      <c r="E1280" s="17" t="s">
        <v>187</v>
      </c>
      <c r="F1280" s="17" t="s">
        <v>54</v>
      </c>
      <c r="H1280" s="19">
        <v>1.2311</v>
      </c>
      <c r="I1280" s="19"/>
      <c r="J1280" s="17" t="s">
        <v>82</v>
      </c>
      <c r="K1280" s="179">
        <v>357</v>
      </c>
      <c r="L1280" s="159">
        <v>40</v>
      </c>
      <c r="M1280" s="17" t="s">
        <v>361</v>
      </c>
      <c r="N1280" s="17" t="s">
        <v>66</v>
      </c>
      <c r="O1280" s="19" t="s">
        <v>141</v>
      </c>
      <c r="P1280" s="160"/>
      <c r="Q1280" s="160">
        <f>263+262+262+262+261</f>
        <v>1310</v>
      </c>
      <c r="R1280" s="95">
        <f>+P1279-Q1279-Q1280</f>
        <v>-93</v>
      </c>
      <c r="S1280" s="17">
        <v>1320</v>
      </c>
      <c r="T1280" s="19" t="s">
        <v>42</v>
      </c>
      <c r="U1280" s="102" t="s">
        <v>471</v>
      </c>
      <c r="V1280" s="64">
        <v>44666</v>
      </c>
      <c r="W1280" s="17" t="s">
        <v>69</v>
      </c>
      <c r="Y1280" s="68">
        <v>44682</v>
      </c>
      <c r="Z1280" s="17" t="s">
        <v>191</v>
      </c>
      <c r="AA1280" s="17" t="s">
        <v>46</v>
      </c>
      <c r="AB1280" s="17" t="s">
        <v>477</v>
      </c>
      <c r="AC1280" s="66">
        <v>44720</v>
      </c>
      <c r="AD1280" s="65">
        <v>1307</v>
      </c>
      <c r="AE1280" s="17" t="s">
        <v>74</v>
      </c>
      <c r="AF1280" s="17" t="s">
        <v>245</v>
      </c>
      <c r="AH1280" s="17" t="s">
        <v>472</v>
      </c>
      <c r="AI1280" s="17">
        <v>116</v>
      </c>
      <c r="AJ1280" s="17" t="s">
        <v>473</v>
      </c>
    </row>
    <row r="1281" s="17" customFormat="1" hidden="1" spans="1:36">
      <c r="A1281" s="17" t="s">
        <v>34</v>
      </c>
      <c r="B1281" s="19">
        <v>792</v>
      </c>
      <c r="C1281" s="101">
        <v>44663</v>
      </c>
      <c r="D1281" s="17" t="s">
        <v>52</v>
      </c>
      <c r="E1281" s="17" t="s">
        <v>187</v>
      </c>
      <c r="F1281" s="17" t="s">
        <v>54</v>
      </c>
      <c r="H1281" s="19">
        <v>1.2311</v>
      </c>
      <c r="I1281" s="19"/>
      <c r="J1281" s="17" t="s">
        <v>82</v>
      </c>
      <c r="K1281" s="179">
        <v>407</v>
      </c>
      <c r="L1281" s="159">
        <v>40</v>
      </c>
      <c r="M1281" s="17" t="s">
        <v>361</v>
      </c>
      <c r="N1281" s="17" t="s">
        <v>66</v>
      </c>
      <c r="O1281" s="19" t="s">
        <v>141</v>
      </c>
      <c r="P1281" s="160">
        <v>2000</v>
      </c>
      <c r="Q1281" s="160">
        <v>1478</v>
      </c>
      <c r="S1281" s="17">
        <v>1320</v>
      </c>
      <c r="T1281" s="19" t="s">
        <v>42</v>
      </c>
      <c r="U1281" s="102" t="s">
        <v>471</v>
      </c>
      <c r="V1281" s="64">
        <v>44666</v>
      </c>
      <c r="W1281" s="17" t="s">
        <v>69</v>
      </c>
      <c r="Y1281" s="68">
        <v>44682</v>
      </c>
      <c r="Z1281" s="17" t="s">
        <v>191</v>
      </c>
      <c r="AA1281" s="17" t="s">
        <v>46</v>
      </c>
      <c r="AB1281" s="17" t="s">
        <v>476</v>
      </c>
      <c r="AC1281" s="66">
        <v>44694</v>
      </c>
      <c r="AD1281" s="65">
        <v>1296</v>
      </c>
      <c r="AE1281" s="17" t="s">
        <v>74</v>
      </c>
      <c r="AF1281" s="17" t="s">
        <v>245</v>
      </c>
      <c r="AH1281" s="17" t="s">
        <v>472</v>
      </c>
      <c r="AI1281" s="17">
        <v>116</v>
      </c>
      <c r="AJ1281" s="17" t="s">
        <v>473</v>
      </c>
    </row>
    <row r="1282" s="17" customFormat="1" hidden="1" spans="1:36">
      <c r="A1282" s="17" t="s">
        <v>34</v>
      </c>
      <c r="B1282" s="19">
        <v>792</v>
      </c>
      <c r="C1282" s="101">
        <v>44663</v>
      </c>
      <c r="D1282" s="17" t="s">
        <v>52</v>
      </c>
      <c r="E1282" s="17" t="s">
        <v>187</v>
      </c>
      <c r="F1282" s="17" t="s">
        <v>54</v>
      </c>
      <c r="H1282" s="19">
        <v>1.2311</v>
      </c>
      <c r="I1282" s="19"/>
      <c r="J1282" s="17" t="s">
        <v>82</v>
      </c>
      <c r="K1282" s="179">
        <v>407</v>
      </c>
      <c r="L1282" s="159">
        <v>40</v>
      </c>
      <c r="M1282" s="17" t="s">
        <v>361</v>
      </c>
      <c r="N1282" s="17" t="s">
        <v>66</v>
      </c>
      <c r="O1282" s="19" t="s">
        <v>141</v>
      </c>
      <c r="P1282" s="160"/>
      <c r="Q1282" s="160">
        <f>302+301</f>
        <v>603</v>
      </c>
      <c r="R1282" s="95">
        <f>+P1281-Q1281-Q1282</f>
        <v>-81</v>
      </c>
      <c r="S1282" s="17">
        <v>1320</v>
      </c>
      <c r="T1282" s="19" t="s">
        <v>42</v>
      </c>
      <c r="U1282" s="102" t="s">
        <v>471</v>
      </c>
      <c r="V1282" s="64">
        <v>44666</v>
      </c>
      <c r="W1282" s="17" t="s">
        <v>69</v>
      </c>
      <c r="Y1282" s="68">
        <v>44682</v>
      </c>
      <c r="Z1282" s="17" t="s">
        <v>191</v>
      </c>
      <c r="AA1282" s="17" t="s">
        <v>46</v>
      </c>
      <c r="AB1282" s="17" t="s">
        <v>477</v>
      </c>
      <c r="AC1282" s="66">
        <v>44720</v>
      </c>
      <c r="AD1282" s="65">
        <v>1307</v>
      </c>
      <c r="AE1282" s="17" t="s">
        <v>74</v>
      </c>
      <c r="AF1282" s="17" t="s">
        <v>245</v>
      </c>
      <c r="AH1282" s="17" t="s">
        <v>472</v>
      </c>
      <c r="AI1282" s="17">
        <v>116</v>
      </c>
      <c r="AJ1282" s="17" t="s">
        <v>473</v>
      </c>
    </row>
    <row r="1283" s="17" customFormat="1" hidden="1" spans="1:36">
      <c r="A1283" s="17" t="s">
        <v>34</v>
      </c>
      <c r="B1283" s="19">
        <v>792</v>
      </c>
      <c r="C1283" s="101">
        <v>44663</v>
      </c>
      <c r="D1283" s="17" t="s">
        <v>52</v>
      </c>
      <c r="E1283" s="17" t="s">
        <v>187</v>
      </c>
      <c r="F1283" s="17" t="s">
        <v>54</v>
      </c>
      <c r="H1283" s="19">
        <v>1.2311</v>
      </c>
      <c r="I1283" s="19"/>
      <c r="J1283" s="17" t="s">
        <v>82</v>
      </c>
      <c r="K1283" s="179">
        <v>457</v>
      </c>
      <c r="L1283" s="159">
        <v>40</v>
      </c>
      <c r="M1283" s="17" t="s">
        <v>361</v>
      </c>
      <c r="N1283" s="17" t="s">
        <v>66</v>
      </c>
      <c r="O1283" s="19" t="s">
        <v>141</v>
      </c>
      <c r="P1283" s="160">
        <v>2000</v>
      </c>
      <c r="Q1283" s="160">
        <v>1658</v>
      </c>
      <c r="S1283" s="17">
        <v>1320</v>
      </c>
      <c r="T1283" s="19" t="s">
        <v>42</v>
      </c>
      <c r="U1283" s="102" t="s">
        <v>471</v>
      </c>
      <c r="V1283" s="64">
        <v>44666</v>
      </c>
      <c r="W1283" s="17" t="s">
        <v>69</v>
      </c>
      <c r="Y1283" s="68">
        <v>44682</v>
      </c>
      <c r="Z1283" s="17" t="s">
        <v>191</v>
      </c>
      <c r="AA1283" s="17" t="s">
        <v>46</v>
      </c>
      <c r="AB1283" s="17" t="s">
        <v>476</v>
      </c>
      <c r="AC1283" s="66">
        <v>44694</v>
      </c>
      <c r="AD1283" s="65">
        <v>1296</v>
      </c>
      <c r="AE1283" s="17" t="s">
        <v>74</v>
      </c>
      <c r="AF1283" s="17" t="s">
        <v>245</v>
      </c>
      <c r="AH1283" s="17" t="s">
        <v>472</v>
      </c>
      <c r="AI1283" s="17">
        <v>116</v>
      </c>
      <c r="AJ1283" s="17" t="s">
        <v>473</v>
      </c>
    </row>
    <row r="1284" s="17" customFormat="1" hidden="1" spans="1:36">
      <c r="A1284" s="17" t="s">
        <v>34</v>
      </c>
      <c r="B1284" s="19">
        <v>792</v>
      </c>
      <c r="C1284" s="101">
        <v>44663</v>
      </c>
      <c r="D1284" s="17" t="s">
        <v>52</v>
      </c>
      <c r="E1284" s="17" t="s">
        <v>187</v>
      </c>
      <c r="F1284" s="17" t="s">
        <v>54</v>
      </c>
      <c r="H1284" s="19">
        <v>1.2311</v>
      </c>
      <c r="I1284" s="19"/>
      <c r="J1284" s="17" t="s">
        <v>82</v>
      </c>
      <c r="K1284" s="179">
        <v>457</v>
      </c>
      <c r="L1284" s="159">
        <v>40</v>
      </c>
      <c r="M1284" s="17" t="s">
        <v>361</v>
      </c>
      <c r="N1284" s="17" t="s">
        <v>66</v>
      </c>
      <c r="O1284" s="19" t="s">
        <v>141</v>
      </c>
      <c r="P1284" s="160"/>
      <c r="Q1284" s="160">
        <v>337</v>
      </c>
      <c r="R1284" s="95">
        <f>+P1283-Q1283-Q1284</f>
        <v>5</v>
      </c>
      <c r="S1284" s="17">
        <v>1320</v>
      </c>
      <c r="T1284" s="19" t="s">
        <v>42</v>
      </c>
      <c r="U1284" s="102" t="s">
        <v>471</v>
      </c>
      <c r="V1284" s="64">
        <v>44666</v>
      </c>
      <c r="W1284" s="17" t="s">
        <v>69</v>
      </c>
      <c r="Y1284" s="68">
        <v>44682</v>
      </c>
      <c r="Z1284" s="17" t="s">
        <v>191</v>
      </c>
      <c r="AA1284" s="17" t="s">
        <v>46</v>
      </c>
      <c r="AB1284" s="17" t="s">
        <v>477</v>
      </c>
      <c r="AC1284" s="66">
        <v>44720</v>
      </c>
      <c r="AD1284" s="65">
        <v>1307</v>
      </c>
      <c r="AE1284" s="17" t="s">
        <v>74</v>
      </c>
      <c r="AF1284" s="17" t="s">
        <v>245</v>
      </c>
      <c r="AH1284" s="17" t="s">
        <v>472</v>
      </c>
      <c r="AI1284" s="17">
        <v>116</v>
      </c>
      <c r="AJ1284" s="17" t="s">
        <v>473</v>
      </c>
    </row>
    <row r="1285" s="17" customFormat="1" hidden="1" spans="1:36">
      <c r="A1285" s="17" t="s">
        <v>34</v>
      </c>
      <c r="B1285" s="19">
        <v>792</v>
      </c>
      <c r="C1285" s="101">
        <v>44663</v>
      </c>
      <c r="D1285" s="17" t="s">
        <v>52</v>
      </c>
      <c r="E1285" s="17" t="s">
        <v>187</v>
      </c>
      <c r="F1285" s="17" t="s">
        <v>54</v>
      </c>
      <c r="H1285" s="19">
        <v>1.2311</v>
      </c>
      <c r="I1285" s="19"/>
      <c r="J1285" s="17" t="s">
        <v>82</v>
      </c>
      <c r="K1285" s="179">
        <v>507</v>
      </c>
      <c r="L1285" s="159">
        <v>40</v>
      </c>
      <c r="M1285" s="17" t="s">
        <v>361</v>
      </c>
      <c r="N1285" s="17" t="s">
        <v>66</v>
      </c>
      <c r="O1285" s="19" t="s">
        <v>141</v>
      </c>
      <c r="P1285" s="160">
        <v>2000</v>
      </c>
      <c r="Q1285" s="160">
        <v>2233</v>
      </c>
      <c r="R1285" s="17">
        <f>+P1285-Q1285</f>
        <v>-233</v>
      </c>
      <c r="S1285" s="17">
        <v>1320</v>
      </c>
      <c r="T1285" s="19" t="s">
        <v>42</v>
      </c>
      <c r="U1285" s="102" t="s">
        <v>471</v>
      </c>
      <c r="V1285" s="64">
        <v>44666</v>
      </c>
      <c r="W1285" s="17" t="s">
        <v>69</v>
      </c>
      <c r="Y1285" s="68">
        <v>44682</v>
      </c>
      <c r="Z1285" s="17" t="s">
        <v>191</v>
      </c>
      <c r="AA1285" s="17" t="s">
        <v>46</v>
      </c>
      <c r="AB1285" s="17" t="s">
        <v>476</v>
      </c>
      <c r="AC1285" s="66">
        <v>44694</v>
      </c>
      <c r="AD1285" s="65">
        <v>1296</v>
      </c>
      <c r="AE1285" s="17" t="s">
        <v>74</v>
      </c>
      <c r="AF1285" s="17" t="s">
        <v>245</v>
      </c>
      <c r="AH1285" s="17" t="s">
        <v>472</v>
      </c>
      <c r="AI1285" s="17">
        <v>116</v>
      </c>
      <c r="AJ1285" s="17" t="s">
        <v>473</v>
      </c>
    </row>
    <row r="1286" s="17" customFormat="1" hidden="1" spans="1:36">
      <c r="A1286" s="17" t="s">
        <v>34</v>
      </c>
      <c r="B1286" s="19">
        <v>792</v>
      </c>
      <c r="C1286" s="101">
        <v>44663</v>
      </c>
      <c r="D1286" s="17" t="s">
        <v>52</v>
      </c>
      <c r="E1286" s="17" t="s">
        <v>187</v>
      </c>
      <c r="F1286" s="17" t="s">
        <v>54</v>
      </c>
      <c r="H1286" s="19">
        <v>1.2311</v>
      </c>
      <c r="I1286" s="19"/>
      <c r="J1286" s="17" t="s">
        <v>82</v>
      </c>
      <c r="K1286" s="179">
        <v>557</v>
      </c>
      <c r="L1286" s="159">
        <v>40</v>
      </c>
      <c r="M1286" s="17" t="s">
        <v>361</v>
      </c>
      <c r="N1286" s="17" t="s">
        <v>66</v>
      </c>
      <c r="O1286" s="19" t="s">
        <v>141</v>
      </c>
      <c r="P1286" s="160">
        <v>2000</v>
      </c>
      <c r="Q1286" s="160">
        <v>1610</v>
      </c>
      <c r="S1286" s="17">
        <v>1320</v>
      </c>
      <c r="T1286" s="19" t="s">
        <v>42</v>
      </c>
      <c r="U1286" s="102" t="s">
        <v>471</v>
      </c>
      <c r="V1286" s="64">
        <v>44666</v>
      </c>
      <c r="W1286" s="17" t="s">
        <v>69</v>
      </c>
      <c r="Y1286" s="68">
        <v>44682</v>
      </c>
      <c r="Z1286" s="17" t="s">
        <v>191</v>
      </c>
      <c r="AA1286" s="17" t="s">
        <v>46</v>
      </c>
      <c r="AB1286" s="17" t="s">
        <v>476</v>
      </c>
      <c r="AC1286" s="66">
        <v>44694</v>
      </c>
      <c r="AD1286" s="65">
        <v>1296</v>
      </c>
      <c r="AE1286" s="17" t="s">
        <v>74</v>
      </c>
      <c r="AF1286" s="17" t="s">
        <v>245</v>
      </c>
      <c r="AH1286" s="17" t="s">
        <v>472</v>
      </c>
      <c r="AI1286" s="17">
        <v>116</v>
      </c>
      <c r="AJ1286" s="17" t="s">
        <v>473</v>
      </c>
    </row>
    <row r="1287" s="17" customFormat="1" hidden="1" spans="1:36">
      <c r="A1287" s="17" t="s">
        <v>34</v>
      </c>
      <c r="B1287" s="19">
        <v>792</v>
      </c>
      <c r="C1287" s="101">
        <v>44663</v>
      </c>
      <c r="D1287" s="17" t="s">
        <v>52</v>
      </c>
      <c r="E1287" s="17" t="s">
        <v>187</v>
      </c>
      <c r="F1287" s="17" t="s">
        <v>54</v>
      </c>
      <c r="H1287" s="19">
        <v>1.2311</v>
      </c>
      <c r="I1287" s="19"/>
      <c r="J1287" s="17" t="s">
        <v>82</v>
      </c>
      <c r="K1287" s="179">
        <v>557</v>
      </c>
      <c r="L1287" s="159">
        <v>40</v>
      </c>
      <c r="M1287" s="17" t="s">
        <v>361</v>
      </c>
      <c r="N1287" s="17" t="s">
        <v>66</v>
      </c>
      <c r="O1287" s="19" t="s">
        <v>141</v>
      </c>
      <c r="P1287" s="160"/>
      <c r="Q1287" s="160">
        <v>409</v>
      </c>
      <c r="R1287" s="95">
        <f>+P1286-Q1286-Q1287</f>
        <v>-19</v>
      </c>
      <c r="S1287" s="17">
        <v>1320</v>
      </c>
      <c r="T1287" s="19" t="s">
        <v>42</v>
      </c>
      <c r="U1287" s="102" t="s">
        <v>471</v>
      </c>
      <c r="V1287" s="64">
        <v>44666</v>
      </c>
      <c r="W1287" s="17" t="s">
        <v>69</v>
      </c>
      <c r="Y1287" s="68">
        <v>44682</v>
      </c>
      <c r="Z1287" s="17" t="s">
        <v>191</v>
      </c>
      <c r="AA1287" s="17" t="s">
        <v>46</v>
      </c>
      <c r="AB1287" s="17" t="s">
        <v>477</v>
      </c>
      <c r="AC1287" s="66">
        <v>44720</v>
      </c>
      <c r="AD1287" s="65">
        <v>1307</v>
      </c>
      <c r="AE1287" s="17" t="s">
        <v>74</v>
      </c>
      <c r="AF1287" s="17" t="s">
        <v>245</v>
      </c>
      <c r="AH1287" s="17" t="s">
        <v>472</v>
      </c>
      <c r="AI1287" s="17">
        <v>116</v>
      </c>
      <c r="AJ1287" s="17" t="s">
        <v>473</v>
      </c>
    </row>
    <row r="1288" s="17" customFormat="1" hidden="1" spans="1:36">
      <c r="A1288" s="17" t="s">
        <v>34</v>
      </c>
      <c r="B1288" s="19">
        <v>792</v>
      </c>
      <c r="C1288" s="101">
        <v>44663</v>
      </c>
      <c r="D1288" s="17" t="s">
        <v>52</v>
      </c>
      <c r="E1288" s="17" t="s">
        <v>187</v>
      </c>
      <c r="F1288" s="17" t="s">
        <v>54</v>
      </c>
      <c r="H1288" s="19">
        <v>1.2311</v>
      </c>
      <c r="I1288" s="19"/>
      <c r="J1288" s="17" t="s">
        <v>82</v>
      </c>
      <c r="K1288" s="179">
        <v>207</v>
      </c>
      <c r="L1288" s="159">
        <v>50</v>
      </c>
      <c r="M1288" s="17" t="s">
        <v>361</v>
      </c>
      <c r="N1288" s="17" t="s">
        <v>66</v>
      </c>
      <c r="O1288" s="19" t="s">
        <v>141</v>
      </c>
      <c r="P1288" s="160">
        <v>2000</v>
      </c>
      <c r="Q1288" s="160">
        <f>195+196+195+195+191+192+192+194+190+193+192</f>
        <v>2125</v>
      </c>
      <c r="R1288" s="17">
        <f t="shared" ref="R1288:R1296" si="72">+P1288-Q1288</f>
        <v>-125</v>
      </c>
      <c r="S1288" s="17">
        <v>1320</v>
      </c>
      <c r="T1288" s="19" t="s">
        <v>42</v>
      </c>
      <c r="U1288" s="102" t="s">
        <v>471</v>
      </c>
      <c r="V1288" s="64">
        <v>44666</v>
      </c>
      <c r="W1288" s="17" t="s">
        <v>69</v>
      </c>
      <c r="Y1288" s="68">
        <v>44682</v>
      </c>
      <c r="Z1288" s="17" t="s">
        <v>191</v>
      </c>
      <c r="AA1288" s="17" t="s">
        <v>46</v>
      </c>
      <c r="AB1288" s="17" t="s">
        <v>477</v>
      </c>
      <c r="AC1288" s="66">
        <v>44720</v>
      </c>
      <c r="AD1288" s="65">
        <v>1307</v>
      </c>
      <c r="AE1288" s="17" t="s">
        <v>74</v>
      </c>
      <c r="AF1288" s="17" t="s">
        <v>245</v>
      </c>
      <c r="AH1288" s="17" t="s">
        <v>472</v>
      </c>
      <c r="AI1288" s="17">
        <v>116</v>
      </c>
      <c r="AJ1288" s="17" t="s">
        <v>473</v>
      </c>
    </row>
    <row r="1289" s="17" customFormat="1" hidden="1" spans="1:36">
      <c r="A1289" s="17" t="s">
        <v>34</v>
      </c>
      <c r="B1289" s="19">
        <v>792</v>
      </c>
      <c r="C1289" s="101">
        <v>44663</v>
      </c>
      <c r="D1289" s="17" t="s">
        <v>52</v>
      </c>
      <c r="E1289" s="17" t="s">
        <v>187</v>
      </c>
      <c r="F1289" s="17" t="s">
        <v>54</v>
      </c>
      <c r="H1289" s="19">
        <v>1.2311</v>
      </c>
      <c r="I1289" s="19"/>
      <c r="J1289" s="17" t="s">
        <v>82</v>
      </c>
      <c r="K1289" s="179">
        <v>257</v>
      </c>
      <c r="L1289" s="159">
        <v>50</v>
      </c>
      <c r="M1289" s="17" t="s">
        <v>361</v>
      </c>
      <c r="N1289" s="17" t="s">
        <v>66</v>
      </c>
      <c r="O1289" s="19" t="s">
        <v>141</v>
      </c>
      <c r="P1289" s="160">
        <v>2000</v>
      </c>
      <c r="Q1289" s="160">
        <f>239+239+239+238+238+238+237+238+239</f>
        <v>2145</v>
      </c>
      <c r="R1289" s="17">
        <f t="shared" si="72"/>
        <v>-145</v>
      </c>
      <c r="S1289" s="17">
        <v>1320</v>
      </c>
      <c r="T1289" s="19" t="s">
        <v>42</v>
      </c>
      <c r="U1289" s="102" t="s">
        <v>471</v>
      </c>
      <c r="V1289" s="64">
        <v>44666</v>
      </c>
      <c r="W1289" s="17" t="s">
        <v>69</v>
      </c>
      <c r="Y1289" s="68">
        <v>44682</v>
      </c>
      <c r="Z1289" s="17" t="s">
        <v>191</v>
      </c>
      <c r="AA1289" s="17" t="s">
        <v>46</v>
      </c>
      <c r="AB1289" s="17" t="s">
        <v>477</v>
      </c>
      <c r="AC1289" s="66">
        <v>44720</v>
      </c>
      <c r="AD1289" s="65">
        <v>1307</v>
      </c>
      <c r="AE1289" s="17" t="s">
        <v>74</v>
      </c>
      <c r="AF1289" s="17" t="s">
        <v>245</v>
      </c>
      <c r="AH1289" s="17" t="s">
        <v>472</v>
      </c>
      <c r="AI1289" s="17">
        <v>116</v>
      </c>
      <c r="AJ1289" s="17" t="s">
        <v>473</v>
      </c>
    </row>
    <row r="1290" s="17" customFormat="1" hidden="1" spans="1:36">
      <c r="A1290" s="17" t="s">
        <v>34</v>
      </c>
      <c r="B1290" s="19">
        <v>792</v>
      </c>
      <c r="C1290" s="101">
        <v>44663</v>
      </c>
      <c r="D1290" s="17" t="s">
        <v>52</v>
      </c>
      <c r="E1290" s="17" t="s">
        <v>187</v>
      </c>
      <c r="F1290" s="17" t="s">
        <v>54</v>
      </c>
      <c r="H1290" s="19">
        <v>1.2311</v>
      </c>
      <c r="I1290" s="19"/>
      <c r="J1290" s="17" t="s">
        <v>82</v>
      </c>
      <c r="K1290" s="179">
        <v>307</v>
      </c>
      <c r="L1290" s="159">
        <v>50</v>
      </c>
      <c r="M1290" s="17" t="s">
        <v>361</v>
      </c>
      <c r="N1290" s="17" t="s">
        <v>66</v>
      </c>
      <c r="O1290" s="19" t="s">
        <v>141</v>
      </c>
      <c r="P1290" s="160">
        <v>2000</v>
      </c>
      <c r="Q1290" s="160">
        <f>286+288+280+286+288+288+288</f>
        <v>2004</v>
      </c>
      <c r="R1290" s="17">
        <f t="shared" si="72"/>
        <v>-4</v>
      </c>
      <c r="S1290" s="17">
        <v>1320</v>
      </c>
      <c r="T1290" s="19" t="s">
        <v>42</v>
      </c>
      <c r="U1290" s="102" t="s">
        <v>471</v>
      </c>
      <c r="V1290" s="64">
        <v>44666</v>
      </c>
      <c r="W1290" s="17" t="s">
        <v>69</v>
      </c>
      <c r="Y1290" s="68">
        <v>44682</v>
      </c>
      <c r="Z1290" s="17" t="s">
        <v>191</v>
      </c>
      <c r="AA1290" s="17" t="s">
        <v>46</v>
      </c>
      <c r="AB1290" s="17" t="s">
        <v>477</v>
      </c>
      <c r="AC1290" s="66">
        <v>44720</v>
      </c>
      <c r="AD1290" s="65">
        <v>1307</v>
      </c>
      <c r="AE1290" s="17" t="s">
        <v>74</v>
      </c>
      <c r="AF1290" s="17" t="s">
        <v>245</v>
      </c>
      <c r="AH1290" s="17" t="s">
        <v>472</v>
      </c>
      <c r="AI1290" s="17">
        <v>116</v>
      </c>
      <c r="AJ1290" s="17" t="s">
        <v>473</v>
      </c>
    </row>
    <row r="1291" s="17" customFormat="1" hidden="1" spans="1:36">
      <c r="A1291" s="17" t="s">
        <v>34</v>
      </c>
      <c r="B1291" s="19">
        <v>792</v>
      </c>
      <c r="C1291" s="101">
        <v>44663</v>
      </c>
      <c r="D1291" s="17" t="s">
        <v>52</v>
      </c>
      <c r="E1291" s="17" t="s">
        <v>187</v>
      </c>
      <c r="F1291" s="17" t="s">
        <v>54</v>
      </c>
      <c r="H1291" s="19">
        <v>1.2311</v>
      </c>
      <c r="I1291" s="19"/>
      <c r="J1291" s="17" t="s">
        <v>82</v>
      </c>
      <c r="K1291" s="179">
        <v>357</v>
      </c>
      <c r="L1291" s="159">
        <v>50</v>
      </c>
      <c r="M1291" s="17" t="s">
        <v>361</v>
      </c>
      <c r="N1291" s="17" t="s">
        <v>66</v>
      </c>
      <c r="O1291" s="19" t="s">
        <v>141</v>
      </c>
      <c r="P1291" s="160">
        <v>2000</v>
      </c>
      <c r="Q1291" s="160">
        <f>328+330+330+330+330+330</f>
        <v>1978</v>
      </c>
      <c r="R1291" s="17">
        <f t="shared" si="72"/>
        <v>22</v>
      </c>
      <c r="S1291" s="17">
        <v>1320</v>
      </c>
      <c r="T1291" s="19" t="s">
        <v>42</v>
      </c>
      <c r="U1291" s="102" t="s">
        <v>471</v>
      </c>
      <c r="V1291" s="64">
        <v>44666</v>
      </c>
      <c r="W1291" s="17" t="s">
        <v>69</v>
      </c>
      <c r="Y1291" s="68">
        <v>44682</v>
      </c>
      <c r="Z1291" s="17" t="s">
        <v>191</v>
      </c>
      <c r="AA1291" s="17" t="s">
        <v>46</v>
      </c>
      <c r="AB1291" s="17" t="s">
        <v>477</v>
      </c>
      <c r="AC1291" s="66">
        <v>44720</v>
      </c>
      <c r="AD1291" s="65">
        <v>1307</v>
      </c>
      <c r="AE1291" s="17" t="s">
        <v>74</v>
      </c>
      <c r="AF1291" s="17" t="s">
        <v>245</v>
      </c>
      <c r="AH1291" s="17" t="s">
        <v>472</v>
      </c>
      <c r="AI1291" s="17">
        <v>116</v>
      </c>
      <c r="AJ1291" s="17" t="s">
        <v>473</v>
      </c>
    </row>
    <row r="1292" s="17" customFormat="1" hidden="1" spans="1:36">
      <c r="A1292" s="17" t="s">
        <v>34</v>
      </c>
      <c r="B1292" s="19">
        <v>792</v>
      </c>
      <c r="C1292" s="101">
        <v>44663</v>
      </c>
      <c r="D1292" s="17" t="s">
        <v>52</v>
      </c>
      <c r="E1292" s="17" t="s">
        <v>187</v>
      </c>
      <c r="F1292" s="17" t="s">
        <v>54</v>
      </c>
      <c r="H1292" s="19">
        <v>1.2311</v>
      </c>
      <c r="I1292" s="19"/>
      <c r="J1292" s="17" t="s">
        <v>82</v>
      </c>
      <c r="K1292" s="179">
        <v>407</v>
      </c>
      <c r="L1292" s="159">
        <v>50</v>
      </c>
      <c r="M1292" s="17" t="s">
        <v>361</v>
      </c>
      <c r="N1292" s="17" t="s">
        <v>66</v>
      </c>
      <c r="O1292" s="19" t="s">
        <v>141</v>
      </c>
      <c r="P1292" s="160">
        <v>2000</v>
      </c>
      <c r="Q1292" s="160">
        <v>1873</v>
      </c>
      <c r="R1292" s="17">
        <f t="shared" si="72"/>
        <v>127</v>
      </c>
      <c r="S1292" s="17">
        <v>1320</v>
      </c>
      <c r="T1292" s="19" t="s">
        <v>42</v>
      </c>
      <c r="U1292" s="102" t="s">
        <v>471</v>
      </c>
      <c r="V1292" s="64">
        <v>44666</v>
      </c>
      <c r="W1292" s="17" t="s">
        <v>69</v>
      </c>
      <c r="Y1292" s="68">
        <v>44682</v>
      </c>
      <c r="Z1292" s="17" t="s">
        <v>191</v>
      </c>
      <c r="AA1292" s="17" t="s">
        <v>46</v>
      </c>
      <c r="AB1292" s="17" t="s">
        <v>476</v>
      </c>
      <c r="AC1292" s="66">
        <v>44694</v>
      </c>
      <c r="AD1292" s="65">
        <v>1296</v>
      </c>
      <c r="AE1292" s="17" t="s">
        <v>74</v>
      </c>
      <c r="AF1292" s="17" t="s">
        <v>245</v>
      </c>
      <c r="AH1292" s="17" t="s">
        <v>472</v>
      </c>
      <c r="AI1292" s="17">
        <v>116</v>
      </c>
      <c r="AJ1292" s="17" t="s">
        <v>473</v>
      </c>
    </row>
    <row r="1293" s="17" customFormat="1" hidden="1" spans="1:36">
      <c r="A1293" s="17" t="s">
        <v>34</v>
      </c>
      <c r="B1293" s="19">
        <v>792</v>
      </c>
      <c r="C1293" s="101">
        <v>44663</v>
      </c>
      <c r="D1293" s="17" t="s">
        <v>52</v>
      </c>
      <c r="E1293" s="17" t="s">
        <v>187</v>
      </c>
      <c r="F1293" s="17" t="s">
        <v>54</v>
      </c>
      <c r="H1293" s="19">
        <v>1.2311</v>
      </c>
      <c r="I1293" s="19"/>
      <c r="J1293" s="17" t="s">
        <v>82</v>
      </c>
      <c r="K1293" s="179">
        <v>457</v>
      </c>
      <c r="L1293" s="159">
        <v>50</v>
      </c>
      <c r="M1293" s="17" t="s">
        <v>361</v>
      </c>
      <c r="N1293" s="17" t="s">
        <v>66</v>
      </c>
      <c r="O1293" s="19" t="s">
        <v>141</v>
      </c>
      <c r="P1293" s="160">
        <v>2000</v>
      </c>
      <c r="Q1293" s="160">
        <v>2120</v>
      </c>
      <c r="R1293" s="17">
        <f t="shared" si="72"/>
        <v>-120</v>
      </c>
      <c r="S1293" s="17">
        <v>1320</v>
      </c>
      <c r="T1293" s="19" t="s">
        <v>42</v>
      </c>
      <c r="U1293" s="102" t="s">
        <v>471</v>
      </c>
      <c r="V1293" s="64">
        <v>44666</v>
      </c>
      <c r="W1293" s="17" t="s">
        <v>69</v>
      </c>
      <c r="Y1293" s="68">
        <v>44682</v>
      </c>
      <c r="Z1293" s="17" t="s">
        <v>191</v>
      </c>
      <c r="AA1293" s="17" t="s">
        <v>46</v>
      </c>
      <c r="AB1293" s="17" t="s">
        <v>476</v>
      </c>
      <c r="AC1293" s="66">
        <v>44694</v>
      </c>
      <c r="AD1293" s="65">
        <v>1296</v>
      </c>
      <c r="AE1293" s="17" t="s">
        <v>74</v>
      </c>
      <c r="AF1293" s="17" t="s">
        <v>245</v>
      </c>
      <c r="AH1293" s="17" t="s">
        <v>472</v>
      </c>
      <c r="AI1293" s="17">
        <v>116</v>
      </c>
      <c r="AJ1293" s="17" t="s">
        <v>473</v>
      </c>
    </row>
    <row r="1294" s="17" customFormat="1" hidden="1" spans="1:36">
      <c r="A1294" s="17" t="s">
        <v>34</v>
      </c>
      <c r="B1294" s="19">
        <v>792</v>
      </c>
      <c r="C1294" s="101">
        <v>44663</v>
      </c>
      <c r="D1294" s="17" t="s">
        <v>52</v>
      </c>
      <c r="E1294" s="17" t="s">
        <v>187</v>
      </c>
      <c r="F1294" s="17" t="s">
        <v>54</v>
      </c>
      <c r="H1294" s="19">
        <v>1.2311</v>
      </c>
      <c r="I1294" s="19"/>
      <c r="J1294" s="17" t="s">
        <v>82</v>
      </c>
      <c r="K1294" s="179">
        <v>510</v>
      </c>
      <c r="L1294" s="159">
        <v>50</v>
      </c>
      <c r="M1294" s="17" t="s">
        <v>361</v>
      </c>
      <c r="N1294" s="17" t="s">
        <v>66</v>
      </c>
      <c r="O1294" s="19" t="s">
        <v>141</v>
      </c>
      <c r="P1294" s="160">
        <v>2000</v>
      </c>
      <c r="Q1294" s="160">
        <v>1864</v>
      </c>
      <c r="R1294" s="17">
        <f t="shared" si="72"/>
        <v>136</v>
      </c>
      <c r="S1294" s="17">
        <v>1320</v>
      </c>
      <c r="T1294" s="19" t="s">
        <v>42</v>
      </c>
      <c r="U1294" s="102" t="s">
        <v>471</v>
      </c>
      <c r="V1294" s="64">
        <v>44666</v>
      </c>
      <c r="W1294" s="17" t="s">
        <v>69</v>
      </c>
      <c r="Y1294" s="68">
        <v>44682</v>
      </c>
      <c r="Z1294" s="17" t="s">
        <v>191</v>
      </c>
      <c r="AA1294" s="17" t="s">
        <v>46</v>
      </c>
      <c r="AB1294" s="17" t="s">
        <v>476</v>
      </c>
      <c r="AC1294" s="66">
        <v>44694</v>
      </c>
      <c r="AD1294" s="65">
        <v>1296</v>
      </c>
      <c r="AE1294" s="17" t="s">
        <v>74</v>
      </c>
      <c r="AF1294" s="17" t="s">
        <v>245</v>
      </c>
      <c r="AH1294" s="17" t="s">
        <v>472</v>
      </c>
      <c r="AI1294" s="17">
        <v>116</v>
      </c>
      <c r="AJ1294" s="17" t="s">
        <v>473</v>
      </c>
    </row>
    <row r="1295" s="17" customFormat="1" hidden="1" spans="1:36">
      <c r="A1295" s="17" t="s">
        <v>34</v>
      </c>
      <c r="B1295" s="19">
        <v>792</v>
      </c>
      <c r="C1295" s="101">
        <v>44663</v>
      </c>
      <c r="D1295" s="17" t="s">
        <v>52</v>
      </c>
      <c r="E1295" s="17" t="s">
        <v>187</v>
      </c>
      <c r="F1295" s="17" t="s">
        <v>54</v>
      </c>
      <c r="H1295" s="19">
        <v>1.2311</v>
      </c>
      <c r="I1295" s="19"/>
      <c r="J1295" s="17" t="s">
        <v>82</v>
      </c>
      <c r="K1295" s="179">
        <v>560</v>
      </c>
      <c r="L1295" s="159">
        <v>50</v>
      </c>
      <c r="M1295" s="17" t="s">
        <v>361</v>
      </c>
      <c r="N1295" s="17" t="s">
        <v>66</v>
      </c>
      <c r="O1295" s="19" t="s">
        <v>141</v>
      </c>
      <c r="P1295" s="160">
        <v>2000</v>
      </c>
      <c r="Q1295" s="160">
        <v>2059</v>
      </c>
      <c r="R1295" s="17">
        <f t="shared" si="72"/>
        <v>-59</v>
      </c>
      <c r="S1295" s="17">
        <v>1320</v>
      </c>
      <c r="T1295" s="19" t="s">
        <v>42</v>
      </c>
      <c r="U1295" s="102" t="s">
        <v>471</v>
      </c>
      <c r="V1295" s="64">
        <v>44666</v>
      </c>
      <c r="W1295" s="17" t="s">
        <v>69</v>
      </c>
      <c r="Y1295" s="68">
        <v>44682</v>
      </c>
      <c r="Z1295" s="17" t="s">
        <v>191</v>
      </c>
      <c r="AA1295" s="17" t="s">
        <v>46</v>
      </c>
      <c r="AB1295" s="17" t="s">
        <v>476</v>
      </c>
      <c r="AC1295" s="66">
        <v>44694</v>
      </c>
      <c r="AD1295" s="65">
        <v>1296</v>
      </c>
      <c r="AE1295" s="17" t="s">
        <v>74</v>
      </c>
      <c r="AF1295" s="17" t="s">
        <v>245</v>
      </c>
      <c r="AH1295" s="17" t="s">
        <v>472</v>
      </c>
      <c r="AI1295" s="17">
        <v>116</v>
      </c>
      <c r="AJ1295" s="17" t="s">
        <v>473</v>
      </c>
    </row>
    <row r="1296" s="17" customFormat="1" hidden="1" spans="1:36">
      <c r="A1296" s="17" t="s">
        <v>34</v>
      </c>
      <c r="B1296" s="19">
        <v>792</v>
      </c>
      <c r="C1296" s="101">
        <v>44663</v>
      </c>
      <c r="D1296" s="17" t="s">
        <v>52</v>
      </c>
      <c r="E1296" s="17" t="s">
        <v>187</v>
      </c>
      <c r="F1296" s="17" t="s">
        <v>54</v>
      </c>
      <c r="H1296" s="19">
        <v>1.2311</v>
      </c>
      <c r="I1296" s="19"/>
      <c r="J1296" s="17" t="s">
        <v>82</v>
      </c>
      <c r="K1296" s="179">
        <v>710</v>
      </c>
      <c r="L1296" s="159">
        <v>50</v>
      </c>
      <c r="M1296" s="17" t="s">
        <v>361</v>
      </c>
      <c r="N1296" s="17" t="s">
        <v>66</v>
      </c>
      <c r="O1296" s="19" t="s">
        <v>141</v>
      </c>
      <c r="P1296" s="160">
        <v>2000</v>
      </c>
      <c r="Q1296" s="160">
        <v>1935</v>
      </c>
      <c r="R1296" s="17">
        <f t="shared" si="72"/>
        <v>65</v>
      </c>
      <c r="S1296" s="17">
        <v>1320</v>
      </c>
      <c r="T1296" s="19" t="s">
        <v>42</v>
      </c>
      <c r="U1296" s="102" t="s">
        <v>471</v>
      </c>
      <c r="V1296" s="64">
        <v>44666</v>
      </c>
      <c r="W1296" s="17" t="s">
        <v>69</v>
      </c>
      <c r="Y1296" s="68">
        <v>44682</v>
      </c>
      <c r="Z1296" s="17" t="s">
        <v>191</v>
      </c>
      <c r="AA1296" s="17" t="s">
        <v>46</v>
      </c>
      <c r="AB1296" s="17" t="s">
        <v>476</v>
      </c>
      <c r="AC1296" s="66">
        <v>44694</v>
      </c>
      <c r="AD1296" s="65">
        <v>1296</v>
      </c>
      <c r="AE1296" s="17" t="s">
        <v>74</v>
      </c>
      <c r="AF1296" s="17" t="s">
        <v>245</v>
      </c>
      <c r="AH1296" s="17" t="s">
        <v>472</v>
      </c>
      <c r="AI1296" s="17">
        <v>116</v>
      </c>
      <c r="AJ1296" s="17" t="s">
        <v>473</v>
      </c>
    </row>
    <row r="1297" s="17" customFormat="1" hidden="1" spans="1:36">
      <c r="A1297" s="17" t="s">
        <v>34</v>
      </c>
      <c r="B1297" s="19">
        <v>792</v>
      </c>
      <c r="C1297" s="101">
        <v>44663</v>
      </c>
      <c r="D1297" s="17" t="s">
        <v>52</v>
      </c>
      <c r="E1297" s="17" t="s">
        <v>187</v>
      </c>
      <c r="F1297" s="17" t="s">
        <v>54</v>
      </c>
      <c r="H1297" s="19">
        <v>1.2311</v>
      </c>
      <c r="I1297" s="19"/>
      <c r="J1297" s="17" t="s">
        <v>82</v>
      </c>
      <c r="K1297" s="179">
        <v>810</v>
      </c>
      <c r="L1297" s="159">
        <v>50</v>
      </c>
      <c r="M1297" s="17" t="s">
        <v>361</v>
      </c>
      <c r="N1297" s="17" t="s">
        <v>66</v>
      </c>
      <c r="O1297" s="19" t="s">
        <v>141</v>
      </c>
      <c r="P1297" s="160">
        <v>2000</v>
      </c>
      <c r="Q1297" s="160">
        <v>1469</v>
      </c>
      <c r="S1297" s="17">
        <v>1320</v>
      </c>
      <c r="T1297" s="19" t="s">
        <v>42</v>
      </c>
      <c r="U1297" s="102" t="s">
        <v>471</v>
      </c>
      <c r="V1297" s="64">
        <v>44666</v>
      </c>
      <c r="W1297" s="17" t="s">
        <v>69</v>
      </c>
      <c r="Y1297" s="68">
        <v>44682</v>
      </c>
      <c r="Z1297" s="17" t="s">
        <v>191</v>
      </c>
      <c r="AA1297" s="17" t="s">
        <v>46</v>
      </c>
      <c r="AB1297" s="17" t="s">
        <v>476</v>
      </c>
      <c r="AC1297" s="66">
        <v>44694</v>
      </c>
      <c r="AD1297" s="65">
        <v>1296</v>
      </c>
      <c r="AE1297" s="17" t="s">
        <v>74</v>
      </c>
      <c r="AF1297" s="17" t="s">
        <v>245</v>
      </c>
      <c r="AH1297" s="17" t="s">
        <v>472</v>
      </c>
      <c r="AI1297" s="17">
        <v>116</v>
      </c>
      <c r="AJ1297" s="17" t="s">
        <v>473</v>
      </c>
    </row>
    <row r="1298" s="17" customFormat="1" hidden="1" spans="1:36">
      <c r="A1298" s="17" t="s">
        <v>34</v>
      </c>
      <c r="B1298" s="19">
        <v>792</v>
      </c>
      <c r="C1298" s="101">
        <v>44663</v>
      </c>
      <c r="D1298" s="17" t="s">
        <v>52</v>
      </c>
      <c r="E1298" s="17" t="s">
        <v>187</v>
      </c>
      <c r="F1298" s="17" t="s">
        <v>54</v>
      </c>
      <c r="H1298" s="19">
        <v>1.2311</v>
      </c>
      <c r="I1298" s="19"/>
      <c r="J1298" s="17" t="s">
        <v>82</v>
      </c>
      <c r="K1298" s="179">
        <v>810</v>
      </c>
      <c r="L1298" s="159">
        <v>50</v>
      </c>
      <c r="M1298" s="17" t="s">
        <v>361</v>
      </c>
      <c r="N1298" s="17" t="s">
        <v>66</v>
      </c>
      <c r="O1298" s="19" t="s">
        <v>141</v>
      </c>
      <c r="P1298" s="160"/>
      <c r="Q1298" s="160">
        <v>731</v>
      </c>
      <c r="R1298" s="95">
        <f>+P1297-Q1297-Q1298</f>
        <v>-200</v>
      </c>
      <c r="S1298" s="17">
        <v>1320</v>
      </c>
      <c r="T1298" s="19" t="s">
        <v>42</v>
      </c>
      <c r="U1298" s="102" t="s">
        <v>471</v>
      </c>
      <c r="V1298" s="64">
        <v>44666</v>
      </c>
      <c r="W1298" s="17" t="s">
        <v>69</v>
      </c>
      <c r="Y1298" s="68">
        <v>44682</v>
      </c>
      <c r="Z1298" s="17" t="s">
        <v>191</v>
      </c>
      <c r="AA1298" s="17" t="s">
        <v>46</v>
      </c>
      <c r="AB1298" s="17" t="s">
        <v>477</v>
      </c>
      <c r="AC1298" s="66">
        <v>44720</v>
      </c>
      <c r="AD1298" s="65">
        <v>1307</v>
      </c>
      <c r="AE1298" s="17" t="s">
        <v>74</v>
      </c>
      <c r="AF1298" s="17" t="s">
        <v>245</v>
      </c>
      <c r="AH1298" s="17" t="s">
        <v>472</v>
      </c>
      <c r="AI1298" s="17">
        <v>116</v>
      </c>
      <c r="AJ1298" s="17" t="s">
        <v>473</v>
      </c>
    </row>
    <row r="1299" s="17" customFormat="1" hidden="1" spans="1:36">
      <c r="A1299" s="17" t="s">
        <v>34</v>
      </c>
      <c r="B1299" s="19">
        <v>792</v>
      </c>
      <c r="C1299" s="101">
        <v>44663</v>
      </c>
      <c r="D1299" s="17" t="s">
        <v>52</v>
      </c>
      <c r="E1299" s="17" t="s">
        <v>187</v>
      </c>
      <c r="F1299" s="17" t="s">
        <v>54</v>
      </c>
      <c r="H1299" s="19">
        <v>1.2311</v>
      </c>
      <c r="I1299" s="19"/>
      <c r="J1299" s="17" t="s">
        <v>82</v>
      </c>
      <c r="K1299" s="179">
        <v>207</v>
      </c>
      <c r="L1299" s="159">
        <v>65</v>
      </c>
      <c r="M1299" s="17" t="s">
        <v>361</v>
      </c>
      <c r="N1299" s="17" t="s">
        <v>66</v>
      </c>
      <c r="O1299" s="19" t="s">
        <v>141</v>
      </c>
      <c r="P1299" s="160">
        <v>2000</v>
      </c>
      <c r="Q1299" s="160">
        <v>1753</v>
      </c>
      <c r="S1299" s="17">
        <v>1320</v>
      </c>
      <c r="T1299" s="19" t="s">
        <v>42</v>
      </c>
      <c r="U1299" s="102" t="s">
        <v>471</v>
      </c>
      <c r="V1299" s="64">
        <v>44666</v>
      </c>
      <c r="W1299" s="17" t="s">
        <v>69</v>
      </c>
      <c r="Y1299" s="68">
        <v>44682</v>
      </c>
      <c r="Z1299" s="17" t="s">
        <v>191</v>
      </c>
      <c r="AA1299" s="17" t="s">
        <v>46</v>
      </c>
      <c r="AB1299" s="17" t="s">
        <v>476</v>
      </c>
      <c r="AC1299" s="66">
        <v>44694</v>
      </c>
      <c r="AD1299" s="65">
        <v>1296</v>
      </c>
      <c r="AE1299" s="17" t="s">
        <v>74</v>
      </c>
      <c r="AF1299" s="17" t="s">
        <v>245</v>
      </c>
      <c r="AH1299" s="17" t="s">
        <v>472</v>
      </c>
      <c r="AI1299" s="17">
        <v>116</v>
      </c>
      <c r="AJ1299" s="17" t="s">
        <v>473</v>
      </c>
    </row>
    <row r="1300" s="17" customFormat="1" hidden="1" spans="1:36">
      <c r="A1300" s="17" t="s">
        <v>34</v>
      </c>
      <c r="B1300" s="19">
        <v>792</v>
      </c>
      <c r="C1300" s="101">
        <v>44663</v>
      </c>
      <c r="D1300" s="17" t="s">
        <v>52</v>
      </c>
      <c r="E1300" s="17" t="s">
        <v>187</v>
      </c>
      <c r="F1300" s="17" t="s">
        <v>54</v>
      </c>
      <c r="H1300" s="19">
        <v>1.2311</v>
      </c>
      <c r="I1300" s="19"/>
      <c r="J1300" s="17" t="s">
        <v>82</v>
      </c>
      <c r="K1300" s="179">
        <v>207</v>
      </c>
      <c r="L1300" s="159">
        <v>65</v>
      </c>
      <c r="M1300" s="17" t="s">
        <v>361</v>
      </c>
      <c r="N1300" s="17" t="s">
        <v>66</v>
      </c>
      <c r="O1300" s="19" t="s">
        <v>141</v>
      </c>
      <c r="P1300" s="160"/>
      <c r="Q1300" s="160">
        <v>246</v>
      </c>
      <c r="R1300" s="95">
        <f>+P1299-Q1299-Q1300</f>
        <v>1</v>
      </c>
      <c r="S1300" s="17">
        <v>1320</v>
      </c>
      <c r="T1300" s="19" t="s">
        <v>42</v>
      </c>
      <c r="U1300" s="102" t="s">
        <v>471</v>
      </c>
      <c r="V1300" s="64">
        <v>44666</v>
      </c>
      <c r="W1300" s="17" t="s">
        <v>69</v>
      </c>
      <c r="Y1300" s="68">
        <v>44682</v>
      </c>
      <c r="Z1300" s="17" t="s">
        <v>191</v>
      </c>
      <c r="AA1300" s="17" t="s">
        <v>46</v>
      </c>
      <c r="AB1300" s="17" t="s">
        <v>477</v>
      </c>
      <c r="AC1300" s="66">
        <v>44720</v>
      </c>
      <c r="AD1300" s="65">
        <v>1307</v>
      </c>
      <c r="AE1300" s="17" t="s">
        <v>74</v>
      </c>
      <c r="AF1300" s="17" t="s">
        <v>245</v>
      </c>
      <c r="AH1300" s="17" t="s">
        <v>472</v>
      </c>
      <c r="AI1300" s="17">
        <v>116</v>
      </c>
      <c r="AJ1300" s="17" t="s">
        <v>473</v>
      </c>
    </row>
    <row r="1301" s="17" customFormat="1" hidden="1" spans="1:36">
      <c r="A1301" s="17" t="s">
        <v>34</v>
      </c>
      <c r="B1301" s="19">
        <v>792</v>
      </c>
      <c r="C1301" s="101">
        <v>44663</v>
      </c>
      <c r="D1301" s="17" t="s">
        <v>52</v>
      </c>
      <c r="E1301" s="17" t="s">
        <v>187</v>
      </c>
      <c r="F1301" s="17" t="s">
        <v>54</v>
      </c>
      <c r="H1301" s="19">
        <v>1.2311</v>
      </c>
      <c r="I1301" s="19"/>
      <c r="J1301" s="17" t="s">
        <v>82</v>
      </c>
      <c r="K1301" s="179">
        <v>257</v>
      </c>
      <c r="L1301" s="159">
        <v>65</v>
      </c>
      <c r="M1301" s="17" t="s">
        <v>361</v>
      </c>
      <c r="N1301" s="17" t="s">
        <v>66</v>
      </c>
      <c r="O1301" s="19" t="s">
        <v>141</v>
      </c>
      <c r="P1301" s="160">
        <v>2000</v>
      </c>
      <c r="Q1301" s="160">
        <v>1173</v>
      </c>
      <c r="S1301" s="17">
        <v>1320</v>
      </c>
      <c r="T1301" s="19" t="s">
        <v>42</v>
      </c>
      <c r="U1301" s="102" t="s">
        <v>471</v>
      </c>
      <c r="V1301" s="64">
        <v>44666</v>
      </c>
      <c r="W1301" s="17" t="s">
        <v>69</v>
      </c>
      <c r="Y1301" s="68">
        <v>44682</v>
      </c>
      <c r="Z1301" s="17" t="s">
        <v>191</v>
      </c>
      <c r="AA1301" s="17" t="s">
        <v>46</v>
      </c>
      <c r="AB1301" s="17" t="s">
        <v>476</v>
      </c>
      <c r="AC1301" s="66">
        <v>44694</v>
      </c>
      <c r="AD1301" s="65">
        <v>1296</v>
      </c>
      <c r="AE1301" s="17" t="s">
        <v>74</v>
      </c>
      <c r="AF1301" s="17" t="s">
        <v>245</v>
      </c>
      <c r="AH1301" s="17" t="s">
        <v>472</v>
      </c>
      <c r="AI1301" s="17">
        <v>116</v>
      </c>
      <c r="AJ1301" s="17" t="s">
        <v>473</v>
      </c>
    </row>
    <row r="1302" s="17" customFormat="1" hidden="1" spans="1:36">
      <c r="A1302" s="17" t="s">
        <v>34</v>
      </c>
      <c r="B1302" s="19">
        <v>792</v>
      </c>
      <c r="C1302" s="101">
        <v>44663</v>
      </c>
      <c r="D1302" s="17" t="s">
        <v>52</v>
      </c>
      <c r="E1302" s="17" t="s">
        <v>187</v>
      </c>
      <c r="F1302" s="17" t="s">
        <v>54</v>
      </c>
      <c r="H1302" s="19">
        <v>1.2311</v>
      </c>
      <c r="I1302" s="19"/>
      <c r="J1302" s="17" t="s">
        <v>82</v>
      </c>
      <c r="K1302" s="179">
        <v>257</v>
      </c>
      <c r="L1302" s="159">
        <v>65</v>
      </c>
      <c r="M1302" s="17" t="s">
        <v>361</v>
      </c>
      <c r="N1302" s="17" t="s">
        <v>66</v>
      </c>
      <c r="O1302" s="19" t="s">
        <v>141</v>
      </c>
      <c r="P1302" s="160"/>
      <c r="Q1302" s="160">
        <f>309+310+305+310+309+311</f>
        <v>1854</v>
      </c>
      <c r="R1302" s="95">
        <f>+P1301-Q1301-Q1302</f>
        <v>-1027</v>
      </c>
      <c r="S1302" s="17">
        <v>1320</v>
      </c>
      <c r="T1302" s="19" t="s">
        <v>42</v>
      </c>
      <c r="U1302" s="102" t="s">
        <v>471</v>
      </c>
      <c r="V1302" s="64">
        <v>44666</v>
      </c>
      <c r="W1302" s="17" t="s">
        <v>69</v>
      </c>
      <c r="Y1302" s="68">
        <v>44682</v>
      </c>
      <c r="Z1302" s="17" t="s">
        <v>191</v>
      </c>
      <c r="AA1302" s="17" t="s">
        <v>46</v>
      </c>
      <c r="AB1302" s="17" t="s">
        <v>477</v>
      </c>
      <c r="AC1302" s="66">
        <v>44720</v>
      </c>
      <c r="AD1302" s="65">
        <v>1307</v>
      </c>
      <c r="AE1302" s="17" t="s">
        <v>74</v>
      </c>
      <c r="AF1302" s="17" t="s">
        <v>245</v>
      </c>
      <c r="AH1302" s="17" t="s">
        <v>472</v>
      </c>
      <c r="AI1302" s="17">
        <v>116</v>
      </c>
      <c r="AJ1302" s="17" t="s">
        <v>473</v>
      </c>
    </row>
    <row r="1303" s="17" customFormat="1" hidden="1" spans="1:36">
      <c r="A1303" s="17" t="s">
        <v>34</v>
      </c>
      <c r="B1303" s="19">
        <v>792</v>
      </c>
      <c r="C1303" s="101">
        <v>44663</v>
      </c>
      <c r="D1303" s="17" t="s">
        <v>52</v>
      </c>
      <c r="E1303" s="17" t="s">
        <v>187</v>
      </c>
      <c r="F1303" s="17" t="s">
        <v>54</v>
      </c>
      <c r="H1303" s="19">
        <v>1.2311</v>
      </c>
      <c r="I1303" s="19"/>
      <c r="J1303" s="17" t="s">
        <v>82</v>
      </c>
      <c r="K1303" s="179">
        <v>307</v>
      </c>
      <c r="L1303" s="159">
        <v>65</v>
      </c>
      <c r="M1303" s="17" t="s">
        <v>361</v>
      </c>
      <c r="N1303" s="17" t="s">
        <v>66</v>
      </c>
      <c r="O1303" s="19" t="s">
        <v>141</v>
      </c>
      <c r="P1303" s="160">
        <v>2000</v>
      </c>
      <c r="Q1303" s="160">
        <f>370+364+367+372+373+369</f>
        <v>2215</v>
      </c>
      <c r="R1303" s="17">
        <f>+P1303-Q1303</f>
        <v>-215</v>
      </c>
      <c r="S1303" s="17">
        <v>1320</v>
      </c>
      <c r="T1303" s="19" t="s">
        <v>42</v>
      </c>
      <c r="U1303" s="102" t="s">
        <v>471</v>
      </c>
      <c r="V1303" s="64">
        <v>44666</v>
      </c>
      <c r="W1303" s="17" t="s">
        <v>69</v>
      </c>
      <c r="Y1303" s="68">
        <v>44682</v>
      </c>
      <c r="Z1303" s="17" t="s">
        <v>191</v>
      </c>
      <c r="AA1303" s="17" t="s">
        <v>46</v>
      </c>
      <c r="AB1303" s="17" t="s">
        <v>477</v>
      </c>
      <c r="AC1303" s="66">
        <v>44720</v>
      </c>
      <c r="AD1303" s="65">
        <v>1307</v>
      </c>
      <c r="AE1303" s="17" t="s">
        <v>74</v>
      </c>
      <c r="AF1303" s="17" t="s">
        <v>245</v>
      </c>
      <c r="AH1303" s="17" t="s">
        <v>472</v>
      </c>
      <c r="AI1303" s="17">
        <v>116</v>
      </c>
      <c r="AJ1303" s="17" t="s">
        <v>473</v>
      </c>
    </row>
    <row r="1304" s="17" customFormat="1" hidden="1" spans="1:36">
      <c r="A1304" s="17" t="s">
        <v>34</v>
      </c>
      <c r="B1304" s="19">
        <v>792</v>
      </c>
      <c r="C1304" s="101">
        <v>44663</v>
      </c>
      <c r="D1304" s="17" t="s">
        <v>52</v>
      </c>
      <c r="E1304" s="17" t="s">
        <v>187</v>
      </c>
      <c r="F1304" s="17" t="s">
        <v>54</v>
      </c>
      <c r="H1304" s="19">
        <v>1.2311</v>
      </c>
      <c r="I1304" s="19"/>
      <c r="J1304" s="17" t="s">
        <v>82</v>
      </c>
      <c r="K1304" s="179">
        <v>357</v>
      </c>
      <c r="L1304" s="159">
        <v>65</v>
      </c>
      <c r="M1304" s="17" t="s">
        <v>361</v>
      </c>
      <c r="N1304" s="17" t="s">
        <v>66</v>
      </c>
      <c r="O1304" s="19" t="s">
        <v>141</v>
      </c>
      <c r="P1304" s="160">
        <v>2000</v>
      </c>
      <c r="Q1304" s="160">
        <f>428+422+420</f>
        <v>1270</v>
      </c>
      <c r="R1304" s="17">
        <f>+P1304-Q1304</f>
        <v>730</v>
      </c>
      <c r="S1304" s="17">
        <v>1320</v>
      </c>
      <c r="T1304" s="19" t="s">
        <v>42</v>
      </c>
      <c r="U1304" s="102" t="s">
        <v>471</v>
      </c>
      <c r="V1304" s="64">
        <v>44666</v>
      </c>
      <c r="W1304" s="17" t="s">
        <v>69</v>
      </c>
      <c r="Y1304" s="68">
        <v>44682</v>
      </c>
      <c r="Z1304" s="17" t="s">
        <v>191</v>
      </c>
      <c r="AA1304" s="17" t="s">
        <v>46</v>
      </c>
      <c r="AB1304" s="17" t="s">
        <v>477</v>
      </c>
      <c r="AC1304" s="66">
        <v>44720</v>
      </c>
      <c r="AD1304" s="65">
        <v>1307</v>
      </c>
      <c r="AE1304" s="17" t="s">
        <v>74</v>
      </c>
      <c r="AF1304" s="17" t="s">
        <v>245</v>
      </c>
      <c r="AH1304" s="17" t="s">
        <v>472</v>
      </c>
      <c r="AI1304" s="17">
        <v>116</v>
      </c>
      <c r="AJ1304" s="17" t="s">
        <v>473</v>
      </c>
    </row>
    <row r="1305" s="17" customFormat="1" hidden="1" spans="1:36">
      <c r="A1305" s="17" t="s">
        <v>34</v>
      </c>
      <c r="B1305" s="19">
        <v>792</v>
      </c>
      <c r="C1305" s="101">
        <v>44663</v>
      </c>
      <c r="D1305" s="17" t="s">
        <v>52</v>
      </c>
      <c r="E1305" s="17" t="s">
        <v>187</v>
      </c>
      <c r="F1305" s="17" t="s">
        <v>54</v>
      </c>
      <c r="H1305" s="19">
        <v>1.2311</v>
      </c>
      <c r="I1305" s="19"/>
      <c r="J1305" s="17" t="s">
        <v>82</v>
      </c>
      <c r="K1305" s="179">
        <v>407</v>
      </c>
      <c r="L1305" s="159">
        <v>65</v>
      </c>
      <c r="M1305" s="17" t="s">
        <v>361</v>
      </c>
      <c r="N1305" s="17" t="s">
        <v>66</v>
      </c>
      <c r="O1305" s="19" t="s">
        <v>141</v>
      </c>
      <c r="P1305" s="160">
        <v>2000</v>
      </c>
      <c r="Q1305" s="160">
        <f>487+484+484+484</f>
        <v>1939</v>
      </c>
      <c r="R1305" s="17">
        <f>+P1305-Q1305</f>
        <v>61</v>
      </c>
      <c r="S1305" s="17">
        <v>1320</v>
      </c>
      <c r="T1305" s="19" t="s">
        <v>42</v>
      </c>
      <c r="U1305" s="102" t="s">
        <v>471</v>
      </c>
      <c r="V1305" s="64">
        <v>44666</v>
      </c>
      <c r="W1305" s="17" t="s">
        <v>69</v>
      </c>
      <c r="Y1305" s="68">
        <v>44682</v>
      </c>
      <c r="Z1305" s="17" t="s">
        <v>191</v>
      </c>
      <c r="AA1305" s="17" t="s">
        <v>46</v>
      </c>
      <c r="AB1305" s="17" t="s">
        <v>477</v>
      </c>
      <c r="AC1305" s="66">
        <v>44720</v>
      </c>
      <c r="AD1305" s="65">
        <v>1307</v>
      </c>
      <c r="AE1305" s="17" t="s">
        <v>74</v>
      </c>
      <c r="AF1305" s="17" t="s">
        <v>245</v>
      </c>
      <c r="AH1305" s="17" t="s">
        <v>472</v>
      </c>
      <c r="AI1305" s="17">
        <v>116</v>
      </c>
      <c r="AJ1305" s="17" t="s">
        <v>473</v>
      </c>
    </row>
    <row r="1306" s="17" customFormat="1" hidden="1" spans="1:36">
      <c r="A1306" s="17" t="s">
        <v>34</v>
      </c>
      <c r="B1306" s="19">
        <v>792</v>
      </c>
      <c r="C1306" s="101">
        <v>44663</v>
      </c>
      <c r="D1306" s="17" t="s">
        <v>52</v>
      </c>
      <c r="E1306" s="17" t="s">
        <v>187</v>
      </c>
      <c r="F1306" s="17" t="s">
        <v>54</v>
      </c>
      <c r="H1306" s="19">
        <v>1.2311</v>
      </c>
      <c r="I1306" s="19"/>
      <c r="J1306" s="17" t="s">
        <v>82</v>
      </c>
      <c r="K1306" s="179">
        <v>457</v>
      </c>
      <c r="L1306" s="159">
        <v>65</v>
      </c>
      <c r="M1306" s="17" t="s">
        <v>361</v>
      </c>
      <c r="N1306" s="17" t="s">
        <v>66</v>
      </c>
      <c r="O1306" s="19" t="s">
        <v>141</v>
      </c>
      <c r="P1306" s="160">
        <v>2000</v>
      </c>
      <c r="Q1306" s="160">
        <f>541+543+542+543</f>
        <v>2169</v>
      </c>
      <c r="R1306" s="17">
        <f>+P1306-Q1306</f>
        <v>-169</v>
      </c>
      <c r="S1306" s="17">
        <v>1320</v>
      </c>
      <c r="T1306" s="19" t="s">
        <v>42</v>
      </c>
      <c r="U1306" s="102" t="s">
        <v>471</v>
      </c>
      <c r="V1306" s="64">
        <v>44666</v>
      </c>
      <c r="W1306" s="17" t="s">
        <v>69</v>
      </c>
      <c r="Y1306" s="68">
        <v>44682</v>
      </c>
      <c r="Z1306" s="17" t="s">
        <v>191</v>
      </c>
      <c r="AA1306" s="17" t="s">
        <v>46</v>
      </c>
      <c r="AB1306" s="17" t="s">
        <v>477</v>
      </c>
      <c r="AC1306" s="66">
        <v>44720</v>
      </c>
      <c r="AD1306" s="65">
        <v>1307</v>
      </c>
      <c r="AE1306" s="17" t="s">
        <v>74</v>
      </c>
      <c r="AF1306" s="17" t="s">
        <v>245</v>
      </c>
      <c r="AH1306" s="17" t="s">
        <v>472</v>
      </c>
      <c r="AI1306" s="17">
        <v>116</v>
      </c>
      <c r="AJ1306" s="17" t="s">
        <v>473</v>
      </c>
    </row>
    <row r="1307" s="17" customFormat="1" hidden="1" spans="1:36">
      <c r="A1307" s="17" t="s">
        <v>34</v>
      </c>
      <c r="B1307" s="19">
        <v>792</v>
      </c>
      <c r="C1307" s="101">
        <v>44663</v>
      </c>
      <c r="D1307" s="17" t="s">
        <v>52</v>
      </c>
      <c r="E1307" s="17" t="s">
        <v>187</v>
      </c>
      <c r="F1307" s="17" t="s">
        <v>54</v>
      </c>
      <c r="H1307" s="19">
        <v>1.2311</v>
      </c>
      <c r="I1307" s="19"/>
      <c r="J1307" s="17" t="s">
        <v>82</v>
      </c>
      <c r="K1307" s="179">
        <v>507</v>
      </c>
      <c r="L1307" s="159">
        <v>65</v>
      </c>
      <c r="M1307" s="17" t="s">
        <v>361</v>
      </c>
      <c r="N1307" s="17" t="s">
        <v>66</v>
      </c>
      <c r="O1307" s="19" t="s">
        <v>141</v>
      </c>
      <c r="P1307" s="160">
        <v>2000</v>
      </c>
      <c r="Q1307" s="160">
        <f>603+606+598</f>
        <v>1807</v>
      </c>
      <c r="S1307" s="17">
        <v>1320</v>
      </c>
      <c r="T1307" s="19" t="s">
        <v>42</v>
      </c>
      <c r="U1307" s="102" t="s">
        <v>471</v>
      </c>
      <c r="V1307" s="64">
        <v>44666</v>
      </c>
      <c r="W1307" s="17" t="s">
        <v>69</v>
      </c>
      <c r="Y1307" s="68">
        <v>44682</v>
      </c>
      <c r="Z1307" s="17" t="s">
        <v>191</v>
      </c>
      <c r="AA1307" s="17" t="s">
        <v>46</v>
      </c>
      <c r="AB1307" s="17" t="s">
        <v>477</v>
      </c>
      <c r="AC1307" s="66">
        <v>44720</v>
      </c>
      <c r="AD1307" s="65">
        <v>1307</v>
      </c>
      <c r="AE1307" s="17" t="s">
        <v>74</v>
      </c>
      <c r="AF1307" s="17" t="s">
        <v>245</v>
      </c>
      <c r="AH1307" s="17" t="s">
        <v>472</v>
      </c>
      <c r="AI1307" s="17">
        <v>116</v>
      </c>
      <c r="AJ1307" s="17" t="s">
        <v>473</v>
      </c>
    </row>
    <row r="1308" s="17" customFormat="1" hidden="1" spans="1:36">
      <c r="A1308" s="17" t="s">
        <v>34</v>
      </c>
      <c r="B1308" s="19">
        <v>792</v>
      </c>
      <c r="C1308" s="101">
        <v>44663</v>
      </c>
      <c r="D1308" s="17" t="s">
        <v>52</v>
      </c>
      <c r="E1308" s="17" t="s">
        <v>187</v>
      </c>
      <c r="F1308" s="17" t="s">
        <v>54</v>
      </c>
      <c r="H1308" s="19">
        <v>1.2311</v>
      </c>
      <c r="I1308" s="19"/>
      <c r="J1308" s="17" t="s">
        <v>82</v>
      </c>
      <c r="K1308" s="179">
        <v>505</v>
      </c>
      <c r="L1308" s="159">
        <v>65</v>
      </c>
      <c r="M1308" s="17" t="s">
        <v>361</v>
      </c>
      <c r="N1308" s="17" t="s">
        <v>66</v>
      </c>
      <c r="O1308" s="19" t="s">
        <v>141</v>
      </c>
      <c r="P1308" s="160"/>
      <c r="Q1308" s="160">
        <f>655+662</f>
        <v>1317</v>
      </c>
      <c r="R1308" s="95">
        <f>+P1307-Q1307-Q1308</f>
        <v>-1124</v>
      </c>
      <c r="S1308" s="17">
        <v>1320</v>
      </c>
      <c r="T1308" s="19" t="s">
        <v>42</v>
      </c>
      <c r="U1308" s="102" t="s">
        <v>471</v>
      </c>
      <c r="V1308" s="64">
        <v>44666</v>
      </c>
      <c r="W1308" s="17" t="s">
        <v>69</v>
      </c>
      <c r="Y1308" s="68">
        <v>44682</v>
      </c>
      <c r="Z1308" s="17" t="s">
        <v>191</v>
      </c>
      <c r="AA1308" s="17" t="s">
        <v>46</v>
      </c>
      <c r="AB1308" s="17" t="s">
        <v>478</v>
      </c>
      <c r="AC1308" s="66">
        <v>44722</v>
      </c>
      <c r="AD1308" s="65">
        <v>1308</v>
      </c>
      <c r="AE1308" s="17" t="s">
        <v>48</v>
      </c>
      <c r="AF1308" s="17" t="s">
        <v>245</v>
      </c>
    </row>
    <row r="1309" s="17" customFormat="1" hidden="1" spans="1:36">
      <c r="A1309" s="17" t="s">
        <v>34</v>
      </c>
      <c r="B1309" s="19">
        <v>792</v>
      </c>
      <c r="C1309" s="101">
        <v>44663</v>
      </c>
      <c r="D1309" s="17" t="s">
        <v>52</v>
      </c>
      <c r="E1309" s="17" t="s">
        <v>187</v>
      </c>
      <c r="F1309" s="17" t="s">
        <v>54</v>
      </c>
      <c r="H1309" s="19">
        <v>1.2311</v>
      </c>
      <c r="I1309" s="19"/>
      <c r="J1309" s="17" t="s">
        <v>82</v>
      </c>
      <c r="K1309" s="179">
        <v>557</v>
      </c>
      <c r="L1309" s="159">
        <v>65</v>
      </c>
      <c r="M1309" s="17" t="s">
        <v>361</v>
      </c>
      <c r="N1309" s="17" t="s">
        <v>66</v>
      </c>
      <c r="O1309" s="19" t="s">
        <v>141</v>
      </c>
      <c r="P1309" s="160">
        <v>2000</v>
      </c>
      <c r="Q1309" s="160">
        <v>664</v>
      </c>
      <c r="R1309" s="17">
        <f t="shared" ref="R1309:R1317" si="73">+P1309-Q1309</f>
        <v>1336</v>
      </c>
      <c r="S1309" s="17">
        <v>1320</v>
      </c>
      <c r="T1309" s="19" t="s">
        <v>42</v>
      </c>
      <c r="U1309" s="102" t="s">
        <v>471</v>
      </c>
      <c r="V1309" s="64">
        <v>44666</v>
      </c>
      <c r="W1309" s="17" t="s">
        <v>69</v>
      </c>
      <c r="Y1309" s="68">
        <v>44682</v>
      </c>
      <c r="Z1309" s="17" t="s">
        <v>191</v>
      </c>
      <c r="AA1309" s="17" t="s">
        <v>46</v>
      </c>
      <c r="AB1309" s="17" t="s">
        <v>477</v>
      </c>
      <c r="AC1309" s="66">
        <v>44720</v>
      </c>
      <c r="AD1309" s="65">
        <v>1307</v>
      </c>
      <c r="AE1309" s="17" t="s">
        <v>74</v>
      </c>
      <c r="AF1309" s="17" t="s">
        <v>245</v>
      </c>
      <c r="AH1309" s="17" t="s">
        <v>472</v>
      </c>
      <c r="AI1309" s="17">
        <v>116</v>
      </c>
      <c r="AJ1309" s="17" t="s">
        <v>473</v>
      </c>
    </row>
    <row r="1310" s="17" customFormat="1" hidden="1" spans="1:36">
      <c r="A1310" s="17" t="s">
        <v>34</v>
      </c>
      <c r="B1310" s="19">
        <v>792</v>
      </c>
      <c r="C1310" s="101">
        <v>44663</v>
      </c>
      <c r="D1310" s="17" t="s">
        <v>52</v>
      </c>
      <c r="E1310" s="17" t="s">
        <v>187</v>
      </c>
      <c r="F1310" s="17" t="s">
        <v>54</v>
      </c>
      <c r="H1310" s="19">
        <v>1.2311</v>
      </c>
      <c r="I1310" s="19"/>
      <c r="J1310" s="17" t="s">
        <v>82</v>
      </c>
      <c r="K1310" s="179">
        <v>207</v>
      </c>
      <c r="L1310" s="159">
        <v>80</v>
      </c>
      <c r="M1310" s="17" t="s">
        <v>361</v>
      </c>
      <c r="N1310" s="17" t="s">
        <v>66</v>
      </c>
      <c r="O1310" s="19" t="s">
        <v>141</v>
      </c>
      <c r="P1310" s="160">
        <v>2000</v>
      </c>
      <c r="Q1310" s="160">
        <v>1820</v>
      </c>
      <c r="R1310" s="17">
        <f t="shared" si="73"/>
        <v>180</v>
      </c>
      <c r="S1310" s="17">
        <v>1320</v>
      </c>
      <c r="T1310" s="19" t="s">
        <v>42</v>
      </c>
      <c r="U1310" s="102" t="s">
        <v>471</v>
      </c>
      <c r="V1310" s="64">
        <v>44666</v>
      </c>
      <c r="W1310" s="17" t="s">
        <v>69</v>
      </c>
      <c r="Y1310" s="68">
        <v>44682</v>
      </c>
      <c r="Z1310" s="17" t="s">
        <v>191</v>
      </c>
      <c r="AA1310" s="17" t="s">
        <v>46</v>
      </c>
      <c r="AB1310" s="17" t="s">
        <v>476</v>
      </c>
      <c r="AC1310" s="66">
        <v>44694</v>
      </c>
      <c r="AD1310" s="65">
        <v>1296</v>
      </c>
      <c r="AE1310" s="17" t="s">
        <v>74</v>
      </c>
      <c r="AF1310" s="17" t="s">
        <v>245</v>
      </c>
      <c r="AH1310" s="17" t="s">
        <v>472</v>
      </c>
      <c r="AI1310" s="17">
        <v>116</v>
      </c>
      <c r="AJ1310" s="17" t="s">
        <v>473</v>
      </c>
    </row>
    <row r="1311" s="17" customFormat="1" hidden="1" spans="1:36">
      <c r="A1311" s="17" t="s">
        <v>34</v>
      </c>
      <c r="B1311" s="19">
        <v>792</v>
      </c>
      <c r="C1311" s="101">
        <v>44663</v>
      </c>
      <c r="D1311" s="17" t="s">
        <v>52</v>
      </c>
      <c r="E1311" s="17" t="s">
        <v>187</v>
      </c>
      <c r="F1311" s="17" t="s">
        <v>54</v>
      </c>
      <c r="H1311" s="19">
        <v>1.2311</v>
      </c>
      <c r="I1311" s="19"/>
      <c r="J1311" s="17" t="s">
        <v>82</v>
      </c>
      <c r="K1311" s="179">
        <v>257</v>
      </c>
      <c r="L1311" s="159">
        <v>80</v>
      </c>
      <c r="M1311" s="17" t="s">
        <v>361</v>
      </c>
      <c r="N1311" s="17" t="s">
        <v>66</v>
      </c>
      <c r="O1311" s="19" t="s">
        <v>141</v>
      </c>
      <c r="P1311" s="160">
        <v>2000</v>
      </c>
      <c r="Q1311" s="160">
        <v>2257</v>
      </c>
      <c r="R1311" s="17">
        <f t="shared" si="73"/>
        <v>-257</v>
      </c>
      <c r="S1311" s="17">
        <v>1320</v>
      </c>
      <c r="T1311" s="19" t="s">
        <v>42</v>
      </c>
      <c r="U1311" s="102" t="s">
        <v>471</v>
      </c>
      <c r="V1311" s="64">
        <v>44666</v>
      </c>
      <c r="W1311" s="17" t="s">
        <v>69</v>
      </c>
      <c r="Y1311" s="68">
        <v>44682</v>
      </c>
      <c r="Z1311" s="17" t="s">
        <v>191</v>
      </c>
      <c r="AA1311" s="17" t="s">
        <v>46</v>
      </c>
      <c r="AB1311" s="17" t="s">
        <v>476</v>
      </c>
      <c r="AC1311" s="66">
        <v>44694</v>
      </c>
      <c r="AD1311" s="65">
        <v>1296</v>
      </c>
      <c r="AE1311" s="17" t="s">
        <v>74</v>
      </c>
      <c r="AF1311" s="17" t="s">
        <v>245</v>
      </c>
      <c r="AH1311" s="17" t="s">
        <v>472</v>
      </c>
      <c r="AI1311" s="17">
        <v>116</v>
      </c>
      <c r="AJ1311" s="17" t="s">
        <v>473</v>
      </c>
    </row>
    <row r="1312" s="17" customFormat="1" hidden="1" spans="1:36">
      <c r="A1312" s="17" t="s">
        <v>34</v>
      </c>
      <c r="B1312" s="19">
        <v>792</v>
      </c>
      <c r="C1312" s="101">
        <v>44663</v>
      </c>
      <c r="D1312" s="17" t="s">
        <v>52</v>
      </c>
      <c r="E1312" s="17" t="s">
        <v>187</v>
      </c>
      <c r="F1312" s="17" t="s">
        <v>54</v>
      </c>
      <c r="H1312" s="19">
        <v>1.2311</v>
      </c>
      <c r="I1312" s="19"/>
      <c r="J1312" s="17" t="s">
        <v>82</v>
      </c>
      <c r="K1312" s="179">
        <v>307</v>
      </c>
      <c r="L1312" s="159">
        <v>80</v>
      </c>
      <c r="M1312" s="17" t="s">
        <v>361</v>
      </c>
      <c r="N1312" s="17" t="s">
        <v>66</v>
      </c>
      <c r="O1312" s="19" t="s">
        <v>141</v>
      </c>
      <c r="P1312" s="160">
        <v>2000</v>
      </c>
      <c r="Q1312" s="160">
        <v>2276</v>
      </c>
      <c r="R1312" s="17">
        <f t="shared" si="73"/>
        <v>-276</v>
      </c>
      <c r="S1312" s="17">
        <v>1320</v>
      </c>
      <c r="T1312" s="19" t="s">
        <v>42</v>
      </c>
      <c r="U1312" s="102" t="s">
        <v>471</v>
      </c>
      <c r="V1312" s="64">
        <v>44666</v>
      </c>
      <c r="W1312" s="17" t="s">
        <v>69</v>
      </c>
      <c r="Y1312" s="68">
        <v>44682</v>
      </c>
      <c r="Z1312" s="17" t="s">
        <v>191</v>
      </c>
      <c r="AA1312" s="17" t="s">
        <v>46</v>
      </c>
      <c r="AB1312" s="17" t="s">
        <v>477</v>
      </c>
      <c r="AC1312" s="66">
        <v>44720</v>
      </c>
      <c r="AD1312" s="65">
        <v>1307</v>
      </c>
      <c r="AE1312" s="17" t="s">
        <v>74</v>
      </c>
      <c r="AF1312" s="17" t="s">
        <v>245</v>
      </c>
      <c r="AH1312" s="17" t="s">
        <v>472</v>
      </c>
      <c r="AI1312" s="17">
        <v>116</v>
      </c>
      <c r="AJ1312" s="17" t="s">
        <v>473</v>
      </c>
    </row>
    <row r="1313" s="17" customFormat="1" hidden="1" spans="1:36">
      <c r="A1313" s="17" t="s">
        <v>34</v>
      </c>
      <c r="B1313" s="19">
        <v>792</v>
      </c>
      <c r="C1313" s="101">
        <v>44663</v>
      </c>
      <c r="D1313" s="17" t="s">
        <v>52</v>
      </c>
      <c r="E1313" s="17" t="s">
        <v>187</v>
      </c>
      <c r="F1313" s="17" t="s">
        <v>54</v>
      </c>
      <c r="H1313" s="19">
        <v>1.2311</v>
      </c>
      <c r="I1313" s="19"/>
      <c r="J1313" s="17" t="s">
        <v>82</v>
      </c>
      <c r="K1313" s="179">
        <v>357</v>
      </c>
      <c r="L1313" s="159">
        <v>80</v>
      </c>
      <c r="M1313" s="17" t="s">
        <v>361</v>
      </c>
      <c r="N1313" s="17" t="s">
        <v>66</v>
      </c>
      <c r="O1313" s="19" t="s">
        <v>141</v>
      </c>
      <c r="P1313" s="160">
        <v>2000</v>
      </c>
      <c r="Q1313" s="160">
        <v>1578</v>
      </c>
      <c r="R1313" s="17">
        <f t="shared" si="73"/>
        <v>422</v>
      </c>
      <c r="S1313" s="17">
        <v>1320</v>
      </c>
      <c r="T1313" s="19" t="s">
        <v>42</v>
      </c>
      <c r="U1313" s="102" t="s">
        <v>471</v>
      </c>
      <c r="V1313" s="64">
        <v>44666</v>
      </c>
      <c r="W1313" s="17" t="s">
        <v>69</v>
      </c>
      <c r="Y1313" s="68">
        <v>44682</v>
      </c>
      <c r="Z1313" s="17" t="s">
        <v>191</v>
      </c>
      <c r="AA1313" s="17" t="s">
        <v>46</v>
      </c>
      <c r="AB1313" s="17" t="s">
        <v>477</v>
      </c>
      <c r="AC1313" s="66">
        <v>44720</v>
      </c>
      <c r="AD1313" s="65">
        <v>1307</v>
      </c>
      <c r="AE1313" s="17" t="s">
        <v>74</v>
      </c>
      <c r="AF1313" s="17" t="s">
        <v>245</v>
      </c>
      <c r="AH1313" s="17" t="s">
        <v>472</v>
      </c>
      <c r="AI1313" s="17">
        <v>116</v>
      </c>
      <c r="AJ1313" s="17" t="s">
        <v>473</v>
      </c>
    </row>
    <row r="1314" s="17" customFormat="1" hidden="1" spans="1:36">
      <c r="A1314" s="17" t="s">
        <v>34</v>
      </c>
      <c r="B1314" s="19">
        <v>792</v>
      </c>
      <c r="C1314" s="101">
        <v>44663</v>
      </c>
      <c r="D1314" s="17" t="s">
        <v>52</v>
      </c>
      <c r="E1314" s="17" t="s">
        <v>187</v>
      </c>
      <c r="F1314" s="17" t="s">
        <v>54</v>
      </c>
      <c r="H1314" s="19">
        <v>1.2311</v>
      </c>
      <c r="I1314" s="19"/>
      <c r="J1314" s="17" t="s">
        <v>82</v>
      </c>
      <c r="K1314" s="179">
        <v>407</v>
      </c>
      <c r="L1314" s="159">
        <v>80</v>
      </c>
      <c r="M1314" s="17" t="s">
        <v>361</v>
      </c>
      <c r="N1314" s="17" t="s">
        <v>66</v>
      </c>
      <c r="O1314" s="19" t="s">
        <v>141</v>
      </c>
      <c r="P1314" s="160">
        <v>2000</v>
      </c>
      <c r="Q1314" s="160">
        <v>1790</v>
      </c>
      <c r="R1314" s="17">
        <f t="shared" si="73"/>
        <v>210</v>
      </c>
      <c r="S1314" s="17">
        <v>1320</v>
      </c>
      <c r="T1314" s="19" t="s">
        <v>42</v>
      </c>
      <c r="U1314" s="102" t="s">
        <v>471</v>
      </c>
      <c r="V1314" s="64">
        <v>44666</v>
      </c>
      <c r="W1314" s="17" t="s">
        <v>69</v>
      </c>
      <c r="Y1314" s="68">
        <v>44682</v>
      </c>
      <c r="Z1314" s="17" t="s">
        <v>191</v>
      </c>
      <c r="AA1314" s="17" t="s">
        <v>46</v>
      </c>
      <c r="AB1314" s="17" t="s">
        <v>477</v>
      </c>
      <c r="AC1314" s="66">
        <v>44720</v>
      </c>
      <c r="AD1314" s="65">
        <v>1307</v>
      </c>
      <c r="AE1314" s="17" t="s">
        <v>74</v>
      </c>
      <c r="AF1314" s="17" t="s">
        <v>245</v>
      </c>
      <c r="AH1314" s="17" t="s">
        <v>472</v>
      </c>
      <c r="AI1314" s="17">
        <v>116</v>
      </c>
      <c r="AJ1314" s="17" t="s">
        <v>473</v>
      </c>
    </row>
    <row r="1315" s="17" customFormat="1" hidden="1" spans="1:36">
      <c r="A1315" s="17" t="s">
        <v>34</v>
      </c>
      <c r="B1315" s="19">
        <v>792</v>
      </c>
      <c r="C1315" s="101">
        <v>44663</v>
      </c>
      <c r="D1315" s="17" t="s">
        <v>52</v>
      </c>
      <c r="E1315" s="17" t="s">
        <v>187</v>
      </c>
      <c r="F1315" s="17" t="s">
        <v>54</v>
      </c>
      <c r="H1315" s="19">
        <v>1.2311</v>
      </c>
      <c r="I1315" s="19"/>
      <c r="J1315" s="17" t="s">
        <v>82</v>
      </c>
      <c r="K1315" s="179">
        <v>457</v>
      </c>
      <c r="L1315" s="159">
        <v>80</v>
      </c>
      <c r="M1315" s="17" t="s">
        <v>361</v>
      </c>
      <c r="N1315" s="17" t="s">
        <v>66</v>
      </c>
      <c r="O1315" s="19" t="s">
        <v>141</v>
      </c>
      <c r="P1315" s="160">
        <v>2000</v>
      </c>
      <c r="Q1315" s="160">
        <v>2010</v>
      </c>
      <c r="R1315" s="17">
        <f t="shared" si="73"/>
        <v>-10</v>
      </c>
      <c r="S1315" s="17">
        <v>1320</v>
      </c>
      <c r="T1315" s="19" t="s">
        <v>42</v>
      </c>
      <c r="U1315" s="102" t="s">
        <v>471</v>
      </c>
      <c r="V1315" s="64">
        <v>44666</v>
      </c>
      <c r="W1315" s="17" t="s">
        <v>69</v>
      </c>
      <c r="Y1315" s="68">
        <v>44682</v>
      </c>
      <c r="Z1315" s="17" t="s">
        <v>191</v>
      </c>
      <c r="AA1315" s="17" t="s">
        <v>46</v>
      </c>
      <c r="AB1315" s="17" t="s">
        <v>477</v>
      </c>
      <c r="AC1315" s="66">
        <v>44720</v>
      </c>
      <c r="AD1315" s="65">
        <v>1307</v>
      </c>
      <c r="AE1315" s="17" t="s">
        <v>74</v>
      </c>
      <c r="AF1315" s="17" t="s">
        <v>245</v>
      </c>
      <c r="AH1315" s="17" t="s">
        <v>472</v>
      </c>
      <c r="AI1315" s="17">
        <v>116</v>
      </c>
      <c r="AJ1315" s="17" t="s">
        <v>473</v>
      </c>
    </row>
    <row r="1316" s="17" customFormat="1" hidden="1" spans="1:36">
      <c r="A1316" s="17" t="s">
        <v>34</v>
      </c>
      <c r="B1316" s="19">
        <v>792</v>
      </c>
      <c r="C1316" s="101">
        <v>44663</v>
      </c>
      <c r="D1316" s="17" t="s">
        <v>52</v>
      </c>
      <c r="E1316" s="17" t="s">
        <v>187</v>
      </c>
      <c r="F1316" s="17" t="s">
        <v>54</v>
      </c>
      <c r="H1316" s="19">
        <v>1.2311</v>
      </c>
      <c r="I1316" s="19"/>
      <c r="J1316" s="17" t="s">
        <v>82</v>
      </c>
      <c r="K1316" s="179">
        <v>507</v>
      </c>
      <c r="L1316" s="159">
        <v>80</v>
      </c>
      <c r="M1316" s="17" t="s">
        <v>361</v>
      </c>
      <c r="N1316" s="17" t="s">
        <v>66</v>
      </c>
      <c r="O1316" s="19" t="s">
        <v>141</v>
      </c>
      <c r="P1316" s="160">
        <v>2000</v>
      </c>
      <c r="Q1316" s="160">
        <v>2226</v>
      </c>
      <c r="R1316" s="17">
        <f t="shared" si="73"/>
        <v>-226</v>
      </c>
      <c r="S1316" s="17">
        <v>1320</v>
      </c>
      <c r="T1316" s="19" t="s">
        <v>42</v>
      </c>
      <c r="U1316" s="102" t="s">
        <v>471</v>
      </c>
      <c r="V1316" s="64">
        <v>44666</v>
      </c>
      <c r="W1316" s="17" t="s">
        <v>69</v>
      </c>
      <c r="Y1316" s="68">
        <v>44682</v>
      </c>
      <c r="Z1316" s="17" t="s">
        <v>191</v>
      </c>
      <c r="AA1316" s="17" t="s">
        <v>46</v>
      </c>
      <c r="AB1316" s="17" t="s">
        <v>477</v>
      </c>
      <c r="AC1316" s="66">
        <v>44720</v>
      </c>
      <c r="AD1316" s="65">
        <v>1307</v>
      </c>
      <c r="AE1316" s="17" t="s">
        <v>74</v>
      </c>
      <c r="AF1316" s="17" t="s">
        <v>245</v>
      </c>
      <c r="AH1316" s="17" t="s">
        <v>472</v>
      </c>
      <c r="AI1316" s="17">
        <v>116</v>
      </c>
      <c r="AJ1316" s="17" t="s">
        <v>473</v>
      </c>
    </row>
    <row r="1317" s="17" customFormat="1" hidden="1" spans="1:36">
      <c r="A1317" s="17" t="s">
        <v>34</v>
      </c>
      <c r="B1317" s="19">
        <v>792</v>
      </c>
      <c r="C1317" s="101">
        <v>44663</v>
      </c>
      <c r="D1317" s="17" t="s">
        <v>52</v>
      </c>
      <c r="E1317" s="17" t="s">
        <v>187</v>
      </c>
      <c r="F1317" s="17" t="s">
        <v>54</v>
      </c>
      <c r="H1317" s="19">
        <v>1.2311</v>
      </c>
      <c r="I1317" s="19"/>
      <c r="J1317" s="17" t="s">
        <v>82</v>
      </c>
      <c r="K1317" s="179">
        <v>557</v>
      </c>
      <c r="L1317" s="159">
        <v>80</v>
      </c>
      <c r="M1317" s="17" t="s">
        <v>361</v>
      </c>
      <c r="N1317" s="17" t="s">
        <v>66</v>
      </c>
      <c r="O1317" s="19" t="s">
        <v>141</v>
      </c>
      <c r="P1317" s="160">
        <v>2000</v>
      </c>
      <c r="Q1317" s="160">
        <v>1626</v>
      </c>
      <c r="R1317" s="17">
        <f t="shared" si="73"/>
        <v>374</v>
      </c>
      <c r="S1317" s="17">
        <v>1320</v>
      </c>
      <c r="T1317" s="19" t="s">
        <v>42</v>
      </c>
      <c r="U1317" s="102" t="s">
        <v>471</v>
      </c>
      <c r="V1317" s="64">
        <v>44666</v>
      </c>
      <c r="W1317" s="17" t="s">
        <v>69</v>
      </c>
      <c r="Y1317" s="68">
        <v>44682</v>
      </c>
      <c r="Z1317" s="17" t="s">
        <v>191</v>
      </c>
      <c r="AA1317" s="17" t="s">
        <v>46</v>
      </c>
      <c r="AB1317" s="17" t="s">
        <v>477</v>
      </c>
      <c r="AC1317" s="66">
        <v>44720</v>
      </c>
      <c r="AD1317" s="65">
        <v>1307</v>
      </c>
      <c r="AE1317" s="17" t="s">
        <v>74</v>
      </c>
      <c r="AF1317" s="17" t="s">
        <v>245</v>
      </c>
      <c r="AH1317" s="17" t="s">
        <v>472</v>
      </c>
      <c r="AI1317" s="17">
        <v>116</v>
      </c>
      <c r="AJ1317" s="17" t="s">
        <v>473</v>
      </c>
    </row>
    <row r="1318" s="17" customFormat="1" hidden="1" spans="1:36">
      <c r="A1318" s="17" t="s">
        <v>34</v>
      </c>
      <c r="B1318" s="19">
        <v>792</v>
      </c>
      <c r="C1318" s="101">
        <v>44663</v>
      </c>
      <c r="D1318" s="17" t="s">
        <v>52</v>
      </c>
      <c r="E1318" s="17" t="s">
        <v>187</v>
      </c>
      <c r="F1318" s="17" t="s">
        <v>54</v>
      </c>
      <c r="H1318" s="19">
        <v>1.2311</v>
      </c>
      <c r="I1318" s="19"/>
      <c r="J1318" s="17" t="s">
        <v>82</v>
      </c>
      <c r="K1318" s="162">
        <v>207</v>
      </c>
      <c r="L1318" s="159">
        <v>105</v>
      </c>
      <c r="M1318" s="17" t="s">
        <v>361</v>
      </c>
      <c r="N1318" s="17" t="s">
        <v>66</v>
      </c>
      <c r="O1318" s="19" t="s">
        <v>141</v>
      </c>
      <c r="P1318" s="160">
        <v>2000</v>
      </c>
      <c r="Q1318" s="160">
        <v>1596</v>
      </c>
      <c r="S1318" s="17">
        <v>1320</v>
      </c>
      <c r="T1318" s="19" t="s">
        <v>42</v>
      </c>
      <c r="U1318" s="102" t="s">
        <v>471</v>
      </c>
      <c r="V1318" s="64">
        <v>44666</v>
      </c>
      <c r="W1318" s="17" t="s">
        <v>69</v>
      </c>
      <c r="Y1318" s="68">
        <v>44682</v>
      </c>
      <c r="Z1318" s="17" t="s">
        <v>191</v>
      </c>
      <c r="AA1318" s="17" t="s">
        <v>46</v>
      </c>
      <c r="AB1318" s="17" t="s">
        <v>477</v>
      </c>
      <c r="AC1318" s="66">
        <v>44720</v>
      </c>
      <c r="AD1318" s="65">
        <v>1307</v>
      </c>
      <c r="AE1318" s="17" t="s">
        <v>74</v>
      </c>
      <c r="AF1318" s="17" t="s">
        <v>245</v>
      </c>
      <c r="AH1318" s="17" t="s">
        <v>472</v>
      </c>
      <c r="AI1318" s="17">
        <v>116</v>
      </c>
      <c r="AJ1318" s="17" t="s">
        <v>473</v>
      </c>
    </row>
    <row r="1319" s="17" customFormat="1" hidden="1" spans="1:36">
      <c r="A1319" s="17" t="s">
        <v>34</v>
      </c>
      <c r="B1319" s="19">
        <v>792</v>
      </c>
      <c r="C1319" s="101">
        <v>44663</v>
      </c>
      <c r="D1319" s="17" t="s">
        <v>52</v>
      </c>
      <c r="E1319" s="17" t="s">
        <v>187</v>
      </c>
      <c r="F1319" s="17" t="s">
        <v>54</v>
      </c>
      <c r="H1319" s="19">
        <v>1.2311</v>
      </c>
      <c r="I1319" s="19"/>
      <c r="J1319" s="17" t="s">
        <v>82</v>
      </c>
      <c r="K1319" s="162">
        <v>207</v>
      </c>
      <c r="L1319" s="159">
        <v>105</v>
      </c>
      <c r="M1319" s="17" t="s">
        <v>361</v>
      </c>
      <c r="N1319" s="17" t="s">
        <v>66</v>
      </c>
      <c r="O1319" s="19" t="s">
        <v>141</v>
      </c>
      <c r="P1319" s="160"/>
      <c r="Q1319" s="160">
        <v>400</v>
      </c>
      <c r="R1319" s="95">
        <f>+P1318-Q1318-Q1319</f>
        <v>4</v>
      </c>
      <c r="S1319" s="17">
        <v>1320</v>
      </c>
      <c r="T1319" s="19" t="s">
        <v>42</v>
      </c>
      <c r="U1319" s="102" t="s">
        <v>471</v>
      </c>
      <c r="V1319" s="110">
        <v>44666</v>
      </c>
      <c r="W1319" s="17" t="s">
        <v>69</v>
      </c>
      <c r="Y1319" s="68">
        <v>44682</v>
      </c>
      <c r="Z1319" s="17" t="s">
        <v>191</v>
      </c>
      <c r="AA1319" s="17" t="s">
        <v>46</v>
      </c>
      <c r="AB1319" s="17" t="s">
        <v>474</v>
      </c>
      <c r="AC1319" s="66" t="s">
        <v>475</v>
      </c>
      <c r="AD1319" s="65">
        <v>1316</v>
      </c>
      <c r="AF1319" s="17" t="s">
        <v>245</v>
      </c>
    </row>
    <row r="1320" s="17" customFormat="1" hidden="1" spans="1:36">
      <c r="A1320" s="17" t="s">
        <v>34</v>
      </c>
      <c r="B1320" s="19">
        <v>792</v>
      </c>
      <c r="C1320" s="101">
        <v>44663</v>
      </c>
      <c r="D1320" s="17" t="s">
        <v>52</v>
      </c>
      <c r="E1320" s="17" t="s">
        <v>187</v>
      </c>
      <c r="F1320" s="17" t="s">
        <v>54</v>
      </c>
      <c r="H1320" s="19">
        <v>1.2311</v>
      </c>
      <c r="I1320" s="19"/>
      <c r="J1320" s="17" t="s">
        <v>82</v>
      </c>
      <c r="K1320" s="162">
        <v>257</v>
      </c>
      <c r="L1320" s="159">
        <v>105</v>
      </c>
      <c r="M1320" s="17" t="s">
        <v>361</v>
      </c>
      <c r="N1320" s="17" t="s">
        <v>66</v>
      </c>
      <c r="O1320" s="19" t="s">
        <v>141</v>
      </c>
      <c r="P1320" s="160">
        <v>2000</v>
      </c>
      <c r="Q1320" s="160">
        <v>1992</v>
      </c>
      <c r="R1320" s="17">
        <f t="shared" ref="R1320:R1342" si="74">+P1320-Q1320</f>
        <v>8</v>
      </c>
      <c r="S1320" s="17">
        <v>1320</v>
      </c>
      <c r="T1320" s="19" t="s">
        <v>42</v>
      </c>
      <c r="U1320" s="102" t="s">
        <v>471</v>
      </c>
      <c r="V1320" s="64">
        <v>44666</v>
      </c>
      <c r="W1320" s="17" t="s">
        <v>69</v>
      </c>
      <c r="Y1320" s="68">
        <v>44682</v>
      </c>
      <c r="Z1320" s="17" t="s">
        <v>191</v>
      </c>
      <c r="AA1320" s="17" t="s">
        <v>46</v>
      </c>
      <c r="AB1320" s="17" t="s">
        <v>477</v>
      </c>
      <c r="AC1320" s="66">
        <v>44720</v>
      </c>
      <c r="AD1320" s="65">
        <v>1307</v>
      </c>
      <c r="AE1320" s="17" t="s">
        <v>74</v>
      </c>
      <c r="AF1320" s="17" t="s">
        <v>245</v>
      </c>
      <c r="AH1320" s="17" t="s">
        <v>472</v>
      </c>
      <c r="AI1320" s="17">
        <v>116</v>
      </c>
      <c r="AJ1320" s="17" t="s">
        <v>473</v>
      </c>
    </row>
    <row r="1321" s="17" customFormat="1" hidden="1" spans="1:36">
      <c r="A1321" s="17" t="s">
        <v>34</v>
      </c>
      <c r="B1321" s="19">
        <v>792</v>
      </c>
      <c r="C1321" s="101">
        <v>44663</v>
      </c>
      <c r="D1321" s="17" t="s">
        <v>52</v>
      </c>
      <c r="E1321" s="17" t="s">
        <v>187</v>
      </c>
      <c r="F1321" s="17" t="s">
        <v>54</v>
      </c>
      <c r="H1321" s="19">
        <v>1.2311</v>
      </c>
      <c r="I1321" s="19"/>
      <c r="J1321" s="17" t="s">
        <v>82</v>
      </c>
      <c r="K1321" s="162">
        <v>307</v>
      </c>
      <c r="L1321" s="159">
        <v>105</v>
      </c>
      <c r="M1321" s="17" t="s">
        <v>361</v>
      </c>
      <c r="N1321" s="17" t="s">
        <v>66</v>
      </c>
      <c r="O1321" s="19" t="s">
        <v>141</v>
      </c>
      <c r="P1321" s="160">
        <v>2000</v>
      </c>
      <c r="Q1321" s="160">
        <v>2374</v>
      </c>
      <c r="R1321" s="17">
        <f t="shared" si="74"/>
        <v>-374</v>
      </c>
      <c r="S1321" s="17">
        <v>1320</v>
      </c>
      <c r="T1321" s="19" t="s">
        <v>42</v>
      </c>
      <c r="U1321" s="102" t="s">
        <v>471</v>
      </c>
      <c r="V1321" s="64">
        <v>44666</v>
      </c>
      <c r="W1321" s="17" t="s">
        <v>69</v>
      </c>
      <c r="Y1321" s="68">
        <v>44682</v>
      </c>
      <c r="Z1321" s="17" t="s">
        <v>191</v>
      </c>
      <c r="AA1321" s="17" t="s">
        <v>46</v>
      </c>
      <c r="AB1321" s="17" t="s">
        <v>477</v>
      </c>
      <c r="AC1321" s="66">
        <v>44720</v>
      </c>
      <c r="AD1321" s="65">
        <v>1307</v>
      </c>
      <c r="AE1321" s="17" t="s">
        <v>74</v>
      </c>
      <c r="AF1321" s="17" t="s">
        <v>245</v>
      </c>
      <c r="AH1321" s="17" t="s">
        <v>472</v>
      </c>
      <c r="AI1321" s="17">
        <v>116</v>
      </c>
      <c r="AJ1321" s="17" t="s">
        <v>473</v>
      </c>
    </row>
    <row r="1322" s="17" customFormat="1" hidden="1" spans="1:36">
      <c r="A1322" s="17" t="s">
        <v>34</v>
      </c>
      <c r="B1322" s="19">
        <v>792</v>
      </c>
      <c r="C1322" s="101">
        <v>44663</v>
      </c>
      <c r="D1322" s="17" t="s">
        <v>52</v>
      </c>
      <c r="E1322" s="17" t="s">
        <v>187</v>
      </c>
      <c r="F1322" s="17" t="s">
        <v>54</v>
      </c>
      <c r="H1322" s="19">
        <v>1.2311</v>
      </c>
      <c r="I1322" s="19"/>
      <c r="J1322" s="17" t="s">
        <v>82</v>
      </c>
      <c r="K1322" s="162">
        <v>357</v>
      </c>
      <c r="L1322" s="159">
        <v>105</v>
      </c>
      <c r="M1322" s="17" t="s">
        <v>361</v>
      </c>
      <c r="N1322" s="17" t="s">
        <v>66</v>
      </c>
      <c r="O1322" s="19" t="s">
        <v>141</v>
      </c>
      <c r="P1322" s="160">
        <v>2000</v>
      </c>
      <c r="Q1322" s="160">
        <v>2064</v>
      </c>
      <c r="R1322" s="17">
        <f t="shared" si="74"/>
        <v>-64</v>
      </c>
      <c r="S1322" s="17">
        <v>1320</v>
      </c>
      <c r="T1322" s="19" t="s">
        <v>42</v>
      </c>
      <c r="U1322" s="102" t="s">
        <v>471</v>
      </c>
      <c r="V1322" s="64">
        <v>44666</v>
      </c>
      <c r="W1322" s="17" t="s">
        <v>69</v>
      </c>
      <c r="Y1322" s="68">
        <v>44682</v>
      </c>
      <c r="Z1322" s="17" t="s">
        <v>191</v>
      </c>
      <c r="AA1322" s="17" t="s">
        <v>46</v>
      </c>
      <c r="AB1322" s="17" t="s">
        <v>477</v>
      </c>
      <c r="AC1322" s="66">
        <v>44720</v>
      </c>
      <c r="AD1322" s="65">
        <v>1307</v>
      </c>
      <c r="AE1322" s="17" t="s">
        <v>74</v>
      </c>
      <c r="AF1322" s="17" t="s">
        <v>245</v>
      </c>
      <c r="AH1322" s="17" t="s">
        <v>472</v>
      </c>
      <c r="AI1322" s="17">
        <v>116</v>
      </c>
      <c r="AJ1322" s="17" t="s">
        <v>473</v>
      </c>
    </row>
    <row r="1323" s="17" customFormat="1" hidden="1" spans="1:36">
      <c r="A1323" s="17" t="s">
        <v>34</v>
      </c>
      <c r="B1323" s="19">
        <v>792</v>
      </c>
      <c r="C1323" s="101">
        <v>44663</v>
      </c>
      <c r="D1323" s="17" t="s">
        <v>52</v>
      </c>
      <c r="E1323" s="17" t="s">
        <v>187</v>
      </c>
      <c r="F1323" s="17" t="s">
        <v>54</v>
      </c>
      <c r="H1323" s="19">
        <v>1.2311</v>
      </c>
      <c r="I1323" s="19"/>
      <c r="J1323" s="17" t="s">
        <v>82</v>
      </c>
      <c r="K1323" s="162">
        <v>407</v>
      </c>
      <c r="L1323" s="159">
        <v>105</v>
      </c>
      <c r="M1323" s="17" t="s">
        <v>361</v>
      </c>
      <c r="N1323" s="17" t="s">
        <v>66</v>
      </c>
      <c r="O1323" s="19" t="s">
        <v>141</v>
      </c>
      <c r="P1323" s="160">
        <v>2000</v>
      </c>
      <c r="Q1323" s="160">
        <v>2360</v>
      </c>
      <c r="R1323" s="17">
        <f t="shared" si="74"/>
        <v>-360</v>
      </c>
      <c r="S1323" s="17">
        <v>1320</v>
      </c>
      <c r="T1323" s="19" t="s">
        <v>42</v>
      </c>
      <c r="U1323" s="102" t="s">
        <v>471</v>
      </c>
      <c r="V1323" s="64">
        <v>44666</v>
      </c>
      <c r="W1323" s="17" t="s">
        <v>69</v>
      </c>
      <c r="Y1323" s="68">
        <v>44682</v>
      </c>
      <c r="Z1323" s="17" t="s">
        <v>191</v>
      </c>
      <c r="AA1323" s="17" t="s">
        <v>46</v>
      </c>
      <c r="AB1323" s="17" t="s">
        <v>477</v>
      </c>
      <c r="AC1323" s="66">
        <v>44720</v>
      </c>
      <c r="AD1323" s="65">
        <v>1307</v>
      </c>
      <c r="AE1323" s="17" t="s">
        <v>74</v>
      </c>
      <c r="AF1323" s="17" t="s">
        <v>245</v>
      </c>
      <c r="AH1323" s="17" t="s">
        <v>472</v>
      </c>
      <c r="AI1323" s="17">
        <v>116</v>
      </c>
      <c r="AJ1323" s="17" t="s">
        <v>473</v>
      </c>
    </row>
    <row r="1324" s="17" customFormat="1" hidden="1" spans="1:36">
      <c r="A1324" s="17" t="s">
        <v>34</v>
      </c>
      <c r="B1324" s="19">
        <v>792</v>
      </c>
      <c r="C1324" s="101">
        <v>44663</v>
      </c>
      <c r="D1324" s="17" t="s">
        <v>52</v>
      </c>
      <c r="E1324" s="17" t="s">
        <v>187</v>
      </c>
      <c r="F1324" s="17" t="s">
        <v>54</v>
      </c>
      <c r="H1324" s="19">
        <v>1.2311</v>
      </c>
      <c r="I1324" s="19"/>
      <c r="J1324" s="17" t="s">
        <v>82</v>
      </c>
      <c r="K1324" s="162">
        <v>457</v>
      </c>
      <c r="L1324" s="159">
        <v>105</v>
      </c>
      <c r="M1324" s="17" t="s">
        <v>361</v>
      </c>
      <c r="N1324" s="17" t="s">
        <v>66</v>
      </c>
      <c r="O1324" s="19" t="s">
        <v>141</v>
      </c>
      <c r="P1324" s="160">
        <v>2000</v>
      </c>
      <c r="Q1324" s="160">
        <v>1764</v>
      </c>
      <c r="R1324" s="17">
        <f t="shared" si="74"/>
        <v>236</v>
      </c>
      <c r="S1324" s="17">
        <v>1320</v>
      </c>
      <c r="T1324" s="19" t="s">
        <v>42</v>
      </c>
      <c r="U1324" s="102" t="s">
        <v>471</v>
      </c>
      <c r="V1324" s="64">
        <v>44666</v>
      </c>
      <c r="W1324" s="17" t="s">
        <v>69</v>
      </c>
      <c r="Y1324" s="68">
        <v>44682</v>
      </c>
      <c r="Z1324" s="17" t="s">
        <v>191</v>
      </c>
      <c r="AA1324" s="17" t="s">
        <v>46</v>
      </c>
      <c r="AB1324" s="17" t="s">
        <v>477</v>
      </c>
      <c r="AC1324" s="66">
        <v>44720</v>
      </c>
      <c r="AD1324" s="65">
        <v>1307</v>
      </c>
      <c r="AE1324" s="17" t="s">
        <v>74</v>
      </c>
      <c r="AF1324" s="17" t="s">
        <v>245</v>
      </c>
      <c r="AH1324" s="17" t="s">
        <v>472</v>
      </c>
      <c r="AI1324" s="17">
        <v>116</v>
      </c>
      <c r="AJ1324" s="17" t="s">
        <v>473</v>
      </c>
    </row>
    <row r="1325" s="17" customFormat="1" hidden="1" spans="1:36">
      <c r="A1325" s="17" t="s">
        <v>34</v>
      </c>
      <c r="B1325" s="19">
        <v>792</v>
      </c>
      <c r="C1325" s="101">
        <v>44663</v>
      </c>
      <c r="D1325" s="17" t="s">
        <v>52</v>
      </c>
      <c r="E1325" s="17" t="s">
        <v>187</v>
      </c>
      <c r="F1325" s="17" t="s">
        <v>54</v>
      </c>
      <c r="H1325" s="19">
        <v>1.2311</v>
      </c>
      <c r="I1325" s="19"/>
      <c r="J1325" s="17" t="s">
        <v>82</v>
      </c>
      <c r="K1325" s="162">
        <v>507</v>
      </c>
      <c r="L1325" s="159">
        <v>105</v>
      </c>
      <c r="M1325" s="17" t="s">
        <v>361</v>
      </c>
      <c r="N1325" s="17" t="s">
        <v>66</v>
      </c>
      <c r="O1325" s="19" t="s">
        <v>141</v>
      </c>
      <c r="P1325" s="160">
        <v>2000</v>
      </c>
      <c r="Q1325" s="160">
        <v>1958</v>
      </c>
      <c r="R1325" s="17">
        <f t="shared" si="74"/>
        <v>42</v>
      </c>
      <c r="S1325" s="17">
        <v>1320</v>
      </c>
      <c r="T1325" s="19" t="s">
        <v>42</v>
      </c>
      <c r="U1325" s="102" t="s">
        <v>471</v>
      </c>
      <c r="V1325" s="64">
        <v>44666</v>
      </c>
      <c r="W1325" s="17" t="s">
        <v>69</v>
      </c>
      <c r="Y1325" s="68">
        <v>44682</v>
      </c>
      <c r="Z1325" s="17" t="s">
        <v>191</v>
      </c>
      <c r="AA1325" s="17" t="s">
        <v>46</v>
      </c>
      <c r="AB1325" s="17" t="s">
        <v>477</v>
      </c>
      <c r="AC1325" s="66">
        <v>44720</v>
      </c>
      <c r="AD1325" s="65">
        <v>1307</v>
      </c>
      <c r="AE1325" s="17" t="s">
        <v>74</v>
      </c>
      <c r="AF1325" s="17" t="s">
        <v>245</v>
      </c>
      <c r="AH1325" s="17" t="s">
        <v>472</v>
      </c>
      <c r="AI1325" s="17">
        <v>116</v>
      </c>
      <c r="AJ1325" s="17" t="s">
        <v>473</v>
      </c>
    </row>
    <row r="1326" s="17" customFormat="1" hidden="1" spans="1:36">
      <c r="A1326" s="17" t="s">
        <v>34</v>
      </c>
      <c r="B1326" s="19">
        <v>792</v>
      </c>
      <c r="C1326" s="101">
        <v>44663</v>
      </c>
      <c r="D1326" s="17" t="s">
        <v>52</v>
      </c>
      <c r="E1326" s="17" t="s">
        <v>187</v>
      </c>
      <c r="F1326" s="17" t="s">
        <v>54</v>
      </c>
      <c r="H1326" s="19">
        <v>1.2311</v>
      </c>
      <c r="I1326" s="19"/>
      <c r="J1326" s="17" t="s">
        <v>82</v>
      </c>
      <c r="K1326" s="162">
        <v>557</v>
      </c>
      <c r="L1326" s="159">
        <v>105</v>
      </c>
      <c r="M1326" s="17" t="s">
        <v>361</v>
      </c>
      <c r="N1326" s="17" t="s">
        <v>66</v>
      </c>
      <c r="O1326" s="19" t="s">
        <v>141</v>
      </c>
      <c r="P1326" s="180">
        <v>2000</v>
      </c>
      <c r="Q1326" s="180">
        <v>2128</v>
      </c>
      <c r="R1326" s="17">
        <f t="shared" si="74"/>
        <v>-128</v>
      </c>
      <c r="S1326" s="17">
        <v>1320</v>
      </c>
      <c r="T1326" s="19" t="s">
        <v>42</v>
      </c>
      <c r="U1326" s="102" t="s">
        <v>471</v>
      </c>
      <c r="V1326" s="64">
        <v>44666</v>
      </c>
      <c r="W1326" s="17" t="s">
        <v>69</v>
      </c>
      <c r="Y1326" s="68">
        <v>44682</v>
      </c>
      <c r="Z1326" s="17" t="s">
        <v>191</v>
      </c>
      <c r="AA1326" s="17" t="s">
        <v>46</v>
      </c>
      <c r="AB1326" s="17" t="s">
        <v>477</v>
      </c>
      <c r="AC1326" s="66">
        <v>44720</v>
      </c>
      <c r="AD1326" s="65">
        <v>1307</v>
      </c>
      <c r="AE1326" s="17" t="s">
        <v>74</v>
      </c>
      <c r="AF1326" s="17" t="s">
        <v>245</v>
      </c>
      <c r="AH1326" s="17" t="s">
        <v>472</v>
      </c>
      <c r="AI1326" s="17">
        <v>116</v>
      </c>
      <c r="AJ1326" s="17" t="s">
        <v>473</v>
      </c>
    </row>
    <row r="1327" s="17" customFormat="1" hidden="1" spans="1:36">
      <c r="A1327" s="17" t="s">
        <v>34</v>
      </c>
      <c r="B1327" s="19">
        <v>793</v>
      </c>
      <c r="C1327" s="101">
        <v>44663</v>
      </c>
      <c r="D1327" s="17" t="s">
        <v>52</v>
      </c>
      <c r="E1327" s="17" t="s">
        <v>187</v>
      </c>
      <c r="F1327" s="17" t="s">
        <v>54</v>
      </c>
      <c r="H1327" s="19">
        <v>1.2311</v>
      </c>
      <c r="I1327" s="19"/>
      <c r="J1327" s="17" t="s">
        <v>82</v>
      </c>
      <c r="K1327" s="181">
        <v>520</v>
      </c>
      <c r="L1327" s="182">
        <v>25</v>
      </c>
      <c r="M1327" s="181">
        <v>2200</v>
      </c>
      <c r="N1327" s="17" t="s">
        <v>66</v>
      </c>
      <c r="O1327" s="19" t="s">
        <v>141</v>
      </c>
      <c r="P1327" s="160">
        <v>1000</v>
      </c>
      <c r="Q1327" s="160">
        <f>240+244+247+247</f>
        <v>978</v>
      </c>
      <c r="R1327" s="17">
        <f t="shared" si="74"/>
        <v>22</v>
      </c>
      <c r="S1327" s="17">
        <v>1320</v>
      </c>
      <c r="T1327" s="19" t="s">
        <v>42</v>
      </c>
      <c r="U1327" s="102" t="s">
        <v>479</v>
      </c>
      <c r="V1327" s="64">
        <v>44671</v>
      </c>
      <c r="W1327" s="17" t="s">
        <v>69</v>
      </c>
      <c r="Y1327" s="68">
        <v>44682</v>
      </c>
      <c r="Z1327" s="17" t="s">
        <v>191</v>
      </c>
      <c r="AA1327" s="17" t="s">
        <v>46</v>
      </c>
      <c r="AB1327" s="17" t="s">
        <v>480</v>
      </c>
      <c r="AC1327" s="66">
        <v>44706</v>
      </c>
      <c r="AD1327" s="65">
        <v>1301</v>
      </c>
      <c r="AE1327" s="17" t="s">
        <v>48</v>
      </c>
      <c r="AF1327" s="17" t="s">
        <v>245</v>
      </c>
    </row>
    <row r="1328" s="17" customFormat="1" hidden="1" spans="1:36">
      <c r="A1328" s="17" t="s">
        <v>34</v>
      </c>
      <c r="B1328" s="19">
        <v>793</v>
      </c>
      <c r="C1328" s="101">
        <v>44663</v>
      </c>
      <c r="D1328" s="17" t="s">
        <v>52</v>
      </c>
      <c r="E1328" s="17" t="s">
        <v>187</v>
      </c>
      <c r="F1328" s="17" t="s">
        <v>54</v>
      </c>
      <c r="H1328" s="19">
        <v>1.2311</v>
      </c>
      <c r="I1328" s="19"/>
      <c r="J1328" s="17" t="s">
        <v>82</v>
      </c>
      <c r="K1328" s="181">
        <v>255</v>
      </c>
      <c r="L1328" s="182">
        <v>32</v>
      </c>
      <c r="M1328" s="181">
        <v>2200</v>
      </c>
      <c r="N1328" s="17" t="s">
        <v>66</v>
      </c>
      <c r="O1328" s="19" t="s">
        <v>141</v>
      </c>
      <c r="P1328" s="160">
        <v>300</v>
      </c>
      <c r="Q1328" s="160">
        <f>141+141</f>
        <v>282</v>
      </c>
      <c r="R1328" s="17">
        <f t="shared" si="74"/>
        <v>18</v>
      </c>
      <c r="S1328" s="17">
        <v>1320</v>
      </c>
      <c r="T1328" s="19" t="s">
        <v>42</v>
      </c>
      <c r="U1328" s="102" t="s">
        <v>479</v>
      </c>
      <c r="V1328" s="64">
        <v>44671</v>
      </c>
      <c r="W1328" s="17" t="s">
        <v>69</v>
      </c>
      <c r="Y1328" s="68">
        <v>44682</v>
      </c>
      <c r="Z1328" s="17" t="s">
        <v>191</v>
      </c>
      <c r="AA1328" s="17" t="s">
        <v>46</v>
      </c>
      <c r="AB1328" s="17" t="s">
        <v>480</v>
      </c>
      <c r="AC1328" s="66">
        <v>44706</v>
      </c>
      <c r="AD1328" s="65">
        <v>1301</v>
      </c>
      <c r="AE1328" s="17" t="s">
        <v>48</v>
      </c>
      <c r="AF1328" s="17" t="s">
        <v>245</v>
      </c>
    </row>
    <row r="1329" s="17" customFormat="1" hidden="1" spans="1:32">
      <c r="A1329" s="17" t="s">
        <v>34</v>
      </c>
      <c r="B1329" s="19">
        <v>793</v>
      </c>
      <c r="C1329" s="101">
        <v>44663</v>
      </c>
      <c r="D1329" s="17" t="s">
        <v>52</v>
      </c>
      <c r="E1329" s="17" t="s">
        <v>187</v>
      </c>
      <c r="F1329" s="17" t="s">
        <v>54</v>
      </c>
      <c r="H1329" s="19">
        <v>1.2311</v>
      </c>
      <c r="I1329" s="19"/>
      <c r="J1329" s="17" t="s">
        <v>82</v>
      </c>
      <c r="K1329" s="181">
        <v>305</v>
      </c>
      <c r="L1329" s="182">
        <v>32</v>
      </c>
      <c r="M1329" s="181">
        <v>2200</v>
      </c>
      <c r="N1329" s="17" t="s">
        <v>66</v>
      </c>
      <c r="O1329" s="19" t="s">
        <v>141</v>
      </c>
      <c r="P1329" s="160">
        <v>300</v>
      </c>
      <c r="Q1329" s="160">
        <f>166+166</f>
        <v>332</v>
      </c>
      <c r="R1329" s="17">
        <f t="shared" si="74"/>
        <v>-32</v>
      </c>
      <c r="S1329" s="17">
        <v>1320</v>
      </c>
      <c r="T1329" s="19" t="s">
        <v>42</v>
      </c>
      <c r="U1329" s="102" t="s">
        <v>479</v>
      </c>
      <c r="V1329" s="64">
        <v>44671</v>
      </c>
      <c r="W1329" s="17" t="s">
        <v>69</v>
      </c>
      <c r="Y1329" s="68">
        <v>44682</v>
      </c>
      <c r="Z1329" s="17" t="s">
        <v>191</v>
      </c>
      <c r="AA1329" s="17" t="s">
        <v>46</v>
      </c>
      <c r="AB1329" s="17" t="s">
        <v>480</v>
      </c>
      <c r="AC1329" s="66">
        <v>44706</v>
      </c>
      <c r="AD1329" s="65">
        <v>1301</v>
      </c>
      <c r="AE1329" s="17" t="s">
        <v>48</v>
      </c>
      <c r="AF1329" s="17" t="s">
        <v>245</v>
      </c>
    </row>
    <row r="1330" s="17" customFormat="1" hidden="1" spans="1:32">
      <c r="A1330" s="17" t="s">
        <v>34</v>
      </c>
      <c r="B1330" s="19">
        <v>793</v>
      </c>
      <c r="C1330" s="101">
        <v>44663</v>
      </c>
      <c r="D1330" s="17" t="s">
        <v>52</v>
      </c>
      <c r="E1330" s="17" t="s">
        <v>187</v>
      </c>
      <c r="F1330" s="17" t="s">
        <v>54</v>
      </c>
      <c r="H1330" s="19">
        <v>1.2311</v>
      </c>
      <c r="I1330" s="19"/>
      <c r="J1330" s="17" t="s">
        <v>82</v>
      </c>
      <c r="K1330" s="181">
        <v>405</v>
      </c>
      <c r="L1330" s="182">
        <v>32</v>
      </c>
      <c r="M1330" s="181">
        <v>2200</v>
      </c>
      <c r="N1330" s="17" t="s">
        <v>66</v>
      </c>
      <c r="O1330" s="19" t="s">
        <v>141</v>
      </c>
      <c r="P1330" s="160">
        <v>300</v>
      </c>
      <c r="Q1330" s="160">
        <v>221</v>
      </c>
      <c r="R1330" s="17">
        <f t="shared" si="74"/>
        <v>79</v>
      </c>
      <c r="S1330" s="17">
        <v>1320</v>
      </c>
      <c r="T1330" s="19" t="s">
        <v>42</v>
      </c>
      <c r="U1330" s="102" t="s">
        <v>479</v>
      </c>
      <c r="V1330" s="64">
        <v>44671</v>
      </c>
      <c r="W1330" s="17" t="s">
        <v>69</v>
      </c>
      <c r="Y1330" s="68">
        <v>44682</v>
      </c>
      <c r="Z1330" s="17" t="s">
        <v>191</v>
      </c>
      <c r="AA1330" s="17" t="s">
        <v>46</v>
      </c>
      <c r="AB1330" s="17" t="s">
        <v>480</v>
      </c>
      <c r="AC1330" s="66">
        <v>44706</v>
      </c>
      <c r="AD1330" s="65">
        <v>1301</v>
      </c>
      <c r="AE1330" s="17" t="s">
        <v>48</v>
      </c>
      <c r="AF1330" s="17" t="s">
        <v>245</v>
      </c>
    </row>
    <row r="1331" s="17" customFormat="1" hidden="1" spans="1:32">
      <c r="A1331" s="17" t="s">
        <v>34</v>
      </c>
      <c r="B1331" s="19">
        <v>793</v>
      </c>
      <c r="C1331" s="101">
        <v>44663</v>
      </c>
      <c r="D1331" s="17" t="s">
        <v>52</v>
      </c>
      <c r="E1331" s="17" t="s">
        <v>187</v>
      </c>
      <c r="F1331" s="17" t="s">
        <v>54</v>
      </c>
      <c r="H1331" s="19">
        <v>1.2311</v>
      </c>
      <c r="I1331" s="19"/>
      <c r="J1331" s="17" t="s">
        <v>82</v>
      </c>
      <c r="K1331" s="181">
        <v>205</v>
      </c>
      <c r="L1331" s="182">
        <v>40</v>
      </c>
      <c r="M1331" s="181">
        <v>2200</v>
      </c>
      <c r="N1331" s="17" t="s">
        <v>66</v>
      </c>
      <c r="O1331" s="19" t="s">
        <v>141</v>
      </c>
      <c r="P1331" s="160">
        <v>300</v>
      </c>
      <c r="Q1331" s="160">
        <f>156+154</f>
        <v>310</v>
      </c>
      <c r="R1331" s="17">
        <f t="shared" si="74"/>
        <v>-10</v>
      </c>
      <c r="S1331" s="17">
        <v>1320</v>
      </c>
      <c r="T1331" s="19" t="s">
        <v>42</v>
      </c>
      <c r="U1331" s="102" t="s">
        <v>479</v>
      </c>
      <c r="V1331" s="64">
        <v>44671</v>
      </c>
      <c r="W1331" s="17" t="s">
        <v>69</v>
      </c>
      <c r="Y1331" s="68">
        <v>44682</v>
      </c>
      <c r="Z1331" s="17" t="s">
        <v>191</v>
      </c>
      <c r="AA1331" s="17" t="s">
        <v>46</v>
      </c>
      <c r="AB1331" s="17" t="s">
        <v>480</v>
      </c>
      <c r="AC1331" s="66">
        <v>44706</v>
      </c>
      <c r="AD1331" s="65">
        <v>1301</v>
      </c>
      <c r="AE1331" s="17" t="s">
        <v>48</v>
      </c>
      <c r="AF1331" s="17" t="s">
        <v>245</v>
      </c>
    </row>
    <row r="1332" s="17" customFormat="1" hidden="1" spans="1:32">
      <c r="A1332" s="17" t="s">
        <v>34</v>
      </c>
      <c r="B1332" s="19">
        <v>793</v>
      </c>
      <c r="C1332" s="101">
        <v>44663</v>
      </c>
      <c r="D1332" s="17" t="s">
        <v>52</v>
      </c>
      <c r="E1332" s="17" t="s">
        <v>187</v>
      </c>
      <c r="F1332" s="17" t="s">
        <v>54</v>
      </c>
      <c r="H1332" s="19">
        <v>1.2311</v>
      </c>
      <c r="I1332" s="19"/>
      <c r="J1332" s="17" t="s">
        <v>82</v>
      </c>
      <c r="K1332" s="181">
        <v>255</v>
      </c>
      <c r="L1332" s="182">
        <v>40</v>
      </c>
      <c r="M1332" s="181">
        <v>2200</v>
      </c>
      <c r="N1332" s="17" t="s">
        <v>66</v>
      </c>
      <c r="O1332" s="19" t="s">
        <v>141</v>
      </c>
      <c r="P1332" s="160">
        <v>300</v>
      </c>
      <c r="Q1332" s="160">
        <f>192+193</f>
        <v>385</v>
      </c>
      <c r="R1332" s="17">
        <f t="shared" si="74"/>
        <v>-85</v>
      </c>
      <c r="S1332" s="17">
        <v>1320</v>
      </c>
      <c r="T1332" s="19" t="s">
        <v>42</v>
      </c>
      <c r="U1332" s="102" t="s">
        <v>479</v>
      </c>
      <c r="V1332" s="64">
        <v>44671</v>
      </c>
      <c r="W1332" s="17" t="s">
        <v>69</v>
      </c>
      <c r="Y1332" s="68">
        <v>44682</v>
      </c>
      <c r="Z1332" s="17" t="s">
        <v>191</v>
      </c>
      <c r="AA1332" s="17" t="s">
        <v>46</v>
      </c>
      <c r="AB1332" s="17" t="s">
        <v>480</v>
      </c>
      <c r="AC1332" s="66">
        <v>44706</v>
      </c>
      <c r="AD1332" s="65">
        <v>1301</v>
      </c>
      <c r="AE1332" s="17" t="s">
        <v>48</v>
      </c>
      <c r="AF1332" s="17" t="s">
        <v>245</v>
      </c>
    </row>
    <row r="1333" s="17" customFormat="1" hidden="1" spans="1:32">
      <c r="A1333" s="17" t="s">
        <v>34</v>
      </c>
      <c r="B1333" s="19">
        <v>793</v>
      </c>
      <c r="C1333" s="101">
        <v>44663</v>
      </c>
      <c r="D1333" s="17" t="s">
        <v>52</v>
      </c>
      <c r="E1333" s="17" t="s">
        <v>187</v>
      </c>
      <c r="F1333" s="17" t="s">
        <v>54</v>
      </c>
      <c r="H1333" s="19">
        <v>1.2311</v>
      </c>
      <c r="I1333" s="19"/>
      <c r="J1333" s="17" t="s">
        <v>82</v>
      </c>
      <c r="K1333" s="181">
        <v>280</v>
      </c>
      <c r="L1333" s="182">
        <v>40</v>
      </c>
      <c r="M1333" s="181">
        <v>2200</v>
      </c>
      <c r="N1333" s="17" t="s">
        <v>66</v>
      </c>
      <c r="O1333" s="19" t="s">
        <v>141</v>
      </c>
      <c r="P1333" s="160">
        <v>300</v>
      </c>
      <c r="Q1333" s="160">
        <f>214+215</f>
        <v>429</v>
      </c>
      <c r="R1333" s="17">
        <f t="shared" si="74"/>
        <v>-129</v>
      </c>
      <c r="S1333" s="17">
        <v>1320</v>
      </c>
      <c r="T1333" s="19" t="s">
        <v>42</v>
      </c>
      <c r="U1333" s="102" t="s">
        <v>479</v>
      </c>
      <c r="V1333" s="64">
        <v>44671</v>
      </c>
      <c r="W1333" s="17" t="s">
        <v>69</v>
      </c>
      <c r="Y1333" s="68">
        <v>44682</v>
      </c>
      <c r="Z1333" s="17" t="s">
        <v>191</v>
      </c>
      <c r="AA1333" s="17" t="s">
        <v>46</v>
      </c>
      <c r="AB1333" s="17" t="s">
        <v>480</v>
      </c>
      <c r="AC1333" s="66">
        <v>44706</v>
      </c>
      <c r="AD1333" s="65">
        <v>1301</v>
      </c>
      <c r="AE1333" s="17" t="s">
        <v>48</v>
      </c>
      <c r="AF1333" s="17" t="s">
        <v>245</v>
      </c>
    </row>
    <row r="1334" s="17" customFormat="1" hidden="1" spans="1:32">
      <c r="A1334" s="17" t="s">
        <v>34</v>
      </c>
      <c r="B1334" s="19">
        <v>793</v>
      </c>
      <c r="C1334" s="101">
        <v>44663</v>
      </c>
      <c r="D1334" s="17" t="s">
        <v>52</v>
      </c>
      <c r="E1334" s="17" t="s">
        <v>187</v>
      </c>
      <c r="F1334" s="17" t="s">
        <v>54</v>
      </c>
      <c r="H1334" s="19">
        <v>1.2311</v>
      </c>
      <c r="I1334" s="19"/>
      <c r="J1334" s="17" t="s">
        <v>82</v>
      </c>
      <c r="K1334" s="181">
        <v>305</v>
      </c>
      <c r="L1334" s="182">
        <v>40</v>
      </c>
      <c r="M1334" s="181">
        <v>2200</v>
      </c>
      <c r="N1334" s="17" t="s">
        <v>66</v>
      </c>
      <c r="O1334" s="19" t="s">
        <v>141</v>
      </c>
      <c r="P1334" s="160">
        <v>300</v>
      </c>
      <c r="Q1334" s="160">
        <v>232</v>
      </c>
      <c r="R1334" s="17">
        <f t="shared" si="74"/>
        <v>68</v>
      </c>
      <c r="S1334" s="17">
        <v>1320</v>
      </c>
      <c r="T1334" s="19" t="s">
        <v>42</v>
      </c>
      <c r="U1334" s="102" t="s">
        <v>479</v>
      </c>
      <c r="V1334" s="64">
        <v>44671</v>
      </c>
      <c r="W1334" s="17" t="s">
        <v>69</v>
      </c>
      <c r="Y1334" s="68">
        <v>44682</v>
      </c>
      <c r="Z1334" s="17" t="s">
        <v>191</v>
      </c>
      <c r="AA1334" s="17" t="s">
        <v>46</v>
      </c>
      <c r="AB1334" s="17" t="s">
        <v>480</v>
      </c>
      <c r="AC1334" s="66">
        <v>44706</v>
      </c>
      <c r="AD1334" s="65">
        <v>1301</v>
      </c>
      <c r="AE1334" s="17" t="s">
        <v>48</v>
      </c>
      <c r="AF1334" s="17" t="s">
        <v>245</v>
      </c>
    </row>
    <row r="1335" s="17" customFormat="1" hidden="1" spans="1:32">
      <c r="A1335" s="17" t="s">
        <v>34</v>
      </c>
      <c r="B1335" s="19">
        <v>793</v>
      </c>
      <c r="C1335" s="101">
        <v>44663</v>
      </c>
      <c r="D1335" s="17" t="s">
        <v>52</v>
      </c>
      <c r="E1335" s="17" t="s">
        <v>187</v>
      </c>
      <c r="F1335" s="17" t="s">
        <v>54</v>
      </c>
      <c r="H1335" s="19">
        <v>1.2311</v>
      </c>
      <c r="I1335" s="19"/>
      <c r="J1335" s="17" t="s">
        <v>82</v>
      </c>
      <c r="K1335" s="181">
        <v>405</v>
      </c>
      <c r="L1335" s="182">
        <v>40</v>
      </c>
      <c r="M1335" s="181">
        <v>2200</v>
      </c>
      <c r="N1335" s="17" t="s">
        <v>66</v>
      </c>
      <c r="O1335" s="19" t="s">
        <v>141</v>
      </c>
      <c r="P1335" s="160">
        <v>300</v>
      </c>
      <c r="Q1335" s="160">
        <v>310</v>
      </c>
      <c r="R1335" s="17">
        <f t="shared" si="74"/>
        <v>-10</v>
      </c>
      <c r="S1335" s="17">
        <v>1320</v>
      </c>
      <c r="T1335" s="19" t="s">
        <v>42</v>
      </c>
      <c r="U1335" s="102" t="s">
        <v>479</v>
      </c>
      <c r="V1335" s="64">
        <v>44671</v>
      </c>
      <c r="W1335" s="17" t="s">
        <v>69</v>
      </c>
      <c r="Y1335" s="68">
        <v>44682</v>
      </c>
      <c r="Z1335" s="17" t="s">
        <v>191</v>
      </c>
      <c r="AA1335" s="17" t="s">
        <v>46</v>
      </c>
      <c r="AB1335" s="17" t="s">
        <v>480</v>
      </c>
      <c r="AC1335" s="66">
        <v>44706</v>
      </c>
      <c r="AD1335" s="65">
        <v>1301</v>
      </c>
      <c r="AE1335" s="17" t="s">
        <v>48</v>
      </c>
      <c r="AF1335" s="17" t="s">
        <v>245</v>
      </c>
    </row>
    <row r="1336" s="17" customFormat="1" hidden="1" spans="1:32">
      <c r="A1336" s="17" t="s">
        <v>34</v>
      </c>
      <c r="B1336" s="19">
        <v>793</v>
      </c>
      <c r="C1336" s="101">
        <v>44663</v>
      </c>
      <c r="D1336" s="17" t="s">
        <v>52</v>
      </c>
      <c r="E1336" s="17" t="s">
        <v>187</v>
      </c>
      <c r="F1336" s="17" t="s">
        <v>54</v>
      </c>
      <c r="H1336" s="19">
        <v>1.2311</v>
      </c>
      <c r="I1336" s="19"/>
      <c r="J1336" s="17" t="s">
        <v>82</v>
      </c>
      <c r="K1336" s="181">
        <v>205</v>
      </c>
      <c r="L1336" s="182">
        <v>50</v>
      </c>
      <c r="M1336" s="181">
        <v>2200</v>
      </c>
      <c r="N1336" s="17" t="s">
        <v>66</v>
      </c>
      <c r="O1336" s="19" t="s">
        <v>141</v>
      </c>
      <c r="P1336" s="160">
        <v>300</v>
      </c>
      <c r="Q1336" s="160">
        <f>195+195</f>
        <v>390</v>
      </c>
      <c r="R1336" s="17">
        <f t="shared" si="74"/>
        <v>-90</v>
      </c>
      <c r="S1336" s="17">
        <v>1320</v>
      </c>
      <c r="T1336" s="19" t="s">
        <v>42</v>
      </c>
      <c r="U1336" s="102" t="s">
        <v>479</v>
      </c>
      <c r="V1336" s="64">
        <v>44671</v>
      </c>
      <c r="W1336" s="17" t="s">
        <v>69</v>
      </c>
      <c r="Y1336" s="68">
        <v>44682</v>
      </c>
      <c r="Z1336" s="17" t="s">
        <v>191</v>
      </c>
      <c r="AA1336" s="17" t="s">
        <v>46</v>
      </c>
      <c r="AB1336" s="17" t="s">
        <v>480</v>
      </c>
      <c r="AC1336" s="66">
        <v>44706</v>
      </c>
      <c r="AD1336" s="65">
        <v>1301</v>
      </c>
      <c r="AE1336" s="17" t="s">
        <v>48</v>
      </c>
      <c r="AF1336" s="17" t="s">
        <v>245</v>
      </c>
    </row>
    <row r="1337" s="17" customFormat="1" hidden="1" spans="1:32">
      <c r="A1337" s="17" t="s">
        <v>34</v>
      </c>
      <c r="B1337" s="19">
        <v>793</v>
      </c>
      <c r="C1337" s="101">
        <v>44663</v>
      </c>
      <c r="D1337" s="17" t="s">
        <v>52</v>
      </c>
      <c r="E1337" s="17" t="s">
        <v>187</v>
      </c>
      <c r="F1337" s="17" t="s">
        <v>54</v>
      </c>
      <c r="H1337" s="19">
        <v>1.2311</v>
      </c>
      <c r="I1337" s="19"/>
      <c r="J1337" s="17" t="s">
        <v>82</v>
      </c>
      <c r="K1337" s="181">
        <v>230</v>
      </c>
      <c r="L1337" s="182">
        <v>50</v>
      </c>
      <c r="M1337" s="181">
        <v>2200</v>
      </c>
      <c r="N1337" s="17" t="s">
        <v>66</v>
      </c>
      <c r="O1337" s="19" t="s">
        <v>141</v>
      </c>
      <c r="P1337" s="160">
        <v>300</v>
      </c>
      <c r="Q1337" s="160">
        <f>222+222</f>
        <v>444</v>
      </c>
      <c r="R1337" s="17">
        <f t="shared" si="74"/>
        <v>-144</v>
      </c>
      <c r="S1337" s="17">
        <v>1320</v>
      </c>
      <c r="T1337" s="19" t="s">
        <v>42</v>
      </c>
      <c r="U1337" s="102" t="s">
        <v>479</v>
      </c>
      <c r="V1337" s="64">
        <v>44671</v>
      </c>
      <c r="W1337" s="17" t="s">
        <v>69</v>
      </c>
      <c r="Y1337" s="68">
        <v>44682</v>
      </c>
      <c r="Z1337" s="17" t="s">
        <v>191</v>
      </c>
      <c r="AA1337" s="17" t="s">
        <v>46</v>
      </c>
      <c r="AB1337" s="17" t="s">
        <v>480</v>
      </c>
      <c r="AC1337" s="66">
        <v>44706</v>
      </c>
      <c r="AD1337" s="65">
        <v>1301</v>
      </c>
      <c r="AE1337" s="17" t="s">
        <v>48</v>
      </c>
      <c r="AF1337" s="17" t="s">
        <v>245</v>
      </c>
    </row>
    <row r="1338" s="17" customFormat="1" hidden="1" spans="1:32">
      <c r="A1338" s="17" t="s">
        <v>34</v>
      </c>
      <c r="B1338" s="19">
        <v>793</v>
      </c>
      <c r="C1338" s="101">
        <v>44663</v>
      </c>
      <c r="D1338" s="17" t="s">
        <v>52</v>
      </c>
      <c r="E1338" s="17" t="s">
        <v>187</v>
      </c>
      <c r="F1338" s="17" t="s">
        <v>54</v>
      </c>
      <c r="H1338" s="19">
        <v>1.2311</v>
      </c>
      <c r="I1338" s="19"/>
      <c r="J1338" s="17" t="s">
        <v>82</v>
      </c>
      <c r="K1338" s="181">
        <v>255</v>
      </c>
      <c r="L1338" s="182">
        <v>50</v>
      </c>
      <c r="M1338" s="181">
        <v>2200</v>
      </c>
      <c r="N1338" s="17" t="s">
        <v>66</v>
      </c>
      <c r="O1338" s="19" t="s">
        <v>141</v>
      </c>
      <c r="P1338" s="160">
        <v>300</v>
      </c>
      <c r="Q1338" s="160">
        <f>243+240</f>
        <v>483</v>
      </c>
      <c r="R1338" s="17">
        <f t="shared" si="74"/>
        <v>-183</v>
      </c>
      <c r="S1338" s="17">
        <v>1320</v>
      </c>
      <c r="T1338" s="19" t="s">
        <v>42</v>
      </c>
      <c r="U1338" s="102" t="s">
        <v>479</v>
      </c>
      <c r="V1338" s="64">
        <v>44671</v>
      </c>
      <c r="W1338" s="17" t="s">
        <v>69</v>
      </c>
      <c r="Y1338" s="68">
        <v>44682</v>
      </c>
      <c r="Z1338" s="17" t="s">
        <v>191</v>
      </c>
      <c r="AA1338" s="17" t="s">
        <v>46</v>
      </c>
      <c r="AB1338" s="17" t="s">
        <v>480</v>
      </c>
      <c r="AC1338" s="66">
        <v>44706</v>
      </c>
      <c r="AD1338" s="65">
        <v>1301</v>
      </c>
      <c r="AE1338" s="17" t="s">
        <v>48</v>
      </c>
      <c r="AF1338" s="17" t="s">
        <v>245</v>
      </c>
    </row>
    <row r="1339" s="17" customFormat="1" hidden="1" spans="1:32">
      <c r="A1339" s="17" t="s">
        <v>34</v>
      </c>
      <c r="B1339" s="19">
        <v>793</v>
      </c>
      <c r="C1339" s="101">
        <v>44663</v>
      </c>
      <c r="D1339" s="17" t="s">
        <v>52</v>
      </c>
      <c r="E1339" s="17" t="s">
        <v>187</v>
      </c>
      <c r="F1339" s="17" t="s">
        <v>54</v>
      </c>
      <c r="H1339" s="19">
        <v>1.2311</v>
      </c>
      <c r="I1339" s="19"/>
      <c r="J1339" s="17" t="s">
        <v>82</v>
      </c>
      <c r="K1339" s="181">
        <v>305</v>
      </c>
      <c r="L1339" s="182">
        <v>50</v>
      </c>
      <c r="M1339" s="181">
        <v>2200</v>
      </c>
      <c r="N1339" s="17" t="s">
        <v>66</v>
      </c>
      <c r="O1339" s="19" t="s">
        <v>141</v>
      </c>
      <c r="P1339" s="160">
        <v>300</v>
      </c>
      <c r="Q1339" s="160">
        <v>291</v>
      </c>
      <c r="R1339" s="17">
        <f t="shared" si="74"/>
        <v>9</v>
      </c>
      <c r="S1339" s="17">
        <v>1320</v>
      </c>
      <c r="T1339" s="19" t="s">
        <v>42</v>
      </c>
      <c r="U1339" s="102" t="s">
        <v>479</v>
      </c>
      <c r="V1339" s="64">
        <v>44671</v>
      </c>
      <c r="W1339" s="17" t="s">
        <v>69</v>
      </c>
      <c r="Y1339" s="68">
        <v>44682</v>
      </c>
      <c r="Z1339" s="17" t="s">
        <v>191</v>
      </c>
      <c r="AA1339" s="17" t="s">
        <v>46</v>
      </c>
      <c r="AB1339" s="17" t="s">
        <v>480</v>
      </c>
      <c r="AC1339" s="66">
        <v>44706</v>
      </c>
      <c r="AD1339" s="65">
        <v>1301</v>
      </c>
      <c r="AE1339" s="17" t="s">
        <v>48</v>
      </c>
      <c r="AF1339" s="17" t="s">
        <v>245</v>
      </c>
    </row>
    <row r="1340" s="17" customFormat="1" hidden="1" spans="1:32">
      <c r="A1340" s="17" t="s">
        <v>34</v>
      </c>
      <c r="B1340" s="19">
        <v>793</v>
      </c>
      <c r="C1340" s="101">
        <v>44663</v>
      </c>
      <c r="D1340" s="17" t="s">
        <v>52</v>
      </c>
      <c r="E1340" s="17" t="s">
        <v>187</v>
      </c>
      <c r="F1340" s="17" t="s">
        <v>54</v>
      </c>
      <c r="H1340" s="19">
        <v>1.2311</v>
      </c>
      <c r="I1340" s="19"/>
      <c r="J1340" s="17" t="s">
        <v>82</v>
      </c>
      <c r="K1340" s="181">
        <v>405</v>
      </c>
      <c r="L1340" s="182">
        <v>50</v>
      </c>
      <c r="M1340" s="181">
        <v>2200</v>
      </c>
      <c r="N1340" s="17" t="s">
        <v>66</v>
      </c>
      <c r="O1340" s="19" t="s">
        <v>141</v>
      </c>
      <c r="P1340" s="160">
        <v>300</v>
      </c>
      <c r="Q1340" s="160">
        <v>382</v>
      </c>
      <c r="R1340" s="17">
        <f t="shared" si="74"/>
        <v>-82</v>
      </c>
      <c r="S1340" s="17">
        <v>1320</v>
      </c>
      <c r="T1340" s="19" t="s">
        <v>42</v>
      </c>
      <c r="U1340" s="102" t="s">
        <v>479</v>
      </c>
      <c r="V1340" s="64">
        <v>44671</v>
      </c>
      <c r="W1340" s="17" t="s">
        <v>69</v>
      </c>
      <c r="Y1340" s="68">
        <v>44682</v>
      </c>
      <c r="Z1340" s="17" t="s">
        <v>191</v>
      </c>
      <c r="AA1340" s="17" t="s">
        <v>46</v>
      </c>
      <c r="AB1340" s="17" t="s">
        <v>480</v>
      </c>
      <c r="AC1340" s="66">
        <v>44706</v>
      </c>
      <c r="AD1340" s="65">
        <v>1301</v>
      </c>
      <c r="AE1340" s="17" t="s">
        <v>48</v>
      </c>
      <c r="AF1340" s="17" t="s">
        <v>245</v>
      </c>
    </row>
    <row r="1341" s="17" customFormat="1" hidden="1" spans="1:32">
      <c r="A1341" s="17" t="s">
        <v>34</v>
      </c>
      <c r="B1341" s="19">
        <v>793</v>
      </c>
      <c r="C1341" s="101">
        <v>44663</v>
      </c>
      <c r="D1341" s="17" t="s">
        <v>52</v>
      </c>
      <c r="E1341" s="17" t="s">
        <v>187</v>
      </c>
      <c r="F1341" s="17" t="s">
        <v>54</v>
      </c>
      <c r="H1341" s="19">
        <v>1.2311</v>
      </c>
      <c r="I1341" s="19"/>
      <c r="J1341" s="17" t="s">
        <v>82</v>
      </c>
      <c r="K1341" s="181">
        <v>505</v>
      </c>
      <c r="L1341" s="182">
        <v>50</v>
      </c>
      <c r="M1341" s="181">
        <v>2200</v>
      </c>
      <c r="N1341" s="17" t="s">
        <v>66</v>
      </c>
      <c r="O1341" s="19" t="s">
        <v>141</v>
      </c>
      <c r="P1341" s="160">
        <v>3500</v>
      </c>
      <c r="Q1341" s="160">
        <f>478+477+478+473+474+475+477+476</f>
        <v>3808</v>
      </c>
      <c r="R1341" s="17">
        <f t="shared" si="74"/>
        <v>-308</v>
      </c>
      <c r="S1341" s="17">
        <v>1320</v>
      </c>
      <c r="T1341" s="19" t="s">
        <v>42</v>
      </c>
      <c r="U1341" s="102" t="s">
        <v>479</v>
      </c>
      <c r="V1341" s="64">
        <v>44671</v>
      </c>
      <c r="W1341" s="17" t="s">
        <v>69</v>
      </c>
      <c r="Y1341" s="68">
        <v>44682</v>
      </c>
      <c r="Z1341" s="17" t="s">
        <v>191</v>
      </c>
      <c r="AA1341" s="17" t="s">
        <v>46</v>
      </c>
      <c r="AB1341" s="17" t="s">
        <v>480</v>
      </c>
      <c r="AC1341" s="66">
        <v>44706</v>
      </c>
      <c r="AD1341" s="65">
        <v>1301</v>
      </c>
      <c r="AE1341" s="17" t="s">
        <v>48</v>
      </c>
      <c r="AF1341" s="17" t="s">
        <v>245</v>
      </c>
    </row>
    <row r="1342" s="17" customFormat="1" hidden="1" spans="1:32">
      <c r="A1342" s="17" t="s">
        <v>34</v>
      </c>
      <c r="B1342" s="19">
        <v>793</v>
      </c>
      <c r="C1342" s="101">
        <v>44663</v>
      </c>
      <c r="D1342" s="17" t="s">
        <v>52</v>
      </c>
      <c r="E1342" s="17" t="s">
        <v>187</v>
      </c>
      <c r="F1342" s="17" t="s">
        <v>54</v>
      </c>
      <c r="H1342" s="19">
        <v>1.2311</v>
      </c>
      <c r="I1342" s="19"/>
      <c r="J1342" s="17" t="s">
        <v>82</v>
      </c>
      <c r="K1342" s="181">
        <v>505</v>
      </c>
      <c r="L1342" s="182">
        <v>65</v>
      </c>
      <c r="M1342" s="181">
        <v>2200</v>
      </c>
      <c r="N1342" s="17" t="s">
        <v>66</v>
      </c>
      <c r="O1342" s="19" t="s">
        <v>141</v>
      </c>
      <c r="P1342" s="160">
        <v>500</v>
      </c>
      <c r="Q1342" s="160">
        <v>616</v>
      </c>
      <c r="R1342" s="17">
        <f t="shared" si="74"/>
        <v>-116</v>
      </c>
      <c r="S1342" s="17">
        <v>1320</v>
      </c>
      <c r="T1342" s="19" t="s">
        <v>42</v>
      </c>
      <c r="U1342" s="102" t="s">
        <v>479</v>
      </c>
      <c r="V1342" s="64">
        <v>44671</v>
      </c>
      <c r="W1342" s="17" t="s">
        <v>69</v>
      </c>
      <c r="Y1342" s="68">
        <v>44682</v>
      </c>
      <c r="Z1342" s="17" t="s">
        <v>191</v>
      </c>
      <c r="AA1342" s="17" t="s">
        <v>46</v>
      </c>
      <c r="AB1342" s="17" t="s">
        <v>480</v>
      </c>
      <c r="AC1342" s="66">
        <v>44706</v>
      </c>
      <c r="AD1342" s="65">
        <v>1301</v>
      </c>
      <c r="AE1342" s="17" t="s">
        <v>48</v>
      </c>
      <c r="AF1342" s="17" t="s">
        <v>245</v>
      </c>
    </row>
    <row r="1343" s="17" customFormat="1" hidden="1" spans="1:32">
      <c r="A1343" s="17" t="s">
        <v>34</v>
      </c>
      <c r="B1343" s="19">
        <v>793</v>
      </c>
      <c r="C1343" s="101">
        <v>44663</v>
      </c>
      <c r="D1343" s="17" t="s">
        <v>52</v>
      </c>
      <c r="E1343" s="17" t="s">
        <v>187</v>
      </c>
      <c r="F1343" s="17" t="s">
        <v>54</v>
      </c>
      <c r="H1343" s="19">
        <v>1.2311</v>
      </c>
      <c r="I1343" s="19"/>
      <c r="J1343" s="17" t="s">
        <v>49</v>
      </c>
      <c r="K1343" s="181">
        <v>2200</v>
      </c>
      <c r="L1343" s="182">
        <v>26</v>
      </c>
      <c r="M1343" s="181">
        <v>4000</v>
      </c>
      <c r="N1343" s="17" t="s">
        <v>66</v>
      </c>
      <c r="O1343" s="19" t="s">
        <v>141</v>
      </c>
      <c r="P1343" s="160">
        <v>3592</v>
      </c>
      <c r="Q1343" s="160">
        <v>1880</v>
      </c>
      <c r="S1343" s="17">
        <v>1300</v>
      </c>
      <c r="T1343" s="19" t="s">
        <v>42</v>
      </c>
      <c r="U1343" s="102" t="s">
        <v>479</v>
      </c>
      <c r="V1343" s="64">
        <v>44671</v>
      </c>
      <c r="W1343" s="17" t="s">
        <v>69</v>
      </c>
      <c r="Y1343" s="68">
        <v>44682</v>
      </c>
      <c r="Z1343" s="17" t="s">
        <v>191</v>
      </c>
      <c r="AA1343" s="17" t="s">
        <v>46</v>
      </c>
      <c r="AB1343" s="17" t="s">
        <v>480</v>
      </c>
      <c r="AC1343" s="66">
        <v>44706</v>
      </c>
      <c r="AD1343" s="65">
        <v>1301</v>
      </c>
      <c r="AE1343" s="17" t="s">
        <v>48</v>
      </c>
      <c r="AF1343" s="17" t="s">
        <v>245</v>
      </c>
    </row>
    <row r="1344" s="17" customFormat="1" hidden="1" spans="1:32">
      <c r="A1344" s="17" t="s">
        <v>34</v>
      </c>
      <c r="B1344" s="19">
        <v>793</v>
      </c>
      <c r="C1344" s="101">
        <v>44663</v>
      </c>
      <c r="D1344" s="17" t="s">
        <v>52</v>
      </c>
      <c r="E1344" s="17" t="s">
        <v>187</v>
      </c>
      <c r="F1344" s="17" t="s">
        <v>54</v>
      </c>
      <c r="H1344" s="19">
        <v>1.2311</v>
      </c>
      <c r="I1344" s="19"/>
      <c r="J1344" s="17" t="s">
        <v>49</v>
      </c>
      <c r="K1344" s="181">
        <v>2250</v>
      </c>
      <c r="L1344" s="182">
        <v>26</v>
      </c>
      <c r="M1344" s="181">
        <v>4000</v>
      </c>
      <c r="N1344" s="17" t="s">
        <v>66</v>
      </c>
      <c r="O1344" s="19" t="s">
        <v>141</v>
      </c>
      <c r="P1344" s="160"/>
      <c r="Q1344" s="160">
        <v>1880</v>
      </c>
      <c r="R1344" s="95">
        <f>+P1343-Q1343-Q1344</f>
        <v>-168</v>
      </c>
      <c r="S1344" s="17">
        <v>1300</v>
      </c>
      <c r="T1344" s="19" t="s">
        <v>42</v>
      </c>
      <c r="U1344" s="102" t="s">
        <v>479</v>
      </c>
      <c r="V1344" s="64">
        <v>44671</v>
      </c>
      <c r="W1344" s="17" t="s">
        <v>69</v>
      </c>
      <c r="Y1344" s="68">
        <v>44682</v>
      </c>
      <c r="Z1344" s="17" t="s">
        <v>191</v>
      </c>
      <c r="AA1344" s="17" t="s">
        <v>46</v>
      </c>
      <c r="AB1344" s="17" t="s">
        <v>478</v>
      </c>
      <c r="AC1344" s="66">
        <v>44722</v>
      </c>
      <c r="AD1344" s="65">
        <v>1308</v>
      </c>
      <c r="AE1344" s="17" t="s">
        <v>48</v>
      </c>
      <c r="AF1344" s="17" t="s">
        <v>245</v>
      </c>
    </row>
    <row r="1345" s="17" customFormat="1" hidden="1" spans="1:32">
      <c r="A1345" s="17" t="s">
        <v>34</v>
      </c>
      <c r="B1345" s="19">
        <v>793</v>
      </c>
      <c r="C1345" s="101">
        <v>44663</v>
      </c>
      <c r="D1345" s="17" t="s">
        <v>52</v>
      </c>
      <c r="E1345" s="17" t="s">
        <v>187</v>
      </c>
      <c r="F1345" s="17" t="s">
        <v>54</v>
      </c>
      <c r="H1345" s="19">
        <v>1.2311</v>
      </c>
      <c r="I1345" s="19"/>
      <c r="J1345" s="17" t="s">
        <v>49</v>
      </c>
      <c r="K1345" s="181">
        <v>2200</v>
      </c>
      <c r="L1345" s="182">
        <v>32</v>
      </c>
      <c r="M1345" s="181">
        <v>5000</v>
      </c>
      <c r="N1345" s="17" t="s">
        <v>66</v>
      </c>
      <c r="O1345" s="19" t="s">
        <v>141</v>
      </c>
      <c r="P1345" s="160">
        <v>2763</v>
      </c>
      <c r="Q1345" s="160">
        <v>2830</v>
      </c>
      <c r="R1345" s="17">
        <f t="shared" ref="R1345:R1353" si="75">+P1345-Q1345</f>
        <v>-67</v>
      </c>
      <c r="S1345" s="17">
        <v>1300</v>
      </c>
      <c r="T1345" s="19" t="s">
        <v>42</v>
      </c>
      <c r="U1345" s="102" t="s">
        <v>479</v>
      </c>
      <c r="V1345" s="64">
        <v>44671</v>
      </c>
      <c r="W1345" s="17" t="s">
        <v>69</v>
      </c>
      <c r="Y1345" s="68">
        <v>44682</v>
      </c>
      <c r="Z1345" s="17" t="s">
        <v>191</v>
      </c>
      <c r="AA1345" s="17" t="s">
        <v>46</v>
      </c>
      <c r="AB1345" s="17" t="s">
        <v>478</v>
      </c>
      <c r="AC1345" s="66">
        <v>44722</v>
      </c>
      <c r="AD1345" s="65">
        <v>1308</v>
      </c>
      <c r="AE1345" s="17" t="s">
        <v>48</v>
      </c>
      <c r="AF1345" s="17" t="s">
        <v>245</v>
      </c>
    </row>
    <row r="1346" s="17" customFormat="1" hidden="1" spans="1:32">
      <c r="A1346" s="17" t="s">
        <v>34</v>
      </c>
      <c r="B1346" s="19">
        <v>793</v>
      </c>
      <c r="C1346" s="101">
        <v>44663</v>
      </c>
      <c r="D1346" s="17" t="s">
        <v>52</v>
      </c>
      <c r="E1346" s="17" t="s">
        <v>187</v>
      </c>
      <c r="F1346" s="17" t="s">
        <v>54</v>
      </c>
      <c r="H1346" s="19">
        <v>1.2311</v>
      </c>
      <c r="I1346" s="19"/>
      <c r="J1346" s="17" t="s">
        <v>49</v>
      </c>
      <c r="K1346" s="181">
        <v>2200</v>
      </c>
      <c r="L1346" s="182">
        <v>40</v>
      </c>
      <c r="M1346" s="181">
        <v>4000</v>
      </c>
      <c r="N1346" s="17" t="s">
        <v>66</v>
      </c>
      <c r="O1346" s="19" t="s">
        <v>141</v>
      </c>
      <c r="P1346" s="160">
        <v>2763</v>
      </c>
      <c r="Q1346" s="160">
        <v>2870</v>
      </c>
      <c r="R1346" s="17">
        <f t="shared" si="75"/>
        <v>-107</v>
      </c>
      <c r="S1346" s="17">
        <v>1300</v>
      </c>
      <c r="T1346" s="19" t="s">
        <v>42</v>
      </c>
      <c r="U1346" s="102" t="s">
        <v>479</v>
      </c>
      <c r="V1346" s="64">
        <v>44671</v>
      </c>
      <c r="W1346" s="17" t="s">
        <v>69</v>
      </c>
      <c r="Y1346" s="68">
        <v>44682</v>
      </c>
      <c r="Z1346" s="17" t="s">
        <v>191</v>
      </c>
      <c r="AA1346" s="17" t="s">
        <v>46</v>
      </c>
      <c r="AB1346" s="17" t="s">
        <v>480</v>
      </c>
      <c r="AC1346" s="66">
        <v>44706</v>
      </c>
      <c r="AD1346" s="65">
        <v>1301</v>
      </c>
      <c r="AE1346" s="17" t="s">
        <v>48</v>
      </c>
      <c r="AF1346" s="17" t="s">
        <v>245</v>
      </c>
    </row>
    <row r="1347" s="17" customFormat="1" hidden="1" spans="1:32">
      <c r="A1347" s="17" t="s">
        <v>34</v>
      </c>
      <c r="B1347" s="19">
        <v>793</v>
      </c>
      <c r="C1347" s="101">
        <v>44663</v>
      </c>
      <c r="D1347" s="17" t="s">
        <v>52</v>
      </c>
      <c r="E1347" s="17" t="s">
        <v>187</v>
      </c>
      <c r="F1347" s="17" t="s">
        <v>54</v>
      </c>
      <c r="H1347" s="19">
        <v>1.2311</v>
      </c>
      <c r="I1347" s="19"/>
      <c r="J1347" s="17" t="s">
        <v>49</v>
      </c>
      <c r="K1347" s="181">
        <v>2200</v>
      </c>
      <c r="L1347" s="182">
        <v>45</v>
      </c>
      <c r="M1347" s="181">
        <v>5000</v>
      </c>
      <c r="N1347" s="17" t="s">
        <v>66</v>
      </c>
      <c r="O1347" s="19" t="s">
        <v>141</v>
      </c>
      <c r="P1347" s="160">
        <v>3886</v>
      </c>
      <c r="Q1347" s="160">
        <v>3975</v>
      </c>
      <c r="R1347" s="17">
        <f t="shared" si="75"/>
        <v>-89</v>
      </c>
      <c r="S1347" s="17">
        <v>1300</v>
      </c>
      <c r="T1347" s="19" t="s">
        <v>42</v>
      </c>
      <c r="U1347" s="102" t="s">
        <v>479</v>
      </c>
      <c r="V1347" s="64">
        <v>44671</v>
      </c>
      <c r="W1347" s="17" t="s">
        <v>69</v>
      </c>
      <c r="Y1347" s="68">
        <v>44682</v>
      </c>
      <c r="Z1347" s="17" t="s">
        <v>191</v>
      </c>
      <c r="AA1347" s="17" t="s">
        <v>46</v>
      </c>
      <c r="AB1347" s="17" t="s">
        <v>480</v>
      </c>
      <c r="AC1347" s="66">
        <v>44706</v>
      </c>
      <c r="AD1347" s="65">
        <v>1301</v>
      </c>
      <c r="AE1347" s="17" t="s">
        <v>48</v>
      </c>
      <c r="AF1347" s="17" t="s">
        <v>245</v>
      </c>
    </row>
    <row r="1348" s="17" customFormat="1" hidden="1" spans="1:32">
      <c r="A1348" s="17" t="s">
        <v>34</v>
      </c>
      <c r="B1348" s="19">
        <v>793</v>
      </c>
      <c r="C1348" s="101">
        <v>44663</v>
      </c>
      <c r="D1348" s="17" t="s">
        <v>52</v>
      </c>
      <c r="E1348" s="17" t="s">
        <v>187</v>
      </c>
      <c r="F1348" s="17" t="s">
        <v>54</v>
      </c>
      <c r="H1348" s="19">
        <v>1.2311</v>
      </c>
      <c r="I1348" s="19"/>
      <c r="J1348" s="17" t="s">
        <v>49</v>
      </c>
      <c r="K1348" s="181">
        <v>2200</v>
      </c>
      <c r="L1348" s="182">
        <v>51</v>
      </c>
      <c r="M1348" s="181">
        <v>4000</v>
      </c>
      <c r="N1348" s="17" t="s">
        <v>66</v>
      </c>
      <c r="O1348" s="19" t="s">
        <v>141</v>
      </c>
      <c r="P1348" s="160">
        <v>7046</v>
      </c>
      <c r="Q1348" s="160">
        <f>3700+3690</f>
        <v>7390</v>
      </c>
      <c r="R1348" s="17">
        <f t="shared" si="75"/>
        <v>-344</v>
      </c>
      <c r="S1348" s="17">
        <v>1300</v>
      </c>
      <c r="T1348" s="19" t="s">
        <v>42</v>
      </c>
      <c r="U1348" s="102" t="s">
        <v>479</v>
      </c>
      <c r="V1348" s="64">
        <v>44671</v>
      </c>
      <c r="W1348" s="17" t="s">
        <v>69</v>
      </c>
      <c r="Y1348" s="68">
        <v>44682</v>
      </c>
      <c r="Z1348" s="17" t="s">
        <v>191</v>
      </c>
      <c r="AA1348" s="17" t="s">
        <v>46</v>
      </c>
      <c r="AB1348" s="17" t="s">
        <v>478</v>
      </c>
      <c r="AC1348" s="66">
        <v>44722</v>
      </c>
      <c r="AD1348" s="65">
        <v>1308</v>
      </c>
      <c r="AE1348" s="17" t="s">
        <v>48</v>
      </c>
      <c r="AF1348" s="17" t="s">
        <v>245</v>
      </c>
    </row>
    <row r="1349" s="17" customFormat="1" hidden="1" spans="1:32">
      <c r="A1349" s="17" t="s">
        <v>34</v>
      </c>
      <c r="B1349" s="19">
        <v>793</v>
      </c>
      <c r="C1349" s="101">
        <v>44663</v>
      </c>
      <c r="D1349" s="17" t="s">
        <v>52</v>
      </c>
      <c r="E1349" s="17" t="s">
        <v>187</v>
      </c>
      <c r="F1349" s="17" t="s">
        <v>54</v>
      </c>
      <c r="H1349" s="19">
        <v>1.2311</v>
      </c>
      <c r="I1349" s="19"/>
      <c r="J1349" s="17" t="s">
        <v>49</v>
      </c>
      <c r="K1349" s="181">
        <v>2200</v>
      </c>
      <c r="L1349" s="182">
        <v>56</v>
      </c>
      <c r="M1349" s="181">
        <v>5000</v>
      </c>
      <c r="N1349" s="17" t="s">
        <v>66</v>
      </c>
      <c r="O1349" s="19" t="s">
        <v>141</v>
      </c>
      <c r="P1349" s="160">
        <v>4836</v>
      </c>
      <c r="Q1349" s="160">
        <v>5085</v>
      </c>
      <c r="R1349" s="17">
        <f t="shared" si="75"/>
        <v>-249</v>
      </c>
      <c r="S1349" s="17">
        <v>1300</v>
      </c>
      <c r="T1349" s="19" t="s">
        <v>42</v>
      </c>
      <c r="U1349" s="102" t="s">
        <v>479</v>
      </c>
      <c r="V1349" s="64">
        <v>44671</v>
      </c>
      <c r="W1349" s="17" t="s">
        <v>69</v>
      </c>
      <c r="Y1349" s="68">
        <v>44682</v>
      </c>
      <c r="Z1349" s="17" t="s">
        <v>191</v>
      </c>
      <c r="AA1349" s="17" t="s">
        <v>46</v>
      </c>
      <c r="AB1349" s="17" t="s">
        <v>478</v>
      </c>
      <c r="AC1349" s="66">
        <v>44722</v>
      </c>
      <c r="AD1349" s="65">
        <v>1308</v>
      </c>
      <c r="AE1349" s="17" t="s">
        <v>48</v>
      </c>
      <c r="AF1349" s="17" t="s">
        <v>245</v>
      </c>
    </row>
    <row r="1350" s="17" customFormat="1" hidden="1" spans="1:32">
      <c r="A1350" s="17" t="s">
        <v>34</v>
      </c>
      <c r="B1350" s="19">
        <v>793</v>
      </c>
      <c r="C1350" s="101">
        <v>44663</v>
      </c>
      <c r="D1350" s="17" t="s">
        <v>52</v>
      </c>
      <c r="E1350" s="17" t="s">
        <v>187</v>
      </c>
      <c r="F1350" s="17" t="s">
        <v>54</v>
      </c>
      <c r="H1350" s="19">
        <v>1.2311</v>
      </c>
      <c r="I1350" s="19"/>
      <c r="J1350" s="17" t="s">
        <v>49</v>
      </c>
      <c r="K1350" s="181">
        <v>2200</v>
      </c>
      <c r="L1350" s="182">
        <v>61</v>
      </c>
      <c r="M1350" s="181">
        <v>5000</v>
      </c>
      <c r="N1350" s="17" t="s">
        <v>66</v>
      </c>
      <c r="O1350" s="19" t="s">
        <v>141</v>
      </c>
      <c r="P1350" s="160">
        <v>5267</v>
      </c>
      <c r="Q1350" s="160">
        <v>5730</v>
      </c>
      <c r="R1350" s="17">
        <f t="shared" si="75"/>
        <v>-463</v>
      </c>
      <c r="S1350" s="17">
        <v>1300</v>
      </c>
      <c r="T1350" s="19" t="s">
        <v>42</v>
      </c>
      <c r="U1350" s="102" t="s">
        <v>479</v>
      </c>
      <c r="V1350" s="64">
        <v>44671</v>
      </c>
      <c r="W1350" s="17" t="s">
        <v>69</v>
      </c>
      <c r="Y1350" s="68">
        <v>44682</v>
      </c>
      <c r="Z1350" s="17" t="s">
        <v>191</v>
      </c>
      <c r="AA1350" s="17" t="s">
        <v>46</v>
      </c>
      <c r="AB1350" s="17" t="s">
        <v>480</v>
      </c>
      <c r="AC1350" s="66">
        <v>44706</v>
      </c>
      <c r="AD1350" s="65">
        <v>1301</v>
      </c>
      <c r="AE1350" s="17" t="s">
        <v>48</v>
      </c>
      <c r="AF1350" s="17" t="s">
        <v>245</v>
      </c>
    </row>
    <row r="1351" s="17" customFormat="1" hidden="1" spans="1:32">
      <c r="A1351" s="17" t="s">
        <v>34</v>
      </c>
      <c r="B1351" s="19">
        <v>793</v>
      </c>
      <c r="C1351" s="101">
        <v>44663</v>
      </c>
      <c r="D1351" s="17" t="s">
        <v>52</v>
      </c>
      <c r="E1351" s="17" t="s">
        <v>187</v>
      </c>
      <c r="F1351" s="17" t="s">
        <v>54</v>
      </c>
      <c r="H1351" s="19">
        <v>1.2311</v>
      </c>
      <c r="I1351" s="19"/>
      <c r="J1351" s="17" t="s">
        <v>49</v>
      </c>
      <c r="K1351" s="181">
        <v>2200</v>
      </c>
      <c r="L1351" s="182">
        <v>70</v>
      </c>
      <c r="M1351" s="181">
        <v>5000</v>
      </c>
      <c r="N1351" s="17" t="s">
        <v>66</v>
      </c>
      <c r="O1351" s="19" t="s">
        <v>141</v>
      </c>
      <c r="P1351" s="160">
        <v>6045</v>
      </c>
      <c r="Q1351" s="160">
        <v>5520</v>
      </c>
      <c r="R1351" s="17">
        <f t="shared" si="75"/>
        <v>525</v>
      </c>
      <c r="S1351" s="17">
        <v>1300</v>
      </c>
      <c r="T1351" s="19" t="s">
        <v>42</v>
      </c>
      <c r="U1351" s="102" t="s">
        <v>479</v>
      </c>
      <c r="V1351" s="64">
        <v>44671</v>
      </c>
      <c r="W1351" s="17" t="s">
        <v>69</v>
      </c>
      <c r="Y1351" s="68">
        <v>44682</v>
      </c>
      <c r="Z1351" s="17" t="s">
        <v>191</v>
      </c>
      <c r="AA1351" s="17" t="s">
        <v>46</v>
      </c>
      <c r="AB1351" s="17" t="s">
        <v>480</v>
      </c>
      <c r="AC1351" s="66">
        <v>44706</v>
      </c>
      <c r="AD1351" s="65">
        <v>1301</v>
      </c>
      <c r="AE1351" s="17" t="s">
        <v>48</v>
      </c>
      <c r="AF1351" s="17" t="s">
        <v>245</v>
      </c>
    </row>
    <row r="1352" s="17" customFormat="1" hidden="1" spans="1:32">
      <c r="A1352" s="17" t="s">
        <v>34</v>
      </c>
      <c r="B1352" s="19">
        <v>793</v>
      </c>
      <c r="C1352" s="101">
        <v>44663</v>
      </c>
      <c r="D1352" s="17" t="s">
        <v>52</v>
      </c>
      <c r="E1352" s="17" t="s">
        <v>187</v>
      </c>
      <c r="F1352" s="17" t="s">
        <v>54</v>
      </c>
      <c r="H1352" s="19">
        <v>1.2311</v>
      </c>
      <c r="I1352" s="19"/>
      <c r="J1352" s="17" t="s">
        <v>49</v>
      </c>
      <c r="K1352" s="181">
        <v>2200</v>
      </c>
      <c r="L1352" s="182">
        <v>80</v>
      </c>
      <c r="M1352" s="181">
        <v>5000</v>
      </c>
      <c r="N1352" s="17" t="s">
        <v>66</v>
      </c>
      <c r="O1352" s="19" t="s">
        <v>141</v>
      </c>
      <c r="P1352" s="160">
        <v>6908</v>
      </c>
      <c r="Q1352" s="160">
        <v>6694</v>
      </c>
      <c r="R1352" s="17">
        <f t="shared" si="75"/>
        <v>214</v>
      </c>
      <c r="S1352" s="17">
        <v>1300</v>
      </c>
      <c r="T1352" s="19" t="s">
        <v>42</v>
      </c>
      <c r="U1352" s="102" t="s">
        <v>479</v>
      </c>
      <c r="V1352" s="64">
        <v>44671</v>
      </c>
      <c r="W1352" s="17" t="s">
        <v>69</v>
      </c>
      <c r="Y1352" s="68">
        <v>44682</v>
      </c>
      <c r="Z1352" s="17" t="s">
        <v>191</v>
      </c>
      <c r="AA1352" s="17" t="s">
        <v>46</v>
      </c>
      <c r="AB1352" s="17" t="s">
        <v>480</v>
      </c>
      <c r="AC1352" s="66">
        <v>44706</v>
      </c>
      <c r="AD1352" s="65">
        <v>1301</v>
      </c>
      <c r="AE1352" s="17" t="s">
        <v>48</v>
      </c>
      <c r="AF1352" s="17" t="s">
        <v>245</v>
      </c>
    </row>
    <row r="1353" s="17" customFormat="1" hidden="1" spans="1:32">
      <c r="A1353" s="17" t="s">
        <v>34</v>
      </c>
      <c r="B1353" s="19">
        <v>793</v>
      </c>
      <c r="C1353" s="101">
        <v>44663</v>
      </c>
      <c r="D1353" s="17" t="s">
        <v>52</v>
      </c>
      <c r="E1353" s="17" t="s">
        <v>187</v>
      </c>
      <c r="F1353" s="17" t="s">
        <v>54</v>
      </c>
      <c r="H1353" s="19">
        <v>1.2311</v>
      </c>
      <c r="I1353" s="19"/>
      <c r="J1353" s="17" t="s">
        <v>49</v>
      </c>
      <c r="K1353" s="181">
        <v>2200</v>
      </c>
      <c r="L1353" s="182">
        <v>105</v>
      </c>
      <c r="M1353" s="181">
        <v>5000</v>
      </c>
      <c r="N1353" s="17" t="s">
        <v>66</v>
      </c>
      <c r="O1353" s="19" t="s">
        <v>141</v>
      </c>
      <c r="P1353" s="160">
        <v>9067</v>
      </c>
      <c r="Q1353" s="160">
        <v>8856</v>
      </c>
      <c r="R1353" s="17">
        <f t="shared" si="75"/>
        <v>211</v>
      </c>
      <c r="S1353" s="17">
        <v>1300</v>
      </c>
      <c r="T1353" s="19" t="s">
        <v>42</v>
      </c>
      <c r="U1353" s="102" t="s">
        <v>479</v>
      </c>
      <c r="V1353" s="64">
        <v>44671</v>
      </c>
      <c r="W1353" s="17" t="s">
        <v>69</v>
      </c>
      <c r="Y1353" s="68">
        <v>44682</v>
      </c>
      <c r="Z1353" s="17" t="s">
        <v>191</v>
      </c>
      <c r="AA1353" s="17" t="s">
        <v>46</v>
      </c>
      <c r="AB1353" s="17" t="s">
        <v>480</v>
      </c>
      <c r="AC1353" s="66">
        <v>44706</v>
      </c>
      <c r="AD1353" s="65">
        <v>1301</v>
      </c>
      <c r="AE1353" s="17" t="s">
        <v>48</v>
      </c>
      <c r="AF1353" s="17" t="s">
        <v>245</v>
      </c>
    </row>
    <row r="1354" s="17" customFormat="1" hidden="1" spans="1:32">
      <c r="A1354" s="17" t="s">
        <v>34</v>
      </c>
      <c r="B1354" s="19">
        <v>793</v>
      </c>
      <c r="C1354" s="101">
        <v>44663</v>
      </c>
      <c r="D1354" s="17" t="s">
        <v>52</v>
      </c>
      <c r="E1354" s="17" t="s">
        <v>187</v>
      </c>
      <c r="F1354" s="17" t="s">
        <v>54</v>
      </c>
      <c r="H1354" s="19">
        <v>1.2311</v>
      </c>
      <c r="I1354" s="19"/>
      <c r="J1354" s="17" t="s">
        <v>49</v>
      </c>
      <c r="K1354" s="181">
        <v>2200</v>
      </c>
      <c r="L1354" s="182">
        <v>110</v>
      </c>
      <c r="M1354" s="181">
        <v>5000</v>
      </c>
      <c r="N1354" s="17" t="s">
        <v>66</v>
      </c>
      <c r="O1354" s="19" t="s">
        <v>141</v>
      </c>
      <c r="P1354" s="160">
        <v>18997</v>
      </c>
      <c r="Q1354" s="160">
        <v>9045</v>
      </c>
      <c r="S1354" s="17">
        <v>1300</v>
      </c>
      <c r="T1354" s="19" t="s">
        <v>42</v>
      </c>
      <c r="U1354" s="102" t="s">
        <v>479</v>
      </c>
      <c r="V1354" s="64">
        <v>44671</v>
      </c>
      <c r="W1354" s="17" t="s">
        <v>69</v>
      </c>
      <c r="Y1354" s="68">
        <v>44682</v>
      </c>
      <c r="Z1354" s="17" t="s">
        <v>191</v>
      </c>
      <c r="AA1354" s="17" t="s">
        <v>46</v>
      </c>
      <c r="AB1354" s="17" t="s">
        <v>480</v>
      </c>
      <c r="AC1354" s="66">
        <v>44706</v>
      </c>
      <c r="AD1354" s="65">
        <v>1301</v>
      </c>
      <c r="AE1354" s="17" t="s">
        <v>481</v>
      </c>
      <c r="AF1354" s="17" t="s">
        <v>245</v>
      </c>
    </row>
    <row r="1355" s="17" customFormat="1" hidden="1" spans="1:32">
      <c r="A1355" s="17" t="s">
        <v>34</v>
      </c>
      <c r="B1355" s="19">
        <v>793</v>
      </c>
      <c r="C1355" s="101">
        <v>44663</v>
      </c>
      <c r="D1355" s="17" t="s">
        <v>52</v>
      </c>
      <c r="E1355" s="17" t="s">
        <v>187</v>
      </c>
      <c r="F1355" s="17" t="s">
        <v>54</v>
      </c>
      <c r="H1355" s="19">
        <v>1.2311</v>
      </c>
      <c r="I1355" s="19"/>
      <c r="J1355" s="17" t="s">
        <v>49</v>
      </c>
      <c r="K1355" s="181">
        <v>2200</v>
      </c>
      <c r="L1355" s="182">
        <v>110</v>
      </c>
      <c r="M1355" s="181">
        <v>5000</v>
      </c>
      <c r="N1355" s="17" t="s">
        <v>66</v>
      </c>
      <c r="O1355" s="19" t="s">
        <v>141</v>
      </c>
      <c r="P1355" s="160"/>
      <c r="Q1355" s="160">
        <v>9440</v>
      </c>
      <c r="R1355" s="95">
        <f>+P1354-Q1354-Q1355</f>
        <v>512</v>
      </c>
      <c r="S1355" s="17">
        <v>1300</v>
      </c>
      <c r="T1355" s="19" t="s">
        <v>42</v>
      </c>
      <c r="U1355" s="102" t="s">
        <v>479</v>
      </c>
      <c r="V1355" s="64">
        <v>44671</v>
      </c>
      <c r="W1355" s="17" t="s">
        <v>69</v>
      </c>
      <c r="Y1355" s="68">
        <v>44682</v>
      </c>
      <c r="Z1355" s="17" t="s">
        <v>191</v>
      </c>
      <c r="AA1355" s="17" t="s">
        <v>46</v>
      </c>
      <c r="AB1355" s="17" t="s">
        <v>478</v>
      </c>
      <c r="AC1355" s="66">
        <v>44722</v>
      </c>
      <c r="AD1355" s="65">
        <v>1308</v>
      </c>
      <c r="AE1355" s="17" t="s">
        <v>48</v>
      </c>
      <c r="AF1355" s="17" t="s">
        <v>245</v>
      </c>
    </row>
    <row r="1356" s="17" customFormat="1" hidden="1" spans="1:32">
      <c r="A1356" s="17" t="s">
        <v>34</v>
      </c>
      <c r="B1356" s="19">
        <v>794</v>
      </c>
      <c r="C1356" s="183">
        <v>44663</v>
      </c>
      <c r="D1356" s="17" t="s">
        <v>35</v>
      </c>
      <c r="E1356" s="17" t="s">
        <v>482</v>
      </c>
      <c r="F1356" s="17" t="s">
        <v>72</v>
      </c>
      <c r="H1356" s="19">
        <v>1.2344</v>
      </c>
      <c r="I1356" s="184"/>
      <c r="J1356" s="185" t="s">
        <v>39</v>
      </c>
      <c r="K1356" s="19">
        <v>101</v>
      </c>
      <c r="L1356" s="91"/>
      <c r="M1356" s="19">
        <v>2000</v>
      </c>
      <c r="N1356" s="19" t="s">
        <v>40</v>
      </c>
      <c r="O1356" s="19" t="s">
        <v>50</v>
      </c>
      <c r="P1356" s="19">
        <v>2000</v>
      </c>
      <c r="Q1356" s="19">
        <f>1264+560</f>
        <v>1824</v>
      </c>
      <c r="R1356" s="17">
        <f t="shared" ref="R1356:R1365" si="76">+P1356-Q1356</f>
        <v>176</v>
      </c>
      <c r="S1356" s="17">
        <v>2955</v>
      </c>
      <c r="T1356" s="19" t="s">
        <v>42</v>
      </c>
      <c r="U1356" s="102" t="s">
        <v>483</v>
      </c>
      <c r="V1356" s="186">
        <v>44662</v>
      </c>
      <c r="W1356" s="17" t="s">
        <v>44</v>
      </c>
      <c r="Y1356" s="68">
        <v>44743</v>
      </c>
      <c r="Z1356" s="17" t="s">
        <v>484</v>
      </c>
      <c r="AA1356" s="17" t="s">
        <v>46</v>
      </c>
      <c r="AB1356" s="17" t="s">
        <v>485</v>
      </c>
      <c r="AC1356" s="67">
        <v>44812</v>
      </c>
      <c r="AD1356" s="65">
        <v>1327</v>
      </c>
      <c r="AE1356" s="17" t="s">
        <v>48</v>
      </c>
      <c r="AF1356" s="17" t="s">
        <v>486</v>
      </c>
    </row>
    <row r="1357" s="17" customFormat="1" hidden="1" spans="1:32">
      <c r="A1357" s="17" t="s">
        <v>34</v>
      </c>
      <c r="B1357" s="19">
        <v>794</v>
      </c>
      <c r="C1357" s="183">
        <v>44663</v>
      </c>
      <c r="D1357" s="17" t="s">
        <v>35</v>
      </c>
      <c r="E1357" s="17" t="s">
        <v>482</v>
      </c>
      <c r="F1357" s="17" t="s">
        <v>72</v>
      </c>
      <c r="H1357" s="19">
        <v>1.2344</v>
      </c>
      <c r="I1357" s="184"/>
      <c r="J1357" s="185" t="s">
        <v>39</v>
      </c>
      <c r="K1357" s="19">
        <v>111</v>
      </c>
      <c r="L1357" s="91"/>
      <c r="M1357" s="19">
        <v>2000</v>
      </c>
      <c r="N1357" s="19" t="s">
        <v>40</v>
      </c>
      <c r="O1357" s="19" t="s">
        <v>50</v>
      </c>
      <c r="P1357" s="19">
        <v>2000</v>
      </c>
      <c r="Q1357" s="19">
        <f>741+1044</f>
        <v>1785</v>
      </c>
      <c r="R1357" s="17">
        <f t="shared" si="76"/>
        <v>215</v>
      </c>
      <c r="S1357" s="17">
        <v>2955</v>
      </c>
      <c r="T1357" s="19" t="s">
        <v>42</v>
      </c>
      <c r="U1357" s="102" t="s">
        <v>483</v>
      </c>
      <c r="V1357" s="186">
        <v>44662</v>
      </c>
      <c r="W1357" s="17" t="s">
        <v>44</v>
      </c>
      <c r="Y1357" s="68">
        <v>44743</v>
      </c>
      <c r="Z1357" s="17" t="s">
        <v>484</v>
      </c>
      <c r="AA1357" s="17" t="s">
        <v>46</v>
      </c>
      <c r="AB1357" s="17" t="s">
        <v>485</v>
      </c>
      <c r="AC1357" s="67">
        <v>44812</v>
      </c>
      <c r="AD1357" s="65">
        <v>1327</v>
      </c>
      <c r="AE1357" s="17" t="s">
        <v>48</v>
      </c>
      <c r="AF1357" s="17" t="s">
        <v>486</v>
      </c>
    </row>
    <row r="1358" s="17" customFormat="1" hidden="1" spans="1:32">
      <c r="A1358" s="17" t="s">
        <v>34</v>
      </c>
      <c r="B1358" s="19">
        <v>794</v>
      </c>
      <c r="C1358" s="183">
        <v>44663</v>
      </c>
      <c r="D1358" s="17" t="s">
        <v>35</v>
      </c>
      <c r="E1358" s="17" t="s">
        <v>482</v>
      </c>
      <c r="F1358" s="17" t="s">
        <v>72</v>
      </c>
      <c r="H1358" s="19">
        <v>1.2344</v>
      </c>
      <c r="I1358" s="184"/>
      <c r="J1358" s="185" t="s">
        <v>39</v>
      </c>
      <c r="K1358" s="19">
        <v>172</v>
      </c>
      <c r="L1358" s="91"/>
      <c r="M1358" s="19">
        <v>2000</v>
      </c>
      <c r="N1358" s="19" t="s">
        <v>40</v>
      </c>
      <c r="O1358" s="19" t="s">
        <v>50</v>
      </c>
      <c r="P1358" s="19">
        <v>2000</v>
      </c>
      <c r="Q1358" s="19">
        <v>1930</v>
      </c>
      <c r="R1358" s="17">
        <f t="shared" si="76"/>
        <v>70</v>
      </c>
      <c r="S1358" s="17">
        <v>2955</v>
      </c>
      <c r="T1358" s="19" t="s">
        <v>42</v>
      </c>
      <c r="U1358" s="102" t="s">
        <v>483</v>
      </c>
      <c r="V1358" s="186">
        <v>44662</v>
      </c>
      <c r="W1358" s="17" t="s">
        <v>44</v>
      </c>
      <c r="Y1358" s="68">
        <v>44743</v>
      </c>
      <c r="Z1358" s="17" t="s">
        <v>484</v>
      </c>
      <c r="AA1358" s="17" t="s">
        <v>46</v>
      </c>
      <c r="AB1358" s="17" t="s">
        <v>485</v>
      </c>
      <c r="AC1358" s="67">
        <v>44812</v>
      </c>
      <c r="AD1358" s="65">
        <v>1327</v>
      </c>
      <c r="AE1358" s="17" t="s">
        <v>48</v>
      </c>
      <c r="AF1358" s="17" t="s">
        <v>486</v>
      </c>
    </row>
    <row r="1359" s="17" customFormat="1" hidden="1" spans="1:32">
      <c r="A1359" s="17" t="s">
        <v>34</v>
      </c>
      <c r="B1359" s="19">
        <v>794</v>
      </c>
      <c r="C1359" s="183">
        <v>44663</v>
      </c>
      <c r="D1359" s="17" t="s">
        <v>35</v>
      </c>
      <c r="E1359" s="17" t="s">
        <v>482</v>
      </c>
      <c r="F1359" s="17" t="s">
        <v>72</v>
      </c>
      <c r="H1359" s="19">
        <v>1.2344</v>
      </c>
      <c r="I1359" s="184"/>
      <c r="J1359" s="185" t="s">
        <v>39</v>
      </c>
      <c r="K1359" s="19">
        <v>182</v>
      </c>
      <c r="L1359" s="91"/>
      <c r="M1359" s="19">
        <v>2000</v>
      </c>
      <c r="N1359" s="19" t="s">
        <v>40</v>
      </c>
      <c r="O1359" s="19" t="s">
        <v>50</v>
      </c>
      <c r="P1359" s="19">
        <f>2000+2000</f>
        <v>4000</v>
      </c>
      <c r="Q1359" s="19">
        <f>1028+1032+976+962</f>
        <v>3998</v>
      </c>
      <c r="R1359" s="17">
        <f t="shared" si="76"/>
        <v>2</v>
      </c>
      <c r="S1359" s="17">
        <v>2955</v>
      </c>
      <c r="T1359" s="19" t="s">
        <v>42</v>
      </c>
      <c r="U1359" s="102" t="s">
        <v>483</v>
      </c>
      <c r="V1359" s="186">
        <v>44662</v>
      </c>
      <c r="W1359" s="17" t="s">
        <v>44</v>
      </c>
      <c r="Y1359" s="68">
        <v>44743</v>
      </c>
      <c r="Z1359" s="17" t="s">
        <v>484</v>
      </c>
      <c r="AA1359" s="17" t="s">
        <v>46</v>
      </c>
      <c r="AB1359" s="17" t="s">
        <v>485</v>
      </c>
      <c r="AC1359" s="67">
        <v>44812</v>
      </c>
      <c r="AD1359" s="65">
        <v>1327</v>
      </c>
      <c r="AE1359" s="17" t="s">
        <v>48</v>
      </c>
      <c r="AF1359" s="17" t="s">
        <v>486</v>
      </c>
    </row>
    <row r="1360" s="17" customFormat="1" hidden="1" spans="1:32">
      <c r="A1360" s="17" t="s">
        <v>34</v>
      </c>
      <c r="B1360" s="19">
        <v>794</v>
      </c>
      <c r="C1360" s="183">
        <v>44663</v>
      </c>
      <c r="D1360" s="17" t="s">
        <v>35</v>
      </c>
      <c r="E1360" s="17" t="s">
        <v>482</v>
      </c>
      <c r="F1360" s="17" t="s">
        <v>72</v>
      </c>
      <c r="H1360" s="19">
        <v>1.2344</v>
      </c>
      <c r="I1360" s="184"/>
      <c r="J1360" s="185" t="s">
        <v>39</v>
      </c>
      <c r="K1360" s="19">
        <v>188</v>
      </c>
      <c r="L1360" s="91"/>
      <c r="M1360" s="19">
        <v>2000</v>
      </c>
      <c r="N1360" s="19" t="s">
        <v>40</v>
      </c>
      <c r="O1360" s="19" t="s">
        <v>50</v>
      </c>
      <c r="P1360" s="19">
        <v>2000</v>
      </c>
      <c r="Q1360" s="19">
        <f>1034+1072</f>
        <v>2106</v>
      </c>
      <c r="R1360" s="17">
        <f t="shared" si="76"/>
        <v>-106</v>
      </c>
      <c r="S1360" s="17">
        <v>2955</v>
      </c>
      <c r="T1360" s="19" t="s">
        <v>42</v>
      </c>
      <c r="U1360" s="102" t="s">
        <v>483</v>
      </c>
      <c r="V1360" s="186">
        <v>44662</v>
      </c>
      <c r="W1360" s="17" t="s">
        <v>44</v>
      </c>
      <c r="Y1360" s="68">
        <v>44743</v>
      </c>
      <c r="Z1360" s="17" t="s">
        <v>484</v>
      </c>
      <c r="AA1360" s="17" t="s">
        <v>46</v>
      </c>
      <c r="AB1360" s="17" t="s">
        <v>485</v>
      </c>
      <c r="AC1360" s="67">
        <v>44812</v>
      </c>
      <c r="AD1360" s="65">
        <v>1327</v>
      </c>
      <c r="AE1360" s="17" t="s">
        <v>48</v>
      </c>
      <c r="AF1360" s="17" t="s">
        <v>486</v>
      </c>
    </row>
    <row r="1361" s="17" customFormat="1" hidden="1" spans="1:32">
      <c r="A1361" s="17" t="s">
        <v>34</v>
      </c>
      <c r="B1361" s="19">
        <v>794</v>
      </c>
      <c r="C1361" s="183">
        <v>44663</v>
      </c>
      <c r="D1361" s="17" t="s">
        <v>35</v>
      </c>
      <c r="E1361" s="17" t="s">
        <v>482</v>
      </c>
      <c r="F1361" s="17" t="s">
        <v>72</v>
      </c>
      <c r="H1361" s="19">
        <v>1.2344</v>
      </c>
      <c r="I1361" s="184"/>
      <c r="J1361" s="185" t="s">
        <v>39</v>
      </c>
      <c r="K1361" s="19">
        <v>197</v>
      </c>
      <c r="L1361" s="91"/>
      <c r="M1361" s="19">
        <v>2000</v>
      </c>
      <c r="N1361" s="19" t="s">
        <v>40</v>
      </c>
      <c r="O1361" s="19" t="s">
        <v>50</v>
      </c>
      <c r="P1361" s="19">
        <v>2000</v>
      </c>
      <c r="Q1361" s="19">
        <f>948+1074</f>
        <v>2022</v>
      </c>
      <c r="R1361" s="17">
        <f t="shared" si="76"/>
        <v>-22</v>
      </c>
      <c r="S1361" s="17">
        <v>2955</v>
      </c>
      <c r="T1361" s="19" t="s">
        <v>42</v>
      </c>
      <c r="U1361" s="102" t="s">
        <v>483</v>
      </c>
      <c r="V1361" s="186">
        <v>44662</v>
      </c>
      <c r="W1361" s="17" t="s">
        <v>44</v>
      </c>
      <c r="Y1361" s="68">
        <v>44743</v>
      </c>
      <c r="Z1361" s="17" t="s">
        <v>484</v>
      </c>
      <c r="AA1361" s="17" t="s">
        <v>46</v>
      </c>
      <c r="AB1361" s="17" t="s">
        <v>487</v>
      </c>
      <c r="AC1361" s="17" t="s">
        <v>488</v>
      </c>
      <c r="AD1361" s="65">
        <v>1310</v>
      </c>
      <c r="AE1361" s="17" t="s">
        <v>48</v>
      </c>
    </row>
    <row r="1362" s="17" customFormat="1" hidden="1" spans="1:32">
      <c r="A1362" s="17" t="s">
        <v>34</v>
      </c>
      <c r="B1362" s="19">
        <v>794</v>
      </c>
      <c r="C1362" s="183">
        <v>44663</v>
      </c>
      <c r="D1362" s="17" t="s">
        <v>35</v>
      </c>
      <c r="E1362" s="17" t="s">
        <v>482</v>
      </c>
      <c r="F1362" s="17" t="s">
        <v>72</v>
      </c>
      <c r="H1362" s="19">
        <v>1.2344</v>
      </c>
      <c r="I1362" s="184"/>
      <c r="J1362" s="185" t="s">
        <v>39</v>
      </c>
      <c r="K1362" s="19">
        <v>212</v>
      </c>
      <c r="L1362" s="91"/>
      <c r="M1362" s="19">
        <v>2000</v>
      </c>
      <c r="N1362" s="19" t="s">
        <v>40</v>
      </c>
      <c r="O1362" s="19" t="s">
        <v>50</v>
      </c>
      <c r="P1362" s="19">
        <v>2000</v>
      </c>
      <c r="Q1362" s="19">
        <v>2062</v>
      </c>
      <c r="R1362" s="17">
        <f t="shared" si="76"/>
        <v>-62</v>
      </c>
      <c r="S1362" s="17">
        <v>2955</v>
      </c>
      <c r="T1362" s="19" t="s">
        <v>42</v>
      </c>
      <c r="U1362" s="102" t="s">
        <v>483</v>
      </c>
      <c r="V1362" s="186">
        <v>44662</v>
      </c>
      <c r="W1362" s="17" t="s">
        <v>44</v>
      </c>
      <c r="Y1362" s="68">
        <v>44743</v>
      </c>
      <c r="Z1362" s="17" t="s">
        <v>484</v>
      </c>
      <c r="AA1362" s="17" t="s">
        <v>46</v>
      </c>
      <c r="AB1362" s="17" t="s">
        <v>489</v>
      </c>
      <c r="AC1362" s="17" t="s">
        <v>488</v>
      </c>
      <c r="AD1362" s="65">
        <v>1309</v>
      </c>
      <c r="AE1362" s="17" t="s">
        <v>48</v>
      </c>
    </row>
    <row r="1363" s="17" customFormat="1" hidden="1" spans="1:32">
      <c r="A1363" s="17" t="s">
        <v>34</v>
      </c>
      <c r="B1363" s="19">
        <v>794</v>
      </c>
      <c r="C1363" s="183">
        <v>44663</v>
      </c>
      <c r="D1363" s="17" t="s">
        <v>35</v>
      </c>
      <c r="E1363" s="17" t="s">
        <v>482</v>
      </c>
      <c r="F1363" s="17" t="s">
        <v>72</v>
      </c>
      <c r="H1363" s="19">
        <v>1.2344</v>
      </c>
      <c r="I1363" s="184"/>
      <c r="J1363" s="185" t="s">
        <v>39</v>
      </c>
      <c r="K1363" s="19">
        <v>132</v>
      </c>
      <c r="L1363" s="91"/>
      <c r="M1363" s="19">
        <v>2000</v>
      </c>
      <c r="N1363" s="19" t="s">
        <v>40</v>
      </c>
      <c r="O1363" s="19" t="s">
        <v>50</v>
      </c>
      <c r="P1363" s="19">
        <v>3000</v>
      </c>
      <c r="Q1363" s="19">
        <v>1730</v>
      </c>
      <c r="R1363" s="18">
        <f t="shared" si="76"/>
        <v>1270</v>
      </c>
      <c r="S1363" s="17">
        <v>2955</v>
      </c>
      <c r="T1363" s="19" t="s">
        <v>42</v>
      </c>
      <c r="U1363" s="102" t="s">
        <v>483</v>
      </c>
      <c r="V1363" s="186">
        <v>44662</v>
      </c>
      <c r="W1363" s="17" t="s">
        <v>44</v>
      </c>
      <c r="Y1363" s="68">
        <v>44743</v>
      </c>
      <c r="Z1363" s="17" t="s">
        <v>484</v>
      </c>
      <c r="AA1363" s="17" t="s">
        <v>46</v>
      </c>
      <c r="AB1363" s="17" t="s">
        <v>485</v>
      </c>
      <c r="AC1363" s="67">
        <v>44812</v>
      </c>
      <c r="AD1363" s="65">
        <v>1327</v>
      </c>
      <c r="AE1363" s="17" t="s">
        <v>48</v>
      </c>
      <c r="AF1363" s="17" t="s">
        <v>486</v>
      </c>
    </row>
    <row r="1364" s="17" customFormat="1" hidden="1" spans="1:32">
      <c r="B1364" s="19">
        <v>794</v>
      </c>
      <c r="C1364" s="183">
        <v>44663</v>
      </c>
      <c r="D1364" s="17" t="s">
        <v>35</v>
      </c>
      <c r="E1364" s="17" t="s">
        <v>482</v>
      </c>
      <c r="F1364" s="17" t="s">
        <v>72</v>
      </c>
      <c r="H1364" s="19">
        <v>1.2344</v>
      </c>
      <c r="I1364" s="184"/>
      <c r="J1364" s="185" t="s">
        <v>39</v>
      </c>
      <c r="K1364" s="19">
        <v>142</v>
      </c>
      <c r="L1364" s="91"/>
      <c r="M1364" s="19">
        <v>2000</v>
      </c>
      <c r="N1364" s="19" t="s">
        <v>40</v>
      </c>
      <c r="O1364" s="19" t="s">
        <v>50</v>
      </c>
      <c r="P1364" s="19">
        <v>3000</v>
      </c>
      <c r="Q1364" s="19">
        <v>1378</v>
      </c>
      <c r="R1364" s="18">
        <f t="shared" si="76"/>
        <v>1622</v>
      </c>
      <c r="S1364" s="17">
        <f>2955-15</f>
        <v>2940</v>
      </c>
      <c r="T1364" s="19" t="s">
        <v>42</v>
      </c>
      <c r="U1364" s="102" t="s">
        <v>483</v>
      </c>
      <c r="V1364" s="186">
        <v>44662</v>
      </c>
      <c r="W1364" s="17" t="s">
        <v>44</v>
      </c>
      <c r="Y1364" s="68">
        <v>44743</v>
      </c>
      <c r="Z1364" s="17" t="s">
        <v>484</v>
      </c>
      <c r="AA1364" s="17" t="s">
        <v>46</v>
      </c>
      <c r="AB1364" s="17" t="s">
        <v>490</v>
      </c>
      <c r="AC1364" s="17" t="s">
        <v>491</v>
      </c>
      <c r="AD1364" s="65">
        <v>1357</v>
      </c>
      <c r="AE1364" s="17" t="s">
        <v>48</v>
      </c>
    </row>
    <row r="1365" s="17" customFormat="1" hidden="1" spans="1:32">
      <c r="A1365" s="17" t="s">
        <v>34</v>
      </c>
      <c r="B1365" s="19">
        <v>794</v>
      </c>
      <c r="C1365" s="183">
        <v>44663</v>
      </c>
      <c r="D1365" s="17" t="s">
        <v>35</v>
      </c>
      <c r="E1365" s="17" t="s">
        <v>482</v>
      </c>
      <c r="F1365" s="17" t="s">
        <v>72</v>
      </c>
      <c r="H1365" s="19">
        <v>1.2344</v>
      </c>
      <c r="I1365" s="184"/>
      <c r="J1365" s="185" t="s">
        <v>39</v>
      </c>
      <c r="K1365" s="19">
        <v>162</v>
      </c>
      <c r="L1365" s="91"/>
      <c r="M1365" s="19">
        <v>2000</v>
      </c>
      <c r="N1365" s="19" t="s">
        <v>40</v>
      </c>
      <c r="O1365" s="19" t="s">
        <v>50</v>
      </c>
      <c r="P1365" s="19">
        <v>6000</v>
      </c>
      <c r="Q1365" s="19">
        <f>1480+1600+1604+1488</f>
        <v>6172</v>
      </c>
      <c r="R1365" s="17">
        <f t="shared" si="76"/>
        <v>-172</v>
      </c>
      <c r="S1365" s="17">
        <v>2955</v>
      </c>
      <c r="T1365" s="19" t="s">
        <v>42</v>
      </c>
      <c r="U1365" s="102" t="s">
        <v>483</v>
      </c>
      <c r="V1365" s="186">
        <v>44662</v>
      </c>
      <c r="W1365" s="17" t="s">
        <v>44</v>
      </c>
      <c r="Y1365" s="68">
        <v>44743</v>
      </c>
      <c r="Z1365" s="17" t="s">
        <v>484</v>
      </c>
      <c r="AA1365" s="17" t="s">
        <v>46</v>
      </c>
      <c r="AB1365" s="17" t="s">
        <v>485</v>
      </c>
      <c r="AC1365" s="67">
        <v>44812</v>
      </c>
      <c r="AD1365" s="65">
        <v>1327</v>
      </c>
      <c r="AE1365" s="17" t="s">
        <v>48</v>
      </c>
      <c r="AF1365" s="17" t="s">
        <v>486</v>
      </c>
    </row>
    <row r="1366" s="17" customFormat="1" hidden="1" spans="1:32">
      <c r="A1366" s="17" t="s">
        <v>34</v>
      </c>
      <c r="B1366" s="19">
        <v>794</v>
      </c>
      <c r="C1366" s="183">
        <v>44663</v>
      </c>
      <c r="D1366" s="17" t="s">
        <v>35</v>
      </c>
      <c r="E1366" s="17" t="s">
        <v>482</v>
      </c>
      <c r="F1366" s="17" t="s">
        <v>72</v>
      </c>
      <c r="H1366" s="19">
        <v>1.2344</v>
      </c>
      <c r="I1366" s="184"/>
      <c r="J1366" s="185" t="s">
        <v>39</v>
      </c>
      <c r="K1366" s="19">
        <v>192</v>
      </c>
      <c r="L1366" s="91"/>
      <c r="M1366" s="19">
        <v>2000</v>
      </c>
      <c r="N1366" s="19" t="s">
        <v>40</v>
      </c>
      <c r="O1366" s="19" t="s">
        <v>50</v>
      </c>
      <c r="P1366" s="19">
        <f>6000+2000</f>
        <v>8000</v>
      </c>
      <c r="Q1366" s="19">
        <v>8224</v>
      </c>
      <c r="S1366" s="17">
        <v>2955</v>
      </c>
      <c r="T1366" s="19" t="s">
        <v>42</v>
      </c>
      <c r="U1366" s="102" t="s">
        <v>483</v>
      </c>
      <c r="V1366" s="186">
        <v>44662</v>
      </c>
      <c r="W1366" s="17" t="s">
        <v>44</v>
      </c>
      <c r="Y1366" s="68">
        <v>44743</v>
      </c>
      <c r="Z1366" s="17" t="s">
        <v>484</v>
      </c>
      <c r="AA1366" s="17" t="s">
        <v>46</v>
      </c>
      <c r="AB1366" s="17" t="s">
        <v>489</v>
      </c>
      <c r="AC1366" s="17" t="s">
        <v>488</v>
      </c>
      <c r="AD1366" s="65">
        <v>1309</v>
      </c>
      <c r="AE1366" s="17" t="s">
        <v>48</v>
      </c>
    </row>
    <row r="1367" s="17" customFormat="1" hidden="1" spans="1:32">
      <c r="A1367" s="17" t="s">
        <v>34</v>
      </c>
      <c r="B1367" s="19">
        <v>794</v>
      </c>
      <c r="C1367" s="183">
        <v>44663</v>
      </c>
      <c r="D1367" s="17" t="s">
        <v>35</v>
      </c>
      <c r="E1367" s="17" t="s">
        <v>482</v>
      </c>
      <c r="F1367" s="17" t="s">
        <v>72</v>
      </c>
      <c r="H1367" s="19">
        <v>1.2344</v>
      </c>
      <c r="I1367" s="184"/>
      <c r="J1367" s="185" t="s">
        <v>39</v>
      </c>
      <c r="K1367" s="19">
        <v>222</v>
      </c>
      <c r="L1367" s="91"/>
      <c r="M1367" s="19">
        <v>2000</v>
      </c>
      <c r="N1367" s="19" t="s">
        <v>40</v>
      </c>
      <c r="O1367" s="19" t="s">
        <v>50</v>
      </c>
      <c r="P1367" s="19">
        <v>10000</v>
      </c>
      <c r="Q1367" s="19">
        <f>1370+1436+1344+1256+1334</f>
        <v>6740</v>
      </c>
      <c r="S1367" s="17">
        <v>2955</v>
      </c>
      <c r="T1367" s="19" t="s">
        <v>42</v>
      </c>
      <c r="U1367" s="102" t="s">
        <v>483</v>
      </c>
      <c r="V1367" s="186">
        <v>44662</v>
      </c>
      <c r="W1367" s="17" t="s">
        <v>44</v>
      </c>
      <c r="Y1367" s="68">
        <v>44743</v>
      </c>
      <c r="Z1367" s="17" t="s">
        <v>484</v>
      </c>
      <c r="AA1367" s="17" t="s">
        <v>46</v>
      </c>
      <c r="AB1367" s="17" t="s">
        <v>487</v>
      </c>
      <c r="AC1367" s="17" t="s">
        <v>488</v>
      </c>
      <c r="AD1367" s="65">
        <v>1310</v>
      </c>
      <c r="AE1367" s="17" t="s">
        <v>48</v>
      </c>
    </row>
    <row r="1368" s="17" customFormat="1" hidden="1" spans="1:32">
      <c r="A1368" s="17" t="s">
        <v>34</v>
      </c>
      <c r="B1368" s="19">
        <v>794</v>
      </c>
      <c r="C1368" s="183">
        <v>44663</v>
      </c>
      <c r="D1368" s="17" t="s">
        <v>35</v>
      </c>
      <c r="E1368" s="17" t="s">
        <v>482</v>
      </c>
      <c r="F1368" s="17" t="s">
        <v>72</v>
      </c>
      <c r="H1368" s="19">
        <v>1.2344</v>
      </c>
      <c r="I1368" s="184"/>
      <c r="J1368" s="185" t="s">
        <v>39</v>
      </c>
      <c r="K1368" s="19">
        <v>222</v>
      </c>
      <c r="L1368" s="19"/>
      <c r="M1368" s="19">
        <v>2000</v>
      </c>
      <c r="N1368" s="19" t="s">
        <v>40</v>
      </c>
      <c r="O1368" s="19" t="s">
        <v>50</v>
      </c>
      <c r="P1368" s="19"/>
      <c r="Q1368" s="19">
        <f>1462+1366+1430</f>
        <v>4258</v>
      </c>
      <c r="R1368" s="17">
        <f>+P1367-Q1367-Q1368</f>
        <v>-998</v>
      </c>
      <c r="S1368" s="17">
        <v>2955</v>
      </c>
      <c r="T1368" s="19" t="s">
        <v>42</v>
      </c>
      <c r="U1368" s="102" t="s">
        <v>483</v>
      </c>
      <c r="V1368" s="186">
        <v>44662</v>
      </c>
      <c r="W1368" s="17" t="s">
        <v>44</v>
      </c>
      <c r="Y1368" s="68">
        <v>44743</v>
      </c>
      <c r="Z1368" s="17" t="s">
        <v>484</v>
      </c>
      <c r="AA1368" s="17" t="s">
        <v>46</v>
      </c>
      <c r="AB1368" s="17" t="s">
        <v>489</v>
      </c>
      <c r="AC1368" s="17" t="s">
        <v>488</v>
      </c>
      <c r="AD1368" s="65">
        <v>1309</v>
      </c>
      <c r="AE1368" s="17" t="s">
        <v>48</v>
      </c>
    </row>
    <row r="1369" s="17" customFormat="1" hidden="1" spans="1:32">
      <c r="A1369" s="17" t="s">
        <v>34</v>
      </c>
      <c r="B1369" s="19">
        <v>794</v>
      </c>
      <c r="C1369" s="183">
        <v>44663</v>
      </c>
      <c r="D1369" s="17" t="s">
        <v>35</v>
      </c>
      <c r="E1369" s="17" t="s">
        <v>482</v>
      </c>
      <c r="F1369" s="17" t="s">
        <v>72</v>
      </c>
      <c r="H1369" s="19">
        <v>1.2344</v>
      </c>
      <c r="I1369" s="184"/>
      <c r="J1369" s="185" t="s">
        <v>39</v>
      </c>
      <c r="K1369" s="19">
        <v>232</v>
      </c>
      <c r="L1369" s="91"/>
      <c r="M1369" s="19">
        <v>2000</v>
      </c>
      <c r="N1369" s="19" t="s">
        <v>40</v>
      </c>
      <c r="O1369" s="19" t="s">
        <v>50</v>
      </c>
      <c r="P1369" s="19">
        <v>5000</v>
      </c>
      <c r="Q1369" s="19">
        <f>1316+1408+1334+1430</f>
        <v>5488</v>
      </c>
      <c r="R1369" s="17">
        <f>+P1369-Q1369</f>
        <v>-488</v>
      </c>
      <c r="S1369" s="17">
        <v>2955</v>
      </c>
      <c r="T1369" s="19" t="s">
        <v>42</v>
      </c>
      <c r="U1369" s="102" t="s">
        <v>483</v>
      </c>
      <c r="V1369" s="186">
        <v>44662</v>
      </c>
      <c r="W1369" s="17" t="s">
        <v>44</v>
      </c>
      <c r="Y1369" s="68">
        <v>44743</v>
      </c>
      <c r="Z1369" s="17" t="s">
        <v>484</v>
      </c>
      <c r="AA1369" s="17" t="s">
        <v>46</v>
      </c>
      <c r="AB1369" s="17" t="s">
        <v>487</v>
      </c>
      <c r="AC1369" s="17" t="s">
        <v>488</v>
      </c>
      <c r="AD1369" s="65">
        <v>1310</v>
      </c>
      <c r="AE1369" s="17" t="s">
        <v>48</v>
      </c>
    </row>
    <row r="1370" s="17" customFormat="1" hidden="1" spans="1:32">
      <c r="A1370" s="17" t="s">
        <v>34</v>
      </c>
      <c r="B1370" s="19">
        <v>794</v>
      </c>
      <c r="C1370" s="183">
        <v>44663</v>
      </c>
      <c r="D1370" s="17" t="s">
        <v>35</v>
      </c>
      <c r="E1370" s="17" t="s">
        <v>482</v>
      </c>
      <c r="F1370" s="17" t="s">
        <v>72</v>
      </c>
      <c r="H1370" s="19">
        <v>1.2344</v>
      </c>
      <c r="I1370" s="184"/>
      <c r="J1370" s="185" t="s">
        <v>39</v>
      </c>
      <c r="K1370" s="19">
        <v>242</v>
      </c>
      <c r="L1370" s="91"/>
      <c r="M1370" s="19">
        <v>2000</v>
      </c>
      <c r="N1370" s="19" t="s">
        <v>40</v>
      </c>
      <c r="O1370" s="19" t="s">
        <v>50</v>
      </c>
      <c r="P1370" s="19">
        <v>5000</v>
      </c>
      <c r="Q1370" s="19">
        <v>3972</v>
      </c>
      <c r="R1370" s="18">
        <f>+P1370-Q1370</f>
        <v>1028</v>
      </c>
      <c r="S1370" s="17">
        <v>2955</v>
      </c>
      <c r="T1370" s="19" t="s">
        <v>42</v>
      </c>
      <c r="U1370" s="102" t="s">
        <v>483</v>
      </c>
      <c r="V1370" s="186">
        <v>44662</v>
      </c>
      <c r="W1370" s="17" t="s">
        <v>44</v>
      </c>
      <c r="Y1370" s="68">
        <v>44743</v>
      </c>
      <c r="Z1370" s="17" t="s">
        <v>484</v>
      </c>
      <c r="AA1370" s="17" t="s">
        <v>46</v>
      </c>
      <c r="AB1370" s="17" t="s">
        <v>489</v>
      </c>
      <c r="AC1370" s="17" t="s">
        <v>488</v>
      </c>
      <c r="AD1370" s="65">
        <v>1309</v>
      </c>
      <c r="AE1370" s="17" t="s">
        <v>48</v>
      </c>
    </row>
    <row r="1371" s="17" customFormat="1" hidden="1" spans="1:32">
      <c r="A1371" s="17" t="s">
        <v>34</v>
      </c>
      <c r="B1371" s="19">
        <v>794</v>
      </c>
      <c r="C1371" s="183">
        <v>44663</v>
      </c>
      <c r="D1371" s="17" t="s">
        <v>35</v>
      </c>
      <c r="E1371" s="17" t="s">
        <v>482</v>
      </c>
      <c r="F1371" s="17" t="s">
        <v>72</v>
      </c>
      <c r="H1371" s="19">
        <v>1.2344</v>
      </c>
      <c r="I1371" s="184"/>
      <c r="J1371" s="185" t="s">
        <v>39</v>
      </c>
      <c r="K1371" s="19">
        <v>252</v>
      </c>
      <c r="L1371" s="91"/>
      <c r="M1371" s="19">
        <v>2000</v>
      </c>
      <c r="N1371" s="19" t="s">
        <v>40</v>
      </c>
      <c r="O1371" s="19" t="s">
        <v>50</v>
      </c>
      <c r="P1371" s="19">
        <v>3500</v>
      </c>
      <c r="Q1371" s="19">
        <f>1814+1640</f>
        <v>3454</v>
      </c>
      <c r="R1371" s="17">
        <f>+P1371-Q1371</f>
        <v>46</v>
      </c>
      <c r="S1371" s="17">
        <v>3055</v>
      </c>
      <c r="T1371" s="19" t="s">
        <v>42</v>
      </c>
      <c r="U1371" s="102" t="s">
        <v>483</v>
      </c>
      <c r="V1371" s="186">
        <v>44662</v>
      </c>
      <c r="W1371" s="17" t="s">
        <v>44</v>
      </c>
      <c r="Y1371" s="68">
        <v>44743</v>
      </c>
      <c r="Z1371" s="17" t="s">
        <v>484</v>
      </c>
      <c r="AA1371" s="17" t="s">
        <v>46</v>
      </c>
      <c r="AB1371" s="17" t="s">
        <v>487</v>
      </c>
      <c r="AC1371" s="17" t="s">
        <v>488</v>
      </c>
      <c r="AD1371" s="65">
        <v>1310</v>
      </c>
      <c r="AE1371" s="17" t="s">
        <v>48</v>
      </c>
    </row>
    <row r="1372" s="17" customFormat="1" hidden="1" spans="1:32">
      <c r="A1372" s="17" t="s">
        <v>34</v>
      </c>
      <c r="B1372" s="19">
        <v>794</v>
      </c>
      <c r="C1372" s="183">
        <v>44663</v>
      </c>
      <c r="D1372" s="17" t="s">
        <v>35</v>
      </c>
      <c r="E1372" s="17" t="s">
        <v>482</v>
      </c>
      <c r="F1372" s="17" t="s">
        <v>72</v>
      </c>
      <c r="H1372" s="19">
        <v>1.2344</v>
      </c>
      <c r="I1372" s="184"/>
      <c r="J1372" s="185" t="s">
        <v>39</v>
      </c>
      <c r="K1372" s="19">
        <v>262</v>
      </c>
      <c r="L1372" s="91"/>
      <c r="M1372" s="19">
        <v>2000</v>
      </c>
      <c r="N1372" s="19" t="s">
        <v>40</v>
      </c>
      <c r="O1372" s="19" t="s">
        <v>50</v>
      </c>
      <c r="P1372" s="19">
        <v>3500</v>
      </c>
      <c r="Q1372" s="19">
        <f>1884+1630</f>
        <v>3514</v>
      </c>
      <c r="R1372" s="17">
        <f>+P1372-Q1372</f>
        <v>-14</v>
      </c>
      <c r="S1372" s="17">
        <v>3055</v>
      </c>
      <c r="T1372" s="19" t="s">
        <v>42</v>
      </c>
      <c r="U1372" s="102" t="s">
        <v>483</v>
      </c>
      <c r="V1372" s="186">
        <v>44662</v>
      </c>
      <c r="W1372" s="17" t="s">
        <v>44</v>
      </c>
      <c r="Y1372" s="68">
        <v>44743</v>
      </c>
      <c r="Z1372" s="17" t="s">
        <v>484</v>
      </c>
      <c r="AA1372" s="17" t="s">
        <v>46</v>
      </c>
      <c r="AB1372" s="17" t="s">
        <v>489</v>
      </c>
      <c r="AC1372" s="17" t="s">
        <v>488</v>
      </c>
      <c r="AD1372" s="65">
        <v>1309</v>
      </c>
      <c r="AE1372" s="17" t="s">
        <v>48</v>
      </c>
    </row>
    <row r="1373" s="17" customFormat="1" hidden="1" spans="1:32">
      <c r="A1373" s="17" t="s">
        <v>34</v>
      </c>
      <c r="B1373" s="19">
        <v>794</v>
      </c>
      <c r="C1373" s="183">
        <v>44663</v>
      </c>
      <c r="D1373" s="17" t="s">
        <v>35</v>
      </c>
      <c r="E1373" s="17" t="s">
        <v>482</v>
      </c>
      <c r="F1373" s="17" t="s">
        <v>72</v>
      </c>
      <c r="H1373" s="19">
        <v>1.2344</v>
      </c>
      <c r="I1373" s="184"/>
      <c r="J1373" s="185" t="s">
        <v>39</v>
      </c>
      <c r="K1373" s="19">
        <v>282</v>
      </c>
      <c r="L1373" s="91"/>
      <c r="M1373" s="19">
        <v>2000</v>
      </c>
      <c r="N1373" s="19" t="s">
        <v>40</v>
      </c>
      <c r="O1373" s="19" t="s">
        <v>50</v>
      </c>
      <c r="P1373" s="19">
        <f>3500+3500</f>
        <v>7000</v>
      </c>
      <c r="Q1373" s="19">
        <f>1720+1716</f>
        <v>3436</v>
      </c>
      <c r="S1373" s="17">
        <v>3055</v>
      </c>
      <c r="T1373" s="19" t="s">
        <v>42</v>
      </c>
      <c r="U1373" s="102" t="s">
        <v>483</v>
      </c>
      <c r="V1373" s="186">
        <v>44662</v>
      </c>
      <c r="W1373" s="17" t="s">
        <v>44</v>
      </c>
      <c r="Y1373" s="68">
        <v>44743</v>
      </c>
      <c r="Z1373" s="17" t="s">
        <v>484</v>
      </c>
      <c r="AA1373" s="17" t="s">
        <v>46</v>
      </c>
      <c r="AB1373" s="17" t="s">
        <v>487</v>
      </c>
      <c r="AC1373" s="17" t="s">
        <v>488</v>
      </c>
      <c r="AD1373" s="65">
        <v>1310</v>
      </c>
      <c r="AE1373" s="17" t="s">
        <v>48</v>
      </c>
    </row>
    <row r="1374" s="17" customFormat="1" hidden="1" spans="1:32">
      <c r="A1374" s="17" t="s">
        <v>34</v>
      </c>
      <c r="B1374" s="19">
        <v>794</v>
      </c>
      <c r="C1374" s="183">
        <v>44663</v>
      </c>
      <c r="D1374" s="17" t="s">
        <v>35</v>
      </c>
      <c r="E1374" s="17" t="s">
        <v>482</v>
      </c>
      <c r="F1374" s="17" t="s">
        <v>72</v>
      </c>
      <c r="H1374" s="19">
        <v>1.2344</v>
      </c>
      <c r="I1374" s="184"/>
      <c r="J1374" s="185" t="s">
        <v>39</v>
      </c>
      <c r="K1374" s="19">
        <v>282</v>
      </c>
      <c r="L1374" s="91"/>
      <c r="M1374" s="19">
        <v>2000</v>
      </c>
      <c r="N1374" s="19" t="s">
        <v>40</v>
      </c>
      <c r="O1374" s="19" t="s">
        <v>50</v>
      </c>
      <c r="P1374" s="19"/>
      <c r="Q1374" s="19">
        <v>1856</v>
      </c>
      <c r="S1374" s="17">
        <f>2955-15</f>
        <v>2940</v>
      </c>
      <c r="T1374" s="19" t="s">
        <v>42</v>
      </c>
      <c r="U1374" s="102" t="s">
        <v>483</v>
      </c>
      <c r="V1374" s="186">
        <v>44662</v>
      </c>
      <c r="W1374" s="17" t="s">
        <v>44</v>
      </c>
      <c r="Y1374" s="68">
        <v>44743</v>
      </c>
      <c r="Z1374" s="17" t="s">
        <v>484</v>
      </c>
      <c r="AA1374" s="17" t="s">
        <v>46</v>
      </c>
      <c r="AB1374" s="17" t="s">
        <v>490</v>
      </c>
      <c r="AC1374" s="17" t="s">
        <v>491</v>
      </c>
      <c r="AD1374" s="65">
        <v>1357</v>
      </c>
      <c r="AE1374" s="17" t="s">
        <v>48</v>
      </c>
    </row>
    <row r="1375" s="17" customFormat="1" hidden="1" spans="1:32">
      <c r="A1375" s="17" t="s">
        <v>34</v>
      </c>
      <c r="B1375" s="19">
        <v>794</v>
      </c>
      <c r="C1375" s="183">
        <v>44663</v>
      </c>
      <c r="D1375" s="17" t="s">
        <v>35</v>
      </c>
      <c r="E1375" s="17" t="s">
        <v>482</v>
      </c>
      <c r="F1375" s="17" t="s">
        <v>72</v>
      </c>
      <c r="H1375" s="19">
        <v>1.2344</v>
      </c>
      <c r="I1375" s="184"/>
      <c r="J1375" s="185" t="s">
        <v>39</v>
      </c>
      <c r="K1375" s="19">
        <v>282</v>
      </c>
      <c r="L1375" s="91"/>
      <c r="M1375" s="19">
        <v>2000</v>
      </c>
      <c r="N1375" s="19" t="s">
        <v>40</v>
      </c>
      <c r="O1375" s="19" t="s">
        <v>50</v>
      </c>
      <c r="P1375" s="19"/>
      <c r="Q1375" s="19">
        <v>1806</v>
      </c>
      <c r="R1375" s="17">
        <f>+P1373-Q1373-Q1374-Q1375</f>
        <v>-98</v>
      </c>
      <c r="S1375" s="17">
        <v>3055</v>
      </c>
      <c r="T1375" s="19" t="s">
        <v>42</v>
      </c>
      <c r="U1375" s="102" t="s">
        <v>483</v>
      </c>
      <c r="V1375" s="186">
        <v>44662</v>
      </c>
      <c r="W1375" s="17" t="s">
        <v>44</v>
      </c>
      <c r="Y1375" s="68">
        <v>44743</v>
      </c>
      <c r="Z1375" s="17" t="s">
        <v>484</v>
      </c>
      <c r="AA1375" s="17" t="s">
        <v>46</v>
      </c>
      <c r="AB1375" s="17" t="s">
        <v>492</v>
      </c>
      <c r="AC1375" s="17" t="s">
        <v>493</v>
      </c>
      <c r="AD1375" s="65">
        <v>1347</v>
      </c>
      <c r="AE1375" s="17" t="s">
        <v>48</v>
      </c>
    </row>
    <row r="1376" s="17" customFormat="1" hidden="1" spans="1:32">
      <c r="A1376" s="17" t="s">
        <v>34</v>
      </c>
      <c r="B1376" s="19">
        <v>794</v>
      </c>
      <c r="C1376" s="183">
        <v>44663</v>
      </c>
      <c r="D1376" s="17" t="s">
        <v>35</v>
      </c>
      <c r="E1376" s="17" t="s">
        <v>482</v>
      </c>
      <c r="F1376" s="17" t="s">
        <v>72</v>
      </c>
      <c r="H1376" s="19">
        <v>1.2344</v>
      </c>
      <c r="I1376" s="184"/>
      <c r="J1376" s="185" t="s">
        <v>39</v>
      </c>
      <c r="K1376" s="19">
        <v>305</v>
      </c>
      <c r="L1376" s="91"/>
      <c r="M1376" s="19">
        <v>2000</v>
      </c>
      <c r="N1376" s="19" t="s">
        <v>40</v>
      </c>
      <c r="O1376" s="19" t="s">
        <v>50</v>
      </c>
      <c r="P1376" s="19">
        <v>4000</v>
      </c>
      <c r="Q1376" s="19">
        <v>2152</v>
      </c>
      <c r="S1376" s="17">
        <f>3155-15</f>
        <v>3140</v>
      </c>
      <c r="T1376" s="19" t="s">
        <v>42</v>
      </c>
      <c r="U1376" s="102" t="s">
        <v>483</v>
      </c>
      <c r="V1376" s="186">
        <v>44662</v>
      </c>
      <c r="W1376" s="17" t="s">
        <v>44</v>
      </c>
      <c r="Y1376" s="68">
        <v>44743</v>
      </c>
      <c r="Z1376" s="17" t="s">
        <v>484</v>
      </c>
      <c r="AA1376" s="17" t="s">
        <v>46</v>
      </c>
      <c r="AB1376" s="17" t="s">
        <v>490</v>
      </c>
      <c r="AC1376" s="17" t="s">
        <v>491</v>
      </c>
      <c r="AD1376" s="65">
        <v>1357</v>
      </c>
      <c r="AE1376" s="17" t="s">
        <v>48</v>
      </c>
    </row>
    <row r="1377" s="17" customFormat="1" hidden="1" spans="1:34">
      <c r="A1377" s="17" t="s">
        <v>34</v>
      </c>
      <c r="B1377" s="19">
        <v>794</v>
      </c>
      <c r="C1377" s="183">
        <v>44663</v>
      </c>
      <c r="D1377" s="17" t="s">
        <v>35</v>
      </c>
      <c r="E1377" s="17" t="s">
        <v>482</v>
      </c>
      <c r="F1377" s="17" t="s">
        <v>72</v>
      </c>
      <c r="H1377" s="19">
        <v>1.2344</v>
      </c>
      <c r="I1377" s="184"/>
      <c r="J1377" s="185" t="s">
        <v>39</v>
      </c>
      <c r="K1377" s="19">
        <v>305</v>
      </c>
      <c r="L1377" s="91"/>
      <c r="M1377" s="19">
        <v>2000</v>
      </c>
      <c r="N1377" s="19" t="s">
        <v>40</v>
      </c>
      <c r="O1377" s="19" t="s">
        <v>50</v>
      </c>
      <c r="P1377" s="19"/>
      <c r="Q1377" s="19">
        <v>2156</v>
      </c>
      <c r="R1377" s="17">
        <f>+P1376-Q1376-Q1377</f>
        <v>-308</v>
      </c>
      <c r="S1377" s="17">
        <v>3155</v>
      </c>
      <c r="T1377" s="19" t="s">
        <v>42</v>
      </c>
      <c r="U1377" s="102" t="s">
        <v>483</v>
      </c>
      <c r="V1377" s="186">
        <v>44662</v>
      </c>
      <c r="W1377" s="17" t="s">
        <v>44</v>
      </c>
      <c r="Y1377" s="68">
        <v>44743</v>
      </c>
      <c r="Z1377" s="17" t="s">
        <v>484</v>
      </c>
      <c r="AA1377" s="17" t="s">
        <v>46</v>
      </c>
      <c r="AB1377" s="17" t="s">
        <v>492</v>
      </c>
      <c r="AC1377" s="17" t="s">
        <v>493</v>
      </c>
      <c r="AD1377" s="65">
        <v>1347</v>
      </c>
      <c r="AE1377" s="17" t="s">
        <v>48</v>
      </c>
    </row>
    <row r="1378" s="17" customFormat="1" hidden="1" spans="1:34">
      <c r="B1378" s="19">
        <v>794</v>
      </c>
      <c r="C1378" s="183">
        <v>44663</v>
      </c>
      <c r="D1378" s="17" t="s">
        <v>35</v>
      </c>
      <c r="E1378" s="17" t="s">
        <v>482</v>
      </c>
      <c r="F1378" s="17" t="s">
        <v>72</v>
      </c>
      <c r="H1378" s="19">
        <v>1.2344</v>
      </c>
      <c r="I1378" s="184"/>
      <c r="J1378" s="185" t="s">
        <v>39</v>
      </c>
      <c r="K1378" s="19">
        <v>322</v>
      </c>
      <c r="L1378" s="91"/>
      <c r="M1378" s="19">
        <v>2000</v>
      </c>
      <c r="N1378" s="19" t="s">
        <v>40</v>
      </c>
      <c r="O1378" s="19" t="s">
        <v>50</v>
      </c>
      <c r="P1378" s="19">
        <v>4000</v>
      </c>
      <c r="Q1378" s="19">
        <v>2580</v>
      </c>
      <c r="R1378" s="18">
        <f t="shared" ref="R1378:R1409" si="77">+P1378-Q1378</f>
        <v>1420</v>
      </c>
      <c r="S1378" s="17">
        <f>3155-15</f>
        <v>3140</v>
      </c>
      <c r="T1378" s="19" t="s">
        <v>42</v>
      </c>
      <c r="U1378" s="102" t="s">
        <v>483</v>
      </c>
      <c r="V1378" s="186">
        <v>44662</v>
      </c>
      <c r="W1378" s="17" t="s">
        <v>44</v>
      </c>
      <c r="Y1378" s="68">
        <v>44743</v>
      </c>
      <c r="Z1378" s="17" t="s">
        <v>484</v>
      </c>
      <c r="AA1378" s="17" t="s">
        <v>46</v>
      </c>
      <c r="AB1378" s="17" t="s">
        <v>490</v>
      </c>
      <c r="AC1378" s="17" t="s">
        <v>491</v>
      </c>
      <c r="AD1378" s="65">
        <v>1357</v>
      </c>
      <c r="AE1378" s="17" t="s">
        <v>48</v>
      </c>
    </row>
    <row r="1379" s="17" customFormat="1" ht="15.6" hidden="1" spans="1:34">
      <c r="A1379" s="17" t="s">
        <v>34</v>
      </c>
      <c r="B1379" s="19">
        <v>794</v>
      </c>
      <c r="C1379" s="183">
        <v>44663</v>
      </c>
      <c r="D1379" s="17" t="s">
        <v>35</v>
      </c>
      <c r="E1379" s="17" t="s">
        <v>482</v>
      </c>
      <c r="F1379" s="17" t="s">
        <v>72</v>
      </c>
      <c r="H1379" s="19">
        <v>1.2344</v>
      </c>
      <c r="I1379" s="184"/>
      <c r="J1379" s="185" t="s">
        <v>39</v>
      </c>
      <c r="K1379" s="19">
        <v>410</v>
      </c>
      <c r="L1379" s="187"/>
      <c r="M1379" s="19">
        <v>2000</v>
      </c>
      <c r="N1379" s="19" t="s">
        <v>40</v>
      </c>
      <c r="O1379" s="19" t="s">
        <v>50</v>
      </c>
      <c r="P1379" s="19">
        <v>5000</v>
      </c>
      <c r="Q1379" s="19">
        <v>4210</v>
      </c>
      <c r="R1379" s="17">
        <f t="shared" si="77"/>
        <v>790</v>
      </c>
      <c r="S1379" s="17">
        <v>3255</v>
      </c>
      <c r="T1379" s="19" t="s">
        <v>42</v>
      </c>
      <c r="U1379" s="102" t="s">
        <v>483</v>
      </c>
      <c r="V1379" s="186">
        <v>44662</v>
      </c>
      <c r="W1379" s="17" t="s">
        <v>44</v>
      </c>
      <c r="Y1379" s="68">
        <v>44743</v>
      </c>
      <c r="Z1379" s="17" t="s">
        <v>484</v>
      </c>
      <c r="AA1379" s="17" t="s">
        <v>46</v>
      </c>
      <c r="AB1379" s="17" t="s">
        <v>485</v>
      </c>
      <c r="AC1379" s="67">
        <v>44812</v>
      </c>
      <c r="AD1379" s="65">
        <v>1327</v>
      </c>
      <c r="AE1379" s="17" t="s">
        <v>48</v>
      </c>
      <c r="AF1379" s="17" t="s">
        <v>494</v>
      </c>
    </row>
    <row r="1380" s="17" customFormat="1" hidden="1" spans="1:34">
      <c r="A1380" s="17" t="s">
        <v>34</v>
      </c>
      <c r="B1380" s="19">
        <v>795</v>
      </c>
      <c r="C1380" s="101">
        <v>44666</v>
      </c>
      <c r="D1380" s="17" t="s">
        <v>52</v>
      </c>
      <c r="E1380" s="17" t="s">
        <v>187</v>
      </c>
      <c r="F1380" s="17" t="s">
        <v>54</v>
      </c>
      <c r="H1380" s="19">
        <v>1.2344</v>
      </c>
      <c r="I1380" s="19"/>
      <c r="J1380" s="17" t="s">
        <v>39</v>
      </c>
      <c r="K1380" s="17">
        <v>220</v>
      </c>
      <c r="L1380" s="91"/>
      <c r="M1380" s="19">
        <v>1500</v>
      </c>
      <c r="N1380" s="19" t="s">
        <v>40</v>
      </c>
      <c r="O1380" s="19" t="s">
        <v>149</v>
      </c>
      <c r="P1380" s="19">
        <v>2000</v>
      </c>
      <c r="Q1380" s="17">
        <f>462+648+676</f>
        <v>1786</v>
      </c>
      <c r="R1380" s="17">
        <f t="shared" si="77"/>
        <v>214</v>
      </c>
      <c r="S1380" s="17">
        <v>2515</v>
      </c>
      <c r="T1380" s="19" t="s">
        <v>42</v>
      </c>
      <c r="U1380" s="102" t="s">
        <v>495</v>
      </c>
      <c r="V1380" s="64">
        <v>44671</v>
      </c>
      <c r="W1380" s="17" t="s">
        <v>44</v>
      </c>
      <c r="Y1380" s="68">
        <v>44713</v>
      </c>
      <c r="Z1380" s="17" t="s">
        <v>191</v>
      </c>
      <c r="AA1380" s="17" t="s">
        <v>46</v>
      </c>
      <c r="AB1380" s="17" t="s">
        <v>496</v>
      </c>
      <c r="AC1380" s="66">
        <v>44658</v>
      </c>
      <c r="AD1380" s="65">
        <v>1321</v>
      </c>
      <c r="AE1380" s="17" t="s">
        <v>223</v>
      </c>
      <c r="AF1380" s="17" t="s">
        <v>245</v>
      </c>
      <c r="AH1380" s="17" t="s">
        <v>497</v>
      </c>
    </row>
    <row r="1381" s="17" customFormat="1" hidden="1" spans="1:34">
      <c r="A1381" s="17" t="s">
        <v>34</v>
      </c>
      <c r="B1381" s="19">
        <v>795</v>
      </c>
      <c r="C1381" s="101">
        <v>44666</v>
      </c>
      <c r="D1381" s="17" t="s">
        <v>52</v>
      </c>
      <c r="E1381" s="17" t="s">
        <v>187</v>
      </c>
      <c r="F1381" s="17" t="s">
        <v>54</v>
      </c>
      <c r="H1381" s="19">
        <v>1.2344</v>
      </c>
      <c r="I1381" s="19"/>
      <c r="J1381" s="17" t="s">
        <v>39</v>
      </c>
      <c r="K1381" s="17">
        <v>230</v>
      </c>
      <c r="L1381" s="91"/>
      <c r="M1381" s="19">
        <v>1500</v>
      </c>
      <c r="N1381" s="19" t="s">
        <v>40</v>
      </c>
      <c r="O1381" s="19" t="s">
        <v>149</v>
      </c>
      <c r="P1381" s="19">
        <v>2000</v>
      </c>
      <c r="Q1381" s="17">
        <f>499+505+737+737</f>
        <v>2478</v>
      </c>
      <c r="R1381" s="17">
        <f t="shared" si="77"/>
        <v>-478</v>
      </c>
      <c r="S1381" s="17">
        <v>2515</v>
      </c>
      <c r="T1381" s="19" t="s">
        <v>42</v>
      </c>
      <c r="U1381" s="102" t="s">
        <v>495</v>
      </c>
      <c r="V1381" s="64">
        <v>44671</v>
      </c>
      <c r="W1381" s="17" t="s">
        <v>44</v>
      </c>
      <c r="Y1381" s="68">
        <v>44713</v>
      </c>
      <c r="Z1381" s="17" t="s">
        <v>191</v>
      </c>
      <c r="AA1381" s="17" t="s">
        <v>46</v>
      </c>
      <c r="AB1381" s="17" t="s">
        <v>496</v>
      </c>
      <c r="AC1381" s="66">
        <v>44658</v>
      </c>
      <c r="AD1381" s="65">
        <v>1321</v>
      </c>
      <c r="AE1381" s="17" t="s">
        <v>223</v>
      </c>
      <c r="AF1381" s="17" t="s">
        <v>245</v>
      </c>
      <c r="AH1381" s="17" t="s">
        <v>497</v>
      </c>
    </row>
    <row r="1382" s="17" customFormat="1" hidden="1" spans="1:34">
      <c r="A1382" s="17" t="s">
        <v>34</v>
      </c>
      <c r="B1382" s="19">
        <v>795</v>
      </c>
      <c r="C1382" s="101">
        <v>44666</v>
      </c>
      <c r="D1382" s="17" t="s">
        <v>52</v>
      </c>
      <c r="E1382" s="17" t="s">
        <v>187</v>
      </c>
      <c r="F1382" s="17" t="s">
        <v>54</v>
      </c>
      <c r="H1382" s="19">
        <v>1.2344</v>
      </c>
      <c r="I1382" s="19"/>
      <c r="J1382" s="17" t="s">
        <v>39</v>
      </c>
      <c r="K1382" s="17">
        <v>250</v>
      </c>
      <c r="L1382" s="91"/>
      <c r="M1382" s="19">
        <v>1500</v>
      </c>
      <c r="N1382" s="19" t="s">
        <v>40</v>
      </c>
      <c r="O1382" s="19" t="s">
        <v>149</v>
      </c>
      <c r="P1382" s="19">
        <v>10000</v>
      </c>
      <c r="Q1382" s="17">
        <f>998+1073+1099+1122+1146+1170+1170+1170+1170+1170</f>
        <v>11288</v>
      </c>
      <c r="R1382" s="17">
        <f t="shared" si="77"/>
        <v>-1288</v>
      </c>
      <c r="S1382" s="17">
        <v>2515</v>
      </c>
      <c r="T1382" s="19" t="s">
        <v>42</v>
      </c>
      <c r="U1382" s="102" t="s">
        <v>495</v>
      </c>
      <c r="V1382" s="64">
        <v>44671</v>
      </c>
      <c r="W1382" s="17" t="s">
        <v>44</v>
      </c>
      <c r="Y1382" s="68">
        <v>44713</v>
      </c>
      <c r="Z1382" s="17" t="s">
        <v>191</v>
      </c>
      <c r="AA1382" s="17" t="s">
        <v>46</v>
      </c>
      <c r="AB1382" s="17" t="s">
        <v>496</v>
      </c>
      <c r="AC1382" s="66">
        <v>44658</v>
      </c>
      <c r="AD1382" s="65">
        <v>1321</v>
      </c>
      <c r="AE1382" s="17" t="s">
        <v>223</v>
      </c>
      <c r="AF1382" s="17" t="s">
        <v>245</v>
      </c>
      <c r="AH1382" s="17" t="s">
        <v>497</v>
      </c>
    </row>
    <row r="1383" s="17" customFormat="1" hidden="1" spans="1:34">
      <c r="A1383" s="17" t="s">
        <v>34</v>
      </c>
      <c r="B1383" s="19">
        <v>795</v>
      </c>
      <c r="C1383" s="101">
        <v>44666</v>
      </c>
      <c r="D1383" s="17" t="s">
        <v>52</v>
      </c>
      <c r="E1383" s="17" t="s">
        <v>187</v>
      </c>
      <c r="F1383" s="17" t="s">
        <v>54</v>
      </c>
      <c r="H1383" s="19">
        <v>1.2344</v>
      </c>
      <c r="I1383" s="19"/>
      <c r="J1383" s="17" t="s">
        <v>39</v>
      </c>
      <c r="K1383" s="17">
        <v>280</v>
      </c>
      <c r="L1383" s="91"/>
      <c r="M1383" s="19">
        <v>1500</v>
      </c>
      <c r="N1383" s="19" t="s">
        <v>40</v>
      </c>
      <c r="O1383" s="19" t="s">
        <v>149</v>
      </c>
      <c r="P1383" s="19">
        <v>4000</v>
      </c>
      <c r="Q1383" s="17">
        <f>1469+1466+1490+1517</f>
        <v>5942</v>
      </c>
      <c r="R1383" s="17">
        <f t="shared" si="77"/>
        <v>-1942</v>
      </c>
      <c r="S1383" s="17">
        <v>2515</v>
      </c>
      <c r="T1383" s="19" t="s">
        <v>42</v>
      </c>
      <c r="U1383" s="102" t="s">
        <v>495</v>
      </c>
      <c r="V1383" s="64">
        <v>44671</v>
      </c>
      <c r="W1383" s="17" t="s">
        <v>44</v>
      </c>
      <c r="Y1383" s="68">
        <v>44713</v>
      </c>
      <c r="Z1383" s="17" t="s">
        <v>191</v>
      </c>
      <c r="AA1383" s="17" t="s">
        <v>46</v>
      </c>
      <c r="AB1383" s="17" t="s">
        <v>496</v>
      </c>
      <c r="AC1383" s="66">
        <v>44658</v>
      </c>
      <c r="AD1383" s="65">
        <v>1321</v>
      </c>
      <c r="AE1383" s="17" t="s">
        <v>223</v>
      </c>
      <c r="AF1383" s="17" t="s">
        <v>245</v>
      </c>
      <c r="AH1383" s="17" t="s">
        <v>497</v>
      </c>
    </row>
    <row r="1384" s="17" customFormat="1" hidden="1" spans="1:34">
      <c r="A1384" s="17" t="s">
        <v>34</v>
      </c>
      <c r="B1384" s="19">
        <v>795</v>
      </c>
      <c r="C1384" s="101">
        <v>44666</v>
      </c>
      <c r="D1384" s="17" t="s">
        <v>52</v>
      </c>
      <c r="E1384" s="17" t="s">
        <v>187</v>
      </c>
      <c r="F1384" s="17" t="s">
        <v>54</v>
      </c>
      <c r="H1384" s="19">
        <v>1.2344</v>
      </c>
      <c r="I1384" s="19"/>
      <c r="J1384" s="17" t="s">
        <v>39</v>
      </c>
      <c r="K1384" s="17">
        <v>330</v>
      </c>
      <c r="L1384" s="91"/>
      <c r="M1384" s="19">
        <v>1500</v>
      </c>
      <c r="N1384" s="19" t="s">
        <v>40</v>
      </c>
      <c r="O1384" s="19" t="s">
        <v>149</v>
      </c>
      <c r="P1384" s="19">
        <v>5000</v>
      </c>
      <c r="Q1384" s="17">
        <v>1312</v>
      </c>
      <c r="R1384" s="17">
        <f t="shared" si="77"/>
        <v>3688</v>
      </c>
      <c r="S1384" s="17">
        <v>2580</v>
      </c>
      <c r="T1384" s="19" t="s">
        <v>42</v>
      </c>
      <c r="U1384" s="102" t="s">
        <v>495</v>
      </c>
      <c r="V1384" s="64">
        <v>44671</v>
      </c>
      <c r="W1384" s="17" t="s">
        <v>44</v>
      </c>
      <c r="Y1384" s="68">
        <v>44713</v>
      </c>
      <c r="Z1384" s="17" t="s">
        <v>191</v>
      </c>
      <c r="AA1384" s="17" t="s">
        <v>46</v>
      </c>
      <c r="AB1384" s="17" t="s">
        <v>496</v>
      </c>
      <c r="AC1384" s="66">
        <v>44658</v>
      </c>
      <c r="AD1384" s="65">
        <v>1321</v>
      </c>
      <c r="AE1384" s="17" t="s">
        <v>223</v>
      </c>
      <c r="AF1384" s="17" t="s">
        <v>245</v>
      </c>
      <c r="AH1384" s="17" t="s">
        <v>497</v>
      </c>
    </row>
    <row r="1385" s="17" customFormat="1" hidden="1" spans="1:34">
      <c r="A1385" s="17" t="s">
        <v>34</v>
      </c>
      <c r="B1385" s="19">
        <v>795</v>
      </c>
      <c r="C1385" s="101">
        <v>44666</v>
      </c>
      <c r="D1385" s="17" t="s">
        <v>52</v>
      </c>
      <c r="E1385" s="17" t="s">
        <v>187</v>
      </c>
      <c r="F1385" s="17" t="s">
        <v>54</v>
      </c>
      <c r="H1385" s="19">
        <v>1.2344</v>
      </c>
      <c r="I1385" s="19"/>
      <c r="J1385" s="17" t="s">
        <v>39</v>
      </c>
      <c r="K1385" s="17">
        <v>360</v>
      </c>
      <c r="L1385" s="91"/>
      <c r="M1385" s="19">
        <v>1500</v>
      </c>
      <c r="N1385" s="19" t="s">
        <v>40</v>
      </c>
      <c r="O1385" s="19" t="s">
        <v>149</v>
      </c>
      <c r="P1385" s="19">
        <v>1000</v>
      </c>
      <c r="Q1385" s="17">
        <f>1977+2024</f>
        <v>4001</v>
      </c>
      <c r="R1385" s="17">
        <f t="shared" si="77"/>
        <v>-3001</v>
      </c>
      <c r="S1385" s="17">
        <v>2580</v>
      </c>
      <c r="T1385" s="19" t="s">
        <v>42</v>
      </c>
      <c r="U1385" s="102" t="s">
        <v>495</v>
      </c>
      <c r="V1385" s="64">
        <v>44671</v>
      </c>
      <c r="W1385" s="17" t="s">
        <v>44</v>
      </c>
      <c r="Y1385" s="68">
        <v>44713</v>
      </c>
      <c r="Z1385" s="17" t="s">
        <v>191</v>
      </c>
      <c r="AA1385" s="17" t="s">
        <v>46</v>
      </c>
      <c r="AB1385" s="17" t="s">
        <v>496</v>
      </c>
      <c r="AC1385" s="66">
        <v>44658</v>
      </c>
      <c r="AD1385" s="65">
        <v>1321</v>
      </c>
      <c r="AE1385" s="17" t="s">
        <v>223</v>
      </c>
      <c r="AF1385" s="17" t="s">
        <v>245</v>
      </c>
      <c r="AH1385" s="17" t="s">
        <v>497</v>
      </c>
    </row>
    <row r="1386" s="17" customFormat="1" hidden="1" spans="1:34">
      <c r="A1386" s="17" t="s">
        <v>34</v>
      </c>
      <c r="B1386" s="19">
        <v>796</v>
      </c>
      <c r="C1386" s="101">
        <v>44666</v>
      </c>
      <c r="D1386" s="17" t="s">
        <v>432</v>
      </c>
      <c r="E1386" s="17" t="s">
        <v>433</v>
      </c>
      <c r="F1386" s="17" t="s">
        <v>434</v>
      </c>
      <c r="H1386" s="19">
        <v>1.2311</v>
      </c>
      <c r="I1386" s="19"/>
      <c r="J1386" s="17" t="s">
        <v>82</v>
      </c>
      <c r="K1386" s="188">
        <v>840</v>
      </c>
      <c r="L1386" s="189">
        <v>50</v>
      </c>
      <c r="M1386" s="188">
        <v>2320</v>
      </c>
      <c r="N1386" s="19" t="s">
        <v>66</v>
      </c>
      <c r="O1386" s="19" t="s">
        <v>168</v>
      </c>
      <c r="P1386" s="93">
        <v>970</v>
      </c>
      <c r="Q1386" s="17">
        <v>970</v>
      </c>
      <c r="R1386" s="17">
        <f t="shared" si="77"/>
        <v>0</v>
      </c>
      <c r="S1386" s="168">
        <v>1150</v>
      </c>
      <c r="T1386" s="19" t="s">
        <v>94</v>
      </c>
      <c r="U1386" s="102" t="s">
        <v>498</v>
      </c>
      <c r="V1386" s="186">
        <v>44672</v>
      </c>
      <c r="W1386" s="17" t="s">
        <v>44</v>
      </c>
      <c r="Y1386" s="68">
        <v>44682</v>
      </c>
      <c r="Z1386" s="17" t="s">
        <v>499</v>
      </c>
      <c r="AA1386" s="17" t="s">
        <v>437</v>
      </c>
      <c r="AB1386" s="17" t="s">
        <v>500</v>
      </c>
      <c r="AC1386" s="17" t="s">
        <v>501</v>
      </c>
      <c r="AD1386" s="65">
        <v>1302</v>
      </c>
      <c r="AE1386" s="17" t="s">
        <v>48</v>
      </c>
    </row>
    <row r="1387" s="17" customFormat="1" hidden="1" spans="1:34">
      <c r="A1387" s="17" t="s">
        <v>34</v>
      </c>
      <c r="B1387" s="19">
        <v>796</v>
      </c>
      <c r="C1387" s="101">
        <v>44666</v>
      </c>
      <c r="D1387" s="17" t="s">
        <v>432</v>
      </c>
      <c r="E1387" s="17" t="s">
        <v>433</v>
      </c>
      <c r="F1387" s="17" t="s">
        <v>434</v>
      </c>
      <c r="H1387" s="19">
        <v>1.2311</v>
      </c>
      <c r="I1387" s="19"/>
      <c r="J1387" s="17" t="s">
        <v>82</v>
      </c>
      <c r="K1387" s="188">
        <v>900</v>
      </c>
      <c r="L1387" s="189">
        <v>95</v>
      </c>
      <c r="M1387" s="188">
        <v>1850</v>
      </c>
      <c r="N1387" s="19" t="s">
        <v>66</v>
      </c>
      <c r="O1387" s="19" t="s">
        <v>168</v>
      </c>
      <c r="P1387" s="19">
        <v>1270</v>
      </c>
      <c r="Q1387" s="17">
        <v>1270</v>
      </c>
      <c r="R1387" s="17">
        <f t="shared" si="77"/>
        <v>0</v>
      </c>
      <c r="S1387" s="168">
        <v>1150</v>
      </c>
      <c r="T1387" s="19" t="s">
        <v>94</v>
      </c>
      <c r="U1387" s="102" t="s">
        <v>498</v>
      </c>
      <c r="V1387" s="186">
        <v>44672</v>
      </c>
      <c r="W1387" s="17" t="s">
        <v>44</v>
      </c>
      <c r="Y1387" s="68">
        <v>44682</v>
      </c>
      <c r="Z1387" s="17" t="s">
        <v>499</v>
      </c>
      <c r="AA1387" s="17" t="s">
        <v>437</v>
      </c>
      <c r="AB1387" s="17" t="s">
        <v>500</v>
      </c>
      <c r="AC1387" s="17" t="s">
        <v>501</v>
      </c>
      <c r="AD1387" s="65">
        <v>1302</v>
      </c>
      <c r="AE1387" s="17" t="s">
        <v>48</v>
      </c>
    </row>
    <row r="1388" s="17" customFormat="1" hidden="1" spans="1:34">
      <c r="A1388" s="17" t="s">
        <v>34</v>
      </c>
      <c r="B1388" s="19">
        <v>796</v>
      </c>
      <c r="C1388" s="101">
        <v>44666</v>
      </c>
      <c r="D1388" s="17" t="s">
        <v>432</v>
      </c>
      <c r="E1388" s="17" t="s">
        <v>433</v>
      </c>
      <c r="F1388" s="17" t="s">
        <v>434</v>
      </c>
      <c r="H1388" s="19">
        <v>1.2311</v>
      </c>
      <c r="I1388" s="19"/>
      <c r="J1388" s="17" t="s">
        <v>82</v>
      </c>
      <c r="K1388" s="188">
        <v>750</v>
      </c>
      <c r="L1388" s="189">
        <v>95</v>
      </c>
      <c r="M1388" s="188">
        <v>1225</v>
      </c>
      <c r="N1388" s="19" t="s">
        <v>66</v>
      </c>
      <c r="O1388" s="19" t="s">
        <v>168</v>
      </c>
      <c r="P1388" s="19">
        <v>820</v>
      </c>
      <c r="Q1388" s="17">
        <v>820</v>
      </c>
      <c r="R1388" s="17">
        <f t="shared" si="77"/>
        <v>0</v>
      </c>
      <c r="S1388" s="168">
        <v>1150</v>
      </c>
      <c r="T1388" s="19" t="s">
        <v>94</v>
      </c>
      <c r="U1388" s="102" t="s">
        <v>498</v>
      </c>
      <c r="V1388" s="186">
        <v>44672</v>
      </c>
      <c r="W1388" s="17" t="s">
        <v>44</v>
      </c>
      <c r="Y1388" s="68">
        <v>44682</v>
      </c>
      <c r="Z1388" s="17" t="s">
        <v>499</v>
      </c>
      <c r="AA1388" s="17" t="s">
        <v>437</v>
      </c>
      <c r="AB1388" s="17" t="s">
        <v>500</v>
      </c>
      <c r="AC1388" s="17" t="s">
        <v>501</v>
      </c>
      <c r="AD1388" s="65">
        <v>1302</v>
      </c>
      <c r="AE1388" s="17" t="s">
        <v>48</v>
      </c>
    </row>
    <row r="1389" s="17" customFormat="1" hidden="1" spans="1:34">
      <c r="A1389" s="17" t="s">
        <v>34</v>
      </c>
      <c r="B1389" s="19">
        <v>796</v>
      </c>
      <c r="C1389" s="101">
        <v>44666</v>
      </c>
      <c r="D1389" s="17" t="s">
        <v>432</v>
      </c>
      <c r="E1389" s="17" t="s">
        <v>433</v>
      </c>
      <c r="F1389" s="17" t="s">
        <v>434</v>
      </c>
      <c r="H1389" s="19">
        <v>1.2311</v>
      </c>
      <c r="I1389" s="19"/>
      <c r="J1389" s="17" t="s">
        <v>82</v>
      </c>
      <c r="K1389" s="188">
        <v>810</v>
      </c>
      <c r="L1389" s="189">
        <v>95</v>
      </c>
      <c r="M1389" s="188">
        <v>970</v>
      </c>
      <c r="N1389" s="19" t="s">
        <v>66</v>
      </c>
      <c r="O1389" s="19" t="s">
        <v>168</v>
      </c>
      <c r="P1389" s="19">
        <v>650</v>
      </c>
      <c r="Q1389" s="17">
        <v>650</v>
      </c>
      <c r="R1389" s="17">
        <f t="shared" si="77"/>
        <v>0</v>
      </c>
      <c r="S1389" s="168">
        <v>1150</v>
      </c>
      <c r="T1389" s="19" t="s">
        <v>94</v>
      </c>
      <c r="U1389" s="102" t="s">
        <v>498</v>
      </c>
      <c r="V1389" s="186">
        <v>44672</v>
      </c>
      <c r="W1389" s="17" t="s">
        <v>44</v>
      </c>
      <c r="Y1389" s="68">
        <v>44682</v>
      </c>
      <c r="Z1389" s="17" t="s">
        <v>499</v>
      </c>
      <c r="AA1389" s="17" t="s">
        <v>437</v>
      </c>
      <c r="AB1389" s="17" t="s">
        <v>500</v>
      </c>
      <c r="AC1389" s="17" t="s">
        <v>501</v>
      </c>
      <c r="AD1389" s="65">
        <v>1302</v>
      </c>
      <c r="AE1389" s="17" t="s">
        <v>48</v>
      </c>
    </row>
    <row r="1390" s="18" customFormat="1" hidden="1" spans="1:34">
      <c r="B1390" s="75">
        <v>796</v>
      </c>
      <c r="C1390" s="135">
        <v>44666</v>
      </c>
      <c r="D1390" s="18" t="s">
        <v>432</v>
      </c>
      <c r="E1390" s="17" t="s">
        <v>433</v>
      </c>
      <c r="F1390" s="18" t="s">
        <v>434</v>
      </c>
      <c r="H1390" s="75">
        <v>1.2311</v>
      </c>
      <c r="I1390" s="75"/>
      <c r="J1390" s="18" t="s">
        <v>82</v>
      </c>
      <c r="K1390" s="190">
        <v>460</v>
      </c>
      <c r="L1390" s="191">
        <v>105</v>
      </c>
      <c r="M1390" s="190">
        <v>2715</v>
      </c>
      <c r="N1390" s="75" t="s">
        <v>66</v>
      </c>
      <c r="O1390" s="75" t="s">
        <v>168</v>
      </c>
      <c r="P1390" s="75">
        <v>1080</v>
      </c>
      <c r="R1390" s="18">
        <f t="shared" si="77"/>
        <v>1080</v>
      </c>
      <c r="S1390" s="192">
        <v>1150</v>
      </c>
      <c r="T1390" s="75" t="s">
        <v>94</v>
      </c>
      <c r="U1390" s="137" t="s">
        <v>498</v>
      </c>
      <c r="V1390" s="193">
        <v>44672</v>
      </c>
      <c r="W1390" s="18" t="s">
        <v>44</v>
      </c>
      <c r="Y1390" s="114">
        <v>44682</v>
      </c>
      <c r="Z1390" s="18" t="s">
        <v>499</v>
      </c>
      <c r="AA1390" s="18" t="s">
        <v>437</v>
      </c>
      <c r="AD1390" s="77"/>
      <c r="AE1390" s="18" t="s">
        <v>48</v>
      </c>
    </row>
    <row r="1391" s="17" customFormat="1" hidden="1" spans="1:34">
      <c r="A1391" s="17" t="s">
        <v>34</v>
      </c>
      <c r="B1391" s="19">
        <v>796</v>
      </c>
      <c r="C1391" s="101">
        <v>44666</v>
      </c>
      <c r="D1391" s="17" t="s">
        <v>432</v>
      </c>
      <c r="E1391" s="17" t="s">
        <v>433</v>
      </c>
      <c r="F1391" s="17" t="s">
        <v>434</v>
      </c>
      <c r="H1391" s="19">
        <v>1.2311</v>
      </c>
      <c r="I1391" s="19"/>
      <c r="J1391" s="17" t="s">
        <v>82</v>
      </c>
      <c r="K1391" s="188">
        <v>750</v>
      </c>
      <c r="L1391" s="189">
        <v>105</v>
      </c>
      <c r="M1391" s="188">
        <v>1225</v>
      </c>
      <c r="N1391" s="19" t="s">
        <v>66</v>
      </c>
      <c r="O1391" s="19" t="s">
        <v>168</v>
      </c>
      <c r="P1391" s="19">
        <v>850</v>
      </c>
      <c r="Q1391" s="17">
        <v>850</v>
      </c>
      <c r="R1391" s="17">
        <f t="shared" si="77"/>
        <v>0</v>
      </c>
      <c r="S1391" s="168">
        <v>1150</v>
      </c>
      <c r="T1391" s="19" t="s">
        <v>94</v>
      </c>
      <c r="U1391" s="102" t="s">
        <v>498</v>
      </c>
      <c r="V1391" s="186">
        <v>44672</v>
      </c>
      <c r="W1391" s="17" t="s">
        <v>44</v>
      </c>
      <c r="Y1391" s="68">
        <v>44682</v>
      </c>
      <c r="Z1391" s="17" t="s">
        <v>499</v>
      </c>
      <c r="AA1391" s="17" t="s">
        <v>437</v>
      </c>
      <c r="AB1391" s="17" t="s">
        <v>500</v>
      </c>
      <c r="AC1391" s="17" t="s">
        <v>501</v>
      </c>
      <c r="AD1391" s="65">
        <v>1302</v>
      </c>
      <c r="AE1391" s="17" t="s">
        <v>48</v>
      </c>
    </row>
    <row r="1392" s="17" customFormat="1" hidden="1" spans="1:34">
      <c r="A1392" s="17" t="s">
        <v>34</v>
      </c>
      <c r="B1392" s="19">
        <v>796</v>
      </c>
      <c r="C1392" s="101">
        <v>44666</v>
      </c>
      <c r="D1392" s="17" t="s">
        <v>432</v>
      </c>
      <c r="E1392" s="17" t="s">
        <v>433</v>
      </c>
      <c r="F1392" s="17" t="s">
        <v>434</v>
      </c>
      <c r="H1392" s="19">
        <v>1.2311</v>
      </c>
      <c r="I1392" s="19"/>
      <c r="J1392" s="17" t="s">
        <v>82</v>
      </c>
      <c r="K1392" s="188">
        <v>525</v>
      </c>
      <c r="L1392" s="189">
        <v>115</v>
      </c>
      <c r="M1392" s="188">
        <v>1191</v>
      </c>
      <c r="N1392" s="19" t="s">
        <v>66</v>
      </c>
      <c r="O1392" s="19" t="s">
        <v>168</v>
      </c>
      <c r="P1392" s="19">
        <v>600</v>
      </c>
      <c r="Q1392" s="17">
        <v>600</v>
      </c>
      <c r="R1392" s="17">
        <f t="shared" si="77"/>
        <v>0</v>
      </c>
      <c r="S1392" s="168">
        <v>1150</v>
      </c>
      <c r="T1392" s="19" t="s">
        <v>94</v>
      </c>
      <c r="U1392" s="102" t="s">
        <v>498</v>
      </c>
      <c r="V1392" s="186">
        <v>44672</v>
      </c>
      <c r="W1392" s="17" t="s">
        <v>44</v>
      </c>
      <c r="Y1392" s="68">
        <v>44682</v>
      </c>
      <c r="Z1392" s="17" t="s">
        <v>499</v>
      </c>
      <c r="AA1392" s="17" t="s">
        <v>437</v>
      </c>
      <c r="AB1392" s="17" t="s">
        <v>500</v>
      </c>
      <c r="AC1392" s="17" t="s">
        <v>501</v>
      </c>
      <c r="AD1392" s="65">
        <v>1302</v>
      </c>
      <c r="AE1392" s="17" t="s">
        <v>48</v>
      </c>
    </row>
    <row r="1393" s="17" customFormat="1" hidden="1" spans="1:31">
      <c r="A1393" s="17" t="s">
        <v>34</v>
      </c>
      <c r="B1393" s="19">
        <v>796</v>
      </c>
      <c r="C1393" s="101">
        <v>44666</v>
      </c>
      <c r="D1393" s="17" t="s">
        <v>432</v>
      </c>
      <c r="E1393" s="17" t="s">
        <v>433</v>
      </c>
      <c r="F1393" s="17" t="s">
        <v>434</v>
      </c>
      <c r="H1393" s="19">
        <v>1.2311</v>
      </c>
      <c r="I1393" s="19"/>
      <c r="J1393" s="17" t="s">
        <v>82</v>
      </c>
      <c r="K1393" s="188">
        <v>447</v>
      </c>
      <c r="L1393" s="189">
        <v>120</v>
      </c>
      <c r="M1393" s="188">
        <v>1510</v>
      </c>
      <c r="N1393" s="19" t="s">
        <v>66</v>
      </c>
      <c r="O1393" s="19" t="s">
        <v>168</v>
      </c>
      <c r="P1393" s="19">
        <v>750</v>
      </c>
      <c r="Q1393" s="17">
        <v>750</v>
      </c>
      <c r="R1393" s="17">
        <f t="shared" si="77"/>
        <v>0</v>
      </c>
      <c r="S1393" s="168">
        <v>1150</v>
      </c>
      <c r="T1393" s="19" t="s">
        <v>94</v>
      </c>
      <c r="U1393" s="102" t="s">
        <v>498</v>
      </c>
      <c r="V1393" s="186">
        <v>44672</v>
      </c>
      <c r="W1393" s="17" t="s">
        <v>44</v>
      </c>
      <c r="Y1393" s="68">
        <v>44682</v>
      </c>
      <c r="Z1393" s="17" t="s">
        <v>499</v>
      </c>
      <c r="AA1393" s="17" t="s">
        <v>437</v>
      </c>
      <c r="AB1393" s="17" t="s">
        <v>500</v>
      </c>
      <c r="AC1393" s="17" t="s">
        <v>501</v>
      </c>
      <c r="AD1393" s="65">
        <v>1302</v>
      </c>
      <c r="AE1393" s="17" t="s">
        <v>48</v>
      </c>
    </row>
    <row r="1394" s="17" customFormat="1" hidden="1" spans="1:31">
      <c r="A1394" s="17" t="s">
        <v>34</v>
      </c>
      <c r="B1394" s="19">
        <v>796</v>
      </c>
      <c r="C1394" s="101">
        <v>44666</v>
      </c>
      <c r="D1394" s="17" t="s">
        <v>432</v>
      </c>
      <c r="E1394" s="17" t="s">
        <v>433</v>
      </c>
      <c r="F1394" s="17" t="s">
        <v>434</v>
      </c>
      <c r="H1394" s="19">
        <v>1.2311</v>
      </c>
      <c r="I1394" s="19"/>
      <c r="J1394" s="17" t="s">
        <v>82</v>
      </c>
      <c r="K1394" s="188">
        <v>815</v>
      </c>
      <c r="L1394" s="189">
        <v>150</v>
      </c>
      <c r="M1394" s="188">
        <v>1200</v>
      </c>
      <c r="N1394" s="19" t="s">
        <v>66</v>
      </c>
      <c r="O1394" s="19" t="s">
        <v>168</v>
      </c>
      <c r="P1394" s="19">
        <v>1158</v>
      </c>
      <c r="Q1394" s="17">
        <v>1158</v>
      </c>
      <c r="R1394" s="17">
        <f t="shared" si="77"/>
        <v>0</v>
      </c>
      <c r="S1394" s="168">
        <v>1150</v>
      </c>
      <c r="T1394" s="19" t="s">
        <v>94</v>
      </c>
      <c r="U1394" s="102" t="s">
        <v>498</v>
      </c>
      <c r="V1394" s="186">
        <v>44672</v>
      </c>
      <c r="W1394" s="17" t="s">
        <v>44</v>
      </c>
      <c r="Y1394" s="68">
        <v>44682</v>
      </c>
      <c r="Z1394" s="17" t="s">
        <v>499</v>
      </c>
      <c r="AA1394" s="17" t="s">
        <v>437</v>
      </c>
      <c r="AB1394" s="17" t="s">
        <v>500</v>
      </c>
      <c r="AC1394" s="17" t="s">
        <v>501</v>
      </c>
      <c r="AD1394" s="65">
        <v>1302</v>
      </c>
      <c r="AE1394" s="17" t="s">
        <v>48</v>
      </c>
    </row>
    <row r="1395" s="18" customFormat="1" hidden="1" spans="1:31">
      <c r="A1395" s="18" t="s">
        <v>34</v>
      </c>
      <c r="B1395" s="75">
        <v>796</v>
      </c>
      <c r="C1395" s="135">
        <v>44666</v>
      </c>
      <c r="D1395" s="18" t="s">
        <v>432</v>
      </c>
      <c r="E1395" s="17" t="s">
        <v>433</v>
      </c>
      <c r="F1395" s="18" t="s">
        <v>434</v>
      </c>
      <c r="H1395" s="75">
        <v>1.2311</v>
      </c>
      <c r="I1395" s="75"/>
      <c r="J1395" s="18" t="s">
        <v>82</v>
      </c>
      <c r="K1395" s="190">
        <v>255</v>
      </c>
      <c r="L1395" s="191">
        <v>160</v>
      </c>
      <c r="M1395" s="190">
        <v>3210</v>
      </c>
      <c r="N1395" s="75" t="s">
        <v>66</v>
      </c>
      <c r="O1395" s="75" t="s">
        <v>168</v>
      </c>
      <c r="P1395" s="75">
        <v>1056</v>
      </c>
      <c r="Q1395" s="18">
        <v>1056</v>
      </c>
      <c r="R1395" s="18">
        <f t="shared" si="77"/>
        <v>0</v>
      </c>
      <c r="S1395" s="192">
        <v>1150</v>
      </c>
      <c r="T1395" s="75" t="s">
        <v>94</v>
      </c>
      <c r="U1395" s="137" t="s">
        <v>498</v>
      </c>
      <c r="V1395" s="193">
        <v>44672</v>
      </c>
      <c r="W1395" s="18" t="s">
        <v>44</v>
      </c>
      <c r="Y1395" s="114">
        <v>44682</v>
      </c>
      <c r="Z1395" s="18" t="s">
        <v>499</v>
      </c>
      <c r="AA1395" s="18" t="s">
        <v>437</v>
      </c>
      <c r="AB1395" s="18" t="s">
        <v>502</v>
      </c>
      <c r="AC1395" s="18" t="s">
        <v>503</v>
      </c>
      <c r="AD1395" s="77">
        <v>1337</v>
      </c>
      <c r="AE1395" s="18" t="s">
        <v>48</v>
      </c>
    </row>
    <row r="1396" s="18" customFormat="1" hidden="1" spans="1:31">
      <c r="A1396" s="18" t="s">
        <v>34</v>
      </c>
      <c r="B1396" s="75">
        <v>796</v>
      </c>
      <c r="C1396" s="135">
        <v>44666</v>
      </c>
      <c r="D1396" s="18" t="s">
        <v>432</v>
      </c>
      <c r="E1396" s="17" t="s">
        <v>433</v>
      </c>
      <c r="F1396" s="18" t="s">
        <v>434</v>
      </c>
      <c r="H1396" s="75">
        <v>1.2311</v>
      </c>
      <c r="I1396" s="75"/>
      <c r="J1396" s="18" t="s">
        <v>82</v>
      </c>
      <c r="K1396" s="190">
        <v>280</v>
      </c>
      <c r="L1396" s="191">
        <v>160</v>
      </c>
      <c r="M1396" s="190">
        <v>2250</v>
      </c>
      <c r="N1396" s="75" t="s">
        <v>66</v>
      </c>
      <c r="O1396" s="75" t="s">
        <v>168</v>
      </c>
      <c r="P1396" s="75">
        <v>854</v>
      </c>
      <c r="Q1396" s="18">
        <v>854</v>
      </c>
      <c r="R1396" s="18">
        <f t="shared" si="77"/>
        <v>0</v>
      </c>
      <c r="S1396" s="192">
        <v>1150</v>
      </c>
      <c r="T1396" s="75" t="s">
        <v>94</v>
      </c>
      <c r="U1396" s="137" t="s">
        <v>498</v>
      </c>
      <c r="V1396" s="193">
        <v>44672</v>
      </c>
      <c r="W1396" s="18" t="s">
        <v>44</v>
      </c>
      <c r="Y1396" s="114">
        <v>44682</v>
      </c>
      <c r="Z1396" s="18" t="s">
        <v>499</v>
      </c>
      <c r="AA1396" s="18" t="s">
        <v>437</v>
      </c>
      <c r="AB1396" s="18" t="s">
        <v>502</v>
      </c>
      <c r="AC1396" s="18" t="s">
        <v>503</v>
      </c>
      <c r="AD1396" s="77">
        <v>1337</v>
      </c>
      <c r="AE1396" s="18" t="s">
        <v>48</v>
      </c>
    </row>
    <row r="1397" s="18" customFormat="1" hidden="1" spans="1:31">
      <c r="A1397" s="18" t="s">
        <v>34</v>
      </c>
      <c r="B1397" s="75">
        <v>796</v>
      </c>
      <c r="C1397" s="135">
        <v>44666</v>
      </c>
      <c r="D1397" s="18" t="s">
        <v>432</v>
      </c>
      <c r="E1397" s="17" t="s">
        <v>433</v>
      </c>
      <c r="F1397" s="18" t="s">
        <v>434</v>
      </c>
      <c r="H1397" s="75">
        <v>1.2311</v>
      </c>
      <c r="I1397" s="75"/>
      <c r="J1397" s="18" t="s">
        <v>82</v>
      </c>
      <c r="K1397" s="190">
        <v>305</v>
      </c>
      <c r="L1397" s="191">
        <v>160</v>
      </c>
      <c r="M1397" s="190">
        <v>2020</v>
      </c>
      <c r="N1397" s="75" t="s">
        <v>66</v>
      </c>
      <c r="O1397" s="75" t="s">
        <v>168</v>
      </c>
      <c r="P1397" s="75">
        <v>800</v>
      </c>
      <c r="Q1397" s="18">
        <v>800</v>
      </c>
      <c r="R1397" s="18">
        <f t="shared" si="77"/>
        <v>0</v>
      </c>
      <c r="S1397" s="192">
        <v>1150</v>
      </c>
      <c r="T1397" s="75" t="s">
        <v>94</v>
      </c>
      <c r="U1397" s="137" t="s">
        <v>498</v>
      </c>
      <c r="V1397" s="193">
        <v>44672</v>
      </c>
      <c r="W1397" s="18" t="s">
        <v>44</v>
      </c>
      <c r="Y1397" s="114">
        <v>44682</v>
      </c>
      <c r="Z1397" s="18" t="s">
        <v>499</v>
      </c>
      <c r="AA1397" s="18" t="s">
        <v>437</v>
      </c>
      <c r="AB1397" s="18" t="s">
        <v>502</v>
      </c>
      <c r="AC1397" s="18" t="s">
        <v>503</v>
      </c>
      <c r="AD1397" s="77">
        <v>1337</v>
      </c>
      <c r="AE1397" s="18" t="s">
        <v>48</v>
      </c>
    </row>
    <row r="1398" s="17" customFormat="1" hidden="1" spans="1:31">
      <c r="A1398" s="17" t="s">
        <v>34</v>
      </c>
      <c r="B1398" s="19">
        <v>796</v>
      </c>
      <c r="C1398" s="101">
        <v>44666</v>
      </c>
      <c r="D1398" s="17" t="s">
        <v>432</v>
      </c>
      <c r="E1398" s="17" t="s">
        <v>433</v>
      </c>
      <c r="F1398" s="17" t="s">
        <v>434</v>
      </c>
      <c r="H1398" s="19">
        <v>1.2311</v>
      </c>
      <c r="I1398" s="19"/>
      <c r="J1398" s="17" t="s">
        <v>82</v>
      </c>
      <c r="K1398" s="188">
        <v>730</v>
      </c>
      <c r="L1398" s="189">
        <v>165</v>
      </c>
      <c r="M1398" s="188">
        <v>1220</v>
      </c>
      <c r="N1398" s="19" t="s">
        <v>66</v>
      </c>
      <c r="O1398" s="19" t="s">
        <v>168</v>
      </c>
      <c r="P1398" s="19">
        <v>1200</v>
      </c>
      <c r="Q1398" s="17">
        <v>1200</v>
      </c>
      <c r="R1398" s="17">
        <f t="shared" si="77"/>
        <v>0</v>
      </c>
      <c r="S1398" s="168">
        <v>1150</v>
      </c>
      <c r="T1398" s="19" t="s">
        <v>94</v>
      </c>
      <c r="U1398" s="102" t="s">
        <v>498</v>
      </c>
      <c r="V1398" s="186">
        <v>44672</v>
      </c>
      <c r="W1398" s="17" t="s">
        <v>44</v>
      </c>
      <c r="Y1398" s="68">
        <v>44682</v>
      </c>
      <c r="Z1398" s="17" t="s">
        <v>499</v>
      </c>
      <c r="AA1398" s="17" t="s">
        <v>437</v>
      </c>
      <c r="AB1398" s="17" t="s">
        <v>500</v>
      </c>
      <c r="AC1398" s="17" t="s">
        <v>501</v>
      </c>
      <c r="AD1398" s="65">
        <v>1302</v>
      </c>
      <c r="AE1398" s="17" t="s">
        <v>48</v>
      </c>
    </row>
    <row r="1399" s="17" customFormat="1" hidden="1" spans="1:31">
      <c r="A1399" s="17" t="s">
        <v>34</v>
      </c>
      <c r="B1399" s="19">
        <v>796</v>
      </c>
      <c r="C1399" s="101">
        <v>44666</v>
      </c>
      <c r="D1399" s="17" t="s">
        <v>432</v>
      </c>
      <c r="E1399" s="17" t="s">
        <v>433</v>
      </c>
      <c r="F1399" s="17" t="s">
        <v>434</v>
      </c>
      <c r="H1399" s="19">
        <v>1.2311</v>
      </c>
      <c r="I1399" s="19"/>
      <c r="J1399" s="17" t="s">
        <v>82</v>
      </c>
      <c r="K1399" s="188">
        <v>280</v>
      </c>
      <c r="L1399" s="189">
        <v>165</v>
      </c>
      <c r="M1399" s="188">
        <v>1715</v>
      </c>
      <c r="N1399" s="19" t="s">
        <v>66</v>
      </c>
      <c r="O1399" s="19" t="s">
        <v>168</v>
      </c>
      <c r="P1399" s="19">
        <v>650</v>
      </c>
      <c r="Q1399" s="17">
        <v>650</v>
      </c>
      <c r="R1399" s="17">
        <f t="shared" si="77"/>
        <v>0</v>
      </c>
      <c r="S1399" s="168">
        <v>1150</v>
      </c>
      <c r="T1399" s="19" t="s">
        <v>94</v>
      </c>
      <c r="U1399" s="102" t="s">
        <v>498</v>
      </c>
      <c r="V1399" s="186">
        <v>44672</v>
      </c>
      <c r="W1399" s="17" t="s">
        <v>44</v>
      </c>
      <c r="Y1399" s="68">
        <v>44682</v>
      </c>
      <c r="Z1399" s="17" t="s">
        <v>499</v>
      </c>
      <c r="AA1399" s="17" t="s">
        <v>437</v>
      </c>
      <c r="AB1399" s="17" t="s">
        <v>500</v>
      </c>
      <c r="AC1399" s="17" t="s">
        <v>501</v>
      </c>
      <c r="AD1399" s="65">
        <v>1302</v>
      </c>
      <c r="AE1399" s="17" t="s">
        <v>48</v>
      </c>
    </row>
    <row r="1400" s="17" customFormat="1" hidden="1" spans="1:31">
      <c r="A1400" s="17" t="s">
        <v>34</v>
      </c>
      <c r="B1400" s="19">
        <v>796</v>
      </c>
      <c r="C1400" s="101">
        <v>44666</v>
      </c>
      <c r="D1400" s="17" t="s">
        <v>432</v>
      </c>
      <c r="E1400" s="17" t="s">
        <v>433</v>
      </c>
      <c r="F1400" s="17" t="s">
        <v>434</v>
      </c>
      <c r="H1400" s="19">
        <v>1.2311</v>
      </c>
      <c r="I1400" s="19"/>
      <c r="J1400" s="17" t="s">
        <v>82</v>
      </c>
      <c r="K1400" s="188">
        <v>390</v>
      </c>
      <c r="L1400" s="189">
        <v>175</v>
      </c>
      <c r="M1400" s="188">
        <v>1160</v>
      </c>
      <c r="N1400" s="19" t="s">
        <v>66</v>
      </c>
      <c r="O1400" s="19" t="s">
        <v>168</v>
      </c>
      <c r="P1400" s="19">
        <v>670</v>
      </c>
      <c r="Q1400" s="17">
        <v>670</v>
      </c>
      <c r="R1400" s="17">
        <f t="shared" si="77"/>
        <v>0</v>
      </c>
      <c r="S1400" s="168">
        <v>1150</v>
      </c>
      <c r="T1400" s="19" t="s">
        <v>94</v>
      </c>
      <c r="U1400" s="102" t="s">
        <v>498</v>
      </c>
      <c r="V1400" s="186">
        <v>44672</v>
      </c>
      <c r="W1400" s="17" t="s">
        <v>44</v>
      </c>
      <c r="Y1400" s="68">
        <v>44682</v>
      </c>
      <c r="Z1400" s="17" t="s">
        <v>499</v>
      </c>
      <c r="AA1400" s="17" t="s">
        <v>437</v>
      </c>
      <c r="AB1400" s="17" t="s">
        <v>500</v>
      </c>
      <c r="AC1400" s="17" t="s">
        <v>501</v>
      </c>
      <c r="AD1400" s="65">
        <v>1302</v>
      </c>
      <c r="AE1400" s="17" t="s">
        <v>48</v>
      </c>
    </row>
    <row r="1401" s="17" customFormat="1" hidden="1" spans="1:31">
      <c r="A1401" s="17" t="s">
        <v>34</v>
      </c>
      <c r="B1401" s="19">
        <v>796</v>
      </c>
      <c r="C1401" s="101">
        <v>44666</v>
      </c>
      <c r="D1401" s="17" t="s">
        <v>432</v>
      </c>
      <c r="E1401" s="17" t="s">
        <v>433</v>
      </c>
      <c r="F1401" s="17" t="s">
        <v>434</v>
      </c>
      <c r="H1401" s="19">
        <v>1.2311</v>
      </c>
      <c r="I1401" s="19"/>
      <c r="J1401" s="17" t="s">
        <v>82</v>
      </c>
      <c r="K1401" s="188">
        <v>775</v>
      </c>
      <c r="L1401" s="189">
        <v>180</v>
      </c>
      <c r="M1401" s="188">
        <v>1180</v>
      </c>
      <c r="N1401" s="19" t="s">
        <v>66</v>
      </c>
      <c r="O1401" s="19" t="s">
        <v>168</v>
      </c>
      <c r="P1401" s="19">
        <v>1286</v>
      </c>
      <c r="Q1401" s="17">
        <v>1286</v>
      </c>
      <c r="R1401" s="17">
        <f t="shared" si="77"/>
        <v>0</v>
      </c>
      <c r="S1401" s="168">
        <v>1150</v>
      </c>
      <c r="T1401" s="19" t="s">
        <v>94</v>
      </c>
      <c r="U1401" s="102" t="s">
        <v>498</v>
      </c>
      <c r="V1401" s="186">
        <v>44672</v>
      </c>
      <c r="W1401" s="17" t="s">
        <v>44</v>
      </c>
      <c r="Y1401" s="68">
        <v>44682</v>
      </c>
      <c r="Z1401" s="17" t="s">
        <v>499</v>
      </c>
      <c r="AA1401" s="17" t="s">
        <v>437</v>
      </c>
      <c r="AB1401" s="17" t="s">
        <v>500</v>
      </c>
      <c r="AC1401" s="17" t="s">
        <v>501</v>
      </c>
      <c r="AD1401" s="65">
        <v>1302</v>
      </c>
      <c r="AE1401" s="17" t="s">
        <v>48</v>
      </c>
    </row>
    <row r="1402" s="17" customFormat="1" hidden="1" spans="1:31">
      <c r="A1402" s="17" t="s">
        <v>34</v>
      </c>
      <c r="B1402" s="19">
        <v>796</v>
      </c>
      <c r="C1402" s="101">
        <v>44666</v>
      </c>
      <c r="D1402" s="17" t="s">
        <v>432</v>
      </c>
      <c r="E1402" s="17" t="s">
        <v>433</v>
      </c>
      <c r="F1402" s="17" t="s">
        <v>434</v>
      </c>
      <c r="H1402" s="19">
        <v>1.2311</v>
      </c>
      <c r="I1402" s="19"/>
      <c r="J1402" s="17" t="s">
        <v>82</v>
      </c>
      <c r="K1402" s="188">
        <v>822</v>
      </c>
      <c r="L1402" s="189">
        <v>180</v>
      </c>
      <c r="M1402" s="188">
        <v>905</v>
      </c>
      <c r="N1402" s="19" t="s">
        <v>66</v>
      </c>
      <c r="O1402" s="19" t="s">
        <v>168</v>
      </c>
      <c r="P1402" s="19">
        <v>1050</v>
      </c>
      <c r="Q1402" s="17">
        <v>1050</v>
      </c>
      <c r="R1402" s="17">
        <f t="shared" si="77"/>
        <v>0</v>
      </c>
      <c r="S1402" s="168">
        <v>1150</v>
      </c>
      <c r="T1402" s="19" t="s">
        <v>94</v>
      </c>
      <c r="U1402" s="102" t="s">
        <v>498</v>
      </c>
      <c r="V1402" s="186">
        <v>44672</v>
      </c>
      <c r="W1402" s="17" t="s">
        <v>44</v>
      </c>
      <c r="Y1402" s="68">
        <v>44682</v>
      </c>
      <c r="Z1402" s="17" t="s">
        <v>499</v>
      </c>
      <c r="AA1402" s="17" t="s">
        <v>437</v>
      </c>
      <c r="AB1402" s="17" t="s">
        <v>500</v>
      </c>
      <c r="AC1402" s="17" t="s">
        <v>501</v>
      </c>
      <c r="AD1402" s="65">
        <v>1302</v>
      </c>
      <c r="AE1402" s="17" t="s">
        <v>48</v>
      </c>
    </row>
    <row r="1403" s="17" customFormat="1" hidden="1" spans="1:31">
      <c r="A1403" s="17" t="s">
        <v>34</v>
      </c>
      <c r="B1403" s="19">
        <v>796</v>
      </c>
      <c r="C1403" s="101">
        <v>44666</v>
      </c>
      <c r="D1403" s="17" t="s">
        <v>432</v>
      </c>
      <c r="E1403" s="17" t="s">
        <v>433</v>
      </c>
      <c r="F1403" s="17" t="s">
        <v>434</v>
      </c>
      <c r="H1403" s="19">
        <v>1.2311</v>
      </c>
      <c r="I1403" s="19"/>
      <c r="J1403" s="17" t="s">
        <v>82</v>
      </c>
      <c r="K1403" s="188">
        <v>715</v>
      </c>
      <c r="L1403" s="189">
        <v>180</v>
      </c>
      <c r="M1403" s="188">
        <v>940</v>
      </c>
      <c r="N1403" s="19" t="s">
        <v>66</v>
      </c>
      <c r="O1403" s="19" t="s">
        <v>168</v>
      </c>
      <c r="P1403" s="19">
        <v>990</v>
      </c>
      <c r="Q1403" s="17">
        <v>990</v>
      </c>
      <c r="R1403" s="17">
        <f t="shared" si="77"/>
        <v>0</v>
      </c>
      <c r="S1403" s="91">
        <v>1150</v>
      </c>
      <c r="T1403" s="19" t="s">
        <v>94</v>
      </c>
      <c r="U1403" s="102" t="s">
        <v>498</v>
      </c>
      <c r="V1403" s="186">
        <v>44672</v>
      </c>
      <c r="W1403" s="17" t="s">
        <v>44</v>
      </c>
      <c r="Y1403" s="68">
        <v>44682</v>
      </c>
      <c r="Z1403" s="17" t="s">
        <v>499</v>
      </c>
      <c r="AA1403" s="17" t="s">
        <v>437</v>
      </c>
      <c r="AB1403" s="17" t="s">
        <v>500</v>
      </c>
      <c r="AC1403" s="17" t="s">
        <v>501</v>
      </c>
      <c r="AD1403" s="65">
        <v>1302</v>
      </c>
      <c r="AE1403" s="17" t="s">
        <v>48</v>
      </c>
    </row>
    <row r="1404" s="17" customFormat="1" hidden="1" spans="1:31">
      <c r="A1404" s="17" t="s">
        <v>34</v>
      </c>
      <c r="B1404" s="19">
        <v>796</v>
      </c>
      <c r="C1404" s="101">
        <v>44666</v>
      </c>
      <c r="D1404" s="17" t="s">
        <v>432</v>
      </c>
      <c r="E1404" s="17" t="s">
        <v>433</v>
      </c>
      <c r="F1404" s="17" t="s">
        <v>434</v>
      </c>
      <c r="H1404" s="19">
        <v>1.2311</v>
      </c>
      <c r="I1404" s="19"/>
      <c r="J1404" s="17" t="s">
        <v>82</v>
      </c>
      <c r="K1404" s="169" t="s">
        <v>504</v>
      </c>
      <c r="L1404" s="171" t="s">
        <v>440</v>
      </c>
      <c r="M1404" s="169" t="s">
        <v>505</v>
      </c>
      <c r="N1404" s="19" t="s">
        <v>66</v>
      </c>
      <c r="O1404" s="19" t="s">
        <v>168</v>
      </c>
      <c r="P1404" s="19">
        <v>1196</v>
      </c>
      <c r="Q1404" s="17">
        <v>1196</v>
      </c>
      <c r="R1404" s="17">
        <f t="shared" si="77"/>
        <v>0</v>
      </c>
      <c r="S1404" s="91">
        <v>1150</v>
      </c>
      <c r="T1404" s="19" t="s">
        <v>94</v>
      </c>
      <c r="U1404" s="102" t="s">
        <v>498</v>
      </c>
      <c r="V1404" s="186">
        <v>44672</v>
      </c>
      <c r="W1404" s="17" t="s">
        <v>44</v>
      </c>
      <c r="Y1404" s="68">
        <v>44682</v>
      </c>
      <c r="Z1404" s="17" t="s">
        <v>499</v>
      </c>
      <c r="AA1404" s="17" t="s">
        <v>437</v>
      </c>
      <c r="AB1404" s="17" t="s">
        <v>500</v>
      </c>
      <c r="AC1404" s="17" t="s">
        <v>501</v>
      </c>
      <c r="AD1404" s="65">
        <v>1302</v>
      </c>
      <c r="AE1404" s="17" t="s">
        <v>48</v>
      </c>
    </row>
    <row r="1405" s="17" customFormat="1" hidden="1" spans="1:31">
      <c r="A1405" s="17" t="s">
        <v>34</v>
      </c>
      <c r="B1405" s="19">
        <v>796</v>
      </c>
      <c r="C1405" s="101">
        <v>44666</v>
      </c>
      <c r="D1405" s="17" t="s">
        <v>432</v>
      </c>
      <c r="E1405" s="17" t="s">
        <v>433</v>
      </c>
      <c r="F1405" s="17" t="s">
        <v>434</v>
      </c>
      <c r="H1405" s="19">
        <v>1.2311</v>
      </c>
      <c r="I1405" s="19"/>
      <c r="J1405" s="17" t="s">
        <v>82</v>
      </c>
      <c r="K1405" s="188">
        <v>298</v>
      </c>
      <c r="L1405" s="189">
        <v>200</v>
      </c>
      <c r="M1405" s="188">
        <v>1830</v>
      </c>
      <c r="N1405" s="19" t="s">
        <v>66</v>
      </c>
      <c r="O1405" s="19" t="s">
        <v>168</v>
      </c>
      <c r="P1405" s="19">
        <v>872</v>
      </c>
      <c r="Q1405" s="17">
        <v>872</v>
      </c>
      <c r="R1405" s="17">
        <f t="shared" si="77"/>
        <v>0</v>
      </c>
      <c r="S1405" s="91">
        <v>1150</v>
      </c>
      <c r="T1405" s="19" t="s">
        <v>94</v>
      </c>
      <c r="U1405" s="102" t="s">
        <v>498</v>
      </c>
      <c r="V1405" s="186">
        <v>44672</v>
      </c>
      <c r="W1405" s="17" t="s">
        <v>44</v>
      </c>
      <c r="Y1405" s="68">
        <v>44682</v>
      </c>
      <c r="Z1405" s="17" t="s">
        <v>499</v>
      </c>
      <c r="AA1405" s="17" t="s">
        <v>437</v>
      </c>
      <c r="AB1405" s="17" t="s">
        <v>500</v>
      </c>
      <c r="AC1405" s="17" t="s">
        <v>501</v>
      </c>
      <c r="AD1405" s="65">
        <v>1302</v>
      </c>
      <c r="AE1405" s="17" t="s">
        <v>48</v>
      </c>
    </row>
    <row r="1406" s="17" customFormat="1" hidden="1" spans="1:31">
      <c r="A1406" s="17" t="s">
        <v>34</v>
      </c>
      <c r="B1406" s="19">
        <v>796</v>
      </c>
      <c r="C1406" s="101">
        <v>44666</v>
      </c>
      <c r="D1406" s="17" t="s">
        <v>432</v>
      </c>
      <c r="E1406" s="17" t="s">
        <v>433</v>
      </c>
      <c r="F1406" s="17" t="s">
        <v>434</v>
      </c>
      <c r="H1406" s="19">
        <v>1.2311</v>
      </c>
      <c r="I1406" s="19"/>
      <c r="J1406" s="17" t="s">
        <v>82</v>
      </c>
      <c r="K1406" s="188">
        <v>355</v>
      </c>
      <c r="L1406" s="189">
        <v>205</v>
      </c>
      <c r="M1406" s="188">
        <v>1080</v>
      </c>
      <c r="N1406" s="19" t="s">
        <v>66</v>
      </c>
      <c r="O1406" s="19" t="s">
        <v>168</v>
      </c>
      <c r="P1406" s="19">
        <v>631</v>
      </c>
      <c r="Q1406" s="17">
        <v>631</v>
      </c>
      <c r="R1406" s="17">
        <f t="shared" si="77"/>
        <v>0</v>
      </c>
      <c r="S1406" s="91">
        <v>1150</v>
      </c>
      <c r="T1406" s="19" t="s">
        <v>94</v>
      </c>
      <c r="U1406" s="102" t="s">
        <v>498</v>
      </c>
      <c r="V1406" s="186">
        <v>44672</v>
      </c>
      <c r="W1406" s="17" t="s">
        <v>44</v>
      </c>
      <c r="Y1406" s="68">
        <v>44682</v>
      </c>
      <c r="Z1406" s="17" t="s">
        <v>499</v>
      </c>
      <c r="AA1406" s="17" t="s">
        <v>437</v>
      </c>
      <c r="AB1406" s="17" t="s">
        <v>500</v>
      </c>
      <c r="AC1406" s="17" t="s">
        <v>501</v>
      </c>
      <c r="AD1406" s="65">
        <v>1302</v>
      </c>
      <c r="AE1406" s="17" t="s">
        <v>48</v>
      </c>
    </row>
    <row r="1407" s="18" customFormat="1" hidden="1" spans="1:31">
      <c r="B1407" s="75">
        <v>796</v>
      </c>
      <c r="C1407" s="135">
        <v>44666</v>
      </c>
      <c r="D1407" s="18" t="s">
        <v>432</v>
      </c>
      <c r="E1407" s="17" t="s">
        <v>433</v>
      </c>
      <c r="F1407" s="18" t="s">
        <v>434</v>
      </c>
      <c r="H1407" s="75">
        <v>1.2311</v>
      </c>
      <c r="I1407" s="75"/>
      <c r="J1407" s="18" t="s">
        <v>82</v>
      </c>
      <c r="K1407" s="190">
        <v>365</v>
      </c>
      <c r="L1407" s="191">
        <v>210</v>
      </c>
      <c r="M1407" s="190">
        <v>1485</v>
      </c>
      <c r="N1407" s="75" t="s">
        <v>66</v>
      </c>
      <c r="O1407" s="75" t="s">
        <v>168</v>
      </c>
      <c r="P1407" s="75">
        <v>902</v>
      </c>
      <c r="R1407" s="18">
        <f t="shared" si="77"/>
        <v>902</v>
      </c>
      <c r="S1407" s="111">
        <v>1150</v>
      </c>
      <c r="T1407" s="75" t="s">
        <v>94</v>
      </c>
      <c r="U1407" s="137" t="s">
        <v>498</v>
      </c>
      <c r="V1407" s="193">
        <v>44672</v>
      </c>
      <c r="W1407" s="18" t="s">
        <v>44</v>
      </c>
      <c r="Y1407" s="114">
        <v>44682</v>
      </c>
      <c r="Z1407" s="18" t="s">
        <v>499</v>
      </c>
      <c r="AA1407" s="18" t="s">
        <v>437</v>
      </c>
      <c r="AD1407" s="77"/>
      <c r="AE1407" s="18" t="s">
        <v>48</v>
      </c>
    </row>
    <row r="1408" s="17" customFormat="1" hidden="1" spans="1:31">
      <c r="A1408" s="17" t="s">
        <v>34</v>
      </c>
      <c r="B1408" s="19">
        <v>796</v>
      </c>
      <c r="C1408" s="101">
        <v>44666</v>
      </c>
      <c r="D1408" s="17" t="s">
        <v>432</v>
      </c>
      <c r="E1408" s="17" t="s">
        <v>433</v>
      </c>
      <c r="F1408" s="17" t="s">
        <v>434</v>
      </c>
      <c r="H1408" s="19">
        <v>1.2311</v>
      </c>
      <c r="I1408" s="19"/>
      <c r="J1408" s="17" t="s">
        <v>82</v>
      </c>
      <c r="K1408" s="188">
        <v>265</v>
      </c>
      <c r="L1408" s="189">
        <v>216</v>
      </c>
      <c r="M1408" s="188">
        <v>2220</v>
      </c>
      <c r="N1408" s="19" t="s">
        <v>66</v>
      </c>
      <c r="O1408" s="19" t="s">
        <v>168</v>
      </c>
      <c r="P1408" s="19">
        <v>1015</v>
      </c>
      <c r="Q1408" s="17">
        <v>1015</v>
      </c>
      <c r="R1408" s="17">
        <f t="shared" si="77"/>
        <v>0</v>
      </c>
      <c r="S1408" s="91">
        <v>1150</v>
      </c>
      <c r="T1408" s="19" t="s">
        <v>94</v>
      </c>
      <c r="U1408" s="102" t="s">
        <v>498</v>
      </c>
      <c r="V1408" s="186">
        <v>44672</v>
      </c>
      <c r="W1408" s="17" t="s">
        <v>44</v>
      </c>
      <c r="Y1408" s="68">
        <v>44682</v>
      </c>
      <c r="Z1408" s="17" t="s">
        <v>499</v>
      </c>
      <c r="AA1408" s="17" t="s">
        <v>437</v>
      </c>
      <c r="AB1408" s="17" t="s">
        <v>502</v>
      </c>
      <c r="AC1408" s="17" t="s">
        <v>503</v>
      </c>
      <c r="AD1408" s="65">
        <v>1337</v>
      </c>
      <c r="AE1408" s="17" t="s">
        <v>48</v>
      </c>
    </row>
    <row r="1409" s="17" customFormat="1" hidden="1" spans="1:31">
      <c r="A1409" s="17" t="s">
        <v>34</v>
      </c>
      <c r="B1409" s="19">
        <v>796</v>
      </c>
      <c r="C1409" s="101">
        <v>44666</v>
      </c>
      <c r="D1409" s="17" t="s">
        <v>432</v>
      </c>
      <c r="E1409" s="17" t="s">
        <v>433</v>
      </c>
      <c r="F1409" s="17" t="s">
        <v>434</v>
      </c>
      <c r="H1409" s="19">
        <v>1.2311</v>
      </c>
      <c r="I1409" s="19"/>
      <c r="J1409" s="17" t="s">
        <v>82</v>
      </c>
      <c r="K1409" s="188" t="s">
        <v>455</v>
      </c>
      <c r="L1409" s="189" t="s">
        <v>506</v>
      </c>
      <c r="M1409" s="188" t="s">
        <v>507</v>
      </c>
      <c r="N1409" s="19" t="s">
        <v>66</v>
      </c>
      <c r="O1409" s="19" t="s">
        <v>168</v>
      </c>
      <c r="P1409" s="19">
        <v>880</v>
      </c>
      <c r="Q1409" s="17">
        <v>880</v>
      </c>
      <c r="R1409" s="17">
        <f t="shared" si="77"/>
        <v>0</v>
      </c>
      <c r="S1409" s="91">
        <v>1150</v>
      </c>
      <c r="T1409" s="19" t="s">
        <v>94</v>
      </c>
      <c r="U1409" s="102" t="s">
        <v>498</v>
      </c>
      <c r="V1409" s="186">
        <v>44672</v>
      </c>
      <c r="W1409" s="17" t="s">
        <v>44</v>
      </c>
      <c r="Y1409" s="68">
        <v>44682</v>
      </c>
      <c r="Z1409" s="17" t="s">
        <v>499</v>
      </c>
      <c r="AA1409" s="17" t="s">
        <v>437</v>
      </c>
      <c r="AB1409" s="17" t="s">
        <v>502</v>
      </c>
      <c r="AC1409" s="17" t="s">
        <v>503</v>
      </c>
      <c r="AD1409" s="65">
        <v>1337</v>
      </c>
      <c r="AE1409" s="17" t="s">
        <v>48</v>
      </c>
    </row>
    <row r="1410" s="17" customFormat="1" hidden="1" spans="1:31">
      <c r="A1410" s="17" t="s">
        <v>34</v>
      </c>
      <c r="B1410" s="19">
        <v>796</v>
      </c>
      <c r="C1410" s="101">
        <v>44666</v>
      </c>
      <c r="D1410" s="17" t="s">
        <v>432</v>
      </c>
      <c r="E1410" s="17" t="s">
        <v>433</v>
      </c>
      <c r="F1410" s="17" t="s">
        <v>434</v>
      </c>
      <c r="H1410" s="19">
        <v>1.2311</v>
      </c>
      <c r="I1410" s="19"/>
      <c r="J1410" s="17" t="s">
        <v>82</v>
      </c>
      <c r="K1410" s="188" t="s">
        <v>508</v>
      </c>
      <c r="L1410" s="189" t="s">
        <v>509</v>
      </c>
      <c r="M1410" s="188" t="s">
        <v>507</v>
      </c>
      <c r="N1410" s="19" t="s">
        <v>66</v>
      </c>
      <c r="O1410" s="19" t="s">
        <v>168</v>
      </c>
      <c r="P1410" s="19">
        <v>890</v>
      </c>
      <c r="Q1410" s="17">
        <v>890</v>
      </c>
      <c r="R1410" s="17">
        <f t="shared" ref="R1410:R1441" si="78">+P1410-Q1410</f>
        <v>0</v>
      </c>
      <c r="S1410" s="91">
        <v>1150</v>
      </c>
      <c r="T1410" s="19" t="s">
        <v>94</v>
      </c>
      <c r="U1410" s="102" t="s">
        <v>498</v>
      </c>
      <c r="V1410" s="186">
        <v>44672</v>
      </c>
      <c r="W1410" s="17" t="s">
        <v>44</v>
      </c>
      <c r="Y1410" s="68">
        <v>44682</v>
      </c>
      <c r="Z1410" s="17" t="s">
        <v>499</v>
      </c>
      <c r="AA1410" s="17" t="s">
        <v>437</v>
      </c>
      <c r="AB1410" s="17" t="s">
        <v>502</v>
      </c>
      <c r="AC1410" s="17" t="s">
        <v>503</v>
      </c>
      <c r="AD1410" s="65">
        <v>1337</v>
      </c>
      <c r="AE1410" s="17" t="s">
        <v>48</v>
      </c>
    </row>
    <row r="1411" s="17" customFormat="1" hidden="1" spans="1:31">
      <c r="A1411" s="17" t="s">
        <v>34</v>
      </c>
      <c r="B1411" s="19">
        <v>796</v>
      </c>
      <c r="C1411" s="101">
        <v>44666</v>
      </c>
      <c r="D1411" s="17" t="s">
        <v>432</v>
      </c>
      <c r="E1411" s="17" t="s">
        <v>433</v>
      </c>
      <c r="F1411" s="17" t="s">
        <v>434</v>
      </c>
      <c r="H1411" s="19">
        <v>1.2311</v>
      </c>
      <c r="I1411" s="19"/>
      <c r="J1411" s="17" t="s">
        <v>82</v>
      </c>
      <c r="K1411" s="188" t="s">
        <v>457</v>
      </c>
      <c r="L1411" s="189" t="s">
        <v>510</v>
      </c>
      <c r="M1411" s="188" t="s">
        <v>451</v>
      </c>
      <c r="N1411" s="19" t="s">
        <v>66</v>
      </c>
      <c r="O1411" s="19" t="s">
        <v>168</v>
      </c>
      <c r="P1411" s="19">
        <v>800</v>
      </c>
      <c r="Q1411" s="17">
        <v>800</v>
      </c>
      <c r="R1411" s="17">
        <f t="shared" si="78"/>
        <v>0</v>
      </c>
      <c r="S1411" s="91">
        <v>1150</v>
      </c>
      <c r="T1411" s="19" t="s">
        <v>94</v>
      </c>
      <c r="U1411" s="102" t="s">
        <v>498</v>
      </c>
      <c r="V1411" s="186">
        <v>44672</v>
      </c>
      <c r="W1411" s="17" t="s">
        <v>44</v>
      </c>
      <c r="Y1411" s="68">
        <v>44682</v>
      </c>
      <c r="Z1411" s="17" t="s">
        <v>499</v>
      </c>
      <c r="AA1411" s="17" t="s">
        <v>437</v>
      </c>
      <c r="AB1411" s="17" t="s">
        <v>502</v>
      </c>
      <c r="AC1411" s="17" t="s">
        <v>503</v>
      </c>
      <c r="AD1411" s="65">
        <v>1337</v>
      </c>
      <c r="AE1411" s="17" t="s">
        <v>48</v>
      </c>
    </row>
    <row r="1412" s="17" customFormat="1" hidden="1" spans="1:31">
      <c r="A1412" s="17" t="s">
        <v>34</v>
      </c>
      <c r="B1412" s="19">
        <v>796</v>
      </c>
      <c r="C1412" s="101">
        <v>44666</v>
      </c>
      <c r="D1412" s="17" t="s">
        <v>432</v>
      </c>
      <c r="E1412" s="17" t="s">
        <v>433</v>
      </c>
      <c r="F1412" s="17" t="s">
        <v>434</v>
      </c>
      <c r="H1412" s="19">
        <v>1.2311</v>
      </c>
      <c r="I1412" s="19"/>
      <c r="J1412" s="17" t="s">
        <v>82</v>
      </c>
      <c r="K1412" s="188" t="s">
        <v>439</v>
      </c>
      <c r="L1412" s="189" t="s">
        <v>511</v>
      </c>
      <c r="M1412" s="188" t="s">
        <v>512</v>
      </c>
      <c r="N1412" s="19" t="s">
        <v>66</v>
      </c>
      <c r="O1412" s="19" t="s">
        <v>168</v>
      </c>
      <c r="P1412" s="19">
        <v>1630</v>
      </c>
      <c r="Q1412" s="17">
        <v>1630</v>
      </c>
      <c r="R1412" s="17">
        <f t="shared" si="78"/>
        <v>0</v>
      </c>
      <c r="S1412" s="91">
        <v>1150</v>
      </c>
      <c r="T1412" s="19" t="s">
        <v>94</v>
      </c>
      <c r="U1412" s="102" t="s">
        <v>498</v>
      </c>
      <c r="V1412" s="186">
        <v>44672</v>
      </c>
      <c r="W1412" s="17" t="s">
        <v>44</v>
      </c>
      <c r="Y1412" s="68">
        <v>44682</v>
      </c>
      <c r="Z1412" s="17" t="s">
        <v>499</v>
      </c>
      <c r="AA1412" s="17" t="s">
        <v>437</v>
      </c>
      <c r="AB1412" s="17" t="s">
        <v>502</v>
      </c>
      <c r="AC1412" s="17" t="s">
        <v>503</v>
      </c>
      <c r="AD1412" s="65">
        <v>1337</v>
      </c>
      <c r="AE1412" s="17" t="s">
        <v>48</v>
      </c>
    </row>
    <row r="1413" s="17" customFormat="1" hidden="1" spans="1:31">
      <c r="A1413" s="17" t="s">
        <v>34</v>
      </c>
      <c r="B1413" s="19">
        <v>796</v>
      </c>
      <c r="C1413" s="101">
        <v>44666</v>
      </c>
      <c r="D1413" s="17" t="s">
        <v>432</v>
      </c>
      <c r="E1413" s="17" t="s">
        <v>433</v>
      </c>
      <c r="F1413" s="17" t="s">
        <v>434</v>
      </c>
      <c r="H1413" s="19">
        <v>1.2311</v>
      </c>
      <c r="I1413" s="19"/>
      <c r="J1413" s="17" t="s">
        <v>82</v>
      </c>
      <c r="K1413" s="188" t="s">
        <v>445</v>
      </c>
      <c r="L1413" s="189" t="s">
        <v>513</v>
      </c>
      <c r="M1413" s="188" t="s">
        <v>514</v>
      </c>
      <c r="N1413" s="19" t="s">
        <v>66</v>
      </c>
      <c r="O1413" s="19" t="s">
        <v>168</v>
      </c>
      <c r="P1413" s="19">
        <v>1505</v>
      </c>
      <c r="Q1413" s="17">
        <v>1505</v>
      </c>
      <c r="R1413" s="17">
        <f t="shared" si="78"/>
        <v>0</v>
      </c>
      <c r="S1413" s="91">
        <v>1150</v>
      </c>
      <c r="T1413" s="19" t="s">
        <v>94</v>
      </c>
      <c r="U1413" s="102" t="s">
        <v>498</v>
      </c>
      <c r="V1413" s="186">
        <v>44672</v>
      </c>
      <c r="W1413" s="17" t="s">
        <v>44</v>
      </c>
      <c r="Y1413" s="68">
        <v>44682</v>
      </c>
      <c r="Z1413" s="17" t="s">
        <v>499</v>
      </c>
      <c r="AA1413" s="17" t="s">
        <v>437</v>
      </c>
      <c r="AB1413" s="17" t="s">
        <v>502</v>
      </c>
      <c r="AC1413" s="17" t="s">
        <v>503</v>
      </c>
      <c r="AD1413" s="65">
        <v>1337</v>
      </c>
      <c r="AE1413" s="17" t="s">
        <v>48</v>
      </c>
    </row>
    <row r="1414" s="17" customFormat="1" hidden="1" spans="1:31">
      <c r="A1414" s="17" t="s">
        <v>34</v>
      </c>
      <c r="B1414" s="19">
        <v>796</v>
      </c>
      <c r="C1414" s="101">
        <v>44666</v>
      </c>
      <c r="D1414" s="17" t="s">
        <v>432</v>
      </c>
      <c r="E1414" s="17" t="s">
        <v>433</v>
      </c>
      <c r="F1414" s="17" t="s">
        <v>434</v>
      </c>
      <c r="H1414" s="19">
        <v>1.2311</v>
      </c>
      <c r="I1414" s="19"/>
      <c r="J1414" s="17" t="s">
        <v>82</v>
      </c>
      <c r="K1414" s="188" t="s">
        <v>515</v>
      </c>
      <c r="L1414" s="189" t="s">
        <v>509</v>
      </c>
      <c r="M1414" s="188" t="s">
        <v>516</v>
      </c>
      <c r="N1414" s="19" t="s">
        <v>66</v>
      </c>
      <c r="O1414" s="19" t="s">
        <v>168</v>
      </c>
      <c r="P1414" s="19">
        <v>1350</v>
      </c>
      <c r="Q1414" s="17">
        <v>1350</v>
      </c>
      <c r="R1414" s="17">
        <f t="shared" si="78"/>
        <v>0</v>
      </c>
      <c r="S1414" s="91">
        <v>1150</v>
      </c>
      <c r="T1414" s="19" t="s">
        <v>94</v>
      </c>
      <c r="U1414" s="102" t="s">
        <v>498</v>
      </c>
      <c r="V1414" s="186">
        <v>44672</v>
      </c>
      <c r="W1414" s="17" t="s">
        <v>44</v>
      </c>
      <c r="Y1414" s="68">
        <v>44682</v>
      </c>
      <c r="Z1414" s="17" t="s">
        <v>499</v>
      </c>
      <c r="AA1414" s="17" t="s">
        <v>437</v>
      </c>
      <c r="AB1414" s="17" t="s">
        <v>502</v>
      </c>
      <c r="AC1414" s="17" t="s">
        <v>503</v>
      </c>
      <c r="AD1414" s="65">
        <v>1337</v>
      </c>
      <c r="AE1414" s="17" t="s">
        <v>48</v>
      </c>
    </row>
    <row r="1415" s="17" customFormat="1" hidden="1" spans="1:31">
      <c r="A1415" s="17" t="s">
        <v>34</v>
      </c>
      <c r="B1415" s="19">
        <v>796</v>
      </c>
      <c r="C1415" s="101">
        <v>44666</v>
      </c>
      <c r="D1415" s="17" t="s">
        <v>432</v>
      </c>
      <c r="E1415" s="17" t="s">
        <v>433</v>
      </c>
      <c r="F1415" s="17" t="s">
        <v>434</v>
      </c>
      <c r="H1415" s="19">
        <v>1.2311</v>
      </c>
      <c r="I1415" s="19"/>
      <c r="J1415" s="17" t="s">
        <v>82</v>
      </c>
      <c r="K1415" s="188" t="s">
        <v>517</v>
      </c>
      <c r="L1415" s="189" t="s">
        <v>447</v>
      </c>
      <c r="M1415" s="188" t="s">
        <v>518</v>
      </c>
      <c r="N1415" s="19" t="s">
        <v>66</v>
      </c>
      <c r="O1415" s="19" t="s">
        <v>168</v>
      </c>
      <c r="P1415" s="19">
        <v>1275</v>
      </c>
      <c r="Q1415" s="17">
        <v>1275</v>
      </c>
      <c r="R1415" s="17">
        <f t="shared" si="78"/>
        <v>0</v>
      </c>
      <c r="S1415" s="91">
        <v>1150</v>
      </c>
      <c r="T1415" s="19" t="s">
        <v>94</v>
      </c>
      <c r="U1415" s="102" t="s">
        <v>498</v>
      </c>
      <c r="V1415" s="186">
        <v>44672</v>
      </c>
      <c r="W1415" s="17" t="s">
        <v>44</v>
      </c>
      <c r="Y1415" s="68">
        <v>44682</v>
      </c>
      <c r="Z1415" s="17" t="s">
        <v>499</v>
      </c>
      <c r="AA1415" s="17" t="s">
        <v>437</v>
      </c>
      <c r="AB1415" s="17" t="s">
        <v>502</v>
      </c>
      <c r="AC1415" s="17" t="s">
        <v>503</v>
      </c>
      <c r="AD1415" s="65">
        <v>1337</v>
      </c>
      <c r="AE1415" s="17" t="s">
        <v>48</v>
      </c>
    </row>
    <row r="1416" s="17" customFormat="1" hidden="1" spans="1:31">
      <c r="A1416" s="17" t="s">
        <v>34</v>
      </c>
      <c r="B1416" s="19">
        <v>796</v>
      </c>
      <c r="C1416" s="101">
        <v>44666</v>
      </c>
      <c r="D1416" s="17" t="s">
        <v>432</v>
      </c>
      <c r="E1416" s="17" t="s">
        <v>433</v>
      </c>
      <c r="F1416" s="17" t="s">
        <v>434</v>
      </c>
      <c r="H1416" s="19">
        <v>1.2311</v>
      </c>
      <c r="I1416" s="19"/>
      <c r="J1416" s="17" t="s">
        <v>82</v>
      </c>
      <c r="K1416" s="188" t="s">
        <v>519</v>
      </c>
      <c r="L1416" s="189" t="s">
        <v>520</v>
      </c>
      <c r="M1416" s="188" t="s">
        <v>521</v>
      </c>
      <c r="N1416" s="19" t="s">
        <v>66</v>
      </c>
      <c r="O1416" s="19" t="s">
        <v>168</v>
      </c>
      <c r="P1416" s="19">
        <v>1670</v>
      </c>
      <c r="Q1416" s="17">
        <v>1670</v>
      </c>
      <c r="R1416" s="17">
        <f t="shared" si="78"/>
        <v>0</v>
      </c>
      <c r="S1416" s="91">
        <v>1150</v>
      </c>
      <c r="T1416" s="19" t="s">
        <v>94</v>
      </c>
      <c r="U1416" s="102" t="s">
        <v>498</v>
      </c>
      <c r="V1416" s="186">
        <v>44672</v>
      </c>
      <c r="W1416" s="17" t="s">
        <v>44</v>
      </c>
      <c r="Y1416" s="68">
        <v>44682</v>
      </c>
      <c r="Z1416" s="17" t="s">
        <v>499</v>
      </c>
      <c r="AA1416" s="17" t="s">
        <v>437</v>
      </c>
      <c r="AB1416" s="17" t="s">
        <v>502</v>
      </c>
      <c r="AC1416" s="17" t="s">
        <v>503</v>
      </c>
      <c r="AD1416" s="65">
        <v>1337</v>
      </c>
      <c r="AE1416" s="17" t="s">
        <v>48</v>
      </c>
    </row>
    <row r="1417" s="17" customFormat="1" hidden="1" spans="1:31">
      <c r="A1417" s="17" t="s">
        <v>34</v>
      </c>
      <c r="B1417" s="19">
        <v>796</v>
      </c>
      <c r="C1417" s="101">
        <v>44666</v>
      </c>
      <c r="D1417" s="17" t="s">
        <v>432</v>
      </c>
      <c r="E1417" s="17" t="s">
        <v>433</v>
      </c>
      <c r="F1417" s="17" t="s">
        <v>434</v>
      </c>
      <c r="H1417" s="19">
        <v>1.2311</v>
      </c>
      <c r="I1417" s="19"/>
      <c r="J1417" s="17" t="s">
        <v>82</v>
      </c>
      <c r="K1417" s="188" t="s">
        <v>522</v>
      </c>
      <c r="L1417" s="189" t="s">
        <v>523</v>
      </c>
      <c r="M1417" s="188" t="s">
        <v>524</v>
      </c>
      <c r="N1417" s="19" t="s">
        <v>66</v>
      </c>
      <c r="O1417" s="19" t="s">
        <v>168</v>
      </c>
      <c r="P1417" s="19">
        <v>1190</v>
      </c>
      <c r="Q1417" s="17">
        <v>1190</v>
      </c>
      <c r="R1417" s="17">
        <f t="shared" si="78"/>
        <v>0</v>
      </c>
      <c r="S1417" s="91">
        <v>1150</v>
      </c>
      <c r="T1417" s="19" t="s">
        <v>94</v>
      </c>
      <c r="U1417" s="102" t="s">
        <v>498</v>
      </c>
      <c r="V1417" s="186">
        <v>44672</v>
      </c>
      <c r="W1417" s="17" t="s">
        <v>44</v>
      </c>
      <c r="Y1417" s="68">
        <v>44682</v>
      </c>
      <c r="Z1417" s="17" t="s">
        <v>499</v>
      </c>
      <c r="AA1417" s="17" t="s">
        <v>437</v>
      </c>
      <c r="AB1417" s="17" t="s">
        <v>502</v>
      </c>
      <c r="AC1417" s="17" t="s">
        <v>503</v>
      </c>
      <c r="AD1417" s="65">
        <v>1337</v>
      </c>
      <c r="AE1417" s="17" t="s">
        <v>48</v>
      </c>
    </row>
    <row r="1418" s="17" customFormat="1" hidden="1" spans="1:31">
      <c r="A1418" s="17" t="s">
        <v>34</v>
      </c>
      <c r="B1418" s="19">
        <v>796</v>
      </c>
      <c r="C1418" s="101">
        <v>44666</v>
      </c>
      <c r="D1418" s="17" t="s">
        <v>432</v>
      </c>
      <c r="E1418" s="17" t="s">
        <v>433</v>
      </c>
      <c r="F1418" s="17" t="s">
        <v>434</v>
      </c>
      <c r="H1418" s="19">
        <v>1.2311</v>
      </c>
      <c r="I1418" s="19"/>
      <c r="J1418" s="17" t="s">
        <v>82</v>
      </c>
      <c r="K1418" s="188" t="s">
        <v>525</v>
      </c>
      <c r="L1418" s="189" t="s">
        <v>526</v>
      </c>
      <c r="M1418" s="188" t="s">
        <v>462</v>
      </c>
      <c r="N1418" s="19" t="s">
        <v>66</v>
      </c>
      <c r="O1418" s="19" t="s">
        <v>168</v>
      </c>
      <c r="P1418" s="19">
        <v>1620</v>
      </c>
      <c r="Q1418" s="17">
        <v>1620</v>
      </c>
      <c r="R1418" s="17">
        <f t="shared" si="78"/>
        <v>0</v>
      </c>
      <c r="S1418" s="91">
        <v>1150</v>
      </c>
      <c r="T1418" s="19" t="s">
        <v>94</v>
      </c>
      <c r="U1418" s="102" t="s">
        <v>498</v>
      </c>
      <c r="V1418" s="186">
        <v>44672</v>
      </c>
      <c r="W1418" s="17" t="s">
        <v>44</v>
      </c>
      <c r="Y1418" s="68">
        <v>44682</v>
      </c>
      <c r="Z1418" s="17" t="s">
        <v>499</v>
      </c>
      <c r="AA1418" s="17" t="s">
        <v>437</v>
      </c>
      <c r="AB1418" s="17" t="s">
        <v>502</v>
      </c>
      <c r="AC1418" s="17" t="s">
        <v>503</v>
      </c>
      <c r="AD1418" s="65">
        <v>1337</v>
      </c>
      <c r="AE1418" s="17" t="s">
        <v>48</v>
      </c>
    </row>
    <row r="1419" s="17" customFormat="1" hidden="1" spans="1:31">
      <c r="A1419" s="17" t="s">
        <v>34</v>
      </c>
      <c r="B1419" s="19">
        <v>796</v>
      </c>
      <c r="C1419" s="101">
        <v>44666</v>
      </c>
      <c r="D1419" s="17" t="s">
        <v>432</v>
      </c>
      <c r="E1419" s="17" t="s">
        <v>433</v>
      </c>
      <c r="F1419" s="17" t="s">
        <v>434</v>
      </c>
      <c r="H1419" s="19">
        <v>1.2311</v>
      </c>
      <c r="I1419" s="19"/>
      <c r="J1419" s="17" t="s">
        <v>82</v>
      </c>
      <c r="K1419" s="188" t="s">
        <v>522</v>
      </c>
      <c r="L1419" s="189" t="s">
        <v>527</v>
      </c>
      <c r="M1419" s="188" t="s">
        <v>528</v>
      </c>
      <c r="N1419" s="19" t="s">
        <v>66</v>
      </c>
      <c r="O1419" s="19" t="s">
        <v>168</v>
      </c>
      <c r="P1419" s="19">
        <v>1150</v>
      </c>
      <c r="Q1419" s="17">
        <v>1150</v>
      </c>
      <c r="R1419" s="17">
        <f t="shared" si="78"/>
        <v>0</v>
      </c>
      <c r="S1419" s="91">
        <v>1150</v>
      </c>
      <c r="T1419" s="19" t="s">
        <v>94</v>
      </c>
      <c r="U1419" s="102" t="s">
        <v>498</v>
      </c>
      <c r="V1419" s="186">
        <v>44672</v>
      </c>
      <c r="W1419" s="17" t="s">
        <v>44</v>
      </c>
      <c r="Y1419" s="68">
        <v>44682</v>
      </c>
      <c r="Z1419" s="17" t="s">
        <v>499</v>
      </c>
      <c r="AA1419" s="17" t="s">
        <v>437</v>
      </c>
      <c r="AB1419" s="17" t="s">
        <v>502</v>
      </c>
      <c r="AC1419" s="17" t="s">
        <v>503</v>
      </c>
      <c r="AD1419" s="65">
        <v>1337</v>
      </c>
      <c r="AE1419" s="17" t="s">
        <v>48</v>
      </c>
    </row>
    <row r="1420" s="17" customFormat="1" hidden="1" spans="1:31">
      <c r="A1420" s="17" t="s">
        <v>34</v>
      </c>
      <c r="B1420" s="19">
        <v>796</v>
      </c>
      <c r="C1420" s="101">
        <v>44666</v>
      </c>
      <c r="D1420" s="17" t="s">
        <v>432</v>
      </c>
      <c r="E1420" s="17" t="s">
        <v>433</v>
      </c>
      <c r="F1420" s="17" t="s">
        <v>434</v>
      </c>
      <c r="H1420" s="19">
        <v>1.2311</v>
      </c>
      <c r="I1420" s="19"/>
      <c r="J1420" s="17" t="s">
        <v>82</v>
      </c>
      <c r="K1420" s="188" t="s">
        <v>529</v>
      </c>
      <c r="L1420" s="189" t="s">
        <v>530</v>
      </c>
      <c r="M1420" s="188" t="s">
        <v>531</v>
      </c>
      <c r="N1420" s="19" t="s">
        <v>66</v>
      </c>
      <c r="O1420" s="19" t="s">
        <v>168</v>
      </c>
      <c r="P1420" s="19">
        <v>1820</v>
      </c>
      <c r="Q1420" s="17">
        <v>1820</v>
      </c>
      <c r="R1420" s="17">
        <f t="shared" si="78"/>
        <v>0</v>
      </c>
      <c r="S1420" s="91">
        <v>1150</v>
      </c>
      <c r="T1420" s="19" t="s">
        <v>94</v>
      </c>
      <c r="U1420" s="102" t="s">
        <v>498</v>
      </c>
      <c r="V1420" s="186">
        <v>44672</v>
      </c>
      <c r="W1420" s="17" t="s">
        <v>44</v>
      </c>
      <c r="Y1420" s="68">
        <v>44682</v>
      </c>
      <c r="Z1420" s="17" t="s">
        <v>499</v>
      </c>
      <c r="AA1420" s="17" t="s">
        <v>437</v>
      </c>
      <c r="AB1420" s="17" t="s">
        <v>502</v>
      </c>
      <c r="AC1420" s="17" t="s">
        <v>503</v>
      </c>
      <c r="AD1420" s="65">
        <v>1337</v>
      </c>
      <c r="AE1420" s="17" t="s">
        <v>48</v>
      </c>
    </row>
    <row r="1421" s="17" customFormat="1" hidden="1" spans="1:31">
      <c r="A1421" s="17" t="s">
        <v>34</v>
      </c>
      <c r="B1421" s="19">
        <v>796</v>
      </c>
      <c r="C1421" s="101">
        <v>44666</v>
      </c>
      <c r="D1421" s="17" t="s">
        <v>432</v>
      </c>
      <c r="E1421" s="17" t="s">
        <v>433</v>
      </c>
      <c r="F1421" s="17" t="s">
        <v>434</v>
      </c>
      <c r="H1421" s="19">
        <v>1.2311</v>
      </c>
      <c r="I1421" s="19"/>
      <c r="J1421" s="17" t="s">
        <v>82</v>
      </c>
      <c r="K1421" s="188">
        <v>405</v>
      </c>
      <c r="L1421" s="189">
        <v>216</v>
      </c>
      <c r="M1421" s="188">
        <v>1330</v>
      </c>
      <c r="N1421" s="19" t="s">
        <v>66</v>
      </c>
      <c r="O1421" s="19" t="s">
        <v>168</v>
      </c>
      <c r="P1421" s="19">
        <v>914</v>
      </c>
      <c r="Q1421" s="17">
        <v>914</v>
      </c>
      <c r="R1421" s="17">
        <f t="shared" si="78"/>
        <v>0</v>
      </c>
      <c r="S1421" s="91">
        <v>1150</v>
      </c>
      <c r="T1421" s="19" t="s">
        <v>94</v>
      </c>
      <c r="U1421" s="102" t="s">
        <v>498</v>
      </c>
      <c r="V1421" s="186">
        <v>44672</v>
      </c>
      <c r="W1421" s="17" t="s">
        <v>44</v>
      </c>
      <c r="Y1421" s="68">
        <v>44682</v>
      </c>
      <c r="Z1421" s="17" t="s">
        <v>499</v>
      </c>
      <c r="AA1421" s="17" t="s">
        <v>437</v>
      </c>
      <c r="AB1421" s="17" t="s">
        <v>500</v>
      </c>
      <c r="AC1421" s="17" t="s">
        <v>501</v>
      </c>
      <c r="AD1421" s="65">
        <v>1302</v>
      </c>
      <c r="AE1421" s="17" t="s">
        <v>48</v>
      </c>
    </row>
    <row r="1422" s="17" customFormat="1" hidden="1" spans="1:31">
      <c r="A1422" s="17" t="s">
        <v>34</v>
      </c>
      <c r="B1422" s="19">
        <v>796</v>
      </c>
      <c r="C1422" s="101">
        <v>44666</v>
      </c>
      <c r="D1422" s="17" t="s">
        <v>432</v>
      </c>
      <c r="E1422" s="17" t="s">
        <v>433</v>
      </c>
      <c r="F1422" s="17" t="s">
        <v>434</v>
      </c>
      <c r="H1422" s="19">
        <v>1.2311</v>
      </c>
      <c r="I1422" s="19"/>
      <c r="J1422" s="17" t="s">
        <v>82</v>
      </c>
      <c r="K1422" s="188">
        <v>273</v>
      </c>
      <c r="L1422" s="189">
        <v>225</v>
      </c>
      <c r="M1422" s="188">
        <v>1820</v>
      </c>
      <c r="N1422" s="19" t="s">
        <v>66</v>
      </c>
      <c r="O1422" s="19" t="s">
        <v>168</v>
      </c>
      <c r="P1422" s="19">
        <v>880</v>
      </c>
      <c r="Q1422" s="17">
        <v>880</v>
      </c>
      <c r="R1422" s="17">
        <f t="shared" si="78"/>
        <v>0</v>
      </c>
      <c r="S1422" s="91">
        <v>1150</v>
      </c>
      <c r="T1422" s="19" t="s">
        <v>94</v>
      </c>
      <c r="U1422" s="102" t="s">
        <v>498</v>
      </c>
      <c r="V1422" s="186">
        <v>44672</v>
      </c>
      <c r="W1422" s="17" t="s">
        <v>44</v>
      </c>
      <c r="Y1422" s="68">
        <v>44682</v>
      </c>
      <c r="Z1422" s="17" t="s">
        <v>499</v>
      </c>
      <c r="AA1422" s="17" t="s">
        <v>437</v>
      </c>
      <c r="AB1422" s="17" t="s">
        <v>500</v>
      </c>
      <c r="AC1422" s="17" t="s">
        <v>501</v>
      </c>
      <c r="AD1422" s="65">
        <v>1302</v>
      </c>
      <c r="AE1422" s="17" t="s">
        <v>48</v>
      </c>
    </row>
    <row r="1423" s="17" customFormat="1" hidden="1" spans="1:31">
      <c r="A1423" s="17" t="s">
        <v>34</v>
      </c>
      <c r="B1423" s="19">
        <v>796</v>
      </c>
      <c r="C1423" s="101">
        <v>44666</v>
      </c>
      <c r="D1423" s="17" t="s">
        <v>432</v>
      </c>
      <c r="E1423" s="17" t="s">
        <v>433</v>
      </c>
      <c r="F1423" s="17" t="s">
        <v>434</v>
      </c>
      <c r="H1423" s="19">
        <v>1.2311</v>
      </c>
      <c r="I1423" s="19"/>
      <c r="J1423" s="17" t="s">
        <v>82</v>
      </c>
      <c r="K1423" s="188">
        <v>390</v>
      </c>
      <c r="L1423" s="189">
        <v>230</v>
      </c>
      <c r="M1423" s="188">
        <v>1440</v>
      </c>
      <c r="N1423" s="19" t="s">
        <v>66</v>
      </c>
      <c r="O1423" s="19" t="s">
        <v>168</v>
      </c>
      <c r="P1423" s="19">
        <v>1026</v>
      </c>
      <c r="Q1423" s="17">
        <v>1026</v>
      </c>
      <c r="R1423" s="17">
        <f t="shared" si="78"/>
        <v>0</v>
      </c>
      <c r="S1423" s="91">
        <v>1150</v>
      </c>
      <c r="T1423" s="19" t="s">
        <v>94</v>
      </c>
      <c r="U1423" s="102" t="s">
        <v>498</v>
      </c>
      <c r="V1423" s="186">
        <v>44672</v>
      </c>
      <c r="W1423" s="17" t="s">
        <v>44</v>
      </c>
      <c r="Y1423" s="68">
        <v>44682</v>
      </c>
      <c r="Z1423" s="17" t="s">
        <v>499</v>
      </c>
      <c r="AA1423" s="17" t="s">
        <v>437</v>
      </c>
      <c r="AB1423" s="17" t="s">
        <v>500</v>
      </c>
      <c r="AC1423" s="17" t="s">
        <v>501</v>
      </c>
      <c r="AD1423" s="65">
        <v>1302</v>
      </c>
      <c r="AE1423" s="17" t="s">
        <v>48</v>
      </c>
    </row>
    <row r="1424" s="17" customFormat="1" hidden="1" spans="1:31">
      <c r="A1424" s="17" t="s">
        <v>34</v>
      </c>
      <c r="B1424" s="19">
        <v>796</v>
      </c>
      <c r="C1424" s="101">
        <v>44666</v>
      </c>
      <c r="D1424" s="17" t="s">
        <v>432</v>
      </c>
      <c r="E1424" s="17" t="s">
        <v>433</v>
      </c>
      <c r="F1424" s="17" t="s">
        <v>434</v>
      </c>
      <c r="H1424" s="19">
        <v>1.2311</v>
      </c>
      <c r="I1424" s="19"/>
      <c r="J1424" s="17" t="s">
        <v>82</v>
      </c>
      <c r="K1424" s="169" t="s">
        <v>520</v>
      </c>
      <c r="L1424" s="171" t="s">
        <v>453</v>
      </c>
      <c r="M1424" s="169" t="s">
        <v>532</v>
      </c>
      <c r="N1424" s="19" t="s">
        <v>66</v>
      </c>
      <c r="O1424" s="19" t="s">
        <v>168</v>
      </c>
      <c r="P1424" s="19">
        <v>1266</v>
      </c>
      <c r="Q1424" s="17">
        <v>1266</v>
      </c>
      <c r="R1424" s="17">
        <f t="shared" si="78"/>
        <v>0</v>
      </c>
      <c r="S1424" s="91">
        <v>1150</v>
      </c>
      <c r="T1424" s="19" t="s">
        <v>94</v>
      </c>
      <c r="U1424" s="102" t="s">
        <v>498</v>
      </c>
      <c r="V1424" s="186">
        <v>44672</v>
      </c>
      <c r="W1424" s="17" t="s">
        <v>44</v>
      </c>
      <c r="Y1424" s="68">
        <v>44682</v>
      </c>
      <c r="Z1424" s="17" t="s">
        <v>499</v>
      </c>
      <c r="AA1424" s="17" t="s">
        <v>437</v>
      </c>
      <c r="AB1424" s="17" t="s">
        <v>500</v>
      </c>
      <c r="AC1424" s="17" t="s">
        <v>501</v>
      </c>
      <c r="AD1424" s="65">
        <v>1302</v>
      </c>
      <c r="AE1424" s="17" t="s">
        <v>48</v>
      </c>
    </row>
    <row r="1425" s="18" customFormat="1" hidden="1" spans="1:34">
      <c r="B1425" s="75">
        <v>796</v>
      </c>
      <c r="C1425" s="135">
        <v>44666</v>
      </c>
      <c r="D1425" s="18" t="s">
        <v>432</v>
      </c>
      <c r="E1425" s="17" t="s">
        <v>433</v>
      </c>
      <c r="F1425" s="18" t="s">
        <v>434</v>
      </c>
      <c r="H1425" s="75">
        <v>1.2311</v>
      </c>
      <c r="I1425" s="75"/>
      <c r="J1425" s="18" t="s">
        <v>82</v>
      </c>
      <c r="K1425" s="190">
        <v>330</v>
      </c>
      <c r="L1425" s="191">
        <v>230</v>
      </c>
      <c r="M1425" s="190">
        <v>1120</v>
      </c>
      <c r="N1425" s="75" t="s">
        <v>66</v>
      </c>
      <c r="O1425" s="75" t="s">
        <v>168</v>
      </c>
      <c r="P1425" s="75">
        <v>668</v>
      </c>
      <c r="R1425" s="18">
        <f t="shared" si="78"/>
        <v>668</v>
      </c>
      <c r="S1425" s="111">
        <v>1150</v>
      </c>
      <c r="T1425" s="75" t="s">
        <v>94</v>
      </c>
      <c r="U1425" s="137" t="s">
        <v>498</v>
      </c>
      <c r="V1425" s="193">
        <v>44672</v>
      </c>
      <c r="W1425" s="18" t="s">
        <v>44</v>
      </c>
      <c r="Y1425" s="114">
        <v>44682</v>
      </c>
      <c r="Z1425" s="18" t="s">
        <v>499</v>
      </c>
      <c r="AA1425" s="18" t="s">
        <v>437</v>
      </c>
      <c r="AD1425" s="77"/>
      <c r="AE1425" s="18" t="s">
        <v>48</v>
      </c>
    </row>
    <row r="1426" s="17" customFormat="1" hidden="1" spans="1:34">
      <c r="A1426" s="17" t="s">
        <v>34</v>
      </c>
      <c r="B1426" s="19">
        <v>796</v>
      </c>
      <c r="C1426" s="101">
        <v>44666</v>
      </c>
      <c r="D1426" s="17" t="s">
        <v>432</v>
      </c>
      <c r="E1426" s="17" t="s">
        <v>433</v>
      </c>
      <c r="F1426" s="17" t="s">
        <v>434</v>
      </c>
      <c r="H1426" s="19">
        <v>1.2311</v>
      </c>
      <c r="I1426" s="19"/>
      <c r="J1426" s="17" t="s">
        <v>82</v>
      </c>
      <c r="K1426" s="188">
        <v>300</v>
      </c>
      <c r="L1426" s="189">
        <v>240</v>
      </c>
      <c r="M1426" s="188">
        <v>1515</v>
      </c>
      <c r="N1426" s="19" t="s">
        <v>66</v>
      </c>
      <c r="O1426" s="19" t="s">
        <v>168</v>
      </c>
      <c r="P1426" s="19">
        <v>905</v>
      </c>
      <c r="Q1426" s="17">
        <v>905</v>
      </c>
      <c r="R1426" s="17">
        <f t="shared" si="78"/>
        <v>0</v>
      </c>
      <c r="S1426" s="91">
        <v>1150</v>
      </c>
      <c r="T1426" s="19" t="s">
        <v>94</v>
      </c>
      <c r="U1426" s="102" t="s">
        <v>498</v>
      </c>
      <c r="V1426" s="186">
        <v>44672</v>
      </c>
      <c r="W1426" s="17" t="s">
        <v>44</v>
      </c>
      <c r="Y1426" s="68">
        <v>44682</v>
      </c>
      <c r="Z1426" s="17" t="s">
        <v>499</v>
      </c>
      <c r="AA1426" s="17" t="s">
        <v>437</v>
      </c>
      <c r="AB1426" s="17" t="s">
        <v>500</v>
      </c>
      <c r="AC1426" s="17" t="s">
        <v>501</v>
      </c>
      <c r="AD1426" s="65">
        <v>1302</v>
      </c>
      <c r="AE1426" s="17" t="s">
        <v>48</v>
      </c>
    </row>
    <row r="1427" s="18" customFormat="1" hidden="1" spans="1:34">
      <c r="A1427" s="18" t="s">
        <v>34</v>
      </c>
      <c r="B1427" s="75">
        <v>796</v>
      </c>
      <c r="C1427" s="135">
        <v>44666</v>
      </c>
      <c r="D1427" s="18" t="s">
        <v>432</v>
      </c>
      <c r="E1427" s="17" t="s">
        <v>433</v>
      </c>
      <c r="F1427" s="18" t="s">
        <v>434</v>
      </c>
      <c r="H1427" s="75">
        <v>1.2311</v>
      </c>
      <c r="I1427" s="75"/>
      <c r="J1427" s="18" t="s">
        <v>82</v>
      </c>
      <c r="K1427" s="75">
        <v>360</v>
      </c>
      <c r="L1427" s="111">
        <v>240</v>
      </c>
      <c r="M1427" s="75">
        <v>2025</v>
      </c>
      <c r="N1427" s="75" t="s">
        <v>66</v>
      </c>
      <c r="O1427" s="75" t="s">
        <v>168</v>
      </c>
      <c r="P1427" s="75">
        <v>1422</v>
      </c>
      <c r="Q1427" s="18">
        <v>1422</v>
      </c>
      <c r="R1427" s="18">
        <f t="shared" si="78"/>
        <v>0</v>
      </c>
      <c r="S1427" s="111">
        <v>1150</v>
      </c>
      <c r="T1427" s="75" t="s">
        <v>94</v>
      </c>
      <c r="U1427" s="137" t="s">
        <v>498</v>
      </c>
      <c r="V1427" s="193">
        <v>44672</v>
      </c>
      <c r="W1427" s="18" t="s">
        <v>44</v>
      </c>
      <c r="Y1427" s="114">
        <v>44682</v>
      </c>
      <c r="Z1427" s="18" t="s">
        <v>499</v>
      </c>
      <c r="AA1427" s="18" t="s">
        <v>437</v>
      </c>
      <c r="AB1427" s="18" t="s">
        <v>502</v>
      </c>
      <c r="AC1427" s="18" t="s">
        <v>503</v>
      </c>
      <c r="AD1427" s="77">
        <v>1337</v>
      </c>
      <c r="AE1427" s="18" t="s">
        <v>48</v>
      </c>
    </row>
    <row r="1428" s="17" customFormat="1" hidden="1" spans="1:34">
      <c r="A1428" s="17" t="s">
        <v>34</v>
      </c>
      <c r="B1428" s="19">
        <v>796</v>
      </c>
      <c r="C1428" s="101">
        <v>44666</v>
      </c>
      <c r="D1428" s="17" t="s">
        <v>432</v>
      </c>
      <c r="E1428" s="17" t="s">
        <v>433</v>
      </c>
      <c r="F1428" s="17" t="s">
        <v>434</v>
      </c>
      <c r="H1428" s="19">
        <v>1.2311</v>
      </c>
      <c r="I1428" s="19"/>
      <c r="J1428" s="17" t="s">
        <v>82</v>
      </c>
      <c r="K1428" s="19">
        <v>680</v>
      </c>
      <c r="L1428" s="91">
        <v>245</v>
      </c>
      <c r="M1428" s="19">
        <v>975</v>
      </c>
      <c r="N1428" s="19" t="s">
        <v>66</v>
      </c>
      <c r="O1428" s="19" t="s">
        <v>168</v>
      </c>
      <c r="P1428" s="19">
        <v>1305</v>
      </c>
      <c r="Q1428" s="17">
        <v>1305</v>
      </c>
      <c r="R1428" s="17">
        <f t="shared" si="78"/>
        <v>0</v>
      </c>
      <c r="S1428" s="91">
        <v>1150</v>
      </c>
      <c r="T1428" s="19" t="s">
        <v>94</v>
      </c>
      <c r="U1428" s="102" t="s">
        <v>498</v>
      </c>
      <c r="V1428" s="186">
        <v>44672</v>
      </c>
      <c r="W1428" s="17" t="s">
        <v>44</v>
      </c>
      <c r="Y1428" s="68">
        <v>44682</v>
      </c>
      <c r="Z1428" s="17" t="s">
        <v>499</v>
      </c>
      <c r="AA1428" s="17" t="s">
        <v>437</v>
      </c>
      <c r="AB1428" s="17" t="s">
        <v>500</v>
      </c>
      <c r="AC1428" s="17" t="s">
        <v>501</v>
      </c>
      <c r="AD1428" s="65">
        <v>1302</v>
      </c>
      <c r="AE1428" s="17" t="s">
        <v>48</v>
      </c>
    </row>
    <row r="1429" s="18" customFormat="1" hidden="1" spans="1:34">
      <c r="A1429" s="18" t="s">
        <v>34</v>
      </c>
      <c r="B1429" s="75">
        <v>796</v>
      </c>
      <c r="C1429" s="135">
        <v>44666</v>
      </c>
      <c r="D1429" s="18" t="s">
        <v>432</v>
      </c>
      <c r="E1429" s="17" t="s">
        <v>433</v>
      </c>
      <c r="F1429" s="18" t="s">
        <v>434</v>
      </c>
      <c r="H1429" s="75">
        <v>1.2311</v>
      </c>
      <c r="I1429" s="75"/>
      <c r="J1429" s="18" t="s">
        <v>82</v>
      </c>
      <c r="K1429" s="172" t="s">
        <v>513</v>
      </c>
      <c r="L1429" s="173" t="s">
        <v>533</v>
      </c>
      <c r="M1429" s="172" t="s">
        <v>534</v>
      </c>
      <c r="N1429" s="75" t="s">
        <v>66</v>
      </c>
      <c r="O1429" s="75" t="s">
        <v>168</v>
      </c>
      <c r="P1429" s="75">
        <v>785</v>
      </c>
      <c r="Q1429" s="18">
        <v>785</v>
      </c>
      <c r="R1429" s="18">
        <f t="shared" si="78"/>
        <v>0</v>
      </c>
      <c r="S1429" s="111">
        <v>1150</v>
      </c>
      <c r="T1429" s="75" t="s">
        <v>94</v>
      </c>
      <c r="U1429" s="137" t="s">
        <v>498</v>
      </c>
      <c r="V1429" s="193">
        <v>44672</v>
      </c>
      <c r="W1429" s="18" t="s">
        <v>44</v>
      </c>
      <c r="Y1429" s="114">
        <v>44682</v>
      </c>
      <c r="Z1429" s="18" t="s">
        <v>499</v>
      </c>
      <c r="AA1429" s="18" t="s">
        <v>437</v>
      </c>
      <c r="AB1429" s="18" t="s">
        <v>502</v>
      </c>
      <c r="AC1429" s="18" t="s">
        <v>503</v>
      </c>
      <c r="AD1429" s="77">
        <v>1337</v>
      </c>
      <c r="AE1429" s="18" t="s">
        <v>48</v>
      </c>
    </row>
    <row r="1430" s="17" customFormat="1" hidden="1" spans="1:34">
      <c r="A1430" s="17" t="s">
        <v>34</v>
      </c>
      <c r="B1430" s="19">
        <v>796</v>
      </c>
      <c r="C1430" s="101">
        <v>44666</v>
      </c>
      <c r="D1430" s="17" t="s">
        <v>432</v>
      </c>
      <c r="E1430" s="17" t="s">
        <v>433</v>
      </c>
      <c r="F1430" s="17" t="s">
        <v>434</v>
      </c>
      <c r="H1430" s="19">
        <v>1.2311</v>
      </c>
      <c r="I1430" s="19"/>
      <c r="J1430" s="17" t="s">
        <v>82</v>
      </c>
      <c r="K1430" s="19">
        <v>400</v>
      </c>
      <c r="L1430" s="91">
        <v>270</v>
      </c>
      <c r="M1430" s="19">
        <v>785</v>
      </c>
      <c r="N1430" s="19" t="s">
        <v>66</v>
      </c>
      <c r="O1430" s="19" t="s">
        <v>168</v>
      </c>
      <c r="P1430" s="19">
        <v>671</v>
      </c>
      <c r="Q1430" s="17">
        <v>671</v>
      </c>
      <c r="R1430" s="17">
        <f t="shared" si="78"/>
        <v>0</v>
      </c>
      <c r="S1430" s="91">
        <v>1150</v>
      </c>
      <c r="T1430" s="19" t="s">
        <v>94</v>
      </c>
      <c r="U1430" s="102" t="s">
        <v>498</v>
      </c>
      <c r="V1430" s="186">
        <v>44672</v>
      </c>
      <c r="W1430" s="17" t="s">
        <v>44</v>
      </c>
      <c r="Y1430" s="68">
        <v>44682</v>
      </c>
      <c r="Z1430" s="17" t="s">
        <v>499</v>
      </c>
      <c r="AA1430" s="17" t="s">
        <v>437</v>
      </c>
      <c r="AB1430" s="17" t="s">
        <v>500</v>
      </c>
      <c r="AC1430" s="17" t="s">
        <v>501</v>
      </c>
      <c r="AD1430" s="65">
        <v>1302</v>
      </c>
      <c r="AE1430" s="17" t="s">
        <v>48</v>
      </c>
    </row>
    <row r="1431" s="18" customFormat="1" hidden="1" spans="1:34">
      <c r="A1431" s="18" t="s">
        <v>34</v>
      </c>
      <c r="B1431" s="75">
        <v>796</v>
      </c>
      <c r="C1431" s="135">
        <v>44666</v>
      </c>
      <c r="D1431" s="18" t="s">
        <v>432</v>
      </c>
      <c r="E1431" s="17" t="s">
        <v>433</v>
      </c>
      <c r="F1431" s="18" t="s">
        <v>434</v>
      </c>
      <c r="H1431" s="75">
        <v>1.2311</v>
      </c>
      <c r="I1431" s="75"/>
      <c r="J1431" s="18" t="s">
        <v>82</v>
      </c>
      <c r="K1431" s="75">
        <v>560</v>
      </c>
      <c r="L1431" s="111">
        <v>277</v>
      </c>
      <c r="M1431" s="75">
        <v>760</v>
      </c>
      <c r="N1431" s="75" t="s">
        <v>66</v>
      </c>
      <c r="O1431" s="75" t="s">
        <v>168</v>
      </c>
      <c r="P1431" s="75">
        <v>970</v>
      </c>
      <c r="Q1431" s="18">
        <v>970</v>
      </c>
      <c r="R1431" s="18">
        <f t="shared" si="78"/>
        <v>0</v>
      </c>
      <c r="S1431" s="111">
        <v>1150</v>
      </c>
      <c r="T1431" s="75" t="s">
        <v>94</v>
      </c>
      <c r="U1431" s="137" t="s">
        <v>498</v>
      </c>
      <c r="V1431" s="193">
        <v>44672</v>
      </c>
      <c r="W1431" s="18" t="s">
        <v>44</v>
      </c>
      <c r="Y1431" s="114">
        <v>44682</v>
      </c>
      <c r="Z1431" s="18" t="s">
        <v>499</v>
      </c>
      <c r="AA1431" s="18" t="s">
        <v>437</v>
      </c>
      <c r="AB1431" s="18" t="s">
        <v>502</v>
      </c>
      <c r="AC1431" s="18" t="s">
        <v>503</v>
      </c>
      <c r="AD1431" s="77">
        <v>1337</v>
      </c>
      <c r="AE1431" s="18" t="s">
        <v>48</v>
      </c>
    </row>
    <row r="1432" s="18" customFormat="1" hidden="1" spans="1:34">
      <c r="A1432" s="18" t="s">
        <v>34</v>
      </c>
      <c r="B1432" s="75">
        <v>796</v>
      </c>
      <c r="C1432" s="135">
        <v>44666</v>
      </c>
      <c r="D1432" s="18" t="s">
        <v>432</v>
      </c>
      <c r="E1432" s="17" t="s">
        <v>433</v>
      </c>
      <c r="F1432" s="18" t="s">
        <v>434</v>
      </c>
      <c r="H1432" s="75">
        <v>1.2311</v>
      </c>
      <c r="I1432" s="75"/>
      <c r="J1432" s="18" t="s">
        <v>82</v>
      </c>
      <c r="K1432" s="75">
        <v>590</v>
      </c>
      <c r="L1432" s="111">
        <v>310</v>
      </c>
      <c r="M1432" s="75">
        <v>1125</v>
      </c>
      <c r="N1432" s="75" t="s">
        <v>66</v>
      </c>
      <c r="O1432" s="75" t="s">
        <v>168</v>
      </c>
      <c r="P1432" s="75">
        <v>1638</v>
      </c>
      <c r="Q1432" s="18">
        <v>1638</v>
      </c>
      <c r="R1432" s="18">
        <f t="shared" si="78"/>
        <v>0</v>
      </c>
      <c r="S1432" s="111">
        <v>1150</v>
      </c>
      <c r="T1432" s="75" t="s">
        <v>94</v>
      </c>
      <c r="U1432" s="137" t="s">
        <v>498</v>
      </c>
      <c r="V1432" s="193">
        <v>44672</v>
      </c>
      <c r="W1432" s="18" t="s">
        <v>44</v>
      </c>
      <c r="Y1432" s="114">
        <v>44682</v>
      </c>
      <c r="Z1432" s="18" t="s">
        <v>499</v>
      </c>
      <c r="AA1432" s="18" t="s">
        <v>437</v>
      </c>
      <c r="AB1432" s="18" t="s">
        <v>502</v>
      </c>
      <c r="AC1432" s="18" t="s">
        <v>503</v>
      </c>
      <c r="AD1432" s="77">
        <v>1337</v>
      </c>
      <c r="AE1432" s="18" t="s">
        <v>48</v>
      </c>
    </row>
    <row r="1433" s="17" customFormat="1" hidden="1" spans="1:34">
      <c r="A1433" s="17" t="s">
        <v>34</v>
      </c>
      <c r="B1433" s="19">
        <v>796</v>
      </c>
      <c r="C1433" s="101">
        <v>44666</v>
      </c>
      <c r="D1433" s="17" t="s">
        <v>432</v>
      </c>
      <c r="E1433" s="17" t="s">
        <v>433</v>
      </c>
      <c r="F1433" s="17" t="s">
        <v>434</v>
      </c>
      <c r="H1433" s="19">
        <v>1.2311</v>
      </c>
      <c r="I1433" s="19"/>
      <c r="J1433" s="17" t="s">
        <v>82</v>
      </c>
      <c r="K1433" s="19">
        <v>340</v>
      </c>
      <c r="L1433" s="91">
        <v>275</v>
      </c>
      <c r="M1433" s="19">
        <v>1050</v>
      </c>
      <c r="N1433" s="19" t="s">
        <v>66</v>
      </c>
      <c r="O1433" s="19" t="s">
        <v>168</v>
      </c>
      <c r="P1433" s="19">
        <v>790</v>
      </c>
      <c r="Q1433" s="17">
        <v>790</v>
      </c>
      <c r="R1433" s="17">
        <f t="shared" si="78"/>
        <v>0</v>
      </c>
      <c r="S1433" s="91">
        <v>1150</v>
      </c>
      <c r="T1433" s="19" t="s">
        <v>94</v>
      </c>
      <c r="U1433" s="102" t="s">
        <v>498</v>
      </c>
      <c r="V1433" s="186">
        <v>44672</v>
      </c>
      <c r="W1433" s="17" t="s">
        <v>44</v>
      </c>
      <c r="Y1433" s="68">
        <v>44682</v>
      </c>
      <c r="Z1433" s="17" t="s">
        <v>499</v>
      </c>
      <c r="AA1433" s="17" t="s">
        <v>437</v>
      </c>
      <c r="AB1433" s="17" t="s">
        <v>500</v>
      </c>
      <c r="AC1433" s="17" t="s">
        <v>501</v>
      </c>
      <c r="AD1433" s="65">
        <v>1302</v>
      </c>
      <c r="AE1433" s="17" t="s">
        <v>48</v>
      </c>
    </row>
    <row r="1434" s="17" customFormat="1" hidden="1" spans="1:34">
      <c r="A1434" s="17" t="s">
        <v>34</v>
      </c>
      <c r="B1434" s="19">
        <v>796</v>
      </c>
      <c r="C1434" s="101">
        <v>44666</v>
      </c>
      <c r="D1434" s="17" t="s">
        <v>432</v>
      </c>
      <c r="E1434" s="17" t="s">
        <v>433</v>
      </c>
      <c r="F1434" s="17" t="s">
        <v>434</v>
      </c>
      <c r="H1434" s="19">
        <v>1.2311</v>
      </c>
      <c r="I1434" s="19"/>
      <c r="J1434" s="17" t="s">
        <v>82</v>
      </c>
      <c r="K1434" s="19">
        <v>745</v>
      </c>
      <c r="L1434" s="91">
        <v>190</v>
      </c>
      <c r="M1434" s="19">
        <v>1225</v>
      </c>
      <c r="N1434" s="19" t="s">
        <v>66</v>
      </c>
      <c r="O1434" s="19" t="s">
        <v>168</v>
      </c>
      <c r="P1434" s="19">
        <v>1435</v>
      </c>
      <c r="Q1434" s="17">
        <v>1435</v>
      </c>
      <c r="R1434" s="17">
        <f t="shared" si="78"/>
        <v>0</v>
      </c>
      <c r="S1434" s="91">
        <v>1150</v>
      </c>
      <c r="T1434" s="19" t="s">
        <v>94</v>
      </c>
      <c r="U1434" s="102" t="s">
        <v>498</v>
      </c>
      <c r="V1434" s="186">
        <v>44672</v>
      </c>
      <c r="W1434" s="17" t="s">
        <v>44</v>
      </c>
      <c r="Y1434" s="68">
        <v>44682</v>
      </c>
      <c r="Z1434" s="17" t="s">
        <v>499</v>
      </c>
      <c r="AA1434" s="17" t="s">
        <v>437</v>
      </c>
      <c r="AB1434" s="17" t="s">
        <v>500</v>
      </c>
      <c r="AC1434" s="17" t="s">
        <v>501</v>
      </c>
      <c r="AD1434" s="65">
        <v>1302</v>
      </c>
      <c r="AE1434" s="17" t="s">
        <v>48</v>
      </c>
    </row>
    <row r="1435" s="17" customFormat="1" hidden="1" spans="1:34">
      <c r="A1435" s="17" t="s">
        <v>34</v>
      </c>
      <c r="B1435" s="19">
        <v>796</v>
      </c>
      <c r="C1435" s="101">
        <v>44666</v>
      </c>
      <c r="D1435" s="17" t="s">
        <v>432</v>
      </c>
      <c r="E1435" s="17" t="s">
        <v>433</v>
      </c>
      <c r="F1435" s="17" t="s">
        <v>434</v>
      </c>
      <c r="H1435" s="19">
        <v>1.2311</v>
      </c>
      <c r="I1435" s="19"/>
      <c r="J1435" s="17" t="s">
        <v>82</v>
      </c>
      <c r="K1435" s="19">
        <v>450</v>
      </c>
      <c r="L1435" s="194">
        <v>310</v>
      </c>
      <c r="M1435" s="19">
        <v>785</v>
      </c>
      <c r="N1435" s="19" t="s">
        <v>66</v>
      </c>
      <c r="O1435" s="19" t="s">
        <v>168</v>
      </c>
      <c r="P1435" s="99">
        <v>880</v>
      </c>
      <c r="Q1435" s="17">
        <v>860</v>
      </c>
      <c r="R1435" s="17">
        <f t="shared" si="78"/>
        <v>20</v>
      </c>
      <c r="S1435" s="91">
        <v>1150</v>
      </c>
      <c r="T1435" s="19" t="s">
        <v>94</v>
      </c>
      <c r="U1435" s="102" t="s">
        <v>498</v>
      </c>
      <c r="V1435" s="186">
        <v>44672</v>
      </c>
      <c r="W1435" s="17" t="s">
        <v>44</v>
      </c>
      <c r="Y1435" s="68">
        <v>44682</v>
      </c>
      <c r="Z1435" s="17" t="s">
        <v>499</v>
      </c>
      <c r="AA1435" s="17" t="s">
        <v>437</v>
      </c>
      <c r="AB1435" s="17" t="s">
        <v>500</v>
      </c>
      <c r="AC1435" s="17" t="s">
        <v>501</v>
      </c>
      <c r="AD1435" s="65">
        <v>1302</v>
      </c>
      <c r="AE1435" s="17" t="s">
        <v>48</v>
      </c>
    </row>
    <row r="1436" s="17" customFormat="1" hidden="1" spans="1:34">
      <c r="B1436" s="19">
        <v>797</v>
      </c>
      <c r="C1436" s="64">
        <v>44666</v>
      </c>
      <c r="D1436" s="17" t="s">
        <v>52</v>
      </c>
      <c r="E1436" s="17" t="s">
        <v>322</v>
      </c>
      <c r="F1436" s="17" t="s">
        <v>54</v>
      </c>
      <c r="H1436" s="65" t="s">
        <v>535</v>
      </c>
      <c r="I1436" s="195"/>
      <c r="J1436" s="185" t="s">
        <v>39</v>
      </c>
      <c r="K1436" s="106">
        <v>330</v>
      </c>
      <c r="L1436" s="106"/>
      <c r="M1436" s="17" t="s">
        <v>274</v>
      </c>
      <c r="N1436" s="17" t="s">
        <v>66</v>
      </c>
      <c r="O1436" s="19" t="s">
        <v>149</v>
      </c>
      <c r="P1436" s="196">
        <v>10000</v>
      </c>
      <c r="Q1436" s="196"/>
      <c r="R1436" s="22">
        <f t="shared" si="78"/>
        <v>10000</v>
      </c>
      <c r="S1436" s="17">
        <v>1630</v>
      </c>
      <c r="T1436" s="19" t="s">
        <v>94</v>
      </c>
      <c r="U1436" s="17" t="s">
        <v>188</v>
      </c>
      <c r="V1436" s="17" t="s">
        <v>188</v>
      </c>
      <c r="W1436" s="17" t="s">
        <v>536</v>
      </c>
      <c r="AA1436" s="17" t="s">
        <v>537</v>
      </c>
      <c r="AC1436" s="66"/>
      <c r="AD1436" s="65"/>
      <c r="AE1436" s="17" t="s">
        <v>538</v>
      </c>
      <c r="AF1436" s="17" t="s">
        <v>245</v>
      </c>
      <c r="AH1436" s="17" t="s">
        <v>539</v>
      </c>
    </row>
    <row r="1437" s="17" customFormat="1" hidden="1" spans="1:34">
      <c r="B1437" s="19">
        <v>797</v>
      </c>
      <c r="C1437" s="64">
        <v>44666</v>
      </c>
      <c r="D1437" s="17" t="s">
        <v>52</v>
      </c>
      <c r="E1437" s="17" t="s">
        <v>322</v>
      </c>
      <c r="F1437" s="17" t="s">
        <v>54</v>
      </c>
      <c r="H1437" s="65" t="s">
        <v>535</v>
      </c>
      <c r="I1437" s="195"/>
      <c r="J1437" s="185" t="s">
        <v>39</v>
      </c>
      <c r="K1437" s="106">
        <v>340</v>
      </c>
      <c r="L1437" s="106"/>
      <c r="M1437" s="17" t="s">
        <v>274</v>
      </c>
      <c r="N1437" s="17" t="s">
        <v>66</v>
      </c>
      <c r="O1437" s="19" t="s">
        <v>149</v>
      </c>
      <c r="P1437" s="196">
        <v>10000</v>
      </c>
      <c r="Q1437" s="196"/>
      <c r="R1437" s="22">
        <f t="shared" si="78"/>
        <v>10000</v>
      </c>
      <c r="S1437" s="17">
        <v>1630</v>
      </c>
      <c r="T1437" s="19" t="s">
        <v>94</v>
      </c>
      <c r="U1437" s="17" t="s">
        <v>188</v>
      </c>
      <c r="V1437" s="17" t="s">
        <v>188</v>
      </c>
      <c r="W1437" s="17" t="s">
        <v>536</v>
      </c>
      <c r="AA1437" s="17" t="s">
        <v>537</v>
      </c>
      <c r="AC1437" s="66"/>
      <c r="AD1437" s="65"/>
      <c r="AE1437" s="17" t="s">
        <v>538</v>
      </c>
      <c r="AF1437" s="17" t="s">
        <v>245</v>
      </c>
      <c r="AH1437" s="17" t="s">
        <v>539</v>
      </c>
    </row>
    <row r="1438" s="17" customFormat="1" hidden="1" spans="1:34">
      <c r="B1438" s="19">
        <v>797</v>
      </c>
      <c r="C1438" s="64">
        <v>44666</v>
      </c>
      <c r="D1438" s="17" t="s">
        <v>52</v>
      </c>
      <c r="E1438" s="17" t="s">
        <v>322</v>
      </c>
      <c r="F1438" s="17" t="s">
        <v>54</v>
      </c>
      <c r="H1438" s="65" t="s">
        <v>535</v>
      </c>
      <c r="I1438" s="195"/>
      <c r="J1438" s="185" t="s">
        <v>39</v>
      </c>
      <c r="K1438" s="106">
        <v>350</v>
      </c>
      <c r="L1438" s="106"/>
      <c r="M1438" s="17" t="s">
        <v>274</v>
      </c>
      <c r="N1438" s="17" t="s">
        <v>66</v>
      </c>
      <c r="O1438" s="19" t="s">
        <v>149</v>
      </c>
      <c r="P1438" s="196">
        <v>15000</v>
      </c>
      <c r="Q1438" s="196"/>
      <c r="R1438" s="22">
        <f t="shared" si="78"/>
        <v>15000</v>
      </c>
      <c r="S1438" s="17">
        <v>1630</v>
      </c>
      <c r="T1438" s="19" t="s">
        <v>94</v>
      </c>
      <c r="U1438" s="17" t="s">
        <v>188</v>
      </c>
      <c r="V1438" s="17" t="s">
        <v>188</v>
      </c>
      <c r="W1438" s="17" t="s">
        <v>536</v>
      </c>
      <c r="AA1438" s="17" t="s">
        <v>537</v>
      </c>
      <c r="AC1438" s="66"/>
      <c r="AD1438" s="65"/>
      <c r="AE1438" s="17" t="s">
        <v>538</v>
      </c>
      <c r="AF1438" s="17" t="s">
        <v>245</v>
      </c>
      <c r="AH1438" s="17" t="s">
        <v>539</v>
      </c>
    </row>
    <row r="1439" s="17" customFormat="1" hidden="1" spans="1:34">
      <c r="B1439" s="19">
        <v>797</v>
      </c>
      <c r="C1439" s="64">
        <v>44666</v>
      </c>
      <c r="D1439" s="17" t="s">
        <v>52</v>
      </c>
      <c r="E1439" s="17" t="s">
        <v>322</v>
      </c>
      <c r="F1439" s="17" t="s">
        <v>54</v>
      </c>
      <c r="H1439" s="65" t="s">
        <v>535</v>
      </c>
      <c r="I1439" s="195"/>
      <c r="J1439" s="185" t="s">
        <v>39</v>
      </c>
      <c r="K1439" s="106">
        <v>360</v>
      </c>
      <c r="L1439" s="106"/>
      <c r="M1439" s="17" t="s">
        <v>274</v>
      </c>
      <c r="N1439" s="17" t="s">
        <v>66</v>
      </c>
      <c r="O1439" s="19" t="s">
        <v>149</v>
      </c>
      <c r="P1439" s="196">
        <v>11000</v>
      </c>
      <c r="Q1439" s="196"/>
      <c r="R1439" s="22">
        <f t="shared" si="78"/>
        <v>11000</v>
      </c>
      <c r="S1439" s="17">
        <v>1630</v>
      </c>
      <c r="T1439" s="19" t="s">
        <v>94</v>
      </c>
      <c r="U1439" s="17" t="s">
        <v>188</v>
      </c>
      <c r="V1439" s="17" t="s">
        <v>188</v>
      </c>
      <c r="W1439" s="17" t="s">
        <v>536</v>
      </c>
      <c r="AA1439" s="17" t="s">
        <v>537</v>
      </c>
      <c r="AC1439" s="66"/>
      <c r="AD1439" s="65"/>
      <c r="AE1439" s="17" t="s">
        <v>538</v>
      </c>
      <c r="AF1439" s="17" t="s">
        <v>245</v>
      </c>
      <c r="AH1439" s="17" t="s">
        <v>539</v>
      </c>
    </row>
    <row r="1440" s="17" customFormat="1" hidden="1" spans="1:34">
      <c r="B1440" s="19">
        <v>797</v>
      </c>
      <c r="C1440" s="64">
        <v>44666</v>
      </c>
      <c r="D1440" s="17" t="s">
        <v>52</v>
      </c>
      <c r="E1440" s="17" t="s">
        <v>322</v>
      </c>
      <c r="F1440" s="17" t="s">
        <v>54</v>
      </c>
      <c r="H1440" s="65" t="s">
        <v>535</v>
      </c>
      <c r="I1440" s="195"/>
      <c r="J1440" s="185" t="s">
        <v>39</v>
      </c>
      <c r="K1440" s="106">
        <v>380</v>
      </c>
      <c r="L1440" s="106"/>
      <c r="M1440" s="17" t="s">
        <v>274</v>
      </c>
      <c r="N1440" s="17" t="s">
        <v>66</v>
      </c>
      <c r="O1440" s="19" t="s">
        <v>149</v>
      </c>
      <c r="P1440" s="196">
        <v>13000</v>
      </c>
      <c r="Q1440" s="196"/>
      <c r="R1440" s="22">
        <f t="shared" si="78"/>
        <v>13000</v>
      </c>
      <c r="S1440" s="17">
        <v>1630</v>
      </c>
      <c r="T1440" s="19" t="s">
        <v>94</v>
      </c>
      <c r="U1440" s="17" t="s">
        <v>188</v>
      </c>
      <c r="V1440" s="17" t="s">
        <v>188</v>
      </c>
      <c r="W1440" s="17" t="s">
        <v>536</v>
      </c>
      <c r="AA1440" s="17" t="s">
        <v>537</v>
      </c>
      <c r="AC1440" s="66"/>
      <c r="AD1440" s="65"/>
      <c r="AE1440" s="17" t="s">
        <v>538</v>
      </c>
      <c r="AF1440" s="17" t="s">
        <v>245</v>
      </c>
      <c r="AH1440" s="17" t="s">
        <v>539</v>
      </c>
    </row>
    <row r="1441" s="17" customFormat="1" hidden="1" spans="2:34">
      <c r="B1441" s="19">
        <v>797</v>
      </c>
      <c r="C1441" s="64">
        <v>44666</v>
      </c>
      <c r="D1441" s="17" t="s">
        <v>52</v>
      </c>
      <c r="E1441" s="17" t="s">
        <v>322</v>
      </c>
      <c r="F1441" s="17" t="s">
        <v>54</v>
      </c>
      <c r="H1441" s="65" t="s">
        <v>535</v>
      </c>
      <c r="I1441" s="195"/>
      <c r="J1441" s="185" t="s">
        <v>39</v>
      </c>
      <c r="K1441" s="106">
        <v>400</v>
      </c>
      <c r="L1441" s="106"/>
      <c r="M1441" s="17" t="s">
        <v>274</v>
      </c>
      <c r="N1441" s="17" t="s">
        <v>66</v>
      </c>
      <c r="O1441" s="19" t="s">
        <v>149</v>
      </c>
      <c r="P1441" s="196">
        <v>14000</v>
      </c>
      <c r="Q1441" s="196"/>
      <c r="R1441" s="22">
        <f t="shared" si="78"/>
        <v>14000</v>
      </c>
      <c r="S1441" s="17">
        <v>1630</v>
      </c>
      <c r="T1441" s="19" t="s">
        <v>94</v>
      </c>
      <c r="U1441" s="17" t="s">
        <v>188</v>
      </c>
      <c r="V1441" s="17" t="s">
        <v>188</v>
      </c>
      <c r="W1441" s="17" t="s">
        <v>536</v>
      </c>
      <c r="AA1441" s="17" t="s">
        <v>537</v>
      </c>
      <c r="AC1441" s="66"/>
      <c r="AD1441" s="65"/>
      <c r="AE1441" s="17" t="s">
        <v>538</v>
      </c>
      <c r="AF1441" s="17" t="s">
        <v>245</v>
      </c>
      <c r="AH1441" s="17" t="s">
        <v>539</v>
      </c>
    </row>
    <row r="1442" s="17" customFormat="1" hidden="1" spans="2:34">
      <c r="B1442" s="19">
        <v>797</v>
      </c>
      <c r="C1442" s="64">
        <v>44666</v>
      </c>
      <c r="D1442" s="17" t="s">
        <v>52</v>
      </c>
      <c r="E1442" s="17" t="s">
        <v>322</v>
      </c>
      <c r="F1442" s="17" t="s">
        <v>54</v>
      </c>
      <c r="H1442" s="65" t="s">
        <v>535</v>
      </c>
      <c r="I1442" s="195"/>
      <c r="J1442" s="185" t="s">
        <v>39</v>
      </c>
      <c r="K1442" s="106">
        <v>410</v>
      </c>
      <c r="L1442" s="106"/>
      <c r="M1442" s="17" t="s">
        <v>274</v>
      </c>
      <c r="N1442" s="17" t="s">
        <v>66</v>
      </c>
      <c r="O1442" s="19" t="s">
        <v>149</v>
      </c>
      <c r="P1442" s="196">
        <v>15000</v>
      </c>
      <c r="Q1442" s="196"/>
      <c r="R1442" s="22">
        <f t="shared" ref="R1442:R1473" si="79">+P1442-Q1442</f>
        <v>15000</v>
      </c>
      <c r="S1442" s="17">
        <v>1630</v>
      </c>
      <c r="T1442" s="19" t="s">
        <v>94</v>
      </c>
      <c r="U1442" s="17" t="s">
        <v>188</v>
      </c>
      <c r="V1442" s="17" t="s">
        <v>188</v>
      </c>
      <c r="W1442" s="17" t="s">
        <v>536</v>
      </c>
      <c r="AA1442" s="17" t="s">
        <v>537</v>
      </c>
      <c r="AC1442" s="66"/>
      <c r="AD1442" s="65"/>
      <c r="AE1442" s="17" t="s">
        <v>538</v>
      </c>
      <c r="AF1442" s="17" t="s">
        <v>245</v>
      </c>
      <c r="AH1442" s="17" t="s">
        <v>539</v>
      </c>
    </row>
    <row r="1443" s="17" customFormat="1" hidden="1" spans="2:34">
      <c r="B1443" s="19">
        <v>797</v>
      </c>
      <c r="C1443" s="64">
        <v>44666</v>
      </c>
      <c r="D1443" s="17" t="s">
        <v>52</v>
      </c>
      <c r="E1443" s="17" t="s">
        <v>322</v>
      </c>
      <c r="F1443" s="17" t="s">
        <v>54</v>
      </c>
      <c r="H1443" s="65" t="s">
        <v>535</v>
      </c>
      <c r="I1443" s="195"/>
      <c r="J1443" s="185" t="s">
        <v>39</v>
      </c>
      <c r="K1443" s="106">
        <v>420</v>
      </c>
      <c r="L1443" s="106"/>
      <c r="M1443" s="17" t="s">
        <v>274</v>
      </c>
      <c r="N1443" s="17" t="s">
        <v>66</v>
      </c>
      <c r="O1443" s="19" t="s">
        <v>149</v>
      </c>
      <c r="P1443" s="196">
        <v>15000</v>
      </c>
      <c r="Q1443" s="196"/>
      <c r="R1443" s="22">
        <f t="shared" si="79"/>
        <v>15000</v>
      </c>
      <c r="S1443" s="17">
        <v>1630</v>
      </c>
      <c r="T1443" s="19" t="s">
        <v>94</v>
      </c>
      <c r="U1443" s="17" t="s">
        <v>188</v>
      </c>
      <c r="V1443" s="17" t="s">
        <v>188</v>
      </c>
      <c r="W1443" s="17" t="s">
        <v>536</v>
      </c>
      <c r="AA1443" s="17" t="s">
        <v>537</v>
      </c>
      <c r="AC1443" s="66"/>
      <c r="AD1443" s="65"/>
      <c r="AE1443" s="17" t="s">
        <v>538</v>
      </c>
      <c r="AF1443" s="17" t="s">
        <v>245</v>
      </c>
      <c r="AH1443" s="17" t="s">
        <v>539</v>
      </c>
    </row>
    <row r="1444" s="17" customFormat="1" hidden="1" spans="2:34">
      <c r="B1444" s="19">
        <v>797</v>
      </c>
      <c r="C1444" s="64">
        <v>44666</v>
      </c>
      <c r="D1444" s="17" t="s">
        <v>52</v>
      </c>
      <c r="E1444" s="17" t="s">
        <v>322</v>
      </c>
      <c r="F1444" s="17" t="s">
        <v>54</v>
      </c>
      <c r="H1444" s="65" t="s">
        <v>535</v>
      </c>
      <c r="I1444" s="195"/>
      <c r="J1444" s="185" t="s">
        <v>39</v>
      </c>
      <c r="K1444" s="106">
        <v>440</v>
      </c>
      <c r="L1444" s="106"/>
      <c r="M1444" s="17" t="s">
        <v>274</v>
      </c>
      <c r="N1444" s="17" t="s">
        <v>66</v>
      </c>
      <c r="O1444" s="19" t="s">
        <v>149</v>
      </c>
      <c r="P1444" s="196">
        <v>10000</v>
      </c>
      <c r="Q1444" s="196"/>
      <c r="R1444" s="22">
        <f t="shared" si="79"/>
        <v>10000</v>
      </c>
      <c r="S1444" s="17">
        <v>1630</v>
      </c>
      <c r="T1444" s="19" t="s">
        <v>94</v>
      </c>
      <c r="U1444" s="17" t="s">
        <v>188</v>
      </c>
      <c r="V1444" s="17" t="s">
        <v>188</v>
      </c>
      <c r="W1444" s="17" t="s">
        <v>536</v>
      </c>
      <c r="AA1444" s="17" t="s">
        <v>537</v>
      </c>
      <c r="AC1444" s="66"/>
      <c r="AD1444" s="65"/>
      <c r="AE1444" s="17" t="s">
        <v>538</v>
      </c>
      <c r="AF1444" s="17" t="s">
        <v>245</v>
      </c>
      <c r="AH1444" s="17" t="s">
        <v>539</v>
      </c>
    </row>
    <row r="1445" s="17" customFormat="1" hidden="1" spans="2:34">
      <c r="B1445" s="19">
        <v>797</v>
      </c>
      <c r="C1445" s="64">
        <v>44666</v>
      </c>
      <c r="D1445" s="17" t="s">
        <v>52</v>
      </c>
      <c r="E1445" s="17" t="s">
        <v>322</v>
      </c>
      <c r="F1445" s="17" t="s">
        <v>54</v>
      </c>
      <c r="H1445" s="65" t="s">
        <v>535</v>
      </c>
      <c r="I1445" s="195"/>
      <c r="J1445" s="185" t="s">
        <v>39</v>
      </c>
      <c r="K1445" s="106">
        <v>460</v>
      </c>
      <c r="L1445" s="106"/>
      <c r="M1445" s="17" t="s">
        <v>274</v>
      </c>
      <c r="N1445" s="17" t="s">
        <v>66</v>
      </c>
      <c r="O1445" s="19" t="s">
        <v>149</v>
      </c>
      <c r="P1445" s="196">
        <v>12000</v>
      </c>
      <c r="Q1445" s="196"/>
      <c r="R1445" s="22">
        <f t="shared" si="79"/>
        <v>12000</v>
      </c>
      <c r="S1445" s="17">
        <v>1630</v>
      </c>
      <c r="T1445" s="19" t="s">
        <v>94</v>
      </c>
      <c r="U1445" s="17" t="s">
        <v>188</v>
      </c>
      <c r="V1445" s="17" t="s">
        <v>188</v>
      </c>
      <c r="W1445" s="17" t="s">
        <v>536</v>
      </c>
      <c r="AA1445" s="17" t="s">
        <v>537</v>
      </c>
      <c r="AC1445" s="66"/>
      <c r="AD1445" s="65"/>
      <c r="AE1445" s="17" t="s">
        <v>538</v>
      </c>
      <c r="AF1445" s="17" t="s">
        <v>245</v>
      </c>
      <c r="AH1445" s="17" t="s">
        <v>539</v>
      </c>
    </row>
    <row r="1446" s="17" customFormat="1" hidden="1" spans="2:34">
      <c r="B1446" s="19">
        <v>797</v>
      </c>
      <c r="C1446" s="64">
        <v>44666</v>
      </c>
      <c r="D1446" s="17" t="s">
        <v>52</v>
      </c>
      <c r="E1446" s="17" t="s">
        <v>322</v>
      </c>
      <c r="F1446" s="17" t="s">
        <v>54</v>
      </c>
      <c r="H1446" s="65" t="s">
        <v>535</v>
      </c>
      <c r="I1446" s="195"/>
      <c r="J1446" s="185" t="s">
        <v>39</v>
      </c>
      <c r="K1446" s="106">
        <v>480</v>
      </c>
      <c r="L1446" s="106"/>
      <c r="M1446" s="17" t="s">
        <v>274</v>
      </c>
      <c r="N1446" s="17" t="s">
        <v>66</v>
      </c>
      <c r="O1446" s="19" t="s">
        <v>149</v>
      </c>
      <c r="P1446" s="196">
        <v>10000</v>
      </c>
      <c r="Q1446" s="196"/>
      <c r="R1446" s="22">
        <f t="shared" si="79"/>
        <v>10000</v>
      </c>
      <c r="S1446" s="17">
        <v>1630</v>
      </c>
      <c r="T1446" s="19" t="s">
        <v>94</v>
      </c>
      <c r="U1446" s="17" t="s">
        <v>188</v>
      </c>
      <c r="V1446" s="17" t="s">
        <v>188</v>
      </c>
      <c r="W1446" s="17" t="s">
        <v>536</v>
      </c>
      <c r="AA1446" s="17" t="s">
        <v>537</v>
      </c>
      <c r="AC1446" s="66"/>
      <c r="AD1446" s="65"/>
      <c r="AE1446" s="17" t="s">
        <v>538</v>
      </c>
      <c r="AF1446" s="17" t="s">
        <v>245</v>
      </c>
      <c r="AH1446" s="17" t="s">
        <v>539</v>
      </c>
    </row>
    <row r="1447" s="17" customFormat="1" hidden="1" spans="2:34">
      <c r="B1447" s="19">
        <v>797</v>
      </c>
      <c r="C1447" s="64">
        <v>44666</v>
      </c>
      <c r="D1447" s="17" t="s">
        <v>52</v>
      </c>
      <c r="E1447" s="17" t="s">
        <v>322</v>
      </c>
      <c r="F1447" s="17" t="s">
        <v>54</v>
      </c>
      <c r="H1447" s="65" t="s">
        <v>535</v>
      </c>
      <c r="I1447" s="195"/>
      <c r="J1447" s="185" t="s">
        <v>39</v>
      </c>
      <c r="K1447" s="106">
        <v>500</v>
      </c>
      <c r="L1447" s="106"/>
      <c r="M1447" s="17" t="s">
        <v>274</v>
      </c>
      <c r="N1447" s="17" t="s">
        <v>66</v>
      </c>
      <c r="O1447" s="19" t="s">
        <v>149</v>
      </c>
      <c r="P1447" s="196">
        <v>15000</v>
      </c>
      <c r="Q1447" s="196"/>
      <c r="R1447" s="22">
        <f t="shared" si="79"/>
        <v>15000</v>
      </c>
      <c r="S1447" s="17">
        <v>1630</v>
      </c>
      <c r="T1447" s="19" t="s">
        <v>94</v>
      </c>
      <c r="U1447" s="17" t="s">
        <v>188</v>
      </c>
      <c r="V1447" s="17" t="s">
        <v>188</v>
      </c>
      <c r="W1447" s="17" t="s">
        <v>536</v>
      </c>
      <c r="AA1447" s="17" t="s">
        <v>537</v>
      </c>
      <c r="AC1447" s="66"/>
      <c r="AD1447" s="65"/>
      <c r="AE1447" s="17" t="s">
        <v>538</v>
      </c>
      <c r="AF1447" s="17" t="s">
        <v>245</v>
      </c>
      <c r="AH1447" s="17" t="s">
        <v>539</v>
      </c>
    </row>
    <row r="1448" s="17" customFormat="1" hidden="1" spans="2:34">
      <c r="B1448" s="19">
        <v>797</v>
      </c>
      <c r="C1448" s="64">
        <v>44666</v>
      </c>
      <c r="D1448" s="17" t="s">
        <v>52</v>
      </c>
      <c r="E1448" s="17" t="s">
        <v>322</v>
      </c>
      <c r="F1448" s="17" t="s">
        <v>54</v>
      </c>
      <c r="H1448" s="65" t="s">
        <v>535</v>
      </c>
      <c r="I1448" s="195"/>
      <c r="J1448" s="185" t="s">
        <v>39</v>
      </c>
      <c r="K1448" s="106">
        <v>510</v>
      </c>
      <c r="L1448" s="106"/>
      <c r="M1448" s="17" t="s">
        <v>274</v>
      </c>
      <c r="N1448" s="17" t="s">
        <v>66</v>
      </c>
      <c r="O1448" s="19" t="s">
        <v>149</v>
      </c>
      <c r="P1448" s="196">
        <v>11000</v>
      </c>
      <c r="Q1448" s="196"/>
      <c r="R1448" s="22">
        <f t="shared" si="79"/>
        <v>11000</v>
      </c>
      <c r="S1448" s="17">
        <v>1630</v>
      </c>
      <c r="T1448" s="19" t="s">
        <v>94</v>
      </c>
      <c r="U1448" s="17" t="s">
        <v>188</v>
      </c>
      <c r="V1448" s="17" t="s">
        <v>188</v>
      </c>
      <c r="W1448" s="17" t="s">
        <v>536</v>
      </c>
      <c r="AA1448" s="17" t="s">
        <v>537</v>
      </c>
      <c r="AC1448" s="66"/>
      <c r="AD1448" s="65"/>
      <c r="AE1448" s="17" t="s">
        <v>538</v>
      </c>
      <c r="AF1448" s="17" t="s">
        <v>245</v>
      </c>
      <c r="AH1448" s="17" t="s">
        <v>539</v>
      </c>
    </row>
    <row r="1449" s="17" customFormat="1" hidden="1" spans="2:34">
      <c r="B1449" s="19">
        <v>797</v>
      </c>
      <c r="C1449" s="64">
        <v>44666</v>
      </c>
      <c r="D1449" s="17" t="s">
        <v>52</v>
      </c>
      <c r="E1449" s="17" t="s">
        <v>322</v>
      </c>
      <c r="F1449" s="17" t="s">
        <v>54</v>
      </c>
      <c r="H1449" s="65" t="s">
        <v>535</v>
      </c>
      <c r="I1449" s="195"/>
      <c r="J1449" s="185" t="s">
        <v>39</v>
      </c>
      <c r="K1449" s="106">
        <v>530</v>
      </c>
      <c r="L1449" s="106"/>
      <c r="M1449" s="17" t="s">
        <v>274</v>
      </c>
      <c r="N1449" s="17" t="s">
        <v>66</v>
      </c>
      <c r="O1449" s="19" t="s">
        <v>149</v>
      </c>
      <c r="P1449" s="196">
        <v>15000</v>
      </c>
      <c r="Q1449" s="196"/>
      <c r="R1449" s="22">
        <f t="shared" si="79"/>
        <v>15000</v>
      </c>
      <c r="S1449" s="17">
        <v>1630</v>
      </c>
      <c r="T1449" s="19" t="s">
        <v>94</v>
      </c>
      <c r="U1449" s="17" t="s">
        <v>188</v>
      </c>
      <c r="V1449" s="17" t="s">
        <v>188</v>
      </c>
      <c r="W1449" s="17" t="s">
        <v>536</v>
      </c>
      <c r="AA1449" s="17" t="s">
        <v>537</v>
      </c>
      <c r="AC1449" s="66"/>
      <c r="AD1449" s="65"/>
      <c r="AE1449" s="17" t="s">
        <v>538</v>
      </c>
      <c r="AF1449" s="17" t="s">
        <v>245</v>
      </c>
      <c r="AH1449" s="17" t="s">
        <v>539</v>
      </c>
    </row>
    <row r="1450" s="17" customFormat="1" hidden="1" spans="2:34">
      <c r="B1450" s="19">
        <v>797</v>
      </c>
      <c r="C1450" s="64">
        <v>44666</v>
      </c>
      <c r="D1450" s="17" t="s">
        <v>52</v>
      </c>
      <c r="E1450" s="17" t="s">
        <v>322</v>
      </c>
      <c r="F1450" s="17" t="s">
        <v>54</v>
      </c>
      <c r="H1450" s="65" t="s">
        <v>535</v>
      </c>
      <c r="I1450" s="195"/>
      <c r="J1450" s="185" t="s">
        <v>39</v>
      </c>
      <c r="K1450" s="106">
        <v>540</v>
      </c>
      <c r="L1450" s="106"/>
      <c r="M1450" s="17" t="s">
        <v>274</v>
      </c>
      <c r="N1450" s="17" t="s">
        <v>66</v>
      </c>
      <c r="O1450" s="19" t="s">
        <v>149</v>
      </c>
      <c r="P1450" s="196">
        <v>15000</v>
      </c>
      <c r="Q1450" s="196"/>
      <c r="R1450" s="22">
        <f t="shared" si="79"/>
        <v>15000</v>
      </c>
      <c r="S1450" s="17">
        <v>1630</v>
      </c>
      <c r="T1450" s="19" t="s">
        <v>94</v>
      </c>
      <c r="U1450" s="17" t="s">
        <v>188</v>
      </c>
      <c r="V1450" s="17" t="s">
        <v>188</v>
      </c>
      <c r="W1450" s="17" t="s">
        <v>536</v>
      </c>
      <c r="AA1450" s="17" t="s">
        <v>537</v>
      </c>
      <c r="AC1450" s="66"/>
      <c r="AD1450" s="65"/>
      <c r="AE1450" s="17" t="s">
        <v>538</v>
      </c>
      <c r="AF1450" s="17" t="s">
        <v>245</v>
      </c>
      <c r="AH1450" s="17" t="s">
        <v>539</v>
      </c>
    </row>
    <row r="1451" s="17" customFormat="1" hidden="1" spans="2:34">
      <c r="B1451" s="19">
        <v>797</v>
      </c>
      <c r="C1451" s="64">
        <v>44666</v>
      </c>
      <c r="D1451" s="17" t="s">
        <v>52</v>
      </c>
      <c r="E1451" s="17" t="s">
        <v>322</v>
      </c>
      <c r="F1451" s="17" t="s">
        <v>54</v>
      </c>
      <c r="H1451" s="65" t="s">
        <v>535</v>
      </c>
      <c r="I1451" s="195"/>
      <c r="J1451" s="185" t="s">
        <v>39</v>
      </c>
      <c r="K1451" s="106">
        <v>550</v>
      </c>
      <c r="L1451" s="106"/>
      <c r="M1451" s="17" t="s">
        <v>274</v>
      </c>
      <c r="N1451" s="17" t="s">
        <v>66</v>
      </c>
      <c r="O1451" s="19" t="s">
        <v>149</v>
      </c>
      <c r="P1451" s="196">
        <v>15000</v>
      </c>
      <c r="Q1451" s="196"/>
      <c r="R1451" s="22">
        <f t="shared" si="79"/>
        <v>15000</v>
      </c>
      <c r="S1451" s="17">
        <v>1630</v>
      </c>
      <c r="T1451" s="19" t="s">
        <v>94</v>
      </c>
      <c r="U1451" s="17" t="s">
        <v>188</v>
      </c>
      <c r="V1451" s="17" t="s">
        <v>188</v>
      </c>
      <c r="W1451" s="17" t="s">
        <v>536</v>
      </c>
      <c r="AA1451" s="17" t="s">
        <v>537</v>
      </c>
      <c r="AC1451" s="66"/>
      <c r="AD1451" s="65"/>
      <c r="AE1451" s="17" t="s">
        <v>538</v>
      </c>
      <c r="AF1451" s="17" t="s">
        <v>245</v>
      </c>
      <c r="AH1451" s="17" t="s">
        <v>539</v>
      </c>
    </row>
    <row r="1452" s="17" customFormat="1" hidden="1" spans="2:34">
      <c r="B1452" s="19">
        <v>797</v>
      </c>
      <c r="C1452" s="64">
        <v>44666</v>
      </c>
      <c r="D1452" s="17" t="s">
        <v>52</v>
      </c>
      <c r="E1452" s="17" t="s">
        <v>322</v>
      </c>
      <c r="F1452" s="17" t="s">
        <v>54</v>
      </c>
      <c r="H1452" s="65" t="s">
        <v>535</v>
      </c>
      <c r="I1452" s="195"/>
      <c r="J1452" s="185" t="s">
        <v>39</v>
      </c>
      <c r="K1452" s="106">
        <v>580</v>
      </c>
      <c r="L1452" s="106"/>
      <c r="M1452" s="17" t="s">
        <v>274</v>
      </c>
      <c r="N1452" s="17" t="s">
        <v>66</v>
      </c>
      <c r="O1452" s="19" t="s">
        <v>149</v>
      </c>
      <c r="P1452" s="196">
        <v>15000</v>
      </c>
      <c r="Q1452" s="196"/>
      <c r="R1452" s="22">
        <f t="shared" si="79"/>
        <v>15000</v>
      </c>
      <c r="S1452" s="17">
        <v>1630</v>
      </c>
      <c r="T1452" s="19" t="s">
        <v>94</v>
      </c>
      <c r="U1452" s="17" t="s">
        <v>188</v>
      </c>
      <c r="V1452" s="17" t="s">
        <v>188</v>
      </c>
      <c r="W1452" s="17" t="s">
        <v>536</v>
      </c>
      <c r="AA1452" s="17" t="s">
        <v>537</v>
      </c>
      <c r="AC1452" s="66"/>
      <c r="AD1452" s="65"/>
      <c r="AE1452" s="17" t="s">
        <v>538</v>
      </c>
      <c r="AF1452" s="17" t="s">
        <v>245</v>
      </c>
      <c r="AH1452" s="17" t="s">
        <v>539</v>
      </c>
    </row>
    <row r="1453" s="17" customFormat="1" hidden="1" spans="2:34">
      <c r="B1453" s="19">
        <v>797</v>
      </c>
      <c r="C1453" s="64">
        <v>44666</v>
      </c>
      <c r="D1453" s="17" t="s">
        <v>52</v>
      </c>
      <c r="E1453" s="17" t="s">
        <v>322</v>
      </c>
      <c r="F1453" s="17" t="s">
        <v>54</v>
      </c>
      <c r="H1453" s="65" t="s">
        <v>535</v>
      </c>
      <c r="I1453" s="195"/>
      <c r="J1453" s="185" t="s">
        <v>39</v>
      </c>
      <c r="K1453" s="106">
        <v>600</v>
      </c>
      <c r="L1453" s="106"/>
      <c r="M1453" s="17" t="s">
        <v>274</v>
      </c>
      <c r="N1453" s="17" t="s">
        <v>66</v>
      </c>
      <c r="O1453" s="19" t="s">
        <v>149</v>
      </c>
      <c r="P1453" s="196">
        <v>15000</v>
      </c>
      <c r="Q1453" s="196"/>
      <c r="R1453" s="22">
        <f t="shared" si="79"/>
        <v>15000</v>
      </c>
      <c r="S1453" s="17">
        <v>1630</v>
      </c>
      <c r="T1453" s="19" t="s">
        <v>94</v>
      </c>
      <c r="U1453" s="17" t="s">
        <v>188</v>
      </c>
      <c r="V1453" s="17" t="s">
        <v>188</v>
      </c>
      <c r="W1453" s="17" t="s">
        <v>536</v>
      </c>
      <c r="AA1453" s="17" t="s">
        <v>537</v>
      </c>
      <c r="AC1453" s="66"/>
      <c r="AD1453" s="65"/>
      <c r="AE1453" s="17" t="s">
        <v>538</v>
      </c>
      <c r="AF1453" s="17" t="s">
        <v>245</v>
      </c>
      <c r="AH1453" s="17" t="s">
        <v>539</v>
      </c>
    </row>
    <row r="1454" s="17" customFormat="1" hidden="1" spans="2:34">
      <c r="B1454" s="19">
        <v>797</v>
      </c>
      <c r="C1454" s="64">
        <v>44666</v>
      </c>
      <c r="D1454" s="17" t="s">
        <v>52</v>
      </c>
      <c r="E1454" s="17" t="s">
        <v>322</v>
      </c>
      <c r="F1454" s="17" t="s">
        <v>54</v>
      </c>
      <c r="H1454" s="65" t="s">
        <v>535</v>
      </c>
      <c r="I1454" s="195"/>
      <c r="J1454" s="185" t="s">
        <v>39</v>
      </c>
      <c r="K1454" s="106">
        <v>610</v>
      </c>
      <c r="L1454" s="106"/>
      <c r="M1454" s="17" t="s">
        <v>274</v>
      </c>
      <c r="N1454" s="17" t="s">
        <v>66</v>
      </c>
      <c r="O1454" s="19" t="s">
        <v>149</v>
      </c>
      <c r="P1454" s="196">
        <v>12000</v>
      </c>
      <c r="Q1454" s="196"/>
      <c r="R1454" s="22">
        <f t="shared" si="79"/>
        <v>12000</v>
      </c>
      <c r="S1454" s="17">
        <v>1630</v>
      </c>
      <c r="T1454" s="19" t="s">
        <v>94</v>
      </c>
      <c r="U1454" s="17" t="s">
        <v>188</v>
      </c>
      <c r="V1454" s="17" t="s">
        <v>188</v>
      </c>
      <c r="W1454" s="17" t="s">
        <v>536</v>
      </c>
      <c r="AA1454" s="17" t="s">
        <v>537</v>
      </c>
      <c r="AC1454" s="66"/>
      <c r="AD1454" s="65"/>
      <c r="AE1454" s="17" t="s">
        <v>538</v>
      </c>
      <c r="AF1454" s="17" t="s">
        <v>245</v>
      </c>
      <c r="AH1454" s="17" t="s">
        <v>539</v>
      </c>
    </row>
    <row r="1455" s="17" customFormat="1" hidden="1" spans="2:34">
      <c r="B1455" s="19">
        <v>797</v>
      </c>
      <c r="C1455" s="64">
        <v>44666</v>
      </c>
      <c r="D1455" s="17" t="s">
        <v>52</v>
      </c>
      <c r="E1455" s="17" t="s">
        <v>322</v>
      </c>
      <c r="F1455" s="17" t="s">
        <v>54</v>
      </c>
      <c r="H1455" s="65" t="s">
        <v>535</v>
      </c>
      <c r="I1455" s="195"/>
      <c r="J1455" s="185" t="s">
        <v>39</v>
      </c>
      <c r="K1455" s="106">
        <v>620</v>
      </c>
      <c r="L1455" s="106"/>
      <c r="M1455" s="17" t="s">
        <v>274</v>
      </c>
      <c r="N1455" s="17" t="s">
        <v>66</v>
      </c>
      <c r="O1455" s="19" t="s">
        <v>149</v>
      </c>
      <c r="P1455" s="196">
        <v>17000</v>
      </c>
      <c r="Q1455" s="196"/>
      <c r="R1455" s="22">
        <f t="shared" si="79"/>
        <v>17000</v>
      </c>
      <c r="S1455" s="17">
        <v>1630</v>
      </c>
      <c r="T1455" s="19" t="s">
        <v>94</v>
      </c>
      <c r="U1455" s="17" t="s">
        <v>188</v>
      </c>
      <c r="V1455" s="17" t="s">
        <v>188</v>
      </c>
      <c r="W1455" s="17" t="s">
        <v>536</v>
      </c>
      <c r="AA1455" s="17" t="s">
        <v>537</v>
      </c>
      <c r="AC1455" s="66"/>
      <c r="AD1455" s="65"/>
      <c r="AE1455" s="17" t="s">
        <v>538</v>
      </c>
      <c r="AF1455" s="17" t="s">
        <v>245</v>
      </c>
      <c r="AH1455" s="17" t="s">
        <v>539</v>
      </c>
    </row>
    <row r="1456" s="17" customFormat="1" hidden="1" spans="2:34">
      <c r="B1456" s="19">
        <v>797</v>
      </c>
      <c r="C1456" s="64">
        <v>44666</v>
      </c>
      <c r="D1456" s="17" t="s">
        <v>52</v>
      </c>
      <c r="E1456" s="17" t="s">
        <v>322</v>
      </c>
      <c r="F1456" s="17" t="s">
        <v>54</v>
      </c>
      <c r="H1456" s="65" t="s">
        <v>535</v>
      </c>
      <c r="I1456" s="195"/>
      <c r="J1456" s="185" t="s">
        <v>39</v>
      </c>
      <c r="K1456" s="106">
        <v>640</v>
      </c>
      <c r="L1456" s="106"/>
      <c r="M1456" s="17" t="s">
        <v>274</v>
      </c>
      <c r="N1456" s="17" t="s">
        <v>66</v>
      </c>
      <c r="O1456" s="19" t="s">
        <v>149</v>
      </c>
      <c r="P1456" s="196">
        <v>18000</v>
      </c>
      <c r="Q1456" s="196"/>
      <c r="R1456" s="22">
        <f t="shared" si="79"/>
        <v>18000</v>
      </c>
      <c r="S1456" s="17">
        <v>1630</v>
      </c>
      <c r="T1456" s="19" t="s">
        <v>94</v>
      </c>
      <c r="U1456" s="17" t="s">
        <v>188</v>
      </c>
      <c r="V1456" s="17" t="s">
        <v>188</v>
      </c>
      <c r="W1456" s="17" t="s">
        <v>536</v>
      </c>
      <c r="AA1456" s="17" t="s">
        <v>537</v>
      </c>
      <c r="AC1456" s="66"/>
      <c r="AD1456" s="65"/>
      <c r="AE1456" s="17" t="s">
        <v>538</v>
      </c>
      <c r="AF1456" s="17" t="s">
        <v>245</v>
      </c>
      <c r="AH1456" s="17" t="s">
        <v>539</v>
      </c>
    </row>
    <row r="1457" s="17" customFormat="1" hidden="1" spans="1:34">
      <c r="B1457" s="19">
        <v>797</v>
      </c>
      <c r="C1457" s="64">
        <v>44666</v>
      </c>
      <c r="D1457" s="17" t="s">
        <v>52</v>
      </c>
      <c r="E1457" s="17" t="s">
        <v>322</v>
      </c>
      <c r="F1457" s="17" t="s">
        <v>54</v>
      </c>
      <c r="H1457" s="65" t="s">
        <v>535</v>
      </c>
      <c r="I1457" s="195"/>
      <c r="J1457" s="185" t="s">
        <v>39</v>
      </c>
      <c r="K1457" s="197">
        <v>660</v>
      </c>
      <c r="L1457" s="197"/>
      <c r="M1457" s="17" t="s">
        <v>274</v>
      </c>
      <c r="N1457" s="17" t="s">
        <v>66</v>
      </c>
      <c r="O1457" s="19" t="s">
        <v>149</v>
      </c>
      <c r="P1457" s="196">
        <v>19000</v>
      </c>
      <c r="Q1457" s="196"/>
      <c r="R1457" s="17">
        <f t="shared" si="79"/>
        <v>19000</v>
      </c>
      <c r="S1457" s="17">
        <v>1630</v>
      </c>
      <c r="T1457" s="19" t="s">
        <v>94</v>
      </c>
      <c r="U1457" s="17" t="s">
        <v>188</v>
      </c>
      <c r="V1457" s="17" t="s">
        <v>188</v>
      </c>
      <c r="W1457" s="17" t="s">
        <v>536</v>
      </c>
      <c r="AA1457" s="17" t="s">
        <v>537</v>
      </c>
      <c r="AC1457" s="66"/>
      <c r="AD1457" s="65"/>
      <c r="AE1457" s="17" t="s">
        <v>538</v>
      </c>
      <c r="AF1457" s="17" t="s">
        <v>245</v>
      </c>
      <c r="AH1457" s="17" t="s">
        <v>539</v>
      </c>
    </row>
    <row r="1458" s="17" customFormat="1" hidden="1" spans="1:34">
      <c r="A1458" s="17" t="s">
        <v>34</v>
      </c>
      <c r="B1458" s="19">
        <v>798</v>
      </c>
      <c r="C1458" s="101" t="s">
        <v>540</v>
      </c>
      <c r="D1458" s="17" t="s">
        <v>541</v>
      </c>
      <c r="E1458" s="17" t="s">
        <v>542</v>
      </c>
      <c r="F1458" s="17" t="s">
        <v>543</v>
      </c>
      <c r="H1458" s="19" t="s">
        <v>544</v>
      </c>
      <c r="I1458" s="19"/>
      <c r="J1458" s="17" t="s">
        <v>82</v>
      </c>
      <c r="K1458" s="93">
        <v>2500</v>
      </c>
      <c r="L1458" s="198">
        <v>5</v>
      </c>
      <c r="M1458" s="93">
        <v>6000</v>
      </c>
      <c r="N1458" s="93" t="s">
        <v>66</v>
      </c>
      <c r="O1458" s="93" t="s">
        <v>141</v>
      </c>
      <c r="P1458" s="145">
        <v>8831</v>
      </c>
      <c r="Q1458" s="199"/>
      <c r="R1458" s="17">
        <f t="shared" si="79"/>
        <v>8831</v>
      </c>
      <c r="S1458" s="168">
        <v>1730</v>
      </c>
      <c r="T1458" s="93" t="s">
        <v>42</v>
      </c>
      <c r="U1458" s="200">
        <v>4501010117</v>
      </c>
      <c r="V1458" s="201" t="s">
        <v>545</v>
      </c>
      <c r="W1458" s="199" t="s">
        <v>69</v>
      </c>
      <c r="X1458" s="199"/>
      <c r="Y1458" s="202">
        <v>44887</v>
      </c>
      <c r="Z1458" s="199" t="s">
        <v>546</v>
      </c>
      <c r="AA1458" s="199" t="s">
        <v>46</v>
      </c>
      <c r="AD1458" s="65"/>
      <c r="AE1458" s="17" t="s">
        <v>48</v>
      </c>
      <c r="AF1458" s="17" t="s">
        <v>547</v>
      </c>
    </row>
    <row r="1459" s="17" customFormat="1" hidden="1" spans="1:34">
      <c r="A1459" s="17" t="s">
        <v>34</v>
      </c>
      <c r="B1459" s="19">
        <v>798</v>
      </c>
      <c r="C1459" s="101" t="s">
        <v>540</v>
      </c>
      <c r="D1459" s="17" t="s">
        <v>541</v>
      </c>
      <c r="E1459" s="17" t="s">
        <v>542</v>
      </c>
      <c r="F1459" s="17" t="s">
        <v>543</v>
      </c>
      <c r="H1459" s="19" t="s">
        <v>544</v>
      </c>
      <c r="I1459" s="19"/>
      <c r="J1459" s="17" t="s">
        <v>82</v>
      </c>
      <c r="K1459" s="93">
        <v>2000</v>
      </c>
      <c r="L1459" s="198">
        <v>6</v>
      </c>
      <c r="M1459" s="93">
        <v>6000</v>
      </c>
      <c r="N1459" s="93" t="s">
        <v>66</v>
      </c>
      <c r="O1459" s="93" t="s">
        <v>141</v>
      </c>
      <c r="P1459" s="145">
        <v>9043</v>
      </c>
      <c r="Q1459" s="199"/>
      <c r="R1459" s="17">
        <f t="shared" si="79"/>
        <v>9043</v>
      </c>
      <c r="S1459" s="168">
        <v>1560</v>
      </c>
      <c r="T1459" s="93" t="s">
        <v>42</v>
      </c>
      <c r="U1459" s="200">
        <v>4501010117</v>
      </c>
      <c r="V1459" s="201" t="s">
        <v>545</v>
      </c>
      <c r="W1459" s="199" t="s">
        <v>69</v>
      </c>
      <c r="X1459" s="199"/>
      <c r="Y1459" s="202">
        <v>44887</v>
      </c>
      <c r="Z1459" s="199" t="s">
        <v>546</v>
      </c>
      <c r="AA1459" s="199" t="s">
        <v>46</v>
      </c>
      <c r="AD1459" s="65"/>
      <c r="AE1459" s="17" t="s">
        <v>48</v>
      </c>
      <c r="AF1459" s="17" t="s">
        <v>547</v>
      </c>
    </row>
    <row r="1460" s="18" customFormat="1" hidden="1" spans="1:34">
      <c r="A1460" s="18" t="s">
        <v>34</v>
      </c>
      <c r="B1460" s="75">
        <v>798</v>
      </c>
      <c r="C1460" s="135" t="s">
        <v>540</v>
      </c>
      <c r="D1460" s="18" t="s">
        <v>541</v>
      </c>
      <c r="E1460" s="18" t="s">
        <v>542</v>
      </c>
      <c r="F1460" s="18" t="s">
        <v>543</v>
      </c>
      <c r="H1460" s="75" t="s">
        <v>544</v>
      </c>
      <c r="I1460" s="75"/>
      <c r="J1460" s="18" t="s">
        <v>82</v>
      </c>
      <c r="K1460" s="203">
        <v>2000</v>
      </c>
      <c r="L1460" s="204">
        <v>8</v>
      </c>
      <c r="M1460" s="203">
        <v>6000</v>
      </c>
      <c r="N1460" s="203" t="s">
        <v>66</v>
      </c>
      <c r="O1460" s="203" t="s">
        <v>141</v>
      </c>
      <c r="P1460" s="205">
        <v>9043</v>
      </c>
      <c r="Q1460" s="206">
        <v>9048</v>
      </c>
      <c r="R1460" s="18">
        <f t="shared" si="79"/>
        <v>-5</v>
      </c>
      <c r="S1460" s="192">
        <v>1525</v>
      </c>
      <c r="T1460" s="203" t="s">
        <v>42</v>
      </c>
      <c r="U1460" s="207">
        <v>4501010117</v>
      </c>
      <c r="V1460" s="208" t="s">
        <v>545</v>
      </c>
      <c r="W1460" s="206" t="s">
        <v>69</v>
      </c>
      <c r="X1460" s="206"/>
      <c r="Y1460" s="209">
        <v>44887</v>
      </c>
      <c r="Z1460" s="206" t="s">
        <v>546</v>
      </c>
      <c r="AA1460" s="206" t="s">
        <v>46</v>
      </c>
      <c r="AB1460" s="18">
        <v>4504014268</v>
      </c>
      <c r="AC1460" s="210">
        <v>44874</v>
      </c>
      <c r="AD1460" s="77">
        <v>1338</v>
      </c>
      <c r="AE1460" s="18" t="s">
        <v>48</v>
      </c>
    </row>
    <row r="1461" s="17" customFormat="1" hidden="1" spans="1:34">
      <c r="A1461" s="17" t="s">
        <v>34</v>
      </c>
      <c r="B1461" s="19">
        <v>798</v>
      </c>
      <c r="C1461" s="101" t="s">
        <v>540</v>
      </c>
      <c r="D1461" s="17" t="s">
        <v>541</v>
      </c>
      <c r="E1461" s="17" t="s">
        <v>542</v>
      </c>
      <c r="F1461" s="17" t="s">
        <v>543</v>
      </c>
      <c r="H1461" s="19" t="s">
        <v>548</v>
      </c>
      <c r="I1461" s="19"/>
      <c r="J1461" s="17" t="s">
        <v>82</v>
      </c>
      <c r="K1461" s="93">
        <v>2000</v>
      </c>
      <c r="L1461" s="198">
        <v>10</v>
      </c>
      <c r="M1461" s="93">
        <v>6000</v>
      </c>
      <c r="N1461" s="93" t="s">
        <v>66</v>
      </c>
      <c r="O1461" s="93" t="s">
        <v>141</v>
      </c>
      <c r="P1461" s="145">
        <v>9420</v>
      </c>
      <c r="Q1461" s="199"/>
      <c r="R1461" s="17">
        <f t="shared" si="79"/>
        <v>9420</v>
      </c>
      <c r="S1461" s="168">
        <v>1415</v>
      </c>
      <c r="T1461" s="93" t="s">
        <v>42</v>
      </c>
      <c r="U1461" s="200">
        <v>4501010117</v>
      </c>
      <c r="V1461" s="201" t="s">
        <v>545</v>
      </c>
      <c r="W1461" s="199" t="s">
        <v>69</v>
      </c>
      <c r="X1461" s="199"/>
      <c r="Y1461" s="202">
        <v>44887</v>
      </c>
      <c r="Z1461" s="199" t="s">
        <v>546</v>
      </c>
      <c r="AA1461" s="199" t="s">
        <v>46</v>
      </c>
      <c r="AD1461" s="65"/>
      <c r="AE1461" s="17" t="s">
        <v>48</v>
      </c>
      <c r="AF1461" s="17" t="s">
        <v>547</v>
      </c>
    </row>
    <row r="1462" s="17" customFormat="1" hidden="1" spans="1:34">
      <c r="A1462" s="17" t="s">
        <v>34</v>
      </c>
      <c r="B1462" s="19">
        <v>798</v>
      </c>
      <c r="C1462" s="101" t="s">
        <v>540</v>
      </c>
      <c r="D1462" s="17" t="s">
        <v>541</v>
      </c>
      <c r="E1462" s="17" t="s">
        <v>542</v>
      </c>
      <c r="F1462" s="17" t="s">
        <v>543</v>
      </c>
      <c r="H1462" s="19" t="s">
        <v>548</v>
      </c>
      <c r="I1462" s="19"/>
      <c r="J1462" s="17" t="s">
        <v>82</v>
      </c>
      <c r="K1462" s="93">
        <v>2000</v>
      </c>
      <c r="L1462" s="198">
        <v>12</v>
      </c>
      <c r="M1462" s="93">
        <v>6000</v>
      </c>
      <c r="N1462" s="93" t="s">
        <v>66</v>
      </c>
      <c r="O1462" s="93" t="s">
        <v>141</v>
      </c>
      <c r="P1462" s="145">
        <v>9043</v>
      </c>
      <c r="Q1462" s="199"/>
      <c r="R1462" s="17">
        <f t="shared" si="79"/>
        <v>9043</v>
      </c>
      <c r="S1462" s="168">
        <v>1415</v>
      </c>
      <c r="T1462" s="93" t="s">
        <v>42</v>
      </c>
      <c r="U1462" s="200">
        <v>4501010117</v>
      </c>
      <c r="V1462" s="201" t="s">
        <v>545</v>
      </c>
      <c r="W1462" s="199" t="s">
        <v>69</v>
      </c>
      <c r="X1462" s="199"/>
      <c r="Y1462" s="202">
        <v>44887</v>
      </c>
      <c r="Z1462" s="199" t="s">
        <v>546</v>
      </c>
      <c r="AA1462" s="199" t="s">
        <v>46</v>
      </c>
      <c r="AD1462" s="65"/>
      <c r="AE1462" s="17" t="s">
        <v>48</v>
      </c>
      <c r="AF1462" s="17" t="s">
        <v>547</v>
      </c>
    </row>
    <row r="1463" s="17" customFormat="1" hidden="1" spans="1:34">
      <c r="A1463" s="17" t="s">
        <v>34</v>
      </c>
      <c r="B1463" s="19">
        <v>798</v>
      </c>
      <c r="C1463" s="101" t="s">
        <v>540</v>
      </c>
      <c r="D1463" s="17" t="s">
        <v>541</v>
      </c>
      <c r="E1463" s="17" t="s">
        <v>542</v>
      </c>
      <c r="F1463" s="17" t="s">
        <v>543</v>
      </c>
      <c r="H1463" s="19" t="s">
        <v>548</v>
      </c>
      <c r="I1463" s="19"/>
      <c r="J1463" s="17" t="s">
        <v>82</v>
      </c>
      <c r="K1463" s="93">
        <v>2000</v>
      </c>
      <c r="L1463" s="198">
        <v>16</v>
      </c>
      <c r="M1463" s="93">
        <v>6000</v>
      </c>
      <c r="N1463" s="93" t="s">
        <v>66</v>
      </c>
      <c r="O1463" s="93" t="s">
        <v>141</v>
      </c>
      <c r="P1463" s="145">
        <v>9043</v>
      </c>
      <c r="Q1463" s="199"/>
      <c r="R1463" s="17">
        <f t="shared" si="79"/>
        <v>9043</v>
      </c>
      <c r="S1463" s="168">
        <v>1365</v>
      </c>
      <c r="T1463" s="93" t="s">
        <v>42</v>
      </c>
      <c r="U1463" s="200">
        <v>4501010117</v>
      </c>
      <c r="V1463" s="201" t="s">
        <v>545</v>
      </c>
      <c r="W1463" s="199" t="s">
        <v>69</v>
      </c>
      <c r="X1463" s="199"/>
      <c r="Y1463" s="202">
        <v>44887</v>
      </c>
      <c r="Z1463" s="199" t="s">
        <v>546</v>
      </c>
      <c r="AA1463" s="199" t="s">
        <v>46</v>
      </c>
      <c r="AD1463" s="65"/>
      <c r="AE1463" s="17" t="s">
        <v>48</v>
      </c>
      <c r="AF1463" s="17" t="s">
        <v>547</v>
      </c>
    </row>
    <row r="1464" s="17" customFormat="1" hidden="1" spans="1:34">
      <c r="A1464" s="17" t="s">
        <v>34</v>
      </c>
      <c r="B1464" s="19">
        <v>798</v>
      </c>
      <c r="C1464" s="101" t="s">
        <v>540</v>
      </c>
      <c r="D1464" s="17" t="s">
        <v>541</v>
      </c>
      <c r="E1464" s="17" t="s">
        <v>542</v>
      </c>
      <c r="F1464" s="17" t="s">
        <v>543</v>
      </c>
      <c r="H1464" s="19" t="s">
        <v>548</v>
      </c>
      <c r="I1464" s="19"/>
      <c r="J1464" s="17" t="s">
        <v>82</v>
      </c>
      <c r="K1464" s="93">
        <v>2000</v>
      </c>
      <c r="L1464" s="198">
        <v>25</v>
      </c>
      <c r="M1464" s="93">
        <v>6000</v>
      </c>
      <c r="N1464" s="93" t="s">
        <v>66</v>
      </c>
      <c r="O1464" s="93" t="s">
        <v>141</v>
      </c>
      <c r="P1464" s="145">
        <v>9420</v>
      </c>
      <c r="Q1464" s="199"/>
      <c r="R1464" s="17">
        <f t="shared" si="79"/>
        <v>9420</v>
      </c>
      <c r="S1464" s="168">
        <v>1380</v>
      </c>
      <c r="T1464" s="93" t="s">
        <v>42</v>
      </c>
      <c r="U1464" s="200">
        <v>4501010117</v>
      </c>
      <c r="V1464" s="201" t="s">
        <v>545</v>
      </c>
      <c r="W1464" s="199" t="s">
        <v>69</v>
      </c>
      <c r="X1464" s="199"/>
      <c r="Y1464" s="202">
        <v>44887</v>
      </c>
      <c r="Z1464" s="199" t="s">
        <v>546</v>
      </c>
      <c r="AA1464" s="199" t="s">
        <v>46</v>
      </c>
      <c r="AD1464" s="65"/>
      <c r="AE1464" s="17" t="s">
        <v>48</v>
      </c>
      <c r="AF1464" s="17" t="s">
        <v>547</v>
      </c>
    </row>
    <row r="1465" s="17" customFormat="1" hidden="1" spans="1:34">
      <c r="A1465" s="17" t="s">
        <v>34</v>
      </c>
      <c r="B1465" s="19">
        <v>798</v>
      </c>
      <c r="C1465" s="101" t="s">
        <v>540</v>
      </c>
      <c r="D1465" s="17" t="s">
        <v>541</v>
      </c>
      <c r="E1465" s="17" t="s">
        <v>542</v>
      </c>
      <c r="F1465" s="17" t="s">
        <v>543</v>
      </c>
      <c r="H1465" s="19" t="s">
        <v>548</v>
      </c>
      <c r="I1465" s="19"/>
      <c r="J1465" s="17" t="s">
        <v>82</v>
      </c>
      <c r="K1465" s="93">
        <v>2000</v>
      </c>
      <c r="L1465" s="198">
        <v>32</v>
      </c>
      <c r="M1465" s="93">
        <v>6000</v>
      </c>
      <c r="N1465" s="93" t="s">
        <v>66</v>
      </c>
      <c r="O1465" s="93" t="s">
        <v>141</v>
      </c>
      <c r="P1465" s="145">
        <v>9043</v>
      </c>
      <c r="Q1465" s="199"/>
      <c r="R1465" s="17">
        <f t="shared" si="79"/>
        <v>9043</v>
      </c>
      <c r="S1465" s="168">
        <v>1380</v>
      </c>
      <c r="T1465" s="93" t="s">
        <v>42</v>
      </c>
      <c r="U1465" s="200">
        <v>4501010117</v>
      </c>
      <c r="V1465" s="201" t="s">
        <v>545</v>
      </c>
      <c r="W1465" s="199" t="s">
        <v>69</v>
      </c>
      <c r="X1465" s="199"/>
      <c r="Y1465" s="202">
        <v>44887</v>
      </c>
      <c r="Z1465" s="199" t="s">
        <v>546</v>
      </c>
      <c r="AA1465" s="199" t="s">
        <v>46</v>
      </c>
      <c r="AD1465" s="65"/>
      <c r="AE1465" s="17" t="s">
        <v>48</v>
      </c>
      <c r="AF1465" s="17" t="s">
        <v>547</v>
      </c>
    </row>
    <row r="1466" s="17" customFormat="1" hidden="1" spans="1:34">
      <c r="A1466" s="17" t="s">
        <v>34</v>
      </c>
      <c r="B1466" s="19">
        <v>798</v>
      </c>
      <c r="C1466" s="101" t="s">
        <v>540</v>
      </c>
      <c r="D1466" s="17" t="s">
        <v>541</v>
      </c>
      <c r="E1466" s="17" t="s">
        <v>542</v>
      </c>
      <c r="F1466" s="17" t="s">
        <v>543</v>
      </c>
      <c r="H1466" s="19" t="s">
        <v>548</v>
      </c>
      <c r="I1466" s="19"/>
      <c r="J1466" s="17" t="s">
        <v>82</v>
      </c>
      <c r="K1466" s="93">
        <v>2000</v>
      </c>
      <c r="L1466" s="198">
        <v>40</v>
      </c>
      <c r="M1466" s="93">
        <v>6000</v>
      </c>
      <c r="N1466" s="93" t="s">
        <v>66</v>
      </c>
      <c r="O1466" s="93" t="s">
        <v>141</v>
      </c>
      <c r="P1466" s="145">
        <v>11304</v>
      </c>
      <c r="Q1466" s="199"/>
      <c r="R1466" s="17">
        <f t="shared" si="79"/>
        <v>11304</v>
      </c>
      <c r="S1466" s="168">
        <v>1380</v>
      </c>
      <c r="T1466" s="93" t="s">
        <v>42</v>
      </c>
      <c r="U1466" s="200">
        <v>4501010117</v>
      </c>
      <c r="V1466" s="201" t="s">
        <v>545</v>
      </c>
      <c r="W1466" s="199" t="s">
        <v>69</v>
      </c>
      <c r="X1466" s="199"/>
      <c r="Y1466" s="202">
        <v>44887</v>
      </c>
      <c r="Z1466" s="199" t="s">
        <v>546</v>
      </c>
      <c r="AA1466" s="199" t="s">
        <v>46</v>
      </c>
      <c r="AD1466" s="65"/>
      <c r="AE1466" s="17" t="s">
        <v>48</v>
      </c>
      <c r="AF1466" s="17" t="s">
        <v>547</v>
      </c>
    </row>
    <row r="1467" s="17" customFormat="1" hidden="1" spans="1:34">
      <c r="A1467" s="17" t="s">
        <v>34</v>
      </c>
      <c r="B1467" s="19">
        <v>798</v>
      </c>
      <c r="C1467" s="101" t="s">
        <v>540</v>
      </c>
      <c r="D1467" s="17" t="s">
        <v>541</v>
      </c>
      <c r="E1467" s="17" t="s">
        <v>542</v>
      </c>
      <c r="F1467" s="17" t="s">
        <v>543</v>
      </c>
      <c r="H1467" s="19" t="s">
        <v>549</v>
      </c>
      <c r="I1467" s="19"/>
      <c r="J1467" s="17" t="s">
        <v>82</v>
      </c>
      <c r="K1467" s="93">
        <v>2000</v>
      </c>
      <c r="L1467" s="198">
        <v>6</v>
      </c>
      <c r="M1467" s="93">
        <v>6000</v>
      </c>
      <c r="N1467" s="93" t="s">
        <v>66</v>
      </c>
      <c r="O1467" s="93" t="s">
        <v>141</v>
      </c>
      <c r="P1467" s="145">
        <v>8478</v>
      </c>
      <c r="Q1467" s="199"/>
      <c r="R1467" s="17">
        <f t="shared" si="79"/>
        <v>8478</v>
      </c>
      <c r="S1467" s="19">
        <v>1575</v>
      </c>
      <c r="T1467" s="93" t="s">
        <v>42</v>
      </c>
      <c r="U1467" s="200">
        <v>4501010117</v>
      </c>
      <c r="V1467" s="201" t="s">
        <v>545</v>
      </c>
      <c r="W1467" s="199" t="s">
        <v>69</v>
      </c>
      <c r="X1467" s="199"/>
      <c r="Y1467" s="202">
        <v>44887</v>
      </c>
      <c r="Z1467" s="199" t="s">
        <v>546</v>
      </c>
      <c r="AA1467" s="199" t="s">
        <v>46</v>
      </c>
      <c r="AD1467" s="65"/>
      <c r="AE1467" s="17" t="s">
        <v>48</v>
      </c>
      <c r="AF1467" s="17" t="s">
        <v>547</v>
      </c>
    </row>
    <row r="1468" s="17" customFormat="1" hidden="1" spans="1:34">
      <c r="A1468" s="17" t="s">
        <v>34</v>
      </c>
      <c r="B1468" s="19">
        <v>798</v>
      </c>
      <c r="C1468" s="101" t="s">
        <v>540</v>
      </c>
      <c r="D1468" s="17" t="s">
        <v>541</v>
      </c>
      <c r="E1468" s="17" t="s">
        <v>542</v>
      </c>
      <c r="F1468" s="17" t="s">
        <v>543</v>
      </c>
      <c r="H1468" s="19" t="s">
        <v>549</v>
      </c>
      <c r="I1468" s="19"/>
      <c r="J1468" s="17" t="s">
        <v>82</v>
      </c>
      <c r="K1468" s="93">
        <v>2000</v>
      </c>
      <c r="L1468" s="198">
        <v>8</v>
      </c>
      <c r="M1468" s="93">
        <v>6000</v>
      </c>
      <c r="N1468" s="93" t="s">
        <v>66</v>
      </c>
      <c r="O1468" s="93" t="s">
        <v>141</v>
      </c>
      <c r="P1468" s="145">
        <v>9043</v>
      </c>
      <c r="Q1468" s="199"/>
      <c r="R1468" s="17">
        <f t="shared" si="79"/>
        <v>9043</v>
      </c>
      <c r="S1468" s="168">
        <v>1540</v>
      </c>
      <c r="T1468" s="93" t="s">
        <v>42</v>
      </c>
      <c r="U1468" s="200">
        <v>4501010117</v>
      </c>
      <c r="V1468" s="201" t="s">
        <v>545</v>
      </c>
      <c r="W1468" s="199" t="s">
        <v>69</v>
      </c>
      <c r="X1468" s="199"/>
      <c r="Y1468" s="202">
        <v>44887</v>
      </c>
      <c r="Z1468" s="199" t="s">
        <v>546</v>
      </c>
      <c r="AA1468" s="199" t="s">
        <v>46</v>
      </c>
      <c r="AD1468" s="65"/>
      <c r="AE1468" s="17" t="s">
        <v>48</v>
      </c>
      <c r="AF1468" s="17" t="s">
        <v>547</v>
      </c>
    </row>
    <row r="1469" s="17" customFormat="1" hidden="1" spans="1:34">
      <c r="A1469" s="17" t="s">
        <v>34</v>
      </c>
      <c r="B1469" s="19">
        <v>798</v>
      </c>
      <c r="C1469" s="101" t="s">
        <v>540</v>
      </c>
      <c r="D1469" s="17" t="s">
        <v>541</v>
      </c>
      <c r="E1469" s="17" t="s">
        <v>542</v>
      </c>
      <c r="F1469" s="17" t="s">
        <v>543</v>
      </c>
      <c r="H1469" s="19" t="s">
        <v>549</v>
      </c>
      <c r="I1469" s="19"/>
      <c r="J1469" s="17" t="s">
        <v>82</v>
      </c>
      <c r="K1469" s="93">
        <v>2000</v>
      </c>
      <c r="L1469" s="198">
        <v>10</v>
      </c>
      <c r="M1469" s="93">
        <v>6000</v>
      </c>
      <c r="N1469" s="93" t="s">
        <v>66</v>
      </c>
      <c r="O1469" s="93" t="s">
        <v>141</v>
      </c>
      <c r="P1469" s="145">
        <v>10362</v>
      </c>
      <c r="Q1469" s="199"/>
      <c r="R1469" s="17">
        <f t="shared" si="79"/>
        <v>10362</v>
      </c>
      <c r="S1469" s="168">
        <v>1510</v>
      </c>
      <c r="T1469" s="93" t="s">
        <v>42</v>
      </c>
      <c r="U1469" s="200">
        <v>4501010117</v>
      </c>
      <c r="V1469" s="201" t="s">
        <v>545</v>
      </c>
      <c r="W1469" s="199" t="s">
        <v>69</v>
      </c>
      <c r="X1469" s="199"/>
      <c r="Y1469" s="202">
        <v>44887</v>
      </c>
      <c r="Z1469" s="199" t="s">
        <v>546</v>
      </c>
      <c r="AA1469" s="199" t="s">
        <v>46</v>
      </c>
      <c r="AD1469" s="65"/>
      <c r="AE1469" s="17" t="s">
        <v>48</v>
      </c>
      <c r="AF1469" s="17" t="s">
        <v>547</v>
      </c>
    </row>
    <row r="1470" s="17" customFormat="1" hidden="1" spans="1:34">
      <c r="A1470" s="17" t="s">
        <v>34</v>
      </c>
      <c r="B1470" s="19">
        <v>798</v>
      </c>
      <c r="C1470" s="101" t="s">
        <v>540</v>
      </c>
      <c r="D1470" s="17" t="s">
        <v>541</v>
      </c>
      <c r="E1470" s="17" t="s">
        <v>542</v>
      </c>
      <c r="F1470" s="17" t="s">
        <v>543</v>
      </c>
      <c r="H1470" s="19" t="s">
        <v>549</v>
      </c>
      <c r="I1470" s="19"/>
      <c r="J1470" s="17" t="s">
        <v>82</v>
      </c>
      <c r="K1470" s="93">
        <v>2000</v>
      </c>
      <c r="L1470" s="198">
        <v>12</v>
      </c>
      <c r="M1470" s="93">
        <v>6000</v>
      </c>
      <c r="N1470" s="93" t="s">
        <v>66</v>
      </c>
      <c r="O1470" s="93" t="s">
        <v>141</v>
      </c>
      <c r="P1470" s="145">
        <v>9043</v>
      </c>
      <c r="Q1470" s="199"/>
      <c r="R1470" s="17">
        <f t="shared" si="79"/>
        <v>9043</v>
      </c>
      <c r="S1470" s="168">
        <v>1510</v>
      </c>
      <c r="T1470" s="93" t="s">
        <v>42</v>
      </c>
      <c r="U1470" s="200">
        <v>4501010117</v>
      </c>
      <c r="V1470" s="201" t="s">
        <v>545</v>
      </c>
      <c r="W1470" s="199" t="s">
        <v>69</v>
      </c>
      <c r="X1470" s="199"/>
      <c r="Y1470" s="202">
        <v>44887</v>
      </c>
      <c r="Z1470" s="199" t="s">
        <v>546</v>
      </c>
      <c r="AA1470" s="199" t="s">
        <v>46</v>
      </c>
      <c r="AD1470" s="65"/>
      <c r="AE1470" s="17" t="s">
        <v>48</v>
      </c>
      <c r="AF1470" s="17" t="s">
        <v>547</v>
      </c>
    </row>
    <row r="1471" s="17" customFormat="1" hidden="1" spans="1:34">
      <c r="A1471" s="17" t="s">
        <v>34</v>
      </c>
      <c r="B1471" s="19">
        <v>798</v>
      </c>
      <c r="C1471" s="101" t="s">
        <v>540</v>
      </c>
      <c r="D1471" s="17" t="s">
        <v>541</v>
      </c>
      <c r="E1471" s="17" t="s">
        <v>542</v>
      </c>
      <c r="F1471" s="17" t="s">
        <v>543</v>
      </c>
      <c r="H1471" s="19" t="s">
        <v>549</v>
      </c>
      <c r="I1471" s="19"/>
      <c r="J1471" s="17" t="s">
        <v>82</v>
      </c>
      <c r="K1471" s="93">
        <v>2000</v>
      </c>
      <c r="L1471" s="198">
        <v>25</v>
      </c>
      <c r="M1471" s="93">
        <v>6000</v>
      </c>
      <c r="N1471" s="93" t="s">
        <v>66</v>
      </c>
      <c r="O1471" s="93" t="s">
        <v>141</v>
      </c>
      <c r="P1471" s="145">
        <v>9420</v>
      </c>
      <c r="Q1471" s="199"/>
      <c r="R1471" s="17">
        <f t="shared" si="79"/>
        <v>9420</v>
      </c>
      <c r="S1471" s="168">
        <v>1635</v>
      </c>
      <c r="T1471" s="93" t="s">
        <v>42</v>
      </c>
      <c r="U1471" s="200">
        <v>4501010117</v>
      </c>
      <c r="V1471" s="201" t="s">
        <v>545</v>
      </c>
      <c r="W1471" s="199" t="s">
        <v>69</v>
      </c>
      <c r="X1471" s="199"/>
      <c r="Y1471" s="202">
        <v>44887</v>
      </c>
      <c r="Z1471" s="199" t="s">
        <v>546</v>
      </c>
      <c r="AA1471" s="199" t="s">
        <v>46</v>
      </c>
      <c r="AD1471" s="65"/>
      <c r="AE1471" s="17" t="s">
        <v>48</v>
      </c>
      <c r="AF1471" s="17" t="s">
        <v>547</v>
      </c>
    </row>
    <row r="1472" s="17" customFormat="1" hidden="1" spans="1:34">
      <c r="A1472" s="17" t="s">
        <v>34</v>
      </c>
      <c r="B1472" s="19">
        <v>798</v>
      </c>
      <c r="C1472" s="101" t="s">
        <v>540</v>
      </c>
      <c r="D1472" s="17" t="s">
        <v>541</v>
      </c>
      <c r="E1472" s="17" t="s">
        <v>542</v>
      </c>
      <c r="F1472" s="17" t="s">
        <v>543</v>
      </c>
      <c r="H1472" s="19" t="s">
        <v>549</v>
      </c>
      <c r="I1472" s="19"/>
      <c r="J1472" s="17" t="s">
        <v>82</v>
      </c>
      <c r="K1472" s="93">
        <v>2000</v>
      </c>
      <c r="L1472" s="198">
        <v>32</v>
      </c>
      <c r="M1472" s="93">
        <v>6000</v>
      </c>
      <c r="N1472" s="93" t="s">
        <v>66</v>
      </c>
      <c r="O1472" s="93" t="s">
        <v>141</v>
      </c>
      <c r="P1472" s="145">
        <v>9043</v>
      </c>
      <c r="Q1472" s="199"/>
      <c r="R1472" s="17">
        <f t="shared" si="79"/>
        <v>9043</v>
      </c>
      <c r="S1472" s="168">
        <v>1635</v>
      </c>
      <c r="T1472" s="93" t="s">
        <v>42</v>
      </c>
      <c r="U1472" s="200">
        <v>4501010117</v>
      </c>
      <c r="V1472" s="201" t="s">
        <v>545</v>
      </c>
      <c r="W1472" s="199" t="s">
        <v>69</v>
      </c>
      <c r="X1472" s="199"/>
      <c r="Y1472" s="202">
        <v>44887</v>
      </c>
      <c r="Z1472" s="199" t="s">
        <v>546</v>
      </c>
      <c r="AA1472" s="199" t="s">
        <v>46</v>
      </c>
      <c r="AD1472" s="65"/>
      <c r="AE1472" s="17" t="s">
        <v>48</v>
      </c>
      <c r="AF1472" s="17" t="s">
        <v>547</v>
      </c>
    </row>
    <row r="1473" s="17" customFormat="1" hidden="1" spans="1:32">
      <c r="A1473" s="17" t="s">
        <v>34</v>
      </c>
      <c r="B1473" s="19">
        <v>798</v>
      </c>
      <c r="C1473" s="101" t="s">
        <v>540</v>
      </c>
      <c r="D1473" s="17" t="s">
        <v>541</v>
      </c>
      <c r="E1473" s="17" t="s">
        <v>542</v>
      </c>
      <c r="F1473" s="17" t="s">
        <v>543</v>
      </c>
      <c r="H1473" s="19" t="s">
        <v>549</v>
      </c>
      <c r="I1473" s="19"/>
      <c r="J1473" s="17" t="s">
        <v>82</v>
      </c>
      <c r="K1473" s="93">
        <v>2000</v>
      </c>
      <c r="L1473" s="198">
        <v>50</v>
      </c>
      <c r="M1473" s="93">
        <v>6000</v>
      </c>
      <c r="N1473" s="93" t="s">
        <v>66</v>
      </c>
      <c r="O1473" s="93" t="s">
        <v>141</v>
      </c>
      <c r="P1473" s="145">
        <v>9420</v>
      </c>
      <c r="Q1473" s="199"/>
      <c r="R1473" s="17">
        <f t="shared" si="79"/>
        <v>9420</v>
      </c>
      <c r="S1473" s="168">
        <v>1890</v>
      </c>
      <c r="T1473" s="93" t="s">
        <v>42</v>
      </c>
      <c r="U1473" s="200">
        <v>4501010117</v>
      </c>
      <c r="V1473" s="201" t="s">
        <v>545</v>
      </c>
      <c r="W1473" s="199" t="s">
        <v>69</v>
      </c>
      <c r="X1473" s="199"/>
      <c r="Y1473" s="202">
        <v>44887</v>
      </c>
      <c r="Z1473" s="199" t="s">
        <v>546</v>
      </c>
      <c r="AA1473" s="199" t="s">
        <v>46</v>
      </c>
      <c r="AD1473" s="65"/>
      <c r="AE1473" s="17" t="s">
        <v>48</v>
      </c>
      <c r="AF1473" s="17" t="s">
        <v>547</v>
      </c>
    </row>
    <row r="1474" s="17" customFormat="1" hidden="1" spans="1:32">
      <c r="A1474" s="17" t="s">
        <v>34</v>
      </c>
      <c r="B1474" s="19">
        <v>798</v>
      </c>
      <c r="C1474" s="101" t="s">
        <v>540</v>
      </c>
      <c r="D1474" s="17" t="s">
        <v>541</v>
      </c>
      <c r="E1474" s="17" t="s">
        <v>542</v>
      </c>
      <c r="F1474" s="17" t="s">
        <v>543</v>
      </c>
      <c r="H1474" s="19" t="s">
        <v>549</v>
      </c>
      <c r="I1474" s="19"/>
      <c r="J1474" s="17" t="s">
        <v>82</v>
      </c>
      <c r="K1474" s="93">
        <v>2000</v>
      </c>
      <c r="L1474" s="198">
        <v>55</v>
      </c>
      <c r="M1474" s="93">
        <v>6000</v>
      </c>
      <c r="N1474" s="93" t="s">
        <v>66</v>
      </c>
      <c r="O1474" s="93" t="s">
        <v>141</v>
      </c>
      <c r="P1474" s="145">
        <v>10362</v>
      </c>
      <c r="Q1474" s="199"/>
      <c r="R1474" s="17">
        <f t="shared" ref="R1474:R1505" si="80">+P1474-Q1474</f>
        <v>10362</v>
      </c>
      <c r="S1474" s="168">
        <v>1890</v>
      </c>
      <c r="T1474" s="93" t="s">
        <v>42</v>
      </c>
      <c r="U1474" s="200">
        <v>4501010117</v>
      </c>
      <c r="V1474" s="201" t="s">
        <v>545</v>
      </c>
      <c r="W1474" s="199" t="s">
        <v>69</v>
      </c>
      <c r="X1474" s="199"/>
      <c r="Y1474" s="202">
        <v>44887</v>
      </c>
      <c r="Z1474" s="199" t="s">
        <v>546</v>
      </c>
      <c r="AA1474" s="199" t="s">
        <v>46</v>
      </c>
      <c r="AD1474" s="65"/>
      <c r="AE1474" s="17" t="s">
        <v>48</v>
      </c>
      <c r="AF1474" s="17" t="s">
        <v>547</v>
      </c>
    </row>
    <row r="1475" s="17" customFormat="1" hidden="1" spans="1:32">
      <c r="A1475" s="17" t="s">
        <v>34</v>
      </c>
      <c r="B1475" s="19">
        <v>799</v>
      </c>
      <c r="C1475" s="101">
        <v>44685</v>
      </c>
      <c r="D1475" s="17" t="s">
        <v>91</v>
      </c>
      <c r="E1475" s="17" t="s">
        <v>550</v>
      </c>
      <c r="F1475" s="17" t="s">
        <v>93</v>
      </c>
      <c r="H1475" s="19">
        <v>1.2085</v>
      </c>
      <c r="I1475" s="19"/>
      <c r="J1475" s="17" t="s">
        <v>49</v>
      </c>
      <c r="K1475" s="199">
        <v>2000</v>
      </c>
      <c r="L1475" s="168">
        <v>32</v>
      </c>
      <c r="M1475" s="93">
        <v>5800</v>
      </c>
      <c r="N1475" s="93" t="s">
        <v>66</v>
      </c>
      <c r="O1475" s="93" t="s">
        <v>141</v>
      </c>
      <c r="P1475" s="93">
        <v>2970</v>
      </c>
      <c r="Q1475" s="199">
        <v>3005</v>
      </c>
      <c r="R1475" s="199">
        <f t="shared" si="80"/>
        <v>-35</v>
      </c>
      <c r="S1475" s="199">
        <v>4000</v>
      </c>
      <c r="T1475" s="93" t="s">
        <v>94</v>
      </c>
      <c r="U1475" s="200">
        <v>20036211</v>
      </c>
      <c r="V1475" s="211">
        <v>44684</v>
      </c>
      <c r="W1475" s="199" t="s">
        <v>69</v>
      </c>
      <c r="X1475" s="199"/>
      <c r="Y1475" s="202">
        <v>44713</v>
      </c>
      <c r="Z1475" s="199" t="s">
        <v>551</v>
      </c>
      <c r="AA1475" s="199" t="s">
        <v>46</v>
      </c>
      <c r="AB1475" s="95">
        <v>2220101012819</v>
      </c>
      <c r="AC1475" s="66">
        <v>44728</v>
      </c>
      <c r="AD1475" s="65">
        <v>1314</v>
      </c>
      <c r="AE1475" s="17" t="s">
        <v>48</v>
      </c>
    </row>
    <row r="1476" s="17" customFormat="1" hidden="1" spans="1:32">
      <c r="A1476" s="17" t="s">
        <v>34</v>
      </c>
      <c r="B1476" s="19">
        <v>799</v>
      </c>
      <c r="C1476" s="101">
        <v>44685</v>
      </c>
      <c r="D1476" s="17" t="s">
        <v>91</v>
      </c>
      <c r="E1476" s="17" t="s">
        <v>550</v>
      </c>
      <c r="F1476" s="17" t="s">
        <v>93</v>
      </c>
      <c r="H1476" s="19">
        <v>1.2085</v>
      </c>
      <c r="I1476" s="19"/>
      <c r="J1476" s="17" t="s">
        <v>49</v>
      </c>
      <c r="K1476" s="199">
        <v>2000</v>
      </c>
      <c r="L1476" s="91">
        <v>36</v>
      </c>
      <c r="M1476" s="19">
        <v>5800</v>
      </c>
      <c r="N1476" s="19" t="s">
        <v>66</v>
      </c>
      <c r="O1476" s="19" t="s">
        <v>141</v>
      </c>
      <c r="P1476" s="19">
        <v>3341</v>
      </c>
      <c r="Q1476" s="17">
        <v>3380</v>
      </c>
      <c r="R1476" s="17">
        <f t="shared" si="80"/>
        <v>-39</v>
      </c>
      <c r="S1476" s="17">
        <v>4000</v>
      </c>
      <c r="T1476" s="19" t="s">
        <v>94</v>
      </c>
      <c r="U1476" s="102">
        <v>20036211</v>
      </c>
      <c r="V1476" s="110">
        <v>44684</v>
      </c>
      <c r="W1476" s="17" t="s">
        <v>69</v>
      </c>
      <c r="Y1476" s="68">
        <v>44713</v>
      </c>
      <c r="Z1476" s="199" t="s">
        <v>551</v>
      </c>
      <c r="AA1476" s="17" t="s">
        <v>46</v>
      </c>
      <c r="AB1476" s="95">
        <v>2220101013801</v>
      </c>
      <c r="AC1476" s="66" t="s">
        <v>552</v>
      </c>
      <c r="AD1476" s="65">
        <v>1315</v>
      </c>
      <c r="AE1476" s="17" t="s">
        <v>48</v>
      </c>
    </row>
    <row r="1477" s="17" customFormat="1" hidden="1" spans="1:32">
      <c r="A1477" s="17" t="s">
        <v>34</v>
      </c>
      <c r="B1477" s="19">
        <v>799</v>
      </c>
      <c r="C1477" s="101">
        <v>44685</v>
      </c>
      <c r="D1477" s="17" t="s">
        <v>91</v>
      </c>
      <c r="E1477" s="17" t="s">
        <v>550</v>
      </c>
      <c r="F1477" s="17" t="s">
        <v>93</v>
      </c>
      <c r="H1477" s="19">
        <v>1.2085</v>
      </c>
      <c r="I1477" s="19"/>
      <c r="J1477" s="17" t="s">
        <v>49</v>
      </c>
      <c r="K1477" s="199">
        <v>2000</v>
      </c>
      <c r="L1477" s="91">
        <v>40</v>
      </c>
      <c r="M1477" s="19">
        <v>5800</v>
      </c>
      <c r="N1477" s="19" t="s">
        <v>66</v>
      </c>
      <c r="O1477" s="19" t="s">
        <v>141</v>
      </c>
      <c r="P1477" s="19">
        <v>3712</v>
      </c>
      <c r="Q1477" s="17">
        <v>3720</v>
      </c>
      <c r="R1477" s="17">
        <f t="shared" si="80"/>
        <v>-8</v>
      </c>
      <c r="S1477" s="17">
        <v>4000</v>
      </c>
      <c r="T1477" s="19" t="s">
        <v>94</v>
      </c>
      <c r="U1477" s="102">
        <v>20036211</v>
      </c>
      <c r="V1477" s="64">
        <v>44684</v>
      </c>
      <c r="W1477" s="17" t="s">
        <v>69</v>
      </c>
      <c r="Y1477" s="68">
        <v>44713</v>
      </c>
      <c r="Z1477" s="199" t="s">
        <v>551</v>
      </c>
      <c r="AA1477" s="17" t="s">
        <v>46</v>
      </c>
      <c r="AB1477" s="95">
        <v>2220101014477</v>
      </c>
      <c r="AC1477" s="212">
        <v>44872</v>
      </c>
      <c r="AD1477" s="65">
        <v>1329</v>
      </c>
      <c r="AE1477" s="17" t="s">
        <v>48</v>
      </c>
    </row>
    <row r="1478" s="17" customFormat="1" hidden="1" spans="1:32">
      <c r="A1478" s="17" t="s">
        <v>34</v>
      </c>
      <c r="B1478" s="19">
        <v>799</v>
      </c>
      <c r="C1478" s="101">
        <v>44685</v>
      </c>
      <c r="D1478" s="17" t="s">
        <v>91</v>
      </c>
      <c r="E1478" s="17" t="s">
        <v>550</v>
      </c>
      <c r="F1478" s="17" t="s">
        <v>93</v>
      </c>
      <c r="H1478" s="19">
        <v>1.2085</v>
      </c>
      <c r="I1478" s="19"/>
      <c r="J1478" s="17" t="s">
        <v>49</v>
      </c>
      <c r="K1478" s="199">
        <v>2000</v>
      </c>
      <c r="L1478" s="91">
        <v>45</v>
      </c>
      <c r="M1478" s="19">
        <v>5800</v>
      </c>
      <c r="N1478" s="19" t="s">
        <v>66</v>
      </c>
      <c r="O1478" s="19" t="s">
        <v>141</v>
      </c>
      <c r="P1478" s="19">
        <v>4176</v>
      </c>
      <c r="Q1478" s="17">
        <v>4200</v>
      </c>
      <c r="R1478" s="17">
        <f t="shared" si="80"/>
        <v>-24</v>
      </c>
      <c r="S1478" s="17">
        <v>4000</v>
      </c>
      <c r="T1478" s="19" t="s">
        <v>94</v>
      </c>
      <c r="U1478" s="102">
        <v>20036211</v>
      </c>
      <c r="V1478" s="64">
        <v>44684</v>
      </c>
      <c r="W1478" s="17" t="s">
        <v>69</v>
      </c>
      <c r="Y1478" s="68">
        <v>44713</v>
      </c>
      <c r="Z1478" s="199" t="s">
        <v>551</v>
      </c>
      <c r="AA1478" s="17" t="s">
        <v>46</v>
      </c>
      <c r="AB1478" s="95">
        <v>2220101014477</v>
      </c>
      <c r="AC1478" s="212">
        <v>44872</v>
      </c>
      <c r="AD1478" s="65">
        <v>1329</v>
      </c>
      <c r="AE1478" s="17" t="s">
        <v>48</v>
      </c>
    </row>
    <row r="1479" s="17" customFormat="1" hidden="1" spans="1:32">
      <c r="A1479" s="17" t="s">
        <v>34</v>
      </c>
      <c r="B1479" s="19">
        <v>799</v>
      </c>
      <c r="C1479" s="101">
        <v>44685</v>
      </c>
      <c r="D1479" s="17" t="s">
        <v>91</v>
      </c>
      <c r="E1479" s="17" t="s">
        <v>550</v>
      </c>
      <c r="F1479" s="17" t="s">
        <v>93</v>
      </c>
      <c r="H1479" s="19">
        <v>1.2085</v>
      </c>
      <c r="I1479" s="19"/>
      <c r="J1479" s="17" t="s">
        <v>49</v>
      </c>
      <c r="K1479" s="199">
        <v>2000</v>
      </c>
      <c r="L1479" s="91">
        <v>50</v>
      </c>
      <c r="M1479" s="19">
        <v>5800</v>
      </c>
      <c r="N1479" s="19" t="s">
        <v>66</v>
      </c>
      <c r="O1479" s="19" t="s">
        <v>141</v>
      </c>
      <c r="P1479" s="19">
        <v>4640</v>
      </c>
      <c r="Q1479" s="17">
        <v>4655</v>
      </c>
      <c r="R1479" s="17">
        <f t="shared" si="80"/>
        <v>-15</v>
      </c>
      <c r="S1479" s="17">
        <v>4000</v>
      </c>
      <c r="T1479" s="19" t="s">
        <v>94</v>
      </c>
      <c r="U1479" s="102">
        <v>20036211</v>
      </c>
      <c r="V1479" s="110">
        <v>44684</v>
      </c>
      <c r="W1479" s="17" t="s">
        <v>69</v>
      </c>
      <c r="Y1479" s="68">
        <v>44713</v>
      </c>
      <c r="Z1479" s="199" t="s">
        <v>551</v>
      </c>
      <c r="AA1479" s="17" t="s">
        <v>46</v>
      </c>
      <c r="AB1479" s="95">
        <v>2220101013801</v>
      </c>
      <c r="AC1479" s="66" t="s">
        <v>552</v>
      </c>
      <c r="AD1479" s="65">
        <v>1315</v>
      </c>
      <c r="AE1479" s="17" t="s">
        <v>48</v>
      </c>
    </row>
    <row r="1480" s="17" customFormat="1" hidden="1" spans="1:32">
      <c r="A1480" s="17" t="s">
        <v>34</v>
      </c>
      <c r="B1480" s="19">
        <v>799</v>
      </c>
      <c r="C1480" s="101">
        <v>44685</v>
      </c>
      <c r="D1480" s="17" t="s">
        <v>91</v>
      </c>
      <c r="E1480" s="17" t="s">
        <v>550</v>
      </c>
      <c r="F1480" s="17" t="s">
        <v>93</v>
      </c>
      <c r="H1480" s="19">
        <v>1.2085</v>
      </c>
      <c r="I1480" s="19"/>
      <c r="J1480" s="17" t="s">
        <v>49</v>
      </c>
      <c r="K1480" s="199">
        <v>2000</v>
      </c>
      <c r="L1480" s="91">
        <v>55</v>
      </c>
      <c r="M1480" s="19">
        <v>5800</v>
      </c>
      <c r="N1480" s="19" t="s">
        <v>66</v>
      </c>
      <c r="O1480" s="19" t="s">
        <v>141</v>
      </c>
      <c r="P1480" s="19">
        <v>5104</v>
      </c>
      <c r="Q1480" s="17">
        <v>5105</v>
      </c>
      <c r="R1480" s="17">
        <f t="shared" si="80"/>
        <v>-1</v>
      </c>
      <c r="S1480" s="17">
        <v>4000</v>
      </c>
      <c r="T1480" s="19" t="s">
        <v>94</v>
      </c>
      <c r="U1480" s="102">
        <v>20036211</v>
      </c>
      <c r="V1480" s="110">
        <v>44684</v>
      </c>
      <c r="W1480" s="17" t="s">
        <v>69</v>
      </c>
      <c r="Y1480" s="68">
        <v>44713</v>
      </c>
      <c r="Z1480" s="199" t="s">
        <v>551</v>
      </c>
      <c r="AA1480" s="17" t="s">
        <v>46</v>
      </c>
      <c r="AB1480" s="95">
        <v>2220101013801</v>
      </c>
      <c r="AC1480" s="66" t="s">
        <v>552</v>
      </c>
      <c r="AD1480" s="65">
        <v>1315</v>
      </c>
      <c r="AE1480" s="17" t="s">
        <v>48</v>
      </c>
    </row>
    <row r="1481" s="17" customFormat="1" hidden="1" spans="1:32">
      <c r="A1481" s="17" t="s">
        <v>34</v>
      </c>
      <c r="B1481" s="19">
        <v>799</v>
      </c>
      <c r="C1481" s="101">
        <v>44685</v>
      </c>
      <c r="D1481" s="17" t="s">
        <v>91</v>
      </c>
      <c r="E1481" s="17" t="s">
        <v>550</v>
      </c>
      <c r="F1481" s="17" t="s">
        <v>93</v>
      </c>
      <c r="H1481" s="19">
        <v>1.2085</v>
      </c>
      <c r="I1481" s="19"/>
      <c r="J1481" s="17" t="s">
        <v>49</v>
      </c>
      <c r="K1481" s="199">
        <v>2000</v>
      </c>
      <c r="L1481" s="91">
        <v>60</v>
      </c>
      <c r="M1481" s="19">
        <v>5800</v>
      </c>
      <c r="N1481" s="19" t="s">
        <v>66</v>
      </c>
      <c r="O1481" s="19" t="s">
        <v>141</v>
      </c>
      <c r="P1481" s="19">
        <v>5568</v>
      </c>
      <c r="Q1481" s="17">
        <v>5565</v>
      </c>
      <c r="R1481" s="17">
        <f t="shared" si="80"/>
        <v>3</v>
      </c>
      <c r="S1481" s="17">
        <v>4000</v>
      </c>
      <c r="T1481" s="19" t="s">
        <v>94</v>
      </c>
      <c r="U1481" s="102">
        <v>20036211</v>
      </c>
      <c r="V1481" s="64">
        <v>44684</v>
      </c>
      <c r="W1481" s="17" t="s">
        <v>69</v>
      </c>
      <c r="Y1481" s="68">
        <v>44713</v>
      </c>
      <c r="Z1481" s="199" t="s">
        <v>551</v>
      </c>
      <c r="AA1481" s="17" t="s">
        <v>46</v>
      </c>
      <c r="AB1481" s="95">
        <v>2220101014477</v>
      </c>
      <c r="AC1481" s="212">
        <v>44872</v>
      </c>
      <c r="AD1481" s="65">
        <v>1329</v>
      </c>
      <c r="AE1481" s="17" t="s">
        <v>48</v>
      </c>
    </row>
    <row r="1482" s="17" customFormat="1" hidden="1" spans="1:32">
      <c r="A1482" s="17" t="s">
        <v>34</v>
      </c>
      <c r="B1482" s="19">
        <v>799</v>
      </c>
      <c r="C1482" s="101">
        <v>44685</v>
      </c>
      <c r="D1482" s="17" t="s">
        <v>91</v>
      </c>
      <c r="E1482" s="17" t="s">
        <v>550</v>
      </c>
      <c r="F1482" s="17" t="s">
        <v>93</v>
      </c>
      <c r="H1482" s="19">
        <v>1.2085</v>
      </c>
      <c r="I1482" s="19"/>
      <c r="J1482" s="17" t="s">
        <v>49</v>
      </c>
      <c r="K1482" s="199">
        <v>2000</v>
      </c>
      <c r="L1482" s="91">
        <v>65</v>
      </c>
      <c r="M1482" s="19">
        <v>5800</v>
      </c>
      <c r="N1482" s="19" t="s">
        <v>66</v>
      </c>
      <c r="O1482" s="19" t="s">
        <v>141</v>
      </c>
      <c r="P1482" s="19">
        <v>6032</v>
      </c>
      <c r="Q1482" s="17">
        <v>6010</v>
      </c>
      <c r="R1482" s="17">
        <f t="shared" si="80"/>
        <v>22</v>
      </c>
      <c r="S1482" s="17">
        <v>4000</v>
      </c>
      <c r="T1482" s="19" t="s">
        <v>94</v>
      </c>
      <c r="U1482" s="102">
        <v>20036211</v>
      </c>
      <c r="V1482" s="64">
        <v>44684</v>
      </c>
      <c r="W1482" s="17" t="s">
        <v>69</v>
      </c>
      <c r="Y1482" s="68">
        <v>44713</v>
      </c>
      <c r="Z1482" s="199" t="s">
        <v>551</v>
      </c>
      <c r="AA1482" s="17" t="s">
        <v>46</v>
      </c>
      <c r="AB1482" s="95">
        <v>2220101014477</v>
      </c>
      <c r="AC1482" s="212">
        <v>44872</v>
      </c>
      <c r="AD1482" s="65">
        <v>1329</v>
      </c>
      <c r="AE1482" s="17" t="s">
        <v>48</v>
      </c>
    </row>
    <row r="1483" s="17" customFormat="1" hidden="1" spans="1:32">
      <c r="A1483" s="17" t="s">
        <v>34</v>
      </c>
      <c r="B1483" s="19">
        <v>799</v>
      </c>
      <c r="C1483" s="101">
        <v>44685</v>
      </c>
      <c r="D1483" s="17" t="s">
        <v>91</v>
      </c>
      <c r="E1483" s="17" t="s">
        <v>550</v>
      </c>
      <c r="F1483" s="17" t="s">
        <v>93</v>
      </c>
      <c r="H1483" s="19">
        <v>1.2085</v>
      </c>
      <c r="I1483" s="19"/>
      <c r="J1483" s="17" t="s">
        <v>49</v>
      </c>
      <c r="K1483" s="199">
        <v>2000</v>
      </c>
      <c r="L1483" s="91">
        <v>71</v>
      </c>
      <c r="M1483" s="19">
        <v>5800</v>
      </c>
      <c r="N1483" s="19" t="s">
        <v>66</v>
      </c>
      <c r="O1483" s="19" t="s">
        <v>141</v>
      </c>
      <c r="P1483" s="19">
        <v>6589</v>
      </c>
      <c r="Q1483" s="17">
        <v>6560</v>
      </c>
      <c r="R1483" s="17">
        <f t="shared" si="80"/>
        <v>29</v>
      </c>
      <c r="S1483" s="17">
        <v>4000</v>
      </c>
      <c r="T1483" s="19" t="s">
        <v>94</v>
      </c>
      <c r="U1483" s="102">
        <v>20036211</v>
      </c>
      <c r="V1483" s="110">
        <v>44684</v>
      </c>
      <c r="W1483" s="17" t="s">
        <v>69</v>
      </c>
      <c r="Y1483" s="68">
        <v>44713</v>
      </c>
      <c r="Z1483" s="199" t="s">
        <v>551</v>
      </c>
      <c r="AA1483" s="17" t="s">
        <v>46</v>
      </c>
      <c r="AB1483" s="95">
        <v>2220101013801</v>
      </c>
      <c r="AC1483" s="66" t="s">
        <v>552</v>
      </c>
      <c r="AD1483" s="65">
        <v>1315</v>
      </c>
      <c r="AE1483" s="17" t="s">
        <v>48</v>
      </c>
    </row>
    <row r="1484" s="17" customFormat="1" hidden="1" spans="1:32">
      <c r="A1484" s="17" t="s">
        <v>34</v>
      </c>
      <c r="B1484" s="19">
        <v>799</v>
      </c>
      <c r="C1484" s="101">
        <v>44685</v>
      </c>
      <c r="D1484" s="17" t="s">
        <v>91</v>
      </c>
      <c r="E1484" s="17" t="s">
        <v>550</v>
      </c>
      <c r="F1484" s="17" t="s">
        <v>93</v>
      </c>
      <c r="H1484" s="19">
        <v>1.2085</v>
      </c>
      <c r="I1484" s="19"/>
      <c r="J1484" s="17" t="s">
        <v>49</v>
      </c>
      <c r="K1484" s="199">
        <v>2000</v>
      </c>
      <c r="L1484" s="91">
        <v>76</v>
      </c>
      <c r="M1484" s="19">
        <v>5800</v>
      </c>
      <c r="N1484" s="19" t="s">
        <v>66</v>
      </c>
      <c r="O1484" s="19" t="s">
        <v>141</v>
      </c>
      <c r="P1484" s="19">
        <v>7053</v>
      </c>
      <c r="Q1484" s="17">
        <v>7000</v>
      </c>
      <c r="R1484" s="17">
        <f t="shared" si="80"/>
        <v>53</v>
      </c>
      <c r="S1484" s="17">
        <v>4000</v>
      </c>
      <c r="T1484" s="19" t="s">
        <v>94</v>
      </c>
      <c r="U1484" s="102">
        <v>20036211</v>
      </c>
      <c r="V1484" s="64">
        <v>44684</v>
      </c>
      <c r="W1484" s="17" t="s">
        <v>69</v>
      </c>
      <c r="Y1484" s="68">
        <v>44713</v>
      </c>
      <c r="Z1484" s="199" t="s">
        <v>551</v>
      </c>
      <c r="AA1484" s="17" t="s">
        <v>46</v>
      </c>
      <c r="AB1484" s="95">
        <v>2220101012819</v>
      </c>
      <c r="AC1484" s="66">
        <v>44728</v>
      </c>
      <c r="AD1484" s="65">
        <v>1314</v>
      </c>
      <c r="AE1484" s="17" t="s">
        <v>48</v>
      </c>
    </row>
    <row r="1485" s="17" customFormat="1" hidden="1" spans="1:32">
      <c r="A1485" s="17" t="s">
        <v>34</v>
      </c>
      <c r="B1485" s="19">
        <v>799</v>
      </c>
      <c r="C1485" s="101">
        <v>44685</v>
      </c>
      <c r="D1485" s="17" t="s">
        <v>91</v>
      </c>
      <c r="E1485" s="17" t="s">
        <v>550</v>
      </c>
      <c r="F1485" s="17" t="s">
        <v>93</v>
      </c>
      <c r="H1485" s="19">
        <v>1.2085</v>
      </c>
      <c r="I1485" s="19"/>
      <c r="J1485" s="17" t="s">
        <v>49</v>
      </c>
      <c r="K1485" s="199">
        <v>2000</v>
      </c>
      <c r="L1485" s="91">
        <v>81</v>
      </c>
      <c r="M1485" s="19">
        <v>5800</v>
      </c>
      <c r="N1485" s="19" t="s">
        <v>66</v>
      </c>
      <c r="O1485" s="19" t="s">
        <v>141</v>
      </c>
      <c r="P1485" s="19">
        <v>15034</v>
      </c>
      <c r="Q1485" s="17">
        <v>14990</v>
      </c>
      <c r="R1485" s="17">
        <f t="shared" si="80"/>
        <v>44</v>
      </c>
      <c r="S1485" s="17">
        <v>4000</v>
      </c>
      <c r="T1485" s="19" t="s">
        <v>94</v>
      </c>
      <c r="U1485" s="102">
        <v>20036211</v>
      </c>
      <c r="V1485" s="64">
        <v>44684</v>
      </c>
      <c r="W1485" s="17" t="s">
        <v>69</v>
      </c>
      <c r="Y1485" s="68">
        <v>44713</v>
      </c>
      <c r="Z1485" s="17" t="s">
        <v>551</v>
      </c>
      <c r="AA1485" s="17" t="s">
        <v>46</v>
      </c>
      <c r="AB1485" s="95">
        <v>2220101011829</v>
      </c>
      <c r="AC1485" s="66">
        <v>44715</v>
      </c>
      <c r="AD1485" s="65">
        <v>1303</v>
      </c>
      <c r="AE1485" s="17" t="s">
        <v>48</v>
      </c>
    </row>
    <row r="1486" s="17" customFormat="1" hidden="1" spans="1:32">
      <c r="A1486" s="17" t="s">
        <v>34</v>
      </c>
      <c r="B1486" s="19">
        <v>799</v>
      </c>
      <c r="C1486" s="101">
        <v>44685</v>
      </c>
      <c r="D1486" s="17" t="s">
        <v>91</v>
      </c>
      <c r="E1486" s="17" t="s">
        <v>550</v>
      </c>
      <c r="F1486" s="17" t="s">
        <v>93</v>
      </c>
      <c r="H1486" s="19">
        <v>1.2085</v>
      </c>
      <c r="I1486" s="19"/>
      <c r="J1486" s="17" t="s">
        <v>49</v>
      </c>
      <c r="K1486" s="199">
        <v>2000</v>
      </c>
      <c r="L1486" s="91">
        <v>91</v>
      </c>
      <c r="M1486" s="19">
        <v>5800</v>
      </c>
      <c r="N1486" s="19" t="s">
        <v>66</v>
      </c>
      <c r="O1486" s="19" t="s">
        <v>141</v>
      </c>
      <c r="P1486" s="19">
        <v>8445</v>
      </c>
      <c r="Q1486" s="17">
        <v>8360</v>
      </c>
      <c r="R1486" s="17">
        <f t="shared" si="80"/>
        <v>85</v>
      </c>
      <c r="S1486" s="17">
        <v>4000</v>
      </c>
      <c r="T1486" s="19" t="s">
        <v>94</v>
      </c>
      <c r="U1486" s="102">
        <v>20036211</v>
      </c>
      <c r="V1486" s="64">
        <v>44684</v>
      </c>
      <c r="W1486" s="17" t="s">
        <v>69</v>
      </c>
      <c r="Y1486" s="68">
        <v>44713</v>
      </c>
      <c r="Z1486" s="17" t="s">
        <v>551</v>
      </c>
      <c r="AA1486" s="17" t="s">
        <v>46</v>
      </c>
      <c r="AB1486" s="95">
        <v>2220101011829</v>
      </c>
      <c r="AC1486" s="66">
        <v>44715</v>
      </c>
      <c r="AD1486" s="65">
        <v>1303</v>
      </c>
      <c r="AE1486" s="17" t="s">
        <v>48</v>
      </c>
    </row>
    <row r="1487" s="17" customFormat="1" hidden="1" spans="1:32">
      <c r="A1487" s="17" t="s">
        <v>34</v>
      </c>
      <c r="B1487" s="19">
        <v>799</v>
      </c>
      <c r="C1487" s="101">
        <v>44685</v>
      </c>
      <c r="D1487" s="17" t="s">
        <v>91</v>
      </c>
      <c r="E1487" s="17" t="s">
        <v>550</v>
      </c>
      <c r="F1487" s="17" t="s">
        <v>93</v>
      </c>
      <c r="H1487" s="19">
        <v>1.2085</v>
      </c>
      <c r="I1487" s="19"/>
      <c r="J1487" s="17" t="s">
        <v>49</v>
      </c>
      <c r="K1487" s="199">
        <v>2000</v>
      </c>
      <c r="L1487" s="91">
        <v>101</v>
      </c>
      <c r="M1487" s="19">
        <v>5800</v>
      </c>
      <c r="N1487" s="19" t="s">
        <v>66</v>
      </c>
      <c r="O1487" s="19" t="s">
        <v>141</v>
      </c>
      <c r="P1487" s="19">
        <v>9373</v>
      </c>
      <c r="Q1487" s="17">
        <v>9250</v>
      </c>
      <c r="R1487" s="17">
        <f t="shared" si="80"/>
        <v>123</v>
      </c>
      <c r="S1487" s="17">
        <v>4000</v>
      </c>
      <c r="T1487" s="19" t="s">
        <v>94</v>
      </c>
      <c r="U1487" s="102">
        <v>20036211</v>
      </c>
      <c r="V1487" s="64">
        <v>44684</v>
      </c>
      <c r="W1487" s="17" t="s">
        <v>69</v>
      </c>
      <c r="Y1487" s="68">
        <v>44713</v>
      </c>
      <c r="Z1487" s="17" t="s">
        <v>551</v>
      </c>
      <c r="AA1487" s="17" t="s">
        <v>46</v>
      </c>
      <c r="AB1487" s="95">
        <v>2220101012819</v>
      </c>
      <c r="AC1487" s="66">
        <v>44728</v>
      </c>
      <c r="AD1487" s="65">
        <v>1314</v>
      </c>
      <c r="AE1487" s="17" t="s">
        <v>48</v>
      </c>
    </row>
    <row r="1488" s="17" customFormat="1" hidden="1" spans="1:32">
      <c r="A1488" s="17" t="s">
        <v>34</v>
      </c>
      <c r="B1488" s="19">
        <v>800</v>
      </c>
      <c r="C1488" s="101">
        <v>44687</v>
      </c>
      <c r="D1488" s="17" t="s">
        <v>52</v>
      </c>
      <c r="E1488" s="17" t="s">
        <v>187</v>
      </c>
      <c r="F1488" s="17" t="s">
        <v>54</v>
      </c>
      <c r="H1488" s="19">
        <v>1.2085</v>
      </c>
      <c r="I1488" s="19"/>
      <c r="J1488" s="17" t="s">
        <v>49</v>
      </c>
      <c r="K1488" s="17">
        <v>1250</v>
      </c>
      <c r="L1488" s="91">
        <v>255</v>
      </c>
      <c r="M1488" s="17">
        <v>2800</v>
      </c>
      <c r="N1488" s="17" t="s">
        <v>66</v>
      </c>
      <c r="O1488" s="19" t="s">
        <v>50</v>
      </c>
      <c r="P1488" s="19">
        <v>7000</v>
      </c>
      <c r="Q1488" s="17">
        <v>7072</v>
      </c>
      <c r="R1488" s="17">
        <f t="shared" si="80"/>
        <v>-72</v>
      </c>
      <c r="S1488" s="17">
        <v>3505</v>
      </c>
      <c r="T1488" s="19" t="s">
        <v>42</v>
      </c>
      <c r="U1488" s="102" t="s">
        <v>553</v>
      </c>
      <c r="V1488" s="64">
        <v>44690</v>
      </c>
      <c r="W1488" s="17" t="s">
        <v>69</v>
      </c>
      <c r="Y1488" s="68">
        <v>44713</v>
      </c>
      <c r="Z1488" s="17" t="s">
        <v>191</v>
      </c>
      <c r="AA1488" s="17" t="s">
        <v>46</v>
      </c>
      <c r="AB1488" s="17" t="s">
        <v>366</v>
      </c>
      <c r="AC1488" s="66">
        <v>44714</v>
      </c>
      <c r="AD1488" s="65">
        <v>1306</v>
      </c>
      <c r="AE1488" s="17" t="s">
        <v>48</v>
      </c>
      <c r="AF1488" s="17">
        <v>333336</v>
      </c>
    </row>
    <row r="1489" s="17" customFormat="1" hidden="1" spans="1:34">
      <c r="A1489" s="17" t="s">
        <v>34</v>
      </c>
      <c r="B1489" s="19">
        <v>801</v>
      </c>
      <c r="C1489" s="183">
        <v>44693</v>
      </c>
      <c r="D1489" s="17" t="s">
        <v>35</v>
      </c>
      <c r="E1489" s="17" t="s">
        <v>482</v>
      </c>
      <c r="F1489" s="17" t="s">
        <v>72</v>
      </c>
      <c r="H1489" s="19">
        <v>1.2316</v>
      </c>
      <c r="I1489" s="19"/>
      <c r="J1489" s="17" t="s">
        <v>39</v>
      </c>
      <c r="K1489" s="19">
        <v>56</v>
      </c>
      <c r="L1489" s="91"/>
      <c r="M1489" s="19">
        <v>5000</v>
      </c>
      <c r="N1489" s="19" t="s">
        <v>66</v>
      </c>
      <c r="O1489" s="19" t="s">
        <v>50</v>
      </c>
      <c r="P1489" s="19">
        <v>2400</v>
      </c>
      <c r="Q1489" s="17">
        <v>1752</v>
      </c>
      <c r="R1489" s="17">
        <f t="shared" si="80"/>
        <v>648</v>
      </c>
      <c r="S1489" s="17">
        <v>4250</v>
      </c>
      <c r="T1489" s="19" t="s">
        <v>42</v>
      </c>
      <c r="U1489" s="102" t="s">
        <v>554</v>
      </c>
      <c r="V1489" s="186">
        <v>44693</v>
      </c>
      <c r="W1489" s="17" t="s">
        <v>44</v>
      </c>
      <c r="Y1489" s="68">
        <v>44805</v>
      </c>
      <c r="Z1489" s="17" t="s">
        <v>191</v>
      </c>
      <c r="AA1489" s="17" t="s">
        <v>46</v>
      </c>
      <c r="AB1489" s="17" t="s">
        <v>492</v>
      </c>
      <c r="AC1489" s="17" t="s">
        <v>493</v>
      </c>
      <c r="AD1489" s="65">
        <v>1347</v>
      </c>
      <c r="AE1489" s="17" t="s">
        <v>48</v>
      </c>
    </row>
    <row r="1490" s="17" customFormat="1" hidden="1" spans="1:34">
      <c r="A1490" s="17" t="s">
        <v>34</v>
      </c>
      <c r="B1490" s="19">
        <v>801</v>
      </c>
      <c r="C1490" s="183">
        <v>44693</v>
      </c>
      <c r="D1490" s="17" t="s">
        <v>35</v>
      </c>
      <c r="E1490" s="17" t="s">
        <v>482</v>
      </c>
      <c r="F1490" s="17" t="s">
        <v>72</v>
      </c>
      <c r="H1490" s="19">
        <v>1.2316</v>
      </c>
      <c r="I1490" s="19"/>
      <c r="J1490" s="17" t="s">
        <v>39</v>
      </c>
      <c r="K1490" s="19">
        <v>61</v>
      </c>
      <c r="L1490" s="91"/>
      <c r="M1490" s="19">
        <v>5000</v>
      </c>
      <c r="N1490" s="19" t="s">
        <v>66</v>
      </c>
      <c r="O1490" s="19" t="s">
        <v>50</v>
      </c>
      <c r="P1490" s="19">
        <v>1200</v>
      </c>
      <c r="Q1490" s="17">
        <v>1104</v>
      </c>
      <c r="R1490" s="17">
        <f t="shared" si="80"/>
        <v>96</v>
      </c>
      <c r="S1490" s="17">
        <v>4250</v>
      </c>
      <c r="T1490" s="19" t="s">
        <v>42</v>
      </c>
      <c r="U1490" s="102" t="s">
        <v>554</v>
      </c>
      <c r="V1490" s="186">
        <v>44693</v>
      </c>
      <c r="W1490" s="17" t="s">
        <v>44</v>
      </c>
      <c r="Y1490" s="68">
        <v>44805</v>
      </c>
      <c r="Z1490" s="17" t="s">
        <v>191</v>
      </c>
      <c r="AA1490" s="17" t="s">
        <v>46</v>
      </c>
      <c r="AB1490" s="17" t="s">
        <v>492</v>
      </c>
      <c r="AC1490" s="17" t="s">
        <v>493</v>
      </c>
      <c r="AD1490" s="65">
        <v>1347</v>
      </c>
      <c r="AE1490" s="17" t="s">
        <v>555</v>
      </c>
      <c r="AH1490" s="17" t="s">
        <v>556</v>
      </c>
    </row>
    <row r="1491" s="17" customFormat="1" hidden="1" spans="1:34">
      <c r="A1491" s="17" t="s">
        <v>34</v>
      </c>
      <c r="B1491" s="19">
        <v>801</v>
      </c>
      <c r="C1491" s="183">
        <v>44693</v>
      </c>
      <c r="D1491" s="17" t="s">
        <v>35</v>
      </c>
      <c r="E1491" s="17" t="s">
        <v>482</v>
      </c>
      <c r="F1491" s="17" t="s">
        <v>72</v>
      </c>
      <c r="H1491" s="19">
        <v>1.2316</v>
      </c>
      <c r="I1491" s="19"/>
      <c r="J1491" s="17" t="s">
        <v>39</v>
      </c>
      <c r="K1491" s="19">
        <v>66</v>
      </c>
      <c r="L1491" s="91"/>
      <c r="M1491" s="19">
        <v>5000</v>
      </c>
      <c r="N1491" s="19" t="s">
        <v>66</v>
      </c>
      <c r="O1491" s="19" t="s">
        <v>50</v>
      </c>
      <c r="P1491" s="19">
        <v>1200</v>
      </c>
      <c r="Q1491" s="17">
        <v>1076</v>
      </c>
      <c r="R1491" s="17">
        <f t="shared" si="80"/>
        <v>124</v>
      </c>
      <c r="S1491" s="17">
        <v>4250</v>
      </c>
      <c r="T1491" s="19" t="s">
        <v>42</v>
      </c>
      <c r="U1491" s="102" t="s">
        <v>554</v>
      </c>
      <c r="V1491" s="186">
        <v>44693</v>
      </c>
      <c r="W1491" s="17" t="s">
        <v>44</v>
      </c>
      <c r="Y1491" s="68">
        <v>44805</v>
      </c>
      <c r="Z1491" s="17" t="s">
        <v>191</v>
      </c>
      <c r="AA1491" s="17" t="s">
        <v>46</v>
      </c>
      <c r="AB1491" s="17" t="s">
        <v>492</v>
      </c>
      <c r="AC1491" s="17" t="s">
        <v>493</v>
      </c>
      <c r="AD1491" s="65">
        <v>1347</v>
      </c>
      <c r="AE1491" s="17" t="s">
        <v>555</v>
      </c>
      <c r="AH1491" s="17" t="s">
        <v>556</v>
      </c>
    </row>
    <row r="1492" s="17" customFormat="1" hidden="1" spans="1:34">
      <c r="A1492" s="17" t="s">
        <v>34</v>
      </c>
      <c r="B1492" s="19">
        <v>801</v>
      </c>
      <c r="C1492" s="183">
        <v>44693</v>
      </c>
      <c r="D1492" s="17" t="s">
        <v>35</v>
      </c>
      <c r="E1492" s="17" t="s">
        <v>482</v>
      </c>
      <c r="F1492" s="17" t="s">
        <v>72</v>
      </c>
      <c r="H1492" s="19">
        <v>1.2316</v>
      </c>
      <c r="I1492" s="19"/>
      <c r="J1492" s="17" t="s">
        <v>39</v>
      </c>
      <c r="K1492" s="19">
        <v>71</v>
      </c>
      <c r="L1492" s="91"/>
      <c r="M1492" s="19">
        <v>5000</v>
      </c>
      <c r="N1492" s="19" t="s">
        <v>66</v>
      </c>
      <c r="O1492" s="19" t="s">
        <v>50</v>
      </c>
      <c r="P1492" s="19">
        <v>1200</v>
      </c>
      <c r="Q1492" s="17">
        <v>1058</v>
      </c>
      <c r="R1492" s="17">
        <f t="shared" si="80"/>
        <v>142</v>
      </c>
      <c r="S1492" s="17">
        <v>4250</v>
      </c>
      <c r="T1492" s="19" t="s">
        <v>42</v>
      </c>
      <c r="U1492" s="102" t="s">
        <v>554</v>
      </c>
      <c r="V1492" s="186">
        <v>44693</v>
      </c>
      <c r="W1492" s="17" t="s">
        <v>44</v>
      </c>
      <c r="Y1492" s="68">
        <v>44805</v>
      </c>
      <c r="Z1492" s="17" t="s">
        <v>191</v>
      </c>
      <c r="AA1492" s="17" t="s">
        <v>46</v>
      </c>
      <c r="AB1492" s="17" t="s">
        <v>492</v>
      </c>
      <c r="AC1492" s="17" t="s">
        <v>493</v>
      </c>
      <c r="AD1492" s="65">
        <v>1347</v>
      </c>
      <c r="AE1492" s="17" t="s">
        <v>48</v>
      </c>
      <c r="AH1492" s="17" t="s">
        <v>556</v>
      </c>
    </row>
    <row r="1493" s="17" customFormat="1" hidden="1" spans="1:34">
      <c r="A1493" s="17" t="s">
        <v>34</v>
      </c>
      <c r="B1493" s="19">
        <v>801</v>
      </c>
      <c r="C1493" s="183">
        <v>44693</v>
      </c>
      <c r="D1493" s="17" t="s">
        <v>35</v>
      </c>
      <c r="E1493" s="17" t="s">
        <v>482</v>
      </c>
      <c r="F1493" s="17" t="s">
        <v>72</v>
      </c>
      <c r="H1493" s="19">
        <v>1.2316</v>
      </c>
      <c r="I1493" s="19"/>
      <c r="J1493" s="17" t="s">
        <v>39</v>
      </c>
      <c r="K1493" s="19">
        <v>76</v>
      </c>
      <c r="L1493" s="91"/>
      <c r="M1493" s="19">
        <v>5000</v>
      </c>
      <c r="N1493" s="19" t="s">
        <v>66</v>
      </c>
      <c r="O1493" s="19" t="s">
        <v>50</v>
      </c>
      <c r="P1493" s="19">
        <v>1200</v>
      </c>
      <c r="Q1493" s="17">
        <v>1124</v>
      </c>
      <c r="R1493" s="17">
        <f t="shared" si="80"/>
        <v>76</v>
      </c>
      <c r="S1493" s="17">
        <v>4250</v>
      </c>
      <c r="T1493" s="19" t="s">
        <v>42</v>
      </c>
      <c r="U1493" s="102" t="s">
        <v>554</v>
      </c>
      <c r="V1493" s="186">
        <v>44693</v>
      </c>
      <c r="W1493" s="17" t="s">
        <v>44</v>
      </c>
      <c r="Y1493" s="68">
        <v>44805</v>
      </c>
      <c r="Z1493" s="17" t="s">
        <v>191</v>
      </c>
      <c r="AA1493" s="17" t="s">
        <v>46</v>
      </c>
      <c r="AB1493" s="17" t="s">
        <v>492</v>
      </c>
      <c r="AC1493" s="17" t="s">
        <v>493</v>
      </c>
      <c r="AD1493" s="65">
        <v>1347</v>
      </c>
      <c r="AE1493" s="17" t="s">
        <v>555</v>
      </c>
      <c r="AH1493" s="17" t="s">
        <v>556</v>
      </c>
    </row>
    <row r="1494" s="17" customFormat="1" hidden="1" spans="1:34">
      <c r="A1494" s="17" t="s">
        <v>34</v>
      </c>
      <c r="B1494" s="19">
        <v>801</v>
      </c>
      <c r="C1494" s="183">
        <v>44693</v>
      </c>
      <c r="D1494" s="17" t="s">
        <v>35</v>
      </c>
      <c r="E1494" s="17" t="s">
        <v>482</v>
      </c>
      <c r="F1494" s="17" t="s">
        <v>72</v>
      </c>
      <c r="H1494" s="19">
        <v>1.2316</v>
      </c>
      <c r="I1494" s="19"/>
      <c r="J1494" s="17" t="s">
        <v>39</v>
      </c>
      <c r="K1494" s="19">
        <v>81</v>
      </c>
      <c r="L1494" s="91"/>
      <c r="M1494" s="19">
        <v>5000</v>
      </c>
      <c r="N1494" s="19" t="s">
        <v>66</v>
      </c>
      <c r="O1494" s="19" t="s">
        <v>50</v>
      </c>
      <c r="P1494" s="19">
        <v>1200</v>
      </c>
      <c r="Q1494" s="17">
        <v>1128</v>
      </c>
      <c r="R1494" s="17">
        <f t="shared" si="80"/>
        <v>72</v>
      </c>
      <c r="S1494" s="17">
        <v>4250</v>
      </c>
      <c r="T1494" s="19" t="s">
        <v>42</v>
      </c>
      <c r="U1494" s="102" t="s">
        <v>554</v>
      </c>
      <c r="V1494" s="186">
        <v>44693</v>
      </c>
      <c r="W1494" s="17" t="s">
        <v>44</v>
      </c>
      <c r="Y1494" s="68">
        <v>44805</v>
      </c>
      <c r="Z1494" s="17" t="s">
        <v>191</v>
      </c>
      <c r="AA1494" s="17" t="s">
        <v>46</v>
      </c>
      <c r="AB1494" s="17" t="s">
        <v>492</v>
      </c>
      <c r="AC1494" s="17" t="s">
        <v>493</v>
      </c>
      <c r="AD1494" s="65">
        <v>1347</v>
      </c>
      <c r="AE1494" s="17" t="s">
        <v>555</v>
      </c>
      <c r="AH1494" s="17" t="s">
        <v>556</v>
      </c>
    </row>
    <row r="1495" s="17" customFormat="1" hidden="1" spans="1:34">
      <c r="A1495" s="17" t="s">
        <v>34</v>
      </c>
      <c r="B1495" s="19">
        <v>801</v>
      </c>
      <c r="C1495" s="183">
        <v>44693</v>
      </c>
      <c r="D1495" s="17" t="s">
        <v>35</v>
      </c>
      <c r="E1495" s="17" t="s">
        <v>482</v>
      </c>
      <c r="F1495" s="17" t="s">
        <v>72</v>
      </c>
      <c r="H1495" s="19">
        <v>1.2316</v>
      </c>
      <c r="I1495" s="19"/>
      <c r="J1495" s="17" t="s">
        <v>39</v>
      </c>
      <c r="K1495" s="19">
        <v>91</v>
      </c>
      <c r="L1495" s="91"/>
      <c r="M1495" s="19">
        <v>5000</v>
      </c>
      <c r="N1495" s="19" t="s">
        <v>66</v>
      </c>
      <c r="O1495" s="19" t="s">
        <v>50</v>
      </c>
      <c r="P1495" s="19">
        <v>2000</v>
      </c>
      <c r="Q1495" s="17">
        <v>1165</v>
      </c>
      <c r="R1495" s="17">
        <f t="shared" si="80"/>
        <v>835</v>
      </c>
      <c r="S1495" s="17">
        <v>3980</v>
      </c>
      <c r="T1495" s="19" t="s">
        <v>42</v>
      </c>
      <c r="U1495" s="102" t="s">
        <v>554</v>
      </c>
      <c r="V1495" s="186">
        <v>44693</v>
      </c>
      <c r="W1495" s="17" t="s">
        <v>44</v>
      </c>
      <c r="Y1495" s="68">
        <v>44805</v>
      </c>
      <c r="Z1495" s="17" t="s">
        <v>191</v>
      </c>
      <c r="AA1495" s="17" t="s">
        <v>46</v>
      </c>
      <c r="AB1495" s="17" t="s">
        <v>492</v>
      </c>
      <c r="AC1495" s="17" t="s">
        <v>493</v>
      </c>
      <c r="AD1495" s="65">
        <v>1347</v>
      </c>
      <c r="AE1495" s="17" t="s">
        <v>557</v>
      </c>
      <c r="AH1495" s="17" t="s">
        <v>558</v>
      </c>
    </row>
    <row r="1496" s="17" customFormat="1" hidden="1" spans="1:34">
      <c r="A1496" s="17" t="s">
        <v>34</v>
      </c>
      <c r="B1496" s="19">
        <v>801</v>
      </c>
      <c r="C1496" s="183">
        <v>44693</v>
      </c>
      <c r="D1496" s="17" t="s">
        <v>35</v>
      </c>
      <c r="E1496" s="17" t="s">
        <v>482</v>
      </c>
      <c r="F1496" s="17" t="s">
        <v>72</v>
      </c>
      <c r="H1496" s="19">
        <v>1.2316</v>
      </c>
      <c r="I1496" s="19"/>
      <c r="J1496" s="17" t="s">
        <v>39</v>
      </c>
      <c r="K1496" s="19">
        <v>101</v>
      </c>
      <c r="L1496" s="91"/>
      <c r="M1496" s="19">
        <v>5000</v>
      </c>
      <c r="N1496" s="19" t="s">
        <v>66</v>
      </c>
      <c r="O1496" s="19" t="s">
        <v>50</v>
      </c>
      <c r="P1496" s="19">
        <v>1000</v>
      </c>
      <c r="Q1496" s="17">
        <v>1300</v>
      </c>
      <c r="R1496" s="17">
        <f t="shared" si="80"/>
        <v>-300</v>
      </c>
      <c r="S1496" s="17">
        <v>3980</v>
      </c>
      <c r="T1496" s="19" t="s">
        <v>42</v>
      </c>
      <c r="U1496" s="102" t="s">
        <v>554</v>
      </c>
      <c r="V1496" s="186">
        <v>44693</v>
      </c>
      <c r="W1496" s="17" t="s">
        <v>44</v>
      </c>
      <c r="Y1496" s="68">
        <v>44805</v>
      </c>
      <c r="Z1496" s="17" t="s">
        <v>191</v>
      </c>
      <c r="AA1496" s="17" t="s">
        <v>46</v>
      </c>
      <c r="AB1496" s="17" t="s">
        <v>492</v>
      </c>
      <c r="AC1496" s="17" t="s">
        <v>493</v>
      </c>
      <c r="AD1496" s="65">
        <v>1347</v>
      </c>
      <c r="AE1496" s="17" t="s">
        <v>555</v>
      </c>
      <c r="AH1496" s="17" t="s">
        <v>558</v>
      </c>
    </row>
    <row r="1497" s="17" customFormat="1" hidden="1" spans="1:34">
      <c r="A1497" s="17" t="s">
        <v>34</v>
      </c>
      <c r="B1497" s="19">
        <v>801</v>
      </c>
      <c r="C1497" s="183">
        <v>44693</v>
      </c>
      <c r="D1497" s="17" t="s">
        <v>35</v>
      </c>
      <c r="E1497" s="17" t="s">
        <v>482</v>
      </c>
      <c r="F1497" s="17" t="s">
        <v>72</v>
      </c>
      <c r="H1497" s="19">
        <v>1.2316</v>
      </c>
      <c r="I1497" s="19"/>
      <c r="J1497" s="17" t="s">
        <v>39</v>
      </c>
      <c r="K1497" s="19">
        <v>111</v>
      </c>
      <c r="L1497" s="91"/>
      <c r="M1497" s="19">
        <v>5000</v>
      </c>
      <c r="N1497" s="19" t="s">
        <v>66</v>
      </c>
      <c r="O1497" s="19" t="s">
        <v>50</v>
      </c>
      <c r="P1497" s="19">
        <v>1000</v>
      </c>
      <c r="Q1497" s="17">
        <v>1150</v>
      </c>
      <c r="R1497" s="17">
        <f t="shared" si="80"/>
        <v>-150</v>
      </c>
      <c r="S1497" s="17">
        <v>3980</v>
      </c>
      <c r="T1497" s="19" t="s">
        <v>42</v>
      </c>
      <c r="U1497" s="102" t="s">
        <v>554</v>
      </c>
      <c r="V1497" s="186">
        <v>44693</v>
      </c>
      <c r="W1497" s="17" t="s">
        <v>44</v>
      </c>
      <c r="Y1497" s="68">
        <v>44805</v>
      </c>
      <c r="Z1497" s="17" t="s">
        <v>191</v>
      </c>
      <c r="AA1497" s="17" t="s">
        <v>46</v>
      </c>
      <c r="AB1497" s="17" t="s">
        <v>492</v>
      </c>
      <c r="AC1497" s="17" t="s">
        <v>493</v>
      </c>
      <c r="AD1497" s="65">
        <v>1347</v>
      </c>
      <c r="AE1497" s="17" t="s">
        <v>555</v>
      </c>
      <c r="AH1497" s="17" t="s">
        <v>558</v>
      </c>
    </row>
    <row r="1498" s="17" customFormat="1" hidden="1" spans="1:34">
      <c r="A1498" s="17" t="s">
        <v>34</v>
      </c>
      <c r="B1498" s="19">
        <v>801</v>
      </c>
      <c r="C1498" s="183">
        <v>44693</v>
      </c>
      <c r="D1498" s="17" t="s">
        <v>35</v>
      </c>
      <c r="E1498" s="17" t="s">
        <v>482</v>
      </c>
      <c r="F1498" s="17" t="s">
        <v>72</v>
      </c>
      <c r="H1498" s="19">
        <v>1.2316</v>
      </c>
      <c r="I1498" s="19"/>
      <c r="J1498" s="17" t="s">
        <v>39</v>
      </c>
      <c r="K1498" s="19">
        <v>131</v>
      </c>
      <c r="L1498" s="91"/>
      <c r="M1498" s="19">
        <v>5000</v>
      </c>
      <c r="N1498" s="19" t="s">
        <v>66</v>
      </c>
      <c r="O1498" s="19" t="s">
        <v>50</v>
      </c>
      <c r="P1498" s="19">
        <v>2000</v>
      </c>
      <c r="Q1498" s="17">
        <v>1594</v>
      </c>
      <c r="R1498" s="17">
        <f t="shared" si="80"/>
        <v>406</v>
      </c>
      <c r="S1498" s="17">
        <v>3980</v>
      </c>
      <c r="T1498" s="19" t="s">
        <v>42</v>
      </c>
      <c r="U1498" s="102" t="s">
        <v>554</v>
      </c>
      <c r="V1498" s="186">
        <v>44693</v>
      </c>
      <c r="W1498" s="17" t="s">
        <v>44</v>
      </c>
      <c r="Y1498" s="68">
        <v>44805</v>
      </c>
      <c r="Z1498" s="17" t="s">
        <v>191</v>
      </c>
      <c r="AA1498" s="17" t="s">
        <v>46</v>
      </c>
      <c r="AB1498" s="17" t="s">
        <v>492</v>
      </c>
      <c r="AC1498" s="17" t="s">
        <v>493</v>
      </c>
      <c r="AD1498" s="65">
        <v>1347</v>
      </c>
      <c r="AE1498" s="17" t="s">
        <v>557</v>
      </c>
      <c r="AH1498" s="17" t="s">
        <v>558</v>
      </c>
    </row>
    <row r="1499" s="17" customFormat="1" hidden="1" spans="1:34">
      <c r="A1499" s="17" t="s">
        <v>34</v>
      </c>
      <c r="B1499" s="19">
        <v>801</v>
      </c>
      <c r="C1499" s="183">
        <v>44693</v>
      </c>
      <c r="D1499" s="17" t="s">
        <v>35</v>
      </c>
      <c r="E1499" s="17" t="s">
        <v>482</v>
      </c>
      <c r="F1499" s="17" t="s">
        <v>72</v>
      </c>
      <c r="H1499" s="19">
        <v>1.2316</v>
      </c>
      <c r="I1499" s="19"/>
      <c r="J1499" s="17" t="s">
        <v>39</v>
      </c>
      <c r="K1499" s="19">
        <v>142</v>
      </c>
      <c r="L1499" s="91"/>
      <c r="M1499" s="19">
        <v>5000</v>
      </c>
      <c r="N1499" s="19" t="s">
        <v>66</v>
      </c>
      <c r="O1499" s="19" t="s">
        <v>50</v>
      </c>
      <c r="P1499" s="19">
        <v>1000</v>
      </c>
      <c r="Q1499" s="17">
        <v>962</v>
      </c>
      <c r="R1499" s="17">
        <f t="shared" si="80"/>
        <v>38</v>
      </c>
      <c r="S1499" s="17">
        <v>3980</v>
      </c>
      <c r="T1499" s="19" t="s">
        <v>42</v>
      </c>
      <c r="U1499" s="102" t="s">
        <v>554</v>
      </c>
      <c r="V1499" s="186">
        <v>44693</v>
      </c>
      <c r="W1499" s="17" t="s">
        <v>44</v>
      </c>
      <c r="Y1499" s="68">
        <v>44805</v>
      </c>
      <c r="Z1499" s="17" t="s">
        <v>191</v>
      </c>
      <c r="AA1499" s="17" t="s">
        <v>46</v>
      </c>
      <c r="AB1499" s="17" t="s">
        <v>492</v>
      </c>
      <c r="AC1499" s="17" t="s">
        <v>493</v>
      </c>
      <c r="AD1499" s="65">
        <v>1347</v>
      </c>
      <c r="AE1499" s="17" t="s">
        <v>555</v>
      </c>
      <c r="AH1499" s="17" t="s">
        <v>558</v>
      </c>
    </row>
    <row r="1500" s="17" customFormat="1" hidden="1" spans="1:34">
      <c r="A1500" s="17" t="s">
        <v>34</v>
      </c>
      <c r="B1500" s="19">
        <v>801</v>
      </c>
      <c r="C1500" s="183">
        <v>44693</v>
      </c>
      <c r="D1500" s="17" t="s">
        <v>35</v>
      </c>
      <c r="E1500" s="17" t="s">
        <v>482</v>
      </c>
      <c r="F1500" s="17" t="s">
        <v>72</v>
      </c>
      <c r="H1500" s="19">
        <v>1.2316</v>
      </c>
      <c r="I1500" s="19"/>
      <c r="J1500" s="17" t="s">
        <v>39</v>
      </c>
      <c r="K1500" s="19">
        <v>152</v>
      </c>
      <c r="L1500" s="91"/>
      <c r="M1500" s="19">
        <v>5000</v>
      </c>
      <c r="N1500" s="19" t="s">
        <v>66</v>
      </c>
      <c r="O1500" s="19" t="s">
        <v>50</v>
      </c>
      <c r="P1500" s="19">
        <v>1500</v>
      </c>
      <c r="Q1500" s="17">
        <v>1487</v>
      </c>
      <c r="R1500" s="17">
        <f t="shared" si="80"/>
        <v>13</v>
      </c>
      <c r="S1500" s="17">
        <v>3980</v>
      </c>
      <c r="T1500" s="19" t="s">
        <v>42</v>
      </c>
      <c r="U1500" s="102" t="s">
        <v>554</v>
      </c>
      <c r="V1500" s="186">
        <v>44693</v>
      </c>
      <c r="W1500" s="17" t="s">
        <v>44</v>
      </c>
      <c r="Y1500" s="68">
        <v>44805</v>
      </c>
      <c r="Z1500" s="17" t="s">
        <v>191</v>
      </c>
      <c r="AA1500" s="17" t="s">
        <v>46</v>
      </c>
      <c r="AB1500" s="17" t="s">
        <v>492</v>
      </c>
      <c r="AC1500" s="17" t="s">
        <v>493</v>
      </c>
      <c r="AD1500" s="65">
        <v>1347</v>
      </c>
      <c r="AE1500" s="17" t="s">
        <v>557</v>
      </c>
      <c r="AH1500" s="17" t="s">
        <v>558</v>
      </c>
    </row>
    <row r="1501" s="17" customFormat="1" hidden="1" spans="1:34">
      <c r="A1501" s="17" t="s">
        <v>34</v>
      </c>
      <c r="B1501" s="19">
        <v>801</v>
      </c>
      <c r="C1501" s="183">
        <v>44693</v>
      </c>
      <c r="D1501" s="17" t="s">
        <v>35</v>
      </c>
      <c r="E1501" s="17" t="s">
        <v>482</v>
      </c>
      <c r="F1501" s="17" t="s">
        <v>72</v>
      </c>
      <c r="H1501" s="19">
        <v>1.2316</v>
      </c>
      <c r="I1501" s="19"/>
      <c r="J1501" s="17" t="s">
        <v>39</v>
      </c>
      <c r="K1501" s="19">
        <v>162</v>
      </c>
      <c r="L1501" s="91"/>
      <c r="M1501" s="19">
        <v>5000</v>
      </c>
      <c r="N1501" s="19" t="s">
        <v>66</v>
      </c>
      <c r="O1501" s="19" t="s">
        <v>50</v>
      </c>
      <c r="P1501" s="19">
        <v>2000</v>
      </c>
      <c r="Q1501" s="17">
        <f>794+1329</f>
        <v>2123</v>
      </c>
      <c r="R1501" s="17">
        <f t="shared" si="80"/>
        <v>-123</v>
      </c>
      <c r="S1501" s="17">
        <v>3980</v>
      </c>
      <c r="T1501" s="19" t="s">
        <v>42</v>
      </c>
      <c r="U1501" s="102" t="s">
        <v>554</v>
      </c>
      <c r="V1501" s="186">
        <v>44693</v>
      </c>
      <c r="W1501" s="17" t="s">
        <v>44</v>
      </c>
      <c r="Y1501" s="68">
        <v>44805</v>
      </c>
      <c r="Z1501" s="17" t="s">
        <v>191</v>
      </c>
      <c r="AA1501" s="17" t="s">
        <v>46</v>
      </c>
      <c r="AB1501" s="17" t="s">
        <v>492</v>
      </c>
      <c r="AC1501" s="17" t="s">
        <v>493</v>
      </c>
      <c r="AD1501" s="65">
        <v>1347</v>
      </c>
      <c r="AE1501" s="17" t="s">
        <v>555</v>
      </c>
      <c r="AH1501" s="17" t="s">
        <v>558</v>
      </c>
    </row>
    <row r="1502" s="17" customFormat="1" hidden="1" spans="1:34">
      <c r="A1502" s="17" t="s">
        <v>34</v>
      </c>
      <c r="B1502" s="19">
        <v>801</v>
      </c>
      <c r="C1502" s="183">
        <v>44693</v>
      </c>
      <c r="D1502" s="17" t="s">
        <v>35</v>
      </c>
      <c r="E1502" s="17" t="s">
        <v>482</v>
      </c>
      <c r="F1502" s="17" t="s">
        <v>72</v>
      </c>
      <c r="H1502" s="19">
        <v>1.2316</v>
      </c>
      <c r="I1502" s="19"/>
      <c r="J1502" s="17" t="s">
        <v>39</v>
      </c>
      <c r="K1502" s="19">
        <v>172</v>
      </c>
      <c r="L1502" s="91"/>
      <c r="M1502" s="19">
        <v>5000</v>
      </c>
      <c r="N1502" s="19" t="s">
        <v>66</v>
      </c>
      <c r="O1502" s="19" t="s">
        <v>50</v>
      </c>
      <c r="P1502" s="19">
        <v>2000</v>
      </c>
      <c r="Q1502" s="17">
        <f>1412+816</f>
        <v>2228</v>
      </c>
      <c r="R1502" s="17">
        <f t="shared" si="80"/>
        <v>-228</v>
      </c>
      <c r="S1502" s="17">
        <v>3980</v>
      </c>
      <c r="T1502" s="19" t="s">
        <v>42</v>
      </c>
      <c r="U1502" s="102" t="s">
        <v>554</v>
      </c>
      <c r="V1502" s="186">
        <v>44693</v>
      </c>
      <c r="W1502" s="17" t="s">
        <v>44</v>
      </c>
      <c r="Y1502" s="68">
        <v>44805</v>
      </c>
      <c r="Z1502" s="17" t="s">
        <v>191</v>
      </c>
      <c r="AA1502" s="17" t="s">
        <v>46</v>
      </c>
      <c r="AB1502" s="17" t="s">
        <v>492</v>
      </c>
      <c r="AC1502" s="17" t="s">
        <v>493</v>
      </c>
      <c r="AD1502" s="65">
        <v>1347</v>
      </c>
      <c r="AE1502" s="17" t="s">
        <v>555</v>
      </c>
      <c r="AH1502" s="17" t="s">
        <v>558</v>
      </c>
    </row>
    <row r="1503" s="18" customFormat="1" hidden="1" spans="1:34">
      <c r="B1503" s="75">
        <v>803</v>
      </c>
      <c r="C1503" s="213">
        <v>44695</v>
      </c>
      <c r="D1503" s="18" t="s">
        <v>52</v>
      </c>
      <c r="E1503" s="18" t="s">
        <v>187</v>
      </c>
      <c r="F1503" s="18" t="s">
        <v>54</v>
      </c>
      <c r="H1503" s="75">
        <v>1.2085</v>
      </c>
      <c r="I1503" s="75"/>
      <c r="J1503" s="18" t="s">
        <v>49</v>
      </c>
      <c r="K1503" s="75">
        <v>1250</v>
      </c>
      <c r="L1503" s="111">
        <v>205</v>
      </c>
      <c r="M1503" s="75">
        <v>5500</v>
      </c>
      <c r="N1503" s="75" t="s">
        <v>66</v>
      </c>
      <c r="O1503" s="75" t="s">
        <v>50</v>
      </c>
      <c r="P1503" s="75">
        <v>10000</v>
      </c>
      <c r="R1503" s="18">
        <f t="shared" si="80"/>
        <v>10000</v>
      </c>
      <c r="S1503" s="18">
        <v>3505</v>
      </c>
      <c r="T1503" s="75" t="s">
        <v>42</v>
      </c>
      <c r="U1503" s="137" t="s">
        <v>559</v>
      </c>
      <c r="V1503" s="193">
        <v>44697</v>
      </c>
      <c r="W1503" s="18" t="s">
        <v>69</v>
      </c>
      <c r="Y1503" s="114">
        <v>44743</v>
      </c>
      <c r="Z1503" s="18" t="s">
        <v>191</v>
      </c>
      <c r="AA1503" s="18" t="s">
        <v>46</v>
      </c>
      <c r="AD1503" s="77"/>
      <c r="AE1503" s="18" t="s">
        <v>48</v>
      </c>
      <c r="AF1503" s="18" t="s">
        <v>560</v>
      </c>
      <c r="AH1503" s="18" t="s">
        <v>561</v>
      </c>
    </row>
    <row r="1504" s="17" customFormat="1" hidden="1" spans="1:34">
      <c r="B1504" s="19">
        <v>803</v>
      </c>
      <c r="C1504" s="183">
        <v>44695</v>
      </c>
      <c r="D1504" s="17" t="s">
        <v>52</v>
      </c>
      <c r="E1504" s="17" t="s">
        <v>187</v>
      </c>
      <c r="F1504" s="17" t="s">
        <v>54</v>
      </c>
      <c r="H1504" s="19">
        <v>1.2085</v>
      </c>
      <c r="I1504" s="19"/>
      <c r="J1504" s="17" t="s">
        <v>49</v>
      </c>
      <c r="K1504" s="19">
        <v>1250</v>
      </c>
      <c r="L1504" s="91">
        <v>250</v>
      </c>
      <c r="M1504" s="19">
        <v>5500</v>
      </c>
      <c r="N1504" s="19" t="s">
        <v>66</v>
      </c>
      <c r="O1504" s="19" t="s">
        <v>50</v>
      </c>
      <c r="P1504" s="19">
        <v>10000</v>
      </c>
      <c r="Q1504" s="17">
        <v>5870</v>
      </c>
      <c r="R1504" s="18">
        <f t="shared" si="80"/>
        <v>4130</v>
      </c>
      <c r="S1504" s="17">
        <v>3505</v>
      </c>
      <c r="T1504" s="19" t="s">
        <v>42</v>
      </c>
      <c r="U1504" s="102" t="s">
        <v>559</v>
      </c>
      <c r="V1504" s="186">
        <v>44697</v>
      </c>
      <c r="W1504" s="17" t="s">
        <v>69</v>
      </c>
      <c r="Y1504" s="68">
        <v>44743</v>
      </c>
      <c r="Z1504" s="17" t="s">
        <v>191</v>
      </c>
      <c r="AA1504" s="17" t="s">
        <v>46</v>
      </c>
      <c r="AB1504" s="17" t="s">
        <v>562</v>
      </c>
      <c r="AC1504" s="17" t="s">
        <v>563</v>
      </c>
      <c r="AD1504" s="65">
        <v>1360</v>
      </c>
      <c r="AE1504" s="17" t="s">
        <v>48</v>
      </c>
      <c r="AF1504" s="17" t="s">
        <v>245</v>
      </c>
      <c r="AH1504" s="17" t="s">
        <v>564</v>
      </c>
    </row>
    <row r="1505" s="17" customFormat="1" hidden="1" spans="1:36">
      <c r="A1505" s="17" t="s">
        <v>34</v>
      </c>
      <c r="B1505" s="19">
        <v>804</v>
      </c>
      <c r="C1505" s="101">
        <v>44701</v>
      </c>
      <c r="D1505" s="17" t="s">
        <v>52</v>
      </c>
      <c r="E1505" s="17" t="s">
        <v>187</v>
      </c>
      <c r="F1505" s="17" t="s">
        <v>54</v>
      </c>
      <c r="H1505" s="19">
        <v>1.2738</v>
      </c>
      <c r="I1505" s="19"/>
      <c r="J1505" s="17" t="s">
        <v>49</v>
      </c>
      <c r="K1505" s="17">
        <v>1600</v>
      </c>
      <c r="L1505" s="91">
        <v>350</v>
      </c>
      <c r="M1505" s="19">
        <v>3450</v>
      </c>
      <c r="N1505" s="19" t="s">
        <v>66</v>
      </c>
      <c r="O1505" s="19" t="s">
        <v>168</v>
      </c>
      <c r="P1505" s="19">
        <v>11103</v>
      </c>
      <c r="Q1505" s="17">
        <v>16033</v>
      </c>
      <c r="R1505" s="17">
        <f t="shared" si="80"/>
        <v>-4930</v>
      </c>
      <c r="S1505" s="17">
        <v>1770</v>
      </c>
      <c r="T1505" s="19" t="s">
        <v>42</v>
      </c>
      <c r="U1505" s="102" t="s">
        <v>565</v>
      </c>
      <c r="V1505" s="110">
        <v>44701</v>
      </c>
      <c r="W1505" s="17" t="s">
        <v>69</v>
      </c>
      <c r="Y1505" s="68">
        <v>44713</v>
      </c>
      <c r="Z1505" s="17" t="s">
        <v>191</v>
      </c>
      <c r="AA1505" s="17" t="s">
        <v>46</v>
      </c>
      <c r="AB1505" s="17" t="s">
        <v>566</v>
      </c>
      <c r="AC1505" s="66" t="s">
        <v>408</v>
      </c>
      <c r="AD1505" s="65">
        <v>1311</v>
      </c>
      <c r="AE1505" s="17" t="s">
        <v>48</v>
      </c>
      <c r="AF1505" s="17" t="s">
        <v>245</v>
      </c>
    </row>
    <row r="1506" s="17" customFormat="1" hidden="1" spans="1:36">
      <c r="A1506" s="17" t="s">
        <v>34</v>
      </c>
      <c r="B1506" s="19">
        <v>804</v>
      </c>
      <c r="C1506" s="101">
        <v>44701</v>
      </c>
      <c r="D1506" s="17" t="s">
        <v>52</v>
      </c>
      <c r="E1506" s="17" t="s">
        <v>187</v>
      </c>
      <c r="F1506" s="17" t="s">
        <v>54</v>
      </c>
      <c r="H1506" s="19">
        <v>1.2738</v>
      </c>
      <c r="I1506" s="19"/>
      <c r="J1506" s="17" t="s">
        <v>49</v>
      </c>
      <c r="K1506" s="17">
        <v>1600</v>
      </c>
      <c r="L1506" s="91">
        <v>520</v>
      </c>
      <c r="M1506" s="19">
        <v>3070</v>
      </c>
      <c r="N1506" s="19" t="s">
        <v>66</v>
      </c>
      <c r="O1506" s="19" t="s">
        <v>168</v>
      </c>
      <c r="P1506" s="19">
        <v>19594</v>
      </c>
      <c r="Q1506" s="17">
        <v>20570</v>
      </c>
      <c r="R1506" s="17">
        <f t="shared" ref="R1506:R1537" si="81">+P1506-Q1506</f>
        <v>-976</v>
      </c>
      <c r="S1506" s="17">
        <v>1810</v>
      </c>
      <c r="T1506" s="19" t="s">
        <v>42</v>
      </c>
      <c r="U1506" s="102" t="s">
        <v>565</v>
      </c>
      <c r="V1506" s="110">
        <v>44701</v>
      </c>
      <c r="W1506" s="17" t="s">
        <v>69</v>
      </c>
      <c r="Z1506" s="17" t="s">
        <v>191</v>
      </c>
      <c r="AA1506" s="17" t="s">
        <v>46</v>
      </c>
      <c r="AB1506" s="17" t="s">
        <v>348</v>
      </c>
      <c r="AC1506" s="66" t="s">
        <v>349</v>
      </c>
      <c r="AD1506" s="65">
        <v>1326</v>
      </c>
      <c r="AE1506" s="17" t="s">
        <v>48</v>
      </c>
      <c r="AF1506" s="17" t="s">
        <v>245</v>
      </c>
      <c r="AJ1506" s="17" t="s">
        <v>188</v>
      </c>
    </row>
    <row r="1507" s="17" customFormat="1" hidden="1" spans="1:36">
      <c r="A1507" s="17" t="s">
        <v>34</v>
      </c>
      <c r="B1507" s="19">
        <v>804</v>
      </c>
      <c r="C1507" s="101">
        <v>44701</v>
      </c>
      <c r="D1507" s="17" t="s">
        <v>52</v>
      </c>
      <c r="E1507" s="17" t="s">
        <v>187</v>
      </c>
      <c r="F1507" s="17" t="s">
        <v>54</v>
      </c>
      <c r="H1507" s="19">
        <v>1.2311</v>
      </c>
      <c r="I1507" s="19"/>
      <c r="J1507" s="17" t="s">
        <v>49</v>
      </c>
      <c r="K1507" s="17">
        <v>1600</v>
      </c>
      <c r="L1507" s="91">
        <v>425</v>
      </c>
      <c r="M1507" s="19">
        <v>3230</v>
      </c>
      <c r="N1507" s="19" t="s">
        <v>66</v>
      </c>
      <c r="O1507" s="19" t="s">
        <v>168</v>
      </c>
      <c r="P1507" s="19">
        <v>17082</v>
      </c>
      <c r="Q1507" s="17">
        <v>18000</v>
      </c>
      <c r="R1507" s="17">
        <f t="shared" si="81"/>
        <v>-918</v>
      </c>
      <c r="S1507" s="17">
        <v>1590</v>
      </c>
      <c r="T1507" s="19" t="s">
        <v>42</v>
      </c>
      <c r="U1507" s="102" t="s">
        <v>565</v>
      </c>
      <c r="V1507" s="110">
        <v>44701</v>
      </c>
      <c r="W1507" s="17" t="s">
        <v>69</v>
      </c>
      <c r="Y1507" s="68">
        <v>44713</v>
      </c>
      <c r="Z1507" s="17" t="s">
        <v>191</v>
      </c>
      <c r="AA1507" s="17" t="s">
        <v>46</v>
      </c>
      <c r="AB1507" s="17" t="s">
        <v>566</v>
      </c>
      <c r="AC1507" s="66" t="s">
        <v>408</v>
      </c>
      <c r="AD1507" s="65">
        <v>1311</v>
      </c>
      <c r="AE1507" s="17" t="s">
        <v>567</v>
      </c>
      <c r="AF1507" s="17" t="s">
        <v>245</v>
      </c>
    </row>
    <row r="1508" s="17" customFormat="1" hidden="1" spans="1:36">
      <c r="A1508" s="17" t="s">
        <v>34</v>
      </c>
      <c r="B1508" s="19">
        <v>808</v>
      </c>
      <c r="C1508" s="183">
        <v>44711</v>
      </c>
      <c r="D1508" s="17" t="s">
        <v>35</v>
      </c>
      <c r="E1508" s="17" t="s">
        <v>482</v>
      </c>
      <c r="F1508" s="17" t="s">
        <v>72</v>
      </c>
      <c r="H1508" s="19">
        <v>1.2379</v>
      </c>
      <c r="I1508" s="19"/>
      <c r="J1508" s="17" t="s">
        <v>39</v>
      </c>
      <c r="K1508" s="19">
        <v>83</v>
      </c>
      <c r="L1508" s="91"/>
      <c r="M1508" s="19">
        <v>5000</v>
      </c>
      <c r="N1508" s="19" t="s">
        <v>40</v>
      </c>
      <c r="O1508" s="19" t="s">
        <v>149</v>
      </c>
      <c r="P1508" s="19">
        <v>12000</v>
      </c>
      <c r="Q1508" s="17">
        <f>1692+1926+592+1418+1420+1422</f>
        <v>8470</v>
      </c>
      <c r="R1508" s="17">
        <f t="shared" si="81"/>
        <v>3530</v>
      </c>
      <c r="S1508" s="17">
        <f>3025-15</f>
        <v>3010</v>
      </c>
      <c r="T1508" s="19" t="s">
        <v>42</v>
      </c>
      <c r="U1508" s="102" t="s">
        <v>568</v>
      </c>
      <c r="V1508" s="186">
        <v>44711</v>
      </c>
      <c r="W1508" s="17" t="s">
        <v>44</v>
      </c>
      <c r="Y1508" s="68">
        <v>44835</v>
      </c>
      <c r="Z1508" s="17" t="s">
        <v>397</v>
      </c>
      <c r="AA1508" s="17" t="s">
        <v>46</v>
      </c>
      <c r="AB1508" s="17" t="s">
        <v>569</v>
      </c>
      <c r="AC1508" s="102" t="s">
        <v>570</v>
      </c>
      <c r="AD1508" s="65">
        <v>1362</v>
      </c>
      <c r="AE1508" s="17" t="s">
        <v>48</v>
      </c>
      <c r="AF1508" s="17" t="s">
        <v>571</v>
      </c>
    </row>
    <row r="1509" s="17" customFormat="1" hidden="1" spans="1:36">
      <c r="A1509" s="17" t="s">
        <v>34</v>
      </c>
      <c r="B1509" s="19">
        <v>808</v>
      </c>
      <c r="C1509" s="183">
        <v>44711</v>
      </c>
      <c r="D1509" s="17" t="s">
        <v>35</v>
      </c>
      <c r="E1509" s="17" t="s">
        <v>482</v>
      </c>
      <c r="F1509" s="17" t="s">
        <v>72</v>
      </c>
      <c r="H1509" s="19">
        <v>1.2379</v>
      </c>
      <c r="I1509" s="19"/>
      <c r="J1509" s="17" t="s">
        <v>39</v>
      </c>
      <c r="K1509" s="19">
        <v>123</v>
      </c>
      <c r="L1509" s="91"/>
      <c r="M1509" s="19">
        <v>5000</v>
      </c>
      <c r="N1509" s="19" t="s">
        <v>40</v>
      </c>
      <c r="O1509" s="19" t="s">
        <v>149</v>
      </c>
      <c r="P1509" s="19">
        <v>10000</v>
      </c>
      <c r="Q1509" s="17">
        <f>1815+1720+1815+1715+950+985</f>
        <v>9000</v>
      </c>
      <c r="R1509" s="17">
        <f t="shared" si="81"/>
        <v>1000</v>
      </c>
      <c r="S1509" s="17">
        <f>3025-15</f>
        <v>3010</v>
      </c>
      <c r="T1509" s="19" t="s">
        <v>42</v>
      </c>
      <c r="U1509" s="102" t="s">
        <v>568</v>
      </c>
      <c r="V1509" s="186">
        <v>44711</v>
      </c>
      <c r="W1509" s="17" t="s">
        <v>44</v>
      </c>
      <c r="Y1509" s="68">
        <v>44835</v>
      </c>
      <c r="Z1509" s="17" t="s">
        <v>397</v>
      </c>
      <c r="AA1509" s="17" t="s">
        <v>46</v>
      </c>
      <c r="AB1509" s="17" t="s">
        <v>572</v>
      </c>
      <c r="AC1509" s="102" t="s">
        <v>573</v>
      </c>
      <c r="AD1509" s="65">
        <v>1370</v>
      </c>
      <c r="AE1509" s="17" t="s">
        <v>48</v>
      </c>
      <c r="AF1509" s="17" t="s">
        <v>571</v>
      </c>
    </row>
    <row r="1510" s="17" customFormat="1" hidden="1" spans="1:36">
      <c r="A1510" s="17" t="s">
        <v>34</v>
      </c>
      <c r="B1510" s="19">
        <v>809</v>
      </c>
      <c r="C1510" s="101">
        <v>44711</v>
      </c>
      <c r="D1510" s="17" t="s">
        <v>52</v>
      </c>
      <c r="E1510" s="17" t="s">
        <v>187</v>
      </c>
      <c r="F1510" s="17" t="s">
        <v>54</v>
      </c>
      <c r="H1510" s="19">
        <v>1.2316</v>
      </c>
      <c r="I1510" s="19"/>
      <c r="J1510" s="17" t="s">
        <v>49</v>
      </c>
      <c r="K1510" s="17">
        <v>1250</v>
      </c>
      <c r="L1510" s="91">
        <v>205</v>
      </c>
      <c r="M1510" s="19">
        <v>2500</v>
      </c>
      <c r="N1510" s="19" t="s">
        <v>66</v>
      </c>
      <c r="O1510" s="19" t="s">
        <v>149</v>
      </c>
      <c r="P1510" s="19">
        <v>9052</v>
      </c>
      <c r="Q1510" s="19">
        <v>4030</v>
      </c>
      <c r="R1510" s="19">
        <f t="shared" si="81"/>
        <v>5022</v>
      </c>
      <c r="S1510" s="19">
        <f>3650-150</f>
        <v>3500</v>
      </c>
      <c r="T1510" s="19" t="s">
        <v>42</v>
      </c>
      <c r="U1510" s="102" t="s">
        <v>574</v>
      </c>
      <c r="V1510" s="186">
        <v>44712</v>
      </c>
      <c r="W1510" s="17" t="s">
        <v>69</v>
      </c>
      <c r="Y1510" s="68">
        <v>44743</v>
      </c>
      <c r="Z1510" s="17" t="s">
        <v>191</v>
      </c>
      <c r="AA1510" s="17" t="s">
        <v>46</v>
      </c>
      <c r="AB1510" s="17" t="s">
        <v>575</v>
      </c>
      <c r="AC1510" s="17" t="s">
        <v>576</v>
      </c>
      <c r="AD1510" s="65">
        <v>1350</v>
      </c>
      <c r="AE1510" s="17" t="s">
        <v>48</v>
      </c>
      <c r="AF1510" s="17" t="s">
        <v>245</v>
      </c>
    </row>
    <row r="1511" s="17" customFormat="1" hidden="1" spans="1:36">
      <c r="A1511" s="17" t="s">
        <v>34</v>
      </c>
      <c r="B1511" s="19">
        <v>809</v>
      </c>
      <c r="C1511" s="101">
        <v>44711</v>
      </c>
      <c r="D1511" s="17" t="s">
        <v>52</v>
      </c>
      <c r="E1511" s="17" t="s">
        <v>187</v>
      </c>
      <c r="F1511" s="17" t="s">
        <v>54</v>
      </c>
      <c r="H1511" s="19" t="s">
        <v>117</v>
      </c>
      <c r="I1511" s="19"/>
      <c r="J1511" s="17" t="s">
        <v>49</v>
      </c>
      <c r="K1511" s="17">
        <v>1250</v>
      </c>
      <c r="L1511" s="91">
        <v>135</v>
      </c>
      <c r="M1511" s="19">
        <v>2500</v>
      </c>
      <c r="N1511" s="19" t="s">
        <v>66</v>
      </c>
      <c r="O1511" s="19" t="s">
        <v>149</v>
      </c>
      <c r="P1511" s="19">
        <v>5961</v>
      </c>
      <c r="Q1511" s="19">
        <v>4190</v>
      </c>
      <c r="R1511" s="19">
        <f t="shared" si="81"/>
        <v>1771</v>
      </c>
      <c r="S1511" s="19">
        <f>3750-150</f>
        <v>3600</v>
      </c>
      <c r="T1511" s="19" t="s">
        <v>42</v>
      </c>
      <c r="U1511" s="102" t="s">
        <v>574</v>
      </c>
      <c r="V1511" s="186">
        <v>44712</v>
      </c>
      <c r="W1511" s="17" t="s">
        <v>69</v>
      </c>
      <c r="Y1511" s="68">
        <v>44743</v>
      </c>
      <c r="Z1511" s="17" t="s">
        <v>191</v>
      </c>
      <c r="AA1511" s="17" t="s">
        <v>46</v>
      </c>
      <c r="AB1511" s="17" t="s">
        <v>575</v>
      </c>
      <c r="AC1511" s="17" t="s">
        <v>576</v>
      </c>
      <c r="AD1511" s="65">
        <v>1350</v>
      </c>
      <c r="AE1511" s="17" t="s">
        <v>48</v>
      </c>
      <c r="AF1511" s="17" t="s">
        <v>245</v>
      </c>
    </row>
    <row r="1512" s="17" customFormat="1" hidden="1" spans="1:36">
      <c r="A1512" s="17" t="s">
        <v>34</v>
      </c>
      <c r="B1512" s="19">
        <v>809</v>
      </c>
      <c r="C1512" s="101">
        <v>44711</v>
      </c>
      <c r="D1512" s="17" t="s">
        <v>52</v>
      </c>
      <c r="E1512" s="17" t="s">
        <v>187</v>
      </c>
      <c r="F1512" s="17" t="s">
        <v>54</v>
      </c>
      <c r="H1512" s="19" t="s">
        <v>117</v>
      </c>
      <c r="I1512" s="19"/>
      <c r="J1512" s="17" t="s">
        <v>49</v>
      </c>
      <c r="K1512" s="17">
        <v>1250</v>
      </c>
      <c r="L1512" s="91">
        <v>155</v>
      </c>
      <c r="M1512" s="19">
        <v>2500</v>
      </c>
      <c r="N1512" s="19" t="s">
        <v>66</v>
      </c>
      <c r="O1512" s="19" t="s">
        <v>149</v>
      </c>
      <c r="P1512" s="19">
        <v>6844</v>
      </c>
      <c r="Q1512" s="19">
        <v>4060</v>
      </c>
      <c r="R1512" s="19">
        <f t="shared" si="81"/>
        <v>2784</v>
      </c>
      <c r="S1512" s="19">
        <f>3750-150</f>
        <v>3600</v>
      </c>
      <c r="T1512" s="19" t="s">
        <v>42</v>
      </c>
      <c r="U1512" s="102" t="s">
        <v>574</v>
      </c>
      <c r="V1512" s="186">
        <v>44712</v>
      </c>
      <c r="W1512" s="17" t="s">
        <v>69</v>
      </c>
      <c r="Y1512" s="68">
        <v>44743</v>
      </c>
      <c r="Z1512" s="17" t="s">
        <v>191</v>
      </c>
      <c r="AA1512" s="17" t="s">
        <v>46</v>
      </c>
      <c r="AB1512" s="17" t="s">
        <v>575</v>
      </c>
      <c r="AC1512" s="17" t="s">
        <v>576</v>
      </c>
      <c r="AD1512" s="65">
        <v>1350</v>
      </c>
      <c r="AE1512" s="17" t="s">
        <v>48</v>
      </c>
      <c r="AF1512" s="17" t="s">
        <v>245</v>
      </c>
    </row>
    <row r="1513" s="17" customFormat="1" hidden="1" spans="1:36">
      <c r="A1513" s="17" t="s">
        <v>34</v>
      </c>
      <c r="B1513" s="19">
        <v>809</v>
      </c>
      <c r="C1513" s="101">
        <v>44711</v>
      </c>
      <c r="D1513" s="17" t="s">
        <v>52</v>
      </c>
      <c r="E1513" s="17" t="s">
        <v>187</v>
      </c>
      <c r="F1513" s="17" t="s">
        <v>54</v>
      </c>
      <c r="H1513" s="19" t="s">
        <v>117</v>
      </c>
      <c r="I1513" s="19"/>
      <c r="J1513" s="17" t="s">
        <v>49</v>
      </c>
      <c r="K1513" s="17">
        <v>1250</v>
      </c>
      <c r="L1513" s="91">
        <v>255</v>
      </c>
      <c r="M1513" s="19">
        <v>2500</v>
      </c>
      <c r="N1513" s="19" t="s">
        <v>66</v>
      </c>
      <c r="O1513" s="19" t="s">
        <v>149</v>
      </c>
      <c r="P1513" s="19">
        <v>11260</v>
      </c>
      <c r="Q1513" s="19">
        <v>7798</v>
      </c>
      <c r="R1513" s="19">
        <f t="shared" si="81"/>
        <v>3462</v>
      </c>
      <c r="S1513" s="19">
        <f>3750-150</f>
        <v>3600</v>
      </c>
      <c r="T1513" s="19" t="s">
        <v>42</v>
      </c>
      <c r="U1513" s="102" t="s">
        <v>574</v>
      </c>
      <c r="V1513" s="186">
        <v>44712</v>
      </c>
      <c r="W1513" s="17" t="s">
        <v>69</v>
      </c>
      <c r="Y1513" s="68">
        <v>44743</v>
      </c>
      <c r="Z1513" s="17" t="s">
        <v>191</v>
      </c>
      <c r="AA1513" s="17" t="s">
        <v>46</v>
      </c>
      <c r="AB1513" s="17" t="s">
        <v>575</v>
      </c>
      <c r="AC1513" s="17" t="s">
        <v>576</v>
      </c>
      <c r="AD1513" s="65">
        <v>1350</v>
      </c>
      <c r="AE1513" s="17" t="s">
        <v>48</v>
      </c>
      <c r="AF1513" s="17" t="s">
        <v>245</v>
      </c>
    </row>
    <row r="1514" s="17" customFormat="1" hidden="1" spans="1:36">
      <c r="A1514" s="17" t="s">
        <v>34</v>
      </c>
      <c r="B1514" s="19">
        <v>810</v>
      </c>
      <c r="C1514" s="101">
        <v>44721</v>
      </c>
      <c r="D1514" s="17" t="s">
        <v>52</v>
      </c>
      <c r="E1514" s="17" t="s">
        <v>187</v>
      </c>
      <c r="F1514" s="17" t="s">
        <v>54</v>
      </c>
      <c r="H1514" s="19">
        <v>1.2311</v>
      </c>
      <c r="I1514" s="19"/>
      <c r="J1514" s="17" t="s">
        <v>49</v>
      </c>
      <c r="K1514" s="17">
        <v>2000</v>
      </c>
      <c r="L1514" s="91">
        <v>40</v>
      </c>
      <c r="N1514" s="17" t="s">
        <v>66</v>
      </c>
      <c r="O1514" s="19" t="s">
        <v>141</v>
      </c>
      <c r="P1514" s="19">
        <v>3533</v>
      </c>
      <c r="Q1514" s="17">
        <v>3315</v>
      </c>
      <c r="R1514" s="17">
        <f t="shared" si="81"/>
        <v>218</v>
      </c>
      <c r="S1514" s="17">
        <v>1280</v>
      </c>
      <c r="T1514" s="19" t="s">
        <v>42</v>
      </c>
      <c r="U1514" s="102" t="s">
        <v>577</v>
      </c>
      <c r="V1514" s="110">
        <v>44720</v>
      </c>
      <c r="W1514" s="17" t="s">
        <v>69</v>
      </c>
      <c r="Y1514" s="68">
        <v>44713</v>
      </c>
      <c r="Z1514" s="17" t="s">
        <v>191</v>
      </c>
      <c r="AA1514" s="17" t="s">
        <v>46</v>
      </c>
      <c r="AB1514" s="17" t="s">
        <v>474</v>
      </c>
      <c r="AC1514" s="66" t="s">
        <v>475</v>
      </c>
      <c r="AD1514" s="65">
        <v>1316</v>
      </c>
      <c r="AE1514" s="17" t="s">
        <v>481</v>
      </c>
      <c r="AF1514" s="17" t="s">
        <v>245</v>
      </c>
    </row>
    <row r="1515" s="17" customFormat="1" hidden="1" spans="1:36">
      <c r="A1515" s="17" t="s">
        <v>34</v>
      </c>
      <c r="B1515" s="19">
        <v>810</v>
      </c>
      <c r="C1515" s="101">
        <v>44721</v>
      </c>
      <c r="D1515" s="17" t="s">
        <v>52</v>
      </c>
      <c r="E1515" s="17" t="s">
        <v>187</v>
      </c>
      <c r="F1515" s="17" t="s">
        <v>54</v>
      </c>
      <c r="H1515" s="19">
        <v>1.2311</v>
      </c>
      <c r="I1515" s="19"/>
      <c r="J1515" s="17" t="s">
        <v>49</v>
      </c>
      <c r="K1515" s="17">
        <v>2000</v>
      </c>
      <c r="L1515" s="91">
        <v>45</v>
      </c>
      <c r="N1515" s="17" t="s">
        <v>66</v>
      </c>
      <c r="O1515" s="19" t="s">
        <v>141</v>
      </c>
      <c r="P1515" s="19">
        <v>3974</v>
      </c>
      <c r="Q1515" s="17">
        <v>3710</v>
      </c>
      <c r="R1515" s="17">
        <f t="shared" si="81"/>
        <v>264</v>
      </c>
      <c r="S1515" s="17">
        <v>1280</v>
      </c>
      <c r="T1515" s="19" t="s">
        <v>42</v>
      </c>
      <c r="U1515" s="102" t="s">
        <v>577</v>
      </c>
      <c r="V1515" s="110">
        <v>44720</v>
      </c>
      <c r="W1515" s="17" t="s">
        <v>69</v>
      </c>
      <c r="Y1515" s="68">
        <v>44713</v>
      </c>
      <c r="Z1515" s="17" t="s">
        <v>191</v>
      </c>
      <c r="AA1515" s="17" t="s">
        <v>46</v>
      </c>
      <c r="AB1515" s="17" t="s">
        <v>474</v>
      </c>
      <c r="AC1515" s="66" t="s">
        <v>475</v>
      </c>
      <c r="AD1515" s="65">
        <v>1316</v>
      </c>
      <c r="AE1515" s="17" t="s">
        <v>481</v>
      </c>
      <c r="AF1515" s="17" t="s">
        <v>245</v>
      </c>
    </row>
    <row r="1516" s="17" customFormat="1" hidden="1" spans="1:36">
      <c r="A1516" s="17" t="s">
        <v>34</v>
      </c>
      <c r="B1516" s="19">
        <v>810</v>
      </c>
      <c r="C1516" s="101">
        <v>44721</v>
      </c>
      <c r="D1516" s="17" t="s">
        <v>52</v>
      </c>
      <c r="E1516" s="17" t="s">
        <v>187</v>
      </c>
      <c r="F1516" s="17" t="s">
        <v>54</v>
      </c>
      <c r="H1516" s="19">
        <v>1.2311</v>
      </c>
      <c r="I1516" s="19"/>
      <c r="J1516" s="17" t="s">
        <v>49</v>
      </c>
      <c r="K1516" s="17">
        <v>2000</v>
      </c>
      <c r="L1516" s="91">
        <v>50</v>
      </c>
      <c r="M1516" s="17">
        <v>5300</v>
      </c>
      <c r="N1516" s="17" t="s">
        <v>66</v>
      </c>
      <c r="O1516" s="19" t="s">
        <v>141</v>
      </c>
      <c r="P1516" s="19">
        <v>4416</v>
      </c>
      <c r="Q1516" s="17">
        <v>4990</v>
      </c>
      <c r="R1516" s="17">
        <f t="shared" si="81"/>
        <v>-574</v>
      </c>
      <c r="S1516" s="17">
        <v>1280</v>
      </c>
      <c r="T1516" s="19" t="s">
        <v>42</v>
      </c>
      <c r="U1516" s="102" t="s">
        <v>577</v>
      </c>
      <c r="V1516" s="110">
        <v>44720</v>
      </c>
      <c r="W1516" s="17" t="s">
        <v>69</v>
      </c>
      <c r="Y1516" s="68">
        <v>44713</v>
      </c>
      <c r="Z1516" s="17" t="s">
        <v>191</v>
      </c>
      <c r="AA1516" s="17" t="s">
        <v>46</v>
      </c>
      <c r="AB1516" s="17" t="s">
        <v>578</v>
      </c>
      <c r="AC1516" s="66" t="s">
        <v>408</v>
      </c>
      <c r="AD1516" s="65">
        <v>1312</v>
      </c>
      <c r="AE1516" s="17" t="s">
        <v>481</v>
      </c>
      <c r="AF1516" s="17" t="s">
        <v>245</v>
      </c>
    </row>
    <row r="1517" s="17" customFormat="1" hidden="1" spans="1:36">
      <c r="A1517" s="17" t="s">
        <v>34</v>
      </c>
      <c r="B1517" s="19">
        <v>810</v>
      </c>
      <c r="C1517" s="101">
        <v>44721</v>
      </c>
      <c r="D1517" s="17" t="s">
        <v>52</v>
      </c>
      <c r="E1517" s="17" t="s">
        <v>187</v>
      </c>
      <c r="F1517" s="17" t="s">
        <v>54</v>
      </c>
      <c r="H1517" s="19">
        <v>1.2311</v>
      </c>
      <c r="I1517" s="19"/>
      <c r="J1517" s="17" t="s">
        <v>49</v>
      </c>
      <c r="K1517" s="19">
        <v>2000</v>
      </c>
      <c r="L1517" s="91">
        <v>105</v>
      </c>
      <c r="M1517" s="17">
        <v>4900</v>
      </c>
      <c r="N1517" s="17" t="s">
        <v>66</v>
      </c>
      <c r="O1517" s="19" t="s">
        <v>141</v>
      </c>
      <c r="P1517" s="19">
        <v>9829</v>
      </c>
      <c r="Q1517" s="17">
        <v>9555</v>
      </c>
      <c r="R1517" s="17">
        <f t="shared" si="81"/>
        <v>274</v>
      </c>
      <c r="S1517" s="17">
        <v>1280</v>
      </c>
      <c r="T1517" s="19" t="s">
        <v>42</v>
      </c>
      <c r="U1517" s="102" t="s">
        <v>577</v>
      </c>
      <c r="V1517" s="110">
        <v>44720</v>
      </c>
      <c r="W1517" s="17" t="s">
        <v>69</v>
      </c>
      <c r="Y1517" s="68">
        <v>44713</v>
      </c>
      <c r="Z1517" s="17" t="s">
        <v>191</v>
      </c>
      <c r="AA1517" s="17" t="s">
        <v>46</v>
      </c>
      <c r="AB1517" s="17" t="s">
        <v>566</v>
      </c>
      <c r="AC1517" s="66" t="s">
        <v>408</v>
      </c>
      <c r="AD1517" s="65">
        <v>1311</v>
      </c>
      <c r="AE1517" s="17" t="s">
        <v>481</v>
      </c>
      <c r="AF1517" s="17" t="s">
        <v>245</v>
      </c>
    </row>
    <row r="1518" s="17" customFormat="1" hidden="1" spans="1:36">
      <c r="A1518" s="17" t="s">
        <v>34</v>
      </c>
      <c r="B1518" s="19">
        <v>810</v>
      </c>
      <c r="C1518" s="101">
        <v>44721</v>
      </c>
      <c r="D1518" s="17" t="s">
        <v>52</v>
      </c>
      <c r="E1518" s="17" t="s">
        <v>187</v>
      </c>
      <c r="F1518" s="17" t="s">
        <v>54</v>
      </c>
      <c r="G1518" s="17" t="s">
        <v>184</v>
      </c>
      <c r="H1518" s="19">
        <v>1.2311</v>
      </c>
      <c r="I1518" s="19"/>
      <c r="J1518" s="17" t="s">
        <v>49</v>
      </c>
      <c r="K1518" s="19">
        <v>2000</v>
      </c>
      <c r="L1518" s="91">
        <v>110</v>
      </c>
      <c r="M1518" s="17">
        <v>5300</v>
      </c>
      <c r="N1518" s="17" t="s">
        <v>66</v>
      </c>
      <c r="O1518" s="19" t="s">
        <v>141</v>
      </c>
      <c r="P1518" s="19">
        <v>10297</v>
      </c>
      <c r="Q1518" s="17">
        <v>10700</v>
      </c>
      <c r="R1518" s="17">
        <f t="shared" si="81"/>
        <v>-403</v>
      </c>
      <c r="S1518" s="17">
        <v>1280</v>
      </c>
      <c r="T1518" s="19" t="s">
        <v>42</v>
      </c>
      <c r="U1518" s="102" t="s">
        <v>577</v>
      </c>
      <c r="V1518" s="110">
        <v>44720</v>
      </c>
      <c r="W1518" s="17" t="s">
        <v>69</v>
      </c>
      <c r="Y1518" s="68">
        <v>44713</v>
      </c>
      <c r="Z1518" s="17" t="s">
        <v>191</v>
      </c>
      <c r="AA1518" s="17" t="s">
        <v>46</v>
      </c>
      <c r="AB1518" s="17" t="s">
        <v>578</v>
      </c>
      <c r="AC1518" s="66" t="s">
        <v>408</v>
      </c>
      <c r="AD1518" s="65">
        <v>1312</v>
      </c>
      <c r="AE1518" s="17" t="s">
        <v>481</v>
      </c>
      <c r="AF1518" s="17" t="s">
        <v>245</v>
      </c>
    </row>
    <row r="1519" s="17" customFormat="1" hidden="1" spans="1:36">
      <c r="A1519" s="17" t="s">
        <v>34</v>
      </c>
      <c r="B1519" s="19">
        <v>810</v>
      </c>
      <c r="C1519" s="101">
        <v>44721</v>
      </c>
      <c r="D1519" s="17" t="s">
        <v>52</v>
      </c>
      <c r="E1519" s="17" t="s">
        <v>187</v>
      </c>
      <c r="F1519" s="17" t="s">
        <v>54</v>
      </c>
      <c r="H1519" s="19">
        <v>1.2311</v>
      </c>
      <c r="I1519" s="19"/>
      <c r="J1519" s="17" t="s">
        <v>49</v>
      </c>
      <c r="K1519" s="19">
        <v>2000</v>
      </c>
      <c r="L1519" s="91">
        <v>115</v>
      </c>
      <c r="M1519" s="17">
        <v>5300</v>
      </c>
      <c r="N1519" s="17" t="s">
        <v>66</v>
      </c>
      <c r="O1519" s="19" t="s">
        <v>141</v>
      </c>
      <c r="P1519" s="19">
        <v>10765</v>
      </c>
      <c r="Q1519" s="17">
        <v>11370</v>
      </c>
      <c r="R1519" s="17">
        <f t="shared" si="81"/>
        <v>-605</v>
      </c>
      <c r="S1519" s="17">
        <v>1280</v>
      </c>
      <c r="T1519" s="19" t="s">
        <v>42</v>
      </c>
      <c r="U1519" s="102" t="s">
        <v>577</v>
      </c>
      <c r="V1519" s="110">
        <v>44720</v>
      </c>
      <c r="W1519" s="17" t="s">
        <v>69</v>
      </c>
      <c r="Y1519" s="68">
        <v>44713</v>
      </c>
      <c r="Z1519" s="17" t="s">
        <v>191</v>
      </c>
      <c r="AA1519" s="17" t="s">
        <v>46</v>
      </c>
      <c r="AB1519" s="17" t="s">
        <v>578</v>
      </c>
      <c r="AC1519" s="66" t="s">
        <v>408</v>
      </c>
      <c r="AD1519" s="65">
        <v>1312</v>
      </c>
      <c r="AE1519" s="17" t="s">
        <v>481</v>
      </c>
      <c r="AF1519" s="17" t="s">
        <v>245</v>
      </c>
    </row>
    <row r="1520" s="17" customFormat="1" hidden="1" spans="1:36">
      <c r="A1520" s="17" t="s">
        <v>34</v>
      </c>
      <c r="B1520" s="19">
        <v>810</v>
      </c>
      <c r="C1520" s="101">
        <v>44721</v>
      </c>
      <c r="D1520" s="17" t="s">
        <v>52</v>
      </c>
      <c r="E1520" s="17" t="s">
        <v>187</v>
      </c>
      <c r="F1520" s="17" t="s">
        <v>54</v>
      </c>
      <c r="H1520" s="19">
        <v>1.2311</v>
      </c>
      <c r="I1520" s="19"/>
      <c r="J1520" s="17" t="s">
        <v>49</v>
      </c>
      <c r="K1520" s="19">
        <v>2000</v>
      </c>
      <c r="L1520" s="91">
        <v>120</v>
      </c>
      <c r="M1520" s="17">
        <v>4600</v>
      </c>
      <c r="N1520" s="17" t="s">
        <v>66</v>
      </c>
      <c r="O1520" s="19" t="s">
        <v>141</v>
      </c>
      <c r="P1520" s="19">
        <v>11233</v>
      </c>
      <c r="Q1520" s="17">
        <v>10000</v>
      </c>
      <c r="R1520" s="17">
        <f t="shared" si="81"/>
        <v>1233</v>
      </c>
      <c r="S1520" s="17">
        <v>1280</v>
      </c>
      <c r="T1520" s="19" t="s">
        <v>42</v>
      </c>
      <c r="U1520" s="102" t="s">
        <v>577</v>
      </c>
      <c r="V1520" s="110">
        <v>44720</v>
      </c>
      <c r="W1520" s="17" t="s">
        <v>69</v>
      </c>
      <c r="Y1520" s="68">
        <v>44713</v>
      </c>
      <c r="Z1520" s="17" t="s">
        <v>191</v>
      </c>
      <c r="AA1520" s="17" t="s">
        <v>46</v>
      </c>
      <c r="AB1520" s="17" t="s">
        <v>566</v>
      </c>
      <c r="AC1520" s="66" t="s">
        <v>408</v>
      </c>
      <c r="AD1520" s="65">
        <v>1311</v>
      </c>
      <c r="AE1520" s="17" t="s">
        <v>481</v>
      </c>
      <c r="AF1520" s="17" t="s">
        <v>245</v>
      </c>
    </row>
    <row r="1521" s="17" customFormat="1" hidden="1" spans="1:36">
      <c r="A1521" s="17" t="s">
        <v>34</v>
      </c>
      <c r="B1521" s="19">
        <v>811</v>
      </c>
      <c r="C1521" s="101">
        <v>44723</v>
      </c>
      <c r="D1521" s="17" t="s">
        <v>52</v>
      </c>
      <c r="E1521" s="17" t="s">
        <v>187</v>
      </c>
      <c r="F1521" s="17" t="s">
        <v>54</v>
      </c>
      <c r="G1521" s="19"/>
      <c r="H1521" s="19">
        <v>1.2311</v>
      </c>
      <c r="I1521" s="19"/>
      <c r="J1521" s="19" t="s">
        <v>49</v>
      </c>
      <c r="K1521" s="19">
        <v>2000</v>
      </c>
      <c r="L1521" s="91">
        <v>200</v>
      </c>
      <c r="M1521" s="19">
        <v>3400</v>
      </c>
      <c r="N1521" s="19" t="s">
        <v>66</v>
      </c>
      <c r="O1521" s="19" t="s">
        <v>141</v>
      </c>
      <c r="P1521" s="19">
        <v>10362</v>
      </c>
      <c r="Q1521" s="17">
        <v>11000</v>
      </c>
      <c r="R1521" s="17">
        <f t="shared" si="81"/>
        <v>-638</v>
      </c>
      <c r="S1521" s="17">
        <v>1535</v>
      </c>
      <c r="T1521" s="19" t="s">
        <v>42</v>
      </c>
      <c r="U1521" s="102" t="s">
        <v>579</v>
      </c>
      <c r="V1521" s="186">
        <v>44722</v>
      </c>
      <c r="W1521" s="17" t="s">
        <v>69</v>
      </c>
      <c r="Y1521" s="68">
        <v>44713</v>
      </c>
      <c r="Z1521" s="17" t="s">
        <v>191</v>
      </c>
      <c r="AA1521" s="17" t="s">
        <v>46</v>
      </c>
      <c r="AB1521" s="17" t="s">
        <v>578</v>
      </c>
      <c r="AC1521" s="66" t="s">
        <v>408</v>
      </c>
      <c r="AD1521" s="65">
        <v>1312</v>
      </c>
      <c r="AE1521" s="17" t="s">
        <v>567</v>
      </c>
      <c r="AF1521" s="17" t="s">
        <v>245</v>
      </c>
    </row>
    <row r="1522" s="17" customFormat="1" hidden="1" spans="1:36">
      <c r="A1522" s="17" t="s">
        <v>34</v>
      </c>
      <c r="B1522" s="19">
        <v>811</v>
      </c>
      <c r="C1522" s="101">
        <v>44723</v>
      </c>
      <c r="D1522" s="17" t="s">
        <v>52</v>
      </c>
      <c r="E1522" s="17" t="s">
        <v>187</v>
      </c>
      <c r="F1522" s="17" t="s">
        <v>54</v>
      </c>
      <c r="G1522" s="19"/>
      <c r="H1522" s="19">
        <v>1.2311</v>
      </c>
      <c r="I1522" s="19"/>
      <c r="J1522" s="19" t="s">
        <v>49</v>
      </c>
      <c r="K1522" s="17">
        <v>2000</v>
      </c>
      <c r="L1522" s="91">
        <v>220</v>
      </c>
      <c r="M1522" s="19">
        <v>3200</v>
      </c>
      <c r="N1522" s="19" t="s">
        <v>66</v>
      </c>
      <c r="O1522" s="19" t="s">
        <v>141</v>
      </c>
      <c r="P1522" s="19">
        <v>11398</v>
      </c>
      <c r="Q1522" s="17">
        <v>11400</v>
      </c>
      <c r="R1522" s="17">
        <f t="shared" si="81"/>
        <v>-2</v>
      </c>
      <c r="S1522" s="17">
        <v>1535</v>
      </c>
      <c r="T1522" s="19" t="s">
        <v>42</v>
      </c>
      <c r="U1522" s="102" t="s">
        <v>579</v>
      </c>
      <c r="V1522" s="186">
        <v>44722</v>
      </c>
      <c r="W1522" s="17" t="s">
        <v>69</v>
      </c>
      <c r="Y1522" s="68">
        <v>44713</v>
      </c>
      <c r="Z1522" s="17" t="s">
        <v>191</v>
      </c>
      <c r="AA1522" s="17" t="s">
        <v>46</v>
      </c>
      <c r="AB1522" s="17" t="s">
        <v>580</v>
      </c>
      <c r="AC1522" s="66" t="s">
        <v>581</v>
      </c>
      <c r="AD1522" s="65">
        <v>1334</v>
      </c>
      <c r="AE1522" s="17" t="s">
        <v>567</v>
      </c>
      <c r="AF1522" s="17" t="s">
        <v>245</v>
      </c>
    </row>
    <row r="1523" s="17" customFormat="1" hidden="1" spans="1:36">
      <c r="A1523" s="17" t="s">
        <v>34</v>
      </c>
      <c r="B1523" s="19">
        <v>811</v>
      </c>
      <c r="C1523" s="101">
        <v>44723</v>
      </c>
      <c r="D1523" s="17" t="s">
        <v>52</v>
      </c>
      <c r="E1523" s="17" t="s">
        <v>187</v>
      </c>
      <c r="F1523" s="17" t="s">
        <v>54</v>
      </c>
      <c r="G1523" s="19"/>
      <c r="H1523" s="19">
        <v>1.2311</v>
      </c>
      <c r="I1523" s="19"/>
      <c r="J1523" s="19" t="s">
        <v>49</v>
      </c>
      <c r="K1523" s="19">
        <v>2000</v>
      </c>
      <c r="L1523" s="91">
        <v>230</v>
      </c>
      <c r="M1523" s="19">
        <v>4100</v>
      </c>
      <c r="N1523" s="19" t="s">
        <v>66</v>
      </c>
      <c r="O1523" s="19" t="s">
        <v>141</v>
      </c>
      <c r="P1523" s="19">
        <v>16250</v>
      </c>
      <c r="Q1523" s="17">
        <v>15290</v>
      </c>
      <c r="R1523" s="17">
        <f t="shared" si="81"/>
        <v>960</v>
      </c>
      <c r="S1523" s="17">
        <v>1535</v>
      </c>
      <c r="T1523" s="19" t="s">
        <v>42</v>
      </c>
      <c r="U1523" s="102" t="s">
        <v>579</v>
      </c>
      <c r="V1523" s="186">
        <v>44722</v>
      </c>
      <c r="W1523" s="17" t="s">
        <v>69</v>
      </c>
      <c r="Y1523" s="68">
        <v>44713</v>
      </c>
      <c r="Z1523" s="17" t="s">
        <v>191</v>
      </c>
      <c r="AA1523" s="17" t="s">
        <v>46</v>
      </c>
      <c r="AB1523" s="17" t="s">
        <v>578</v>
      </c>
      <c r="AC1523" s="66" t="s">
        <v>408</v>
      </c>
      <c r="AD1523" s="65">
        <v>1312</v>
      </c>
      <c r="AE1523" s="17" t="s">
        <v>567</v>
      </c>
      <c r="AF1523" s="17" t="s">
        <v>245</v>
      </c>
    </row>
    <row r="1524" s="17" customFormat="1" hidden="1" spans="1:36">
      <c r="A1524" s="17" t="s">
        <v>34</v>
      </c>
      <c r="B1524" s="19">
        <v>811</v>
      </c>
      <c r="C1524" s="101">
        <v>44723</v>
      </c>
      <c r="D1524" s="17" t="s">
        <v>52</v>
      </c>
      <c r="E1524" s="17" t="s">
        <v>187</v>
      </c>
      <c r="F1524" s="17" t="s">
        <v>54</v>
      </c>
      <c r="G1524" s="19"/>
      <c r="H1524" s="19">
        <v>1.2738</v>
      </c>
      <c r="I1524" s="19"/>
      <c r="J1524" s="19" t="s">
        <v>49</v>
      </c>
      <c r="K1524" s="132">
        <v>1550</v>
      </c>
      <c r="L1524" s="91">
        <v>205</v>
      </c>
      <c r="M1524" s="19">
        <v>5300</v>
      </c>
      <c r="N1524" s="19" t="s">
        <v>66</v>
      </c>
      <c r="O1524" s="19" t="s">
        <v>141</v>
      </c>
      <c r="P1524" s="19">
        <v>12874</v>
      </c>
      <c r="Q1524" s="17">
        <v>13285</v>
      </c>
      <c r="R1524" s="17">
        <f t="shared" si="81"/>
        <v>-411</v>
      </c>
      <c r="S1524" s="17">
        <v>1820</v>
      </c>
      <c r="T1524" s="19" t="s">
        <v>42</v>
      </c>
      <c r="U1524" s="102" t="s">
        <v>579</v>
      </c>
      <c r="V1524" s="186">
        <v>44722</v>
      </c>
      <c r="W1524" s="17" t="s">
        <v>69</v>
      </c>
      <c r="Y1524" s="68">
        <v>44713</v>
      </c>
      <c r="Z1524" s="17" t="s">
        <v>191</v>
      </c>
      <c r="AA1524" s="17" t="s">
        <v>46</v>
      </c>
      <c r="AB1524" s="17" t="s">
        <v>348</v>
      </c>
      <c r="AC1524" s="66" t="s">
        <v>349</v>
      </c>
      <c r="AD1524" s="65">
        <v>1326</v>
      </c>
      <c r="AE1524" s="17" t="s">
        <v>567</v>
      </c>
      <c r="AF1524" s="17" t="s">
        <v>245</v>
      </c>
    </row>
    <row r="1525" s="17" customFormat="1" hidden="1" spans="1:36">
      <c r="A1525" s="17" t="s">
        <v>34</v>
      </c>
      <c r="B1525" s="19">
        <v>812</v>
      </c>
      <c r="C1525" s="101">
        <v>44726</v>
      </c>
      <c r="D1525" s="17" t="s">
        <v>52</v>
      </c>
      <c r="E1525" s="17" t="s">
        <v>187</v>
      </c>
      <c r="F1525" s="17" t="s">
        <v>54</v>
      </c>
      <c r="G1525" s="19"/>
      <c r="H1525" s="19">
        <v>1.2311</v>
      </c>
      <c r="I1525" s="19"/>
      <c r="J1525" s="132" t="s">
        <v>49</v>
      </c>
      <c r="K1525" s="132">
        <v>1620</v>
      </c>
      <c r="L1525" s="91">
        <v>482</v>
      </c>
      <c r="M1525" s="17">
        <v>2950</v>
      </c>
      <c r="N1525" s="102" t="s">
        <v>66</v>
      </c>
      <c r="O1525" s="131" t="s">
        <v>168</v>
      </c>
      <c r="P1525" s="19">
        <v>18082</v>
      </c>
      <c r="Q1525" s="17">
        <v>17840</v>
      </c>
      <c r="R1525" s="17">
        <f t="shared" si="81"/>
        <v>242</v>
      </c>
      <c r="S1525" s="17">
        <v>1580</v>
      </c>
      <c r="T1525" s="19" t="s">
        <v>42</v>
      </c>
      <c r="U1525" s="102" t="s">
        <v>582</v>
      </c>
      <c r="V1525" s="110">
        <v>44728</v>
      </c>
      <c r="W1525" s="17" t="s">
        <v>69</v>
      </c>
      <c r="Y1525" s="68">
        <v>44743</v>
      </c>
      <c r="Z1525" s="17" t="s">
        <v>191</v>
      </c>
      <c r="AA1525" s="17" t="s">
        <v>46</v>
      </c>
      <c r="AB1525" s="17" t="s">
        <v>474</v>
      </c>
      <c r="AC1525" s="66" t="s">
        <v>475</v>
      </c>
      <c r="AD1525" s="65">
        <v>1316</v>
      </c>
      <c r="AE1525" s="17" t="s">
        <v>481</v>
      </c>
      <c r="AF1525" s="17" t="s">
        <v>245</v>
      </c>
      <c r="AJ1525" s="17" t="s">
        <v>583</v>
      </c>
    </row>
    <row r="1526" s="17" customFormat="1" hidden="1" spans="1:36">
      <c r="A1526" s="17" t="s">
        <v>34</v>
      </c>
      <c r="B1526" s="19">
        <v>813</v>
      </c>
      <c r="C1526" s="101" t="s">
        <v>328</v>
      </c>
      <c r="D1526" s="17" t="s">
        <v>52</v>
      </c>
      <c r="E1526" s="17" t="s">
        <v>187</v>
      </c>
      <c r="F1526" s="17" t="s">
        <v>54</v>
      </c>
      <c r="G1526" s="19"/>
      <c r="H1526" s="19">
        <v>1.2311</v>
      </c>
      <c r="I1526" s="19"/>
      <c r="J1526" s="132" t="s">
        <v>49</v>
      </c>
      <c r="K1526" s="132">
        <v>2200</v>
      </c>
      <c r="L1526" s="91">
        <v>20</v>
      </c>
      <c r="M1526" s="19">
        <v>4500</v>
      </c>
      <c r="N1526" s="19" t="s">
        <v>66</v>
      </c>
      <c r="O1526" s="131" t="s">
        <v>141</v>
      </c>
      <c r="P1526" s="19">
        <v>1727</v>
      </c>
      <c r="Q1526" s="17">
        <v>1715</v>
      </c>
      <c r="R1526" s="17">
        <f t="shared" si="81"/>
        <v>12</v>
      </c>
      <c r="S1526" s="17">
        <v>1205</v>
      </c>
      <c r="T1526" s="19" t="s">
        <v>42</v>
      </c>
      <c r="U1526" s="102" t="s">
        <v>584</v>
      </c>
      <c r="V1526" s="64" t="s">
        <v>585</v>
      </c>
      <c r="W1526" s="17" t="s">
        <v>69</v>
      </c>
      <c r="Y1526" s="68">
        <v>44743</v>
      </c>
      <c r="Z1526" s="17" t="s">
        <v>191</v>
      </c>
      <c r="AA1526" s="17" t="s">
        <v>46</v>
      </c>
      <c r="AB1526" s="17" t="s">
        <v>586</v>
      </c>
      <c r="AC1526" s="212">
        <v>44599</v>
      </c>
      <c r="AD1526" s="65">
        <v>1320</v>
      </c>
      <c r="AE1526" s="17" t="s">
        <v>74</v>
      </c>
      <c r="AF1526" s="17" t="s">
        <v>245</v>
      </c>
    </row>
    <row r="1527" s="17" customFormat="1" hidden="1" spans="1:36">
      <c r="A1527" s="17" t="s">
        <v>34</v>
      </c>
      <c r="B1527" s="19">
        <v>813</v>
      </c>
      <c r="C1527" s="101" t="s">
        <v>328</v>
      </c>
      <c r="D1527" s="17" t="s">
        <v>52</v>
      </c>
      <c r="E1527" s="17" t="s">
        <v>187</v>
      </c>
      <c r="F1527" s="17" t="s">
        <v>54</v>
      </c>
      <c r="G1527" s="19"/>
      <c r="H1527" s="19">
        <v>1.2311</v>
      </c>
      <c r="I1527" s="19"/>
      <c r="J1527" s="132" t="s">
        <v>49</v>
      </c>
      <c r="K1527" s="132">
        <v>2200</v>
      </c>
      <c r="L1527" s="91">
        <v>50</v>
      </c>
      <c r="M1527" s="19">
        <v>4500</v>
      </c>
      <c r="N1527" s="19" t="s">
        <v>66</v>
      </c>
      <c r="O1527" s="131" t="s">
        <v>141</v>
      </c>
      <c r="P1527" s="19">
        <v>4318</v>
      </c>
      <c r="Q1527" s="17">
        <v>4210</v>
      </c>
      <c r="R1527" s="17">
        <f t="shared" si="81"/>
        <v>108</v>
      </c>
      <c r="S1527" s="17">
        <v>1205</v>
      </c>
      <c r="T1527" s="19" t="s">
        <v>42</v>
      </c>
      <c r="U1527" s="102" t="s">
        <v>584</v>
      </c>
      <c r="V1527" s="64" t="s">
        <v>585</v>
      </c>
      <c r="W1527" s="17" t="s">
        <v>69</v>
      </c>
      <c r="Y1527" s="68">
        <v>44743</v>
      </c>
      <c r="Z1527" s="17" t="s">
        <v>191</v>
      </c>
      <c r="AA1527" s="17" t="s">
        <v>46</v>
      </c>
      <c r="AB1527" s="17" t="s">
        <v>586</v>
      </c>
      <c r="AC1527" s="212">
        <v>44599</v>
      </c>
      <c r="AD1527" s="65">
        <v>1320</v>
      </c>
      <c r="AE1527" s="17" t="s">
        <v>74</v>
      </c>
      <c r="AF1527" s="17" t="s">
        <v>245</v>
      </c>
    </row>
    <row r="1528" s="17" customFormat="1" hidden="1" spans="1:36">
      <c r="A1528" s="17" t="s">
        <v>34</v>
      </c>
      <c r="B1528" s="19">
        <v>813</v>
      </c>
      <c r="C1528" s="101" t="s">
        <v>328</v>
      </c>
      <c r="D1528" s="17" t="s">
        <v>52</v>
      </c>
      <c r="E1528" s="17" t="s">
        <v>187</v>
      </c>
      <c r="F1528" s="17" t="s">
        <v>54</v>
      </c>
      <c r="G1528" s="19"/>
      <c r="H1528" s="19">
        <v>1.2311</v>
      </c>
      <c r="I1528" s="19"/>
      <c r="J1528" s="132" t="s">
        <v>49</v>
      </c>
      <c r="K1528" s="132">
        <v>2200</v>
      </c>
      <c r="L1528" s="91">
        <v>100</v>
      </c>
      <c r="M1528" s="19">
        <v>3500</v>
      </c>
      <c r="N1528" s="19" t="s">
        <v>66</v>
      </c>
      <c r="O1528" s="131" t="s">
        <v>141</v>
      </c>
      <c r="P1528" s="19">
        <v>6908</v>
      </c>
      <c r="Q1528" s="17">
        <v>6315</v>
      </c>
      <c r="R1528" s="17">
        <f t="shared" si="81"/>
        <v>593</v>
      </c>
      <c r="S1528" s="17">
        <v>1205</v>
      </c>
      <c r="T1528" s="19" t="s">
        <v>42</v>
      </c>
      <c r="U1528" s="102" t="s">
        <v>584</v>
      </c>
      <c r="V1528" s="64" t="s">
        <v>585</v>
      </c>
      <c r="W1528" s="17" t="s">
        <v>69</v>
      </c>
      <c r="Y1528" s="68">
        <v>44743</v>
      </c>
      <c r="Z1528" s="17" t="s">
        <v>191</v>
      </c>
      <c r="AA1528" s="17" t="s">
        <v>46</v>
      </c>
      <c r="AB1528" s="17" t="s">
        <v>586</v>
      </c>
      <c r="AC1528" s="212">
        <v>44599</v>
      </c>
      <c r="AD1528" s="65">
        <v>1320</v>
      </c>
      <c r="AE1528" s="17" t="s">
        <v>74</v>
      </c>
      <c r="AF1528" s="17" t="s">
        <v>245</v>
      </c>
    </row>
    <row r="1529" s="17" customFormat="1" hidden="1" spans="1:36">
      <c r="A1529" s="17" t="s">
        <v>34</v>
      </c>
      <c r="B1529" s="19">
        <v>813</v>
      </c>
      <c r="C1529" s="101" t="s">
        <v>328</v>
      </c>
      <c r="D1529" s="17" t="s">
        <v>52</v>
      </c>
      <c r="E1529" s="17" t="s">
        <v>187</v>
      </c>
      <c r="F1529" s="17" t="s">
        <v>54</v>
      </c>
      <c r="G1529" s="19"/>
      <c r="H1529" s="19">
        <v>1.2311</v>
      </c>
      <c r="I1529" s="19"/>
      <c r="J1529" s="132" t="s">
        <v>49</v>
      </c>
      <c r="K1529" s="132">
        <v>2200</v>
      </c>
      <c r="L1529" s="91">
        <v>110</v>
      </c>
      <c r="M1529" s="19">
        <v>3000</v>
      </c>
      <c r="N1529" s="19" t="s">
        <v>66</v>
      </c>
      <c r="O1529" s="131" t="s">
        <v>141</v>
      </c>
      <c r="P1529" s="19">
        <v>6648</v>
      </c>
      <c r="Q1529" s="17">
        <v>5995</v>
      </c>
      <c r="R1529" s="17">
        <f t="shared" si="81"/>
        <v>653</v>
      </c>
      <c r="S1529" s="17">
        <v>1205</v>
      </c>
      <c r="T1529" s="19" t="s">
        <v>42</v>
      </c>
      <c r="U1529" s="102" t="s">
        <v>584</v>
      </c>
      <c r="V1529" s="64" t="s">
        <v>585</v>
      </c>
      <c r="W1529" s="17" t="s">
        <v>69</v>
      </c>
      <c r="Y1529" s="68">
        <v>44743</v>
      </c>
      <c r="Z1529" s="17" t="s">
        <v>191</v>
      </c>
      <c r="AA1529" s="17" t="s">
        <v>46</v>
      </c>
      <c r="AB1529" s="17" t="s">
        <v>586</v>
      </c>
      <c r="AC1529" s="212">
        <v>44599</v>
      </c>
      <c r="AD1529" s="65">
        <v>1320</v>
      </c>
      <c r="AE1529" s="17" t="s">
        <v>74</v>
      </c>
      <c r="AF1529" s="17" t="s">
        <v>245</v>
      </c>
    </row>
    <row r="1530" s="17" customFormat="1" hidden="1" spans="1:36">
      <c r="A1530" s="17" t="s">
        <v>34</v>
      </c>
      <c r="B1530" s="19">
        <v>813</v>
      </c>
      <c r="C1530" s="101" t="s">
        <v>328</v>
      </c>
      <c r="D1530" s="17" t="s">
        <v>52</v>
      </c>
      <c r="E1530" s="17" t="s">
        <v>187</v>
      </c>
      <c r="F1530" s="17" t="s">
        <v>54</v>
      </c>
      <c r="G1530" s="19"/>
      <c r="H1530" s="19">
        <v>1.2311</v>
      </c>
      <c r="I1530" s="19"/>
      <c r="J1530" s="132" t="s">
        <v>49</v>
      </c>
      <c r="K1530" s="132">
        <v>2200</v>
      </c>
      <c r="L1530" s="91">
        <v>120</v>
      </c>
      <c r="M1530" s="19">
        <v>3000</v>
      </c>
      <c r="N1530" s="19" t="s">
        <v>66</v>
      </c>
      <c r="O1530" s="131" t="s">
        <v>141</v>
      </c>
      <c r="P1530" s="19">
        <v>7253</v>
      </c>
      <c r="Q1530" s="17">
        <v>9580</v>
      </c>
      <c r="R1530" s="17">
        <f t="shared" si="81"/>
        <v>-2327</v>
      </c>
      <c r="S1530" s="17">
        <v>1205</v>
      </c>
      <c r="T1530" s="19" t="s">
        <v>42</v>
      </c>
      <c r="U1530" s="102" t="s">
        <v>584</v>
      </c>
      <c r="V1530" s="64" t="s">
        <v>585</v>
      </c>
      <c r="W1530" s="17" t="s">
        <v>69</v>
      </c>
      <c r="Y1530" s="68">
        <v>44743</v>
      </c>
      <c r="Z1530" s="17" t="s">
        <v>191</v>
      </c>
      <c r="AA1530" s="17" t="s">
        <v>46</v>
      </c>
      <c r="AB1530" s="17" t="s">
        <v>586</v>
      </c>
      <c r="AC1530" s="212">
        <v>44599</v>
      </c>
      <c r="AD1530" s="65">
        <v>1320</v>
      </c>
      <c r="AE1530" s="17" t="s">
        <v>74</v>
      </c>
      <c r="AF1530" s="17" t="s">
        <v>245</v>
      </c>
    </row>
    <row r="1531" s="17" customFormat="1" hidden="1" spans="1:36">
      <c r="A1531" s="17" t="s">
        <v>34</v>
      </c>
      <c r="B1531" s="19">
        <v>814</v>
      </c>
      <c r="C1531" s="101" t="s">
        <v>587</v>
      </c>
      <c r="D1531" s="17" t="s">
        <v>52</v>
      </c>
      <c r="E1531" s="17" t="s">
        <v>187</v>
      </c>
      <c r="F1531" s="17" t="s">
        <v>54</v>
      </c>
      <c r="G1531" s="19"/>
      <c r="H1531" s="19" t="s">
        <v>55</v>
      </c>
      <c r="I1531" s="19"/>
      <c r="J1531" s="132" t="s">
        <v>82</v>
      </c>
      <c r="K1531" s="132">
        <v>610</v>
      </c>
      <c r="L1531" s="91">
        <v>205</v>
      </c>
      <c r="M1531" s="19">
        <v>5000</v>
      </c>
      <c r="N1531" s="19" t="s">
        <v>40</v>
      </c>
      <c r="O1531" s="214" t="s">
        <v>149</v>
      </c>
      <c r="P1531" s="19">
        <v>3927</v>
      </c>
      <c r="Q1531" s="17">
        <v>4470</v>
      </c>
      <c r="R1531" s="17">
        <f t="shared" si="81"/>
        <v>-543</v>
      </c>
      <c r="S1531" s="17">
        <v>2335</v>
      </c>
      <c r="T1531" s="19" t="s">
        <v>42</v>
      </c>
      <c r="U1531" s="102" t="s">
        <v>588</v>
      </c>
      <c r="V1531" s="186" t="s">
        <v>585</v>
      </c>
      <c r="W1531" s="17" t="s">
        <v>69</v>
      </c>
      <c r="Y1531" s="68">
        <v>44774</v>
      </c>
      <c r="Z1531" s="17" t="s">
        <v>191</v>
      </c>
      <c r="AA1531" s="17" t="s">
        <v>46</v>
      </c>
      <c r="AB1531" s="17" t="s">
        <v>589</v>
      </c>
      <c r="AC1531" s="17" t="s">
        <v>590</v>
      </c>
      <c r="AD1531" s="65">
        <v>1346</v>
      </c>
      <c r="AE1531" s="17" t="s">
        <v>48</v>
      </c>
      <c r="AF1531" s="17" t="s">
        <v>245</v>
      </c>
    </row>
    <row r="1532" s="17" customFormat="1" hidden="1" spans="1:36">
      <c r="A1532" s="17" t="s">
        <v>34</v>
      </c>
      <c r="B1532" s="19">
        <v>814</v>
      </c>
      <c r="C1532" s="101" t="s">
        <v>587</v>
      </c>
      <c r="D1532" s="17" t="s">
        <v>52</v>
      </c>
      <c r="E1532" s="17" t="s">
        <v>187</v>
      </c>
      <c r="F1532" s="17" t="s">
        <v>54</v>
      </c>
      <c r="G1532" s="19"/>
      <c r="H1532" s="19" t="s">
        <v>55</v>
      </c>
      <c r="I1532" s="19"/>
      <c r="J1532" s="132" t="s">
        <v>82</v>
      </c>
      <c r="K1532" s="132">
        <v>610</v>
      </c>
      <c r="L1532" s="91">
        <v>255</v>
      </c>
      <c r="M1532" s="19">
        <v>5000</v>
      </c>
      <c r="N1532" s="19" t="s">
        <v>40</v>
      </c>
      <c r="O1532" s="214" t="s">
        <v>149</v>
      </c>
      <c r="P1532" s="19">
        <v>4884</v>
      </c>
      <c r="Q1532" s="17">
        <v>4694</v>
      </c>
      <c r="R1532" s="17">
        <f t="shared" si="81"/>
        <v>190</v>
      </c>
      <c r="S1532" s="17">
        <v>2335</v>
      </c>
      <c r="T1532" s="19" t="s">
        <v>42</v>
      </c>
      <c r="U1532" s="102" t="s">
        <v>588</v>
      </c>
      <c r="V1532" s="186" t="s">
        <v>585</v>
      </c>
      <c r="W1532" s="17" t="s">
        <v>69</v>
      </c>
      <c r="Y1532" s="68">
        <v>44774</v>
      </c>
      <c r="Z1532" s="17" t="s">
        <v>191</v>
      </c>
      <c r="AA1532" s="17" t="s">
        <v>46</v>
      </c>
      <c r="AB1532" s="17" t="s">
        <v>589</v>
      </c>
      <c r="AC1532" s="17" t="s">
        <v>590</v>
      </c>
      <c r="AD1532" s="65">
        <v>1346</v>
      </c>
      <c r="AE1532" s="17" t="s">
        <v>48</v>
      </c>
      <c r="AF1532" s="17" t="s">
        <v>245</v>
      </c>
    </row>
    <row r="1533" s="17" customFormat="1" hidden="1" spans="1:36">
      <c r="A1533" s="17" t="s">
        <v>34</v>
      </c>
      <c r="B1533" s="19">
        <v>814</v>
      </c>
      <c r="C1533" s="101" t="s">
        <v>587</v>
      </c>
      <c r="D1533" s="17" t="s">
        <v>52</v>
      </c>
      <c r="E1533" s="17" t="s">
        <v>187</v>
      </c>
      <c r="F1533" s="17" t="s">
        <v>54</v>
      </c>
      <c r="G1533" s="19"/>
      <c r="H1533" s="19" t="s">
        <v>55</v>
      </c>
      <c r="I1533" s="19"/>
      <c r="J1533" s="19" t="s">
        <v>82</v>
      </c>
      <c r="K1533" s="19">
        <v>610</v>
      </c>
      <c r="L1533" s="91">
        <v>180</v>
      </c>
      <c r="M1533" s="19">
        <v>5000</v>
      </c>
      <c r="N1533" s="19" t="s">
        <v>40</v>
      </c>
      <c r="O1533" s="19" t="s">
        <v>149</v>
      </c>
      <c r="P1533" s="19">
        <v>3448</v>
      </c>
      <c r="Q1533" s="17">
        <v>3696</v>
      </c>
      <c r="R1533" s="17">
        <f t="shared" si="81"/>
        <v>-248</v>
      </c>
      <c r="S1533" s="17">
        <v>2335</v>
      </c>
      <c r="T1533" s="19" t="s">
        <v>42</v>
      </c>
      <c r="U1533" s="102" t="s">
        <v>588</v>
      </c>
      <c r="V1533" s="186" t="s">
        <v>585</v>
      </c>
      <c r="W1533" s="17" t="s">
        <v>69</v>
      </c>
      <c r="Y1533" s="68">
        <v>44774</v>
      </c>
      <c r="Z1533" s="17" t="s">
        <v>191</v>
      </c>
      <c r="AA1533" s="17" t="s">
        <v>46</v>
      </c>
      <c r="AB1533" s="17" t="s">
        <v>589</v>
      </c>
      <c r="AC1533" s="17" t="s">
        <v>590</v>
      </c>
      <c r="AD1533" s="65">
        <v>1346</v>
      </c>
      <c r="AE1533" s="17" t="s">
        <v>48</v>
      </c>
      <c r="AF1533" s="17" t="s">
        <v>245</v>
      </c>
    </row>
    <row r="1534" s="17" customFormat="1" hidden="1" spans="1:36">
      <c r="A1534" s="17" t="s">
        <v>34</v>
      </c>
      <c r="B1534" s="19">
        <v>816</v>
      </c>
      <c r="C1534" s="101" t="s">
        <v>591</v>
      </c>
      <c r="D1534" s="17" t="s">
        <v>52</v>
      </c>
      <c r="E1534" s="17" t="s">
        <v>187</v>
      </c>
      <c r="F1534" s="17" t="s">
        <v>54</v>
      </c>
      <c r="G1534" s="19"/>
      <c r="H1534" s="19" t="s">
        <v>106</v>
      </c>
      <c r="I1534" s="19"/>
      <c r="J1534" s="19" t="s">
        <v>82</v>
      </c>
      <c r="K1534" s="19">
        <v>610</v>
      </c>
      <c r="L1534" s="91">
        <v>41</v>
      </c>
      <c r="M1534" s="19">
        <v>4307</v>
      </c>
      <c r="N1534" s="19" t="s">
        <v>66</v>
      </c>
      <c r="O1534" s="19" t="s">
        <v>141</v>
      </c>
      <c r="P1534" s="19">
        <v>953</v>
      </c>
      <c r="Q1534" s="17">
        <v>920</v>
      </c>
      <c r="R1534" s="17">
        <f t="shared" si="81"/>
        <v>33</v>
      </c>
      <c r="S1534" s="17">
        <v>1850</v>
      </c>
      <c r="T1534" s="19" t="s">
        <v>42</v>
      </c>
      <c r="U1534" s="102" t="s">
        <v>592</v>
      </c>
      <c r="V1534" s="110" t="s">
        <v>593</v>
      </c>
      <c r="W1534" s="17" t="s">
        <v>69</v>
      </c>
      <c r="Y1534" s="68">
        <v>44743</v>
      </c>
      <c r="Z1534" s="17" t="s">
        <v>191</v>
      </c>
      <c r="AA1534" s="17" t="s">
        <v>46</v>
      </c>
      <c r="AB1534" s="17" t="s">
        <v>348</v>
      </c>
      <c r="AC1534" s="66" t="s">
        <v>349</v>
      </c>
      <c r="AD1534" s="65">
        <v>1326</v>
      </c>
      <c r="AE1534" s="17" t="s">
        <v>48</v>
      </c>
      <c r="AF1534" s="17" t="s">
        <v>245</v>
      </c>
    </row>
    <row r="1535" s="17" customFormat="1" hidden="1" spans="1:36">
      <c r="A1535" s="17" t="s">
        <v>34</v>
      </c>
      <c r="B1535" s="19">
        <v>816</v>
      </c>
      <c r="C1535" s="101" t="s">
        <v>591</v>
      </c>
      <c r="D1535" s="17" t="s">
        <v>52</v>
      </c>
      <c r="E1535" s="17" t="s">
        <v>187</v>
      </c>
      <c r="F1535" s="17" t="s">
        <v>54</v>
      </c>
      <c r="G1535" s="19"/>
      <c r="H1535" s="19" t="s">
        <v>106</v>
      </c>
      <c r="I1535" s="19"/>
      <c r="J1535" s="19" t="s">
        <v>82</v>
      </c>
      <c r="K1535" s="91">
        <v>610</v>
      </c>
      <c r="L1535" s="91">
        <v>41</v>
      </c>
      <c r="M1535" s="19"/>
      <c r="N1535" s="19" t="s">
        <v>66</v>
      </c>
      <c r="O1535" s="19" t="s">
        <v>141</v>
      </c>
      <c r="P1535" s="19">
        <v>953</v>
      </c>
      <c r="Q1535" s="17">
        <v>920</v>
      </c>
      <c r="R1535" s="17">
        <f t="shared" si="81"/>
        <v>33</v>
      </c>
      <c r="S1535" s="17">
        <v>1850</v>
      </c>
      <c r="T1535" s="19" t="s">
        <v>42</v>
      </c>
      <c r="U1535" s="102" t="s">
        <v>592</v>
      </c>
      <c r="V1535" s="64" t="s">
        <v>593</v>
      </c>
      <c r="W1535" s="17" t="s">
        <v>69</v>
      </c>
      <c r="Y1535" s="68">
        <v>44743</v>
      </c>
      <c r="Z1535" s="17" t="s">
        <v>191</v>
      </c>
      <c r="AA1535" s="17" t="s">
        <v>46</v>
      </c>
      <c r="AB1535" s="17" t="s">
        <v>356</v>
      </c>
      <c r="AC1535" s="212">
        <v>44873</v>
      </c>
      <c r="AD1535" s="65">
        <v>1328</v>
      </c>
      <c r="AE1535" s="17" t="s">
        <v>48</v>
      </c>
      <c r="AF1535" s="17" t="s">
        <v>245</v>
      </c>
    </row>
    <row r="1536" s="17" customFormat="1" hidden="1" spans="1:36">
      <c r="A1536" s="17" t="s">
        <v>34</v>
      </c>
      <c r="B1536" s="19">
        <v>816</v>
      </c>
      <c r="C1536" s="101" t="s">
        <v>591</v>
      </c>
      <c r="D1536" s="17" t="s">
        <v>52</v>
      </c>
      <c r="E1536" s="17" t="s">
        <v>187</v>
      </c>
      <c r="F1536" s="17" t="s">
        <v>54</v>
      </c>
      <c r="G1536" s="19"/>
      <c r="H1536" s="19" t="s">
        <v>106</v>
      </c>
      <c r="I1536" s="19"/>
      <c r="J1536" s="19" t="s">
        <v>82</v>
      </c>
      <c r="K1536" s="91">
        <v>610</v>
      </c>
      <c r="L1536" s="91">
        <v>56</v>
      </c>
      <c r="M1536" s="19">
        <v>3500</v>
      </c>
      <c r="N1536" s="19" t="s">
        <v>66</v>
      </c>
      <c r="O1536" s="19" t="s">
        <v>141</v>
      </c>
      <c r="P1536" s="19">
        <v>250</v>
      </c>
      <c r="Q1536" s="17">
        <v>1038</v>
      </c>
      <c r="R1536" s="17">
        <f t="shared" si="81"/>
        <v>-788</v>
      </c>
      <c r="S1536" s="17">
        <v>1850</v>
      </c>
      <c r="T1536" s="19" t="s">
        <v>42</v>
      </c>
      <c r="U1536" s="102" t="s">
        <v>592</v>
      </c>
      <c r="V1536" s="110" t="s">
        <v>593</v>
      </c>
      <c r="W1536" s="17" t="s">
        <v>69</v>
      </c>
      <c r="Y1536" s="68">
        <v>44743</v>
      </c>
      <c r="Z1536" s="17" t="s">
        <v>191</v>
      </c>
      <c r="AA1536" s="17" t="s">
        <v>46</v>
      </c>
      <c r="AB1536" s="17" t="s">
        <v>348</v>
      </c>
      <c r="AC1536" s="66" t="s">
        <v>349</v>
      </c>
      <c r="AD1536" s="65">
        <v>1326</v>
      </c>
      <c r="AE1536" s="17" t="s">
        <v>48</v>
      </c>
      <c r="AF1536" s="17" t="s">
        <v>245</v>
      </c>
    </row>
    <row r="1537" s="17" customFormat="1" hidden="1" spans="1:35">
      <c r="A1537" s="17" t="s">
        <v>34</v>
      </c>
      <c r="B1537" s="19">
        <v>816</v>
      </c>
      <c r="C1537" s="101" t="s">
        <v>591</v>
      </c>
      <c r="D1537" s="17" t="s">
        <v>52</v>
      </c>
      <c r="E1537" s="17" t="s">
        <v>187</v>
      </c>
      <c r="F1537" s="17" t="s">
        <v>54</v>
      </c>
      <c r="G1537" s="19"/>
      <c r="H1537" s="19" t="s">
        <v>106</v>
      </c>
      <c r="I1537" s="19"/>
      <c r="J1537" s="19" t="s">
        <v>82</v>
      </c>
      <c r="K1537" s="91">
        <v>560</v>
      </c>
      <c r="L1537" s="91">
        <v>76</v>
      </c>
      <c r="M1537" s="19">
        <v>3795</v>
      </c>
      <c r="N1537" s="19" t="s">
        <v>66</v>
      </c>
      <c r="O1537" s="19" t="s">
        <v>141</v>
      </c>
      <c r="P1537" s="19">
        <v>1424</v>
      </c>
      <c r="Q1537" s="104">
        <v>1335</v>
      </c>
      <c r="R1537" s="17">
        <f t="shared" si="81"/>
        <v>89</v>
      </c>
      <c r="S1537" s="17">
        <v>1850</v>
      </c>
      <c r="T1537" s="19" t="s">
        <v>42</v>
      </c>
      <c r="U1537" s="102" t="s">
        <v>592</v>
      </c>
      <c r="V1537" s="110" t="s">
        <v>593</v>
      </c>
      <c r="W1537" s="17" t="s">
        <v>69</v>
      </c>
      <c r="Y1537" s="68">
        <v>44743</v>
      </c>
      <c r="Z1537" s="17" t="s">
        <v>191</v>
      </c>
      <c r="AA1537" s="17" t="s">
        <v>46</v>
      </c>
      <c r="AB1537" s="17" t="s">
        <v>348</v>
      </c>
      <c r="AC1537" s="66" t="s">
        <v>349</v>
      </c>
      <c r="AD1537" s="65">
        <v>1326</v>
      </c>
      <c r="AE1537" s="17" t="s">
        <v>48</v>
      </c>
      <c r="AF1537" s="17" t="s">
        <v>245</v>
      </c>
    </row>
    <row r="1538" s="19" customFormat="1" hidden="1" spans="1:35">
      <c r="A1538" s="102" t="s">
        <v>34</v>
      </c>
      <c r="B1538" s="19">
        <v>816</v>
      </c>
      <c r="C1538" s="101" t="s">
        <v>591</v>
      </c>
      <c r="D1538" s="17" t="s">
        <v>52</v>
      </c>
      <c r="E1538" s="17" t="s">
        <v>187</v>
      </c>
      <c r="F1538" s="17" t="s">
        <v>54</v>
      </c>
      <c r="H1538" s="19" t="s">
        <v>106</v>
      </c>
      <c r="J1538" s="19" t="s">
        <v>82</v>
      </c>
      <c r="K1538" s="91">
        <v>560</v>
      </c>
      <c r="L1538" s="91">
        <v>86</v>
      </c>
      <c r="N1538" s="19" t="s">
        <v>66</v>
      </c>
      <c r="O1538" s="19" t="s">
        <v>141</v>
      </c>
      <c r="P1538" s="215">
        <v>1740</v>
      </c>
      <c r="Q1538" s="143">
        <v>1406</v>
      </c>
      <c r="R1538" s="65">
        <f t="shared" ref="R1538:R1540" si="82">+P1538-Q1538</f>
        <v>334</v>
      </c>
      <c r="S1538" s="17">
        <v>1850</v>
      </c>
      <c r="T1538" s="19" t="s">
        <v>42</v>
      </c>
      <c r="U1538" s="102" t="s">
        <v>592</v>
      </c>
      <c r="V1538" s="64" t="s">
        <v>593</v>
      </c>
      <c r="W1538" s="17" t="s">
        <v>69</v>
      </c>
      <c r="X1538" s="17"/>
      <c r="Y1538" s="68">
        <v>44743</v>
      </c>
      <c r="Z1538" s="17" t="s">
        <v>191</v>
      </c>
      <c r="AA1538" s="17" t="s">
        <v>46</v>
      </c>
      <c r="AB1538" s="17" t="s">
        <v>356</v>
      </c>
      <c r="AC1538" s="212">
        <v>44873</v>
      </c>
      <c r="AD1538" s="19">
        <v>1328</v>
      </c>
      <c r="AE1538" s="17" t="s">
        <v>48</v>
      </c>
      <c r="AF1538" s="17" t="s">
        <v>245</v>
      </c>
    </row>
    <row r="1539" s="17" customFormat="1" hidden="1" spans="1:35">
      <c r="A1539" s="17" t="s">
        <v>34</v>
      </c>
      <c r="B1539" s="19">
        <v>816</v>
      </c>
      <c r="C1539" s="101" t="s">
        <v>591</v>
      </c>
      <c r="D1539" s="17" t="s">
        <v>52</v>
      </c>
      <c r="E1539" s="17" t="s">
        <v>187</v>
      </c>
      <c r="F1539" s="17" t="s">
        <v>54</v>
      </c>
      <c r="G1539" s="19"/>
      <c r="H1539" s="19" t="s">
        <v>106</v>
      </c>
      <c r="I1539" s="19"/>
      <c r="J1539" s="19" t="s">
        <v>82</v>
      </c>
      <c r="K1539" s="91">
        <v>560</v>
      </c>
      <c r="L1539" s="91">
        <v>91</v>
      </c>
      <c r="M1539" s="93"/>
      <c r="N1539" s="19" t="s">
        <v>66</v>
      </c>
      <c r="O1539" s="19" t="s">
        <v>141</v>
      </c>
      <c r="P1539" s="93">
        <v>1360</v>
      </c>
      <c r="Q1539" s="17">
        <v>1246</v>
      </c>
      <c r="R1539" s="17">
        <f t="shared" si="82"/>
        <v>114</v>
      </c>
      <c r="S1539" s="17">
        <v>1850</v>
      </c>
      <c r="T1539" s="19" t="s">
        <v>42</v>
      </c>
      <c r="U1539" s="102" t="s">
        <v>592</v>
      </c>
      <c r="V1539" s="64" t="s">
        <v>593</v>
      </c>
      <c r="W1539" s="17" t="s">
        <v>69</v>
      </c>
      <c r="Y1539" s="68">
        <v>44743</v>
      </c>
      <c r="Z1539" s="17" t="s">
        <v>191</v>
      </c>
      <c r="AA1539" s="17" t="s">
        <v>46</v>
      </c>
      <c r="AB1539" s="17" t="s">
        <v>356</v>
      </c>
      <c r="AC1539" s="212">
        <v>44873</v>
      </c>
      <c r="AD1539" s="65">
        <v>1328</v>
      </c>
      <c r="AE1539" s="17" t="s">
        <v>48</v>
      </c>
      <c r="AF1539" s="17" t="s">
        <v>245</v>
      </c>
    </row>
    <row r="1540" s="17" customFormat="1" hidden="1" spans="1:35">
      <c r="A1540" s="17" t="s">
        <v>34</v>
      </c>
      <c r="B1540" s="19">
        <v>816</v>
      </c>
      <c r="C1540" s="101" t="s">
        <v>591</v>
      </c>
      <c r="D1540" s="17" t="s">
        <v>52</v>
      </c>
      <c r="E1540" s="17" t="s">
        <v>187</v>
      </c>
      <c r="F1540" s="17" t="s">
        <v>54</v>
      </c>
      <c r="G1540" s="19"/>
      <c r="H1540" s="19" t="s">
        <v>106</v>
      </c>
      <c r="I1540" s="19"/>
      <c r="J1540" s="19" t="s">
        <v>82</v>
      </c>
      <c r="K1540" s="91">
        <v>560</v>
      </c>
      <c r="L1540" s="91">
        <v>106</v>
      </c>
      <c r="M1540" s="19"/>
      <c r="N1540" s="19" t="s">
        <v>66</v>
      </c>
      <c r="O1540" s="19" t="s">
        <v>141</v>
      </c>
      <c r="P1540" s="19">
        <v>2698</v>
      </c>
      <c r="Q1540" s="17">
        <v>1890</v>
      </c>
      <c r="R1540" s="17">
        <f t="shared" si="82"/>
        <v>808</v>
      </c>
      <c r="S1540" s="17">
        <v>1850</v>
      </c>
      <c r="T1540" s="19" t="s">
        <v>42</v>
      </c>
      <c r="U1540" s="102" t="s">
        <v>592</v>
      </c>
      <c r="V1540" s="64" t="s">
        <v>593</v>
      </c>
      <c r="W1540" s="17" t="s">
        <v>69</v>
      </c>
      <c r="Y1540" s="68">
        <v>44743</v>
      </c>
      <c r="Z1540" s="17" t="s">
        <v>191</v>
      </c>
      <c r="AA1540" s="17" t="s">
        <v>46</v>
      </c>
      <c r="AB1540" s="17" t="s">
        <v>356</v>
      </c>
      <c r="AC1540" s="212">
        <v>44873</v>
      </c>
      <c r="AD1540" s="65">
        <v>1328</v>
      </c>
      <c r="AE1540" s="17" t="s">
        <v>48</v>
      </c>
      <c r="AF1540" s="17" t="s">
        <v>245</v>
      </c>
    </row>
    <row r="1541" s="17" customFormat="1" hidden="1" spans="1:35">
      <c r="A1541" s="17" t="s">
        <v>34</v>
      </c>
      <c r="B1541" s="19">
        <v>816</v>
      </c>
      <c r="C1541" s="101" t="s">
        <v>591</v>
      </c>
      <c r="D1541" s="17" t="s">
        <v>52</v>
      </c>
      <c r="E1541" s="17" t="s">
        <v>187</v>
      </c>
      <c r="F1541" s="17" t="s">
        <v>54</v>
      </c>
      <c r="G1541" s="19"/>
      <c r="H1541" s="19">
        <v>1.2311</v>
      </c>
      <c r="I1541" s="19"/>
      <c r="J1541" s="19" t="s">
        <v>49</v>
      </c>
      <c r="K1541" s="17">
        <v>2200</v>
      </c>
      <c r="L1541" s="91">
        <v>50</v>
      </c>
      <c r="M1541" s="19">
        <v>4000</v>
      </c>
      <c r="N1541" s="19" t="s">
        <v>66</v>
      </c>
      <c r="O1541" s="19" t="s">
        <v>141</v>
      </c>
      <c r="P1541" s="19">
        <v>4300</v>
      </c>
      <c r="Q1541" s="17">
        <v>3730</v>
      </c>
      <c r="S1541" s="17">
        <v>1205</v>
      </c>
      <c r="T1541" s="19" t="s">
        <v>42</v>
      </c>
      <c r="U1541" s="102" t="s">
        <v>592</v>
      </c>
      <c r="V1541" s="110" t="s">
        <v>593</v>
      </c>
      <c r="W1541" s="17" t="s">
        <v>69</v>
      </c>
      <c r="Y1541" s="68">
        <v>44743</v>
      </c>
      <c r="Z1541" s="17" t="s">
        <v>191</v>
      </c>
      <c r="AA1541" s="17" t="s">
        <v>46</v>
      </c>
      <c r="AB1541" s="17" t="s">
        <v>348</v>
      </c>
      <c r="AC1541" s="66" t="s">
        <v>349</v>
      </c>
      <c r="AD1541" s="65">
        <v>1326</v>
      </c>
      <c r="AE1541" s="17" t="s">
        <v>48</v>
      </c>
      <c r="AF1541" s="17" t="s">
        <v>245</v>
      </c>
    </row>
    <row r="1542" s="17" customFormat="1" hidden="1" spans="1:35">
      <c r="A1542" s="17" t="s">
        <v>34</v>
      </c>
      <c r="B1542" s="19">
        <v>816</v>
      </c>
      <c r="C1542" s="101" t="s">
        <v>591</v>
      </c>
      <c r="D1542" s="17" t="s">
        <v>52</v>
      </c>
      <c r="E1542" s="17" t="s">
        <v>187</v>
      </c>
      <c r="F1542" s="17" t="s">
        <v>54</v>
      </c>
      <c r="G1542" s="19"/>
      <c r="H1542" s="19">
        <v>1.2311</v>
      </c>
      <c r="I1542" s="19"/>
      <c r="J1542" s="19" t="s">
        <v>49</v>
      </c>
      <c r="K1542" s="17">
        <v>2200</v>
      </c>
      <c r="L1542" s="91">
        <v>50</v>
      </c>
      <c r="M1542" s="19">
        <v>4000</v>
      </c>
      <c r="N1542" s="19" t="s">
        <v>66</v>
      </c>
      <c r="O1542" s="19" t="s">
        <v>141</v>
      </c>
      <c r="P1542" s="19"/>
      <c r="Q1542" s="17">
        <v>3000</v>
      </c>
      <c r="R1542" s="17">
        <f>+P1541-Q1541-Q1542</f>
        <v>-2430</v>
      </c>
      <c r="S1542" s="17">
        <v>1205</v>
      </c>
      <c r="T1542" s="19" t="s">
        <v>42</v>
      </c>
      <c r="U1542" s="102" t="s">
        <v>592</v>
      </c>
      <c r="V1542" s="64" t="s">
        <v>593</v>
      </c>
      <c r="W1542" s="17" t="s">
        <v>69</v>
      </c>
      <c r="Y1542" s="68">
        <v>44743</v>
      </c>
      <c r="Z1542" s="17" t="s">
        <v>191</v>
      </c>
      <c r="AA1542" s="17" t="s">
        <v>46</v>
      </c>
      <c r="AB1542" s="17" t="s">
        <v>356</v>
      </c>
      <c r="AC1542" s="212">
        <v>44873</v>
      </c>
      <c r="AD1542" s="65">
        <v>1328</v>
      </c>
      <c r="AE1542" s="17" t="s">
        <v>48</v>
      </c>
      <c r="AF1542" s="17" t="s">
        <v>245</v>
      </c>
    </row>
    <row r="1543" s="17" customFormat="1" hidden="1" spans="1:35">
      <c r="A1543" s="17" t="s">
        <v>34</v>
      </c>
      <c r="B1543" s="19">
        <v>817</v>
      </c>
      <c r="C1543" s="101" t="s">
        <v>594</v>
      </c>
      <c r="D1543" s="17" t="s">
        <v>52</v>
      </c>
      <c r="E1543" s="17" t="s">
        <v>187</v>
      </c>
      <c r="F1543" s="17" t="s">
        <v>54</v>
      </c>
      <c r="H1543" s="19">
        <v>1.2311</v>
      </c>
      <c r="I1543" s="19"/>
      <c r="J1543" s="17" t="s">
        <v>49</v>
      </c>
      <c r="K1543" s="17">
        <v>2200</v>
      </c>
      <c r="L1543" s="91">
        <v>32</v>
      </c>
      <c r="M1543" s="19">
        <v>5000</v>
      </c>
      <c r="N1543" s="19" t="s">
        <v>66</v>
      </c>
      <c r="O1543" s="19" t="s">
        <v>141</v>
      </c>
      <c r="P1543" s="19">
        <v>2763</v>
      </c>
      <c r="Q1543" s="17">
        <v>2808</v>
      </c>
      <c r="R1543" s="17">
        <f t="shared" ref="R1543:R1568" si="83">+P1543-Q1543</f>
        <v>-45</v>
      </c>
      <c r="S1543" s="17">
        <v>1115</v>
      </c>
      <c r="T1543" s="19" t="s">
        <v>42</v>
      </c>
      <c r="U1543" s="102" t="s">
        <v>595</v>
      </c>
      <c r="V1543" s="110" t="s">
        <v>596</v>
      </c>
      <c r="W1543" s="17" t="s">
        <v>69</v>
      </c>
      <c r="Y1543" s="68">
        <v>44743</v>
      </c>
      <c r="Z1543" s="17" t="s">
        <v>191</v>
      </c>
      <c r="AA1543" s="17" t="s">
        <v>46</v>
      </c>
      <c r="AB1543" s="17" t="s">
        <v>597</v>
      </c>
      <c r="AC1543" s="66" t="s">
        <v>598</v>
      </c>
      <c r="AD1543" s="65">
        <v>1325</v>
      </c>
      <c r="AE1543" s="17" t="s">
        <v>567</v>
      </c>
      <c r="AF1543" s="17" t="s">
        <v>245</v>
      </c>
    </row>
    <row r="1544" s="17" customFormat="1" hidden="1" spans="1:35">
      <c r="A1544" s="17" t="s">
        <v>34</v>
      </c>
      <c r="B1544" s="19">
        <v>817</v>
      </c>
      <c r="C1544" s="101" t="s">
        <v>594</v>
      </c>
      <c r="D1544" s="17" t="s">
        <v>52</v>
      </c>
      <c r="E1544" s="17" t="s">
        <v>187</v>
      </c>
      <c r="F1544" s="17" t="s">
        <v>54</v>
      </c>
      <c r="H1544" s="19">
        <v>1.2311</v>
      </c>
      <c r="I1544" s="19"/>
      <c r="J1544" s="17" t="s">
        <v>49</v>
      </c>
      <c r="K1544" s="17">
        <v>2200</v>
      </c>
      <c r="L1544" s="91">
        <v>40</v>
      </c>
      <c r="M1544" s="19">
        <v>5000</v>
      </c>
      <c r="N1544" s="19" t="s">
        <v>66</v>
      </c>
      <c r="O1544" s="19" t="s">
        <v>141</v>
      </c>
      <c r="P1544" s="19">
        <v>3454</v>
      </c>
      <c r="Q1544" s="17">
        <v>3720</v>
      </c>
      <c r="R1544" s="17">
        <f t="shared" si="83"/>
        <v>-266</v>
      </c>
      <c r="S1544" s="17">
        <v>1115</v>
      </c>
      <c r="T1544" s="19" t="s">
        <v>42</v>
      </c>
      <c r="U1544" s="102" t="s">
        <v>595</v>
      </c>
      <c r="V1544" s="110" t="s">
        <v>596</v>
      </c>
      <c r="W1544" s="17" t="s">
        <v>69</v>
      </c>
      <c r="Y1544" s="68">
        <v>44743</v>
      </c>
      <c r="Z1544" s="17" t="s">
        <v>191</v>
      </c>
      <c r="AA1544" s="17" t="s">
        <v>46</v>
      </c>
      <c r="AB1544" s="17" t="s">
        <v>597</v>
      </c>
      <c r="AC1544" s="66" t="s">
        <v>598</v>
      </c>
      <c r="AD1544" s="65">
        <v>1325</v>
      </c>
      <c r="AE1544" s="17" t="s">
        <v>567</v>
      </c>
      <c r="AF1544" s="17" t="s">
        <v>245</v>
      </c>
    </row>
    <row r="1545" s="17" customFormat="1" hidden="1" spans="1:35">
      <c r="A1545" s="17" t="s">
        <v>34</v>
      </c>
      <c r="B1545" s="19">
        <v>817</v>
      </c>
      <c r="C1545" s="101" t="s">
        <v>594</v>
      </c>
      <c r="D1545" s="17" t="s">
        <v>52</v>
      </c>
      <c r="E1545" s="17" t="s">
        <v>187</v>
      </c>
      <c r="F1545" s="17" t="s">
        <v>54</v>
      </c>
      <c r="H1545" s="19">
        <v>1.2311</v>
      </c>
      <c r="I1545" s="19"/>
      <c r="J1545" s="17" t="s">
        <v>49</v>
      </c>
      <c r="K1545" s="17">
        <v>2200</v>
      </c>
      <c r="L1545" s="91">
        <v>50</v>
      </c>
      <c r="M1545" s="19">
        <v>5000</v>
      </c>
      <c r="N1545" s="19" t="s">
        <v>66</v>
      </c>
      <c r="O1545" s="19" t="s">
        <v>141</v>
      </c>
      <c r="P1545" s="19">
        <v>4318</v>
      </c>
      <c r="Q1545" s="17">
        <v>4650</v>
      </c>
      <c r="R1545" s="17">
        <f t="shared" si="83"/>
        <v>-332</v>
      </c>
      <c r="S1545" s="17">
        <v>1115</v>
      </c>
      <c r="T1545" s="19" t="s">
        <v>42</v>
      </c>
      <c r="U1545" s="102" t="s">
        <v>595</v>
      </c>
      <c r="V1545" s="110" t="s">
        <v>596</v>
      </c>
      <c r="W1545" s="17" t="s">
        <v>69</v>
      </c>
      <c r="Y1545" s="68">
        <v>44743</v>
      </c>
      <c r="Z1545" s="17" t="s">
        <v>191</v>
      </c>
      <c r="AA1545" s="17" t="s">
        <v>46</v>
      </c>
      <c r="AB1545" s="17" t="s">
        <v>597</v>
      </c>
      <c r="AC1545" s="66" t="s">
        <v>598</v>
      </c>
      <c r="AD1545" s="65">
        <v>1325</v>
      </c>
      <c r="AE1545" s="17" t="s">
        <v>567</v>
      </c>
      <c r="AF1545" s="17" t="s">
        <v>245</v>
      </c>
    </row>
    <row r="1546" s="17" customFormat="1" hidden="1" spans="1:35">
      <c r="A1546" s="17" t="s">
        <v>34</v>
      </c>
      <c r="B1546" s="19">
        <v>817</v>
      </c>
      <c r="C1546" s="101" t="s">
        <v>594</v>
      </c>
      <c r="D1546" s="17" t="s">
        <v>52</v>
      </c>
      <c r="E1546" s="17" t="s">
        <v>187</v>
      </c>
      <c r="F1546" s="17" t="s">
        <v>54</v>
      </c>
      <c r="H1546" s="19">
        <v>1.2311</v>
      </c>
      <c r="I1546" s="19"/>
      <c r="J1546" s="17" t="s">
        <v>49</v>
      </c>
      <c r="K1546" s="17">
        <v>2200</v>
      </c>
      <c r="L1546" s="91">
        <v>85</v>
      </c>
      <c r="M1546" s="19">
        <v>5000</v>
      </c>
      <c r="N1546" s="19" t="s">
        <v>66</v>
      </c>
      <c r="O1546" s="19" t="s">
        <v>141</v>
      </c>
      <c r="P1546" s="19">
        <v>7340</v>
      </c>
      <c r="Q1546" s="17">
        <v>6640</v>
      </c>
      <c r="R1546" s="17">
        <f t="shared" si="83"/>
        <v>700</v>
      </c>
      <c r="S1546" s="17">
        <v>1115</v>
      </c>
      <c r="T1546" s="19" t="s">
        <v>42</v>
      </c>
      <c r="U1546" s="102" t="s">
        <v>595</v>
      </c>
      <c r="V1546" s="110" t="s">
        <v>596</v>
      </c>
      <c r="W1546" s="17" t="s">
        <v>69</v>
      </c>
      <c r="Y1546" s="68">
        <v>44743</v>
      </c>
      <c r="Z1546" s="17" t="s">
        <v>191</v>
      </c>
      <c r="AA1546" s="17" t="s">
        <v>46</v>
      </c>
      <c r="AB1546" s="17" t="s">
        <v>597</v>
      </c>
      <c r="AC1546" s="66" t="s">
        <v>598</v>
      </c>
      <c r="AD1546" s="65">
        <v>1325</v>
      </c>
      <c r="AE1546" s="17" t="s">
        <v>567</v>
      </c>
      <c r="AF1546" s="17" t="s">
        <v>245</v>
      </c>
    </row>
    <row r="1547" s="17" customFormat="1" hidden="1" spans="1:35">
      <c r="A1547" s="17" t="s">
        <v>34</v>
      </c>
      <c r="B1547" s="19">
        <v>817</v>
      </c>
      <c r="C1547" s="101" t="s">
        <v>594</v>
      </c>
      <c r="D1547" s="17" t="s">
        <v>52</v>
      </c>
      <c r="E1547" s="17" t="s">
        <v>187</v>
      </c>
      <c r="F1547" s="17" t="s">
        <v>54</v>
      </c>
      <c r="H1547" s="19">
        <v>1.2311</v>
      </c>
      <c r="I1547" s="19"/>
      <c r="J1547" s="17" t="s">
        <v>49</v>
      </c>
      <c r="K1547" s="17">
        <v>2200</v>
      </c>
      <c r="L1547" s="91">
        <v>115</v>
      </c>
      <c r="M1547" s="19">
        <v>5000</v>
      </c>
      <c r="N1547" s="19" t="s">
        <v>66</v>
      </c>
      <c r="O1547" s="19" t="s">
        <v>141</v>
      </c>
      <c r="P1547" s="19">
        <v>9930</v>
      </c>
      <c r="Q1547" s="17">
        <v>9920</v>
      </c>
      <c r="R1547" s="17">
        <f t="shared" si="83"/>
        <v>10</v>
      </c>
      <c r="S1547" s="17">
        <v>1115</v>
      </c>
      <c r="T1547" s="19" t="s">
        <v>42</v>
      </c>
      <c r="U1547" s="102" t="s">
        <v>595</v>
      </c>
      <c r="V1547" s="110" t="s">
        <v>596</v>
      </c>
      <c r="W1547" s="17" t="s">
        <v>69</v>
      </c>
      <c r="Y1547" s="68">
        <v>44743</v>
      </c>
      <c r="Z1547" s="17" t="s">
        <v>191</v>
      </c>
      <c r="AA1547" s="17" t="s">
        <v>46</v>
      </c>
      <c r="AB1547" s="17" t="s">
        <v>597</v>
      </c>
      <c r="AC1547" s="66" t="s">
        <v>598</v>
      </c>
      <c r="AD1547" s="65">
        <v>1325</v>
      </c>
      <c r="AE1547" s="17" t="s">
        <v>567</v>
      </c>
      <c r="AF1547" s="17" t="s">
        <v>245</v>
      </c>
    </row>
    <row r="1548" s="17" customFormat="1" hidden="1" spans="1:35">
      <c r="A1548" s="17" t="s">
        <v>34</v>
      </c>
      <c r="B1548" s="19">
        <v>817</v>
      </c>
      <c r="C1548" s="101" t="s">
        <v>594</v>
      </c>
      <c r="D1548" s="17" t="s">
        <v>52</v>
      </c>
      <c r="E1548" s="17" t="s">
        <v>187</v>
      </c>
      <c r="F1548" s="17" t="s">
        <v>54</v>
      </c>
      <c r="H1548" s="19">
        <v>1.2311</v>
      </c>
      <c r="I1548" s="19"/>
      <c r="J1548" s="17" t="s">
        <v>49</v>
      </c>
      <c r="K1548" s="17">
        <v>2200</v>
      </c>
      <c r="L1548" s="91">
        <v>140</v>
      </c>
      <c r="M1548" s="19">
        <v>5000</v>
      </c>
      <c r="N1548" s="19" t="s">
        <v>66</v>
      </c>
      <c r="O1548" s="19" t="s">
        <v>141</v>
      </c>
      <c r="P1548" s="19">
        <v>12089</v>
      </c>
      <c r="Q1548" s="17">
        <v>12060</v>
      </c>
      <c r="R1548" s="17">
        <f t="shared" si="83"/>
        <v>29</v>
      </c>
      <c r="S1548" s="17">
        <v>1135</v>
      </c>
      <c r="T1548" s="19" t="s">
        <v>42</v>
      </c>
      <c r="U1548" s="102" t="s">
        <v>595</v>
      </c>
      <c r="V1548" s="110" t="s">
        <v>596</v>
      </c>
      <c r="W1548" s="17" t="s">
        <v>69</v>
      </c>
      <c r="Y1548" s="68">
        <v>44743</v>
      </c>
      <c r="Z1548" s="17" t="s">
        <v>191</v>
      </c>
      <c r="AA1548" s="17" t="s">
        <v>46</v>
      </c>
      <c r="AB1548" s="17" t="s">
        <v>597</v>
      </c>
      <c r="AC1548" s="66" t="s">
        <v>598</v>
      </c>
      <c r="AD1548" s="65">
        <v>1325</v>
      </c>
      <c r="AE1548" s="17" t="s">
        <v>567</v>
      </c>
      <c r="AF1548" s="17" t="s">
        <v>245</v>
      </c>
    </row>
    <row r="1549" s="17" customFormat="1" hidden="1" spans="1:35">
      <c r="A1549" s="17" t="s">
        <v>34</v>
      </c>
      <c r="B1549" s="19">
        <v>817</v>
      </c>
      <c r="C1549" s="101" t="s">
        <v>594</v>
      </c>
      <c r="D1549" s="17" t="s">
        <v>52</v>
      </c>
      <c r="E1549" s="17" t="s">
        <v>187</v>
      </c>
      <c r="F1549" s="17" t="s">
        <v>54</v>
      </c>
      <c r="H1549" s="19">
        <v>1.2311</v>
      </c>
      <c r="I1549" s="19"/>
      <c r="J1549" s="17" t="s">
        <v>49</v>
      </c>
      <c r="K1549" s="17">
        <v>2200</v>
      </c>
      <c r="L1549" s="91">
        <v>180</v>
      </c>
      <c r="M1549" s="19">
        <v>5000</v>
      </c>
      <c r="N1549" s="19" t="s">
        <v>66</v>
      </c>
      <c r="O1549" s="19" t="s">
        <v>141</v>
      </c>
      <c r="P1549" s="19">
        <v>15543</v>
      </c>
      <c r="Q1549" s="17">
        <v>15350</v>
      </c>
      <c r="R1549" s="17">
        <f t="shared" si="83"/>
        <v>193</v>
      </c>
      <c r="S1549" s="17">
        <v>1155</v>
      </c>
      <c r="T1549" s="19" t="s">
        <v>42</v>
      </c>
      <c r="U1549" s="102" t="s">
        <v>595</v>
      </c>
      <c r="V1549" s="110" t="s">
        <v>596</v>
      </c>
      <c r="W1549" s="17" t="s">
        <v>69</v>
      </c>
      <c r="Y1549" s="68">
        <v>44743</v>
      </c>
      <c r="Z1549" s="17" t="s">
        <v>191</v>
      </c>
      <c r="AA1549" s="17" t="s">
        <v>46</v>
      </c>
      <c r="AB1549" s="17" t="s">
        <v>597</v>
      </c>
      <c r="AC1549" s="66" t="s">
        <v>598</v>
      </c>
      <c r="AD1549" s="65">
        <v>1325</v>
      </c>
      <c r="AE1549" s="17" t="s">
        <v>567</v>
      </c>
      <c r="AF1549" s="17" t="s">
        <v>245</v>
      </c>
    </row>
    <row r="1550" s="17" customFormat="1" hidden="1" spans="1:35">
      <c r="A1550" s="17" t="s">
        <v>34</v>
      </c>
      <c r="B1550" s="19">
        <v>818</v>
      </c>
      <c r="C1550" s="101" t="s">
        <v>599</v>
      </c>
      <c r="D1550" s="17" t="s">
        <v>52</v>
      </c>
      <c r="E1550" s="17" t="s">
        <v>187</v>
      </c>
      <c r="F1550" s="17" t="s">
        <v>54</v>
      </c>
      <c r="H1550" s="19">
        <v>1.2311</v>
      </c>
      <c r="I1550" s="19"/>
      <c r="J1550" s="17" t="s">
        <v>49</v>
      </c>
      <c r="K1550" s="17">
        <v>1600</v>
      </c>
      <c r="L1550" s="91">
        <v>320</v>
      </c>
      <c r="M1550" s="19">
        <v>2500</v>
      </c>
      <c r="N1550" s="19" t="s">
        <v>66</v>
      </c>
      <c r="O1550" s="19" t="s">
        <v>168</v>
      </c>
      <c r="P1550" s="19">
        <v>12058</v>
      </c>
      <c r="Q1550" s="17">
        <v>13510</v>
      </c>
      <c r="R1550" s="17">
        <f t="shared" si="83"/>
        <v>-1452</v>
      </c>
      <c r="S1550" s="17">
        <v>1550</v>
      </c>
      <c r="T1550" s="19" t="s">
        <v>42</v>
      </c>
      <c r="U1550" s="102" t="s">
        <v>600</v>
      </c>
      <c r="V1550" s="64" t="s">
        <v>601</v>
      </c>
      <c r="W1550" s="17" t="s">
        <v>69</v>
      </c>
      <c r="Y1550" s="68">
        <v>44774</v>
      </c>
      <c r="Z1550" s="17" t="s">
        <v>191</v>
      </c>
      <c r="AA1550" s="17" t="s">
        <v>46</v>
      </c>
      <c r="AB1550" s="17" t="s">
        <v>356</v>
      </c>
      <c r="AC1550" s="212">
        <v>44873</v>
      </c>
      <c r="AD1550" s="65">
        <v>1328</v>
      </c>
      <c r="AE1550" s="17" t="s">
        <v>567</v>
      </c>
      <c r="AF1550" s="17" t="s">
        <v>245</v>
      </c>
    </row>
    <row r="1551" s="17" customFormat="1" hidden="1" spans="1:35">
      <c r="A1551" s="17" t="s">
        <v>34</v>
      </c>
      <c r="B1551" s="19">
        <v>818</v>
      </c>
      <c r="C1551" s="101" t="s">
        <v>599</v>
      </c>
      <c r="D1551" s="17" t="s">
        <v>52</v>
      </c>
      <c r="E1551" s="17" t="s">
        <v>187</v>
      </c>
      <c r="F1551" s="17" t="s">
        <v>54</v>
      </c>
      <c r="H1551" s="19">
        <v>1.2311</v>
      </c>
      <c r="I1551" s="19"/>
      <c r="J1551" s="17" t="s">
        <v>49</v>
      </c>
      <c r="K1551" s="17">
        <v>1600</v>
      </c>
      <c r="L1551" s="91">
        <v>350</v>
      </c>
      <c r="M1551" s="19">
        <v>2500</v>
      </c>
      <c r="N1551" s="19" t="s">
        <v>66</v>
      </c>
      <c r="O1551" s="19" t="s">
        <v>168</v>
      </c>
      <c r="P1551" s="19">
        <v>13188</v>
      </c>
      <c r="Q1551" s="17">
        <v>13200</v>
      </c>
      <c r="R1551" s="17">
        <f t="shared" si="83"/>
        <v>-12</v>
      </c>
      <c r="S1551" s="17">
        <v>1550</v>
      </c>
      <c r="T1551" s="19" t="s">
        <v>42</v>
      </c>
      <c r="U1551" s="102" t="s">
        <v>600</v>
      </c>
      <c r="V1551" s="64" t="s">
        <v>601</v>
      </c>
      <c r="W1551" s="17" t="s">
        <v>69</v>
      </c>
      <c r="Y1551" s="68">
        <v>44774</v>
      </c>
      <c r="Z1551" s="17" t="s">
        <v>191</v>
      </c>
      <c r="AA1551" s="17" t="s">
        <v>46</v>
      </c>
      <c r="AB1551" s="17" t="s">
        <v>356</v>
      </c>
      <c r="AC1551" s="212">
        <v>44873</v>
      </c>
      <c r="AD1551" s="65">
        <v>1328</v>
      </c>
      <c r="AE1551" s="17" t="s">
        <v>567</v>
      </c>
      <c r="AF1551" s="17" t="s">
        <v>245</v>
      </c>
    </row>
    <row r="1552" s="17" customFormat="1" hidden="1" spans="1:35">
      <c r="A1552" s="17" t="s">
        <v>34</v>
      </c>
      <c r="B1552" s="19">
        <v>819</v>
      </c>
      <c r="C1552" s="183" t="s">
        <v>602</v>
      </c>
      <c r="D1552" s="17" t="s">
        <v>35</v>
      </c>
      <c r="E1552" s="17" t="s">
        <v>482</v>
      </c>
      <c r="F1552" s="17" t="s">
        <v>72</v>
      </c>
      <c r="H1552" s="19">
        <v>1.2344</v>
      </c>
      <c r="I1552" s="19"/>
      <c r="J1552" s="17" t="s">
        <v>39</v>
      </c>
      <c r="K1552" s="19">
        <v>16</v>
      </c>
      <c r="L1552" s="91"/>
      <c r="M1552" s="19">
        <v>5000</v>
      </c>
      <c r="N1552" s="19" t="s">
        <v>40</v>
      </c>
      <c r="O1552" s="19" t="s">
        <v>50</v>
      </c>
      <c r="P1552" s="19">
        <v>1500</v>
      </c>
      <c r="Q1552" s="17">
        <v>1046</v>
      </c>
      <c r="R1552" s="17">
        <f t="shared" si="83"/>
        <v>454</v>
      </c>
      <c r="S1552" s="216">
        <f>2900-15</f>
        <v>2885</v>
      </c>
      <c r="T1552" s="19" t="s">
        <v>42</v>
      </c>
      <c r="U1552" s="102" t="s">
        <v>603</v>
      </c>
      <c r="V1552" s="186" t="s">
        <v>599</v>
      </c>
      <c r="W1552" s="17" t="s">
        <v>44</v>
      </c>
      <c r="Y1552" s="68">
        <v>44826</v>
      </c>
      <c r="Z1552" s="17" t="s">
        <v>191</v>
      </c>
      <c r="AA1552" s="17" t="s">
        <v>46</v>
      </c>
      <c r="AB1552" s="17" t="s">
        <v>490</v>
      </c>
      <c r="AC1552" s="102" t="s">
        <v>570</v>
      </c>
      <c r="AD1552" s="65">
        <v>1357</v>
      </c>
      <c r="AE1552" s="17" t="s">
        <v>604</v>
      </c>
      <c r="AH1552" s="17" t="s">
        <v>605</v>
      </c>
      <c r="AI1552" s="17">
        <v>3010</v>
      </c>
    </row>
    <row r="1553" s="17" customFormat="1" hidden="1" spans="1:35">
      <c r="A1553" s="17" t="s">
        <v>34</v>
      </c>
      <c r="B1553" s="19">
        <v>819</v>
      </c>
      <c r="C1553" s="183" t="s">
        <v>602</v>
      </c>
      <c r="D1553" s="17" t="s">
        <v>35</v>
      </c>
      <c r="E1553" s="17" t="s">
        <v>482</v>
      </c>
      <c r="F1553" s="17" t="s">
        <v>72</v>
      </c>
      <c r="H1553" s="19">
        <v>1.2344</v>
      </c>
      <c r="I1553" s="19"/>
      <c r="J1553" s="17" t="s">
        <v>39</v>
      </c>
      <c r="K1553" s="19">
        <v>40</v>
      </c>
      <c r="L1553" s="91"/>
      <c r="M1553" s="19">
        <v>5000</v>
      </c>
      <c r="N1553" s="19" t="s">
        <v>40</v>
      </c>
      <c r="O1553" s="19" t="s">
        <v>50</v>
      </c>
      <c r="P1553" s="19">
        <v>1500</v>
      </c>
      <c r="Q1553" s="17">
        <v>1150</v>
      </c>
      <c r="R1553" s="17">
        <f t="shared" si="83"/>
        <v>350</v>
      </c>
      <c r="S1553" s="216">
        <f>2875-15</f>
        <v>2860</v>
      </c>
      <c r="T1553" s="19" t="s">
        <v>42</v>
      </c>
      <c r="U1553" s="102" t="s">
        <v>603</v>
      </c>
      <c r="V1553" s="186" t="s">
        <v>599</v>
      </c>
      <c r="W1553" s="17" t="s">
        <v>44</v>
      </c>
      <c r="Y1553" s="68">
        <v>44826</v>
      </c>
      <c r="Z1553" s="17" t="s">
        <v>191</v>
      </c>
      <c r="AA1553" s="17" t="s">
        <v>46</v>
      </c>
      <c r="AB1553" s="17" t="s">
        <v>490</v>
      </c>
      <c r="AC1553" s="102" t="s">
        <v>570</v>
      </c>
      <c r="AD1553" s="65">
        <v>1357</v>
      </c>
      <c r="AE1553" s="17" t="s">
        <v>604</v>
      </c>
      <c r="AH1553" s="17" t="s">
        <v>606</v>
      </c>
      <c r="AI1553" s="17">
        <v>2985</v>
      </c>
    </row>
    <row r="1554" s="17" customFormat="1" hidden="1" spans="1:35">
      <c r="A1554" s="17" t="s">
        <v>34</v>
      </c>
      <c r="B1554" s="19">
        <v>819</v>
      </c>
      <c r="C1554" s="183" t="s">
        <v>602</v>
      </c>
      <c r="D1554" s="17" t="s">
        <v>35</v>
      </c>
      <c r="E1554" s="17" t="s">
        <v>482</v>
      </c>
      <c r="F1554" s="17" t="s">
        <v>72</v>
      </c>
      <c r="H1554" s="19">
        <v>1.2344</v>
      </c>
      <c r="I1554" s="19"/>
      <c r="J1554" s="17" t="s">
        <v>39</v>
      </c>
      <c r="K1554" s="19">
        <v>45</v>
      </c>
      <c r="L1554" s="91"/>
      <c r="M1554" s="19">
        <v>5000</v>
      </c>
      <c r="N1554" s="19" t="s">
        <v>40</v>
      </c>
      <c r="O1554" s="19" t="s">
        <v>50</v>
      </c>
      <c r="P1554" s="19">
        <v>1500</v>
      </c>
      <c r="Q1554" s="17">
        <v>1226</v>
      </c>
      <c r="R1554" s="17">
        <f t="shared" si="83"/>
        <v>274</v>
      </c>
      <c r="S1554" s="216">
        <f>2875-15</f>
        <v>2860</v>
      </c>
      <c r="T1554" s="19" t="s">
        <v>42</v>
      </c>
      <c r="U1554" s="102" t="s">
        <v>603</v>
      </c>
      <c r="V1554" s="186" t="s">
        <v>599</v>
      </c>
      <c r="W1554" s="17" t="s">
        <v>44</v>
      </c>
      <c r="Y1554" s="68">
        <v>44826</v>
      </c>
      <c r="Z1554" s="17" t="s">
        <v>191</v>
      </c>
      <c r="AA1554" s="17" t="s">
        <v>46</v>
      </c>
      <c r="AB1554" s="17" t="s">
        <v>490</v>
      </c>
      <c r="AC1554" s="102" t="s">
        <v>570</v>
      </c>
      <c r="AD1554" s="65">
        <v>1357</v>
      </c>
      <c r="AE1554" s="17" t="s">
        <v>604</v>
      </c>
      <c r="AH1554" s="17" t="s">
        <v>607</v>
      </c>
      <c r="AI1554" s="17">
        <v>2985</v>
      </c>
    </row>
    <row r="1555" s="17" customFormat="1" hidden="1" spans="1:35">
      <c r="A1555" s="17" t="s">
        <v>34</v>
      </c>
      <c r="B1555" s="19">
        <v>819</v>
      </c>
      <c r="C1555" s="183" t="s">
        <v>602</v>
      </c>
      <c r="D1555" s="17" t="s">
        <v>35</v>
      </c>
      <c r="E1555" s="17" t="s">
        <v>482</v>
      </c>
      <c r="F1555" s="17" t="s">
        <v>72</v>
      </c>
      <c r="H1555" s="19">
        <v>1.2344</v>
      </c>
      <c r="I1555" s="19"/>
      <c r="J1555" s="17" t="s">
        <v>39</v>
      </c>
      <c r="K1555" s="19">
        <v>51</v>
      </c>
      <c r="L1555" s="91"/>
      <c r="M1555" s="19">
        <v>5000</v>
      </c>
      <c r="N1555" s="19" t="s">
        <v>40</v>
      </c>
      <c r="O1555" s="19" t="s">
        <v>50</v>
      </c>
      <c r="P1555" s="19">
        <v>1500</v>
      </c>
      <c r="Q1555" s="17">
        <v>1076</v>
      </c>
      <c r="R1555" s="17">
        <f t="shared" si="83"/>
        <v>424</v>
      </c>
      <c r="S1555" s="216">
        <f t="shared" ref="S1555:S1560" si="84">2775-15</f>
        <v>2760</v>
      </c>
      <c r="T1555" s="19" t="s">
        <v>42</v>
      </c>
      <c r="U1555" s="102" t="s">
        <v>603</v>
      </c>
      <c r="V1555" s="186" t="s">
        <v>599</v>
      </c>
      <c r="W1555" s="17" t="s">
        <v>44</v>
      </c>
      <c r="Y1555" s="68">
        <v>44826</v>
      </c>
      <c r="Z1555" s="17" t="s">
        <v>191</v>
      </c>
      <c r="AA1555" s="17" t="s">
        <v>46</v>
      </c>
      <c r="AB1555" s="17" t="s">
        <v>490</v>
      </c>
      <c r="AC1555" s="102" t="s">
        <v>570</v>
      </c>
      <c r="AD1555" s="65">
        <v>1357</v>
      </c>
      <c r="AE1555" s="17" t="s">
        <v>604</v>
      </c>
      <c r="AH1555" s="17" t="s">
        <v>607</v>
      </c>
      <c r="AI1555" s="17">
        <v>2885</v>
      </c>
    </row>
    <row r="1556" s="17" customFormat="1" hidden="1" spans="1:35">
      <c r="A1556" s="17" t="s">
        <v>34</v>
      </c>
      <c r="B1556" s="19">
        <v>819</v>
      </c>
      <c r="C1556" s="183" t="s">
        <v>602</v>
      </c>
      <c r="D1556" s="17" t="s">
        <v>35</v>
      </c>
      <c r="E1556" s="17" t="s">
        <v>482</v>
      </c>
      <c r="F1556" s="17" t="s">
        <v>72</v>
      </c>
      <c r="H1556" s="19">
        <v>1.2344</v>
      </c>
      <c r="I1556" s="19"/>
      <c r="J1556" s="17" t="s">
        <v>39</v>
      </c>
      <c r="K1556" s="19">
        <v>56</v>
      </c>
      <c r="L1556" s="91"/>
      <c r="M1556" s="19">
        <v>5000</v>
      </c>
      <c r="N1556" s="19" t="s">
        <v>40</v>
      </c>
      <c r="O1556" s="19" t="s">
        <v>50</v>
      </c>
      <c r="P1556" s="19">
        <v>1500</v>
      </c>
      <c r="Q1556" s="17">
        <v>1160</v>
      </c>
      <c r="R1556" s="17">
        <f t="shared" si="83"/>
        <v>340</v>
      </c>
      <c r="S1556" s="216">
        <f t="shared" si="84"/>
        <v>2760</v>
      </c>
      <c r="T1556" s="19" t="s">
        <v>42</v>
      </c>
      <c r="U1556" s="102" t="s">
        <v>603</v>
      </c>
      <c r="V1556" s="186" t="s">
        <v>599</v>
      </c>
      <c r="W1556" s="17" t="s">
        <v>44</v>
      </c>
      <c r="Y1556" s="68">
        <v>44826</v>
      </c>
      <c r="Z1556" s="17" t="s">
        <v>191</v>
      </c>
      <c r="AA1556" s="17" t="s">
        <v>46</v>
      </c>
      <c r="AB1556" s="17" t="s">
        <v>490</v>
      </c>
      <c r="AC1556" s="102" t="s">
        <v>570</v>
      </c>
      <c r="AD1556" s="65">
        <v>1357</v>
      </c>
      <c r="AE1556" s="17" t="s">
        <v>604</v>
      </c>
      <c r="AH1556" s="17" t="s">
        <v>607</v>
      </c>
      <c r="AI1556" s="17">
        <v>2885</v>
      </c>
    </row>
    <row r="1557" s="17" customFormat="1" hidden="1" spans="1:35">
      <c r="A1557" s="17" t="s">
        <v>34</v>
      </c>
      <c r="B1557" s="19">
        <v>819</v>
      </c>
      <c r="C1557" s="183" t="s">
        <v>602</v>
      </c>
      <c r="D1557" s="17" t="s">
        <v>35</v>
      </c>
      <c r="E1557" s="17" t="s">
        <v>482</v>
      </c>
      <c r="F1557" s="17" t="s">
        <v>72</v>
      </c>
      <c r="H1557" s="19">
        <v>1.2344</v>
      </c>
      <c r="I1557" s="19"/>
      <c r="J1557" s="17" t="s">
        <v>39</v>
      </c>
      <c r="K1557" s="19">
        <v>65</v>
      </c>
      <c r="L1557" s="91"/>
      <c r="M1557" s="19">
        <v>5000</v>
      </c>
      <c r="N1557" s="19" t="s">
        <v>40</v>
      </c>
      <c r="O1557" s="19" t="s">
        <v>50</v>
      </c>
      <c r="P1557" s="19">
        <v>1500</v>
      </c>
      <c r="Q1557" s="17">
        <v>1130</v>
      </c>
      <c r="R1557" s="17">
        <f t="shared" si="83"/>
        <v>370</v>
      </c>
      <c r="S1557" s="216">
        <f t="shared" si="84"/>
        <v>2760</v>
      </c>
      <c r="T1557" s="19" t="s">
        <v>42</v>
      </c>
      <c r="U1557" s="102" t="s">
        <v>603</v>
      </c>
      <c r="V1557" s="186" t="s">
        <v>599</v>
      </c>
      <c r="W1557" s="17" t="s">
        <v>44</v>
      </c>
      <c r="Y1557" s="68">
        <v>44826</v>
      </c>
      <c r="Z1557" s="17" t="s">
        <v>191</v>
      </c>
      <c r="AA1557" s="17" t="s">
        <v>46</v>
      </c>
      <c r="AB1557" s="17" t="s">
        <v>490</v>
      </c>
      <c r="AC1557" s="102" t="s">
        <v>570</v>
      </c>
      <c r="AD1557" s="65">
        <v>1357</v>
      </c>
      <c r="AE1557" s="17" t="s">
        <v>604</v>
      </c>
      <c r="AH1557" s="17" t="s">
        <v>607</v>
      </c>
      <c r="AI1557" s="17">
        <v>2885</v>
      </c>
    </row>
    <row r="1558" s="17" customFormat="1" hidden="1" spans="1:35">
      <c r="A1558" s="17" t="s">
        <v>34</v>
      </c>
      <c r="B1558" s="19">
        <v>819</v>
      </c>
      <c r="C1558" s="183" t="s">
        <v>602</v>
      </c>
      <c r="D1558" s="17" t="s">
        <v>35</v>
      </c>
      <c r="E1558" s="17" t="s">
        <v>482</v>
      </c>
      <c r="F1558" s="17" t="s">
        <v>72</v>
      </c>
      <c r="H1558" s="19">
        <v>1.2344</v>
      </c>
      <c r="I1558" s="19"/>
      <c r="J1558" s="17" t="s">
        <v>39</v>
      </c>
      <c r="K1558" s="19">
        <v>71</v>
      </c>
      <c r="L1558" s="91"/>
      <c r="M1558" s="19">
        <v>5000</v>
      </c>
      <c r="N1558" s="19" t="s">
        <v>40</v>
      </c>
      <c r="O1558" s="19" t="s">
        <v>50</v>
      </c>
      <c r="P1558" s="19">
        <v>1500</v>
      </c>
      <c r="Q1558" s="17">
        <v>1196</v>
      </c>
      <c r="R1558" s="17">
        <f t="shared" si="83"/>
        <v>304</v>
      </c>
      <c r="S1558" s="216">
        <f t="shared" si="84"/>
        <v>2760</v>
      </c>
      <c r="T1558" s="19" t="s">
        <v>42</v>
      </c>
      <c r="U1558" s="102" t="s">
        <v>603</v>
      </c>
      <c r="V1558" s="186" t="s">
        <v>599</v>
      </c>
      <c r="W1558" s="17" t="s">
        <v>44</v>
      </c>
      <c r="Y1558" s="68">
        <v>44826</v>
      </c>
      <c r="Z1558" s="17" t="s">
        <v>191</v>
      </c>
      <c r="AA1558" s="17" t="s">
        <v>46</v>
      </c>
      <c r="AB1558" s="17" t="s">
        <v>490</v>
      </c>
      <c r="AC1558" s="102" t="s">
        <v>570</v>
      </c>
      <c r="AD1558" s="65">
        <v>1357</v>
      </c>
      <c r="AE1558" s="17" t="s">
        <v>604</v>
      </c>
      <c r="AH1558" s="17" t="s">
        <v>607</v>
      </c>
      <c r="AI1558" s="17">
        <v>2885</v>
      </c>
    </row>
    <row r="1559" s="17" customFormat="1" hidden="1" spans="1:35">
      <c r="A1559" s="17" t="s">
        <v>34</v>
      </c>
      <c r="B1559" s="19">
        <v>819</v>
      </c>
      <c r="C1559" s="183" t="s">
        <v>602</v>
      </c>
      <c r="D1559" s="17" t="s">
        <v>35</v>
      </c>
      <c r="E1559" s="17" t="s">
        <v>482</v>
      </c>
      <c r="F1559" s="17" t="s">
        <v>72</v>
      </c>
      <c r="H1559" s="19">
        <v>1.2344</v>
      </c>
      <c r="I1559" s="19"/>
      <c r="J1559" s="17" t="s">
        <v>39</v>
      </c>
      <c r="K1559" s="19">
        <v>76</v>
      </c>
      <c r="L1559" s="91"/>
      <c r="M1559" s="19">
        <v>5000</v>
      </c>
      <c r="N1559" s="19" t="s">
        <v>40</v>
      </c>
      <c r="O1559" s="19" t="s">
        <v>50</v>
      </c>
      <c r="P1559" s="19">
        <v>1500</v>
      </c>
      <c r="Q1559" s="17">
        <v>1144</v>
      </c>
      <c r="R1559" s="17">
        <f t="shared" si="83"/>
        <v>356</v>
      </c>
      <c r="S1559" s="216">
        <f t="shared" si="84"/>
        <v>2760</v>
      </c>
      <c r="T1559" s="19" t="s">
        <v>42</v>
      </c>
      <c r="U1559" s="102" t="s">
        <v>603</v>
      </c>
      <c r="V1559" s="186" t="s">
        <v>599</v>
      </c>
      <c r="W1559" s="17" t="s">
        <v>44</v>
      </c>
      <c r="Y1559" s="68">
        <v>44826</v>
      </c>
      <c r="Z1559" s="17" t="s">
        <v>191</v>
      </c>
      <c r="AA1559" s="17" t="s">
        <v>46</v>
      </c>
      <c r="AB1559" s="17" t="s">
        <v>490</v>
      </c>
      <c r="AC1559" s="102" t="s">
        <v>570</v>
      </c>
      <c r="AD1559" s="65">
        <v>1357</v>
      </c>
      <c r="AE1559" s="17" t="s">
        <v>608</v>
      </c>
      <c r="AF1559" s="17" t="s">
        <v>609</v>
      </c>
      <c r="AI1559" s="17">
        <v>2885</v>
      </c>
    </row>
    <row r="1560" s="17" customFormat="1" hidden="1" spans="1:35">
      <c r="A1560" s="17" t="s">
        <v>34</v>
      </c>
      <c r="B1560" s="19">
        <v>819</v>
      </c>
      <c r="C1560" s="183" t="s">
        <v>602</v>
      </c>
      <c r="D1560" s="17" t="s">
        <v>35</v>
      </c>
      <c r="E1560" s="17" t="s">
        <v>482</v>
      </c>
      <c r="F1560" s="17" t="s">
        <v>72</v>
      </c>
      <c r="H1560" s="19">
        <v>1.2344</v>
      </c>
      <c r="I1560" s="19"/>
      <c r="J1560" s="17" t="s">
        <v>39</v>
      </c>
      <c r="K1560" s="19">
        <v>81</v>
      </c>
      <c r="L1560" s="91"/>
      <c r="M1560" s="19">
        <v>5000</v>
      </c>
      <c r="N1560" s="19" t="s">
        <v>40</v>
      </c>
      <c r="O1560" s="19" t="s">
        <v>50</v>
      </c>
      <c r="P1560" s="19">
        <v>1500</v>
      </c>
      <c r="Q1560" s="17">
        <v>1202</v>
      </c>
      <c r="R1560" s="17">
        <f t="shared" si="83"/>
        <v>298</v>
      </c>
      <c r="S1560" s="216">
        <f t="shared" si="84"/>
        <v>2760</v>
      </c>
      <c r="T1560" s="19" t="s">
        <v>42</v>
      </c>
      <c r="U1560" s="102" t="s">
        <v>603</v>
      </c>
      <c r="V1560" s="186" t="s">
        <v>599</v>
      </c>
      <c r="W1560" s="17" t="s">
        <v>44</v>
      </c>
      <c r="Y1560" s="68">
        <v>44826</v>
      </c>
      <c r="Z1560" s="17" t="s">
        <v>191</v>
      </c>
      <c r="AA1560" s="17" t="s">
        <v>46</v>
      </c>
      <c r="AB1560" s="17" t="s">
        <v>490</v>
      </c>
      <c r="AC1560" s="102" t="s">
        <v>570</v>
      </c>
      <c r="AD1560" s="65">
        <v>1357</v>
      </c>
      <c r="AE1560" s="17" t="s">
        <v>604</v>
      </c>
      <c r="AH1560" s="17" t="s">
        <v>607</v>
      </c>
      <c r="AI1560" s="17">
        <v>2885</v>
      </c>
    </row>
    <row r="1561" s="17" customFormat="1" hidden="1" spans="1:35">
      <c r="A1561" s="17" t="s">
        <v>34</v>
      </c>
      <c r="B1561" s="19">
        <v>819</v>
      </c>
      <c r="C1561" s="183" t="s">
        <v>602</v>
      </c>
      <c r="D1561" s="17" t="s">
        <v>35</v>
      </c>
      <c r="E1561" s="17" t="s">
        <v>482</v>
      </c>
      <c r="F1561" s="17" t="s">
        <v>72</v>
      </c>
      <c r="H1561" s="19">
        <v>1.2344</v>
      </c>
      <c r="I1561" s="19"/>
      <c r="J1561" s="17" t="s">
        <v>39</v>
      </c>
      <c r="K1561" s="19">
        <v>91</v>
      </c>
      <c r="L1561" s="91"/>
      <c r="M1561" s="19">
        <v>5000</v>
      </c>
      <c r="N1561" s="19" t="s">
        <v>40</v>
      </c>
      <c r="O1561" s="19" t="s">
        <v>50</v>
      </c>
      <c r="P1561" s="19">
        <v>1000</v>
      </c>
      <c r="Q1561" s="17">
        <v>991</v>
      </c>
      <c r="R1561" s="17">
        <f t="shared" si="83"/>
        <v>9</v>
      </c>
      <c r="S1561" s="216">
        <f>2675-15</f>
        <v>2660</v>
      </c>
      <c r="T1561" s="19" t="s">
        <v>42</v>
      </c>
      <c r="U1561" s="102" t="s">
        <v>603</v>
      </c>
      <c r="V1561" s="186" t="s">
        <v>599</v>
      </c>
      <c r="W1561" s="17" t="s">
        <v>44</v>
      </c>
      <c r="Y1561" s="68">
        <v>44826</v>
      </c>
      <c r="Z1561" s="17" t="s">
        <v>191</v>
      </c>
      <c r="AA1561" s="17" t="s">
        <v>46</v>
      </c>
      <c r="AB1561" s="17" t="s">
        <v>490</v>
      </c>
      <c r="AC1561" s="102" t="s">
        <v>570</v>
      </c>
      <c r="AD1561" s="65">
        <v>1357</v>
      </c>
      <c r="AE1561" s="17" t="s">
        <v>604</v>
      </c>
      <c r="AH1561" s="17" t="s">
        <v>610</v>
      </c>
      <c r="AI1561" s="17">
        <v>2885</v>
      </c>
    </row>
    <row r="1562" s="17" customFormat="1" hidden="1" spans="1:35">
      <c r="A1562" s="17" t="s">
        <v>34</v>
      </c>
      <c r="B1562" s="19">
        <v>819</v>
      </c>
      <c r="C1562" s="183" t="s">
        <v>602</v>
      </c>
      <c r="D1562" s="17" t="s">
        <v>35</v>
      </c>
      <c r="E1562" s="17" t="s">
        <v>482</v>
      </c>
      <c r="F1562" s="17" t="s">
        <v>72</v>
      </c>
      <c r="H1562" s="19">
        <v>1.2344</v>
      </c>
      <c r="I1562" s="19"/>
      <c r="J1562" s="17" t="s">
        <v>39</v>
      </c>
      <c r="K1562" s="19">
        <v>101</v>
      </c>
      <c r="L1562" s="91"/>
      <c r="M1562" s="19">
        <v>5000</v>
      </c>
      <c r="N1562" s="19" t="s">
        <v>40</v>
      </c>
      <c r="O1562" s="19" t="s">
        <v>50</v>
      </c>
      <c r="P1562" s="19">
        <v>2000</v>
      </c>
      <c r="Q1562" s="17">
        <f>1085+903</f>
        <v>1988</v>
      </c>
      <c r="R1562" s="17">
        <f t="shared" si="83"/>
        <v>12</v>
      </c>
      <c r="S1562" s="216">
        <f>2675-15</f>
        <v>2660</v>
      </c>
      <c r="T1562" s="19" t="s">
        <v>42</v>
      </c>
      <c r="U1562" s="102" t="s">
        <v>603</v>
      </c>
      <c r="V1562" s="186" t="s">
        <v>599</v>
      </c>
      <c r="W1562" s="17" t="s">
        <v>44</v>
      </c>
      <c r="Y1562" s="68">
        <v>44826</v>
      </c>
      <c r="Z1562" s="17" t="s">
        <v>191</v>
      </c>
      <c r="AA1562" s="17" t="s">
        <v>46</v>
      </c>
      <c r="AB1562" s="17" t="s">
        <v>490</v>
      </c>
      <c r="AC1562" s="102" t="s">
        <v>570</v>
      </c>
      <c r="AD1562" s="65">
        <v>1357</v>
      </c>
      <c r="AE1562" s="17" t="s">
        <v>611</v>
      </c>
      <c r="AF1562" s="17" t="s">
        <v>612</v>
      </c>
      <c r="AH1562" s="17" t="s">
        <v>610</v>
      </c>
      <c r="AI1562" s="17">
        <v>2885</v>
      </c>
    </row>
    <row r="1563" s="17" customFormat="1" hidden="1" spans="1:35">
      <c r="A1563" s="17" t="s">
        <v>34</v>
      </c>
      <c r="B1563" s="19">
        <v>819</v>
      </c>
      <c r="C1563" s="183" t="s">
        <v>602</v>
      </c>
      <c r="D1563" s="17" t="s">
        <v>35</v>
      </c>
      <c r="E1563" s="17" t="s">
        <v>482</v>
      </c>
      <c r="F1563" s="17" t="s">
        <v>72</v>
      </c>
      <c r="H1563" s="19">
        <v>1.2344</v>
      </c>
      <c r="I1563" s="19"/>
      <c r="J1563" s="17" t="s">
        <v>39</v>
      </c>
      <c r="K1563" s="19">
        <v>105</v>
      </c>
      <c r="L1563" s="91"/>
      <c r="M1563" s="19">
        <v>5000</v>
      </c>
      <c r="N1563" s="19" t="s">
        <v>40</v>
      </c>
      <c r="O1563" s="19" t="s">
        <v>50</v>
      </c>
      <c r="P1563" s="19">
        <v>1000</v>
      </c>
      <c r="Q1563" s="17">
        <v>942</v>
      </c>
      <c r="R1563" s="17">
        <f t="shared" si="83"/>
        <v>58</v>
      </c>
      <c r="S1563" s="216">
        <f>2675-15</f>
        <v>2660</v>
      </c>
      <c r="T1563" s="19" t="s">
        <v>42</v>
      </c>
      <c r="U1563" s="102" t="s">
        <v>603</v>
      </c>
      <c r="V1563" s="186" t="s">
        <v>599</v>
      </c>
      <c r="W1563" s="17" t="s">
        <v>44</v>
      </c>
      <c r="Y1563" s="68">
        <v>44826</v>
      </c>
      <c r="Z1563" s="17" t="s">
        <v>191</v>
      </c>
      <c r="AA1563" s="17" t="s">
        <v>46</v>
      </c>
      <c r="AB1563" s="17" t="s">
        <v>490</v>
      </c>
      <c r="AC1563" s="102" t="s">
        <v>570</v>
      </c>
      <c r="AD1563" s="65">
        <v>1357</v>
      </c>
      <c r="AE1563" s="17" t="s">
        <v>48</v>
      </c>
      <c r="AI1563" s="17">
        <v>2885</v>
      </c>
    </row>
    <row r="1564" s="17" customFormat="1" hidden="1" spans="1:35">
      <c r="A1564" s="17" t="s">
        <v>34</v>
      </c>
      <c r="B1564" s="19">
        <v>819</v>
      </c>
      <c r="C1564" s="183" t="s">
        <v>602</v>
      </c>
      <c r="D1564" s="17" t="s">
        <v>35</v>
      </c>
      <c r="E1564" s="17" t="s">
        <v>482</v>
      </c>
      <c r="F1564" s="17" t="s">
        <v>72</v>
      </c>
      <c r="H1564" s="19">
        <v>1.2344</v>
      </c>
      <c r="I1564" s="19"/>
      <c r="J1564" s="17" t="s">
        <v>39</v>
      </c>
      <c r="K1564" s="19">
        <v>111</v>
      </c>
      <c r="L1564" s="91"/>
      <c r="M1564" s="19">
        <v>5000</v>
      </c>
      <c r="N1564" s="19" t="s">
        <v>40</v>
      </c>
      <c r="O1564" s="19" t="s">
        <v>50</v>
      </c>
      <c r="P1564" s="19">
        <v>3000</v>
      </c>
      <c r="Q1564" s="17">
        <f>1670+1681</f>
        <v>3351</v>
      </c>
      <c r="R1564" s="17">
        <f t="shared" si="83"/>
        <v>-351</v>
      </c>
      <c r="S1564" s="216">
        <f>2675-15</f>
        <v>2660</v>
      </c>
      <c r="T1564" s="19" t="s">
        <v>42</v>
      </c>
      <c r="U1564" s="102" t="s">
        <v>603</v>
      </c>
      <c r="V1564" s="186" t="s">
        <v>599</v>
      </c>
      <c r="W1564" s="17" t="s">
        <v>44</v>
      </c>
      <c r="Y1564" s="68">
        <v>44826</v>
      </c>
      <c r="Z1564" s="17" t="s">
        <v>191</v>
      </c>
      <c r="AA1564" s="17" t="s">
        <v>46</v>
      </c>
      <c r="AB1564" s="17" t="s">
        <v>490</v>
      </c>
      <c r="AC1564" s="102" t="s">
        <v>570</v>
      </c>
      <c r="AD1564" s="65">
        <v>1357</v>
      </c>
      <c r="AE1564" s="17" t="s">
        <v>613</v>
      </c>
      <c r="AF1564" s="17" t="s">
        <v>612</v>
      </c>
      <c r="AH1564" s="17" t="s">
        <v>610</v>
      </c>
      <c r="AI1564" s="17">
        <v>2885</v>
      </c>
    </row>
    <row r="1565" s="17" customFormat="1" hidden="1" spans="1:35">
      <c r="A1565" s="17" t="s">
        <v>34</v>
      </c>
      <c r="B1565" s="19">
        <v>819</v>
      </c>
      <c r="C1565" s="183" t="s">
        <v>602</v>
      </c>
      <c r="D1565" s="17" t="s">
        <v>35</v>
      </c>
      <c r="E1565" s="17" t="s">
        <v>482</v>
      </c>
      <c r="F1565" s="17" t="s">
        <v>72</v>
      </c>
      <c r="H1565" s="19">
        <v>1.2344</v>
      </c>
      <c r="I1565" s="19"/>
      <c r="J1565" s="17" t="s">
        <v>39</v>
      </c>
      <c r="K1565" s="19">
        <v>121</v>
      </c>
      <c r="L1565" s="91"/>
      <c r="M1565" s="19">
        <v>5000</v>
      </c>
      <c r="N1565" s="19" t="s">
        <v>40</v>
      </c>
      <c r="O1565" s="19" t="s">
        <v>50</v>
      </c>
      <c r="P1565" s="19">
        <v>5000</v>
      </c>
      <c r="Q1565" s="17">
        <f>2050+1650+400</f>
        <v>4100</v>
      </c>
      <c r="R1565" s="17">
        <f t="shared" si="83"/>
        <v>900</v>
      </c>
      <c r="S1565" s="216">
        <f t="shared" ref="S1565:S1576" si="85">2525-15</f>
        <v>2510</v>
      </c>
      <c r="T1565" s="19" t="s">
        <v>42</v>
      </c>
      <c r="U1565" s="102" t="s">
        <v>603</v>
      </c>
      <c r="V1565" s="186" t="s">
        <v>599</v>
      </c>
      <c r="W1565" s="17" t="s">
        <v>44</v>
      </c>
      <c r="Y1565" s="68">
        <v>44826</v>
      </c>
      <c r="Z1565" s="17" t="s">
        <v>191</v>
      </c>
      <c r="AA1565" s="17" t="s">
        <v>46</v>
      </c>
      <c r="AB1565" s="17" t="s">
        <v>572</v>
      </c>
      <c r="AC1565" s="102" t="s">
        <v>573</v>
      </c>
      <c r="AD1565" s="65">
        <v>1370</v>
      </c>
      <c r="AE1565" s="17" t="s">
        <v>614</v>
      </c>
      <c r="AF1565" s="17" t="s">
        <v>615</v>
      </c>
      <c r="AH1565" s="17" t="s">
        <v>616</v>
      </c>
      <c r="AI1565" s="17">
        <v>2635</v>
      </c>
    </row>
    <row r="1566" s="17" customFormat="1" hidden="1" spans="1:35">
      <c r="A1566" s="17" t="s">
        <v>34</v>
      </c>
      <c r="B1566" s="19">
        <v>819</v>
      </c>
      <c r="C1566" s="183" t="s">
        <v>602</v>
      </c>
      <c r="D1566" s="17" t="s">
        <v>35</v>
      </c>
      <c r="E1566" s="17" t="s">
        <v>482</v>
      </c>
      <c r="F1566" s="17" t="s">
        <v>72</v>
      </c>
      <c r="H1566" s="19">
        <v>1.2344</v>
      </c>
      <c r="I1566" s="19"/>
      <c r="J1566" s="17" t="s">
        <v>39</v>
      </c>
      <c r="K1566" s="19">
        <v>132</v>
      </c>
      <c r="L1566" s="91"/>
      <c r="M1566" s="19">
        <v>5000</v>
      </c>
      <c r="N1566" s="19" t="s">
        <v>40</v>
      </c>
      <c r="O1566" s="19" t="s">
        <v>50</v>
      </c>
      <c r="P1566" s="19">
        <v>8000</v>
      </c>
      <c r="Q1566" s="17">
        <f>1760+1740+1750+1685</f>
        <v>6935</v>
      </c>
      <c r="R1566" s="17">
        <f t="shared" si="83"/>
        <v>1065</v>
      </c>
      <c r="S1566" s="216">
        <f t="shared" si="85"/>
        <v>2510</v>
      </c>
      <c r="T1566" s="19" t="s">
        <v>42</v>
      </c>
      <c r="U1566" s="102" t="s">
        <v>603</v>
      </c>
      <c r="V1566" s="186" t="s">
        <v>599</v>
      </c>
      <c r="W1566" s="17" t="s">
        <v>44</v>
      </c>
      <c r="Y1566" s="68">
        <v>44826</v>
      </c>
      <c r="Z1566" s="17" t="s">
        <v>191</v>
      </c>
      <c r="AA1566" s="17" t="s">
        <v>46</v>
      </c>
      <c r="AB1566" s="17" t="s">
        <v>572</v>
      </c>
      <c r="AC1566" s="102" t="s">
        <v>573</v>
      </c>
      <c r="AD1566" s="65">
        <v>1370</v>
      </c>
      <c r="AE1566" s="17" t="s">
        <v>617</v>
      </c>
      <c r="AF1566" s="17" t="s">
        <v>615</v>
      </c>
      <c r="AH1566" s="17" t="s">
        <v>616</v>
      </c>
      <c r="AI1566" s="17">
        <v>2635</v>
      </c>
    </row>
    <row r="1567" s="17" customFormat="1" hidden="1" spans="1:35">
      <c r="A1567" s="17" t="s">
        <v>34</v>
      </c>
      <c r="B1567" s="19">
        <v>819</v>
      </c>
      <c r="C1567" s="183" t="s">
        <v>602</v>
      </c>
      <c r="D1567" s="17" t="s">
        <v>35</v>
      </c>
      <c r="E1567" s="17" t="s">
        <v>482</v>
      </c>
      <c r="F1567" s="17" t="s">
        <v>72</v>
      </c>
      <c r="H1567" s="19">
        <v>1.2344</v>
      </c>
      <c r="I1567" s="19"/>
      <c r="J1567" s="17" t="s">
        <v>39</v>
      </c>
      <c r="K1567" s="19">
        <v>142</v>
      </c>
      <c r="L1567" s="91"/>
      <c r="M1567" s="19">
        <v>5000</v>
      </c>
      <c r="N1567" s="19" t="s">
        <v>40</v>
      </c>
      <c r="O1567" s="19" t="s">
        <v>50</v>
      </c>
      <c r="P1567" s="19">
        <v>1000</v>
      </c>
      <c r="Q1567" s="17">
        <f>645+640</f>
        <v>1285</v>
      </c>
      <c r="R1567" s="17">
        <f t="shared" si="83"/>
        <v>-285</v>
      </c>
      <c r="S1567" s="216">
        <f t="shared" si="85"/>
        <v>2510</v>
      </c>
      <c r="T1567" s="19" t="s">
        <v>42</v>
      </c>
      <c r="U1567" s="102" t="s">
        <v>603</v>
      </c>
      <c r="V1567" s="186" t="s">
        <v>599</v>
      </c>
      <c r="W1567" s="17" t="s">
        <v>44</v>
      </c>
      <c r="Y1567" s="68">
        <v>44826</v>
      </c>
      <c r="Z1567" s="17" t="s">
        <v>191</v>
      </c>
      <c r="AA1567" s="17" t="s">
        <v>46</v>
      </c>
      <c r="AB1567" s="17" t="s">
        <v>572</v>
      </c>
      <c r="AC1567" s="102" t="s">
        <v>573</v>
      </c>
      <c r="AD1567" s="65">
        <v>1370</v>
      </c>
      <c r="AE1567" s="17" t="s">
        <v>74</v>
      </c>
      <c r="AH1567" s="17" t="s">
        <v>616</v>
      </c>
      <c r="AI1567" s="17">
        <v>2635</v>
      </c>
    </row>
    <row r="1568" s="17" customFormat="1" hidden="1" spans="1:35">
      <c r="A1568" s="17" t="s">
        <v>34</v>
      </c>
      <c r="B1568" s="19">
        <v>819</v>
      </c>
      <c r="C1568" s="183" t="s">
        <v>602</v>
      </c>
      <c r="D1568" s="17" t="s">
        <v>35</v>
      </c>
      <c r="E1568" s="17" t="s">
        <v>482</v>
      </c>
      <c r="F1568" s="17" t="s">
        <v>72</v>
      </c>
      <c r="H1568" s="19">
        <v>1.2344</v>
      </c>
      <c r="I1568" s="19"/>
      <c r="J1568" s="17" t="s">
        <v>39</v>
      </c>
      <c r="K1568" s="19">
        <v>152</v>
      </c>
      <c r="L1568" s="91"/>
      <c r="M1568" s="19">
        <v>5000</v>
      </c>
      <c r="N1568" s="19" t="s">
        <v>40</v>
      </c>
      <c r="O1568" s="19" t="s">
        <v>50</v>
      </c>
      <c r="P1568" s="19">
        <v>4000</v>
      </c>
      <c r="Q1568" s="17">
        <f>1205+2415</f>
        <v>3620</v>
      </c>
      <c r="R1568" s="17">
        <f t="shared" si="83"/>
        <v>380</v>
      </c>
      <c r="S1568" s="216">
        <f t="shared" si="85"/>
        <v>2510</v>
      </c>
      <c r="T1568" s="19" t="s">
        <v>42</v>
      </c>
      <c r="U1568" s="102" t="s">
        <v>603</v>
      </c>
      <c r="V1568" s="186" t="s">
        <v>599</v>
      </c>
      <c r="W1568" s="17" t="s">
        <v>44</v>
      </c>
      <c r="Y1568" s="68">
        <v>44826</v>
      </c>
      <c r="Z1568" s="17" t="s">
        <v>191</v>
      </c>
      <c r="AA1568" s="17" t="s">
        <v>46</v>
      </c>
      <c r="AB1568" s="17" t="s">
        <v>618</v>
      </c>
      <c r="AC1568" s="102" t="s">
        <v>619</v>
      </c>
      <c r="AD1568" s="65">
        <v>1354</v>
      </c>
      <c r="AE1568" s="17" t="s">
        <v>620</v>
      </c>
      <c r="AF1568" s="17" t="s">
        <v>615</v>
      </c>
      <c r="AH1568" s="17" t="s">
        <v>616</v>
      </c>
      <c r="AI1568" s="17">
        <v>2635</v>
      </c>
    </row>
    <row r="1569" s="17" customFormat="1" hidden="1" spans="1:35">
      <c r="A1569" s="17" t="s">
        <v>34</v>
      </c>
      <c r="B1569" s="19">
        <v>819</v>
      </c>
      <c r="C1569" s="183" t="s">
        <v>602</v>
      </c>
      <c r="D1569" s="17" t="s">
        <v>35</v>
      </c>
      <c r="E1569" s="17" t="s">
        <v>482</v>
      </c>
      <c r="F1569" s="17" t="s">
        <v>72</v>
      </c>
      <c r="H1569" s="19">
        <v>1.2344</v>
      </c>
      <c r="I1569" s="19"/>
      <c r="J1569" s="17" t="s">
        <v>39</v>
      </c>
      <c r="K1569" s="19">
        <v>162</v>
      </c>
      <c r="L1569" s="91"/>
      <c r="M1569" s="19">
        <v>5000</v>
      </c>
      <c r="N1569" s="19" t="s">
        <v>40</v>
      </c>
      <c r="O1569" s="19" t="s">
        <v>50</v>
      </c>
      <c r="P1569" s="19">
        <v>5000</v>
      </c>
      <c r="Q1569" s="17">
        <f>1735+1690</f>
        <v>3425</v>
      </c>
      <c r="S1569" s="216">
        <f t="shared" si="85"/>
        <v>2510</v>
      </c>
      <c r="T1569" s="19" t="s">
        <v>42</v>
      </c>
      <c r="U1569" s="102" t="s">
        <v>603</v>
      </c>
      <c r="V1569" s="186" t="s">
        <v>599</v>
      </c>
      <c r="W1569" s="17" t="s">
        <v>44</v>
      </c>
      <c r="Y1569" s="68">
        <v>44826</v>
      </c>
      <c r="Z1569" s="17" t="s">
        <v>191</v>
      </c>
      <c r="AA1569" s="17" t="s">
        <v>46</v>
      </c>
      <c r="AB1569" s="17" t="s">
        <v>618</v>
      </c>
      <c r="AC1569" s="217">
        <v>44852</v>
      </c>
      <c r="AD1569" s="65">
        <v>1354</v>
      </c>
      <c r="AE1569" s="17" t="s">
        <v>621</v>
      </c>
      <c r="AF1569" s="17" t="s">
        <v>622</v>
      </c>
      <c r="AH1569" s="17" t="s">
        <v>616</v>
      </c>
      <c r="AI1569" s="17">
        <v>2635</v>
      </c>
    </row>
    <row r="1570" s="17" customFormat="1" hidden="1" spans="1:35">
      <c r="A1570" s="17" t="s">
        <v>34</v>
      </c>
      <c r="B1570" s="19">
        <v>819</v>
      </c>
      <c r="C1570" s="183" t="s">
        <v>602</v>
      </c>
      <c r="D1570" s="17" t="s">
        <v>35</v>
      </c>
      <c r="E1570" s="17" t="s">
        <v>482</v>
      </c>
      <c r="F1570" s="17" t="s">
        <v>72</v>
      </c>
      <c r="H1570" s="19">
        <v>1.2344</v>
      </c>
      <c r="I1570" s="19"/>
      <c r="J1570" s="17" t="s">
        <v>39</v>
      </c>
      <c r="K1570" s="19">
        <v>162</v>
      </c>
      <c r="L1570" s="91"/>
      <c r="M1570" s="19">
        <v>5000</v>
      </c>
      <c r="N1570" s="19" t="s">
        <v>40</v>
      </c>
      <c r="O1570" s="19" t="s">
        <v>50</v>
      </c>
      <c r="P1570" s="19"/>
      <c r="Q1570" s="17">
        <v>1790</v>
      </c>
      <c r="R1570" s="17">
        <f>+P1569-Q1569-Q1570</f>
        <v>-215</v>
      </c>
      <c r="S1570" s="216">
        <f t="shared" si="85"/>
        <v>2510</v>
      </c>
      <c r="T1570" s="19" t="s">
        <v>42</v>
      </c>
      <c r="U1570" s="102" t="s">
        <v>603</v>
      </c>
      <c r="V1570" s="186" t="s">
        <v>599</v>
      </c>
      <c r="W1570" s="17" t="s">
        <v>44</v>
      </c>
      <c r="Y1570" s="68">
        <v>44826</v>
      </c>
      <c r="Z1570" s="17" t="s">
        <v>191</v>
      </c>
      <c r="AA1570" s="17" t="s">
        <v>46</v>
      </c>
      <c r="AB1570" s="17" t="s">
        <v>623</v>
      </c>
      <c r="AC1570" s="102" t="s">
        <v>619</v>
      </c>
      <c r="AD1570" s="65">
        <v>1355</v>
      </c>
      <c r="AI1570" s="17">
        <v>2635</v>
      </c>
    </row>
    <row r="1571" s="17" customFormat="1" hidden="1" spans="1:35">
      <c r="A1571" s="17" t="s">
        <v>34</v>
      </c>
      <c r="B1571" s="19">
        <v>819</v>
      </c>
      <c r="C1571" s="183" t="s">
        <v>602</v>
      </c>
      <c r="D1571" s="17" t="s">
        <v>35</v>
      </c>
      <c r="E1571" s="17" t="s">
        <v>482</v>
      </c>
      <c r="F1571" s="17" t="s">
        <v>72</v>
      </c>
      <c r="H1571" s="19">
        <v>1.2344</v>
      </c>
      <c r="I1571" s="19"/>
      <c r="J1571" s="17" t="s">
        <v>39</v>
      </c>
      <c r="K1571" s="19">
        <v>172</v>
      </c>
      <c r="L1571" s="91"/>
      <c r="M1571" s="19">
        <v>5000</v>
      </c>
      <c r="N1571" s="19" t="s">
        <v>40</v>
      </c>
      <c r="O1571" s="19" t="s">
        <v>50</v>
      </c>
      <c r="P1571" s="19">
        <v>2000</v>
      </c>
      <c r="Q1571" s="17">
        <v>1720</v>
      </c>
      <c r="R1571" s="17">
        <f>+P1571-Q1571</f>
        <v>280</v>
      </c>
      <c r="S1571" s="216">
        <f t="shared" si="85"/>
        <v>2510</v>
      </c>
      <c r="T1571" s="19" t="s">
        <v>42</v>
      </c>
      <c r="U1571" s="102" t="s">
        <v>603</v>
      </c>
      <c r="V1571" s="186" t="s">
        <v>599</v>
      </c>
      <c r="W1571" s="17" t="s">
        <v>44</v>
      </c>
      <c r="Y1571" s="68">
        <v>44826</v>
      </c>
      <c r="Z1571" s="17" t="s">
        <v>191</v>
      </c>
      <c r="AA1571" s="17" t="s">
        <v>46</v>
      </c>
      <c r="AB1571" s="17" t="s">
        <v>618</v>
      </c>
      <c r="AC1571" s="102" t="s">
        <v>619</v>
      </c>
      <c r="AD1571" s="65">
        <v>1354</v>
      </c>
      <c r="AE1571" s="17" t="s">
        <v>624</v>
      </c>
      <c r="AH1571" s="17" t="s">
        <v>616</v>
      </c>
      <c r="AI1571" s="17">
        <v>2635</v>
      </c>
    </row>
    <row r="1572" s="17" customFormat="1" hidden="1" spans="1:35">
      <c r="A1572" s="17" t="s">
        <v>34</v>
      </c>
      <c r="B1572" s="19">
        <v>819</v>
      </c>
      <c r="C1572" s="183" t="s">
        <v>602</v>
      </c>
      <c r="D1572" s="17" t="s">
        <v>35</v>
      </c>
      <c r="E1572" s="17" t="s">
        <v>482</v>
      </c>
      <c r="F1572" s="17" t="s">
        <v>72</v>
      </c>
      <c r="H1572" s="19">
        <v>1.2344</v>
      </c>
      <c r="I1572" s="19"/>
      <c r="J1572" s="17" t="s">
        <v>39</v>
      </c>
      <c r="K1572" s="19">
        <v>182</v>
      </c>
      <c r="L1572" s="91"/>
      <c r="M1572" s="19">
        <v>5000</v>
      </c>
      <c r="N1572" s="19" t="s">
        <v>40</v>
      </c>
      <c r="O1572" s="19" t="s">
        <v>50</v>
      </c>
      <c r="P1572" s="19">
        <v>2000</v>
      </c>
      <c r="Q1572" s="17">
        <v>920</v>
      </c>
      <c r="S1572" s="216">
        <f t="shared" si="85"/>
        <v>2510</v>
      </c>
      <c r="T1572" s="19" t="s">
        <v>42</v>
      </c>
      <c r="U1572" s="102" t="s">
        <v>603</v>
      </c>
      <c r="V1572" s="186" t="s">
        <v>599</v>
      </c>
      <c r="W1572" s="17" t="s">
        <v>44</v>
      </c>
      <c r="Y1572" s="68">
        <v>44826</v>
      </c>
      <c r="Z1572" s="17" t="s">
        <v>191</v>
      </c>
      <c r="AA1572" s="17" t="s">
        <v>46</v>
      </c>
      <c r="AB1572" s="17" t="s">
        <v>618</v>
      </c>
      <c r="AC1572" s="102" t="s">
        <v>619</v>
      </c>
      <c r="AD1572" s="65">
        <v>1354</v>
      </c>
      <c r="AE1572" s="17" t="s">
        <v>624</v>
      </c>
      <c r="AH1572" s="17" t="s">
        <v>616</v>
      </c>
      <c r="AI1572" s="17">
        <v>2635</v>
      </c>
    </row>
    <row r="1573" s="17" customFormat="1" hidden="1" spans="1:35">
      <c r="A1573" s="17" t="s">
        <v>34</v>
      </c>
      <c r="B1573" s="19">
        <v>819</v>
      </c>
      <c r="C1573" s="183" t="s">
        <v>602</v>
      </c>
      <c r="D1573" s="17" t="s">
        <v>35</v>
      </c>
      <c r="E1573" s="17" t="s">
        <v>482</v>
      </c>
      <c r="F1573" s="17" t="s">
        <v>72</v>
      </c>
      <c r="H1573" s="19">
        <v>1.2344</v>
      </c>
      <c r="I1573" s="19"/>
      <c r="J1573" s="17" t="s">
        <v>39</v>
      </c>
      <c r="K1573" s="19">
        <v>182</v>
      </c>
      <c r="L1573" s="91"/>
      <c r="M1573" s="19">
        <v>5000</v>
      </c>
      <c r="N1573" s="19" t="s">
        <v>40</v>
      </c>
      <c r="O1573" s="19" t="s">
        <v>50</v>
      </c>
      <c r="P1573" s="19"/>
      <c r="Q1573" s="17">
        <v>925</v>
      </c>
      <c r="R1573" s="17">
        <f>+P1572-Q1572-Q1573</f>
        <v>155</v>
      </c>
      <c r="S1573" s="216">
        <f t="shared" si="85"/>
        <v>2510</v>
      </c>
      <c r="T1573" s="19" t="s">
        <v>42</v>
      </c>
      <c r="U1573" s="102" t="s">
        <v>603</v>
      </c>
      <c r="V1573" s="186" t="s">
        <v>599</v>
      </c>
      <c r="W1573" s="17" t="s">
        <v>44</v>
      </c>
      <c r="Y1573" s="68">
        <v>44826</v>
      </c>
      <c r="Z1573" s="17" t="s">
        <v>191</v>
      </c>
      <c r="AA1573" s="17" t="s">
        <v>46</v>
      </c>
      <c r="AB1573" s="17" t="s">
        <v>623</v>
      </c>
      <c r="AC1573" s="102" t="s">
        <v>619</v>
      </c>
      <c r="AD1573" s="65">
        <v>1355</v>
      </c>
      <c r="AI1573" s="17">
        <v>2635</v>
      </c>
    </row>
    <row r="1574" s="17" customFormat="1" hidden="1" spans="1:35">
      <c r="A1574" s="17" t="s">
        <v>34</v>
      </c>
      <c r="B1574" s="19">
        <v>819</v>
      </c>
      <c r="C1574" s="183" t="s">
        <v>602</v>
      </c>
      <c r="D1574" s="17" t="s">
        <v>35</v>
      </c>
      <c r="E1574" s="17" t="s">
        <v>482</v>
      </c>
      <c r="F1574" s="17" t="s">
        <v>72</v>
      </c>
      <c r="H1574" s="19">
        <v>1.2344</v>
      </c>
      <c r="I1574" s="19"/>
      <c r="J1574" s="17" t="s">
        <v>39</v>
      </c>
      <c r="K1574" s="19">
        <v>184</v>
      </c>
      <c r="L1574" s="91"/>
      <c r="M1574" s="19">
        <v>5000</v>
      </c>
      <c r="N1574" s="19" t="s">
        <v>40</v>
      </c>
      <c r="O1574" s="19" t="s">
        <v>50</v>
      </c>
      <c r="P1574" s="19">
        <v>2000</v>
      </c>
      <c r="Q1574" s="17">
        <f>920+895</f>
        <v>1815</v>
      </c>
      <c r="R1574" s="17">
        <f t="shared" ref="R1574:R1582" si="86">+P1574-Q1574</f>
        <v>185</v>
      </c>
      <c r="S1574" s="216">
        <f t="shared" si="85"/>
        <v>2510</v>
      </c>
      <c r="T1574" s="19" t="s">
        <v>42</v>
      </c>
      <c r="U1574" s="102" t="s">
        <v>603</v>
      </c>
      <c r="V1574" s="186" t="s">
        <v>599</v>
      </c>
      <c r="W1574" s="17" t="s">
        <v>44</v>
      </c>
      <c r="Y1574" s="68">
        <v>44826</v>
      </c>
      <c r="Z1574" s="17" t="s">
        <v>191</v>
      </c>
      <c r="AA1574" s="17" t="s">
        <v>46</v>
      </c>
      <c r="AB1574" s="17" t="s">
        <v>618</v>
      </c>
      <c r="AC1574" s="102" t="s">
        <v>619</v>
      </c>
      <c r="AD1574" s="65">
        <v>1354</v>
      </c>
      <c r="AE1574" s="17" t="s">
        <v>625</v>
      </c>
      <c r="AF1574" s="17" t="s">
        <v>615</v>
      </c>
      <c r="AI1574" s="17">
        <v>2635</v>
      </c>
    </row>
    <row r="1575" s="17" customFormat="1" hidden="1" spans="1:35">
      <c r="A1575" s="17" t="s">
        <v>34</v>
      </c>
      <c r="B1575" s="19">
        <v>819</v>
      </c>
      <c r="C1575" s="183" t="s">
        <v>602</v>
      </c>
      <c r="D1575" s="17" t="s">
        <v>35</v>
      </c>
      <c r="E1575" s="17" t="s">
        <v>482</v>
      </c>
      <c r="F1575" s="17" t="s">
        <v>72</v>
      </c>
      <c r="H1575" s="19">
        <v>1.2344</v>
      </c>
      <c r="I1575" s="19"/>
      <c r="J1575" s="17" t="s">
        <v>39</v>
      </c>
      <c r="K1575" s="19">
        <v>192</v>
      </c>
      <c r="L1575" s="91"/>
      <c r="M1575" s="19">
        <v>5000</v>
      </c>
      <c r="N1575" s="19" t="s">
        <v>40</v>
      </c>
      <c r="O1575" s="19" t="s">
        <v>50</v>
      </c>
      <c r="P1575" s="19">
        <v>6000</v>
      </c>
      <c r="Q1575" s="17">
        <f>1010+1160+1165+1185+1165+1175</f>
        <v>6860</v>
      </c>
      <c r="R1575" s="17">
        <f t="shared" si="86"/>
        <v>-860</v>
      </c>
      <c r="S1575" s="216">
        <f t="shared" si="85"/>
        <v>2510</v>
      </c>
      <c r="T1575" s="19" t="s">
        <v>42</v>
      </c>
      <c r="U1575" s="102" t="s">
        <v>603</v>
      </c>
      <c r="V1575" s="186" t="s">
        <v>599</v>
      </c>
      <c r="W1575" s="17" t="s">
        <v>44</v>
      </c>
      <c r="Y1575" s="68">
        <v>44826</v>
      </c>
      <c r="Z1575" s="17" t="s">
        <v>191</v>
      </c>
      <c r="AA1575" s="17" t="s">
        <v>46</v>
      </c>
      <c r="AB1575" s="17" t="s">
        <v>618</v>
      </c>
      <c r="AC1575" s="102" t="s">
        <v>619</v>
      </c>
      <c r="AD1575" s="65">
        <v>1354</v>
      </c>
      <c r="AE1575" s="17" t="s">
        <v>626</v>
      </c>
      <c r="AH1575" s="17" t="s">
        <v>616</v>
      </c>
      <c r="AI1575" s="17">
        <v>2635</v>
      </c>
    </row>
    <row r="1576" s="17" customFormat="1" hidden="1" spans="1:35">
      <c r="A1576" s="17" t="s">
        <v>34</v>
      </c>
      <c r="B1576" s="19">
        <v>819</v>
      </c>
      <c r="C1576" s="183" t="s">
        <v>602</v>
      </c>
      <c r="D1576" s="17" t="s">
        <v>35</v>
      </c>
      <c r="E1576" s="17" t="s">
        <v>482</v>
      </c>
      <c r="F1576" s="17" t="s">
        <v>72</v>
      </c>
      <c r="H1576" s="19">
        <v>1.2344</v>
      </c>
      <c r="I1576" s="19"/>
      <c r="J1576" s="17" t="s">
        <v>39</v>
      </c>
      <c r="K1576" s="19">
        <v>202</v>
      </c>
      <c r="L1576" s="91"/>
      <c r="M1576" s="19">
        <v>5000</v>
      </c>
      <c r="N1576" s="19" t="s">
        <v>40</v>
      </c>
      <c r="O1576" s="19" t="s">
        <v>50</v>
      </c>
      <c r="P1576" s="19">
        <v>1500</v>
      </c>
      <c r="Q1576" s="17">
        <f>835+840</f>
        <v>1675</v>
      </c>
      <c r="R1576" s="17">
        <f t="shared" si="86"/>
        <v>-175</v>
      </c>
      <c r="S1576" s="216">
        <f t="shared" si="85"/>
        <v>2510</v>
      </c>
      <c r="T1576" s="19" t="s">
        <v>42</v>
      </c>
      <c r="U1576" s="102" t="s">
        <v>603</v>
      </c>
      <c r="V1576" s="186" t="s">
        <v>599</v>
      </c>
      <c r="W1576" s="17" t="s">
        <v>44</v>
      </c>
      <c r="Y1576" s="68">
        <v>44826</v>
      </c>
      <c r="Z1576" s="17" t="s">
        <v>191</v>
      </c>
      <c r="AA1576" s="17" t="s">
        <v>46</v>
      </c>
      <c r="AB1576" s="17" t="s">
        <v>618</v>
      </c>
      <c r="AC1576" s="102" t="s">
        <v>619</v>
      </c>
      <c r="AD1576" s="65">
        <v>1354</v>
      </c>
      <c r="AE1576" s="17" t="s">
        <v>74</v>
      </c>
      <c r="AH1576" s="17" t="s">
        <v>616</v>
      </c>
      <c r="AI1576" s="17">
        <v>2635</v>
      </c>
    </row>
    <row r="1577" s="18" customFormat="1" hidden="1" spans="1:35">
      <c r="B1577" s="75">
        <v>819</v>
      </c>
      <c r="C1577" s="213" t="s">
        <v>602</v>
      </c>
      <c r="D1577" s="18" t="s">
        <v>35</v>
      </c>
      <c r="E1577" s="18" t="s">
        <v>482</v>
      </c>
      <c r="F1577" s="18" t="s">
        <v>72</v>
      </c>
      <c r="H1577" s="75">
        <v>1.2344</v>
      </c>
      <c r="I1577" s="75"/>
      <c r="J1577" s="18" t="s">
        <v>39</v>
      </c>
      <c r="K1577" s="75">
        <v>212</v>
      </c>
      <c r="L1577" s="111"/>
      <c r="M1577" s="75">
        <v>5000</v>
      </c>
      <c r="N1577" s="75" t="s">
        <v>40</v>
      </c>
      <c r="O1577" s="75" t="s">
        <v>50</v>
      </c>
      <c r="P1577" s="75">
        <v>3000</v>
      </c>
      <c r="R1577" s="18">
        <f t="shared" si="86"/>
        <v>3000</v>
      </c>
      <c r="S1577" s="218">
        <v>2525</v>
      </c>
      <c r="T1577" s="75" t="s">
        <v>42</v>
      </c>
      <c r="U1577" s="137" t="s">
        <v>603</v>
      </c>
      <c r="V1577" s="193" t="s">
        <v>599</v>
      </c>
      <c r="W1577" s="18" t="s">
        <v>44</v>
      </c>
      <c r="Y1577" s="114">
        <v>44826</v>
      </c>
      <c r="Z1577" s="18" t="s">
        <v>191</v>
      </c>
      <c r="AA1577" s="18" t="s">
        <v>46</v>
      </c>
      <c r="AC1577" s="137"/>
      <c r="AD1577" s="77"/>
      <c r="AE1577" s="18" t="s">
        <v>627</v>
      </c>
      <c r="AH1577" s="18" t="s">
        <v>616</v>
      </c>
      <c r="AI1577" s="18">
        <v>2650</v>
      </c>
    </row>
    <row r="1578" s="18" customFormat="1" hidden="1" spans="1:35">
      <c r="B1578" s="75">
        <v>819</v>
      </c>
      <c r="C1578" s="213" t="s">
        <v>602</v>
      </c>
      <c r="D1578" s="18" t="s">
        <v>35</v>
      </c>
      <c r="E1578" s="18" t="s">
        <v>482</v>
      </c>
      <c r="F1578" s="18" t="s">
        <v>72</v>
      </c>
      <c r="H1578" s="75">
        <v>1.2344</v>
      </c>
      <c r="I1578" s="75"/>
      <c r="J1578" s="18" t="s">
        <v>39</v>
      </c>
      <c r="K1578" s="75">
        <v>222</v>
      </c>
      <c r="L1578" s="111"/>
      <c r="M1578" s="75">
        <v>5000</v>
      </c>
      <c r="N1578" s="75" t="s">
        <v>40</v>
      </c>
      <c r="O1578" s="75" t="s">
        <v>50</v>
      </c>
      <c r="P1578" s="75">
        <v>1500</v>
      </c>
      <c r="R1578" s="18">
        <f t="shared" si="86"/>
        <v>1500</v>
      </c>
      <c r="S1578" s="218">
        <v>2525</v>
      </c>
      <c r="T1578" s="75" t="s">
        <v>42</v>
      </c>
      <c r="U1578" s="137" t="s">
        <v>603</v>
      </c>
      <c r="V1578" s="193" t="s">
        <v>599</v>
      </c>
      <c r="W1578" s="18" t="s">
        <v>44</v>
      </c>
      <c r="Y1578" s="114">
        <v>44826</v>
      </c>
      <c r="Z1578" s="18" t="s">
        <v>191</v>
      </c>
      <c r="AA1578" s="18" t="s">
        <v>46</v>
      </c>
      <c r="AC1578" s="137"/>
      <c r="AD1578" s="77"/>
      <c r="AE1578" s="18" t="s">
        <v>74</v>
      </c>
      <c r="AH1578" s="18" t="s">
        <v>616</v>
      </c>
      <c r="AI1578" s="18">
        <v>2650</v>
      </c>
    </row>
    <row r="1579" s="17" customFormat="1" hidden="1" spans="1:35">
      <c r="A1579" s="17" t="s">
        <v>34</v>
      </c>
      <c r="B1579" s="19">
        <v>819</v>
      </c>
      <c r="C1579" s="183" t="s">
        <v>602</v>
      </c>
      <c r="D1579" s="17" t="s">
        <v>35</v>
      </c>
      <c r="E1579" s="17" t="s">
        <v>482</v>
      </c>
      <c r="F1579" s="17" t="s">
        <v>72</v>
      </c>
      <c r="H1579" s="19">
        <v>1.2344</v>
      </c>
      <c r="I1579" s="19"/>
      <c r="J1579" s="17" t="s">
        <v>39</v>
      </c>
      <c r="K1579" s="19">
        <v>232</v>
      </c>
      <c r="L1579" s="91"/>
      <c r="M1579" s="19">
        <v>5000</v>
      </c>
      <c r="N1579" s="19" t="s">
        <v>40</v>
      </c>
      <c r="O1579" s="19" t="s">
        <v>50</v>
      </c>
      <c r="P1579" s="19">
        <v>2500</v>
      </c>
      <c r="Q1579" s="17">
        <v>1715</v>
      </c>
      <c r="R1579" s="18">
        <f t="shared" si="86"/>
        <v>785</v>
      </c>
      <c r="S1579" s="216">
        <f>2525-15</f>
        <v>2510</v>
      </c>
      <c r="T1579" s="19" t="s">
        <v>42</v>
      </c>
      <c r="U1579" s="102" t="s">
        <v>603</v>
      </c>
      <c r="V1579" s="186" t="s">
        <v>599</v>
      </c>
      <c r="W1579" s="17" t="s">
        <v>44</v>
      </c>
      <c r="Y1579" s="68">
        <v>44826</v>
      </c>
      <c r="Z1579" s="17" t="s">
        <v>191</v>
      </c>
      <c r="AA1579" s="17" t="s">
        <v>46</v>
      </c>
      <c r="AB1579" s="17" t="s">
        <v>623</v>
      </c>
      <c r="AC1579" s="102" t="s">
        <v>619</v>
      </c>
      <c r="AD1579" s="65">
        <v>1355</v>
      </c>
      <c r="AE1579" s="17" t="s">
        <v>74</v>
      </c>
      <c r="AH1579" s="17" t="s">
        <v>616</v>
      </c>
      <c r="AI1579" s="17">
        <v>2635</v>
      </c>
    </row>
    <row r="1580" s="17" customFormat="1" hidden="1" spans="1:35">
      <c r="A1580" s="17" t="s">
        <v>34</v>
      </c>
      <c r="B1580" s="19">
        <v>819</v>
      </c>
      <c r="C1580" s="183" t="s">
        <v>602</v>
      </c>
      <c r="D1580" s="17" t="s">
        <v>35</v>
      </c>
      <c r="E1580" s="17" t="s">
        <v>482</v>
      </c>
      <c r="F1580" s="17" t="s">
        <v>72</v>
      </c>
      <c r="H1580" s="19">
        <v>1.2344</v>
      </c>
      <c r="I1580" s="19"/>
      <c r="J1580" s="17" t="s">
        <v>39</v>
      </c>
      <c r="K1580" s="19">
        <v>250</v>
      </c>
      <c r="L1580" s="91"/>
      <c r="M1580" s="19">
        <v>5000</v>
      </c>
      <c r="N1580" s="19" t="s">
        <v>40</v>
      </c>
      <c r="O1580" s="19" t="s">
        <v>50</v>
      </c>
      <c r="P1580" s="19">
        <v>2500</v>
      </c>
      <c r="Q1580" s="17">
        <v>1665</v>
      </c>
      <c r="R1580" s="18">
        <f t="shared" si="86"/>
        <v>835</v>
      </c>
      <c r="S1580" s="216">
        <f>2525-15</f>
        <v>2510</v>
      </c>
      <c r="T1580" s="19" t="s">
        <v>42</v>
      </c>
      <c r="U1580" s="102" t="s">
        <v>603</v>
      </c>
      <c r="V1580" s="186" t="s">
        <v>599</v>
      </c>
      <c r="W1580" s="17" t="s">
        <v>44</v>
      </c>
      <c r="Y1580" s="68">
        <v>44826</v>
      </c>
      <c r="Z1580" s="17" t="s">
        <v>191</v>
      </c>
      <c r="AA1580" s="17" t="s">
        <v>46</v>
      </c>
      <c r="AB1580" s="17" t="s">
        <v>572</v>
      </c>
      <c r="AC1580" s="102" t="s">
        <v>573</v>
      </c>
      <c r="AD1580" s="65">
        <v>1370</v>
      </c>
      <c r="AE1580" s="17" t="s">
        <v>628</v>
      </c>
      <c r="AH1580" s="17" t="s">
        <v>616</v>
      </c>
      <c r="AI1580" s="17">
        <v>2635</v>
      </c>
    </row>
    <row r="1581" s="17" customFormat="1" hidden="1" spans="1:35">
      <c r="A1581" s="17" t="s">
        <v>34</v>
      </c>
      <c r="B1581" s="19">
        <v>819</v>
      </c>
      <c r="C1581" s="183" t="s">
        <v>602</v>
      </c>
      <c r="D1581" s="17" t="s">
        <v>35</v>
      </c>
      <c r="E1581" s="17" t="s">
        <v>482</v>
      </c>
      <c r="F1581" s="17" t="s">
        <v>72</v>
      </c>
      <c r="H1581" s="19">
        <v>1.2344</v>
      </c>
      <c r="I1581" s="19"/>
      <c r="J1581" s="17" t="s">
        <v>39</v>
      </c>
      <c r="K1581" s="19">
        <v>262</v>
      </c>
      <c r="L1581" s="91"/>
      <c r="M1581" s="19">
        <v>5000</v>
      </c>
      <c r="N1581" s="19" t="s">
        <v>40</v>
      </c>
      <c r="O1581" s="19" t="s">
        <v>50</v>
      </c>
      <c r="P1581" s="19">
        <v>3000</v>
      </c>
      <c r="Q1581" s="17">
        <f>1685+1760</f>
        <v>3445</v>
      </c>
      <c r="R1581" s="17">
        <f t="shared" si="86"/>
        <v>-445</v>
      </c>
      <c r="S1581" s="216">
        <f>2575-15</f>
        <v>2560</v>
      </c>
      <c r="T1581" s="19" t="s">
        <v>42</v>
      </c>
      <c r="U1581" s="102" t="s">
        <v>603</v>
      </c>
      <c r="V1581" s="186" t="s">
        <v>599</v>
      </c>
      <c r="W1581" s="17" t="s">
        <v>44</v>
      </c>
      <c r="Y1581" s="68">
        <v>44826</v>
      </c>
      <c r="Z1581" s="17" t="s">
        <v>191</v>
      </c>
      <c r="AA1581" s="17" t="s">
        <v>46</v>
      </c>
      <c r="AB1581" s="17" t="s">
        <v>623</v>
      </c>
      <c r="AC1581" s="217">
        <v>44852</v>
      </c>
      <c r="AD1581" s="65">
        <v>1355</v>
      </c>
      <c r="AE1581" s="17" t="s">
        <v>252</v>
      </c>
      <c r="AF1581" s="17" t="s">
        <v>629</v>
      </c>
      <c r="AI1581" s="17">
        <v>2685</v>
      </c>
    </row>
    <row r="1582" s="17" customFormat="1" hidden="1" spans="1:35">
      <c r="A1582" s="17" t="s">
        <v>34</v>
      </c>
      <c r="B1582" s="19">
        <v>819</v>
      </c>
      <c r="C1582" s="183" t="s">
        <v>602</v>
      </c>
      <c r="D1582" s="17" t="s">
        <v>35</v>
      </c>
      <c r="E1582" s="17" t="s">
        <v>482</v>
      </c>
      <c r="F1582" s="17" t="s">
        <v>72</v>
      </c>
      <c r="H1582" s="19">
        <v>1.2344</v>
      </c>
      <c r="I1582" s="19"/>
      <c r="J1582" s="17" t="s">
        <v>39</v>
      </c>
      <c r="K1582" s="19">
        <v>322</v>
      </c>
      <c r="L1582" s="91"/>
      <c r="M1582" s="19">
        <v>5000</v>
      </c>
      <c r="N1582" s="19" t="s">
        <v>40</v>
      </c>
      <c r="O1582" s="19" t="s">
        <v>50</v>
      </c>
      <c r="P1582" s="19">
        <v>6000</v>
      </c>
      <c r="Q1582" s="17">
        <v>2540</v>
      </c>
      <c r="R1582" s="18">
        <f t="shared" si="86"/>
        <v>3460</v>
      </c>
      <c r="S1582" s="216">
        <f>2650-15</f>
        <v>2635</v>
      </c>
      <c r="T1582" s="19" t="s">
        <v>42</v>
      </c>
      <c r="U1582" s="102" t="s">
        <v>603</v>
      </c>
      <c r="V1582" s="186" t="s">
        <v>599</v>
      </c>
      <c r="W1582" s="17" t="s">
        <v>44</v>
      </c>
      <c r="Y1582" s="68">
        <v>44826</v>
      </c>
      <c r="Z1582" s="17" t="s">
        <v>191</v>
      </c>
      <c r="AA1582" s="17" t="s">
        <v>46</v>
      </c>
      <c r="AB1582" s="17" t="s">
        <v>623</v>
      </c>
      <c r="AC1582" s="217">
        <v>44852</v>
      </c>
      <c r="AD1582" s="65">
        <v>1355</v>
      </c>
      <c r="AE1582" s="17" t="s">
        <v>252</v>
      </c>
      <c r="AF1582" s="17" t="s">
        <v>630</v>
      </c>
      <c r="AI1582" s="17">
        <v>2760</v>
      </c>
    </row>
    <row r="1583" s="17" customFormat="1" hidden="1" spans="1:35">
      <c r="A1583" s="17" t="s">
        <v>34</v>
      </c>
      <c r="B1583" s="19">
        <v>819</v>
      </c>
      <c r="C1583" s="183" t="s">
        <v>602</v>
      </c>
      <c r="D1583" s="17" t="s">
        <v>35</v>
      </c>
      <c r="E1583" s="17" t="s">
        <v>482</v>
      </c>
      <c r="F1583" s="17" t="s">
        <v>72</v>
      </c>
      <c r="H1583" s="19">
        <v>1.2344</v>
      </c>
      <c r="I1583" s="19"/>
      <c r="J1583" s="17" t="s">
        <v>39</v>
      </c>
      <c r="K1583" s="19">
        <v>336</v>
      </c>
      <c r="L1583" s="91"/>
      <c r="M1583" s="19">
        <v>5000</v>
      </c>
      <c r="N1583" s="19" t="s">
        <v>40</v>
      </c>
      <c r="O1583" s="19" t="s">
        <v>50</v>
      </c>
      <c r="P1583" s="19">
        <v>6000</v>
      </c>
      <c r="Q1583" s="17">
        <v>3270</v>
      </c>
      <c r="S1583" s="216">
        <f>2650-15</f>
        <v>2635</v>
      </c>
      <c r="T1583" s="19" t="s">
        <v>42</v>
      </c>
      <c r="U1583" s="102" t="s">
        <v>603</v>
      </c>
      <c r="V1583" s="186" t="s">
        <v>599</v>
      </c>
      <c r="W1583" s="17" t="s">
        <v>44</v>
      </c>
      <c r="Y1583" s="68">
        <v>44826</v>
      </c>
      <c r="Z1583" s="17" t="s">
        <v>191</v>
      </c>
      <c r="AA1583" s="17" t="s">
        <v>46</v>
      </c>
      <c r="AB1583" s="17" t="s">
        <v>618</v>
      </c>
      <c r="AC1583" s="102" t="s">
        <v>619</v>
      </c>
      <c r="AD1583" s="65">
        <v>1354</v>
      </c>
      <c r="AE1583" s="17" t="s">
        <v>631</v>
      </c>
      <c r="AF1583" s="17" t="s">
        <v>632</v>
      </c>
      <c r="AI1583" s="17">
        <v>2760</v>
      </c>
    </row>
    <row r="1584" s="18" customFormat="1" hidden="1" spans="1:35">
      <c r="B1584" s="75">
        <v>819</v>
      </c>
      <c r="C1584" s="213" t="s">
        <v>602</v>
      </c>
      <c r="D1584" s="18" t="s">
        <v>35</v>
      </c>
      <c r="E1584" s="18" t="s">
        <v>482</v>
      </c>
      <c r="F1584" s="18" t="s">
        <v>72</v>
      </c>
      <c r="H1584" s="75">
        <v>1.2344</v>
      </c>
      <c r="I1584" s="75"/>
      <c r="J1584" s="18" t="s">
        <v>39</v>
      </c>
      <c r="K1584" s="75">
        <v>336</v>
      </c>
      <c r="L1584" s="111"/>
      <c r="M1584" s="75">
        <v>5000</v>
      </c>
      <c r="N1584" s="75" t="s">
        <v>40</v>
      </c>
      <c r="O1584" s="75" t="s">
        <v>50</v>
      </c>
      <c r="P1584" s="75"/>
      <c r="R1584" s="18">
        <f>+P1583-Q1583-Q1584</f>
        <v>2730</v>
      </c>
      <c r="S1584" s="218"/>
      <c r="T1584" s="75" t="s">
        <v>42</v>
      </c>
      <c r="U1584" s="137" t="s">
        <v>603</v>
      </c>
      <c r="V1584" s="193" t="s">
        <v>599</v>
      </c>
      <c r="W1584" s="18" t="s">
        <v>44</v>
      </c>
      <c r="Y1584" s="114">
        <v>44826</v>
      </c>
      <c r="Z1584" s="18" t="s">
        <v>191</v>
      </c>
      <c r="AA1584" s="18" t="s">
        <v>46</v>
      </c>
      <c r="AC1584" s="137"/>
      <c r="AD1584" s="77"/>
    </row>
    <row r="1585" s="17" customFormat="1" hidden="1" spans="1:35">
      <c r="A1585" s="17" t="s">
        <v>34</v>
      </c>
      <c r="B1585" s="19">
        <v>819</v>
      </c>
      <c r="C1585" s="183" t="s">
        <v>602</v>
      </c>
      <c r="D1585" s="17" t="s">
        <v>35</v>
      </c>
      <c r="E1585" s="17" t="s">
        <v>482</v>
      </c>
      <c r="F1585" s="17" t="s">
        <v>72</v>
      </c>
      <c r="H1585" s="19">
        <v>1.2344</v>
      </c>
      <c r="I1585" s="19"/>
      <c r="J1585" s="17" t="s">
        <v>39</v>
      </c>
      <c r="K1585" s="19">
        <v>358</v>
      </c>
      <c r="L1585" s="91"/>
      <c r="M1585" s="19">
        <v>5000</v>
      </c>
      <c r="N1585" s="19" t="s">
        <v>40</v>
      </c>
      <c r="O1585" s="19" t="s">
        <v>50</v>
      </c>
      <c r="P1585" s="19">
        <v>6000</v>
      </c>
      <c r="Q1585" s="17">
        <v>2880</v>
      </c>
      <c r="S1585" s="216">
        <f>2650-15</f>
        <v>2635</v>
      </c>
      <c r="T1585" s="19" t="s">
        <v>42</v>
      </c>
      <c r="U1585" s="102" t="s">
        <v>603</v>
      </c>
      <c r="V1585" s="186" t="s">
        <v>599</v>
      </c>
      <c r="W1585" s="17" t="s">
        <v>44</v>
      </c>
      <c r="Y1585" s="68">
        <v>44826</v>
      </c>
      <c r="Z1585" s="17" t="s">
        <v>191</v>
      </c>
      <c r="AA1585" s="17" t="s">
        <v>46</v>
      </c>
      <c r="AB1585" s="17" t="s">
        <v>623</v>
      </c>
      <c r="AC1585" s="102" t="s">
        <v>619</v>
      </c>
      <c r="AD1585" s="65">
        <v>1355</v>
      </c>
      <c r="AE1585" s="17" t="s">
        <v>631</v>
      </c>
      <c r="AF1585" s="17" t="s">
        <v>632</v>
      </c>
      <c r="AI1585" s="17">
        <v>2760</v>
      </c>
    </row>
    <row r="1586" s="17" customFormat="1" hidden="1" spans="1:35">
      <c r="A1586" s="17" t="s">
        <v>34</v>
      </c>
      <c r="B1586" s="19">
        <v>819</v>
      </c>
      <c r="C1586" s="183" t="s">
        <v>602</v>
      </c>
      <c r="D1586" s="17" t="s">
        <v>35</v>
      </c>
      <c r="E1586" s="17" t="s">
        <v>482</v>
      </c>
      <c r="F1586" s="17" t="s">
        <v>72</v>
      </c>
      <c r="H1586" s="19">
        <v>1.2344</v>
      </c>
      <c r="I1586" s="19"/>
      <c r="J1586" s="17" t="s">
        <v>39</v>
      </c>
      <c r="K1586" s="19">
        <v>358</v>
      </c>
      <c r="L1586" s="91"/>
      <c r="M1586" s="19">
        <v>5000</v>
      </c>
      <c r="N1586" s="19" t="s">
        <v>40</v>
      </c>
      <c r="O1586" s="19" t="s">
        <v>50</v>
      </c>
      <c r="Q1586" s="17">
        <f>2975</f>
        <v>2975</v>
      </c>
      <c r="R1586" s="17">
        <f>+P1585-Q1586-Q1585</f>
        <v>145</v>
      </c>
      <c r="S1586" s="216">
        <f>2650-15</f>
        <v>2635</v>
      </c>
      <c r="T1586" s="19" t="s">
        <v>42</v>
      </c>
      <c r="U1586" s="102" t="s">
        <v>603</v>
      </c>
      <c r="V1586" s="186" t="s">
        <v>599</v>
      </c>
      <c r="W1586" s="17" t="s">
        <v>44</v>
      </c>
      <c r="Y1586" s="68">
        <v>44826</v>
      </c>
      <c r="Z1586" s="17" t="s">
        <v>191</v>
      </c>
      <c r="AA1586" s="17" t="s">
        <v>46</v>
      </c>
      <c r="AB1586" s="17" t="s">
        <v>623</v>
      </c>
      <c r="AC1586" s="102" t="s">
        <v>619</v>
      </c>
      <c r="AD1586" s="65">
        <v>1355</v>
      </c>
      <c r="AE1586" s="17" t="s">
        <v>631</v>
      </c>
      <c r="AF1586" s="17" t="s">
        <v>632</v>
      </c>
      <c r="AI1586" s="17">
        <v>2760</v>
      </c>
    </row>
    <row r="1587" s="17" customFormat="1" hidden="1" spans="1:35">
      <c r="A1587" s="17" t="s">
        <v>34</v>
      </c>
      <c r="B1587" s="19">
        <v>819</v>
      </c>
      <c r="C1587" s="183" t="s">
        <v>602</v>
      </c>
      <c r="D1587" s="17" t="s">
        <v>35</v>
      </c>
      <c r="E1587" s="17" t="s">
        <v>482</v>
      </c>
      <c r="F1587" s="17" t="s">
        <v>72</v>
      </c>
      <c r="H1587" s="19">
        <v>1.2344</v>
      </c>
      <c r="I1587" s="19"/>
      <c r="J1587" s="17" t="s">
        <v>39</v>
      </c>
      <c r="K1587" s="19">
        <v>402</v>
      </c>
      <c r="L1587" s="91"/>
      <c r="M1587" s="19">
        <v>5000</v>
      </c>
      <c r="N1587" s="19" t="s">
        <v>40</v>
      </c>
      <c r="O1587" s="19" t="s">
        <v>50</v>
      </c>
      <c r="P1587" s="19">
        <v>6000</v>
      </c>
      <c r="Q1587" s="17">
        <v>3270</v>
      </c>
      <c r="R1587" s="18">
        <f t="shared" ref="R1587:R1618" si="87">+P1587-Q1587</f>
        <v>2730</v>
      </c>
      <c r="S1587" s="216">
        <f>2700-15</f>
        <v>2685</v>
      </c>
      <c r="T1587" s="19" t="s">
        <v>42</v>
      </c>
      <c r="U1587" s="102" t="s">
        <v>603</v>
      </c>
      <c r="V1587" s="186" t="s">
        <v>599</v>
      </c>
      <c r="W1587" s="17" t="s">
        <v>44</v>
      </c>
      <c r="Y1587" s="68">
        <v>44826</v>
      </c>
      <c r="Z1587" s="17" t="s">
        <v>191</v>
      </c>
      <c r="AA1587" s="17" t="s">
        <v>46</v>
      </c>
      <c r="AB1587" s="17" t="s">
        <v>572</v>
      </c>
      <c r="AC1587" s="217">
        <v>44917</v>
      </c>
      <c r="AD1587" s="65">
        <v>1370</v>
      </c>
      <c r="AE1587" s="17" t="s">
        <v>252</v>
      </c>
      <c r="AF1587" s="17" t="s">
        <v>633</v>
      </c>
      <c r="AI1587" s="17">
        <v>2810</v>
      </c>
    </row>
    <row r="1588" s="17" customFormat="1" hidden="1" spans="1:35">
      <c r="A1588" s="17" t="s">
        <v>34</v>
      </c>
      <c r="B1588" s="19">
        <v>819</v>
      </c>
      <c r="C1588" s="183" t="s">
        <v>602</v>
      </c>
      <c r="D1588" s="17" t="s">
        <v>35</v>
      </c>
      <c r="E1588" s="17" t="s">
        <v>482</v>
      </c>
      <c r="F1588" s="17" t="s">
        <v>72</v>
      </c>
      <c r="H1588" s="19">
        <v>1.2344</v>
      </c>
      <c r="I1588" s="19"/>
      <c r="J1588" s="17" t="s">
        <v>39</v>
      </c>
      <c r="K1588" s="19">
        <v>502</v>
      </c>
      <c r="L1588" s="91"/>
      <c r="M1588" s="19">
        <v>5000</v>
      </c>
      <c r="N1588" s="19" t="s">
        <v>40</v>
      </c>
      <c r="O1588" s="19" t="s">
        <v>50</v>
      </c>
      <c r="P1588" s="19">
        <v>7500</v>
      </c>
      <c r="Q1588" s="17">
        <v>7565</v>
      </c>
      <c r="R1588" s="17">
        <f t="shared" si="87"/>
        <v>-65</v>
      </c>
      <c r="S1588" s="216">
        <f>2825-15</f>
        <v>2810</v>
      </c>
      <c r="T1588" s="19" t="s">
        <v>42</v>
      </c>
      <c r="U1588" s="102" t="s">
        <v>603</v>
      </c>
      <c r="V1588" s="186" t="s">
        <v>599</v>
      </c>
      <c r="W1588" s="17" t="s">
        <v>44</v>
      </c>
      <c r="Y1588" s="68">
        <v>44826</v>
      </c>
      <c r="Z1588" s="17" t="s">
        <v>191</v>
      </c>
      <c r="AA1588" s="17" t="s">
        <v>46</v>
      </c>
      <c r="AB1588" s="17" t="s">
        <v>623</v>
      </c>
      <c r="AC1588" s="217">
        <v>44852</v>
      </c>
      <c r="AD1588" s="65">
        <v>1355</v>
      </c>
      <c r="AE1588" s="17" t="s">
        <v>252</v>
      </c>
      <c r="AF1588" s="17" t="s">
        <v>634</v>
      </c>
      <c r="AI1588" s="17">
        <v>2935</v>
      </c>
    </row>
    <row r="1589" s="17" customFormat="1" hidden="1" spans="1:35">
      <c r="A1589" s="17" t="s">
        <v>34</v>
      </c>
      <c r="B1589" s="19">
        <v>820</v>
      </c>
      <c r="C1589" s="101" t="s">
        <v>635</v>
      </c>
      <c r="D1589" s="17" t="s">
        <v>52</v>
      </c>
      <c r="E1589" s="17" t="s">
        <v>187</v>
      </c>
      <c r="F1589" s="17" t="s">
        <v>54</v>
      </c>
      <c r="H1589" s="19" t="s">
        <v>548</v>
      </c>
      <c r="I1589" s="19"/>
      <c r="J1589" s="17" t="s">
        <v>49</v>
      </c>
      <c r="K1589" s="17">
        <v>2000</v>
      </c>
      <c r="L1589" s="91">
        <v>6</v>
      </c>
      <c r="M1589" s="19">
        <v>10000</v>
      </c>
      <c r="N1589" s="19" t="s">
        <v>66</v>
      </c>
      <c r="O1589" s="19" t="s">
        <v>141</v>
      </c>
      <c r="P1589" s="19">
        <v>12000</v>
      </c>
      <c r="Q1589" s="17">
        <v>12310</v>
      </c>
      <c r="R1589" s="17">
        <f t="shared" si="87"/>
        <v>-310</v>
      </c>
      <c r="S1589" s="17">
        <v>1325</v>
      </c>
      <c r="T1589" s="19" t="s">
        <v>42</v>
      </c>
      <c r="U1589" s="102" t="s">
        <v>636</v>
      </c>
      <c r="V1589" s="186" t="s">
        <v>285</v>
      </c>
      <c r="W1589" s="17" t="s">
        <v>69</v>
      </c>
      <c r="Y1589" s="68">
        <v>44795</v>
      </c>
      <c r="Z1589" s="17" t="s">
        <v>191</v>
      </c>
      <c r="AA1589" s="17" t="s">
        <v>46</v>
      </c>
      <c r="AB1589" s="17" t="s">
        <v>637</v>
      </c>
      <c r="AC1589" s="66" t="s">
        <v>581</v>
      </c>
      <c r="AD1589" s="65">
        <v>1333</v>
      </c>
      <c r="AE1589" s="17" t="s">
        <v>48</v>
      </c>
      <c r="AF1589" s="17" t="s">
        <v>245</v>
      </c>
    </row>
    <row r="1590" s="17" customFormat="1" hidden="1" spans="1:35">
      <c r="A1590" s="17" t="s">
        <v>34</v>
      </c>
      <c r="B1590" s="19">
        <v>820</v>
      </c>
      <c r="C1590" s="101" t="s">
        <v>635</v>
      </c>
      <c r="D1590" s="17" t="s">
        <v>52</v>
      </c>
      <c r="E1590" s="17" t="s">
        <v>187</v>
      </c>
      <c r="F1590" s="17" t="s">
        <v>54</v>
      </c>
      <c r="H1590" s="19" t="s">
        <v>544</v>
      </c>
      <c r="I1590" s="19"/>
      <c r="J1590" s="17" t="s">
        <v>49</v>
      </c>
      <c r="K1590" s="17">
        <v>1500</v>
      </c>
      <c r="L1590" s="91">
        <v>6</v>
      </c>
      <c r="M1590" s="19">
        <v>10000</v>
      </c>
      <c r="N1590" s="19" t="s">
        <v>66</v>
      </c>
      <c r="O1590" s="19" t="s">
        <v>141</v>
      </c>
      <c r="P1590" s="19">
        <v>7000</v>
      </c>
      <c r="Q1590" s="17">
        <v>7070</v>
      </c>
      <c r="R1590" s="17">
        <f t="shared" si="87"/>
        <v>-70</v>
      </c>
      <c r="S1590" s="17">
        <v>1365</v>
      </c>
      <c r="T1590" s="19" t="s">
        <v>42</v>
      </c>
      <c r="U1590" s="102" t="s">
        <v>636</v>
      </c>
      <c r="V1590" s="186" t="s">
        <v>285</v>
      </c>
      <c r="W1590" s="17" t="s">
        <v>69</v>
      </c>
      <c r="Y1590" s="68">
        <v>44795</v>
      </c>
      <c r="Z1590" s="17" t="s">
        <v>191</v>
      </c>
      <c r="AA1590" s="17" t="s">
        <v>46</v>
      </c>
      <c r="AB1590" s="17" t="s">
        <v>637</v>
      </c>
      <c r="AC1590" s="66" t="s">
        <v>581</v>
      </c>
      <c r="AD1590" s="65">
        <v>1333</v>
      </c>
      <c r="AE1590" s="17" t="s">
        <v>48</v>
      </c>
      <c r="AF1590" s="17" t="s">
        <v>245</v>
      </c>
    </row>
    <row r="1591" s="17" customFormat="1" hidden="1" spans="1:35">
      <c r="A1591" s="17" t="s">
        <v>34</v>
      </c>
      <c r="B1591" s="19">
        <v>820</v>
      </c>
      <c r="C1591" s="101" t="s">
        <v>635</v>
      </c>
      <c r="D1591" s="17" t="s">
        <v>52</v>
      </c>
      <c r="E1591" s="17" t="s">
        <v>187</v>
      </c>
      <c r="F1591" s="17" t="s">
        <v>54</v>
      </c>
      <c r="H1591" s="19" t="s">
        <v>549</v>
      </c>
      <c r="I1591" s="19"/>
      <c r="J1591" s="17" t="s">
        <v>49</v>
      </c>
      <c r="K1591" s="17">
        <v>2000</v>
      </c>
      <c r="L1591" s="91">
        <v>10</v>
      </c>
      <c r="M1591" s="19">
        <v>8000</v>
      </c>
      <c r="N1591" s="19" t="s">
        <v>66</v>
      </c>
      <c r="O1591" s="19" t="s">
        <v>141</v>
      </c>
      <c r="P1591" s="19">
        <v>8000</v>
      </c>
      <c r="Q1591" s="17">
        <v>7540</v>
      </c>
      <c r="R1591" s="17">
        <f t="shared" si="87"/>
        <v>460</v>
      </c>
      <c r="S1591" s="17">
        <v>1325</v>
      </c>
      <c r="T1591" s="19" t="s">
        <v>42</v>
      </c>
      <c r="U1591" s="102" t="s">
        <v>636</v>
      </c>
      <c r="V1591" s="186" t="s">
        <v>285</v>
      </c>
      <c r="W1591" s="17" t="s">
        <v>69</v>
      </c>
      <c r="Y1591" s="68">
        <v>44795</v>
      </c>
      <c r="Z1591" s="17" t="s">
        <v>191</v>
      </c>
      <c r="AA1591" s="17" t="s">
        <v>46</v>
      </c>
      <c r="AB1591" s="17" t="s">
        <v>637</v>
      </c>
      <c r="AC1591" s="66" t="s">
        <v>581</v>
      </c>
      <c r="AD1591" s="65">
        <v>1333</v>
      </c>
      <c r="AE1591" s="17" t="s">
        <v>48</v>
      </c>
      <c r="AF1591" s="17" t="s">
        <v>245</v>
      </c>
    </row>
    <row r="1592" s="17" customFormat="1" hidden="1" spans="1:35">
      <c r="A1592" s="17" t="s">
        <v>34</v>
      </c>
      <c r="B1592" s="19">
        <v>821</v>
      </c>
      <c r="C1592" s="101" t="s">
        <v>638</v>
      </c>
      <c r="D1592" s="17" t="s">
        <v>52</v>
      </c>
      <c r="E1592" s="17" t="s">
        <v>220</v>
      </c>
      <c r="F1592" s="17" t="s">
        <v>54</v>
      </c>
      <c r="H1592" s="19" t="s">
        <v>55</v>
      </c>
      <c r="I1592" s="19"/>
      <c r="J1592" s="17" t="s">
        <v>82</v>
      </c>
      <c r="K1592" s="17">
        <v>610</v>
      </c>
      <c r="L1592" s="91">
        <v>60</v>
      </c>
      <c r="M1592" s="19">
        <v>5000</v>
      </c>
      <c r="N1592" s="19" t="s">
        <v>40</v>
      </c>
      <c r="O1592" s="19" t="s">
        <v>168</v>
      </c>
      <c r="P1592" s="19">
        <v>1000</v>
      </c>
      <c r="Q1592" s="17">
        <v>1234</v>
      </c>
      <c r="R1592" s="17">
        <f t="shared" si="87"/>
        <v>-234</v>
      </c>
      <c r="S1592" s="17">
        <v>2000</v>
      </c>
      <c r="T1592" s="19" t="s">
        <v>42</v>
      </c>
      <c r="U1592" s="102" t="s">
        <v>639</v>
      </c>
      <c r="V1592" s="186" t="s">
        <v>349</v>
      </c>
      <c r="W1592" s="17" t="s">
        <v>58</v>
      </c>
      <c r="Y1592" s="68">
        <v>44826</v>
      </c>
      <c r="Z1592" s="17" t="s">
        <v>191</v>
      </c>
      <c r="AA1592" s="17" t="s">
        <v>46</v>
      </c>
      <c r="AB1592" s="17" t="s">
        <v>640</v>
      </c>
      <c r="AC1592" s="67">
        <v>44690</v>
      </c>
      <c r="AD1592" s="65">
        <v>1336</v>
      </c>
      <c r="AE1592" s="17" t="s">
        <v>48</v>
      </c>
      <c r="AF1592" s="17" t="s">
        <v>245</v>
      </c>
    </row>
    <row r="1593" s="17" customFormat="1" hidden="1" spans="1:35">
      <c r="A1593" s="17" t="s">
        <v>34</v>
      </c>
      <c r="B1593" s="19">
        <v>821</v>
      </c>
      <c r="C1593" s="101" t="s">
        <v>638</v>
      </c>
      <c r="D1593" s="17" t="s">
        <v>52</v>
      </c>
      <c r="E1593" s="17" t="s">
        <v>220</v>
      </c>
      <c r="F1593" s="17" t="s">
        <v>54</v>
      </c>
      <c r="H1593" s="19" t="s">
        <v>55</v>
      </c>
      <c r="I1593" s="19"/>
      <c r="J1593" s="17" t="s">
        <v>82</v>
      </c>
      <c r="K1593" s="17">
        <v>610</v>
      </c>
      <c r="L1593" s="91">
        <v>65</v>
      </c>
      <c r="M1593" s="19">
        <v>5000</v>
      </c>
      <c r="N1593" s="19" t="s">
        <v>40</v>
      </c>
      <c r="O1593" s="19" t="s">
        <v>168</v>
      </c>
      <c r="P1593" s="19">
        <v>1500</v>
      </c>
      <c r="Q1593" s="17">
        <v>1214</v>
      </c>
      <c r="R1593" s="17">
        <f t="shared" si="87"/>
        <v>286</v>
      </c>
      <c r="S1593" s="17">
        <v>2000</v>
      </c>
      <c r="T1593" s="19" t="s">
        <v>42</v>
      </c>
      <c r="U1593" s="102" t="s">
        <v>639</v>
      </c>
      <c r="V1593" s="186" t="s">
        <v>349</v>
      </c>
      <c r="W1593" s="17" t="s">
        <v>58</v>
      </c>
      <c r="Y1593" s="68">
        <v>44826</v>
      </c>
      <c r="Z1593" s="17" t="s">
        <v>191</v>
      </c>
      <c r="AA1593" s="17" t="s">
        <v>46</v>
      </c>
      <c r="AB1593" s="17" t="s">
        <v>640</v>
      </c>
      <c r="AC1593" s="67">
        <v>44690</v>
      </c>
      <c r="AD1593" s="65">
        <v>1336</v>
      </c>
      <c r="AE1593" s="17" t="s">
        <v>48</v>
      </c>
      <c r="AF1593" s="17" t="s">
        <v>245</v>
      </c>
    </row>
    <row r="1594" s="17" customFormat="1" hidden="1" spans="1:35">
      <c r="A1594" s="17" t="s">
        <v>34</v>
      </c>
      <c r="B1594" s="19">
        <v>821</v>
      </c>
      <c r="C1594" s="101" t="s">
        <v>638</v>
      </c>
      <c r="D1594" s="17" t="s">
        <v>52</v>
      </c>
      <c r="E1594" s="17" t="s">
        <v>220</v>
      </c>
      <c r="F1594" s="17" t="s">
        <v>54</v>
      </c>
      <c r="H1594" s="19" t="s">
        <v>55</v>
      </c>
      <c r="I1594" s="19"/>
      <c r="J1594" s="17" t="s">
        <v>82</v>
      </c>
      <c r="K1594" s="17">
        <v>610</v>
      </c>
      <c r="L1594" s="91">
        <v>70</v>
      </c>
      <c r="M1594" s="19">
        <v>5000</v>
      </c>
      <c r="N1594" s="19" t="s">
        <v>40</v>
      </c>
      <c r="O1594" s="19" t="s">
        <v>168</v>
      </c>
      <c r="P1594" s="19">
        <v>1000</v>
      </c>
      <c r="Q1594" s="17">
        <v>1220</v>
      </c>
      <c r="R1594" s="17">
        <f t="shared" si="87"/>
        <v>-220</v>
      </c>
      <c r="S1594" s="17">
        <v>2000</v>
      </c>
      <c r="T1594" s="19" t="s">
        <v>42</v>
      </c>
      <c r="U1594" s="102" t="s">
        <v>639</v>
      </c>
      <c r="V1594" s="186" t="s">
        <v>349</v>
      </c>
      <c r="W1594" s="17" t="s">
        <v>58</v>
      </c>
      <c r="Y1594" s="68">
        <v>44826</v>
      </c>
      <c r="Z1594" s="17" t="s">
        <v>191</v>
      </c>
      <c r="AA1594" s="17" t="s">
        <v>46</v>
      </c>
      <c r="AB1594" s="17" t="s">
        <v>640</v>
      </c>
      <c r="AC1594" s="67">
        <v>44690</v>
      </c>
      <c r="AD1594" s="65">
        <v>1336</v>
      </c>
      <c r="AE1594" s="17" t="s">
        <v>48</v>
      </c>
      <c r="AF1594" s="17" t="s">
        <v>245</v>
      </c>
    </row>
    <row r="1595" s="17" customFormat="1" hidden="1" spans="1:35">
      <c r="A1595" s="17" t="s">
        <v>34</v>
      </c>
      <c r="B1595" s="19">
        <v>821</v>
      </c>
      <c r="C1595" s="101" t="s">
        <v>638</v>
      </c>
      <c r="D1595" s="17" t="s">
        <v>52</v>
      </c>
      <c r="E1595" s="17" t="s">
        <v>220</v>
      </c>
      <c r="F1595" s="17" t="s">
        <v>54</v>
      </c>
      <c r="H1595" s="19" t="s">
        <v>55</v>
      </c>
      <c r="I1595" s="19"/>
      <c r="J1595" s="17" t="s">
        <v>82</v>
      </c>
      <c r="K1595" s="17">
        <v>610</v>
      </c>
      <c r="L1595" s="91">
        <v>75</v>
      </c>
      <c r="M1595" s="19">
        <v>5000</v>
      </c>
      <c r="N1595" s="19" t="s">
        <v>40</v>
      </c>
      <c r="O1595" s="19" t="s">
        <v>168</v>
      </c>
      <c r="P1595" s="19">
        <v>1000</v>
      </c>
      <c r="Q1595" s="17">
        <v>1232</v>
      </c>
      <c r="R1595" s="17">
        <f t="shared" si="87"/>
        <v>-232</v>
      </c>
      <c r="S1595" s="17">
        <v>2000</v>
      </c>
      <c r="T1595" s="19" t="s">
        <v>42</v>
      </c>
      <c r="U1595" s="102" t="s">
        <v>639</v>
      </c>
      <c r="V1595" s="186" t="s">
        <v>349</v>
      </c>
      <c r="W1595" s="17" t="s">
        <v>58</v>
      </c>
      <c r="Y1595" s="68">
        <v>44826</v>
      </c>
      <c r="Z1595" s="17" t="s">
        <v>191</v>
      </c>
      <c r="AA1595" s="17" t="s">
        <v>46</v>
      </c>
      <c r="AB1595" s="17" t="s">
        <v>640</v>
      </c>
      <c r="AC1595" s="67">
        <v>44690</v>
      </c>
      <c r="AD1595" s="65">
        <v>1336</v>
      </c>
      <c r="AE1595" s="17" t="s">
        <v>48</v>
      </c>
      <c r="AF1595" s="17" t="s">
        <v>245</v>
      </c>
    </row>
    <row r="1596" s="17" customFormat="1" hidden="1" spans="1:35">
      <c r="A1596" s="17" t="s">
        <v>34</v>
      </c>
      <c r="B1596" s="19">
        <v>821</v>
      </c>
      <c r="C1596" s="101" t="s">
        <v>638</v>
      </c>
      <c r="D1596" s="17" t="s">
        <v>52</v>
      </c>
      <c r="E1596" s="17" t="s">
        <v>220</v>
      </c>
      <c r="F1596" s="17" t="s">
        <v>54</v>
      </c>
      <c r="H1596" s="19" t="s">
        <v>55</v>
      </c>
      <c r="I1596" s="19"/>
      <c r="J1596" s="17" t="s">
        <v>82</v>
      </c>
      <c r="K1596" s="17">
        <v>610</v>
      </c>
      <c r="L1596" s="91">
        <v>80</v>
      </c>
      <c r="M1596" s="19">
        <v>5000</v>
      </c>
      <c r="N1596" s="19" t="s">
        <v>40</v>
      </c>
      <c r="O1596" s="19" t="s">
        <v>168</v>
      </c>
      <c r="P1596" s="19">
        <v>1500</v>
      </c>
      <c r="Q1596" s="17">
        <v>1580</v>
      </c>
      <c r="R1596" s="17">
        <f t="shared" si="87"/>
        <v>-80</v>
      </c>
      <c r="S1596" s="17">
        <v>2000</v>
      </c>
      <c r="T1596" s="19" t="s">
        <v>42</v>
      </c>
      <c r="U1596" s="102" t="s">
        <v>639</v>
      </c>
      <c r="V1596" s="186" t="s">
        <v>349</v>
      </c>
      <c r="W1596" s="17" t="s">
        <v>58</v>
      </c>
      <c r="Y1596" s="68">
        <v>44826</v>
      </c>
      <c r="Z1596" s="17" t="s">
        <v>191</v>
      </c>
      <c r="AA1596" s="17" t="s">
        <v>46</v>
      </c>
      <c r="AB1596" s="17" t="s">
        <v>640</v>
      </c>
      <c r="AC1596" s="67">
        <v>44690</v>
      </c>
      <c r="AD1596" s="65">
        <v>1336</v>
      </c>
      <c r="AE1596" s="17" t="s">
        <v>48</v>
      </c>
      <c r="AF1596" s="17" t="s">
        <v>245</v>
      </c>
    </row>
    <row r="1597" s="17" customFormat="1" hidden="1" spans="1:35">
      <c r="B1597" s="19">
        <v>821</v>
      </c>
      <c r="C1597" s="101" t="s">
        <v>638</v>
      </c>
      <c r="D1597" s="17" t="s">
        <v>52</v>
      </c>
      <c r="E1597" s="17" t="s">
        <v>220</v>
      </c>
      <c r="F1597" s="17" t="s">
        <v>54</v>
      </c>
      <c r="H1597" s="19" t="s">
        <v>55</v>
      </c>
      <c r="I1597" s="19"/>
      <c r="J1597" s="17" t="s">
        <v>82</v>
      </c>
      <c r="K1597" s="17">
        <v>610</v>
      </c>
      <c r="L1597" s="91">
        <v>85</v>
      </c>
      <c r="M1597" s="19">
        <v>5000</v>
      </c>
      <c r="N1597" s="19" t="s">
        <v>40</v>
      </c>
      <c r="O1597" s="19" t="s">
        <v>168</v>
      </c>
      <c r="P1597" s="19">
        <v>1000</v>
      </c>
      <c r="R1597" s="17">
        <f t="shared" si="87"/>
        <v>1000</v>
      </c>
      <c r="S1597" s="17">
        <v>2000</v>
      </c>
      <c r="T1597" s="19" t="s">
        <v>42</v>
      </c>
      <c r="U1597" s="102" t="s">
        <v>639</v>
      </c>
      <c r="V1597" s="186" t="s">
        <v>349</v>
      </c>
      <c r="W1597" s="17" t="s">
        <v>58</v>
      </c>
      <c r="Y1597" s="68">
        <v>44826</v>
      </c>
      <c r="Z1597" s="17" t="s">
        <v>191</v>
      </c>
      <c r="AA1597" s="17" t="s">
        <v>46</v>
      </c>
      <c r="AD1597" s="65"/>
      <c r="AE1597" s="17" t="s">
        <v>48</v>
      </c>
      <c r="AF1597" s="17" t="s">
        <v>245</v>
      </c>
      <c r="AG1597" s="17" t="s">
        <v>641</v>
      </c>
    </row>
    <row r="1598" s="17" customFormat="1" hidden="1" spans="1:35">
      <c r="A1598" s="17" t="s">
        <v>34</v>
      </c>
      <c r="B1598" s="19">
        <v>821</v>
      </c>
      <c r="C1598" s="101" t="s">
        <v>638</v>
      </c>
      <c r="D1598" s="17" t="s">
        <v>52</v>
      </c>
      <c r="E1598" s="17" t="s">
        <v>220</v>
      </c>
      <c r="F1598" s="17" t="s">
        <v>54</v>
      </c>
      <c r="H1598" s="19" t="s">
        <v>55</v>
      </c>
      <c r="I1598" s="19"/>
      <c r="J1598" s="17" t="s">
        <v>82</v>
      </c>
      <c r="K1598" s="17">
        <v>610</v>
      </c>
      <c r="L1598" s="91">
        <v>90</v>
      </c>
      <c r="M1598" s="19">
        <v>5000</v>
      </c>
      <c r="N1598" s="19" t="s">
        <v>40</v>
      </c>
      <c r="O1598" s="19" t="s">
        <v>168</v>
      </c>
      <c r="P1598" s="19">
        <v>1000</v>
      </c>
      <c r="Q1598" s="17">
        <v>1604</v>
      </c>
      <c r="R1598" s="17">
        <f t="shared" si="87"/>
        <v>-604</v>
      </c>
      <c r="S1598" s="17">
        <v>2000</v>
      </c>
      <c r="T1598" s="19" t="s">
        <v>42</v>
      </c>
      <c r="U1598" s="102" t="s">
        <v>639</v>
      </c>
      <c r="V1598" s="186" t="s">
        <v>349</v>
      </c>
      <c r="W1598" s="17" t="s">
        <v>58</v>
      </c>
      <c r="Y1598" s="68">
        <v>44826</v>
      </c>
      <c r="Z1598" s="17" t="s">
        <v>191</v>
      </c>
      <c r="AA1598" s="17" t="s">
        <v>46</v>
      </c>
      <c r="AB1598" s="17" t="s">
        <v>640</v>
      </c>
      <c r="AC1598" s="67">
        <v>44690</v>
      </c>
      <c r="AD1598" s="65">
        <v>1336</v>
      </c>
      <c r="AE1598" s="17" t="s">
        <v>48</v>
      </c>
      <c r="AF1598" s="17" t="s">
        <v>245</v>
      </c>
    </row>
    <row r="1599" s="17" customFormat="1" hidden="1" spans="1:35">
      <c r="A1599" s="17" t="s">
        <v>34</v>
      </c>
      <c r="B1599" s="19">
        <v>821</v>
      </c>
      <c r="C1599" s="101" t="s">
        <v>638</v>
      </c>
      <c r="D1599" s="17" t="s">
        <v>52</v>
      </c>
      <c r="E1599" s="17" t="s">
        <v>220</v>
      </c>
      <c r="F1599" s="17" t="s">
        <v>54</v>
      </c>
      <c r="H1599" s="19" t="s">
        <v>55</v>
      </c>
      <c r="I1599" s="19"/>
      <c r="J1599" s="17" t="s">
        <v>82</v>
      </c>
      <c r="K1599" s="17">
        <v>610</v>
      </c>
      <c r="L1599" s="91">
        <v>100</v>
      </c>
      <c r="M1599" s="19">
        <v>5000</v>
      </c>
      <c r="N1599" s="19" t="s">
        <v>40</v>
      </c>
      <c r="O1599" s="19" t="s">
        <v>168</v>
      </c>
      <c r="P1599" s="19">
        <v>1000</v>
      </c>
      <c r="Q1599" s="17">
        <v>1586</v>
      </c>
      <c r="R1599" s="17">
        <f t="shared" si="87"/>
        <v>-586</v>
      </c>
      <c r="S1599" s="17">
        <v>2000</v>
      </c>
      <c r="T1599" s="19" t="s">
        <v>42</v>
      </c>
      <c r="U1599" s="102" t="s">
        <v>639</v>
      </c>
      <c r="V1599" s="186" t="s">
        <v>349</v>
      </c>
      <c r="W1599" s="17" t="s">
        <v>58</v>
      </c>
      <c r="Y1599" s="68">
        <v>44826</v>
      </c>
      <c r="Z1599" s="17" t="s">
        <v>191</v>
      </c>
      <c r="AA1599" s="17" t="s">
        <v>46</v>
      </c>
      <c r="AB1599" s="17" t="s">
        <v>640</v>
      </c>
      <c r="AC1599" s="67">
        <v>44690</v>
      </c>
      <c r="AD1599" s="65">
        <v>1336</v>
      </c>
      <c r="AE1599" s="17" t="s">
        <v>48</v>
      </c>
      <c r="AF1599" s="17" t="s">
        <v>245</v>
      </c>
    </row>
    <row r="1600" s="17" customFormat="1" hidden="1" spans="1:35">
      <c r="A1600" s="17" t="s">
        <v>34</v>
      </c>
      <c r="B1600" s="19">
        <v>821</v>
      </c>
      <c r="C1600" s="101" t="s">
        <v>638</v>
      </c>
      <c r="D1600" s="17" t="s">
        <v>52</v>
      </c>
      <c r="E1600" s="17" t="s">
        <v>220</v>
      </c>
      <c r="F1600" s="17" t="s">
        <v>54</v>
      </c>
      <c r="H1600" s="19" t="s">
        <v>55</v>
      </c>
      <c r="I1600" s="19"/>
      <c r="J1600" s="17" t="s">
        <v>82</v>
      </c>
      <c r="K1600" s="17">
        <v>610</v>
      </c>
      <c r="L1600" s="91">
        <v>105</v>
      </c>
      <c r="M1600" s="19">
        <v>5000</v>
      </c>
      <c r="N1600" s="19" t="s">
        <v>40</v>
      </c>
      <c r="O1600" s="19" t="s">
        <v>168</v>
      </c>
      <c r="P1600" s="19">
        <v>1500</v>
      </c>
      <c r="Q1600" s="17">
        <v>2120</v>
      </c>
      <c r="R1600" s="17">
        <f t="shared" si="87"/>
        <v>-620</v>
      </c>
      <c r="S1600" s="17">
        <v>2000</v>
      </c>
      <c r="T1600" s="19" t="s">
        <v>42</v>
      </c>
      <c r="U1600" s="102" t="s">
        <v>639</v>
      </c>
      <c r="V1600" s="186" t="s">
        <v>349</v>
      </c>
      <c r="W1600" s="17" t="s">
        <v>58</v>
      </c>
      <c r="Y1600" s="68">
        <v>44826</v>
      </c>
      <c r="Z1600" s="17" t="s">
        <v>191</v>
      </c>
      <c r="AA1600" s="17" t="s">
        <v>46</v>
      </c>
      <c r="AB1600" s="17" t="s">
        <v>640</v>
      </c>
      <c r="AC1600" s="67">
        <v>44690</v>
      </c>
      <c r="AD1600" s="65">
        <v>1336</v>
      </c>
      <c r="AE1600" s="17" t="s">
        <v>48</v>
      </c>
      <c r="AF1600" s="17" t="s">
        <v>245</v>
      </c>
    </row>
    <row r="1601" s="17" customFormat="1" hidden="1" spans="1:33">
      <c r="A1601" s="17" t="s">
        <v>34</v>
      </c>
      <c r="B1601" s="19">
        <v>821</v>
      </c>
      <c r="C1601" s="101" t="s">
        <v>638</v>
      </c>
      <c r="D1601" s="17" t="s">
        <v>52</v>
      </c>
      <c r="E1601" s="17" t="s">
        <v>220</v>
      </c>
      <c r="F1601" s="17" t="s">
        <v>54</v>
      </c>
      <c r="H1601" s="19" t="s">
        <v>55</v>
      </c>
      <c r="I1601" s="19"/>
      <c r="J1601" s="17" t="s">
        <v>82</v>
      </c>
      <c r="K1601" s="17">
        <v>610</v>
      </c>
      <c r="L1601" s="91">
        <v>140</v>
      </c>
      <c r="M1601" s="19">
        <v>5000</v>
      </c>
      <c r="N1601" s="19" t="s">
        <v>40</v>
      </c>
      <c r="O1601" s="19" t="s">
        <v>168</v>
      </c>
      <c r="P1601" s="19">
        <v>1500</v>
      </c>
      <c r="Q1601" s="17">
        <v>2632</v>
      </c>
      <c r="R1601" s="17">
        <f t="shared" si="87"/>
        <v>-1132</v>
      </c>
      <c r="S1601" s="17">
        <v>2000</v>
      </c>
      <c r="T1601" s="19" t="s">
        <v>42</v>
      </c>
      <c r="U1601" s="102" t="s">
        <v>639</v>
      </c>
      <c r="V1601" s="186" t="s">
        <v>349</v>
      </c>
      <c r="W1601" s="17" t="s">
        <v>58</v>
      </c>
      <c r="Y1601" s="68">
        <v>44826</v>
      </c>
      <c r="Z1601" s="17" t="s">
        <v>191</v>
      </c>
      <c r="AA1601" s="17" t="s">
        <v>46</v>
      </c>
      <c r="AB1601" s="17" t="s">
        <v>640</v>
      </c>
      <c r="AC1601" s="67">
        <v>44690</v>
      </c>
      <c r="AD1601" s="65">
        <v>1336</v>
      </c>
      <c r="AE1601" s="17" t="s">
        <v>48</v>
      </c>
      <c r="AF1601" s="17" t="s">
        <v>245</v>
      </c>
    </row>
    <row r="1602" s="17" customFormat="1" hidden="1" spans="1:33">
      <c r="A1602" s="17" t="s">
        <v>34</v>
      </c>
      <c r="B1602" s="19">
        <v>821</v>
      </c>
      <c r="C1602" s="101" t="s">
        <v>638</v>
      </c>
      <c r="D1602" s="17" t="s">
        <v>52</v>
      </c>
      <c r="E1602" s="17" t="s">
        <v>220</v>
      </c>
      <c r="F1602" s="17" t="s">
        <v>54</v>
      </c>
      <c r="H1602" s="19" t="s">
        <v>55</v>
      </c>
      <c r="I1602" s="19"/>
      <c r="J1602" s="17" t="s">
        <v>82</v>
      </c>
      <c r="K1602" s="17">
        <v>610</v>
      </c>
      <c r="L1602" s="91">
        <v>150</v>
      </c>
      <c r="M1602" s="19">
        <v>5000</v>
      </c>
      <c r="N1602" s="19" t="s">
        <v>40</v>
      </c>
      <c r="O1602" s="19" t="s">
        <v>168</v>
      </c>
      <c r="P1602" s="19">
        <v>1500</v>
      </c>
      <c r="Q1602" s="17">
        <v>2582</v>
      </c>
      <c r="R1602" s="17">
        <f t="shared" si="87"/>
        <v>-1082</v>
      </c>
      <c r="S1602" s="17">
        <v>2000</v>
      </c>
      <c r="T1602" s="19" t="s">
        <v>42</v>
      </c>
      <c r="U1602" s="102" t="s">
        <v>639</v>
      </c>
      <c r="V1602" s="186" t="s">
        <v>349</v>
      </c>
      <c r="W1602" s="17" t="s">
        <v>58</v>
      </c>
      <c r="Y1602" s="68">
        <v>44826</v>
      </c>
      <c r="Z1602" s="17" t="s">
        <v>191</v>
      </c>
      <c r="AA1602" s="17" t="s">
        <v>46</v>
      </c>
      <c r="AB1602" s="17" t="s">
        <v>640</v>
      </c>
      <c r="AC1602" s="67">
        <v>44690</v>
      </c>
      <c r="AD1602" s="65">
        <v>1336</v>
      </c>
      <c r="AE1602" s="17" t="s">
        <v>48</v>
      </c>
      <c r="AF1602" s="17" t="s">
        <v>245</v>
      </c>
    </row>
    <row r="1603" s="17" customFormat="1" hidden="1" spans="1:33">
      <c r="A1603" s="17" t="s">
        <v>34</v>
      </c>
      <c r="B1603" s="19">
        <v>821</v>
      </c>
      <c r="C1603" s="101" t="s">
        <v>638</v>
      </c>
      <c r="D1603" s="17" t="s">
        <v>52</v>
      </c>
      <c r="E1603" s="17" t="s">
        <v>220</v>
      </c>
      <c r="F1603" s="17" t="s">
        <v>54</v>
      </c>
      <c r="H1603" s="19" t="s">
        <v>55</v>
      </c>
      <c r="I1603" s="19"/>
      <c r="J1603" s="17" t="s">
        <v>82</v>
      </c>
      <c r="K1603" s="17">
        <v>610</v>
      </c>
      <c r="L1603" s="91">
        <v>160</v>
      </c>
      <c r="M1603" s="19">
        <v>5000</v>
      </c>
      <c r="N1603" s="19" t="s">
        <v>40</v>
      </c>
      <c r="O1603" s="19" t="s">
        <v>168</v>
      </c>
      <c r="P1603" s="19">
        <v>1500</v>
      </c>
      <c r="Q1603" s="17">
        <v>2414</v>
      </c>
      <c r="R1603" s="17">
        <f t="shared" si="87"/>
        <v>-914</v>
      </c>
      <c r="S1603" s="17">
        <v>2000</v>
      </c>
      <c r="T1603" s="19" t="s">
        <v>42</v>
      </c>
      <c r="U1603" s="102" t="s">
        <v>639</v>
      </c>
      <c r="V1603" s="186" t="s">
        <v>349</v>
      </c>
      <c r="W1603" s="17" t="s">
        <v>58</v>
      </c>
      <c r="Y1603" s="68">
        <v>44826</v>
      </c>
      <c r="Z1603" s="17" t="s">
        <v>191</v>
      </c>
      <c r="AA1603" s="17" t="s">
        <v>46</v>
      </c>
      <c r="AB1603" s="17" t="s">
        <v>640</v>
      </c>
      <c r="AC1603" s="67">
        <v>44690</v>
      </c>
      <c r="AD1603" s="65">
        <v>1336</v>
      </c>
      <c r="AE1603" s="17" t="s">
        <v>48</v>
      </c>
      <c r="AF1603" s="17" t="s">
        <v>245</v>
      </c>
    </row>
    <row r="1604" s="17" customFormat="1" hidden="1" spans="1:33">
      <c r="A1604" s="17" t="s">
        <v>34</v>
      </c>
      <c r="B1604" s="19">
        <v>821</v>
      </c>
      <c r="C1604" s="101" t="s">
        <v>638</v>
      </c>
      <c r="D1604" s="17" t="s">
        <v>52</v>
      </c>
      <c r="E1604" s="17" t="s">
        <v>220</v>
      </c>
      <c r="F1604" s="17" t="s">
        <v>54</v>
      </c>
      <c r="H1604" s="19">
        <v>1.2379</v>
      </c>
      <c r="I1604" s="19"/>
      <c r="J1604" s="17" t="s">
        <v>82</v>
      </c>
      <c r="K1604" s="17">
        <v>155</v>
      </c>
      <c r="L1604" s="91">
        <v>32</v>
      </c>
      <c r="M1604" s="19">
        <v>5000</v>
      </c>
      <c r="N1604" s="19" t="s">
        <v>40</v>
      </c>
      <c r="O1604" s="19" t="s">
        <v>168</v>
      </c>
      <c r="P1604" s="19">
        <v>300</v>
      </c>
      <c r="Q1604" s="17">
        <v>107</v>
      </c>
      <c r="R1604" s="17">
        <f t="shared" si="87"/>
        <v>193</v>
      </c>
      <c r="S1604" s="17">
        <v>2270</v>
      </c>
      <c r="T1604" s="19" t="s">
        <v>42</v>
      </c>
      <c r="U1604" s="102" t="s">
        <v>639</v>
      </c>
      <c r="V1604" s="186" t="s">
        <v>349</v>
      </c>
      <c r="W1604" s="17" t="s">
        <v>58</v>
      </c>
      <c r="Y1604" s="68">
        <v>44826</v>
      </c>
      <c r="Z1604" s="17" t="s">
        <v>191</v>
      </c>
      <c r="AA1604" s="17" t="s">
        <v>46</v>
      </c>
      <c r="AB1604" s="17" t="s">
        <v>640</v>
      </c>
      <c r="AC1604" s="67">
        <v>44690</v>
      </c>
      <c r="AD1604" s="65">
        <v>1336</v>
      </c>
      <c r="AE1604" s="17" t="s">
        <v>48</v>
      </c>
      <c r="AF1604" s="17" t="s">
        <v>245</v>
      </c>
    </row>
    <row r="1605" s="17" customFormat="1" hidden="1" spans="1:33">
      <c r="A1605" s="17" t="s">
        <v>34</v>
      </c>
      <c r="B1605" s="19">
        <v>821</v>
      </c>
      <c r="C1605" s="101" t="s">
        <v>638</v>
      </c>
      <c r="D1605" s="17" t="s">
        <v>52</v>
      </c>
      <c r="E1605" s="17" t="s">
        <v>220</v>
      </c>
      <c r="F1605" s="17" t="s">
        <v>54</v>
      </c>
      <c r="H1605" s="19">
        <v>1.2379</v>
      </c>
      <c r="I1605" s="19"/>
      <c r="J1605" s="17" t="s">
        <v>82</v>
      </c>
      <c r="K1605" s="17">
        <v>205</v>
      </c>
      <c r="L1605" s="91">
        <v>32</v>
      </c>
      <c r="M1605" s="19">
        <v>5000</v>
      </c>
      <c r="N1605" s="19" t="s">
        <v>40</v>
      </c>
      <c r="O1605" s="19" t="s">
        <v>168</v>
      </c>
      <c r="P1605" s="19">
        <v>300</v>
      </c>
      <c r="Q1605" s="17">
        <v>167</v>
      </c>
      <c r="R1605" s="17">
        <f t="shared" si="87"/>
        <v>133</v>
      </c>
      <c r="S1605" s="17">
        <v>2270</v>
      </c>
      <c r="T1605" s="19" t="s">
        <v>42</v>
      </c>
      <c r="U1605" s="102" t="s">
        <v>639</v>
      </c>
      <c r="V1605" s="186" t="s">
        <v>349</v>
      </c>
      <c r="W1605" s="17" t="s">
        <v>58</v>
      </c>
      <c r="Y1605" s="68">
        <v>44826</v>
      </c>
      <c r="Z1605" s="17" t="s">
        <v>191</v>
      </c>
      <c r="AA1605" s="17" t="s">
        <v>46</v>
      </c>
      <c r="AB1605" s="17" t="s">
        <v>640</v>
      </c>
      <c r="AC1605" s="67">
        <v>44690</v>
      </c>
      <c r="AD1605" s="65">
        <v>1336</v>
      </c>
      <c r="AE1605" s="17" t="s">
        <v>48</v>
      </c>
      <c r="AF1605" s="17" t="s">
        <v>245</v>
      </c>
    </row>
    <row r="1606" s="17" customFormat="1" hidden="1" spans="1:33">
      <c r="A1606" s="17" t="s">
        <v>34</v>
      </c>
      <c r="B1606" s="19">
        <v>821</v>
      </c>
      <c r="C1606" s="101" t="s">
        <v>638</v>
      </c>
      <c r="D1606" s="17" t="s">
        <v>52</v>
      </c>
      <c r="E1606" s="17" t="s">
        <v>220</v>
      </c>
      <c r="F1606" s="17" t="s">
        <v>54</v>
      </c>
      <c r="H1606" s="19">
        <v>1.2379</v>
      </c>
      <c r="I1606" s="19"/>
      <c r="J1606" s="17" t="s">
        <v>82</v>
      </c>
      <c r="K1606" s="17">
        <v>255</v>
      </c>
      <c r="L1606" s="91">
        <v>32</v>
      </c>
      <c r="M1606" s="19">
        <v>5000</v>
      </c>
      <c r="N1606" s="19" t="s">
        <v>40</v>
      </c>
      <c r="O1606" s="19" t="s">
        <v>168</v>
      </c>
      <c r="P1606" s="19">
        <v>300</v>
      </c>
      <c r="Q1606" s="17">
        <v>205</v>
      </c>
      <c r="R1606" s="17">
        <f t="shared" si="87"/>
        <v>95</v>
      </c>
      <c r="S1606" s="17">
        <v>2270</v>
      </c>
      <c r="T1606" s="19" t="s">
        <v>42</v>
      </c>
      <c r="U1606" s="102" t="s">
        <v>639</v>
      </c>
      <c r="V1606" s="186" t="s">
        <v>349</v>
      </c>
      <c r="W1606" s="17" t="s">
        <v>58</v>
      </c>
      <c r="Y1606" s="68">
        <v>44826</v>
      </c>
      <c r="Z1606" s="17" t="s">
        <v>191</v>
      </c>
      <c r="AA1606" s="17" t="s">
        <v>46</v>
      </c>
      <c r="AB1606" s="17" t="s">
        <v>640</v>
      </c>
      <c r="AC1606" s="67">
        <v>44690</v>
      </c>
      <c r="AD1606" s="65">
        <v>1336</v>
      </c>
      <c r="AE1606" s="17" t="s">
        <v>48</v>
      </c>
      <c r="AF1606" s="17" t="s">
        <v>245</v>
      </c>
    </row>
    <row r="1607" s="17" customFormat="1" hidden="1" spans="1:33">
      <c r="A1607" s="17" t="s">
        <v>34</v>
      </c>
      <c r="B1607" s="19">
        <v>821</v>
      </c>
      <c r="C1607" s="101" t="s">
        <v>638</v>
      </c>
      <c r="D1607" s="17" t="s">
        <v>52</v>
      </c>
      <c r="E1607" s="17" t="s">
        <v>220</v>
      </c>
      <c r="F1607" s="17" t="s">
        <v>54</v>
      </c>
      <c r="H1607" s="19">
        <v>1.2379</v>
      </c>
      <c r="I1607" s="19"/>
      <c r="J1607" s="17" t="s">
        <v>82</v>
      </c>
      <c r="K1607" s="17">
        <v>305</v>
      </c>
      <c r="L1607" s="91">
        <v>32</v>
      </c>
      <c r="M1607" s="19">
        <v>5000</v>
      </c>
      <c r="N1607" s="19" t="s">
        <v>40</v>
      </c>
      <c r="O1607" s="19" t="s">
        <v>168</v>
      </c>
      <c r="P1607" s="19">
        <v>300</v>
      </c>
      <c r="Q1607" s="17">
        <v>203</v>
      </c>
      <c r="R1607" s="17">
        <f t="shared" si="87"/>
        <v>97</v>
      </c>
      <c r="S1607" s="17">
        <v>2270</v>
      </c>
      <c r="T1607" s="19" t="s">
        <v>42</v>
      </c>
      <c r="U1607" s="102" t="s">
        <v>639</v>
      </c>
      <c r="V1607" s="186" t="s">
        <v>349</v>
      </c>
      <c r="W1607" s="17" t="s">
        <v>58</v>
      </c>
      <c r="Y1607" s="68">
        <v>44826</v>
      </c>
      <c r="Z1607" s="17" t="s">
        <v>191</v>
      </c>
      <c r="AA1607" s="17" t="s">
        <v>46</v>
      </c>
      <c r="AB1607" s="17" t="s">
        <v>640</v>
      </c>
      <c r="AC1607" s="67">
        <v>44690</v>
      </c>
      <c r="AD1607" s="65">
        <v>1336</v>
      </c>
      <c r="AE1607" s="17" t="s">
        <v>48</v>
      </c>
      <c r="AF1607" s="17" t="s">
        <v>245</v>
      </c>
    </row>
    <row r="1608" s="17" customFormat="1" hidden="1" spans="1:33">
      <c r="B1608" s="19">
        <v>821</v>
      </c>
      <c r="C1608" s="101" t="s">
        <v>638</v>
      </c>
      <c r="D1608" s="17" t="s">
        <v>52</v>
      </c>
      <c r="E1608" s="17" t="s">
        <v>220</v>
      </c>
      <c r="F1608" s="17" t="s">
        <v>54</v>
      </c>
      <c r="H1608" s="19">
        <v>1.2379</v>
      </c>
      <c r="I1608" s="19"/>
      <c r="J1608" s="17" t="s">
        <v>82</v>
      </c>
      <c r="K1608" s="17">
        <v>155</v>
      </c>
      <c r="L1608" s="91">
        <v>40</v>
      </c>
      <c r="M1608" s="19">
        <v>5000</v>
      </c>
      <c r="N1608" s="19" t="s">
        <v>40</v>
      </c>
      <c r="O1608" s="19" t="s">
        <v>168</v>
      </c>
      <c r="P1608" s="19">
        <v>300</v>
      </c>
      <c r="R1608" s="17">
        <f t="shared" si="87"/>
        <v>300</v>
      </c>
      <c r="S1608" s="17">
        <v>2270</v>
      </c>
      <c r="T1608" s="19" t="s">
        <v>42</v>
      </c>
      <c r="U1608" s="102" t="s">
        <v>639</v>
      </c>
      <c r="V1608" s="186" t="s">
        <v>349</v>
      </c>
      <c r="W1608" s="17" t="s">
        <v>58</v>
      </c>
      <c r="Y1608" s="68">
        <v>44826</v>
      </c>
      <c r="Z1608" s="17" t="s">
        <v>191</v>
      </c>
      <c r="AA1608" s="17" t="s">
        <v>46</v>
      </c>
      <c r="AD1608" s="65"/>
      <c r="AE1608" s="17" t="s">
        <v>48</v>
      </c>
      <c r="AF1608" s="17" t="s">
        <v>245</v>
      </c>
      <c r="AG1608" s="17" t="s">
        <v>641</v>
      </c>
    </row>
    <row r="1609" s="17" customFormat="1" hidden="1" spans="1:33">
      <c r="A1609" s="17" t="s">
        <v>34</v>
      </c>
      <c r="B1609" s="19">
        <v>821</v>
      </c>
      <c r="C1609" s="101" t="s">
        <v>638</v>
      </c>
      <c r="D1609" s="17" t="s">
        <v>52</v>
      </c>
      <c r="E1609" s="17" t="s">
        <v>220</v>
      </c>
      <c r="F1609" s="17" t="s">
        <v>54</v>
      </c>
      <c r="H1609" s="19">
        <v>1.2379</v>
      </c>
      <c r="I1609" s="19"/>
      <c r="J1609" s="17" t="s">
        <v>82</v>
      </c>
      <c r="K1609" s="17">
        <v>205</v>
      </c>
      <c r="L1609" s="91">
        <v>40</v>
      </c>
      <c r="M1609" s="19">
        <v>5000</v>
      </c>
      <c r="N1609" s="19" t="s">
        <v>40</v>
      </c>
      <c r="O1609" s="19" t="s">
        <v>168</v>
      </c>
      <c r="P1609" s="19">
        <v>300</v>
      </c>
      <c r="Q1609" s="17">
        <v>246</v>
      </c>
      <c r="R1609" s="17">
        <f t="shared" si="87"/>
        <v>54</v>
      </c>
      <c r="S1609" s="17">
        <v>2270</v>
      </c>
      <c r="T1609" s="19" t="s">
        <v>42</v>
      </c>
      <c r="U1609" s="102" t="s">
        <v>639</v>
      </c>
      <c r="V1609" s="186" t="s">
        <v>349</v>
      </c>
      <c r="W1609" s="17" t="s">
        <v>58</v>
      </c>
      <c r="Y1609" s="68">
        <v>44826</v>
      </c>
      <c r="Z1609" s="17" t="s">
        <v>191</v>
      </c>
      <c r="AA1609" s="17" t="s">
        <v>46</v>
      </c>
      <c r="AB1609" s="17" t="s">
        <v>640</v>
      </c>
      <c r="AC1609" s="67">
        <v>44690</v>
      </c>
      <c r="AD1609" s="65">
        <v>1336</v>
      </c>
      <c r="AE1609" s="17" t="s">
        <v>48</v>
      </c>
      <c r="AF1609" s="17" t="s">
        <v>245</v>
      </c>
    </row>
    <row r="1610" s="17" customFormat="1" hidden="1" spans="1:33">
      <c r="A1610" s="17" t="s">
        <v>34</v>
      </c>
      <c r="B1610" s="19">
        <v>821</v>
      </c>
      <c r="C1610" s="101" t="s">
        <v>638</v>
      </c>
      <c r="D1610" s="17" t="s">
        <v>52</v>
      </c>
      <c r="E1610" s="17" t="s">
        <v>220</v>
      </c>
      <c r="F1610" s="17" t="s">
        <v>54</v>
      </c>
      <c r="H1610" s="19">
        <v>1.2379</v>
      </c>
      <c r="I1610" s="19"/>
      <c r="J1610" s="17" t="s">
        <v>82</v>
      </c>
      <c r="K1610" s="17">
        <v>255</v>
      </c>
      <c r="L1610" s="91">
        <v>40</v>
      </c>
      <c r="M1610" s="19">
        <v>5000</v>
      </c>
      <c r="N1610" s="19" t="s">
        <v>40</v>
      </c>
      <c r="O1610" s="19" t="s">
        <v>168</v>
      </c>
      <c r="P1610" s="19">
        <v>300</v>
      </c>
      <c r="Q1610" s="17">
        <v>191</v>
      </c>
      <c r="R1610" s="17">
        <f t="shared" si="87"/>
        <v>109</v>
      </c>
      <c r="S1610" s="17">
        <v>2270</v>
      </c>
      <c r="T1610" s="19" t="s">
        <v>42</v>
      </c>
      <c r="U1610" s="102" t="s">
        <v>639</v>
      </c>
      <c r="V1610" s="186" t="s">
        <v>349</v>
      </c>
      <c r="W1610" s="17" t="s">
        <v>58</v>
      </c>
      <c r="Y1610" s="68">
        <v>44826</v>
      </c>
      <c r="Z1610" s="17" t="s">
        <v>191</v>
      </c>
      <c r="AA1610" s="17" t="s">
        <v>46</v>
      </c>
      <c r="AB1610" s="17" t="s">
        <v>640</v>
      </c>
      <c r="AC1610" s="67">
        <v>44690</v>
      </c>
      <c r="AD1610" s="65">
        <v>1336</v>
      </c>
      <c r="AE1610" s="17" t="s">
        <v>48</v>
      </c>
      <c r="AF1610" s="17" t="s">
        <v>245</v>
      </c>
    </row>
    <row r="1611" s="17" customFormat="1" hidden="1" spans="1:33">
      <c r="A1611" s="17" t="s">
        <v>34</v>
      </c>
      <c r="B1611" s="19">
        <v>821</v>
      </c>
      <c r="C1611" s="101" t="s">
        <v>638</v>
      </c>
      <c r="D1611" s="17" t="s">
        <v>52</v>
      </c>
      <c r="E1611" s="17" t="s">
        <v>220</v>
      </c>
      <c r="F1611" s="17" t="s">
        <v>54</v>
      </c>
      <c r="H1611" s="19">
        <v>1.2379</v>
      </c>
      <c r="I1611" s="19"/>
      <c r="J1611" s="17" t="s">
        <v>82</v>
      </c>
      <c r="K1611" s="17">
        <v>305</v>
      </c>
      <c r="L1611" s="91">
        <v>40</v>
      </c>
      <c r="M1611" s="19">
        <v>5000</v>
      </c>
      <c r="N1611" s="19" t="s">
        <v>40</v>
      </c>
      <c r="O1611" s="19" t="s">
        <v>168</v>
      </c>
      <c r="P1611" s="19">
        <v>300</v>
      </c>
      <c r="Q1611" s="17">
        <v>235</v>
      </c>
      <c r="R1611" s="17">
        <f t="shared" si="87"/>
        <v>65</v>
      </c>
      <c r="S1611" s="17">
        <v>2270</v>
      </c>
      <c r="T1611" s="19" t="s">
        <v>42</v>
      </c>
      <c r="U1611" s="102" t="s">
        <v>639</v>
      </c>
      <c r="V1611" s="186" t="s">
        <v>349</v>
      </c>
      <c r="W1611" s="17" t="s">
        <v>58</v>
      </c>
      <c r="Y1611" s="68">
        <v>44826</v>
      </c>
      <c r="Z1611" s="17" t="s">
        <v>191</v>
      </c>
      <c r="AA1611" s="17" t="s">
        <v>46</v>
      </c>
      <c r="AB1611" s="17" t="s">
        <v>640</v>
      </c>
      <c r="AC1611" s="67">
        <v>44690</v>
      </c>
      <c r="AD1611" s="65">
        <v>1336</v>
      </c>
      <c r="AE1611" s="17" t="s">
        <v>48</v>
      </c>
      <c r="AF1611" s="17" t="s">
        <v>245</v>
      </c>
    </row>
    <row r="1612" s="17" customFormat="1" hidden="1" spans="1:33">
      <c r="B1612" s="19">
        <v>821</v>
      </c>
      <c r="C1612" s="101" t="s">
        <v>638</v>
      </c>
      <c r="D1612" s="17" t="s">
        <v>52</v>
      </c>
      <c r="E1612" s="17" t="s">
        <v>220</v>
      </c>
      <c r="F1612" s="17" t="s">
        <v>54</v>
      </c>
      <c r="H1612" s="19">
        <v>1.2379</v>
      </c>
      <c r="I1612" s="19"/>
      <c r="J1612" s="17" t="s">
        <v>82</v>
      </c>
      <c r="K1612" s="17">
        <v>410</v>
      </c>
      <c r="L1612" s="91">
        <v>40</v>
      </c>
      <c r="M1612" s="19">
        <v>5000</v>
      </c>
      <c r="N1612" s="19" t="s">
        <v>40</v>
      </c>
      <c r="O1612" s="19" t="s">
        <v>168</v>
      </c>
      <c r="P1612" s="19">
        <v>300</v>
      </c>
      <c r="R1612" s="17">
        <f t="shared" si="87"/>
        <v>300</v>
      </c>
      <c r="S1612" s="17">
        <v>2270</v>
      </c>
      <c r="T1612" s="19" t="s">
        <v>42</v>
      </c>
      <c r="U1612" s="102" t="s">
        <v>639</v>
      </c>
      <c r="V1612" s="186" t="s">
        <v>349</v>
      </c>
      <c r="W1612" s="17" t="s">
        <v>58</v>
      </c>
      <c r="Y1612" s="68">
        <v>44826</v>
      </c>
      <c r="Z1612" s="17" t="s">
        <v>191</v>
      </c>
      <c r="AA1612" s="17" t="s">
        <v>46</v>
      </c>
      <c r="AD1612" s="65"/>
      <c r="AE1612" s="17" t="s">
        <v>48</v>
      </c>
      <c r="AF1612" s="17" t="s">
        <v>245</v>
      </c>
      <c r="AG1612" s="17" t="s">
        <v>641</v>
      </c>
    </row>
    <row r="1613" s="17" customFormat="1" hidden="1" spans="1:33">
      <c r="A1613" s="17" t="s">
        <v>34</v>
      </c>
      <c r="B1613" s="19">
        <v>821</v>
      </c>
      <c r="C1613" s="101" t="s">
        <v>638</v>
      </c>
      <c r="D1613" s="17" t="s">
        <v>52</v>
      </c>
      <c r="E1613" s="17" t="s">
        <v>220</v>
      </c>
      <c r="F1613" s="17" t="s">
        <v>54</v>
      </c>
      <c r="H1613" s="19">
        <v>1.2379</v>
      </c>
      <c r="I1613" s="19"/>
      <c r="J1613" s="17" t="s">
        <v>82</v>
      </c>
      <c r="K1613" s="17">
        <v>155</v>
      </c>
      <c r="L1613" s="91">
        <v>50</v>
      </c>
      <c r="M1613" s="19">
        <v>5000</v>
      </c>
      <c r="N1613" s="19" t="s">
        <v>40</v>
      </c>
      <c r="O1613" s="19" t="s">
        <v>168</v>
      </c>
      <c r="P1613" s="19">
        <v>300</v>
      </c>
      <c r="Q1613" s="17">
        <v>147</v>
      </c>
      <c r="R1613" s="17">
        <f t="shared" si="87"/>
        <v>153</v>
      </c>
      <c r="S1613" s="17">
        <v>2270</v>
      </c>
      <c r="T1613" s="19" t="s">
        <v>42</v>
      </c>
      <c r="U1613" s="102" t="s">
        <v>639</v>
      </c>
      <c r="V1613" s="186" t="s">
        <v>349</v>
      </c>
      <c r="W1613" s="17" t="s">
        <v>58</v>
      </c>
      <c r="Y1613" s="68">
        <v>44826</v>
      </c>
      <c r="Z1613" s="17" t="s">
        <v>191</v>
      </c>
      <c r="AA1613" s="17" t="s">
        <v>46</v>
      </c>
      <c r="AB1613" s="17" t="s">
        <v>640</v>
      </c>
      <c r="AC1613" s="67">
        <v>44690</v>
      </c>
      <c r="AD1613" s="65">
        <v>1336</v>
      </c>
      <c r="AE1613" s="17" t="s">
        <v>48</v>
      </c>
      <c r="AF1613" s="17" t="s">
        <v>245</v>
      </c>
    </row>
    <row r="1614" s="17" customFormat="1" hidden="1" spans="1:33">
      <c r="B1614" s="19">
        <v>821</v>
      </c>
      <c r="C1614" s="101" t="s">
        <v>638</v>
      </c>
      <c r="D1614" s="17" t="s">
        <v>52</v>
      </c>
      <c r="E1614" s="17" t="s">
        <v>220</v>
      </c>
      <c r="F1614" s="17" t="s">
        <v>54</v>
      </c>
      <c r="H1614" s="19">
        <v>1.2379</v>
      </c>
      <c r="I1614" s="19"/>
      <c r="J1614" s="17" t="s">
        <v>82</v>
      </c>
      <c r="K1614" s="17">
        <v>205</v>
      </c>
      <c r="L1614" s="91">
        <v>50</v>
      </c>
      <c r="M1614" s="19">
        <v>5000</v>
      </c>
      <c r="N1614" s="19" t="s">
        <v>40</v>
      </c>
      <c r="O1614" s="19" t="s">
        <v>168</v>
      </c>
      <c r="P1614" s="19">
        <v>300</v>
      </c>
      <c r="R1614" s="17">
        <f t="shared" si="87"/>
        <v>300</v>
      </c>
      <c r="S1614" s="17">
        <v>2270</v>
      </c>
      <c r="T1614" s="19" t="s">
        <v>42</v>
      </c>
      <c r="U1614" s="102" t="s">
        <v>639</v>
      </c>
      <c r="V1614" s="186" t="s">
        <v>349</v>
      </c>
      <c r="W1614" s="17" t="s">
        <v>58</v>
      </c>
      <c r="Y1614" s="68">
        <v>44826</v>
      </c>
      <c r="Z1614" s="17" t="s">
        <v>191</v>
      </c>
      <c r="AA1614" s="17" t="s">
        <v>46</v>
      </c>
      <c r="AD1614" s="65"/>
      <c r="AE1614" s="17" t="s">
        <v>48</v>
      </c>
      <c r="AF1614" s="17" t="s">
        <v>245</v>
      </c>
    </row>
    <row r="1615" s="17" customFormat="1" hidden="1" spans="1:33">
      <c r="A1615" s="17" t="s">
        <v>34</v>
      </c>
      <c r="B1615" s="19">
        <v>821</v>
      </c>
      <c r="C1615" s="101" t="s">
        <v>638</v>
      </c>
      <c r="D1615" s="17" t="s">
        <v>52</v>
      </c>
      <c r="E1615" s="17" t="s">
        <v>220</v>
      </c>
      <c r="F1615" s="17" t="s">
        <v>54</v>
      </c>
      <c r="H1615" s="19">
        <v>1.2379</v>
      </c>
      <c r="I1615" s="19"/>
      <c r="J1615" s="17" t="s">
        <v>82</v>
      </c>
      <c r="K1615" s="17">
        <v>255</v>
      </c>
      <c r="L1615" s="91">
        <v>50</v>
      </c>
      <c r="M1615" s="19">
        <v>5000</v>
      </c>
      <c r="N1615" s="19" t="s">
        <v>40</v>
      </c>
      <c r="O1615" s="19" t="s">
        <v>168</v>
      </c>
      <c r="P1615" s="19">
        <v>500</v>
      </c>
      <c r="Q1615" s="17">
        <v>293</v>
      </c>
      <c r="R1615" s="17">
        <f t="shared" si="87"/>
        <v>207</v>
      </c>
      <c r="S1615" s="17">
        <v>2270</v>
      </c>
      <c r="T1615" s="19" t="s">
        <v>42</v>
      </c>
      <c r="U1615" s="102" t="s">
        <v>639</v>
      </c>
      <c r="V1615" s="186" t="s">
        <v>349</v>
      </c>
      <c r="W1615" s="17" t="s">
        <v>58</v>
      </c>
      <c r="Y1615" s="68">
        <v>44826</v>
      </c>
      <c r="Z1615" s="17" t="s">
        <v>191</v>
      </c>
      <c r="AA1615" s="17" t="s">
        <v>46</v>
      </c>
      <c r="AB1615" s="17" t="s">
        <v>640</v>
      </c>
      <c r="AC1615" s="67">
        <v>44690</v>
      </c>
      <c r="AD1615" s="65">
        <v>1336</v>
      </c>
      <c r="AE1615" s="17" t="s">
        <v>48</v>
      </c>
      <c r="AF1615" s="17" t="s">
        <v>245</v>
      </c>
    </row>
    <row r="1616" s="17" customFormat="1" hidden="1" spans="1:33">
      <c r="B1616" s="19">
        <v>821</v>
      </c>
      <c r="C1616" s="101" t="s">
        <v>638</v>
      </c>
      <c r="D1616" s="17" t="s">
        <v>52</v>
      </c>
      <c r="E1616" s="17" t="s">
        <v>220</v>
      </c>
      <c r="F1616" s="17" t="s">
        <v>54</v>
      </c>
      <c r="H1616" s="19">
        <v>1.2379</v>
      </c>
      <c r="I1616" s="19"/>
      <c r="J1616" s="17" t="s">
        <v>82</v>
      </c>
      <c r="K1616" s="17">
        <v>305</v>
      </c>
      <c r="L1616" s="91">
        <v>50</v>
      </c>
      <c r="M1616" s="19">
        <v>5000</v>
      </c>
      <c r="N1616" s="19" t="s">
        <v>40</v>
      </c>
      <c r="O1616" s="19" t="s">
        <v>168</v>
      </c>
      <c r="P1616" s="19">
        <v>500</v>
      </c>
      <c r="R1616" s="17">
        <f t="shared" si="87"/>
        <v>500</v>
      </c>
      <c r="S1616" s="17">
        <v>2270</v>
      </c>
      <c r="T1616" s="19" t="s">
        <v>42</v>
      </c>
      <c r="U1616" s="102" t="s">
        <v>639</v>
      </c>
      <c r="V1616" s="186" t="s">
        <v>349</v>
      </c>
      <c r="W1616" s="17" t="s">
        <v>58</v>
      </c>
      <c r="Y1616" s="68">
        <v>44826</v>
      </c>
      <c r="Z1616" s="17" t="s">
        <v>191</v>
      </c>
      <c r="AA1616" s="17" t="s">
        <v>46</v>
      </c>
      <c r="AD1616" s="65"/>
      <c r="AE1616" s="17" t="s">
        <v>48</v>
      </c>
      <c r="AF1616" s="17" t="s">
        <v>245</v>
      </c>
      <c r="AG1616" s="17" t="s">
        <v>641</v>
      </c>
    </row>
    <row r="1617" s="17" customFormat="1" hidden="1" spans="1:33">
      <c r="A1617" s="17" t="s">
        <v>34</v>
      </c>
      <c r="B1617" s="19">
        <v>821</v>
      </c>
      <c r="C1617" s="101" t="s">
        <v>638</v>
      </c>
      <c r="D1617" s="17" t="s">
        <v>52</v>
      </c>
      <c r="E1617" s="17" t="s">
        <v>220</v>
      </c>
      <c r="F1617" s="17" t="s">
        <v>54</v>
      </c>
      <c r="H1617" s="19">
        <v>1.2379</v>
      </c>
      <c r="I1617" s="19"/>
      <c r="J1617" s="17" t="s">
        <v>82</v>
      </c>
      <c r="K1617" s="17">
        <v>410</v>
      </c>
      <c r="L1617" s="91">
        <v>50</v>
      </c>
      <c r="M1617" s="19">
        <v>5000</v>
      </c>
      <c r="N1617" s="19" t="s">
        <v>40</v>
      </c>
      <c r="O1617" s="19" t="s">
        <v>168</v>
      </c>
      <c r="P1617" s="19">
        <v>500</v>
      </c>
      <c r="Q1617" s="17">
        <v>509</v>
      </c>
      <c r="R1617" s="17">
        <f t="shared" si="87"/>
        <v>-9</v>
      </c>
      <c r="S1617" s="17">
        <v>2270</v>
      </c>
      <c r="T1617" s="19" t="s">
        <v>42</v>
      </c>
      <c r="U1617" s="102" t="s">
        <v>639</v>
      </c>
      <c r="V1617" s="186" t="s">
        <v>349</v>
      </c>
      <c r="W1617" s="17" t="s">
        <v>58</v>
      </c>
      <c r="Y1617" s="68">
        <v>44826</v>
      </c>
      <c r="Z1617" s="17" t="s">
        <v>191</v>
      </c>
      <c r="AA1617" s="17" t="s">
        <v>46</v>
      </c>
      <c r="AB1617" s="17" t="s">
        <v>640</v>
      </c>
      <c r="AC1617" s="67">
        <v>44690</v>
      </c>
      <c r="AD1617" s="65">
        <v>1336</v>
      </c>
      <c r="AE1617" s="17" t="s">
        <v>48</v>
      </c>
      <c r="AF1617" s="17" t="s">
        <v>245</v>
      </c>
    </row>
    <row r="1618" s="17" customFormat="1" hidden="1" spans="1:33">
      <c r="A1618" s="17" t="s">
        <v>34</v>
      </c>
      <c r="B1618" s="19">
        <v>821</v>
      </c>
      <c r="C1618" s="101" t="s">
        <v>638</v>
      </c>
      <c r="D1618" s="17" t="s">
        <v>52</v>
      </c>
      <c r="E1618" s="17" t="s">
        <v>220</v>
      </c>
      <c r="F1618" s="17" t="s">
        <v>54</v>
      </c>
      <c r="H1618" s="19">
        <v>1.2379</v>
      </c>
      <c r="I1618" s="19"/>
      <c r="J1618" s="17" t="s">
        <v>82</v>
      </c>
      <c r="K1618" s="17">
        <v>155</v>
      </c>
      <c r="L1618" s="91">
        <v>65</v>
      </c>
      <c r="M1618" s="19">
        <v>5000</v>
      </c>
      <c r="N1618" s="19" t="s">
        <v>40</v>
      </c>
      <c r="O1618" s="19" t="s">
        <v>168</v>
      </c>
      <c r="P1618" s="19">
        <v>400</v>
      </c>
      <c r="Q1618" s="17">
        <v>212</v>
      </c>
      <c r="R1618" s="17">
        <f t="shared" si="87"/>
        <v>188</v>
      </c>
      <c r="S1618" s="17">
        <v>2270</v>
      </c>
      <c r="T1618" s="19" t="s">
        <v>42</v>
      </c>
      <c r="U1618" s="102" t="s">
        <v>639</v>
      </c>
      <c r="V1618" s="186" t="s">
        <v>349</v>
      </c>
      <c r="W1618" s="17" t="s">
        <v>58</v>
      </c>
      <c r="Y1618" s="68">
        <v>44826</v>
      </c>
      <c r="Z1618" s="17" t="s">
        <v>191</v>
      </c>
      <c r="AA1618" s="17" t="s">
        <v>46</v>
      </c>
      <c r="AB1618" s="17" t="s">
        <v>640</v>
      </c>
      <c r="AC1618" s="67">
        <v>44690</v>
      </c>
      <c r="AD1618" s="65">
        <v>1336</v>
      </c>
      <c r="AE1618" s="17" t="s">
        <v>48</v>
      </c>
      <c r="AF1618" s="17" t="s">
        <v>245</v>
      </c>
    </row>
    <row r="1619" s="17" customFormat="1" hidden="1" spans="1:33">
      <c r="A1619" s="17" t="s">
        <v>34</v>
      </c>
      <c r="B1619" s="19">
        <v>821</v>
      </c>
      <c r="C1619" s="101" t="s">
        <v>638</v>
      </c>
      <c r="D1619" s="17" t="s">
        <v>52</v>
      </c>
      <c r="E1619" s="17" t="s">
        <v>220</v>
      </c>
      <c r="F1619" s="17" t="s">
        <v>54</v>
      </c>
      <c r="H1619" s="19">
        <v>1.2379</v>
      </c>
      <c r="I1619" s="19"/>
      <c r="J1619" s="17" t="s">
        <v>82</v>
      </c>
      <c r="K1619" s="17">
        <v>205</v>
      </c>
      <c r="L1619" s="91">
        <v>65</v>
      </c>
      <c r="M1619" s="19">
        <v>5000</v>
      </c>
      <c r="N1619" s="19" t="s">
        <v>40</v>
      </c>
      <c r="O1619" s="19" t="s">
        <v>168</v>
      </c>
      <c r="P1619" s="19">
        <v>400</v>
      </c>
      <c r="Q1619" s="17">
        <v>263</v>
      </c>
      <c r="R1619" s="17">
        <f t="shared" ref="R1619:R1650" si="88">+P1619-Q1619</f>
        <v>137</v>
      </c>
      <c r="S1619" s="17">
        <v>2270</v>
      </c>
      <c r="T1619" s="19" t="s">
        <v>42</v>
      </c>
      <c r="U1619" s="102" t="s">
        <v>639</v>
      </c>
      <c r="V1619" s="186" t="s">
        <v>349</v>
      </c>
      <c r="W1619" s="17" t="s">
        <v>58</v>
      </c>
      <c r="Y1619" s="68">
        <v>44826</v>
      </c>
      <c r="Z1619" s="17" t="s">
        <v>191</v>
      </c>
      <c r="AA1619" s="17" t="s">
        <v>46</v>
      </c>
      <c r="AB1619" s="17" t="s">
        <v>640</v>
      </c>
      <c r="AC1619" s="67">
        <v>44690</v>
      </c>
      <c r="AD1619" s="65">
        <v>1336</v>
      </c>
      <c r="AE1619" s="17" t="s">
        <v>48</v>
      </c>
      <c r="AF1619" s="17" t="s">
        <v>245</v>
      </c>
    </row>
    <row r="1620" s="17" customFormat="1" hidden="1" spans="1:33">
      <c r="B1620" s="19">
        <v>821</v>
      </c>
      <c r="C1620" s="101" t="s">
        <v>638</v>
      </c>
      <c r="D1620" s="17" t="s">
        <v>52</v>
      </c>
      <c r="E1620" s="17" t="s">
        <v>220</v>
      </c>
      <c r="F1620" s="17" t="s">
        <v>54</v>
      </c>
      <c r="H1620" s="19">
        <v>1.2379</v>
      </c>
      <c r="I1620" s="19"/>
      <c r="J1620" s="17" t="s">
        <v>82</v>
      </c>
      <c r="K1620" s="17">
        <v>255</v>
      </c>
      <c r="L1620" s="91">
        <v>65</v>
      </c>
      <c r="M1620" s="19">
        <v>5000</v>
      </c>
      <c r="N1620" s="19" t="s">
        <v>40</v>
      </c>
      <c r="O1620" s="19" t="s">
        <v>168</v>
      </c>
      <c r="P1620" s="19">
        <v>400</v>
      </c>
      <c r="R1620" s="17">
        <f t="shared" si="88"/>
        <v>400</v>
      </c>
      <c r="S1620" s="17">
        <v>2270</v>
      </c>
      <c r="T1620" s="19" t="s">
        <v>42</v>
      </c>
      <c r="U1620" s="102" t="s">
        <v>639</v>
      </c>
      <c r="V1620" s="186" t="s">
        <v>349</v>
      </c>
      <c r="W1620" s="17" t="s">
        <v>58</v>
      </c>
      <c r="Y1620" s="68">
        <v>44826</v>
      </c>
      <c r="Z1620" s="17" t="s">
        <v>191</v>
      </c>
      <c r="AA1620" s="17" t="s">
        <v>46</v>
      </c>
      <c r="AD1620" s="65"/>
      <c r="AE1620" s="17" t="s">
        <v>48</v>
      </c>
      <c r="AF1620" s="17" t="s">
        <v>245</v>
      </c>
      <c r="AG1620" s="17" t="s">
        <v>641</v>
      </c>
    </row>
    <row r="1621" s="17" customFormat="1" hidden="1" spans="1:33">
      <c r="A1621" s="17" t="s">
        <v>34</v>
      </c>
      <c r="B1621" s="19">
        <v>821</v>
      </c>
      <c r="C1621" s="101" t="s">
        <v>638</v>
      </c>
      <c r="D1621" s="17" t="s">
        <v>52</v>
      </c>
      <c r="E1621" s="17" t="s">
        <v>220</v>
      </c>
      <c r="F1621" s="17" t="s">
        <v>54</v>
      </c>
      <c r="H1621" s="19">
        <v>1.2379</v>
      </c>
      <c r="I1621" s="19"/>
      <c r="J1621" s="17" t="s">
        <v>82</v>
      </c>
      <c r="K1621" s="17">
        <v>305</v>
      </c>
      <c r="L1621" s="91">
        <v>65</v>
      </c>
      <c r="M1621" s="19">
        <v>5000</v>
      </c>
      <c r="N1621" s="19" t="s">
        <v>40</v>
      </c>
      <c r="O1621" s="19" t="s">
        <v>168</v>
      </c>
      <c r="P1621" s="19">
        <v>500</v>
      </c>
      <c r="Q1621" s="17">
        <v>546</v>
      </c>
      <c r="R1621" s="17">
        <f t="shared" si="88"/>
        <v>-46</v>
      </c>
      <c r="S1621" s="17">
        <v>2270</v>
      </c>
      <c r="T1621" s="19" t="s">
        <v>42</v>
      </c>
      <c r="U1621" s="102" t="s">
        <v>639</v>
      </c>
      <c r="V1621" s="186" t="s">
        <v>349</v>
      </c>
      <c r="W1621" s="17" t="s">
        <v>58</v>
      </c>
      <c r="Y1621" s="68">
        <v>44826</v>
      </c>
      <c r="Z1621" s="17" t="s">
        <v>191</v>
      </c>
      <c r="AA1621" s="17" t="s">
        <v>46</v>
      </c>
      <c r="AB1621" s="17" t="s">
        <v>640</v>
      </c>
      <c r="AC1621" s="67">
        <v>44690</v>
      </c>
      <c r="AD1621" s="65">
        <v>1336</v>
      </c>
      <c r="AE1621" s="17" t="s">
        <v>48</v>
      </c>
      <c r="AF1621" s="17" t="s">
        <v>245</v>
      </c>
    </row>
    <row r="1622" s="17" customFormat="1" hidden="1" spans="1:33">
      <c r="A1622" s="17" t="s">
        <v>34</v>
      </c>
      <c r="B1622" s="19">
        <v>821</v>
      </c>
      <c r="C1622" s="101" t="s">
        <v>638</v>
      </c>
      <c r="D1622" s="17" t="s">
        <v>52</v>
      </c>
      <c r="E1622" s="17" t="s">
        <v>220</v>
      </c>
      <c r="F1622" s="17" t="s">
        <v>54</v>
      </c>
      <c r="H1622" s="19">
        <v>1.2379</v>
      </c>
      <c r="I1622" s="19"/>
      <c r="J1622" s="17" t="s">
        <v>82</v>
      </c>
      <c r="K1622" s="17">
        <v>410</v>
      </c>
      <c r="L1622" s="91">
        <v>65</v>
      </c>
      <c r="M1622" s="19">
        <v>5000</v>
      </c>
      <c r="N1622" s="19" t="s">
        <v>40</v>
      </c>
      <c r="O1622" s="19" t="s">
        <v>168</v>
      </c>
      <c r="P1622" s="19">
        <v>500</v>
      </c>
      <c r="Q1622" s="17">
        <v>641</v>
      </c>
      <c r="R1622" s="17">
        <f t="shared" si="88"/>
        <v>-141</v>
      </c>
      <c r="S1622" s="17">
        <v>2270</v>
      </c>
      <c r="T1622" s="19" t="s">
        <v>42</v>
      </c>
      <c r="U1622" s="102" t="s">
        <v>639</v>
      </c>
      <c r="V1622" s="186" t="s">
        <v>349</v>
      </c>
      <c r="W1622" s="17" t="s">
        <v>58</v>
      </c>
      <c r="Y1622" s="68">
        <v>44826</v>
      </c>
      <c r="Z1622" s="17" t="s">
        <v>191</v>
      </c>
      <c r="AA1622" s="17" t="s">
        <v>46</v>
      </c>
      <c r="AB1622" s="17" t="s">
        <v>640</v>
      </c>
      <c r="AC1622" s="67">
        <v>44690</v>
      </c>
      <c r="AD1622" s="65">
        <v>1336</v>
      </c>
      <c r="AE1622" s="17" t="s">
        <v>48</v>
      </c>
      <c r="AF1622" s="17" t="s">
        <v>245</v>
      </c>
    </row>
    <row r="1623" s="17" customFormat="1" hidden="1" spans="1:33">
      <c r="A1623" s="17" t="s">
        <v>34</v>
      </c>
      <c r="B1623" s="19">
        <v>821</v>
      </c>
      <c r="C1623" s="101" t="s">
        <v>638</v>
      </c>
      <c r="D1623" s="17" t="s">
        <v>52</v>
      </c>
      <c r="E1623" s="17" t="s">
        <v>220</v>
      </c>
      <c r="F1623" s="17" t="s">
        <v>54</v>
      </c>
      <c r="H1623" s="19">
        <v>1.2379</v>
      </c>
      <c r="I1623" s="19"/>
      <c r="J1623" s="17" t="s">
        <v>82</v>
      </c>
      <c r="K1623" s="17">
        <v>155</v>
      </c>
      <c r="L1623" s="91">
        <v>80</v>
      </c>
      <c r="M1623" s="19">
        <v>5000</v>
      </c>
      <c r="N1623" s="19" t="s">
        <v>40</v>
      </c>
      <c r="O1623" s="19" t="s">
        <v>168</v>
      </c>
      <c r="P1623" s="19">
        <v>300</v>
      </c>
      <c r="Q1623" s="17">
        <v>280</v>
      </c>
      <c r="R1623" s="17">
        <f t="shared" si="88"/>
        <v>20</v>
      </c>
      <c r="S1623" s="17">
        <v>2270</v>
      </c>
      <c r="T1623" s="19" t="s">
        <v>42</v>
      </c>
      <c r="U1623" s="102" t="s">
        <v>639</v>
      </c>
      <c r="V1623" s="186" t="s">
        <v>349</v>
      </c>
      <c r="W1623" s="17" t="s">
        <v>58</v>
      </c>
      <c r="Y1623" s="68">
        <v>44826</v>
      </c>
      <c r="Z1623" s="17" t="s">
        <v>191</v>
      </c>
      <c r="AA1623" s="17" t="s">
        <v>46</v>
      </c>
      <c r="AB1623" s="17" t="s">
        <v>640</v>
      </c>
      <c r="AC1623" s="67">
        <v>44690</v>
      </c>
      <c r="AD1623" s="65">
        <v>1336</v>
      </c>
      <c r="AE1623" s="17" t="s">
        <v>48</v>
      </c>
      <c r="AF1623" s="17" t="s">
        <v>245</v>
      </c>
    </row>
    <row r="1624" s="17" customFormat="1" hidden="1" spans="1:33">
      <c r="B1624" s="19">
        <v>821</v>
      </c>
      <c r="C1624" s="101" t="s">
        <v>638</v>
      </c>
      <c r="D1624" s="17" t="s">
        <v>52</v>
      </c>
      <c r="E1624" s="17" t="s">
        <v>220</v>
      </c>
      <c r="F1624" s="17" t="s">
        <v>54</v>
      </c>
      <c r="H1624" s="19">
        <v>1.2379</v>
      </c>
      <c r="I1624" s="19"/>
      <c r="J1624" s="17" t="s">
        <v>82</v>
      </c>
      <c r="K1624" s="17">
        <v>205</v>
      </c>
      <c r="L1624" s="91">
        <v>80</v>
      </c>
      <c r="M1624" s="19">
        <v>5000</v>
      </c>
      <c r="N1624" s="19" t="s">
        <v>40</v>
      </c>
      <c r="O1624" s="19" t="s">
        <v>168</v>
      </c>
      <c r="P1624" s="19">
        <v>300</v>
      </c>
      <c r="R1624" s="17">
        <f t="shared" si="88"/>
        <v>300</v>
      </c>
      <c r="S1624" s="17">
        <v>2270</v>
      </c>
      <c r="T1624" s="19" t="s">
        <v>42</v>
      </c>
      <c r="U1624" s="102" t="s">
        <v>639</v>
      </c>
      <c r="V1624" s="186" t="s">
        <v>349</v>
      </c>
      <c r="W1624" s="17" t="s">
        <v>58</v>
      </c>
      <c r="Y1624" s="68">
        <v>44826</v>
      </c>
      <c r="Z1624" s="17" t="s">
        <v>191</v>
      </c>
      <c r="AA1624" s="17" t="s">
        <v>46</v>
      </c>
      <c r="AD1624" s="65"/>
      <c r="AE1624" s="17" t="s">
        <v>48</v>
      </c>
      <c r="AF1624" s="17" t="s">
        <v>245</v>
      </c>
      <c r="AG1624" s="17" t="s">
        <v>641</v>
      </c>
    </row>
    <row r="1625" s="17" customFormat="1" hidden="1" spans="1:33">
      <c r="A1625" s="17" t="s">
        <v>34</v>
      </c>
      <c r="B1625" s="19">
        <v>821</v>
      </c>
      <c r="C1625" s="101" t="s">
        <v>638</v>
      </c>
      <c r="D1625" s="17" t="s">
        <v>52</v>
      </c>
      <c r="E1625" s="17" t="s">
        <v>220</v>
      </c>
      <c r="F1625" s="17" t="s">
        <v>54</v>
      </c>
      <c r="H1625" s="19">
        <v>1.2379</v>
      </c>
      <c r="I1625" s="19"/>
      <c r="J1625" s="17" t="s">
        <v>82</v>
      </c>
      <c r="K1625" s="17">
        <v>255</v>
      </c>
      <c r="L1625" s="91">
        <v>80</v>
      </c>
      <c r="M1625" s="19">
        <v>5000</v>
      </c>
      <c r="N1625" s="19" t="s">
        <v>40</v>
      </c>
      <c r="O1625" s="19" t="s">
        <v>168</v>
      </c>
      <c r="P1625" s="19">
        <v>500</v>
      </c>
      <c r="Q1625" s="17">
        <v>452</v>
      </c>
      <c r="R1625" s="17">
        <f t="shared" si="88"/>
        <v>48</v>
      </c>
      <c r="S1625" s="17">
        <v>2270</v>
      </c>
      <c r="T1625" s="19" t="s">
        <v>42</v>
      </c>
      <c r="U1625" s="102" t="s">
        <v>639</v>
      </c>
      <c r="V1625" s="186" t="s">
        <v>349</v>
      </c>
      <c r="W1625" s="17" t="s">
        <v>58</v>
      </c>
      <c r="Y1625" s="68">
        <v>44826</v>
      </c>
      <c r="Z1625" s="17" t="s">
        <v>191</v>
      </c>
      <c r="AA1625" s="17" t="s">
        <v>46</v>
      </c>
      <c r="AB1625" s="17" t="s">
        <v>640</v>
      </c>
      <c r="AC1625" s="67">
        <v>44690</v>
      </c>
      <c r="AD1625" s="65">
        <v>1336</v>
      </c>
      <c r="AE1625" s="17" t="s">
        <v>48</v>
      </c>
      <c r="AF1625" s="17" t="s">
        <v>245</v>
      </c>
    </row>
    <row r="1626" s="17" customFormat="1" hidden="1" spans="1:33">
      <c r="A1626" s="17" t="s">
        <v>34</v>
      </c>
      <c r="B1626" s="19">
        <v>821</v>
      </c>
      <c r="C1626" s="101" t="s">
        <v>638</v>
      </c>
      <c r="D1626" s="17" t="s">
        <v>52</v>
      </c>
      <c r="E1626" s="17" t="s">
        <v>220</v>
      </c>
      <c r="F1626" s="17" t="s">
        <v>54</v>
      </c>
      <c r="H1626" s="19">
        <v>1.2379</v>
      </c>
      <c r="I1626" s="19"/>
      <c r="J1626" s="17" t="s">
        <v>82</v>
      </c>
      <c r="K1626" s="17">
        <v>305</v>
      </c>
      <c r="L1626" s="91">
        <v>80</v>
      </c>
      <c r="M1626" s="19">
        <v>5000</v>
      </c>
      <c r="N1626" s="19" t="s">
        <v>40</v>
      </c>
      <c r="O1626" s="19" t="s">
        <v>168</v>
      </c>
      <c r="P1626" s="19">
        <v>500</v>
      </c>
      <c r="Q1626" s="17">
        <v>539</v>
      </c>
      <c r="R1626" s="17">
        <f t="shared" si="88"/>
        <v>-39</v>
      </c>
      <c r="S1626" s="17">
        <v>2270</v>
      </c>
      <c r="T1626" s="19" t="s">
        <v>42</v>
      </c>
      <c r="U1626" s="102" t="s">
        <v>639</v>
      </c>
      <c r="V1626" s="186" t="s">
        <v>349</v>
      </c>
      <c r="W1626" s="17" t="s">
        <v>58</v>
      </c>
      <c r="Y1626" s="68">
        <v>44826</v>
      </c>
      <c r="Z1626" s="17" t="s">
        <v>191</v>
      </c>
      <c r="AA1626" s="17" t="s">
        <v>46</v>
      </c>
      <c r="AB1626" s="17" t="s">
        <v>640</v>
      </c>
      <c r="AC1626" s="67">
        <v>44690</v>
      </c>
      <c r="AD1626" s="65">
        <v>1336</v>
      </c>
      <c r="AE1626" s="17" t="s">
        <v>48</v>
      </c>
      <c r="AF1626" s="17" t="s">
        <v>245</v>
      </c>
    </row>
    <row r="1627" s="17" customFormat="1" hidden="1" spans="1:33">
      <c r="B1627" s="19">
        <v>821</v>
      </c>
      <c r="C1627" s="101" t="s">
        <v>638</v>
      </c>
      <c r="D1627" s="17" t="s">
        <v>52</v>
      </c>
      <c r="E1627" s="17" t="s">
        <v>220</v>
      </c>
      <c r="F1627" s="17" t="s">
        <v>54</v>
      </c>
      <c r="H1627" s="19">
        <v>1.2379</v>
      </c>
      <c r="I1627" s="19"/>
      <c r="J1627" s="17" t="s">
        <v>82</v>
      </c>
      <c r="K1627" s="17">
        <v>410</v>
      </c>
      <c r="L1627" s="91">
        <v>80</v>
      </c>
      <c r="M1627" s="19">
        <v>5000</v>
      </c>
      <c r="N1627" s="19" t="s">
        <v>40</v>
      </c>
      <c r="O1627" s="19" t="s">
        <v>168</v>
      </c>
      <c r="P1627" s="19">
        <v>500</v>
      </c>
      <c r="R1627" s="17">
        <f t="shared" si="88"/>
        <v>500</v>
      </c>
      <c r="S1627" s="17">
        <v>2270</v>
      </c>
      <c r="T1627" s="19" t="s">
        <v>42</v>
      </c>
      <c r="U1627" s="102" t="s">
        <v>639</v>
      </c>
      <c r="V1627" s="186" t="s">
        <v>349</v>
      </c>
      <c r="W1627" s="17" t="s">
        <v>58</v>
      </c>
      <c r="Y1627" s="68">
        <v>44826</v>
      </c>
      <c r="Z1627" s="17" t="s">
        <v>191</v>
      </c>
      <c r="AA1627" s="17" t="s">
        <v>46</v>
      </c>
      <c r="AD1627" s="65"/>
      <c r="AE1627" s="17" t="s">
        <v>48</v>
      </c>
      <c r="AF1627" s="17" t="s">
        <v>245</v>
      </c>
      <c r="AG1627" s="17" t="s">
        <v>641</v>
      </c>
    </row>
    <row r="1628" s="17" customFormat="1" hidden="1" spans="1:33">
      <c r="A1628" s="17" t="s">
        <v>34</v>
      </c>
      <c r="B1628" s="19">
        <v>821</v>
      </c>
      <c r="C1628" s="101" t="s">
        <v>638</v>
      </c>
      <c r="D1628" s="17" t="s">
        <v>52</v>
      </c>
      <c r="E1628" s="17" t="s">
        <v>220</v>
      </c>
      <c r="F1628" s="17" t="s">
        <v>54</v>
      </c>
      <c r="H1628" s="19">
        <v>1.2379</v>
      </c>
      <c r="I1628" s="19"/>
      <c r="J1628" s="17" t="s">
        <v>82</v>
      </c>
      <c r="K1628" s="17">
        <v>105</v>
      </c>
      <c r="L1628" s="91">
        <v>105</v>
      </c>
      <c r="M1628" s="19">
        <v>5000</v>
      </c>
      <c r="N1628" s="19" t="s">
        <v>40</v>
      </c>
      <c r="O1628" s="19" t="s">
        <v>168</v>
      </c>
      <c r="P1628" s="19">
        <v>300</v>
      </c>
      <c r="Q1628" s="17">
        <v>224</v>
      </c>
      <c r="R1628" s="17">
        <f t="shared" si="88"/>
        <v>76</v>
      </c>
      <c r="S1628" s="17">
        <v>2270</v>
      </c>
      <c r="T1628" s="19" t="s">
        <v>42</v>
      </c>
      <c r="U1628" s="102" t="s">
        <v>639</v>
      </c>
      <c r="V1628" s="186" t="s">
        <v>349</v>
      </c>
      <c r="W1628" s="17" t="s">
        <v>58</v>
      </c>
      <c r="Y1628" s="68">
        <v>44826</v>
      </c>
      <c r="Z1628" s="17" t="s">
        <v>191</v>
      </c>
      <c r="AA1628" s="17" t="s">
        <v>46</v>
      </c>
      <c r="AB1628" s="17" t="s">
        <v>640</v>
      </c>
      <c r="AC1628" s="67">
        <v>44690</v>
      </c>
      <c r="AD1628" s="65">
        <v>1336</v>
      </c>
      <c r="AE1628" s="17" t="s">
        <v>48</v>
      </c>
      <c r="AF1628" s="17" t="s">
        <v>245</v>
      </c>
    </row>
    <row r="1629" s="17" customFormat="1" hidden="1" spans="1:33">
      <c r="A1629" s="17" t="s">
        <v>34</v>
      </c>
      <c r="B1629" s="19">
        <v>821</v>
      </c>
      <c r="C1629" s="101" t="s">
        <v>638</v>
      </c>
      <c r="D1629" s="17" t="s">
        <v>52</v>
      </c>
      <c r="E1629" s="17" t="s">
        <v>220</v>
      </c>
      <c r="F1629" s="17" t="s">
        <v>54</v>
      </c>
      <c r="H1629" s="19">
        <v>1.2379</v>
      </c>
      <c r="I1629" s="19"/>
      <c r="J1629" s="17" t="s">
        <v>82</v>
      </c>
      <c r="K1629" s="17">
        <v>130</v>
      </c>
      <c r="L1629" s="91">
        <v>105</v>
      </c>
      <c r="M1629" s="19">
        <v>5000</v>
      </c>
      <c r="N1629" s="19" t="s">
        <v>40</v>
      </c>
      <c r="O1629" s="19" t="s">
        <v>168</v>
      </c>
      <c r="P1629" s="19">
        <v>300</v>
      </c>
      <c r="Q1629" s="17">
        <v>255</v>
      </c>
      <c r="R1629" s="17">
        <f t="shared" si="88"/>
        <v>45</v>
      </c>
      <c r="S1629" s="17">
        <v>2270</v>
      </c>
      <c r="T1629" s="19" t="s">
        <v>42</v>
      </c>
      <c r="U1629" s="102" t="s">
        <v>639</v>
      </c>
      <c r="V1629" s="186" t="s">
        <v>349</v>
      </c>
      <c r="W1629" s="17" t="s">
        <v>58</v>
      </c>
      <c r="Y1629" s="68">
        <v>44826</v>
      </c>
      <c r="Z1629" s="17" t="s">
        <v>191</v>
      </c>
      <c r="AA1629" s="17" t="s">
        <v>46</v>
      </c>
      <c r="AB1629" s="17" t="s">
        <v>640</v>
      </c>
      <c r="AC1629" s="67">
        <v>44690</v>
      </c>
      <c r="AD1629" s="65">
        <v>1336</v>
      </c>
      <c r="AE1629" s="17" t="s">
        <v>48</v>
      </c>
      <c r="AF1629" s="17" t="s">
        <v>245</v>
      </c>
    </row>
    <row r="1630" s="17" customFormat="1" hidden="1" spans="1:33">
      <c r="A1630" s="17" t="s">
        <v>34</v>
      </c>
      <c r="B1630" s="19">
        <v>821</v>
      </c>
      <c r="C1630" s="101" t="s">
        <v>638</v>
      </c>
      <c r="D1630" s="17" t="s">
        <v>52</v>
      </c>
      <c r="E1630" s="17" t="s">
        <v>220</v>
      </c>
      <c r="F1630" s="17" t="s">
        <v>54</v>
      </c>
      <c r="H1630" s="19">
        <v>1.2379</v>
      </c>
      <c r="I1630" s="19"/>
      <c r="J1630" s="17" t="s">
        <v>82</v>
      </c>
      <c r="K1630" s="17">
        <v>155</v>
      </c>
      <c r="L1630" s="91">
        <v>105</v>
      </c>
      <c r="M1630" s="19">
        <v>5000</v>
      </c>
      <c r="N1630" s="19" t="s">
        <v>40</v>
      </c>
      <c r="O1630" s="19" t="s">
        <v>168</v>
      </c>
      <c r="P1630" s="19">
        <v>300</v>
      </c>
      <c r="Q1630" s="17">
        <v>341</v>
      </c>
      <c r="R1630" s="17">
        <f t="shared" si="88"/>
        <v>-41</v>
      </c>
      <c r="S1630" s="17">
        <v>2270</v>
      </c>
      <c r="T1630" s="19" t="s">
        <v>42</v>
      </c>
      <c r="U1630" s="102" t="s">
        <v>639</v>
      </c>
      <c r="V1630" s="186" t="s">
        <v>349</v>
      </c>
      <c r="W1630" s="17" t="s">
        <v>58</v>
      </c>
      <c r="Y1630" s="68">
        <v>44826</v>
      </c>
      <c r="Z1630" s="17" t="s">
        <v>191</v>
      </c>
      <c r="AA1630" s="17" t="s">
        <v>46</v>
      </c>
      <c r="AB1630" s="17" t="s">
        <v>640</v>
      </c>
      <c r="AC1630" s="67">
        <v>44690</v>
      </c>
      <c r="AD1630" s="65">
        <v>1336</v>
      </c>
      <c r="AE1630" s="17" t="s">
        <v>48</v>
      </c>
      <c r="AF1630" s="17" t="s">
        <v>245</v>
      </c>
    </row>
    <row r="1631" s="17" customFormat="1" hidden="1" spans="1:33">
      <c r="A1631" s="17" t="s">
        <v>34</v>
      </c>
      <c r="B1631" s="19">
        <v>821</v>
      </c>
      <c r="C1631" s="101" t="s">
        <v>638</v>
      </c>
      <c r="D1631" s="17" t="s">
        <v>52</v>
      </c>
      <c r="E1631" s="17" t="s">
        <v>220</v>
      </c>
      <c r="F1631" s="17" t="s">
        <v>54</v>
      </c>
      <c r="H1631" s="19">
        <v>1.2379</v>
      </c>
      <c r="I1631" s="19"/>
      <c r="J1631" s="17" t="s">
        <v>82</v>
      </c>
      <c r="K1631" s="17">
        <v>205</v>
      </c>
      <c r="L1631" s="91">
        <v>105</v>
      </c>
      <c r="M1631" s="19">
        <v>5000</v>
      </c>
      <c r="N1631" s="19" t="s">
        <v>40</v>
      </c>
      <c r="O1631" s="19" t="s">
        <v>168</v>
      </c>
      <c r="P1631" s="19">
        <v>500</v>
      </c>
      <c r="Q1631" s="17">
        <v>552</v>
      </c>
      <c r="R1631" s="17">
        <f t="shared" si="88"/>
        <v>-52</v>
      </c>
      <c r="S1631" s="17">
        <v>2270</v>
      </c>
      <c r="T1631" s="19" t="s">
        <v>42</v>
      </c>
      <c r="U1631" s="102" t="s">
        <v>639</v>
      </c>
      <c r="V1631" s="186" t="s">
        <v>349</v>
      </c>
      <c r="W1631" s="17" t="s">
        <v>58</v>
      </c>
      <c r="Y1631" s="68">
        <v>44826</v>
      </c>
      <c r="Z1631" s="17" t="s">
        <v>191</v>
      </c>
      <c r="AA1631" s="17" t="s">
        <v>46</v>
      </c>
      <c r="AB1631" s="17" t="s">
        <v>640</v>
      </c>
      <c r="AC1631" s="67">
        <v>44690</v>
      </c>
      <c r="AD1631" s="65">
        <v>1336</v>
      </c>
      <c r="AE1631" s="17" t="s">
        <v>48</v>
      </c>
      <c r="AF1631" s="17" t="s">
        <v>245</v>
      </c>
    </row>
    <row r="1632" s="17" customFormat="1" hidden="1" spans="1:33">
      <c r="A1632" s="17" t="s">
        <v>34</v>
      </c>
      <c r="B1632" s="19">
        <v>821</v>
      </c>
      <c r="C1632" s="101" t="s">
        <v>638</v>
      </c>
      <c r="D1632" s="17" t="s">
        <v>52</v>
      </c>
      <c r="E1632" s="17" t="s">
        <v>220</v>
      </c>
      <c r="F1632" s="17" t="s">
        <v>54</v>
      </c>
      <c r="H1632" s="19">
        <v>1.2379</v>
      </c>
      <c r="I1632" s="19"/>
      <c r="J1632" s="17" t="s">
        <v>82</v>
      </c>
      <c r="K1632" s="17">
        <v>255</v>
      </c>
      <c r="L1632" s="91">
        <v>105</v>
      </c>
      <c r="M1632" s="19">
        <v>5000</v>
      </c>
      <c r="N1632" s="19" t="s">
        <v>40</v>
      </c>
      <c r="O1632" s="19" t="s">
        <v>168</v>
      </c>
      <c r="P1632" s="19">
        <v>500</v>
      </c>
      <c r="Q1632" s="17">
        <v>482</v>
      </c>
      <c r="R1632" s="17">
        <f t="shared" si="88"/>
        <v>18</v>
      </c>
      <c r="S1632" s="17">
        <v>2270</v>
      </c>
      <c r="T1632" s="19" t="s">
        <v>42</v>
      </c>
      <c r="U1632" s="102" t="s">
        <v>639</v>
      </c>
      <c r="V1632" s="186" t="s">
        <v>349</v>
      </c>
      <c r="W1632" s="17" t="s">
        <v>58</v>
      </c>
      <c r="Y1632" s="68">
        <v>44826</v>
      </c>
      <c r="Z1632" s="17" t="s">
        <v>191</v>
      </c>
      <c r="AA1632" s="17" t="s">
        <v>46</v>
      </c>
      <c r="AB1632" s="17" t="s">
        <v>640</v>
      </c>
      <c r="AC1632" s="67">
        <v>44690</v>
      </c>
      <c r="AD1632" s="65">
        <v>1336</v>
      </c>
      <c r="AE1632" s="17" t="s">
        <v>48</v>
      </c>
      <c r="AF1632" s="17" t="s">
        <v>245</v>
      </c>
    </row>
    <row r="1633" s="17" customFormat="1" hidden="1" spans="1:33">
      <c r="A1633" s="17" t="s">
        <v>34</v>
      </c>
      <c r="B1633" s="19">
        <v>821</v>
      </c>
      <c r="C1633" s="101" t="s">
        <v>638</v>
      </c>
      <c r="D1633" s="17" t="s">
        <v>52</v>
      </c>
      <c r="E1633" s="17" t="s">
        <v>220</v>
      </c>
      <c r="F1633" s="17" t="s">
        <v>54</v>
      </c>
      <c r="H1633" s="19">
        <v>1.2379</v>
      </c>
      <c r="I1633" s="19"/>
      <c r="J1633" s="17" t="s">
        <v>82</v>
      </c>
      <c r="K1633" s="17">
        <v>305</v>
      </c>
      <c r="L1633" s="91">
        <v>105</v>
      </c>
      <c r="M1633" s="19">
        <v>5000</v>
      </c>
      <c r="N1633" s="19" t="s">
        <v>40</v>
      </c>
      <c r="O1633" s="19" t="s">
        <v>168</v>
      </c>
      <c r="P1633" s="19">
        <v>500</v>
      </c>
      <c r="Q1633" s="17">
        <v>688</v>
      </c>
      <c r="R1633" s="17">
        <f t="shared" si="88"/>
        <v>-188</v>
      </c>
      <c r="S1633" s="17">
        <v>2270</v>
      </c>
      <c r="T1633" s="19" t="s">
        <v>42</v>
      </c>
      <c r="U1633" s="102" t="s">
        <v>639</v>
      </c>
      <c r="V1633" s="186" t="s">
        <v>349</v>
      </c>
      <c r="W1633" s="17" t="s">
        <v>58</v>
      </c>
      <c r="Y1633" s="68">
        <v>44826</v>
      </c>
      <c r="Z1633" s="17" t="s">
        <v>191</v>
      </c>
      <c r="AA1633" s="17" t="s">
        <v>46</v>
      </c>
      <c r="AB1633" s="17" t="s">
        <v>640</v>
      </c>
      <c r="AC1633" s="67">
        <v>44690</v>
      </c>
      <c r="AD1633" s="65">
        <v>1336</v>
      </c>
      <c r="AE1633" s="17" t="s">
        <v>48</v>
      </c>
      <c r="AF1633" s="17" t="s">
        <v>245</v>
      </c>
    </row>
    <row r="1634" s="17" customFormat="1" hidden="1" spans="1:33">
      <c r="B1634" s="19">
        <v>821</v>
      </c>
      <c r="C1634" s="101" t="s">
        <v>638</v>
      </c>
      <c r="D1634" s="17" t="s">
        <v>52</v>
      </c>
      <c r="E1634" s="17" t="s">
        <v>220</v>
      </c>
      <c r="F1634" s="17" t="s">
        <v>54</v>
      </c>
      <c r="H1634" s="19">
        <v>1.2379</v>
      </c>
      <c r="I1634" s="19"/>
      <c r="J1634" s="17" t="s">
        <v>82</v>
      </c>
      <c r="K1634" s="17">
        <v>410</v>
      </c>
      <c r="L1634" s="91">
        <v>105</v>
      </c>
      <c r="M1634" s="19">
        <v>5000</v>
      </c>
      <c r="N1634" s="19" t="s">
        <v>40</v>
      </c>
      <c r="O1634" s="19" t="s">
        <v>168</v>
      </c>
      <c r="P1634" s="19">
        <v>500</v>
      </c>
      <c r="R1634" s="17">
        <f t="shared" si="88"/>
        <v>500</v>
      </c>
      <c r="S1634" s="17">
        <v>2270</v>
      </c>
      <c r="T1634" s="19" t="s">
        <v>42</v>
      </c>
      <c r="U1634" s="102" t="s">
        <v>639</v>
      </c>
      <c r="V1634" s="186" t="s">
        <v>349</v>
      </c>
      <c r="W1634" s="17" t="s">
        <v>58</v>
      </c>
      <c r="Y1634" s="68">
        <v>44826</v>
      </c>
      <c r="Z1634" s="17" t="s">
        <v>191</v>
      </c>
      <c r="AA1634" s="17" t="s">
        <v>46</v>
      </c>
      <c r="AC1634" s="67"/>
      <c r="AD1634" s="65"/>
      <c r="AE1634" s="17" t="s">
        <v>48</v>
      </c>
      <c r="AF1634" s="17" t="s">
        <v>245</v>
      </c>
      <c r="AG1634" s="17" t="s">
        <v>641</v>
      </c>
    </row>
    <row r="1635" s="17" customFormat="1" hidden="1" spans="1:33">
      <c r="A1635" s="17" t="s">
        <v>34</v>
      </c>
      <c r="B1635" s="19">
        <v>822</v>
      </c>
      <c r="C1635" s="101">
        <v>44776</v>
      </c>
      <c r="D1635" s="17" t="s">
        <v>52</v>
      </c>
      <c r="E1635" s="17" t="s">
        <v>187</v>
      </c>
      <c r="F1635" s="17" t="s">
        <v>54</v>
      </c>
      <c r="H1635" s="19">
        <v>1.2311</v>
      </c>
      <c r="I1635" s="19"/>
      <c r="J1635" s="17" t="s">
        <v>49</v>
      </c>
      <c r="K1635" s="17">
        <v>1600</v>
      </c>
      <c r="L1635" s="91">
        <v>280</v>
      </c>
      <c r="M1635" s="19">
        <v>3470</v>
      </c>
      <c r="N1635" s="19" t="s">
        <v>66</v>
      </c>
      <c r="O1635" s="19" t="s">
        <v>168</v>
      </c>
      <c r="P1635" s="19">
        <v>12203</v>
      </c>
      <c r="Q1635" s="17">
        <v>12350</v>
      </c>
      <c r="R1635" s="17">
        <f t="shared" si="88"/>
        <v>-147</v>
      </c>
      <c r="S1635" s="17">
        <v>1550</v>
      </c>
      <c r="T1635" s="19" t="s">
        <v>42</v>
      </c>
      <c r="U1635" s="102" t="s">
        <v>642</v>
      </c>
      <c r="V1635" s="186">
        <v>44776</v>
      </c>
      <c r="W1635" s="17" t="s">
        <v>69</v>
      </c>
      <c r="Y1635" s="68">
        <v>44774</v>
      </c>
      <c r="Z1635" s="17" t="s">
        <v>191</v>
      </c>
      <c r="AA1635" s="17" t="s">
        <v>46</v>
      </c>
      <c r="AB1635" s="17" t="s">
        <v>580</v>
      </c>
      <c r="AC1635" s="66" t="s">
        <v>581</v>
      </c>
      <c r="AD1635" s="65">
        <v>1334</v>
      </c>
      <c r="AE1635" s="17" t="s">
        <v>48</v>
      </c>
      <c r="AF1635" s="17" t="s">
        <v>245</v>
      </c>
    </row>
    <row r="1636" s="17" customFormat="1" hidden="1" spans="1:33">
      <c r="A1636" s="17" t="s">
        <v>34</v>
      </c>
      <c r="B1636" s="19">
        <v>822</v>
      </c>
      <c r="C1636" s="101">
        <v>44776</v>
      </c>
      <c r="D1636" s="17" t="s">
        <v>52</v>
      </c>
      <c r="E1636" s="17" t="s">
        <v>187</v>
      </c>
      <c r="F1636" s="17" t="s">
        <v>54</v>
      </c>
      <c r="H1636" s="19">
        <v>1.2311</v>
      </c>
      <c r="I1636" s="19"/>
      <c r="J1636" s="17" t="s">
        <v>49</v>
      </c>
      <c r="K1636" s="17">
        <v>1600</v>
      </c>
      <c r="L1636" s="91">
        <v>310</v>
      </c>
      <c r="M1636" s="19">
        <v>3595</v>
      </c>
      <c r="N1636" s="19" t="s">
        <v>66</v>
      </c>
      <c r="O1636" s="19" t="s">
        <v>168</v>
      </c>
      <c r="P1636" s="19">
        <v>13997</v>
      </c>
      <c r="Q1636" s="17">
        <v>14080</v>
      </c>
      <c r="R1636" s="17">
        <f t="shared" si="88"/>
        <v>-83</v>
      </c>
      <c r="S1636" s="17">
        <v>1550</v>
      </c>
      <c r="T1636" s="19" t="s">
        <v>42</v>
      </c>
      <c r="U1636" s="102" t="s">
        <v>642</v>
      </c>
      <c r="V1636" s="186">
        <v>44776</v>
      </c>
      <c r="W1636" s="17" t="s">
        <v>69</v>
      </c>
      <c r="Y1636" s="68">
        <v>44774</v>
      </c>
      <c r="Z1636" s="17" t="s">
        <v>191</v>
      </c>
      <c r="AA1636" s="17" t="s">
        <v>46</v>
      </c>
      <c r="AB1636" s="17" t="s">
        <v>580</v>
      </c>
      <c r="AC1636" s="66" t="s">
        <v>581</v>
      </c>
      <c r="AD1636" s="65">
        <v>1334</v>
      </c>
      <c r="AE1636" s="17" t="s">
        <v>48</v>
      </c>
      <c r="AF1636" s="17" t="s">
        <v>245</v>
      </c>
    </row>
    <row r="1637" s="17" customFormat="1" hidden="1" spans="1:33">
      <c r="A1637" s="17" t="s">
        <v>34</v>
      </c>
      <c r="B1637" s="19">
        <v>822</v>
      </c>
      <c r="C1637" s="101">
        <v>44776</v>
      </c>
      <c r="D1637" s="17" t="s">
        <v>52</v>
      </c>
      <c r="E1637" s="17" t="s">
        <v>187</v>
      </c>
      <c r="F1637" s="17" t="s">
        <v>54</v>
      </c>
      <c r="H1637" s="19">
        <v>1.2311</v>
      </c>
      <c r="I1637" s="19"/>
      <c r="J1637" s="17" t="s">
        <v>49</v>
      </c>
      <c r="K1637" s="17">
        <v>1650</v>
      </c>
      <c r="L1637" s="91">
        <v>330</v>
      </c>
      <c r="M1637" s="19">
        <v>3065</v>
      </c>
      <c r="N1637" s="19" t="s">
        <v>66</v>
      </c>
      <c r="O1637" s="19" t="s">
        <v>168</v>
      </c>
      <c r="P1637" s="19">
        <v>13101</v>
      </c>
      <c r="Q1637" s="17">
        <v>12800</v>
      </c>
      <c r="R1637" s="17">
        <f t="shared" si="88"/>
        <v>301</v>
      </c>
      <c r="S1637" s="17">
        <v>1550</v>
      </c>
      <c r="T1637" s="19" t="s">
        <v>42</v>
      </c>
      <c r="U1637" s="102" t="s">
        <v>642</v>
      </c>
      <c r="V1637" s="101">
        <v>44776</v>
      </c>
      <c r="W1637" s="17" t="s">
        <v>69</v>
      </c>
      <c r="Y1637" s="68">
        <v>44774</v>
      </c>
      <c r="Z1637" s="17" t="s">
        <v>191</v>
      </c>
      <c r="AA1637" s="17" t="s">
        <v>46</v>
      </c>
      <c r="AB1637" s="17" t="s">
        <v>356</v>
      </c>
      <c r="AC1637" s="212">
        <v>44873</v>
      </c>
      <c r="AD1637" s="65">
        <v>1328</v>
      </c>
      <c r="AE1637" s="17" t="s">
        <v>48</v>
      </c>
      <c r="AF1637" s="17" t="s">
        <v>245</v>
      </c>
    </row>
    <row r="1638" s="17" customFormat="1" hidden="1" spans="1:33">
      <c r="A1638" s="17" t="s">
        <v>34</v>
      </c>
      <c r="B1638" s="19">
        <v>822</v>
      </c>
      <c r="C1638" s="101">
        <v>44776</v>
      </c>
      <c r="D1638" s="17" t="s">
        <v>52</v>
      </c>
      <c r="E1638" s="17" t="s">
        <v>187</v>
      </c>
      <c r="F1638" s="17" t="s">
        <v>54</v>
      </c>
      <c r="H1638" s="19">
        <v>1.2311</v>
      </c>
      <c r="I1638" s="19"/>
      <c r="J1638" s="17" t="s">
        <v>49</v>
      </c>
      <c r="K1638" s="17">
        <v>1600</v>
      </c>
      <c r="L1638" s="91">
        <v>250</v>
      </c>
      <c r="M1638" s="19">
        <v>3500</v>
      </c>
      <c r="N1638" s="19" t="s">
        <v>66</v>
      </c>
      <c r="O1638" s="19" t="s">
        <v>141</v>
      </c>
      <c r="P1638" s="19">
        <v>10990</v>
      </c>
      <c r="Q1638" s="17">
        <v>10660</v>
      </c>
      <c r="R1638" s="17">
        <f t="shared" si="88"/>
        <v>330</v>
      </c>
      <c r="S1638" s="17">
        <v>1415</v>
      </c>
      <c r="T1638" s="19" t="s">
        <v>42</v>
      </c>
      <c r="U1638" s="102" t="s">
        <v>642</v>
      </c>
      <c r="V1638" s="186">
        <v>44776</v>
      </c>
      <c r="W1638" s="17" t="s">
        <v>69</v>
      </c>
      <c r="Y1638" s="68">
        <v>44774</v>
      </c>
      <c r="Z1638" s="17" t="s">
        <v>191</v>
      </c>
      <c r="AA1638" s="17" t="s">
        <v>46</v>
      </c>
      <c r="AB1638" s="17" t="s">
        <v>580</v>
      </c>
      <c r="AC1638" s="66" t="s">
        <v>581</v>
      </c>
      <c r="AD1638" s="65">
        <v>1334</v>
      </c>
      <c r="AE1638" s="17" t="s">
        <v>48</v>
      </c>
      <c r="AF1638" s="17" t="s">
        <v>245</v>
      </c>
    </row>
    <row r="1639" s="17" customFormat="1" hidden="1" spans="1:33">
      <c r="A1639" s="17" t="s">
        <v>34</v>
      </c>
      <c r="B1639" s="19">
        <v>823</v>
      </c>
      <c r="C1639" s="101">
        <v>44776</v>
      </c>
      <c r="D1639" s="17" t="s">
        <v>52</v>
      </c>
      <c r="E1639" s="17" t="s">
        <v>187</v>
      </c>
      <c r="F1639" s="17" t="s">
        <v>54</v>
      </c>
      <c r="H1639" s="124">
        <v>1.251</v>
      </c>
      <c r="I1639" s="124"/>
      <c r="J1639" s="17" t="s">
        <v>82</v>
      </c>
      <c r="K1639" s="17">
        <v>610</v>
      </c>
      <c r="L1639" s="91">
        <v>10.5</v>
      </c>
      <c r="M1639" s="19">
        <v>5800</v>
      </c>
      <c r="N1639" s="19" t="s">
        <v>40</v>
      </c>
      <c r="O1639" s="19" t="s">
        <v>141</v>
      </c>
      <c r="P1639" s="19">
        <v>600</v>
      </c>
      <c r="Q1639" s="17">
        <f>220+211</f>
        <v>431</v>
      </c>
      <c r="R1639" s="17">
        <f t="shared" si="88"/>
        <v>169</v>
      </c>
      <c r="S1639" s="17">
        <v>1935</v>
      </c>
      <c r="T1639" s="19" t="s">
        <v>42</v>
      </c>
      <c r="U1639" s="102" t="s">
        <v>643</v>
      </c>
      <c r="V1639" s="186">
        <v>44784</v>
      </c>
      <c r="W1639" s="17" t="s">
        <v>69</v>
      </c>
      <c r="Y1639" s="68">
        <v>44774</v>
      </c>
      <c r="Z1639" s="17" t="s">
        <v>191</v>
      </c>
      <c r="AA1639" s="17" t="s">
        <v>46</v>
      </c>
      <c r="AB1639" s="17" t="s">
        <v>644</v>
      </c>
      <c r="AC1639" s="66" t="s">
        <v>645</v>
      </c>
      <c r="AD1639" s="65">
        <v>1331</v>
      </c>
      <c r="AE1639" s="17" t="s">
        <v>48</v>
      </c>
      <c r="AF1639" s="17" t="s">
        <v>245</v>
      </c>
    </row>
    <row r="1640" s="17" customFormat="1" hidden="1" spans="1:33">
      <c r="A1640" s="17" t="s">
        <v>34</v>
      </c>
      <c r="B1640" s="19">
        <v>823</v>
      </c>
      <c r="C1640" s="101">
        <v>44776</v>
      </c>
      <c r="D1640" s="17" t="s">
        <v>52</v>
      </c>
      <c r="E1640" s="17" t="s">
        <v>187</v>
      </c>
      <c r="F1640" s="17" t="s">
        <v>54</v>
      </c>
      <c r="H1640" s="124">
        <v>1.251</v>
      </c>
      <c r="I1640" s="124"/>
      <c r="J1640" s="17" t="s">
        <v>82</v>
      </c>
      <c r="K1640" s="17">
        <v>610</v>
      </c>
      <c r="L1640" s="91">
        <v>14</v>
      </c>
      <c r="M1640" s="19">
        <v>5800</v>
      </c>
      <c r="N1640" s="19" t="s">
        <v>40</v>
      </c>
      <c r="O1640" s="19" t="s">
        <v>141</v>
      </c>
      <c r="P1640" s="19">
        <v>300</v>
      </c>
      <c r="Q1640" s="17">
        <f>213+274</f>
        <v>487</v>
      </c>
      <c r="R1640" s="17">
        <f t="shared" si="88"/>
        <v>-187</v>
      </c>
      <c r="S1640" s="17">
        <v>1830</v>
      </c>
      <c r="T1640" s="19" t="s">
        <v>42</v>
      </c>
      <c r="U1640" s="102" t="s">
        <v>643</v>
      </c>
      <c r="V1640" s="186">
        <v>44784</v>
      </c>
      <c r="W1640" s="17" t="s">
        <v>69</v>
      </c>
      <c r="Y1640" s="68">
        <v>44774</v>
      </c>
      <c r="Z1640" s="17" t="s">
        <v>191</v>
      </c>
      <c r="AA1640" s="17" t="s">
        <v>46</v>
      </c>
      <c r="AB1640" s="17" t="s">
        <v>644</v>
      </c>
      <c r="AC1640" s="66" t="s">
        <v>645</v>
      </c>
      <c r="AD1640" s="65">
        <v>1331</v>
      </c>
      <c r="AE1640" s="17" t="s">
        <v>48</v>
      </c>
      <c r="AF1640" s="17" t="s">
        <v>245</v>
      </c>
    </row>
    <row r="1641" s="17" customFormat="1" hidden="1" spans="1:33">
      <c r="A1641" s="17" t="s">
        <v>34</v>
      </c>
      <c r="B1641" s="19">
        <v>823</v>
      </c>
      <c r="C1641" s="101">
        <v>44776</v>
      </c>
      <c r="D1641" s="17" t="s">
        <v>52</v>
      </c>
      <c r="E1641" s="17" t="s">
        <v>187</v>
      </c>
      <c r="F1641" s="17" t="s">
        <v>54</v>
      </c>
      <c r="H1641" s="124">
        <v>1.251</v>
      </c>
      <c r="I1641" s="124"/>
      <c r="J1641" s="17" t="s">
        <v>82</v>
      </c>
      <c r="K1641" s="17">
        <v>610</v>
      </c>
      <c r="L1641" s="91">
        <v>16</v>
      </c>
      <c r="M1641" s="19">
        <v>5800</v>
      </c>
      <c r="N1641" s="19" t="s">
        <v>40</v>
      </c>
      <c r="O1641" s="19" t="s">
        <v>141</v>
      </c>
      <c r="P1641" s="19">
        <v>500</v>
      </c>
      <c r="Q1641" s="17">
        <f>327+317</f>
        <v>644</v>
      </c>
      <c r="R1641" s="17">
        <f t="shared" si="88"/>
        <v>-144</v>
      </c>
      <c r="S1641" s="17">
        <v>1830</v>
      </c>
      <c r="T1641" s="19" t="s">
        <v>42</v>
      </c>
      <c r="U1641" s="102" t="s">
        <v>643</v>
      </c>
      <c r="V1641" s="186">
        <v>44784</v>
      </c>
      <c r="W1641" s="17" t="s">
        <v>69</v>
      </c>
      <c r="Y1641" s="68">
        <v>44774</v>
      </c>
      <c r="Z1641" s="17" t="s">
        <v>191</v>
      </c>
      <c r="AA1641" s="17" t="s">
        <v>46</v>
      </c>
      <c r="AB1641" s="17" t="s">
        <v>644</v>
      </c>
      <c r="AC1641" s="66" t="s">
        <v>645</v>
      </c>
      <c r="AD1641" s="65">
        <v>1331</v>
      </c>
      <c r="AE1641" s="17" t="s">
        <v>48</v>
      </c>
      <c r="AF1641" s="17" t="s">
        <v>245</v>
      </c>
    </row>
    <row r="1642" s="17" customFormat="1" hidden="1" spans="1:33">
      <c r="A1642" s="17" t="s">
        <v>34</v>
      </c>
      <c r="B1642" s="19">
        <v>823</v>
      </c>
      <c r="C1642" s="101">
        <v>44776</v>
      </c>
      <c r="D1642" s="17" t="s">
        <v>52</v>
      </c>
      <c r="E1642" s="17" t="s">
        <v>187</v>
      </c>
      <c r="F1642" s="17" t="s">
        <v>54</v>
      </c>
      <c r="H1642" s="124">
        <v>1.251</v>
      </c>
      <c r="I1642" s="124"/>
      <c r="J1642" s="17" t="s">
        <v>82</v>
      </c>
      <c r="K1642" s="17">
        <v>410</v>
      </c>
      <c r="L1642" s="91">
        <v>20</v>
      </c>
      <c r="M1642" s="19">
        <v>5800</v>
      </c>
      <c r="N1642" s="19" t="s">
        <v>40</v>
      </c>
      <c r="O1642" s="19" t="s">
        <v>141</v>
      </c>
      <c r="P1642" s="19">
        <v>500</v>
      </c>
      <c r="Q1642" s="17">
        <v>529</v>
      </c>
      <c r="R1642" s="17">
        <f t="shared" si="88"/>
        <v>-29</v>
      </c>
      <c r="S1642" s="17">
        <v>1820</v>
      </c>
      <c r="T1642" s="19" t="s">
        <v>42</v>
      </c>
      <c r="U1642" s="102" t="s">
        <v>643</v>
      </c>
      <c r="V1642" s="186">
        <v>44784</v>
      </c>
      <c r="W1642" s="17" t="s">
        <v>69</v>
      </c>
      <c r="Y1642" s="68">
        <v>44774</v>
      </c>
      <c r="Z1642" s="17" t="s">
        <v>191</v>
      </c>
      <c r="AA1642" s="17" t="s">
        <v>46</v>
      </c>
      <c r="AB1642" s="17" t="s">
        <v>644</v>
      </c>
      <c r="AC1642" s="66" t="s">
        <v>645</v>
      </c>
      <c r="AD1642" s="65">
        <v>1331</v>
      </c>
      <c r="AE1642" s="17" t="s">
        <v>48</v>
      </c>
      <c r="AF1642" s="17" t="s">
        <v>245</v>
      </c>
    </row>
    <row r="1643" s="17" customFormat="1" hidden="1" spans="1:33">
      <c r="A1643" s="17" t="s">
        <v>34</v>
      </c>
      <c r="B1643" s="19">
        <v>823</v>
      </c>
      <c r="C1643" s="101">
        <v>44776</v>
      </c>
      <c r="D1643" s="17" t="s">
        <v>52</v>
      </c>
      <c r="E1643" s="17" t="s">
        <v>187</v>
      </c>
      <c r="F1643" s="17" t="s">
        <v>54</v>
      </c>
      <c r="H1643" s="124">
        <v>1.251</v>
      </c>
      <c r="I1643" s="124"/>
      <c r="J1643" s="17" t="s">
        <v>82</v>
      </c>
      <c r="K1643" s="17">
        <v>610</v>
      </c>
      <c r="L1643" s="91">
        <v>20</v>
      </c>
      <c r="M1643" s="19">
        <v>5800</v>
      </c>
      <c r="N1643" s="19" t="s">
        <v>40</v>
      </c>
      <c r="O1643" s="19" t="s">
        <v>141</v>
      </c>
      <c r="P1643" s="19">
        <v>1000</v>
      </c>
      <c r="Q1643" s="17">
        <f>422+462+470</f>
        <v>1354</v>
      </c>
      <c r="R1643" s="17">
        <f t="shared" si="88"/>
        <v>-354</v>
      </c>
      <c r="S1643" s="17">
        <v>1820</v>
      </c>
      <c r="T1643" s="19" t="s">
        <v>42</v>
      </c>
      <c r="U1643" s="102" t="s">
        <v>643</v>
      </c>
      <c r="V1643" s="186">
        <v>44784</v>
      </c>
      <c r="W1643" s="17" t="s">
        <v>69</v>
      </c>
      <c r="Y1643" s="68">
        <v>44774</v>
      </c>
      <c r="Z1643" s="17" t="s">
        <v>191</v>
      </c>
      <c r="AA1643" s="17" t="s">
        <v>46</v>
      </c>
      <c r="AB1643" s="17" t="s">
        <v>644</v>
      </c>
      <c r="AC1643" s="66" t="s">
        <v>645</v>
      </c>
      <c r="AD1643" s="65">
        <v>1331</v>
      </c>
      <c r="AE1643" s="17" t="s">
        <v>48</v>
      </c>
      <c r="AF1643" s="17" t="s">
        <v>245</v>
      </c>
    </row>
    <row r="1644" s="17" customFormat="1" hidden="1" spans="1:33">
      <c r="A1644" s="17" t="s">
        <v>34</v>
      </c>
      <c r="B1644" s="19">
        <v>823</v>
      </c>
      <c r="C1644" s="101">
        <v>44776</v>
      </c>
      <c r="D1644" s="17" t="s">
        <v>52</v>
      </c>
      <c r="E1644" s="17" t="s">
        <v>187</v>
      </c>
      <c r="F1644" s="17" t="s">
        <v>54</v>
      </c>
      <c r="H1644" s="124">
        <v>1.251</v>
      </c>
      <c r="I1644" s="124"/>
      <c r="J1644" s="17" t="s">
        <v>82</v>
      </c>
      <c r="K1644" s="17">
        <v>610</v>
      </c>
      <c r="L1644" s="91">
        <v>32</v>
      </c>
      <c r="M1644" s="19">
        <v>5800</v>
      </c>
      <c r="N1644" s="19" t="s">
        <v>40</v>
      </c>
      <c r="O1644" s="19" t="s">
        <v>141</v>
      </c>
      <c r="P1644" s="19">
        <v>500</v>
      </c>
      <c r="Q1644" s="17">
        <v>696</v>
      </c>
      <c r="R1644" s="17">
        <f t="shared" si="88"/>
        <v>-196</v>
      </c>
      <c r="S1644" s="17">
        <v>1820</v>
      </c>
      <c r="T1644" s="19" t="s">
        <v>42</v>
      </c>
      <c r="U1644" s="102" t="s">
        <v>643</v>
      </c>
      <c r="V1644" s="186">
        <v>44784</v>
      </c>
      <c r="W1644" s="17" t="s">
        <v>69</v>
      </c>
      <c r="Y1644" s="68">
        <v>44774</v>
      </c>
      <c r="Z1644" s="17" t="s">
        <v>191</v>
      </c>
      <c r="AA1644" s="17" t="s">
        <v>46</v>
      </c>
      <c r="AB1644" s="17" t="s">
        <v>644</v>
      </c>
      <c r="AC1644" s="66" t="s">
        <v>645</v>
      </c>
      <c r="AD1644" s="65">
        <v>1331</v>
      </c>
      <c r="AE1644" s="17" t="s">
        <v>48</v>
      </c>
      <c r="AF1644" s="17" t="s">
        <v>245</v>
      </c>
    </row>
    <row r="1645" s="17" customFormat="1" hidden="1" spans="1:33">
      <c r="A1645" s="17" t="s">
        <v>34</v>
      </c>
      <c r="B1645" s="19">
        <v>823</v>
      </c>
      <c r="C1645" s="101">
        <v>44776</v>
      </c>
      <c r="D1645" s="17" t="s">
        <v>52</v>
      </c>
      <c r="E1645" s="17" t="s">
        <v>187</v>
      </c>
      <c r="F1645" s="17" t="s">
        <v>54</v>
      </c>
      <c r="H1645" s="124">
        <v>1.251</v>
      </c>
      <c r="I1645" s="124"/>
      <c r="J1645" s="17" t="s">
        <v>82</v>
      </c>
      <c r="K1645" s="17">
        <v>610</v>
      </c>
      <c r="L1645" s="91">
        <v>40</v>
      </c>
      <c r="M1645" s="19">
        <v>5800</v>
      </c>
      <c r="N1645" s="19" t="s">
        <v>40</v>
      </c>
      <c r="O1645" s="19" t="s">
        <v>141</v>
      </c>
      <c r="P1645" s="19">
        <v>500</v>
      </c>
      <c r="Q1645" s="17">
        <v>762</v>
      </c>
      <c r="R1645" s="17">
        <f t="shared" si="88"/>
        <v>-262</v>
      </c>
      <c r="S1645" s="17">
        <v>1820</v>
      </c>
      <c r="T1645" s="19" t="s">
        <v>42</v>
      </c>
      <c r="U1645" s="102" t="s">
        <v>643</v>
      </c>
      <c r="V1645" s="186">
        <v>44784</v>
      </c>
      <c r="W1645" s="17" t="s">
        <v>69</v>
      </c>
      <c r="Y1645" s="68">
        <v>44774</v>
      </c>
      <c r="Z1645" s="17" t="s">
        <v>191</v>
      </c>
      <c r="AA1645" s="17" t="s">
        <v>46</v>
      </c>
      <c r="AB1645" s="17" t="s">
        <v>644</v>
      </c>
      <c r="AC1645" s="66" t="s">
        <v>645</v>
      </c>
      <c r="AD1645" s="65">
        <v>1331</v>
      </c>
      <c r="AE1645" s="17" t="s">
        <v>48</v>
      </c>
      <c r="AF1645" s="17" t="s">
        <v>245</v>
      </c>
    </row>
    <row r="1646" s="17" customFormat="1" hidden="1" spans="1:33">
      <c r="A1646" s="17" t="s">
        <v>34</v>
      </c>
      <c r="B1646" s="19">
        <v>823</v>
      </c>
      <c r="C1646" s="101">
        <v>44776</v>
      </c>
      <c r="D1646" s="17" t="s">
        <v>52</v>
      </c>
      <c r="E1646" s="17" t="s">
        <v>187</v>
      </c>
      <c r="F1646" s="17" t="s">
        <v>54</v>
      </c>
      <c r="H1646" s="124">
        <v>1.251</v>
      </c>
      <c r="I1646" s="124"/>
      <c r="J1646" s="17" t="s">
        <v>82</v>
      </c>
      <c r="K1646" s="17">
        <v>610</v>
      </c>
      <c r="L1646" s="91">
        <v>50</v>
      </c>
      <c r="M1646" s="19">
        <v>5800</v>
      </c>
      <c r="N1646" s="19" t="s">
        <v>40</v>
      </c>
      <c r="O1646" s="19" t="s">
        <v>141</v>
      </c>
      <c r="P1646" s="19">
        <v>500</v>
      </c>
      <c r="Q1646" s="17">
        <v>875</v>
      </c>
      <c r="R1646" s="17">
        <f t="shared" si="88"/>
        <v>-375</v>
      </c>
      <c r="S1646" s="17">
        <v>1820</v>
      </c>
      <c r="T1646" s="19" t="s">
        <v>42</v>
      </c>
      <c r="U1646" s="102" t="s">
        <v>643</v>
      </c>
      <c r="V1646" s="186">
        <v>44784</v>
      </c>
      <c r="W1646" s="17" t="s">
        <v>69</v>
      </c>
      <c r="Y1646" s="68">
        <v>44774</v>
      </c>
      <c r="Z1646" s="17" t="s">
        <v>191</v>
      </c>
      <c r="AA1646" s="17" t="s">
        <v>46</v>
      </c>
      <c r="AB1646" s="17" t="s">
        <v>644</v>
      </c>
      <c r="AC1646" s="66" t="s">
        <v>645</v>
      </c>
      <c r="AD1646" s="65">
        <v>1331</v>
      </c>
      <c r="AE1646" s="17" t="s">
        <v>48</v>
      </c>
      <c r="AF1646" s="17" t="s">
        <v>245</v>
      </c>
    </row>
    <row r="1647" s="17" customFormat="1" hidden="1" spans="1:33">
      <c r="A1647" s="17" t="s">
        <v>34</v>
      </c>
      <c r="B1647" s="19">
        <v>823</v>
      </c>
      <c r="C1647" s="101">
        <v>44776</v>
      </c>
      <c r="D1647" s="17" t="s">
        <v>52</v>
      </c>
      <c r="E1647" s="17" t="s">
        <v>187</v>
      </c>
      <c r="F1647" s="17" t="s">
        <v>54</v>
      </c>
      <c r="H1647" s="124">
        <v>1.251</v>
      </c>
      <c r="I1647" s="124"/>
      <c r="J1647" s="17" t="s">
        <v>82</v>
      </c>
      <c r="K1647" s="17">
        <v>610</v>
      </c>
      <c r="L1647" s="91">
        <v>65</v>
      </c>
      <c r="M1647" s="19">
        <v>5800</v>
      </c>
      <c r="N1647" s="19" t="s">
        <v>40</v>
      </c>
      <c r="O1647" s="19" t="s">
        <v>141</v>
      </c>
      <c r="P1647" s="19">
        <v>500</v>
      </c>
      <c r="Q1647" s="17">
        <v>939</v>
      </c>
      <c r="R1647" s="17">
        <f t="shared" si="88"/>
        <v>-439</v>
      </c>
      <c r="S1647" s="17">
        <v>1820</v>
      </c>
      <c r="T1647" s="19" t="s">
        <v>42</v>
      </c>
      <c r="U1647" s="102" t="s">
        <v>643</v>
      </c>
      <c r="V1647" s="186">
        <v>44784</v>
      </c>
      <c r="W1647" s="17" t="s">
        <v>69</v>
      </c>
      <c r="Y1647" s="68">
        <v>44774</v>
      </c>
      <c r="Z1647" s="17" t="s">
        <v>191</v>
      </c>
      <c r="AA1647" s="17" t="s">
        <v>46</v>
      </c>
      <c r="AB1647" s="17" t="s">
        <v>644</v>
      </c>
      <c r="AC1647" s="66" t="s">
        <v>645</v>
      </c>
      <c r="AD1647" s="65">
        <v>1331</v>
      </c>
      <c r="AE1647" s="17" t="s">
        <v>48</v>
      </c>
      <c r="AF1647" s="17" t="s">
        <v>245</v>
      </c>
    </row>
    <row r="1648" s="17" customFormat="1" hidden="1" spans="1:33">
      <c r="A1648" s="17" t="s">
        <v>34</v>
      </c>
      <c r="B1648" s="19">
        <v>823</v>
      </c>
      <c r="C1648" s="101">
        <v>44776</v>
      </c>
      <c r="D1648" s="17" t="s">
        <v>52</v>
      </c>
      <c r="E1648" s="17" t="s">
        <v>187</v>
      </c>
      <c r="F1648" s="17" t="s">
        <v>54</v>
      </c>
      <c r="H1648" s="124">
        <v>1.251</v>
      </c>
      <c r="I1648" s="124"/>
      <c r="J1648" s="17" t="s">
        <v>82</v>
      </c>
      <c r="K1648" s="17">
        <v>610</v>
      </c>
      <c r="L1648" s="91">
        <v>80</v>
      </c>
      <c r="M1648" s="19">
        <v>5800</v>
      </c>
      <c r="N1648" s="19" t="s">
        <v>40</v>
      </c>
      <c r="O1648" s="19" t="s">
        <v>141</v>
      </c>
      <c r="P1648" s="19">
        <v>500</v>
      </c>
      <c r="Q1648" s="17">
        <v>1521</v>
      </c>
      <c r="R1648" s="17">
        <f t="shared" si="88"/>
        <v>-1021</v>
      </c>
      <c r="S1648" s="17">
        <v>1820</v>
      </c>
      <c r="T1648" s="19" t="s">
        <v>42</v>
      </c>
      <c r="U1648" s="102" t="s">
        <v>643</v>
      </c>
      <c r="V1648" s="186">
        <v>44784</v>
      </c>
      <c r="W1648" s="17" t="s">
        <v>69</v>
      </c>
      <c r="Y1648" s="68">
        <v>44774</v>
      </c>
      <c r="Z1648" s="17" t="s">
        <v>191</v>
      </c>
      <c r="AA1648" s="17" t="s">
        <v>46</v>
      </c>
      <c r="AB1648" s="17" t="s">
        <v>644</v>
      </c>
      <c r="AC1648" s="66" t="s">
        <v>645</v>
      </c>
      <c r="AD1648" s="65">
        <v>1331</v>
      </c>
      <c r="AE1648" s="17" t="s">
        <v>48</v>
      </c>
      <c r="AF1648" s="17" t="s">
        <v>245</v>
      </c>
    </row>
    <row r="1649" s="17" customFormat="1" hidden="1" spans="1:35">
      <c r="A1649" s="17" t="s">
        <v>34</v>
      </c>
      <c r="B1649" s="19">
        <v>824</v>
      </c>
      <c r="C1649" s="183">
        <v>44777</v>
      </c>
      <c r="D1649" s="17" t="s">
        <v>35</v>
      </c>
      <c r="E1649" s="17" t="s">
        <v>482</v>
      </c>
      <c r="F1649" s="17" t="s">
        <v>72</v>
      </c>
      <c r="H1649" s="19">
        <v>1.2379</v>
      </c>
      <c r="I1649" s="19"/>
      <c r="J1649" s="17" t="s">
        <v>39</v>
      </c>
      <c r="K1649" s="19">
        <v>32</v>
      </c>
      <c r="L1649" s="91"/>
      <c r="M1649" s="19">
        <v>5000</v>
      </c>
      <c r="N1649" s="19" t="s">
        <v>40</v>
      </c>
      <c r="O1649" s="19" t="s">
        <v>50</v>
      </c>
      <c r="P1649" s="19">
        <v>2000</v>
      </c>
      <c r="Q1649" s="17">
        <v>2170</v>
      </c>
      <c r="R1649" s="17">
        <f t="shared" si="88"/>
        <v>-170</v>
      </c>
      <c r="S1649" s="17">
        <f>2985-15</f>
        <v>2970</v>
      </c>
      <c r="T1649" s="19" t="s">
        <v>42</v>
      </c>
      <c r="U1649" s="102" t="s">
        <v>646</v>
      </c>
      <c r="V1649" s="186">
        <v>44785</v>
      </c>
      <c r="W1649" s="17" t="s">
        <v>44</v>
      </c>
      <c r="Y1649" s="68">
        <v>44887</v>
      </c>
      <c r="Z1649" s="17" t="s">
        <v>647</v>
      </c>
      <c r="AA1649" s="17" t="s">
        <v>46</v>
      </c>
      <c r="AB1649" s="17" t="s">
        <v>569</v>
      </c>
      <c r="AC1649" s="102" t="s">
        <v>570</v>
      </c>
      <c r="AD1649" s="65">
        <v>1362</v>
      </c>
      <c r="AE1649" s="17" t="s">
        <v>74</v>
      </c>
      <c r="AH1649" s="17" t="s">
        <v>648</v>
      </c>
      <c r="AI1649" s="17">
        <v>3095</v>
      </c>
    </row>
    <row r="1650" s="17" customFormat="1" hidden="1" spans="1:35">
      <c r="A1650" s="17" t="s">
        <v>34</v>
      </c>
      <c r="B1650" s="19">
        <v>824</v>
      </c>
      <c r="C1650" s="183">
        <v>44777</v>
      </c>
      <c r="D1650" s="17" t="s">
        <v>35</v>
      </c>
      <c r="E1650" s="17" t="s">
        <v>482</v>
      </c>
      <c r="F1650" s="17" t="s">
        <v>72</v>
      </c>
      <c r="H1650" s="19">
        <v>1.2379</v>
      </c>
      <c r="I1650" s="19"/>
      <c r="J1650" s="17" t="s">
        <v>39</v>
      </c>
      <c r="K1650" s="19">
        <v>36</v>
      </c>
      <c r="L1650" s="91"/>
      <c r="M1650" s="19">
        <v>5000</v>
      </c>
      <c r="N1650" s="19" t="s">
        <v>40</v>
      </c>
      <c r="O1650" s="19" t="s">
        <v>50</v>
      </c>
      <c r="P1650" s="19">
        <v>2000</v>
      </c>
      <c r="Q1650" s="17">
        <f>902+936</f>
        <v>1838</v>
      </c>
      <c r="R1650" s="17">
        <f t="shared" si="88"/>
        <v>162</v>
      </c>
      <c r="S1650" s="17">
        <f>2985-15</f>
        <v>2970</v>
      </c>
      <c r="T1650" s="19" t="s">
        <v>42</v>
      </c>
      <c r="U1650" s="102" t="s">
        <v>646</v>
      </c>
      <c r="V1650" s="186">
        <v>44785</v>
      </c>
      <c r="W1650" s="17" t="s">
        <v>44</v>
      </c>
      <c r="Y1650" s="68">
        <v>44887</v>
      </c>
      <c r="Z1650" s="17" t="s">
        <v>647</v>
      </c>
      <c r="AA1650" s="17" t="s">
        <v>46</v>
      </c>
      <c r="AB1650" s="17" t="s">
        <v>569</v>
      </c>
      <c r="AC1650" s="102" t="s">
        <v>570</v>
      </c>
      <c r="AD1650" s="65">
        <v>1362</v>
      </c>
      <c r="AE1650" s="17" t="s">
        <v>649</v>
      </c>
      <c r="AH1650" s="17" t="s">
        <v>648</v>
      </c>
      <c r="AI1650" s="17">
        <v>3095</v>
      </c>
    </row>
    <row r="1651" s="17" customFormat="1" hidden="1" spans="1:35">
      <c r="A1651" s="17" t="s">
        <v>34</v>
      </c>
      <c r="B1651" s="19">
        <v>824</v>
      </c>
      <c r="C1651" s="183">
        <v>44777</v>
      </c>
      <c r="D1651" s="17" t="s">
        <v>35</v>
      </c>
      <c r="E1651" s="17" t="s">
        <v>482</v>
      </c>
      <c r="F1651" s="17" t="s">
        <v>72</v>
      </c>
      <c r="H1651" s="19">
        <v>1.2379</v>
      </c>
      <c r="I1651" s="19"/>
      <c r="J1651" s="17" t="s">
        <v>39</v>
      </c>
      <c r="K1651" s="19">
        <v>41</v>
      </c>
      <c r="L1651" s="91"/>
      <c r="M1651" s="19">
        <v>5000</v>
      </c>
      <c r="N1651" s="19" t="s">
        <v>40</v>
      </c>
      <c r="O1651" s="19" t="s">
        <v>50</v>
      </c>
      <c r="P1651" s="19">
        <v>2000</v>
      </c>
      <c r="Q1651" s="17">
        <v>1628</v>
      </c>
      <c r="R1651" s="17">
        <f t="shared" ref="R1651:R1682" si="89">+P1651-Q1651</f>
        <v>372</v>
      </c>
      <c r="S1651" s="17">
        <f>2985-15</f>
        <v>2970</v>
      </c>
      <c r="T1651" s="19" t="s">
        <v>42</v>
      </c>
      <c r="U1651" s="102" t="s">
        <v>646</v>
      </c>
      <c r="V1651" s="186">
        <v>44785</v>
      </c>
      <c r="W1651" s="17" t="s">
        <v>44</v>
      </c>
      <c r="Y1651" s="68">
        <v>44887</v>
      </c>
      <c r="Z1651" s="17" t="s">
        <v>647</v>
      </c>
      <c r="AA1651" s="17" t="s">
        <v>46</v>
      </c>
      <c r="AB1651" s="17" t="s">
        <v>569</v>
      </c>
      <c r="AC1651" s="102" t="s">
        <v>570</v>
      </c>
      <c r="AD1651" s="65">
        <v>1362</v>
      </c>
      <c r="AE1651" s="17" t="s">
        <v>74</v>
      </c>
      <c r="AH1651" s="17" t="s">
        <v>648</v>
      </c>
      <c r="AI1651" s="17">
        <v>3095</v>
      </c>
    </row>
    <row r="1652" s="17" customFormat="1" hidden="1" spans="1:35">
      <c r="A1652" s="17" t="s">
        <v>34</v>
      </c>
      <c r="B1652" s="19">
        <v>824</v>
      </c>
      <c r="C1652" s="183">
        <v>44777</v>
      </c>
      <c r="D1652" s="17" t="s">
        <v>35</v>
      </c>
      <c r="E1652" s="17" t="s">
        <v>482</v>
      </c>
      <c r="F1652" s="17" t="s">
        <v>72</v>
      </c>
      <c r="H1652" s="19">
        <v>1.2379</v>
      </c>
      <c r="I1652" s="19"/>
      <c r="J1652" s="17" t="s">
        <v>39</v>
      </c>
      <c r="K1652" s="19">
        <v>45</v>
      </c>
      <c r="L1652" s="91"/>
      <c r="M1652" s="19">
        <v>5000</v>
      </c>
      <c r="N1652" s="19" t="s">
        <v>40</v>
      </c>
      <c r="O1652" s="19" t="s">
        <v>50</v>
      </c>
      <c r="P1652" s="19">
        <v>1000</v>
      </c>
      <c r="Q1652" s="17">
        <v>1098</v>
      </c>
      <c r="R1652" s="17">
        <f t="shared" si="89"/>
        <v>-98</v>
      </c>
      <c r="S1652" s="17">
        <f>2985-15</f>
        <v>2970</v>
      </c>
      <c r="T1652" s="19" t="s">
        <v>42</v>
      </c>
      <c r="U1652" s="102" t="s">
        <v>646</v>
      </c>
      <c r="V1652" s="186">
        <v>44785</v>
      </c>
      <c r="W1652" s="17" t="s">
        <v>44</v>
      </c>
      <c r="Y1652" s="68">
        <v>44887</v>
      </c>
      <c r="Z1652" s="17" t="s">
        <v>647</v>
      </c>
      <c r="AA1652" s="17" t="s">
        <v>46</v>
      </c>
      <c r="AB1652" s="17" t="s">
        <v>569</v>
      </c>
      <c r="AC1652" s="102" t="s">
        <v>570</v>
      </c>
      <c r="AD1652" s="65">
        <v>1362</v>
      </c>
      <c r="AE1652" s="17" t="s">
        <v>631</v>
      </c>
      <c r="AI1652" s="17">
        <v>3095</v>
      </c>
    </row>
    <row r="1653" s="17" customFormat="1" hidden="1" spans="1:35">
      <c r="A1653" s="17" t="s">
        <v>34</v>
      </c>
      <c r="B1653" s="19">
        <v>824</v>
      </c>
      <c r="C1653" s="183">
        <v>44777</v>
      </c>
      <c r="D1653" s="17" t="s">
        <v>35</v>
      </c>
      <c r="E1653" s="17" t="s">
        <v>482</v>
      </c>
      <c r="F1653" s="17" t="s">
        <v>72</v>
      </c>
      <c r="H1653" s="19">
        <v>1.2379</v>
      </c>
      <c r="I1653" s="19"/>
      <c r="J1653" s="17" t="s">
        <v>39</v>
      </c>
      <c r="K1653" s="19">
        <v>51</v>
      </c>
      <c r="L1653" s="91"/>
      <c r="M1653" s="19">
        <v>5000</v>
      </c>
      <c r="N1653" s="19" t="s">
        <v>40</v>
      </c>
      <c r="O1653" s="19" t="s">
        <v>50</v>
      </c>
      <c r="P1653" s="19">
        <v>2000</v>
      </c>
      <c r="Q1653" s="17">
        <v>662</v>
      </c>
      <c r="R1653" s="17">
        <f t="shared" si="89"/>
        <v>1338</v>
      </c>
      <c r="S1653" s="17">
        <v>2855</v>
      </c>
      <c r="T1653" s="19" t="s">
        <v>42</v>
      </c>
      <c r="U1653" s="102" t="s">
        <v>646</v>
      </c>
      <c r="V1653" s="186">
        <v>44785</v>
      </c>
      <c r="W1653" s="17" t="s">
        <v>44</v>
      </c>
      <c r="Y1653" s="68">
        <v>44887</v>
      </c>
      <c r="Z1653" s="17" t="s">
        <v>647</v>
      </c>
      <c r="AA1653" s="17" t="s">
        <v>46</v>
      </c>
      <c r="AB1653" s="17" t="s">
        <v>650</v>
      </c>
      <c r="AC1653" s="217">
        <v>45141</v>
      </c>
      <c r="AD1653" s="65">
        <v>1398</v>
      </c>
      <c r="AE1653" s="17" t="s">
        <v>74</v>
      </c>
      <c r="AF1653" s="17" t="s">
        <v>651</v>
      </c>
      <c r="AH1653" s="17" t="s">
        <v>652</v>
      </c>
      <c r="AI1653" s="17">
        <v>2980</v>
      </c>
    </row>
    <row r="1654" s="17" customFormat="1" hidden="1" spans="1:35">
      <c r="A1654" s="17" t="s">
        <v>34</v>
      </c>
      <c r="B1654" s="19">
        <v>824</v>
      </c>
      <c r="C1654" s="183">
        <v>44777</v>
      </c>
      <c r="D1654" s="17" t="s">
        <v>35</v>
      </c>
      <c r="E1654" s="17" t="s">
        <v>482</v>
      </c>
      <c r="F1654" s="17" t="s">
        <v>72</v>
      </c>
      <c r="H1654" s="19">
        <v>1.2379</v>
      </c>
      <c r="I1654" s="19"/>
      <c r="J1654" s="17" t="s">
        <v>39</v>
      </c>
      <c r="K1654" s="19">
        <v>56</v>
      </c>
      <c r="L1654" s="91"/>
      <c r="M1654" s="19">
        <v>5000</v>
      </c>
      <c r="N1654" s="19" t="s">
        <v>40</v>
      </c>
      <c r="O1654" s="19" t="s">
        <v>50</v>
      </c>
      <c r="P1654" s="19">
        <v>1000</v>
      </c>
      <c r="Q1654" s="17">
        <v>1310</v>
      </c>
      <c r="R1654" s="17">
        <f t="shared" si="89"/>
        <v>-310</v>
      </c>
      <c r="S1654" s="17">
        <v>2855</v>
      </c>
      <c r="T1654" s="19" t="s">
        <v>42</v>
      </c>
      <c r="U1654" s="102" t="s">
        <v>646</v>
      </c>
      <c r="V1654" s="186">
        <v>44785</v>
      </c>
      <c r="W1654" s="17" t="s">
        <v>44</v>
      </c>
      <c r="Y1654" s="68">
        <v>44887</v>
      </c>
      <c r="Z1654" s="17" t="s">
        <v>647</v>
      </c>
      <c r="AA1654" s="17" t="s">
        <v>46</v>
      </c>
      <c r="AB1654" s="17" t="s">
        <v>650</v>
      </c>
      <c r="AC1654" s="217">
        <v>45141</v>
      </c>
      <c r="AD1654" s="65">
        <v>1398</v>
      </c>
      <c r="AE1654" s="17" t="s">
        <v>74</v>
      </c>
      <c r="AF1654" s="17" t="s">
        <v>651</v>
      </c>
      <c r="AH1654" s="17" t="s">
        <v>652</v>
      </c>
      <c r="AI1654" s="17">
        <v>2980</v>
      </c>
    </row>
    <row r="1655" s="17" customFormat="1" hidden="1" spans="1:35">
      <c r="A1655" s="17" t="s">
        <v>34</v>
      </c>
      <c r="B1655" s="19">
        <v>824</v>
      </c>
      <c r="C1655" s="183">
        <v>44777</v>
      </c>
      <c r="D1655" s="17" t="s">
        <v>35</v>
      </c>
      <c r="E1655" s="17" t="s">
        <v>482</v>
      </c>
      <c r="F1655" s="17" t="s">
        <v>72</v>
      </c>
      <c r="H1655" s="19">
        <v>1.2379</v>
      </c>
      <c r="I1655" s="19"/>
      <c r="J1655" s="17" t="s">
        <v>39</v>
      </c>
      <c r="K1655" s="19">
        <v>61</v>
      </c>
      <c r="L1655" s="91"/>
      <c r="M1655" s="19">
        <v>5000</v>
      </c>
      <c r="N1655" s="19" t="s">
        <v>40</v>
      </c>
      <c r="O1655" s="19" t="s">
        <v>50</v>
      </c>
      <c r="P1655" s="19">
        <v>1000</v>
      </c>
      <c r="Q1655" s="17">
        <v>1300</v>
      </c>
      <c r="R1655" s="17">
        <f t="shared" si="89"/>
        <v>-300</v>
      </c>
      <c r="S1655" s="17">
        <v>2855</v>
      </c>
      <c r="T1655" s="19" t="s">
        <v>42</v>
      </c>
      <c r="U1655" s="102" t="s">
        <v>646</v>
      </c>
      <c r="V1655" s="186">
        <v>44785</v>
      </c>
      <c r="W1655" s="17" t="s">
        <v>44</v>
      </c>
      <c r="Y1655" s="68">
        <v>44887</v>
      </c>
      <c r="Z1655" s="17" t="s">
        <v>647</v>
      </c>
      <c r="AA1655" s="17" t="s">
        <v>46</v>
      </c>
      <c r="AB1655" s="17" t="s">
        <v>650</v>
      </c>
      <c r="AC1655" s="217">
        <v>45141</v>
      </c>
      <c r="AD1655" s="65">
        <v>1398</v>
      </c>
      <c r="AE1655" s="17" t="s">
        <v>631</v>
      </c>
      <c r="AF1655" s="17" t="s">
        <v>651</v>
      </c>
      <c r="AI1655" s="17">
        <v>2980</v>
      </c>
    </row>
    <row r="1656" s="17" customFormat="1" hidden="1" spans="1:35">
      <c r="A1656" s="17" t="s">
        <v>34</v>
      </c>
      <c r="B1656" s="19">
        <v>824</v>
      </c>
      <c r="C1656" s="183">
        <v>44777</v>
      </c>
      <c r="D1656" s="17" t="s">
        <v>35</v>
      </c>
      <c r="E1656" s="17" t="s">
        <v>482</v>
      </c>
      <c r="F1656" s="17" t="s">
        <v>72</v>
      </c>
      <c r="H1656" s="19">
        <v>1.2379</v>
      </c>
      <c r="I1656" s="19"/>
      <c r="J1656" s="17" t="s">
        <v>39</v>
      </c>
      <c r="K1656" s="19">
        <v>66</v>
      </c>
      <c r="L1656" s="91"/>
      <c r="M1656" s="19">
        <v>5000</v>
      </c>
      <c r="N1656" s="19" t="s">
        <v>40</v>
      </c>
      <c r="O1656" s="19" t="s">
        <v>50</v>
      </c>
      <c r="P1656" s="19">
        <v>1000</v>
      </c>
      <c r="Q1656" s="17">
        <v>1002</v>
      </c>
      <c r="R1656" s="17">
        <f t="shared" si="89"/>
        <v>-2</v>
      </c>
      <c r="S1656" s="17">
        <v>2855</v>
      </c>
      <c r="T1656" s="19" t="s">
        <v>42</v>
      </c>
      <c r="U1656" s="102" t="s">
        <v>646</v>
      </c>
      <c r="V1656" s="186">
        <v>44785</v>
      </c>
      <c r="W1656" s="17" t="s">
        <v>44</v>
      </c>
      <c r="Y1656" s="68">
        <v>44887</v>
      </c>
      <c r="Z1656" s="17" t="s">
        <v>647</v>
      </c>
      <c r="AA1656" s="17" t="s">
        <v>46</v>
      </c>
      <c r="AB1656" s="17" t="s">
        <v>650</v>
      </c>
      <c r="AC1656" s="217">
        <v>45141</v>
      </c>
      <c r="AD1656" s="65">
        <v>1398</v>
      </c>
      <c r="AE1656" s="17" t="s">
        <v>74</v>
      </c>
      <c r="AF1656" s="17" t="s">
        <v>651</v>
      </c>
      <c r="AH1656" s="17" t="s">
        <v>652</v>
      </c>
      <c r="AI1656" s="17">
        <v>2980</v>
      </c>
    </row>
    <row r="1657" s="17" customFormat="1" hidden="1" spans="1:35">
      <c r="A1657" s="17" t="s">
        <v>34</v>
      </c>
      <c r="B1657" s="19">
        <v>824</v>
      </c>
      <c r="C1657" s="183">
        <v>44777</v>
      </c>
      <c r="D1657" s="17" t="s">
        <v>35</v>
      </c>
      <c r="E1657" s="17" t="s">
        <v>482</v>
      </c>
      <c r="F1657" s="17" t="s">
        <v>72</v>
      </c>
      <c r="H1657" s="19">
        <v>1.2379</v>
      </c>
      <c r="I1657" s="19"/>
      <c r="J1657" s="17" t="s">
        <v>39</v>
      </c>
      <c r="K1657" s="19">
        <v>71</v>
      </c>
      <c r="L1657" s="91"/>
      <c r="M1657" s="19">
        <v>5000</v>
      </c>
      <c r="N1657" s="19" t="s">
        <v>40</v>
      </c>
      <c r="O1657" s="19" t="s">
        <v>50</v>
      </c>
      <c r="P1657" s="19">
        <v>1000</v>
      </c>
      <c r="Q1657" s="17">
        <v>1332</v>
      </c>
      <c r="R1657" s="17">
        <f t="shared" si="89"/>
        <v>-332</v>
      </c>
      <c r="S1657" s="17">
        <v>2855</v>
      </c>
      <c r="T1657" s="19" t="s">
        <v>42</v>
      </c>
      <c r="U1657" s="102" t="s">
        <v>646</v>
      </c>
      <c r="V1657" s="186">
        <v>44785</v>
      </c>
      <c r="W1657" s="17" t="s">
        <v>44</v>
      </c>
      <c r="Y1657" s="68">
        <v>44887</v>
      </c>
      <c r="Z1657" s="17" t="s">
        <v>647</v>
      </c>
      <c r="AA1657" s="17" t="s">
        <v>46</v>
      </c>
      <c r="AB1657" s="17" t="s">
        <v>650</v>
      </c>
      <c r="AC1657" s="217">
        <v>45141</v>
      </c>
      <c r="AD1657" s="65">
        <v>1398</v>
      </c>
      <c r="AE1657" s="17" t="s">
        <v>631</v>
      </c>
      <c r="AF1657" s="17" t="s">
        <v>651</v>
      </c>
      <c r="AI1657" s="17">
        <v>2980</v>
      </c>
    </row>
    <row r="1658" s="17" customFormat="1" hidden="1" spans="1:35">
      <c r="A1658" s="17" t="s">
        <v>34</v>
      </c>
      <c r="B1658" s="19">
        <v>824</v>
      </c>
      <c r="C1658" s="183">
        <v>44777</v>
      </c>
      <c r="D1658" s="17" t="s">
        <v>35</v>
      </c>
      <c r="E1658" s="17" t="s">
        <v>482</v>
      </c>
      <c r="F1658" s="17" t="s">
        <v>72</v>
      </c>
      <c r="H1658" s="19">
        <v>1.2379</v>
      </c>
      <c r="I1658" s="19"/>
      <c r="J1658" s="17" t="s">
        <v>39</v>
      </c>
      <c r="K1658" s="19">
        <v>76</v>
      </c>
      <c r="L1658" s="91"/>
      <c r="M1658" s="19">
        <v>5000</v>
      </c>
      <c r="N1658" s="19" t="s">
        <v>40</v>
      </c>
      <c r="O1658" s="19" t="s">
        <v>50</v>
      </c>
      <c r="P1658" s="19">
        <v>1000</v>
      </c>
      <c r="Q1658" s="17">
        <v>1474</v>
      </c>
      <c r="R1658" s="17">
        <f t="shared" si="89"/>
        <v>-474</v>
      </c>
      <c r="S1658" s="17">
        <f>2855-15</f>
        <v>2840</v>
      </c>
      <c r="T1658" s="19" t="s">
        <v>42</v>
      </c>
      <c r="U1658" s="102" t="s">
        <v>646</v>
      </c>
      <c r="V1658" s="186">
        <v>44785</v>
      </c>
      <c r="W1658" s="17" t="s">
        <v>44</v>
      </c>
      <c r="Y1658" s="68">
        <v>44887</v>
      </c>
      <c r="Z1658" s="17" t="s">
        <v>647</v>
      </c>
      <c r="AA1658" s="17" t="s">
        <v>46</v>
      </c>
      <c r="AB1658" s="17" t="s">
        <v>569</v>
      </c>
      <c r="AC1658" s="102" t="s">
        <v>570</v>
      </c>
      <c r="AD1658" s="65">
        <v>1362</v>
      </c>
      <c r="AE1658" s="17" t="s">
        <v>74</v>
      </c>
      <c r="AH1658" s="17" t="s">
        <v>652</v>
      </c>
      <c r="AI1658" s="17">
        <v>2965</v>
      </c>
    </row>
    <row r="1659" s="17" customFormat="1" hidden="1" spans="1:35">
      <c r="A1659" s="17" t="s">
        <v>34</v>
      </c>
      <c r="B1659" s="19">
        <v>824</v>
      </c>
      <c r="C1659" s="183">
        <v>44777</v>
      </c>
      <c r="D1659" s="17" t="s">
        <v>35</v>
      </c>
      <c r="E1659" s="17" t="s">
        <v>482</v>
      </c>
      <c r="F1659" s="17" t="s">
        <v>72</v>
      </c>
      <c r="H1659" s="19">
        <v>1.2379</v>
      </c>
      <c r="I1659" s="19"/>
      <c r="J1659" s="17" t="s">
        <v>39</v>
      </c>
      <c r="K1659" s="19">
        <v>81</v>
      </c>
      <c r="L1659" s="91"/>
      <c r="M1659" s="19">
        <v>5000</v>
      </c>
      <c r="N1659" s="19" t="s">
        <v>40</v>
      </c>
      <c r="O1659" s="19" t="s">
        <v>50</v>
      </c>
      <c r="P1659" s="19">
        <v>2000</v>
      </c>
      <c r="Q1659" s="17">
        <v>1140</v>
      </c>
      <c r="R1659" s="17">
        <f t="shared" si="89"/>
        <v>860</v>
      </c>
      <c r="S1659" s="17">
        <v>2855</v>
      </c>
      <c r="T1659" s="19" t="s">
        <v>42</v>
      </c>
      <c r="U1659" s="102" t="s">
        <v>646</v>
      </c>
      <c r="V1659" s="186">
        <v>44785</v>
      </c>
      <c r="W1659" s="17" t="s">
        <v>44</v>
      </c>
      <c r="Y1659" s="68">
        <v>44887</v>
      </c>
      <c r="Z1659" s="17" t="s">
        <v>647</v>
      </c>
      <c r="AA1659" s="17" t="s">
        <v>46</v>
      </c>
      <c r="AB1659" s="17" t="s">
        <v>650</v>
      </c>
      <c r="AC1659" s="217">
        <v>45141</v>
      </c>
      <c r="AD1659" s="65">
        <v>1398</v>
      </c>
      <c r="AE1659" s="17" t="s">
        <v>631</v>
      </c>
      <c r="AF1659" s="17" t="s">
        <v>651</v>
      </c>
      <c r="AI1659" s="17">
        <v>2980</v>
      </c>
    </row>
    <row r="1660" s="17" customFormat="1" hidden="1" spans="1:35">
      <c r="A1660" s="17" t="s">
        <v>34</v>
      </c>
      <c r="B1660" s="19">
        <v>824</v>
      </c>
      <c r="C1660" s="183">
        <v>44777</v>
      </c>
      <c r="D1660" s="17" t="s">
        <v>35</v>
      </c>
      <c r="E1660" s="17" t="s">
        <v>482</v>
      </c>
      <c r="F1660" s="17" t="s">
        <v>72</v>
      </c>
      <c r="H1660" s="19">
        <v>1.2379</v>
      </c>
      <c r="I1660" s="19"/>
      <c r="J1660" s="17" t="s">
        <v>39</v>
      </c>
      <c r="K1660" s="19">
        <v>91</v>
      </c>
      <c r="L1660" s="91"/>
      <c r="M1660" s="19">
        <v>5000</v>
      </c>
      <c r="N1660" s="19" t="s">
        <v>40</v>
      </c>
      <c r="O1660" s="19" t="s">
        <v>50</v>
      </c>
      <c r="P1660" s="19">
        <v>1000</v>
      </c>
      <c r="Q1660" s="17">
        <v>961</v>
      </c>
      <c r="R1660" s="17">
        <f t="shared" si="89"/>
        <v>39</v>
      </c>
      <c r="S1660" s="17">
        <f>2755-15</f>
        <v>2740</v>
      </c>
      <c r="T1660" s="19" t="s">
        <v>42</v>
      </c>
      <c r="U1660" s="102" t="s">
        <v>646</v>
      </c>
      <c r="V1660" s="186">
        <v>44785</v>
      </c>
      <c r="W1660" s="17" t="s">
        <v>44</v>
      </c>
      <c r="Y1660" s="68">
        <v>44887</v>
      </c>
      <c r="Z1660" s="17" t="s">
        <v>647</v>
      </c>
      <c r="AA1660" s="17" t="s">
        <v>46</v>
      </c>
      <c r="AB1660" s="17" t="s">
        <v>569</v>
      </c>
      <c r="AC1660" s="102" t="s">
        <v>570</v>
      </c>
      <c r="AD1660" s="65">
        <v>1362</v>
      </c>
      <c r="AE1660" s="17" t="s">
        <v>631</v>
      </c>
      <c r="AI1660" s="17">
        <v>2865</v>
      </c>
    </row>
    <row r="1661" s="17" customFormat="1" hidden="1" spans="1:35">
      <c r="A1661" s="17" t="s">
        <v>34</v>
      </c>
      <c r="B1661" s="19">
        <v>824</v>
      </c>
      <c r="C1661" s="183">
        <v>44777</v>
      </c>
      <c r="D1661" s="17" t="s">
        <v>35</v>
      </c>
      <c r="E1661" s="17" t="s">
        <v>482</v>
      </c>
      <c r="F1661" s="17" t="s">
        <v>72</v>
      </c>
      <c r="H1661" s="19">
        <v>1.2379</v>
      </c>
      <c r="I1661" s="19"/>
      <c r="J1661" s="17" t="s">
        <v>39</v>
      </c>
      <c r="K1661" s="19">
        <v>101</v>
      </c>
      <c r="L1661" s="91"/>
      <c r="M1661" s="19">
        <v>5000</v>
      </c>
      <c r="N1661" s="19" t="s">
        <v>40</v>
      </c>
      <c r="O1661" s="19" t="s">
        <v>50</v>
      </c>
      <c r="P1661" s="19">
        <v>1000</v>
      </c>
      <c r="Q1661" s="17">
        <v>654</v>
      </c>
      <c r="R1661" s="17">
        <f t="shared" si="89"/>
        <v>346</v>
      </c>
      <c r="S1661" s="17">
        <f>2755-15</f>
        <v>2740</v>
      </c>
      <c r="T1661" s="19" t="s">
        <v>42</v>
      </c>
      <c r="U1661" s="102" t="s">
        <v>646</v>
      </c>
      <c r="V1661" s="186">
        <v>44785</v>
      </c>
      <c r="W1661" s="17" t="s">
        <v>44</v>
      </c>
      <c r="Y1661" s="68">
        <v>44887</v>
      </c>
      <c r="Z1661" s="17" t="s">
        <v>647</v>
      </c>
      <c r="AA1661" s="17" t="s">
        <v>46</v>
      </c>
      <c r="AB1661" s="17" t="s">
        <v>569</v>
      </c>
      <c r="AC1661" s="102" t="s">
        <v>570</v>
      </c>
      <c r="AD1661" s="65">
        <v>1362</v>
      </c>
      <c r="AE1661" s="17" t="s">
        <v>74</v>
      </c>
      <c r="AH1661" s="17" t="s">
        <v>653</v>
      </c>
      <c r="AI1661" s="17">
        <v>2865</v>
      </c>
    </row>
    <row r="1662" s="17" customFormat="1" hidden="1" spans="1:35">
      <c r="A1662" s="17" t="s">
        <v>34</v>
      </c>
      <c r="B1662" s="19">
        <v>824</v>
      </c>
      <c r="C1662" s="183">
        <v>44777</v>
      </c>
      <c r="D1662" s="17" t="s">
        <v>35</v>
      </c>
      <c r="E1662" s="17" t="s">
        <v>482</v>
      </c>
      <c r="F1662" s="17" t="s">
        <v>72</v>
      </c>
      <c r="H1662" s="19">
        <v>1.2379</v>
      </c>
      <c r="I1662" s="19"/>
      <c r="J1662" s="17" t="s">
        <v>39</v>
      </c>
      <c r="K1662" s="19">
        <v>105</v>
      </c>
      <c r="L1662" s="91"/>
      <c r="M1662" s="19">
        <v>5000</v>
      </c>
      <c r="N1662" s="19" t="s">
        <v>40</v>
      </c>
      <c r="O1662" s="19" t="s">
        <v>50</v>
      </c>
      <c r="P1662" s="19">
        <v>1000</v>
      </c>
      <c r="Q1662" s="17">
        <v>1024</v>
      </c>
      <c r="R1662" s="17">
        <f t="shared" si="89"/>
        <v>-24</v>
      </c>
      <c r="S1662" s="17">
        <f>2755-15</f>
        <v>2740</v>
      </c>
      <c r="T1662" s="19" t="s">
        <v>42</v>
      </c>
      <c r="U1662" s="102" t="s">
        <v>646</v>
      </c>
      <c r="V1662" s="186">
        <v>44785</v>
      </c>
      <c r="W1662" s="17" t="s">
        <v>44</v>
      </c>
      <c r="Y1662" s="68">
        <v>44887</v>
      </c>
      <c r="Z1662" s="17" t="s">
        <v>647</v>
      </c>
      <c r="AA1662" s="17" t="s">
        <v>46</v>
      </c>
      <c r="AB1662" s="17" t="s">
        <v>569</v>
      </c>
      <c r="AC1662" s="102" t="s">
        <v>570</v>
      </c>
      <c r="AD1662" s="65">
        <v>1362</v>
      </c>
      <c r="AE1662" s="17" t="s">
        <v>74</v>
      </c>
      <c r="AH1662" s="17" t="s">
        <v>653</v>
      </c>
      <c r="AI1662" s="17">
        <v>2865</v>
      </c>
    </row>
    <row r="1663" s="17" customFormat="1" hidden="1" spans="1:35">
      <c r="A1663" s="17" t="s">
        <v>34</v>
      </c>
      <c r="B1663" s="19">
        <v>824</v>
      </c>
      <c r="C1663" s="183">
        <v>44777</v>
      </c>
      <c r="D1663" s="17" t="s">
        <v>35</v>
      </c>
      <c r="E1663" s="17" t="s">
        <v>482</v>
      </c>
      <c r="F1663" s="17" t="s">
        <v>72</v>
      </c>
      <c r="H1663" s="19">
        <v>1.2379</v>
      </c>
      <c r="I1663" s="19"/>
      <c r="J1663" s="17" t="s">
        <v>39</v>
      </c>
      <c r="K1663" s="19">
        <v>111</v>
      </c>
      <c r="L1663" s="91"/>
      <c r="M1663" s="19">
        <v>5000</v>
      </c>
      <c r="N1663" s="19" t="s">
        <v>40</v>
      </c>
      <c r="O1663" s="19" t="s">
        <v>50</v>
      </c>
      <c r="P1663" s="19">
        <v>1000</v>
      </c>
      <c r="Q1663" s="17">
        <v>984</v>
      </c>
      <c r="R1663" s="17">
        <f t="shared" si="89"/>
        <v>16</v>
      </c>
      <c r="S1663" s="17">
        <f>2755-15</f>
        <v>2740</v>
      </c>
      <c r="T1663" s="19" t="s">
        <v>42</v>
      </c>
      <c r="U1663" s="102" t="s">
        <v>646</v>
      </c>
      <c r="V1663" s="186">
        <v>44785</v>
      </c>
      <c r="W1663" s="17" t="s">
        <v>44</v>
      </c>
      <c r="Y1663" s="68">
        <v>44887</v>
      </c>
      <c r="Z1663" s="17" t="s">
        <v>647</v>
      </c>
      <c r="AA1663" s="17" t="s">
        <v>46</v>
      </c>
      <c r="AB1663" s="17" t="s">
        <v>569</v>
      </c>
      <c r="AC1663" s="102" t="s">
        <v>570</v>
      </c>
      <c r="AD1663" s="65">
        <v>1362</v>
      </c>
      <c r="AE1663" s="17" t="s">
        <v>74</v>
      </c>
      <c r="AH1663" s="17" t="s">
        <v>653</v>
      </c>
      <c r="AI1663" s="17">
        <v>2865</v>
      </c>
    </row>
    <row r="1664" s="17" customFormat="1" hidden="1" spans="1:35">
      <c r="A1664" s="17" t="s">
        <v>34</v>
      </c>
      <c r="B1664" s="19">
        <v>824</v>
      </c>
      <c r="C1664" s="183">
        <v>44777</v>
      </c>
      <c r="D1664" s="17" t="s">
        <v>35</v>
      </c>
      <c r="E1664" s="17" t="s">
        <v>482</v>
      </c>
      <c r="F1664" s="17" t="s">
        <v>72</v>
      </c>
      <c r="H1664" s="19">
        <v>1.2379</v>
      </c>
      <c r="I1664" s="19"/>
      <c r="J1664" s="17" t="s">
        <v>39</v>
      </c>
      <c r="K1664" s="19">
        <v>116</v>
      </c>
      <c r="L1664" s="91"/>
      <c r="M1664" s="19">
        <v>5000</v>
      </c>
      <c r="N1664" s="19" t="s">
        <v>40</v>
      </c>
      <c r="O1664" s="19" t="s">
        <v>50</v>
      </c>
      <c r="P1664" s="19">
        <v>2000</v>
      </c>
      <c r="Q1664" s="17">
        <f>820+1282</f>
        <v>2102</v>
      </c>
      <c r="R1664" s="17">
        <f t="shared" si="89"/>
        <v>-102</v>
      </c>
      <c r="S1664" s="17">
        <f>2755-15</f>
        <v>2740</v>
      </c>
      <c r="T1664" s="19" t="s">
        <v>42</v>
      </c>
      <c r="U1664" s="102" t="s">
        <v>646</v>
      </c>
      <c r="V1664" s="186">
        <v>44785</v>
      </c>
      <c r="W1664" s="17" t="s">
        <v>44</v>
      </c>
      <c r="Y1664" s="68">
        <v>44887</v>
      </c>
      <c r="Z1664" s="17" t="s">
        <v>647</v>
      </c>
      <c r="AA1664" s="17" t="s">
        <v>46</v>
      </c>
      <c r="AB1664" s="17" t="s">
        <v>569</v>
      </c>
      <c r="AC1664" s="102" t="s">
        <v>570</v>
      </c>
      <c r="AD1664" s="65">
        <v>1362</v>
      </c>
      <c r="AE1664" s="17" t="s">
        <v>654</v>
      </c>
      <c r="AI1664" s="17">
        <v>2865</v>
      </c>
    </row>
    <row r="1665" s="17" customFormat="1" hidden="1" spans="1:33">
      <c r="A1665" s="17" t="s">
        <v>34</v>
      </c>
      <c r="B1665" s="19">
        <v>825</v>
      </c>
      <c r="C1665" s="101">
        <v>44778</v>
      </c>
      <c r="D1665" s="17" t="s">
        <v>52</v>
      </c>
      <c r="E1665" s="17" t="s">
        <v>187</v>
      </c>
      <c r="F1665" s="17" t="s">
        <v>54</v>
      </c>
      <c r="H1665" s="19" t="s">
        <v>426</v>
      </c>
      <c r="I1665" s="19"/>
      <c r="J1665" s="17" t="s">
        <v>49</v>
      </c>
      <c r="K1665" s="17">
        <v>1200</v>
      </c>
      <c r="L1665" s="91">
        <v>20</v>
      </c>
      <c r="M1665" s="19">
        <v>2400</v>
      </c>
      <c r="N1665" s="19" t="s">
        <v>40</v>
      </c>
      <c r="O1665" s="19" t="s">
        <v>141</v>
      </c>
      <c r="P1665" s="19">
        <v>450</v>
      </c>
      <c r="Q1665" s="17">
        <v>433</v>
      </c>
      <c r="R1665" s="17">
        <f t="shared" si="89"/>
        <v>17</v>
      </c>
      <c r="S1665" s="17">
        <v>700</v>
      </c>
      <c r="T1665" s="19" t="s">
        <v>42</v>
      </c>
      <c r="U1665" s="102" t="s">
        <v>655</v>
      </c>
      <c r="V1665" s="186">
        <v>44780</v>
      </c>
      <c r="W1665" s="17" t="s">
        <v>69</v>
      </c>
      <c r="Y1665" s="68">
        <v>44774</v>
      </c>
      <c r="Z1665" s="17" t="s">
        <v>191</v>
      </c>
      <c r="AA1665" s="17" t="s">
        <v>46</v>
      </c>
      <c r="AB1665" s="17" t="s">
        <v>656</v>
      </c>
      <c r="AC1665" s="66" t="s">
        <v>657</v>
      </c>
      <c r="AD1665" s="65">
        <v>1332</v>
      </c>
      <c r="AE1665" s="17" t="s">
        <v>658</v>
      </c>
      <c r="AF1665" s="17" t="s">
        <v>245</v>
      </c>
      <c r="AG1665" s="17" t="s">
        <v>659</v>
      </c>
    </row>
    <row r="1666" s="17" customFormat="1" hidden="1" spans="1:33">
      <c r="A1666" s="17" t="s">
        <v>34</v>
      </c>
      <c r="B1666" s="19">
        <v>825</v>
      </c>
      <c r="C1666" s="101">
        <v>44778</v>
      </c>
      <c r="D1666" s="17" t="s">
        <v>52</v>
      </c>
      <c r="E1666" s="17" t="s">
        <v>187</v>
      </c>
      <c r="F1666" s="17" t="s">
        <v>54</v>
      </c>
      <c r="H1666" s="19" t="s">
        <v>426</v>
      </c>
      <c r="I1666" s="19"/>
      <c r="J1666" s="17" t="s">
        <v>49</v>
      </c>
      <c r="K1666" s="17">
        <v>1200</v>
      </c>
      <c r="L1666" s="91">
        <v>25</v>
      </c>
      <c r="M1666" s="19">
        <v>2400</v>
      </c>
      <c r="N1666" s="19" t="s">
        <v>40</v>
      </c>
      <c r="O1666" s="19" t="s">
        <v>141</v>
      </c>
      <c r="P1666" s="19">
        <v>1125</v>
      </c>
      <c r="Q1666" s="17">
        <f>526+519</f>
        <v>1045</v>
      </c>
      <c r="R1666" s="17">
        <f t="shared" si="89"/>
        <v>80</v>
      </c>
      <c r="S1666" s="17">
        <v>700</v>
      </c>
      <c r="T1666" s="19" t="s">
        <v>42</v>
      </c>
      <c r="U1666" s="102" t="s">
        <v>655</v>
      </c>
      <c r="V1666" s="186">
        <v>44780</v>
      </c>
      <c r="W1666" s="17" t="s">
        <v>69</v>
      </c>
      <c r="Y1666" s="68">
        <v>44774</v>
      </c>
      <c r="Z1666" s="17" t="s">
        <v>191</v>
      </c>
      <c r="AA1666" s="17" t="s">
        <v>46</v>
      </c>
      <c r="AB1666" s="17" t="s">
        <v>656</v>
      </c>
      <c r="AC1666" s="66" t="s">
        <v>657</v>
      </c>
      <c r="AD1666" s="65">
        <v>1332</v>
      </c>
      <c r="AE1666" s="17" t="s">
        <v>658</v>
      </c>
      <c r="AF1666" s="17" t="s">
        <v>245</v>
      </c>
      <c r="AG1666" s="17" t="s">
        <v>659</v>
      </c>
    </row>
    <row r="1667" s="17" customFormat="1" hidden="1" spans="1:33">
      <c r="A1667" s="17" t="s">
        <v>34</v>
      </c>
      <c r="B1667" s="19">
        <v>825</v>
      </c>
      <c r="C1667" s="101">
        <v>44778</v>
      </c>
      <c r="D1667" s="17" t="s">
        <v>52</v>
      </c>
      <c r="E1667" s="17" t="s">
        <v>187</v>
      </c>
      <c r="F1667" s="17" t="s">
        <v>54</v>
      </c>
      <c r="H1667" s="19" t="s">
        <v>426</v>
      </c>
      <c r="I1667" s="19"/>
      <c r="J1667" s="17" t="s">
        <v>49</v>
      </c>
      <c r="K1667" s="17">
        <v>1200</v>
      </c>
      <c r="L1667" s="91">
        <v>30</v>
      </c>
      <c r="M1667" s="19">
        <v>2400</v>
      </c>
      <c r="N1667" s="19" t="s">
        <v>40</v>
      </c>
      <c r="O1667" s="19" t="s">
        <v>141</v>
      </c>
      <c r="P1667" s="19">
        <v>6075</v>
      </c>
      <c r="Q1667" s="17">
        <f>634+635+635+637+635+637+639+636+634+636</f>
        <v>6358</v>
      </c>
      <c r="R1667" s="17">
        <f t="shared" si="89"/>
        <v>-283</v>
      </c>
      <c r="S1667" s="17">
        <v>700</v>
      </c>
      <c r="T1667" s="19" t="s">
        <v>42</v>
      </c>
      <c r="U1667" s="102" t="s">
        <v>655</v>
      </c>
      <c r="V1667" s="186">
        <v>44780</v>
      </c>
      <c r="W1667" s="17" t="s">
        <v>69</v>
      </c>
      <c r="Y1667" s="68">
        <v>44774</v>
      </c>
      <c r="Z1667" s="17" t="s">
        <v>191</v>
      </c>
      <c r="AA1667" s="17" t="s">
        <v>46</v>
      </c>
      <c r="AB1667" s="17" t="s">
        <v>656</v>
      </c>
      <c r="AC1667" s="66" t="s">
        <v>657</v>
      </c>
      <c r="AD1667" s="65">
        <v>1332</v>
      </c>
      <c r="AE1667" s="17" t="s">
        <v>658</v>
      </c>
      <c r="AF1667" s="17" t="s">
        <v>245</v>
      </c>
      <c r="AG1667" s="17" t="s">
        <v>659</v>
      </c>
    </row>
    <row r="1668" s="17" customFormat="1" hidden="1" spans="1:33">
      <c r="A1668" s="17" t="s">
        <v>34</v>
      </c>
      <c r="B1668" s="19">
        <v>825</v>
      </c>
      <c r="C1668" s="101">
        <v>44778</v>
      </c>
      <c r="D1668" s="17" t="s">
        <v>52</v>
      </c>
      <c r="E1668" s="17" t="s">
        <v>187</v>
      </c>
      <c r="F1668" s="17" t="s">
        <v>54</v>
      </c>
      <c r="H1668" s="19" t="s">
        <v>426</v>
      </c>
      <c r="I1668" s="19"/>
      <c r="J1668" s="17" t="s">
        <v>49</v>
      </c>
      <c r="K1668" s="17">
        <v>1200</v>
      </c>
      <c r="L1668" s="91">
        <v>40</v>
      </c>
      <c r="M1668" s="19">
        <v>2400</v>
      </c>
      <c r="N1668" s="19" t="s">
        <v>40</v>
      </c>
      <c r="O1668" s="19" t="s">
        <v>141</v>
      </c>
      <c r="P1668" s="19">
        <v>11756</v>
      </c>
      <c r="Q1668" s="17">
        <f>844+860+861+849+859+862+862+857+859+857+844+845+844+852</f>
        <v>11955</v>
      </c>
      <c r="R1668" s="17">
        <f t="shared" si="89"/>
        <v>-199</v>
      </c>
      <c r="S1668" s="17">
        <v>700</v>
      </c>
      <c r="T1668" s="19" t="s">
        <v>42</v>
      </c>
      <c r="U1668" s="102" t="s">
        <v>655</v>
      </c>
      <c r="V1668" s="186">
        <v>44780</v>
      </c>
      <c r="W1668" s="17" t="s">
        <v>69</v>
      </c>
      <c r="Y1668" s="68">
        <v>44774</v>
      </c>
      <c r="Z1668" s="17" t="s">
        <v>191</v>
      </c>
      <c r="AA1668" s="17" t="s">
        <v>46</v>
      </c>
      <c r="AB1668" s="17" t="s">
        <v>656</v>
      </c>
      <c r="AC1668" s="66" t="s">
        <v>657</v>
      </c>
      <c r="AD1668" s="65">
        <v>1332</v>
      </c>
      <c r="AE1668" s="17" t="s">
        <v>658</v>
      </c>
      <c r="AF1668" s="17" t="s">
        <v>245</v>
      </c>
      <c r="AG1668" s="17" t="s">
        <v>659</v>
      </c>
    </row>
    <row r="1669" s="17" customFormat="1" hidden="1" spans="1:33">
      <c r="A1669" s="17" t="s">
        <v>34</v>
      </c>
      <c r="B1669" s="19">
        <v>825</v>
      </c>
      <c r="C1669" s="101">
        <v>44778</v>
      </c>
      <c r="D1669" s="17" t="s">
        <v>52</v>
      </c>
      <c r="E1669" s="17" t="s">
        <v>187</v>
      </c>
      <c r="F1669" s="17" t="s">
        <v>54</v>
      </c>
      <c r="H1669" s="19" t="s">
        <v>426</v>
      </c>
      <c r="I1669" s="19"/>
      <c r="J1669" s="17" t="s">
        <v>49</v>
      </c>
      <c r="K1669" s="17">
        <v>1200</v>
      </c>
      <c r="L1669" s="91">
        <v>50</v>
      </c>
      <c r="M1669" s="19">
        <v>2400</v>
      </c>
      <c r="N1669" s="19" t="s">
        <v>40</v>
      </c>
      <c r="O1669" s="19" t="s">
        <v>141</v>
      </c>
      <c r="P1669" s="19">
        <v>2250</v>
      </c>
      <c r="Q1669" s="17">
        <f>1667+1666+1667+1666+1079+1077</f>
        <v>8822</v>
      </c>
      <c r="R1669" s="17">
        <f t="shared" si="89"/>
        <v>-6572</v>
      </c>
      <c r="S1669" s="17">
        <v>700</v>
      </c>
      <c r="T1669" s="19" t="s">
        <v>42</v>
      </c>
      <c r="U1669" s="102" t="s">
        <v>655</v>
      </c>
      <c r="V1669" s="186">
        <v>44780</v>
      </c>
      <c r="W1669" s="17" t="s">
        <v>69</v>
      </c>
      <c r="Y1669" s="68">
        <v>44774</v>
      </c>
      <c r="Z1669" s="17" t="s">
        <v>191</v>
      </c>
      <c r="AA1669" s="17" t="s">
        <v>46</v>
      </c>
      <c r="AB1669" s="17" t="s">
        <v>656</v>
      </c>
      <c r="AC1669" s="66" t="s">
        <v>657</v>
      </c>
      <c r="AD1669" s="65">
        <v>1332</v>
      </c>
      <c r="AE1669" s="17" t="s">
        <v>658</v>
      </c>
      <c r="AF1669" s="17" t="s">
        <v>245</v>
      </c>
      <c r="AG1669" s="17" t="s">
        <v>659</v>
      </c>
    </row>
    <row r="1670" s="17" customFormat="1" hidden="1" spans="1:33">
      <c r="A1670" s="17" t="s">
        <v>34</v>
      </c>
      <c r="B1670" s="19">
        <v>825</v>
      </c>
      <c r="C1670" s="101">
        <v>44778</v>
      </c>
      <c r="D1670" s="17" t="s">
        <v>52</v>
      </c>
      <c r="E1670" s="17" t="s">
        <v>187</v>
      </c>
      <c r="F1670" s="17" t="s">
        <v>54</v>
      </c>
      <c r="H1670" s="19" t="s">
        <v>426</v>
      </c>
      <c r="I1670" s="19"/>
      <c r="J1670" s="17" t="s">
        <v>49</v>
      </c>
      <c r="K1670" s="17">
        <v>1200</v>
      </c>
      <c r="L1670" s="91">
        <v>60</v>
      </c>
      <c r="M1670" s="19">
        <v>2400</v>
      </c>
      <c r="N1670" s="19" t="s">
        <v>40</v>
      </c>
      <c r="O1670" s="19" t="s">
        <v>141</v>
      </c>
      <c r="P1670" s="19">
        <v>1350</v>
      </c>
      <c r="Q1670" s="17">
        <v>1263</v>
      </c>
      <c r="R1670" s="17">
        <f t="shared" si="89"/>
        <v>87</v>
      </c>
      <c r="S1670" s="17">
        <v>700</v>
      </c>
      <c r="T1670" s="19" t="s">
        <v>42</v>
      </c>
      <c r="U1670" s="102" t="s">
        <v>655</v>
      </c>
      <c r="V1670" s="186">
        <v>44780</v>
      </c>
      <c r="W1670" s="17" t="s">
        <v>69</v>
      </c>
      <c r="Y1670" s="68">
        <v>44774</v>
      </c>
      <c r="Z1670" s="17" t="s">
        <v>191</v>
      </c>
      <c r="AA1670" s="17" t="s">
        <v>46</v>
      </c>
      <c r="AB1670" s="17" t="s">
        <v>656</v>
      </c>
      <c r="AC1670" s="66" t="s">
        <v>657</v>
      </c>
      <c r="AD1670" s="65">
        <v>1332</v>
      </c>
      <c r="AE1670" s="17" t="s">
        <v>658</v>
      </c>
      <c r="AF1670" s="17" t="s">
        <v>245</v>
      </c>
      <c r="AG1670" s="17" t="s">
        <v>659</v>
      </c>
    </row>
    <row r="1671" s="17" customFormat="1" hidden="1" spans="1:33">
      <c r="A1671" s="17" t="s">
        <v>34</v>
      </c>
      <c r="B1671" s="19">
        <v>825</v>
      </c>
      <c r="C1671" s="101">
        <v>44778</v>
      </c>
      <c r="D1671" s="17" t="s">
        <v>52</v>
      </c>
      <c r="E1671" s="17" t="s">
        <v>187</v>
      </c>
      <c r="F1671" s="17" t="s">
        <v>54</v>
      </c>
      <c r="H1671" s="19" t="s">
        <v>426</v>
      </c>
      <c r="I1671" s="19"/>
      <c r="J1671" s="17" t="s">
        <v>49</v>
      </c>
      <c r="K1671" s="17">
        <v>1200</v>
      </c>
      <c r="L1671" s="91">
        <v>80</v>
      </c>
      <c r="M1671" s="19">
        <v>2400</v>
      </c>
      <c r="N1671" s="19" t="s">
        <v>40</v>
      </c>
      <c r="O1671" s="19" t="s">
        <v>141</v>
      </c>
      <c r="P1671" s="19">
        <v>9000</v>
      </c>
      <c r="Q1671" s="17">
        <v>1664</v>
      </c>
      <c r="R1671" s="17">
        <f t="shared" si="89"/>
        <v>7336</v>
      </c>
      <c r="S1671" s="17">
        <v>700</v>
      </c>
      <c r="T1671" s="19" t="s">
        <v>42</v>
      </c>
      <c r="U1671" s="102" t="s">
        <v>655</v>
      </c>
      <c r="V1671" s="186">
        <v>44780</v>
      </c>
      <c r="W1671" s="17" t="s">
        <v>69</v>
      </c>
      <c r="Y1671" s="68">
        <v>44774</v>
      </c>
      <c r="Z1671" s="17" t="s">
        <v>191</v>
      </c>
      <c r="AA1671" s="17" t="s">
        <v>46</v>
      </c>
      <c r="AB1671" s="17" t="s">
        <v>656</v>
      </c>
      <c r="AC1671" s="66" t="s">
        <v>657</v>
      </c>
      <c r="AD1671" s="65">
        <v>1332</v>
      </c>
      <c r="AE1671" s="17" t="s">
        <v>658</v>
      </c>
      <c r="AF1671" s="17" t="s">
        <v>245</v>
      </c>
      <c r="AG1671" s="17" t="s">
        <v>659</v>
      </c>
    </row>
    <row r="1672" s="17" customFormat="1" hidden="1" spans="1:33">
      <c r="A1672" s="17" t="s">
        <v>34</v>
      </c>
      <c r="B1672" s="19">
        <v>825</v>
      </c>
      <c r="C1672" s="101">
        <v>44778</v>
      </c>
      <c r="D1672" s="17" t="s">
        <v>52</v>
      </c>
      <c r="E1672" s="17" t="s">
        <v>187</v>
      </c>
      <c r="F1672" s="17" t="s">
        <v>54</v>
      </c>
      <c r="H1672" s="19" t="s">
        <v>426</v>
      </c>
      <c r="I1672" s="19"/>
      <c r="J1672" s="17" t="s">
        <v>49</v>
      </c>
      <c r="K1672" s="17">
        <v>1200</v>
      </c>
      <c r="L1672" s="91">
        <v>120</v>
      </c>
      <c r="M1672" s="19">
        <v>2400</v>
      </c>
      <c r="N1672" s="19" t="s">
        <v>40</v>
      </c>
      <c r="O1672" s="19" t="s">
        <v>141</v>
      </c>
      <c r="P1672" s="19">
        <v>2700</v>
      </c>
      <c r="Q1672" s="17">
        <v>2512</v>
      </c>
      <c r="R1672" s="17">
        <f t="shared" si="89"/>
        <v>188</v>
      </c>
      <c r="S1672" s="17">
        <v>700</v>
      </c>
      <c r="T1672" s="19" t="s">
        <v>42</v>
      </c>
      <c r="U1672" s="102" t="s">
        <v>655</v>
      </c>
      <c r="V1672" s="186">
        <v>44780</v>
      </c>
      <c r="W1672" s="17" t="s">
        <v>69</v>
      </c>
      <c r="Y1672" s="68">
        <v>44774</v>
      </c>
      <c r="Z1672" s="17" t="s">
        <v>191</v>
      </c>
      <c r="AA1672" s="17" t="s">
        <v>46</v>
      </c>
      <c r="AB1672" s="17" t="s">
        <v>656</v>
      </c>
      <c r="AC1672" s="66" t="s">
        <v>657</v>
      </c>
      <c r="AD1672" s="65">
        <v>1332</v>
      </c>
      <c r="AE1672" s="17" t="s">
        <v>658</v>
      </c>
      <c r="AF1672" s="17" t="s">
        <v>245</v>
      </c>
      <c r="AG1672" s="17" t="s">
        <v>659</v>
      </c>
    </row>
    <row r="1673" s="17" customFormat="1" hidden="1" spans="1:33">
      <c r="A1673" s="17" t="s">
        <v>34</v>
      </c>
      <c r="B1673" s="19">
        <v>825</v>
      </c>
      <c r="C1673" s="101">
        <v>44778</v>
      </c>
      <c r="D1673" s="17" t="s">
        <v>52</v>
      </c>
      <c r="E1673" s="17" t="s">
        <v>187</v>
      </c>
      <c r="F1673" s="17" t="s">
        <v>54</v>
      </c>
      <c r="H1673" s="19" t="s">
        <v>426</v>
      </c>
      <c r="I1673" s="19"/>
      <c r="J1673" s="17" t="s">
        <v>82</v>
      </c>
      <c r="K1673" s="17">
        <v>415</v>
      </c>
      <c r="L1673" s="91">
        <v>150</v>
      </c>
      <c r="M1673" s="19">
        <v>615</v>
      </c>
      <c r="N1673" s="19" t="s">
        <v>40</v>
      </c>
      <c r="O1673" s="19" t="s">
        <v>141</v>
      </c>
      <c r="P1673" s="19">
        <v>299</v>
      </c>
      <c r="Q1673" s="17">
        <v>305</v>
      </c>
      <c r="R1673" s="17">
        <f t="shared" si="89"/>
        <v>-6</v>
      </c>
      <c r="S1673" s="17">
        <v>760</v>
      </c>
      <c r="T1673" s="19" t="s">
        <v>42</v>
      </c>
      <c r="U1673" s="102" t="s">
        <v>655</v>
      </c>
      <c r="V1673" s="186">
        <v>44780</v>
      </c>
      <c r="W1673" s="17" t="s">
        <v>69</v>
      </c>
      <c r="Y1673" s="68">
        <v>44774</v>
      </c>
      <c r="Z1673" s="17" t="s">
        <v>191</v>
      </c>
      <c r="AA1673" s="17" t="s">
        <v>46</v>
      </c>
      <c r="AB1673" s="17" t="s">
        <v>656</v>
      </c>
      <c r="AC1673" s="66" t="s">
        <v>657</v>
      </c>
      <c r="AD1673" s="65">
        <v>1332</v>
      </c>
      <c r="AE1673" s="17" t="s">
        <v>658</v>
      </c>
      <c r="AF1673" s="17" t="s">
        <v>245</v>
      </c>
      <c r="AG1673" s="17" t="s">
        <v>660</v>
      </c>
    </row>
    <row r="1674" s="17" customFormat="1" hidden="1" spans="1:33">
      <c r="A1674" s="17" t="s">
        <v>34</v>
      </c>
      <c r="B1674" s="19">
        <v>825</v>
      </c>
      <c r="C1674" s="101">
        <v>44778</v>
      </c>
      <c r="D1674" s="17" t="s">
        <v>52</v>
      </c>
      <c r="E1674" s="17" t="s">
        <v>187</v>
      </c>
      <c r="F1674" s="17" t="s">
        <v>54</v>
      </c>
      <c r="H1674" s="19" t="s">
        <v>426</v>
      </c>
      <c r="I1674" s="19"/>
      <c r="J1674" s="17" t="s">
        <v>82</v>
      </c>
      <c r="K1674" s="17">
        <v>415</v>
      </c>
      <c r="L1674" s="91">
        <v>150</v>
      </c>
      <c r="M1674" s="19">
        <v>685</v>
      </c>
      <c r="N1674" s="19" t="s">
        <v>40</v>
      </c>
      <c r="O1674" s="19" t="s">
        <v>141</v>
      </c>
      <c r="P1674" s="19">
        <v>333</v>
      </c>
      <c r="Q1674" s="17">
        <v>340</v>
      </c>
      <c r="R1674" s="17">
        <f t="shared" si="89"/>
        <v>-7</v>
      </c>
      <c r="S1674" s="17">
        <v>760</v>
      </c>
      <c r="T1674" s="19" t="s">
        <v>42</v>
      </c>
      <c r="U1674" s="102" t="s">
        <v>655</v>
      </c>
      <c r="V1674" s="186">
        <v>44780</v>
      </c>
      <c r="W1674" s="17" t="s">
        <v>69</v>
      </c>
      <c r="Y1674" s="68">
        <v>44774</v>
      </c>
      <c r="Z1674" s="17" t="s">
        <v>191</v>
      </c>
      <c r="AA1674" s="17" t="s">
        <v>46</v>
      </c>
      <c r="AB1674" s="17" t="s">
        <v>656</v>
      </c>
      <c r="AC1674" s="66" t="s">
        <v>657</v>
      </c>
      <c r="AD1674" s="65">
        <v>1332</v>
      </c>
      <c r="AE1674" s="17" t="s">
        <v>658</v>
      </c>
      <c r="AF1674" s="17" t="s">
        <v>245</v>
      </c>
      <c r="AG1674" s="17" t="s">
        <v>660</v>
      </c>
    </row>
    <row r="1675" s="17" customFormat="1" hidden="1" spans="1:33">
      <c r="A1675" s="17" t="s">
        <v>34</v>
      </c>
      <c r="B1675" s="19">
        <v>825</v>
      </c>
      <c r="C1675" s="101">
        <v>44778</v>
      </c>
      <c r="D1675" s="17" t="s">
        <v>52</v>
      </c>
      <c r="E1675" s="17" t="s">
        <v>187</v>
      </c>
      <c r="F1675" s="17" t="s">
        <v>54</v>
      </c>
      <c r="H1675" s="19" t="s">
        <v>426</v>
      </c>
      <c r="I1675" s="19"/>
      <c r="J1675" s="17" t="s">
        <v>82</v>
      </c>
      <c r="K1675" s="17">
        <v>150</v>
      </c>
      <c r="L1675" s="91">
        <v>135</v>
      </c>
      <c r="M1675" s="19">
        <v>365</v>
      </c>
      <c r="N1675" s="19" t="s">
        <v>40</v>
      </c>
      <c r="O1675" s="19" t="s">
        <v>141</v>
      </c>
      <c r="P1675" s="19">
        <v>58</v>
      </c>
      <c r="Q1675" s="17">
        <v>60</v>
      </c>
      <c r="R1675" s="17">
        <f t="shared" si="89"/>
        <v>-2</v>
      </c>
      <c r="S1675" s="17">
        <v>760</v>
      </c>
      <c r="T1675" s="19" t="s">
        <v>42</v>
      </c>
      <c r="U1675" s="102" t="s">
        <v>655</v>
      </c>
      <c r="V1675" s="186">
        <v>44780</v>
      </c>
      <c r="W1675" s="17" t="s">
        <v>69</v>
      </c>
      <c r="Y1675" s="68">
        <v>44774</v>
      </c>
      <c r="Z1675" s="17" t="s">
        <v>191</v>
      </c>
      <c r="AA1675" s="17" t="s">
        <v>46</v>
      </c>
      <c r="AB1675" s="17" t="s">
        <v>656</v>
      </c>
      <c r="AC1675" s="66" t="s">
        <v>657</v>
      </c>
      <c r="AD1675" s="65">
        <v>1332</v>
      </c>
      <c r="AE1675" s="17" t="s">
        <v>658</v>
      </c>
      <c r="AF1675" s="17" t="s">
        <v>245</v>
      </c>
      <c r="AG1675" s="17" t="s">
        <v>660</v>
      </c>
    </row>
    <row r="1676" s="17" customFormat="1" hidden="1" spans="1:33">
      <c r="A1676" s="17" t="s">
        <v>34</v>
      </c>
      <c r="B1676" s="19">
        <v>825</v>
      </c>
      <c r="C1676" s="101">
        <v>44778</v>
      </c>
      <c r="D1676" s="17" t="s">
        <v>52</v>
      </c>
      <c r="E1676" s="17" t="s">
        <v>187</v>
      </c>
      <c r="F1676" s="17" t="s">
        <v>54</v>
      </c>
      <c r="H1676" s="19" t="s">
        <v>426</v>
      </c>
      <c r="I1676" s="19"/>
      <c r="J1676" s="17" t="s">
        <v>82</v>
      </c>
      <c r="K1676" s="17">
        <v>150</v>
      </c>
      <c r="L1676" s="91">
        <v>130</v>
      </c>
      <c r="M1676" s="19">
        <v>515</v>
      </c>
      <c r="N1676" s="19" t="s">
        <v>40</v>
      </c>
      <c r="O1676" s="19" t="s">
        <v>141</v>
      </c>
      <c r="P1676" s="19">
        <v>78</v>
      </c>
      <c r="Q1676" s="17">
        <v>79</v>
      </c>
      <c r="R1676" s="17">
        <f t="shared" si="89"/>
        <v>-1</v>
      </c>
      <c r="S1676" s="17">
        <v>760</v>
      </c>
      <c r="T1676" s="19" t="s">
        <v>42</v>
      </c>
      <c r="U1676" s="102" t="s">
        <v>655</v>
      </c>
      <c r="V1676" s="186">
        <v>44780</v>
      </c>
      <c r="W1676" s="17" t="s">
        <v>69</v>
      </c>
      <c r="Y1676" s="68">
        <v>44774</v>
      </c>
      <c r="Z1676" s="17" t="s">
        <v>191</v>
      </c>
      <c r="AA1676" s="17" t="s">
        <v>46</v>
      </c>
      <c r="AB1676" s="17" t="s">
        <v>656</v>
      </c>
      <c r="AC1676" s="66" t="s">
        <v>657</v>
      </c>
      <c r="AD1676" s="65">
        <v>1332</v>
      </c>
      <c r="AE1676" s="17" t="s">
        <v>658</v>
      </c>
      <c r="AF1676" s="17" t="s">
        <v>245</v>
      </c>
      <c r="AG1676" s="17" t="s">
        <v>660</v>
      </c>
    </row>
    <row r="1677" s="17" customFormat="1" hidden="1" spans="1:33">
      <c r="A1677" s="17" t="s">
        <v>34</v>
      </c>
      <c r="B1677" s="19">
        <v>825</v>
      </c>
      <c r="C1677" s="101">
        <v>44778</v>
      </c>
      <c r="D1677" s="17" t="s">
        <v>52</v>
      </c>
      <c r="E1677" s="17" t="s">
        <v>187</v>
      </c>
      <c r="F1677" s="17" t="s">
        <v>54</v>
      </c>
      <c r="H1677" s="19" t="s">
        <v>426</v>
      </c>
      <c r="I1677" s="19"/>
      <c r="J1677" s="17" t="s">
        <v>82</v>
      </c>
      <c r="K1677" s="17">
        <v>375</v>
      </c>
      <c r="L1677" s="91">
        <v>150</v>
      </c>
      <c r="M1677" s="19">
        <v>820</v>
      </c>
      <c r="N1677" s="19" t="s">
        <v>40</v>
      </c>
      <c r="O1677" s="19" t="s">
        <v>141</v>
      </c>
      <c r="P1677" s="19">
        <v>360</v>
      </c>
      <c r="Q1677" s="17">
        <v>369</v>
      </c>
      <c r="R1677" s="17">
        <f t="shared" si="89"/>
        <v>-9</v>
      </c>
      <c r="S1677" s="17">
        <v>760</v>
      </c>
      <c r="T1677" s="19" t="s">
        <v>42</v>
      </c>
      <c r="U1677" s="102" t="s">
        <v>655</v>
      </c>
      <c r="V1677" s="186">
        <v>44780</v>
      </c>
      <c r="W1677" s="17" t="s">
        <v>69</v>
      </c>
      <c r="Y1677" s="68">
        <v>44774</v>
      </c>
      <c r="Z1677" s="17" t="s">
        <v>191</v>
      </c>
      <c r="AA1677" s="17" t="s">
        <v>46</v>
      </c>
      <c r="AB1677" s="17" t="s">
        <v>656</v>
      </c>
      <c r="AC1677" s="66" t="s">
        <v>657</v>
      </c>
      <c r="AD1677" s="65">
        <v>1332</v>
      </c>
      <c r="AE1677" s="17" t="s">
        <v>658</v>
      </c>
      <c r="AF1677" s="17" t="s">
        <v>245</v>
      </c>
      <c r="AG1677" s="17" t="s">
        <v>660</v>
      </c>
    </row>
    <row r="1678" s="17" customFormat="1" hidden="1" spans="1:33">
      <c r="A1678" s="17" t="s">
        <v>34</v>
      </c>
      <c r="B1678" s="19">
        <v>825</v>
      </c>
      <c r="C1678" s="101">
        <v>44778</v>
      </c>
      <c r="D1678" s="17" t="s">
        <v>52</v>
      </c>
      <c r="E1678" s="17" t="s">
        <v>187</v>
      </c>
      <c r="F1678" s="17" t="s">
        <v>54</v>
      </c>
      <c r="H1678" s="19" t="s">
        <v>426</v>
      </c>
      <c r="I1678" s="19"/>
      <c r="J1678" s="17" t="s">
        <v>82</v>
      </c>
      <c r="K1678" s="17">
        <v>435</v>
      </c>
      <c r="L1678" s="91">
        <v>130</v>
      </c>
      <c r="M1678" s="19">
        <v>465</v>
      </c>
      <c r="N1678" s="19" t="s">
        <v>40</v>
      </c>
      <c r="O1678" s="19" t="s">
        <v>141</v>
      </c>
      <c r="P1678" s="19">
        <v>205</v>
      </c>
      <c r="Q1678" s="17">
        <v>209</v>
      </c>
      <c r="R1678" s="17">
        <f t="shared" si="89"/>
        <v>-4</v>
      </c>
      <c r="S1678" s="17">
        <v>760</v>
      </c>
      <c r="T1678" s="19" t="s">
        <v>42</v>
      </c>
      <c r="U1678" s="102" t="s">
        <v>655</v>
      </c>
      <c r="V1678" s="186">
        <v>44780</v>
      </c>
      <c r="W1678" s="17" t="s">
        <v>69</v>
      </c>
      <c r="Y1678" s="68">
        <v>44774</v>
      </c>
      <c r="Z1678" s="17" t="s">
        <v>191</v>
      </c>
      <c r="AA1678" s="17" t="s">
        <v>46</v>
      </c>
      <c r="AB1678" s="17" t="s">
        <v>656</v>
      </c>
      <c r="AC1678" s="66" t="s">
        <v>657</v>
      </c>
      <c r="AD1678" s="65">
        <v>1332</v>
      </c>
      <c r="AE1678" s="17" t="s">
        <v>658</v>
      </c>
      <c r="AF1678" s="17" t="s">
        <v>245</v>
      </c>
      <c r="AG1678" s="17" t="s">
        <v>660</v>
      </c>
    </row>
    <row r="1679" s="17" customFormat="1" hidden="1" spans="1:33">
      <c r="A1679" s="17" t="s">
        <v>34</v>
      </c>
      <c r="B1679" s="19">
        <v>825</v>
      </c>
      <c r="C1679" s="101">
        <v>44778</v>
      </c>
      <c r="D1679" s="17" t="s">
        <v>52</v>
      </c>
      <c r="E1679" s="17" t="s">
        <v>187</v>
      </c>
      <c r="F1679" s="17" t="s">
        <v>54</v>
      </c>
      <c r="H1679" s="19" t="s">
        <v>661</v>
      </c>
      <c r="I1679" s="19"/>
      <c r="J1679" s="17" t="s">
        <v>39</v>
      </c>
      <c r="K1679" s="17">
        <v>40</v>
      </c>
      <c r="L1679" s="91"/>
      <c r="M1679" s="19">
        <v>3000</v>
      </c>
      <c r="N1679" s="19" t="s">
        <v>40</v>
      </c>
      <c r="O1679" s="19" t="s">
        <v>141</v>
      </c>
      <c r="P1679" s="19">
        <v>385</v>
      </c>
      <c r="Q1679" s="17">
        <v>358</v>
      </c>
      <c r="R1679" s="17">
        <f t="shared" si="89"/>
        <v>27</v>
      </c>
      <c r="S1679" s="17">
        <v>670</v>
      </c>
      <c r="T1679" s="19" t="s">
        <v>42</v>
      </c>
      <c r="U1679" s="102" t="s">
        <v>655</v>
      </c>
      <c r="V1679" s="186">
        <v>44780</v>
      </c>
      <c r="W1679" s="17" t="s">
        <v>69</v>
      </c>
      <c r="Y1679" s="68">
        <v>44774</v>
      </c>
      <c r="Z1679" s="17" t="s">
        <v>191</v>
      </c>
      <c r="AA1679" s="17" t="s">
        <v>46</v>
      </c>
      <c r="AB1679" s="17" t="s">
        <v>656</v>
      </c>
      <c r="AC1679" s="66" t="s">
        <v>657</v>
      </c>
      <c r="AD1679" s="65">
        <v>1332</v>
      </c>
      <c r="AE1679" s="17" t="s">
        <v>658</v>
      </c>
      <c r="AF1679" s="17" t="s">
        <v>245</v>
      </c>
      <c r="AG1679" s="17" t="s">
        <v>662</v>
      </c>
    </row>
    <row r="1680" s="17" customFormat="1" hidden="1" spans="1:33">
      <c r="A1680" s="17" t="s">
        <v>34</v>
      </c>
      <c r="B1680" s="19">
        <v>825</v>
      </c>
      <c r="C1680" s="101">
        <v>44778</v>
      </c>
      <c r="D1680" s="17" t="s">
        <v>52</v>
      </c>
      <c r="E1680" s="17" t="s">
        <v>187</v>
      </c>
      <c r="F1680" s="17" t="s">
        <v>54</v>
      </c>
      <c r="H1680" s="19" t="s">
        <v>661</v>
      </c>
      <c r="I1680" s="19"/>
      <c r="J1680" s="17" t="s">
        <v>39</v>
      </c>
      <c r="K1680" s="17">
        <v>60</v>
      </c>
      <c r="L1680" s="91"/>
      <c r="M1680" s="19">
        <v>3000</v>
      </c>
      <c r="N1680" s="19" t="s">
        <v>40</v>
      </c>
      <c r="O1680" s="19" t="s">
        <v>141</v>
      </c>
      <c r="P1680" s="19">
        <v>733</v>
      </c>
      <c r="Q1680" s="17">
        <v>809</v>
      </c>
      <c r="R1680" s="17">
        <f t="shared" si="89"/>
        <v>-76</v>
      </c>
      <c r="S1680" s="17">
        <v>670</v>
      </c>
      <c r="T1680" s="19" t="s">
        <v>42</v>
      </c>
      <c r="U1680" s="102" t="s">
        <v>655</v>
      </c>
      <c r="V1680" s="186">
        <v>44780</v>
      </c>
      <c r="W1680" s="17" t="s">
        <v>69</v>
      </c>
      <c r="Y1680" s="68">
        <v>44774</v>
      </c>
      <c r="Z1680" s="17" t="s">
        <v>191</v>
      </c>
      <c r="AA1680" s="17" t="s">
        <v>46</v>
      </c>
      <c r="AB1680" s="17" t="s">
        <v>656</v>
      </c>
      <c r="AC1680" s="66" t="s">
        <v>657</v>
      </c>
      <c r="AD1680" s="65">
        <v>1332</v>
      </c>
      <c r="AE1680" s="17" t="s">
        <v>658</v>
      </c>
      <c r="AF1680" s="17" t="s">
        <v>245</v>
      </c>
      <c r="AG1680" s="17" t="s">
        <v>662</v>
      </c>
    </row>
    <row r="1681" s="17" customFormat="1" hidden="1" spans="1:35">
      <c r="A1681" s="17" t="s">
        <v>34</v>
      </c>
      <c r="B1681" s="19">
        <v>825</v>
      </c>
      <c r="C1681" s="101">
        <v>44778</v>
      </c>
      <c r="D1681" s="17" t="s">
        <v>52</v>
      </c>
      <c r="E1681" s="17" t="s">
        <v>187</v>
      </c>
      <c r="F1681" s="17" t="s">
        <v>54</v>
      </c>
      <c r="H1681" s="19" t="s">
        <v>661</v>
      </c>
      <c r="I1681" s="19"/>
      <c r="J1681" s="17" t="s">
        <v>39</v>
      </c>
      <c r="K1681" s="17">
        <v>80</v>
      </c>
      <c r="L1681" s="91"/>
      <c r="M1681" s="19">
        <v>3000</v>
      </c>
      <c r="N1681" s="19" t="s">
        <v>40</v>
      </c>
      <c r="O1681" s="19" t="s">
        <v>141</v>
      </c>
      <c r="P1681" s="19">
        <v>1067</v>
      </c>
      <c r="Q1681" s="17">
        <v>1199</v>
      </c>
      <c r="R1681" s="17">
        <f t="shared" si="89"/>
        <v>-132</v>
      </c>
      <c r="S1681" s="17">
        <v>670</v>
      </c>
      <c r="T1681" s="19" t="s">
        <v>42</v>
      </c>
      <c r="U1681" s="102" t="s">
        <v>655</v>
      </c>
      <c r="V1681" s="186">
        <v>44780</v>
      </c>
      <c r="W1681" s="17" t="s">
        <v>69</v>
      </c>
      <c r="Y1681" s="68">
        <v>44774</v>
      </c>
      <c r="Z1681" s="17" t="s">
        <v>191</v>
      </c>
      <c r="AA1681" s="17" t="s">
        <v>46</v>
      </c>
      <c r="AB1681" s="17" t="s">
        <v>656</v>
      </c>
      <c r="AC1681" s="66" t="s">
        <v>657</v>
      </c>
      <c r="AD1681" s="65">
        <v>1332</v>
      </c>
      <c r="AE1681" s="17" t="s">
        <v>658</v>
      </c>
      <c r="AF1681" s="17" t="s">
        <v>245</v>
      </c>
      <c r="AG1681" s="17" t="s">
        <v>662</v>
      </c>
    </row>
    <row r="1682" s="17" customFormat="1" hidden="1" spans="1:35">
      <c r="A1682" s="17" t="s">
        <v>34</v>
      </c>
      <c r="B1682" s="19">
        <v>825</v>
      </c>
      <c r="C1682" s="101">
        <v>44778</v>
      </c>
      <c r="D1682" s="17" t="s">
        <v>52</v>
      </c>
      <c r="E1682" s="17" t="s">
        <v>187</v>
      </c>
      <c r="F1682" s="17" t="s">
        <v>54</v>
      </c>
      <c r="H1682" s="19" t="s">
        <v>661</v>
      </c>
      <c r="I1682" s="19"/>
      <c r="J1682" s="17" t="s">
        <v>39</v>
      </c>
      <c r="K1682" s="17">
        <v>100</v>
      </c>
      <c r="L1682" s="91"/>
      <c r="M1682" s="19">
        <v>3000</v>
      </c>
      <c r="N1682" s="19" t="s">
        <v>40</v>
      </c>
      <c r="O1682" s="19" t="s">
        <v>141</v>
      </c>
      <c r="P1682" s="19">
        <v>1111</v>
      </c>
      <c r="Q1682" s="17">
        <v>1119</v>
      </c>
      <c r="R1682" s="17">
        <f t="shared" si="89"/>
        <v>-8</v>
      </c>
      <c r="S1682" s="17">
        <v>685</v>
      </c>
      <c r="T1682" s="19" t="s">
        <v>42</v>
      </c>
      <c r="U1682" s="102" t="s">
        <v>655</v>
      </c>
      <c r="V1682" s="186">
        <v>44780</v>
      </c>
      <c r="W1682" s="17" t="s">
        <v>69</v>
      </c>
      <c r="Y1682" s="68">
        <v>44774</v>
      </c>
      <c r="Z1682" s="17" t="s">
        <v>191</v>
      </c>
      <c r="AA1682" s="17" t="s">
        <v>46</v>
      </c>
      <c r="AB1682" s="17" t="s">
        <v>656</v>
      </c>
      <c r="AC1682" s="66" t="s">
        <v>657</v>
      </c>
      <c r="AD1682" s="65">
        <v>1332</v>
      </c>
      <c r="AE1682" s="17" t="s">
        <v>658</v>
      </c>
      <c r="AF1682" s="17" t="s">
        <v>245</v>
      </c>
      <c r="AG1682" s="17" t="s">
        <v>662</v>
      </c>
    </row>
    <row r="1683" s="17" customFormat="1" hidden="1" spans="1:35">
      <c r="A1683" s="17" t="s">
        <v>34</v>
      </c>
      <c r="B1683" s="19">
        <v>825</v>
      </c>
      <c r="C1683" s="101">
        <v>44778</v>
      </c>
      <c r="D1683" s="17" t="s">
        <v>52</v>
      </c>
      <c r="E1683" s="17" t="s">
        <v>187</v>
      </c>
      <c r="F1683" s="17" t="s">
        <v>54</v>
      </c>
      <c r="H1683" s="19" t="s">
        <v>661</v>
      </c>
      <c r="I1683" s="19"/>
      <c r="J1683" s="17" t="s">
        <v>39</v>
      </c>
      <c r="K1683" s="17">
        <v>160</v>
      </c>
      <c r="L1683" s="91"/>
      <c r="M1683" s="19">
        <v>3000</v>
      </c>
      <c r="N1683" s="19" t="s">
        <v>40</v>
      </c>
      <c r="O1683" s="19" t="s">
        <v>141</v>
      </c>
      <c r="P1683" s="19">
        <v>1896</v>
      </c>
      <c r="Q1683" s="17">
        <v>1905</v>
      </c>
      <c r="R1683" s="17">
        <f t="shared" ref="R1683:R1691" si="90">+P1683-Q1683</f>
        <v>-9</v>
      </c>
      <c r="S1683" s="17">
        <v>700</v>
      </c>
      <c r="T1683" s="19" t="s">
        <v>42</v>
      </c>
      <c r="U1683" s="102" t="s">
        <v>655</v>
      </c>
      <c r="V1683" s="186">
        <v>44780</v>
      </c>
      <c r="W1683" s="17" t="s">
        <v>69</v>
      </c>
      <c r="Y1683" s="68">
        <v>44774</v>
      </c>
      <c r="Z1683" s="17" t="s">
        <v>191</v>
      </c>
      <c r="AA1683" s="17" t="s">
        <v>46</v>
      </c>
      <c r="AB1683" s="17" t="s">
        <v>656</v>
      </c>
      <c r="AC1683" s="66" t="s">
        <v>657</v>
      </c>
      <c r="AD1683" s="65">
        <v>1332</v>
      </c>
      <c r="AE1683" s="17" t="s">
        <v>658</v>
      </c>
      <c r="AF1683" s="17" t="s">
        <v>245</v>
      </c>
      <c r="AG1683" s="17" t="s">
        <v>659</v>
      </c>
    </row>
    <row r="1684" s="17" customFormat="1" hidden="1" spans="1:35">
      <c r="A1684" s="17" t="s">
        <v>184</v>
      </c>
      <c r="B1684" s="19">
        <v>825</v>
      </c>
      <c r="C1684" s="101">
        <v>44778</v>
      </c>
      <c r="D1684" s="17" t="s">
        <v>52</v>
      </c>
      <c r="E1684" s="17" t="s">
        <v>187</v>
      </c>
      <c r="F1684" s="17" t="s">
        <v>54</v>
      </c>
      <c r="H1684" s="19" t="s">
        <v>661</v>
      </c>
      <c r="I1684" s="19"/>
      <c r="J1684" s="17" t="s">
        <v>39</v>
      </c>
      <c r="K1684" s="17">
        <v>170</v>
      </c>
      <c r="L1684" s="91"/>
      <c r="M1684" s="19">
        <v>3000</v>
      </c>
      <c r="N1684" s="19" t="s">
        <v>40</v>
      </c>
      <c r="O1684" s="19" t="s">
        <v>141</v>
      </c>
      <c r="P1684" s="19">
        <v>2141</v>
      </c>
      <c r="Q1684" s="17">
        <v>2152</v>
      </c>
      <c r="R1684" s="17">
        <f t="shared" si="90"/>
        <v>-11</v>
      </c>
      <c r="S1684" s="17">
        <f>950-225</f>
        <v>725</v>
      </c>
      <c r="T1684" s="19" t="s">
        <v>42</v>
      </c>
      <c r="U1684" s="102" t="s">
        <v>655</v>
      </c>
      <c r="V1684" s="186">
        <v>44780</v>
      </c>
      <c r="W1684" s="17" t="s">
        <v>69</v>
      </c>
      <c r="Y1684" s="68">
        <v>44774</v>
      </c>
      <c r="Z1684" s="17" t="s">
        <v>191</v>
      </c>
      <c r="AA1684" s="17" t="s">
        <v>46</v>
      </c>
      <c r="AB1684" s="17" t="s">
        <v>656</v>
      </c>
      <c r="AC1684" s="66" t="s">
        <v>657</v>
      </c>
      <c r="AD1684" s="65">
        <v>1332</v>
      </c>
      <c r="AE1684" s="17" t="s">
        <v>658</v>
      </c>
      <c r="AF1684" s="17" t="s">
        <v>245</v>
      </c>
      <c r="AG1684" s="17" t="s">
        <v>659</v>
      </c>
    </row>
    <row r="1685" s="17" customFormat="1" hidden="1" spans="1:35">
      <c r="A1685" s="17" t="s">
        <v>34</v>
      </c>
      <c r="B1685" s="19">
        <v>826</v>
      </c>
      <c r="C1685" s="101">
        <v>44778</v>
      </c>
      <c r="D1685" s="17" t="s">
        <v>52</v>
      </c>
      <c r="E1685" s="17" t="s">
        <v>187</v>
      </c>
      <c r="F1685" s="17" t="s">
        <v>54</v>
      </c>
      <c r="H1685" s="19">
        <v>1.2311</v>
      </c>
      <c r="I1685" s="19"/>
      <c r="J1685" s="17" t="s">
        <v>49</v>
      </c>
      <c r="K1685" s="17">
        <v>2200</v>
      </c>
      <c r="L1685" s="91">
        <v>20</v>
      </c>
      <c r="M1685" s="19">
        <v>5000</v>
      </c>
      <c r="N1685" s="19" t="s">
        <v>66</v>
      </c>
      <c r="O1685" s="19" t="s">
        <v>141</v>
      </c>
      <c r="P1685" s="19">
        <v>1727</v>
      </c>
      <c r="Q1685" s="19">
        <v>1856</v>
      </c>
      <c r="R1685" s="19">
        <f t="shared" si="90"/>
        <v>-129</v>
      </c>
      <c r="S1685" s="19">
        <f t="shared" ref="S1685:S1707" si="91">1070-10</f>
        <v>1060</v>
      </c>
      <c r="T1685" s="19" t="s">
        <v>42</v>
      </c>
      <c r="U1685" s="102" t="s">
        <v>663</v>
      </c>
      <c r="V1685" s="186">
        <v>44780</v>
      </c>
      <c r="W1685" s="17" t="s">
        <v>69</v>
      </c>
      <c r="Y1685" s="68">
        <v>44805</v>
      </c>
      <c r="Z1685" s="17" t="s">
        <v>191</v>
      </c>
      <c r="AA1685" s="17" t="s">
        <v>46</v>
      </c>
      <c r="AB1685" s="17" t="s">
        <v>575</v>
      </c>
      <c r="AC1685" s="17" t="s">
        <v>576</v>
      </c>
      <c r="AD1685" s="65">
        <v>1350</v>
      </c>
      <c r="AE1685" s="17" t="s">
        <v>48</v>
      </c>
      <c r="AF1685" s="17" t="s">
        <v>245</v>
      </c>
    </row>
    <row r="1686" s="17" customFormat="1" hidden="1" spans="1:35">
      <c r="A1686" s="17" t="s">
        <v>34</v>
      </c>
      <c r="B1686" s="19">
        <v>826</v>
      </c>
      <c r="C1686" s="101">
        <v>44778</v>
      </c>
      <c r="D1686" s="17" t="s">
        <v>52</v>
      </c>
      <c r="E1686" s="17" t="s">
        <v>187</v>
      </c>
      <c r="F1686" s="17" t="s">
        <v>54</v>
      </c>
      <c r="H1686" s="19">
        <v>1.2311</v>
      </c>
      <c r="I1686" s="19"/>
      <c r="J1686" s="17" t="s">
        <v>49</v>
      </c>
      <c r="K1686" s="17">
        <v>2200</v>
      </c>
      <c r="L1686" s="91">
        <v>20</v>
      </c>
      <c r="M1686" s="19">
        <v>3000</v>
      </c>
      <c r="N1686" s="19" t="s">
        <v>66</v>
      </c>
      <c r="O1686" s="19" t="s">
        <v>141</v>
      </c>
      <c r="P1686" s="19">
        <v>1036</v>
      </c>
      <c r="Q1686" s="17">
        <v>1220</v>
      </c>
      <c r="R1686" s="17">
        <f t="shared" si="90"/>
        <v>-184</v>
      </c>
      <c r="S1686" s="17">
        <f t="shared" si="91"/>
        <v>1060</v>
      </c>
      <c r="T1686" s="19" t="s">
        <v>42</v>
      </c>
      <c r="U1686" s="102" t="s">
        <v>663</v>
      </c>
      <c r="V1686" s="186">
        <v>44780</v>
      </c>
      <c r="W1686" s="17" t="s">
        <v>69</v>
      </c>
      <c r="Y1686" s="68">
        <v>44805</v>
      </c>
      <c r="Z1686" s="17" t="s">
        <v>191</v>
      </c>
      <c r="AA1686" s="17" t="s">
        <v>46</v>
      </c>
      <c r="AB1686" s="17" t="s">
        <v>664</v>
      </c>
      <c r="AC1686" s="17" t="s">
        <v>665</v>
      </c>
      <c r="AD1686" s="65">
        <v>1335</v>
      </c>
      <c r="AE1686" s="17" t="s">
        <v>74</v>
      </c>
      <c r="AF1686" s="17" t="s">
        <v>245</v>
      </c>
      <c r="AH1686" s="17" t="s">
        <v>666</v>
      </c>
      <c r="AI1686" s="17">
        <v>114.19</v>
      </c>
    </row>
    <row r="1687" s="17" customFormat="1" hidden="1" spans="1:35">
      <c r="A1687" s="17" t="s">
        <v>34</v>
      </c>
      <c r="B1687" s="19">
        <v>826</v>
      </c>
      <c r="C1687" s="101">
        <v>44778</v>
      </c>
      <c r="D1687" s="17" t="s">
        <v>52</v>
      </c>
      <c r="E1687" s="17" t="s">
        <v>187</v>
      </c>
      <c r="F1687" s="17" t="s">
        <v>54</v>
      </c>
      <c r="H1687" s="19">
        <v>1.2311</v>
      </c>
      <c r="I1687" s="19"/>
      <c r="J1687" s="17" t="s">
        <v>49</v>
      </c>
      <c r="K1687" s="17">
        <v>2200</v>
      </c>
      <c r="L1687" s="91">
        <v>32</v>
      </c>
      <c r="M1687" s="19">
        <v>5000</v>
      </c>
      <c r="N1687" s="19" t="s">
        <v>66</v>
      </c>
      <c r="O1687" s="19" t="s">
        <v>141</v>
      </c>
      <c r="P1687" s="19">
        <v>5526</v>
      </c>
      <c r="Q1687" s="17">
        <f>2740+2760</f>
        <v>5500</v>
      </c>
      <c r="R1687" s="17">
        <f t="shared" si="90"/>
        <v>26</v>
      </c>
      <c r="S1687" s="17">
        <f t="shared" si="91"/>
        <v>1060</v>
      </c>
      <c r="T1687" s="19" t="s">
        <v>42</v>
      </c>
      <c r="U1687" s="102" t="s">
        <v>663</v>
      </c>
      <c r="V1687" s="186">
        <v>44780</v>
      </c>
      <c r="W1687" s="17" t="s">
        <v>69</v>
      </c>
      <c r="Y1687" s="68">
        <v>44805</v>
      </c>
      <c r="Z1687" s="17" t="s">
        <v>191</v>
      </c>
      <c r="AA1687" s="17" t="s">
        <v>46</v>
      </c>
      <c r="AB1687" s="17" t="s">
        <v>664</v>
      </c>
      <c r="AC1687" s="17" t="s">
        <v>665</v>
      </c>
      <c r="AD1687" s="65">
        <v>1335</v>
      </c>
      <c r="AE1687" s="17" t="s">
        <v>567</v>
      </c>
      <c r="AF1687" s="17" t="s">
        <v>245</v>
      </c>
    </row>
    <row r="1688" s="17" customFormat="1" hidden="1" spans="1:35">
      <c r="A1688" s="17" t="s">
        <v>34</v>
      </c>
      <c r="B1688" s="19">
        <v>826</v>
      </c>
      <c r="C1688" s="101">
        <v>44778</v>
      </c>
      <c r="D1688" s="17" t="s">
        <v>52</v>
      </c>
      <c r="E1688" s="17" t="s">
        <v>187</v>
      </c>
      <c r="F1688" s="17" t="s">
        <v>54</v>
      </c>
      <c r="H1688" s="19">
        <v>1.2311</v>
      </c>
      <c r="I1688" s="19"/>
      <c r="J1688" s="17" t="s">
        <v>49</v>
      </c>
      <c r="K1688" s="17">
        <v>2200</v>
      </c>
      <c r="L1688" s="91">
        <v>36</v>
      </c>
      <c r="M1688" s="19">
        <v>5000</v>
      </c>
      <c r="N1688" s="19" t="s">
        <v>66</v>
      </c>
      <c r="O1688" s="19" t="s">
        <v>141</v>
      </c>
      <c r="P1688" s="19">
        <v>3109</v>
      </c>
      <c r="Q1688" s="17">
        <v>3160</v>
      </c>
      <c r="R1688" s="17">
        <f t="shared" si="90"/>
        <v>-51</v>
      </c>
      <c r="S1688" s="17">
        <f t="shared" si="91"/>
        <v>1060</v>
      </c>
      <c r="T1688" s="19" t="s">
        <v>42</v>
      </c>
      <c r="U1688" s="102" t="s">
        <v>663</v>
      </c>
      <c r="V1688" s="186">
        <v>44780</v>
      </c>
      <c r="W1688" s="17" t="s">
        <v>69</v>
      </c>
      <c r="Y1688" s="68">
        <v>44805</v>
      </c>
      <c r="Z1688" s="17" t="s">
        <v>191</v>
      </c>
      <c r="AA1688" s="17" t="s">
        <v>46</v>
      </c>
      <c r="AB1688" s="17" t="s">
        <v>664</v>
      </c>
      <c r="AC1688" s="17" t="s">
        <v>665</v>
      </c>
      <c r="AD1688" s="65">
        <v>1335</v>
      </c>
      <c r="AE1688" s="17" t="s">
        <v>567</v>
      </c>
      <c r="AF1688" s="17" t="s">
        <v>245</v>
      </c>
    </row>
    <row r="1689" s="17" customFormat="1" hidden="1" spans="1:35">
      <c r="A1689" s="17" t="s">
        <v>34</v>
      </c>
      <c r="B1689" s="19">
        <v>826</v>
      </c>
      <c r="C1689" s="101">
        <v>44778</v>
      </c>
      <c r="D1689" s="17" t="s">
        <v>52</v>
      </c>
      <c r="E1689" s="17" t="s">
        <v>187</v>
      </c>
      <c r="F1689" s="17" t="s">
        <v>54</v>
      </c>
      <c r="H1689" s="19">
        <v>1.2311</v>
      </c>
      <c r="I1689" s="19"/>
      <c r="J1689" s="17" t="s">
        <v>49</v>
      </c>
      <c r="K1689" s="17">
        <v>2200</v>
      </c>
      <c r="L1689" s="91">
        <v>40</v>
      </c>
      <c r="M1689" s="19">
        <v>5000</v>
      </c>
      <c r="N1689" s="19" t="s">
        <v>66</v>
      </c>
      <c r="O1689" s="19" t="s">
        <v>141</v>
      </c>
      <c r="P1689" s="19">
        <v>3454</v>
      </c>
      <c r="Q1689" s="17">
        <v>3560</v>
      </c>
      <c r="R1689" s="17">
        <f t="shared" si="90"/>
        <v>-106</v>
      </c>
      <c r="S1689" s="17">
        <f t="shared" si="91"/>
        <v>1060</v>
      </c>
      <c r="T1689" s="19" t="s">
        <v>42</v>
      </c>
      <c r="U1689" s="102" t="s">
        <v>663</v>
      </c>
      <c r="V1689" s="186">
        <v>44780</v>
      </c>
      <c r="W1689" s="17" t="s">
        <v>69</v>
      </c>
      <c r="Y1689" s="68">
        <v>44805</v>
      </c>
      <c r="Z1689" s="17" t="s">
        <v>191</v>
      </c>
      <c r="AA1689" s="17" t="s">
        <v>46</v>
      </c>
      <c r="AB1689" s="17" t="s">
        <v>664</v>
      </c>
      <c r="AC1689" s="17" t="s">
        <v>665</v>
      </c>
      <c r="AD1689" s="65">
        <v>1335</v>
      </c>
      <c r="AE1689" s="17" t="s">
        <v>48</v>
      </c>
      <c r="AF1689" s="17" t="s">
        <v>245</v>
      </c>
    </row>
    <row r="1690" s="17" customFormat="1" hidden="1" spans="1:35">
      <c r="A1690" s="17" t="s">
        <v>34</v>
      </c>
      <c r="B1690" s="19">
        <v>826</v>
      </c>
      <c r="C1690" s="101">
        <v>44778</v>
      </c>
      <c r="D1690" s="17" t="s">
        <v>52</v>
      </c>
      <c r="E1690" s="17" t="s">
        <v>187</v>
      </c>
      <c r="F1690" s="17" t="s">
        <v>54</v>
      </c>
      <c r="H1690" s="19">
        <v>1.2311</v>
      </c>
      <c r="I1690" s="19"/>
      <c r="J1690" s="17" t="s">
        <v>49</v>
      </c>
      <c r="K1690" s="17">
        <v>2200</v>
      </c>
      <c r="L1690" s="91">
        <v>40</v>
      </c>
      <c r="M1690" s="19">
        <v>3000</v>
      </c>
      <c r="N1690" s="19" t="s">
        <v>66</v>
      </c>
      <c r="O1690" s="19" t="s">
        <v>141</v>
      </c>
      <c r="P1690" s="19">
        <v>2072</v>
      </c>
      <c r="Q1690" s="17">
        <v>1900</v>
      </c>
      <c r="R1690" s="17">
        <f t="shared" si="90"/>
        <v>172</v>
      </c>
      <c r="S1690" s="17">
        <f t="shared" si="91"/>
        <v>1060</v>
      </c>
      <c r="T1690" s="19" t="s">
        <v>42</v>
      </c>
      <c r="U1690" s="102" t="s">
        <v>663</v>
      </c>
      <c r="V1690" s="186">
        <v>44780</v>
      </c>
      <c r="W1690" s="17" t="s">
        <v>69</v>
      </c>
      <c r="Y1690" s="68">
        <v>44805</v>
      </c>
      <c r="Z1690" s="17" t="s">
        <v>191</v>
      </c>
      <c r="AA1690" s="17" t="s">
        <v>46</v>
      </c>
      <c r="AB1690" s="17" t="s">
        <v>589</v>
      </c>
      <c r="AC1690" s="17" t="s">
        <v>590</v>
      </c>
      <c r="AD1690" s="65">
        <v>1346</v>
      </c>
      <c r="AE1690" s="17" t="s">
        <v>74</v>
      </c>
      <c r="AF1690" s="17" t="s">
        <v>245</v>
      </c>
      <c r="AH1690" s="17" t="s">
        <v>666</v>
      </c>
      <c r="AI1690" s="17">
        <v>114.19</v>
      </c>
    </row>
    <row r="1691" s="17" customFormat="1" hidden="1" spans="1:35">
      <c r="A1691" s="17" t="s">
        <v>34</v>
      </c>
      <c r="B1691" s="19">
        <v>826</v>
      </c>
      <c r="C1691" s="101">
        <v>44778</v>
      </c>
      <c r="D1691" s="17" t="s">
        <v>52</v>
      </c>
      <c r="E1691" s="17" t="s">
        <v>187</v>
      </c>
      <c r="F1691" s="17" t="s">
        <v>54</v>
      </c>
      <c r="H1691" s="19">
        <v>1.2311</v>
      </c>
      <c r="I1691" s="19"/>
      <c r="J1691" s="17" t="s">
        <v>49</v>
      </c>
      <c r="K1691" s="17">
        <v>2200</v>
      </c>
      <c r="L1691" s="91">
        <v>45</v>
      </c>
      <c r="M1691" s="19">
        <v>3000</v>
      </c>
      <c r="N1691" s="19" t="s">
        <v>66</v>
      </c>
      <c r="O1691" s="19" t="s">
        <v>141</v>
      </c>
      <c r="P1691" s="19">
        <v>2331</v>
      </c>
      <c r="Q1691" s="17">
        <v>2130</v>
      </c>
      <c r="R1691" s="17">
        <f t="shared" si="90"/>
        <v>201</v>
      </c>
      <c r="S1691" s="17">
        <f t="shared" si="91"/>
        <v>1060</v>
      </c>
      <c r="T1691" s="19" t="s">
        <v>42</v>
      </c>
      <c r="U1691" s="102" t="s">
        <v>663</v>
      </c>
      <c r="V1691" s="186">
        <v>44780</v>
      </c>
      <c r="W1691" s="17" t="s">
        <v>69</v>
      </c>
      <c r="Y1691" s="68">
        <v>44805</v>
      </c>
      <c r="Z1691" s="17" t="s">
        <v>191</v>
      </c>
      <c r="AA1691" s="17" t="s">
        <v>46</v>
      </c>
      <c r="AB1691" s="17" t="s">
        <v>664</v>
      </c>
      <c r="AC1691" s="17" t="s">
        <v>665</v>
      </c>
      <c r="AD1691" s="65">
        <v>1335</v>
      </c>
      <c r="AE1691" s="17" t="s">
        <v>74</v>
      </c>
      <c r="AF1691" s="17" t="s">
        <v>245</v>
      </c>
      <c r="AH1691" s="17" t="s">
        <v>666</v>
      </c>
      <c r="AI1691" s="17">
        <v>114.19</v>
      </c>
    </row>
    <row r="1692" s="17" customFormat="1" hidden="1" spans="1:35">
      <c r="A1692" s="17" t="s">
        <v>34</v>
      </c>
      <c r="B1692" s="19">
        <v>826</v>
      </c>
      <c r="C1692" s="101">
        <v>44778</v>
      </c>
      <c r="D1692" s="17" t="s">
        <v>52</v>
      </c>
      <c r="E1692" s="17" t="s">
        <v>187</v>
      </c>
      <c r="F1692" s="17" t="s">
        <v>54</v>
      </c>
      <c r="H1692" s="19">
        <v>1.2311</v>
      </c>
      <c r="I1692" s="19"/>
      <c r="J1692" s="17" t="s">
        <v>49</v>
      </c>
      <c r="K1692" s="17">
        <v>2200</v>
      </c>
      <c r="L1692" s="91">
        <v>50</v>
      </c>
      <c r="M1692" s="19">
        <v>5000</v>
      </c>
      <c r="N1692" s="19" t="s">
        <v>66</v>
      </c>
      <c r="O1692" s="19" t="s">
        <v>141</v>
      </c>
      <c r="P1692" s="19">
        <v>12953</v>
      </c>
      <c r="Q1692" s="17">
        <f>4480+2810</f>
        <v>7290</v>
      </c>
      <c r="S1692" s="17">
        <f t="shared" si="91"/>
        <v>1060</v>
      </c>
      <c r="T1692" s="19" t="s">
        <v>42</v>
      </c>
      <c r="U1692" s="102" t="s">
        <v>663</v>
      </c>
      <c r="V1692" s="186">
        <v>44780</v>
      </c>
      <c r="W1692" s="17" t="s">
        <v>69</v>
      </c>
      <c r="Y1692" s="68">
        <v>44805</v>
      </c>
      <c r="Z1692" s="17" t="s">
        <v>191</v>
      </c>
      <c r="AA1692" s="17" t="s">
        <v>46</v>
      </c>
      <c r="AB1692" s="17" t="s">
        <v>664</v>
      </c>
      <c r="AC1692" s="17" t="s">
        <v>665</v>
      </c>
      <c r="AD1692" s="65">
        <v>1335</v>
      </c>
      <c r="AE1692" s="17" t="s">
        <v>48</v>
      </c>
      <c r="AF1692" s="17" t="s">
        <v>245</v>
      </c>
    </row>
    <row r="1693" s="17" customFormat="1" hidden="1" spans="1:35">
      <c r="A1693" s="17" t="s">
        <v>34</v>
      </c>
      <c r="B1693" s="19">
        <v>826</v>
      </c>
      <c r="C1693" s="101">
        <v>44778</v>
      </c>
      <c r="D1693" s="17" t="s">
        <v>52</v>
      </c>
      <c r="E1693" s="17" t="s">
        <v>187</v>
      </c>
      <c r="F1693" s="17" t="s">
        <v>54</v>
      </c>
      <c r="H1693" s="19">
        <v>1.2311</v>
      </c>
      <c r="I1693" s="19"/>
      <c r="J1693" s="17" t="s">
        <v>49</v>
      </c>
      <c r="K1693" s="17">
        <v>2200</v>
      </c>
      <c r="L1693" s="91">
        <v>50</v>
      </c>
      <c r="M1693" s="19">
        <v>5000</v>
      </c>
      <c r="N1693" s="19" t="s">
        <v>66</v>
      </c>
      <c r="O1693" s="19" t="s">
        <v>141</v>
      </c>
      <c r="P1693" s="19"/>
      <c r="Q1693" s="17">
        <v>4490</v>
      </c>
      <c r="R1693" s="17">
        <f>+P1692-Q1692-Q1693</f>
        <v>1173</v>
      </c>
      <c r="S1693" s="17">
        <f t="shared" si="91"/>
        <v>1060</v>
      </c>
      <c r="T1693" s="19" t="s">
        <v>42</v>
      </c>
      <c r="U1693" s="102" t="s">
        <v>663</v>
      </c>
      <c r="V1693" s="186">
        <v>44780</v>
      </c>
      <c r="W1693" s="17" t="s">
        <v>69</v>
      </c>
      <c r="Y1693" s="68">
        <v>44805</v>
      </c>
      <c r="Z1693" s="17" t="s">
        <v>191</v>
      </c>
      <c r="AA1693" s="17" t="s">
        <v>46</v>
      </c>
      <c r="AB1693" s="17" t="s">
        <v>589</v>
      </c>
      <c r="AC1693" s="17" t="s">
        <v>590</v>
      </c>
      <c r="AD1693" s="65">
        <v>1346</v>
      </c>
      <c r="AE1693" s="17" t="s">
        <v>48</v>
      </c>
    </row>
    <row r="1694" s="17" customFormat="1" hidden="1" spans="1:35">
      <c r="A1694" s="17" t="s">
        <v>34</v>
      </c>
      <c r="B1694" s="19">
        <v>826</v>
      </c>
      <c r="C1694" s="101">
        <v>44778</v>
      </c>
      <c r="D1694" s="17" t="s">
        <v>52</v>
      </c>
      <c r="E1694" s="17" t="s">
        <v>187</v>
      </c>
      <c r="F1694" s="17" t="s">
        <v>54</v>
      </c>
      <c r="H1694" s="19">
        <v>1.2311</v>
      </c>
      <c r="I1694" s="19"/>
      <c r="J1694" s="17" t="s">
        <v>49</v>
      </c>
      <c r="K1694" s="17">
        <v>2200</v>
      </c>
      <c r="L1694" s="91">
        <v>50</v>
      </c>
      <c r="M1694" s="19">
        <v>3000</v>
      </c>
      <c r="N1694" s="19" t="s">
        <v>66</v>
      </c>
      <c r="O1694" s="19" t="s">
        <v>141</v>
      </c>
      <c r="P1694" s="19">
        <v>5181</v>
      </c>
      <c r="Q1694" s="17">
        <f>2810</f>
        <v>2810</v>
      </c>
      <c r="S1694" s="17">
        <f t="shared" si="91"/>
        <v>1060</v>
      </c>
      <c r="T1694" s="19" t="s">
        <v>42</v>
      </c>
      <c r="U1694" s="102" t="s">
        <v>663</v>
      </c>
      <c r="V1694" s="186">
        <v>44780</v>
      </c>
      <c r="W1694" s="17" t="s">
        <v>69</v>
      </c>
      <c r="Y1694" s="68">
        <v>44805</v>
      </c>
      <c r="Z1694" s="17" t="s">
        <v>191</v>
      </c>
      <c r="AA1694" s="17" t="s">
        <v>46</v>
      </c>
      <c r="AB1694" s="17" t="s">
        <v>664</v>
      </c>
      <c r="AC1694" s="17" t="s">
        <v>665</v>
      </c>
      <c r="AD1694" s="65">
        <v>1335</v>
      </c>
      <c r="AE1694" s="17" t="s">
        <v>74</v>
      </c>
      <c r="AF1694" s="17" t="s">
        <v>245</v>
      </c>
      <c r="AH1694" s="17" t="s">
        <v>666</v>
      </c>
      <c r="AI1694" s="17">
        <v>114.19</v>
      </c>
    </row>
    <row r="1695" s="17" customFormat="1" hidden="1" spans="1:35">
      <c r="A1695" s="17" t="s">
        <v>34</v>
      </c>
      <c r="B1695" s="19">
        <v>826</v>
      </c>
      <c r="C1695" s="101">
        <v>44778</v>
      </c>
      <c r="D1695" s="17" t="s">
        <v>52</v>
      </c>
      <c r="E1695" s="17" t="s">
        <v>187</v>
      </c>
      <c r="F1695" s="17" t="s">
        <v>54</v>
      </c>
      <c r="H1695" s="19">
        <v>1.2311</v>
      </c>
      <c r="I1695" s="19"/>
      <c r="J1695" s="17" t="s">
        <v>49</v>
      </c>
      <c r="K1695" s="17">
        <v>2200</v>
      </c>
      <c r="L1695" s="91">
        <v>50</v>
      </c>
      <c r="M1695" s="19">
        <v>3000</v>
      </c>
      <c r="N1695" s="19" t="s">
        <v>66</v>
      </c>
      <c r="O1695" s="19" t="s">
        <v>141</v>
      </c>
      <c r="P1695" s="19"/>
      <c r="Q1695" s="17">
        <v>4490</v>
      </c>
      <c r="R1695" s="17">
        <f>+P1694-Q1694-Q1695</f>
        <v>-2119</v>
      </c>
      <c r="S1695" s="17">
        <f t="shared" si="91"/>
        <v>1060</v>
      </c>
      <c r="T1695" s="19" t="s">
        <v>42</v>
      </c>
      <c r="U1695" s="102" t="s">
        <v>663</v>
      </c>
      <c r="V1695" s="186">
        <v>44780</v>
      </c>
      <c r="W1695" s="17" t="s">
        <v>69</v>
      </c>
      <c r="Y1695" s="68">
        <v>44805</v>
      </c>
      <c r="Z1695" s="17" t="s">
        <v>191</v>
      </c>
      <c r="AA1695" s="17" t="s">
        <v>46</v>
      </c>
      <c r="AB1695" s="17" t="s">
        <v>589</v>
      </c>
      <c r="AC1695" s="17" t="s">
        <v>590</v>
      </c>
      <c r="AD1695" s="65">
        <v>1346</v>
      </c>
    </row>
    <row r="1696" s="17" customFormat="1" hidden="1" spans="1:35">
      <c r="A1696" s="17" t="s">
        <v>34</v>
      </c>
      <c r="B1696" s="19">
        <v>826</v>
      </c>
      <c r="C1696" s="101">
        <v>44778</v>
      </c>
      <c r="D1696" s="17" t="s">
        <v>52</v>
      </c>
      <c r="E1696" s="17" t="s">
        <v>187</v>
      </c>
      <c r="F1696" s="17" t="s">
        <v>54</v>
      </c>
      <c r="H1696" s="19">
        <v>1.2311</v>
      </c>
      <c r="I1696" s="19"/>
      <c r="J1696" s="17" t="s">
        <v>49</v>
      </c>
      <c r="K1696" s="17">
        <v>2200</v>
      </c>
      <c r="L1696" s="91">
        <v>56</v>
      </c>
      <c r="M1696" s="19">
        <v>5000</v>
      </c>
      <c r="N1696" s="19" t="s">
        <v>66</v>
      </c>
      <c r="O1696" s="19" t="s">
        <v>141</v>
      </c>
      <c r="P1696" s="19">
        <v>4836</v>
      </c>
      <c r="Q1696" s="17">
        <v>4665</v>
      </c>
      <c r="R1696" s="17">
        <f>+P1696-Q1696</f>
        <v>171</v>
      </c>
      <c r="S1696" s="17">
        <f t="shared" si="91"/>
        <v>1060</v>
      </c>
      <c r="T1696" s="19" t="s">
        <v>42</v>
      </c>
      <c r="U1696" s="102" t="s">
        <v>663</v>
      </c>
      <c r="V1696" s="186">
        <v>44780</v>
      </c>
      <c r="W1696" s="17" t="s">
        <v>69</v>
      </c>
      <c r="Y1696" s="68">
        <v>44805</v>
      </c>
      <c r="Z1696" s="17" t="s">
        <v>191</v>
      </c>
      <c r="AA1696" s="17" t="s">
        <v>46</v>
      </c>
      <c r="AB1696" s="17" t="s">
        <v>664</v>
      </c>
      <c r="AC1696" s="17" t="s">
        <v>665</v>
      </c>
      <c r="AD1696" s="65">
        <v>1335</v>
      </c>
      <c r="AE1696" s="17" t="s">
        <v>48</v>
      </c>
      <c r="AF1696" s="17" t="s">
        <v>245</v>
      </c>
    </row>
    <row r="1697" s="17" customFormat="1" hidden="1" spans="1:35">
      <c r="A1697" s="17" t="s">
        <v>34</v>
      </c>
      <c r="B1697" s="19">
        <v>826</v>
      </c>
      <c r="C1697" s="101">
        <v>44778</v>
      </c>
      <c r="D1697" s="17" t="s">
        <v>52</v>
      </c>
      <c r="E1697" s="17" t="s">
        <v>187</v>
      </c>
      <c r="F1697" s="17" t="s">
        <v>54</v>
      </c>
      <c r="H1697" s="19">
        <v>1.2311</v>
      </c>
      <c r="I1697" s="19"/>
      <c r="J1697" s="17" t="s">
        <v>49</v>
      </c>
      <c r="K1697" s="17">
        <v>2200</v>
      </c>
      <c r="L1697" s="91">
        <v>61</v>
      </c>
      <c r="M1697" s="19">
        <v>3000</v>
      </c>
      <c r="N1697" s="19" t="s">
        <v>66</v>
      </c>
      <c r="O1697" s="19" t="s">
        <v>141</v>
      </c>
      <c r="P1697" s="19">
        <v>2873</v>
      </c>
      <c r="Q1697" s="17">
        <v>2870</v>
      </c>
      <c r="R1697" s="17">
        <f>+P1697-Q1697</f>
        <v>3</v>
      </c>
      <c r="S1697" s="17">
        <f t="shared" si="91"/>
        <v>1060</v>
      </c>
      <c r="T1697" s="19" t="s">
        <v>42</v>
      </c>
      <c r="U1697" s="102" t="s">
        <v>663</v>
      </c>
      <c r="V1697" s="186">
        <v>44780</v>
      </c>
      <c r="W1697" s="17" t="s">
        <v>69</v>
      </c>
      <c r="Y1697" s="68">
        <v>44805</v>
      </c>
      <c r="Z1697" s="17" t="s">
        <v>191</v>
      </c>
      <c r="AA1697" s="17" t="s">
        <v>46</v>
      </c>
      <c r="AB1697" s="17" t="s">
        <v>589</v>
      </c>
      <c r="AC1697" s="17" t="s">
        <v>590</v>
      </c>
      <c r="AD1697" s="65">
        <v>1346</v>
      </c>
      <c r="AE1697" s="17" t="s">
        <v>74</v>
      </c>
      <c r="AF1697" s="17" t="s">
        <v>245</v>
      </c>
      <c r="AH1697" s="17" t="s">
        <v>666</v>
      </c>
      <c r="AI1697" s="17">
        <v>114.19</v>
      </c>
    </row>
    <row r="1698" s="17" customFormat="1" hidden="1" spans="1:35">
      <c r="A1698" s="17" t="s">
        <v>34</v>
      </c>
      <c r="B1698" s="19">
        <v>826</v>
      </c>
      <c r="C1698" s="101">
        <v>44778</v>
      </c>
      <c r="D1698" s="17" t="s">
        <v>52</v>
      </c>
      <c r="E1698" s="17" t="s">
        <v>187</v>
      </c>
      <c r="F1698" s="17" t="s">
        <v>54</v>
      </c>
      <c r="H1698" s="19">
        <v>1.2311</v>
      </c>
      <c r="I1698" s="19"/>
      <c r="J1698" s="17" t="s">
        <v>49</v>
      </c>
      <c r="K1698" s="17">
        <v>2200</v>
      </c>
      <c r="L1698" s="91">
        <v>65</v>
      </c>
      <c r="M1698" s="19">
        <v>5000</v>
      </c>
      <c r="N1698" s="19" t="s">
        <v>66</v>
      </c>
      <c r="O1698" s="19" t="s">
        <v>141</v>
      </c>
      <c r="P1698" s="19">
        <v>5613</v>
      </c>
      <c r="Q1698" s="17">
        <v>5730</v>
      </c>
      <c r="S1698" s="17">
        <f t="shared" si="91"/>
        <v>1060</v>
      </c>
      <c r="T1698" s="19" t="s">
        <v>42</v>
      </c>
      <c r="U1698" s="102" t="s">
        <v>663</v>
      </c>
      <c r="V1698" s="186">
        <v>44780</v>
      </c>
      <c r="W1698" s="17" t="s">
        <v>69</v>
      </c>
      <c r="Y1698" s="68">
        <v>44805</v>
      </c>
      <c r="Z1698" s="17" t="s">
        <v>191</v>
      </c>
      <c r="AA1698" s="17" t="s">
        <v>46</v>
      </c>
      <c r="AB1698" s="17" t="s">
        <v>580</v>
      </c>
      <c r="AC1698" s="17" t="s">
        <v>581</v>
      </c>
      <c r="AD1698" s="65">
        <v>1334</v>
      </c>
      <c r="AE1698" s="17" t="s">
        <v>48</v>
      </c>
      <c r="AF1698" s="17" t="s">
        <v>245</v>
      </c>
    </row>
    <row r="1699" s="17" customFormat="1" hidden="1" spans="1:35">
      <c r="A1699" s="17" t="s">
        <v>34</v>
      </c>
      <c r="B1699" s="19">
        <v>826</v>
      </c>
      <c r="C1699" s="101">
        <v>44778</v>
      </c>
      <c r="D1699" s="17" t="s">
        <v>52</v>
      </c>
      <c r="E1699" s="17" t="s">
        <v>187</v>
      </c>
      <c r="F1699" s="17" t="s">
        <v>54</v>
      </c>
      <c r="H1699" s="19">
        <v>1.2311</v>
      </c>
      <c r="I1699" s="19"/>
      <c r="J1699" s="17" t="s">
        <v>49</v>
      </c>
      <c r="K1699" s="17">
        <v>2200</v>
      </c>
      <c r="L1699" s="91">
        <v>65</v>
      </c>
      <c r="M1699" s="19">
        <v>5000</v>
      </c>
      <c r="N1699" s="19" t="s">
        <v>66</v>
      </c>
      <c r="O1699" s="19" t="s">
        <v>141</v>
      </c>
      <c r="P1699" s="19"/>
      <c r="Q1699" s="17">
        <v>5800</v>
      </c>
      <c r="R1699" s="17">
        <f>+P1698-Q1698-Q1699</f>
        <v>-5917</v>
      </c>
      <c r="S1699" s="17">
        <f t="shared" si="91"/>
        <v>1060</v>
      </c>
      <c r="T1699" s="19" t="s">
        <v>42</v>
      </c>
      <c r="U1699" s="102" t="s">
        <v>663</v>
      </c>
      <c r="V1699" s="186">
        <v>44780</v>
      </c>
      <c r="W1699" s="17" t="s">
        <v>69</v>
      </c>
      <c r="Y1699" s="68">
        <v>44805</v>
      </c>
      <c r="Z1699" s="17" t="s">
        <v>191</v>
      </c>
      <c r="AA1699" s="17" t="s">
        <v>46</v>
      </c>
      <c r="AB1699" s="17" t="s">
        <v>589</v>
      </c>
      <c r="AC1699" s="17" t="s">
        <v>590</v>
      </c>
      <c r="AD1699" s="65">
        <v>1346</v>
      </c>
      <c r="AE1699" s="17" t="s">
        <v>48</v>
      </c>
    </row>
    <row r="1700" s="17" customFormat="1" hidden="1" spans="1:35">
      <c r="A1700" s="17" t="s">
        <v>34</v>
      </c>
      <c r="B1700" s="19">
        <v>826</v>
      </c>
      <c r="C1700" s="101">
        <v>44778</v>
      </c>
      <c r="D1700" s="17" t="s">
        <v>52</v>
      </c>
      <c r="E1700" s="17" t="s">
        <v>187</v>
      </c>
      <c r="F1700" s="17" t="s">
        <v>54</v>
      </c>
      <c r="H1700" s="19">
        <v>1.2311</v>
      </c>
      <c r="I1700" s="19"/>
      <c r="J1700" s="17" t="s">
        <v>49</v>
      </c>
      <c r="K1700" s="17">
        <v>2200</v>
      </c>
      <c r="L1700" s="91">
        <v>71</v>
      </c>
      <c r="M1700" s="19">
        <v>3000</v>
      </c>
      <c r="N1700" s="19" t="s">
        <v>66</v>
      </c>
      <c r="O1700" s="19" t="s">
        <v>141</v>
      </c>
      <c r="P1700" s="19">
        <v>3679</v>
      </c>
      <c r="Q1700" s="17">
        <v>4070</v>
      </c>
      <c r="R1700" s="17">
        <f t="shared" ref="R1700:R1705" si="92">+P1700-Q1700</f>
        <v>-391</v>
      </c>
      <c r="S1700" s="17">
        <f t="shared" si="91"/>
        <v>1060</v>
      </c>
      <c r="T1700" s="19" t="s">
        <v>42</v>
      </c>
      <c r="U1700" s="102" t="s">
        <v>663</v>
      </c>
      <c r="V1700" s="186">
        <v>44780</v>
      </c>
      <c r="W1700" s="17" t="s">
        <v>69</v>
      </c>
      <c r="Y1700" s="68">
        <v>44805</v>
      </c>
      <c r="Z1700" s="17" t="s">
        <v>191</v>
      </c>
      <c r="AA1700" s="17" t="s">
        <v>46</v>
      </c>
      <c r="AB1700" s="17" t="s">
        <v>644</v>
      </c>
      <c r="AC1700" s="17" t="s">
        <v>645</v>
      </c>
      <c r="AD1700" s="65">
        <v>1331</v>
      </c>
      <c r="AE1700" s="17" t="s">
        <v>74</v>
      </c>
      <c r="AF1700" s="17" t="s">
        <v>245</v>
      </c>
      <c r="AH1700" s="17" t="s">
        <v>666</v>
      </c>
      <c r="AI1700" s="17">
        <v>114.19</v>
      </c>
    </row>
    <row r="1701" s="17" customFormat="1" hidden="1" spans="1:35">
      <c r="A1701" s="17" t="s">
        <v>34</v>
      </c>
      <c r="B1701" s="19">
        <v>826</v>
      </c>
      <c r="C1701" s="101">
        <v>44778</v>
      </c>
      <c r="D1701" s="17" t="s">
        <v>52</v>
      </c>
      <c r="E1701" s="17" t="s">
        <v>187</v>
      </c>
      <c r="F1701" s="17" t="s">
        <v>54</v>
      </c>
      <c r="H1701" s="19">
        <v>1.2311</v>
      </c>
      <c r="I1701" s="19"/>
      <c r="J1701" s="17" t="s">
        <v>49</v>
      </c>
      <c r="K1701" s="17">
        <v>2200</v>
      </c>
      <c r="L1701" s="91">
        <v>75</v>
      </c>
      <c r="M1701" s="19">
        <v>5000</v>
      </c>
      <c r="N1701" s="19" t="s">
        <v>66</v>
      </c>
      <c r="O1701" s="19" t="s">
        <v>141</v>
      </c>
      <c r="P1701" s="19">
        <v>6476</v>
      </c>
      <c r="Q1701" s="17">
        <v>6640</v>
      </c>
      <c r="R1701" s="17">
        <f t="shared" si="92"/>
        <v>-164</v>
      </c>
      <c r="S1701" s="17">
        <f t="shared" si="91"/>
        <v>1060</v>
      </c>
      <c r="T1701" s="19" t="s">
        <v>42</v>
      </c>
      <c r="U1701" s="102" t="s">
        <v>663</v>
      </c>
      <c r="V1701" s="186">
        <v>44780</v>
      </c>
      <c r="W1701" s="17" t="s">
        <v>69</v>
      </c>
      <c r="Y1701" s="68">
        <v>44805</v>
      </c>
      <c r="Z1701" s="17" t="s">
        <v>191</v>
      </c>
      <c r="AA1701" s="17" t="s">
        <v>46</v>
      </c>
      <c r="AB1701" s="17" t="s">
        <v>644</v>
      </c>
      <c r="AC1701" s="17" t="s">
        <v>645</v>
      </c>
      <c r="AD1701" s="65">
        <v>1331</v>
      </c>
      <c r="AE1701" s="17" t="s">
        <v>48</v>
      </c>
      <c r="AF1701" s="17" t="s">
        <v>245</v>
      </c>
    </row>
    <row r="1702" s="17" customFormat="1" hidden="1" spans="1:35">
      <c r="A1702" s="17" t="s">
        <v>34</v>
      </c>
      <c r="B1702" s="19">
        <v>826</v>
      </c>
      <c r="C1702" s="101">
        <v>44778</v>
      </c>
      <c r="D1702" s="17" t="s">
        <v>52</v>
      </c>
      <c r="E1702" s="17" t="s">
        <v>187</v>
      </c>
      <c r="F1702" s="17" t="s">
        <v>54</v>
      </c>
      <c r="H1702" s="19">
        <v>1.2311</v>
      </c>
      <c r="I1702" s="19"/>
      <c r="J1702" s="17" t="s">
        <v>49</v>
      </c>
      <c r="K1702" s="17">
        <v>2200</v>
      </c>
      <c r="L1702" s="91">
        <v>80</v>
      </c>
      <c r="M1702" s="19">
        <v>5000</v>
      </c>
      <c r="N1702" s="19" t="s">
        <v>66</v>
      </c>
      <c r="O1702" s="19" t="s">
        <v>141</v>
      </c>
      <c r="P1702" s="19">
        <v>6908</v>
      </c>
      <c r="Q1702" s="17">
        <v>6980</v>
      </c>
      <c r="R1702" s="17">
        <f t="shared" si="92"/>
        <v>-72</v>
      </c>
      <c r="S1702" s="17">
        <f t="shared" si="91"/>
        <v>1060</v>
      </c>
      <c r="T1702" s="19" t="s">
        <v>42</v>
      </c>
      <c r="U1702" s="102" t="s">
        <v>663</v>
      </c>
      <c r="V1702" s="186">
        <v>44780</v>
      </c>
      <c r="W1702" s="17" t="s">
        <v>69</v>
      </c>
      <c r="Y1702" s="68">
        <v>44805</v>
      </c>
      <c r="Z1702" s="17" t="s">
        <v>191</v>
      </c>
      <c r="AA1702" s="17" t="s">
        <v>46</v>
      </c>
      <c r="AB1702" s="17" t="s">
        <v>644</v>
      </c>
      <c r="AC1702" s="17" t="s">
        <v>645</v>
      </c>
      <c r="AD1702" s="65">
        <v>1331</v>
      </c>
      <c r="AE1702" s="17" t="s">
        <v>48</v>
      </c>
      <c r="AF1702" s="17" t="s">
        <v>245</v>
      </c>
    </row>
    <row r="1703" s="17" customFormat="1" hidden="1" spans="1:35">
      <c r="A1703" s="17" t="s">
        <v>34</v>
      </c>
      <c r="B1703" s="19">
        <v>826</v>
      </c>
      <c r="C1703" s="101">
        <v>44778</v>
      </c>
      <c r="D1703" s="17" t="s">
        <v>52</v>
      </c>
      <c r="E1703" s="17" t="s">
        <v>187</v>
      </c>
      <c r="F1703" s="17" t="s">
        <v>54</v>
      </c>
      <c r="H1703" s="19">
        <v>1.2311</v>
      </c>
      <c r="I1703" s="19"/>
      <c r="J1703" s="17" t="s">
        <v>49</v>
      </c>
      <c r="K1703" s="17">
        <v>2200</v>
      </c>
      <c r="L1703" s="91">
        <v>91</v>
      </c>
      <c r="M1703" s="19">
        <v>5000</v>
      </c>
      <c r="N1703" s="19" t="s">
        <v>66</v>
      </c>
      <c r="O1703" s="19" t="s">
        <v>141</v>
      </c>
      <c r="P1703" s="19">
        <v>15716</v>
      </c>
      <c r="Q1703" s="17">
        <f>7840+7830</f>
        <v>15670</v>
      </c>
      <c r="R1703" s="17">
        <f t="shared" si="92"/>
        <v>46</v>
      </c>
      <c r="S1703" s="17">
        <f t="shared" si="91"/>
        <v>1060</v>
      </c>
      <c r="T1703" s="19" t="s">
        <v>42</v>
      </c>
      <c r="U1703" s="102" t="s">
        <v>663</v>
      </c>
      <c r="V1703" s="186">
        <v>44780</v>
      </c>
      <c r="W1703" s="17" t="s">
        <v>69</v>
      </c>
      <c r="Y1703" s="68">
        <v>44805</v>
      </c>
      <c r="Z1703" s="17" t="s">
        <v>191</v>
      </c>
      <c r="AA1703" s="17" t="s">
        <v>46</v>
      </c>
      <c r="AB1703" s="17" t="s">
        <v>589</v>
      </c>
      <c r="AC1703" s="17" t="s">
        <v>590</v>
      </c>
      <c r="AD1703" s="65">
        <v>1346</v>
      </c>
      <c r="AE1703" s="17" t="s">
        <v>129</v>
      </c>
      <c r="AF1703" s="17" t="s">
        <v>245</v>
      </c>
      <c r="AH1703" s="17" t="s">
        <v>666</v>
      </c>
      <c r="AI1703" s="17">
        <v>114.19</v>
      </c>
    </row>
    <row r="1704" s="17" customFormat="1" hidden="1" spans="1:35">
      <c r="A1704" s="17" t="s">
        <v>34</v>
      </c>
      <c r="B1704" s="19">
        <v>826</v>
      </c>
      <c r="C1704" s="101">
        <v>44778</v>
      </c>
      <c r="D1704" s="17" t="s">
        <v>52</v>
      </c>
      <c r="E1704" s="17" t="s">
        <v>187</v>
      </c>
      <c r="F1704" s="17" t="s">
        <v>54</v>
      </c>
      <c r="H1704" s="19">
        <v>1.2311</v>
      </c>
      <c r="I1704" s="19"/>
      <c r="J1704" s="17" t="s">
        <v>49</v>
      </c>
      <c r="K1704" s="17">
        <v>2200</v>
      </c>
      <c r="L1704" s="91">
        <v>105</v>
      </c>
      <c r="M1704" s="19">
        <v>5000</v>
      </c>
      <c r="N1704" s="19" t="s">
        <v>66</v>
      </c>
      <c r="O1704" s="19" t="s">
        <v>141</v>
      </c>
      <c r="P1704" s="19">
        <v>9067</v>
      </c>
      <c r="Q1704" s="17">
        <v>9280</v>
      </c>
      <c r="R1704" s="17">
        <f t="shared" si="92"/>
        <v>-213</v>
      </c>
      <c r="S1704" s="17">
        <f t="shared" si="91"/>
        <v>1060</v>
      </c>
      <c r="T1704" s="19" t="s">
        <v>42</v>
      </c>
      <c r="U1704" s="102" t="s">
        <v>663</v>
      </c>
      <c r="V1704" s="186">
        <v>44780</v>
      </c>
      <c r="W1704" s="17" t="s">
        <v>69</v>
      </c>
      <c r="Y1704" s="68">
        <v>44805</v>
      </c>
      <c r="Z1704" s="17" t="s">
        <v>191</v>
      </c>
      <c r="AA1704" s="17" t="s">
        <v>46</v>
      </c>
      <c r="AB1704" s="17" t="s">
        <v>664</v>
      </c>
      <c r="AC1704" s="17" t="s">
        <v>665</v>
      </c>
      <c r="AD1704" s="65">
        <v>1335</v>
      </c>
      <c r="AE1704" s="17" t="s">
        <v>48</v>
      </c>
      <c r="AF1704" s="17" t="s">
        <v>245</v>
      </c>
    </row>
    <row r="1705" s="17" customFormat="1" hidden="1" spans="1:35">
      <c r="A1705" s="17" t="s">
        <v>34</v>
      </c>
      <c r="B1705" s="19">
        <v>826</v>
      </c>
      <c r="C1705" s="101">
        <v>44778</v>
      </c>
      <c r="D1705" s="17" t="s">
        <v>52</v>
      </c>
      <c r="E1705" s="17" t="s">
        <v>187</v>
      </c>
      <c r="F1705" s="17" t="s">
        <v>54</v>
      </c>
      <c r="H1705" s="19">
        <v>1.2311</v>
      </c>
      <c r="I1705" s="19"/>
      <c r="J1705" s="17" t="s">
        <v>49</v>
      </c>
      <c r="K1705" s="17">
        <v>2200</v>
      </c>
      <c r="L1705" s="91">
        <v>110</v>
      </c>
      <c r="M1705" s="19">
        <v>5000</v>
      </c>
      <c r="N1705" s="19" t="s">
        <v>66</v>
      </c>
      <c r="O1705" s="19" t="s">
        <v>141</v>
      </c>
      <c r="P1705" s="19">
        <v>9499</v>
      </c>
      <c r="Q1705" s="17">
        <v>8660</v>
      </c>
      <c r="R1705" s="17">
        <f t="shared" si="92"/>
        <v>839</v>
      </c>
      <c r="S1705" s="17">
        <f t="shared" si="91"/>
        <v>1060</v>
      </c>
      <c r="T1705" s="19" t="s">
        <v>42</v>
      </c>
      <c r="U1705" s="102" t="s">
        <v>663</v>
      </c>
      <c r="V1705" s="186">
        <v>44780</v>
      </c>
      <c r="W1705" s="17" t="s">
        <v>69</v>
      </c>
      <c r="Y1705" s="68">
        <v>44805</v>
      </c>
      <c r="Z1705" s="17" t="s">
        <v>191</v>
      </c>
      <c r="AA1705" s="17" t="s">
        <v>46</v>
      </c>
      <c r="AB1705" s="17" t="s">
        <v>664</v>
      </c>
      <c r="AC1705" s="17" t="s">
        <v>665</v>
      </c>
      <c r="AD1705" s="65">
        <v>1335</v>
      </c>
      <c r="AE1705" s="17" t="s">
        <v>48</v>
      </c>
      <c r="AF1705" s="17" t="s">
        <v>245</v>
      </c>
    </row>
    <row r="1706" s="17" customFormat="1" hidden="1" spans="1:35">
      <c r="A1706" s="17" t="s">
        <v>34</v>
      </c>
      <c r="B1706" s="19">
        <v>826</v>
      </c>
      <c r="C1706" s="101">
        <v>44778</v>
      </c>
      <c r="D1706" s="17" t="s">
        <v>52</v>
      </c>
      <c r="E1706" s="17" t="s">
        <v>187</v>
      </c>
      <c r="F1706" s="17" t="s">
        <v>54</v>
      </c>
      <c r="H1706" s="19">
        <v>1.2311</v>
      </c>
      <c r="I1706" s="19"/>
      <c r="J1706" s="17" t="s">
        <v>49</v>
      </c>
      <c r="K1706" s="17">
        <v>2200</v>
      </c>
      <c r="L1706" s="91">
        <v>120</v>
      </c>
      <c r="M1706" s="19">
        <v>3000</v>
      </c>
      <c r="N1706" s="19" t="s">
        <v>66</v>
      </c>
      <c r="O1706" s="19" t="s">
        <v>141</v>
      </c>
      <c r="P1706" s="19">
        <v>12434</v>
      </c>
      <c r="Q1706" s="17">
        <v>6650</v>
      </c>
      <c r="S1706" s="17">
        <f t="shared" si="91"/>
        <v>1060</v>
      </c>
      <c r="T1706" s="19" t="s">
        <v>42</v>
      </c>
      <c r="U1706" s="102" t="s">
        <v>663</v>
      </c>
      <c r="V1706" s="186">
        <v>44780</v>
      </c>
      <c r="W1706" s="17" t="s">
        <v>69</v>
      </c>
      <c r="Y1706" s="68">
        <v>44805</v>
      </c>
      <c r="Z1706" s="17" t="s">
        <v>191</v>
      </c>
      <c r="AA1706" s="17" t="s">
        <v>46</v>
      </c>
      <c r="AB1706" s="17" t="s">
        <v>664</v>
      </c>
      <c r="AC1706" s="17" t="s">
        <v>665</v>
      </c>
      <c r="AD1706" s="65">
        <v>1335</v>
      </c>
      <c r="AE1706" s="17" t="s">
        <v>129</v>
      </c>
      <c r="AF1706" s="17" t="s">
        <v>245</v>
      </c>
      <c r="AH1706" s="17" t="s">
        <v>666</v>
      </c>
      <c r="AI1706" s="17">
        <v>114.19</v>
      </c>
    </row>
    <row r="1707" s="17" customFormat="1" hidden="1" spans="1:35">
      <c r="A1707" s="17" t="s">
        <v>34</v>
      </c>
      <c r="B1707" s="19">
        <v>826</v>
      </c>
      <c r="C1707" s="101">
        <v>44778</v>
      </c>
      <c r="D1707" s="17" t="s">
        <v>52</v>
      </c>
      <c r="E1707" s="17" t="s">
        <v>187</v>
      </c>
      <c r="F1707" s="17" t="s">
        <v>54</v>
      </c>
      <c r="H1707" s="19">
        <v>1.2311</v>
      </c>
      <c r="I1707" s="19"/>
      <c r="J1707" s="17" t="s">
        <v>49</v>
      </c>
      <c r="K1707" s="17">
        <v>2200</v>
      </c>
      <c r="L1707" s="91">
        <v>120</v>
      </c>
      <c r="M1707" s="19">
        <v>3000</v>
      </c>
      <c r="N1707" s="19" t="s">
        <v>66</v>
      </c>
      <c r="O1707" s="19" t="s">
        <v>141</v>
      </c>
      <c r="P1707" s="19"/>
      <c r="Q1707" s="17">
        <v>6680</v>
      </c>
      <c r="R1707" s="17">
        <f>+P1706-Q1706-Q1707</f>
        <v>-896</v>
      </c>
      <c r="S1707" s="17">
        <f t="shared" si="91"/>
        <v>1060</v>
      </c>
      <c r="T1707" s="19" t="s">
        <v>42</v>
      </c>
      <c r="U1707" s="102" t="s">
        <v>663</v>
      </c>
      <c r="V1707" s="186">
        <v>44780</v>
      </c>
      <c r="W1707" s="17" t="s">
        <v>69</v>
      </c>
      <c r="Y1707" s="68">
        <v>44805</v>
      </c>
      <c r="Z1707" s="17" t="s">
        <v>191</v>
      </c>
      <c r="AA1707" s="17" t="s">
        <v>46</v>
      </c>
      <c r="AB1707" s="17" t="s">
        <v>589</v>
      </c>
      <c r="AC1707" s="17" t="s">
        <v>590</v>
      </c>
      <c r="AD1707" s="65">
        <v>1346</v>
      </c>
      <c r="AE1707" s="17" t="s">
        <v>129</v>
      </c>
    </row>
    <row r="1708" s="17" customFormat="1" hidden="1" spans="1:35">
      <c r="A1708" s="17" t="s">
        <v>34</v>
      </c>
      <c r="B1708" s="19">
        <v>826</v>
      </c>
      <c r="C1708" s="101">
        <v>44778</v>
      </c>
      <c r="D1708" s="17" t="s">
        <v>52</v>
      </c>
      <c r="E1708" s="17" t="s">
        <v>187</v>
      </c>
      <c r="F1708" s="17" t="s">
        <v>54</v>
      </c>
      <c r="H1708" s="19">
        <v>1.2311</v>
      </c>
      <c r="I1708" s="19"/>
      <c r="J1708" s="17" t="s">
        <v>49</v>
      </c>
      <c r="K1708" s="17">
        <v>2200</v>
      </c>
      <c r="L1708" s="91">
        <v>150</v>
      </c>
      <c r="M1708" s="19">
        <v>5000</v>
      </c>
      <c r="N1708" s="19" t="s">
        <v>66</v>
      </c>
      <c r="O1708" s="19" t="s">
        <v>141</v>
      </c>
      <c r="P1708" s="19">
        <v>12953</v>
      </c>
      <c r="Q1708" s="17">
        <v>12900</v>
      </c>
      <c r="R1708" s="17">
        <f t="shared" ref="R1708:R1713" si="93">+P1708-Q1708</f>
        <v>53</v>
      </c>
      <c r="S1708" s="17">
        <f>1070+10</f>
        <v>1080</v>
      </c>
      <c r="T1708" s="19" t="s">
        <v>42</v>
      </c>
      <c r="U1708" s="102" t="s">
        <v>663</v>
      </c>
      <c r="V1708" s="186">
        <v>44780</v>
      </c>
      <c r="W1708" s="17" t="s">
        <v>69</v>
      </c>
      <c r="Y1708" s="68">
        <v>44805</v>
      </c>
      <c r="Z1708" s="17" t="s">
        <v>191</v>
      </c>
      <c r="AA1708" s="17" t="s">
        <v>46</v>
      </c>
      <c r="AB1708" s="17" t="s">
        <v>644</v>
      </c>
      <c r="AC1708" s="17" t="s">
        <v>645</v>
      </c>
      <c r="AD1708" s="65">
        <v>1331</v>
      </c>
      <c r="AE1708" s="17" t="s">
        <v>74</v>
      </c>
      <c r="AF1708" s="17" t="s">
        <v>245</v>
      </c>
      <c r="AH1708" s="17" t="s">
        <v>666</v>
      </c>
      <c r="AI1708" s="17">
        <v>114.19</v>
      </c>
    </row>
    <row r="1709" s="17" customFormat="1" hidden="1" spans="1:35">
      <c r="A1709" s="17" t="s">
        <v>34</v>
      </c>
      <c r="B1709" s="19">
        <v>826</v>
      </c>
      <c r="C1709" s="101">
        <v>44778</v>
      </c>
      <c r="D1709" s="17" t="s">
        <v>52</v>
      </c>
      <c r="E1709" s="17" t="s">
        <v>187</v>
      </c>
      <c r="F1709" s="17" t="s">
        <v>54</v>
      </c>
      <c r="H1709" s="19">
        <v>1.2311</v>
      </c>
      <c r="I1709" s="19"/>
      <c r="J1709" s="17" t="s">
        <v>49</v>
      </c>
      <c r="K1709" s="17">
        <v>2200</v>
      </c>
      <c r="L1709" s="91">
        <v>180</v>
      </c>
      <c r="M1709" s="19">
        <v>3000</v>
      </c>
      <c r="N1709" s="19" t="s">
        <v>66</v>
      </c>
      <c r="O1709" s="19" t="s">
        <v>141</v>
      </c>
      <c r="P1709" s="19">
        <v>9326</v>
      </c>
      <c r="Q1709" s="19">
        <v>9350</v>
      </c>
      <c r="R1709" s="19">
        <f t="shared" si="93"/>
        <v>-24</v>
      </c>
      <c r="S1709" s="19">
        <f>1090+10</f>
        <v>1100</v>
      </c>
      <c r="T1709" s="19" t="s">
        <v>42</v>
      </c>
      <c r="U1709" s="102" t="s">
        <v>663</v>
      </c>
      <c r="V1709" s="186">
        <v>44780</v>
      </c>
      <c r="W1709" s="17" t="s">
        <v>69</v>
      </c>
      <c r="Y1709" s="68">
        <v>44805</v>
      </c>
      <c r="Z1709" s="17" t="s">
        <v>191</v>
      </c>
      <c r="AA1709" s="17" t="s">
        <v>46</v>
      </c>
      <c r="AB1709" s="17" t="s">
        <v>575</v>
      </c>
      <c r="AC1709" s="17" t="s">
        <v>576</v>
      </c>
      <c r="AD1709" s="65">
        <v>1350</v>
      </c>
      <c r="AE1709" s="17" t="s">
        <v>74</v>
      </c>
      <c r="AF1709" s="17" t="s">
        <v>245</v>
      </c>
      <c r="AH1709" s="17" t="s">
        <v>667</v>
      </c>
      <c r="AI1709" s="17">
        <v>117.87</v>
      </c>
    </row>
    <row r="1710" s="17" customFormat="1" hidden="1" spans="1:35">
      <c r="A1710" s="17" t="s">
        <v>34</v>
      </c>
      <c r="B1710" s="19">
        <v>826</v>
      </c>
      <c r="C1710" s="101">
        <v>44778</v>
      </c>
      <c r="D1710" s="17" t="s">
        <v>52</v>
      </c>
      <c r="E1710" s="17" t="s">
        <v>187</v>
      </c>
      <c r="F1710" s="17" t="s">
        <v>54</v>
      </c>
      <c r="H1710" s="19">
        <v>1.2311</v>
      </c>
      <c r="I1710" s="19"/>
      <c r="J1710" s="17" t="s">
        <v>49</v>
      </c>
      <c r="K1710" s="17">
        <v>2200</v>
      </c>
      <c r="L1710" s="91">
        <v>210</v>
      </c>
      <c r="M1710" s="19">
        <v>5000</v>
      </c>
      <c r="N1710" s="19" t="s">
        <v>66</v>
      </c>
      <c r="O1710" s="19" t="s">
        <v>141</v>
      </c>
      <c r="P1710" s="19">
        <v>18134</v>
      </c>
      <c r="Q1710" s="17">
        <v>14840</v>
      </c>
      <c r="R1710" s="17">
        <f t="shared" si="93"/>
        <v>3294</v>
      </c>
      <c r="S1710" s="17">
        <f>1110+165</f>
        <v>1275</v>
      </c>
      <c r="T1710" s="19" t="s">
        <v>42</v>
      </c>
      <c r="U1710" s="102" t="s">
        <v>663</v>
      </c>
      <c r="V1710" s="186">
        <v>44780</v>
      </c>
      <c r="W1710" s="17" t="s">
        <v>69</v>
      </c>
      <c r="Y1710" s="68">
        <v>44805</v>
      </c>
      <c r="Z1710" s="17" t="s">
        <v>191</v>
      </c>
      <c r="AA1710" s="17" t="s">
        <v>46</v>
      </c>
      <c r="AB1710" s="17" t="s">
        <v>644</v>
      </c>
      <c r="AC1710" s="17" t="s">
        <v>645</v>
      </c>
      <c r="AD1710" s="65">
        <v>1331</v>
      </c>
      <c r="AE1710" s="17" t="s">
        <v>48</v>
      </c>
      <c r="AF1710" s="17" t="s">
        <v>245</v>
      </c>
    </row>
    <row r="1711" s="17" customFormat="1" hidden="1" spans="1:35">
      <c r="A1711" s="17" t="s">
        <v>34</v>
      </c>
      <c r="B1711" s="19">
        <v>827</v>
      </c>
      <c r="C1711" s="183">
        <v>44778</v>
      </c>
      <c r="D1711" s="17" t="s">
        <v>35</v>
      </c>
      <c r="E1711" s="17" t="s">
        <v>482</v>
      </c>
      <c r="F1711" s="17" t="s">
        <v>72</v>
      </c>
      <c r="H1711" s="19">
        <v>1.2379</v>
      </c>
      <c r="I1711" s="19"/>
      <c r="J1711" s="17" t="s">
        <v>39</v>
      </c>
      <c r="K1711" s="19">
        <v>121</v>
      </c>
      <c r="L1711" s="91"/>
      <c r="M1711" s="17">
        <v>5000</v>
      </c>
      <c r="N1711" s="19" t="s">
        <v>40</v>
      </c>
      <c r="O1711" s="19" t="s">
        <v>50</v>
      </c>
      <c r="P1711" s="19">
        <v>1000</v>
      </c>
      <c r="Q1711" s="17">
        <v>985</v>
      </c>
      <c r="R1711" s="17">
        <f t="shared" si="93"/>
        <v>15</v>
      </c>
      <c r="S1711" s="17">
        <f t="shared" ref="S1711:S1725" si="94">2605-15</f>
        <v>2590</v>
      </c>
      <c r="T1711" s="19" t="s">
        <v>42</v>
      </c>
      <c r="U1711" s="102" t="s">
        <v>668</v>
      </c>
      <c r="V1711" s="186">
        <v>44785</v>
      </c>
      <c r="W1711" s="17" t="s">
        <v>44</v>
      </c>
      <c r="Y1711" s="68">
        <v>44887</v>
      </c>
      <c r="Z1711" s="17" t="s">
        <v>647</v>
      </c>
      <c r="AA1711" s="17" t="s">
        <v>46</v>
      </c>
      <c r="AB1711" s="17" t="s">
        <v>669</v>
      </c>
      <c r="AC1711" s="17" t="s">
        <v>573</v>
      </c>
      <c r="AD1711" s="65">
        <v>1371</v>
      </c>
      <c r="AE1711" s="17" t="s">
        <v>48</v>
      </c>
    </row>
    <row r="1712" s="17" customFormat="1" hidden="1" spans="1:35">
      <c r="B1712" s="19">
        <v>827</v>
      </c>
      <c r="C1712" s="183">
        <v>44778</v>
      </c>
      <c r="D1712" s="17" t="s">
        <v>35</v>
      </c>
      <c r="E1712" s="17" t="s">
        <v>482</v>
      </c>
      <c r="F1712" s="17" t="s">
        <v>72</v>
      </c>
      <c r="H1712" s="19">
        <v>1.2379</v>
      </c>
      <c r="I1712" s="19"/>
      <c r="J1712" s="17" t="s">
        <v>39</v>
      </c>
      <c r="K1712" s="19">
        <v>122</v>
      </c>
      <c r="L1712" s="91"/>
      <c r="M1712" s="17">
        <v>5000</v>
      </c>
      <c r="N1712" s="19" t="s">
        <v>40</v>
      </c>
      <c r="O1712" s="19" t="s">
        <v>50</v>
      </c>
      <c r="P1712" s="19">
        <v>2000</v>
      </c>
      <c r="Q1712" s="17">
        <f>885+910</f>
        <v>1795</v>
      </c>
      <c r="R1712" s="17">
        <f t="shared" si="93"/>
        <v>205</v>
      </c>
      <c r="S1712" s="17">
        <f t="shared" si="94"/>
        <v>2590</v>
      </c>
      <c r="T1712" s="19" t="s">
        <v>42</v>
      </c>
      <c r="U1712" s="102" t="s">
        <v>668</v>
      </c>
      <c r="V1712" s="186">
        <v>44785</v>
      </c>
      <c r="W1712" s="17" t="s">
        <v>44</v>
      </c>
      <c r="Y1712" s="68">
        <v>44887</v>
      </c>
      <c r="Z1712" s="17" t="s">
        <v>647</v>
      </c>
      <c r="AA1712" s="17" t="s">
        <v>46</v>
      </c>
      <c r="AB1712" s="17" t="s">
        <v>670</v>
      </c>
      <c r="AC1712" s="67">
        <v>45047</v>
      </c>
      <c r="AD1712" s="65">
        <v>1372</v>
      </c>
      <c r="AE1712" s="17" t="s">
        <v>48</v>
      </c>
    </row>
    <row r="1713" s="17" customFormat="1" hidden="1" spans="1:32">
      <c r="B1713" s="19">
        <v>827</v>
      </c>
      <c r="C1713" s="183">
        <v>44778</v>
      </c>
      <c r="D1713" s="17" t="s">
        <v>35</v>
      </c>
      <c r="E1713" s="17" t="s">
        <v>482</v>
      </c>
      <c r="F1713" s="17" t="s">
        <v>72</v>
      </c>
      <c r="H1713" s="19">
        <v>1.2379</v>
      </c>
      <c r="I1713" s="19"/>
      <c r="J1713" s="17" t="s">
        <v>39</v>
      </c>
      <c r="K1713" s="19">
        <v>125</v>
      </c>
      <c r="L1713" s="91"/>
      <c r="M1713" s="17">
        <v>5000</v>
      </c>
      <c r="N1713" s="19" t="s">
        <v>40</v>
      </c>
      <c r="O1713" s="19" t="s">
        <v>50</v>
      </c>
      <c r="P1713" s="19">
        <v>1000</v>
      </c>
      <c r="Q1713" s="17">
        <v>860</v>
      </c>
      <c r="R1713" s="17">
        <f t="shared" si="93"/>
        <v>140</v>
      </c>
      <c r="S1713" s="17">
        <f t="shared" si="94"/>
        <v>2590</v>
      </c>
      <c r="T1713" s="19" t="s">
        <v>42</v>
      </c>
      <c r="U1713" s="102" t="s">
        <v>668</v>
      </c>
      <c r="V1713" s="186">
        <v>44785</v>
      </c>
      <c r="W1713" s="17" t="s">
        <v>44</v>
      </c>
      <c r="Y1713" s="68">
        <v>44887</v>
      </c>
      <c r="Z1713" s="17" t="s">
        <v>647</v>
      </c>
      <c r="AA1713" s="17" t="s">
        <v>46</v>
      </c>
      <c r="AB1713" s="17" t="s">
        <v>670</v>
      </c>
      <c r="AC1713" s="67">
        <v>45047</v>
      </c>
      <c r="AD1713" s="65">
        <v>1372</v>
      </c>
      <c r="AE1713" s="17" t="s">
        <v>48</v>
      </c>
      <c r="AF1713" s="17" t="s">
        <v>571</v>
      </c>
    </row>
    <row r="1714" s="17" customFormat="1" hidden="1" spans="1:32">
      <c r="A1714" s="17" t="s">
        <v>34</v>
      </c>
      <c r="B1714" s="19">
        <v>827</v>
      </c>
      <c r="C1714" s="183">
        <v>44778</v>
      </c>
      <c r="D1714" s="17" t="s">
        <v>35</v>
      </c>
      <c r="E1714" s="17" t="s">
        <v>482</v>
      </c>
      <c r="F1714" s="17" t="s">
        <v>72</v>
      </c>
      <c r="H1714" s="19">
        <v>1.2379</v>
      </c>
      <c r="I1714" s="19"/>
      <c r="J1714" s="17" t="s">
        <v>39</v>
      </c>
      <c r="K1714" s="19">
        <v>132</v>
      </c>
      <c r="L1714" s="91"/>
      <c r="M1714" s="17">
        <v>5000</v>
      </c>
      <c r="N1714" s="19" t="s">
        <v>40</v>
      </c>
      <c r="O1714" s="19" t="s">
        <v>50</v>
      </c>
      <c r="P1714" s="19">
        <v>4000</v>
      </c>
      <c r="Q1714" s="17">
        <v>495</v>
      </c>
      <c r="S1714" s="17">
        <f t="shared" si="94"/>
        <v>2590</v>
      </c>
      <c r="T1714" s="19" t="s">
        <v>42</v>
      </c>
      <c r="U1714" s="102" t="s">
        <v>668</v>
      </c>
      <c r="V1714" s="186">
        <v>44785</v>
      </c>
      <c r="W1714" s="17" t="s">
        <v>44</v>
      </c>
      <c r="Y1714" s="68">
        <v>44887</v>
      </c>
      <c r="Z1714" s="17" t="s">
        <v>647</v>
      </c>
      <c r="AA1714" s="17" t="s">
        <v>46</v>
      </c>
      <c r="AB1714" s="17" t="s">
        <v>671</v>
      </c>
      <c r="AC1714" s="17" t="s">
        <v>672</v>
      </c>
      <c r="AD1714" s="65">
        <v>1356</v>
      </c>
      <c r="AE1714" s="17" t="s">
        <v>48</v>
      </c>
    </row>
    <row r="1715" s="17" customFormat="1" hidden="1" spans="1:32">
      <c r="A1715" s="17" t="s">
        <v>34</v>
      </c>
      <c r="B1715" s="19">
        <v>827</v>
      </c>
      <c r="C1715" s="183">
        <v>44778</v>
      </c>
      <c r="D1715" s="17" t="s">
        <v>35</v>
      </c>
      <c r="E1715" s="17" t="s">
        <v>482</v>
      </c>
      <c r="F1715" s="17" t="s">
        <v>72</v>
      </c>
      <c r="H1715" s="19">
        <v>1.2379</v>
      </c>
      <c r="I1715" s="19"/>
      <c r="J1715" s="17" t="s">
        <v>39</v>
      </c>
      <c r="K1715" s="19">
        <v>132</v>
      </c>
      <c r="L1715" s="91"/>
      <c r="M1715" s="17">
        <v>5000</v>
      </c>
      <c r="N1715" s="19" t="s">
        <v>40</v>
      </c>
      <c r="O1715" s="19" t="s">
        <v>50</v>
      </c>
      <c r="P1715" s="19"/>
      <c r="Q1715" s="17">
        <f>1355+1485+1395</f>
        <v>4235</v>
      </c>
      <c r="R1715" s="17">
        <f>+P1714-Q1714-Q1715</f>
        <v>-730</v>
      </c>
      <c r="S1715" s="17">
        <f t="shared" si="94"/>
        <v>2590</v>
      </c>
      <c r="T1715" s="19" t="s">
        <v>42</v>
      </c>
      <c r="U1715" s="102" t="s">
        <v>668</v>
      </c>
      <c r="V1715" s="186">
        <v>44785</v>
      </c>
      <c r="W1715" s="17" t="s">
        <v>44</v>
      </c>
      <c r="Y1715" s="68">
        <v>44887</v>
      </c>
      <c r="Z1715" s="17" t="s">
        <v>647</v>
      </c>
      <c r="AA1715" s="17" t="s">
        <v>46</v>
      </c>
      <c r="AB1715" s="17" t="s">
        <v>669</v>
      </c>
      <c r="AC1715" s="17" t="s">
        <v>573</v>
      </c>
      <c r="AD1715" s="65">
        <v>1371</v>
      </c>
      <c r="AE1715" s="17" t="s">
        <v>48</v>
      </c>
    </row>
    <row r="1716" s="17" customFormat="1" hidden="1" spans="1:32">
      <c r="A1716" s="17" t="s">
        <v>34</v>
      </c>
      <c r="B1716" s="19">
        <v>827</v>
      </c>
      <c r="C1716" s="183">
        <v>44778</v>
      </c>
      <c r="D1716" s="17" t="s">
        <v>35</v>
      </c>
      <c r="E1716" s="17" t="s">
        <v>482</v>
      </c>
      <c r="F1716" s="17" t="s">
        <v>72</v>
      </c>
      <c r="H1716" s="19">
        <v>1.2379</v>
      </c>
      <c r="I1716" s="19"/>
      <c r="J1716" s="17" t="s">
        <v>39</v>
      </c>
      <c r="K1716" s="19">
        <v>142</v>
      </c>
      <c r="L1716" s="91"/>
      <c r="M1716" s="17">
        <v>5000</v>
      </c>
      <c r="N1716" s="19" t="s">
        <v>40</v>
      </c>
      <c r="O1716" s="19" t="s">
        <v>50</v>
      </c>
      <c r="P1716" s="19">
        <v>3000</v>
      </c>
      <c r="Q1716" s="17">
        <f>1390+1200+1670</f>
        <v>4260</v>
      </c>
      <c r="R1716" s="17">
        <f t="shared" ref="R1716:R1721" si="95">+P1716-Q1716</f>
        <v>-1260</v>
      </c>
      <c r="S1716" s="17">
        <f t="shared" si="94"/>
        <v>2590</v>
      </c>
      <c r="T1716" s="19" t="s">
        <v>42</v>
      </c>
      <c r="U1716" s="102" t="s">
        <v>668</v>
      </c>
      <c r="V1716" s="186">
        <v>44785</v>
      </c>
      <c r="W1716" s="17" t="s">
        <v>44</v>
      </c>
      <c r="Y1716" s="68">
        <v>44887</v>
      </c>
      <c r="Z1716" s="17" t="s">
        <v>647</v>
      </c>
      <c r="AA1716" s="17" t="s">
        <v>46</v>
      </c>
      <c r="AB1716" s="17" t="s">
        <v>669</v>
      </c>
      <c r="AC1716" s="17" t="s">
        <v>573</v>
      </c>
      <c r="AD1716" s="65">
        <v>1371</v>
      </c>
      <c r="AE1716" s="17" t="s">
        <v>48</v>
      </c>
    </row>
    <row r="1717" s="17" customFormat="1" hidden="1" spans="1:32">
      <c r="A1717" s="17" t="s">
        <v>34</v>
      </c>
      <c r="B1717" s="19">
        <v>827</v>
      </c>
      <c r="C1717" s="183">
        <v>44778</v>
      </c>
      <c r="D1717" s="17" t="s">
        <v>35</v>
      </c>
      <c r="E1717" s="17" t="s">
        <v>482</v>
      </c>
      <c r="F1717" s="17" t="s">
        <v>72</v>
      </c>
      <c r="H1717" s="19">
        <v>1.2379</v>
      </c>
      <c r="I1717" s="19"/>
      <c r="J1717" s="17" t="s">
        <v>39</v>
      </c>
      <c r="K1717" s="19">
        <v>152</v>
      </c>
      <c r="L1717" s="91"/>
      <c r="M1717" s="17">
        <v>5000</v>
      </c>
      <c r="N1717" s="19" t="s">
        <v>40</v>
      </c>
      <c r="O1717" s="19" t="s">
        <v>50</v>
      </c>
      <c r="P1717" s="19">
        <v>4000</v>
      </c>
      <c r="Q1717" s="17">
        <f>645+895+885+790</f>
        <v>3215</v>
      </c>
      <c r="R1717" s="17">
        <f t="shared" si="95"/>
        <v>785</v>
      </c>
      <c r="S1717" s="17">
        <f t="shared" si="94"/>
        <v>2590</v>
      </c>
      <c r="T1717" s="19" t="s">
        <v>42</v>
      </c>
      <c r="U1717" s="102" t="s">
        <v>668</v>
      </c>
      <c r="V1717" s="186">
        <v>44785</v>
      </c>
      <c r="W1717" s="17" t="s">
        <v>44</v>
      </c>
      <c r="Y1717" s="68">
        <v>44887</v>
      </c>
      <c r="Z1717" s="17" t="s">
        <v>647</v>
      </c>
      <c r="AA1717" s="17" t="s">
        <v>46</v>
      </c>
      <c r="AB1717" s="17" t="s">
        <v>669</v>
      </c>
      <c r="AC1717" s="17" t="s">
        <v>573</v>
      </c>
      <c r="AD1717" s="65">
        <v>1371</v>
      </c>
      <c r="AE1717" s="17" t="s">
        <v>48</v>
      </c>
    </row>
    <row r="1718" s="17" customFormat="1" hidden="1" spans="1:32">
      <c r="A1718" s="17" t="s">
        <v>34</v>
      </c>
      <c r="B1718" s="19">
        <v>827</v>
      </c>
      <c r="C1718" s="183">
        <v>44778</v>
      </c>
      <c r="D1718" s="17" t="s">
        <v>35</v>
      </c>
      <c r="E1718" s="17" t="s">
        <v>482</v>
      </c>
      <c r="F1718" s="17" t="s">
        <v>72</v>
      </c>
      <c r="H1718" s="19">
        <v>1.2379</v>
      </c>
      <c r="I1718" s="19"/>
      <c r="J1718" s="17" t="s">
        <v>39</v>
      </c>
      <c r="K1718" s="19">
        <v>161</v>
      </c>
      <c r="L1718" s="91"/>
      <c r="M1718" s="17">
        <v>5000</v>
      </c>
      <c r="N1718" s="19" t="s">
        <v>40</v>
      </c>
      <c r="O1718" s="19" t="s">
        <v>50</v>
      </c>
      <c r="P1718" s="19">
        <v>1000</v>
      </c>
      <c r="Q1718" s="17">
        <v>910</v>
      </c>
      <c r="R1718" s="17">
        <f t="shared" si="95"/>
        <v>90</v>
      </c>
      <c r="S1718" s="17">
        <f t="shared" si="94"/>
        <v>2590</v>
      </c>
      <c r="T1718" s="19" t="s">
        <v>42</v>
      </c>
      <c r="U1718" s="102" t="s">
        <v>668</v>
      </c>
      <c r="V1718" s="186">
        <v>44785</v>
      </c>
      <c r="W1718" s="17" t="s">
        <v>44</v>
      </c>
      <c r="Y1718" s="68">
        <v>44887</v>
      </c>
      <c r="Z1718" s="17" t="s">
        <v>647</v>
      </c>
      <c r="AA1718" s="17" t="s">
        <v>46</v>
      </c>
      <c r="AB1718" s="17" t="s">
        <v>669</v>
      </c>
      <c r="AC1718" s="17" t="s">
        <v>573</v>
      </c>
      <c r="AD1718" s="65">
        <v>1371</v>
      </c>
      <c r="AE1718" s="17" t="s">
        <v>48</v>
      </c>
    </row>
    <row r="1719" s="17" customFormat="1" hidden="1" spans="1:32">
      <c r="A1719" s="17" t="s">
        <v>34</v>
      </c>
      <c r="B1719" s="19">
        <v>827</v>
      </c>
      <c r="C1719" s="183">
        <v>44778</v>
      </c>
      <c r="D1719" s="17" t="s">
        <v>35</v>
      </c>
      <c r="E1719" s="17" t="s">
        <v>482</v>
      </c>
      <c r="F1719" s="17" t="s">
        <v>72</v>
      </c>
      <c r="H1719" s="19">
        <v>1.2379</v>
      </c>
      <c r="I1719" s="19"/>
      <c r="J1719" s="17" t="s">
        <v>39</v>
      </c>
      <c r="K1719" s="19">
        <v>172</v>
      </c>
      <c r="L1719" s="91"/>
      <c r="M1719" s="17">
        <v>5000</v>
      </c>
      <c r="N1719" s="19" t="s">
        <v>40</v>
      </c>
      <c r="O1719" s="19" t="s">
        <v>50</v>
      </c>
      <c r="P1719" s="19">
        <v>5000</v>
      </c>
      <c r="Q1719" s="17">
        <f>1590+1580+1625+965</f>
        <v>5760</v>
      </c>
      <c r="R1719" s="17">
        <f t="shared" si="95"/>
        <v>-760</v>
      </c>
      <c r="S1719" s="17">
        <f t="shared" si="94"/>
        <v>2590</v>
      </c>
      <c r="T1719" s="19" t="s">
        <v>42</v>
      </c>
      <c r="U1719" s="102" t="s">
        <v>668</v>
      </c>
      <c r="V1719" s="186">
        <v>44785</v>
      </c>
      <c r="W1719" s="17" t="s">
        <v>44</v>
      </c>
      <c r="Y1719" s="68">
        <v>44887</v>
      </c>
      <c r="Z1719" s="17" t="s">
        <v>647</v>
      </c>
      <c r="AA1719" s="17" t="s">
        <v>46</v>
      </c>
      <c r="AB1719" s="17" t="s">
        <v>669</v>
      </c>
      <c r="AC1719" s="17" t="s">
        <v>573</v>
      </c>
      <c r="AD1719" s="65">
        <v>1371</v>
      </c>
      <c r="AE1719" s="17" t="s">
        <v>48</v>
      </c>
    </row>
    <row r="1720" s="17" customFormat="1" hidden="1" spans="1:32">
      <c r="A1720" s="17" t="s">
        <v>34</v>
      </c>
      <c r="B1720" s="19">
        <v>827</v>
      </c>
      <c r="C1720" s="183">
        <v>44778</v>
      </c>
      <c r="D1720" s="17" t="s">
        <v>35</v>
      </c>
      <c r="E1720" s="17" t="s">
        <v>482</v>
      </c>
      <c r="F1720" s="17" t="s">
        <v>72</v>
      </c>
      <c r="H1720" s="19">
        <v>1.2379</v>
      </c>
      <c r="I1720" s="19"/>
      <c r="J1720" s="17" t="s">
        <v>39</v>
      </c>
      <c r="K1720" s="19">
        <v>182</v>
      </c>
      <c r="L1720" s="91"/>
      <c r="M1720" s="17">
        <v>5000</v>
      </c>
      <c r="N1720" s="19" t="s">
        <v>40</v>
      </c>
      <c r="O1720" s="19" t="s">
        <v>50</v>
      </c>
      <c r="P1720" s="19">
        <v>1000</v>
      </c>
      <c r="Q1720" s="17">
        <v>1155</v>
      </c>
      <c r="R1720" s="17">
        <f t="shared" si="95"/>
        <v>-155</v>
      </c>
      <c r="S1720" s="17">
        <f t="shared" si="94"/>
        <v>2590</v>
      </c>
      <c r="T1720" s="19" t="s">
        <v>42</v>
      </c>
      <c r="U1720" s="102" t="s">
        <v>668</v>
      </c>
      <c r="V1720" s="186">
        <v>44785</v>
      </c>
      <c r="W1720" s="17" t="s">
        <v>44</v>
      </c>
      <c r="Y1720" s="68">
        <v>44887</v>
      </c>
      <c r="Z1720" s="17" t="s">
        <v>647</v>
      </c>
      <c r="AA1720" s="17" t="s">
        <v>46</v>
      </c>
      <c r="AB1720" s="17" t="s">
        <v>669</v>
      </c>
      <c r="AC1720" s="17" t="s">
        <v>573</v>
      </c>
      <c r="AD1720" s="65">
        <v>1371</v>
      </c>
      <c r="AE1720" s="17" t="s">
        <v>48</v>
      </c>
    </row>
    <row r="1721" s="17" customFormat="1" hidden="1" spans="1:32">
      <c r="A1721" s="17" t="s">
        <v>34</v>
      </c>
      <c r="B1721" s="19">
        <v>827</v>
      </c>
      <c r="C1721" s="183">
        <v>44778</v>
      </c>
      <c r="D1721" s="17" t="s">
        <v>35</v>
      </c>
      <c r="E1721" s="17" t="s">
        <v>482</v>
      </c>
      <c r="F1721" s="17" t="s">
        <v>72</v>
      </c>
      <c r="H1721" s="19">
        <v>1.2379</v>
      </c>
      <c r="I1721" s="19"/>
      <c r="J1721" s="17" t="s">
        <v>39</v>
      </c>
      <c r="K1721" s="19">
        <v>192</v>
      </c>
      <c r="L1721" s="91"/>
      <c r="M1721" s="17">
        <v>5000</v>
      </c>
      <c r="N1721" s="19" t="s">
        <v>40</v>
      </c>
      <c r="O1721" s="19" t="s">
        <v>50</v>
      </c>
      <c r="P1721" s="19">
        <v>3000</v>
      </c>
      <c r="Q1721" s="17">
        <f>810+815+820+820</f>
        <v>3265</v>
      </c>
      <c r="R1721" s="17">
        <f t="shared" si="95"/>
        <v>-265</v>
      </c>
      <c r="S1721" s="17">
        <f t="shared" si="94"/>
        <v>2590</v>
      </c>
      <c r="T1721" s="19" t="s">
        <v>42</v>
      </c>
      <c r="U1721" s="102" t="s">
        <v>668</v>
      </c>
      <c r="V1721" s="186">
        <v>44785</v>
      </c>
      <c r="W1721" s="17" t="s">
        <v>44</v>
      </c>
      <c r="Y1721" s="68">
        <v>44887</v>
      </c>
      <c r="Z1721" s="17" t="s">
        <v>647</v>
      </c>
      <c r="AA1721" s="17" t="s">
        <v>46</v>
      </c>
      <c r="AB1721" s="17" t="s">
        <v>671</v>
      </c>
      <c r="AC1721" s="17" t="s">
        <v>672</v>
      </c>
      <c r="AD1721" s="65">
        <v>1356</v>
      </c>
      <c r="AE1721" s="17" t="s">
        <v>48</v>
      </c>
    </row>
    <row r="1722" s="17" customFormat="1" hidden="1" spans="1:32">
      <c r="A1722" s="17" t="s">
        <v>34</v>
      </c>
      <c r="B1722" s="19">
        <v>827</v>
      </c>
      <c r="C1722" s="183">
        <v>44778</v>
      </c>
      <c r="D1722" s="17" t="s">
        <v>35</v>
      </c>
      <c r="E1722" s="17" t="s">
        <v>482</v>
      </c>
      <c r="F1722" s="17" t="s">
        <v>72</v>
      </c>
      <c r="H1722" s="19">
        <v>1.2379</v>
      </c>
      <c r="I1722" s="19"/>
      <c r="J1722" s="17" t="s">
        <v>39</v>
      </c>
      <c r="K1722" s="19">
        <v>202</v>
      </c>
      <c r="L1722" s="91"/>
      <c r="M1722" s="17">
        <v>5000</v>
      </c>
      <c r="N1722" s="19" t="s">
        <v>40</v>
      </c>
      <c r="O1722" s="19" t="s">
        <v>50</v>
      </c>
      <c r="P1722" s="19">
        <v>1000</v>
      </c>
      <c r="Q1722" s="17">
        <v>785</v>
      </c>
      <c r="S1722" s="17">
        <f t="shared" si="94"/>
        <v>2590</v>
      </c>
      <c r="T1722" s="19" t="s">
        <v>42</v>
      </c>
      <c r="U1722" s="102" t="s">
        <v>668</v>
      </c>
      <c r="V1722" s="186">
        <v>44785</v>
      </c>
      <c r="W1722" s="17" t="s">
        <v>44</v>
      </c>
      <c r="Y1722" s="68">
        <v>44887</v>
      </c>
      <c r="Z1722" s="17" t="s">
        <v>647</v>
      </c>
      <c r="AA1722" s="17" t="s">
        <v>46</v>
      </c>
      <c r="AB1722" s="17" t="s">
        <v>671</v>
      </c>
      <c r="AC1722" s="17" t="s">
        <v>672</v>
      </c>
      <c r="AD1722" s="65">
        <v>1356</v>
      </c>
      <c r="AE1722" s="17" t="s">
        <v>48</v>
      </c>
    </row>
    <row r="1723" s="17" customFormat="1" hidden="1" spans="1:32">
      <c r="A1723" s="17" t="s">
        <v>34</v>
      </c>
      <c r="B1723" s="19">
        <v>827</v>
      </c>
      <c r="C1723" s="183">
        <v>44778</v>
      </c>
      <c r="D1723" s="17" t="s">
        <v>35</v>
      </c>
      <c r="E1723" s="17" t="s">
        <v>482</v>
      </c>
      <c r="F1723" s="17" t="s">
        <v>72</v>
      </c>
      <c r="H1723" s="19">
        <v>1.2379</v>
      </c>
      <c r="I1723" s="19"/>
      <c r="J1723" s="17" t="s">
        <v>39</v>
      </c>
      <c r="K1723" s="19">
        <v>202</v>
      </c>
      <c r="L1723" s="91"/>
      <c r="M1723" s="17">
        <v>5000</v>
      </c>
      <c r="N1723" s="19" t="s">
        <v>40</v>
      </c>
      <c r="O1723" s="19" t="s">
        <v>50</v>
      </c>
      <c r="P1723" s="19"/>
      <c r="Q1723" s="17">
        <v>790</v>
      </c>
      <c r="R1723" s="17">
        <f>+P1722-Q1722-Q1723</f>
        <v>-575</v>
      </c>
      <c r="S1723" s="17">
        <f t="shared" si="94"/>
        <v>2590</v>
      </c>
      <c r="T1723" s="19" t="s">
        <v>42</v>
      </c>
      <c r="U1723" s="102" t="s">
        <v>668</v>
      </c>
      <c r="V1723" s="186">
        <v>44785</v>
      </c>
      <c r="W1723" s="17" t="s">
        <v>44</v>
      </c>
      <c r="Y1723" s="68">
        <v>44887</v>
      </c>
      <c r="Z1723" s="17" t="s">
        <v>647</v>
      </c>
      <c r="AA1723" s="17" t="s">
        <v>46</v>
      </c>
      <c r="AB1723" s="17" t="s">
        <v>669</v>
      </c>
      <c r="AC1723" s="17" t="s">
        <v>573</v>
      </c>
      <c r="AD1723" s="65">
        <v>1371</v>
      </c>
      <c r="AE1723" s="17" t="s">
        <v>48</v>
      </c>
    </row>
    <row r="1724" s="17" customFormat="1" hidden="1" spans="1:32">
      <c r="A1724" s="17" t="s">
        <v>34</v>
      </c>
      <c r="B1724" s="19">
        <v>827</v>
      </c>
      <c r="C1724" s="183">
        <v>44778</v>
      </c>
      <c r="D1724" s="17" t="s">
        <v>35</v>
      </c>
      <c r="E1724" s="17" t="s">
        <v>482</v>
      </c>
      <c r="F1724" s="17" t="s">
        <v>72</v>
      </c>
      <c r="H1724" s="19">
        <v>1.2379</v>
      </c>
      <c r="I1724" s="19"/>
      <c r="J1724" s="17" t="s">
        <v>39</v>
      </c>
      <c r="K1724" s="19">
        <v>212</v>
      </c>
      <c r="L1724" s="91"/>
      <c r="M1724" s="17">
        <v>5000</v>
      </c>
      <c r="N1724" s="19" t="s">
        <v>40</v>
      </c>
      <c r="O1724" s="19" t="s">
        <v>50</v>
      </c>
      <c r="P1724" s="19">
        <v>1000</v>
      </c>
      <c r="Q1724" s="17">
        <v>1590</v>
      </c>
      <c r="R1724" s="17">
        <f t="shared" ref="R1724:R1755" si="96">+P1724-Q1724</f>
        <v>-590</v>
      </c>
      <c r="S1724" s="17">
        <f t="shared" si="94"/>
        <v>2590</v>
      </c>
      <c r="T1724" s="19" t="s">
        <v>42</v>
      </c>
      <c r="U1724" s="102" t="s">
        <v>668</v>
      </c>
      <c r="V1724" s="186">
        <v>44785</v>
      </c>
      <c r="W1724" s="17" t="s">
        <v>44</v>
      </c>
      <c r="Y1724" s="68">
        <v>44887</v>
      </c>
      <c r="Z1724" s="17" t="s">
        <v>647</v>
      </c>
      <c r="AA1724" s="17" t="s">
        <v>46</v>
      </c>
      <c r="AB1724" s="17" t="s">
        <v>669</v>
      </c>
      <c r="AC1724" s="17" t="s">
        <v>573</v>
      </c>
      <c r="AD1724" s="65">
        <v>1371</v>
      </c>
      <c r="AE1724" s="17" t="s">
        <v>48</v>
      </c>
    </row>
    <row r="1725" s="17" customFormat="1" hidden="1" spans="1:32">
      <c r="A1725" s="17" t="s">
        <v>34</v>
      </c>
      <c r="B1725" s="19">
        <v>827</v>
      </c>
      <c r="C1725" s="183">
        <v>44778</v>
      </c>
      <c r="D1725" s="17" t="s">
        <v>35</v>
      </c>
      <c r="E1725" s="17" t="s">
        <v>482</v>
      </c>
      <c r="F1725" s="17" t="s">
        <v>72</v>
      </c>
      <c r="H1725" s="19">
        <v>1.2379</v>
      </c>
      <c r="I1725" s="19"/>
      <c r="J1725" s="17" t="s">
        <v>39</v>
      </c>
      <c r="K1725" s="19">
        <v>222</v>
      </c>
      <c r="L1725" s="91"/>
      <c r="M1725" s="17">
        <v>5000</v>
      </c>
      <c r="N1725" s="19" t="s">
        <v>40</v>
      </c>
      <c r="O1725" s="19" t="s">
        <v>50</v>
      </c>
      <c r="P1725" s="19">
        <v>1500</v>
      </c>
      <c r="Q1725" s="17">
        <v>1730</v>
      </c>
      <c r="R1725" s="17">
        <f t="shared" si="96"/>
        <v>-230</v>
      </c>
      <c r="S1725" s="17">
        <f t="shared" si="94"/>
        <v>2590</v>
      </c>
      <c r="T1725" s="19" t="s">
        <v>42</v>
      </c>
      <c r="U1725" s="102" t="s">
        <v>668</v>
      </c>
      <c r="V1725" s="186">
        <v>44785</v>
      </c>
      <c r="W1725" s="17" t="s">
        <v>44</v>
      </c>
      <c r="Y1725" s="68">
        <v>44887</v>
      </c>
      <c r="Z1725" s="17" t="s">
        <v>647</v>
      </c>
      <c r="AA1725" s="17" t="s">
        <v>46</v>
      </c>
      <c r="AB1725" s="17" t="s">
        <v>671</v>
      </c>
      <c r="AC1725" s="17" t="s">
        <v>672</v>
      </c>
      <c r="AD1725" s="65">
        <v>1356</v>
      </c>
      <c r="AE1725" s="17" t="s">
        <v>48</v>
      </c>
    </row>
    <row r="1726" s="17" customFormat="1" hidden="1" spans="1:32">
      <c r="A1726" s="17" t="s">
        <v>34</v>
      </c>
      <c r="B1726" s="19">
        <v>827</v>
      </c>
      <c r="C1726" s="183">
        <v>44778</v>
      </c>
      <c r="D1726" s="17" t="s">
        <v>35</v>
      </c>
      <c r="E1726" s="17" t="s">
        <v>482</v>
      </c>
      <c r="F1726" s="17" t="s">
        <v>72</v>
      </c>
      <c r="H1726" s="19">
        <v>1.2379</v>
      </c>
      <c r="I1726" s="19"/>
      <c r="J1726" s="17" t="s">
        <v>39</v>
      </c>
      <c r="K1726" s="19">
        <v>262</v>
      </c>
      <c r="L1726" s="91"/>
      <c r="M1726" s="17">
        <v>5000</v>
      </c>
      <c r="N1726" s="19" t="s">
        <v>40</v>
      </c>
      <c r="O1726" s="19" t="s">
        <v>50</v>
      </c>
      <c r="P1726" s="19">
        <v>3000</v>
      </c>
      <c r="Q1726" s="17">
        <f>1665+1665</f>
        <v>3330</v>
      </c>
      <c r="R1726" s="17">
        <f t="shared" si="96"/>
        <v>-330</v>
      </c>
      <c r="S1726" s="17">
        <f>2655-15</f>
        <v>2640</v>
      </c>
      <c r="T1726" s="19" t="s">
        <v>42</v>
      </c>
      <c r="U1726" s="102" t="s">
        <v>668</v>
      </c>
      <c r="V1726" s="186">
        <v>44785</v>
      </c>
      <c r="W1726" s="17" t="s">
        <v>44</v>
      </c>
      <c r="Y1726" s="68">
        <v>44887</v>
      </c>
      <c r="Z1726" s="17" t="s">
        <v>647</v>
      </c>
      <c r="AA1726" s="17" t="s">
        <v>46</v>
      </c>
      <c r="AB1726" s="17" t="s">
        <v>669</v>
      </c>
      <c r="AC1726" s="17" t="s">
        <v>573</v>
      </c>
      <c r="AD1726" s="65">
        <v>1371</v>
      </c>
      <c r="AE1726" s="17" t="s">
        <v>48</v>
      </c>
    </row>
    <row r="1727" s="17" customFormat="1" hidden="1" spans="1:32">
      <c r="A1727" s="17" t="s">
        <v>34</v>
      </c>
      <c r="B1727" s="19">
        <v>827</v>
      </c>
      <c r="C1727" s="183">
        <v>44778</v>
      </c>
      <c r="D1727" s="17" t="s">
        <v>35</v>
      </c>
      <c r="E1727" s="17" t="s">
        <v>482</v>
      </c>
      <c r="F1727" s="17" t="s">
        <v>72</v>
      </c>
      <c r="H1727" s="19">
        <v>1.2379</v>
      </c>
      <c r="I1727" s="19"/>
      <c r="J1727" s="17" t="s">
        <v>39</v>
      </c>
      <c r="K1727" s="19">
        <v>312</v>
      </c>
      <c r="L1727" s="91"/>
      <c r="M1727" s="17">
        <v>5000</v>
      </c>
      <c r="N1727" s="19" t="s">
        <v>40</v>
      </c>
      <c r="O1727" s="19" t="s">
        <v>50</v>
      </c>
      <c r="P1727" s="19">
        <v>6000</v>
      </c>
      <c r="Q1727" s="17">
        <f>3010+3050</f>
        <v>6060</v>
      </c>
      <c r="R1727" s="17">
        <f t="shared" si="96"/>
        <v>-60</v>
      </c>
      <c r="S1727" s="17">
        <f>2675-15</f>
        <v>2660</v>
      </c>
      <c r="T1727" s="19" t="s">
        <v>42</v>
      </c>
      <c r="U1727" s="102" t="s">
        <v>668</v>
      </c>
      <c r="V1727" s="186">
        <v>44785</v>
      </c>
      <c r="W1727" s="17" t="s">
        <v>44</v>
      </c>
      <c r="Y1727" s="68">
        <v>44887</v>
      </c>
      <c r="Z1727" s="17" t="s">
        <v>647</v>
      </c>
      <c r="AA1727" s="17" t="s">
        <v>46</v>
      </c>
      <c r="AB1727" s="17" t="s">
        <v>671</v>
      </c>
      <c r="AC1727" s="17" t="s">
        <v>672</v>
      </c>
      <c r="AD1727" s="65">
        <v>1356</v>
      </c>
      <c r="AE1727" s="17" t="s">
        <v>48</v>
      </c>
    </row>
    <row r="1728" s="17" customFormat="1" hidden="1" spans="1:32">
      <c r="A1728" s="17" t="s">
        <v>34</v>
      </c>
      <c r="B1728" s="19">
        <v>827</v>
      </c>
      <c r="C1728" s="183">
        <v>44778</v>
      </c>
      <c r="D1728" s="17" t="s">
        <v>35</v>
      </c>
      <c r="E1728" s="17" t="s">
        <v>482</v>
      </c>
      <c r="F1728" s="17" t="s">
        <v>72</v>
      </c>
      <c r="H1728" s="19">
        <v>1.2379</v>
      </c>
      <c r="I1728" s="19"/>
      <c r="J1728" s="17" t="s">
        <v>39</v>
      </c>
      <c r="K1728" s="19">
        <v>322</v>
      </c>
      <c r="L1728" s="91"/>
      <c r="M1728" s="17">
        <v>5000</v>
      </c>
      <c r="N1728" s="19" t="s">
        <v>40</v>
      </c>
      <c r="O1728" s="19" t="s">
        <v>50</v>
      </c>
      <c r="P1728" s="19">
        <v>6000</v>
      </c>
      <c r="Q1728" s="17">
        <f>3020+3085</f>
        <v>6105</v>
      </c>
      <c r="R1728" s="17">
        <f t="shared" si="96"/>
        <v>-105</v>
      </c>
      <c r="S1728" s="17">
        <f>2675-15</f>
        <v>2660</v>
      </c>
      <c r="T1728" s="19" t="s">
        <v>42</v>
      </c>
      <c r="U1728" s="102" t="s">
        <v>673</v>
      </c>
      <c r="V1728" s="186">
        <v>44785</v>
      </c>
      <c r="W1728" s="17" t="s">
        <v>44</v>
      </c>
      <c r="Y1728" s="68">
        <v>44856</v>
      </c>
      <c r="Z1728" s="17" t="s">
        <v>647</v>
      </c>
      <c r="AA1728" s="17" t="s">
        <v>46</v>
      </c>
      <c r="AB1728" s="17" t="s">
        <v>671</v>
      </c>
      <c r="AC1728" s="17" t="s">
        <v>672</v>
      </c>
      <c r="AD1728" s="65">
        <v>1356</v>
      </c>
      <c r="AE1728" s="17" t="s">
        <v>48</v>
      </c>
    </row>
    <row r="1729" s="17" customFormat="1" hidden="1" spans="1:33">
      <c r="A1729" s="17" t="s">
        <v>34</v>
      </c>
      <c r="B1729" s="19">
        <v>827</v>
      </c>
      <c r="C1729" s="183">
        <v>44778</v>
      </c>
      <c r="D1729" s="17" t="s">
        <v>35</v>
      </c>
      <c r="E1729" s="17" t="s">
        <v>482</v>
      </c>
      <c r="F1729" s="17" t="s">
        <v>72</v>
      </c>
      <c r="H1729" s="19">
        <v>1.2379</v>
      </c>
      <c r="I1729" s="19"/>
      <c r="J1729" s="17" t="s">
        <v>39</v>
      </c>
      <c r="K1729" s="19">
        <v>460</v>
      </c>
      <c r="L1729" s="91"/>
      <c r="M1729" s="17">
        <v>5000</v>
      </c>
      <c r="N1729" s="19" t="s">
        <v>40</v>
      </c>
      <c r="O1729" s="19" t="s">
        <v>50</v>
      </c>
      <c r="P1729" s="19">
        <v>6000</v>
      </c>
      <c r="Q1729" s="17">
        <v>6785</v>
      </c>
      <c r="R1729" s="17">
        <f t="shared" si="96"/>
        <v>-785</v>
      </c>
      <c r="S1729" s="17">
        <f>2725-15</f>
        <v>2710</v>
      </c>
      <c r="T1729" s="19" t="s">
        <v>42</v>
      </c>
      <c r="U1729" s="102" t="s">
        <v>673</v>
      </c>
      <c r="V1729" s="186">
        <v>44785</v>
      </c>
      <c r="W1729" s="17" t="s">
        <v>44</v>
      </c>
      <c r="Y1729" s="68">
        <v>44856</v>
      </c>
      <c r="Z1729" s="17" t="s">
        <v>647</v>
      </c>
      <c r="AA1729" s="17" t="s">
        <v>46</v>
      </c>
      <c r="AB1729" s="17" t="s">
        <v>671</v>
      </c>
      <c r="AC1729" s="17" t="s">
        <v>672</v>
      </c>
      <c r="AD1729" s="65">
        <v>1356</v>
      </c>
      <c r="AE1729" s="17" t="s">
        <v>48</v>
      </c>
    </row>
    <row r="1730" s="17" customFormat="1" hidden="1" spans="1:33">
      <c r="A1730" s="17" t="s">
        <v>34</v>
      </c>
      <c r="B1730" s="19">
        <v>829</v>
      </c>
      <c r="C1730" s="101">
        <v>44778</v>
      </c>
      <c r="D1730" s="17" t="s">
        <v>52</v>
      </c>
      <c r="E1730" s="17" t="s">
        <v>220</v>
      </c>
      <c r="F1730" s="17" t="s">
        <v>54</v>
      </c>
      <c r="H1730" s="19">
        <v>1.2344</v>
      </c>
      <c r="I1730" s="19"/>
      <c r="J1730" s="17" t="s">
        <v>82</v>
      </c>
      <c r="K1730" s="91">
        <v>610</v>
      </c>
      <c r="L1730" s="17">
        <v>50</v>
      </c>
      <c r="M1730" s="17">
        <v>5000</v>
      </c>
      <c r="N1730" s="19" t="s">
        <v>40</v>
      </c>
      <c r="O1730" s="19" t="s">
        <v>168</v>
      </c>
      <c r="P1730" s="19">
        <v>1000</v>
      </c>
      <c r="Q1730" s="17">
        <v>1030</v>
      </c>
      <c r="R1730" s="17">
        <f t="shared" si="96"/>
        <v>-30</v>
      </c>
      <c r="S1730" s="17">
        <v>2150</v>
      </c>
      <c r="T1730" s="19" t="s">
        <v>42</v>
      </c>
      <c r="U1730" s="102" t="s">
        <v>674</v>
      </c>
      <c r="V1730" s="186">
        <v>44782</v>
      </c>
      <c r="W1730" s="17" t="s">
        <v>44</v>
      </c>
      <c r="Y1730" s="68">
        <v>44805</v>
      </c>
      <c r="Z1730" s="17" t="s">
        <v>191</v>
      </c>
      <c r="AA1730" s="17" t="s">
        <v>46</v>
      </c>
      <c r="AB1730" s="17" t="s">
        <v>675</v>
      </c>
      <c r="AC1730" s="17" t="s">
        <v>676</v>
      </c>
      <c r="AD1730" s="65">
        <v>1342</v>
      </c>
      <c r="AE1730" s="17" t="s">
        <v>48</v>
      </c>
      <c r="AF1730" s="17" t="s">
        <v>245</v>
      </c>
    </row>
    <row r="1731" s="17" customFormat="1" hidden="1" spans="1:33">
      <c r="A1731" s="17" t="s">
        <v>34</v>
      </c>
      <c r="B1731" s="19">
        <v>829</v>
      </c>
      <c r="C1731" s="101">
        <v>44778</v>
      </c>
      <c r="D1731" s="17" t="s">
        <v>52</v>
      </c>
      <c r="E1731" s="17" t="s">
        <v>220</v>
      </c>
      <c r="F1731" s="17" t="s">
        <v>54</v>
      </c>
      <c r="H1731" s="19">
        <v>1.2344</v>
      </c>
      <c r="I1731" s="19"/>
      <c r="J1731" s="17" t="s">
        <v>82</v>
      </c>
      <c r="K1731" s="91">
        <v>510</v>
      </c>
      <c r="L1731" s="17">
        <v>61</v>
      </c>
      <c r="M1731" s="17">
        <v>5000</v>
      </c>
      <c r="N1731" s="19" t="s">
        <v>40</v>
      </c>
      <c r="O1731" s="19" t="s">
        <v>168</v>
      </c>
      <c r="P1731" s="19">
        <v>1000</v>
      </c>
      <c r="Q1731" s="17">
        <v>875</v>
      </c>
      <c r="R1731" s="17">
        <f t="shared" si="96"/>
        <v>125</v>
      </c>
      <c r="S1731" s="17">
        <v>2150</v>
      </c>
      <c r="T1731" s="19" t="s">
        <v>42</v>
      </c>
      <c r="U1731" s="102" t="s">
        <v>674</v>
      </c>
      <c r="V1731" s="186">
        <v>44782</v>
      </c>
      <c r="W1731" s="17" t="s">
        <v>44</v>
      </c>
      <c r="Y1731" s="68">
        <v>44805</v>
      </c>
      <c r="Z1731" s="17" t="s">
        <v>191</v>
      </c>
      <c r="AA1731" s="17" t="s">
        <v>46</v>
      </c>
      <c r="AB1731" s="17" t="s">
        <v>675</v>
      </c>
      <c r="AC1731" s="17" t="s">
        <v>676</v>
      </c>
      <c r="AD1731" s="65">
        <v>1342</v>
      </c>
      <c r="AE1731" s="17" t="s">
        <v>48</v>
      </c>
      <c r="AF1731" s="17" t="s">
        <v>245</v>
      </c>
    </row>
    <row r="1732" s="17" customFormat="1" hidden="1" spans="1:33">
      <c r="A1732" s="17" t="s">
        <v>34</v>
      </c>
      <c r="B1732" s="19">
        <v>829</v>
      </c>
      <c r="C1732" s="101">
        <v>44778</v>
      </c>
      <c r="D1732" s="17" t="s">
        <v>52</v>
      </c>
      <c r="E1732" s="17" t="s">
        <v>220</v>
      </c>
      <c r="F1732" s="17" t="s">
        <v>54</v>
      </c>
      <c r="H1732" s="19">
        <v>1.2344</v>
      </c>
      <c r="I1732" s="19"/>
      <c r="J1732" s="17" t="s">
        <v>82</v>
      </c>
      <c r="K1732" s="91">
        <v>610</v>
      </c>
      <c r="L1732" s="17">
        <v>61</v>
      </c>
      <c r="M1732" s="17">
        <v>5000</v>
      </c>
      <c r="N1732" s="19" t="s">
        <v>40</v>
      </c>
      <c r="O1732" s="19" t="s">
        <v>168</v>
      </c>
      <c r="P1732" s="19">
        <v>1000</v>
      </c>
      <c r="Q1732" s="17">
        <v>1047</v>
      </c>
      <c r="R1732" s="17">
        <f t="shared" si="96"/>
        <v>-47</v>
      </c>
      <c r="S1732" s="17">
        <v>2150</v>
      </c>
      <c r="T1732" s="19" t="s">
        <v>42</v>
      </c>
      <c r="U1732" s="102" t="s">
        <v>674</v>
      </c>
      <c r="V1732" s="186">
        <v>44782</v>
      </c>
      <c r="W1732" s="17" t="s">
        <v>44</v>
      </c>
      <c r="Y1732" s="68">
        <v>44805</v>
      </c>
      <c r="Z1732" s="17" t="s">
        <v>191</v>
      </c>
      <c r="AA1732" s="17" t="s">
        <v>46</v>
      </c>
      <c r="AB1732" s="17" t="s">
        <v>675</v>
      </c>
      <c r="AC1732" s="17" t="s">
        <v>676</v>
      </c>
      <c r="AD1732" s="65">
        <v>1342</v>
      </c>
      <c r="AE1732" s="17" t="s">
        <v>48</v>
      </c>
      <c r="AF1732" s="17" t="s">
        <v>245</v>
      </c>
    </row>
    <row r="1733" s="17" customFormat="1" hidden="1" spans="1:33">
      <c r="A1733" s="17" t="s">
        <v>34</v>
      </c>
      <c r="B1733" s="19">
        <v>829</v>
      </c>
      <c r="C1733" s="101">
        <v>44778</v>
      </c>
      <c r="D1733" s="17" t="s">
        <v>52</v>
      </c>
      <c r="E1733" s="17" t="s">
        <v>220</v>
      </c>
      <c r="F1733" s="17" t="s">
        <v>54</v>
      </c>
      <c r="H1733" s="19">
        <v>1.2344</v>
      </c>
      <c r="I1733" s="19"/>
      <c r="J1733" s="17" t="s">
        <v>82</v>
      </c>
      <c r="K1733" s="91">
        <v>510</v>
      </c>
      <c r="L1733" s="17">
        <v>65</v>
      </c>
      <c r="M1733" s="17">
        <v>5000</v>
      </c>
      <c r="N1733" s="19" t="s">
        <v>40</v>
      </c>
      <c r="O1733" s="19" t="s">
        <v>168</v>
      </c>
      <c r="P1733" s="19">
        <v>1000</v>
      </c>
      <c r="Q1733" s="17">
        <v>885</v>
      </c>
      <c r="R1733" s="17">
        <f t="shared" si="96"/>
        <v>115</v>
      </c>
      <c r="S1733" s="17">
        <v>2150</v>
      </c>
      <c r="T1733" s="19" t="s">
        <v>42</v>
      </c>
      <c r="U1733" s="102" t="s">
        <v>674</v>
      </c>
      <c r="V1733" s="186">
        <v>44782</v>
      </c>
      <c r="W1733" s="17" t="s">
        <v>44</v>
      </c>
      <c r="Y1733" s="68">
        <v>44805</v>
      </c>
      <c r="Z1733" s="17" t="s">
        <v>191</v>
      </c>
      <c r="AA1733" s="17" t="s">
        <v>46</v>
      </c>
      <c r="AB1733" s="17" t="s">
        <v>675</v>
      </c>
      <c r="AC1733" s="17" t="s">
        <v>676</v>
      </c>
      <c r="AD1733" s="65">
        <v>1342</v>
      </c>
      <c r="AE1733" s="17" t="s">
        <v>48</v>
      </c>
      <c r="AF1733" s="17" t="s">
        <v>245</v>
      </c>
    </row>
    <row r="1734" s="17" customFormat="1" hidden="1" spans="1:33">
      <c r="A1734" s="17" t="s">
        <v>34</v>
      </c>
      <c r="B1734" s="19">
        <v>829</v>
      </c>
      <c r="C1734" s="101">
        <v>44778</v>
      </c>
      <c r="D1734" s="17" t="s">
        <v>52</v>
      </c>
      <c r="E1734" s="17" t="s">
        <v>220</v>
      </c>
      <c r="F1734" s="17" t="s">
        <v>54</v>
      </c>
      <c r="H1734" s="19">
        <v>1.2344</v>
      </c>
      <c r="I1734" s="19"/>
      <c r="J1734" s="17" t="s">
        <v>82</v>
      </c>
      <c r="K1734" s="91">
        <v>610</v>
      </c>
      <c r="L1734" s="17">
        <v>65</v>
      </c>
      <c r="M1734" s="17">
        <v>5000</v>
      </c>
      <c r="N1734" s="19" t="s">
        <v>40</v>
      </c>
      <c r="O1734" s="19" t="s">
        <v>168</v>
      </c>
      <c r="P1734" s="19">
        <v>2000</v>
      </c>
      <c r="Q1734" s="17">
        <v>1025</v>
      </c>
      <c r="R1734" s="17">
        <f t="shared" si="96"/>
        <v>975</v>
      </c>
      <c r="S1734" s="17">
        <v>2150</v>
      </c>
      <c r="T1734" s="19" t="s">
        <v>42</v>
      </c>
      <c r="U1734" s="102" t="s">
        <v>674</v>
      </c>
      <c r="V1734" s="186">
        <v>44782</v>
      </c>
      <c r="W1734" s="17" t="s">
        <v>44</v>
      </c>
      <c r="Y1734" s="68">
        <v>44805</v>
      </c>
      <c r="Z1734" s="17" t="s">
        <v>191</v>
      </c>
      <c r="AA1734" s="17" t="s">
        <v>46</v>
      </c>
      <c r="AB1734" s="17" t="s">
        <v>675</v>
      </c>
      <c r="AC1734" s="17" t="s">
        <v>676</v>
      </c>
      <c r="AD1734" s="65">
        <v>1342</v>
      </c>
      <c r="AE1734" s="17" t="s">
        <v>48</v>
      </c>
      <c r="AF1734" s="17" t="s">
        <v>245</v>
      </c>
    </row>
    <row r="1735" s="17" customFormat="1" hidden="1" spans="1:33">
      <c r="A1735" s="17" t="s">
        <v>34</v>
      </c>
      <c r="B1735" s="19">
        <v>829</v>
      </c>
      <c r="C1735" s="101">
        <v>44778</v>
      </c>
      <c r="D1735" s="17" t="s">
        <v>52</v>
      </c>
      <c r="E1735" s="17" t="s">
        <v>220</v>
      </c>
      <c r="F1735" s="17" t="s">
        <v>54</v>
      </c>
      <c r="H1735" s="19">
        <v>1.2344</v>
      </c>
      <c r="I1735" s="19"/>
      <c r="J1735" s="17" t="s">
        <v>82</v>
      </c>
      <c r="K1735" s="91">
        <v>610</v>
      </c>
      <c r="L1735" s="17">
        <v>80</v>
      </c>
      <c r="M1735" s="17">
        <v>5000</v>
      </c>
      <c r="N1735" s="19" t="s">
        <v>40</v>
      </c>
      <c r="O1735" s="19" t="s">
        <v>168</v>
      </c>
      <c r="P1735" s="19">
        <v>1000</v>
      </c>
      <c r="Q1735" s="17">
        <v>1755</v>
      </c>
      <c r="R1735" s="17">
        <f t="shared" si="96"/>
        <v>-755</v>
      </c>
      <c r="S1735" s="17">
        <v>2150</v>
      </c>
      <c r="T1735" s="19" t="s">
        <v>42</v>
      </c>
      <c r="U1735" s="102" t="s">
        <v>674</v>
      </c>
      <c r="V1735" s="186">
        <v>44782</v>
      </c>
      <c r="W1735" s="17" t="s">
        <v>44</v>
      </c>
      <c r="Y1735" s="68">
        <v>44805</v>
      </c>
      <c r="Z1735" s="17" t="s">
        <v>191</v>
      </c>
      <c r="AA1735" s="17" t="s">
        <v>46</v>
      </c>
      <c r="AB1735" s="17" t="s">
        <v>675</v>
      </c>
      <c r="AC1735" s="17" t="s">
        <v>676</v>
      </c>
      <c r="AD1735" s="65">
        <v>1342</v>
      </c>
      <c r="AE1735" s="17" t="s">
        <v>48</v>
      </c>
      <c r="AF1735" s="17" t="s">
        <v>245</v>
      </c>
    </row>
    <row r="1736" s="17" customFormat="1" hidden="1" spans="1:33">
      <c r="B1736" s="19">
        <v>829</v>
      </c>
      <c r="C1736" s="101">
        <v>44778</v>
      </c>
      <c r="D1736" s="17" t="s">
        <v>52</v>
      </c>
      <c r="E1736" s="17" t="s">
        <v>220</v>
      </c>
      <c r="F1736" s="17" t="s">
        <v>54</v>
      </c>
      <c r="H1736" s="19">
        <v>1.2344</v>
      </c>
      <c r="I1736" s="19"/>
      <c r="J1736" s="17" t="s">
        <v>82</v>
      </c>
      <c r="K1736" s="91">
        <v>610</v>
      </c>
      <c r="L1736" s="17">
        <v>105</v>
      </c>
      <c r="M1736" s="17">
        <v>5000</v>
      </c>
      <c r="N1736" s="19" t="s">
        <v>40</v>
      </c>
      <c r="O1736" s="19" t="s">
        <v>168</v>
      </c>
      <c r="P1736" s="19">
        <v>1000</v>
      </c>
      <c r="R1736" s="17">
        <f t="shared" si="96"/>
        <v>1000</v>
      </c>
      <c r="S1736" s="17">
        <v>2150</v>
      </c>
      <c r="T1736" s="19" t="s">
        <v>42</v>
      </c>
      <c r="U1736" s="102" t="s">
        <v>674</v>
      </c>
      <c r="V1736" s="186">
        <v>44782</v>
      </c>
      <c r="W1736" s="17" t="s">
        <v>44</v>
      </c>
      <c r="Y1736" s="68">
        <v>44805</v>
      </c>
      <c r="Z1736" s="17" t="s">
        <v>191</v>
      </c>
      <c r="AA1736" s="17" t="s">
        <v>46</v>
      </c>
      <c r="AD1736" s="65"/>
      <c r="AE1736" s="17" t="s">
        <v>48</v>
      </c>
      <c r="AF1736" s="17" t="s">
        <v>245</v>
      </c>
      <c r="AG1736" s="17" t="s">
        <v>641</v>
      </c>
    </row>
    <row r="1737" s="17" customFormat="1" hidden="1" spans="1:33">
      <c r="A1737" s="17" t="s">
        <v>34</v>
      </c>
      <c r="B1737" s="19">
        <v>829</v>
      </c>
      <c r="C1737" s="101">
        <v>44778</v>
      </c>
      <c r="D1737" s="17" t="s">
        <v>52</v>
      </c>
      <c r="E1737" s="17" t="s">
        <v>220</v>
      </c>
      <c r="F1737" s="17" t="s">
        <v>54</v>
      </c>
      <c r="H1737" s="19">
        <v>1.2344</v>
      </c>
      <c r="I1737" s="19"/>
      <c r="J1737" s="17" t="s">
        <v>82</v>
      </c>
      <c r="K1737" s="91">
        <v>610</v>
      </c>
      <c r="L1737" s="17">
        <v>125</v>
      </c>
      <c r="M1737" s="17">
        <v>5000</v>
      </c>
      <c r="N1737" s="19" t="s">
        <v>40</v>
      </c>
      <c r="O1737" s="19" t="s">
        <v>168</v>
      </c>
      <c r="P1737" s="19">
        <v>2000</v>
      </c>
      <c r="Q1737" s="17">
        <v>2146</v>
      </c>
      <c r="R1737" s="17">
        <f t="shared" si="96"/>
        <v>-146</v>
      </c>
      <c r="S1737" s="17">
        <v>2150</v>
      </c>
      <c r="T1737" s="19" t="s">
        <v>42</v>
      </c>
      <c r="U1737" s="102" t="s">
        <v>674</v>
      </c>
      <c r="V1737" s="186">
        <v>44782</v>
      </c>
      <c r="W1737" s="17" t="s">
        <v>44</v>
      </c>
      <c r="Y1737" s="68">
        <v>44805</v>
      </c>
      <c r="Z1737" s="17" t="s">
        <v>191</v>
      </c>
      <c r="AA1737" s="17" t="s">
        <v>46</v>
      </c>
      <c r="AB1737" s="17" t="s">
        <v>675</v>
      </c>
      <c r="AC1737" s="17" t="s">
        <v>676</v>
      </c>
      <c r="AD1737" s="65">
        <v>1342</v>
      </c>
      <c r="AE1737" s="17" t="s">
        <v>48</v>
      </c>
      <c r="AF1737" s="17" t="s">
        <v>245</v>
      </c>
    </row>
    <row r="1738" s="17" customFormat="1" hidden="1" spans="1:33">
      <c r="A1738" s="17" t="s">
        <v>34</v>
      </c>
      <c r="B1738" s="19">
        <v>829</v>
      </c>
      <c r="C1738" s="101">
        <v>44778</v>
      </c>
      <c r="D1738" s="17" t="s">
        <v>52</v>
      </c>
      <c r="E1738" s="17" t="s">
        <v>220</v>
      </c>
      <c r="F1738" s="17" t="s">
        <v>54</v>
      </c>
      <c r="H1738" s="19">
        <v>1.2344</v>
      </c>
      <c r="I1738" s="19"/>
      <c r="J1738" s="17" t="s">
        <v>82</v>
      </c>
      <c r="K1738" s="91">
        <v>610</v>
      </c>
      <c r="L1738" s="17">
        <v>130</v>
      </c>
      <c r="M1738" s="17">
        <v>5000</v>
      </c>
      <c r="N1738" s="19" t="s">
        <v>40</v>
      </c>
      <c r="O1738" s="19" t="s">
        <v>168</v>
      </c>
      <c r="P1738" s="19">
        <v>2000</v>
      </c>
      <c r="Q1738" s="17">
        <v>2121</v>
      </c>
      <c r="R1738" s="17">
        <f t="shared" si="96"/>
        <v>-121</v>
      </c>
      <c r="S1738" s="17">
        <v>2150</v>
      </c>
      <c r="T1738" s="19" t="s">
        <v>42</v>
      </c>
      <c r="U1738" s="102" t="s">
        <v>674</v>
      </c>
      <c r="V1738" s="186">
        <v>44782</v>
      </c>
      <c r="W1738" s="17" t="s">
        <v>44</v>
      </c>
      <c r="Y1738" s="68">
        <v>44805</v>
      </c>
      <c r="Z1738" s="17" t="s">
        <v>191</v>
      </c>
      <c r="AA1738" s="17" t="s">
        <v>46</v>
      </c>
      <c r="AB1738" s="17" t="s">
        <v>675</v>
      </c>
      <c r="AC1738" s="17" t="s">
        <v>676</v>
      </c>
      <c r="AD1738" s="65">
        <v>1342</v>
      </c>
      <c r="AE1738" s="17" t="s">
        <v>48</v>
      </c>
      <c r="AF1738" s="17" t="s">
        <v>245</v>
      </c>
    </row>
    <row r="1739" s="17" customFormat="1" hidden="1" spans="1:33">
      <c r="A1739" s="17" t="s">
        <v>34</v>
      </c>
      <c r="B1739" s="19">
        <v>829</v>
      </c>
      <c r="C1739" s="101">
        <v>44778</v>
      </c>
      <c r="D1739" s="17" t="s">
        <v>52</v>
      </c>
      <c r="E1739" s="17" t="s">
        <v>220</v>
      </c>
      <c r="F1739" s="17" t="s">
        <v>54</v>
      </c>
      <c r="H1739" s="19">
        <v>1.2344</v>
      </c>
      <c r="I1739" s="19"/>
      <c r="J1739" s="17" t="s">
        <v>82</v>
      </c>
      <c r="K1739" s="91">
        <v>610</v>
      </c>
      <c r="L1739" s="17">
        <v>155</v>
      </c>
      <c r="M1739" s="17">
        <v>5000</v>
      </c>
      <c r="N1739" s="19" t="s">
        <v>40</v>
      </c>
      <c r="O1739" s="19" t="s">
        <v>168</v>
      </c>
      <c r="P1739" s="19">
        <v>2000</v>
      </c>
      <c r="Q1739" s="17">
        <v>2610</v>
      </c>
      <c r="R1739" s="17">
        <f t="shared" si="96"/>
        <v>-610</v>
      </c>
      <c r="S1739" s="17">
        <v>2150</v>
      </c>
      <c r="T1739" s="19" t="s">
        <v>42</v>
      </c>
      <c r="U1739" s="102" t="s">
        <v>674</v>
      </c>
      <c r="V1739" s="186">
        <v>44782</v>
      </c>
      <c r="W1739" s="17" t="s">
        <v>44</v>
      </c>
      <c r="Y1739" s="68">
        <v>44805</v>
      </c>
      <c r="Z1739" s="17" t="s">
        <v>191</v>
      </c>
      <c r="AA1739" s="17" t="s">
        <v>46</v>
      </c>
      <c r="AB1739" s="17" t="s">
        <v>675</v>
      </c>
      <c r="AC1739" s="17" t="s">
        <v>676</v>
      </c>
      <c r="AD1739" s="65">
        <v>1342</v>
      </c>
      <c r="AE1739" s="17" t="s">
        <v>48</v>
      </c>
      <c r="AF1739" s="17" t="s">
        <v>245</v>
      </c>
    </row>
    <row r="1740" s="17" customFormat="1" hidden="1" spans="1:33">
      <c r="A1740" s="17" t="s">
        <v>34</v>
      </c>
      <c r="B1740" s="19">
        <v>829</v>
      </c>
      <c r="C1740" s="101">
        <v>44778</v>
      </c>
      <c r="D1740" s="17" t="s">
        <v>52</v>
      </c>
      <c r="E1740" s="17" t="s">
        <v>220</v>
      </c>
      <c r="F1740" s="17" t="s">
        <v>54</v>
      </c>
      <c r="H1740" s="19">
        <v>1.2379</v>
      </c>
      <c r="I1740" s="19"/>
      <c r="J1740" s="17" t="s">
        <v>82</v>
      </c>
      <c r="K1740" s="91">
        <v>155</v>
      </c>
      <c r="L1740" s="17">
        <v>32</v>
      </c>
      <c r="M1740" s="17">
        <v>5000</v>
      </c>
      <c r="N1740" s="19" t="s">
        <v>40</v>
      </c>
      <c r="O1740" s="19" t="s">
        <v>168</v>
      </c>
      <c r="P1740" s="19">
        <v>300</v>
      </c>
      <c r="Q1740" s="17">
        <v>121</v>
      </c>
      <c r="R1740" s="17">
        <f t="shared" si="96"/>
        <v>179</v>
      </c>
      <c r="S1740" s="17">
        <v>2150</v>
      </c>
      <c r="T1740" s="19" t="s">
        <v>42</v>
      </c>
      <c r="U1740" s="102" t="s">
        <v>674</v>
      </c>
      <c r="V1740" s="186">
        <v>44782</v>
      </c>
      <c r="W1740" s="17" t="s">
        <v>44</v>
      </c>
      <c r="Y1740" s="68">
        <v>44805</v>
      </c>
      <c r="Z1740" s="17" t="s">
        <v>191</v>
      </c>
      <c r="AA1740" s="17" t="s">
        <v>46</v>
      </c>
      <c r="AB1740" s="17" t="s">
        <v>675</v>
      </c>
      <c r="AC1740" s="17" t="s">
        <v>676</v>
      </c>
      <c r="AD1740" s="65">
        <v>1342</v>
      </c>
      <c r="AE1740" s="17" t="s">
        <v>48</v>
      </c>
      <c r="AF1740" s="17" t="s">
        <v>245</v>
      </c>
    </row>
    <row r="1741" s="17" customFormat="1" hidden="1" spans="1:33">
      <c r="A1741" s="17" t="s">
        <v>34</v>
      </c>
      <c r="B1741" s="19">
        <v>829</v>
      </c>
      <c r="C1741" s="101">
        <v>44778</v>
      </c>
      <c r="D1741" s="17" t="s">
        <v>52</v>
      </c>
      <c r="E1741" s="17" t="s">
        <v>220</v>
      </c>
      <c r="F1741" s="17" t="s">
        <v>54</v>
      </c>
      <c r="H1741" s="19">
        <v>1.2379</v>
      </c>
      <c r="I1741" s="19"/>
      <c r="J1741" s="17" t="s">
        <v>82</v>
      </c>
      <c r="K1741" s="91">
        <v>205</v>
      </c>
      <c r="L1741" s="17">
        <v>32</v>
      </c>
      <c r="M1741" s="17">
        <v>5000</v>
      </c>
      <c r="N1741" s="19" t="s">
        <v>40</v>
      </c>
      <c r="O1741" s="19" t="s">
        <v>168</v>
      </c>
      <c r="P1741" s="19">
        <v>300</v>
      </c>
      <c r="Q1741" s="17">
        <v>127</v>
      </c>
      <c r="R1741" s="17">
        <f t="shared" si="96"/>
        <v>173</v>
      </c>
      <c r="S1741" s="17">
        <v>2150</v>
      </c>
      <c r="T1741" s="19" t="s">
        <v>42</v>
      </c>
      <c r="U1741" s="102" t="s">
        <v>674</v>
      </c>
      <c r="V1741" s="186">
        <v>44782</v>
      </c>
      <c r="W1741" s="17" t="s">
        <v>44</v>
      </c>
      <c r="Y1741" s="68">
        <v>44805</v>
      </c>
      <c r="Z1741" s="17" t="s">
        <v>191</v>
      </c>
      <c r="AA1741" s="17" t="s">
        <v>46</v>
      </c>
      <c r="AB1741" s="17" t="s">
        <v>675</v>
      </c>
      <c r="AC1741" s="17" t="s">
        <v>676</v>
      </c>
      <c r="AD1741" s="65">
        <v>1342</v>
      </c>
      <c r="AE1741" s="17" t="s">
        <v>48</v>
      </c>
      <c r="AF1741" s="17" t="s">
        <v>245</v>
      </c>
    </row>
    <row r="1742" s="17" customFormat="1" hidden="1" spans="1:33">
      <c r="A1742" s="17" t="s">
        <v>34</v>
      </c>
      <c r="B1742" s="19">
        <v>829</v>
      </c>
      <c r="C1742" s="101">
        <v>44778</v>
      </c>
      <c r="D1742" s="17" t="s">
        <v>52</v>
      </c>
      <c r="E1742" s="17" t="s">
        <v>220</v>
      </c>
      <c r="F1742" s="17" t="s">
        <v>54</v>
      </c>
      <c r="H1742" s="19">
        <v>1.2379</v>
      </c>
      <c r="I1742" s="19"/>
      <c r="J1742" s="17" t="s">
        <v>82</v>
      </c>
      <c r="K1742" s="91">
        <v>255</v>
      </c>
      <c r="L1742" s="17">
        <v>32</v>
      </c>
      <c r="M1742" s="17">
        <v>5000</v>
      </c>
      <c r="N1742" s="19" t="s">
        <v>40</v>
      </c>
      <c r="O1742" s="19" t="s">
        <v>168</v>
      </c>
      <c r="P1742" s="19">
        <v>300</v>
      </c>
      <c r="Q1742" s="17">
        <v>139</v>
      </c>
      <c r="R1742" s="17">
        <f t="shared" si="96"/>
        <v>161</v>
      </c>
      <c r="S1742" s="17">
        <v>2150</v>
      </c>
      <c r="T1742" s="19" t="s">
        <v>42</v>
      </c>
      <c r="U1742" s="102" t="s">
        <v>674</v>
      </c>
      <c r="V1742" s="186">
        <v>44782</v>
      </c>
      <c r="W1742" s="17" t="s">
        <v>44</v>
      </c>
      <c r="Y1742" s="68">
        <v>44805</v>
      </c>
      <c r="Z1742" s="17" t="s">
        <v>191</v>
      </c>
      <c r="AA1742" s="17" t="s">
        <v>46</v>
      </c>
      <c r="AB1742" s="17" t="s">
        <v>675</v>
      </c>
      <c r="AC1742" s="17" t="s">
        <v>676</v>
      </c>
      <c r="AD1742" s="65">
        <v>1342</v>
      </c>
      <c r="AE1742" s="17" t="s">
        <v>48</v>
      </c>
      <c r="AF1742" s="17" t="s">
        <v>245</v>
      </c>
    </row>
    <row r="1743" s="17" customFormat="1" hidden="1" spans="1:33">
      <c r="A1743" s="17" t="s">
        <v>34</v>
      </c>
      <c r="B1743" s="19">
        <v>829</v>
      </c>
      <c r="C1743" s="101">
        <v>44778</v>
      </c>
      <c r="D1743" s="17" t="s">
        <v>52</v>
      </c>
      <c r="E1743" s="17" t="s">
        <v>220</v>
      </c>
      <c r="F1743" s="17" t="s">
        <v>54</v>
      </c>
      <c r="H1743" s="19">
        <v>1.2379</v>
      </c>
      <c r="I1743" s="19"/>
      <c r="J1743" s="17" t="s">
        <v>82</v>
      </c>
      <c r="K1743" s="91">
        <v>305</v>
      </c>
      <c r="L1743" s="17">
        <v>32</v>
      </c>
      <c r="M1743" s="17">
        <v>5000</v>
      </c>
      <c r="N1743" s="19" t="s">
        <v>40</v>
      </c>
      <c r="O1743" s="19" t="s">
        <v>168</v>
      </c>
      <c r="P1743" s="19">
        <v>300</v>
      </c>
      <c r="Q1743" s="17">
        <v>220</v>
      </c>
      <c r="R1743" s="17">
        <f t="shared" si="96"/>
        <v>80</v>
      </c>
      <c r="S1743" s="17">
        <v>2150</v>
      </c>
      <c r="T1743" s="19" t="s">
        <v>42</v>
      </c>
      <c r="U1743" s="102" t="s">
        <v>674</v>
      </c>
      <c r="V1743" s="186">
        <v>44782</v>
      </c>
      <c r="W1743" s="17" t="s">
        <v>44</v>
      </c>
      <c r="Y1743" s="68">
        <v>44805</v>
      </c>
      <c r="Z1743" s="17" t="s">
        <v>191</v>
      </c>
      <c r="AA1743" s="17" t="s">
        <v>46</v>
      </c>
      <c r="AB1743" s="17" t="s">
        <v>675</v>
      </c>
      <c r="AC1743" s="17" t="s">
        <v>676</v>
      </c>
      <c r="AD1743" s="65">
        <v>1342</v>
      </c>
      <c r="AE1743" s="17" t="s">
        <v>48</v>
      </c>
      <c r="AF1743" s="17" t="s">
        <v>245</v>
      </c>
    </row>
    <row r="1744" s="17" customFormat="1" hidden="1" spans="1:33">
      <c r="A1744" s="17" t="s">
        <v>34</v>
      </c>
      <c r="B1744" s="19">
        <v>829</v>
      </c>
      <c r="C1744" s="101">
        <v>44778</v>
      </c>
      <c r="D1744" s="17" t="s">
        <v>52</v>
      </c>
      <c r="E1744" s="17" t="s">
        <v>220</v>
      </c>
      <c r="F1744" s="17" t="s">
        <v>54</v>
      </c>
      <c r="H1744" s="19">
        <v>1.2379</v>
      </c>
      <c r="I1744" s="19"/>
      <c r="J1744" s="17" t="s">
        <v>82</v>
      </c>
      <c r="K1744" s="91">
        <v>155</v>
      </c>
      <c r="L1744" s="17">
        <v>40</v>
      </c>
      <c r="M1744" s="17">
        <v>5000</v>
      </c>
      <c r="N1744" s="19" t="s">
        <v>40</v>
      </c>
      <c r="O1744" s="19" t="s">
        <v>168</v>
      </c>
      <c r="P1744" s="19">
        <v>300</v>
      </c>
      <c r="Q1744" s="17">
        <f>144+117</f>
        <v>261</v>
      </c>
      <c r="R1744" s="17">
        <f t="shared" si="96"/>
        <v>39</v>
      </c>
      <c r="S1744" s="17">
        <v>2150</v>
      </c>
      <c r="T1744" s="19" t="s">
        <v>42</v>
      </c>
      <c r="U1744" s="102" t="s">
        <v>674</v>
      </c>
      <c r="V1744" s="186">
        <v>44782</v>
      </c>
      <c r="W1744" s="17" t="s">
        <v>44</v>
      </c>
      <c r="Y1744" s="68">
        <v>44805</v>
      </c>
      <c r="Z1744" s="17" t="s">
        <v>191</v>
      </c>
      <c r="AA1744" s="17" t="s">
        <v>46</v>
      </c>
      <c r="AB1744" s="17" t="s">
        <v>675</v>
      </c>
      <c r="AC1744" s="17" t="s">
        <v>676</v>
      </c>
      <c r="AD1744" s="65">
        <v>1342</v>
      </c>
      <c r="AE1744" s="17" t="s">
        <v>48</v>
      </c>
      <c r="AF1744" s="17" t="s">
        <v>245</v>
      </c>
    </row>
    <row r="1745" s="17" customFormat="1" hidden="1" spans="1:32">
      <c r="A1745" s="17" t="s">
        <v>34</v>
      </c>
      <c r="B1745" s="19">
        <v>829</v>
      </c>
      <c r="C1745" s="101">
        <v>44778</v>
      </c>
      <c r="D1745" s="17" t="s">
        <v>52</v>
      </c>
      <c r="E1745" s="17" t="s">
        <v>220</v>
      </c>
      <c r="F1745" s="17" t="s">
        <v>54</v>
      </c>
      <c r="H1745" s="19">
        <v>1.2379</v>
      </c>
      <c r="I1745" s="19"/>
      <c r="J1745" s="17" t="s">
        <v>82</v>
      </c>
      <c r="K1745" s="91">
        <v>205</v>
      </c>
      <c r="L1745" s="17">
        <v>40</v>
      </c>
      <c r="M1745" s="17">
        <v>5000</v>
      </c>
      <c r="N1745" s="19" t="s">
        <v>40</v>
      </c>
      <c r="O1745" s="19" t="s">
        <v>168</v>
      </c>
      <c r="P1745" s="19">
        <v>300</v>
      </c>
      <c r="Q1745" s="17">
        <v>173</v>
      </c>
      <c r="R1745" s="17">
        <f t="shared" si="96"/>
        <v>127</v>
      </c>
      <c r="S1745" s="17">
        <v>2150</v>
      </c>
      <c r="T1745" s="19" t="s">
        <v>42</v>
      </c>
      <c r="U1745" s="102" t="s">
        <v>674</v>
      </c>
      <c r="V1745" s="186">
        <v>44782</v>
      </c>
      <c r="W1745" s="17" t="s">
        <v>44</v>
      </c>
      <c r="Y1745" s="68">
        <v>44805</v>
      </c>
      <c r="Z1745" s="17" t="s">
        <v>191</v>
      </c>
      <c r="AA1745" s="17" t="s">
        <v>46</v>
      </c>
      <c r="AB1745" s="17" t="s">
        <v>675</v>
      </c>
      <c r="AC1745" s="17" t="s">
        <v>676</v>
      </c>
      <c r="AD1745" s="65">
        <v>1342</v>
      </c>
      <c r="AE1745" s="17" t="s">
        <v>48</v>
      </c>
      <c r="AF1745" s="17" t="s">
        <v>245</v>
      </c>
    </row>
    <row r="1746" s="17" customFormat="1" hidden="1" spans="1:32">
      <c r="A1746" s="17" t="s">
        <v>34</v>
      </c>
      <c r="B1746" s="19">
        <v>829</v>
      </c>
      <c r="C1746" s="101">
        <v>44778</v>
      </c>
      <c r="D1746" s="17" t="s">
        <v>52</v>
      </c>
      <c r="E1746" s="17" t="s">
        <v>220</v>
      </c>
      <c r="F1746" s="17" t="s">
        <v>54</v>
      </c>
      <c r="H1746" s="19">
        <v>1.2379</v>
      </c>
      <c r="I1746" s="19"/>
      <c r="J1746" s="17" t="s">
        <v>82</v>
      </c>
      <c r="K1746" s="91">
        <v>255</v>
      </c>
      <c r="L1746" s="17">
        <v>40</v>
      </c>
      <c r="M1746" s="17">
        <v>5000</v>
      </c>
      <c r="N1746" s="19" t="s">
        <v>40</v>
      </c>
      <c r="O1746" s="19" t="s">
        <v>168</v>
      </c>
      <c r="P1746" s="19">
        <v>300</v>
      </c>
      <c r="Q1746" s="17">
        <v>188</v>
      </c>
      <c r="R1746" s="17">
        <f t="shared" si="96"/>
        <v>112</v>
      </c>
      <c r="S1746" s="17">
        <v>2150</v>
      </c>
      <c r="T1746" s="19" t="s">
        <v>42</v>
      </c>
      <c r="U1746" s="102" t="s">
        <v>674</v>
      </c>
      <c r="V1746" s="186">
        <v>44782</v>
      </c>
      <c r="W1746" s="17" t="s">
        <v>44</v>
      </c>
      <c r="Y1746" s="68">
        <v>44805</v>
      </c>
      <c r="Z1746" s="17" t="s">
        <v>191</v>
      </c>
      <c r="AA1746" s="17" t="s">
        <v>46</v>
      </c>
      <c r="AB1746" s="17" t="s">
        <v>675</v>
      </c>
      <c r="AC1746" s="17" t="s">
        <v>676</v>
      </c>
      <c r="AD1746" s="65">
        <v>1342</v>
      </c>
      <c r="AE1746" s="17" t="s">
        <v>48</v>
      </c>
      <c r="AF1746" s="17" t="s">
        <v>245</v>
      </c>
    </row>
    <row r="1747" s="17" customFormat="1" hidden="1" spans="1:32">
      <c r="A1747" s="17" t="s">
        <v>34</v>
      </c>
      <c r="B1747" s="19">
        <v>829</v>
      </c>
      <c r="C1747" s="101">
        <v>44778</v>
      </c>
      <c r="D1747" s="17" t="s">
        <v>52</v>
      </c>
      <c r="E1747" s="17" t="s">
        <v>220</v>
      </c>
      <c r="F1747" s="17" t="s">
        <v>54</v>
      </c>
      <c r="H1747" s="19">
        <v>1.2379</v>
      </c>
      <c r="I1747" s="19"/>
      <c r="J1747" s="17" t="s">
        <v>82</v>
      </c>
      <c r="K1747" s="91">
        <v>305</v>
      </c>
      <c r="L1747" s="17">
        <v>40</v>
      </c>
      <c r="M1747" s="17">
        <v>5000</v>
      </c>
      <c r="N1747" s="19" t="s">
        <v>40</v>
      </c>
      <c r="O1747" s="19" t="s">
        <v>168</v>
      </c>
      <c r="P1747" s="19">
        <v>300</v>
      </c>
      <c r="Q1747" s="17">
        <v>245</v>
      </c>
      <c r="R1747" s="17">
        <f t="shared" si="96"/>
        <v>55</v>
      </c>
      <c r="S1747" s="17">
        <v>2150</v>
      </c>
      <c r="T1747" s="19" t="s">
        <v>42</v>
      </c>
      <c r="U1747" s="102" t="s">
        <v>674</v>
      </c>
      <c r="V1747" s="186">
        <v>44782</v>
      </c>
      <c r="W1747" s="17" t="s">
        <v>44</v>
      </c>
      <c r="Y1747" s="68">
        <v>44805</v>
      </c>
      <c r="Z1747" s="17" t="s">
        <v>191</v>
      </c>
      <c r="AA1747" s="17" t="s">
        <v>46</v>
      </c>
      <c r="AB1747" s="17" t="s">
        <v>675</v>
      </c>
      <c r="AC1747" s="17" t="s">
        <v>676</v>
      </c>
      <c r="AD1747" s="65">
        <v>1342</v>
      </c>
      <c r="AE1747" s="17" t="s">
        <v>48</v>
      </c>
      <c r="AF1747" s="17" t="s">
        <v>245</v>
      </c>
    </row>
    <row r="1748" s="17" customFormat="1" hidden="1" spans="1:32">
      <c r="A1748" s="17" t="s">
        <v>34</v>
      </c>
      <c r="B1748" s="19">
        <v>829</v>
      </c>
      <c r="C1748" s="101">
        <v>44778</v>
      </c>
      <c r="D1748" s="17" t="s">
        <v>52</v>
      </c>
      <c r="E1748" s="17" t="s">
        <v>220</v>
      </c>
      <c r="F1748" s="17" t="s">
        <v>54</v>
      </c>
      <c r="H1748" s="19">
        <v>1.2379</v>
      </c>
      <c r="I1748" s="19"/>
      <c r="J1748" s="17" t="s">
        <v>82</v>
      </c>
      <c r="K1748" s="91">
        <v>410</v>
      </c>
      <c r="L1748" s="17">
        <v>40</v>
      </c>
      <c r="M1748" s="17">
        <v>5000</v>
      </c>
      <c r="N1748" s="19" t="s">
        <v>40</v>
      </c>
      <c r="O1748" s="19" t="s">
        <v>168</v>
      </c>
      <c r="P1748" s="19">
        <v>300</v>
      </c>
      <c r="Q1748" s="17">
        <f>316+337</f>
        <v>653</v>
      </c>
      <c r="R1748" s="17">
        <f t="shared" si="96"/>
        <v>-353</v>
      </c>
      <c r="S1748" s="17">
        <v>2150</v>
      </c>
      <c r="T1748" s="19" t="s">
        <v>42</v>
      </c>
      <c r="U1748" s="102" t="s">
        <v>674</v>
      </c>
      <c r="V1748" s="186">
        <v>44782</v>
      </c>
      <c r="W1748" s="17" t="s">
        <v>44</v>
      </c>
      <c r="Y1748" s="68">
        <v>44805</v>
      </c>
      <c r="Z1748" s="17" t="s">
        <v>191</v>
      </c>
      <c r="AA1748" s="17" t="s">
        <v>46</v>
      </c>
      <c r="AB1748" s="17" t="s">
        <v>675</v>
      </c>
      <c r="AC1748" s="17" t="s">
        <v>676</v>
      </c>
      <c r="AD1748" s="65">
        <v>1342</v>
      </c>
      <c r="AE1748" s="17" t="s">
        <v>48</v>
      </c>
      <c r="AF1748" s="17" t="s">
        <v>245</v>
      </c>
    </row>
    <row r="1749" s="17" customFormat="1" hidden="1" spans="1:32">
      <c r="A1749" s="17" t="s">
        <v>34</v>
      </c>
      <c r="B1749" s="19">
        <v>829</v>
      </c>
      <c r="C1749" s="101">
        <v>44778</v>
      </c>
      <c r="D1749" s="17" t="s">
        <v>52</v>
      </c>
      <c r="E1749" s="17" t="s">
        <v>220</v>
      </c>
      <c r="F1749" s="17" t="s">
        <v>54</v>
      </c>
      <c r="H1749" s="19">
        <v>1.2379</v>
      </c>
      <c r="I1749" s="19"/>
      <c r="J1749" s="17" t="s">
        <v>82</v>
      </c>
      <c r="K1749" s="91">
        <v>155</v>
      </c>
      <c r="L1749" s="17">
        <v>50</v>
      </c>
      <c r="M1749" s="17">
        <v>5000</v>
      </c>
      <c r="N1749" s="19" t="s">
        <v>40</v>
      </c>
      <c r="O1749" s="19" t="s">
        <v>168</v>
      </c>
      <c r="P1749" s="19">
        <v>300</v>
      </c>
      <c r="Q1749" s="17">
        <v>179</v>
      </c>
      <c r="R1749" s="17">
        <f t="shared" si="96"/>
        <v>121</v>
      </c>
      <c r="S1749" s="17">
        <v>2150</v>
      </c>
      <c r="T1749" s="19" t="s">
        <v>42</v>
      </c>
      <c r="U1749" s="102" t="s">
        <v>674</v>
      </c>
      <c r="V1749" s="186">
        <v>44782</v>
      </c>
      <c r="W1749" s="17" t="s">
        <v>44</v>
      </c>
      <c r="Y1749" s="68">
        <v>44805</v>
      </c>
      <c r="Z1749" s="17" t="s">
        <v>191</v>
      </c>
      <c r="AA1749" s="17" t="s">
        <v>46</v>
      </c>
      <c r="AB1749" s="17" t="s">
        <v>675</v>
      </c>
      <c r="AC1749" s="17" t="s">
        <v>676</v>
      </c>
      <c r="AD1749" s="65">
        <v>1342</v>
      </c>
      <c r="AE1749" s="17" t="s">
        <v>48</v>
      </c>
      <c r="AF1749" s="17" t="s">
        <v>245</v>
      </c>
    </row>
    <row r="1750" s="17" customFormat="1" hidden="1" spans="1:32">
      <c r="A1750" s="17" t="s">
        <v>34</v>
      </c>
      <c r="B1750" s="19">
        <v>829</v>
      </c>
      <c r="C1750" s="101">
        <v>44778</v>
      </c>
      <c r="D1750" s="17" t="s">
        <v>52</v>
      </c>
      <c r="E1750" s="17" t="s">
        <v>220</v>
      </c>
      <c r="F1750" s="17" t="s">
        <v>54</v>
      </c>
      <c r="H1750" s="19">
        <v>1.2379</v>
      </c>
      <c r="I1750" s="19"/>
      <c r="J1750" s="17" t="s">
        <v>82</v>
      </c>
      <c r="K1750" s="91">
        <v>205</v>
      </c>
      <c r="L1750" s="17">
        <v>50</v>
      </c>
      <c r="M1750" s="17">
        <v>5000</v>
      </c>
      <c r="N1750" s="19" t="s">
        <v>40</v>
      </c>
      <c r="O1750" s="19" t="s">
        <v>168</v>
      </c>
      <c r="P1750" s="19">
        <v>300</v>
      </c>
      <c r="Q1750" s="17">
        <f>231+197</f>
        <v>428</v>
      </c>
      <c r="R1750" s="17">
        <f t="shared" si="96"/>
        <v>-128</v>
      </c>
      <c r="S1750" s="17">
        <v>2150</v>
      </c>
      <c r="T1750" s="19" t="s">
        <v>42</v>
      </c>
      <c r="U1750" s="102" t="s">
        <v>674</v>
      </c>
      <c r="V1750" s="186">
        <v>44782</v>
      </c>
      <c r="W1750" s="17" t="s">
        <v>44</v>
      </c>
      <c r="Y1750" s="68">
        <v>44805</v>
      </c>
      <c r="Z1750" s="17" t="s">
        <v>191</v>
      </c>
      <c r="AA1750" s="17" t="s">
        <v>46</v>
      </c>
      <c r="AB1750" s="17" t="s">
        <v>675</v>
      </c>
      <c r="AC1750" s="17" t="s">
        <v>676</v>
      </c>
      <c r="AD1750" s="65">
        <v>1342</v>
      </c>
      <c r="AE1750" s="17" t="s">
        <v>48</v>
      </c>
      <c r="AF1750" s="17" t="s">
        <v>245</v>
      </c>
    </row>
    <row r="1751" s="17" customFormat="1" hidden="1" spans="1:32">
      <c r="A1751" s="17" t="s">
        <v>34</v>
      </c>
      <c r="B1751" s="19">
        <v>829</v>
      </c>
      <c r="C1751" s="101">
        <v>44778</v>
      </c>
      <c r="D1751" s="17" t="s">
        <v>52</v>
      </c>
      <c r="E1751" s="17" t="s">
        <v>220</v>
      </c>
      <c r="F1751" s="17" t="s">
        <v>54</v>
      </c>
      <c r="H1751" s="19">
        <v>1.2379</v>
      </c>
      <c r="I1751" s="19"/>
      <c r="J1751" s="17" t="s">
        <v>82</v>
      </c>
      <c r="K1751" s="91">
        <v>255</v>
      </c>
      <c r="L1751" s="17">
        <v>50</v>
      </c>
      <c r="M1751" s="17">
        <v>5000</v>
      </c>
      <c r="N1751" s="19" t="s">
        <v>40</v>
      </c>
      <c r="O1751" s="19" t="s">
        <v>168</v>
      </c>
      <c r="P1751" s="19">
        <v>500</v>
      </c>
      <c r="Q1751" s="17">
        <v>346</v>
      </c>
      <c r="R1751" s="17">
        <f t="shared" si="96"/>
        <v>154</v>
      </c>
      <c r="S1751" s="17">
        <v>2150</v>
      </c>
      <c r="T1751" s="19" t="s">
        <v>42</v>
      </c>
      <c r="U1751" s="102" t="s">
        <v>674</v>
      </c>
      <c r="V1751" s="186">
        <v>44782</v>
      </c>
      <c r="W1751" s="17" t="s">
        <v>44</v>
      </c>
      <c r="Y1751" s="68">
        <v>44805</v>
      </c>
      <c r="Z1751" s="17" t="s">
        <v>191</v>
      </c>
      <c r="AA1751" s="17" t="s">
        <v>46</v>
      </c>
      <c r="AB1751" s="17" t="s">
        <v>675</v>
      </c>
      <c r="AC1751" s="17" t="s">
        <v>676</v>
      </c>
      <c r="AD1751" s="65">
        <v>1342</v>
      </c>
      <c r="AE1751" s="17" t="s">
        <v>48</v>
      </c>
      <c r="AF1751" s="17" t="s">
        <v>245</v>
      </c>
    </row>
    <row r="1752" s="17" customFormat="1" hidden="1" spans="1:32">
      <c r="A1752" s="17" t="s">
        <v>34</v>
      </c>
      <c r="B1752" s="19">
        <v>829</v>
      </c>
      <c r="C1752" s="101">
        <v>44778</v>
      </c>
      <c r="D1752" s="17" t="s">
        <v>52</v>
      </c>
      <c r="E1752" s="17" t="s">
        <v>220</v>
      </c>
      <c r="F1752" s="17" t="s">
        <v>54</v>
      </c>
      <c r="H1752" s="19">
        <v>1.2379</v>
      </c>
      <c r="I1752" s="19"/>
      <c r="J1752" s="17" t="s">
        <v>82</v>
      </c>
      <c r="K1752" s="91">
        <v>305</v>
      </c>
      <c r="L1752" s="17">
        <v>50</v>
      </c>
      <c r="M1752" s="17">
        <v>5000</v>
      </c>
      <c r="N1752" s="19" t="s">
        <v>40</v>
      </c>
      <c r="O1752" s="19" t="s">
        <v>168</v>
      </c>
      <c r="P1752" s="19">
        <v>500</v>
      </c>
      <c r="Q1752" s="17">
        <v>343</v>
      </c>
      <c r="R1752" s="17">
        <f t="shared" si="96"/>
        <v>157</v>
      </c>
      <c r="S1752" s="17">
        <v>2150</v>
      </c>
      <c r="T1752" s="19" t="s">
        <v>42</v>
      </c>
      <c r="U1752" s="102" t="s">
        <v>674</v>
      </c>
      <c r="V1752" s="186">
        <v>44782</v>
      </c>
      <c r="W1752" s="17" t="s">
        <v>44</v>
      </c>
      <c r="Y1752" s="68">
        <v>44805</v>
      </c>
      <c r="Z1752" s="17" t="s">
        <v>191</v>
      </c>
      <c r="AA1752" s="17" t="s">
        <v>46</v>
      </c>
      <c r="AB1752" s="17" t="s">
        <v>675</v>
      </c>
      <c r="AC1752" s="17" t="s">
        <v>676</v>
      </c>
      <c r="AD1752" s="65">
        <v>1342</v>
      </c>
      <c r="AE1752" s="17" t="s">
        <v>48</v>
      </c>
      <c r="AF1752" s="17" t="s">
        <v>245</v>
      </c>
    </row>
    <row r="1753" s="17" customFormat="1" hidden="1" spans="1:32">
      <c r="A1753" s="17" t="s">
        <v>34</v>
      </c>
      <c r="B1753" s="19">
        <v>829</v>
      </c>
      <c r="C1753" s="101">
        <v>44778</v>
      </c>
      <c r="D1753" s="17" t="s">
        <v>52</v>
      </c>
      <c r="E1753" s="17" t="s">
        <v>220</v>
      </c>
      <c r="F1753" s="17" t="s">
        <v>54</v>
      </c>
      <c r="H1753" s="19">
        <v>1.2379</v>
      </c>
      <c r="I1753" s="19"/>
      <c r="J1753" s="17" t="s">
        <v>82</v>
      </c>
      <c r="K1753" s="91">
        <v>410</v>
      </c>
      <c r="L1753" s="17">
        <v>50</v>
      </c>
      <c r="M1753" s="17">
        <v>5000</v>
      </c>
      <c r="N1753" s="19" t="s">
        <v>40</v>
      </c>
      <c r="O1753" s="19" t="s">
        <v>168</v>
      </c>
      <c r="P1753" s="19">
        <v>500</v>
      </c>
      <c r="Q1753" s="17">
        <v>488</v>
      </c>
      <c r="R1753" s="17">
        <f t="shared" si="96"/>
        <v>12</v>
      </c>
      <c r="S1753" s="17">
        <v>2150</v>
      </c>
      <c r="T1753" s="19" t="s">
        <v>42</v>
      </c>
      <c r="U1753" s="102" t="s">
        <v>674</v>
      </c>
      <c r="V1753" s="186">
        <v>44782</v>
      </c>
      <c r="W1753" s="17" t="s">
        <v>44</v>
      </c>
      <c r="Y1753" s="68">
        <v>44805</v>
      </c>
      <c r="Z1753" s="17" t="s">
        <v>191</v>
      </c>
      <c r="AA1753" s="17" t="s">
        <v>46</v>
      </c>
      <c r="AB1753" s="17" t="s">
        <v>675</v>
      </c>
      <c r="AC1753" s="17" t="s">
        <v>676</v>
      </c>
      <c r="AD1753" s="65">
        <v>1342</v>
      </c>
      <c r="AE1753" s="17" t="s">
        <v>48</v>
      </c>
      <c r="AF1753" s="17" t="s">
        <v>245</v>
      </c>
    </row>
    <row r="1754" s="17" customFormat="1" hidden="1" spans="1:32">
      <c r="A1754" s="17" t="s">
        <v>34</v>
      </c>
      <c r="B1754" s="19">
        <v>829</v>
      </c>
      <c r="C1754" s="101">
        <v>44778</v>
      </c>
      <c r="D1754" s="17" t="s">
        <v>52</v>
      </c>
      <c r="E1754" s="17" t="s">
        <v>220</v>
      </c>
      <c r="F1754" s="17" t="s">
        <v>54</v>
      </c>
      <c r="H1754" s="19">
        <v>1.2379</v>
      </c>
      <c r="I1754" s="19"/>
      <c r="J1754" s="17" t="s">
        <v>82</v>
      </c>
      <c r="K1754" s="91">
        <v>155</v>
      </c>
      <c r="L1754" s="17">
        <v>65</v>
      </c>
      <c r="M1754" s="17">
        <v>5000</v>
      </c>
      <c r="N1754" s="19" t="s">
        <v>40</v>
      </c>
      <c r="O1754" s="19" t="s">
        <v>168</v>
      </c>
      <c r="P1754" s="19">
        <v>400</v>
      </c>
      <c r="Q1754" s="17">
        <v>252</v>
      </c>
      <c r="R1754" s="17">
        <f t="shared" si="96"/>
        <v>148</v>
      </c>
      <c r="S1754" s="17">
        <v>2150</v>
      </c>
      <c r="T1754" s="19" t="s">
        <v>42</v>
      </c>
      <c r="U1754" s="102" t="s">
        <v>674</v>
      </c>
      <c r="V1754" s="186">
        <v>44782</v>
      </c>
      <c r="W1754" s="17" t="s">
        <v>44</v>
      </c>
      <c r="Y1754" s="68">
        <v>44805</v>
      </c>
      <c r="Z1754" s="17" t="s">
        <v>191</v>
      </c>
      <c r="AA1754" s="17" t="s">
        <v>46</v>
      </c>
      <c r="AB1754" s="17" t="s">
        <v>675</v>
      </c>
      <c r="AC1754" s="17" t="s">
        <v>676</v>
      </c>
      <c r="AD1754" s="65">
        <v>1342</v>
      </c>
      <c r="AE1754" s="17" t="s">
        <v>48</v>
      </c>
      <c r="AF1754" s="17" t="s">
        <v>245</v>
      </c>
    </row>
    <row r="1755" s="17" customFormat="1" hidden="1" spans="1:32">
      <c r="A1755" s="17" t="s">
        <v>34</v>
      </c>
      <c r="B1755" s="19">
        <v>829</v>
      </c>
      <c r="C1755" s="101">
        <v>44778</v>
      </c>
      <c r="D1755" s="17" t="s">
        <v>52</v>
      </c>
      <c r="E1755" s="17" t="s">
        <v>220</v>
      </c>
      <c r="F1755" s="17" t="s">
        <v>54</v>
      </c>
      <c r="H1755" s="19">
        <v>1.2379</v>
      </c>
      <c r="I1755" s="19"/>
      <c r="J1755" s="17" t="s">
        <v>82</v>
      </c>
      <c r="K1755" s="91">
        <v>205</v>
      </c>
      <c r="L1755" s="17">
        <v>65</v>
      </c>
      <c r="M1755" s="17">
        <v>5000</v>
      </c>
      <c r="N1755" s="19" t="s">
        <v>40</v>
      </c>
      <c r="O1755" s="19" t="s">
        <v>168</v>
      </c>
      <c r="P1755" s="19">
        <v>400</v>
      </c>
      <c r="Q1755" s="17">
        <v>357</v>
      </c>
      <c r="R1755" s="17">
        <f t="shared" si="96"/>
        <v>43</v>
      </c>
      <c r="S1755" s="17">
        <v>2150</v>
      </c>
      <c r="T1755" s="19" t="s">
        <v>42</v>
      </c>
      <c r="U1755" s="102" t="s">
        <v>674</v>
      </c>
      <c r="V1755" s="186">
        <v>44782</v>
      </c>
      <c r="W1755" s="17" t="s">
        <v>44</v>
      </c>
      <c r="Y1755" s="68">
        <v>44805</v>
      </c>
      <c r="Z1755" s="17" t="s">
        <v>191</v>
      </c>
      <c r="AA1755" s="17" t="s">
        <v>46</v>
      </c>
      <c r="AB1755" s="17" t="s">
        <v>675</v>
      </c>
      <c r="AC1755" s="17" t="s">
        <v>676</v>
      </c>
      <c r="AD1755" s="65">
        <v>1342</v>
      </c>
      <c r="AE1755" s="17" t="s">
        <v>48</v>
      </c>
      <c r="AF1755" s="17" t="s">
        <v>245</v>
      </c>
    </row>
    <row r="1756" s="17" customFormat="1" hidden="1" spans="1:32">
      <c r="A1756" s="17" t="s">
        <v>34</v>
      </c>
      <c r="B1756" s="19">
        <v>829</v>
      </c>
      <c r="C1756" s="101">
        <v>44778</v>
      </c>
      <c r="D1756" s="17" t="s">
        <v>52</v>
      </c>
      <c r="E1756" s="17" t="s">
        <v>220</v>
      </c>
      <c r="F1756" s="17" t="s">
        <v>54</v>
      </c>
      <c r="H1756" s="19">
        <v>1.2379</v>
      </c>
      <c r="I1756" s="19"/>
      <c r="J1756" s="17" t="s">
        <v>82</v>
      </c>
      <c r="K1756" s="91">
        <v>255</v>
      </c>
      <c r="L1756" s="17">
        <v>65</v>
      </c>
      <c r="M1756" s="17">
        <v>5000</v>
      </c>
      <c r="N1756" s="19" t="s">
        <v>40</v>
      </c>
      <c r="O1756" s="19" t="s">
        <v>168</v>
      </c>
      <c r="P1756" s="19">
        <v>400</v>
      </c>
      <c r="Q1756" s="17">
        <f>345+357</f>
        <v>702</v>
      </c>
      <c r="R1756" s="17">
        <f t="shared" ref="R1756:R1787" si="97">+P1756-Q1756</f>
        <v>-302</v>
      </c>
      <c r="S1756" s="17">
        <v>2150</v>
      </c>
      <c r="T1756" s="19" t="s">
        <v>42</v>
      </c>
      <c r="U1756" s="102" t="s">
        <v>674</v>
      </c>
      <c r="V1756" s="186">
        <v>44782</v>
      </c>
      <c r="W1756" s="17" t="s">
        <v>44</v>
      </c>
      <c r="Y1756" s="68">
        <v>44805</v>
      </c>
      <c r="Z1756" s="17" t="s">
        <v>191</v>
      </c>
      <c r="AA1756" s="17" t="s">
        <v>46</v>
      </c>
      <c r="AB1756" s="17" t="s">
        <v>675</v>
      </c>
      <c r="AC1756" s="17" t="s">
        <v>676</v>
      </c>
      <c r="AD1756" s="65">
        <v>1342</v>
      </c>
      <c r="AE1756" s="17" t="s">
        <v>48</v>
      </c>
      <c r="AF1756" s="17" t="s">
        <v>245</v>
      </c>
    </row>
    <row r="1757" s="17" customFormat="1" hidden="1" spans="1:32">
      <c r="A1757" s="17" t="s">
        <v>34</v>
      </c>
      <c r="B1757" s="19">
        <v>829</v>
      </c>
      <c r="C1757" s="101">
        <v>44778</v>
      </c>
      <c r="D1757" s="17" t="s">
        <v>52</v>
      </c>
      <c r="E1757" s="17" t="s">
        <v>220</v>
      </c>
      <c r="F1757" s="17" t="s">
        <v>54</v>
      </c>
      <c r="H1757" s="19">
        <v>1.2379</v>
      </c>
      <c r="I1757" s="19"/>
      <c r="J1757" s="17" t="s">
        <v>82</v>
      </c>
      <c r="K1757" s="91">
        <v>305</v>
      </c>
      <c r="L1757" s="17">
        <v>65</v>
      </c>
      <c r="M1757" s="17">
        <v>5000</v>
      </c>
      <c r="N1757" s="19" t="s">
        <v>40</v>
      </c>
      <c r="O1757" s="19" t="s">
        <v>168</v>
      </c>
      <c r="P1757" s="19">
        <v>500</v>
      </c>
      <c r="Q1757" s="17">
        <v>525</v>
      </c>
      <c r="R1757" s="17">
        <f t="shared" si="97"/>
        <v>-25</v>
      </c>
      <c r="S1757" s="17">
        <v>2150</v>
      </c>
      <c r="T1757" s="19" t="s">
        <v>42</v>
      </c>
      <c r="U1757" s="102" t="s">
        <v>674</v>
      </c>
      <c r="V1757" s="186">
        <v>44782</v>
      </c>
      <c r="W1757" s="17" t="s">
        <v>44</v>
      </c>
      <c r="Y1757" s="68">
        <v>44805</v>
      </c>
      <c r="Z1757" s="17" t="s">
        <v>191</v>
      </c>
      <c r="AA1757" s="17" t="s">
        <v>46</v>
      </c>
      <c r="AB1757" s="17" t="s">
        <v>675</v>
      </c>
      <c r="AC1757" s="17" t="s">
        <v>676</v>
      </c>
      <c r="AD1757" s="65">
        <v>1342</v>
      </c>
      <c r="AE1757" s="17" t="s">
        <v>48</v>
      </c>
      <c r="AF1757" s="17" t="s">
        <v>245</v>
      </c>
    </row>
    <row r="1758" s="17" customFormat="1" hidden="1" spans="1:32">
      <c r="A1758" s="17" t="s">
        <v>34</v>
      </c>
      <c r="B1758" s="19">
        <v>829</v>
      </c>
      <c r="C1758" s="101">
        <v>44778</v>
      </c>
      <c r="D1758" s="17" t="s">
        <v>52</v>
      </c>
      <c r="E1758" s="17" t="s">
        <v>220</v>
      </c>
      <c r="F1758" s="17" t="s">
        <v>54</v>
      </c>
      <c r="H1758" s="19">
        <v>1.2379</v>
      </c>
      <c r="I1758" s="19"/>
      <c r="J1758" s="17" t="s">
        <v>82</v>
      </c>
      <c r="K1758" s="91">
        <v>410</v>
      </c>
      <c r="L1758" s="17">
        <v>65</v>
      </c>
      <c r="M1758" s="17">
        <v>5000</v>
      </c>
      <c r="N1758" s="19" t="s">
        <v>40</v>
      </c>
      <c r="O1758" s="19" t="s">
        <v>168</v>
      </c>
      <c r="P1758" s="19">
        <v>500</v>
      </c>
      <c r="Q1758" s="17">
        <f>683+861</f>
        <v>1544</v>
      </c>
      <c r="R1758" s="17">
        <f t="shared" si="97"/>
        <v>-1044</v>
      </c>
      <c r="S1758" s="17">
        <v>2150</v>
      </c>
      <c r="T1758" s="19" t="s">
        <v>42</v>
      </c>
      <c r="U1758" s="102" t="s">
        <v>674</v>
      </c>
      <c r="V1758" s="186">
        <v>44782</v>
      </c>
      <c r="W1758" s="17" t="s">
        <v>44</v>
      </c>
      <c r="Y1758" s="68">
        <v>44805</v>
      </c>
      <c r="Z1758" s="17" t="s">
        <v>191</v>
      </c>
      <c r="AA1758" s="17" t="s">
        <v>46</v>
      </c>
      <c r="AB1758" s="17" t="s">
        <v>675</v>
      </c>
      <c r="AC1758" s="17" t="s">
        <v>676</v>
      </c>
      <c r="AD1758" s="65">
        <v>1342</v>
      </c>
      <c r="AE1758" s="17" t="s">
        <v>48</v>
      </c>
      <c r="AF1758" s="17" t="s">
        <v>245</v>
      </c>
    </row>
    <row r="1759" s="17" customFormat="1" hidden="1" spans="1:32">
      <c r="A1759" s="17" t="s">
        <v>34</v>
      </c>
      <c r="B1759" s="19">
        <v>829</v>
      </c>
      <c r="C1759" s="101">
        <v>44778</v>
      </c>
      <c r="D1759" s="17" t="s">
        <v>52</v>
      </c>
      <c r="E1759" s="17" t="s">
        <v>220</v>
      </c>
      <c r="F1759" s="17" t="s">
        <v>54</v>
      </c>
      <c r="H1759" s="19">
        <v>1.2379</v>
      </c>
      <c r="I1759" s="19"/>
      <c r="J1759" s="17" t="s">
        <v>82</v>
      </c>
      <c r="K1759" s="91">
        <v>155</v>
      </c>
      <c r="L1759" s="17">
        <v>80</v>
      </c>
      <c r="M1759" s="17">
        <v>5000</v>
      </c>
      <c r="N1759" s="19" t="s">
        <v>40</v>
      </c>
      <c r="O1759" s="19" t="s">
        <v>168</v>
      </c>
      <c r="P1759" s="19">
        <v>300</v>
      </c>
      <c r="Q1759" s="17">
        <v>342</v>
      </c>
      <c r="R1759" s="17">
        <f t="shared" si="97"/>
        <v>-42</v>
      </c>
      <c r="S1759" s="17">
        <v>2150</v>
      </c>
      <c r="T1759" s="19" t="s">
        <v>42</v>
      </c>
      <c r="U1759" s="102" t="s">
        <v>674</v>
      </c>
      <c r="V1759" s="186">
        <v>44782</v>
      </c>
      <c r="W1759" s="17" t="s">
        <v>44</v>
      </c>
      <c r="Y1759" s="68">
        <v>44805</v>
      </c>
      <c r="Z1759" s="17" t="s">
        <v>191</v>
      </c>
      <c r="AA1759" s="17" t="s">
        <v>46</v>
      </c>
      <c r="AB1759" s="17" t="s">
        <v>675</v>
      </c>
      <c r="AC1759" s="17" t="s">
        <v>676</v>
      </c>
      <c r="AD1759" s="65">
        <v>1342</v>
      </c>
      <c r="AE1759" s="17" t="s">
        <v>48</v>
      </c>
      <c r="AF1759" s="17" t="s">
        <v>245</v>
      </c>
    </row>
    <row r="1760" s="17" customFormat="1" hidden="1" spans="1:32">
      <c r="A1760" s="17" t="s">
        <v>34</v>
      </c>
      <c r="B1760" s="19">
        <v>829</v>
      </c>
      <c r="C1760" s="101">
        <v>44778</v>
      </c>
      <c r="D1760" s="17" t="s">
        <v>52</v>
      </c>
      <c r="E1760" s="17" t="s">
        <v>220</v>
      </c>
      <c r="F1760" s="17" t="s">
        <v>54</v>
      </c>
      <c r="H1760" s="19">
        <v>1.2379</v>
      </c>
      <c r="I1760" s="19"/>
      <c r="J1760" s="17" t="s">
        <v>82</v>
      </c>
      <c r="K1760" s="91">
        <v>205</v>
      </c>
      <c r="L1760" s="17">
        <v>80</v>
      </c>
      <c r="M1760" s="17">
        <v>5000</v>
      </c>
      <c r="N1760" s="19" t="s">
        <v>40</v>
      </c>
      <c r="O1760" s="19" t="s">
        <v>168</v>
      </c>
      <c r="P1760" s="19">
        <v>300</v>
      </c>
      <c r="Q1760" s="17">
        <f>517+535+349</f>
        <v>1401</v>
      </c>
      <c r="R1760" s="17">
        <f t="shared" si="97"/>
        <v>-1101</v>
      </c>
      <c r="S1760" s="17">
        <v>2150</v>
      </c>
      <c r="T1760" s="19" t="s">
        <v>42</v>
      </c>
      <c r="U1760" s="102" t="s">
        <v>674</v>
      </c>
      <c r="V1760" s="186">
        <v>44782</v>
      </c>
      <c r="W1760" s="17" t="s">
        <v>44</v>
      </c>
      <c r="Y1760" s="68">
        <v>44805</v>
      </c>
      <c r="Z1760" s="17" t="s">
        <v>191</v>
      </c>
      <c r="AA1760" s="17" t="s">
        <v>46</v>
      </c>
      <c r="AB1760" s="17" t="s">
        <v>675</v>
      </c>
      <c r="AC1760" s="17" t="s">
        <v>676</v>
      </c>
      <c r="AD1760" s="65">
        <v>1342</v>
      </c>
      <c r="AE1760" s="17" t="s">
        <v>48</v>
      </c>
      <c r="AF1760" s="17" t="s">
        <v>245</v>
      </c>
    </row>
    <row r="1761" s="17" customFormat="1" hidden="1" spans="1:34">
      <c r="A1761" s="17" t="s">
        <v>34</v>
      </c>
      <c r="B1761" s="19">
        <v>829</v>
      </c>
      <c r="C1761" s="101">
        <v>44778</v>
      </c>
      <c r="D1761" s="17" t="s">
        <v>52</v>
      </c>
      <c r="E1761" s="17" t="s">
        <v>220</v>
      </c>
      <c r="F1761" s="17" t="s">
        <v>54</v>
      </c>
      <c r="H1761" s="19">
        <v>1.2379</v>
      </c>
      <c r="I1761" s="19"/>
      <c r="J1761" s="17" t="s">
        <v>82</v>
      </c>
      <c r="K1761" s="91">
        <v>255</v>
      </c>
      <c r="L1761" s="17">
        <v>80</v>
      </c>
      <c r="M1761" s="17">
        <v>5000</v>
      </c>
      <c r="N1761" s="19" t="s">
        <v>40</v>
      </c>
      <c r="O1761" s="19" t="s">
        <v>168</v>
      </c>
      <c r="P1761" s="19">
        <v>500</v>
      </c>
      <c r="Q1761" s="17">
        <v>518</v>
      </c>
      <c r="R1761" s="17">
        <f t="shared" si="97"/>
        <v>-18</v>
      </c>
      <c r="S1761" s="17">
        <v>2150</v>
      </c>
      <c r="T1761" s="19" t="s">
        <v>42</v>
      </c>
      <c r="U1761" s="102" t="s">
        <v>674</v>
      </c>
      <c r="V1761" s="186">
        <v>44782</v>
      </c>
      <c r="W1761" s="17" t="s">
        <v>44</v>
      </c>
      <c r="Y1761" s="68">
        <v>44805</v>
      </c>
      <c r="Z1761" s="17" t="s">
        <v>191</v>
      </c>
      <c r="AA1761" s="17" t="s">
        <v>46</v>
      </c>
      <c r="AB1761" s="17" t="s">
        <v>675</v>
      </c>
      <c r="AC1761" s="17" t="s">
        <v>676</v>
      </c>
      <c r="AD1761" s="65">
        <v>1342</v>
      </c>
      <c r="AE1761" s="17" t="s">
        <v>48</v>
      </c>
      <c r="AF1761" s="17" t="s">
        <v>245</v>
      </c>
    </row>
    <row r="1762" s="17" customFormat="1" hidden="1" spans="1:34">
      <c r="B1762" s="19">
        <v>829</v>
      </c>
      <c r="C1762" s="101">
        <v>44778</v>
      </c>
      <c r="D1762" s="17" t="s">
        <v>52</v>
      </c>
      <c r="E1762" s="17" t="s">
        <v>220</v>
      </c>
      <c r="F1762" s="17" t="s">
        <v>54</v>
      </c>
      <c r="H1762" s="19">
        <v>1.2379</v>
      </c>
      <c r="I1762" s="19"/>
      <c r="J1762" s="17" t="s">
        <v>82</v>
      </c>
      <c r="K1762" s="91">
        <v>305</v>
      </c>
      <c r="L1762" s="17">
        <v>80</v>
      </c>
      <c r="M1762" s="17">
        <v>5000</v>
      </c>
      <c r="N1762" s="19" t="s">
        <v>40</v>
      </c>
      <c r="O1762" s="19" t="s">
        <v>168</v>
      </c>
      <c r="P1762" s="19">
        <v>500</v>
      </c>
      <c r="R1762" s="17">
        <f t="shared" si="97"/>
        <v>500</v>
      </c>
      <c r="S1762" s="17">
        <v>2150</v>
      </c>
      <c r="T1762" s="19" t="s">
        <v>42</v>
      </c>
      <c r="U1762" s="102" t="s">
        <v>674</v>
      </c>
      <c r="V1762" s="186">
        <v>44782</v>
      </c>
      <c r="W1762" s="17" t="s">
        <v>44</v>
      </c>
      <c r="Y1762" s="68">
        <v>44805</v>
      </c>
      <c r="Z1762" s="17" t="s">
        <v>191</v>
      </c>
      <c r="AA1762" s="17" t="s">
        <v>46</v>
      </c>
      <c r="AD1762" s="65"/>
      <c r="AE1762" s="17" t="s">
        <v>48</v>
      </c>
      <c r="AF1762" s="17" t="s">
        <v>245</v>
      </c>
      <c r="AG1762" s="17" t="s">
        <v>641</v>
      </c>
    </row>
    <row r="1763" s="17" customFormat="1" hidden="1" spans="1:34">
      <c r="A1763" s="17" t="s">
        <v>34</v>
      </c>
      <c r="B1763" s="19">
        <v>829</v>
      </c>
      <c r="C1763" s="101">
        <v>44778</v>
      </c>
      <c r="D1763" s="17" t="s">
        <v>52</v>
      </c>
      <c r="E1763" s="17" t="s">
        <v>220</v>
      </c>
      <c r="F1763" s="17" t="s">
        <v>54</v>
      </c>
      <c r="H1763" s="19">
        <v>1.2379</v>
      </c>
      <c r="I1763" s="19"/>
      <c r="J1763" s="17" t="s">
        <v>82</v>
      </c>
      <c r="K1763" s="91">
        <v>410</v>
      </c>
      <c r="L1763" s="17">
        <v>80</v>
      </c>
      <c r="M1763" s="17">
        <v>5000</v>
      </c>
      <c r="N1763" s="19" t="s">
        <v>40</v>
      </c>
      <c r="O1763" s="19" t="s">
        <v>168</v>
      </c>
      <c r="P1763" s="19">
        <v>500</v>
      </c>
      <c r="Q1763" s="17">
        <f>694+698</f>
        <v>1392</v>
      </c>
      <c r="R1763" s="17">
        <f t="shared" si="97"/>
        <v>-892</v>
      </c>
      <c r="S1763" s="17">
        <v>2150</v>
      </c>
      <c r="T1763" s="19" t="s">
        <v>42</v>
      </c>
      <c r="U1763" s="102" t="s">
        <v>674</v>
      </c>
      <c r="V1763" s="186">
        <v>44782</v>
      </c>
      <c r="W1763" s="17" t="s">
        <v>44</v>
      </c>
      <c r="Y1763" s="68">
        <v>44805</v>
      </c>
      <c r="Z1763" s="17" t="s">
        <v>191</v>
      </c>
      <c r="AA1763" s="17" t="s">
        <v>46</v>
      </c>
      <c r="AB1763" s="17" t="s">
        <v>675</v>
      </c>
      <c r="AC1763" s="17" t="s">
        <v>676</v>
      </c>
      <c r="AD1763" s="65">
        <v>1342</v>
      </c>
      <c r="AE1763" s="17" t="s">
        <v>48</v>
      </c>
      <c r="AF1763" s="17" t="s">
        <v>245</v>
      </c>
    </row>
    <row r="1764" s="17" customFormat="1" hidden="1" spans="1:34">
      <c r="B1764" s="19">
        <v>829</v>
      </c>
      <c r="C1764" s="101">
        <v>44778</v>
      </c>
      <c r="D1764" s="17" t="s">
        <v>52</v>
      </c>
      <c r="E1764" s="17" t="s">
        <v>220</v>
      </c>
      <c r="F1764" s="17" t="s">
        <v>54</v>
      </c>
      <c r="H1764" s="19">
        <v>1.2379</v>
      </c>
      <c r="I1764" s="19"/>
      <c r="J1764" s="17" t="s">
        <v>82</v>
      </c>
      <c r="K1764" s="91">
        <v>105</v>
      </c>
      <c r="L1764" s="17">
        <v>105</v>
      </c>
      <c r="M1764" s="17">
        <v>5000</v>
      </c>
      <c r="N1764" s="19" t="s">
        <v>40</v>
      </c>
      <c r="O1764" s="19" t="s">
        <v>168</v>
      </c>
      <c r="P1764" s="19">
        <v>300</v>
      </c>
      <c r="R1764" s="17">
        <f t="shared" si="97"/>
        <v>300</v>
      </c>
      <c r="S1764" s="17">
        <v>2150</v>
      </c>
      <c r="T1764" s="19" t="s">
        <v>42</v>
      </c>
      <c r="U1764" s="102" t="s">
        <v>674</v>
      </c>
      <c r="V1764" s="186">
        <v>44782</v>
      </c>
      <c r="W1764" s="17" t="s">
        <v>44</v>
      </c>
      <c r="Y1764" s="68">
        <v>44805</v>
      </c>
      <c r="Z1764" s="17" t="s">
        <v>191</v>
      </c>
      <c r="AA1764" s="17" t="s">
        <v>46</v>
      </c>
      <c r="AD1764" s="65"/>
      <c r="AE1764" s="17" t="s">
        <v>48</v>
      </c>
      <c r="AF1764" s="17" t="s">
        <v>245</v>
      </c>
      <c r="AG1764" s="17" t="s">
        <v>641</v>
      </c>
    </row>
    <row r="1765" s="17" customFormat="1" hidden="1" spans="1:34">
      <c r="A1765" s="17" t="s">
        <v>34</v>
      </c>
      <c r="B1765" s="19">
        <v>829</v>
      </c>
      <c r="C1765" s="101">
        <v>44778</v>
      </c>
      <c r="D1765" s="17" t="s">
        <v>52</v>
      </c>
      <c r="E1765" s="17" t="s">
        <v>220</v>
      </c>
      <c r="F1765" s="17" t="s">
        <v>54</v>
      </c>
      <c r="H1765" s="19">
        <v>1.2379</v>
      </c>
      <c r="I1765" s="19"/>
      <c r="J1765" s="17" t="s">
        <v>82</v>
      </c>
      <c r="K1765" s="91">
        <v>130</v>
      </c>
      <c r="L1765" s="17">
        <v>105</v>
      </c>
      <c r="M1765" s="17">
        <v>5000</v>
      </c>
      <c r="N1765" s="19" t="s">
        <v>40</v>
      </c>
      <c r="O1765" s="19" t="s">
        <v>168</v>
      </c>
      <c r="P1765" s="19">
        <v>300</v>
      </c>
      <c r="Q1765" s="17">
        <v>343</v>
      </c>
      <c r="R1765" s="17">
        <f t="shared" si="97"/>
        <v>-43</v>
      </c>
      <c r="S1765" s="17">
        <v>2150</v>
      </c>
      <c r="T1765" s="19" t="s">
        <v>42</v>
      </c>
      <c r="U1765" s="102" t="s">
        <v>674</v>
      </c>
      <c r="V1765" s="186">
        <v>44782</v>
      </c>
      <c r="W1765" s="17" t="s">
        <v>44</v>
      </c>
      <c r="Y1765" s="68">
        <v>44805</v>
      </c>
      <c r="Z1765" s="17" t="s">
        <v>191</v>
      </c>
      <c r="AA1765" s="17" t="s">
        <v>46</v>
      </c>
      <c r="AB1765" s="17" t="s">
        <v>675</v>
      </c>
      <c r="AC1765" s="17" t="s">
        <v>676</v>
      </c>
      <c r="AD1765" s="65">
        <v>1342</v>
      </c>
      <c r="AE1765" s="17" t="s">
        <v>48</v>
      </c>
      <c r="AF1765" s="17" t="s">
        <v>245</v>
      </c>
    </row>
    <row r="1766" s="17" customFormat="1" hidden="1" spans="1:34">
      <c r="B1766" s="19">
        <v>829</v>
      </c>
      <c r="C1766" s="101">
        <v>44778</v>
      </c>
      <c r="D1766" s="17" t="s">
        <v>52</v>
      </c>
      <c r="E1766" s="17" t="s">
        <v>220</v>
      </c>
      <c r="F1766" s="17" t="s">
        <v>54</v>
      </c>
      <c r="H1766" s="19">
        <v>1.2379</v>
      </c>
      <c r="I1766" s="19"/>
      <c r="J1766" s="17" t="s">
        <v>82</v>
      </c>
      <c r="K1766" s="91">
        <v>155</v>
      </c>
      <c r="L1766" s="17">
        <v>105</v>
      </c>
      <c r="M1766" s="17">
        <v>5000</v>
      </c>
      <c r="N1766" s="19" t="s">
        <v>40</v>
      </c>
      <c r="O1766" s="19" t="s">
        <v>168</v>
      </c>
      <c r="P1766" s="19">
        <v>300</v>
      </c>
      <c r="R1766" s="17">
        <f t="shared" si="97"/>
        <v>300</v>
      </c>
      <c r="S1766" s="17">
        <v>2150</v>
      </c>
      <c r="T1766" s="19" t="s">
        <v>42</v>
      </c>
      <c r="U1766" s="102" t="s">
        <v>674</v>
      </c>
      <c r="V1766" s="186">
        <v>44782</v>
      </c>
      <c r="W1766" s="17" t="s">
        <v>44</v>
      </c>
      <c r="Y1766" s="68">
        <v>44805</v>
      </c>
      <c r="Z1766" s="17" t="s">
        <v>191</v>
      </c>
      <c r="AA1766" s="17" t="s">
        <v>46</v>
      </c>
      <c r="AD1766" s="65"/>
      <c r="AE1766" s="17" t="s">
        <v>48</v>
      </c>
      <c r="AF1766" s="17" t="s">
        <v>245</v>
      </c>
      <c r="AG1766" s="17" t="s">
        <v>641</v>
      </c>
    </row>
    <row r="1767" s="17" customFormat="1" hidden="1" spans="1:34">
      <c r="B1767" s="19">
        <v>829</v>
      </c>
      <c r="C1767" s="101">
        <v>44778</v>
      </c>
      <c r="D1767" s="17" t="s">
        <v>52</v>
      </c>
      <c r="E1767" s="17" t="s">
        <v>220</v>
      </c>
      <c r="F1767" s="17" t="s">
        <v>54</v>
      </c>
      <c r="H1767" s="19">
        <v>1.2379</v>
      </c>
      <c r="I1767" s="19"/>
      <c r="J1767" s="17" t="s">
        <v>82</v>
      </c>
      <c r="K1767" s="91">
        <v>205</v>
      </c>
      <c r="L1767" s="17">
        <v>105</v>
      </c>
      <c r="M1767" s="17">
        <v>5000</v>
      </c>
      <c r="N1767" s="19" t="s">
        <v>40</v>
      </c>
      <c r="O1767" s="19" t="s">
        <v>168</v>
      </c>
      <c r="P1767" s="19">
        <v>500</v>
      </c>
      <c r="R1767" s="17">
        <f t="shared" si="97"/>
        <v>500</v>
      </c>
      <c r="S1767" s="17">
        <v>2150</v>
      </c>
      <c r="T1767" s="19" t="s">
        <v>42</v>
      </c>
      <c r="U1767" s="102" t="s">
        <v>674</v>
      </c>
      <c r="V1767" s="186">
        <v>44782</v>
      </c>
      <c r="W1767" s="17" t="s">
        <v>44</v>
      </c>
      <c r="Y1767" s="68">
        <v>44805</v>
      </c>
      <c r="Z1767" s="17" t="s">
        <v>191</v>
      </c>
      <c r="AA1767" s="17" t="s">
        <v>46</v>
      </c>
      <c r="AD1767" s="65"/>
      <c r="AE1767" s="17" t="s">
        <v>48</v>
      </c>
      <c r="AF1767" s="17" t="s">
        <v>245</v>
      </c>
      <c r="AG1767" s="17" t="s">
        <v>641</v>
      </c>
    </row>
    <row r="1768" s="17" customFormat="1" hidden="1" spans="1:34">
      <c r="A1768" s="17" t="s">
        <v>34</v>
      </c>
      <c r="B1768" s="19">
        <v>829</v>
      </c>
      <c r="C1768" s="101">
        <v>44778</v>
      </c>
      <c r="D1768" s="17" t="s">
        <v>52</v>
      </c>
      <c r="E1768" s="17" t="s">
        <v>220</v>
      </c>
      <c r="F1768" s="17" t="s">
        <v>54</v>
      </c>
      <c r="H1768" s="19">
        <v>1.2379</v>
      </c>
      <c r="I1768" s="19"/>
      <c r="J1768" s="17" t="s">
        <v>82</v>
      </c>
      <c r="K1768" s="91">
        <v>255</v>
      </c>
      <c r="L1768" s="17">
        <v>105</v>
      </c>
      <c r="M1768" s="17">
        <v>5000</v>
      </c>
      <c r="N1768" s="19" t="s">
        <v>40</v>
      </c>
      <c r="O1768" s="19" t="s">
        <v>168</v>
      </c>
      <c r="P1768" s="19">
        <v>500</v>
      </c>
      <c r="Q1768" s="17">
        <v>534</v>
      </c>
      <c r="R1768" s="17">
        <f t="shared" si="97"/>
        <v>-34</v>
      </c>
      <c r="S1768" s="17">
        <v>2150</v>
      </c>
      <c r="T1768" s="19" t="s">
        <v>42</v>
      </c>
      <c r="U1768" s="102" t="s">
        <v>674</v>
      </c>
      <c r="V1768" s="186">
        <v>44782</v>
      </c>
      <c r="W1768" s="17" t="s">
        <v>44</v>
      </c>
      <c r="Y1768" s="68">
        <v>44805</v>
      </c>
      <c r="Z1768" s="17" t="s">
        <v>191</v>
      </c>
      <c r="AA1768" s="17" t="s">
        <v>46</v>
      </c>
      <c r="AB1768" s="17" t="s">
        <v>675</v>
      </c>
      <c r="AC1768" s="17" t="s">
        <v>676</v>
      </c>
      <c r="AD1768" s="65">
        <v>1342</v>
      </c>
      <c r="AE1768" s="17" t="s">
        <v>48</v>
      </c>
      <c r="AF1768" s="17" t="s">
        <v>245</v>
      </c>
    </row>
    <row r="1769" s="17" customFormat="1" hidden="1" spans="1:34">
      <c r="A1769" s="17" t="s">
        <v>34</v>
      </c>
      <c r="B1769" s="19">
        <v>829</v>
      </c>
      <c r="C1769" s="101">
        <v>44778</v>
      </c>
      <c r="D1769" s="17" t="s">
        <v>52</v>
      </c>
      <c r="E1769" s="17" t="s">
        <v>220</v>
      </c>
      <c r="F1769" s="17" t="s">
        <v>54</v>
      </c>
      <c r="H1769" s="19">
        <v>1.2379</v>
      </c>
      <c r="I1769" s="19"/>
      <c r="J1769" s="17" t="s">
        <v>82</v>
      </c>
      <c r="K1769" s="91">
        <v>305</v>
      </c>
      <c r="L1769" s="17">
        <v>105</v>
      </c>
      <c r="M1769" s="17">
        <v>5000</v>
      </c>
      <c r="N1769" s="19" t="s">
        <v>40</v>
      </c>
      <c r="O1769" s="19" t="s">
        <v>168</v>
      </c>
      <c r="P1769" s="19">
        <v>500</v>
      </c>
      <c r="Q1769" s="17">
        <v>700</v>
      </c>
      <c r="R1769" s="17">
        <f t="shared" si="97"/>
        <v>-200</v>
      </c>
      <c r="S1769" s="17">
        <v>2150</v>
      </c>
      <c r="T1769" s="19" t="s">
        <v>42</v>
      </c>
      <c r="U1769" s="102" t="s">
        <v>674</v>
      </c>
      <c r="V1769" s="186">
        <v>44782</v>
      </c>
      <c r="W1769" s="17" t="s">
        <v>44</v>
      </c>
      <c r="Y1769" s="68">
        <v>44805</v>
      </c>
      <c r="Z1769" s="17" t="s">
        <v>191</v>
      </c>
      <c r="AA1769" s="17" t="s">
        <v>46</v>
      </c>
      <c r="AB1769" s="17" t="s">
        <v>675</v>
      </c>
      <c r="AC1769" s="17" t="s">
        <v>676</v>
      </c>
      <c r="AD1769" s="65">
        <v>1342</v>
      </c>
      <c r="AE1769" s="17" t="s">
        <v>48</v>
      </c>
      <c r="AF1769" s="17" t="s">
        <v>245</v>
      </c>
    </row>
    <row r="1770" s="17" customFormat="1" hidden="1" spans="1:34">
      <c r="A1770" s="17" t="s">
        <v>34</v>
      </c>
      <c r="B1770" s="19">
        <v>829</v>
      </c>
      <c r="C1770" s="101">
        <v>44778</v>
      </c>
      <c r="D1770" s="17" t="s">
        <v>52</v>
      </c>
      <c r="E1770" s="17" t="s">
        <v>220</v>
      </c>
      <c r="F1770" s="17" t="s">
        <v>54</v>
      </c>
      <c r="H1770" s="19">
        <v>1.2379</v>
      </c>
      <c r="I1770" s="19"/>
      <c r="J1770" s="17" t="s">
        <v>82</v>
      </c>
      <c r="K1770" s="91">
        <v>410</v>
      </c>
      <c r="L1770" s="17">
        <v>105</v>
      </c>
      <c r="M1770" s="17">
        <v>5000</v>
      </c>
      <c r="N1770" s="19" t="s">
        <v>40</v>
      </c>
      <c r="O1770" s="19" t="s">
        <v>168</v>
      </c>
      <c r="P1770" s="19">
        <v>500</v>
      </c>
      <c r="Q1770" s="17">
        <v>862</v>
      </c>
      <c r="R1770" s="17">
        <f t="shared" si="97"/>
        <v>-362</v>
      </c>
      <c r="S1770" s="17">
        <v>2150</v>
      </c>
      <c r="T1770" s="19" t="s">
        <v>42</v>
      </c>
      <c r="U1770" s="102" t="s">
        <v>674</v>
      </c>
      <c r="V1770" s="186">
        <v>44782</v>
      </c>
      <c r="W1770" s="17" t="s">
        <v>44</v>
      </c>
      <c r="Y1770" s="68">
        <v>44805</v>
      </c>
      <c r="Z1770" s="17" t="s">
        <v>191</v>
      </c>
      <c r="AA1770" s="17" t="s">
        <v>46</v>
      </c>
      <c r="AB1770" s="17" t="s">
        <v>675</v>
      </c>
      <c r="AC1770" s="17" t="s">
        <v>676</v>
      </c>
      <c r="AD1770" s="65">
        <v>1342</v>
      </c>
      <c r="AE1770" s="17" t="s">
        <v>48</v>
      </c>
      <c r="AF1770" s="17" t="s">
        <v>245</v>
      </c>
    </row>
    <row r="1771" s="17" customFormat="1" hidden="1" spans="1:34">
      <c r="A1771" s="17" t="s">
        <v>34</v>
      </c>
      <c r="B1771" s="19">
        <v>830</v>
      </c>
      <c r="C1771" s="101" t="s">
        <v>677</v>
      </c>
      <c r="D1771" s="17" t="s">
        <v>52</v>
      </c>
      <c r="E1771" s="17" t="s">
        <v>187</v>
      </c>
      <c r="F1771" s="17" t="s">
        <v>54</v>
      </c>
      <c r="H1771" s="19">
        <v>1.2379</v>
      </c>
      <c r="I1771" s="19"/>
      <c r="J1771" s="17" t="s">
        <v>39</v>
      </c>
      <c r="K1771" s="19">
        <v>16</v>
      </c>
      <c r="L1771" s="91"/>
      <c r="M1771" s="19">
        <v>5000</v>
      </c>
      <c r="N1771" s="19" t="s">
        <v>40</v>
      </c>
      <c r="O1771" s="19" t="s">
        <v>84</v>
      </c>
      <c r="P1771" s="19">
        <v>1000</v>
      </c>
      <c r="Q1771" s="17">
        <v>1050</v>
      </c>
      <c r="R1771" s="17">
        <f t="shared" si="97"/>
        <v>-50</v>
      </c>
      <c r="S1771" s="17">
        <f t="shared" ref="S1771:S1781" si="98">2885-100</f>
        <v>2785</v>
      </c>
      <c r="T1771" s="19" t="s">
        <v>42</v>
      </c>
      <c r="U1771" s="102" t="s">
        <v>678</v>
      </c>
      <c r="V1771" s="186" t="s">
        <v>679</v>
      </c>
      <c r="W1771" s="17" t="s">
        <v>69</v>
      </c>
      <c r="Y1771" s="68">
        <v>44866</v>
      </c>
      <c r="Z1771" s="17" t="s">
        <v>191</v>
      </c>
      <c r="AA1771" s="17" t="s">
        <v>46</v>
      </c>
      <c r="AB1771" s="17" t="s">
        <v>680</v>
      </c>
      <c r="AC1771" s="17" t="s">
        <v>681</v>
      </c>
      <c r="AD1771" s="65">
        <v>1359</v>
      </c>
      <c r="AE1771" s="17" t="s">
        <v>682</v>
      </c>
    </row>
    <row r="1772" s="17" customFormat="1" hidden="1" spans="1:34">
      <c r="A1772" s="17" t="s">
        <v>34</v>
      </c>
      <c r="B1772" s="19">
        <v>830</v>
      </c>
      <c r="C1772" s="101" t="s">
        <v>677</v>
      </c>
      <c r="D1772" s="17" t="s">
        <v>52</v>
      </c>
      <c r="E1772" s="17" t="s">
        <v>187</v>
      </c>
      <c r="F1772" s="17" t="s">
        <v>54</v>
      </c>
      <c r="H1772" s="19">
        <v>1.2379</v>
      </c>
      <c r="I1772" s="19"/>
      <c r="J1772" s="17" t="s">
        <v>39</v>
      </c>
      <c r="K1772" s="19">
        <v>18</v>
      </c>
      <c r="L1772" s="91"/>
      <c r="M1772" s="19">
        <v>5000</v>
      </c>
      <c r="N1772" s="19" t="s">
        <v>40</v>
      </c>
      <c r="O1772" s="19" t="s">
        <v>84</v>
      </c>
      <c r="P1772" s="19">
        <v>1000</v>
      </c>
      <c r="Q1772" s="17">
        <v>764</v>
      </c>
      <c r="R1772" s="17">
        <f t="shared" si="97"/>
        <v>236</v>
      </c>
      <c r="S1772" s="17">
        <f t="shared" si="98"/>
        <v>2785</v>
      </c>
      <c r="T1772" s="19" t="s">
        <v>42</v>
      </c>
      <c r="U1772" s="102" t="s">
        <v>678</v>
      </c>
      <c r="V1772" s="186" t="s">
        <v>679</v>
      </c>
      <c r="W1772" s="17" t="s">
        <v>69</v>
      </c>
      <c r="Y1772" s="68">
        <v>44866</v>
      </c>
      <c r="Z1772" s="17" t="s">
        <v>191</v>
      </c>
      <c r="AA1772" s="17" t="s">
        <v>46</v>
      </c>
      <c r="AB1772" s="17" t="s">
        <v>680</v>
      </c>
      <c r="AC1772" s="17" t="s">
        <v>681</v>
      </c>
      <c r="AD1772" s="65">
        <v>1359</v>
      </c>
      <c r="AE1772" s="17" t="s">
        <v>683</v>
      </c>
      <c r="AH1772" s="17" t="s">
        <v>684</v>
      </c>
    </row>
    <row r="1773" s="17" customFormat="1" hidden="1" spans="1:34">
      <c r="A1773" s="17" t="s">
        <v>34</v>
      </c>
      <c r="B1773" s="19">
        <v>830</v>
      </c>
      <c r="C1773" s="101" t="s">
        <v>677</v>
      </c>
      <c r="D1773" s="17" t="s">
        <v>52</v>
      </c>
      <c r="E1773" s="17" t="s">
        <v>187</v>
      </c>
      <c r="F1773" s="17" t="s">
        <v>54</v>
      </c>
      <c r="H1773" s="19">
        <v>1.2379</v>
      </c>
      <c r="I1773" s="19"/>
      <c r="J1773" s="17" t="s">
        <v>39</v>
      </c>
      <c r="K1773" s="19">
        <v>20</v>
      </c>
      <c r="L1773" s="91"/>
      <c r="M1773" s="19">
        <v>5000</v>
      </c>
      <c r="N1773" s="19" t="s">
        <v>40</v>
      </c>
      <c r="O1773" s="19" t="s">
        <v>84</v>
      </c>
      <c r="P1773" s="19">
        <v>1000</v>
      </c>
      <c r="Q1773" s="17">
        <v>856</v>
      </c>
      <c r="R1773" s="17">
        <f t="shared" si="97"/>
        <v>144</v>
      </c>
      <c r="S1773" s="17">
        <f t="shared" si="98"/>
        <v>2785</v>
      </c>
      <c r="T1773" s="19" t="s">
        <v>42</v>
      </c>
      <c r="U1773" s="102" t="s">
        <v>678</v>
      </c>
      <c r="V1773" s="186" t="s">
        <v>679</v>
      </c>
      <c r="W1773" s="17" t="s">
        <v>69</v>
      </c>
      <c r="Y1773" s="68">
        <v>44866</v>
      </c>
      <c r="Z1773" s="17" t="s">
        <v>191</v>
      </c>
      <c r="AA1773" s="17" t="s">
        <v>46</v>
      </c>
      <c r="AB1773" s="17" t="s">
        <v>680</v>
      </c>
      <c r="AC1773" s="17" t="s">
        <v>681</v>
      </c>
      <c r="AD1773" s="65">
        <v>1359</v>
      </c>
      <c r="AE1773" s="17" t="s">
        <v>685</v>
      </c>
      <c r="AH1773" s="17" t="s">
        <v>684</v>
      </c>
    </row>
    <row r="1774" s="17" customFormat="1" hidden="1" spans="1:34">
      <c r="A1774" s="17" t="s">
        <v>34</v>
      </c>
      <c r="B1774" s="19">
        <v>830</v>
      </c>
      <c r="C1774" s="101" t="s">
        <v>677</v>
      </c>
      <c r="D1774" s="17" t="s">
        <v>52</v>
      </c>
      <c r="E1774" s="17" t="s">
        <v>187</v>
      </c>
      <c r="F1774" s="17" t="s">
        <v>54</v>
      </c>
      <c r="H1774" s="19">
        <v>1.2379</v>
      </c>
      <c r="I1774" s="19"/>
      <c r="J1774" s="17" t="s">
        <v>39</v>
      </c>
      <c r="K1774" s="19">
        <v>22</v>
      </c>
      <c r="L1774" s="91"/>
      <c r="M1774" s="19">
        <v>5000</v>
      </c>
      <c r="N1774" s="19" t="s">
        <v>40</v>
      </c>
      <c r="O1774" s="19" t="s">
        <v>84</v>
      </c>
      <c r="P1774" s="19">
        <v>1500</v>
      </c>
      <c r="Q1774" s="17">
        <v>1386</v>
      </c>
      <c r="R1774" s="17">
        <f t="shared" si="97"/>
        <v>114</v>
      </c>
      <c r="S1774" s="17">
        <f t="shared" si="98"/>
        <v>2785</v>
      </c>
      <c r="T1774" s="19" t="s">
        <v>42</v>
      </c>
      <c r="U1774" s="102" t="s">
        <v>678</v>
      </c>
      <c r="V1774" s="186" t="s">
        <v>679</v>
      </c>
      <c r="W1774" s="17" t="s">
        <v>69</v>
      </c>
      <c r="Y1774" s="68">
        <v>44866</v>
      </c>
      <c r="Z1774" s="17" t="s">
        <v>191</v>
      </c>
      <c r="AA1774" s="17" t="s">
        <v>46</v>
      </c>
      <c r="AB1774" s="17" t="s">
        <v>680</v>
      </c>
      <c r="AC1774" s="17" t="s">
        <v>681</v>
      </c>
      <c r="AD1774" s="65">
        <v>1359</v>
      </c>
      <c r="AE1774" s="17" t="s">
        <v>686</v>
      </c>
      <c r="AH1774" s="17" t="s">
        <v>684</v>
      </c>
    </row>
    <row r="1775" s="17" customFormat="1" hidden="1" spans="1:34">
      <c r="A1775" s="17" t="s">
        <v>34</v>
      </c>
      <c r="B1775" s="19">
        <v>830</v>
      </c>
      <c r="C1775" s="101" t="s">
        <v>677</v>
      </c>
      <c r="D1775" s="17" t="s">
        <v>52</v>
      </c>
      <c r="E1775" s="17" t="s">
        <v>187</v>
      </c>
      <c r="F1775" s="17" t="s">
        <v>54</v>
      </c>
      <c r="H1775" s="19">
        <v>1.2379</v>
      </c>
      <c r="I1775" s="19"/>
      <c r="J1775" s="17" t="s">
        <v>39</v>
      </c>
      <c r="K1775" s="19">
        <v>26</v>
      </c>
      <c r="L1775" s="91"/>
      <c r="M1775" s="19">
        <v>5000</v>
      </c>
      <c r="N1775" s="19" t="s">
        <v>40</v>
      </c>
      <c r="O1775" s="19" t="s">
        <v>84</v>
      </c>
      <c r="P1775" s="19">
        <v>1500</v>
      </c>
      <c r="Q1775" s="17">
        <v>1120</v>
      </c>
      <c r="R1775" s="17">
        <f t="shared" si="97"/>
        <v>380</v>
      </c>
      <c r="S1775" s="17">
        <f t="shared" si="98"/>
        <v>2785</v>
      </c>
      <c r="T1775" s="19" t="s">
        <v>42</v>
      </c>
      <c r="U1775" s="102" t="s">
        <v>678</v>
      </c>
      <c r="V1775" s="186" t="s">
        <v>679</v>
      </c>
      <c r="W1775" s="17" t="s">
        <v>69</v>
      </c>
      <c r="Y1775" s="68">
        <v>44866</v>
      </c>
      <c r="Z1775" s="17" t="s">
        <v>191</v>
      </c>
      <c r="AA1775" s="17" t="s">
        <v>46</v>
      </c>
      <c r="AB1775" s="17" t="s">
        <v>680</v>
      </c>
      <c r="AC1775" s="17" t="s">
        <v>681</v>
      </c>
      <c r="AD1775" s="65">
        <v>1359</v>
      </c>
      <c r="AE1775" s="17" t="s">
        <v>687</v>
      </c>
      <c r="AH1775" s="17" t="s">
        <v>684</v>
      </c>
    </row>
    <row r="1776" s="17" customFormat="1" hidden="1" spans="1:34">
      <c r="A1776" s="17" t="s">
        <v>34</v>
      </c>
      <c r="B1776" s="19">
        <v>830</v>
      </c>
      <c r="C1776" s="101" t="s">
        <v>677</v>
      </c>
      <c r="D1776" s="17" t="s">
        <v>52</v>
      </c>
      <c r="E1776" s="17" t="s">
        <v>187</v>
      </c>
      <c r="F1776" s="17" t="s">
        <v>54</v>
      </c>
      <c r="H1776" s="19">
        <v>1.2379</v>
      </c>
      <c r="I1776" s="19"/>
      <c r="J1776" s="17" t="s">
        <v>39</v>
      </c>
      <c r="K1776" s="19">
        <v>28</v>
      </c>
      <c r="L1776" s="91"/>
      <c r="M1776" s="19">
        <v>5000</v>
      </c>
      <c r="N1776" s="19" t="s">
        <v>40</v>
      </c>
      <c r="O1776" s="19" t="s">
        <v>84</v>
      </c>
      <c r="P1776" s="19">
        <v>1500</v>
      </c>
      <c r="Q1776" s="17">
        <v>1638</v>
      </c>
      <c r="R1776" s="17">
        <f t="shared" si="97"/>
        <v>-138</v>
      </c>
      <c r="S1776" s="17">
        <f t="shared" si="98"/>
        <v>2785</v>
      </c>
      <c r="T1776" s="19" t="s">
        <v>42</v>
      </c>
      <c r="U1776" s="102" t="s">
        <v>678</v>
      </c>
      <c r="V1776" s="186" t="s">
        <v>679</v>
      </c>
      <c r="W1776" s="17" t="s">
        <v>69</v>
      </c>
      <c r="Y1776" s="68">
        <v>44866</v>
      </c>
      <c r="Z1776" s="17" t="s">
        <v>191</v>
      </c>
      <c r="AA1776" s="17" t="s">
        <v>46</v>
      </c>
      <c r="AB1776" s="17" t="s">
        <v>680</v>
      </c>
      <c r="AC1776" s="17" t="s">
        <v>681</v>
      </c>
      <c r="AD1776" s="65">
        <v>1359</v>
      </c>
      <c r="AE1776" s="17" t="s">
        <v>688</v>
      </c>
      <c r="AH1776" s="17" t="s">
        <v>684</v>
      </c>
    </row>
    <row r="1777" s="17" customFormat="1" hidden="1" spans="1:34">
      <c r="A1777" s="17" t="s">
        <v>34</v>
      </c>
      <c r="B1777" s="19">
        <v>830</v>
      </c>
      <c r="C1777" s="101" t="s">
        <v>677</v>
      </c>
      <c r="D1777" s="17" t="s">
        <v>52</v>
      </c>
      <c r="E1777" s="17" t="s">
        <v>187</v>
      </c>
      <c r="F1777" s="17" t="s">
        <v>54</v>
      </c>
      <c r="H1777" s="19">
        <v>1.2379</v>
      </c>
      <c r="I1777" s="19"/>
      <c r="J1777" s="17" t="s">
        <v>39</v>
      </c>
      <c r="K1777" s="19">
        <v>32</v>
      </c>
      <c r="L1777" s="91"/>
      <c r="M1777" s="19">
        <v>5000</v>
      </c>
      <c r="N1777" s="19" t="s">
        <v>40</v>
      </c>
      <c r="O1777" s="19" t="s">
        <v>84</v>
      </c>
      <c r="P1777" s="19">
        <v>2500</v>
      </c>
      <c r="Q1777" s="17">
        <f>1042+884</f>
        <v>1926</v>
      </c>
      <c r="R1777" s="17">
        <f t="shared" si="97"/>
        <v>574</v>
      </c>
      <c r="S1777" s="17">
        <f t="shared" si="98"/>
        <v>2785</v>
      </c>
      <c r="T1777" s="19" t="s">
        <v>42</v>
      </c>
      <c r="U1777" s="102" t="s">
        <v>678</v>
      </c>
      <c r="V1777" s="186" t="s">
        <v>679</v>
      </c>
      <c r="W1777" s="17" t="s">
        <v>69</v>
      </c>
      <c r="Y1777" s="68">
        <v>44866</v>
      </c>
      <c r="Z1777" s="17" t="s">
        <v>191</v>
      </c>
      <c r="AA1777" s="17" t="s">
        <v>46</v>
      </c>
      <c r="AB1777" s="17" t="s">
        <v>680</v>
      </c>
      <c r="AC1777" s="17" t="s">
        <v>681</v>
      </c>
      <c r="AD1777" s="65">
        <v>1359</v>
      </c>
      <c r="AE1777" s="17" t="s">
        <v>689</v>
      </c>
      <c r="AH1777" s="17" t="s">
        <v>684</v>
      </c>
    </row>
    <row r="1778" s="17" customFormat="1" hidden="1" spans="1:34">
      <c r="A1778" s="17" t="s">
        <v>34</v>
      </c>
      <c r="B1778" s="19">
        <v>830</v>
      </c>
      <c r="C1778" s="101" t="s">
        <v>677</v>
      </c>
      <c r="D1778" s="17" t="s">
        <v>52</v>
      </c>
      <c r="E1778" s="17" t="s">
        <v>187</v>
      </c>
      <c r="F1778" s="17" t="s">
        <v>54</v>
      </c>
      <c r="H1778" s="19">
        <v>1.2379</v>
      </c>
      <c r="I1778" s="19"/>
      <c r="J1778" s="17" t="s">
        <v>39</v>
      </c>
      <c r="K1778" s="19">
        <v>36</v>
      </c>
      <c r="L1778" s="91"/>
      <c r="M1778" s="19">
        <v>5000</v>
      </c>
      <c r="N1778" s="19" t="s">
        <v>40</v>
      </c>
      <c r="O1778" s="19" t="s">
        <v>84</v>
      </c>
      <c r="P1778" s="19">
        <v>1500</v>
      </c>
      <c r="Q1778" s="17">
        <v>1878</v>
      </c>
      <c r="R1778" s="17">
        <f t="shared" si="97"/>
        <v>-378</v>
      </c>
      <c r="S1778" s="17">
        <f t="shared" si="98"/>
        <v>2785</v>
      </c>
      <c r="T1778" s="19" t="s">
        <v>42</v>
      </c>
      <c r="U1778" s="102" t="s">
        <v>678</v>
      </c>
      <c r="V1778" s="186" t="s">
        <v>679</v>
      </c>
      <c r="W1778" s="17" t="s">
        <v>69</v>
      </c>
      <c r="Y1778" s="68">
        <v>44866</v>
      </c>
      <c r="Z1778" s="17" t="s">
        <v>191</v>
      </c>
      <c r="AA1778" s="17" t="s">
        <v>46</v>
      </c>
      <c r="AB1778" s="17" t="s">
        <v>680</v>
      </c>
      <c r="AC1778" s="17" t="s">
        <v>681</v>
      </c>
      <c r="AD1778" s="65">
        <v>1359</v>
      </c>
      <c r="AE1778" s="17" t="s">
        <v>690</v>
      </c>
      <c r="AH1778" s="17" t="s">
        <v>684</v>
      </c>
    </row>
    <row r="1779" s="17" customFormat="1" hidden="1" spans="1:34">
      <c r="A1779" s="17" t="s">
        <v>34</v>
      </c>
      <c r="B1779" s="19">
        <v>830</v>
      </c>
      <c r="C1779" s="101" t="s">
        <v>677</v>
      </c>
      <c r="D1779" s="17" t="s">
        <v>52</v>
      </c>
      <c r="E1779" s="17" t="s">
        <v>187</v>
      </c>
      <c r="F1779" s="17" t="s">
        <v>54</v>
      </c>
      <c r="H1779" s="19">
        <v>1.2379</v>
      </c>
      <c r="I1779" s="19"/>
      <c r="J1779" s="17" t="s">
        <v>39</v>
      </c>
      <c r="K1779" s="19">
        <v>40</v>
      </c>
      <c r="L1779" s="91"/>
      <c r="M1779" s="19">
        <v>5000</v>
      </c>
      <c r="N1779" s="19" t="s">
        <v>40</v>
      </c>
      <c r="O1779" s="19" t="s">
        <v>84</v>
      </c>
      <c r="P1779" s="19">
        <v>1500</v>
      </c>
      <c r="Q1779" s="17">
        <v>1130</v>
      </c>
      <c r="R1779" s="17">
        <f t="shared" si="97"/>
        <v>370</v>
      </c>
      <c r="S1779" s="17">
        <f t="shared" si="98"/>
        <v>2785</v>
      </c>
      <c r="T1779" s="19" t="s">
        <v>42</v>
      </c>
      <c r="U1779" s="102" t="s">
        <v>678</v>
      </c>
      <c r="V1779" s="186" t="s">
        <v>679</v>
      </c>
      <c r="W1779" s="17" t="s">
        <v>69</v>
      </c>
      <c r="Y1779" s="68">
        <v>44866</v>
      </c>
      <c r="Z1779" s="17" t="s">
        <v>191</v>
      </c>
      <c r="AA1779" s="17" t="s">
        <v>46</v>
      </c>
      <c r="AB1779" s="17" t="s">
        <v>680</v>
      </c>
      <c r="AC1779" s="17" t="s">
        <v>681</v>
      </c>
      <c r="AD1779" s="65">
        <v>1359</v>
      </c>
      <c r="AE1779" s="17" t="s">
        <v>690</v>
      </c>
      <c r="AH1779" s="17" t="s">
        <v>684</v>
      </c>
    </row>
    <row r="1780" s="17" customFormat="1" hidden="1" spans="1:34">
      <c r="A1780" s="17" t="s">
        <v>34</v>
      </c>
      <c r="B1780" s="19">
        <v>830</v>
      </c>
      <c r="C1780" s="101" t="s">
        <v>677</v>
      </c>
      <c r="D1780" s="17" t="s">
        <v>52</v>
      </c>
      <c r="E1780" s="17" t="s">
        <v>187</v>
      </c>
      <c r="F1780" s="17" t="s">
        <v>54</v>
      </c>
      <c r="H1780" s="19">
        <v>1.2379</v>
      </c>
      <c r="I1780" s="19"/>
      <c r="J1780" s="17" t="s">
        <v>39</v>
      </c>
      <c r="K1780" s="19">
        <v>45</v>
      </c>
      <c r="L1780" s="91"/>
      <c r="M1780" s="19">
        <v>5000</v>
      </c>
      <c r="N1780" s="19" t="s">
        <v>40</v>
      </c>
      <c r="O1780" s="19" t="s">
        <v>84</v>
      </c>
      <c r="P1780" s="19">
        <v>1500</v>
      </c>
      <c r="Q1780" s="17">
        <v>1608</v>
      </c>
      <c r="R1780" s="17">
        <f t="shared" si="97"/>
        <v>-108</v>
      </c>
      <c r="S1780" s="17">
        <f t="shared" si="98"/>
        <v>2785</v>
      </c>
      <c r="T1780" s="19" t="s">
        <v>42</v>
      </c>
      <c r="U1780" s="102" t="s">
        <v>678</v>
      </c>
      <c r="V1780" s="186" t="s">
        <v>679</v>
      </c>
      <c r="W1780" s="17" t="s">
        <v>69</v>
      </c>
      <c r="Y1780" s="68">
        <v>44866</v>
      </c>
      <c r="Z1780" s="17" t="s">
        <v>191</v>
      </c>
      <c r="AA1780" s="17" t="s">
        <v>46</v>
      </c>
      <c r="AB1780" s="17" t="s">
        <v>680</v>
      </c>
      <c r="AC1780" s="17" t="s">
        <v>681</v>
      </c>
      <c r="AD1780" s="65">
        <v>1359</v>
      </c>
      <c r="AE1780" s="17" t="s">
        <v>688</v>
      </c>
      <c r="AH1780" s="17" t="s">
        <v>684</v>
      </c>
    </row>
    <row r="1781" s="17" customFormat="1" hidden="1" spans="1:34">
      <c r="A1781" s="17" t="s">
        <v>34</v>
      </c>
      <c r="B1781" s="19">
        <v>830</v>
      </c>
      <c r="C1781" s="101" t="s">
        <v>677</v>
      </c>
      <c r="D1781" s="17" t="s">
        <v>52</v>
      </c>
      <c r="E1781" s="17" t="s">
        <v>187</v>
      </c>
      <c r="F1781" s="17" t="s">
        <v>54</v>
      </c>
      <c r="H1781" s="19">
        <v>1.2379</v>
      </c>
      <c r="I1781" s="19"/>
      <c r="J1781" s="17" t="s">
        <v>39</v>
      </c>
      <c r="K1781" s="19">
        <v>50</v>
      </c>
      <c r="L1781" s="91"/>
      <c r="M1781" s="19">
        <v>5000</v>
      </c>
      <c r="N1781" s="19" t="s">
        <v>40</v>
      </c>
      <c r="O1781" s="19" t="s">
        <v>149</v>
      </c>
      <c r="P1781" s="19">
        <v>2000</v>
      </c>
      <c r="Q1781" s="17">
        <v>2042</v>
      </c>
      <c r="R1781" s="17">
        <f t="shared" si="97"/>
        <v>-42</v>
      </c>
      <c r="S1781" s="17">
        <f t="shared" si="98"/>
        <v>2785</v>
      </c>
      <c r="T1781" s="19" t="s">
        <v>42</v>
      </c>
      <c r="U1781" s="102" t="s">
        <v>678</v>
      </c>
      <c r="V1781" s="186" t="s">
        <v>679</v>
      </c>
      <c r="W1781" s="17" t="s">
        <v>69</v>
      </c>
      <c r="Y1781" s="68">
        <v>44866</v>
      </c>
      <c r="Z1781" s="17" t="s">
        <v>191</v>
      </c>
      <c r="AA1781" s="17" t="s">
        <v>46</v>
      </c>
      <c r="AB1781" s="17" t="s">
        <v>680</v>
      </c>
      <c r="AC1781" s="17" t="s">
        <v>681</v>
      </c>
      <c r="AD1781" s="65">
        <v>1359</v>
      </c>
      <c r="AE1781" s="17" t="s">
        <v>691</v>
      </c>
      <c r="AH1781" s="17" t="s">
        <v>684</v>
      </c>
    </row>
    <row r="1782" s="17" customFormat="1" hidden="1" spans="1:34">
      <c r="A1782" s="17" t="s">
        <v>34</v>
      </c>
      <c r="B1782" s="19">
        <v>830</v>
      </c>
      <c r="C1782" s="101" t="s">
        <v>677</v>
      </c>
      <c r="D1782" s="17" t="s">
        <v>52</v>
      </c>
      <c r="E1782" s="17" t="s">
        <v>187</v>
      </c>
      <c r="F1782" s="17" t="s">
        <v>54</v>
      </c>
      <c r="H1782" s="19">
        <v>1.2379</v>
      </c>
      <c r="I1782" s="19"/>
      <c r="J1782" s="17" t="s">
        <v>39</v>
      </c>
      <c r="K1782" s="19">
        <v>56</v>
      </c>
      <c r="L1782" s="91"/>
      <c r="M1782" s="19">
        <v>5000</v>
      </c>
      <c r="N1782" s="19" t="s">
        <v>40</v>
      </c>
      <c r="O1782" s="19" t="s">
        <v>149</v>
      </c>
      <c r="P1782" s="19">
        <v>2000</v>
      </c>
      <c r="Q1782" s="17">
        <v>2168</v>
      </c>
      <c r="R1782" s="17">
        <f t="shared" si="97"/>
        <v>-168</v>
      </c>
      <c r="S1782" s="17">
        <f>2790-100</f>
        <v>2690</v>
      </c>
      <c r="T1782" s="19" t="s">
        <v>42</v>
      </c>
      <c r="U1782" s="102" t="s">
        <v>678</v>
      </c>
      <c r="V1782" s="186" t="s">
        <v>679</v>
      </c>
      <c r="W1782" s="17" t="s">
        <v>69</v>
      </c>
      <c r="Y1782" s="68">
        <v>44866</v>
      </c>
      <c r="Z1782" s="17" t="s">
        <v>191</v>
      </c>
      <c r="AA1782" s="17" t="s">
        <v>46</v>
      </c>
      <c r="AB1782" s="17" t="s">
        <v>680</v>
      </c>
      <c r="AC1782" s="17" t="s">
        <v>681</v>
      </c>
      <c r="AD1782" s="65">
        <v>1359</v>
      </c>
      <c r="AE1782" s="17" t="s">
        <v>691</v>
      </c>
      <c r="AH1782" s="17" t="s">
        <v>692</v>
      </c>
    </row>
    <row r="1783" s="17" customFormat="1" hidden="1" spans="1:34">
      <c r="A1783" s="17" t="s">
        <v>34</v>
      </c>
      <c r="B1783" s="19">
        <v>830</v>
      </c>
      <c r="C1783" s="101" t="s">
        <v>677</v>
      </c>
      <c r="D1783" s="17" t="s">
        <v>52</v>
      </c>
      <c r="E1783" s="17" t="s">
        <v>187</v>
      </c>
      <c r="F1783" s="17" t="s">
        <v>54</v>
      </c>
      <c r="H1783" s="19">
        <v>1.2379</v>
      </c>
      <c r="I1783" s="19"/>
      <c r="J1783" s="17" t="s">
        <v>39</v>
      </c>
      <c r="K1783" s="19">
        <v>61</v>
      </c>
      <c r="L1783" s="91"/>
      <c r="M1783" s="19">
        <v>5000</v>
      </c>
      <c r="N1783" s="19" t="s">
        <v>40</v>
      </c>
      <c r="O1783" s="19" t="s">
        <v>149</v>
      </c>
      <c r="P1783" s="19">
        <v>1000</v>
      </c>
      <c r="Q1783" s="17">
        <v>1048</v>
      </c>
      <c r="R1783" s="17">
        <f t="shared" si="97"/>
        <v>-48</v>
      </c>
      <c r="S1783" s="17">
        <f>2790-100</f>
        <v>2690</v>
      </c>
      <c r="T1783" s="19" t="s">
        <v>42</v>
      </c>
      <c r="U1783" s="102" t="s">
        <v>678</v>
      </c>
      <c r="V1783" s="186" t="s">
        <v>679</v>
      </c>
      <c r="W1783" s="17" t="s">
        <v>69</v>
      </c>
      <c r="Y1783" s="68">
        <v>44866</v>
      </c>
      <c r="Z1783" s="17" t="s">
        <v>191</v>
      </c>
      <c r="AA1783" s="17" t="s">
        <v>46</v>
      </c>
      <c r="AB1783" s="17" t="s">
        <v>680</v>
      </c>
      <c r="AC1783" s="17" t="s">
        <v>681</v>
      </c>
      <c r="AD1783" s="65">
        <v>1359</v>
      </c>
      <c r="AE1783" s="17" t="s">
        <v>683</v>
      </c>
      <c r="AH1783" s="17" t="s">
        <v>692</v>
      </c>
    </row>
    <row r="1784" s="17" customFormat="1" hidden="1" spans="1:34">
      <c r="A1784" s="17" t="s">
        <v>34</v>
      </c>
      <c r="B1784" s="19">
        <v>830</v>
      </c>
      <c r="C1784" s="101" t="s">
        <v>677</v>
      </c>
      <c r="D1784" s="17" t="s">
        <v>52</v>
      </c>
      <c r="E1784" s="17" t="s">
        <v>187</v>
      </c>
      <c r="F1784" s="17" t="s">
        <v>54</v>
      </c>
      <c r="H1784" s="19">
        <v>1.2379</v>
      </c>
      <c r="I1784" s="19"/>
      <c r="J1784" s="17" t="s">
        <v>39</v>
      </c>
      <c r="K1784" s="19">
        <v>65</v>
      </c>
      <c r="L1784" s="91"/>
      <c r="M1784" s="19">
        <v>5000</v>
      </c>
      <c r="N1784" s="19" t="s">
        <v>40</v>
      </c>
      <c r="O1784" s="19" t="s">
        <v>149</v>
      </c>
      <c r="P1784" s="19">
        <v>1000</v>
      </c>
      <c r="Q1784" s="17">
        <v>1532</v>
      </c>
      <c r="R1784" s="17">
        <f t="shared" si="97"/>
        <v>-532</v>
      </c>
      <c r="S1784" s="17">
        <f>2790-100</f>
        <v>2690</v>
      </c>
      <c r="T1784" s="19" t="s">
        <v>42</v>
      </c>
      <c r="U1784" s="102" t="s">
        <v>678</v>
      </c>
      <c r="V1784" s="186" t="s">
        <v>679</v>
      </c>
      <c r="W1784" s="17" t="s">
        <v>69</v>
      </c>
      <c r="Y1784" s="68">
        <v>44866</v>
      </c>
      <c r="Z1784" s="17" t="s">
        <v>191</v>
      </c>
      <c r="AA1784" s="17" t="s">
        <v>46</v>
      </c>
      <c r="AB1784" s="17" t="s">
        <v>680</v>
      </c>
      <c r="AC1784" s="17" t="s">
        <v>681</v>
      </c>
      <c r="AD1784" s="65">
        <v>1359</v>
      </c>
      <c r="AE1784" s="17" t="s">
        <v>683</v>
      </c>
      <c r="AH1784" s="17" t="s">
        <v>692</v>
      </c>
    </row>
    <row r="1785" s="17" customFormat="1" hidden="1" spans="1:34">
      <c r="A1785" s="17" t="s">
        <v>34</v>
      </c>
      <c r="B1785" s="19">
        <v>830</v>
      </c>
      <c r="C1785" s="101" t="s">
        <v>677</v>
      </c>
      <c r="D1785" s="17" t="s">
        <v>52</v>
      </c>
      <c r="E1785" s="17" t="s">
        <v>187</v>
      </c>
      <c r="F1785" s="17" t="s">
        <v>54</v>
      </c>
      <c r="H1785" s="19">
        <v>1.2379</v>
      </c>
      <c r="I1785" s="19"/>
      <c r="J1785" s="17" t="s">
        <v>39</v>
      </c>
      <c r="K1785" s="19">
        <v>71</v>
      </c>
      <c r="L1785" s="91"/>
      <c r="M1785" s="19">
        <v>5000</v>
      </c>
      <c r="N1785" s="19" t="s">
        <v>40</v>
      </c>
      <c r="O1785" s="19" t="s">
        <v>149</v>
      </c>
      <c r="P1785" s="19">
        <v>1000</v>
      </c>
      <c r="Q1785" s="17">
        <v>1100</v>
      </c>
      <c r="R1785" s="17">
        <f t="shared" si="97"/>
        <v>-100</v>
      </c>
      <c r="S1785" s="17">
        <f>2790-100</f>
        <v>2690</v>
      </c>
      <c r="T1785" s="19" t="s">
        <v>42</v>
      </c>
      <c r="U1785" s="102" t="s">
        <v>678</v>
      </c>
      <c r="V1785" s="186" t="s">
        <v>679</v>
      </c>
      <c r="W1785" s="17" t="s">
        <v>69</v>
      </c>
      <c r="Y1785" s="68">
        <v>44866</v>
      </c>
      <c r="Z1785" s="17" t="s">
        <v>191</v>
      </c>
      <c r="AA1785" s="17" t="s">
        <v>46</v>
      </c>
      <c r="AB1785" s="17" t="s">
        <v>680</v>
      </c>
      <c r="AC1785" s="17" t="s">
        <v>681</v>
      </c>
      <c r="AD1785" s="65">
        <v>1359</v>
      </c>
      <c r="AE1785" s="17" t="s">
        <v>683</v>
      </c>
      <c r="AH1785" s="17" t="s">
        <v>692</v>
      </c>
    </row>
    <row r="1786" s="17" customFormat="1" hidden="1" spans="1:34">
      <c r="A1786" s="17" t="s">
        <v>34</v>
      </c>
      <c r="B1786" s="19">
        <v>830</v>
      </c>
      <c r="C1786" s="101" t="s">
        <v>677</v>
      </c>
      <c r="D1786" s="17" t="s">
        <v>52</v>
      </c>
      <c r="E1786" s="17" t="s">
        <v>187</v>
      </c>
      <c r="F1786" s="17" t="s">
        <v>54</v>
      </c>
      <c r="H1786" s="19">
        <v>1.2379</v>
      </c>
      <c r="I1786" s="19"/>
      <c r="J1786" s="17" t="s">
        <v>39</v>
      </c>
      <c r="K1786" s="19">
        <v>81</v>
      </c>
      <c r="L1786" s="91"/>
      <c r="M1786" s="19">
        <v>5000</v>
      </c>
      <c r="N1786" s="19" t="s">
        <v>40</v>
      </c>
      <c r="O1786" s="19" t="s">
        <v>149</v>
      </c>
      <c r="P1786" s="19">
        <v>2000</v>
      </c>
      <c r="Q1786" s="17">
        <v>1782</v>
      </c>
      <c r="R1786" s="17">
        <f t="shared" si="97"/>
        <v>218</v>
      </c>
      <c r="S1786" s="17">
        <f>2790-100</f>
        <v>2690</v>
      </c>
      <c r="T1786" s="19" t="s">
        <v>42</v>
      </c>
      <c r="U1786" s="102" t="s">
        <v>678</v>
      </c>
      <c r="V1786" s="186" t="s">
        <v>679</v>
      </c>
      <c r="W1786" s="17" t="s">
        <v>69</v>
      </c>
      <c r="Y1786" s="68">
        <v>44866</v>
      </c>
      <c r="Z1786" s="17" t="s">
        <v>191</v>
      </c>
      <c r="AA1786" s="17" t="s">
        <v>46</v>
      </c>
      <c r="AB1786" s="17" t="s">
        <v>680</v>
      </c>
      <c r="AC1786" s="17" t="s">
        <v>681</v>
      </c>
      <c r="AD1786" s="65">
        <v>1359</v>
      </c>
      <c r="AE1786" s="17" t="s">
        <v>691</v>
      </c>
      <c r="AH1786" s="17" t="s">
        <v>692</v>
      </c>
    </row>
    <row r="1787" s="17" customFormat="1" hidden="1" spans="1:34">
      <c r="A1787" s="17" t="s">
        <v>34</v>
      </c>
      <c r="B1787" s="19">
        <v>831</v>
      </c>
      <c r="C1787" s="101" t="s">
        <v>693</v>
      </c>
      <c r="D1787" s="17" t="s">
        <v>52</v>
      </c>
      <c r="E1787" s="17" t="s">
        <v>187</v>
      </c>
      <c r="F1787" s="17" t="s">
        <v>54</v>
      </c>
      <c r="H1787" s="19">
        <v>1.2738</v>
      </c>
      <c r="I1787" s="19"/>
      <c r="J1787" s="17" t="s">
        <v>49</v>
      </c>
      <c r="K1787" s="19">
        <v>1415</v>
      </c>
      <c r="L1787" s="91">
        <v>203</v>
      </c>
      <c r="M1787" s="19">
        <v>2700</v>
      </c>
      <c r="N1787" s="19" t="s">
        <v>66</v>
      </c>
      <c r="O1787" s="19" t="s">
        <v>141</v>
      </c>
      <c r="P1787" s="19">
        <v>12069</v>
      </c>
      <c r="Q1787" s="17">
        <v>6075</v>
      </c>
      <c r="R1787" s="17">
        <f t="shared" si="97"/>
        <v>5994</v>
      </c>
      <c r="S1787" s="17">
        <f>1615+40</f>
        <v>1655</v>
      </c>
      <c r="T1787" s="19" t="s">
        <v>42</v>
      </c>
      <c r="U1787" s="102" t="s">
        <v>694</v>
      </c>
      <c r="V1787" s="186" t="s">
        <v>695</v>
      </c>
      <c r="W1787" s="17" t="s">
        <v>69</v>
      </c>
      <c r="Y1787" s="68">
        <v>44866</v>
      </c>
      <c r="Z1787" s="17" t="s">
        <v>191</v>
      </c>
      <c r="AA1787" s="17" t="s">
        <v>46</v>
      </c>
      <c r="AB1787" s="17" t="s">
        <v>696</v>
      </c>
      <c r="AC1787" s="17" t="s">
        <v>697</v>
      </c>
      <c r="AD1787" s="65">
        <v>1351</v>
      </c>
      <c r="AE1787" s="17" t="s">
        <v>567</v>
      </c>
      <c r="AF1787" s="17" t="s">
        <v>245</v>
      </c>
    </row>
    <row r="1788" s="17" customFormat="1" hidden="1" spans="1:34">
      <c r="A1788" s="17" t="s">
        <v>34</v>
      </c>
      <c r="B1788" s="19">
        <v>831</v>
      </c>
      <c r="C1788" s="101" t="s">
        <v>693</v>
      </c>
      <c r="D1788" s="17" t="s">
        <v>52</v>
      </c>
      <c r="E1788" s="17" t="s">
        <v>187</v>
      </c>
      <c r="F1788" s="17" t="s">
        <v>54</v>
      </c>
      <c r="H1788" s="19">
        <v>1.2738</v>
      </c>
      <c r="I1788" s="19"/>
      <c r="J1788" s="17" t="s">
        <v>49</v>
      </c>
      <c r="K1788" s="19">
        <v>1550</v>
      </c>
      <c r="L1788" s="91">
        <v>255</v>
      </c>
      <c r="M1788" s="19">
        <v>3000</v>
      </c>
      <c r="N1788" s="19" t="s">
        <v>66</v>
      </c>
      <c r="O1788" s="19" t="s">
        <v>141</v>
      </c>
      <c r="P1788" s="19">
        <v>9308</v>
      </c>
      <c r="Q1788" s="17">
        <v>9540</v>
      </c>
      <c r="R1788" s="17">
        <f t="shared" ref="R1788:R1819" si="99">+P1788-Q1788</f>
        <v>-232</v>
      </c>
      <c r="S1788" s="17">
        <f>1615+40</f>
        <v>1655</v>
      </c>
      <c r="T1788" s="19" t="s">
        <v>42</v>
      </c>
      <c r="U1788" s="102" t="s">
        <v>694</v>
      </c>
      <c r="V1788" s="186" t="s">
        <v>695</v>
      </c>
      <c r="W1788" s="17" t="s">
        <v>69</v>
      </c>
      <c r="Y1788" s="68">
        <v>44866</v>
      </c>
      <c r="Z1788" s="17" t="s">
        <v>191</v>
      </c>
      <c r="AA1788" s="17" t="s">
        <v>46</v>
      </c>
      <c r="AB1788" s="17" t="s">
        <v>696</v>
      </c>
      <c r="AC1788" s="17" t="s">
        <v>697</v>
      </c>
      <c r="AD1788" s="65">
        <v>1351</v>
      </c>
      <c r="AE1788" s="17" t="s">
        <v>567</v>
      </c>
      <c r="AF1788" s="17" t="s">
        <v>245</v>
      </c>
    </row>
    <row r="1789" s="17" customFormat="1" hidden="1" spans="1:34">
      <c r="A1789" s="17" t="s">
        <v>34</v>
      </c>
      <c r="B1789" s="19">
        <v>833</v>
      </c>
      <c r="C1789" s="219" t="s">
        <v>698</v>
      </c>
      <c r="D1789" s="17" t="s">
        <v>52</v>
      </c>
      <c r="E1789" s="17" t="s">
        <v>187</v>
      </c>
      <c r="F1789" s="17" t="s">
        <v>54</v>
      </c>
      <c r="H1789" s="19">
        <v>1.2738</v>
      </c>
      <c r="I1789" s="19"/>
      <c r="J1789" s="17" t="s">
        <v>49</v>
      </c>
      <c r="K1789" s="19">
        <v>1600</v>
      </c>
      <c r="L1789" s="91">
        <v>400</v>
      </c>
      <c r="M1789" s="19">
        <v>4000</v>
      </c>
      <c r="N1789" s="19" t="s">
        <v>66</v>
      </c>
      <c r="O1789" s="19" t="s">
        <v>168</v>
      </c>
      <c r="P1789" s="19">
        <v>12560</v>
      </c>
      <c r="Q1789" s="17">
        <v>16980</v>
      </c>
      <c r="R1789" s="17">
        <f t="shared" si="99"/>
        <v>-4420</v>
      </c>
      <c r="S1789" s="17">
        <f>1735+20-40</f>
        <v>1715</v>
      </c>
      <c r="T1789" s="19" t="s">
        <v>42</v>
      </c>
      <c r="U1789" s="102" t="s">
        <v>699</v>
      </c>
      <c r="V1789" s="186" t="s">
        <v>700</v>
      </c>
      <c r="W1789" s="17" t="s">
        <v>44</v>
      </c>
      <c r="Y1789" s="68">
        <v>44805</v>
      </c>
      <c r="Z1789" s="17" t="s">
        <v>191</v>
      </c>
      <c r="AA1789" s="17" t="s">
        <v>46</v>
      </c>
      <c r="AB1789" s="17" t="s">
        <v>701</v>
      </c>
      <c r="AC1789" s="17" t="s">
        <v>702</v>
      </c>
      <c r="AD1789" s="65">
        <v>1353</v>
      </c>
      <c r="AE1789" s="17" t="s">
        <v>567</v>
      </c>
      <c r="AF1789" s="17" t="s">
        <v>245</v>
      </c>
    </row>
    <row r="1790" s="17" customFormat="1" hidden="1" spans="1:34">
      <c r="A1790" s="17" t="s">
        <v>34</v>
      </c>
      <c r="B1790" s="19">
        <v>833</v>
      </c>
      <c r="C1790" s="219" t="s">
        <v>698</v>
      </c>
      <c r="D1790" s="17" t="s">
        <v>52</v>
      </c>
      <c r="E1790" s="17" t="s">
        <v>187</v>
      </c>
      <c r="F1790" s="17" t="s">
        <v>54</v>
      </c>
      <c r="H1790" s="19">
        <v>1.2738</v>
      </c>
      <c r="I1790" s="19"/>
      <c r="J1790" s="17" t="s">
        <v>49</v>
      </c>
      <c r="K1790" s="17">
        <v>1600</v>
      </c>
      <c r="L1790" s="91">
        <v>290</v>
      </c>
      <c r="M1790" s="19">
        <v>4000</v>
      </c>
      <c r="N1790" s="19" t="s">
        <v>66</v>
      </c>
      <c r="O1790" s="19" t="s">
        <v>168</v>
      </c>
      <c r="P1790" s="19">
        <v>9106</v>
      </c>
      <c r="Q1790" s="17">
        <v>11520</v>
      </c>
      <c r="R1790" s="17">
        <f t="shared" si="99"/>
        <v>-2414</v>
      </c>
      <c r="S1790" s="17">
        <f>1695+20</f>
        <v>1715</v>
      </c>
      <c r="T1790" s="19" t="s">
        <v>42</v>
      </c>
      <c r="U1790" s="102" t="s">
        <v>699</v>
      </c>
      <c r="V1790" s="186" t="s">
        <v>700</v>
      </c>
      <c r="W1790" s="17" t="s">
        <v>69</v>
      </c>
      <c r="Y1790" s="68">
        <v>44805</v>
      </c>
      <c r="Z1790" s="17" t="s">
        <v>191</v>
      </c>
      <c r="AA1790" s="17" t="s">
        <v>46</v>
      </c>
      <c r="AB1790" s="17" t="s">
        <v>703</v>
      </c>
      <c r="AC1790" s="17" t="s">
        <v>503</v>
      </c>
      <c r="AD1790" s="65">
        <v>1339</v>
      </c>
      <c r="AE1790" s="17" t="s">
        <v>567</v>
      </c>
      <c r="AF1790" s="17" t="s">
        <v>245</v>
      </c>
    </row>
    <row r="1791" s="17" customFormat="1" hidden="1" spans="1:34">
      <c r="A1791" s="17" t="s">
        <v>34</v>
      </c>
      <c r="B1791" s="19">
        <v>833</v>
      </c>
      <c r="C1791" s="219" t="s">
        <v>698</v>
      </c>
      <c r="D1791" s="17" t="s">
        <v>52</v>
      </c>
      <c r="E1791" s="17" t="s">
        <v>187</v>
      </c>
      <c r="F1791" s="17" t="s">
        <v>54</v>
      </c>
      <c r="H1791" s="19">
        <v>1.2738</v>
      </c>
      <c r="I1791" s="19"/>
      <c r="J1791" s="17" t="s">
        <v>49</v>
      </c>
      <c r="K1791" s="17">
        <v>1600</v>
      </c>
      <c r="L1791" s="91">
        <v>315</v>
      </c>
      <c r="M1791" s="19">
        <v>4000</v>
      </c>
      <c r="N1791" s="19" t="s">
        <v>66</v>
      </c>
      <c r="O1791" s="19" t="s">
        <v>168</v>
      </c>
      <c r="P1791" s="19">
        <v>9891</v>
      </c>
      <c r="Q1791" s="17">
        <v>13050</v>
      </c>
      <c r="R1791" s="17">
        <f t="shared" si="99"/>
        <v>-3159</v>
      </c>
      <c r="S1791" s="17">
        <f>1695+20</f>
        <v>1715</v>
      </c>
      <c r="T1791" s="19" t="s">
        <v>42</v>
      </c>
      <c r="U1791" s="102" t="s">
        <v>699</v>
      </c>
      <c r="V1791" s="186" t="s">
        <v>700</v>
      </c>
      <c r="W1791" s="17" t="s">
        <v>69</v>
      </c>
      <c r="Y1791" s="68">
        <v>44805</v>
      </c>
      <c r="Z1791" s="17" t="s">
        <v>191</v>
      </c>
      <c r="AA1791" s="17" t="s">
        <v>46</v>
      </c>
      <c r="AB1791" s="17" t="s">
        <v>703</v>
      </c>
      <c r="AC1791" s="17" t="s">
        <v>503</v>
      </c>
      <c r="AD1791" s="65">
        <v>1339</v>
      </c>
      <c r="AE1791" s="17" t="s">
        <v>567</v>
      </c>
      <c r="AF1791" s="17" t="s">
        <v>245</v>
      </c>
    </row>
    <row r="1792" s="17" customFormat="1" hidden="1" spans="1:34">
      <c r="A1792" s="17" t="s">
        <v>34</v>
      </c>
      <c r="B1792" s="19">
        <v>833</v>
      </c>
      <c r="C1792" s="219" t="s">
        <v>698</v>
      </c>
      <c r="D1792" s="17" t="s">
        <v>52</v>
      </c>
      <c r="E1792" s="17" t="s">
        <v>187</v>
      </c>
      <c r="F1792" s="17" t="s">
        <v>54</v>
      </c>
      <c r="H1792" s="19">
        <v>1.2738</v>
      </c>
      <c r="I1792" s="19"/>
      <c r="J1792" s="17" t="s">
        <v>49</v>
      </c>
      <c r="K1792" s="17">
        <v>1600</v>
      </c>
      <c r="L1792" s="91">
        <v>330</v>
      </c>
      <c r="M1792" s="19">
        <v>4000</v>
      </c>
      <c r="N1792" s="19" t="s">
        <v>66</v>
      </c>
      <c r="O1792" s="19" t="s">
        <v>168</v>
      </c>
      <c r="P1792" s="19">
        <v>10362</v>
      </c>
      <c r="Q1792" s="17">
        <v>14050</v>
      </c>
      <c r="R1792" s="17">
        <f t="shared" si="99"/>
        <v>-3688</v>
      </c>
      <c r="S1792" s="17">
        <f>1695+20</f>
        <v>1715</v>
      </c>
      <c r="T1792" s="19" t="s">
        <v>42</v>
      </c>
      <c r="U1792" s="102" t="s">
        <v>699</v>
      </c>
      <c r="V1792" s="186" t="s">
        <v>700</v>
      </c>
      <c r="W1792" s="17" t="s">
        <v>69</v>
      </c>
      <c r="Y1792" s="68">
        <v>44805</v>
      </c>
      <c r="Z1792" s="17" t="s">
        <v>191</v>
      </c>
      <c r="AA1792" s="17" t="s">
        <v>46</v>
      </c>
      <c r="AB1792" s="17" t="s">
        <v>703</v>
      </c>
      <c r="AC1792" s="17" t="s">
        <v>503</v>
      </c>
      <c r="AD1792" s="65">
        <v>1339</v>
      </c>
      <c r="AE1792" s="17" t="s">
        <v>567</v>
      </c>
      <c r="AF1792" s="17" t="s">
        <v>245</v>
      </c>
    </row>
    <row r="1793" s="17" customFormat="1" hidden="1" spans="1:35">
      <c r="A1793" s="17" t="s">
        <v>34</v>
      </c>
      <c r="B1793" s="19">
        <v>833</v>
      </c>
      <c r="C1793" s="219" t="s">
        <v>698</v>
      </c>
      <c r="D1793" s="17" t="s">
        <v>52</v>
      </c>
      <c r="E1793" s="17" t="s">
        <v>187</v>
      </c>
      <c r="F1793" s="17" t="s">
        <v>54</v>
      </c>
      <c r="H1793" s="19">
        <v>1.2738</v>
      </c>
      <c r="I1793" s="19"/>
      <c r="J1793" s="17" t="s">
        <v>49</v>
      </c>
      <c r="K1793" s="17">
        <v>1600</v>
      </c>
      <c r="L1793" s="91">
        <v>350</v>
      </c>
      <c r="M1793" s="19">
        <v>4000</v>
      </c>
      <c r="N1793" s="19" t="s">
        <v>66</v>
      </c>
      <c r="O1793" s="19" t="s">
        <v>168</v>
      </c>
      <c r="P1793" s="19">
        <v>10990</v>
      </c>
      <c r="Q1793" s="17">
        <v>14640</v>
      </c>
      <c r="R1793" s="17">
        <f t="shared" si="99"/>
        <v>-3650</v>
      </c>
      <c r="S1793" s="17">
        <f>1695+20</f>
        <v>1715</v>
      </c>
      <c r="T1793" s="19" t="s">
        <v>42</v>
      </c>
      <c r="U1793" s="102" t="s">
        <v>699</v>
      </c>
      <c r="V1793" s="186" t="s">
        <v>700</v>
      </c>
      <c r="W1793" s="17" t="s">
        <v>69</v>
      </c>
      <c r="Y1793" s="68">
        <v>44805</v>
      </c>
      <c r="Z1793" s="17" t="s">
        <v>191</v>
      </c>
      <c r="AA1793" s="17" t="s">
        <v>46</v>
      </c>
      <c r="AB1793" s="17" t="s">
        <v>703</v>
      </c>
      <c r="AC1793" s="17" t="s">
        <v>503</v>
      </c>
      <c r="AD1793" s="65">
        <v>1339</v>
      </c>
      <c r="AE1793" s="17" t="s">
        <v>567</v>
      </c>
      <c r="AF1793" s="17" t="s">
        <v>245</v>
      </c>
    </row>
    <row r="1794" s="17" customFormat="1" hidden="1" spans="1:35">
      <c r="A1794" s="17" t="s">
        <v>34</v>
      </c>
      <c r="B1794" s="19">
        <v>834</v>
      </c>
      <c r="C1794" s="219" t="s">
        <v>698</v>
      </c>
      <c r="D1794" s="17" t="s">
        <v>52</v>
      </c>
      <c r="E1794" s="17" t="s">
        <v>187</v>
      </c>
      <c r="F1794" s="17" t="s">
        <v>54</v>
      </c>
      <c r="H1794" s="19">
        <v>1.2379</v>
      </c>
      <c r="I1794" s="19"/>
      <c r="J1794" s="17" t="s">
        <v>39</v>
      </c>
      <c r="K1794" s="19">
        <v>16</v>
      </c>
      <c r="L1794" s="91"/>
      <c r="M1794" s="19">
        <v>5000</v>
      </c>
      <c r="N1794" s="19" t="s">
        <v>40</v>
      </c>
      <c r="O1794" s="19" t="s">
        <v>84</v>
      </c>
      <c r="P1794" s="19">
        <v>1000</v>
      </c>
      <c r="Q1794" s="17">
        <v>478</v>
      </c>
      <c r="R1794" s="17">
        <f t="shared" si="99"/>
        <v>522</v>
      </c>
      <c r="S1794" s="17">
        <f>2650-100</f>
        <v>2550</v>
      </c>
      <c r="T1794" s="19" t="s">
        <v>42</v>
      </c>
      <c r="U1794" s="102" t="s">
        <v>704</v>
      </c>
      <c r="V1794" s="186" t="s">
        <v>679</v>
      </c>
      <c r="W1794" s="17" t="s">
        <v>69</v>
      </c>
      <c r="Y1794" s="68">
        <v>44866</v>
      </c>
      <c r="Z1794" s="17" t="s">
        <v>191</v>
      </c>
      <c r="AA1794" s="17" t="s">
        <v>46</v>
      </c>
      <c r="AB1794" s="17" t="s">
        <v>680</v>
      </c>
      <c r="AC1794" s="17" t="s">
        <v>681</v>
      </c>
      <c r="AD1794" s="65">
        <v>1359</v>
      </c>
      <c r="AE1794" s="17" t="s">
        <v>129</v>
      </c>
      <c r="AF1794" s="17" t="s">
        <v>245</v>
      </c>
      <c r="AH1794" s="17" t="s">
        <v>705</v>
      </c>
      <c r="AI1794" s="17">
        <v>258.63</v>
      </c>
    </row>
    <row r="1795" s="17" customFormat="1" hidden="1" spans="1:35">
      <c r="A1795" s="17" t="s">
        <v>34</v>
      </c>
      <c r="B1795" s="19">
        <v>834</v>
      </c>
      <c r="C1795" s="219" t="s">
        <v>698</v>
      </c>
      <c r="D1795" s="17" t="s">
        <v>52</v>
      </c>
      <c r="E1795" s="17" t="s">
        <v>187</v>
      </c>
      <c r="F1795" s="17" t="s">
        <v>54</v>
      </c>
      <c r="H1795" s="19">
        <v>1.2379</v>
      </c>
      <c r="I1795" s="19"/>
      <c r="J1795" s="17" t="s">
        <v>39</v>
      </c>
      <c r="K1795" s="19">
        <v>20</v>
      </c>
      <c r="L1795" s="91"/>
      <c r="M1795" s="19">
        <v>5000</v>
      </c>
      <c r="N1795" s="19" t="s">
        <v>40</v>
      </c>
      <c r="O1795" s="19" t="s">
        <v>84</v>
      </c>
      <c r="P1795" s="19">
        <v>1000</v>
      </c>
      <c r="Q1795" s="17">
        <v>1118</v>
      </c>
      <c r="R1795" s="17">
        <f t="shared" si="99"/>
        <v>-118</v>
      </c>
      <c r="S1795" s="17">
        <f>2650-100</f>
        <v>2550</v>
      </c>
      <c r="T1795" s="19" t="s">
        <v>42</v>
      </c>
      <c r="U1795" s="102" t="s">
        <v>704</v>
      </c>
      <c r="V1795" s="186" t="s">
        <v>679</v>
      </c>
      <c r="W1795" s="17" t="s">
        <v>69</v>
      </c>
      <c r="Y1795" s="68">
        <v>44866</v>
      </c>
      <c r="Z1795" s="17" t="s">
        <v>191</v>
      </c>
      <c r="AA1795" s="17" t="s">
        <v>46</v>
      </c>
      <c r="AB1795" s="17" t="s">
        <v>680</v>
      </c>
      <c r="AC1795" s="17" t="s">
        <v>681</v>
      </c>
      <c r="AD1795" s="65">
        <v>1359</v>
      </c>
      <c r="AE1795" s="17" t="s">
        <v>129</v>
      </c>
      <c r="AF1795" s="17" t="s">
        <v>245</v>
      </c>
      <c r="AH1795" s="17" t="s">
        <v>705</v>
      </c>
      <c r="AI1795" s="17">
        <v>258.63</v>
      </c>
    </row>
    <row r="1796" s="17" customFormat="1" hidden="1" spans="1:35">
      <c r="A1796" s="17" t="s">
        <v>34</v>
      </c>
      <c r="B1796" s="19">
        <v>834</v>
      </c>
      <c r="C1796" s="219" t="s">
        <v>698</v>
      </c>
      <c r="D1796" s="17" t="s">
        <v>52</v>
      </c>
      <c r="E1796" s="17" t="s">
        <v>187</v>
      </c>
      <c r="F1796" s="17" t="s">
        <v>54</v>
      </c>
      <c r="H1796" s="19">
        <v>1.2379</v>
      </c>
      <c r="I1796" s="19"/>
      <c r="J1796" s="17" t="s">
        <v>39</v>
      </c>
      <c r="K1796" s="19">
        <v>22</v>
      </c>
      <c r="L1796" s="91"/>
      <c r="M1796" s="19">
        <v>5000</v>
      </c>
      <c r="N1796" s="19" t="s">
        <v>40</v>
      </c>
      <c r="O1796" s="19" t="s">
        <v>84</v>
      </c>
      <c r="P1796" s="19">
        <v>1000</v>
      </c>
      <c r="Q1796" s="17">
        <v>986</v>
      </c>
      <c r="R1796" s="17">
        <f t="shared" si="99"/>
        <v>14</v>
      </c>
      <c r="S1796" s="17">
        <f>2650-100</f>
        <v>2550</v>
      </c>
      <c r="T1796" s="19" t="s">
        <v>42</v>
      </c>
      <c r="U1796" s="102" t="s">
        <v>704</v>
      </c>
      <c r="V1796" s="186" t="s">
        <v>679</v>
      </c>
      <c r="W1796" s="17" t="s">
        <v>69</v>
      </c>
      <c r="Y1796" s="68">
        <v>44866</v>
      </c>
      <c r="Z1796" s="17" t="s">
        <v>191</v>
      </c>
      <c r="AA1796" s="17" t="s">
        <v>46</v>
      </c>
      <c r="AB1796" s="17" t="s">
        <v>680</v>
      </c>
      <c r="AC1796" s="17" t="s">
        <v>681</v>
      </c>
      <c r="AD1796" s="65">
        <v>1359</v>
      </c>
      <c r="AE1796" s="17" t="s">
        <v>129</v>
      </c>
      <c r="AF1796" s="17" t="s">
        <v>245</v>
      </c>
      <c r="AH1796" s="17" t="s">
        <v>705</v>
      </c>
      <c r="AI1796" s="17">
        <v>258.63</v>
      </c>
    </row>
    <row r="1797" s="17" customFormat="1" hidden="1" spans="1:35">
      <c r="A1797" s="17" t="s">
        <v>34</v>
      </c>
      <c r="B1797" s="19">
        <v>834</v>
      </c>
      <c r="C1797" s="219" t="s">
        <v>698</v>
      </c>
      <c r="D1797" s="17" t="s">
        <v>52</v>
      </c>
      <c r="E1797" s="17" t="s">
        <v>187</v>
      </c>
      <c r="F1797" s="17" t="s">
        <v>54</v>
      </c>
      <c r="H1797" s="19">
        <v>1.2344</v>
      </c>
      <c r="I1797" s="19"/>
      <c r="J1797" s="17" t="s">
        <v>39</v>
      </c>
      <c r="K1797" s="19">
        <v>16</v>
      </c>
      <c r="L1797" s="91"/>
      <c r="M1797" s="19">
        <v>5000</v>
      </c>
      <c r="N1797" s="19" t="s">
        <v>40</v>
      </c>
      <c r="O1797" s="19" t="s">
        <v>84</v>
      </c>
      <c r="P1797" s="19">
        <v>1500</v>
      </c>
      <c r="Q1797" s="17">
        <v>696</v>
      </c>
      <c r="R1797" s="17">
        <f t="shared" si="99"/>
        <v>804</v>
      </c>
      <c r="S1797" s="17">
        <v>2360</v>
      </c>
      <c r="T1797" s="19" t="s">
        <v>42</v>
      </c>
      <c r="U1797" s="102" t="s">
        <v>704</v>
      </c>
      <c r="V1797" s="186" t="s">
        <v>679</v>
      </c>
      <c r="W1797" s="17" t="s">
        <v>69</v>
      </c>
      <c r="Y1797" s="68">
        <v>44866</v>
      </c>
      <c r="Z1797" s="17" t="s">
        <v>191</v>
      </c>
      <c r="AA1797" s="17" t="s">
        <v>46</v>
      </c>
      <c r="AB1797" s="17" t="s">
        <v>680</v>
      </c>
      <c r="AC1797" s="17" t="s">
        <v>681</v>
      </c>
      <c r="AD1797" s="65">
        <v>1359</v>
      </c>
      <c r="AE1797" s="17" t="s">
        <v>129</v>
      </c>
      <c r="AF1797" s="17" t="s">
        <v>245</v>
      </c>
      <c r="AH1797" s="17" t="s">
        <v>705</v>
      </c>
      <c r="AI1797" s="17">
        <v>258.63</v>
      </c>
    </row>
    <row r="1798" s="17" customFormat="1" hidden="1" spans="1:35">
      <c r="A1798" s="17" t="s">
        <v>34</v>
      </c>
      <c r="B1798" s="19">
        <v>834</v>
      </c>
      <c r="C1798" s="219" t="s">
        <v>698</v>
      </c>
      <c r="D1798" s="17" t="s">
        <v>52</v>
      </c>
      <c r="E1798" s="17" t="s">
        <v>187</v>
      </c>
      <c r="F1798" s="17" t="s">
        <v>54</v>
      </c>
      <c r="H1798" s="19">
        <v>1.2344</v>
      </c>
      <c r="I1798" s="19"/>
      <c r="J1798" s="17" t="s">
        <v>39</v>
      </c>
      <c r="K1798" s="19">
        <v>18</v>
      </c>
      <c r="L1798" s="91"/>
      <c r="M1798" s="19">
        <v>5000</v>
      </c>
      <c r="N1798" s="19" t="s">
        <v>40</v>
      </c>
      <c r="O1798" s="19" t="s">
        <v>84</v>
      </c>
      <c r="P1798" s="19">
        <v>1000</v>
      </c>
      <c r="Q1798" s="17">
        <v>758</v>
      </c>
      <c r="R1798" s="17">
        <f t="shared" si="99"/>
        <v>242</v>
      </c>
      <c r="S1798" s="17">
        <v>2360</v>
      </c>
      <c r="T1798" s="19" t="s">
        <v>42</v>
      </c>
      <c r="U1798" s="102" t="s">
        <v>704</v>
      </c>
      <c r="V1798" s="186" t="s">
        <v>679</v>
      </c>
      <c r="W1798" s="17" t="s">
        <v>69</v>
      </c>
      <c r="Y1798" s="68">
        <v>44866</v>
      </c>
      <c r="Z1798" s="17" t="s">
        <v>191</v>
      </c>
      <c r="AA1798" s="17" t="s">
        <v>46</v>
      </c>
      <c r="AB1798" s="17" t="s">
        <v>680</v>
      </c>
      <c r="AC1798" s="17" t="s">
        <v>681</v>
      </c>
      <c r="AD1798" s="65">
        <v>1359</v>
      </c>
      <c r="AE1798" s="17" t="s">
        <v>129</v>
      </c>
      <c r="AF1798" s="17" t="s">
        <v>245</v>
      </c>
      <c r="AH1798" s="17" t="s">
        <v>705</v>
      </c>
      <c r="AI1798" s="17">
        <v>258.63</v>
      </c>
    </row>
    <row r="1799" s="17" customFormat="1" hidden="1" spans="1:35">
      <c r="A1799" s="17" t="s">
        <v>34</v>
      </c>
      <c r="B1799" s="19">
        <v>834</v>
      </c>
      <c r="C1799" s="219" t="s">
        <v>698</v>
      </c>
      <c r="D1799" s="17" t="s">
        <v>52</v>
      </c>
      <c r="E1799" s="17" t="s">
        <v>187</v>
      </c>
      <c r="F1799" s="17" t="s">
        <v>54</v>
      </c>
      <c r="H1799" s="19">
        <v>1.2344</v>
      </c>
      <c r="I1799" s="19"/>
      <c r="J1799" s="17" t="s">
        <v>39</v>
      </c>
      <c r="K1799" s="19">
        <v>22</v>
      </c>
      <c r="L1799" s="91"/>
      <c r="M1799" s="19">
        <v>5000</v>
      </c>
      <c r="N1799" s="19" t="s">
        <v>40</v>
      </c>
      <c r="O1799" s="19" t="s">
        <v>84</v>
      </c>
      <c r="P1799" s="19">
        <v>1000</v>
      </c>
      <c r="Q1799" s="17">
        <v>988</v>
      </c>
      <c r="R1799" s="17">
        <f t="shared" si="99"/>
        <v>12</v>
      </c>
      <c r="S1799" s="17">
        <v>2360</v>
      </c>
      <c r="T1799" s="19" t="s">
        <v>42</v>
      </c>
      <c r="U1799" s="102" t="s">
        <v>704</v>
      </c>
      <c r="V1799" s="186" t="s">
        <v>679</v>
      </c>
      <c r="W1799" s="17" t="s">
        <v>69</v>
      </c>
      <c r="Y1799" s="68">
        <v>44866</v>
      </c>
      <c r="Z1799" s="17" t="s">
        <v>191</v>
      </c>
      <c r="AA1799" s="17" t="s">
        <v>46</v>
      </c>
      <c r="AB1799" s="17" t="s">
        <v>680</v>
      </c>
      <c r="AC1799" s="17" t="s">
        <v>681</v>
      </c>
      <c r="AD1799" s="65">
        <v>1359</v>
      </c>
      <c r="AE1799" s="17" t="s">
        <v>129</v>
      </c>
      <c r="AF1799" s="17" t="s">
        <v>245</v>
      </c>
      <c r="AH1799" s="17" t="s">
        <v>705</v>
      </c>
      <c r="AI1799" s="17">
        <v>258.63</v>
      </c>
    </row>
    <row r="1800" s="17" customFormat="1" hidden="1" spans="1:35">
      <c r="A1800" s="17" t="s">
        <v>34</v>
      </c>
      <c r="B1800" s="19">
        <v>835</v>
      </c>
      <c r="C1800" s="219" t="s">
        <v>706</v>
      </c>
      <c r="D1800" s="17" t="s">
        <v>52</v>
      </c>
      <c r="E1800" s="17" t="s">
        <v>187</v>
      </c>
      <c r="F1800" s="17" t="s">
        <v>54</v>
      </c>
      <c r="H1800" s="19">
        <v>1.2311</v>
      </c>
      <c r="I1800" s="19"/>
      <c r="J1800" s="17" t="s">
        <v>82</v>
      </c>
      <c r="K1800" s="19">
        <v>205</v>
      </c>
      <c r="L1800" s="19">
        <v>25</v>
      </c>
      <c r="M1800" s="19">
        <v>2300</v>
      </c>
      <c r="N1800" s="19" t="s">
        <v>66</v>
      </c>
      <c r="O1800" s="19" t="s">
        <v>141</v>
      </c>
      <c r="P1800" s="19">
        <v>1000</v>
      </c>
      <c r="Q1800" s="17">
        <v>1251</v>
      </c>
      <c r="R1800" s="17">
        <f t="shared" si="99"/>
        <v>-251</v>
      </c>
      <c r="S1800" s="17">
        <v>1030</v>
      </c>
      <c r="T1800" s="19" t="s">
        <v>42</v>
      </c>
      <c r="U1800" s="102" t="s">
        <v>707</v>
      </c>
      <c r="V1800" s="186" t="s">
        <v>708</v>
      </c>
      <c r="W1800" s="17" t="s">
        <v>69</v>
      </c>
      <c r="Y1800" s="68">
        <v>44805</v>
      </c>
      <c r="Z1800" s="17" t="s">
        <v>191</v>
      </c>
      <c r="AA1800" s="17" t="s">
        <v>46</v>
      </c>
      <c r="AB1800" s="17" t="s">
        <v>709</v>
      </c>
      <c r="AC1800" s="17" t="s">
        <v>710</v>
      </c>
      <c r="AD1800" s="65">
        <v>1340</v>
      </c>
      <c r="AE1800" s="17" t="s">
        <v>711</v>
      </c>
      <c r="AF1800" s="17" t="s">
        <v>245</v>
      </c>
      <c r="AG1800" s="17" t="s">
        <v>712</v>
      </c>
      <c r="AH1800" s="17" t="s">
        <v>713</v>
      </c>
    </row>
    <row r="1801" s="17" customFormat="1" hidden="1" spans="1:35">
      <c r="A1801" s="17" t="s">
        <v>34</v>
      </c>
      <c r="B1801" s="19">
        <v>835</v>
      </c>
      <c r="C1801" s="219" t="s">
        <v>706</v>
      </c>
      <c r="D1801" s="17" t="s">
        <v>52</v>
      </c>
      <c r="E1801" s="17" t="s">
        <v>187</v>
      </c>
      <c r="F1801" s="17" t="s">
        <v>54</v>
      </c>
      <c r="H1801" s="19">
        <v>1.2311</v>
      </c>
      <c r="I1801" s="19"/>
      <c r="J1801" s="17" t="s">
        <v>82</v>
      </c>
      <c r="K1801" s="19">
        <v>255</v>
      </c>
      <c r="L1801" s="19">
        <v>25</v>
      </c>
      <c r="M1801" s="19">
        <v>2300</v>
      </c>
      <c r="N1801" s="19" t="s">
        <v>66</v>
      </c>
      <c r="O1801" s="19" t="s">
        <v>141</v>
      </c>
      <c r="P1801" s="19">
        <v>1000</v>
      </c>
      <c r="Q1801" s="17">
        <v>1175</v>
      </c>
      <c r="R1801" s="17">
        <f t="shared" si="99"/>
        <v>-175</v>
      </c>
      <c r="S1801" s="17">
        <v>1030</v>
      </c>
      <c r="T1801" s="19" t="s">
        <v>42</v>
      </c>
      <c r="U1801" s="102" t="s">
        <v>707</v>
      </c>
      <c r="V1801" s="186" t="s">
        <v>708</v>
      </c>
      <c r="W1801" s="17" t="s">
        <v>69</v>
      </c>
      <c r="Y1801" s="68">
        <v>44805</v>
      </c>
      <c r="Z1801" s="17" t="s">
        <v>191</v>
      </c>
      <c r="AA1801" s="17" t="s">
        <v>46</v>
      </c>
      <c r="AB1801" s="17" t="s">
        <v>709</v>
      </c>
      <c r="AC1801" s="17" t="s">
        <v>710</v>
      </c>
      <c r="AD1801" s="65">
        <v>1340</v>
      </c>
      <c r="AE1801" s="17" t="s">
        <v>711</v>
      </c>
      <c r="AF1801" s="17" t="s">
        <v>245</v>
      </c>
      <c r="AG1801" s="17" t="s">
        <v>712</v>
      </c>
      <c r="AH1801" s="17" t="s">
        <v>713</v>
      </c>
    </row>
    <row r="1802" s="17" customFormat="1" hidden="1" spans="1:35">
      <c r="A1802" s="17" t="s">
        <v>34</v>
      </c>
      <c r="B1802" s="19">
        <v>835</v>
      </c>
      <c r="C1802" s="219" t="s">
        <v>706</v>
      </c>
      <c r="D1802" s="17" t="s">
        <v>52</v>
      </c>
      <c r="E1802" s="17" t="s">
        <v>187</v>
      </c>
      <c r="F1802" s="17" t="s">
        <v>54</v>
      </c>
      <c r="H1802" s="19">
        <v>1.2311</v>
      </c>
      <c r="I1802" s="19"/>
      <c r="J1802" s="17" t="s">
        <v>82</v>
      </c>
      <c r="K1802" s="19">
        <v>305</v>
      </c>
      <c r="L1802" s="19">
        <v>25</v>
      </c>
      <c r="M1802" s="19">
        <v>2300</v>
      </c>
      <c r="N1802" s="19" t="s">
        <v>66</v>
      </c>
      <c r="O1802" s="19" t="s">
        <v>141</v>
      </c>
      <c r="P1802" s="19">
        <v>1000</v>
      </c>
      <c r="Q1802" s="17">
        <v>1218</v>
      </c>
      <c r="R1802" s="17">
        <f t="shared" si="99"/>
        <v>-218</v>
      </c>
      <c r="S1802" s="17">
        <v>1030</v>
      </c>
      <c r="T1802" s="19" t="s">
        <v>42</v>
      </c>
      <c r="U1802" s="102" t="s">
        <v>707</v>
      </c>
      <c r="V1802" s="186" t="s">
        <v>708</v>
      </c>
      <c r="W1802" s="17" t="s">
        <v>69</v>
      </c>
      <c r="Y1802" s="68">
        <v>44805</v>
      </c>
      <c r="Z1802" s="17" t="s">
        <v>191</v>
      </c>
      <c r="AA1802" s="17" t="s">
        <v>46</v>
      </c>
      <c r="AB1802" s="17" t="s">
        <v>709</v>
      </c>
      <c r="AC1802" s="17" t="s">
        <v>710</v>
      </c>
      <c r="AD1802" s="65">
        <v>1340</v>
      </c>
      <c r="AE1802" s="17" t="s">
        <v>711</v>
      </c>
      <c r="AF1802" s="17" t="s">
        <v>245</v>
      </c>
      <c r="AG1802" s="17" t="s">
        <v>712</v>
      </c>
      <c r="AH1802" s="17" t="s">
        <v>713</v>
      </c>
    </row>
    <row r="1803" s="17" customFormat="1" hidden="1" spans="1:35">
      <c r="A1803" s="17" t="s">
        <v>34</v>
      </c>
      <c r="B1803" s="19">
        <v>835</v>
      </c>
      <c r="C1803" s="219" t="s">
        <v>706</v>
      </c>
      <c r="D1803" s="17" t="s">
        <v>52</v>
      </c>
      <c r="E1803" s="17" t="s">
        <v>187</v>
      </c>
      <c r="F1803" s="17" t="s">
        <v>54</v>
      </c>
      <c r="H1803" s="19">
        <v>1.2311</v>
      </c>
      <c r="I1803" s="19"/>
      <c r="J1803" s="17" t="s">
        <v>82</v>
      </c>
      <c r="K1803" s="19">
        <v>355</v>
      </c>
      <c r="L1803" s="19">
        <v>25</v>
      </c>
      <c r="M1803" s="19">
        <v>2300</v>
      </c>
      <c r="N1803" s="19" t="s">
        <v>66</v>
      </c>
      <c r="O1803" s="19" t="s">
        <v>141</v>
      </c>
      <c r="P1803" s="19">
        <v>1000</v>
      </c>
      <c r="Q1803" s="17">
        <v>1258</v>
      </c>
      <c r="R1803" s="17">
        <f t="shared" si="99"/>
        <v>-258</v>
      </c>
      <c r="S1803" s="17">
        <v>1030</v>
      </c>
      <c r="T1803" s="19" t="s">
        <v>42</v>
      </c>
      <c r="U1803" s="102" t="s">
        <v>707</v>
      </c>
      <c r="V1803" s="186" t="s">
        <v>708</v>
      </c>
      <c r="W1803" s="17" t="s">
        <v>69</v>
      </c>
      <c r="Y1803" s="68">
        <v>44805</v>
      </c>
      <c r="Z1803" s="17" t="s">
        <v>191</v>
      </c>
      <c r="AA1803" s="17" t="s">
        <v>46</v>
      </c>
      <c r="AB1803" s="17" t="s">
        <v>709</v>
      </c>
      <c r="AC1803" s="17" t="s">
        <v>710</v>
      </c>
      <c r="AD1803" s="65">
        <v>1340</v>
      </c>
      <c r="AE1803" s="17" t="s">
        <v>711</v>
      </c>
      <c r="AF1803" s="17" t="s">
        <v>245</v>
      </c>
      <c r="AG1803" s="17" t="s">
        <v>712</v>
      </c>
      <c r="AH1803" s="17" t="s">
        <v>713</v>
      </c>
    </row>
    <row r="1804" s="17" customFormat="1" hidden="1" spans="1:35">
      <c r="A1804" s="17" t="s">
        <v>34</v>
      </c>
      <c r="B1804" s="19">
        <v>835</v>
      </c>
      <c r="C1804" s="219" t="s">
        <v>706</v>
      </c>
      <c r="D1804" s="17" t="s">
        <v>52</v>
      </c>
      <c r="E1804" s="17" t="s">
        <v>187</v>
      </c>
      <c r="F1804" s="17" t="s">
        <v>54</v>
      </c>
      <c r="H1804" s="19">
        <v>1.2311</v>
      </c>
      <c r="I1804" s="19"/>
      <c r="J1804" s="17" t="s">
        <v>82</v>
      </c>
      <c r="K1804" s="19">
        <v>405</v>
      </c>
      <c r="L1804" s="19">
        <v>25</v>
      </c>
      <c r="M1804" s="19">
        <v>2300</v>
      </c>
      <c r="N1804" s="19" t="s">
        <v>66</v>
      </c>
      <c r="O1804" s="19" t="s">
        <v>141</v>
      </c>
      <c r="P1804" s="19">
        <v>1000</v>
      </c>
      <c r="Q1804" s="17">
        <v>1230</v>
      </c>
      <c r="R1804" s="17">
        <f t="shared" si="99"/>
        <v>-230</v>
      </c>
      <c r="S1804" s="17">
        <v>1030</v>
      </c>
      <c r="T1804" s="19" t="s">
        <v>42</v>
      </c>
      <c r="U1804" s="102" t="s">
        <v>707</v>
      </c>
      <c r="V1804" s="186" t="s">
        <v>708</v>
      </c>
      <c r="W1804" s="17" t="s">
        <v>69</v>
      </c>
      <c r="Y1804" s="68">
        <v>44805</v>
      </c>
      <c r="Z1804" s="17" t="s">
        <v>191</v>
      </c>
      <c r="AA1804" s="17" t="s">
        <v>46</v>
      </c>
      <c r="AB1804" s="17" t="s">
        <v>709</v>
      </c>
      <c r="AC1804" s="17" t="s">
        <v>710</v>
      </c>
      <c r="AD1804" s="65">
        <v>1340</v>
      </c>
      <c r="AE1804" s="17" t="s">
        <v>711</v>
      </c>
      <c r="AF1804" s="17" t="s">
        <v>245</v>
      </c>
      <c r="AG1804" s="17" t="s">
        <v>712</v>
      </c>
      <c r="AH1804" s="17" t="s">
        <v>713</v>
      </c>
    </row>
    <row r="1805" s="17" customFormat="1" hidden="1" spans="1:35">
      <c r="A1805" s="17" t="s">
        <v>34</v>
      </c>
      <c r="B1805" s="19">
        <v>835</v>
      </c>
      <c r="C1805" s="219" t="s">
        <v>706</v>
      </c>
      <c r="D1805" s="17" t="s">
        <v>52</v>
      </c>
      <c r="E1805" s="17" t="s">
        <v>187</v>
      </c>
      <c r="F1805" s="17" t="s">
        <v>54</v>
      </c>
      <c r="H1805" s="19">
        <v>1.2311</v>
      </c>
      <c r="I1805" s="19"/>
      <c r="J1805" s="17" t="s">
        <v>82</v>
      </c>
      <c r="K1805" s="19">
        <v>205</v>
      </c>
      <c r="L1805" s="19">
        <v>32</v>
      </c>
      <c r="M1805" s="19">
        <v>2300</v>
      </c>
      <c r="N1805" s="19" t="s">
        <v>66</v>
      </c>
      <c r="O1805" s="19" t="s">
        <v>141</v>
      </c>
      <c r="P1805" s="19">
        <v>1000</v>
      </c>
      <c r="Q1805" s="17">
        <v>1215</v>
      </c>
      <c r="R1805" s="17">
        <f t="shared" si="99"/>
        <v>-215</v>
      </c>
      <c r="S1805" s="17">
        <v>1030</v>
      </c>
      <c r="T1805" s="19" t="s">
        <v>42</v>
      </c>
      <c r="U1805" s="102" t="s">
        <v>707</v>
      </c>
      <c r="V1805" s="186" t="s">
        <v>708</v>
      </c>
      <c r="W1805" s="17" t="s">
        <v>69</v>
      </c>
      <c r="Y1805" s="68">
        <v>44805</v>
      </c>
      <c r="Z1805" s="17" t="s">
        <v>191</v>
      </c>
      <c r="AA1805" s="17" t="s">
        <v>46</v>
      </c>
      <c r="AB1805" s="17" t="s">
        <v>709</v>
      </c>
      <c r="AC1805" s="17" t="s">
        <v>710</v>
      </c>
      <c r="AD1805" s="65">
        <v>1340</v>
      </c>
      <c r="AE1805" s="17" t="s">
        <v>711</v>
      </c>
      <c r="AF1805" s="17" t="s">
        <v>245</v>
      </c>
      <c r="AG1805" s="17" t="s">
        <v>712</v>
      </c>
      <c r="AH1805" s="17" t="s">
        <v>713</v>
      </c>
    </row>
    <row r="1806" s="17" customFormat="1" hidden="1" spans="1:35">
      <c r="A1806" s="17" t="s">
        <v>34</v>
      </c>
      <c r="B1806" s="19">
        <v>835</v>
      </c>
      <c r="C1806" s="219" t="s">
        <v>706</v>
      </c>
      <c r="D1806" s="17" t="s">
        <v>52</v>
      </c>
      <c r="E1806" s="17" t="s">
        <v>187</v>
      </c>
      <c r="F1806" s="17" t="s">
        <v>54</v>
      </c>
      <c r="H1806" s="19">
        <v>1.2311</v>
      </c>
      <c r="I1806" s="19"/>
      <c r="J1806" s="17" t="s">
        <v>82</v>
      </c>
      <c r="K1806" s="19">
        <v>255</v>
      </c>
      <c r="L1806" s="19">
        <v>32</v>
      </c>
      <c r="M1806" s="19">
        <v>2300</v>
      </c>
      <c r="N1806" s="19" t="s">
        <v>66</v>
      </c>
      <c r="O1806" s="19" t="s">
        <v>141</v>
      </c>
      <c r="P1806" s="19">
        <v>1000</v>
      </c>
      <c r="Q1806" s="17">
        <v>1198</v>
      </c>
      <c r="R1806" s="17">
        <f t="shared" si="99"/>
        <v>-198</v>
      </c>
      <c r="S1806" s="17">
        <v>1030</v>
      </c>
      <c r="T1806" s="19" t="s">
        <v>42</v>
      </c>
      <c r="U1806" s="102" t="s">
        <v>707</v>
      </c>
      <c r="V1806" s="186" t="s">
        <v>708</v>
      </c>
      <c r="W1806" s="17" t="s">
        <v>69</v>
      </c>
      <c r="Y1806" s="68">
        <v>44805</v>
      </c>
      <c r="Z1806" s="17" t="s">
        <v>191</v>
      </c>
      <c r="AA1806" s="17" t="s">
        <v>46</v>
      </c>
      <c r="AB1806" s="17" t="s">
        <v>709</v>
      </c>
      <c r="AC1806" s="17" t="s">
        <v>710</v>
      </c>
      <c r="AD1806" s="65">
        <v>1340</v>
      </c>
      <c r="AE1806" s="17" t="s">
        <v>711</v>
      </c>
      <c r="AF1806" s="17" t="s">
        <v>245</v>
      </c>
      <c r="AG1806" s="17" t="s">
        <v>712</v>
      </c>
      <c r="AH1806" s="17" t="s">
        <v>713</v>
      </c>
    </row>
    <row r="1807" s="17" customFormat="1" hidden="1" spans="1:35">
      <c r="A1807" s="17" t="s">
        <v>34</v>
      </c>
      <c r="B1807" s="19">
        <v>835</v>
      </c>
      <c r="C1807" s="219" t="s">
        <v>706</v>
      </c>
      <c r="D1807" s="17" t="s">
        <v>52</v>
      </c>
      <c r="E1807" s="17" t="s">
        <v>187</v>
      </c>
      <c r="F1807" s="17" t="s">
        <v>54</v>
      </c>
      <c r="H1807" s="19">
        <v>1.2311</v>
      </c>
      <c r="I1807" s="19"/>
      <c r="J1807" s="17" t="s">
        <v>82</v>
      </c>
      <c r="K1807" s="19">
        <v>305</v>
      </c>
      <c r="L1807" s="19">
        <v>32</v>
      </c>
      <c r="M1807" s="19">
        <v>2300</v>
      </c>
      <c r="N1807" s="19" t="s">
        <v>66</v>
      </c>
      <c r="O1807" s="19" t="s">
        <v>141</v>
      </c>
      <c r="P1807" s="19">
        <v>1000</v>
      </c>
      <c r="Q1807" s="17">
        <v>1080</v>
      </c>
      <c r="R1807" s="17">
        <f t="shared" si="99"/>
        <v>-80</v>
      </c>
      <c r="S1807" s="17">
        <v>1030</v>
      </c>
      <c r="T1807" s="19" t="s">
        <v>42</v>
      </c>
      <c r="U1807" s="102" t="s">
        <v>707</v>
      </c>
      <c r="V1807" s="186" t="s">
        <v>708</v>
      </c>
      <c r="W1807" s="17" t="s">
        <v>69</v>
      </c>
      <c r="Y1807" s="68">
        <v>44805</v>
      </c>
      <c r="Z1807" s="17" t="s">
        <v>191</v>
      </c>
      <c r="AA1807" s="17" t="s">
        <v>46</v>
      </c>
      <c r="AB1807" s="17" t="s">
        <v>709</v>
      </c>
      <c r="AC1807" s="17" t="s">
        <v>710</v>
      </c>
      <c r="AD1807" s="65">
        <v>1340</v>
      </c>
      <c r="AE1807" s="17" t="s">
        <v>711</v>
      </c>
      <c r="AF1807" s="17" t="s">
        <v>245</v>
      </c>
      <c r="AG1807" s="17" t="s">
        <v>712</v>
      </c>
      <c r="AH1807" s="17" t="s">
        <v>713</v>
      </c>
    </row>
    <row r="1808" s="17" customFormat="1" hidden="1" spans="1:35">
      <c r="A1808" s="17" t="s">
        <v>34</v>
      </c>
      <c r="B1808" s="19">
        <v>835</v>
      </c>
      <c r="C1808" s="219" t="s">
        <v>706</v>
      </c>
      <c r="D1808" s="17" t="s">
        <v>52</v>
      </c>
      <c r="E1808" s="17" t="s">
        <v>187</v>
      </c>
      <c r="F1808" s="17" t="s">
        <v>54</v>
      </c>
      <c r="H1808" s="19">
        <v>1.2311</v>
      </c>
      <c r="I1808" s="19"/>
      <c r="J1808" s="17" t="s">
        <v>82</v>
      </c>
      <c r="K1808" s="19">
        <v>355</v>
      </c>
      <c r="L1808" s="19">
        <v>32</v>
      </c>
      <c r="M1808" s="19">
        <v>2300</v>
      </c>
      <c r="N1808" s="19" t="s">
        <v>66</v>
      </c>
      <c r="O1808" s="19" t="s">
        <v>141</v>
      </c>
      <c r="P1808" s="19">
        <v>1000</v>
      </c>
      <c r="Q1808" s="17">
        <v>1035</v>
      </c>
      <c r="R1808" s="17">
        <f t="shared" si="99"/>
        <v>-35</v>
      </c>
      <c r="S1808" s="17">
        <v>1030</v>
      </c>
      <c r="T1808" s="19" t="s">
        <v>42</v>
      </c>
      <c r="U1808" s="102" t="s">
        <v>707</v>
      </c>
      <c r="V1808" s="186" t="s">
        <v>708</v>
      </c>
      <c r="W1808" s="17" t="s">
        <v>69</v>
      </c>
      <c r="Y1808" s="68">
        <v>44805</v>
      </c>
      <c r="Z1808" s="17" t="s">
        <v>191</v>
      </c>
      <c r="AA1808" s="17" t="s">
        <v>46</v>
      </c>
      <c r="AB1808" s="17" t="s">
        <v>709</v>
      </c>
      <c r="AC1808" s="17" t="s">
        <v>710</v>
      </c>
      <c r="AD1808" s="65">
        <v>1340</v>
      </c>
      <c r="AE1808" s="17" t="s">
        <v>711</v>
      </c>
      <c r="AF1808" s="17" t="s">
        <v>245</v>
      </c>
      <c r="AG1808" s="17" t="s">
        <v>712</v>
      </c>
      <c r="AH1808" s="17" t="s">
        <v>713</v>
      </c>
    </row>
    <row r="1809" s="17" customFormat="1" hidden="1" spans="1:34">
      <c r="A1809" s="17" t="s">
        <v>34</v>
      </c>
      <c r="B1809" s="19">
        <v>835</v>
      </c>
      <c r="C1809" s="219" t="s">
        <v>706</v>
      </c>
      <c r="D1809" s="17" t="s">
        <v>52</v>
      </c>
      <c r="E1809" s="17" t="s">
        <v>187</v>
      </c>
      <c r="F1809" s="17" t="s">
        <v>54</v>
      </c>
      <c r="H1809" s="19">
        <v>1.2311</v>
      </c>
      <c r="I1809" s="19"/>
      <c r="J1809" s="17" t="s">
        <v>82</v>
      </c>
      <c r="K1809" s="19">
        <v>405</v>
      </c>
      <c r="L1809" s="19">
        <v>32</v>
      </c>
      <c r="M1809" s="19">
        <v>2300</v>
      </c>
      <c r="N1809" s="19" t="s">
        <v>66</v>
      </c>
      <c r="O1809" s="19" t="s">
        <v>141</v>
      </c>
      <c r="P1809" s="19">
        <v>1000</v>
      </c>
      <c r="Q1809" s="17">
        <v>1194</v>
      </c>
      <c r="R1809" s="17">
        <f t="shared" si="99"/>
        <v>-194</v>
      </c>
      <c r="S1809" s="17">
        <v>1030</v>
      </c>
      <c r="T1809" s="19" t="s">
        <v>42</v>
      </c>
      <c r="U1809" s="102" t="s">
        <v>707</v>
      </c>
      <c r="V1809" s="186" t="s">
        <v>708</v>
      </c>
      <c r="W1809" s="17" t="s">
        <v>69</v>
      </c>
      <c r="Y1809" s="68">
        <v>44805</v>
      </c>
      <c r="Z1809" s="17" t="s">
        <v>191</v>
      </c>
      <c r="AA1809" s="17" t="s">
        <v>46</v>
      </c>
      <c r="AB1809" s="17" t="s">
        <v>709</v>
      </c>
      <c r="AC1809" s="17" t="s">
        <v>710</v>
      </c>
      <c r="AD1809" s="65">
        <v>1340</v>
      </c>
      <c r="AE1809" s="17" t="s">
        <v>711</v>
      </c>
      <c r="AF1809" s="17" t="s">
        <v>245</v>
      </c>
      <c r="AG1809" s="17" t="s">
        <v>712</v>
      </c>
      <c r="AH1809" s="17" t="s">
        <v>713</v>
      </c>
    </row>
    <row r="1810" s="17" customFormat="1" hidden="1" spans="1:34">
      <c r="A1810" s="17" t="s">
        <v>34</v>
      </c>
      <c r="B1810" s="19">
        <v>835</v>
      </c>
      <c r="C1810" s="219" t="s">
        <v>706</v>
      </c>
      <c r="D1810" s="17" t="s">
        <v>52</v>
      </c>
      <c r="E1810" s="17" t="s">
        <v>187</v>
      </c>
      <c r="F1810" s="17" t="s">
        <v>54</v>
      </c>
      <c r="H1810" s="19">
        <v>1.2311</v>
      </c>
      <c r="I1810" s="19"/>
      <c r="J1810" s="17" t="s">
        <v>82</v>
      </c>
      <c r="K1810" s="19">
        <v>205</v>
      </c>
      <c r="L1810" s="19">
        <v>35</v>
      </c>
      <c r="M1810" s="19">
        <v>2300</v>
      </c>
      <c r="N1810" s="19" t="s">
        <v>66</v>
      </c>
      <c r="O1810" s="19" t="s">
        <v>141</v>
      </c>
      <c r="P1810" s="19">
        <v>500</v>
      </c>
      <c r="Q1810" s="17">
        <v>565</v>
      </c>
      <c r="R1810" s="17">
        <f t="shared" si="99"/>
        <v>-65</v>
      </c>
      <c r="S1810" s="17">
        <v>1030</v>
      </c>
      <c r="T1810" s="19" t="s">
        <v>42</v>
      </c>
      <c r="U1810" s="102" t="s">
        <v>707</v>
      </c>
      <c r="V1810" s="186" t="s">
        <v>708</v>
      </c>
      <c r="W1810" s="17" t="s">
        <v>69</v>
      </c>
      <c r="Y1810" s="68">
        <v>44805</v>
      </c>
      <c r="Z1810" s="17" t="s">
        <v>191</v>
      </c>
      <c r="AA1810" s="17" t="s">
        <v>46</v>
      </c>
      <c r="AB1810" s="17" t="s">
        <v>709</v>
      </c>
      <c r="AC1810" s="17" t="s">
        <v>710</v>
      </c>
      <c r="AD1810" s="65">
        <v>1340</v>
      </c>
      <c r="AE1810" s="17" t="s">
        <v>711</v>
      </c>
      <c r="AF1810" s="17" t="s">
        <v>245</v>
      </c>
      <c r="AG1810" s="17" t="s">
        <v>712</v>
      </c>
      <c r="AH1810" s="17" t="s">
        <v>713</v>
      </c>
    </row>
    <row r="1811" s="17" customFormat="1" hidden="1" spans="1:34">
      <c r="A1811" s="17" t="s">
        <v>34</v>
      </c>
      <c r="B1811" s="19">
        <v>835</v>
      </c>
      <c r="C1811" s="219" t="s">
        <v>706</v>
      </c>
      <c r="D1811" s="17" t="s">
        <v>52</v>
      </c>
      <c r="E1811" s="17" t="s">
        <v>187</v>
      </c>
      <c r="F1811" s="17" t="s">
        <v>54</v>
      </c>
      <c r="H1811" s="19">
        <v>1.2311</v>
      </c>
      <c r="I1811" s="19"/>
      <c r="J1811" s="17" t="s">
        <v>82</v>
      </c>
      <c r="K1811" s="19">
        <v>255</v>
      </c>
      <c r="L1811" s="19">
        <v>35</v>
      </c>
      <c r="M1811" s="19">
        <v>2300</v>
      </c>
      <c r="N1811" s="19" t="s">
        <v>66</v>
      </c>
      <c r="O1811" s="19" t="s">
        <v>141</v>
      </c>
      <c r="P1811" s="19">
        <v>500</v>
      </c>
      <c r="Q1811" s="17">
        <v>522</v>
      </c>
      <c r="R1811" s="17">
        <f t="shared" si="99"/>
        <v>-22</v>
      </c>
      <c r="S1811" s="17">
        <v>1030</v>
      </c>
      <c r="T1811" s="19" t="s">
        <v>42</v>
      </c>
      <c r="U1811" s="102" t="s">
        <v>707</v>
      </c>
      <c r="V1811" s="186" t="s">
        <v>708</v>
      </c>
      <c r="W1811" s="17" t="s">
        <v>69</v>
      </c>
      <c r="Y1811" s="68">
        <v>44805</v>
      </c>
      <c r="Z1811" s="17" t="s">
        <v>191</v>
      </c>
      <c r="AA1811" s="17" t="s">
        <v>46</v>
      </c>
      <c r="AB1811" s="17" t="s">
        <v>709</v>
      </c>
      <c r="AC1811" s="17" t="s">
        <v>710</v>
      </c>
      <c r="AD1811" s="65">
        <v>1340</v>
      </c>
      <c r="AE1811" s="17" t="s">
        <v>711</v>
      </c>
      <c r="AF1811" s="17" t="s">
        <v>245</v>
      </c>
      <c r="AG1811" s="17" t="s">
        <v>712</v>
      </c>
      <c r="AH1811" s="17" t="s">
        <v>713</v>
      </c>
    </row>
    <row r="1812" s="17" customFormat="1" hidden="1" spans="1:34">
      <c r="A1812" s="17" t="s">
        <v>34</v>
      </c>
      <c r="B1812" s="19">
        <v>835</v>
      </c>
      <c r="C1812" s="219" t="s">
        <v>706</v>
      </c>
      <c r="D1812" s="17" t="s">
        <v>52</v>
      </c>
      <c r="E1812" s="17" t="s">
        <v>187</v>
      </c>
      <c r="F1812" s="17" t="s">
        <v>54</v>
      </c>
      <c r="H1812" s="19">
        <v>1.2311</v>
      </c>
      <c r="I1812" s="19"/>
      <c r="J1812" s="17" t="s">
        <v>82</v>
      </c>
      <c r="K1812" s="19">
        <v>305</v>
      </c>
      <c r="L1812" s="19">
        <v>35</v>
      </c>
      <c r="M1812" s="19">
        <v>2300</v>
      </c>
      <c r="N1812" s="19" t="s">
        <v>66</v>
      </c>
      <c r="O1812" s="19" t="s">
        <v>141</v>
      </c>
      <c r="P1812" s="19">
        <v>500</v>
      </c>
      <c r="Q1812" s="17">
        <v>598</v>
      </c>
      <c r="R1812" s="17">
        <f t="shared" si="99"/>
        <v>-98</v>
      </c>
      <c r="S1812" s="17">
        <v>1030</v>
      </c>
      <c r="T1812" s="19" t="s">
        <v>42</v>
      </c>
      <c r="U1812" s="102" t="s">
        <v>707</v>
      </c>
      <c r="V1812" s="186" t="s">
        <v>708</v>
      </c>
      <c r="W1812" s="17" t="s">
        <v>69</v>
      </c>
      <c r="Y1812" s="68">
        <v>44805</v>
      </c>
      <c r="Z1812" s="17" t="s">
        <v>191</v>
      </c>
      <c r="AA1812" s="17" t="s">
        <v>46</v>
      </c>
      <c r="AB1812" s="17" t="s">
        <v>709</v>
      </c>
      <c r="AC1812" s="17" t="s">
        <v>710</v>
      </c>
      <c r="AD1812" s="65">
        <v>1340</v>
      </c>
      <c r="AE1812" s="17" t="s">
        <v>711</v>
      </c>
      <c r="AF1812" s="17" t="s">
        <v>245</v>
      </c>
      <c r="AG1812" s="17" t="s">
        <v>712</v>
      </c>
      <c r="AH1812" s="17" t="s">
        <v>713</v>
      </c>
    </row>
    <row r="1813" s="17" customFormat="1" hidden="1" spans="1:34">
      <c r="A1813" s="17" t="s">
        <v>34</v>
      </c>
      <c r="B1813" s="19">
        <v>835</v>
      </c>
      <c r="C1813" s="219" t="s">
        <v>706</v>
      </c>
      <c r="D1813" s="17" t="s">
        <v>52</v>
      </c>
      <c r="E1813" s="17" t="s">
        <v>187</v>
      </c>
      <c r="F1813" s="17" t="s">
        <v>54</v>
      </c>
      <c r="H1813" s="19">
        <v>1.2311</v>
      </c>
      <c r="I1813" s="19"/>
      <c r="J1813" s="17" t="s">
        <v>82</v>
      </c>
      <c r="K1813" s="19">
        <v>355</v>
      </c>
      <c r="L1813" s="19">
        <v>35</v>
      </c>
      <c r="M1813" s="19">
        <v>2300</v>
      </c>
      <c r="N1813" s="19" t="s">
        <v>66</v>
      </c>
      <c r="O1813" s="19" t="s">
        <v>141</v>
      </c>
      <c r="P1813" s="19">
        <v>500</v>
      </c>
      <c r="Q1813" s="17">
        <f>223+484</f>
        <v>707</v>
      </c>
      <c r="R1813" s="17">
        <f t="shared" si="99"/>
        <v>-207</v>
      </c>
      <c r="S1813" s="17">
        <v>1030</v>
      </c>
      <c r="T1813" s="19" t="s">
        <v>42</v>
      </c>
      <c r="U1813" s="102" t="s">
        <v>707</v>
      </c>
      <c r="V1813" s="186" t="s">
        <v>708</v>
      </c>
      <c r="W1813" s="17" t="s">
        <v>69</v>
      </c>
      <c r="Y1813" s="68">
        <v>44805</v>
      </c>
      <c r="Z1813" s="17" t="s">
        <v>191</v>
      </c>
      <c r="AA1813" s="17" t="s">
        <v>46</v>
      </c>
      <c r="AB1813" s="17" t="s">
        <v>709</v>
      </c>
      <c r="AC1813" s="17" t="s">
        <v>710</v>
      </c>
      <c r="AD1813" s="65">
        <v>1340</v>
      </c>
      <c r="AE1813" s="17" t="s">
        <v>711</v>
      </c>
      <c r="AF1813" s="17" t="s">
        <v>245</v>
      </c>
      <c r="AG1813" s="17" t="s">
        <v>712</v>
      </c>
      <c r="AH1813" s="17" t="s">
        <v>713</v>
      </c>
    </row>
    <row r="1814" s="17" customFormat="1" hidden="1" spans="1:34">
      <c r="A1814" s="17" t="s">
        <v>34</v>
      </c>
      <c r="B1814" s="19">
        <v>835</v>
      </c>
      <c r="C1814" s="219" t="s">
        <v>706</v>
      </c>
      <c r="D1814" s="17" t="s">
        <v>52</v>
      </c>
      <c r="E1814" s="17" t="s">
        <v>187</v>
      </c>
      <c r="F1814" s="17" t="s">
        <v>54</v>
      </c>
      <c r="H1814" s="19">
        <v>1.2311</v>
      </c>
      <c r="I1814" s="19"/>
      <c r="J1814" s="17" t="s">
        <v>82</v>
      </c>
      <c r="K1814" s="19">
        <v>405</v>
      </c>
      <c r="L1814" s="19">
        <v>35</v>
      </c>
      <c r="M1814" s="19">
        <v>2300</v>
      </c>
      <c r="N1814" s="19" t="s">
        <v>66</v>
      </c>
      <c r="O1814" s="19" t="s">
        <v>141</v>
      </c>
      <c r="P1814" s="19">
        <v>500</v>
      </c>
      <c r="Q1814" s="17">
        <v>552</v>
      </c>
      <c r="R1814" s="17">
        <f t="shared" si="99"/>
        <v>-52</v>
      </c>
      <c r="S1814" s="17">
        <v>1030</v>
      </c>
      <c r="T1814" s="19" t="s">
        <v>42</v>
      </c>
      <c r="U1814" s="102" t="s">
        <v>707</v>
      </c>
      <c r="V1814" s="186" t="s">
        <v>708</v>
      </c>
      <c r="W1814" s="17" t="s">
        <v>69</v>
      </c>
      <c r="Y1814" s="68">
        <v>44805</v>
      </c>
      <c r="Z1814" s="17" t="s">
        <v>191</v>
      </c>
      <c r="AA1814" s="17" t="s">
        <v>46</v>
      </c>
      <c r="AB1814" s="17" t="s">
        <v>709</v>
      </c>
      <c r="AC1814" s="17" t="s">
        <v>710</v>
      </c>
      <c r="AD1814" s="65">
        <v>1340</v>
      </c>
      <c r="AE1814" s="17" t="s">
        <v>711</v>
      </c>
      <c r="AF1814" s="17" t="s">
        <v>245</v>
      </c>
      <c r="AG1814" s="17" t="s">
        <v>712</v>
      </c>
      <c r="AH1814" s="17" t="s">
        <v>713</v>
      </c>
    </row>
    <row r="1815" s="17" customFormat="1" hidden="1" spans="1:34">
      <c r="A1815" s="17" t="s">
        <v>34</v>
      </c>
      <c r="B1815" s="19">
        <v>835</v>
      </c>
      <c r="C1815" s="219" t="s">
        <v>706</v>
      </c>
      <c r="D1815" s="17" t="s">
        <v>52</v>
      </c>
      <c r="E1815" s="17" t="s">
        <v>187</v>
      </c>
      <c r="F1815" s="17" t="s">
        <v>54</v>
      </c>
      <c r="H1815" s="19">
        <v>1.2311</v>
      </c>
      <c r="I1815" s="19"/>
      <c r="J1815" s="17" t="s">
        <v>82</v>
      </c>
      <c r="K1815" s="19">
        <v>205</v>
      </c>
      <c r="L1815" s="19">
        <v>40</v>
      </c>
      <c r="M1815" s="19">
        <v>2300</v>
      </c>
      <c r="N1815" s="19" t="s">
        <v>66</v>
      </c>
      <c r="O1815" s="19" t="s">
        <v>141</v>
      </c>
      <c r="P1815" s="19">
        <v>1500</v>
      </c>
      <c r="Q1815" s="17">
        <v>1570</v>
      </c>
      <c r="R1815" s="17">
        <f t="shared" si="99"/>
        <v>-70</v>
      </c>
      <c r="S1815" s="17">
        <v>1030</v>
      </c>
      <c r="T1815" s="19" t="s">
        <v>42</v>
      </c>
      <c r="U1815" s="102" t="s">
        <v>707</v>
      </c>
      <c r="V1815" s="186" t="s">
        <v>708</v>
      </c>
      <c r="W1815" s="17" t="s">
        <v>69</v>
      </c>
      <c r="Y1815" s="68">
        <v>44805</v>
      </c>
      <c r="Z1815" s="17" t="s">
        <v>191</v>
      </c>
      <c r="AA1815" s="17" t="s">
        <v>46</v>
      </c>
      <c r="AB1815" s="17" t="s">
        <v>709</v>
      </c>
      <c r="AC1815" s="17" t="s">
        <v>710</v>
      </c>
      <c r="AD1815" s="65">
        <v>1340</v>
      </c>
      <c r="AE1815" s="17" t="s">
        <v>711</v>
      </c>
      <c r="AF1815" s="17" t="s">
        <v>245</v>
      </c>
      <c r="AG1815" s="17" t="s">
        <v>712</v>
      </c>
      <c r="AH1815" s="17" t="s">
        <v>713</v>
      </c>
    </row>
    <row r="1816" s="17" customFormat="1" hidden="1" spans="1:34">
      <c r="A1816" s="17" t="s">
        <v>34</v>
      </c>
      <c r="B1816" s="19">
        <v>835</v>
      </c>
      <c r="C1816" s="219" t="s">
        <v>706</v>
      </c>
      <c r="D1816" s="17" t="s">
        <v>52</v>
      </c>
      <c r="E1816" s="17" t="s">
        <v>187</v>
      </c>
      <c r="F1816" s="17" t="s">
        <v>54</v>
      </c>
      <c r="H1816" s="19">
        <v>1.2311</v>
      </c>
      <c r="I1816" s="19"/>
      <c r="J1816" s="17" t="s">
        <v>82</v>
      </c>
      <c r="K1816" s="19">
        <v>255</v>
      </c>
      <c r="L1816" s="19">
        <v>40</v>
      </c>
      <c r="M1816" s="19">
        <v>2300</v>
      </c>
      <c r="N1816" s="19" t="s">
        <v>66</v>
      </c>
      <c r="O1816" s="19" t="s">
        <v>141</v>
      </c>
      <c r="P1816" s="19">
        <v>2500</v>
      </c>
      <c r="Q1816" s="17">
        <v>2671</v>
      </c>
      <c r="R1816" s="17">
        <f t="shared" si="99"/>
        <v>-171</v>
      </c>
      <c r="S1816" s="17">
        <v>1030</v>
      </c>
      <c r="T1816" s="19" t="s">
        <v>42</v>
      </c>
      <c r="U1816" s="102" t="s">
        <v>707</v>
      </c>
      <c r="V1816" s="186" t="s">
        <v>708</v>
      </c>
      <c r="W1816" s="17" t="s">
        <v>69</v>
      </c>
      <c r="Y1816" s="68">
        <v>44805</v>
      </c>
      <c r="Z1816" s="17" t="s">
        <v>191</v>
      </c>
      <c r="AA1816" s="17" t="s">
        <v>46</v>
      </c>
      <c r="AB1816" s="17" t="s">
        <v>709</v>
      </c>
      <c r="AC1816" s="17" t="s">
        <v>710</v>
      </c>
      <c r="AD1816" s="65">
        <v>1340</v>
      </c>
      <c r="AE1816" s="17" t="s">
        <v>711</v>
      </c>
      <c r="AF1816" s="17" t="s">
        <v>245</v>
      </c>
      <c r="AG1816" s="17" t="s">
        <v>712</v>
      </c>
      <c r="AH1816" s="17" t="s">
        <v>713</v>
      </c>
    </row>
    <row r="1817" s="17" customFormat="1" hidden="1" spans="1:34">
      <c r="A1817" s="17" t="s">
        <v>34</v>
      </c>
      <c r="B1817" s="19">
        <v>835</v>
      </c>
      <c r="C1817" s="219" t="s">
        <v>706</v>
      </c>
      <c r="D1817" s="17" t="s">
        <v>52</v>
      </c>
      <c r="E1817" s="17" t="s">
        <v>187</v>
      </c>
      <c r="F1817" s="17" t="s">
        <v>54</v>
      </c>
      <c r="H1817" s="19">
        <v>1.2311</v>
      </c>
      <c r="I1817" s="19"/>
      <c r="J1817" s="17" t="s">
        <v>82</v>
      </c>
      <c r="K1817" s="19">
        <v>305</v>
      </c>
      <c r="L1817" s="19">
        <v>40</v>
      </c>
      <c r="M1817" s="19">
        <v>2300</v>
      </c>
      <c r="N1817" s="19" t="s">
        <v>66</v>
      </c>
      <c r="O1817" s="19" t="s">
        <v>141</v>
      </c>
      <c r="P1817" s="19">
        <v>2500</v>
      </c>
      <c r="Q1817" s="17">
        <v>2757</v>
      </c>
      <c r="R1817" s="17">
        <f t="shared" si="99"/>
        <v>-257</v>
      </c>
      <c r="S1817" s="17">
        <v>1030</v>
      </c>
      <c r="T1817" s="19" t="s">
        <v>42</v>
      </c>
      <c r="U1817" s="102" t="s">
        <v>707</v>
      </c>
      <c r="V1817" s="186" t="s">
        <v>708</v>
      </c>
      <c r="W1817" s="17" t="s">
        <v>69</v>
      </c>
      <c r="Y1817" s="68">
        <v>44805</v>
      </c>
      <c r="Z1817" s="17" t="s">
        <v>191</v>
      </c>
      <c r="AA1817" s="17" t="s">
        <v>46</v>
      </c>
      <c r="AB1817" s="17" t="s">
        <v>709</v>
      </c>
      <c r="AC1817" s="17" t="s">
        <v>710</v>
      </c>
      <c r="AD1817" s="65">
        <v>1340</v>
      </c>
      <c r="AE1817" s="17" t="s">
        <v>711</v>
      </c>
      <c r="AF1817" s="17" t="s">
        <v>245</v>
      </c>
      <c r="AG1817" s="17" t="s">
        <v>712</v>
      </c>
      <c r="AH1817" s="17" t="s">
        <v>713</v>
      </c>
    </row>
    <row r="1818" s="17" customFormat="1" hidden="1" spans="1:34">
      <c r="A1818" s="17" t="s">
        <v>34</v>
      </c>
      <c r="B1818" s="19">
        <v>835</v>
      </c>
      <c r="C1818" s="219" t="s">
        <v>706</v>
      </c>
      <c r="D1818" s="17" t="s">
        <v>52</v>
      </c>
      <c r="E1818" s="17" t="s">
        <v>187</v>
      </c>
      <c r="F1818" s="17" t="s">
        <v>54</v>
      </c>
      <c r="H1818" s="19">
        <v>1.2311</v>
      </c>
      <c r="I1818" s="19"/>
      <c r="J1818" s="17" t="s">
        <v>82</v>
      </c>
      <c r="K1818" s="19">
        <v>355</v>
      </c>
      <c r="L1818" s="19">
        <v>40</v>
      </c>
      <c r="M1818" s="19">
        <v>2300</v>
      </c>
      <c r="N1818" s="19" t="s">
        <v>66</v>
      </c>
      <c r="O1818" s="19" t="s">
        <v>141</v>
      </c>
      <c r="P1818" s="19">
        <v>2000</v>
      </c>
      <c r="Q1818" s="17">
        <v>2162</v>
      </c>
      <c r="R1818" s="17">
        <f t="shared" si="99"/>
        <v>-162</v>
      </c>
      <c r="S1818" s="17">
        <v>1030</v>
      </c>
      <c r="T1818" s="19" t="s">
        <v>42</v>
      </c>
      <c r="U1818" s="102" t="s">
        <v>707</v>
      </c>
      <c r="V1818" s="186" t="s">
        <v>708</v>
      </c>
      <c r="W1818" s="17" t="s">
        <v>69</v>
      </c>
      <c r="Y1818" s="68">
        <v>44805</v>
      </c>
      <c r="Z1818" s="17" t="s">
        <v>191</v>
      </c>
      <c r="AA1818" s="17" t="s">
        <v>46</v>
      </c>
      <c r="AB1818" s="17" t="s">
        <v>709</v>
      </c>
      <c r="AC1818" s="17" t="s">
        <v>710</v>
      </c>
      <c r="AD1818" s="65">
        <v>1340</v>
      </c>
      <c r="AE1818" s="17" t="s">
        <v>711</v>
      </c>
      <c r="AF1818" s="17" t="s">
        <v>245</v>
      </c>
      <c r="AG1818" s="17" t="s">
        <v>712</v>
      </c>
      <c r="AH1818" s="17" t="s">
        <v>713</v>
      </c>
    </row>
    <row r="1819" s="17" customFormat="1" hidden="1" spans="1:34">
      <c r="A1819" s="17" t="s">
        <v>34</v>
      </c>
      <c r="B1819" s="19">
        <v>835</v>
      </c>
      <c r="C1819" s="219" t="s">
        <v>706</v>
      </c>
      <c r="D1819" s="17" t="s">
        <v>52</v>
      </c>
      <c r="E1819" s="17" t="s">
        <v>187</v>
      </c>
      <c r="F1819" s="17" t="s">
        <v>54</v>
      </c>
      <c r="H1819" s="19">
        <v>1.2311</v>
      </c>
      <c r="I1819" s="19"/>
      <c r="J1819" s="17" t="s">
        <v>82</v>
      </c>
      <c r="K1819" s="19">
        <v>405</v>
      </c>
      <c r="L1819" s="19">
        <v>40</v>
      </c>
      <c r="M1819" s="19">
        <v>2300</v>
      </c>
      <c r="N1819" s="19" t="s">
        <v>66</v>
      </c>
      <c r="O1819" s="19" t="s">
        <v>141</v>
      </c>
      <c r="P1819" s="19">
        <v>2000</v>
      </c>
      <c r="Q1819" s="17">
        <v>2113</v>
      </c>
      <c r="R1819" s="17">
        <f t="shared" si="99"/>
        <v>-113</v>
      </c>
      <c r="S1819" s="17">
        <v>1030</v>
      </c>
      <c r="T1819" s="19" t="s">
        <v>42</v>
      </c>
      <c r="U1819" s="102" t="s">
        <v>707</v>
      </c>
      <c r="V1819" s="186" t="s">
        <v>708</v>
      </c>
      <c r="W1819" s="17" t="s">
        <v>69</v>
      </c>
      <c r="Y1819" s="68">
        <v>44805</v>
      </c>
      <c r="Z1819" s="17" t="s">
        <v>191</v>
      </c>
      <c r="AA1819" s="17" t="s">
        <v>46</v>
      </c>
      <c r="AB1819" s="17" t="s">
        <v>709</v>
      </c>
      <c r="AC1819" s="17" t="s">
        <v>710</v>
      </c>
      <c r="AD1819" s="65">
        <v>1340</v>
      </c>
      <c r="AE1819" s="17" t="s">
        <v>711</v>
      </c>
      <c r="AF1819" s="17" t="s">
        <v>245</v>
      </c>
      <c r="AG1819" s="17" t="s">
        <v>712</v>
      </c>
      <c r="AH1819" s="17" t="s">
        <v>713</v>
      </c>
    </row>
    <row r="1820" s="17" customFormat="1" hidden="1" spans="1:34">
      <c r="A1820" s="17" t="s">
        <v>34</v>
      </c>
      <c r="B1820" s="19">
        <v>835</v>
      </c>
      <c r="C1820" s="219" t="s">
        <v>706</v>
      </c>
      <c r="D1820" s="17" t="s">
        <v>52</v>
      </c>
      <c r="E1820" s="17" t="s">
        <v>187</v>
      </c>
      <c r="F1820" s="17" t="s">
        <v>54</v>
      </c>
      <c r="H1820" s="19">
        <v>1.2311</v>
      </c>
      <c r="I1820" s="19"/>
      <c r="J1820" s="17" t="s">
        <v>82</v>
      </c>
      <c r="K1820" s="19">
        <v>205</v>
      </c>
      <c r="L1820" s="19">
        <v>50</v>
      </c>
      <c r="M1820" s="19">
        <v>2300</v>
      </c>
      <c r="N1820" s="19" t="s">
        <v>66</v>
      </c>
      <c r="O1820" s="19" t="s">
        <v>141</v>
      </c>
      <c r="P1820" s="19">
        <v>2000</v>
      </c>
      <c r="Q1820" s="17">
        <v>2168</v>
      </c>
      <c r="R1820" s="17">
        <f t="shared" ref="R1820:R1825" si="100">+P1820-Q1820</f>
        <v>-168</v>
      </c>
      <c r="S1820" s="17">
        <v>1030</v>
      </c>
      <c r="T1820" s="19" t="s">
        <v>42</v>
      </c>
      <c r="U1820" s="102" t="s">
        <v>707</v>
      </c>
      <c r="V1820" s="186" t="s">
        <v>708</v>
      </c>
      <c r="W1820" s="17" t="s">
        <v>69</v>
      </c>
      <c r="Y1820" s="68">
        <v>44805</v>
      </c>
      <c r="Z1820" s="17" t="s">
        <v>191</v>
      </c>
      <c r="AA1820" s="17" t="s">
        <v>46</v>
      </c>
      <c r="AB1820" s="17" t="s">
        <v>709</v>
      </c>
      <c r="AC1820" s="17" t="s">
        <v>710</v>
      </c>
      <c r="AD1820" s="65">
        <v>1340</v>
      </c>
      <c r="AE1820" s="17" t="s">
        <v>711</v>
      </c>
      <c r="AF1820" s="17" t="s">
        <v>245</v>
      </c>
      <c r="AG1820" s="17" t="s">
        <v>712</v>
      </c>
      <c r="AH1820" s="17" t="s">
        <v>713</v>
      </c>
    </row>
    <row r="1821" s="17" customFormat="1" hidden="1" spans="1:34">
      <c r="A1821" s="17" t="s">
        <v>34</v>
      </c>
      <c r="B1821" s="19">
        <v>835</v>
      </c>
      <c r="C1821" s="219" t="s">
        <v>706</v>
      </c>
      <c r="D1821" s="17" t="s">
        <v>52</v>
      </c>
      <c r="E1821" s="17" t="s">
        <v>187</v>
      </c>
      <c r="F1821" s="17" t="s">
        <v>54</v>
      </c>
      <c r="H1821" s="19">
        <v>1.2311</v>
      </c>
      <c r="I1821" s="19"/>
      <c r="J1821" s="17" t="s">
        <v>82</v>
      </c>
      <c r="K1821" s="19">
        <v>255</v>
      </c>
      <c r="L1821" s="19">
        <v>50</v>
      </c>
      <c r="M1821" s="19">
        <v>2300</v>
      </c>
      <c r="N1821" s="19" t="s">
        <v>66</v>
      </c>
      <c r="O1821" s="19" t="s">
        <v>141</v>
      </c>
      <c r="P1821" s="19">
        <v>2500</v>
      </c>
      <c r="Q1821" s="17">
        <v>2652</v>
      </c>
      <c r="R1821" s="17">
        <f t="shared" si="100"/>
        <v>-152</v>
      </c>
      <c r="S1821" s="17">
        <v>1030</v>
      </c>
      <c r="T1821" s="19" t="s">
        <v>42</v>
      </c>
      <c r="U1821" s="102" t="s">
        <v>707</v>
      </c>
      <c r="V1821" s="186" t="s">
        <v>708</v>
      </c>
      <c r="W1821" s="17" t="s">
        <v>69</v>
      </c>
      <c r="Y1821" s="68">
        <v>44805</v>
      </c>
      <c r="Z1821" s="17" t="s">
        <v>191</v>
      </c>
      <c r="AA1821" s="17" t="s">
        <v>46</v>
      </c>
      <c r="AB1821" s="17" t="s">
        <v>709</v>
      </c>
      <c r="AC1821" s="17" t="s">
        <v>710</v>
      </c>
      <c r="AD1821" s="65">
        <v>1340</v>
      </c>
      <c r="AE1821" s="17" t="s">
        <v>711</v>
      </c>
      <c r="AF1821" s="17" t="s">
        <v>245</v>
      </c>
      <c r="AG1821" s="17" t="s">
        <v>712</v>
      </c>
      <c r="AH1821" s="17" t="s">
        <v>713</v>
      </c>
    </row>
    <row r="1822" s="17" customFormat="1" hidden="1" spans="1:34">
      <c r="A1822" s="17" t="s">
        <v>34</v>
      </c>
      <c r="B1822" s="19">
        <v>835</v>
      </c>
      <c r="C1822" s="219" t="s">
        <v>706</v>
      </c>
      <c r="D1822" s="17" t="s">
        <v>52</v>
      </c>
      <c r="E1822" s="17" t="s">
        <v>187</v>
      </c>
      <c r="F1822" s="17" t="s">
        <v>54</v>
      </c>
      <c r="H1822" s="19">
        <v>1.2311</v>
      </c>
      <c r="I1822" s="19"/>
      <c r="J1822" s="17" t="s">
        <v>82</v>
      </c>
      <c r="K1822" s="19">
        <v>305</v>
      </c>
      <c r="L1822" s="19">
        <v>50</v>
      </c>
      <c r="M1822" s="19">
        <v>2300</v>
      </c>
      <c r="N1822" s="19" t="s">
        <v>66</v>
      </c>
      <c r="O1822" s="19" t="s">
        <v>141</v>
      </c>
      <c r="P1822" s="19">
        <v>2500</v>
      </c>
      <c r="Q1822" s="17">
        <v>2602</v>
      </c>
      <c r="R1822" s="17">
        <f t="shared" si="100"/>
        <v>-102</v>
      </c>
      <c r="S1822" s="17">
        <v>1030</v>
      </c>
      <c r="T1822" s="19" t="s">
        <v>42</v>
      </c>
      <c r="U1822" s="102" t="s">
        <v>707</v>
      </c>
      <c r="V1822" s="186" t="s">
        <v>708</v>
      </c>
      <c r="W1822" s="17" t="s">
        <v>69</v>
      </c>
      <c r="Y1822" s="68">
        <v>44805</v>
      </c>
      <c r="Z1822" s="17" t="s">
        <v>191</v>
      </c>
      <c r="AA1822" s="17" t="s">
        <v>46</v>
      </c>
      <c r="AB1822" s="17" t="s">
        <v>709</v>
      </c>
      <c r="AC1822" s="17" t="s">
        <v>710</v>
      </c>
      <c r="AD1822" s="65">
        <v>1340</v>
      </c>
      <c r="AE1822" s="17" t="s">
        <v>711</v>
      </c>
      <c r="AF1822" s="17" t="s">
        <v>245</v>
      </c>
      <c r="AG1822" s="17" t="s">
        <v>712</v>
      </c>
      <c r="AH1822" s="17" t="s">
        <v>713</v>
      </c>
    </row>
    <row r="1823" s="17" customFormat="1" hidden="1" spans="1:34">
      <c r="A1823" s="17" t="s">
        <v>34</v>
      </c>
      <c r="B1823" s="19">
        <v>835</v>
      </c>
      <c r="C1823" s="219" t="s">
        <v>706</v>
      </c>
      <c r="D1823" s="17" t="s">
        <v>52</v>
      </c>
      <c r="E1823" s="17" t="s">
        <v>187</v>
      </c>
      <c r="F1823" s="17" t="s">
        <v>54</v>
      </c>
      <c r="H1823" s="19">
        <v>1.2311</v>
      </c>
      <c r="I1823" s="19"/>
      <c r="J1823" s="17" t="s">
        <v>82</v>
      </c>
      <c r="K1823" s="19">
        <v>355</v>
      </c>
      <c r="L1823" s="19">
        <v>50</v>
      </c>
      <c r="M1823" s="19">
        <v>2300</v>
      </c>
      <c r="N1823" s="19" t="s">
        <v>66</v>
      </c>
      <c r="O1823" s="19" t="s">
        <v>141</v>
      </c>
      <c r="P1823" s="19">
        <v>2000</v>
      </c>
      <c r="Q1823" s="17">
        <v>2012</v>
      </c>
      <c r="R1823" s="17">
        <f t="shared" si="100"/>
        <v>-12</v>
      </c>
      <c r="S1823" s="17">
        <v>1030</v>
      </c>
      <c r="T1823" s="19" t="s">
        <v>42</v>
      </c>
      <c r="U1823" s="102" t="s">
        <v>707</v>
      </c>
      <c r="V1823" s="186" t="s">
        <v>708</v>
      </c>
      <c r="W1823" s="17" t="s">
        <v>69</v>
      </c>
      <c r="Y1823" s="68">
        <v>44805</v>
      </c>
      <c r="Z1823" s="17" t="s">
        <v>191</v>
      </c>
      <c r="AA1823" s="17" t="s">
        <v>46</v>
      </c>
      <c r="AB1823" s="17" t="s">
        <v>709</v>
      </c>
      <c r="AC1823" s="17" t="s">
        <v>710</v>
      </c>
      <c r="AD1823" s="65">
        <v>1340</v>
      </c>
      <c r="AE1823" s="17" t="s">
        <v>711</v>
      </c>
      <c r="AF1823" s="17" t="s">
        <v>245</v>
      </c>
      <c r="AG1823" s="17" t="s">
        <v>712</v>
      </c>
      <c r="AH1823" s="17" t="s">
        <v>713</v>
      </c>
    </row>
    <row r="1824" s="17" customFormat="1" hidden="1" spans="1:34">
      <c r="A1824" s="17" t="s">
        <v>34</v>
      </c>
      <c r="B1824" s="19">
        <v>835</v>
      </c>
      <c r="C1824" s="219" t="s">
        <v>706</v>
      </c>
      <c r="D1824" s="17" t="s">
        <v>52</v>
      </c>
      <c r="E1824" s="17" t="s">
        <v>187</v>
      </c>
      <c r="F1824" s="17" t="s">
        <v>54</v>
      </c>
      <c r="H1824" s="19">
        <v>1.2311</v>
      </c>
      <c r="I1824" s="19"/>
      <c r="J1824" s="17" t="s">
        <v>82</v>
      </c>
      <c r="K1824" s="19">
        <v>405</v>
      </c>
      <c r="L1824" s="19">
        <v>50</v>
      </c>
      <c r="M1824" s="19">
        <v>2300</v>
      </c>
      <c r="N1824" s="19" t="s">
        <v>66</v>
      </c>
      <c r="O1824" s="19" t="s">
        <v>141</v>
      </c>
      <c r="P1824" s="19">
        <v>2000</v>
      </c>
      <c r="Q1824" s="17">
        <v>2293</v>
      </c>
      <c r="R1824" s="17">
        <f t="shared" si="100"/>
        <v>-293</v>
      </c>
      <c r="S1824" s="17">
        <v>1030</v>
      </c>
      <c r="T1824" s="19" t="s">
        <v>42</v>
      </c>
      <c r="U1824" s="102" t="s">
        <v>707</v>
      </c>
      <c r="V1824" s="186" t="s">
        <v>708</v>
      </c>
      <c r="W1824" s="17" t="s">
        <v>69</v>
      </c>
      <c r="Y1824" s="68">
        <v>44805</v>
      </c>
      <c r="Z1824" s="17" t="s">
        <v>191</v>
      </c>
      <c r="AA1824" s="17" t="s">
        <v>46</v>
      </c>
      <c r="AB1824" s="17" t="s">
        <v>709</v>
      </c>
      <c r="AC1824" s="17" t="s">
        <v>710</v>
      </c>
      <c r="AD1824" s="65">
        <v>1340</v>
      </c>
      <c r="AE1824" s="17" t="s">
        <v>711</v>
      </c>
      <c r="AF1824" s="17" t="s">
        <v>245</v>
      </c>
      <c r="AG1824" s="17" t="s">
        <v>712</v>
      </c>
      <c r="AH1824" s="17" t="s">
        <v>713</v>
      </c>
    </row>
    <row r="1825" s="17" customFormat="1" hidden="1" spans="1:34">
      <c r="A1825" s="17" t="s">
        <v>34</v>
      </c>
      <c r="B1825" s="19">
        <v>835</v>
      </c>
      <c r="C1825" s="219" t="s">
        <v>706</v>
      </c>
      <c r="D1825" s="17" t="s">
        <v>52</v>
      </c>
      <c r="E1825" s="17" t="s">
        <v>187</v>
      </c>
      <c r="F1825" s="17" t="s">
        <v>54</v>
      </c>
      <c r="H1825" s="19">
        <v>1.2311</v>
      </c>
      <c r="I1825" s="19"/>
      <c r="J1825" s="17" t="s">
        <v>82</v>
      </c>
      <c r="K1825" s="19">
        <v>205</v>
      </c>
      <c r="L1825" s="19">
        <v>65</v>
      </c>
      <c r="M1825" s="19">
        <v>2300</v>
      </c>
      <c r="N1825" s="19" t="s">
        <v>66</v>
      </c>
      <c r="O1825" s="19" t="s">
        <v>141</v>
      </c>
      <c r="P1825" s="19">
        <v>2000</v>
      </c>
      <c r="Q1825" s="17">
        <v>2027</v>
      </c>
      <c r="R1825" s="17">
        <f t="shared" si="100"/>
        <v>-27</v>
      </c>
      <c r="S1825" s="17">
        <v>1030</v>
      </c>
      <c r="T1825" s="19" t="s">
        <v>42</v>
      </c>
      <c r="U1825" s="102" t="s">
        <v>707</v>
      </c>
      <c r="V1825" s="186" t="s">
        <v>708</v>
      </c>
      <c r="W1825" s="17" t="s">
        <v>69</v>
      </c>
      <c r="Y1825" s="68">
        <v>44805</v>
      </c>
      <c r="Z1825" s="17" t="s">
        <v>191</v>
      </c>
      <c r="AA1825" s="17" t="s">
        <v>46</v>
      </c>
      <c r="AB1825" s="17" t="s">
        <v>709</v>
      </c>
      <c r="AC1825" s="17" t="s">
        <v>710</v>
      </c>
      <c r="AD1825" s="65">
        <v>1340</v>
      </c>
      <c r="AE1825" s="17" t="s">
        <v>711</v>
      </c>
      <c r="AF1825" s="17" t="s">
        <v>245</v>
      </c>
      <c r="AG1825" s="17" t="s">
        <v>712</v>
      </c>
      <c r="AH1825" s="17" t="s">
        <v>713</v>
      </c>
    </row>
    <row r="1826" s="17" customFormat="1" hidden="1" spans="1:34">
      <c r="A1826" s="17" t="s">
        <v>34</v>
      </c>
      <c r="B1826" s="19">
        <v>835</v>
      </c>
      <c r="C1826" s="219" t="s">
        <v>706</v>
      </c>
      <c r="D1826" s="17" t="s">
        <v>52</v>
      </c>
      <c r="E1826" s="17" t="s">
        <v>187</v>
      </c>
      <c r="F1826" s="17" t="s">
        <v>54</v>
      </c>
      <c r="H1826" s="19">
        <v>1.2311</v>
      </c>
      <c r="I1826" s="19"/>
      <c r="J1826" s="17" t="s">
        <v>82</v>
      </c>
      <c r="K1826" s="19">
        <v>255</v>
      </c>
      <c r="L1826" s="19">
        <v>65</v>
      </c>
      <c r="M1826" s="19">
        <v>2300</v>
      </c>
      <c r="N1826" s="19" t="s">
        <v>66</v>
      </c>
      <c r="O1826" s="19" t="s">
        <v>141</v>
      </c>
      <c r="P1826" s="19">
        <v>2500</v>
      </c>
      <c r="Q1826" s="17">
        <v>1560</v>
      </c>
      <c r="S1826" s="17">
        <v>1030</v>
      </c>
      <c r="T1826" s="19" t="s">
        <v>42</v>
      </c>
      <c r="U1826" s="102" t="s">
        <v>707</v>
      </c>
      <c r="V1826" s="186" t="s">
        <v>708</v>
      </c>
      <c r="W1826" s="17" t="s">
        <v>69</v>
      </c>
      <c r="Y1826" s="68">
        <v>44805</v>
      </c>
      <c r="Z1826" s="17" t="s">
        <v>191</v>
      </c>
      <c r="AA1826" s="17" t="s">
        <v>46</v>
      </c>
      <c r="AB1826" s="17" t="s">
        <v>709</v>
      </c>
      <c r="AC1826" s="17" t="s">
        <v>710</v>
      </c>
      <c r="AD1826" s="65">
        <v>1340</v>
      </c>
      <c r="AE1826" s="17" t="s">
        <v>711</v>
      </c>
      <c r="AF1826" s="17" t="s">
        <v>245</v>
      </c>
      <c r="AG1826" s="17" t="s">
        <v>712</v>
      </c>
      <c r="AH1826" s="17" t="s">
        <v>713</v>
      </c>
    </row>
    <row r="1827" s="17" customFormat="1" hidden="1" spans="1:34">
      <c r="A1827" s="17" t="s">
        <v>34</v>
      </c>
      <c r="B1827" s="19">
        <v>835</v>
      </c>
      <c r="C1827" s="219" t="s">
        <v>706</v>
      </c>
      <c r="D1827" s="17" t="s">
        <v>52</v>
      </c>
      <c r="E1827" s="17" t="s">
        <v>187</v>
      </c>
      <c r="F1827" s="17" t="s">
        <v>54</v>
      </c>
      <c r="H1827" s="19">
        <v>1.2311</v>
      </c>
      <c r="I1827" s="19"/>
      <c r="J1827" s="17" t="s">
        <v>82</v>
      </c>
      <c r="K1827" s="19">
        <v>255</v>
      </c>
      <c r="L1827" s="19">
        <v>65</v>
      </c>
      <c r="M1827" s="19">
        <v>2300</v>
      </c>
      <c r="N1827" s="19" t="s">
        <v>66</v>
      </c>
      <c r="O1827" s="19" t="s">
        <v>141</v>
      </c>
      <c r="P1827" s="19"/>
      <c r="Q1827" s="19">
        <f>312+314+314</f>
        <v>940</v>
      </c>
      <c r="R1827" s="19">
        <f>+P1826-Q1826-Q1827</f>
        <v>0</v>
      </c>
      <c r="S1827" s="19">
        <v>1030</v>
      </c>
      <c r="T1827" s="19" t="s">
        <v>42</v>
      </c>
      <c r="U1827" s="102" t="s">
        <v>707</v>
      </c>
      <c r="V1827" s="186" t="s">
        <v>708</v>
      </c>
      <c r="W1827" s="17" t="s">
        <v>69</v>
      </c>
      <c r="Y1827" s="68">
        <v>44805</v>
      </c>
      <c r="Z1827" s="17" t="s">
        <v>191</v>
      </c>
      <c r="AA1827" s="17" t="s">
        <v>46</v>
      </c>
      <c r="AB1827" s="17" t="s">
        <v>575</v>
      </c>
      <c r="AC1827" s="17" t="s">
        <v>576</v>
      </c>
      <c r="AD1827" s="65">
        <v>1350</v>
      </c>
      <c r="AE1827" s="17" t="s">
        <v>711</v>
      </c>
      <c r="AF1827" s="17" t="s">
        <v>245</v>
      </c>
      <c r="AG1827" s="17" t="s">
        <v>712</v>
      </c>
      <c r="AH1827" s="17" t="s">
        <v>714</v>
      </c>
    </row>
    <row r="1828" s="17" customFormat="1" hidden="1" spans="1:34">
      <c r="A1828" s="17" t="s">
        <v>34</v>
      </c>
      <c r="B1828" s="19">
        <v>835</v>
      </c>
      <c r="C1828" s="219" t="s">
        <v>706</v>
      </c>
      <c r="D1828" s="17" t="s">
        <v>52</v>
      </c>
      <c r="E1828" s="17" t="s">
        <v>187</v>
      </c>
      <c r="F1828" s="17" t="s">
        <v>54</v>
      </c>
      <c r="H1828" s="19">
        <v>1.2311</v>
      </c>
      <c r="I1828" s="19"/>
      <c r="J1828" s="17" t="s">
        <v>82</v>
      </c>
      <c r="K1828" s="19">
        <v>305</v>
      </c>
      <c r="L1828" s="19">
        <v>65</v>
      </c>
      <c r="M1828" s="19">
        <v>2300</v>
      </c>
      <c r="N1828" s="19" t="s">
        <v>66</v>
      </c>
      <c r="O1828" s="19" t="s">
        <v>141</v>
      </c>
      <c r="P1828" s="19">
        <v>2500</v>
      </c>
      <c r="Q1828" s="17">
        <v>1874</v>
      </c>
      <c r="S1828" s="17">
        <v>1030</v>
      </c>
      <c r="T1828" s="19" t="s">
        <v>42</v>
      </c>
      <c r="U1828" s="102" t="s">
        <v>707</v>
      </c>
      <c r="V1828" s="186" t="s">
        <v>708</v>
      </c>
      <c r="W1828" s="17" t="s">
        <v>69</v>
      </c>
      <c r="Y1828" s="68">
        <v>44805</v>
      </c>
      <c r="Z1828" s="17" t="s">
        <v>191</v>
      </c>
      <c r="AA1828" s="17" t="s">
        <v>46</v>
      </c>
      <c r="AB1828" s="17" t="s">
        <v>709</v>
      </c>
      <c r="AC1828" s="17" t="s">
        <v>710</v>
      </c>
      <c r="AD1828" s="65">
        <v>1340</v>
      </c>
      <c r="AE1828" s="17" t="s">
        <v>711</v>
      </c>
      <c r="AF1828" s="17" t="s">
        <v>245</v>
      </c>
      <c r="AG1828" s="17" t="s">
        <v>712</v>
      </c>
      <c r="AH1828" s="17" t="s">
        <v>715</v>
      </c>
    </row>
    <row r="1829" s="17" customFormat="1" hidden="1" spans="1:34">
      <c r="A1829" s="17" t="s">
        <v>34</v>
      </c>
      <c r="B1829" s="19">
        <v>835</v>
      </c>
      <c r="C1829" s="219" t="s">
        <v>706</v>
      </c>
      <c r="D1829" s="17" t="s">
        <v>52</v>
      </c>
      <c r="E1829" s="17" t="s">
        <v>187</v>
      </c>
      <c r="F1829" s="17" t="s">
        <v>54</v>
      </c>
      <c r="H1829" s="19">
        <v>1.2311</v>
      </c>
      <c r="I1829" s="19"/>
      <c r="J1829" s="17" t="s">
        <v>82</v>
      </c>
      <c r="K1829" s="19">
        <v>305</v>
      </c>
      <c r="L1829" s="19">
        <v>65</v>
      </c>
      <c r="M1829" s="19">
        <v>2300</v>
      </c>
      <c r="N1829" s="19" t="s">
        <v>66</v>
      </c>
      <c r="O1829" s="19" t="s">
        <v>141</v>
      </c>
      <c r="P1829" s="19"/>
      <c r="Q1829" s="19">
        <f>359+359</f>
        <v>718</v>
      </c>
      <c r="R1829" s="19">
        <f>+P1828-Q1828-Q1829</f>
        <v>-92</v>
      </c>
      <c r="S1829" s="19">
        <v>1030</v>
      </c>
      <c r="T1829" s="19" t="s">
        <v>42</v>
      </c>
      <c r="U1829" s="102" t="s">
        <v>707</v>
      </c>
      <c r="V1829" s="186" t="s">
        <v>708</v>
      </c>
      <c r="W1829" s="17" t="s">
        <v>69</v>
      </c>
      <c r="Y1829" s="68">
        <v>44805</v>
      </c>
      <c r="Z1829" s="17" t="s">
        <v>191</v>
      </c>
      <c r="AA1829" s="17" t="s">
        <v>46</v>
      </c>
      <c r="AB1829" s="17" t="s">
        <v>575</v>
      </c>
      <c r="AC1829" s="17" t="s">
        <v>576</v>
      </c>
      <c r="AD1829" s="65">
        <v>1350</v>
      </c>
      <c r="AE1829" s="17" t="s">
        <v>711</v>
      </c>
      <c r="AF1829" s="17" t="s">
        <v>245</v>
      </c>
      <c r="AG1829" s="17" t="s">
        <v>712</v>
      </c>
      <c r="AH1829" s="17" t="s">
        <v>716</v>
      </c>
    </row>
    <row r="1830" s="17" customFormat="1" hidden="1" spans="1:34">
      <c r="A1830" s="17" t="s">
        <v>34</v>
      </c>
      <c r="B1830" s="19">
        <v>835</v>
      </c>
      <c r="C1830" s="219" t="s">
        <v>706</v>
      </c>
      <c r="D1830" s="17" t="s">
        <v>52</v>
      </c>
      <c r="E1830" s="17" t="s">
        <v>187</v>
      </c>
      <c r="F1830" s="17" t="s">
        <v>54</v>
      </c>
      <c r="H1830" s="19">
        <v>1.2311</v>
      </c>
      <c r="I1830" s="19"/>
      <c r="J1830" s="17" t="s">
        <v>82</v>
      </c>
      <c r="K1830" s="19">
        <v>355</v>
      </c>
      <c r="L1830" s="19">
        <v>65</v>
      </c>
      <c r="M1830" s="19">
        <v>2300</v>
      </c>
      <c r="N1830" s="19" t="s">
        <v>66</v>
      </c>
      <c r="O1830" s="19" t="s">
        <v>141</v>
      </c>
      <c r="P1830" s="19">
        <v>2000</v>
      </c>
      <c r="Q1830" s="17">
        <v>2175</v>
      </c>
      <c r="R1830" s="17">
        <f t="shared" ref="R1830:R1849" si="101">+P1830-Q1830</f>
        <v>-175</v>
      </c>
      <c r="S1830" s="17">
        <v>1030</v>
      </c>
      <c r="T1830" s="19" t="s">
        <v>42</v>
      </c>
      <c r="U1830" s="102" t="s">
        <v>707</v>
      </c>
      <c r="V1830" s="186" t="s">
        <v>708</v>
      </c>
      <c r="W1830" s="17" t="s">
        <v>69</v>
      </c>
      <c r="Y1830" s="68">
        <v>44805</v>
      </c>
      <c r="Z1830" s="17" t="s">
        <v>191</v>
      </c>
      <c r="AA1830" s="17" t="s">
        <v>46</v>
      </c>
      <c r="AB1830" s="17" t="s">
        <v>709</v>
      </c>
      <c r="AC1830" s="17" t="s">
        <v>710</v>
      </c>
      <c r="AD1830" s="65">
        <v>1340</v>
      </c>
      <c r="AE1830" s="17" t="s">
        <v>711</v>
      </c>
      <c r="AF1830" s="17" t="s">
        <v>245</v>
      </c>
      <c r="AG1830" s="17" t="s">
        <v>712</v>
      </c>
      <c r="AH1830" s="17" t="s">
        <v>713</v>
      </c>
    </row>
    <row r="1831" s="17" customFormat="1" hidden="1" spans="1:34">
      <c r="A1831" s="17" t="s">
        <v>34</v>
      </c>
      <c r="B1831" s="19">
        <v>835</v>
      </c>
      <c r="C1831" s="219" t="s">
        <v>706</v>
      </c>
      <c r="D1831" s="17" t="s">
        <v>52</v>
      </c>
      <c r="E1831" s="17" t="s">
        <v>187</v>
      </c>
      <c r="F1831" s="17" t="s">
        <v>54</v>
      </c>
      <c r="H1831" s="19">
        <v>1.2311</v>
      </c>
      <c r="I1831" s="19"/>
      <c r="J1831" s="17" t="s">
        <v>82</v>
      </c>
      <c r="K1831" s="19">
        <v>405</v>
      </c>
      <c r="L1831" s="19">
        <v>65</v>
      </c>
      <c r="M1831" s="19">
        <v>2300</v>
      </c>
      <c r="N1831" s="19" t="s">
        <v>66</v>
      </c>
      <c r="O1831" s="19" t="s">
        <v>141</v>
      </c>
      <c r="P1831" s="19">
        <v>2000</v>
      </c>
      <c r="Q1831" s="17">
        <v>1993</v>
      </c>
      <c r="R1831" s="17">
        <f t="shared" si="101"/>
        <v>7</v>
      </c>
      <c r="S1831" s="17">
        <v>1030</v>
      </c>
      <c r="T1831" s="19" t="s">
        <v>42</v>
      </c>
      <c r="U1831" s="102" t="s">
        <v>707</v>
      </c>
      <c r="V1831" s="186" t="s">
        <v>708</v>
      </c>
      <c r="W1831" s="17" t="s">
        <v>69</v>
      </c>
      <c r="Y1831" s="68">
        <v>44805</v>
      </c>
      <c r="Z1831" s="17" t="s">
        <v>191</v>
      </c>
      <c r="AA1831" s="17" t="s">
        <v>46</v>
      </c>
      <c r="AB1831" s="17" t="s">
        <v>709</v>
      </c>
      <c r="AC1831" s="17" t="s">
        <v>710</v>
      </c>
      <c r="AD1831" s="65">
        <v>1340</v>
      </c>
      <c r="AE1831" s="17" t="s">
        <v>711</v>
      </c>
      <c r="AF1831" s="17" t="s">
        <v>245</v>
      </c>
      <c r="AG1831" s="17" t="s">
        <v>712</v>
      </c>
      <c r="AH1831" s="17" t="s">
        <v>713</v>
      </c>
    </row>
    <row r="1832" s="17" customFormat="1" hidden="1" spans="1:34">
      <c r="A1832" s="17" t="s">
        <v>34</v>
      </c>
      <c r="B1832" s="19">
        <v>835</v>
      </c>
      <c r="C1832" s="219" t="s">
        <v>706</v>
      </c>
      <c r="D1832" s="17" t="s">
        <v>52</v>
      </c>
      <c r="E1832" s="17" t="s">
        <v>187</v>
      </c>
      <c r="F1832" s="17" t="s">
        <v>54</v>
      </c>
      <c r="H1832" s="19">
        <v>1.2311</v>
      </c>
      <c r="I1832" s="19"/>
      <c r="J1832" s="17" t="s">
        <v>82</v>
      </c>
      <c r="K1832" s="19">
        <v>205</v>
      </c>
      <c r="L1832" s="19">
        <v>80</v>
      </c>
      <c r="M1832" s="19">
        <v>2300</v>
      </c>
      <c r="N1832" s="19" t="s">
        <v>66</v>
      </c>
      <c r="O1832" s="19" t="s">
        <v>141</v>
      </c>
      <c r="P1832" s="19">
        <v>1000</v>
      </c>
      <c r="Q1832" s="17">
        <v>891</v>
      </c>
      <c r="R1832" s="17">
        <f t="shared" si="101"/>
        <v>109</v>
      </c>
      <c r="S1832" s="17">
        <v>1030</v>
      </c>
      <c r="T1832" s="19" t="s">
        <v>42</v>
      </c>
      <c r="U1832" s="102" t="s">
        <v>707</v>
      </c>
      <c r="V1832" s="186" t="s">
        <v>708</v>
      </c>
      <c r="W1832" s="17" t="s">
        <v>69</v>
      </c>
      <c r="Y1832" s="68">
        <v>44805</v>
      </c>
      <c r="Z1832" s="17" t="s">
        <v>191</v>
      </c>
      <c r="AA1832" s="17" t="s">
        <v>46</v>
      </c>
      <c r="AB1832" s="17" t="s">
        <v>709</v>
      </c>
      <c r="AC1832" s="17" t="s">
        <v>710</v>
      </c>
      <c r="AD1832" s="65">
        <v>1340</v>
      </c>
      <c r="AE1832" s="17" t="s">
        <v>711</v>
      </c>
      <c r="AF1832" s="17" t="s">
        <v>245</v>
      </c>
      <c r="AG1832" s="17" t="s">
        <v>712</v>
      </c>
      <c r="AH1832" s="17" t="s">
        <v>713</v>
      </c>
    </row>
    <row r="1833" s="17" customFormat="1" hidden="1" spans="1:34">
      <c r="A1833" s="17" t="s">
        <v>34</v>
      </c>
      <c r="B1833" s="19">
        <v>835</v>
      </c>
      <c r="C1833" s="219" t="s">
        <v>706</v>
      </c>
      <c r="D1833" s="17" t="s">
        <v>52</v>
      </c>
      <c r="E1833" s="17" t="s">
        <v>187</v>
      </c>
      <c r="F1833" s="17" t="s">
        <v>54</v>
      </c>
      <c r="H1833" s="19">
        <v>1.2311</v>
      </c>
      <c r="I1833" s="19"/>
      <c r="J1833" s="17" t="s">
        <v>82</v>
      </c>
      <c r="K1833" s="19">
        <v>255</v>
      </c>
      <c r="L1833" s="19">
        <v>80</v>
      </c>
      <c r="M1833" s="19">
        <v>2300</v>
      </c>
      <c r="N1833" s="19" t="s">
        <v>66</v>
      </c>
      <c r="O1833" s="19" t="s">
        <v>141</v>
      </c>
      <c r="P1833" s="19">
        <v>1000</v>
      </c>
      <c r="Q1833" s="17">
        <v>732</v>
      </c>
      <c r="R1833" s="17">
        <f t="shared" si="101"/>
        <v>268</v>
      </c>
      <c r="S1833" s="17">
        <v>1030</v>
      </c>
      <c r="T1833" s="19" t="s">
        <v>42</v>
      </c>
      <c r="U1833" s="102" t="s">
        <v>707</v>
      </c>
      <c r="V1833" s="186" t="s">
        <v>708</v>
      </c>
      <c r="W1833" s="17" t="s">
        <v>69</v>
      </c>
      <c r="Y1833" s="68">
        <v>44805</v>
      </c>
      <c r="Z1833" s="17" t="s">
        <v>191</v>
      </c>
      <c r="AA1833" s="17" t="s">
        <v>46</v>
      </c>
      <c r="AB1833" s="17" t="s">
        <v>709</v>
      </c>
      <c r="AC1833" s="17" t="s">
        <v>710</v>
      </c>
      <c r="AD1833" s="65">
        <v>1340</v>
      </c>
      <c r="AE1833" s="17" t="s">
        <v>711</v>
      </c>
      <c r="AF1833" s="17" t="s">
        <v>245</v>
      </c>
      <c r="AG1833" s="17" t="s">
        <v>712</v>
      </c>
      <c r="AH1833" s="17" t="s">
        <v>713</v>
      </c>
    </row>
    <row r="1834" s="17" customFormat="1" hidden="1" spans="1:34">
      <c r="A1834" s="17" t="s">
        <v>34</v>
      </c>
      <c r="B1834" s="19">
        <v>835</v>
      </c>
      <c r="C1834" s="219" t="s">
        <v>706</v>
      </c>
      <c r="D1834" s="17" t="s">
        <v>52</v>
      </c>
      <c r="E1834" s="17" t="s">
        <v>187</v>
      </c>
      <c r="F1834" s="17" t="s">
        <v>54</v>
      </c>
      <c r="H1834" s="19">
        <v>1.2311</v>
      </c>
      <c r="I1834" s="19"/>
      <c r="J1834" s="17" t="s">
        <v>82</v>
      </c>
      <c r="K1834" s="19">
        <v>305</v>
      </c>
      <c r="L1834" s="19">
        <v>80</v>
      </c>
      <c r="M1834" s="19">
        <v>2300</v>
      </c>
      <c r="N1834" s="19" t="s">
        <v>66</v>
      </c>
      <c r="O1834" s="19" t="s">
        <v>141</v>
      </c>
      <c r="P1834" s="19">
        <v>1000</v>
      </c>
      <c r="Q1834" s="17">
        <v>881</v>
      </c>
      <c r="R1834" s="17">
        <f t="shared" si="101"/>
        <v>119</v>
      </c>
      <c r="S1834" s="17">
        <v>1030</v>
      </c>
      <c r="T1834" s="19" t="s">
        <v>42</v>
      </c>
      <c r="U1834" s="102" t="s">
        <v>707</v>
      </c>
      <c r="V1834" s="186" t="s">
        <v>708</v>
      </c>
      <c r="W1834" s="17" t="s">
        <v>69</v>
      </c>
      <c r="Y1834" s="68">
        <v>44805</v>
      </c>
      <c r="Z1834" s="17" t="s">
        <v>191</v>
      </c>
      <c r="AA1834" s="17" t="s">
        <v>46</v>
      </c>
      <c r="AB1834" s="17" t="s">
        <v>709</v>
      </c>
      <c r="AC1834" s="17" t="s">
        <v>710</v>
      </c>
      <c r="AD1834" s="65">
        <v>1340</v>
      </c>
      <c r="AE1834" s="17" t="s">
        <v>711</v>
      </c>
      <c r="AF1834" s="17" t="s">
        <v>245</v>
      </c>
      <c r="AG1834" s="17" t="s">
        <v>712</v>
      </c>
      <c r="AH1834" s="17" t="s">
        <v>713</v>
      </c>
    </row>
    <row r="1835" s="17" customFormat="1" hidden="1" spans="1:34">
      <c r="A1835" s="17" t="s">
        <v>34</v>
      </c>
      <c r="B1835" s="19">
        <v>835</v>
      </c>
      <c r="C1835" s="219" t="s">
        <v>706</v>
      </c>
      <c r="D1835" s="17" t="s">
        <v>52</v>
      </c>
      <c r="E1835" s="17" t="s">
        <v>187</v>
      </c>
      <c r="F1835" s="17" t="s">
        <v>54</v>
      </c>
      <c r="H1835" s="19">
        <v>1.2311</v>
      </c>
      <c r="I1835" s="19"/>
      <c r="J1835" s="17" t="s">
        <v>82</v>
      </c>
      <c r="K1835" s="19">
        <v>355</v>
      </c>
      <c r="L1835" s="19">
        <v>80</v>
      </c>
      <c r="M1835" s="19">
        <v>2300</v>
      </c>
      <c r="N1835" s="19" t="s">
        <v>66</v>
      </c>
      <c r="O1835" s="19" t="s">
        <v>141</v>
      </c>
      <c r="P1835" s="19">
        <v>1000</v>
      </c>
      <c r="Q1835" s="17">
        <v>1016</v>
      </c>
      <c r="R1835" s="17">
        <f t="shared" si="101"/>
        <v>-16</v>
      </c>
      <c r="S1835" s="17">
        <v>1030</v>
      </c>
      <c r="T1835" s="19" t="s">
        <v>42</v>
      </c>
      <c r="U1835" s="102" t="s">
        <v>707</v>
      </c>
      <c r="V1835" s="186" t="s">
        <v>708</v>
      </c>
      <c r="W1835" s="17" t="s">
        <v>69</v>
      </c>
      <c r="Y1835" s="68">
        <v>44805</v>
      </c>
      <c r="Z1835" s="17" t="s">
        <v>191</v>
      </c>
      <c r="AA1835" s="17" t="s">
        <v>46</v>
      </c>
      <c r="AB1835" s="17" t="s">
        <v>709</v>
      </c>
      <c r="AC1835" s="17" t="s">
        <v>710</v>
      </c>
      <c r="AD1835" s="65">
        <v>1340</v>
      </c>
      <c r="AE1835" s="17" t="s">
        <v>711</v>
      </c>
      <c r="AF1835" s="17" t="s">
        <v>245</v>
      </c>
      <c r="AG1835" s="17" t="s">
        <v>712</v>
      </c>
      <c r="AH1835" s="17" t="s">
        <v>713</v>
      </c>
    </row>
    <row r="1836" s="17" customFormat="1" hidden="1" spans="1:34">
      <c r="A1836" s="17" t="s">
        <v>34</v>
      </c>
      <c r="B1836" s="19">
        <v>835</v>
      </c>
      <c r="C1836" s="219" t="s">
        <v>706</v>
      </c>
      <c r="D1836" s="17" t="s">
        <v>52</v>
      </c>
      <c r="E1836" s="17" t="s">
        <v>187</v>
      </c>
      <c r="F1836" s="17" t="s">
        <v>54</v>
      </c>
      <c r="H1836" s="19">
        <v>1.2311</v>
      </c>
      <c r="I1836" s="19"/>
      <c r="J1836" s="17" t="s">
        <v>82</v>
      </c>
      <c r="K1836" s="19">
        <v>405</v>
      </c>
      <c r="L1836" s="19">
        <v>80</v>
      </c>
      <c r="M1836" s="19">
        <v>2300</v>
      </c>
      <c r="N1836" s="19" t="s">
        <v>66</v>
      </c>
      <c r="O1836" s="19" t="s">
        <v>141</v>
      </c>
      <c r="P1836" s="19">
        <v>1000</v>
      </c>
      <c r="Q1836" s="17">
        <v>1140</v>
      </c>
      <c r="R1836" s="17">
        <f t="shared" si="101"/>
        <v>-140</v>
      </c>
      <c r="S1836" s="17">
        <v>1030</v>
      </c>
      <c r="T1836" s="19" t="s">
        <v>42</v>
      </c>
      <c r="U1836" s="102" t="s">
        <v>707</v>
      </c>
      <c r="V1836" s="186" t="s">
        <v>708</v>
      </c>
      <c r="W1836" s="17" t="s">
        <v>69</v>
      </c>
      <c r="Y1836" s="68">
        <v>44805</v>
      </c>
      <c r="Z1836" s="17" t="s">
        <v>191</v>
      </c>
      <c r="AA1836" s="17" t="s">
        <v>46</v>
      </c>
      <c r="AB1836" s="17" t="s">
        <v>709</v>
      </c>
      <c r="AC1836" s="17" t="s">
        <v>710</v>
      </c>
      <c r="AD1836" s="65">
        <v>1340</v>
      </c>
      <c r="AE1836" s="17" t="s">
        <v>711</v>
      </c>
      <c r="AF1836" s="17" t="s">
        <v>245</v>
      </c>
      <c r="AG1836" s="17" t="s">
        <v>712</v>
      </c>
      <c r="AH1836" s="17" t="s">
        <v>713</v>
      </c>
    </row>
    <row r="1837" s="17" customFormat="1" hidden="1" spans="1:34">
      <c r="A1837" s="17" t="s">
        <v>34</v>
      </c>
      <c r="B1837" s="19">
        <v>835</v>
      </c>
      <c r="C1837" s="219" t="s">
        <v>706</v>
      </c>
      <c r="D1837" s="17" t="s">
        <v>52</v>
      </c>
      <c r="E1837" s="17" t="s">
        <v>187</v>
      </c>
      <c r="F1837" s="17" t="s">
        <v>54</v>
      </c>
      <c r="H1837" s="19">
        <v>1.2311</v>
      </c>
      <c r="I1837" s="19"/>
      <c r="J1837" s="17" t="s">
        <v>82</v>
      </c>
      <c r="K1837" s="19">
        <v>205</v>
      </c>
      <c r="L1837" s="19">
        <v>105</v>
      </c>
      <c r="M1837" s="19">
        <v>2300</v>
      </c>
      <c r="N1837" s="19" t="s">
        <v>66</v>
      </c>
      <c r="O1837" s="19" t="s">
        <v>141</v>
      </c>
      <c r="P1837" s="19">
        <v>1000</v>
      </c>
      <c r="Q1837" s="17">
        <v>792</v>
      </c>
      <c r="R1837" s="17">
        <f t="shared" si="101"/>
        <v>208</v>
      </c>
      <c r="S1837" s="17">
        <v>1030</v>
      </c>
      <c r="T1837" s="19" t="s">
        <v>42</v>
      </c>
      <c r="U1837" s="102" t="s">
        <v>707</v>
      </c>
      <c r="V1837" s="186" t="s">
        <v>708</v>
      </c>
      <c r="W1837" s="17" t="s">
        <v>69</v>
      </c>
      <c r="Y1837" s="68">
        <v>44805</v>
      </c>
      <c r="Z1837" s="17" t="s">
        <v>191</v>
      </c>
      <c r="AA1837" s="17" t="s">
        <v>46</v>
      </c>
      <c r="AB1837" s="17" t="s">
        <v>709</v>
      </c>
      <c r="AC1837" s="17" t="s">
        <v>710</v>
      </c>
      <c r="AD1837" s="65">
        <v>1340</v>
      </c>
      <c r="AE1837" s="17" t="s">
        <v>711</v>
      </c>
      <c r="AF1837" s="17" t="s">
        <v>245</v>
      </c>
      <c r="AG1837" s="17" t="s">
        <v>712</v>
      </c>
      <c r="AH1837" s="17" t="s">
        <v>713</v>
      </c>
    </row>
    <row r="1838" s="17" customFormat="1" hidden="1" spans="1:34">
      <c r="A1838" s="17" t="s">
        <v>34</v>
      </c>
      <c r="B1838" s="19">
        <v>835</v>
      </c>
      <c r="C1838" s="219" t="s">
        <v>706</v>
      </c>
      <c r="D1838" s="17" t="s">
        <v>52</v>
      </c>
      <c r="E1838" s="17" t="s">
        <v>187</v>
      </c>
      <c r="F1838" s="17" t="s">
        <v>54</v>
      </c>
      <c r="H1838" s="19">
        <v>1.2311</v>
      </c>
      <c r="I1838" s="19"/>
      <c r="J1838" s="17" t="s">
        <v>82</v>
      </c>
      <c r="K1838" s="19">
        <v>255</v>
      </c>
      <c r="L1838" s="19">
        <v>105</v>
      </c>
      <c r="M1838" s="19">
        <v>2300</v>
      </c>
      <c r="N1838" s="19" t="s">
        <v>66</v>
      </c>
      <c r="O1838" s="19" t="s">
        <v>141</v>
      </c>
      <c r="P1838" s="19">
        <v>1000</v>
      </c>
      <c r="Q1838" s="17">
        <v>982</v>
      </c>
      <c r="R1838" s="17">
        <f t="shared" si="101"/>
        <v>18</v>
      </c>
      <c r="S1838" s="17">
        <v>1030</v>
      </c>
      <c r="T1838" s="19" t="s">
        <v>42</v>
      </c>
      <c r="U1838" s="102" t="s">
        <v>707</v>
      </c>
      <c r="V1838" s="186" t="s">
        <v>708</v>
      </c>
      <c r="W1838" s="17" t="s">
        <v>69</v>
      </c>
      <c r="Y1838" s="68">
        <v>44805</v>
      </c>
      <c r="Z1838" s="17" t="s">
        <v>191</v>
      </c>
      <c r="AA1838" s="17" t="s">
        <v>46</v>
      </c>
      <c r="AB1838" s="17" t="s">
        <v>709</v>
      </c>
      <c r="AC1838" s="17" t="s">
        <v>710</v>
      </c>
      <c r="AD1838" s="65">
        <v>1340</v>
      </c>
      <c r="AE1838" s="17" t="s">
        <v>711</v>
      </c>
      <c r="AF1838" s="17" t="s">
        <v>245</v>
      </c>
      <c r="AG1838" s="17" t="s">
        <v>712</v>
      </c>
      <c r="AH1838" s="17" t="s">
        <v>713</v>
      </c>
    </row>
    <row r="1839" s="17" customFormat="1" hidden="1" spans="1:34">
      <c r="A1839" s="17" t="s">
        <v>34</v>
      </c>
      <c r="B1839" s="19">
        <v>835</v>
      </c>
      <c r="C1839" s="219" t="s">
        <v>706</v>
      </c>
      <c r="D1839" s="17" t="s">
        <v>52</v>
      </c>
      <c r="E1839" s="17" t="s">
        <v>187</v>
      </c>
      <c r="F1839" s="17" t="s">
        <v>54</v>
      </c>
      <c r="H1839" s="19">
        <v>1.2311</v>
      </c>
      <c r="I1839" s="19"/>
      <c r="J1839" s="17" t="s">
        <v>82</v>
      </c>
      <c r="K1839" s="19">
        <v>305</v>
      </c>
      <c r="L1839" s="19">
        <v>105</v>
      </c>
      <c r="M1839" s="19">
        <v>2300</v>
      </c>
      <c r="N1839" s="19" t="s">
        <v>66</v>
      </c>
      <c r="O1839" s="19" t="s">
        <v>141</v>
      </c>
      <c r="P1839" s="19">
        <v>1000</v>
      </c>
      <c r="Q1839" s="17">
        <v>1184</v>
      </c>
      <c r="R1839" s="17">
        <f t="shared" si="101"/>
        <v>-184</v>
      </c>
      <c r="S1839" s="17">
        <v>1030</v>
      </c>
      <c r="T1839" s="19" t="s">
        <v>42</v>
      </c>
      <c r="U1839" s="102" t="s">
        <v>707</v>
      </c>
      <c r="V1839" s="186" t="s">
        <v>708</v>
      </c>
      <c r="W1839" s="17" t="s">
        <v>69</v>
      </c>
      <c r="Y1839" s="68">
        <v>44805</v>
      </c>
      <c r="Z1839" s="17" t="s">
        <v>191</v>
      </c>
      <c r="AA1839" s="17" t="s">
        <v>46</v>
      </c>
      <c r="AB1839" s="17" t="s">
        <v>709</v>
      </c>
      <c r="AC1839" s="17" t="s">
        <v>710</v>
      </c>
      <c r="AD1839" s="65">
        <v>1340</v>
      </c>
      <c r="AE1839" s="17" t="s">
        <v>711</v>
      </c>
      <c r="AF1839" s="17" t="s">
        <v>245</v>
      </c>
      <c r="AG1839" s="17" t="s">
        <v>712</v>
      </c>
      <c r="AH1839" s="17" t="s">
        <v>713</v>
      </c>
    </row>
    <row r="1840" s="17" customFormat="1" hidden="1" spans="1:34">
      <c r="A1840" s="17" t="s">
        <v>34</v>
      </c>
      <c r="B1840" s="19">
        <v>835</v>
      </c>
      <c r="C1840" s="219" t="s">
        <v>706</v>
      </c>
      <c r="D1840" s="17" t="s">
        <v>52</v>
      </c>
      <c r="E1840" s="17" t="s">
        <v>187</v>
      </c>
      <c r="F1840" s="17" t="s">
        <v>54</v>
      </c>
      <c r="H1840" s="19">
        <v>1.2311</v>
      </c>
      <c r="I1840" s="19"/>
      <c r="J1840" s="17" t="s">
        <v>82</v>
      </c>
      <c r="K1840" s="19">
        <v>355</v>
      </c>
      <c r="L1840" s="19">
        <v>105</v>
      </c>
      <c r="M1840" s="19">
        <v>2300</v>
      </c>
      <c r="N1840" s="19" t="s">
        <v>66</v>
      </c>
      <c r="O1840" s="19" t="s">
        <v>141</v>
      </c>
      <c r="P1840" s="19">
        <v>1000</v>
      </c>
      <c r="Q1840" s="17">
        <v>680</v>
      </c>
      <c r="R1840" s="17">
        <f t="shared" si="101"/>
        <v>320</v>
      </c>
      <c r="S1840" s="17">
        <v>1030</v>
      </c>
      <c r="T1840" s="19" t="s">
        <v>42</v>
      </c>
      <c r="U1840" s="102" t="s">
        <v>707</v>
      </c>
      <c r="V1840" s="186" t="s">
        <v>708</v>
      </c>
      <c r="W1840" s="17" t="s">
        <v>69</v>
      </c>
      <c r="Y1840" s="68">
        <v>44805</v>
      </c>
      <c r="Z1840" s="17" t="s">
        <v>191</v>
      </c>
      <c r="AA1840" s="17" t="s">
        <v>46</v>
      </c>
      <c r="AB1840" s="17" t="s">
        <v>709</v>
      </c>
      <c r="AC1840" s="17" t="s">
        <v>710</v>
      </c>
      <c r="AD1840" s="65">
        <v>1340</v>
      </c>
      <c r="AE1840" s="17" t="s">
        <v>711</v>
      </c>
      <c r="AF1840" s="17" t="s">
        <v>245</v>
      </c>
      <c r="AG1840" s="17" t="s">
        <v>712</v>
      </c>
      <c r="AH1840" s="17" t="s">
        <v>713</v>
      </c>
    </row>
    <row r="1841" s="17" customFormat="1" hidden="1" spans="1:34">
      <c r="A1841" s="17" t="s">
        <v>34</v>
      </c>
      <c r="B1841" s="19">
        <v>835</v>
      </c>
      <c r="C1841" s="219" t="s">
        <v>706</v>
      </c>
      <c r="D1841" s="17" t="s">
        <v>52</v>
      </c>
      <c r="E1841" s="17" t="s">
        <v>187</v>
      </c>
      <c r="F1841" s="17" t="s">
        <v>54</v>
      </c>
      <c r="H1841" s="19">
        <v>1.2311</v>
      </c>
      <c r="I1841" s="19"/>
      <c r="J1841" s="17" t="s">
        <v>82</v>
      </c>
      <c r="K1841" s="19">
        <v>405</v>
      </c>
      <c r="L1841" s="19">
        <v>105</v>
      </c>
      <c r="M1841" s="19">
        <v>2300</v>
      </c>
      <c r="N1841" s="19" t="s">
        <v>66</v>
      </c>
      <c r="O1841" s="19" t="s">
        <v>141</v>
      </c>
      <c r="P1841" s="19">
        <v>1000</v>
      </c>
      <c r="Q1841" s="19">
        <v>775</v>
      </c>
      <c r="R1841" s="19">
        <f t="shared" si="101"/>
        <v>225</v>
      </c>
      <c r="S1841" s="19">
        <v>1030</v>
      </c>
      <c r="T1841" s="19" t="s">
        <v>42</v>
      </c>
      <c r="U1841" s="102" t="s">
        <v>707</v>
      </c>
      <c r="V1841" s="186" t="s">
        <v>708</v>
      </c>
      <c r="W1841" s="17" t="s">
        <v>69</v>
      </c>
      <c r="Y1841" s="68">
        <v>44805</v>
      </c>
      <c r="Z1841" s="17" t="s">
        <v>191</v>
      </c>
      <c r="AA1841" s="17" t="s">
        <v>46</v>
      </c>
      <c r="AB1841" s="17" t="s">
        <v>575</v>
      </c>
      <c r="AC1841" s="17" t="s">
        <v>576</v>
      </c>
      <c r="AD1841" s="65">
        <v>1350</v>
      </c>
      <c r="AE1841" s="17" t="s">
        <v>711</v>
      </c>
      <c r="AF1841" s="17" t="s">
        <v>245</v>
      </c>
      <c r="AG1841" s="17" t="s">
        <v>712</v>
      </c>
      <c r="AH1841" s="17" t="s">
        <v>713</v>
      </c>
    </row>
    <row r="1842" s="17" customFormat="1" hidden="1" spans="1:34">
      <c r="A1842" s="17" t="s">
        <v>34</v>
      </c>
      <c r="B1842" s="19">
        <v>838</v>
      </c>
      <c r="C1842" s="220" t="s">
        <v>717</v>
      </c>
      <c r="D1842" s="17" t="s">
        <v>35</v>
      </c>
      <c r="E1842" s="17" t="s">
        <v>718</v>
      </c>
      <c r="F1842" s="17" t="s">
        <v>37</v>
      </c>
      <c r="H1842" s="19">
        <v>1.2344</v>
      </c>
      <c r="I1842" s="19"/>
      <c r="J1842" s="17" t="s">
        <v>39</v>
      </c>
      <c r="K1842" s="19">
        <v>188</v>
      </c>
      <c r="L1842" s="91"/>
      <c r="M1842" s="19"/>
      <c r="N1842" s="19" t="s">
        <v>40</v>
      </c>
      <c r="O1842" s="19" t="s">
        <v>84</v>
      </c>
      <c r="P1842" s="19">
        <v>6000</v>
      </c>
      <c r="Q1842" s="17">
        <v>5264</v>
      </c>
      <c r="R1842" s="17">
        <f t="shared" si="101"/>
        <v>736</v>
      </c>
      <c r="S1842" s="17">
        <v>3875</v>
      </c>
      <c r="T1842" s="19" t="s">
        <v>42</v>
      </c>
      <c r="U1842" s="102" t="s">
        <v>719</v>
      </c>
      <c r="V1842" s="186" t="s">
        <v>720</v>
      </c>
      <c r="W1842" s="17" t="s">
        <v>44</v>
      </c>
      <c r="Y1842" s="68">
        <v>44986</v>
      </c>
      <c r="Z1842" s="17" t="s">
        <v>721</v>
      </c>
      <c r="AA1842" s="17" t="s">
        <v>46</v>
      </c>
      <c r="AB1842" s="17" t="s">
        <v>722</v>
      </c>
      <c r="AC1842" s="102" t="s">
        <v>723</v>
      </c>
      <c r="AD1842" s="65">
        <v>1395</v>
      </c>
      <c r="AE1842" s="17" t="s">
        <v>252</v>
      </c>
      <c r="AF1842" s="17" t="s">
        <v>724</v>
      </c>
    </row>
    <row r="1843" s="17" customFormat="1" hidden="1" spans="1:34">
      <c r="A1843" s="17" t="s">
        <v>34</v>
      </c>
      <c r="B1843" s="19">
        <v>838</v>
      </c>
      <c r="C1843" s="220" t="s">
        <v>717</v>
      </c>
      <c r="D1843" s="17" t="s">
        <v>35</v>
      </c>
      <c r="E1843" s="17" t="s">
        <v>718</v>
      </c>
      <c r="F1843" s="17" t="s">
        <v>37</v>
      </c>
      <c r="H1843" s="19">
        <v>1.2344</v>
      </c>
      <c r="I1843" s="19"/>
      <c r="J1843" s="17" t="s">
        <v>39</v>
      </c>
      <c r="K1843" s="19">
        <v>222</v>
      </c>
      <c r="L1843" s="91"/>
      <c r="M1843" s="19"/>
      <c r="N1843" s="19" t="s">
        <v>40</v>
      </c>
      <c r="O1843" s="19" t="s">
        <v>84</v>
      </c>
      <c r="P1843" s="19">
        <v>4000</v>
      </c>
      <c r="Q1843" s="17">
        <v>3624</v>
      </c>
      <c r="R1843" s="17">
        <f t="shared" si="101"/>
        <v>376</v>
      </c>
      <c r="S1843" s="17">
        <v>4120</v>
      </c>
      <c r="T1843" s="19" t="s">
        <v>42</v>
      </c>
      <c r="U1843" s="102" t="s">
        <v>719</v>
      </c>
      <c r="V1843" s="186" t="s">
        <v>720</v>
      </c>
      <c r="W1843" s="17" t="s">
        <v>44</v>
      </c>
      <c r="Y1843" s="68">
        <v>44986</v>
      </c>
      <c r="Z1843" s="17" t="s">
        <v>721</v>
      </c>
      <c r="AA1843" s="17" t="s">
        <v>46</v>
      </c>
      <c r="AB1843" s="17" t="s">
        <v>722</v>
      </c>
      <c r="AC1843" s="102" t="s">
        <v>723</v>
      </c>
      <c r="AD1843" s="65">
        <v>1395</v>
      </c>
      <c r="AE1843" s="17" t="s">
        <v>252</v>
      </c>
      <c r="AF1843" s="17" t="s">
        <v>725</v>
      </c>
    </row>
    <row r="1844" s="17" customFormat="1" hidden="1" spans="1:34">
      <c r="A1844" s="17" t="s">
        <v>34</v>
      </c>
      <c r="B1844" s="19">
        <v>838</v>
      </c>
      <c r="C1844" s="220" t="s">
        <v>717</v>
      </c>
      <c r="D1844" s="17" t="s">
        <v>35</v>
      </c>
      <c r="E1844" s="17" t="s">
        <v>718</v>
      </c>
      <c r="F1844" s="17" t="s">
        <v>37</v>
      </c>
      <c r="H1844" s="19">
        <v>1.2344</v>
      </c>
      <c r="I1844" s="19"/>
      <c r="J1844" s="17" t="s">
        <v>39</v>
      </c>
      <c r="K1844" s="19">
        <v>262</v>
      </c>
      <c r="L1844" s="91"/>
      <c r="M1844" s="19"/>
      <c r="N1844" s="19" t="s">
        <v>40</v>
      </c>
      <c r="O1844" s="19" t="s">
        <v>50</v>
      </c>
      <c r="P1844" s="19">
        <v>4000</v>
      </c>
      <c r="Q1844" s="17">
        <v>3764</v>
      </c>
      <c r="R1844" s="17">
        <f t="shared" si="101"/>
        <v>236</v>
      </c>
      <c r="S1844" s="17">
        <v>3850</v>
      </c>
      <c r="T1844" s="19" t="s">
        <v>42</v>
      </c>
      <c r="U1844" s="102" t="s">
        <v>719</v>
      </c>
      <c r="V1844" s="186" t="s">
        <v>720</v>
      </c>
      <c r="W1844" s="17" t="s">
        <v>44</v>
      </c>
      <c r="Y1844" s="68">
        <v>44986</v>
      </c>
      <c r="Z1844" s="17" t="s">
        <v>721</v>
      </c>
      <c r="AA1844" s="17" t="s">
        <v>46</v>
      </c>
      <c r="AB1844" s="17" t="s">
        <v>726</v>
      </c>
      <c r="AC1844" s="217">
        <v>44980</v>
      </c>
      <c r="AD1844" s="65">
        <v>1379</v>
      </c>
      <c r="AE1844" s="17" t="s">
        <v>252</v>
      </c>
      <c r="AF1844" s="17" t="s">
        <v>727</v>
      </c>
    </row>
    <row r="1845" s="17" customFormat="1" hidden="1" spans="1:34">
      <c r="A1845" s="17" t="s">
        <v>34</v>
      </c>
      <c r="B1845" s="19">
        <v>838</v>
      </c>
      <c r="C1845" s="220" t="s">
        <v>717</v>
      </c>
      <c r="D1845" s="17" t="s">
        <v>35</v>
      </c>
      <c r="E1845" s="17" t="s">
        <v>718</v>
      </c>
      <c r="F1845" s="17" t="s">
        <v>37</v>
      </c>
      <c r="H1845" s="19">
        <v>1.2344</v>
      </c>
      <c r="I1845" s="19"/>
      <c r="J1845" s="17" t="s">
        <v>39</v>
      </c>
      <c r="K1845" s="19">
        <v>282</v>
      </c>
      <c r="L1845" s="91"/>
      <c r="M1845" s="19"/>
      <c r="N1845" s="19" t="s">
        <v>40</v>
      </c>
      <c r="O1845" s="19" t="s">
        <v>50</v>
      </c>
      <c r="P1845" s="19">
        <v>8000</v>
      </c>
      <c r="Q1845" s="17">
        <v>7232</v>
      </c>
      <c r="R1845" s="17">
        <f t="shared" si="101"/>
        <v>768</v>
      </c>
      <c r="S1845" s="17">
        <v>3850</v>
      </c>
      <c r="T1845" s="19" t="s">
        <v>42</v>
      </c>
      <c r="U1845" s="102" t="s">
        <v>719</v>
      </c>
      <c r="V1845" s="186" t="s">
        <v>720</v>
      </c>
      <c r="W1845" s="17" t="s">
        <v>44</v>
      </c>
      <c r="Y1845" s="68">
        <v>44986</v>
      </c>
      <c r="Z1845" s="17" t="s">
        <v>721</v>
      </c>
      <c r="AA1845" s="17" t="s">
        <v>46</v>
      </c>
      <c r="AB1845" s="17" t="s">
        <v>722</v>
      </c>
      <c r="AC1845" s="102" t="s">
        <v>723</v>
      </c>
      <c r="AD1845" s="65">
        <v>1395</v>
      </c>
      <c r="AE1845" s="17" t="s">
        <v>252</v>
      </c>
      <c r="AF1845" s="17" t="s">
        <v>727</v>
      </c>
    </row>
    <row r="1846" s="17" customFormat="1" hidden="1" spans="1:34">
      <c r="A1846" s="17" t="s">
        <v>34</v>
      </c>
      <c r="B1846" s="19">
        <v>838</v>
      </c>
      <c r="C1846" s="220" t="s">
        <v>717</v>
      </c>
      <c r="D1846" s="17" t="s">
        <v>35</v>
      </c>
      <c r="E1846" s="17" t="s">
        <v>718</v>
      </c>
      <c r="F1846" s="17" t="s">
        <v>37</v>
      </c>
      <c r="H1846" s="19">
        <v>1.2344</v>
      </c>
      <c r="I1846" s="19"/>
      <c r="J1846" s="17" t="s">
        <v>39</v>
      </c>
      <c r="K1846" s="19">
        <v>322</v>
      </c>
      <c r="L1846" s="91"/>
      <c r="M1846" s="19"/>
      <c r="N1846" s="19" t="s">
        <v>40</v>
      </c>
      <c r="O1846" s="19" t="s">
        <v>50</v>
      </c>
      <c r="P1846" s="19">
        <v>8000</v>
      </c>
      <c r="Q1846" s="17">
        <v>7092</v>
      </c>
      <c r="R1846" s="17">
        <f t="shared" si="101"/>
        <v>908</v>
      </c>
      <c r="S1846" s="17">
        <v>3850</v>
      </c>
      <c r="T1846" s="19" t="s">
        <v>42</v>
      </c>
      <c r="U1846" s="102" t="s">
        <v>719</v>
      </c>
      <c r="V1846" s="186" t="s">
        <v>720</v>
      </c>
      <c r="W1846" s="17" t="s">
        <v>44</v>
      </c>
      <c r="Y1846" s="68">
        <v>44986</v>
      </c>
      <c r="Z1846" s="17" t="s">
        <v>721</v>
      </c>
      <c r="AA1846" s="17" t="s">
        <v>46</v>
      </c>
      <c r="AB1846" s="17" t="s">
        <v>726</v>
      </c>
      <c r="AC1846" s="217">
        <v>44980</v>
      </c>
      <c r="AD1846" s="65">
        <v>1379</v>
      </c>
      <c r="AE1846" s="17" t="s">
        <v>252</v>
      </c>
      <c r="AF1846" s="17" t="s">
        <v>727</v>
      </c>
    </row>
    <row r="1847" s="17" customFormat="1" hidden="1" spans="1:34">
      <c r="A1847" s="17" t="s">
        <v>34</v>
      </c>
      <c r="B1847" s="19">
        <v>838</v>
      </c>
      <c r="C1847" s="220" t="s">
        <v>717</v>
      </c>
      <c r="D1847" s="17" t="s">
        <v>35</v>
      </c>
      <c r="E1847" s="17" t="s">
        <v>718</v>
      </c>
      <c r="F1847" s="17" t="s">
        <v>37</v>
      </c>
      <c r="H1847" s="19">
        <v>1.2344</v>
      </c>
      <c r="I1847" s="19"/>
      <c r="J1847" s="17" t="s">
        <v>39</v>
      </c>
      <c r="K1847" s="19">
        <v>402</v>
      </c>
      <c r="L1847" s="91"/>
      <c r="M1847" s="19"/>
      <c r="N1847" s="19" t="s">
        <v>40</v>
      </c>
      <c r="O1847" s="19" t="s">
        <v>50</v>
      </c>
      <c r="P1847" s="19">
        <v>12000</v>
      </c>
      <c r="Q1847" s="17">
        <v>11164</v>
      </c>
      <c r="R1847" s="17">
        <f t="shared" si="101"/>
        <v>836</v>
      </c>
      <c r="S1847" s="17">
        <v>3850</v>
      </c>
      <c r="T1847" s="19" t="s">
        <v>42</v>
      </c>
      <c r="U1847" s="102" t="s">
        <v>719</v>
      </c>
      <c r="V1847" s="186" t="s">
        <v>720</v>
      </c>
      <c r="W1847" s="17" t="s">
        <v>44</v>
      </c>
      <c r="Y1847" s="68">
        <v>44986</v>
      </c>
      <c r="Z1847" s="17" t="s">
        <v>721</v>
      </c>
      <c r="AA1847" s="17" t="s">
        <v>46</v>
      </c>
      <c r="AB1847" s="17" t="s">
        <v>726</v>
      </c>
      <c r="AC1847" s="217">
        <v>44980</v>
      </c>
      <c r="AD1847" s="65">
        <v>1379</v>
      </c>
      <c r="AE1847" s="17" t="s">
        <v>252</v>
      </c>
      <c r="AF1847" s="17" t="s">
        <v>727</v>
      </c>
    </row>
    <row r="1848" s="17" customFormat="1" hidden="1" spans="1:34">
      <c r="A1848" s="17" t="s">
        <v>34</v>
      </c>
      <c r="B1848" s="19">
        <v>838</v>
      </c>
      <c r="C1848" s="220" t="s">
        <v>717</v>
      </c>
      <c r="D1848" s="17" t="s">
        <v>35</v>
      </c>
      <c r="E1848" s="17" t="s">
        <v>718</v>
      </c>
      <c r="F1848" s="17" t="s">
        <v>37</v>
      </c>
      <c r="H1848" s="19">
        <v>1.2344</v>
      </c>
      <c r="I1848" s="19"/>
      <c r="J1848" s="17" t="s">
        <v>39</v>
      </c>
      <c r="K1848" s="19">
        <v>502</v>
      </c>
      <c r="L1848" s="91"/>
      <c r="M1848" s="19"/>
      <c r="N1848" s="19" t="s">
        <v>40</v>
      </c>
      <c r="O1848" s="19" t="s">
        <v>50</v>
      </c>
      <c r="P1848" s="19">
        <v>6000</v>
      </c>
      <c r="Q1848" s="17">
        <v>5776</v>
      </c>
      <c r="R1848" s="17">
        <f t="shared" si="101"/>
        <v>224</v>
      </c>
      <c r="S1848" s="17">
        <v>3850</v>
      </c>
      <c r="T1848" s="19" t="s">
        <v>42</v>
      </c>
      <c r="U1848" s="102" t="s">
        <v>719</v>
      </c>
      <c r="V1848" s="186" t="s">
        <v>720</v>
      </c>
      <c r="W1848" s="17" t="s">
        <v>44</v>
      </c>
      <c r="Y1848" s="68">
        <v>44986</v>
      </c>
      <c r="Z1848" s="17" t="s">
        <v>721</v>
      </c>
      <c r="AA1848" s="17" t="s">
        <v>46</v>
      </c>
      <c r="AB1848" s="17" t="s">
        <v>722</v>
      </c>
      <c r="AC1848" s="102" t="s">
        <v>723</v>
      </c>
      <c r="AD1848" s="65">
        <v>1395</v>
      </c>
      <c r="AE1848" s="17" t="s">
        <v>252</v>
      </c>
      <c r="AF1848" s="17" t="s">
        <v>727</v>
      </c>
    </row>
    <row r="1849" s="17" customFormat="1" hidden="1" spans="1:34">
      <c r="A1849" s="17" t="s">
        <v>34</v>
      </c>
      <c r="B1849" s="19">
        <v>839</v>
      </c>
      <c r="C1849" s="110" t="s">
        <v>728</v>
      </c>
      <c r="D1849" s="17" t="s">
        <v>52</v>
      </c>
      <c r="E1849" s="17" t="s">
        <v>187</v>
      </c>
      <c r="F1849" s="17" t="s">
        <v>54</v>
      </c>
      <c r="H1849" s="19" t="s">
        <v>548</v>
      </c>
      <c r="I1849" s="19"/>
      <c r="J1849" s="17" t="s">
        <v>49</v>
      </c>
      <c r="K1849" s="91">
        <v>2000</v>
      </c>
      <c r="L1849" s="17">
        <v>6</v>
      </c>
      <c r="M1849" s="19">
        <v>6000</v>
      </c>
      <c r="N1849" s="19" t="s">
        <v>66</v>
      </c>
      <c r="O1849" s="19" t="s">
        <v>141</v>
      </c>
      <c r="P1849" s="19">
        <v>12000</v>
      </c>
      <c r="Q1849" s="17">
        <v>12431</v>
      </c>
      <c r="R1849" s="17">
        <f t="shared" si="101"/>
        <v>-431</v>
      </c>
      <c r="S1849" s="17">
        <v>1230</v>
      </c>
      <c r="T1849" s="19" t="s">
        <v>42</v>
      </c>
      <c r="U1849" s="102" t="s">
        <v>729</v>
      </c>
      <c r="V1849" s="221">
        <v>44601</v>
      </c>
      <c r="W1849" s="17" t="s">
        <v>69</v>
      </c>
      <c r="Y1849" s="68">
        <v>44835</v>
      </c>
      <c r="Z1849" s="17" t="s">
        <v>191</v>
      </c>
      <c r="AA1849" s="17" t="s">
        <v>59</v>
      </c>
      <c r="AB1849" s="17" t="s">
        <v>730</v>
      </c>
      <c r="AC1849" s="67">
        <v>44905</v>
      </c>
      <c r="AD1849" s="65">
        <v>1349</v>
      </c>
      <c r="AE1849" s="17" t="s">
        <v>48</v>
      </c>
      <c r="AF1849" s="17" t="s">
        <v>245</v>
      </c>
    </row>
    <row r="1850" s="17" customFormat="1" hidden="1" spans="1:34">
      <c r="A1850" s="17" t="s">
        <v>34</v>
      </c>
      <c r="B1850" s="19">
        <v>839</v>
      </c>
      <c r="C1850" s="110" t="s">
        <v>728</v>
      </c>
      <c r="D1850" s="17" t="s">
        <v>52</v>
      </c>
      <c r="E1850" s="17" t="s">
        <v>187</v>
      </c>
      <c r="F1850" s="17" t="s">
        <v>54</v>
      </c>
      <c r="H1850" s="19" t="s">
        <v>548</v>
      </c>
      <c r="I1850" s="19"/>
      <c r="J1850" s="17" t="s">
        <v>49</v>
      </c>
      <c r="K1850" s="91">
        <v>2000</v>
      </c>
      <c r="L1850" s="17">
        <v>8</v>
      </c>
      <c r="M1850" s="19">
        <v>6000</v>
      </c>
      <c r="N1850" s="19" t="s">
        <v>66</v>
      </c>
      <c r="O1850" s="19" t="s">
        <v>141</v>
      </c>
      <c r="P1850" s="19">
        <v>8000</v>
      </c>
      <c r="Q1850" s="17">
        <v>7540</v>
      </c>
      <c r="S1850" s="17">
        <v>1195</v>
      </c>
      <c r="T1850" s="19" t="s">
        <v>42</v>
      </c>
      <c r="U1850" s="102" t="s">
        <v>729</v>
      </c>
      <c r="V1850" s="221">
        <v>44601</v>
      </c>
      <c r="W1850" s="17" t="s">
        <v>69</v>
      </c>
      <c r="Y1850" s="68">
        <v>44835</v>
      </c>
      <c r="Z1850" s="17" t="s">
        <v>191</v>
      </c>
      <c r="AA1850" s="17" t="s">
        <v>59</v>
      </c>
      <c r="AB1850" s="17" t="s">
        <v>730</v>
      </c>
      <c r="AC1850" s="67">
        <v>44905</v>
      </c>
      <c r="AD1850" s="65">
        <v>1349</v>
      </c>
      <c r="AE1850" s="17" t="s">
        <v>48</v>
      </c>
      <c r="AF1850" s="17" t="s">
        <v>245</v>
      </c>
    </row>
    <row r="1851" s="17" customFormat="1" hidden="1" spans="1:34">
      <c r="A1851" s="17" t="s">
        <v>34</v>
      </c>
      <c r="B1851" s="19">
        <v>839</v>
      </c>
      <c r="C1851" s="110" t="s">
        <v>728</v>
      </c>
      <c r="D1851" s="17" t="s">
        <v>52</v>
      </c>
      <c r="E1851" s="17" t="s">
        <v>187</v>
      </c>
      <c r="F1851" s="17" t="s">
        <v>54</v>
      </c>
      <c r="H1851" s="19" t="s">
        <v>548</v>
      </c>
      <c r="I1851" s="19"/>
      <c r="J1851" s="17" t="s">
        <v>49</v>
      </c>
      <c r="K1851" s="91">
        <v>2000</v>
      </c>
      <c r="L1851" s="17">
        <v>8</v>
      </c>
      <c r="M1851" s="19">
        <v>6000</v>
      </c>
      <c r="N1851" s="19" t="s">
        <v>66</v>
      </c>
      <c r="O1851" s="19" t="s">
        <v>141</v>
      </c>
      <c r="P1851" s="19">
        <v>8000</v>
      </c>
      <c r="Q1851" s="17">
        <v>754</v>
      </c>
      <c r="R1851" s="17">
        <f>+P1850-Q1850-Q1851</f>
        <v>-294</v>
      </c>
      <c r="S1851" s="17">
        <v>1195</v>
      </c>
      <c r="T1851" s="19" t="s">
        <v>42</v>
      </c>
      <c r="U1851" s="102" t="s">
        <v>729</v>
      </c>
      <c r="V1851" s="221">
        <v>44601</v>
      </c>
      <c r="W1851" s="17" t="s">
        <v>69</v>
      </c>
      <c r="Y1851" s="68">
        <v>44835</v>
      </c>
      <c r="Z1851" s="17" t="s">
        <v>191</v>
      </c>
      <c r="AA1851" s="17" t="s">
        <v>59</v>
      </c>
      <c r="AB1851" s="17" t="s">
        <v>731</v>
      </c>
      <c r="AC1851" s="67">
        <v>44905</v>
      </c>
      <c r="AD1851" s="65">
        <v>1348</v>
      </c>
      <c r="AE1851" s="17" t="s">
        <v>48</v>
      </c>
      <c r="AF1851" s="17" t="s">
        <v>245</v>
      </c>
    </row>
    <row r="1852" s="17" customFormat="1" hidden="1" spans="1:34">
      <c r="A1852" s="17" t="s">
        <v>34</v>
      </c>
      <c r="B1852" s="19">
        <v>839</v>
      </c>
      <c r="C1852" s="110" t="s">
        <v>728</v>
      </c>
      <c r="D1852" s="17" t="s">
        <v>52</v>
      </c>
      <c r="E1852" s="17" t="s">
        <v>187</v>
      </c>
      <c r="F1852" s="17" t="s">
        <v>54</v>
      </c>
      <c r="H1852" s="19" t="s">
        <v>548</v>
      </c>
      <c r="I1852" s="19"/>
      <c r="J1852" s="17" t="s">
        <v>49</v>
      </c>
      <c r="K1852" s="91">
        <v>2000</v>
      </c>
      <c r="L1852" s="17">
        <v>10</v>
      </c>
      <c r="M1852" s="19">
        <v>6000</v>
      </c>
      <c r="N1852" s="19" t="s">
        <v>66</v>
      </c>
      <c r="O1852" s="19" t="s">
        <v>141</v>
      </c>
      <c r="P1852" s="19">
        <v>12000</v>
      </c>
      <c r="Q1852" s="17">
        <v>12246</v>
      </c>
      <c r="R1852" s="17">
        <f>+P1852-Q1852</f>
        <v>-246</v>
      </c>
      <c r="S1852" s="17">
        <v>1165</v>
      </c>
      <c r="T1852" s="19" t="s">
        <v>42</v>
      </c>
      <c r="U1852" s="102" t="s">
        <v>729</v>
      </c>
      <c r="V1852" s="221">
        <v>44601</v>
      </c>
      <c r="W1852" s="17" t="s">
        <v>69</v>
      </c>
      <c r="Y1852" s="68">
        <v>44835</v>
      </c>
      <c r="Z1852" s="17" t="s">
        <v>191</v>
      </c>
      <c r="AA1852" s="17" t="s">
        <v>59</v>
      </c>
      <c r="AB1852" s="17" t="s">
        <v>730</v>
      </c>
      <c r="AC1852" s="67">
        <v>44905</v>
      </c>
      <c r="AD1852" s="65">
        <v>1349</v>
      </c>
      <c r="AE1852" s="17" t="s">
        <v>48</v>
      </c>
      <c r="AF1852" s="17" t="s">
        <v>245</v>
      </c>
    </row>
    <row r="1853" s="17" customFormat="1" hidden="1" spans="1:34">
      <c r="A1853" s="17" t="s">
        <v>34</v>
      </c>
      <c r="B1853" s="19">
        <v>839</v>
      </c>
      <c r="C1853" s="110" t="s">
        <v>728</v>
      </c>
      <c r="D1853" s="17" t="s">
        <v>52</v>
      </c>
      <c r="E1853" s="17" t="s">
        <v>187</v>
      </c>
      <c r="F1853" s="17" t="s">
        <v>54</v>
      </c>
      <c r="H1853" s="19" t="s">
        <v>548</v>
      </c>
      <c r="I1853" s="19"/>
      <c r="J1853" s="17" t="s">
        <v>49</v>
      </c>
      <c r="K1853" s="91">
        <v>2000</v>
      </c>
      <c r="L1853" s="17">
        <v>12</v>
      </c>
      <c r="M1853" s="19">
        <v>6000</v>
      </c>
      <c r="N1853" s="19" t="s">
        <v>66</v>
      </c>
      <c r="O1853" s="19" t="s">
        <v>141</v>
      </c>
      <c r="P1853" s="19">
        <v>8000</v>
      </c>
      <c r="Q1853" s="17">
        <v>6780</v>
      </c>
      <c r="S1853" s="17">
        <v>1155</v>
      </c>
      <c r="T1853" s="19" t="s">
        <v>42</v>
      </c>
      <c r="U1853" s="102" t="s">
        <v>729</v>
      </c>
      <c r="V1853" s="221">
        <v>44601</v>
      </c>
      <c r="W1853" s="17" t="s">
        <v>69</v>
      </c>
      <c r="Y1853" s="68">
        <v>44835</v>
      </c>
      <c r="Z1853" s="17" t="s">
        <v>191</v>
      </c>
      <c r="AA1853" s="17" t="s">
        <v>59</v>
      </c>
      <c r="AB1853" s="17" t="s">
        <v>730</v>
      </c>
      <c r="AC1853" s="67">
        <v>44905</v>
      </c>
      <c r="AD1853" s="65">
        <v>1349</v>
      </c>
      <c r="AE1853" s="17" t="s">
        <v>48</v>
      </c>
      <c r="AF1853" s="17" t="s">
        <v>245</v>
      </c>
    </row>
    <row r="1854" s="17" customFormat="1" hidden="1" spans="1:34">
      <c r="A1854" s="17" t="s">
        <v>34</v>
      </c>
      <c r="B1854" s="19">
        <v>839</v>
      </c>
      <c r="C1854" s="110" t="s">
        <v>728</v>
      </c>
      <c r="D1854" s="17" t="s">
        <v>52</v>
      </c>
      <c r="E1854" s="17" t="s">
        <v>187</v>
      </c>
      <c r="F1854" s="17" t="s">
        <v>54</v>
      </c>
      <c r="H1854" s="19" t="s">
        <v>548</v>
      </c>
      <c r="I1854" s="19"/>
      <c r="J1854" s="17" t="s">
        <v>49</v>
      </c>
      <c r="K1854" s="91">
        <v>2000</v>
      </c>
      <c r="L1854" s="17">
        <v>12</v>
      </c>
      <c r="M1854" s="19">
        <v>6000</v>
      </c>
      <c r="N1854" s="19" t="s">
        <v>66</v>
      </c>
      <c r="O1854" s="19" t="s">
        <v>141</v>
      </c>
      <c r="P1854" s="19">
        <v>8000</v>
      </c>
      <c r="Q1854" s="17">
        <v>1130</v>
      </c>
      <c r="R1854" s="17">
        <f>+P1853-Q1853-Q1854</f>
        <v>90</v>
      </c>
      <c r="S1854" s="17">
        <v>1155</v>
      </c>
      <c r="T1854" s="19" t="s">
        <v>42</v>
      </c>
      <c r="U1854" s="102" t="s">
        <v>729</v>
      </c>
      <c r="V1854" s="221">
        <v>44601</v>
      </c>
      <c r="W1854" s="17" t="s">
        <v>69</v>
      </c>
      <c r="Y1854" s="68">
        <v>44835</v>
      </c>
      <c r="Z1854" s="17" t="s">
        <v>191</v>
      </c>
      <c r="AA1854" s="17" t="s">
        <v>59</v>
      </c>
      <c r="AB1854" s="17" t="s">
        <v>731</v>
      </c>
      <c r="AC1854" s="67">
        <v>44905</v>
      </c>
      <c r="AD1854" s="65">
        <v>1348</v>
      </c>
      <c r="AE1854" s="17" t="s">
        <v>48</v>
      </c>
      <c r="AF1854" s="17" t="s">
        <v>245</v>
      </c>
    </row>
    <row r="1855" s="17" customFormat="1" hidden="1" spans="1:34">
      <c r="A1855" s="17" t="s">
        <v>34</v>
      </c>
      <c r="B1855" s="19">
        <v>839</v>
      </c>
      <c r="C1855" s="110" t="s">
        <v>728</v>
      </c>
      <c r="D1855" s="17" t="s">
        <v>52</v>
      </c>
      <c r="E1855" s="17" t="s">
        <v>187</v>
      </c>
      <c r="F1855" s="17" t="s">
        <v>54</v>
      </c>
      <c r="H1855" s="19" t="s">
        <v>548</v>
      </c>
      <c r="I1855" s="19"/>
      <c r="J1855" s="17" t="s">
        <v>49</v>
      </c>
      <c r="K1855" s="91">
        <v>2000</v>
      </c>
      <c r="L1855" s="17">
        <v>16</v>
      </c>
      <c r="M1855" s="19">
        <v>6000</v>
      </c>
      <c r="N1855" s="19" t="s">
        <v>66</v>
      </c>
      <c r="O1855" s="19" t="s">
        <v>141</v>
      </c>
      <c r="P1855" s="19">
        <v>8000</v>
      </c>
      <c r="Q1855" s="17">
        <f>6028+1507</f>
        <v>7535</v>
      </c>
      <c r="R1855" s="17">
        <f>+P1855-Q1855</f>
        <v>465</v>
      </c>
      <c r="S1855" s="17">
        <v>1155</v>
      </c>
      <c r="T1855" s="19" t="s">
        <v>42</v>
      </c>
      <c r="U1855" s="102" t="s">
        <v>729</v>
      </c>
      <c r="V1855" s="221">
        <v>44601</v>
      </c>
      <c r="W1855" s="17" t="s">
        <v>69</v>
      </c>
      <c r="Y1855" s="68">
        <v>44835</v>
      </c>
      <c r="Z1855" s="17" t="s">
        <v>191</v>
      </c>
      <c r="AA1855" s="17" t="s">
        <v>59</v>
      </c>
      <c r="AB1855" s="17" t="s">
        <v>731</v>
      </c>
      <c r="AC1855" s="67">
        <v>44905</v>
      </c>
      <c r="AD1855" s="65">
        <v>1348</v>
      </c>
      <c r="AE1855" s="17" t="s">
        <v>48</v>
      </c>
      <c r="AF1855" s="17" t="s">
        <v>245</v>
      </c>
    </row>
    <row r="1856" s="17" customFormat="1" hidden="1" spans="1:34">
      <c r="A1856" s="17" t="s">
        <v>34</v>
      </c>
      <c r="B1856" s="19">
        <v>839</v>
      </c>
      <c r="C1856" s="110" t="s">
        <v>728</v>
      </c>
      <c r="D1856" s="17" t="s">
        <v>52</v>
      </c>
      <c r="E1856" s="17" t="s">
        <v>187</v>
      </c>
      <c r="F1856" s="17" t="s">
        <v>54</v>
      </c>
      <c r="H1856" s="19" t="s">
        <v>548</v>
      </c>
      <c r="I1856" s="19"/>
      <c r="J1856" s="17" t="s">
        <v>49</v>
      </c>
      <c r="K1856" s="91">
        <v>2000</v>
      </c>
      <c r="L1856" s="17">
        <v>20</v>
      </c>
      <c r="M1856" s="19">
        <v>6000</v>
      </c>
      <c r="N1856" s="19" t="s">
        <v>66</v>
      </c>
      <c r="O1856" s="19" t="s">
        <v>141</v>
      </c>
      <c r="P1856" s="19">
        <v>8000</v>
      </c>
      <c r="Q1856" s="17">
        <f>7536+1884</f>
        <v>9420</v>
      </c>
      <c r="R1856" s="17">
        <f>+P1856-Q1856</f>
        <v>-1420</v>
      </c>
      <c r="S1856" s="17">
        <v>1155</v>
      </c>
      <c r="T1856" s="19" t="s">
        <v>42</v>
      </c>
      <c r="U1856" s="102" t="s">
        <v>729</v>
      </c>
      <c r="V1856" s="221">
        <v>44601</v>
      </c>
      <c r="W1856" s="17" t="s">
        <v>69</v>
      </c>
      <c r="Y1856" s="68">
        <v>44835</v>
      </c>
      <c r="Z1856" s="17" t="s">
        <v>191</v>
      </c>
      <c r="AA1856" s="17" t="s">
        <v>59</v>
      </c>
      <c r="AB1856" s="17" t="s">
        <v>731</v>
      </c>
      <c r="AC1856" s="67">
        <v>44905</v>
      </c>
      <c r="AD1856" s="65">
        <v>1348</v>
      </c>
      <c r="AE1856" s="17" t="s">
        <v>48</v>
      </c>
      <c r="AF1856" s="17" t="s">
        <v>245</v>
      </c>
    </row>
    <row r="1857" s="17" customFormat="1" hidden="1" spans="1:35">
      <c r="A1857" s="17" t="s">
        <v>34</v>
      </c>
      <c r="B1857" s="19">
        <v>839</v>
      </c>
      <c r="C1857" s="110" t="s">
        <v>728</v>
      </c>
      <c r="D1857" s="17" t="s">
        <v>52</v>
      </c>
      <c r="E1857" s="17" t="s">
        <v>187</v>
      </c>
      <c r="F1857" s="17" t="s">
        <v>54</v>
      </c>
      <c r="H1857" s="19" t="s">
        <v>548</v>
      </c>
      <c r="I1857" s="19"/>
      <c r="J1857" s="17" t="s">
        <v>49</v>
      </c>
      <c r="K1857" s="91">
        <v>2000</v>
      </c>
      <c r="L1857" s="17">
        <v>25</v>
      </c>
      <c r="M1857" s="19">
        <v>6000</v>
      </c>
      <c r="N1857" s="19" t="s">
        <v>66</v>
      </c>
      <c r="O1857" s="19" t="s">
        <v>141</v>
      </c>
      <c r="P1857" s="19">
        <v>8000</v>
      </c>
      <c r="Q1857" s="17">
        <v>9420</v>
      </c>
      <c r="R1857" s="17">
        <f>+P1857-Q1857</f>
        <v>-1420</v>
      </c>
      <c r="S1857" s="17">
        <v>1170</v>
      </c>
      <c r="T1857" s="19" t="s">
        <v>42</v>
      </c>
      <c r="U1857" s="102" t="s">
        <v>729</v>
      </c>
      <c r="V1857" s="221">
        <v>44601</v>
      </c>
      <c r="W1857" s="17" t="s">
        <v>69</v>
      </c>
      <c r="Y1857" s="68">
        <v>44835</v>
      </c>
      <c r="Z1857" s="17" t="s">
        <v>191</v>
      </c>
      <c r="AA1857" s="17" t="s">
        <v>59</v>
      </c>
      <c r="AB1857" s="17" t="s">
        <v>731</v>
      </c>
      <c r="AC1857" s="67">
        <v>44905</v>
      </c>
      <c r="AD1857" s="65">
        <v>1348</v>
      </c>
      <c r="AE1857" s="17" t="s">
        <v>48</v>
      </c>
      <c r="AF1857" s="17" t="s">
        <v>245</v>
      </c>
    </row>
    <row r="1858" s="17" customFormat="1" hidden="1" spans="1:35">
      <c r="A1858" s="17" t="s">
        <v>34</v>
      </c>
      <c r="B1858" s="19">
        <v>839</v>
      </c>
      <c r="C1858" s="110" t="s">
        <v>728</v>
      </c>
      <c r="D1858" s="17" t="s">
        <v>52</v>
      </c>
      <c r="E1858" s="17" t="s">
        <v>187</v>
      </c>
      <c r="F1858" s="17" t="s">
        <v>54</v>
      </c>
      <c r="H1858" s="19" t="s">
        <v>548</v>
      </c>
      <c r="I1858" s="19"/>
      <c r="J1858" s="17" t="s">
        <v>49</v>
      </c>
      <c r="K1858" s="91">
        <v>2000</v>
      </c>
      <c r="L1858" s="17">
        <v>45</v>
      </c>
      <c r="M1858" s="19">
        <v>6000</v>
      </c>
      <c r="N1858" s="19" t="s">
        <v>66</v>
      </c>
      <c r="O1858" s="19" t="s">
        <v>141</v>
      </c>
      <c r="P1858" s="19">
        <v>8000</v>
      </c>
      <c r="Q1858" s="17">
        <v>9326</v>
      </c>
      <c r="R1858" s="17">
        <f>+P1858-Q1858</f>
        <v>-1326</v>
      </c>
      <c r="S1858" s="17">
        <v>1170</v>
      </c>
      <c r="T1858" s="19" t="s">
        <v>42</v>
      </c>
      <c r="U1858" s="102" t="s">
        <v>729</v>
      </c>
      <c r="V1858" s="221">
        <v>44601</v>
      </c>
      <c r="W1858" s="17" t="s">
        <v>69</v>
      </c>
      <c r="Y1858" s="68">
        <v>44835</v>
      </c>
      <c r="Z1858" s="17" t="s">
        <v>191</v>
      </c>
      <c r="AA1858" s="17" t="s">
        <v>59</v>
      </c>
      <c r="AB1858" s="17" t="s">
        <v>731</v>
      </c>
      <c r="AC1858" s="67">
        <v>44905</v>
      </c>
      <c r="AD1858" s="65">
        <v>1348</v>
      </c>
      <c r="AE1858" s="17" t="s">
        <v>48</v>
      </c>
      <c r="AF1858" s="17" t="s">
        <v>245</v>
      </c>
    </row>
    <row r="1859" s="17" customFormat="1" hidden="1" spans="1:35">
      <c r="A1859" s="17" t="s">
        <v>34</v>
      </c>
      <c r="B1859" s="19">
        <v>839</v>
      </c>
      <c r="C1859" s="110" t="s">
        <v>728</v>
      </c>
      <c r="D1859" s="17" t="s">
        <v>52</v>
      </c>
      <c r="E1859" s="17" t="s">
        <v>187</v>
      </c>
      <c r="F1859" s="17" t="s">
        <v>54</v>
      </c>
      <c r="H1859" s="19" t="s">
        <v>549</v>
      </c>
      <c r="I1859" s="19"/>
      <c r="J1859" s="17" t="s">
        <v>49</v>
      </c>
      <c r="K1859" s="17">
        <v>2000</v>
      </c>
      <c r="L1859" s="17">
        <v>6</v>
      </c>
      <c r="M1859" s="19">
        <v>6000</v>
      </c>
      <c r="N1859" s="19" t="s">
        <v>66</v>
      </c>
      <c r="O1859" s="19" t="s">
        <v>141</v>
      </c>
      <c r="P1859" s="19">
        <v>8000</v>
      </c>
      <c r="Q1859" s="17">
        <v>8475</v>
      </c>
      <c r="R1859" s="17">
        <f>+P1859-Q1859</f>
        <v>-475</v>
      </c>
      <c r="S1859" s="17">
        <v>1300</v>
      </c>
      <c r="T1859" s="19" t="s">
        <v>42</v>
      </c>
      <c r="U1859" s="102" t="s">
        <v>729</v>
      </c>
      <c r="V1859" s="221">
        <v>44601</v>
      </c>
      <c r="W1859" s="17" t="s">
        <v>69</v>
      </c>
      <c r="Y1859" s="68">
        <v>44835</v>
      </c>
      <c r="Z1859" s="17" t="s">
        <v>191</v>
      </c>
      <c r="AA1859" s="17" t="s">
        <v>59</v>
      </c>
      <c r="AB1859" s="17" t="s">
        <v>730</v>
      </c>
      <c r="AC1859" s="67">
        <v>44905</v>
      </c>
      <c r="AD1859" s="65">
        <v>1349</v>
      </c>
      <c r="AE1859" s="17" t="s">
        <v>48</v>
      </c>
      <c r="AF1859" s="17" t="s">
        <v>245</v>
      </c>
    </row>
    <row r="1860" s="17" customFormat="1" hidden="1" spans="1:35">
      <c r="A1860" s="17" t="s">
        <v>34</v>
      </c>
      <c r="B1860" s="19">
        <v>839</v>
      </c>
      <c r="C1860" s="110" t="s">
        <v>728</v>
      </c>
      <c r="D1860" s="17" t="s">
        <v>52</v>
      </c>
      <c r="E1860" s="17" t="s">
        <v>187</v>
      </c>
      <c r="F1860" s="17" t="s">
        <v>54</v>
      </c>
      <c r="H1860" s="19" t="s">
        <v>549</v>
      </c>
      <c r="I1860" s="19"/>
      <c r="J1860" s="17" t="s">
        <v>49</v>
      </c>
      <c r="K1860" s="17">
        <v>2000</v>
      </c>
      <c r="L1860" s="17">
        <v>10</v>
      </c>
      <c r="M1860" s="19">
        <v>6000</v>
      </c>
      <c r="N1860" s="19" t="s">
        <v>66</v>
      </c>
      <c r="O1860" s="19" t="s">
        <v>141</v>
      </c>
      <c r="P1860" s="19">
        <v>9000</v>
      </c>
      <c r="Q1860" s="17">
        <v>3768</v>
      </c>
      <c r="S1860" s="17">
        <v>1355</v>
      </c>
      <c r="T1860" s="19" t="s">
        <v>42</v>
      </c>
      <c r="U1860" s="102" t="s">
        <v>729</v>
      </c>
      <c r="V1860" s="221">
        <v>44601</v>
      </c>
      <c r="W1860" s="17" t="s">
        <v>69</v>
      </c>
      <c r="Y1860" s="68">
        <v>44835</v>
      </c>
      <c r="Z1860" s="17" t="s">
        <v>191</v>
      </c>
      <c r="AA1860" s="17" t="s">
        <v>59</v>
      </c>
      <c r="AB1860" s="17" t="s">
        <v>730</v>
      </c>
      <c r="AC1860" s="67">
        <v>44905</v>
      </c>
      <c r="AD1860" s="65">
        <v>1349</v>
      </c>
      <c r="AE1860" s="17" t="s">
        <v>48</v>
      </c>
      <c r="AF1860" s="17" t="s">
        <v>245</v>
      </c>
    </row>
    <row r="1861" s="17" customFormat="1" hidden="1" spans="1:35">
      <c r="A1861" s="17" t="s">
        <v>34</v>
      </c>
      <c r="B1861" s="19">
        <v>839</v>
      </c>
      <c r="C1861" s="110" t="s">
        <v>728</v>
      </c>
      <c r="D1861" s="17" t="s">
        <v>52</v>
      </c>
      <c r="E1861" s="17" t="s">
        <v>187</v>
      </c>
      <c r="F1861" s="17" t="s">
        <v>54</v>
      </c>
      <c r="H1861" s="19" t="s">
        <v>549</v>
      </c>
      <c r="I1861" s="19"/>
      <c r="J1861" s="17" t="s">
        <v>49</v>
      </c>
      <c r="K1861" s="17">
        <v>2000</v>
      </c>
      <c r="L1861" s="17">
        <v>10</v>
      </c>
      <c r="M1861" s="19">
        <v>6000</v>
      </c>
      <c r="N1861" s="19" t="s">
        <v>66</v>
      </c>
      <c r="O1861" s="19" t="s">
        <v>141</v>
      </c>
      <c r="P1861" s="19">
        <v>9000</v>
      </c>
      <c r="Q1861" s="17">
        <v>5652</v>
      </c>
      <c r="R1861" s="17">
        <f>+P1860-Q1860-Q1861</f>
        <v>-420</v>
      </c>
      <c r="S1861" s="17">
        <v>1355</v>
      </c>
      <c r="T1861" s="19" t="s">
        <v>42</v>
      </c>
      <c r="U1861" s="102" t="s">
        <v>729</v>
      </c>
      <c r="V1861" s="221">
        <v>44601</v>
      </c>
      <c r="W1861" s="17" t="s">
        <v>69</v>
      </c>
      <c r="Y1861" s="68">
        <v>44835</v>
      </c>
      <c r="Z1861" s="17" t="s">
        <v>191</v>
      </c>
      <c r="AA1861" s="17" t="s">
        <v>59</v>
      </c>
      <c r="AB1861" s="17" t="s">
        <v>731</v>
      </c>
      <c r="AC1861" s="67">
        <v>44905</v>
      </c>
      <c r="AD1861" s="65">
        <v>1348</v>
      </c>
      <c r="AE1861" s="17" t="s">
        <v>48</v>
      </c>
      <c r="AF1861" s="17" t="s">
        <v>245</v>
      </c>
    </row>
    <row r="1862" s="17" customFormat="1" hidden="1" spans="1:35">
      <c r="A1862" s="17" t="s">
        <v>34</v>
      </c>
      <c r="B1862" s="19">
        <v>839</v>
      </c>
      <c r="C1862" s="110" t="s">
        <v>728</v>
      </c>
      <c r="D1862" s="17" t="s">
        <v>52</v>
      </c>
      <c r="E1862" s="17" t="s">
        <v>187</v>
      </c>
      <c r="F1862" s="17" t="s">
        <v>54</v>
      </c>
      <c r="H1862" s="19" t="s">
        <v>549</v>
      </c>
      <c r="I1862" s="19"/>
      <c r="J1862" s="17" t="s">
        <v>49</v>
      </c>
      <c r="K1862" s="17">
        <v>2000</v>
      </c>
      <c r="L1862" s="17">
        <v>12</v>
      </c>
      <c r="M1862" s="19">
        <v>6000</v>
      </c>
      <c r="N1862" s="19" t="s">
        <v>66</v>
      </c>
      <c r="O1862" s="19" t="s">
        <v>141</v>
      </c>
      <c r="P1862" s="19">
        <v>8000</v>
      </c>
      <c r="Q1862" s="17">
        <v>6780</v>
      </c>
      <c r="S1862" s="17">
        <v>1325</v>
      </c>
      <c r="T1862" s="19" t="s">
        <v>42</v>
      </c>
      <c r="U1862" s="102" t="s">
        <v>729</v>
      </c>
      <c r="V1862" s="221">
        <v>44601</v>
      </c>
      <c r="W1862" s="17" t="s">
        <v>69</v>
      </c>
      <c r="Y1862" s="68">
        <v>44835</v>
      </c>
      <c r="Z1862" s="17" t="s">
        <v>191</v>
      </c>
      <c r="AA1862" s="17" t="s">
        <v>59</v>
      </c>
      <c r="AB1862" s="17" t="s">
        <v>730</v>
      </c>
      <c r="AC1862" s="67">
        <v>44905</v>
      </c>
      <c r="AD1862" s="65">
        <v>1349</v>
      </c>
      <c r="AE1862" s="17" t="s">
        <v>48</v>
      </c>
      <c r="AF1862" s="17" t="s">
        <v>245</v>
      </c>
    </row>
    <row r="1863" s="17" customFormat="1" hidden="1" spans="1:35">
      <c r="A1863" s="17" t="s">
        <v>34</v>
      </c>
      <c r="B1863" s="19">
        <v>839</v>
      </c>
      <c r="C1863" s="110" t="s">
        <v>728</v>
      </c>
      <c r="D1863" s="17" t="s">
        <v>52</v>
      </c>
      <c r="E1863" s="17" t="s">
        <v>187</v>
      </c>
      <c r="F1863" s="17" t="s">
        <v>54</v>
      </c>
      <c r="H1863" s="19" t="s">
        <v>549</v>
      </c>
      <c r="I1863" s="19"/>
      <c r="J1863" s="17" t="s">
        <v>49</v>
      </c>
      <c r="K1863" s="17">
        <v>2000</v>
      </c>
      <c r="L1863" s="17">
        <v>12</v>
      </c>
      <c r="M1863" s="19">
        <v>6000</v>
      </c>
      <c r="N1863" s="19" t="s">
        <v>66</v>
      </c>
      <c r="O1863" s="19" t="s">
        <v>141</v>
      </c>
      <c r="P1863" s="19">
        <v>8000</v>
      </c>
      <c r="Q1863" s="17">
        <v>1130</v>
      </c>
      <c r="R1863" s="17">
        <f>+P1862-Q1862-Q1863</f>
        <v>90</v>
      </c>
      <c r="S1863" s="17">
        <v>1355</v>
      </c>
      <c r="T1863" s="19" t="s">
        <v>42</v>
      </c>
      <c r="U1863" s="102" t="s">
        <v>729</v>
      </c>
      <c r="V1863" s="221">
        <v>44601</v>
      </c>
      <c r="W1863" s="17" t="s">
        <v>69</v>
      </c>
      <c r="Y1863" s="68">
        <v>44835</v>
      </c>
      <c r="Z1863" s="17" t="s">
        <v>191</v>
      </c>
      <c r="AA1863" s="17" t="s">
        <v>59</v>
      </c>
      <c r="AB1863" s="17" t="s">
        <v>731</v>
      </c>
      <c r="AC1863" s="67">
        <v>44905</v>
      </c>
      <c r="AD1863" s="65">
        <v>1348</v>
      </c>
      <c r="AE1863" s="17" t="s">
        <v>48</v>
      </c>
      <c r="AF1863" s="17" t="s">
        <v>245</v>
      </c>
    </row>
    <row r="1864" s="17" customFormat="1" hidden="1" spans="1:35">
      <c r="A1864" s="17" t="s">
        <v>34</v>
      </c>
      <c r="B1864" s="19">
        <v>840</v>
      </c>
      <c r="C1864" s="222">
        <v>44570</v>
      </c>
      <c r="D1864" s="17" t="s">
        <v>35</v>
      </c>
      <c r="E1864" s="17" t="s">
        <v>482</v>
      </c>
      <c r="F1864" s="17" t="s">
        <v>72</v>
      </c>
      <c r="H1864" s="19">
        <v>1.2316</v>
      </c>
      <c r="I1864" s="19"/>
      <c r="J1864" s="17" t="s">
        <v>39</v>
      </c>
      <c r="K1864" s="19">
        <v>56</v>
      </c>
      <c r="L1864" s="19"/>
      <c r="M1864" s="19">
        <v>5000</v>
      </c>
      <c r="N1864" s="19" t="s">
        <v>66</v>
      </c>
      <c r="O1864" s="19" t="s">
        <v>84</v>
      </c>
      <c r="P1864" s="19">
        <v>1200</v>
      </c>
      <c r="Q1864" s="17">
        <v>956</v>
      </c>
      <c r="R1864" s="17">
        <f t="shared" ref="R1864:R1895" si="102">+P1864-Q1864</f>
        <v>244</v>
      </c>
      <c r="S1864" s="17">
        <v>3600</v>
      </c>
      <c r="T1864" s="19" t="s">
        <v>42</v>
      </c>
      <c r="U1864" s="102" t="s">
        <v>732</v>
      </c>
      <c r="V1864" s="223" t="s">
        <v>728</v>
      </c>
      <c r="W1864" s="17" t="s">
        <v>44</v>
      </c>
      <c r="Y1864" s="68">
        <v>44917</v>
      </c>
      <c r="Z1864" s="17" t="s">
        <v>191</v>
      </c>
      <c r="AA1864" s="17" t="s">
        <v>46</v>
      </c>
      <c r="AB1864" s="17" t="s">
        <v>733</v>
      </c>
      <c r="AC1864" s="217">
        <v>45081</v>
      </c>
      <c r="AD1864" s="65">
        <v>1421</v>
      </c>
      <c r="AE1864" s="17" t="s">
        <v>48</v>
      </c>
      <c r="AF1864" s="17" t="s">
        <v>734</v>
      </c>
      <c r="AI1864" s="17">
        <v>3725</v>
      </c>
    </row>
    <row r="1865" s="17" customFormat="1" hidden="1" spans="1:35">
      <c r="A1865" s="17" t="s">
        <v>34</v>
      </c>
      <c r="B1865" s="19">
        <v>840</v>
      </c>
      <c r="C1865" s="222">
        <v>44570</v>
      </c>
      <c r="D1865" s="17" t="s">
        <v>35</v>
      </c>
      <c r="E1865" s="17" t="s">
        <v>482</v>
      </c>
      <c r="F1865" s="17" t="s">
        <v>72</v>
      </c>
      <c r="H1865" s="19">
        <v>1.2316</v>
      </c>
      <c r="I1865" s="19"/>
      <c r="J1865" s="17" t="s">
        <v>39</v>
      </c>
      <c r="K1865" s="19">
        <v>61</v>
      </c>
      <c r="L1865" s="19"/>
      <c r="M1865" s="19">
        <v>5000</v>
      </c>
      <c r="N1865" s="19" t="s">
        <v>66</v>
      </c>
      <c r="O1865" s="19" t="s">
        <v>50</v>
      </c>
      <c r="P1865" s="19">
        <v>1200</v>
      </c>
      <c r="Q1865" s="17">
        <v>1094</v>
      </c>
      <c r="R1865" s="17">
        <f t="shared" si="102"/>
        <v>106</v>
      </c>
      <c r="S1865" s="17">
        <v>3600</v>
      </c>
      <c r="T1865" s="19" t="s">
        <v>42</v>
      </c>
      <c r="U1865" s="102" t="s">
        <v>732</v>
      </c>
      <c r="V1865" s="223" t="s">
        <v>728</v>
      </c>
      <c r="W1865" s="17" t="s">
        <v>44</v>
      </c>
      <c r="Y1865" s="68">
        <v>44917</v>
      </c>
      <c r="Z1865" s="17" t="s">
        <v>191</v>
      </c>
      <c r="AA1865" s="17" t="s">
        <v>46</v>
      </c>
      <c r="AB1865" s="17" t="s">
        <v>735</v>
      </c>
      <c r="AC1865" s="217">
        <v>45141</v>
      </c>
      <c r="AD1865" s="65">
        <v>1399</v>
      </c>
      <c r="AE1865" s="17" t="s">
        <v>48</v>
      </c>
      <c r="AI1865" s="17">
        <v>3725</v>
      </c>
    </row>
    <row r="1866" s="17" customFormat="1" hidden="1" spans="1:35">
      <c r="A1866" s="17" t="s">
        <v>34</v>
      </c>
      <c r="B1866" s="19">
        <v>840</v>
      </c>
      <c r="C1866" s="222">
        <v>44570</v>
      </c>
      <c r="D1866" s="17" t="s">
        <v>35</v>
      </c>
      <c r="E1866" s="17" t="s">
        <v>482</v>
      </c>
      <c r="F1866" s="17" t="s">
        <v>72</v>
      </c>
      <c r="H1866" s="19">
        <v>1.2316</v>
      </c>
      <c r="I1866" s="19"/>
      <c r="J1866" s="17" t="s">
        <v>39</v>
      </c>
      <c r="K1866" s="19">
        <v>71</v>
      </c>
      <c r="L1866" s="19"/>
      <c r="M1866" s="19">
        <v>5000</v>
      </c>
      <c r="N1866" s="19" t="s">
        <v>66</v>
      </c>
      <c r="O1866" s="19" t="s">
        <v>50</v>
      </c>
      <c r="P1866" s="19">
        <v>1200</v>
      </c>
      <c r="Q1866" s="17">
        <v>1134</v>
      </c>
      <c r="R1866" s="17">
        <f t="shared" si="102"/>
        <v>66</v>
      </c>
      <c r="S1866" s="17">
        <v>3600</v>
      </c>
      <c r="T1866" s="19" t="s">
        <v>42</v>
      </c>
      <c r="U1866" s="102" t="s">
        <v>732</v>
      </c>
      <c r="V1866" s="223" t="s">
        <v>728</v>
      </c>
      <c r="W1866" s="17" t="s">
        <v>44</v>
      </c>
      <c r="Y1866" s="68">
        <v>44917</v>
      </c>
      <c r="Z1866" s="17" t="s">
        <v>191</v>
      </c>
      <c r="AA1866" s="17" t="s">
        <v>46</v>
      </c>
      <c r="AB1866" s="17" t="s">
        <v>735</v>
      </c>
      <c r="AC1866" s="217">
        <v>45141</v>
      </c>
      <c r="AD1866" s="65">
        <v>1399</v>
      </c>
      <c r="AE1866" s="17" t="s">
        <v>48</v>
      </c>
      <c r="AF1866" s="17" t="s">
        <v>184</v>
      </c>
      <c r="AI1866" s="17">
        <v>3725</v>
      </c>
    </row>
    <row r="1867" s="17" customFormat="1" hidden="1" spans="1:35">
      <c r="A1867" s="17" t="s">
        <v>34</v>
      </c>
      <c r="B1867" s="19">
        <v>840</v>
      </c>
      <c r="C1867" s="222">
        <v>44570</v>
      </c>
      <c r="D1867" s="17" t="s">
        <v>35</v>
      </c>
      <c r="E1867" s="17" t="s">
        <v>482</v>
      </c>
      <c r="F1867" s="17" t="s">
        <v>72</v>
      </c>
      <c r="H1867" s="19">
        <v>1.2316</v>
      </c>
      <c r="I1867" s="19"/>
      <c r="J1867" s="17" t="s">
        <v>39</v>
      </c>
      <c r="K1867" s="19">
        <v>81</v>
      </c>
      <c r="L1867" s="19"/>
      <c r="M1867" s="19">
        <v>5000</v>
      </c>
      <c r="N1867" s="19" t="s">
        <v>66</v>
      </c>
      <c r="O1867" s="19" t="s">
        <v>84</v>
      </c>
      <c r="P1867" s="19">
        <v>1200</v>
      </c>
      <c r="Q1867" s="17">
        <v>1118</v>
      </c>
      <c r="R1867" s="17">
        <f t="shared" si="102"/>
        <v>82</v>
      </c>
      <c r="S1867" s="17">
        <v>3600</v>
      </c>
      <c r="T1867" s="19" t="s">
        <v>42</v>
      </c>
      <c r="U1867" s="102" t="s">
        <v>732</v>
      </c>
      <c r="V1867" s="223" t="s">
        <v>728</v>
      </c>
      <c r="W1867" s="17" t="s">
        <v>44</v>
      </c>
      <c r="Y1867" s="68">
        <v>44917</v>
      </c>
      <c r="Z1867" s="17" t="s">
        <v>191</v>
      </c>
      <c r="AA1867" s="17" t="s">
        <v>46</v>
      </c>
      <c r="AB1867" s="17" t="s">
        <v>733</v>
      </c>
      <c r="AC1867" s="217">
        <v>45081</v>
      </c>
      <c r="AD1867" s="65">
        <v>1421</v>
      </c>
      <c r="AE1867" s="17" t="s">
        <v>48</v>
      </c>
      <c r="AF1867" s="17" t="s">
        <v>734</v>
      </c>
      <c r="AI1867" s="17">
        <v>3725</v>
      </c>
    </row>
    <row r="1868" s="17" customFormat="1" hidden="1" spans="1:35">
      <c r="A1868" s="17" t="s">
        <v>34</v>
      </c>
      <c r="B1868" s="19">
        <v>840</v>
      </c>
      <c r="C1868" s="222">
        <v>44570</v>
      </c>
      <c r="D1868" s="17" t="s">
        <v>35</v>
      </c>
      <c r="E1868" s="17" t="s">
        <v>482</v>
      </c>
      <c r="F1868" s="17" t="s">
        <v>72</v>
      </c>
      <c r="H1868" s="19">
        <v>1.2316</v>
      </c>
      <c r="I1868" s="19"/>
      <c r="J1868" s="17" t="s">
        <v>39</v>
      </c>
      <c r="K1868" s="19">
        <v>86</v>
      </c>
      <c r="L1868" s="19"/>
      <c r="M1868" s="19">
        <v>5000</v>
      </c>
      <c r="N1868" s="19" t="s">
        <v>66</v>
      </c>
      <c r="O1868" s="19" t="s">
        <v>50</v>
      </c>
      <c r="P1868" s="19">
        <v>1200</v>
      </c>
      <c r="Q1868" s="17">
        <v>968</v>
      </c>
      <c r="R1868" s="17">
        <f t="shared" si="102"/>
        <v>232</v>
      </c>
      <c r="S1868" s="17">
        <v>3600</v>
      </c>
      <c r="T1868" s="19" t="s">
        <v>42</v>
      </c>
      <c r="U1868" s="102" t="s">
        <v>732</v>
      </c>
      <c r="V1868" s="223" t="s">
        <v>728</v>
      </c>
      <c r="W1868" s="17" t="s">
        <v>44</v>
      </c>
      <c r="Y1868" s="68">
        <v>44917</v>
      </c>
      <c r="Z1868" s="17" t="s">
        <v>191</v>
      </c>
      <c r="AA1868" s="17" t="s">
        <v>46</v>
      </c>
      <c r="AB1868" s="17" t="s">
        <v>735</v>
      </c>
      <c r="AC1868" s="217">
        <v>45141</v>
      </c>
      <c r="AD1868" s="65">
        <v>1399</v>
      </c>
      <c r="AE1868" s="17" t="s">
        <v>48</v>
      </c>
      <c r="AI1868" s="17">
        <v>3725</v>
      </c>
    </row>
    <row r="1869" s="17" customFormat="1" hidden="1" spans="1:35">
      <c r="A1869" s="17" t="s">
        <v>34</v>
      </c>
      <c r="B1869" s="19">
        <v>840</v>
      </c>
      <c r="C1869" s="222">
        <v>44570</v>
      </c>
      <c r="D1869" s="17" t="s">
        <v>35</v>
      </c>
      <c r="E1869" s="17" t="s">
        <v>482</v>
      </c>
      <c r="F1869" s="17" t="s">
        <v>72</v>
      </c>
      <c r="H1869" s="19">
        <v>1.2316</v>
      </c>
      <c r="I1869" s="19"/>
      <c r="J1869" s="17" t="s">
        <v>39</v>
      </c>
      <c r="K1869" s="19">
        <v>91</v>
      </c>
      <c r="L1869" s="19"/>
      <c r="M1869" s="19">
        <v>5000</v>
      </c>
      <c r="N1869" s="19" t="s">
        <v>66</v>
      </c>
      <c r="O1869" s="19" t="s">
        <v>50</v>
      </c>
      <c r="P1869" s="19">
        <v>1000</v>
      </c>
      <c r="Q1869" s="17">
        <v>1350</v>
      </c>
      <c r="R1869" s="17">
        <f t="shared" si="102"/>
        <v>-350</v>
      </c>
      <c r="S1869" s="17">
        <v>3600</v>
      </c>
      <c r="T1869" s="19" t="s">
        <v>42</v>
      </c>
      <c r="U1869" s="102" t="s">
        <v>732</v>
      </c>
      <c r="V1869" s="223" t="s">
        <v>728</v>
      </c>
      <c r="W1869" s="17" t="s">
        <v>44</v>
      </c>
      <c r="Y1869" s="68">
        <v>44917</v>
      </c>
      <c r="Z1869" s="17" t="s">
        <v>191</v>
      </c>
      <c r="AA1869" s="17" t="s">
        <v>46</v>
      </c>
      <c r="AB1869" s="17" t="s">
        <v>735</v>
      </c>
      <c r="AC1869" s="217">
        <v>45141</v>
      </c>
      <c r="AD1869" s="65">
        <v>1399</v>
      </c>
      <c r="AE1869" s="17" t="s">
        <v>48</v>
      </c>
      <c r="AI1869" s="17">
        <v>3725</v>
      </c>
    </row>
    <row r="1870" s="17" customFormat="1" hidden="1" spans="1:35">
      <c r="A1870" s="17" t="s">
        <v>34</v>
      </c>
      <c r="B1870" s="19">
        <v>840</v>
      </c>
      <c r="C1870" s="222">
        <v>44570</v>
      </c>
      <c r="D1870" s="17" t="s">
        <v>35</v>
      </c>
      <c r="E1870" s="17" t="s">
        <v>482</v>
      </c>
      <c r="F1870" s="17" t="s">
        <v>72</v>
      </c>
      <c r="H1870" s="19">
        <v>1.2316</v>
      </c>
      <c r="I1870" s="19"/>
      <c r="J1870" s="17" t="s">
        <v>39</v>
      </c>
      <c r="K1870" s="19">
        <v>101</v>
      </c>
      <c r="L1870" s="19"/>
      <c r="M1870" s="19">
        <v>5000</v>
      </c>
      <c r="N1870" s="19" t="s">
        <v>66</v>
      </c>
      <c r="O1870" s="19" t="s">
        <v>50</v>
      </c>
      <c r="P1870" s="19">
        <v>1000</v>
      </c>
      <c r="Q1870" s="17">
        <v>1550</v>
      </c>
      <c r="R1870" s="17">
        <f t="shared" si="102"/>
        <v>-550</v>
      </c>
      <c r="S1870" s="17">
        <v>3600</v>
      </c>
      <c r="T1870" s="19" t="s">
        <v>42</v>
      </c>
      <c r="U1870" s="102" t="s">
        <v>732</v>
      </c>
      <c r="V1870" s="223" t="s">
        <v>728</v>
      </c>
      <c r="W1870" s="17" t="s">
        <v>44</v>
      </c>
      <c r="Y1870" s="68">
        <v>44917</v>
      </c>
      <c r="Z1870" s="17" t="s">
        <v>191</v>
      </c>
      <c r="AA1870" s="17" t="s">
        <v>46</v>
      </c>
      <c r="AB1870" s="17" t="s">
        <v>735</v>
      </c>
      <c r="AC1870" s="217">
        <v>45141</v>
      </c>
      <c r="AD1870" s="65">
        <v>1399</v>
      </c>
      <c r="AE1870" s="17" t="s">
        <v>48</v>
      </c>
      <c r="AI1870" s="17">
        <v>3725</v>
      </c>
    </row>
    <row r="1871" s="17" customFormat="1" hidden="1" spans="1:35">
      <c r="A1871" s="17" t="s">
        <v>34</v>
      </c>
      <c r="B1871" s="19">
        <v>840</v>
      </c>
      <c r="C1871" s="222">
        <v>44570</v>
      </c>
      <c r="D1871" s="17" t="s">
        <v>35</v>
      </c>
      <c r="E1871" s="17" t="s">
        <v>482</v>
      </c>
      <c r="F1871" s="17" t="s">
        <v>72</v>
      </c>
      <c r="H1871" s="19">
        <v>1.2316</v>
      </c>
      <c r="I1871" s="19"/>
      <c r="J1871" s="17" t="s">
        <v>39</v>
      </c>
      <c r="K1871" s="19">
        <v>111</v>
      </c>
      <c r="L1871" s="19"/>
      <c r="M1871" s="19">
        <v>5000</v>
      </c>
      <c r="N1871" s="19" t="s">
        <v>66</v>
      </c>
      <c r="O1871" s="19" t="s">
        <v>50</v>
      </c>
      <c r="P1871" s="19">
        <v>1000</v>
      </c>
      <c r="Q1871" s="17">
        <v>1210</v>
      </c>
      <c r="R1871" s="17">
        <f t="shared" si="102"/>
        <v>-210</v>
      </c>
      <c r="S1871" s="17">
        <v>3600</v>
      </c>
      <c r="T1871" s="19" t="s">
        <v>42</v>
      </c>
      <c r="U1871" s="102" t="s">
        <v>732</v>
      </c>
      <c r="V1871" s="223" t="s">
        <v>728</v>
      </c>
      <c r="W1871" s="17" t="s">
        <v>44</v>
      </c>
      <c r="Y1871" s="68">
        <v>44917</v>
      </c>
      <c r="Z1871" s="17" t="s">
        <v>191</v>
      </c>
      <c r="AA1871" s="17" t="s">
        <v>46</v>
      </c>
      <c r="AB1871" s="17" t="s">
        <v>735</v>
      </c>
      <c r="AC1871" s="217">
        <v>45141</v>
      </c>
      <c r="AD1871" s="65">
        <v>1399</v>
      </c>
      <c r="AE1871" s="17" t="s">
        <v>48</v>
      </c>
      <c r="AI1871" s="17">
        <v>3725</v>
      </c>
    </row>
    <row r="1872" s="17" customFormat="1" hidden="1" spans="1:35">
      <c r="A1872" s="17" t="s">
        <v>34</v>
      </c>
      <c r="B1872" s="19">
        <v>840</v>
      </c>
      <c r="C1872" s="222">
        <v>44570</v>
      </c>
      <c r="D1872" s="17" t="s">
        <v>35</v>
      </c>
      <c r="E1872" s="17" t="s">
        <v>482</v>
      </c>
      <c r="F1872" s="17" t="s">
        <v>72</v>
      </c>
      <c r="H1872" s="19">
        <v>1.2316</v>
      </c>
      <c r="I1872" s="19"/>
      <c r="J1872" s="17" t="s">
        <v>39</v>
      </c>
      <c r="K1872" s="19">
        <v>121</v>
      </c>
      <c r="L1872" s="19"/>
      <c r="M1872" s="19">
        <v>5000</v>
      </c>
      <c r="N1872" s="19" t="s">
        <v>66</v>
      </c>
      <c r="O1872" s="19" t="s">
        <v>50</v>
      </c>
      <c r="P1872" s="19">
        <v>1000</v>
      </c>
      <c r="Q1872" s="17">
        <v>1240</v>
      </c>
      <c r="R1872" s="17">
        <f t="shared" si="102"/>
        <v>-240</v>
      </c>
      <c r="S1872" s="17">
        <v>3600</v>
      </c>
      <c r="T1872" s="19" t="s">
        <v>42</v>
      </c>
      <c r="U1872" s="102" t="s">
        <v>732</v>
      </c>
      <c r="V1872" s="223" t="s">
        <v>728</v>
      </c>
      <c r="W1872" s="17" t="s">
        <v>44</v>
      </c>
      <c r="Y1872" s="68">
        <v>44917</v>
      </c>
      <c r="Z1872" s="17" t="s">
        <v>191</v>
      </c>
      <c r="AA1872" s="17" t="s">
        <v>46</v>
      </c>
      <c r="AB1872" s="17" t="s">
        <v>735</v>
      </c>
      <c r="AC1872" s="217">
        <v>45141</v>
      </c>
      <c r="AD1872" s="65">
        <v>1399</v>
      </c>
      <c r="AE1872" s="17" t="s">
        <v>48</v>
      </c>
      <c r="AI1872" s="17">
        <v>3725</v>
      </c>
    </row>
    <row r="1873" s="17" customFormat="1" hidden="1" spans="1:35">
      <c r="A1873" s="17" t="s">
        <v>34</v>
      </c>
      <c r="B1873" s="19">
        <v>840</v>
      </c>
      <c r="C1873" s="222">
        <v>44570</v>
      </c>
      <c r="D1873" s="17" t="s">
        <v>35</v>
      </c>
      <c r="E1873" s="17" t="s">
        <v>482</v>
      </c>
      <c r="F1873" s="17" t="s">
        <v>72</v>
      </c>
      <c r="H1873" s="19">
        <v>1.2316</v>
      </c>
      <c r="I1873" s="19"/>
      <c r="J1873" s="17" t="s">
        <v>39</v>
      </c>
      <c r="K1873" s="19">
        <v>132</v>
      </c>
      <c r="L1873" s="19"/>
      <c r="M1873" s="19">
        <v>5000</v>
      </c>
      <c r="N1873" s="19" t="s">
        <v>66</v>
      </c>
      <c r="O1873" s="19" t="s">
        <v>50</v>
      </c>
      <c r="P1873" s="19">
        <v>1000</v>
      </c>
      <c r="Q1873" s="17">
        <v>1022</v>
      </c>
      <c r="R1873" s="17">
        <f t="shared" si="102"/>
        <v>-22</v>
      </c>
      <c r="S1873" s="17">
        <v>3600</v>
      </c>
      <c r="T1873" s="19" t="s">
        <v>42</v>
      </c>
      <c r="U1873" s="102" t="s">
        <v>732</v>
      </c>
      <c r="V1873" s="223" t="s">
        <v>728</v>
      </c>
      <c r="W1873" s="17" t="s">
        <v>44</v>
      </c>
      <c r="Y1873" s="68">
        <v>44917</v>
      </c>
      <c r="Z1873" s="17" t="s">
        <v>191</v>
      </c>
      <c r="AA1873" s="17" t="s">
        <v>46</v>
      </c>
      <c r="AB1873" s="17" t="s">
        <v>735</v>
      </c>
      <c r="AC1873" s="217">
        <v>45141</v>
      </c>
      <c r="AD1873" s="65">
        <v>1399</v>
      </c>
      <c r="AE1873" s="17" t="s">
        <v>48</v>
      </c>
      <c r="AI1873" s="17">
        <v>3725</v>
      </c>
    </row>
    <row r="1874" s="17" customFormat="1" hidden="1" spans="1:35">
      <c r="A1874" s="17" t="s">
        <v>34</v>
      </c>
      <c r="B1874" s="19">
        <v>840</v>
      </c>
      <c r="C1874" s="222">
        <v>44570</v>
      </c>
      <c r="D1874" s="17" t="s">
        <v>35</v>
      </c>
      <c r="E1874" s="17" t="s">
        <v>482</v>
      </c>
      <c r="F1874" s="17" t="s">
        <v>72</v>
      </c>
      <c r="H1874" s="19">
        <v>1.2316</v>
      </c>
      <c r="I1874" s="19"/>
      <c r="J1874" s="17" t="s">
        <v>39</v>
      </c>
      <c r="K1874" s="19">
        <v>142</v>
      </c>
      <c r="L1874" s="19"/>
      <c r="M1874" s="19">
        <v>5000</v>
      </c>
      <c r="N1874" s="19" t="s">
        <v>66</v>
      </c>
      <c r="O1874" s="19" t="s">
        <v>50</v>
      </c>
      <c r="P1874" s="19">
        <v>1000</v>
      </c>
      <c r="Q1874" s="17">
        <v>969</v>
      </c>
      <c r="R1874" s="17">
        <f t="shared" si="102"/>
        <v>31</v>
      </c>
      <c r="S1874" s="17">
        <v>3600</v>
      </c>
      <c r="T1874" s="19" t="s">
        <v>42</v>
      </c>
      <c r="U1874" s="102" t="s">
        <v>732</v>
      </c>
      <c r="V1874" s="223" t="s">
        <v>728</v>
      </c>
      <c r="W1874" s="17" t="s">
        <v>44</v>
      </c>
      <c r="Y1874" s="68">
        <v>44917</v>
      </c>
      <c r="Z1874" s="17" t="s">
        <v>191</v>
      </c>
      <c r="AA1874" s="17" t="s">
        <v>46</v>
      </c>
      <c r="AB1874" s="17" t="s">
        <v>735</v>
      </c>
      <c r="AC1874" s="217">
        <v>45141</v>
      </c>
      <c r="AD1874" s="65">
        <v>1399</v>
      </c>
      <c r="AE1874" s="17" t="s">
        <v>48</v>
      </c>
      <c r="AI1874" s="17">
        <v>3725</v>
      </c>
    </row>
    <row r="1875" s="17" customFormat="1" hidden="1" spans="1:35">
      <c r="A1875" s="17" t="s">
        <v>34</v>
      </c>
      <c r="B1875" s="19">
        <v>840</v>
      </c>
      <c r="C1875" s="222">
        <v>44570</v>
      </c>
      <c r="D1875" s="17" t="s">
        <v>35</v>
      </c>
      <c r="E1875" s="17" t="s">
        <v>482</v>
      </c>
      <c r="F1875" s="17" t="s">
        <v>72</v>
      </c>
      <c r="H1875" s="19">
        <v>1.2316</v>
      </c>
      <c r="I1875" s="19"/>
      <c r="J1875" s="17" t="s">
        <v>39</v>
      </c>
      <c r="K1875" s="19">
        <v>152</v>
      </c>
      <c r="L1875" s="19"/>
      <c r="M1875" s="19">
        <v>5000</v>
      </c>
      <c r="N1875" s="19" t="s">
        <v>66</v>
      </c>
      <c r="O1875" s="19" t="s">
        <v>50</v>
      </c>
      <c r="P1875" s="19">
        <v>1000</v>
      </c>
      <c r="Q1875" s="17">
        <v>1928</v>
      </c>
      <c r="R1875" s="17">
        <f t="shared" si="102"/>
        <v>-928</v>
      </c>
      <c r="S1875" s="17">
        <v>3600</v>
      </c>
      <c r="T1875" s="19" t="s">
        <v>42</v>
      </c>
      <c r="U1875" s="102" t="s">
        <v>732</v>
      </c>
      <c r="V1875" s="223" t="s">
        <v>728</v>
      </c>
      <c r="W1875" s="17" t="s">
        <v>44</v>
      </c>
      <c r="Y1875" s="68">
        <v>44917</v>
      </c>
      <c r="Z1875" s="17" t="s">
        <v>191</v>
      </c>
      <c r="AA1875" s="17" t="s">
        <v>46</v>
      </c>
      <c r="AB1875" s="17" t="s">
        <v>735</v>
      </c>
      <c r="AC1875" s="217">
        <v>45141</v>
      </c>
      <c r="AD1875" s="65">
        <v>1399</v>
      </c>
      <c r="AE1875" s="17" t="s">
        <v>48</v>
      </c>
      <c r="AI1875" s="17">
        <v>3725</v>
      </c>
    </row>
    <row r="1876" s="17" customFormat="1" hidden="1" spans="1:35">
      <c r="A1876" s="17" t="s">
        <v>34</v>
      </c>
      <c r="B1876" s="19">
        <v>840</v>
      </c>
      <c r="C1876" s="222">
        <v>44570</v>
      </c>
      <c r="D1876" s="17" t="s">
        <v>35</v>
      </c>
      <c r="E1876" s="17" t="s">
        <v>482</v>
      </c>
      <c r="F1876" s="17" t="s">
        <v>72</v>
      </c>
      <c r="H1876" s="19">
        <v>1.2316</v>
      </c>
      <c r="I1876" s="19"/>
      <c r="J1876" s="17" t="s">
        <v>39</v>
      </c>
      <c r="K1876" s="19">
        <v>172</v>
      </c>
      <c r="L1876" s="19"/>
      <c r="M1876" s="19">
        <v>5000</v>
      </c>
      <c r="N1876" s="19" t="s">
        <v>66</v>
      </c>
      <c r="O1876" s="19" t="s">
        <v>50</v>
      </c>
      <c r="P1876" s="19">
        <v>1000</v>
      </c>
      <c r="Q1876" s="17">
        <v>2010</v>
      </c>
      <c r="R1876" s="17">
        <f t="shared" si="102"/>
        <v>-1010</v>
      </c>
      <c r="S1876" s="17">
        <v>3600</v>
      </c>
      <c r="T1876" s="19" t="s">
        <v>42</v>
      </c>
      <c r="U1876" s="102" t="s">
        <v>732</v>
      </c>
      <c r="V1876" s="223" t="s">
        <v>728</v>
      </c>
      <c r="W1876" s="17" t="s">
        <v>44</v>
      </c>
      <c r="Y1876" s="68">
        <v>44917</v>
      </c>
      <c r="Z1876" s="17" t="s">
        <v>191</v>
      </c>
      <c r="AA1876" s="17" t="s">
        <v>46</v>
      </c>
      <c r="AB1876" s="17" t="s">
        <v>735</v>
      </c>
      <c r="AC1876" s="217">
        <v>45141</v>
      </c>
      <c r="AD1876" s="65">
        <v>1399</v>
      </c>
      <c r="AE1876" s="17" t="s">
        <v>48</v>
      </c>
      <c r="AI1876" s="17">
        <v>3725</v>
      </c>
    </row>
    <row r="1877" s="17" customFormat="1" hidden="1" spans="1:35">
      <c r="A1877" s="17" t="s">
        <v>34</v>
      </c>
      <c r="B1877" s="19">
        <v>840</v>
      </c>
      <c r="C1877" s="222">
        <v>44570</v>
      </c>
      <c r="D1877" s="17" t="s">
        <v>35</v>
      </c>
      <c r="E1877" s="17" t="s">
        <v>482</v>
      </c>
      <c r="F1877" s="17" t="s">
        <v>72</v>
      </c>
      <c r="H1877" s="19">
        <v>1.2316</v>
      </c>
      <c r="I1877" s="19"/>
      <c r="J1877" s="17" t="s">
        <v>39</v>
      </c>
      <c r="K1877" s="19">
        <v>182</v>
      </c>
      <c r="L1877" s="19"/>
      <c r="M1877" s="19">
        <v>5000</v>
      </c>
      <c r="N1877" s="19" t="s">
        <v>66</v>
      </c>
      <c r="O1877" s="19" t="s">
        <v>50</v>
      </c>
      <c r="P1877" s="19">
        <v>1000</v>
      </c>
      <c r="Q1877" s="17">
        <v>2101</v>
      </c>
      <c r="R1877" s="17">
        <f t="shared" si="102"/>
        <v>-1101</v>
      </c>
      <c r="S1877" s="17">
        <v>3600</v>
      </c>
      <c r="T1877" s="19" t="s">
        <v>42</v>
      </c>
      <c r="U1877" s="102" t="s">
        <v>732</v>
      </c>
      <c r="V1877" s="223" t="s">
        <v>728</v>
      </c>
      <c r="W1877" s="17" t="s">
        <v>44</v>
      </c>
      <c r="Y1877" s="68">
        <v>44917</v>
      </c>
      <c r="Z1877" s="17" t="s">
        <v>191</v>
      </c>
      <c r="AA1877" s="17" t="s">
        <v>46</v>
      </c>
      <c r="AB1877" s="17" t="s">
        <v>735</v>
      </c>
      <c r="AC1877" s="217">
        <v>45141</v>
      </c>
      <c r="AD1877" s="65">
        <v>1399</v>
      </c>
      <c r="AE1877" s="17" t="s">
        <v>48</v>
      </c>
      <c r="AI1877" s="17">
        <v>3725</v>
      </c>
    </row>
    <row r="1878" s="17" customFormat="1" hidden="1" spans="1:35">
      <c r="A1878" s="17" t="s">
        <v>34</v>
      </c>
      <c r="B1878" s="19">
        <v>840</v>
      </c>
      <c r="C1878" s="222">
        <v>44570</v>
      </c>
      <c r="D1878" s="17" t="s">
        <v>35</v>
      </c>
      <c r="E1878" s="17" t="s">
        <v>482</v>
      </c>
      <c r="F1878" s="17" t="s">
        <v>72</v>
      </c>
      <c r="H1878" s="19" t="s">
        <v>117</v>
      </c>
      <c r="I1878" s="19"/>
      <c r="J1878" s="17" t="s">
        <v>39</v>
      </c>
      <c r="K1878" s="19">
        <v>56</v>
      </c>
      <c r="L1878" s="19"/>
      <c r="M1878" s="19">
        <v>5000</v>
      </c>
      <c r="N1878" s="19" t="s">
        <v>66</v>
      </c>
      <c r="O1878" s="19" t="s">
        <v>50</v>
      </c>
      <c r="P1878" s="19">
        <v>3600</v>
      </c>
      <c r="Q1878" s="17">
        <v>3578</v>
      </c>
      <c r="R1878" s="17">
        <f t="shared" si="102"/>
        <v>22</v>
      </c>
      <c r="S1878" s="17">
        <v>3600</v>
      </c>
      <c r="T1878" s="19" t="s">
        <v>42</v>
      </c>
      <c r="U1878" s="102" t="s">
        <v>732</v>
      </c>
      <c r="V1878" s="223" t="s">
        <v>728</v>
      </c>
      <c r="W1878" s="17" t="s">
        <v>44</v>
      </c>
      <c r="Y1878" s="68">
        <v>44917</v>
      </c>
      <c r="Z1878" s="17" t="s">
        <v>191</v>
      </c>
      <c r="AA1878" s="17" t="s">
        <v>46</v>
      </c>
      <c r="AB1878" s="17" t="s">
        <v>735</v>
      </c>
      <c r="AC1878" s="217">
        <v>45141</v>
      </c>
      <c r="AD1878" s="65">
        <v>1399</v>
      </c>
      <c r="AE1878" s="17" t="s">
        <v>48</v>
      </c>
      <c r="AI1878" s="17">
        <v>3725</v>
      </c>
    </row>
    <row r="1879" s="18" customFormat="1" hidden="1" spans="1:35">
      <c r="B1879" s="75">
        <v>841</v>
      </c>
      <c r="C1879" s="224">
        <v>44570</v>
      </c>
      <c r="D1879" s="18" t="s">
        <v>35</v>
      </c>
      <c r="E1879" s="18" t="s">
        <v>482</v>
      </c>
      <c r="F1879" s="18" t="s">
        <v>72</v>
      </c>
      <c r="H1879" s="75">
        <v>1.2344</v>
      </c>
      <c r="I1879" s="75"/>
      <c r="J1879" s="18" t="s">
        <v>82</v>
      </c>
      <c r="K1879" s="75">
        <v>610</v>
      </c>
      <c r="L1879" s="75">
        <v>165</v>
      </c>
      <c r="M1879" s="75">
        <v>5000</v>
      </c>
      <c r="N1879" s="75" t="s">
        <v>40</v>
      </c>
      <c r="O1879" s="75" t="s">
        <v>168</v>
      </c>
      <c r="P1879" s="75">
        <v>3500</v>
      </c>
      <c r="R1879" s="18">
        <f t="shared" si="102"/>
        <v>3500</v>
      </c>
      <c r="S1879" s="18">
        <v>2575</v>
      </c>
      <c r="T1879" s="75" t="s">
        <v>42</v>
      </c>
      <c r="U1879" s="137" t="s">
        <v>736</v>
      </c>
      <c r="V1879" s="225">
        <v>44690</v>
      </c>
      <c r="W1879" s="18" t="s">
        <v>44</v>
      </c>
      <c r="Y1879" s="114">
        <v>44917</v>
      </c>
      <c r="Z1879" s="18" t="s">
        <v>191</v>
      </c>
      <c r="AA1879" s="18" t="s">
        <v>46</v>
      </c>
      <c r="AC1879" s="137"/>
      <c r="AD1879" s="77"/>
      <c r="AE1879" s="18" t="s">
        <v>48</v>
      </c>
      <c r="AF1879" s="18" t="s">
        <v>737</v>
      </c>
      <c r="AI1879" s="18">
        <v>2700</v>
      </c>
    </row>
    <row r="1880" s="18" customFormat="1" hidden="1" spans="1:35">
      <c r="B1880" s="75">
        <v>841</v>
      </c>
      <c r="C1880" s="224">
        <v>44570</v>
      </c>
      <c r="D1880" s="18" t="s">
        <v>35</v>
      </c>
      <c r="E1880" s="18" t="s">
        <v>482</v>
      </c>
      <c r="F1880" s="18" t="s">
        <v>72</v>
      </c>
      <c r="H1880" s="75">
        <v>1.2344</v>
      </c>
      <c r="I1880" s="75"/>
      <c r="J1880" s="18" t="s">
        <v>82</v>
      </c>
      <c r="K1880" s="75">
        <v>610</v>
      </c>
      <c r="L1880" s="75">
        <v>180</v>
      </c>
      <c r="M1880" s="75">
        <v>5000</v>
      </c>
      <c r="N1880" s="75" t="s">
        <v>40</v>
      </c>
      <c r="O1880" s="75" t="s">
        <v>168</v>
      </c>
      <c r="P1880" s="75">
        <v>3500</v>
      </c>
      <c r="R1880" s="18">
        <f t="shared" si="102"/>
        <v>3500</v>
      </c>
      <c r="S1880" s="18">
        <v>2575</v>
      </c>
      <c r="T1880" s="75" t="s">
        <v>42</v>
      </c>
      <c r="U1880" s="137" t="s">
        <v>736</v>
      </c>
      <c r="V1880" s="225">
        <v>44690</v>
      </c>
      <c r="W1880" s="18" t="s">
        <v>44</v>
      </c>
      <c r="Y1880" s="114">
        <v>44917</v>
      </c>
      <c r="Z1880" s="18" t="s">
        <v>191</v>
      </c>
      <c r="AA1880" s="18" t="s">
        <v>46</v>
      </c>
      <c r="AC1880" s="137"/>
      <c r="AD1880" s="77"/>
      <c r="AE1880" s="18" t="s">
        <v>48</v>
      </c>
      <c r="AF1880" s="18" t="s">
        <v>737</v>
      </c>
      <c r="AI1880" s="18">
        <v>2700</v>
      </c>
    </row>
    <row r="1881" s="18" customFormat="1" hidden="1" spans="1:35">
      <c r="B1881" s="75">
        <v>841</v>
      </c>
      <c r="C1881" s="224">
        <v>44570</v>
      </c>
      <c r="D1881" s="18" t="s">
        <v>35</v>
      </c>
      <c r="E1881" s="18" t="s">
        <v>482</v>
      </c>
      <c r="F1881" s="18" t="s">
        <v>72</v>
      </c>
      <c r="H1881" s="75">
        <v>1.2344</v>
      </c>
      <c r="I1881" s="75"/>
      <c r="J1881" s="18" t="s">
        <v>82</v>
      </c>
      <c r="K1881" s="75">
        <v>610</v>
      </c>
      <c r="L1881" s="75">
        <v>205</v>
      </c>
      <c r="M1881" s="75">
        <v>5000</v>
      </c>
      <c r="N1881" s="75" t="s">
        <v>40</v>
      </c>
      <c r="O1881" s="75" t="s">
        <v>168</v>
      </c>
      <c r="P1881" s="75">
        <v>3500</v>
      </c>
      <c r="R1881" s="18">
        <f t="shared" si="102"/>
        <v>3500</v>
      </c>
      <c r="S1881" s="18">
        <v>2575</v>
      </c>
      <c r="T1881" s="75" t="s">
        <v>42</v>
      </c>
      <c r="U1881" s="137" t="s">
        <v>736</v>
      </c>
      <c r="V1881" s="225">
        <v>44690</v>
      </c>
      <c r="W1881" s="18" t="s">
        <v>44</v>
      </c>
      <c r="Y1881" s="114">
        <v>44917</v>
      </c>
      <c r="Z1881" s="18" t="s">
        <v>191</v>
      </c>
      <c r="AA1881" s="18" t="s">
        <v>46</v>
      </c>
      <c r="AC1881" s="137"/>
      <c r="AD1881" s="77"/>
      <c r="AE1881" s="18" t="s">
        <v>48</v>
      </c>
      <c r="AF1881" s="18" t="s">
        <v>737</v>
      </c>
      <c r="AI1881" s="18">
        <v>2700</v>
      </c>
    </row>
    <row r="1882" s="18" customFormat="1" hidden="1" spans="1:35">
      <c r="B1882" s="75">
        <v>841</v>
      </c>
      <c r="C1882" s="224">
        <v>44570</v>
      </c>
      <c r="D1882" s="18" t="s">
        <v>35</v>
      </c>
      <c r="E1882" s="18" t="s">
        <v>482</v>
      </c>
      <c r="F1882" s="18" t="s">
        <v>72</v>
      </c>
      <c r="H1882" s="75">
        <v>1.2344</v>
      </c>
      <c r="I1882" s="75"/>
      <c r="J1882" s="18" t="s">
        <v>82</v>
      </c>
      <c r="K1882" s="75">
        <v>610</v>
      </c>
      <c r="L1882" s="75">
        <v>255</v>
      </c>
      <c r="M1882" s="75">
        <v>5000</v>
      </c>
      <c r="N1882" s="75" t="s">
        <v>40</v>
      </c>
      <c r="O1882" s="75" t="s">
        <v>168</v>
      </c>
      <c r="P1882" s="75">
        <v>5000</v>
      </c>
      <c r="R1882" s="18">
        <f t="shared" si="102"/>
        <v>5000</v>
      </c>
      <c r="S1882" s="18">
        <v>2575</v>
      </c>
      <c r="T1882" s="75" t="s">
        <v>42</v>
      </c>
      <c r="U1882" s="137" t="s">
        <v>736</v>
      </c>
      <c r="V1882" s="225">
        <v>44690</v>
      </c>
      <c r="W1882" s="18" t="s">
        <v>44</v>
      </c>
      <c r="Y1882" s="114">
        <v>44917</v>
      </c>
      <c r="Z1882" s="18" t="s">
        <v>191</v>
      </c>
      <c r="AA1882" s="18" t="s">
        <v>46</v>
      </c>
      <c r="AC1882" s="137"/>
      <c r="AD1882" s="77"/>
      <c r="AE1882" s="18" t="s">
        <v>48</v>
      </c>
      <c r="AF1882" s="18" t="s">
        <v>737</v>
      </c>
      <c r="AI1882" s="18">
        <v>2700</v>
      </c>
    </row>
    <row r="1883" s="18" customFormat="1" hidden="1" spans="1:35">
      <c r="B1883" s="75">
        <v>841</v>
      </c>
      <c r="C1883" s="224">
        <v>44570</v>
      </c>
      <c r="D1883" s="18" t="s">
        <v>35</v>
      </c>
      <c r="E1883" s="18" t="s">
        <v>482</v>
      </c>
      <c r="F1883" s="18" t="s">
        <v>72</v>
      </c>
      <c r="H1883" s="75">
        <v>1.2344</v>
      </c>
      <c r="I1883" s="75"/>
      <c r="J1883" s="18" t="s">
        <v>82</v>
      </c>
      <c r="K1883" s="75">
        <v>610</v>
      </c>
      <c r="L1883" s="75">
        <v>305</v>
      </c>
      <c r="M1883" s="75">
        <v>5000</v>
      </c>
      <c r="N1883" s="75" t="s">
        <v>40</v>
      </c>
      <c r="O1883" s="75" t="s">
        <v>168</v>
      </c>
      <c r="P1883" s="75">
        <v>5000</v>
      </c>
      <c r="Q1883" s="75"/>
      <c r="R1883" s="77">
        <f t="shared" si="102"/>
        <v>5000</v>
      </c>
      <c r="S1883" s="77">
        <v>2575</v>
      </c>
      <c r="T1883" s="75" t="s">
        <v>42</v>
      </c>
      <c r="U1883" s="137" t="s">
        <v>736</v>
      </c>
      <c r="V1883" s="225">
        <v>44690</v>
      </c>
      <c r="W1883" s="18" t="s">
        <v>44</v>
      </c>
      <c r="Y1883" s="114">
        <v>44917</v>
      </c>
      <c r="Z1883" s="18" t="s">
        <v>191</v>
      </c>
      <c r="AA1883" s="18" t="s">
        <v>46</v>
      </c>
      <c r="AC1883" s="137"/>
      <c r="AD1883" s="77"/>
      <c r="AE1883" s="18" t="s">
        <v>48</v>
      </c>
      <c r="AF1883" s="18" t="s">
        <v>737</v>
      </c>
      <c r="AI1883" s="18">
        <v>2700</v>
      </c>
    </row>
    <row r="1884" s="17" customFormat="1" hidden="1" spans="1:35">
      <c r="A1884" s="17" t="s">
        <v>34</v>
      </c>
      <c r="B1884" s="19">
        <v>842</v>
      </c>
      <c r="C1884" s="212">
        <v>44751</v>
      </c>
      <c r="D1884" s="17" t="s">
        <v>52</v>
      </c>
      <c r="E1884" s="17" t="s">
        <v>187</v>
      </c>
      <c r="F1884" s="17" t="s">
        <v>54</v>
      </c>
      <c r="H1884" s="19" t="s">
        <v>548</v>
      </c>
      <c r="I1884" s="19"/>
      <c r="J1884" s="17" t="s">
        <v>49</v>
      </c>
      <c r="K1884" s="162">
        <v>2000</v>
      </c>
      <c r="L1884" s="91">
        <v>6</v>
      </c>
      <c r="M1884" s="162">
        <v>12000</v>
      </c>
      <c r="N1884" s="19" t="s">
        <v>66</v>
      </c>
      <c r="O1884" s="19" t="s">
        <v>141</v>
      </c>
      <c r="P1884" s="160">
        <v>6782</v>
      </c>
      <c r="Q1884" s="160">
        <v>6810</v>
      </c>
      <c r="R1884" s="19">
        <f t="shared" si="102"/>
        <v>-28</v>
      </c>
      <c r="S1884" s="91">
        <v>1250</v>
      </c>
      <c r="T1884" s="19" t="s">
        <v>42</v>
      </c>
      <c r="U1884" s="102" t="s">
        <v>738</v>
      </c>
      <c r="V1884" s="221">
        <v>44782</v>
      </c>
      <c r="W1884" s="17" t="s">
        <v>69</v>
      </c>
      <c r="Y1884" s="68">
        <v>44856</v>
      </c>
      <c r="Z1884" s="17" t="s">
        <v>191</v>
      </c>
      <c r="AA1884" s="17" t="s">
        <v>59</v>
      </c>
      <c r="AB1884" s="17" t="s">
        <v>739</v>
      </c>
      <c r="AC1884" s="17" t="s">
        <v>740</v>
      </c>
      <c r="AD1884" s="65">
        <v>1343</v>
      </c>
      <c r="AF1884" s="17" t="s">
        <v>560</v>
      </c>
    </row>
    <row r="1885" s="17" customFormat="1" hidden="1" spans="1:35">
      <c r="A1885" s="17" t="s">
        <v>34</v>
      </c>
      <c r="B1885" s="19">
        <v>842</v>
      </c>
      <c r="C1885" s="212">
        <v>44751</v>
      </c>
      <c r="D1885" s="17" t="s">
        <v>52</v>
      </c>
      <c r="E1885" s="17" t="s">
        <v>187</v>
      </c>
      <c r="F1885" s="17" t="s">
        <v>54</v>
      </c>
      <c r="H1885" s="19" t="s">
        <v>548</v>
      </c>
      <c r="I1885" s="19"/>
      <c r="J1885" s="17" t="s">
        <v>49</v>
      </c>
      <c r="K1885" s="162">
        <v>2000</v>
      </c>
      <c r="L1885" s="91">
        <v>10</v>
      </c>
      <c r="M1885" s="162">
        <v>12000</v>
      </c>
      <c r="N1885" s="19" t="s">
        <v>66</v>
      </c>
      <c r="O1885" s="19" t="s">
        <v>141</v>
      </c>
      <c r="P1885" s="160">
        <v>11304</v>
      </c>
      <c r="Q1885" s="160">
        <v>11348</v>
      </c>
      <c r="R1885" s="19">
        <f t="shared" si="102"/>
        <v>-44</v>
      </c>
      <c r="S1885" s="91">
        <v>1200</v>
      </c>
      <c r="T1885" s="19" t="s">
        <v>42</v>
      </c>
      <c r="U1885" s="102" t="s">
        <v>738</v>
      </c>
      <c r="V1885" s="221">
        <v>44782</v>
      </c>
      <c r="W1885" s="17" t="s">
        <v>69</v>
      </c>
      <c r="Y1885" s="68">
        <v>44856</v>
      </c>
      <c r="Z1885" s="17" t="s">
        <v>191</v>
      </c>
      <c r="AA1885" s="17" t="s">
        <v>59</v>
      </c>
      <c r="AB1885" s="17" t="s">
        <v>739</v>
      </c>
      <c r="AC1885" s="17" t="s">
        <v>740</v>
      </c>
      <c r="AD1885" s="65">
        <v>1343</v>
      </c>
      <c r="AF1885" s="17" t="s">
        <v>560</v>
      </c>
    </row>
    <row r="1886" s="17" customFormat="1" hidden="1" spans="1:35">
      <c r="A1886" s="17" t="s">
        <v>34</v>
      </c>
      <c r="B1886" s="19">
        <v>842</v>
      </c>
      <c r="C1886" s="212">
        <v>44751</v>
      </c>
      <c r="D1886" s="17" t="s">
        <v>52</v>
      </c>
      <c r="E1886" s="17" t="s">
        <v>187</v>
      </c>
      <c r="F1886" s="17" t="s">
        <v>54</v>
      </c>
      <c r="H1886" s="19" t="s">
        <v>548</v>
      </c>
      <c r="I1886" s="19"/>
      <c r="J1886" s="17" t="s">
        <v>49</v>
      </c>
      <c r="K1886" s="162">
        <v>2000</v>
      </c>
      <c r="L1886" s="91">
        <v>12</v>
      </c>
      <c r="M1886" s="162">
        <v>12000</v>
      </c>
      <c r="N1886" s="19" t="s">
        <v>66</v>
      </c>
      <c r="O1886" s="19" t="s">
        <v>141</v>
      </c>
      <c r="P1886" s="160">
        <v>11304</v>
      </c>
      <c r="Q1886" s="160">
        <v>11355</v>
      </c>
      <c r="R1886" s="19">
        <f t="shared" si="102"/>
        <v>-51</v>
      </c>
      <c r="S1886" s="91">
        <v>1200</v>
      </c>
      <c r="T1886" s="19" t="s">
        <v>42</v>
      </c>
      <c r="U1886" s="102" t="s">
        <v>738</v>
      </c>
      <c r="V1886" s="221">
        <v>44782</v>
      </c>
      <c r="W1886" s="17" t="s">
        <v>69</v>
      </c>
      <c r="Y1886" s="68">
        <v>44856</v>
      </c>
      <c r="Z1886" s="17" t="s">
        <v>191</v>
      </c>
      <c r="AA1886" s="17" t="s">
        <v>59</v>
      </c>
      <c r="AB1886" s="17" t="s">
        <v>739</v>
      </c>
      <c r="AC1886" s="17" t="s">
        <v>740</v>
      </c>
      <c r="AD1886" s="65">
        <v>1343</v>
      </c>
      <c r="AF1886" s="17" t="s">
        <v>560</v>
      </c>
    </row>
    <row r="1887" s="17" customFormat="1" hidden="1" spans="1:35">
      <c r="A1887" s="17" t="s">
        <v>34</v>
      </c>
      <c r="B1887" s="19">
        <v>842</v>
      </c>
      <c r="C1887" s="212">
        <v>44751</v>
      </c>
      <c r="D1887" s="17" t="s">
        <v>52</v>
      </c>
      <c r="E1887" s="17" t="s">
        <v>187</v>
      </c>
      <c r="F1887" s="17" t="s">
        <v>54</v>
      </c>
      <c r="H1887" s="19" t="s">
        <v>548</v>
      </c>
      <c r="I1887" s="19"/>
      <c r="J1887" s="17" t="s">
        <v>49</v>
      </c>
      <c r="K1887" s="162">
        <v>2000</v>
      </c>
      <c r="L1887" s="91">
        <v>15</v>
      </c>
      <c r="M1887" s="162">
        <v>12000</v>
      </c>
      <c r="N1887" s="19" t="s">
        <v>66</v>
      </c>
      <c r="O1887" s="19" t="s">
        <v>141</v>
      </c>
      <c r="P1887" s="160">
        <v>5652</v>
      </c>
      <c r="Q1887" s="160">
        <v>5675</v>
      </c>
      <c r="R1887" s="19">
        <f t="shared" si="102"/>
        <v>-23</v>
      </c>
      <c r="S1887" s="91">
        <v>1200</v>
      </c>
      <c r="T1887" s="19" t="s">
        <v>42</v>
      </c>
      <c r="U1887" s="102" t="s">
        <v>738</v>
      </c>
      <c r="V1887" s="221">
        <v>44782</v>
      </c>
      <c r="W1887" s="17" t="s">
        <v>69</v>
      </c>
      <c r="Y1887" s="68">
        <v>44856</v>
      </c>
      <c r="Z1887" s="17" t="s">
        <v>191</v>
      </c>
      <c r="AA1887" s="17" t="s">
        <v>59</v>
      </c>
      <c r="AB1887" s="17" t="s">
        <v>739</v>
      </c>
      <c r="AC1887" s="17" t="s">
        <v>740</v>
      </c>
      <c r="AD1887" s="65">
        <v>1343</v>
      </c>
      <c r="AF1887" s="17" t="s">
        <v>560</v>
      </c>
    </row>
    <row r="1888" s="17" customFormat="1" hidden="1" spans="1:35">
      <c r="A1888" s="17" t="s">
        <v>34</v>
      </c>
      <c r="B1888" s="19">
        <v>842</v>
      </c>
      <c r="C1888" s="212">
        <v>44751</v>
      </c>
      <c r="D1888" s="17" t="s">
        <v>52</v>
      </c>
      <c r="E1888" s="17" t="s">
        <v>187</v>
      </c>
      <c r="F1888" s="17" t="s">
        <v>54</v>
      </c>
      <c r="H1888" s="19" t="s">
        <v>548</v>
      </c>
      <c r="I1888" s="19"/>
      <c r="J1888" s="17" t="s">
        <v>49</v>
      </c>
      <c r="K1888" s="162">
        <v>2000</v>
      </c>
      <c r="L1888" s="91">
        <v>16</v>
      </c>
      <c r="M1888" s="162">
        <v>12000</v>
      </c>
      <c r="N1888" s="19" t="s">
        <v>66</v>
      </c>
      <c r="O1888" s="19" t="s">
        <v>141</v>
      </c>
      <c r="P1888" s="160">
        <v>6029</v>
      </c>
      <c r="Q1888" s="160">
        <v>6055</v>
      </c>
      <c r="R1888" s="19">
        <f t="shared" si="102"/>
        <v>-26</v>
      </c>
      <c r="S1888" s="91">
        <v>1200</v>
      </c>
      <c r="T1888" s="19" t="s">
        <v>42</v>
      </c>
      <c r="U1888" s="102" t="s">
        <v>738</v>
      </c>
      <c r="V1888" s="221">
        <v>44782</v>
      </c>
      <c r="W1888" s="17" t="s">
        <v>69</v>
      </c>
      <c r="Y1888" s="68">
        <v>44856</v>
      </c>
      <c r="Z1888" s="17" t="s">
        <v>191</v>
      </c>
      <c r="AA1888" s="17" t="s">
        <v>59</v>
      </c>
      <c r="AB1888" s="17" t="s">
        <v>739</v>
      </c>
      <c r="AC1888" s="17" t="s">
        <v>740</v>
      </c>
      <c r="AD1888" s="65">
        <v>1343</v>
      </c>
      <c r="AF1888" s="17" t="s">
        <v>560</v>
      </c>
    </row>
    <row r="1889" s="17" customFormat="1" hidden="1" spans="1:34">
      <c r="A1889" s="17" t="s">
        <v>34</v>
      </c>
      <c r="B1889" s="19">
        <v>842</v>
      </c>
      <c r="C1889" s="212">
        <v>44751</v>
      </c>
      <c r="D1889" s="17" t="s">
        <v>52</v>
      </c>
      <c r="E1889" s="17" t="s">
        <v>187</v>
      </c>
      <c r="F1889" s="17" t="s">
        <v>54</v>
      </c>
      <c r="H1889" s="19" t="s">
        <v>548</v>
      </c>
      <c r="I1889" s="19"/>
      <c r="J1889" s="17" t="s">
        <v>49</v>
      </c>
      <c r="K1889" s="162">
        <v>2000</v>
      </c>
      <c r="L1889" s="91">
        <v>20</v>
      </c>
      <c r="M1889" s="162">
        <v>12000</v>
      </c>
      <c r="N1889" s="19" t="s">
        <v>66</v>
      </c>
      <c r="O1889" s="19" t="s">
        <v>141</v>
      </c>
      <c r="P1889" s="160">
        <v>7536</v>
      </c>
      <c r="Q1889" s="160">
        <v>7536</v>
      </c>
      <c r="R1889" s="19">
        <f t="shared" si="102"/>
        <v>0</v>
      </c>
      <c r="S1889" s="91">
        <v>1200</v>
      </c>
      <c r="T1889" s="19" t="s">
        <v>42</v>
      </c>
      <c r="U1889" s="102" t="s">
        <v>738</v>
      </c>
      <c r="V1889" s="221">
        <v>44782</v>
      </c>
      <c r="W1889" s="17" t="s">
        <v>69</v>
      </c>
      <c r="Y1889" s="68">
        <v>44856</v>
      </c>
      <c r="Z1889" s="17" t="s">
        <v>191</v>
      </c>
      <c r="AA1889" s="17" t="s">
        <v>59</v>
      </c>
      <c r="AB1889" s="17" t="s">
        <v>741</v>
      </c>
      <c r="AC1889" s="17" t="s">
        <v>720</v>
      </c>
      <c r="AD1889" s="65">
        <v>1344</v>
      </c>
      <c r="AF1889" s="17" t="s">
        <v>560</v>
      </c>
    </row>
    <row r="1890" s="17" customFormat="1" hidden="1" spans="1:34">
      <c r="A1890" s="17" t="s">
        <v>34</v>
      </c>
      <c r="B1890" s="19">
        <v>842</v>
      </c>
      <c r="C1890" s="212">
        <v>44751</v>
      </c>
      <c r="D1890" s="17" t="s">
        <v>52</v>
      </c>
      <c r="E1890" s="17" t="s">
        <v>187</v>
      </c>
      <c r="F1890" s="17" t="s">
        <v>54</v>
      </c>
      <c r="H1890" s="19" t="s">
        <v>548</v>
      </c>
      <c r="I1890" s="19"/>
      <c r="J1890" s="17" t="s">
        <v>49</v>
      </c>
      <c r="K1890" s="162">
        <v>2000</v>
      </c>
      <c r="L1890" s="91">
        <v>25</v>
      </c>
      <c r="M1890" s="162">
        <v>12000</v>
      </c>
      <c r="N1890" s="19" t="s">
        <v>66</v>
      </c>
      <c r="O1890" s="19" t="s">
        <v>141</v>
      </c>
      <c r="P1890" s="160">
        <v>4710</v>
      </c>
      <c r="Q1890" s="160">
        <v>4728</v>
      </c>
      <c r="R1890" s="19">
        <f t="shared" si="102"/>
        <v>-18</v>
      </c>
      <c r="S1890" s="91">
        <v>1215</v>
      </c>
      <c r="T1890" s="19" t="s">
        <v>42</v>
      </c>
      <c r="U1890" s="102" t="s">
        <v>738</v>
      </c>
      <c r="V1890" s="221">
        <v>44782</v>
      </c>
      <c r="W1890" s="17" t="s">
        <v>69</v>
      </c>
      <c r="Y1890" s="68">
        <v>44856</v>
      </c>
      <c r="Z1890" s="17" t="s">
        <v>191</v>
      </c>
      <c r="AA1890" s="17" t="s">
        <v>59</v>
      </c>
      <c r="AB1890" s="17" t="s">
        <v>739</v>
      </c>
      <c r="AC1890" s="17" t="s">
        <v>740</v>
      </c>
      <c r="AD1890" s="65">
        <v>1343</v>
      </c>
      <c r="AF1890" s="17" t="s">
        <v>560</v>
      </c>
    </row>
    <row r="1891" s="17" customFormat="1" hidden="1" spans="1:34">
      <c r="A1891" s="17" t="s">
        <v>34</v>
      </c>
      <c r="B1891" s="19">
        <v>842</v>
      </c>
      <c r="C1891" s="212">
        <v>44751</v>
      </c>
      <c r="D1891" s="17" t="s">
        <v>52</v>
      </c>
      <c r="E1891" s="17" t="s">
        <v>187</v>
      </c>
      <c r="F1891" s="17" t="s">
        <v>54</v>
      </c>
      <c r="H1891" s="19" t="s">
        <v>548</v>
      </c>
      <c r="I1891" s="19"/>
      <c r="J1891" s="17" t="s">
        <v>49</v>
      </c>
      <c r="K1891" s="162">
        <v>2000</v>
      </c>
      <c r="L1891" s="91">
        <v>30</v>
      </c>
      <c r="M1891" s="162">
        <v>12000</v>
      </c>
      <c r="N1891" s="19" t="s">
        <v>66</v>
      </c>
      <c r="O1891" s="19" t="s">
        <v>141</v>
      </c>
      <c r="P1891" s="160">
        <v>5652</v>
      </c>
      <c r="Q1891" s="160">
        <v>5652</v>
      </c>
      <c r="R1891" s="19">
        <f t="shared" si="102"/>
        <v>0</v>
      </c>
      <c r="S1891" s="91">
        <v>1215</v>
      </c>
      <c r="T1891" s="19" t="s">
        <v>42</v>
      </c>
      <c r="U1891" s="102" t="s">
        <v>738</v>
      </c>
      <c r="V1891" s="221">
        <v>44782</v>
      </c>
      <c r="W1891" s="17" t="s">
        <v>69</v>
      </c>
      <c r="Y1891" s="68">
        <v>44856</v>
      </c>
      <c r="Z1891" s="17" t="s">
        <v>191</v>
      </c>
      <c r="AA1891" s="17" t="s">
        <v>59</v>
      </c>
      <c r="AB1891" s="17" t="s">
        <v>741</v>
      </c>
      <c r="AC1891" s="17" t="s">
        <v>720</v>
      </c>
      <c r="AD1891" s="65">
        <v>1344</v>
      </c>
      <c r="AF1891" s="17" t="s">
        <v>560</v>
      </c>
    </row>
    <row r="1892" s="17" customFormat="1" hidden="1" spans="1:34">
      <c r="A1892" s="17" t="s">
        <v>34</v>
      </c>
      <c r="B1892" s="19">
        <v>842</v>
      </c>
      <c r="C1892" s="212">
        <v>44751</v>
      </c>
      <c r="D1892" s="17" t="s">
        <v>52</v>
      </c>
      <c r="E1892" s="17" t="s">
        <v>187</v>
      </c>
      <c r="F1892" s="17" t="s">
        <v>54</v>
      </c>
      <c r="H1892" s="19" t="s">
        <v>548</v>
      </c>
      <c r="I1892" s="19"/>
      <c r="J1892" s="17" t="s">
        <v>49</v>
      </c>
      <c r="K1892" s="162">
        <v>2200</v>
      </c>
      <c r="L1892" s="91">
        <v>40</v>
      </c>
      <c r="M1892" s="162">
        <v>12000</v>
      </c>
      <c r="N1892" s="19" t="s">
        <v>66</v>
      </c>
      <c r="O1892" s="19" t="s">
        <v>141</v>
      </c>
      <c r="P1892" s="160">
        <v>8290</v>
      </c>
      <c r="Q1892" s="160">
        <v>8520</v>
      </c>
      <c r="R1892" s="19">
        <f t="shared" si="102"/>
        <v>-230</v>
      </c>
      <c r="S1892" s="91">
        <v>1215</v>
      </c>
      <c r="T1892" s="19" t="s">
        <v>42</v>
      </c>
      <c r="U1892" s="102" t="s">
        <v>738</v>
      </c>
      <c r="V1892" s="221">
        <v>44782</v>
      </c>
      <c r="W1892" s="17" t="s">
        <v>69</v>
      </c>
      <c r="Y1892" s="68">
        <v>44856</v>
      </c>
      <c r="Z1892" s="17" t="s">
        <v>191</v>
      </c>
      <c r="AA1892" s="17" t="s">
        <v>59</v>
      </c>
      <c r="AB1892" s="17" t="s">
        <v>741</v>
      </c>
      <c r="AC1892" s="17" t="s">
        <v>720</v>
      </c>
      <c r="AD1892" s="65">
        <v>1344</v>
      </c>
      <c r="AF1892" s="17" t="s">
        <v>560</v>
      </c>
    </row>
    <row r="1893" s="17" customFormat="1" hidden="1" spans="1:34">
      <c r="A1893" s="17" t="s">
        <v>34</v>
      </c>
      <c r="B1893" s="19">
        <v>842</v>
      </c>
      <c r="C1893" s="212">
        <v>44751</v>
      </c>
      <c r="D1893" s="17" t="s">
        <v>52</v>
      </c>
      <c r="E1893" s="17" t="s">
        <v>187</v>
      </c>
      <c r="F1893" s="17" t="s">
        <v>54</v>
      </c>
      <c r="H1893" s="19" t="s">
        <v>544</v>
      </c>
      <c r="I1893" s="19"/>
      <c r="J1893" s="17" t="s">
        <v>49</v>
      </c>
      <c r="K1893" s="91">
        <v>1500</v>
      </c>
      <c r="L1893" s="91">
        <v>4</v>
      </c>
      <c r="M1893" s="91">
        <v>5800</v>
      </c>
      <c r="N1893" s="19" t="s">
        <v>66</v>
      </c>
      <c r="O1893" s="19" t="s">
        <v>141</v>
      </c>
      <c r="P1893" s="91">
        <v>5464</v>
      </c>
      <c r="Q1893" s="91">
        <v>5472</v>
      </c>
      <c r="R1893" s="19">
        <f t="shared" si="102"/>
        <v>-8</v>
      </c>
      <c r="S1893" s="91">
        <v>1420</v>
      </c>
      <c r="T1893" s="19" t="s">
        <v>42</v>
      </c>
      <c r="U1893" s="102" t="s">
        <v>738</v>
      </c>
      <c r="V1893" s="221">
        <v>44782</v>
      </c>
      <c r="W1893" s="17" t="s">
        <v>69</v>
      </c>
      <c r="Y1893" s="68">
        <v>44856</v>
      </c>
      <c r="Z1893" s="17" t="s">
        <v>191</v>
      </c>
      <c r="AA1893" s="17" t="s">
        <v>59</v>
      </c>
      <c r="AB1893" s="17" t="s">
        <v>741</v>
      </c>
      <c r="AC1893" s="17" t="s">
        <v>720</v>
      </c>
      <c r="AD1893" s="65">
        <v>1344</v>
      </c>
      <c r="AF1893" s="17" t="s">
        <v>560</v>
      </c>
    </row>
    <row r="1894" s="17" customFormat="1" hidden="1" spans="1:34">
      <c r="A1894" s="17" t="s">
        <v>34</v>
      </c>
      <c r="B1894" s="19">
        <v>842</v>
      </c>
      <c r="C1894" s="212">
        <v>44751</v>
      </c>
      <c r="D1894" s="17" t="s">
        <v>52</v>
      </c>
      <c r="E1894" s="17" t="s">
        <v>187</v>
      </c>
      <c r="F1894" s="17" t="s">
        <v>54</v>
      </c>
      <c r="H1894" s="19" t="s">
        <v>544</v>
      </c>
      <c r="I1894" s="19"/>
      <c r="J1894" s="17" t="s">
        <v>49</v>
      </c>
      <c r="K1894" s="162">
        <v>2000</v>
      </c>
      <c r="L1894" s="91">
        <v>6</v>
      </c>
      <c r="M1894" s="162">
        <v>6000</v>
      </c>
      <c r="N1894" s="19" t="s">
        <v>66</v>
      </c>
      <c r="O1894" s="19" t="s">
        <v>141</v>
      </c>
      <c r="P1894" s="160">
        <v>3391</v>
      </c>
      <c r="Q1894" s="160">
        <v>3392</v>
      </c>
      <c r="R1894" s="19">
        <f t="shared" si="102"/>
        <v>-1</v>
      </c>
      <c r="S1894" s="91">
        <v>1290</v>
      </c>
      <c r="T1894" s="19" t="s">
        <v>42</v>
      </c>
      <c r="U1894" s="102" t="s">
        <v>738</v>
      </c>
      <c r="V1894" s="221">
        <v>44782</v>
      </c>
      <c r="W1894" s="17" t="s">
        <v>69</v>
      </c>
      <c r="Y1894" s="68">
        <v>44856</v>
      </c>
      <c r="Z1894" s="17" t="s">
        <v>191</v>
      </c>
      <c r="AA1894" s="17" t="s">
        <v>59</v>
      </c>
      <c r="AB1894" s="17" t="s">
        <v>741</v>
      </c>
      <c r="AC1894" s="17" t="s">
        <v>720</v>
      </c>
      <c r="AD1894" s="65">
        <v>1344</v>
      </c>
      <c r="AF1894" s="17" t="s">
        <v>560</v>
      </c>
    </row>
    <row r="1895" s="17" customFormat="1" hidden="1" spans="1:34">
      <c r="A1895" s="17" t="s">
        <v>34</v>
      </c>
      <c r="B1895" s="19">
        <v>842</v>
      </c>
      <c r="C1895" s="212">
        <v>44751</v>
      </c>
      <c r="D1895" s="17" t="s">
        <v>52</v>
      </c>
      <c r="E1895" s="17" t="s">
        <v>187</v>
      </c>
      <c r="F1895" s="17" t="s">
        <v>54</v>
      </c>
      <c r="H1895" s="19" t="s">
        <v>544</v>
      </c>
      <c r="I1895" s="19"/>
      <c r="J1895" s="17" t="s">
        <v>49</v>
      </c>
      <c r="K1895" s="162">
        <v>2000</v>
      </c>
      <c r="L1895" s="91">
        <v>6</v>
      </c>
      <c r="M1895" s="162">
        <v>6000</v>
      </c>
      <c r="N1895" s="19" t="s">
        <v>66</v>
      </c>
      <c r="O1895" s="19" t="s">
        <v>141</v>
      </c>
      <c r="P1895" s="160">
        <f>5652+1696+1130</f>
        <v>8478</v>
      </c>
      <c r="Q1895" s="160">
        <v>8907</v>
      </c>
      <c r="R1895" s="19">
        <f t="shared" si="102"/>
        <v>-429</v>
      </c>
      <c r="S1895" s="91">
        <v>1290</v>
      </c>
      <c r="T1895" s="19" t="s">
        <v>42</v>
      </c>
      <c r="U1895" s="102" t="s">
        <v>738</v>
      </c>
      <c r="V1895" s="221">
        <v>44782</v>
      </c>
      <c r="W1895" s="17" t="s">
        <v>69</v>
      </c>
      <c r="Y1895" s="68">
        <v>44856</v>
      </c>
      <c r="Z1895" s="17" t="s">
        <v>191</v>
      </c>
      <c r="AA1895" s="17" t="s">
        <v>59</v>
      </c>
      <c r="AB1895" s="17" t="s">
        <v>741</v>
      </c>
      <c r="AC1895" s="17" t="s">
        <v>720</v>
      </c>
      <c r="AD1895" s="65">
        <v>1344</v>
      </c>
      <c r="AF1895" s="17" t="s">
        <v>560</v>
      </c>
    </row>
    <row r="1896" s="18" customFormat="1" hidden="1" spans="1:34">
      <c r="B1896" s="75">
        <v>842</v>
      </c>
      <c r="C1896" s="226">
        <v>44751</v>
      </c>
      <c r="D1896" s="18" t="s">
        <v>52</v>
      </c>
      <c r="E1896" s="18" t="s">
        <v>187</v>
      </c>
      <c r="F1896" s="18" t="s">
        <v>54</v>
      </c>
      <c r="H1896" s="75" t="s">
        <v>544</v>
      </c>
      <c r="I1896" s="75"/>
      <c r="J1896" s="18" t="s">
        <v>49</v>
      </c>
      <c r="K1896" s="227">
        <v>2000</v>
      </c>
      <c r="L1896" s="111">
        <v>6</v>
      </c>
      <c r="M1896" s="227">
        <v>6000</v>
      </c>
      <c r="N1896" s="75" t="s">
        <v>66</v>
      </c>
      <c r="O1896" s="75" t="s">
        <v>141</v>
      </c>
      <c r="P1896" s="228">
        <v>4522</v>
      </c>
      <c r="Q1896" s="228"/>
      <c r="R1896" s="75">
        <f t="shared" ref="R1896:R1927" si="103">+P1896-Q1896</f>
        <v>4522</v>
      </c>
      <c r="S1896" s="111">
        <v>1290</v>
      </c>
      <c r="T1896" s="75" t="s">
        <v>42</v>
      </c>
      <c r="U1896" s="137" t="s">
        <v>738</v>
      </c>
      <c r="V1896" s="229">
        <v>44782</v>
      </c>
      <c r="W1896" s="18" t="s">
        <v>69</v>
      </c>
      <c r="Y1896" s="114">
        <v>44856</v>
      </c>
      <c r="Z1896" s="18" t="s">
        <v>191</v>
      </c>
      <c r="AA1896" s="18" t="s">
        <v>59</v>
      </c>
      <c r="AD1896" s="77"/>
      <c r="AF1896" s="17" t="s">
        <v>560</v>
      </c>
      <c r="AH1896" s="18" t="s">
        <v>742</v>
      </c>
    </row>
    <row r="1897" s="17" customFormat="1" hidden="1" spans="1:34">
      <c r="A1897" s="17" t="s">
        <v>34</v>
      </c>
      <c r="B1897" s="19">
        <v>842</v>
      </c>
      <c r="C1897" s="212">
        <v>44751</v>
      </c>
      <c r="D1897" s="17" t="s">
        <v>52</v>
      </c>
      <c r="E1897" s="17" t="s">
        <v>187</v>
      </c>
      <c r="F1897" s="17" t="s">
        <v>54</v>
      </c>
      <c r="H1897" s="19" t="s">
        <v>544</v>
      </c>
      <c r="I1897" s="19"/>
      <c r="J1897" s="17" t="s">
        <v>49</v>
      </c>
      <c r="K1897" s="162">
        <v>2000</v>
      </c>
      <c r="L1897" s="91">
        <v>8</v>
      </c>
      <c r="M1897" s="162">
        <v>6000</v>
      </c>
      <c r="N1897" s="19" t="s">
        <v>66</v>
      </c>
      <c r="O1897" s="19" t="s">
        <v>141</v>
      </c>
      <c r="P1897" s="160">
        <f>3014+3014</f>
        <v>6028</v>
      </c>
      <c r="Q1897" s="160">
        <v>6038</v>
      </c>
      <c r="R1897" s="19">
        <f t="shared" si="103"/>
        <v>-10</v>
      </c>
      <c r="S1897" s="91">
        <v>1250</v>
      </c>
      <c r="T1897" s="19" t="s">
        <v>42</v>
      </c>
      <c r="U1897" s="102" t="s">
        <v>738</v>
      </c>
      <c r="V1897" s="221">
        <v>44782</v>
      </c>
      <c r="W1897" s="17" t="s">
        <v>69</v>
      </c>
      <c r="Y1897" s="68">
        <v>44856</v>
      </c>
      <c r="Z1897" s="17" t="s">
        <v>191</v>
      </c>
      <c r="AA1897" s="17" t="s">
        <v>59</v>
      </c>
      <c r="AB1897" s="17" t="s">
        <v>741</v>
      </c>
      <c r="AC1897" s="17" t="s">
        <v>720</v>
      </c>
      <c r="AD1897" s="65">
        <v>1344</v>
      </c>
      <c r="AF1897" s="17" t="s">
        <v>560</v>
      </c>
    </row>
    <row r="1898" s="17" customFormat="1" hidden="1" spans="1:34">
      <c r="A1898" s="17" t="s">
        <v>34</v>
      </c>
      <c r="B1898" s="19">
        <v>842</v>
      </c>
      <c r="C1898" s="212">
        <v>44751</v>
      </c>
      <c r="D1898" s="17" t="s">
        <v>52</v>
      </c>
      <c r="E1898" s="17" t="s">
        <v>187</v>
      </c>
      <c r="F1898" s="17" t="s">
        <v>54</v>
      </c>
      <c r="H1898" s="19" t="s">
        <v>544</v>
      </c>
      <c r="I1898" s="19"/>
      <c r="J1898" s="17" t="s">
        <v>49</v>
      </c>
      <c r="K1898" s="162">
        <v>2000</v>
      </c>
      <c r="L1898" s="91">
        <v>12</v>
      </c>
      <c r="M1898" s="162">
        <v>12000</v>
      </c>
      <c r="N1898" s="19" t="s">
        <v>66</v>
      </c>
      <c r="O1898" s="19" t="s">
        <v>141</v>
      </c>
      <c r="P1898" s="160">
        <v>11304</v>
      </c>
      <c r="Q1898" s="160">
        <v>11349</v>
      </c>
      <c r="R1898" s="19">
        <f t="shared" si="103"/>
        <v>-45</v>
      </c>
      <c r="S1898" s="91">
        <v>1220</v>
      </c>
      <c r="T1898" s="19" t="s">
        <v>42</v>
      </c>
      <c r="U1898" s="102" t="s">
        <v>738</v>
      </c>
      <c r="V1898" s="221">
        <v>44782</v>
      </c>
      <c r="W1898" s="17" t="s">
        <v>69</v>
      </c>
      <c r="Y1898" s="68">
        <v>44856</v>
      </c>
      <c r="Z1898" s="17" t="s">
        <v>191</v>
      </c>
      <c r="AA1898" s="17" t="s">
        <v>59</v>
      </c>
      <c r="AB1898" s="17" t="s">
        <v>739</v>
      </c>
      <c r="AC1898" s="17" t="s">
        <v>740</v>
      </c>
      <c r="AD1898" s="65">
        <v>1343</v>
      </c>
      <c r="AF1898" s="17" t="s">
        <v>560</v>
      </c>
    </row>
    <row r="1899" s="17" customFormat="1" hidden="1" spans="1:34">
      <c r="A1899" s="17" t="s">
        <v>34</v>
      </c>
      <c r="B1899" s="19">
        <v>842</v>
      </c>
      <c r="C1899" s="212">
        <v>44751</v>
      </c>
      <c r="D1899" s="17" t="s">
        <v>52</v>
      </c>
      <c r="E1899" s="17" t="s">
        <v>187</v>
      </c>
      <c r="F1899" s="17" t="s">
        <v>54</v>
      </c>
      <c r="H1899" s="19" t="s">
        <v>544</v>
      </c>
      <c r="I1899" s="19"/>
      <c r="J1899" s="17" t="s">
        <v>49</v>
      </c>
      <c r="K1899" s="162">
        <v>2000</v>
      </c>
      <c r="L1899" s="91">
        <v>25</v>
      </c>
      <c r="M1899" s="162">
        <v>12000</v>
      </c>
      <c r="N1899" s="19" t="s">
        <v>66</v>
      </c>
      <c r="O1899" s="19" t="s">
        <v>141</v>
      </c>
      <c r="P1899" s="160">
        <v>14130</v>
      </c>
      <c r="Q1899" s="160">
        <v>9434</v>
      </c>
      <c r="R1899" s="19">
        <f t="shared" si="103"/>
        <v>4696</v>
      </c>
      <c r="S1899" s="91">
        <v>1220</v>
      </c>
      <c r="T1899" s="19" t="s">
        <v>42</v>
      </c>
      <c r="U1899" s="102" t="s">
        <v>738</v>
      </c>
      <c r="V1899" s="221">
        <v>44782</v>
      </c>
      <c r="W1899" s="17" t="s">
        <v>69</v>
      </c>
      <c r="Y1899" s="68">
        <v>44856</v>
      </c>
      <c r="Z1899" s="17" t="s">
        <v>191</v>
      </c>
      <c r="AA1899" s="17" t="s">
        <v>59</v>
      </c>
      <c r="AB1899" s="17" t="s">
        <v>741</v>
      </c>
      <c r="AC1899" s="17" t="s">
        <v>720</v>
      </c>
      <c r="AD1899" s="65">
        <v>1344</v>
      </c>
      <c r="AF1899" s="17" t="s">
        <v>560</v>
      </c>
    </row>
    <row r="1900" s="17" customFormat="1" hidden="1" spans="1:34">
      <c r="A1900" s="17" t="s">
        <v>34</v>
      </c>
      <c r="B1900" s="19">
        <v>842</v>
      </c>
      <c r="C1900" s="212">
        <v>44751</v>
      </c>
      <c r="D1900" s="17" t="s">
        <v>52</v>
      </c>
      <c r="E1900" s="17" t="s">
        <v>187</v>
      </c>
      <c r="F1900" s="17" t="s">
        <v>54</v>
      </c>
      <c r="H1900" s="19" t="s">
        <v>549</v>
      </c>
      <c r="I1900" s="19"/>
      <c r="J1900" s="17" t="s">
        <v>49</v>
      </c>
      <c r="K1900" s="19">
        <v>2000</v>
      </c>
      <c r="L1900" s="19">
        <v>12</v>
      </c>
      <c r="M1900" s="19">
        <v>8000</v>
      </c>
      <c r="N1900" s="19" t="s">
        <v>66</v>
      </c>
      <c r="O1900" s="19" t="s">
        <v>141</v>
      </c>
      <c r="P1900" s="19">
        <v>3014</v>
      </c>
      <c r="Q1900" s="19">
        <v>3019</v>
      </c>
      <c r="R1900" s="19">
        <f t="shared" si="103"/>
        <v>-5</v>
      </c>
      <c r="S1900" s="19">
        <v>1250</v>
      </c>
      <c r="T1900" s="19" t="s">
        <v>42</v>
      </c>
      <c r="U1900" s="102" t="s">
        <v>738</v>
      </c>
      <c r="V1900" s="221">
        <v>44782</v>
      </c>
      <c r="W1900" s="17" t="s">
        <v>69</v>
      </c>
      <c r="Y1900" s="68">
        <v>44856</v>
      </c>
      <c r="Z1900" s="17" t="s">
        <v>191</v>
      </c>
      <c r="AA1900" s="17" t="s">
        <v>59</v>
      </c>
      <c r="AB1900" s="17" t="s">
        <v>741</v>
      </c>
      <c r="AC1900" s="17" t="s">
        <v>720</v>
      </c>
      <c r="AD1900" s="65">
        <v>1344</v>
      </c>
      <c r="AF1900" s="17" t="s">
        <v>560</v>
      </c>
    </row>
    <row r="1901" s="17" customFormat="1" hidden="1" spans="1:34">
      <c r="A1901" s="17" t="s">
        <v>34</v>
      </c>
      <c r="B1901" s="19">
        <v>842</v>
      </c>
      <c r="C1901" s="212">
        <v>44751</v>
      </c>
      <c r="D1901" s="17" t="s">
        <v>52</v>
      </c>
      <c r="E1901" s="17" t="s">
        <v>187</v>
      </c>
      <c r="F1901" s="17" t="s">
        <v>54</v>
      </c>
      <c r="H1901" s="19" t="s">
        <v>549</v>
      </c>
      <c r="I1901" s="19"/>
      <c r="J1901" s="17" t="s">
        <v>49</v>
      </c>
      <c r="K1901" s="147">
        <v>2000</v>
      </c>
      <c r="L1901" s="147">
        <v>20</v>
      </c>
      <c r="M1901" s="19">
        <v>12000</v>
      </c>
      <c r="N1901" s="19" t="s">
        <v>66</v>
      </c>
      <c r="O1901" s="19" t="s">
        <v>141</v>
      </c>
      <c r="P1901" s="19">
        <v>7536</v>
      </c>
      <c r="Q1901" s="19">
        <v>7570</v>
      </c>
      <c r="R1901" s="19">
        <f t="shared" si="103"/>
        <v>-34</v>
      </c>
      <c r="S1901" s="19">
        <v>1250</v>
      </c>
      <c r="T1901" s="19" t="s">
        <v>42</v>
      </c>
      <c r="U1901" s="102" t="s">
        <v>738</v>
      </c>
      <c r="V1901" s="221">
        <v>44782</v>
      </c>
      <c r="W1901" s="17" t="s">
        <v>69</v>
      </c>
      <c r="Y1901" s="68">
        <v>44856</v>
      </c>
      <c r="Z1901" s="17" t="s">
        <v>191</v>
      </c>
      <c r="AA1901" s="17" t="s">
        <v>59</v>
      </c>
      <c r="AB1901" s="17" t="s">
        <v>739</v>
      </c>
      <c r="AC1901" s="17" t="s">
        <v>740</v>
      </c>
      <c r="AD1901" s="65">
        <v>1343</v>
      </c>
      <c r="AF1901" s="17" t="s">
        <v>560</v>
      </c>
    </row>
    <row r="1902" s="17" customFormat="1" hidden="1" spans="1:34">
      <c r="A1902" s="17" t="s">
        <v>34</v>
      </c>
      <c r="B1902" s="19">
        <v>843</v>
      </c>
      <c r="C1902" s="212" t="s">
        <v>743</v>
      </c>
      <c r="D1902" s="17" t="s">
        <v>52</v>
      </c>
      <c r="E1902" s="17" t="s">
        <v>187</v>
      </c>
      <c r="F1902" s="17" t="s">
        <v>54</v>
      </c>
      <c r="H1902" s="124">
        <v>1.251</v>
      </c>
      <c r="I1902" s="124"/>
      <c r="J1902" s="17" t="s">
        <v>82</v>
      </c>
      <c r="K1902" s="162">
        <v>510</v>
      </c>
      <c r="L1902" s="91">
        <v>10</v>
      </c>
      <c r="M1902" s="19">
        <v>3500</v>
      </c>
      <c r="N1902" s="19" t="s">
        <v>40</v>
      </c>
      <c r="O1902" s="19" t="s">
        <v>141</v>
      </c>
      <c r="P1902" s="19">
        <v>360</v>
      </c>
      <c r="Q1902" s="19">
        <f>158+135</f>
        <v>293</v>
      </c>
      <c r="R1902" s="19">
        <f t="shared" si="103"/>
        <v>67</v>
      </c>
      <c r="S1902" s="19">
        <v>1835</v>
      </c>
      <c r="T1902" s="19" t="s">
        <v>42</v>
      </c>
      <c r="U1902" s="102" t="s">
        <v>744</v>
      </c>
      <c r="V1902" s="64" t="s">
        <v>745</v>
      </c>
      <c r="W1902" s="17" t="s">
        <v>69</v>
      </c>
      <c r="Y1902" s="68">
        <v>44805</v>
      </c>
      <c r="Z1902" s="17" t="s">
        <v>191</v>
      </c>
      <c r="AA1902" s="17" t="s">
        <v>46</v>
      </c>
      <c r="AB1902" s="17" t="s">
        <v>575</v>
      </c>
      <c r="AC1902" s="17" t="s">
        <v>576</v>
      </c>
      <c r="AD1902" s="65">
        <v>1350</v>
      </c>
      <c r="AE1902" s="17" t="s">
        <v>48</v>
      </c>
      <c r="AF1902" s="17" t="s">
        <v>245</v>
      </c>
    </row>
    <row r="1903" s="17" customFormat="1" hidden="1" spans="1:34">
      <c r="A1903" s="17" t="s">
        <v>34</v>
      </c>
      <c r="B1903" s="19">
        <v>843</v>
      </c>
      <c r="C1903" s="212" t="s">
        <v>743</v>
      </c>
      <c r="D1903" s="17" t="s">
        <v>52</v>
      </c>
      <c r="E1903" s="17" t="s">
        <v>187</v>
      </c>
      <c r="F1903" s="17" t="s">
        <v>54</v>
      </c>
      <c r="H1903" s="124">
        <v>1.251</v>
      </c>
      <c r="I1903" s="124"/>
      <c r="J1903" s="17" t="s">
        <v>82</v>
      </c>
      <c r="K1903" s="162">
        <v>610</v>
      </c>
      <c r="L1903" s="91">
        <v>10</v>
      </c>
      <c r="M1903" s="19">
        <v>3740</v>
      </c>
      <c r="N1903" s="19" t="s">
        <v>40</v>
      </c>
      <c r="O1903" s="19" t="s">
        <v>141</v>
      </c>
      <c r="P1903" s="19">
        <v>215</v>
      </c>
      <c r="Q1903" s="19">
        <v>220</v>
      </c>
      <c r="R1903" s="19">
        <f t="shared" si="103"/>
        <v>-5</v>
      </c>
      <c r="S1903" s="19">
        <v>1835</v>
      </c>
      <c r="T1903" s="19" t="s">
        <v>42</v>
      </c>
      <c r="U1903" s="102" t="s">
        <v>744</v>
      </c>
      <c r="V1903" s="64" t="s">
        <v>745</v>
      </c>
      <c r="W1903" s="17" t="s">
        <v>69</v>
      </c>
      <c r="Y1903" s="68">
        <v>44805</v>
      </c>
      <c r="Z1903" s="17" t="s">
        <v>191</v>
      </c>
      <c r="AA1903" s="17" t="s">
        <v>46</v>
      </c>
      <c r="AB1903" s="17" t="s">
        <v>575</v>
      </c>
      <c r="AC1903" s="17" t="s">
        <v>576</v>
      </c>
      <c r="AD1903" s="65">
        <v>1350</v>
      </c>
      <c r="AE1903" s="17" t="s">
        <v>48</v>
      </c>
      <c r="AF1903" s="17" t="s">
        <v>245</v>
      </c>
    </row>
    <row r="1904" s="17" customFormat="1" hidden="1" spans="1:34">
      <c r="A1904" s="17" t="s">
        <v>34</v>
      </c>
      <c r="B1904" s="19">
        <v>843</v>
      </c>
      <c r="C1904" s="212" t="s">
        <v>743</v>
      </c>
      <c r="D1904" s="17" t="s">
        <v>52</v>
      </c>
      <c r="E1904" s="17" t="s">
        <v>187</v>
      </c>
      <c r="F1904" s="17" t="s">
        <v>54</v>
      </c>
      <c r="H1904" s="124">
        <v>1.251</v>
      </c>
      <c r="I1904" s="124"/>
      <c r="J1904" s="17" t="s">
        <v>82</v>
      </c>
      <c r="K1904" s="162">
        <v>605</v>
      </c>
      <c r="L1904" s="91">
        <v>12</v>
      </c>
      <c r="M1904" s="19">
        <v>4150</v>
      </c>
      <c r="N1904" s="19" t="s">
        <v>40</v>
      </c>
      <c r="O1904" s="19" t="s">
        <v>141</v>
      </c>
      <c r="P1904" s="19">
        <v>513</v>
      </c>
      <c r="Q1904" s="19">
        <f>278+246</f>
        <v>524</v>
      </c>
      <c r="R1904" s="19">
        <f t="shared" si="103"/>
        <v>-11</v>
      </c>
      <c r="S1904" s="19">
        <v>1835</v>
      </c>
      <c r="T1904" s="19" t="s">
        <v>42</v>
      </c>
      <c r="U1904" s="102" t="s">
        <v>744</v>
      </c>
      <c r="V1904" s="64" t="s">
        <v>745</v>
      </c>
      <c r="W1904" s="17" t="s">
        <v>69</v>
      </c>
      <c r="Y1904" s="68">
        <v>44805</v>
      </c>
      <c r="Z1904" s="17" t="s">
        <v>191</v>
      </c>
      <c r="AA1904" s="17" t="s">
        <v>46</v>
      </c>
      <c r="AB1904" s="17" t="s">
        <v>575</v>
      </c>
      <c r="AC1904" s="17" t="s">
        <v>576</v>
      </c>
      <c r="AD1904" s="65">
        <v>1350</v>
      </c>
      <c r="AE1904" s="17" t="s">
        <v>48</v>
      </c>
      <c r="AF1904" s="17" t="s">
        <v>245</v>
      </c>
    </row>
    <row r="1905" s="17" customFormat="1" hidden="1" spans="1:32">
      <c r="A1905" s="17" t="s">
        <v>34</v>
      </c>
      <c r="B1905" s="19">
        <v>843</v>
      </c>
      <c r="C1905" s="212" t="s">
        <v>743</v>
      </c>
      <c r="D1905" s="17" t="s">
        <v>52</v>
      </c>
      <c r="E1905" s="17" t="s">
        <v>187</v>
      </c>
      <c r="F1905" s="17" t="s">
        <v>54</v>
      </c>
      <c r="H1905" s="124">
        <v>1.251</v>
      </c>
      <c r="I1905" s="124"/>
      <c r="J1905" s="17" t="s">
        <v>82</v>
      </c>
      <c r="K1905" s="162">
        <v>605</v>
      </c>
      <c r="L1905" s="91">
        <v>14</v>
      </c>
      <c r="M1905" s="19">
        <v>4290</v>
      </c>
      <c r="N1905" s="19" t="s">
        <v>40</v>
      </c>
      <c r="O1905" s="19" t="s">
        <v>141</v>
      </c>
      <c r="P1905" s="19">
        <v>598</v>
      </c>
      <c r="Q1905" s="19">
        <f>325+321</f>
        <v>646</v>
      </c>
      <c r="R1905" s="19">
        <f t="shared" si="103"/>
        <v>-48</v>
      </c>
      <c r="S1905" s="19">
        <v>1735</v>
      </c>
      <c r="T1905" s="19" t="s">
        <v>42</v>
      </c>
      <c r="U1905" s="102" t="s">
        <v>744</v>
      </c>
      <c r="V1905" s="64" t="s">
        <v>745</v>
      </c>
      <c r="W1905" s="17" t="s">
        <v>69</v>
      </c>
      <c r="Y1905" s="68">
        <v>44805</v>
      </c>
      <c r="Z1905" s="17" t="s">
        <v>191</v>
      </c>
      <c r="AA1905" s="17" t="s">
        <v>46</v>
      </c>
      <c r="AB1905" s="17" t="s">
        <v>575</v>
      </c>
      <c r="AC1905" s="17" t="s">
        <v>576</v>
      </c>
      <c r="AD1905" s="65">
        <v>1350</v>
      </c>
      <c r="AE1905" s="17" t="s">
        <v>48</v>
      </c>
      <c r="AF1905" s="17" t="s">
        <v>245</v>
      </c>
    </row>
    <row r="1906" s="17" customFormat="1" hidden="1" spans="1:32">
      <c r="A1906" s="17" t="s">
        <v>34</v>
      </c>
      <c r="B1906" s="19">
        <v>843</v>
      </c>
      <c r="C1906" s="212" t="s">
        <v>743</v>
      </c>
      <c r="D1906" s="17" t="s">
        <v>52</v>
      </c>
      <c r="E1906" s="17" t="s">
        <v>187</v>
      </c>
      <c r="F1906" s="17" t="s">
        <v>54</v>
      </c>
      <c r="H1906" s="124">
        <v>1.251</v>
      </c>
      <c r="I1906" s="124"/>
      <c r="J1906" s="17" t="s">
        <v>82</v>
      </c>
      <c r="K1906" s="162">
        <v>510</v>
      </c>
      <c r="L1906" s="91">
        <v>16</v>
      </c>
      <c r="M1906" s="19">
        <v>4383</v>
      </c>
      <c r="N1906" s="19" t="s">
        <v>40</v>
      </c>
      <c r="O1906" s="19" t="s">
        <v>141</v>
      </c>
      <c r="P1906" s="19">
        <v>577</v>
      </c>
      <c r="Q1906" s="19">
        <f>317+184</f>
        <v>501</v>
      </c>
      <c r="R1906" s="19">
        <f t="shared" si="103"/>
        <v>76</v>
      </c>
      <c r="S1906" s="19">
        <v>1735</v>
      </c>
      <c r="T1906" s="19" t="s">
        <v>42</v>
      </c>
      <c r="U1906" s="102" t="s">
        <v>744</v>
      </c>
      <c r="V1906" s="64" t="s">
        <v>745</v>
      </c>
      <c r="W1906" s="17" t="s">
        <v>69</v>
      </c>
      <c r="Y1906" s="68">
        <v>44805</v>
      </c>
      <c r="Z1906" s="17" t="s">
        <v>191</v>
      </c>
      <c r="AA1906" s="17" t="s">
        <v>46</v>
      </c>
      <c r="AB1906" s="17" t="s">
        <v>575</v>
      </c>
      <c r="AC1906" s="17" t="s">
        <v>576</v>
      </c>
      <c r="AD1906" s="65">
        <v>1350</v>
      </c>
      <c r="AE1906" s="17" t="s">
        <v>48</v>
      </c>
      <c r="AF1906" s="17" t="s">
        <v>245</v>
      </c>
    </row>
    <row r="1907" s="17" customFormat="1" hidden="1" spans="1:32">
      <c r="A1907" s="17" t="s">
        <v>34</v>
      </c>
      <c r="B1907" s="19">
        <v>843</v>
      </c>
      <c r="C1907" s="212" t="s">
        <v>743</v>
      </c>
      <c r="D1907" s="17" t="s">
        <v>52</v>
      </c>
      <c r="E1907" s="17" t="s">
        <v>187</v>
      </c>
      <c r="F1907" s="17" t="s">
        <v>54</v>
      </c>
      <c r="H1907" s="124">
        <v>1.251</v>
      </c>
      <c r="I1907" s="124"/>
      <c r="J1907" s="17" t="s">
        <v>82</v>
      </c>
      <c r="K1907" s="162">
        <v>610</v>
      </c>
      <c r="L1907" s="91">
        <v>16</v>
      </c>
      <c r="M1907" s="19">
        <v>3980</v>
      </c>
      <c r="N1907" s="19" t="s">
        <v>40</v>
      </c>
      <c r="O1907" s="19" t="s">
        <v>141</v>
      </c>
      <c r="P1907" s="19">
        <v>690</v>
      </c>
      <c r="Q1907" s="19">
        <f>326+336</f>
        <v>662</v>
      </c>
      <c r="R1907" s="19">
        <f t="shared" si="103"/>
        <v>28</v>
      </c>
      <c r="S1907" s="19">
        <v>1735</v>
      </c>
      <c r="T1907" s="19" t="s">
        <v>42</v>
      </c>
      <c r="U1907" s="102" t="s">
        <v>744</v>
      </c>
      <c r="V1907" s="64" t="s">
        <v>745</v>
      </c>
      <c r="W1907" s="17" t="s">
        <v>69</v>
      </c>
      <c r="Y1907" s="68">
        <v>44805</v>
      </c>
      <c r="Z1907" s="17" t="s">
        <v>191</v>
      </c>
      <c r="AA1907" s="17" t="s">
        <v>46</v>
      </c>
      <c r="AB1907" s="17" t="s">
        <v>575</v>
      </c>
      <c r="AC1907" s="17" t="s">
        <v>576</v>
      </c>
      <c r="AD1907" s="65">
        <v>1350</v>
      </c>
      <c r="AE1907" s="17" t="s">
        <v>48</v>
      </c>
      <c r="AF1907" s="17" t="s">
        <v>245</v>
      </c>
    </row>
    <row r="1908" s="17" customFormat="1" hidden="1" spans="1:32">
      <c r="A1908" s="17" t="s">
        <v>34</v>
      </c>
      <c r="B1908" s="19">
        <v>843</v>
      </c>
      <c r="C1908" s="212" t="s">
        <v>743</v>
      </c>
      <c r="D1908" s="17" t="s">
        <v>52</v>
      </c>
      <c r="E1908" s="17" t="s">
        <v>187</v>
      </c>
      <c r="F1908" s="17" t="s">
        <v>54</v>
      </c>
      <c r="H1908" s="124">
        <v>1.251</v>
      </c>
      <c r="I1908" s="124"/>
      <c r="J1908" s="17" t="s">
        <v>82</v>
      </c>
      <c r="K1908" s="162">
        <v>605</v>
      </c>
      <c r="L1908" s="91">
        <v>20</v>
      </c>
      <c r="M1908" s="19">
        <v>4710</v>
      </c>
      <c r="N1908" s="19" t="s">
        <v>40</v>
      </c>
      <c r="O1908" s="19" t="s">
        <v>141</v>
      </c>
      <c r="P1908" s="19">
        <v>855</v>
      </c>
      <c r="Q1908" s="19">
        <f>480+316</f>
        <v>796</v>
      </c>
      <c r="R1908" s="19">
        <f t="shared" si="103"/>
        <v>59</v>
      </c>
      <c r="S1908" s="19">
        <v>1715</v>
      </c>
      <c r="T1908" s="19" t="s">
        <v>42</v>
      </c>
      <c r="U1908" s="102" t="s">
        <v>744</v>
      </c>
      <c r="V1908" s="64" t="s">
        <v>745</v>
      </c>
      <c r="W1908" s="17" t="s">
        <v>69</v>
      </c>
      <c r="Y1908" s="68">
        <v>44805</v>
      </c>
      <c r="Z1908" s="17" t="s">
        <v>191</v>
      </c>
      <c r="AA1908" s="17" t="s">
        <v>46</v>
      </c>
      <c r="AB1908" s="17" t="s">
        <v>575</v>
      </c>
      <c r="AC1908" s="17" t="s">
        <v>576</v>
      </c>
      <c r="AD1908" s="65">
        <v>1350</v>
      </c>
      <c r="AE1908" s="17" t="s">
        <v>48</v>
      </c>
      <c r="AF1908" s="17" t="s">
        <v>245</v>
      </c>
    </row>
    <row r="1909" s="17" customFormat="1" hidden="1" spans="1:32">
      <c r="A1909" s="17" t="s">
        <v>34</v>
      </c>
      <c r="B1909" s="19">
        <v>843</v>
      </c>
      <c r="C1909" s="212" t="s">
        <v>743</v>
      </c>
      <c r="D1909" s="17" t="s">
        <v>52</v>
      </c>
      <c r="E1909" s="17" t="s">
        <v>187</v>
      </c>
      <c r="F1909" s="17" t="s">
        <v>54</v>
      </c>
      <c r="H1909" s="124">
        <v>1.251</v>
      </c>
      <c r="I1909" s="124"/>
      <c r="J1909" s="17" t="s">
        <v>82</v>
      </c>
      <c r="K1909" s="162">
        <v>510</v>
      </c>
      <c r="L1909" s="91">
        <v>20</v>
      </c>
      <c r="M1909" s="19">
        <v>2590</v>
      </c>
      <c r="N1909" s="19" t="s">
        <v>40</v>
      </c>
      <c r="O1909" s="19" t="s">
        <v>141</v>
      </c>
      <c r="P1909" s="19">
        <v>1081</v>
      </c>
      <c r="Q1909" s="19">
        <f>225+354+362</f>
        <v>941</v>
      </c>
      <c r="R1909" s="19">
        <f t="shared" si="103"/>
        <v>140</v>
      </c>
      <c r="S1909" s="19">
        <v>1715</v>
      </c>
      <c r="T1909" s="19" t="s">
        <v>42</v>
      </c>
      <c r="U1909" s="102" t="s">
        <v>744</v>
      </c>
      <c r="V1909" s="64" t="s">
        <v>745</v>
      </c>
      <c r="W1909" s="17" t="s">
        <v>69</v>
      </c>
      <c r="Y1909" s="68">
        <v>44805</v>
      </c>
      <c r="Z1909" s="17" t="s">
        <v>191</v>
      </c>
      <c r="AA1909" s="17" t="s">
        <v>46</v>
      </c>
      <c r="AB1909" s="17" t="s">
        <v>575</v>
      </c>
      <c r="AC1909" s="17" t="s">
        <v>576</v>
      </c>
      <c r="AD1909" s="65">
        <v>1350</v>
      </c>
      <c r="AE1909" s="17" t="s">
        <v>48</v>
      </c>
      <c r="AF1909" s="17" t="s">
        <v>245</v>
      </c>
    </row>
    <row r="1910" s="17" customFormat="1" hidden="1" spans="1:32">
      <c r="A1910" s="17" t="s">
        <v>34</v>
      </c>
      <c r="B1910" s="19">
        <v>843</v>
      </c>
      <c r="C1910" s="212" t="s">
        <v>743</v>
      </c>
      <c r="D1910" s="17" t="s">
        <v>52</v>
      </c>
      <c r="E1910" s="17" t="s">
        <v>187</v>
      </c>
      <c r="F1910" s="17" t="s">
        <v>54</v>
      </c>
      <c r="H1910" s="124">
        <v>1.251</v>
      </c>
      <c r="I1910" s="124"/>
      <c r="J1910" s="17" t="s">
        <v>82</v>
      </c>
      <c r="K1910" s="162">
        <v>410</v>
      </c>
      <c r="L1910" s="91">
        <v>20</v>
      </c>
      <c r="M1910" s="19">
        <v>3900</v>
      </c>
      <c r="N1910" s="19" t="s">
        <v>40</v>
      </c>
      <c r="O1910" s="19" t="s">
        <v>141</v>
      </c>
      <c r="P1910" s="19">
        <v>579</v>
      </c>
      <c r="Q1910" s="19">
        <f>266+261</f>
        <v>527</v>
      </c>
      <c r="R1910" s="19">
        <f t="shared" si="103"/>
        <v>52</v>
      </c>
      <c r="S1910" s="19">
        <v>1715</v>
      </c>
      <c r="T1910" s="19" t="s">
        <v>42</v>
      </c>
      <c r="U1910" s="102" t="s">
        <v>744</v>
      </c>
      <c r="V1910" s="64" t="s">
        <v>745</v>
      </c>
      <c r="W1910" s="17" t="s">
        <v>69</v>
      </c>
      <c r="Y1910" s="68">
        <v>44805</v>
      </c>
      <c r="Z1910" s="17" t="s">
        <v>191</v>
      </c>
      <c r="AA1910" s="17" t="s">
        <v>46</v>
      </c>
      <c r="AB1910" s="17" t="s">
        <v>575</v>
      </c>
      <c r="AC1910" s="17" t="s">
        <v>576</v>
      </c>
      <c r="AD1910" s="65">
        <v>1350</v>
      </c>
      <c r="AE1910" s="17" t="s">
        <v>48</v>
      </c>
      <c r="AF1910" s="17" t="s">
        <v>245</v>
      </c>
    </row>
    <row r="1911" s="17" customFormat="1" hidden="1" spans="1:32">
      <c r="A1911" s="17" t="s">
        <v>34</v>
      </c>
      <c r="B1911" s="19">
        <v>843</v>
      </c>
      <c r="C1911" s="212" t="s">
        <v>743</v>
      </c>
      <c r="D1911" s="17" t="s">
        <v>52</v>
      </c>
      <c r="E1911" s="17" t="s">
        <v>187</v>
      </c>
      <c r="F1911" s="17" t="s">
        <v>54</v>
      </c>
      <c r="H1911" s="124">
        <v>1.251</v>
      </c>
      <c r="I1911" s="124"/>
      <c r="J1911" s="17" t="s">
        <v>82</v>
      </c>
      <c r="K1911" s="162">
        <v>605</v>
      </c>
      <c r="L1911" s="91">
        <v>20</v>
      </c>
      <c r="M1911" s="19">
        <v>4665</v>
      </c>
      <c r="N1911" s="19" t="s">
        <v>40</v>
      </c>
      <c r="O1911" s="19" t="s">
        <v>141</v>
      </c>
      <c r="P1911" s="19">
        <v>855</v>
      </c>
      <c r="Q1911" s="19">
        <f>474+431</f>
        <v>905</v>
      </c>
      <c r="R1911" s="19">
        <f t="shared" si="103"/>
        <v>-50</v>
      </c>
      <c r="S1911" s="19">
        <v>1715</v>
      </c>
      <c r="T1911" s="19" t="s">
        <v>42</v>
      </c>
      <c r="U1911" s="102" t="s">
        <v>744</v>
      </c>
      <c r="V1911" s="64" t="s">
        <v>745</v>
      </c>
      <c r="W1911" s="17" t="s">
        <v>69</v>
      </c>
      <c r="Y1911" s="68">
        <v>44805</v>
      </c>
      <c r="Z1911" s="17" t="s">
        <v>191</v>
      </c>
      <c r="AA1911" s="17" t="s">
        <v>46</v>
      </c>
      <c r="AB1911" s="17" t="s">
        <v>575</v>
      </c>
      <c r="AC1911" s="17" t="s">
        <v>576</v>
      </c>
      <c r="AD1911" s="65">
        <v>1350</v>
      </c>
      <c r="AE1911" s="17" t="s">
        <v>48</v>
      </c>
      <c r="AF1911" s="17" t="s">
        <v>245</v>
      </c>
    </row>
    <row r="1912" s="17" customFormat="1" hidden="1" spans="1:32">
      <c r="A1912" s="17" t="s">
        <v>34</v>
      </c>
      <c r="B1912" s="19">
        <v>843</v>
      </c>
      <c r="C1912" s="212" t="s">
        <v>743</v>
      </c>
      <c r="D1912" s="17" t="s">
        <v>52</v>
      </c>
      <c r="E1912" s="17" t="s">
        <v>187</v>
      </c>
      <c r="F1912" s="17" t="s">
        <v>54</v>
      </c>
      <c r="H1912" s="124">
        <v>1.251</v>
      </c>
      <c r="I1912" s="124"/>
      <c r="J1912" s="17" t="s">
        <v>82</v>
      </c>
      <c r="K1912" s="162">
        <v>410</v>
      </c>
      <c r="L1912" s="91">
        <v>25</v>
      </c>
      <c r="M1912" s="19">
        <v>4360</v>
      </c>
      <c r="N1912" s="19" t="s">
        <v>40</v>
      </c>
      <c r="O1912" s="19" t="s">
        <v>141</v>
      </c>
      <c r="P1912" s="19">
        <v>724</v>
      </c>
      <c r="Q1912" s="19">
        <f>366+352</f>
        <v>718</v>
      </c>
      <c r="R1912" s="19">
        <f t="shared" si="103"/>
        <v>6</v>
      </c>
      <c r="S1912" s="19">
        <v>1715</v>
      </c>
      <c r="T1912" s="19" t="s">
        <v>42</v>
      </c>
      <c r="U1912" s="102" t="s">
        <v>744</v>
      </c>
      <c r="V1912" s="64" t="s">
        <v>745</v>
      </c>
      <c r="W1912" s="17" t="s">
        <v>69</v>
      </c>
      <c r="Y1912" s="68">
        <v>44805</v>
      </c>
      <c r="Z1912" s="17" t="s">
        <v>191</v>
      </c>
      <c r="AA1912" s="17" t="s">
        <v>46</v>
      </c>
      <c r="AB1912" s="17" t="s">
        <v>575</v>
      </c>
      <c r="AC1912" s="17" t="s">
        <v>576</v>
      </c>
      <c r="AD1912" s="65">
        <v>1350</v>
      </c>
      <c r="AE1912" s="17" t="s">
        <v>48</v>
      </c>
      <c r="AF1912" s="17" t="s">
        <v>245</v>
      </c>
    </row>
    <row r="1913" s="17" customFormat="1" hidden="1" spans="1:32">
      <c r="A1913" s="17" t="s">
        <v>34</v>
      </c>
      <c r="B1913" s="19">
        <v>843</v>
      </c>
      <c r="C1913" s="212" t="s">
        <v>743</v>
      </c>
      <c r="D1913" s="17" t="s">
        <v>52</v>
      </c>
      <c r="E1913" s="17" t="s">
        <v>187</v>
      </c>
      <c r="F1913" s="17" t="s">
        <v>54</v>
      </c>
      <c r="H1913" s="124">
        <v>1.251</v>
      </c>
      <c r="I1913" s="124"/>
      <c r="J1913" s="17" t="s">
        <v>82</v>
      </c>
      <c r="K1913" s="162">
        <v>510</v>
      </c>
      <c r="L1913" s="91">
        <v>25</v>
      </c>
      <c r="M1913" s="19">
        <v>3935</v>
      </c>
      <c r="N1913" s="19" t="s">
        <v>40</v>
      </c>
      <c r="O1913" s="19" t="s">
        <v>141</v>
      </c>
      <c r="P1913" s="19">
        <v>901</v>
      </c>
      <c r="Q1913" s="19">
        <f>413+406</f>
        <v>819</v>
      </c>
      <c r="R1913" s="19">
        <f t="shared" si="103"/>
        <v>82</v>
      </c>
      <c r="S1913" s="19">
        <v>1715</v>
      </c>
      <c r="T1913" s="19" t="s">
        <v>42</v>
      </c>
      <c r="U1913" s="102" t="s">
        <v>744</v>
      </c>
      <c r="V1913" s="64" t="s">
        <v>745</v>
      </c>
      <c r="W1913" s="17" t="s">
        <v>69</v>
      </c>
      <c r="Y1913" s="68">
        <v>44805</v>
      </c>
      <c r="Z1913" s="17" t="s">
        <v>191</v>
      </c>
      <c r="AA1913" s="17" t="s">
        <v>46</v>
      </c>
      <c r="AB1913" s="17" t="s">
        <v>575</v>
      </c>
      <c r="AC1913" s="17" t="s">
        <v>576</v>
      </c>
      <c r="AD1913" s="65">
        <v>1350</v>
      </c>
      <c r="AE1913" s="17" t="s">
        <v>48</v>
      </c>
      <c r="AF1913" s="17" t="s">
        <v>245</v>
      </c>
    </row>
    <row r="1914" s="17" customFormat="1" hidden="1" spans="1:32">
      <c r="A1914" s="17" t="s">
        <v>34</v>
      </c>
      <c r="B1914" s="19">
        <v>843</v>
      </c>
      <c r="C1914" s="212" t="s">
        <v>743</v>
      </c>
      <c r="D1914" s="17" t="s">
        <v>52</v>
      </c>
      <c r="E1914" s="17" t="s">
        <v>187</v>
      </c>
      <c r="F1914" s="17" t="s">
        <v>54</v>
      </c>
      <c r="H1914" s="124">
        <v>1.251</v>
      </c>
      <c r="I1914" s="124"/>
      <c r="J1914" s="17" t="s">
        <v>82</v>
      </c>
      <c r="K1914" s="162">
        <v>605</v>
      </c>
      <c r="L1914" s="91">
        <v>25</v>
      </c>
      <c r="M1914" s="19">
        <v>4290</v>
      </c>
      <c r="N1914" s="19" t="s">
        <v>40</v>
      </c>
      <c r="O1914" s="19" t="s">
        <v>141</v>
      </c>
      <c r="P1914" s="19">
        <v>1069</v>
      </c>
      <c r="Q1914" s="19">
        <f>539+519</f>
        <v>1058</v>
      </c>
      <c r="R1914" s="19">
        <f t="shared" si="103"/>
        <v>11</v>
      </c>
      <c r="S1914" s="19">
        <v>1715</v>
      </c>
      <c r="T1914" s="19" t="s">
        <v>42</v>
      </c>
      <c r="U1914" s="102" t="s">
        <v>744</v>
      </c>
      <c r="V1914" s="64" t="s">
        <v>745</v>
      </c>
      <c r="W1914" s="17" t="s">
        <v>69</v>
      </c>
      <c r="Y1914" s="68">
        <v>44805</v>
      </c>
      <c r="Z1914" s="17" t="s">
        <v>191</v>
      </c>
      <c r="AA1914" s="17" t="s">
        <v>46</v>
      </c>
      <c r="AB1914" s="17" t="s">
        <v>575</v>
      </c>
      <c r="AC1914" s="17" t="s">
        <v>576</v>
      </c>
      <c r="AD1914" s="65">
        <v>1350</v>
      </c>
      <c r="AE1914" s="17" t="s">
        <v>48</v>
      </c>
      <c r="AF1914" s="17" t="s">
        <v>245</v>
      </c>
    </row>
    <row r="1915" s="17" customFormat="1" hidden="1" spans="1:32">
      <c r="A1915" s="17" t="s">
        <v>34</v>
      </c>
      <c r="B1915" s="19">
        <v>843</v>
      </c>
      <c r="C1915" s="212" t="s">
        <v>743</v>
      </c>
      <c r="D1915" s="17" t="s">
        <v>52</v>
      </c>
      <c r="E1915" s="17" t="s">
        <v>187</v>
      </c>
      <c r="F1915" s="17" t="s">
        <v>54</v>
      </c>
      <c r="H1915" s="124">
        <v>1.251</v>
      </c>
      <c r="I1915" s="124"/>
      <c r="J1915" s="17" t="s">
        <v>82</v>
      </c>
      <c r="K1915" s="162">
        <v>510</v>
      </c>
      <c r="L1915" s="91">
        <v>33</v>
      </c>
      <c r="M1915" s="19">
        <v>3775</v>
      </c>
      <c r="N1915" s="19" t="s">
        <v>40</v>
      </c>
      <c r="O1915" s="19" t="s">
        <v>141</v>
      </c>
      <c r="P1915" s="19">
        <v>1189</v>
      </c>
      <c r="Q1915" s="19">
        <f>514+506</f>
        <v>1020</v>
      </c>
      <c r="R1915" s="19">
        <f t="shared" si="103"/>
        <v>169</v>
      </c>
      <c r="S1915" s="19">
        <v>1715</v>
      </c>
      <c r="T1915" s="19" t="s">
        <v>42</v>
      </c>
      <c r="U1915" s="102" t="s">
        <v>744</v>
      </c>
      <c r="V1915" s="64" t="s">
        <v>745</v>
      </c>
      <c r="W1915" s="17" t="s">
        <v>69</v>
      </c>
      <c r="Y1915" s="68">
        <v>44805</v>
      </c>
      <c r="Z1915" s="17" t="s">
        <v>191</v>
      </c>
      <c r="AA1915" s="17" t="s">
        <v>46</v>
      </c>
      <c r="AB1915" s="17" t="s">
        <v>575</v>
      </c>
      <c r="AC1915" s="17" t="s">
        <v>576</v>
      </c>
      <c r="AD1915" s="65">
        <v>1350</v>
      </c>
      <c r="AE1915" s="17" t="s">
        <v>48</v>
      </c>
      <c r="AF1915" s="17" t="s">
        <v>245</v>
      </c>
    </row>
    <row r="1916" s="17" customFormat="1" hidden="1" spans="1:32">
      <c r="A1916" s="17" t="s">
        <v>34</v>
      </c>
      <c r="B1916" s="19">
        <v>843</v>
      </c>
      <c r="C1916" s="212" t="s">
        <v>743</v>
      </c>
      <c r="D1916" s="17" t="s">
        <v>52</v>
      </c>
      <c r="E1916" s="17" t="s">
        <v>187</v>
      </c>
      <c r="F1916" s="17" t="s">
        <v>54</v>
      </c>
      <c r="H1916" s="124">
        <v>1.251</v>
      </c>
      <c r="I1916" s="124"/>
      <c r="J1916" s="17" t="s">
        <v>82</v>
      </c>
      <c r="K1916" s="162">
        <v>605</v>
      </c>
      <c r="L1916" s="91">
        <v>40</v>
      </c>
      <c r="M1916" s="19">
        <v>3825</v>
      </c>
      <c r="N1916" s="19" t="s">
        <v>40</v>
      </c>
      <c r="O1916" s="19" t="s">
        <v>141</v>
      </c>
      <c r="P1916" s="19">
        <v>855</v>
      </c>
      <c r="Q1916" s="19">
        <v>761</v>
      </c>
      <c r="R1916" s="19">
        <f t="shared" si="103"/>
        <v>94</v>
      </c>
      <c r="S1916" s="19">
        <v>1715</v>
      </c>
      <c r="T1916" s="19" t="s">
        <v>42</v>
      </c>
      <c r="U1916" s="102" t="s">
        <v>744</v>
      </c>
      <c r="V1916" s="64" t="s">
        <v>745</v>
      </c>
      <c r="W1916" s="17" t="s">
        <v>69</v>
      </c>
      <c r="Y1916" s="68">
        <v>44805</v>
      </c>
      <c r="Z1916" s="17" t="s">
        <v>191</v>
      </c>
      <c r="AA1916" s="17" t="s">
        <v>46</v>
      </c>
      <c r="AB1916" s="17" t="s">
        <v>575</v>
      </c>
      <c r="AC1916" s="17" t="s">
        <v>576</v>
      </c>
      <c r="AD1916" s="65">
        <v>1350</v>
      </c>
      <c r="AE1916" s="17" t="s">
        <v>48</v>
      </c>
      <c r="AF1916" s="17" t="s">
        <v>245</v>
      </c>
    </row>
    <row r="1917" s="17" customFormat="1" hidden="1" spans="1:32">
      <c r="A1917" s="17" t="s">
        <v>34</v>
      </c>
      <c r="B1917" s="19">
        <v>843</v>
      </c>
      <c r="C1917" s="212" t="s">
        <v>743</v>
      </c>
      <c r="D1917" s="17" t="s">
        <v>52</v>
      </c>
      <c r="E1917" s="17" t="s">
        <v>187</v>
      </c>
      <c r="F1917" s="17" t="s">
        <v>54</v>
      </c>
      <c r="H1917" s="124">
        <v>1.251</v>
      </c>
      <c r="I1917" s="124"/>
      <c r="J1917" s="17" t="s">
        <v>82</v>
      </c>
      <c r="K1917" s="162">
        <v>510</v>
      </c>
      <c r="L1917" s="91">
        <v>50</v>
      </c>
      <c r="M1917" s="19">
        <v>5020</v>
      </c>
      <c r="N1917" s="19" t="s">
        <v>40</v>
      </c>
      <c r="O1917" s="19" t="s">
        <v>141</v>
      </c>
      <c r="P1917" s="19">
        <v>901</v>
      </c>
      <c r="Q1917" s="19">
        <v>1046</v>
      </c>
      <c r="R1917" s="19">
        <f t="shared" si="103"/>
        <v>-145</v>
      </c>
      <c r="S1917" s="19">
        <v>1715</v>
      </c>
      <c r="T1917" s="19" t="s">
        <v>42</v>
      </c>
      <c r="U1917" s="102" t="s">
        <v>744</v>
      </c>
      <c r="V1917" s="64" t="s">
        <v>745</v>
      </c>
      <c r="W1917" s="17" t="s">
        <v>69</v>
      </c>
      <c r="Y1917" s="68">
        <v>44805</v>
      </c>
      <c r="Z1917" s="17" t="s">
        <v>191</v>
      </c>
      <c r="AA1917" s="17" t="s">
        <v>46</v>
      </c>
      <c r="AB1917" s="17" t="s">
        <v>575</v>
      </c>
      <c r="AC1917" s="17" t="s">
        <v>576</v>
      </c>
      <c r="AD1917" s="65">
        <v>1350</v>
      </c>
      <c r="AE1917" s="17" t="s">
        <v>48</v>
      </c>
      <c r="AF1917" s="17" t="s">
        <v>245</v>
      </c>
    </row>
    <row r="1918" s="17" customFormat="1" hidden="1" spans="1:32">
      <c r="A1918" s="17" t="s">
        <v>34</v>
      </c>
      <c r="B1918" s="19">
        <v>843</v>
      </c>
      <c r="C1918" s="212" t="s">
        <v>743</v>
      </c>
      <c r="D1918" s="17" t="s">
        <v>52</v>
      </c>
      <c r="E1918" s="17" t="s">
        <v>187</v>
      </c>
      <c r="F1918" s="17" t="s">
        <v>54</v>
      </c>
      <c r="H1918" s="124">
        <v>1.251</v>
      </c>
      <c r="I1918" s="124"/>
      <c r="J1918" s="17" t="s">
        <v>82</v>
      </c>
      <c r="K1918" s="162">
        <v>605</v>
      </c>
      <c r="L1918" s="91">
        <v>50</v>
      </c>
      <c r="M1918" s="19">
        <v>3935</v>
      </c>
      <c r="N1918" s="19" t="s">
        <v>40</v>
      </c>
      <c r="O1918" s="19" t="s">
        <v>141</v>
      </c>
      <c r="P1918" s="19">
        <v>1069</v>
      </c>
      <c r="Q1918" s="19">
        <v>986</v>
      </c>
      <c r="R1918" s="19">
        <f t="shared" si="103"/>
        <v>83</v>
      </c>
      <c r="S1918" s="19">
        <v>1715</v>
      </c>
      <c r="T1918" s="19" t="s">
        <v>42</v>
      </c>
      <c r="U1918" s="102" t="s">
        <v>744</v>
      </c>
      <c r="V1918" s="64" t="s">
        <v>745</v>
      </c>
      <c r="W1918" s="17" t="s">
        <v>69</v>
      </c>
      <c r="Y1918" s="68">
        <v>44805</v>
      </c>
      <c r="Z1918" s="17" t="s">
        <v>191</v>
      </c>
      <c r="AA1918" s="17" t="s">
        <v>46</v>
      </c>
      <c r="AB1918" s="17" t="s">
        <v>575</v>
      </c>
      <c r="AC1918" s="17" t="s">
        <v>576</v>
      </c>
      <c r="AD1918" s="65">
        <v>1350</v>
      </c>
      <c r="AE1918" s="17" t="s">
        <v>48</v>
      </c>
      <c r="AF1918" s="17" t="s">
        <v>245</v>
      </c>
    </row>
    <row r="1919" s="17" customFormat="1" hidden="1" spans="1:32">
      <c r="A1919" s="17" t="s">
        <v>34</v>
      </c>
      <c r="B1919" s="19">
        <v>844</v>
      </c>
      <c r="C1919" s="230" t="s">
        <v>746</v>
      </c>
      <c r="D1919" s="17" t="s">
        <v>35</v>
      </c>
      <c r="E1919" s="17" t="s">
        <v>718</v>
      </c>
      <c r="F1919" s="17" t="s">
        <v>37</v>
      </c>
      <c r="H1919" s="19">
        <v>1.2344</v>
      </c>
      <c r="I1919" s="19"/>
      <c r="J1919" s="17" t="s">
        <v>39</v>
      </c>
      <c r="K1919" s="19">
        <v>85</v>
      </c>
      <c r="L1919" s="19"/>
      <c r="M1919" s="19"/>
      <c r="N1919" s="19" t="s">
        <v>40</v>
      </c>
      <c r="O1919" s="19" t="s">
        <v>84</v>
      </c>
      <c r="P1919" s="19">
        <v>4000</v>
      </c>
      <c r="Q1919" s="17">
        <v>3756</v>
      </c>
      <c r="R1919" s="17">
        <f t="shared" si="103"/>
        <v>244</v>
      </c>
      <c r="S1919" s="17">
        <v>3500</v>
      </c>
      <c r="T1919" s="19" t="s">
        <v>42</v>
      </c>
      <c r="U1919" s="102" t="s">
        <v>747</v>
      </c>
      <c r="V1919" s="101" t="s">
        <v>748</v>
      </c>
      <c r="W1919" s="17" t="s">
        <v>44</v>
      </c>
      <c r="Y1919" s="68">
        <v>44986</v>
      </c>
      <c r="Z1919" s="17" t="s">
        <v>721</v>
      </c>
      <c r="AA1919" s="17" t="s">
        <v>46</v>
      </c>
      <c r="AB1919" s="17" t="s">
        <v>749</v>
      </c>
      <c r="AC1919" s="102" t="s">
        <v>750</v>
      </c>
      <c r="AD1919" s="65">
        <v>1407</v>
      </c>
      <c r="AE1919" s="17" t="s">
        <v>751</v>
      </c>
    </row>
    <row r="1920" s="17" customFormat="1" hidden="1" spans="1:32">
      <c r="A1920" s="17" t="s">
        <v>34</v>
      </c>
      <c r="B1920" s="19">
        <v>844</v>
      </c>
      <c r="C1920" s="230" t="s">
        <v>746</v>
      </c>
      <c r="D1920" s="17" t="s">
        <v>35</v>
      </c>
      <c r="E1920" s="17" t="s">
        <v>718</v>
      </c>
      <c r="F1920" s="17" t="s">
        <v>37</v>
      </c>
      <c r="H1920" s="19">
        <v>1.2344</v>
      </c>
      <c r="I1920" s="19"/>
      <c r="J1920" s="17" t="s">
        <v>39</v>
      </c>
      <c r="K1920" s="19">
        <v>132</v>
      </c>
      <c r="L1920" s="19"/>
      <c r="M1920" s="19"/>
      <c r="N1920" s="19" t="s">
        <v>40</v>
      </c>
      <c r="O1920" s="19" t="s">
        <v>84</v>
      </c>
      <c r="P1920" s="19">
        <v>10000</v>
      </c>
      <c r="Q1920" s="17">
        <v>9866</v>
      </c>
      <c r="R1920" s="17">
        <f t="shared" si="103"/>
        <v>134</v>
      </c>
      <c r="S1920" s="17">
        <v>3590</v>
      </c>
      <c r="T1920" s="19" t="s">
        <v>42</v>
      </c>
      <c r="U1920" s="102" t="s">
        <v>747</v>
      </c>
      <c r="V1920" s="101" t="s">
        <v>748</v>
      </c>
      <c r="W1920" s="17" t="s">
        <v>44</v>
      </c>
      <c r="Y1920" s="68">
        <v>44986</v>
      </c>
      <c r="Z1920" s="17" t="s">
        <v>721</v>
      </c>
      <c r="AA1920" s="17" t="s">
        <v>46</v>
      </c>
      <c r="AB1920" s="17" t="s">
        <v>749</v>
      </c>
      <c r="AC1920" s="102" t="s">
        <v>750</v>
      </c>
      <c r="AD1920" s="65">
        <v>1407</v>
      </c>
      <c r="AE1920" s="17" t="s">
        <v>751</v>
      </c>
    </row>
    <row r="1921" s="17" customFormat="1" hidden="1" spans="1:32">
      <c r="A1921" s="17" t="s">
        <v>34</v>
      </c>
      <c r="B1921" s="19">
        <v>844</v>
      </c>
      <c r="C1921" s="230" t="s">
        <v>746</v>
      </c>
      <c r="D1921" s="17" t="s">
        <v>35</v>
      </c>
      <c r="E1921" s="17" t="s">
        <v>718</v>
      </c>
      <c r="F1921" s="17" t="s">
        <v>37</v>
      </c>
      <c r="H1921" s="19">
        <v>1.2344</v>
      </c>
      <c r="I1921" s="19"/>
      <c r="J1921" s="17" t="s">
        <v>39</v>
      </c>
      <c r="K1921" s="19">
        <v>162</v>
      </c>
      <c r="L1921" s="19"/>
      <c r="M1921" s="19"/>
      <c r="N1921" s="19" t="s">
        <v>40</v>
      </c>
      <c r="O1921" s="19" t="s">
        <v>84</v>
      </c>
      <c r="P1921" s="19">
        <v>2000</v>
      </c>
      <c r="Q1921" s="17">
        <v>1776</v>
      </c>
      <c r="R1921" s="17">
        <f t="shared" si="103"/>
        <v>224</v>
      </c>
      <c r="S1921" s="17">
        <v>3590</v>
      </c>
      <c r="T1921" s="19" t="s">
        <v>42</v>
      </c>
      <c r="U1921" s="102" t="s">
        <v>747</v>
      </c>
      <c r="V1921" s="101" t="s">
        <v>748</v>
      </c>
      <c r="W1921" s="17" t="s">
        <v>44</v>
      </c>
      <c r="Y1921" s="68">
        <v>44986</v>
      </c>
      <c r="Z1921" s="17" t="s">
        <v>721</v>
      </c>
      <c r="AA1921" s="17" t="s">
        <v>46</v>
      </c>
      <c r="AB1921" s="17" t="s">
        <v>749</v>
      </c>
      <c r="AC1921" s="102" t="s">
        <v>750</v>
      </c>
      <c r="AD1921" s="65">
        <v>1407</v>
      </c>
      <c r="AE1921" s="17" t="s">
        <v>751</v>
      </c>
    </row>
    <row r="1922" s="17" customFormat="1" hidden="1" spans="1:32">
      <c r="A1922" s="17" t="s">
        <v>34</v>
      </c>
      <c r="B1922" s="19">
        <v>844</v>
      </c>
      <c r="C1922" s="230" t="s">
        <v>746</v>
      </c>
      <c r="D1922" s="17" t="s">
        <v>35</v>
      </c>
      <c r="E1922" s="17" t="s">
        <v>718</v>
      </c>
      <c r="F1922" s="17" t="s">
        <v>37</v>
      </c>
      <c r="H1922" s="19">
        <v>1.2344</v>
      </c>
      <c r="I1922" s="19"/>
      <c r="J1922" s="17" t="s">
        <v>39</v>
      </c>
      <c r="K1922" s="19">
        <v>192</v>
      </c>
      <c r="L1922" s="19"/>
      <c r="M1922" s="19"/>
      <c r="N1922" s="19" t="s">
        <v>40</v>
      </c>
      <c r="O1922" s="19" t="s">
        <v>84</v>
      </c>
      <c r="P1922" s="19">
        <v>2000</v>
      </c>
      <c r="Q1922" s="17">
        <v>1866</v>
      </c>
      <c r="R1922" s="17">
        <f t="shared" si="103"/>
        <v>134</v>
      </c>
      <c r="S1922" s="17">
        <v>3800</v>
      </c>
      <c r="T1922" s="19" t="s">
        <v>42</v>
      </c>
      <c r="U1922" s="102" t="s">
        <v>747</v>
      </c>
      <c r="V1922" s="101" t="s">
        <v>748</v>
      </c>
      <c r="W1922" s="17" t="s">
        <v>44</v>
      </c>
      <c r="Y1922" s="68">
        <v>44986</v>
      </c>
      <c r="Z1922" s="17" t="s">
        <v>721</v>
      </c>
      <c r="AA1922" s="17" t="s">
        <v>46</v>
      </c>
      <c r="AB1922" s="17" t="s">
        <v>749</v>
      </c>
      <c r="AC1922" s="102" t="s">
        <v>750</v>
      </c>
      <c r="AD1922" s="65">
        <v>1407</v>
      </c>
      <c r="AE1922" s="17" t="s">
        <v>48</v>
      </c>
    </row>
    <row r="1923" s="17" customFormat="1" hidden="1" spans="1:32">
      <c r="A1923" s="17" t="s">
        <v>34</v>
      </c>
      <c r="B1923" s="19">
        <v>844</v>
      </c>
      <c r="C1923" s="230" t="s">
        <v>746</v>
      </c>
      <c r="D1923" s="17" t="s">
        <v>35</v>
      </c>
      <c r="E1923" s="17" t="s">
        <v>718</v>
      </c>
      <c r="F1923" s="17" t="s">
        <v>37</v>
      </c>
      <c r="H1923" s="19">
        <v>1.2344</v>
      </c>
      <c r="I1923" s="19"/>
      <c r="J1923" s="17" t="s">
        <v>39</v>
      </c>
      <c r="K1923" s="19">
        <v>252</v>
      </c>
      <c r="L1923" s="19"/>
      <c r="M1923" s="19"/>
      <c r="N1923" s="19" t="s">
        <v>40</v>
      </c>
      <c r="O1923" s="19" t="s">
        <v>50</v>
      </c>
      <c r="P1923" s="19">
        <v>4000</v>
      </c>
      <c r="Q1923" s="17">
        <v>3054</v>
      </c>
      <c r="R1923" s="17">
        <f t="shared" si="103"/>
        <v>946</v>
      </c>
      <c r="S1923" s="17">
        <v>3730</v>
      </c>
      <c r="T1923" s="19" t="s">
        <v>42</v>
      </c>
      <c r="U1923" s="102" t="s">
        <v>747</v>
      </c>
      <c r="V1923" s="101" t="s">
        <v>748</v>
      </c>
      <c r="W1923" s="17" t="s">
        <v>44</v>
      </c>
      <c r="Y1923" s="68">
        <v>44986</v>
      </c>
      <c r="Z1923" s="17" t="s">
        <v>721</v>
      </c>
      <c r="AA1923" s="17" t="s">
        <v>46</v>
      </c>
      <c r="AB1923" s="17" t="s">
        <v>749</v>
      </c>
      <c r="AC1923" s="102" t="s">
        <v>750</v>
      </c>
      <c r="AD1923" s="65">
        <v>1407</v>
      </c>
      <c r="AE1923" s="17" t="s">
        <v>752</v>
      </c>
    </row>
    <row r="1924" s="17" customFormat="1" hidden="1" spans="1:32">
      <c r="A1924" s="17" t="s">
        <v>34</v>
      </c>
      <c r="B1924" s="19">
        <v>844</v>
      </c>
      <c r="C1924" s="230" t="s">
        <v>746</v>
      </c>
      <c r="D1924" s="17" t="s">
        <v>35</v>
      </c>
      <c r="E1924" s="17" t="s">
        <v>718</v>
      </c>
      <c r="F1924" s="17" t="s">
        <v>37</v>
      </c>
      <c r="H1924" s="19">
        <v>1.2344</v>
      </c>
      <c r="I1924" s="19"/>
      <c r="J1924" s="17" t="s">
        <v>39</v>
      </c>
      <c r="K1924" s="19">
        <v>402</v>
      </c>
      <c r="L1924" s="19"/>
      <c r="M1924" s="19"/>
      <c r="N1924" s="19" t="s">
        <v>40</v>
      </c>
      <c r="O1924" s="19" t="s">
        <v>50</v>
      </c>
      <c r="P1924" s="19">
        <v>6000</v>
      </c>
      <c r="Q1924" s="17">
        <v>5422</v>
      </c>
      <c r="R1924" s="17">
        <f t="shared" si="103"/>
        <v>578</v>
      </c>
      <c r="S1924" s="231">
        <v>3580.8</v>
      </c>
      <c r="T1924" s="19" t="s">
        <v>42</v>
      </c>
      <c r="U1924" s="102" t="s">
        <v>747</v>
      </c>
      <c r="V1924" s="101" t="s">
        <v>748</v>
      </c>
      <c r="W1924" s="17" t="s">
        <v>44</v>
      </c>
      <c r="Y1924" s="68">
        <v>44986</v>
      </c>
      <c r="Z1924" s="17" t="s">
        <v>78</v>
      </c>
      <c r="AA1924" s="17" t="s">
        <v>46</v>
      </c>
      <c r="AB1924" s="17" t="s">
        <v>753</v>
      </c>
      <c r="AC1924" s="102" t="s">
        <v>754</v>
      </c>
      <c r="AD1924" s="65">
        <v>1439</v>
      </c>
      <c r="AE1924" s="17" t="s">
        <v>752</v>
      </c>
    </row>
    <row r="1925" s="17" customFormat="1" hidden="1" spans="1:32">
      <c r="A1925" s="17" t="s">
        <v>34</v>
      </c>
      <c r="B1925" s="19">
        <v>844</v>
      </c>
      <c r="C1925" s="230" t="s">
        <v>746</v>
      </c>
      <c r="D1925" s="17" t="s">
        <v>35</v>
      </c>
      <c r="E1925" s="17" t="s">
        <v>718</v>
      </c>
      <c r="F1925" s="17" t="s">
        <v>37</v>
      </c>
      <c r="H1925" s="19" t="s">
        <v>247</v>
      </c>
      <c r="I1925" s="19"/>
      <c r="J1925" s="17" t="s">
        <v>39</v>
      </c>
      <c r="K1925" s="19">
        <v>70</v>
      </c>
      <c r="L1925" s="19"/>
      <c r="M1925" s="19"/>
      <c r="N1925" s="19" t="s">
        <v>40</v>
      </c>
      <c r="O1925" s="19" t="s">
        <v>84</v>
      </c>
      <c r="P1925" s="19">
        <v>1000</v>
      </c>
      <c r="Q1925" s="17">
        <v>648</v>
      </c>
      <c r="R1925" s="17">
        <f t="shared" si="103"/>
        <v>352</v>
      </c>
      <c r="S1925" s="17">
        <v>8950</v>
      </c>
      <c r="T1925" s="19" t="s">
        <v>42</v>
      </c>
      <c r="U1925" s="102" t="s">
        <v>747</v>
      </c>
      <c r="V1925" s="101" t="s">
        <v>748</v>
      </c>
      <c r="W1925" s="17" t="s">
        <v>44</v>
      </c>
      <c r="Y1925" s="68">
        <v>44986</v>
      </c>
      <c r="Z1925" s="17" t="s">
        <v>721</v>
      </c>
      <c r="AA1925" s="17" t="s">
        <v>46</v>
      </c>
      <c r="AB1925" s="17" t="s">
        <v>749</v>
      </c>
      <c r="AC1925" s="102" t="s">
        <v>750</v>
      </c>
      <c r="AD1925" s="65">
        <v>1407</v>
      </c>
      <c r="AE1925" s="17" t="s">
        <v>48</v>
      </c>
    </row>
    <row r="1926" s="17" customFormat="1" hidden="1" spans="1:32">
      <c r="A1926" s="17" t="s">
        <v>34</v>
      </c>
      <c r="B1926" s="19">
        <v>844</v>
      </c>
      <c r="C1926" s="230" t="s">
        <v>746</v>
      </c>
      <c r="D1926" s="17" t="s">
        <v>35</v>
      </c>
      <c r="E1926" s="17" t="s">
        <v>718</v>
      </c>
      <c r="F1926" s="17" t="s">
        <v>37</v>
      </c>
      <c r="H1926" s="19" t="s">
        <v>247</v>
      </c>
      <c r="I1926" s="19"/>
      <c r="J1926" s="17" t="s">
        <v>39</v>
      </c>
      <c r="K1926" s="19">
        <v>90</v>
      </c>
      <c r="L1926" s="19"/>
      <c r="M1926" s="19"/>
      <c r="N1926" s="19" t="s">
        <v>40</v>
      </c>
      <c r="O1926" s="19" t="s">
        <v>84</v>
      </c>
      <c r="P1926" s="19">
        <v>1000</v>
      </c>
      <c r="Q1926" s="17">
        <v>670</v>
      </c>
      <c r="R1926" s="17">
        <f t="shared" si="103"/>
        <v>330</v>
      </c>
      <c r="S1926" s="17">
        <v>8950</v>
      </c>
      <c r="T1926" s="19" t="s">
        <v>42</v>
      </c>
      <c r="U1926" s="102" t="s">
        <v>747</v>
      </c>
      <c r="V1926" s="101" t="s">
        <v>748</v>
      </c>
      <c r="W1926" s="17" t="s">
        <v>44</v>
      </c>
      <c r="Y1926" s="68">
        <v>44986</v>
      </c>
      <c r="Z1926" s="17" t="s">
        <v>721</v>
      </c>
      <c r="AA1926" s="17" t="s">
        <v>46</v>
      </c>
      <c r="AB1926" s="17" t="s">
        <v>749</v>
      </c>
      <c r="AC1926" s="102" t="s">
        <v>750</v>
      </c>
      <c r="AD1926" s="65">
        <v>1407</v>
      </c>
      <c r="AE1926" s="17" t="s">
        <v>48</v>
      </c>
    </row>
    <row r="1927" s="17" customFormat="1" hidden="1" spans="1:32">
      <c r="A1927" s="17" t="s">
        <v>34</v>
      </c>
      <c r="B1927" s="19">
        <v>844</v>
      </c>
      <c r="C1927" s="230" t="s">
        <v>746</v>
      </c>
      <c r="D1927" s="17" t="s">
        <v>35</v>
      </c>
      <c r="E1927" s="17" t="s">
        <v>718</v>
      </c>
      <c r="F1927" s="17" t="s">
        <v>37</v>
      </c>
      <c r="H1927" s="19" t="s">
        <v>247</v>
      </c>
      <c r="I1927" s="19"/>
      <c r="J1927" s="17" t="s">
        <v>39</v>
      </c>
      <c r="K1927" s="19">
        <v>100</v>
      </c>
      <c r="L1927" s="19"/>
      <c r="M1927" s="19"/>
      <c r="N1927" s="19" t="s">
        <v>40</v>
      </c>
      <c r="O1927" s="19" t="s">
        <v>84</v>
      </c>
      <c r="P1927" s="19">
        <v>2000</v>
      </c>
      <c r="Q1927" s="17">
        <v>1730</v>
      </c>
      <c r="R1927" s="17">
        <f t="shared" si="103"/>
        <v>270</v>
      </c>
      <c r="S1927" s="17">
        <v>8950</v>
      </c>
      <c r="T1927" s="19" t="s">
        <v>42</v>
      </c>
      <c r="U1927" s="102" t="s">
        <v>747</v>
      </c>
      <c r="V1927" s="101" t="s">
        <v>748</v>
      </c>
      <c r="W1927" s="17" t="s">
        <v>44</v>
      </c>
      <c r="Y1927" s="68">
        <v>44986</v>
      </c>
      <c r="Z1927" s="17" t="s">
        <v>721</v>
      </c>
      <c r="AA1927" s="17" t="s">
        <v>46</v>
      </c>
      <c r="AB1927" s="17" t="s">
        <v>749</v>
      </c>
      <c r="AC1927" s="102" t="s">
        <v>750</v>
      </c>
      <c r="AD1927" s="65">
        <v>1407</v>
      </c>
      <c r="AE1927" s="17" t="s">
        <v>48</v>
      </c>
    </row>
    <row r="1928" s="17" customFormat="1" hidden="1" spans="1:32">
      <c r="A1928" s="17" t="s">
        <v>34</v>
      </c>
      <c r="B1928" s="19">
        <v>845</v>
      </c>
      <c r="C1928" s="230" t="s">
        <v>746</v>
      </c>
      <c r="D1928" s="17" t="s">
        <v>52</v>
      </c>
      <c r="E1928" s="17" t="s">
        <v>187</v>
      </c>
      <c r="F1928" s="17" t="s">
        <v>54</v>
      </c>
      <c r="H1928" s="19">
        <v>1.2311</v>
      </c>
      <c r="I1928" s="19"/>
      <c r="J1928" s="17" t="s">
        <v>49</v>
      </c>
      <c r="K1928" s="19">
        <v>2200</v>
      </c>
      <c r="L1928" s="19">
        <v>32</v>
      </c>
      <c r="M1928" s="19">
        <v>5200</v>
      </c>
      <c r="N1928" s="19" t="s">
        <v>66</v>
      </c>
      <c r="O1928" s="19" t="s">
        <v>141</v>
      </c>
      <c r="P1928" s="19">
        <v>2763</v>
      </c>
      <c r="Q1928" s="17">
        <v>2930</v>
      </c>
      <c r="R1928" s="17">
        <f t="shared" ref="R1928:R1941" si="104">+P1928-Q1928</f>
        <v>-167</v>
      </c>
      <c r="S1928" s="17">
        <v>900</v>
      </c>
      <c r="T1928" s="19" t="s">
        <v>42</v>
      </c>
      <c r="U1928" s="102" t="s">
        <v>755</v>
      </c>
      <c r="V1928" s="64" t="s">
        <v>717</v>
      </c>
      <c r="W1928" s="17" t="s">
        <v>44</v>
      </c>
      <c r="Y1928" s="68">
        <v>44856</v>
      </c>
      <c r="Z1928" s="17" t="s">
        <v>191</v>
      </c>
      <c r="AA1928" s="17" t="s">
        <v>46</v>
      </c>
      <c r="AB1928" s="17" t="s">
        <v>756</v>
      </c>
      <c r="AC1928" s="17" t="s">
        <v>757</v>
      </c>
      <c r="AD1928" s="65">
        <v>1345</v>
      </c>
      <c r="AE1928" s="17" t="s">
        <v>48</v>
      </c>
      <c r="AF1928" s="17" t="s">
        <v>245</v>
      </c>
    </row>
    <row r="1929" s="17" customFormat="1" hidden="1" spans="1:32">
      <c r="A1929" s="17" t="s">
        <v>34</v>
      </c>
      <c r="B1929" s="19">
        <v>845</v>
      </c>
      <c r="C1929" s="230" t="s">
        <v>746</v>
      </c>
      <c r="D1929" s="17" t="s">
        <v>52</v>
      </c>
      <c r="E1929" s="17" t="s">
        <v>187</v>
      </c>
      <c r="F1929" s="17" t="s">
        <v>54</v>
      </c>
      <c r="H1929" s="19">
        <v>1.2311</v>
      </c>
      <c r="I1929" s="19"/>
      <c r="J1929" s="17" t="s">
        <v>49</v>
      </c>
      <c r="K1929" s="19">
        <v>2200</v>
      </c>
      <c r="L1929" s="19">
        <v>36</v>
      </c>
      <c r="M1929" s="19">
        <v>4600</v>
      </c>
      <c r="N1929" s="19" t="s">
        <v>66</v>
      </c>
      <c r="O1929" s="19" t="s">
        <v>141</v>
      </c>
      <c r="P1929" s="19">
        <v>3109</v>
      </c>
      <c r="Q1929" s="17">
        <v>3160</v>
      </c>
      <c r="R1929" s="17">
        <f t="shared" si="104"/>
        <v>-51</v>
      </c>
      <c r="S1929" s="17">
        <v>900</v>
      </c>
      <c r="T1929" s="19" t="s">
        <v>42</v>
      </c>
      <c r="U1929" s="102" t="s">
        <v>755</v>
      </c>
      <c r="V1929" s="64" t="s">
        <v>717</v>
      </c>
      <c r="W1929" s="17" t="s">
        <v>44</v>
      </c>
      <c r="Y1929" s="68">
        <v>44856</v>
      </c>
      <c r="Z1929" s="17" t="s">
        <v>191</v>
      </c>
      <c r="AA1929" s="17" t="s">
        <v>46</v>
      </c>
      <c r="AB1929" s="17" t="s">
        <v>701</v>
      </c>
      <c r="AC1929" s="17" t="s">
        <v>702</v>
      </c>
      <c r="AD1929" s="65">
        <v>1353</v>
      </c>
      <c r="AE1929" s="17" t="s">
        <v>48</v>
      </c>
      <c r="AF1929" s="17" t="s">
        <v>245</v>
      </c>
    </row>
    <row r="1930" s="17" customFormat="1" hidden="1" spans="1:32">
      <c r="A1930" s="17" t="s">
        <v>34</v>
      </c>
      <c r="B1930" s="19">
        <v>845</v>
      </c>
      <c r="C1930" s="230" t="s">
        <v>746</v>
      </c>
      <c r="D1930" s="17" t="s">
        <v>52</v>
      </c>
      <c r="E1930" s="17" t="s">
        <v>187</v>
      </c>
      <c r="F1930" s="17" t="s">
        <v>54</v>
      </c>
      <c r="H1930" s="19">
        <v>1.2311</v>
      </c>
      <c r="I1930" s="19"/>
      <c r="J1930" s="17" t="s">
        <v>49</v>
      </c>
      <c r="K1930" s="19">
        <v>2200</v>
      </c>
      <c r="L1930" s="19">
        <v>41</v>
      </c>
      <c r="M1930" s="19">
        <v>4500</v>
      </c>
      <c r="N1930" s="19" t="s">
        <v>66</v>
      </c>
      <c r="O1930" s="19" t="s">
        <v>141</v>
      </c>
      <c r="P1930" s="19">
        <v>3540</v>
      </c>
      <c r="Q1930" s="17">
        <v>3280</v>
      </c>
      <c r="R1930" s="17">
        <f t="shared" si="104"/>
        <v>260</v>
      </c>
      <c r="S1930" s="17">
        <v>900</v>
      </c>
      <c r="T1930" s="19" t="s">
        <v>42</v>
      </c>
      <c r="U1930" s="102" t="s">
        <v>755</v>
      </c>
      <c r="V1930" s="64" t="s">
        <v>717</v>
      </c>
      <c r="W1930" s="17" t="s">
        <v>44</v>
      </c>
      <c r="Y1930" s="68">
        <v>44856</v>
      </c>
      <c r="Z1930" s="17" t="s">
        <v>191</v>
      </c>
      <c r="AA1930" s="17" t="s">
        <v>46</v>
      </c>
      <c r="AB1930" s="17" t="s">
        <v>756</v>
      </c>
      <c r="AC1930" s="17" t="s">
        <v>757</v>
      </c>
      <c r="AD1930" s="65">
        <v>1345</v>
      </c>
      <c r="AE1930" s="17" t="s">
        <v>48</v>
      </c>
      <c r="AF1930" s="17" t="s">
        <v>245</v>
      </c>
    </row>
    <row r="1931" s="17" customFormat="1" hidden="1" spans="1:32">
      <c r="A1931" s="17" t="s">
        <v>34</v>
      </c>
      <c r="B1931" s="19">
        <v>845</v>
      </c>
      <c r="C1931" s="230" t="s">
        <v>746</v>
      </c>
      <c r="D1931" s="17" t="s">
        <v>52</v>
      </c>
      <c r="E1931" s="17" t="s">
        <v>187</v>
      </c>
      <c r="F1931" s="17" t="s">
        <v>54</v>
      </c>
      <c r="H1931" s="19">
        <v>1.2311</v>
      </c>
      <c r="I1931" s="19"/>
      <c r="J1931" s="17" t="s">
        <v>49</v>
      </c>
      <c r="K1931" s="19">
        <v>2200</v>
      </c>
      <c r="L1931" s="19">
        <v>45</v>
      </c>
      <c r="M1931" s="19">
        <v>4070</v>
      </c>
      <c r="N1931" s="19" t="s">
        <v>66</v>
      </c>
      <c r="O1931" s="19" t="s">
        <v>141</v>
      </c>
      <c r="P1931" s="19">
        <v>3886</v>
      </c>
      <c r="Q1931" s="17">
        <v>3350</v>
      </c>
      <c r="R1931" s="17">
        <f t="shared" si="104"/>
        <v>536</v>
      </c>
      <c r="S1931" s="17">
        <f>900+40</f>
        <v>940</v>
      </c>
      <c r="T1931" s="19" t="s">
        <v>42</v>
      </c>
      <c r="U1931" s="102" t="s">
        <v>755</v>
      </c>
      <c r="V1931" s="64" t="s">
        <v>717</v>
      </c>
      <c r="W1931" s="17" t="s">
        <v>69</v>
      </c>
      <c r="Y1931" s="68">
        <v>44856</v>
      </c>
      <c r="Z1931" s="17" t="s">
        <v>191</v>
      </c>
      <c r="AA1931" s="17" t="s">
        <v>46</v>
      </c>
      <c r="AB1931" s="17" t="s">
        <v>758</v>
      </c>
      <c r="AC1931" s="17" t="s">
        <v>759</v>
      </c>
      <c r="AD1931" s="65">
        <v>1352</v>
      </c>
      <c r="AE1931" s="17" t="s">
        <v>48</v>
      </c>
      <c r="AF1931" s="17" t="s">
        <v>245</v>
      </c>
    </row>
    <row r="1932" s="17" customFormat="1" hidden="1" spans="1:32">
      <c r="A1932" s="17" t="s">
        <v>34</v>
      </c>
      <c r="B1932" s="19">
        <v>845</v>
      </c>
      <c r="C1932" s="230" t="s">
        <v>746</v>
      </c>
      <c r="D1932" s="17" t="s">
        <v>52</v>
      </c>
      <c r="E1932" s="17" t="s">
        <v>187</v>
      </c>
      <c r="F1932" s="17" t="s">
        <v>54</v>
      </c>
      <c r="H1932" s="19">
        <v>1.2311</v>
      </c>
      <c r="I1932" s="19"/>
      <c r="J1932" s="17" t="s">
        <v>49</v>
      </c>
      <c r="K1932" s="19">
        <v>2200</v>
      </c>
      <c r="L1932" s="19">
        <v>51</v>
      </c>
      <c r="M1932" s="19">
        <v>5450</v>
      </c>
      <c r="N1932" s="19" t="s">
        <v>66</v>
      </c>
      <c r="O1932" s="19" t="s">
        <v>141</v>
      </c>
      <c r="P1932" s="19">
        <v>4404</v>
      </c>
      <c r="Q1932" s="17">
        <v>4970</v>
      </c>
      <c r="R1932" s="17">
        <f t="shared" si="104"/>
        <v>-566</v>
      </c>
      <c r="S1932" s="17">
        <f>900+40</f>
        <v>940</v>
      </c>
      <c r="T1932" s="19" t="s">
        <v>42</v>
      </c>
      <c r="U1932" s="102" t="s">
        <v>755</v>
      </c>
      <c r="V1932" s="64" t="s">
        <v>717</v>
      </c>
      <c r="W1932" s="17" t="s">
        <v>69</v>
      </c>
      <c r="Y1932" s="68">
        <v>44856</v>
      </c>
      <c r="Z1932" s="17" t="s">
        <v>191</v>
      </c>
      <c r="AA1932" s="17" t="s">
        <v>46</v>
      </c>
      <c r="AB1932" s="17" t="s">
        <v>758</v>
      </c>
      <c r="AC1932" s="17" t="s">
        <v>759</v>
      </c>
      <c r="AD1932" s="65">
        <v>1352</v>
      </c>
      <c r="AE1932" s="17" t="s">
        <v>48</v>
      </c>
      <c r="AF1932" s="17" t="s">
        <v>245</v>
      </c>
    </row>
    <row r="1933" s="17" customFormat="1" hidden="1" spans="1:32">
      <c r="A1933" s="17" t="s">
        <v>34</v>
      </c>
      <c r="B1933" s="19">
        <v>845</v>
      </c>
      <c r="C1933" s="230" t="s">
        <v>746</v>
      </c>
      <c r="D1933" s="17" t="s">
        <v>52</v>
      </c>
      <c r="E1933" s="17" t="s">
        <v>187</v>
      </c>
      <c r="F1933" s="17" t="s">
        <v>54</v>
      </c>
      <c r="H1933" s="19">
        <v>1.2311</v>
      </c>
      <c r="I1933" s="19"/>
      <c r="J1933" s="17" t="s">
        <v>49</v>
      </c>
      <c r="K1933" s="19">
        <v>2200</v>
      </c>
      <c r="L1933" s="19">
        <v>56</v>
      </c>
      <c r="M1933" s="19">
        <v>4920</v>
      </c>
      <c r="N1933" s="19" t="s">
        <v>66</v>
      </c>
      <c r="O1933" s="19" t="s">
        <v>141</v>
      </c>
      <c r="P1933" s="19">
        <v>4836</v>
      </c>
      <c r="Q1933" s="17">
        <v>4920</v>
      </c>
      <c r="R1933" s="17">
        <f t="shared" si="104"/>
        <v>-84</v>
      </c>
      <c r="S1933" s="17">
        <v>900</v>
      </c>
      <c r="T1933" s="19" t="s">
        <v>42</v>
      </c>
      <c r="U1933" s="102" t="s">
        <v>755</v>
      </c>
      <c r="V1933" s="64" t="s">
        <v>717</v>
      </c>
      <c r="W1933" s="17" t="s">
        <v>44</v>
      </c>
      <c r="Y1933" s="68">
        <v>44856</v>
      </c>
      <c r="Z1933" s="17" t="s">
        <v>191</v>
      </c>
      <c r="AA1933" s="17" t="s">
        <v>46</v>
      </c>
      <c r="AB1933" s="17" t="s">
        <v>756</v>
      </c>
      <c r="AC1933" s="17" t="s">
        <v>757</v>
      </c>
      <c r="AD1933" s="65">
        <v>1345</v>
      </c>
      <c r="AE1933" s="17" t="s">
        <v>48</v>
      </c>
      <c r="AF1933" s="17" t="s">
        <v>245</v>
      </c>
    </row>
    <row r="1934" s="17" customFormat="1" hidden="1" spans="1:32">
      <c r="A1934" s="17" t="s">
        <v>34</v>
      </c>
      <c r="B1934" s="19">
        <v>845</v>
      </c>
      <c r="C1934" s="230" t="s">
        <v>746</v>
      </c>
      <c r="D1934" s="17" t="s">
        <v>52</v>
      </c>
      <c r="E1934" s="17" t="s">
        <v>187</v>
      </c>
      <c r="F1934" s="17" t="s">
        <v>54</v>
      </c>
      <c r="H1934" s="19">
        <v>1.2311</v>
      </c>
      <c r="I1934" s="19"/>
      <c r="J1934" s="17" t="s">
        <v>49</v>
      </c>
      <c r="K1934" s="19">
        <v>2200</v>
      </c>
      <c r="L1934" s="19">
        <v>61</v>
      </c>
      <c r="M1934" s="19">
        <v>4820</v>
      </c>
      <c r="N1934" s="19" t="s">
        <v>66</v>
      </c>
      <c r="O1934" s="19" t="s">
        <v>141</v>
      </c>
      <c r="P1934" s="19">
        <v>5267</v>
      </c>
      <c r="Q1934" s="17">
        <v>5245</v>
      </c>
      <c r="R1934" s="17">
        <f t="shared" si="104"/>
        <v>22</v>
      </c>
      <c r="S1934" s="17">
        <v>900</v>
      </c>
      <c r="T1934" s="19" t="s">
        <v>42</v>
      </c>
      <c r="U1934" s="102" t="s">
        <v>755</v>
      </c>
      <c r="V1934" s="64" t="s">
        <v>717</v>
      </c>
      <c r="W1934" s="17" t="s">
        <v>44</v>
      </c>
      <c r="Y1934" s="68">
        <v>44856</v>
      </c>
      <c r="Z1934" s="17" t="s">
        <v>191</v>
      </c>
      <c r="AA1934" s="17" t="s">
        <v>46</v>
      </c>
      <c r="AB1934" s="17" t="s">
        <v>756</v>
      </c>
      <c r="AC1934" s="17" t="s">
        <v>757</v>
      </c>
      <c r="AD1934" s="65">
        <v>1345</v>
      </c>
      <c r="AE1934" s="17" t="s">
        <v>48</v>
      </c>
      <c r="AF1934" s="17" t="s">
        <v>245</v>
      </c>
    </row>
    <row r="1935" s="17" customFormat="1" hidden="1" spans="1:32">
      <c r="A1935" s="17" t="s">
        <v>34</v>
      </c>
      <c r="B1935" s="19">
        <v>845</v>
      </c>
      <c r="C1935" s="230" t="s">
        <v>746</v>
      </c>
      <c r="D1935" s="17" t="s">
        <v>52</v>
      </c>
      <c r="E1935" s="17" t="s">
        <v>187</v>
      </c>
      <c r="F1935" s="17" t="s">
        <v>54</v>
      </c>
      <c r="H1935" s="19">
        <v>1.2311</v>
      </c>
      <c r="I1935" s="19"/>
      <c r="J1935" s="17" t="s">
        <v>49</v>
      </c>
      <c r="K1935" s="19">
        <v>2200</v>
      </c>
      <c r="L1935" s="19">
        <v>65</v>
      </c>
      <c r="M1935" s="19">
        <v>5160</v>
      </c>
      <c r="N1935" s="19" t="s">
        <v>66</v>
      </c>
      <c r="O1935" s="19" t="s">
        <v>141</v>
      </c>
      <c r="P1935" s="19">
        <v>5613</v>
      </c>
      <c r="Q1935" s="17">
        <v>6055</v>
      </c>
      <c r="R1935" s="17">
        <f t="shared" si="104"/>
        <v>-442</v>
      </c>
      <c r="S1935" s="17">
        <v>900</v>
      </c>
      <c r="T1935" s="19" t="s">
        <v>42</v>
      </c>
      <c r="U1935" s="102" t="s">
        <v>755</v>
      </c>
      <c r="V1935" s="64" t="s">
        <v>717</v>
      </c>
      <c r="W1935" s="17" t="s">
        <v>44</v>
      </c>
      <c r="Y1935" s="68">
        <v>44856</v>
      </c>
      <c r="Z1935" s="17" t="s">
        <v>191</v>
      </c>
      <c r="AA1935" s="17" t="s">
        <v>46</v>
      </c>
      <c r="AB1935" s="17" t="s">
        <v>756</v>
      </c>
      <c r="AC1935" s="17" t="s">
        <v>757</v>
      </c>
      <c r="AD1935" s="65">
        <v>1345</v>
      </c>
      <c r="AE1935" s="17" t="s">
        <v>48</v>
      </c>
      <c r="AF1935" s="17" t="s">
        <v>245</v>
      </c>
    </row>
    <row r="1936" s="17" customFormat="1" hidden="1" spans="1:32">
      <c r="A1936" s="17" t="s">
        <v>34</v>
      </c>
      <c r="B1936" s="19">
        <v>845</v>
      </c>
      <c r="C1936" s="230" t="s">
        <v>746</v>
      </c>
      <c r="D1936" s="17" t="s">
        <v>52</v>
      </c>
      <c r="E1936" s="17" t="s">
        <v>187</v>
      </c>
      <c r="F1936" s="17" t="s">
        <v>54</v>
      </c>
      <c r="H1936" s="19">
        <v>1.2311</v>
      </c>
      <c r="I1936" s="19"/>
      <c r="J1936" s="17" t="s">
        <v>49</v>
      </c>
      <c r="K1936" s="19">
        <v>2200</v>
      </c>
      <c r="L1936" s="19">
        <v>70</v>
      </c>
      <c r="M1936" s="19">
        <v>4720</v>
      </c>
      <c r="N1936" s="19" t="s">
        <v>66</v>
      </c>
      <c r="O1936" s="19" t="s">
        <v>141</v>
      </c>
      <c r="P1936" s="19">
        <v>3022</v>
      </c>
      <c r="Q1936" s="17">
        <v>5950</v>
      </c>
      <c r="R1936" s="17">
        <f t="shared" si="104"/>
        <v>-2928</v>
      </c>
      <c r="S1936" s="17">
        <v>900</v>
      </c>
      <c r="T1936" s="19" t="s">
        <v>42</v>
      </c>
      <c r="U1936" s="102" t="s">
        <v>755</v>
      </c>
      <c r="V1936" s="64" t="s">
        <v>717</v>
      </c>
      <c r="W1936" s="17" t="s">
        <v>44</v>
      </c>
      <c r="Y1936" s="68">
        <v>44856</v>
      </c>
      <c r="Z1936" s="17" t="s">
        <v>191</v>
      </c>
      <c r="AA1936" s="17" t="s">
        <v>46</v>
      </c>
      <c r="AB1936" s="17" t="s">
        <v>756</v>
      </c>
      <c r="AC1936" s="17" t="s">
        <v>757</v>
      </c>
      <c r="AD1936" s="65">
        <v>1345</v>
      </c>
      <c r="AE1936" s="17" t="s">
        <v>48</v>
      </c>
      <c r="AF1936" s="17" t="s">
        <v>245</v>
      </c>
    </row>
    <row r="1937" s="17" customFormat="1" hidden="1" spans="1:32">
      <c r="A1937" s="17" t="s">
        <v>34</v>
      </c>
      <c r="B1937" s="19">
        <v>845</v>
      </c>
      <c r="C1937" s="230" t="s">
        <v>746</v>
      </c>
      <c r="D1937" s="17" t="s">
        <v>52</v>
      </c>
      <c r="E1937" s="17" t="s">
        <v>187</v>
      </c>
      <c r="F1937" s="17" t="s">
        <v>54</v>
      </c>
      <c r="H1937" s="19">
        <v>1.2311</v>
      </c>
      <c r="I1937" s="19"/>
      <c r="J1937" s="17" t="s">
        <v>49</v>
      </c>
      <c r="K1937" s="19">
        <v>2200</v>
      </c>
      <c r="L1937" s="19">
        <v>81</v>
      </c>
      <c r="M1937" s="19">
        <v>4110</v>
      </c>
      <c r="N1937" s="19" t="s">
        <v>66</v>
      </c>
      <c r="O1937" s="19" t="s">
        <v>141</v>
      </c>
      <c r="P1937" s="19">
        <v>6994</v>
      </c>
      <c r="Q1937" s="17">
        <v>5810</v>
      </c>
      <c r="R1937" s="17">
        <f t="shared" si="104"/>
        <v>1184</v>
      </c>
      <c r="S1937" s="17">
        <v>900</v>
      </c>
      <c r="T1937" s="19" t="s">
        <v>42</v>
      </c>
      <c r="U1937" s="102" t="s">
        <v>755</v>
      </c>
      <c r="V1937" s="64" t="s">
        <v>717</v>
      </c>
      <c r="W1937" s="17" t="s">
        <v>44</v>
      </c>
      <c r="Y1937" s="68">
        <v>44856</v>
      </c>
      <c r="Z1937" s="17" t="s">
        <v>191</v>
      </c>
      <c r="AA1937" s="17" t="s">
        <v>46</v>
      </c>
      <c r="AB1937" s="17" t="s">
        <v>756</v>
      </c>
      <c r="AC1937" s="17" t="s">
        <v>757</v>
      </c>
      <c r="AD1937" s="65">
        <v>1345</v>
      </c>
      <c r="AE1937" s="17" t="s">
        <v>48</v>
      </c>
      <c r="AF1937" s="17" t="s">
        <v>245</v>
      </c>
    </row>
    <row r="1938" s="17" customFormat="1" hidden="1" spans="1:32">
      <c r="A1938" s="17" t="s">
        <v>34</v>
      </c>
      <c r="B1938" s="19">
        <v>845</v>
      </c>
      <c r="C1938" s="230" t="s">
        <v>746</v>
      </c>
      <c r="D1938" s="17" t="s">
        <v>52</v>
      </c>
      <c r="E1938" s="17" t="s">
        <v>187</v>
      </c>
      <c r="F1938" s="17" t="s">
        <v>54</v>
      </c>
      <c r="H1938" s="19">
        <v>1.2311</v>
      </c>
      <c r="I1938" s="19"/>
      <c r="J1938" s="17" t="s">
        <v>49</v>
      </c>
      <c r="K1938" s="19">
        <v>2200</v>
      </c>
      <c r="L1938" s="19">
        <v>91</v>
      </c>
      <c r="M1938" s="19">
        <v>5250</v>
      </c>
      <c r="N1938" s="19" t="s">
        <v>66</v>
      </c>
      <c r="O1938" s="19" t="s">
        <v>141</v>
      </c>
      <c r="P1938" s="19">
        <v>7858</v>
      </c>
      <c r="Q1938" s="17">
        <v>8400</v>
      </c>
      <c r="R1938" s="17">
        <f t="shared" si="104"/>
        <v>-542</v>
      </c>
      <c r="S1938" s="17">
        <v>900</v>
      </c>
      <c r="T1938" s="19" t="s">
        <v>42</v>
      </c>
      <c r="U1938" s="102" t="s">
        <v>755</v>
      </c>
      <c r="V1938" s="64" t="s">
        <v>717</v>
      </c>
      <c r="W1938" s="17" t="s">
        <v>44</v>
      </c>
      <c r="Y1938" s="68">
        <v>44856</v>
      </c>
      <c r="Z1938" s="17" t="s">
        <v>191</v>
      </c>
      <c r="AA1938" s="17" t="s">
        <v>46</v>
      </c>
      <c r="AB1938" s="17" t="s">
        <v>756</v>
      </c>
      <c r="AC1938" s="17" t="s">
        <v>757</v>
      </c>
      <c r="AD1938" s="65">
        <v>1345</v>
      </c>
      <c r="AE1938" s="17" t="s">
        <v>74</v>
      </c>
      <c r="AF1938" s="17" t="s">
        <v>245</v>
      </c>
    </row>
    <row r="1939" s="17" customFormat="1" hidden="1" spans="1:32">
      <c r="A1939" s="17" t="s">
        <v>34</v>
      </c>
      <c r="B1939" s="19">
        <v>845</v>
      </c>
      <c r="C1939" s="230" t="s">
        <v>746</v>
      </c>
      <c r="D1939" s="17" t="s">
        <v>52</v>
      </c>
      <c r="E1939" s="17" t="s">
        <v>187</v>
      </c>
      <c r="F1939" s="17" t="s">
        <v>54</v>
      </c>
      <c r="H1939" s="19">
        <v>1.2311</v>
      </c>
      <c r="I1939" s="19"/>
      <c r="J1939" s="17" t="s">
        <v>49</v>
      </c>
      <c r="K1939" s="19">
        <v>2200</v>
      </c>
      <c r="L1939" s="19">
        <v>95</v>
      </c>
      <c r="M1939" s="19">
        <v>4930</v>
      </c>
      <c r="N1939" s="19" t="s">
        <v>66</v>
      </c>
      <c r="O1939" s="19" t="s">
        <v>141</v>
      </c>
      <c r="P1939" s="19">
        <v>6563</v>
      </c>
      <c r="Q1939" s="17">
        <v>8390</v>
      </c>
      <c r="R1939" s="17">
        <f t="shared" si="104"/>
        <v>-1827</v>
      </c>
      <c r="S1939" s="17">
        <v>900</v>
      </c>
      <c r="T1939" s="19" t="s">
        <v>42</v>
      </c>
      <c r="U1939" s="102" t="s">
        <v>755</v>
      </c>
      <c r="V1939" s="64" t="s">
        <v>717</v>
      </c>
      <c r="W1939" s="17" t="s">
        <v>44</v>
      </c>
      <c r="Y1939" s="68">
        <v>44856</v>
      </c>
      <c r="Z1939" s="17" t="s">
        <v>191</v>
      </c>
      <c r="AA1939" s="17" t="s">
        <v>46</v>
      </c>
      <c r="AB1939" s="17" t="s">
        <v>756</v>
      </c>
      <c r="AC1939" s="17" t="s">
        <v>757</v>
      </c>
      <c r="AD1939" s="65">
        <v>1345</v>
      </c>
      <c r="AE1939" s="17" t="s">
        <v>48</v>
      </c>
      <c r="AF1939" s="17" t="s">
        <v>245</v>
      </c>
    </row>
    <row r="1940" s="17" customFormat="1" hidden="1" spans="1:32">
      <c r="A1940" s="17" t="s">
        <v>34</v>
      </c>
      <c r="B1940" s="19">
        <v>845</v>
      </c>
      <c r="C1940" s="230" t="s">
        <v>746</v>
      </c>
      <c r="D1940" s="17" t="s">
        <v>52</v>
      </c>
      <c r="E1940" s="17" t="s">
        <v>187</v>
      </c>
      <c r="F1940" s="17" t="s">
        <v>54</v>
      </c>
      <c r="H1940" s="19">
        <v>1.2311</v>
      </c>
      <c r="I1940" s="19"/>
      <c r="J1940" s="17" t="s">
        <v>49</v>
      </c>
      <c r="K1940" s="19">
        <v>2200</v>
      </c>
      <c r="L1940" s="19">
        <v>100</v>
      </c>
      <c r="M1940" s="19">
        <v>5490</v>
      </c>
      <c r="N1940" s="19" t="s">
        <v>66</v>
      </c>
      <c r="O1940" s="19" t="s">
        <v>141</v>
      </c>
      <c r="P1940" s="19">
        <v>8635</v>
      </c>
      <c r="Q1940" s="17">
        <v>9855</v>
      </c>
      <c r="R1940" s="17">
        <f t="shared" si="104"/>
        <v>-1220</v>
      </c>
      <c r="S1940" s="17">
        <v>900</v>
      </c>
      <c r="T1940" s="19" t="s">
        <v>42</v>
      </c>
      <c r="U1940" s="102" t="s">
        <v>755</v>
      </c>
      <c r="V1940" s="64" t="s">
        <v>717</v>
      </c>
      <c r="W1940" s="17" t="s">
        <v>44</v>
      </c>
      <c r="Y1940" s="68">
        <v>44856</v>
      </c>
      <c r="Z1940" s="17" t="s">
        <v>191</v>
      </c>
      <c r="AA1940" s="17" t="s">
        <v>46</v>
      </c>
      <c r="AB1940" s="17" t="s">
        <v>756</v>
      </c>
      <c r="AC1940" s="17" t="s">
        <v>757</v>
      </c>
      <c r="AD1940" s="65">
        <v>1345</v>
      </c>
      <c r="AE1940" s="17" t="s">
        <v>48</v>
      </c>
      <c r="AF1940" s="17" t="s">
        <v>245</v>
      </c>
    </row>
    <row r="1941" s="17" customFormat="1" hidden="1" spans="1:32">
      <c r="A1941" s="17" t="s">
        <v>34</v>
      </c>
      <c r="B1941" s="19">
        <v>845</v>
      </c>
      <c r="C1941" s="230" t="s">
        <v>746</v>
      </c>
      <c r="D1941" s="17" t="s">
        <v>52</v>
      </c>
      <c r="E1941" s="17" t="s">
        <v>187</v>
      </c>
      <c r="F1941" s="17" t="s">
        <v>54</v>
      </c>
      <c r="H1941" s="19">
        <v>1.2311</v>
      </c>
      <c r="I1941" s="19"/>
      <c r="J1941" s="17" t="s">
        <v>49</v>
      </c>
      <c r="K1941" s="19">
        <v>2200</v>
      </c>
      <c r="L1941" s="19">
        <v>105</v>
      </c>
      <c r="M1941" s="19">
        <v>4930</v>
      </c>
      <c r="N1941" s="19" t="s">
        <v>66</v>
      </c>
      <c r="O1941" s="19" t="s">
        <v>141</v>
      </c>
      <c r="P1941" s="19">
        <v>9067</v>
      </c>
      <c r="Q1941" s="17">
        <v>9260</v>
      </c>
      <c r="R1941" s="17">
        <f t="shared" si="104"/>
        <v>-193</v>
      </c>
      <c r="S1941" s="17">
        <v>900</v>
      </c>
      <c r="T1941" s="19" t="s">
        <v>42</v>
      </c>
      <c r="U1941" s="102" t="s">
        <v>755</v>
      </c>
      <c r="V1941" s="64" t="s">
        <v>717</v>
      </c>
      <c r="W1941" s="17" t="s">
        <v>44</v>
      </c>
      <c r="Y1941" s="68">
        <v>44856</v>
      </c>
      <c r="Z1941" s="17" t="s">
        <v>191</v>
      </c>
      <c r="AA1941" s="17" t="s">
        <v>46</v>
      </c>
      <c r="AB1941" s="17" t="s">
        <v>756</v>
      </c>
      <c r="AC1941" s="17" t="s">
        <v>757</v>
      </c>
      <c r="AD1941" s="65">
        <v>1345</v>
      </c>
      <c r="AE1941" s="17" t="s">
        <v>48</v>
      </c>
      <c r="AF1941" s="17" t="s">
        <v>245</v>
      </c>
    </row>
    <row r="1942" s="17" customFormat="1" hidden="1" spans="1:32">
      <c r="A1942" s="17" t="s">
        <v>34</v>
      </c>
      <c r="B1942" s="19">
        <v>845</v>
      </c>
      <c r="C1942" s="230" t="s">
        <v>746</v>
      </c>
      <c r="D1942" s="17" t="s">
        <v>52</v>
      </c>
      <c r="E1942" s="17" t="s">
        <v>187</v>
      </c>
      <c r="F1942" s="17" t="s">
        <v>54</v>
      </c>
      <c r="H1942" s="19">
        <v>1.2311</v>
      </c>
      <c r="I1942" s="19"/>
      <c r="J1942" s="17" t="s">
        <v>49</v>
      </c>
      <c r="K1942" s="19">
        <v>2200</v>
      </c>
      <c r="L1942" s="19">
        <v>130</v>
      </c>
      <c r="M1942" s="19">
        <v>5460</v>
      </c>
      <c r="N1942" s="19" t="s">
        <v>66</v>
      </c>
      <c r="O1942" s="19" t="s">
        <v>141</v>
      </c>
      <c r="P1942" s="19">
        <v>22451</v>
      </c>
      <c r="Q1942" s="17">
        <v>12640</v>
      </c>
      <c r="S1942" s="17">
        <v>920</v>
      </c>
      <c r="T1942" s="19" t="s">
        <v>42</v>
      </c>
      <c r="U1942" s="102" t="s">
        <v>755</v>
      </c>
      <c r="V1942" s="64" t="s">
        <v>717</v>
      </c>
      <c r="W1942" s="17" t="s">
        <v>44</v>
      </c>
      <c r="Y1942" s="68">
        <v>44856</v>
      </c>
      <c r="Z1942" s="17" t="s">
        <v>191</v>
      </c>
      <c r="AA1942" s="17" t="s">
        <v>46</v>
      </c>
      <c r="AB1942" s="17" t="s">
        <v>756</v>
      </c>
      <c r="AC1942" s="17" t="s">
        <v>757</v>
      </c>
      <c r="AD1942" s="65">
        <v>1345</v>
      </c>
      <c r="AE1942" s="17" t="s">
        <v>760</v>
      </c>
      <c r="AF1942" s="17" t="s">
        <v>245</v>
      </c>
    </row>
    <row r="1943" s="17" customFormat="1" hidden="1" spans="1:32">
      <c r="A1943" s="17" t="s">
        <v>34</v>
      </c>
      <c r="B1943" s="19">
        <v>845</v>
      </c>
      <c r="C1943" s="230" t="s">
        <v>746</v>
      </c>
      <c r="D1943" s="17" t="s">
        <v>52</v>
      </c>
      <c r="E1943" s="17" t="s">
        <v>187</v>
      </c>
      <c r="F1943" s="17" t="s">
        <v>54</v>
      </c>
      <c r="H1943" s="19">
        <v>1.2311</v>
      </c>
      <c r="I1943" s="19"/>
      <c r="J1943" s="17" t="s">
        <v>49</v>
      </c>
      <c r="K1943" s="19">
        <v>2200</v>
      </c>
      <c r="L1943" s="19">
        <v>130</v>
      </c>
      <c r="M1943" s="19">
        <v>4410</v>
      </c>
      <c r="N1943" s="19" t="s">
        <v>66</v>
      </c>
      <c r="O1943" s="19" t="s">
        <v>141</v>
      </c>
      <c r="P1943" s="19"/>
      <c r="Q1943" s="17">
        <v>10180</v>
      </c>
      <c r="R1943" s="17">
        <f>+P1942-Q1942-Q1943</f>
        <v>-369</v>
      </c>
      <c r="S1943" s="17">
        <v>920</v>
      </c>
      <c r="T1943" s="19" t="s">
        <v>42</v>
      </c>
      <c r="U1943" s="102" t="s">
        <v>755</v>
      </c>
      <c r="V1943" s="64" t="s">
        <v>717</v>
      </c>
      <c r="W1943" s="17" t="s">
        <v>44</v>
      </c>
      <c r="Y1943" s="68">
        <v>44856</v>
      </c>
      <c r="Z1943" s="17" t="s">
        <v>191</v>
      </c>
      <c r="AA1943" s="17" t="s">
        <v>46</v>
      </c>
      <c r="AB1943" s="17" t="s">
        <v>701</v>
      </c>
      <c r="AC1943" s="17" t="s">
        <v>702</v>
      </c>
      <c r="AD1943" s="65">
        <v>1353</v>
      </c>
    </row>
    <row r="1944" s="17" customFormat="1" hidden="1" spans="1:32">
      <c r="A1944" s="17" t="s">
        <v>34</v>
      </c>
      <c r="B1944" s="19">
        <v>845</v>
      </c>
      <c r="C1944" s="230" t="s">
        <v>746</v>
      </c>
      <c r="D1944" s="17" t="s">
        <v>52</v>
      </c>
      <c r="E1944" s="17" t="s">
        <v>187</v>
      </c>
      <c r="F1944" s="17" t="s">
        <v>54</v>
      </c>
      <c r="H1944" s="19">
        <v>1.2311</v>
      </c>
      <c r="I1944" s="19"/>
      <c r="J1944" s="17" t="s">
        <v>49</v>
      </c>
      <c r="K1944" s="19">
        <v>2200</v>
      </c>
      <c r="L1944" s="19">
        <v>155</v>
      </c>
      <c r="M1944" s="19">
        <v>4670</v>
      </c>
      <c r="N1944" s="19" t="s">
        <v>66</v>
      </c>
      <c r="O1944" s="19" t="s">
        <v>141</v>
      </c>
      <c r="P1944" s="19">
        <v>21415</v>
      </c>
      <c r="Q1944" s="17">
        <f>11680+12890</f>
        <v>24570</v>
      </c>
      <c r="R1944" s="17">
        <f>+P1944-Q1944</f>
        <v>-3155</v>
      </c>
      <c r="S1944" s="17">
        <f>940+40</f>
        <v>980</v>
      </c>
      <c r="T1944" s="19" t="s">
        <v>42</v>
      </c>
      <c r="U1944" s="102" t="s">
        <v>755</v>
      </c>
      <c r="V1944" s="64" t="s">
        <v>717</v>
      </c>
      <c r="W1944" s="17" t="s">
        <v>69</v>
      </c>
      <c r="Y1944" s="68">
        <v>44856</v>
      </c>
      <c r="Z1944" s="17" t="s">
        <v>191</v>
      </c>
      <c r="AA1944" s="17" t="s">
        <v>46</v>
      </c>
      <c r="AB1944" s="17" t="s">
        <v>758</v>
      </c>
      <c r="AC1944" s="17" t="s">
        <v>759</v>
      </c>
      <c r="AD1944" s="65">
        <v>1352</v>
      </c>
      <c r="AE1944" s="17" t="s">
        <v>760</v>
      </c>
      <c r="AF1944" s="17" t="s">
        <v>245</v>
      </c>
    </row>
    <row r="1945" s="17" customFormat="1" hidden="1" spans="1:32">
      <c r="B1945" s="19">
        <v>845</v>
      </c>
      <c r="C1945" s="230" t="s">
        <v>746</v>
      </c>
      <c r="D1945" s="17" t="s">
        <v>52</v>
      </c>
      <c r="E1945" s="17" t="s">
        <v>187</v>
      </c>
      <c r="F1945" s="17" t="s">
        <v>54</v>
      </c>
      <c r="H1945" s="19">
        <v>1.2311</v>
      </c>
      <c r="I1945" s="19"/>
      <c r="J1945" s="17" t="s">
        <v>49</v>
      </c>
      <c r="K1945" s="19">
        <v>2200</v>
      </c>
      <c r="L1945" s="19">
        <v>180</v>
      </c>
      <c r="M1945" s="19">
        <v>4750</v>
      </c>
      <c r="N1945" s="19" t="s">
        <v>66</v>
      </c>
      <c r="O1945" s="19" t="s">
        <v>141</v>
      </c>
      <c r="P1945" s="19">
        <v>24869</v>
      </c>
      <c r="Q1945" s="17">
        <v>24390</v>
      </c>
      <c r="R1945" s="17">
        <f>+P1945-Q1945</f>
        <v>479</v>
      </c>
      <c r="S1945" s="17">
        <f>940+40</f>
        <v>980</v>
      </c>
      <c r="T1945" s="19" t="s">
        <v>42</v>
      </c>
      <c r="U1945" s="102" t="s">
        <v>755</v>
      </c>
      <c r="V1945" s="64" t="s">
        <v>717</v>
      </c>
      <c r="W1945" s="17" t="s">
        <v>69</v>
      </c>
      <c r="Y1945" s="68">
        <v>44856</v>
      </c>
      <c r="Z1945" s="17" t="s">
        <v>191</v>
      </c>
      <c r="AA1945" s="17" t="s">
        <v>46</v>
      </c>
      <c r="AB1945" s="17" t="s">
        <v>562</v>
      </c>
      <c r="AC1945" s="17" t="s">
        <v>563</v>
      </c>
      <c r="AD1945" s="65">
        <v>1360</v>
      </c>
      <c r="AE1945" s="17" t="s">
        <v>760</v>
      </c>
      <c r="AF1945" s="17" t="s">
        <v>245</v>
      </c>
    </row>
    <row r="1946" s="17" customFormat="1" hidden="1" spans="1:32">
      <c r="A1946" s="17" t="s">
        <v>34</v>
      </c>
      <c r="B1946" s="19">
        <v>845</v>
      </c>
      <c r="C1946" s="230" t="s">
        <v>746</v>
      </c>
      <c r="D1946" s="17" t="s">
        <v>52</v>
      </c>
      <c r="E1946" s="17" t="s">
        <v>187</v>
      </c>
      <c r="F1946" s="17" t="s">
        <v>54</v>
      </c>
      <c r="H1946" s="19">
        <v>1.2311</v>
      </c>
      <c r="I1946" s="19"/>
      <c r="J1946" s="17" t="s">
        <v>49</v>
      </c>
      <c r="K1946" s="19">
        <v>2200</v>
      </c>
      <c r="L1946" s="19">
        <v>210</v>
      </c>
      <c r="M1946" s="19">
        <v>3160</v>
      </c>
      <c r="N1946" s="19" t="s">
        <v>66</v>
      </c>
      <c r="O1946" s="19" t="s">
        <v>141</v>
      </c>
      <c r="P1946" s="19">
        <v>21760</v>
      </c>
      <c r="Q1946" s="17">
        <v>8265</v>
      </c>
      <c r="S1946" s="17">
        <f>1160+40</f>
        <v>1200</v>
      </c>
      <c r="T1946" s="19" t="s">
        <v>42</v>
      </c>
      <c r="U1946" s="102" t="s">
        <v>755</v>
      </c>
      <c r="V1946" s="64" t="s">
        <v>717</v>
      </c>
      <c r="W1946" s="17" t="s">
        <v>69</v>
      </c>
      <c r="Y1946" s="68">
        <v>44856</v>
      </c>
      <c r="Z1946" s="17" t="s">
        <v>191</v>
      </c>
      <c r="AA1946" s="17" t="s">
        <v>46</v>
      </c>
      <c r="AB1946" s="17" t="s">
        <v>758</v>
      </c>
      <c r="AC1946" s="17" t="s">
        <v>759</v>
      </c>
      <c r="AD1946" s="65">
        <v>1352</v>
      </c>
      <c r="AE1946" s="17" t="s">
        <v>760</v>
      </c>
      <c r="AF1946" s="17" t="s">
        <v>245</v>
      </c>
    </row>
    <row r="1947" s="17" customFormat="1" hidden="1" spans="1:32">
      <c r="A1947" s="17" t="s">
        <v>34</v>
      </c>
      <c r="B1947" s="19">
        <v>845</v>
      </c>
      <c r="C1947" s="230" t="s">
        <v>746</v>
      </c>
      <c r="D1947" s="17" t="s">
        <v>52</v>
      </c>
      <c r="E1947" s="17" t="s">
        <v>187</v>
      </c>
      <c r="F1947" s="17" t="s">
        <v>54</v>
      </c>
      <c r="H1947" s="19">
        <v>1.2311</v>
      </c>
      <c r="I1947" s="19"/>
      <c r="J1947" s="17" t="s">
        <v>49</v>
      </c>
      <c r="K1947" s="19">
        <v>1570</v>
      </c>
      <c r="L1947" s="19">
        <v>210</v>
      </c>
      <c r="M1947" s="19">
        <v>3185</v>
      </c>
      <c r="N1947" s="19" t="s">
        <v>66</v>
      </c>
      <c r="O1947" s="19" t="s">
        <v>141</v>
      </c>
      <c r="P1947" s="19"/>
      <c r="Q1947" s="17">
        <v>8325</v>
      </c>
      <c r="R1947" s="17">
        <f>+P1946-Q1946-Q1947</f>
        <v>5170</v>
      </c>
      <c r="S1947" s="17">
        <f>1160</f>
        <v>1160</v>
      </c>
      <c r="T1947" s="19" t="s">
        <v>42</v>
      </c>
      <c r="U1947" s="102" t="s">
        <v>755</v>
      </c>
      <c r="V1947" s="64" t="s">
        <v>717</v>
      </c>
      <c r="W1947" s="17" t="s">
        <v>44</v>
      </c>
      <c r="Y1947" s="68">
        <v>44856</v>
      </c>
      <c r="Z1947" s="17" t="s">
        <v>191</v>
      </c>
      <c r="AA1947" s="17" t="s">
        <v>46</v>
      </c>
      <c r="AB1947" s="17" t="s">
        <v>701</v>
      </c>
      <c r="AC1947" s="17" t="s">
        <v>702</v>
      </c>
      <c r="AD1947" s="65">
        <v>1353</v>
      </c>
    </row>
    <row r="1948" s="17" customFormat="1" hidden="1" spans="1:32">
      <c r="A1948" s="17" t="s">
        <v>34</v>
      </c>
      <c r="B1948" s="19">
        <v>845</v>
      </c>
      <c r="C1948" s="230" t="s">
        <v>746</v>
      </c>
      <c r="D1948" s="17" t="s">
        <v>52</v>
      </c>
      <c r="E1948" s="17" t="s">
        <v>187</v>
      </c>
      <c r="F1948" s="17" t="s">
        <v>54</v>
      </c>
      <c r="H1948" s="19">
        <v>1.2311</v>
      </c>
      <c r="I1948" s="19"/>
      <c r="J1948" s="17" t="s">
        <v>49</v>
      </c>
      <c r="K1948" s="19">
        <v>2200</v>
      </c>
      <c r="L1948" s="19">
        <v>230</v>
      </c>
      <c r="M1948" s="19">
        <v>2800</v>
      </c>
      <c r="N1948" s="19" t="s">
        <v>66</v>
      </c>
      <c r="O1948" s="19" t="s">
        <v>141</v>
      </c>
      <c r="P1948" s="19">
        <v>23833</v>
      </c>
      <c r="Q1948" s="17">
        <v>10380</v>
      </c>
      <c r="S1948" s="17">
        <f>1160+40</f>
        <v>1200</v>
      </c>
      <c r="T1948" s="19" t="s">
        <v>42</v>
      </c>
      <c r="U1948" s="102" t="s">
        <v>755</v>
      </c>
      <c r="V1948" s="64" t="s">
        <v>717</v>
      </c>
      <c r="W1948" s="17" t="s">
        <v>69</v>
      </c>
      <c r="Y1948" s="68">
        <v>44856</v>
      </c>
      <c r="Z1948" s="17" t="s">
        <v>191</v>
      </c>
      <c r="AA1948" s="17" t="s">
        <v>46</v>
      </c>
      <c r="AB1948" s="17" t="s">
        <v>758</v>
      </c>
      <c r="AC1948" s="17" t="s">
        <v>759</v>
      </c>
      <c r="AD1948" s="65">
        <v>1352</v>
      </c>
      <c r="AE1948" s="17" t="s">
        <v>760</v>
      </c>
      <c r="AF1948" s="17" t="s">
        <v>245</v>
      </c>
    </row>
    <row r="1949" s="17" customFormat="1" hidden="1" spans="1:32">
      <c r="A1949" s="17" t="s">
        <v>34</v>
      </c>
      <c r="B1949" s="19">
        <v>845</v>
      </c>
      <c r="C1949" s="230" t="s">
        <v>746</v>
      </c>
      <c r="D1949" s="17" t="s">
        <v>52</v>
      </c>
      <c r="E1949" s="17" t="s">
        <v>187</v>
      </c>
      <c r="F1949" s="17" t="s">
        <v>54</v>
      </c>
      <c r="H1949" s="19">
        <v>1.2311</v>
      </c>
      <c r="I1949" s="19"/>
      <c r="J1949" s="17" t="s">
        <v>49</v>
      </c>
      <c r="K1949" s="19">
        <v>2200</v>
      </c>
      <c r="L1949" s="19">
        <v>230</v>
      </c>
      <c r="M1949" s="19"/>
      <c r="N1949" s="19" t="s">
        <v>66</v>
      </c>
      <c r="O1949" s="19" t="s">
        <v>141</v>
      </c>
      <c r="P1949" s="19"/>
      <c r="Q1949" s="17">
        <v>10410</v>
      </c>
      <c r="R1949" s="17">
        <f>+P1948-Q1948-Q1949</f>
        <v>3043</v>
      </c>
      <c r="S1949" s="17">
        <v>1160</v>
      </c>
      <c r="T1949" s="19" t="s">
        <v>42</v>
      </c>
      <c r="U1949" s="102" t="s">
        <v>755</v>
      </c>
      <c r="V1949" s="64" t="s">
        <v>717</v>
      </c>
      <c r="W1949" s="17" t="s">
        <v>44</v>
      </c>
      <c r="Y1949" s="68">
        <v>44856</v>
      </c>
      <c r="Z1949" s="17" t="s">
        <v>191</v>
      </c>
      <c r="AA1949" s="17" t="s">
        <v>46</v>
      </c>
      <c r="AB1949" s="17" t="s">
        <v>701</v>
      </c>
      <c r="AC1949" s="17" t="s">
        <v>702</v>
      </c>
      <c r="AD1949" s="65">
        <v>1353</v>
      </c>
    </row>
    <row r="1950" s="17" customFormat="1" hidden="1" spans="1:32">
      <c r="B1950" s="19">
        <v>845</v>
      </c>
      <c r="C1950" s="230" t="s">
        <v>746</v>
      </c>
      <c r="D1950" s="17" t="s">
        <v>52</v>
      </c>
      <c r="E1950" s="17" t="s">
        <v>187</v>
      </c>
      <c r="F1950" s="17" t="s">
        <v>54</v>
      </c>
      <c r="H1950" s="19">
        <v>1.2311</v>
      </c>
      <c r="I1950" s="19"/>
      <c r="J1950" s="17" t="s">
        <v>49</v>
      </c>
      <c r="K1950" s="19">
        <v>1600</v>
      </c>
      <c r="L1950" s="19">
        <v>255</v>
      </c>
      <c r="M1950" s="19">
        <v>3430</v>
      </c>
      <c r="N1950" s="19" t="s">
        <v>66</v>
      </c>
      <c r="O1950" s="19" t="s">
        <v>168</v>
      </c>
      <c r="P1950" s="19">
        <v>19217</v>
      </c>
      <c r="Q1950" s="17">
        <v>23160</v>
      </c>
      <c r="R1950" s="17">
        <f t="shared" ref="R1950:R1969" si="105">+P1950-Q1950</f>
        <v>-3943</v>
      </c>
      <c r="S1950" s="17">
        <f>1375+40</f>
        <v>1415</v>
      </c>
      <c r="T1950" s="19" t="s">
        <v>42</v>
      </c>
      <c r="U1950" s="102" t="s">
        <v>755</v>
      </c>
      <c r="V1950" s="64" t="s">
        <v>717</v>
      </c>
      <c r="W1950" s="17" t="s">
        <v>69</v>
      </c>
      <c r="Y1950" s="68">
        <v>44856</v>
      </c>
      <c r="Z1950" s="17" t="s">
        <v>191</v>
      </c>
      <c r="AA1950" s="17" t="s">
        <v>46</v>
      </c>
      <c r="AB1950" s="17" t="s">
        <v>562</v>
      </c>
      <c r="AC1950" s="17" t="s">
        <v>563</v>
      </c>
      <c r="AD1950" s="65">
        <v>1360</v>
      </c>
      <c r="AE1950" s="17" t="s">
        <v>760</v>
      </c>
      <c r="AF1950" s="17" t="s">
        <v>245</v>
      </c>
    </row>
    <row r="1951" s="17" customFormat="1" hidden="1" spans="1:32">
      <c r="A1951" s="17" t="s">
        <v>34</v>
      </c>
      <c r="B1951" s="19">
        <v>845</v>
      </c>
      <c r="C1951" s="230" t="s">
        <v>746</v>
      </c>
      <c r="D1951" s="17" t="s">
        <v>52</v>
      </c>
      <c r="E1951" s="17" t="s">
        <v>187</v>
      </c>
      <c r="F1951" s="17" t="s">
        <v>54</v>
      </c>
      <c r="H1951" s="19">
        <v>1.2311</v>
      </c>
      <c r="I1951" s="19"/>
      <c r="J1951" s="17" t="s">
        <v>49</v>
      </c>
      <c r="K1951" s="19">
        <v>1600</v>
      </c>
      <c r="L1951" s="19">
        <v>310</v>
      </c>
      <c r="M1951" s="19">
        <v>2500</v>
      </c>
      <c r="N1951" s="19" t="s">
        <v>66</v>
      </c>
      <c r="O1951" s="19" t="s">
        <v>168</v>
      </c>
      <c r="P1951" s="19">
        <v>11681</v>
      </c>
      <c r="Q1951" s="17">
        <v>10150</v>
      </c>
      <c r="R1951" s="17">
        <f t="shared" si="105"/>
        <v>1531</v>
      </c>
      <c r="S1951" s="17">
        <f>1375+40</f>
        <v>1415</v>
      </c>
      <c r="T1951" s="19" t="s">
        <v>42</v>
      </c>
      <c r="U1951" s="102" t="s">
        <v>755</v>
      </c>
      <c r="V1951" s="64" t="s">
        <v>717</v>
      </c>
      <c r="W1951" s="17" t="s">
        <v>69</v>
      </c>
      <c r="Y1951" s="68">
        <v>44856</v>
      </c>
      <c r="Z1951" s="17" t="s">
        <v>191</v>
      </c>
      <c r="AA1951" s="17" t="s">
        <v>46</v>
      </c>
      <c r="AB1951" s="17" t="s">
        <v>758</v>
      </c>
      <c r="AC1951" s="17" t="s">
        <v>759</v>
      </c>
      <c r="AD1951" s="65">
        <v>1352</v>
      </c>
      <c r="AE1951" s="17" t="s">
        <v>48</v>
      </c>
      <c r="AF1951" s="17" t="s">
        <v>245</v>
      </c>
    </row>
    <row r="1952" s="17" customFormat="1" hidden="1" spans="1:32">
      <c r="A1952" s="17" t="s">
        <v>34</v>
      </c>
      <c r="B1952" s="19">
        <v>845</v>
      </c>
      <c r="C1952" s="230" t="s">
        <v>746</v>
      </c>
      <c r="D1952" s="17" t="s">
        <v>52</v>
      </c>
      <c r="E1952" s="17" t="s">
        <v>187</v>
      </c>
      <c r="F1952" s="17" t="s">
        <v>54</v>
      </c>
      <c r="H1952" s="19">
        <v>1.2738</v>
      </c>
      <c r="I1952" s="19"/>
      <c r="J1952" s="17" t="s">
        <v>49</v>
      </c>
      <c r="K1952" s="19">
        <v>1600</v>
      </c>
      <c r="L1952" s="19">
        <v>140</v>
      </c>
      <c r="M1952" s="19">
        <v>3085</v>
      </c>
      <c r="N1952" s="19" t="s">
        <v>66</v>
      </c>
      <c r="O1952" s="19" t="s">
        <v>141</v>
      </c>
      <c r="P1952" s="19">
        <v>5275</v>
      </c>
      <c r="Q1952" s="17">
        <v>5435</v>
      </c>
      <c r="R1952" s="17">
        <f t="shared" si="105"/>
        <v>-160</v>
      </c>
      <c r="S1952" s="17">
        <f>1475+40</f>
        <v>1515</v>
      </c>
      <c r="T1952" s="19" t="s">
        <v>42</v>
      </c>
      <c r="U1952" s="102" t="s">
        <v>755</v>
      </c>
      <c r="V1952" s="64" t="s">
        <v>717</v>
      </c>
      <c r="W1952" s="17" t="s">
        <v>69</v>
      </c>
      <c r="Y1952" s="68">
        <v>44856</v>
      </c>
      <c r="Z1952" s="17" t="s">
        <v>191</v>
      </c>
      <c r="AA1952" s="17" t="s">
        <v>46</v>
      </c>
      <c r="AB1952" s="17" t="s">
        <v>758</v>
      </c>
      <c r="AC1952" s="17" t="s">
        <v>759</v>
      </c>
      <c r="AD1952" s="65">
        <v>1352</v>
      </c>
      <c r="AE1952" s="17" t="s">
        <v>48</v>
      </c>
      <c r="AF1952" s="17" t="s">
        <v>245</v>
      </c>
    </row>
    <row r="1953" s="17" customFormat="1" hidden="1" spans="1:32">
      <c r="A1953" s="17" t="s">
        <v>34</v>
      </c>
      <c r="B1953" s="19">
        <v>845</v>
      </c>
      <c r="C1953" s="230" t="s">
        <v>746</v>
      </c>
      <c r="D1953" s="17" t="s">
        <v>52</v>
      </c>
      <c r="E1953" s="17" t="s">
        <v>187</v>
      </c>
      <c r="F1953" s="17" t="s">
        <v>54</v>
      </c>
      <c r="H1953" s="19">
        <v>1.2738</v>
      </c>
      <c r="I1953" s="19"/>
      <c r="J1953" s="17" t="s">
        <v>49</v>
      </c>
      <c r="K1953" s="19">
        <v>1600</v>
      </c>
      <c r="L1953" s="19">
        <v>155</v>
      </c>
      <c r="M1953" s="19">
        <v>2800</v>
      </c>
      <c r="N1953" s="19" t="s">
        <v>66</v>
      </c>
      <c r="O1953" s="19" t="s">
        <v>141</v>
      </c>
      <c r="P1953" s="19">
        <v>7787</v>
      </c>
      <c r="Q1953" s="17">
        <v>5294</v>
      </c>
      <c r="R1953" s="17">
        <f t="shared" si="105"/>
        <v>2493</v>
      </c>
      <c r="S1953" s="17">
        <v>1475</v>
      </c>
      <c r="T1953" s="19" t="s">
        <v>42</v>
      </c>
      <c r="U1953" s="102" t="s">
        <v>755</v>
      </c>
      <c r="V1953" s="64" t="s">
        <v>717</v>
      </c>
      <c r="W1953" s="17" t="s">
        <v>44</v>
      </c>
      <c r="Y1953" s="68">
        <v>44856</v>
      </c>
      <c r="Z1953" s="17" t="s">
        <v>191</v>
      </c>
      <c r="AA1953" s="17" t="s">
        <v>46</v>
      </c>
      <c r="AB1953" s="17" t="s">
        <v>701</v>
      </c>
      <c r="AC1953" s="17" t="s">
        <v>702</v>
      </c>
      <c r="AD1953" s="65">
        <v>1353</v>
      </c>
      <c r="AE1953" s="17" t="s">
        <v>48</v>
      </c>
      <c r="AF1953" s="17" t="s">
        <v>245</v>
      </c>
    </row>
    <row r="1954" s="17" customFormat="1" hidden="1" spans="1:32">
      <c r="A1954" s="17" t="s">
        <v>34</v>
      </c>
      <c r="B1954" s="19">
        <v>845</v>
      </c>
      <c r="C1954" s="230" t="s">
        <v>746</v>
      </c>
      <c r="D1954" s="17" t="s">
        <v>52</v>
      </c>
      <c r="E1954" s="17" t="s">
        <v>187</v>
      </c>
      <c r="F1954" s="17" t="s">
        <v>54</v>
      </c>
      <c r="H1954" s="19">
        <v>1.2738</v>
      </c>
      <c r="I1954" s="19"/>
      <c r="J1954" s="17" t="s">
        <v>49</v>
      </c>
      <c r="K1954" s="19">
        <v>1600</v>
      </c>
      <c r="L1954" s="19">
        <v>180</v>
      </c>
      <c r="M1954" s="19">
        <v>2800</v>
      </c>
      <c r="N1954" s="19" t="s">
        <v>66</v>
      </c>
      <c r="O1954" s="19" t="s">
        <v>141</v>
      </c>
      <c r="P1954" s="19">
        <v>6782</v>
      </c>
      <c r="Q1954" s="17">
        <v>6190</v>
      </c>
      <c r="R1954" s="17">
        <f t="shared" si="105"/>
        <v>592</v>
      </c>
      <c r="S1954" s="17">
        <f>1475+40</f>
        <v>1515</v>
      </c>
      <c r="T1954" s="19" t="s">
        <v>42</v>
      </c>
      <c r="U1954" s="102" t="s">
        <v>755</v>
      </c>
      <c r="V1954" s="64" t="s">
        <v>717</v>
      </c>
      <c r="W1954" s="17" t="s">
        <v>69</v>
      </c>
      <c r="Y1954" s="68">
        <v>44856</v>
      </c>
      <c r="Z1954" s="17" t="s">
        <v>191</v>
      </c>
      <c r="AA1954" s="17" t="s">
        <v>46</v>
      </c>
      <c r="AB1954" s="17" t="s">
        <v>758</v>
      </c>
      <c r="AC1954" s="17" t="s">
        <v>759</v>
      </c>
      <c r="AD1954" s="65">
        <v>1352</v>
      </c>
      <c r="AE1954" s="17" t="s">
        <v>48</v>
      </c>
      <c r="AF1954" s="17" t="s">
        <v>245</v>
      </c>
    </row>
    <row r="1955" s="17" customFormat="1" hidden="1" spans="1:32">
      <c r="A1955" s="17" t="s">
        <v>34</v>
      </c>
      <c r="B1955" s="19">
        <v>845</v>
      </c>
      <c r="C1955" s="230" t="s">
        <v>746</v>
      </c>
      <c r="D1955" s="17" t="s">
        <v>52</v>
      </c>
      <c r="E1955" s="17" t="s">
        <v>187</v>
      </c>
      <c r="F1955" s="17" t="s">
        <v>54</v>
      </c>
      <c r="H1955" s="19">
        <v>1.2738</v>
      </c>
      <c r="I1955" s="19"/>
      <c r="J1955" s="17" t="s">
        <v>49</v>
      </c>
      <c r="K1955" s="19">
        <v>1600</v>
      </c>
      <c r="L1955" s="19">
        <v>230</v>
      </c>
      <c r="M1955" s="19">
        <v>3050</v>
      </c>
      <c r="N1955" s="19" t="s">
        <v>66</v>
      </c>
      <c r="O1955" s="19" t="s">
        <v>141</v>
      </c>
      <c r="P1955" s="19">
        <v>8666</v>
      </c>
      <c r="Q1955" s="17">
        <v>8685</v>
      </c>
      <c r="R1955" s="17">
        <f t="shared" si="105"/>
        <v>-19</v>
      </c>
      <c r="S1955" s="17">
        <f>1495+40</f>
        <v>1535</v>
      </c>
      <c r="T1955" s="19" t="s">
        <v>42</v>
      </c>
      <c r="U1955" s="102" t="s">
        <v>755</v>
      </c>
      <c r="V1955" s="64" t="s">
        <v>717</v>
      </c>
      <c r="W1955" s="17" t="s">
        <v>69</v>
      </c>
      <c r="Y1955" s="68">
        <v>44856</v>
      </c>
      <c r="Z1955" s="17" t="s">
        <v>191</v>
      </c>
      <c r="AA1955" s="17" t="s">
        <v>46</v>
      </c>
      <c r="AB1955" s="17" t="s">
        <v>758</v>
      </c>
      <c r="AC1955" s="17" t="s">
        <v>759</v>
      </c>
      <c r="AD1955" s="65">
        <v>1352</v>
      </c>
      <c r="AE1955" s="17" t="s">
        <v>48</v>
      </c>
      <c r="AF1955" s="17" t="s">
        <v>245</v>
      </c>
    </row>
    <row r="1956" s="17" customFormat="1" hidden="1" spans="1:32">
      <c r="A1956" s="17" t="s">
        <v>34</v>
      </c>
      <c r="B1956" s="19">
        <v>845</v>
      </c>
      <c r="C1956" s="230" t="s">
        <v>746</v>
      </c>
      <c r="D1956" s="17" t="s">
        <v>52</v>
      </c>
      <c r="E1956" s="17" t="s">
        <v>187</v>
      </c>
      <c r="F1956" s="17" t="s">
        <v>54</v>
      </c>
      <c r="H1956" s="19" t="s">
        <v>544</v>
      </c>
      <c r="I1956" s="19"/>
      <c r="J1956" s="17" t="s">
        <v>49</v>
      </c>
      <c r="K1956" s="184">
        <v>1500</v>
      </c>
      <c r="L1956" s="19">
        <v>3</v>
      </c>
      <c r="M1956" s="19">
        <v>4000</v>
      </c>
      <c r="N1956" s="19" t="s">
        <v>66</v>
      </c>
      <c r="O1956" s="19" t="s">
        <v>141</v>
      </c>
      <c r="P1956" s="19">
        <v>283</v>
      </c>
      <c r="Q1956" s="17">
        <v>283</v>
      </c>
      <c r="R1956" s="17">
        <f t="shared" si="105"/>
        <v>0</v>
      </c>
      <c r="S1956" s="17">
        <v>1540</v>
      </c>
      <c r="T1956" s="19" t="s">
        <v>42</v>
      </c>
      <c r="U1956" s="102" t="s">
        <v>755</v>
      </c>
      <c r="V1956" s="64" t="s">
        <v>717</v>
      </c>
      <c r="W1956" s="17" t="s">
        <v>44</v>
      </c>
      <c r="Y1956" s="68">
        <v>44856</v>
      </c>
      <c r="Z1956" s="17" t="s">
        <v>191</v>
      </c>
      <c r="AA1956" s="17" t="s">
        <v>46</v>
      </c>
      <c r="AB1956" s="17" t="s">
        <v>701</v>
      </c>
      <c r="AC1956" s="17" t="s">
        <v>702</v>
      </c>
      <c r="AD1956" s="65">
        <v>1353</v>
      </c>
      <c r="AE1956" s="17" t="s">
        <v>48</v>
      </c>
      <c r="AF1956" s="17" t="s">
        <v>245</v>
      </c>
    </row>
    <row r="1957" s="17" customFormat="1" hidden="1" spans="1:32">
      <c r="A1957" s="17" t="s">
        <v>34</v>
      </c>
      <c r="B1957" s="19">
        <v>845</v>
      </c>
      <c r="C1957" s="230" t="s">
        <v>746</v>
      </c>
      <c r="D1957" s="17" t="s">
        <v>52</v>
      </c>
      <c r="E1957" s="17" t="s">
        <v>187</v>
      </c>
      <c r="F1957" s="17" t="s">
        <v>54</v>
      </c>
      <c r="H1957" s="19" t="s">
        <v>544</v>
      </c>
      <c r="I1957" s="19"/>
      <c r="J1957" s="17" t="s">
        <v>49</v>
      </c>
      <c r="K1957" s="184">
        <v>2000</v>
      </c>
      <c r="L1957" s="19">
        <v>5</v>
      </c>
      <c r="M1957" s="19">
        <v>3000</v>
      </c>
      <c r="N1957" s="19" t="s">
        <v>66</v>
      </c>
      <c r="O1957" s="19" t="s">
        <v>141</v>
      </c>
      <c r="P1957" s="19">
        <v>471</v>
      </c>
      <c r="Q1957" s="17">
        <v>471</v>
      </c>
      <c r="R1957" s="17">
        <f t="shared" si="105"/>
        <v>0</v>
      </c>
      <c r="S1957" s="17">
        <v>1480</v>
      </c>
      <c r="T1957" s="19" t="s">
        <v>42</v>
      </c>
      <c r="U1957" s="102" t="s">
        <v>755</v>
      </c>
      <c r="V1957" s="64" t="s">
        <v>717</v>
      </c>
      <c r="W1957" s="17" t="s">
        <v>44</v>
      </c>
      <c r="Y1957" s="68">
        <v>44856</v>
      </c>
      <c r="Z1957" s="17" t="s">
        <v>191</v>
      </c>
      <c r="AA1957" s="17" t="s">
        <v>46</v>
      </c>
      <c r="AB1957" s="17" t="s">
        <v>701</v>
      </c>
      <c r="AC1957" s="17" t="s">
        <v>702</v>
      </c>
      <c r="AD1957" s="65">
        <v>1353</v>
      </c>
      <c r="AE1957" s="17" t="s">
        <v>48</v>
      </c>
      <c r="AF1957" s="17" t="s">
        <v>245</v>
      </c>
    </row>
    <row r="1958" s="17" customFormat="1" hidden="1" spans="1:32">
      <c r="A1958" s="17" t="s">
        <v>34</v>
      </c>
      <c r="B1958" s="19">
        <v>846</v>
      </c>
      <c r="C1958" s="230" t="s">
        <v>761</v>
      </c>
      <c r="D1958" s="17" t="s">
        <v>35</v>
      </c>
      <c r="E1958" s="17" t="s">
        <v>482</v>
      </c>
      <c r="F1958" s="17" t="s">
        <v>72</v>
      </c>
      <c r="H1958" s="19">
        <v>1.2344</v>
      </c>
      <c r="I1958" s="19"/>
      <c r="J1958" s="17" t="s">
        <v>82</v>
      </c>
      <c r="K1958" s="184">
        <v>510</v>
      </c>
      <c r="L1958" s="19">
        <v>40</v>
      </c>
      <c r="M1958" s="19"/>
      <c r="N1958" s="19" t="s">
        <v>40</v>
      </c>
      <c r="O1958" s="19" t="s">
        <v>141</v>
      </c>
      <c r="P1958" s="19">
        <v>2000</v>
      </c>
      <c r="Q1958" s="17">
        <f>1476+678</f>
        <v>2154</v>
      </c>
      <c r="R1958" s="17">
        <f t="shared" si="105"/>
        <v>-154</v>
      </c>
      <c r="S1958" s="17">
        <f t="shared" ref="S1958:S1966" si="106">2550-15</f>
        <v>2535</v>
      </c>
      <c r="T1958" s="19" t="s">
        <v>42</v>
      </c>
      <c r="U1958" s="102" t="s">
        <v>762</v>
      </c>
      <c r="V1958" s="64" t="s">
        <v>748</v>
      </c>
      <c r="W1958" s="17" t="s">
        <v>44</v>
      </c>
      <c r="Y1958" s="68">
        <v>44896</v>
      </c>
      <c r="Z1958" s="17" t="s">
        <v>191</v>
      </c>
      <c r="AA1958" s="17" t="s">
        <v>46</v>
      </c>
      <c r="AB1958" s="17" t="s">
        <v>670</v>
      </c>
      <c r="AC1958" s="217">
        <v>45047</v>
      </c>
      <c r="AD1958" s="65">
        <v>1372</v>
      </c>
      <c r="AE1958" s="17" t="s">
        <v>48</v>
      </c>
    </row>
    <row r="1959" s="17" customFormat="1" hidden="1" spans="1:32">
      <c r="A1959" s="17" t="s">
        <v>34</v>
      </c>
      <c r="B1959" s="19">
        <v>846</v>
      </c>
      <c r="C1959" s="230" t="s">
        <v>761</v>
      </c>
      <c r="D1959" s="17" t="s">
        <v>35</v>
      </c>
      <c r="E1959" s="17" t="s">
        <v>482</v>
      </c>
      <c r="F1959" s="17" t="s">
        <v>72</v>
      </c>
      <c r="H1959" s="19">
        <v>1.2344</v>
      </c>
      <c r="I1959" s="19"/>
      <c r="J1959" s="17" t="s">
        <v>82</v>
      </c>
      <c r="K1959" s="184">
        <v>610</v>
      </c>
      <c r="L1959" s="19">
        <v>40</v>
      </c>
      <c r="M1959" s="19"/>
      <c r="N1959" s="19" t="s">
        <v>40</v>
      </c>
      <c r="O1959" s="19" t="s">
        <v>141</v>
      </c>
      <c r="P1959" s="19">
        <v>2000</v>
      </c>
      <c r="Q1959" s="17">
        <v>1526</v>
      </c>
      <c r="R1959" s="17">
        <f t="shared" si="105"/>
        <v>474</v>
      </c>
      <c r="S1959" s="17">
        <f t="shared" si="106"/>
        <v>2535</v>
      </c>
      <c r="T1959" s="19" t="s">
        <v>42</v>
      </c>
      <c r="U1959" s="102" t="s">
        <v>762</v>
      </c>
      <c r="V1959" s="64" t="s">
        <v>748</v>
      </c>
      <c r="W1959" s="17" t="s">
        <v>44</v>
      </c>
      <c r="Y1959" s="68">
        <v>44896</v>
      </c>
      <c r="Z1959" s="17" t="s">
        <v>191</v>
      </c>
      <c r="AA1959" s="17" t="s">
        <v>46</v>
      </c>
      <c r="AB1959" s="17" t="s">
        <v>670</v>
      </c>
      <c r="AC1959" s="217">
        <v>45047</v>
      </c>
      <c r="AD1959" s="65">
        <v>1372</v>
      </c>
      <c r="AE1959" s="17" t="s">
        <v>48</v>
      </c>
    </row>
    <row r="1960" s="17" customFormat="1" hidden="1" spans="1:32">
      <c r="A1960" s="17" t="s">
        <v>34</v>
      </c>
      <c r="B1960" s="19">
        <v>846</v>
      </c>
      <c r="C1960" s="230" t="s">
        <v>761</v>
      </c>
      <c r="D1960" s="17" t="s">
        <v>35</v>
      </c>
      <c r="E1960" s="17" t="s">
        <v>482</v>
      </c>
      <c r="F1960" s="17" t="s">
        <v>72</v>
      </c>
      <c r="H1960" s="19">
        <v>1.2344</v>
      </c>
      <c r="I1960" s="19"/>
      <c r="J1960" s="17" t="s">
        <v>82</v>
      </c>
      <c r="K1960" s="184">
        <v>510</v>
      </c>
      <c r="L1960" s="19">
        <v>50</v>
      </c>
      <c r="M1960" s="19"/>
      <c r="N1960" s="19" t="s">
        <v>40</v>
      </c>
      <c r="O1960" s="19" t="s">
        <v>141</v>
      </c>
      <c r="P1960" s="19">
        <v>2000</v>
      </c>
      <c r="Q1960" s="17">
        <v>1828</v>
      </c>
      <c r="R1960" s="17">
        <f t="shared" si="105"/>
        <v>172</v>
      </c>
      <c r="S1960" s="17">
        <f t="shared" si="106"/>
        <v>2535</v>
      </c>
      <c r="T1960" s="19" t="s">
        <v>42</v>
      </c>
      <c r="U1960" s="102" t="s">
        <v>762</v>
      </c>
      <c r="V1960" s="64" t="s">
        <v>748</v>
      </c>
      <c r="W1960" s="17" t="s">
        <v>44</v>
      </c>
      <c r="Y1960" s="68">
        <v>44896</v>
      </c>
      <c r="Z1960" s="17" t="s">
        <v>191</v>
      </c>
      <c r="AA1960" s="17" t="s">
        <v>46</v>
      </c>
      <c r="AB1960" s="17" t="s">
        <v>670</v>
      </c>
      <c r="AC1960" s="217">
        <v>45047</v>
      </c>
      <c r="AD1960" s="65">
        <v>1372</v>
      </c>
      <c r="AE1960" s="17" t="s">
        <v>48</v>
      </c>
    </row>
    <row r="1961" s="17" customFormat="1" hidden="1" spans="1:32">
      <c r="A1961" s="17" t="s">
        <v>34</v>
      </c>
      <c r="B1961" s="19">
        <v>846</v>
      </c>
      <c r="C1961" s="230" t="s">
        <v>761</v>
      </c>
      <c r="D1961" s="17" t="s">
        <v>35</v>
      </c>
      <c r="E1961" s="17" t="s">
        <v>482</v>
      </c>
      <c r="F1961" s="17" t="s">
        <v>72</v>
      </c>
      <c r="H1961" s="19">
        <v>1.2344</v>
      </c>
      <c r="I1961" s="19"/>
      <c r="J1961" s="17" t="s">
        <v>82</v>
      </c>
      <c r="K1961" s="184">
        <v>610</v>
      </c>
      <c r="L1961" s="19">
        <v>60</v>
      </c>
      <c r="M1961" s="19"/>
      <c r="N1961" s="19" t="s">
        <v>40</v>
      </c>
      <c r="O1961" s="19" t="s">
        <v>141</v>
      </c>
      <c r="P1961" s="19">
        <v>3000</v>
      </c>
      <c r="Q1961" s="17">
        <f>1242+1150+934</f>
        <v>3326</v>
      </c>
      <c r="R1961" s="17">
        <f t="shared" si="105"/>
        <v>-326</v>
      </c>
      <c r="S1961" s="17">
        <f t="shared" si="106"/>
        <v>2535</v>
      </c>
      <c r="T1961" s="19" t="s">
        <v>42</v>
      </c>
      <c r="U1961" s="102" t="s">
        <v>762</v>
      </c>
      <c r="V1961" s="64" t="s">
        <v>748</v>
      </c>
      <c r="W1961" s="17" t="s">
        <v>44</v>
      </c>
      <c r="Y1961" s="68">
        <v>44896</v>
      </c>
      <c r="Z1961" s="17" t="s">
        <v>191</v>
      </c>
      <c r="AA1961" s="17" t="s">
        <v>46</v>
      </c>
      <c r="AB1961" s="17" t="s">
        <v>670</v>
      </c>
      <c r="AC1961" s="217">
        <v>45047</v>
      </c>
      <c r="AD1961" s="65">
        <v>1372</v>
      </c>
      <c r="AE1961" s="17" t="s">
        <v>48</v>
      </c>
    </row>
    <row r="1962" s="17" customFormat="1" hidden="1" spans="1:32">
      <c r="A1962" s="17" t="s">
        <v>34</v>
      </c>
      <c r="B1962" s="19">
        <v>846</v>
      </c>
      <c r="C1962" s="230" t="s">
        <v>761</v>
      </c>
      <c r="D1962" s="17" t="s">
        <v>35</v>
      </c>
      <c r="E1962" s="17" t="s">
        <v>482</v>
      </c>
      <c r="F1962" s="17" t="s">
        <v>72</v>
      </c>
      <c r="H1962" s="19">
        <v>1.2344</v>
      </c>
      <c r="I1962" s="19"/>
      <c r="J1962" s="17" t="s">
        <v>82</v>
      </c>
      <c r="K1962" s="184">
        <v>510</v>
      </c>
      <c r="L1962" s="19">
        <v>65</v>
      </c>
      <c r="M1962" s="19"/>
      <c r="N1962" s="19" t="s">
        <v>40</v>
      </c>
      <c r="O1962" s="19" t="s">
        <v>141</v>
      </c>
      <c r="P1962" s="19">
        <v>3000</v>
      </c>
      <c r="Q1962" s="17">
        <f>1168+1172+1156</f>
        <v>3496</v>
      </c>
      <c r="R1962" s="17">
        <f t="shared" si="105"/>
        <v>-496</v>
      </c>
      <c r="S1962" s="17">
        <f t="shared" si="106"/>
        <v>2535</v>
      </c>
      <c r="T1962" s="19" t="s">
        <v>42</v>
      </c>
      <c r="U1962" s="102" t="s">
        <v>762</v>
      </c>
      <c r="V1962" s="64" t="s">
        <v>748</v>
      </c>
      <c r="W1962" s="17" t="s">
        <v>44</v>
      </c>
      <c r="Y1962" s="68">
        <v>44896</v>
      </c>
      <c r="Z1962" s="17" t="s">
        <v>191</v>
      </c>
      <c r="AA1962" s="17" t="s">
        <v>46</v>
      </c>
      <c r="AB1962" s="17" t="s">
        <v>670</v>
      </c>
      <c r="AC1962" s="217">
        <v>45047</v>
      </c>
      <c r="AD1962" s="65">
        <v>1372</v>
      </c>
      <c r="AE1962" s="17" t="s">
        <v>48</v>
      </c>
    </row>
    <row r="1963" s="17" customFormat="1" hidden="1" spans="1:32">
      <c r="A1963" s="17" t="s">
        <v>34</v>
      </c>
      <c r="B1963" s="19">
        <v>846</v>
      </c>
      <c r="C1963" s="230" t="s">
        <v>761</v>
      </c>
      <c r="D1963" s="17" t="s">
        <v>35</v>
      </c>
      <c r="E1963" s="17" t="s">
        <v>482</v>
      </c>
      <c r="F1963" s="17" t="s">
        <v>72</v>
      </c>
      <c r="H1963" s="19">
        <v>1.2344</v>
      </c>
      <c r="I1963" s="19"/>
      <c r="J1963" s="17" t="s">
        <v>82</v>
      </c>
      <c r="K1963" s="184">
        <v>610</v>
      </c>
      <c r="L1963" s="19">
        <v>65</v>
      </c>
      <c r="M1963" s="19"/>
      <c r="N1963" s="19" t="s">
        <v>40</v>
      </c>
      <c r="O1963" s="19" t="s">
        <v>141</v>
      </c>
      <c r="P1963" s="19">
        <v>6000</v>
      </c>
      <c r="Q1963" s="17">
        <f>1272+1276+1300+1242+1182</f>
        <v>6272</v>
      </c>
      <c r="R1963" s="17">
        <f t="shared" si="105"/>
        <v>-272</v>
      </c>
      <c r="S1963" s="17">
        <f t="shared" si="106"/>
        <v>2535</v>
      </c>
      <c r="T1963" s="19" t="s">
        <v>42</v>
      </c>
      <c r="U1963" s="102" t="s">
        <v>762</v>
      </c>
      <c r="V1963" s="64" t="s">
        <v>748</v>
      </c>
      <c r="W1963" s="17" t="s">
        <v>44</v>
      </c>
      <c r="Y1963" s="68">
        <v>44896</v>
      </c>
      <c r="Z1963" s="17" t="s">
        <v>191</v>
      </c>
      <c r="AA1963" s="17" t="s">
        <v>46</v>
      </c>
      <c r="AB1963" s="17" t="s">
        <v>670</v>
      </c>
      <c r="AC1963" s="217">
        <v>45047</v>
      </c>
      <c r="AD1963" s="65">
        <v>1372</v>
      </c>
      <c r="AE1963" s="17" t="s">
        <v>48</v>
      </c>
    </row>
    <row r="1964" s="17" customFormat="1" hidden="1" spans="1:32">
      <c r="A1964" s="17" t="s">
        <v>34</v>
      </c>
      <c r="B1964" s="19">
        <v>846</v>
      </c>
      <c r="C1964" s="230" t="s">
        <v>761</v>
      </c>
      <c r="D1964" s="17" t="s">
        <v>35</v>
      </c>
      <c r="E1964" s="17" t="s">
        <v>482</v>
      </c>
      <c r="F1964" s="17" t="s">
        <v>72</v>
      </c>
      <c r="H1964" s="19">
        <v>1.2344</v>
      </c>
      <c r="I1964" s="19"/>
      <c r="J1964" s="17" t="s">
        <v>82</v>
      </c>
      <c r="K1964" s="184">
        <v>610</v>
      </c>
      <c r="L1964" s="19">
        <v>80</v>
      </c>
      <c r="M1964" s="19"/>
      <c r="N1964" s="19" t="s">
        <v>40</v>
      </c>
      <c r="O1964" s="19" t="s">
        <v>141</v>
      </c>
      <c r="P1964" s="19">
        <v>3000</v>
      </c>
      <c r="Q1964" s="17">
        <f>992+1150</f>
        <v>2142</v>
      </c>
      <c r="R1964" s="17">
        <f t="shared" si="105"/>
        <v>858</v>
      </c>
      <c r="S1964" s="17">
        <f t="shared" si="106"/>
        <v>2535</v>
      </c>
      <c r="T1964" s="19" t="s">
        <v>42</v>
      </c>
      <c r="U1964" s="102" t="s">
        <v>762</v>
      </c>
      <c r="V1964" s="64" t="s">
        <v>748</v>
      </c>
      <c r="W1964" s="17" t="s">
        <v>44</v>
      </c>
      <c r="Y1964" s="68">
        <v>44896</v>
      </c>
      <c r="Z1964" s="17" t="s">
        <v>191</v>
      </c>
      <c r="AA1964" s="17" t="s">
        <v>46</v>
      </c>
      <c r="AB1964" s="17" t="s">
        <v>670</v>
      </c>
      <c r="AC1964" s="217">
        <v>45047</v>
      </c>
      <c r="AD1964" s="65">
        <v>1372</v>
      </c>
      <c r="AE1964" s="17" t="s">
        <v>48</v>
      </c>
    </row>
    <row r="1965" s="17" customFormat="1" hidden="1" spans="1:32">
      <c r="A1965" s="17" t="s">
        <v>34</v>
      </c>
      <c r="B1965" s="19">
        <v>846</v>
      </c>
      <c r="C1965" s="230" t="s">
        <v>761</v>
      </c>
      <c r="D1965" s="17" t="s">
        <v>35</v>
      </c>
      <c r="E1965" s="17" t="s">
        <v>482</v>
      </c>
      <c r="F1965" s="17" t="s">
        <v>72</v>
      </c>
      <c r="H1965" s="19">
        <v>1.2344</v>
      </c>
      <c r="I1965" s="19"/>
      <c r="J1965" s="17" t="s">
        <v>82</v>
      </c>
      <c r="K1965" s="184">
        <v>510</v>
      </c>
      <c r="L1965" s="19">
        <v>90</v>
      </c>
      <c r="M1965" s="19"/>
      <c r="N1965" s="19" t="s">
        <v>40</v>
      </c>
      <c r="O1965" s="19" t="s">
        <v>141</v>
      </c>
      <c r="P1965" s="19">
        <v>3000</v>
      </c>
      <c r="Q1965" s="17">
        <f>1436+1576</f>
        <v>3012</v>
      </c>
      <c r="R1965" s="17">
        <f t="shared" si="105"/>
        <v>-12</v>
      </c>
      <c r="S1965" s="17">
        <f t="shared" si="106"/>
        <v>2535</v>
      </c>
      <c r="T1965" s="19" t="s">
        <v>42</v>
      </c>
      <c r="U1965" s="102" t="s">
        <v>762</v>
      </c>
      <c r="V1965" s="64" t="s">
        <v>748</v>
      </c>
      <c r="W1965" s="17" t="s">
        <v>44</v>
      </c>
      <c r="Y1965" s="68">
        <v>44896</v>
      </c>
      <c r="Z1965" s="17" t="s">
        <v>191</v>
      </c>
      <c r="AA1965" s="17" t="s">
        <v>46</v>
      </c>
      <c r="AB1965" s="17" t="s">
        <v>763</v>
      </c>
      <c r="AC1965" s="217">
        <v>45047</v>
      </c>
      <c r="AD1965" s="65">
        <v>1373</v>
      </c>
      <c r="AE1965" s="17" t="s">
        <v>48</v>
      </c>
    </row>
    <row r="1966" s="17" customFormat="1" hidden="1" spans="1:32">
      <c r="A1966" s="17" t="s">
        <v>34</v>
      </c>
      <c r="B1966" s="19">
        <v>846</v>
      </c>
      <c r="C1966" s="230" t="s">
        <v>761</v>
      </c>
      <c r="D1966" s="17" t="s">
        <v>35</v>
      </c>
      <c r="E1966" s="17" t="s">
        <v>482</v>
      </c>
      <c r="F1966" s="17" t="s">
        <v>72</v>
      </c>
      <c r="H1966" s="19">
        <v>1.2344</v>
      </c>
      <c r="I1966" s="19"/>
      <c r="J1966" s="17" t="s">
        <v>82</v>
      </c>
      <c r="K1966" s="184">
        <v>610</v>
      </c>
      <c r="L1966" s="19">
        <v>105</v>
      </c>
      <c r="M1966" s="19"/>
      <c r="N1966" s="19" t="s">
        <v>40</v>
      </c>
      <c r="O1966" s="19" t="s">
        <v>141</v>
      </c>
      <c r="P1966" s="19">
        <v>3000</v>
      </c>
      <c r="Q1966" s="17">
        <v>3034</v>
      </c>
      <c r="R1966" s="17">
        <f t="shared" si="105"/>
        <v>-34</v>
      </c>
      <c r="S1966" s="17">
        <f t="shared" si="106"/>
        <v>2535</v>
      </c>
      <c r="T1966" s="19" t="s">
        <v>42</v>
      </c>
      <c r="U1966" s="102" t="s">
        <v>762</v>
      </c>
      <c r="V1966" s="64" t="s">
        <v>748</v>
      </c>
      <c r="W1966" s="17" t="s">
        <v>44</v>
      </c>
      <c r="Y1966" s="68">
        <v>44896</v>
      </c>
      <c r="Z1966" s="17" t="s">
        <v>191</v>
      </c>
      <c r="AA1966" s="17" t="s">
        <v>46</v>
      </c>
      <c r="AB1966" s="17" t="s">
        <v>763</v>
      </c>
      <c r="AC1966" s="217">
        <v>45047</v>
      </c>
      <c r="AD1966" s="65">
        <v>1373</v>
      </c>
      <c r="AE1966" s="17" t="s">
        <v>48</v>
      </c>
    </row>
    <row r="1967" s="17" customFormat="1" hidden="1" spans="1:32">
      <c r="A1967" s="17" t="s">
        <v>34</v>
      </c>
      <c r="B1967" s="19">
        <v>846</v>
      </c>
      <c r="C1967" s="230" t="s">
        <v>761</v>
      </c>
      <c r="D1967" s="17" t="s">
        <v>35</v>
      </c>
      <c r="E1967" s="17" t="s">
        <v>482</v>
      </c>
      <c r="F1967" s="17" t="s">
        <v>72</v>
      </c>
      <c r="H1967" s="19">
        <v>1.2344</v>
      </c>
      <c r="I1967" s="19"/>
      <c r="J1967" s="17" t="s">
        <v>82</v>
      </c>
      <c r="K1967" s="184">
        <v>610</v>
      </c>
      <c r="L1967" s="19">
        <v>125</v>
      </c>
      <c r="M1967" s="19"/>
      <c r="N1967" s="19" t="s">
        <v>40</v>
      </c>
      <c r="O1967" s="19" t="s">
        <v>141</v>
      </c>
      <c r="P1967" s="19">
        <v>3000</v>
      </c>
      <c r="Q1967" s="17">
        <v>2646</v>
      </c>
      <c r="R1967" s="17">
        <f t="shared" si="105"/>
        <v>354</v>
      </c>
      <c r="S1967" s="17">
        <f>2550+100-15</f>
        <v>2635</v>
      </c>
      <c r="T1967" s="19" t="s">
        <v>42</v>
      </c>
      <c r="U1967" s="102" t="s">
        <v>762</v>
      </c>
      <c r="V1967" s="64" t="s">
        <v>748</v>
      </c>
      <c r="W1967" s="17" t="s">
        <v>44</v>
      </c>
      <c r="Y1967" s="68">
        <v>44896</v>
      </c>
      <c r="Z1967" s="17" t="s">
        <v>191</v>
      </c>
      <c r="AA1967" s="17" t="s">
        <v>46</v>
      </c>
      <c r="AB1967" s="17" t="s">
        <v>763</v>
      </c>
      <c r="AC1967" s="217">
        <v>45047</v>
      </c>
      <c r="AD1967" s="65">
        <v>1373</v>
      </c>
      <c r="AE1967" s="17" t="s">
        <v>48</v>
      </c>
    </row>
    <row r="1968" s="17" customFormat="1" hidden="1" spans="1:32">
      <c r="A1968" s="17" t="s">
        <v>34</v>
      </c>
      <c r="B1968" s="19">
        <v>846</v>
      </c>
      <c r="C1968" s="230" t="s">
        <v>761</v>
      </c>
      <c r="D1968" s="17" t="s">
        <v>35</v>
      </c>
      <c r="E1968" s="17" t="s">
        <v>482</v>
      </c>
      <c r="F1968" s="17" t="s">
        <v>72</v>
      </c>
      <c r="H1968" s="19">
        <v>1.2344</v>
      </c>
      <c r="I1968" s="19"/>
      <c r="J1968" s="17" t="s">
        <v>82</v>
      </c>
      <c r="K1968" s="184">
        <v>610</v>
      </c>
      <c r="L1968" s="19">
        <v>130</v>
      </c>
      <c r="M1968" s="19"/>
      <c r="N1968" s="19" t="s">
        <v>40</v>
      </c>
      <c r="O1968" s="19" t="s">
        <v>141</v>
      </c>
      <c r="P1968" s="19">
        <v>3000</v>
      </c>
      <c r="Q1968" s="17">
        <v>2124</v>
      </c>
      <c r="R1968" s="17">
        <f t="shared" si="105"/>
        <v>876</v>
      </c>
      <c r="S1968" s="17">
        <f>2550+100-15</f>
        <v>2635</v>
      </c>
      <c r="T1968" s="19" t="s">
        <v>42</v>
      </c>
      <c r="U1968" s="102" t="s">
        <v>762</v>
      </c>
      <c r="V1968" s="64" t="s">
        <v>748</v>
      </c>
      <c r="W1968" s="17" t="s">
        <v>44</v>
      </c>
      <c r="Y1968" s="68">
        <v>44896</v>
      </c>
      <c r="Z1968" s="17" t="s">
        <v>191</v>
      </c>
      <c r="AA1968" s="17" t="s">
        <v>46</v>
      </c>
      <c r="AB1968" s="17" t="s">
        <v>763</v>
      </c>
      <c r="AC1968" s="217">
        <v>45047</v>
      </c>
      <c r="AD1968" s="65">
        <v>1373</v>
      </c>
      <c r="AE1968" s="17" t="s">
        <v>48</v>
      </c>
    </row>
    <row r="1969" s="17" customFormat="1" hidden="1" spans="1:31">
      <c r="A1969" s="17" t="s">
        <v>34</v>
      </c>
      <c r="B1969" s="19">
        <v>846</v>
      </c>
      <c r="C1969" s="230" t="s">
        <v>761</v>
      </c>
      <c r="D1969" s="17" t="s">
        <v>35</v>
      </c>
      <c r="E1969" s="17" t="s">
        <v>482</v>
      </c>
      <c r="F1969" s="17" t="s">
        <v>72</v>
      </c>
      <c r="H1969" s="19">
        <v>1.2344</v>
      </c>
      <c r="I1969" s="19"/>
      <c r="J1969" s="17" t="s">
        <v>82</v>
      </c>
      <c r="K1969" s="184">
        <v>610</v>
      </c>
      <c r="L1969" s="19">
        <v>150</v>
      </c>
      <c r="M1969" s="19"/>
      <c r="N1969" s="19" t="s">
        <v>40</v>
      </c>
      <c r="O1969" s="19" t="s">
        <v>141</v>
      </c>
      <c r="P1969" s="19">
        <v>3000</v>
      </c>
      <c r="Q1969" s="17">
        <v>3026</v>
      </c>
      <c r="R1969" s="17">
        <f t="shared" si="105"/>
        <v>-26</v>
      </c>
      <c r="S1969" s="17">
        <f>2550+100-15</f>
        <v>2635</v>
      </c>
      <c r="T1969" s="19" t="s">
        <v>42</v>
      </c>
      <c r="U1969" s="102" t="s">
        <v>762</v>
      </c>
      <c r="V1969" s="64" t="s">
        <v>748</v>
      </c>
      <c r="W1969" s="17" t="s">
        <v>44</v>
      </c>
      <c r="Y1969" s="68">
        <v>44896</v>
      </c>
      <c r="Z1969" s="17" t="s">
        <v>191</v>
      </c>
      <c r="AA1969" s="17" t="s">
        <v>46</v>
      </c>
      <c r="AB1969" s="17" t="s">
        <v>763</v>
      </c>
      <c r="AC1969" s="217">
        <v>45047</v>
      </c>
      <c r="AD1969" s="65">
        <v>1373</v>
      </c>
      <c r="AE1969" s="17" t="s">
        <v>48</v>
      </c>
    </row>
    <row r="1970" s="17" customFormat="1" hidden="1" spans="1:31">
      <c r="A1970" s="17" t="s">
        <v>34</v>
      </c>
      <c r="B1970" s="19">
        <v>846</v>
      </c>
      <c r="C1970" s="230" t="s">
        <v>761</v>
      </c>
      <c r="D1970" s="17" t="s">
        <v>35</v>
      </c>
      <c r="E1970" s="17" t="s">
        <v>482</v>
      </c>
      <c r="F1970" s="17" t="s">
        <v>72</v>
      </c>
      <c r="H1970" s="19">
        <v>1.2379</v>
      </c>
      <c r="I1970" s="19"/>
      <c r="J1970" s="17" t="s">
        <v>82</v>
      </c>
      <c r="K1970" s="232">
        <v>510</v>
      </c>
      <c r="L1970" s="232">
        <v>20</v>
      </c>
      <c r="M1970" s="19"/>
      <c r="N1970" s="19" t="s">
        <v>40</v>
      </c>
      <c r="O1970" s="19" t="s">
        <v>141</v>
      </c>
      <c r="P1970" s="19">
        <v>2000</v>
      </c>
      <c r="Q1970" s="17">
        <v>1012</v>
      </c>
      <c r="S1970" s="17">
        <f t="shared" ref="S1970:S1984" si="107">2550-15</f>
        <v>2535</v>
      </c>
      <c r="T1970" s="19" t="s">
        <v>42</v>
      </c>
      <c r="U1970" s="102" t="s">
        <v>762</v>
      </c>
      <c r="V1970" s="64" t="s">
        <v>748</v>
      </c>
      <c r="W1970" s="17" t="s">
        <v>44</v>
      </c>
      <c r="Y1970" s="68">
        <v>44896</v>
      </c>
      <c r="Z1970" s="17" t="s">
        <v>191</v>
      </c>
      <c r="AA1970" s="17" t="s">
        <v>46</v>
      </c>
      <c r="AB1970" s="17" t="s">
        <v>763</v>
      </c>
      <c r="AC1970" s="217">
        <v>45047</v>
      </c>
      <c r="AD1970" s="65">
        <v>1373</v>
      </c>
      <c r="AE1970" s="17" t="s">
        <v>48</v>
      </c>
    </row>
    <row r="1971" s="17" customFormat="1" hidden="1" spans="1:31">
      <c r="A1971" s="17" t="s">
        <v>34</v>
      </c>
      <c r="B1971" s="19">
        <v>846</v>
      </c>
      <c r="C1971" s="230" t="s">
        <v>761</v>
      </c>
      <c r="D1971" s="17" t="s">
        <v>35</v>
      </c>
      <c r="E1971" s="17" t="s">
        <v>482</v>
      </c>
      <c r="F1971" s="17" t="s">
        <v>72</v>
      </c>
      <c r="H1971" s="19">
        <v>1.2379</v>
      </c>
      <c r="I1971" s="19"/>
      <c r="J1971" s="17" t="s">
        <v>82</v>
      </c>
      <c r="K1971" s="232">
        <v>510</v>
      </c>
      <c r="L1971" s="232">
        <v>20</v>
      </c>
      <c r="M1971" s="19"/>
      <c r="N1971" s="19" t="s">
        <v>40</v>
      </c>
      <c r="O1971" s="19" t="s">
        <v>141</v>
      </c>
      <c r="P1971" s="19"/>
      <c r="Q1971" s="17">
        <v>1474</v>
      </c>
      <c r="R1971" s="17">
        <f>+P1970-Q1970-Q1971</f>
        <v>-486</v>
      </c>
      <c r="S1971" s="17">
        <f t="shared" si="107"/>
        <v>2535</v>
      </c>
      <c r="T1971" s="19" t="s">
        <v>42</v>
      </c>
      <c r="U1971" s="102" t="s">
        <v>762</v>
      </c>
      <c r="V1971" s="64" t="s">
        <v>748</v>
      </c>
      <c r="W1971" s="17" t="s">
        <v>44</v>
      </c>
      <c r="Y1971" s="68">
        <v>44896</v>
      </c>
      <c r="Z1971" s="17" t="s">
        <v>191</v>
      </c>
      <c r="AA1971" s="17" t="s">
        <v>46</v>
      </c>
      <c r="AB1971" s="17" t="s">
        <v>764</v>
      </c>
      <c r="AC1971" s="217">
        <v>45047</v>
      </c>
      <c r="AD1971" s="65">
        <v>1374</v>
      </c>
      <c r="AE1971" s="17" t="s">
        <v>48</v>
      </c>
    </row>
    <row r="1972" s="17" customFormat="1" hidden="1" spans="1:31">
      <c r="A1972" s="17" t="s">
        <v>34</v>
      </c>
      <c r="B1972" s="19">
        <v>846</v>
      </c>
      <c r="C1972" s="230" t="s">
        <v>761</v>
      </c>
      <c r="D1972" s="17" t="s">
        <v>35</v>
      </c>
      <c r="E1972" s="17" t="s">
        <v>482</v>
      </c>
      <c r="F1972" s="17" t="s">
        <v>72</v>
      </c>
      <c r="H1972" s="19">
        <v>1.2379</v>
      </c>
      <c r="I1972" s="19"/>
      <c r="J1972" s="17" t="s">
        <v>82</v>
      </c>
      <c r="K1972" s="232">
        <v>610</v>
      </c>
      <c r="L1972" s="232">
        <v>20</v>
      </c>
      <c r="M1972" s="19"/>
      <c r="N1972" s="19" t="s">
        <v>40</v>
      </c>
      <c r="O1972" s="19" t="s">
        <v>141</v>
      </c>
      <c r="P1972" s="19">
        <v>2000</v>
      </c>
      <c r="Q1972" s="17">
        <f>366+1022+330</f>
        <v>1718</v>
      </c>
      <c r="R1972" s="17">
        <f>+P1972-Q1972</f>
        <v>282</v>
      </c>
      <c r="S1972" s="17">
        <f t="shared" si="107"/>
        <v>2535</v>
      </c>
      <c r="T1972" s="19" t="s">
        <v>42</v>
      </c>
      <c r="U1972" s="102" t="s">
        <v>762</v>
      </c>
      <c r="V1972" s="64" t="s">
        <v>748</v>
      </c>
      <c r="W1972" s="17" t="s">
        <v>44</v>
      </c>
      <c r="Y1972" s="68">
        <v>44896</v>
      </c>
      <c r="Z1972" s="17" t="s">
        <v>191</v>
      </c>
      <c r="AA1972" s="17" t="s">
        <v>46</v>
      </c>
      <c r="AB1972" s="17" t="s">
        <v>763</v>
      </c>
      <c r="AC1972" s="217">
        <v>45047</v>
      </c>
      <c r="AD1972" s="65">
        <v>1373</v>
      </c>
      <c r="AE1972" s="17" t="s">
        <v>48</v>
      </c>
    </row>
    <row r="1973" s="17" customFormat="1" hidden="1" spans="1:31">
      <c r="A1973" s="17" t="s">
        <v>34</v>
      </c>
      <c r="B1973" s="19">
        <v>846</v>
      </c>
      <c r="C1973" s="230" t="s">
        <v>761</v>
      </c>
      <c r="D1973" s="17" t="s">
        <v>35</v>
      </c>
      <c r="E1973" s="17" t="s">
        <v>482</v>
      </c>
      <c r="F1973" s="17" t="s">
        <v>72</v>
      </c>
      <c r="H1973" s="19">
        <v>1.2379</v>
      </c>
      <c r="I1973" s="19"/>
      <c r="J1973" s="17" t="s">
        <v>82</v>
      </c>
      <c r="K1973" s="232">
        <v>510</v>
      </c>
      <c r="L1973" s="232">
        <v>26</v>
      </c>
      <c r="M1973" s="19"/>
      <c r="N1973" s="19" t="s">
        <v>40</v>
      </c>
      <c r="O1973" s="19" t="s">
        <v>141</v>
      </c>
      <c r="P1973" s="19">
        <v>2000</v>
      </c>
      <c r="Q1973" s="17">
        <f>1334+770</f>
        <v>2104</v>
      </c>
      <c r="R1973" s="17">
        <f>+P1973-Q1973</f>
        <v>-104</v>
      </c>
      <c r="S1973" s="17">
        <f t="shared" si="107"/>
        <v>2535</v>
      </c>
      <c r="T1973" s="19" t="s">
        <v>42</v>
      </c>
      <c r="U1973" s="102" t="s">
        <v>762</v>
      </c>
      <c r="V1973" s="64" t="s">
        <v>748</v>
      </c>
      <c r="W1973" s="17" t="s">
        <v>44</v>
      </c>
      <c r="Y1973" s="68">
        <v>44896</v>
      </c>
      <c r="Z1973" s="17" t="s">
        <v>191</v>
      </c>
      <c r="AA1973" s="17" t="s">
        <v>46</v>
      </c>
      <c r="AB1973" s="17" t="s">
        <v>763</v>
      </c>
      <c r="AC1973" s="217">
        <v>45047</v>
      </c>
      <c r="AD1973" s="65">
        <v>1373</v>
      </c>
      <c r="AE1973" s="17" t="s">
        <v>48</v>
      </c>
    </row>
    <row r="1974" s="17" customFormat="1" hidden="1" spans="1:31">
      <c r="A1974" s="17" t="s">
        <v>34</v>
      </c>
      <c r="B1974" s="19">
        <v>846</v>
      </c>
      <c r="C1974" s="230" t="s">
        <v>761</v>
      </c>
      <c r="D1974" s="17" t="s">
        <v>35</v>
      </c>
      <c r="E1974" s="17" t="s">
        <v>482</v>
      </c>
      <c r="F1974" s="17" t="s">
        <v>72</v>
      </c>
      <c r="H1974" s="19">
        <v>1.2379</v>
      </c>
      <c r="I1974" s="19"/>
      <c r="J1974" s="17" t="s">
        <v>82</v>
      </c>
      <c r="K1974" s="232">
        <v>610</v>
      </c>
      <c r="L1974" s="232">
        <v>32</v>
      </c>
      <c r="M1974" s="19"/>
      <c r="N1974" s="19" t="s">
        <v>40</v>
      </c>
      <c r="O1974" s="19" t="s">
        <v>141</v>
      </c>
      <c r="P1974" s="19">
        <v>2000</v>
      </c>
      <c r="Q1974" s="17">
        <f>506+1458</f>
        <v>1964</v>
      </c>
      <c r="R1974" s="17">
        <f>+P1974-Q1974</f>
        <v>36</v>
      </c>
      <c r="S1974" s="17">
        <f t="shared" si="107"/>
        <v>2535</v>
      </c>
      <c r="T1974" s="19" t="s">
        <v>42</v>
      </c>
      <c r="U1974" s="102" t="s">
        <v>762</v>
      </c>
      <c r="V1974" s="64" t="s">
        <v>748</v>
      </c>
      <c r="W1974" s="17" t="s">
        <v>44</v>
      </c>
      <c r="Y1974" s="68">
        <v>44896</v>
      </c>
      <c r="Z1974" s="17" t="s">
        <v>191</v>
      </c>
      <c r="AA1974" s="17" t="s">
        <v>46</v>
      </c>
      <c r="AB1974" s="17" t="s">
        <v>763</v>
      </c>
      <c r="AC1974" s="217">
        <v>45047</v>
      </c>
      <c r="AD1974" s="65">
        <v>1373</v>
      </c>
      <c r="AE1974" s="17" t="s">
        <v>48</v>
      </c>
    </row>
    <row r="1975" s="17" customFormat="1" hidden="1" spans="1:31">
      <c r="A1975" s="17" t="s">
        <v>34</v>
      </c>
      <c r="B1975" s="19">
        <v>846</v>
      </c>
      <c r="C1975" s="230" t="s">
        <v>761</v>
      </c>
      <c r="D1975" s="17" t="s">
        <v>35</v>
      </c>
      <c r="E1975" s="17" t="s">
        <v>482</v>
      </c>
      <c r="F1975" s="17" t="s">
        <v>72</v>
      </c>
      <c r="H1975" s="19">
        <v>1.2379</v>
      </c>
      <c r="I1975" s="19"/>
      <c r="J1975" s="17" t="s">
        <v>82</v>
      </c>
      <c r="K1975" s="19">
        <v>510</v>
      </c>
      <c r="L1975" s="19">
        <v>40</v>
      </c>
      <c r="M1975" s="19"/>
      <c r="N1975" s="19" t="s">
        <v>40</v>
      </c>
      <c r="O1975" s="19" t="s">
        <v>141</v>
      </c>
      <c r="P1975" s="19">
        <v>2000</v>
      </c>
      <c r="Q1975" s="17">
        <f>506+1282</f>
        <v>1788</v>
      </c>
      <c r="R1975" s="17">
        <f>+P1975-Q1975</f>
        <v>212</v>
      </c>
      <c r="S1975" s="17">
        <f t="shared" si="107"/>
        <v>2535</v>
      </c>
      <c r="T1975" s="19" t="s">
        <v>42</v>
      </c>
      <c r="U1975" s="102" t="s">
        <v>762</v>
      </c>
      <c r="V1975" s="64" t="s">
        <v>748</v>
      </c>
      <c r="W1975" s="17" t="s">
        <v>44</v>
      </c>
      <c r="Y1975" s="68">
        <v>44896</v>
      </c>
      <c r="Z1975" s="17" t="s">
        <v>191</v>
      </c>
      <c r="AA1975" s="17" t="s">
        <v>46</v>
      </c>
      <c r="AB1975" s="17" t="s">
        <v>764</v>
      </c>
      <c r="AC1975" s="217">
        <v>45047</v>
      </c>
      <c r="AD1975" s="65">
        <v>1374</v>
      </c>
      <c r="AE1975" s="17" t="s">
        <v>48</v>
      </c>
    </row>
    <row r="1976" s="17" customFormat="1" hidden="1" spans="1:31">
      <c r="A1976" s="17" t="s">
        <v>34</v>
      </c>
      <c r="B1976" s="19">
        <v>846</v>
      </c>
      <c r="C1976" s="230" t="s">
        <v>761</v>
      </c>
      <c r="D1976" s="17" t="s">
        <v>35</v>
      </c>
      <c r="E1976" s="17" t="s">
        <v>482</v>
      </c>
      <c r="F1976" s="17" t="s">
        <v>72</v>
      </c>
      <c r="H1976" s="19">
        <v>1.2379</v>
      </c>
      <c r="I1976" s="19"/>
      <c r="J1976" s="17" t="s">
        <v>82</v>
      </c>
      <c r="K1976" s="19">
        <v>610</v>
      </c>
      <c r="L1976" s="19">
        <v>40</v>
      </c>
      <c r="M1976" s="19"/>
      <c r="N1976" s="19" t="s">
        <v>40</v>
      </c>
      <c r="O1976" s="19" t="s">
        <v>141</v>
      </c>
      <c r="P1976" s="19">
        <v>2000</v>
      </c>
      <c r="Q1976" s="17">
        <f>696</f>
        <v>696</v>
      </c>
      <c r="S1976" s="17">
        <f t="shared" si="107"/>
        <v>2535</v>
      </c>
      <c r="T1976" s="19" t="s">
        <v>42</v>
      </c>
      <c r="U1976" s="102" t="s">
        <v>762</v>
      </c>
      <c r="V1976" s="64" t="s">
        <v>748</v>
      </c>
      <c r="W1976" s="17" t="s">
        <v>44</v>
      </c>
      <c r="Y1976" s="68">
        <v>44896</v>
      </c>
      <c r="Z1976" s="17" t="s">
        <v>191</v>
      </c>
      <c r="AA1976" s="17" t="s">
        <v>46</v>
      </c>
      <c r="AB1976" s="17" t="s">
        <v>763</v>
      </c>
      <c r="AC1976" s="217">
        <v>45047</v>
      </c>
      <c r="AD1976" s="65">
        <v>1373</v>
      </c>
      <c r="AE1976" s="17" t="s">
        <v>48</v>
      </c>
    </row>
    <row r="1977" s="17" customFormat="1" hidden="1" spans="1:31">
      <c r="A1977" s="17" t="s">
        <v>34</v>
      </c>
      <c r="B1977" s="19">
        <v>846</v>
      </c>
      <c r="C1977" s="230" t="s">
        <v>761</v>
      </c>
      <c r="D1977" s="17" t="s">
        <v>35</v>
      </c>
      <c r="E1977" s="17" t="s">
        <v>482</v>
      </c>
      <c r="F1977" s="17" t="s">
        <v>72</v>
      </c>
      <c r="H1977" s="19">
        <v>1.2379</v>
      </c>
      <c r="I1977" s="19"/>
      <c r="J1977" s="17" t="s">
        <v>82</v>
      </c>
      <c r="K1977" s="19">
        <v>610</v>
      </c>
      <c r="L1977" s="19">
        <v>40</v>
      </c>
      <c r="M1977" s="19"/>
      <c r="N1977" s="19" t="s">
        <v>40</v>
      </c>
      <c r="O1977" s="19" t="s">
        <v>141</v>
      </c>
      <c r="P1977" s="19"/>
      <c r="Q1977" s="17">
        <v>1372</v>
      </c>
      <c r="R1977" s="17">
        <f>+P1976-Q1976-Q1977</f>
        <v>-68</v>
      </c>
      <c r="S1977" s="17">
        <f t="shared" si="107"/>
        <v>2535</v>
      </c>
      <c r="T1977" s="19" t="s">
        <v>42</v>
      </c>
      <c r="U1977" s="102" t="s">
        <v>762</v>
      </c>
      <c r="V1977" s="64" t="s">
        <v>748</v>
      </c>
      <c r="W1977" s="17" t="s">
        <v>44</v>
      </c>
      <c r="Y1977" s="68">
        <v>44896</v>
      </c>
      <c r="Z1977" s="17" t="s">
        <v>191</v>
      </c>
      <c r="AA1977" s="17" t="s">
        <v>46</v>
      </c>
      <c r="AB1977" s="17" t="s">
        <v>764</v>
      </c>
      <c r="AC1977" s="217">
        <v>45047</v>
      </c>
      <c r="AD1977" s="65">
        <v>1374</v>
      </c>
      <c r="AE1977" s="17" t="s">
        <v>48</v>
      </c>
    </row>
    <row r="1978" s="17" customFormat="1" hidden="1" spans="1:31">
      <c r="A1978" s="17" t="s">
        <v>34</v>
      </c>
      <c r="B1978" s="19">
        <v>846</v>
      </c>
      <c r="C1978" s="230" t="s">
        <v>761</v>
      </c>
      <c r="D1978" s="17" t="s">
        <v>35</v>
      </c>
      <c r="E1978" s="17" t="s">
        <v>482</v>
      </c>
      <c r="F1978" s="17" t="s">
        <v>72</v>
      </c>
      <c r="H1978" s="19">
        <v>1.2379</v>
      </c>
      <c r="I1978" s="19"/>
      <c r="J1978" s="17" t="s">
        <v>82</v>
      </c>
      <c r="K1978" s="19">
        <v>510</v>
      </c>
      <c r="L1978" s="19">
        <v>50</v>
      </c>
      <c r="M1978" s="19"/>
      <c r="N1978" s="19" t="s">
        <v>40</v>
      </c>
      <c r="O1978" s="19" t="s">
        <v>141</v>
      </c>
      <c r="P1978" s="19">
        <v>2000</v>
      </c>
      <c r="Q1978" s="17">
        <v>1348</v>
      </c>
      <c r="R1978" s="17">
        <f t="shared" ref="R1978:R2009" si="108">+P1978-Q1978</f>
        <v>652</v>
      </c>
      <c r="S1978" s="17">
        <f t="shared" si="107"/>
        <v>2535</v>
      </c>
      <c r="T1978" s="19" t="s">
        <v>42</v>
      </c>
      <c r="U1978" s="102" t="s">
        <v>762</v>
      </c>
      <c r="V1978" s="64" t="s">
        <v>748</v>
      </c>
      <c r="W1978" s="17" t="s">
        <v>44</v>
      </c>
      <c r="Y1978" s="68">
        <v>44896</v>
      </c>
      <c r="Z1978" s="17" t="s">
        <v>191</v>
      </c>
      <c r="AA1978" s="17" t="s">
        <v>46</v>
      </c>
      <c r="AB1978" s="17" t="s">
        <v>764</v>
      </c>
      <c r="AC1978" s="217">
        <v>45047</v>
      </c>
      <c r="AD1978" s="65">
        <v>1374</v>
      </c>
      <c r="AE1978" s="17" t="s">
        <v>48</v>
      </c>
    </row>
    <row r="1979" s="17" customFormat="1" hidden="1" spans="1:31">
      <c r="A1979" s="17" t="s">
        <v>34</v>
      </c>
      <c r="B1979" s="19">
        <v>846</v>
      </c>
      <c r="C1979" s="230" t="s">
        <v>761</v>
      </c>
      <c r="D1979" s="17" t="s">
        <v>35</v>
      </c>
      <c r="E1979" s="17" t="s">
        <v>482</v>
      </c>
      <c r="F1979" s="17" t="s">
        <v>72</v>
      </c>
      <c r="H1979" s="19">
        <v>1.2379</v>
      </c>
      <c r="I1979" s="19"/>
      <c r="J1979" s="17" t="s">
        <v>82</v>
      </c>
      <c r="K1979" s="19">
        <v>610</v>
      </c>
      <c r="L1979" s="19">
        <v>50</v>
      </c>
      <c r="M1979" s="19"/>
      <c r="N1979" s="19" t="s">
        <v>40</v>
      </c>
      <c r="O1979" s="19" t="s">
        <v>141</v>
      </c>
      <c r="P1979" s="19">
        <v>2000</v>
      </c>
      <c r="Q1979" s="17">
        <f>966+944</f>
        <v>1910</v>
      </c>
      <c r="R1979" s="17">
        <f t="shared" si="108"/>
        <v>90</v>
      </c>
      <c r="S1979" s="17">
        <f t="shared" si="107"/>
        <v>2535</v>
      </c>
      <c r="T1979" s="19" t="s">
        <v>42</v>
      </c>
      <c r="U1979" s="102" t="s">
        <v>762</v>
      </c>
      <c r="V1979" s="64" t="s">
        <v>748</v>
      </c>
      <c r="W1979" s="17" t="s">
        <v>44</v>
      </c>
      <c r="Y1979" s="68">
        <v>44896</v>
      </c>
      <c r="Z1979" s="17" t="s">
        <v>191</v>
      </c>
      <c r="AA1979" s="17" t="s">
        <v>46</v>
      </c>
      <c r="AB1979" s="17" t="s">
        <v>764</v>
      </c>
      <c r="AC1979" s="217">
        <v>45047</v>
      </c>
      <c r="AD1979" s="65">
        <v>1374</v>
      </c>
      <c r="AE1979" s="17" t="s">
        <v>48</v>
      </c>
    </row>
    <row r="1980" s="17" customFormat="1" hidden="1" spans="1:31">
      <c r="A1980" s="17" t="s">
        <v>34</v>
      </c>
      <c r="B1980" s="19">
        <v>846</v>
      </c>
      <c r="C1980" s="230" t="s">
        <v>761</v>
      </c>
      <c r="D1980" s="17" t="s">
        <v>35</v>
      </c>
      <c r="E1980" s="17" t="s">
        <v>482</v>
      </c>
      <c r="F1980" s="17" t="s">
        <v>72</v>
      </c>
      <c r="H1980" s="19">
        <v>1.2379</v>
      </c>
      <c r="I1980" s="19"/>
      <c r="J1980" s="17" t="s">
        <v>82</v>
      </c>
      <c r="K1980" s="19">
        <v>510</v>
      </c>
      <c r="L1980" s="19">
        <v>65</v>
      </c>
      <c r="M1980" s="19"/>
      <c r="N1980" s="19" t="s">
        <v>40</v>
      </c>
      <c r="O1980" s="19" t="s">
        <v>141</v>
      </c>
      <c r="P1980" s="19">
        <v>3000</v>
      </c>
      <c r="Q1980" s="17">
        <f>1470+1148</f>
        <v>2618</v>
      </c>
      <c r="R1980" s="17">
        <f t="shared" si="108"/>
        <v>382</v>
      </c>
      <c r="S1980" s="17">
        <f t="shared" si="107"/>
        <v>2535</v>
      </c>
      <c r="T1980" s="19" t="s">
        <v>42</v>
      </c>
      <c r="U1980" s="102" t="s">
        <v>762</v>
      </c>
      <c r="V1980" s="64" t="s">
        <v>748</v>
      </c>
      <c r="W1980" s="17" t="s">
        <v>44</v>
      </c>
      <c r="Y1980" s="68">
        <v>44896</v>
      </c>
      <c r="Z1980" s="17" t="s">
        <v>191</v>
      </c>
      <c r="AA1980" s="17" t="s">
        <v>46</v>
      </c>
      <c r="AB1980" s="17" t="s">
        <v>764</v>
      </c>
      <c r="AC1980" s="217">
        <v>45047</v>
      </c>
      <c r="AD1980" s="65">
        <v>1374</v>
      </c>
      <c r="AE1980" s="17" t="s">
        <v>48</v>
      </c>
    </row>
    <row r="1981" s="17" customFormat="1" hidden="1" spans="1:31">
      <c r="A1981" s="17" t="s">
        <v>34</v>
      </c>
      <c r="B1981" s="19">
        <v>846</v>
      </c>
      <c r="C1981" s="230" t="s">
        <v>761</v>
      </c>
      <c r="D1981" s="17" t="s">
        <v>35</v>
      </c>
      <c r="E1981" s="17" t="s">
        <v>482</v>
      </c>
      <c r="F1981" s="17" t="s">
        <v>72</v>
      </c>
      <c r="H1981" s="19">
        <v>1.2379</v>
      </c>
      <c r="I1981" s="19"/>
      <c r="J1981" s="17" t="s">
        <v>82</v>
      </c>
      <c r="K1981" s="19">
        <v>510</v>
      </c>
      <c r="L1981" s="19">
        <v>70</v>
      </c>
      <c r="M1981" s="19"/>
      <c r="N1981" s="19" t="s">
        <v>40</v>
      </c>
      <c r="O1981" s="19" t="s">
        <v>141</v>
      </c>
      <c r="P1981" s="19">
        <v>3000</v>
      </c>
      <c r="Q1981" s="17">
        <f>1142+1110</f>
        <v>2252</v>
      </c>
      <c r="R1981" s="17">
        <f t="shared" si="108"/>
        <v>748</v>
      </c>
      <c r="S1981" s="17">
        <f t="shared" si="107"/>
        <v>2535</v>
      </c>
      <c r="T1981" s="19" t="s">
        <v>42</v>
      </c>
      <c r="U1981" s="102" t="s">
        <v>762</v>
      </c>
      <c r="V1981" s="64" t="s">
        <v>748</v>
      </c>
      <c r="W1981" s="17" t="s">
        <v>44</v>
      </c>
      <c r="Y1981" s="68">
        <v>44896</v>
      </c>
      <c r="Z1981" s="17" t="s">
        <v>191</v>
      </c>
      <c r="AA1981" s="17" t="s">
        <v>46</v>
      </c>
      <c r="AB1981" s="17" t="s">
        <v>764</v>
      </c>
      <c r="AC1981" s="217">
        <v>45047</v>
      </c>
      <c r="AD1981" s="65">
        <v>1374</v>
      </c>
      <c r="AE1981" s="17" t="s">
        <v>48</v>
      </c>
    </row>
    <row r="1982" s="17" customFormat="1" hidden="1" spans="1:31">
      <c r="A1982" s="17" t="s">
        <v>34</v>
      </c>
      <c r="B1982" s="19">
        <v>846</v>
      </c>
      <c r="C1982" s="230" t="s">
        <v>761</v>
      </c>
      <c r="D1982" s="17" t="s">
        <v>35</v>
      </c>
      <c r="E1982" s="17" t="s">
        <v>482</v>
      </c>
      <c r="F1982" s="17" t="s">
        <v>72</v>
      </c>
      <c r="H1982" s="19">
        <v>1.2379</v>
      </c>
      <c r="I1982" s="19"/>
      <c r="J1982" s="17" t="s">
        <v>82</v>
      </c>
      <c r="K1982" s="19">
        <v>510</v>
      </c>
      <c r="L1982" s="19">
        <v>80</v>
      </c>
      <c r="M1982" s="19"/>
      <c r="N1982" s="19" t="s">
        <v>40</v>
      </c>
      <c r="O1982" s="19" t="s">
        <v>141</v>
      </c>
      <c r="P1982" s="19">
        <v>3000</v>
      </c>
      <c r="Q1982" s="17">
        <f>1200+1240</f>
        <v>2440</v>
      </c>
      <c r="R1982" s="17">
        <f t="shared" si="108"/>
        <v>560</v>
      </c>
      <c r="S1982" s="17">
        <f t="shared" si="107"/>
        <v>2535</v>
      </c>
      <c r="T1982" s="19" t="s">
        <v>42</v>
      </c>
      <c r="U1982" s="102" t="s">
        <v>762</v>
      </c>
      <c r="V1982" s="64" t="s">
        <v>748</v>
      </c>
      <c r="W1982" s="17" t="s">
        <v>44</v>
      </c>
      <c r="Y1982" s="68">
        <v>44896</v>
      </c>
      <c r="Z1982" s="17" t="s">
        <v>191</v>
      </c>
      <c r="AA1982" s="17" t="s">
        <v>46</v>
      </c>
      <c r="AB1982" s="17" t="s">
        <v>764</v>
      </c>
      <c r="AC1982" s="217">
        <v>45047</v>
      </c>
      <c r="AD1982" s="65">
        <v>1374</v>
      </c>
      <c r="AE1982" s="17" t="s">
        <v>48</v>
      </c>
    </row>
    <row r="1983" s="17" customFormat="1" hidden="1" spans="1:31">
      <c r="A1983" s="17" t="s">
        <v>34</v>
      </c>
      <c r="B1983" s="19">
        <v>846</v>
      </c>
      <c r="C1983" s="230" t="s">
        <v>761</v>
      </c>
      <c r="D1983" s="17" t="s">
        <v>35</v>
      </c>
      <c r="E1983" s="17" t="s">
        <v>482</v>
      </c>
      <c r="F1983" s="17" t="s">
        <v>72</v>
      </c>
      <c r="H1983" s="19">
        <v>1.2379</v>
      </c>
      <c r="I1983" s="19"/>
      <c r="J1983" s="17" t="s">
        <v>82</v>
      </c>
      <c r="K1983" s="19">
        <v>510</v>
      </c>
      <c r="L1983" s="19">
        <v>105</v>
      </c>
      <c r="M1983" s="19"/>
      <c r="N1983" s="19" t="s">
        <v>40</v>
      </c>
      <c r="O1983" s="19" t="s">
        <v>141</v>
      </c>
      <c r="P1983" s="19">
        <v>3000</v>
      </c>
      <c r="Q1983" s="17">
        <f>1910+1362</f>
        <v>3272</v>
      </c>
      <c r="R1983" s="17">
        <f t="shared" si="108"/>
        <v>-272</v>
      </c>
      <c r="S1983" s="17">
        <f t="shared" si="107"/>
        <v>2535</v>
      </c>
      <c r="T1983" s="19" t="s">
        <v>42</v>
      </c>
      <c r="U1983" s="102" t="s">
        <v>762</v>
      </c>
      <c r="V1983" s="64" t="s">
        <v>748</v>
      </c>
      <c r="W1983" s="17" t="s">
        <v>44</v>
      </c>
      <c r="Y1983" s="68">
        <v>44896</v>
      </c>
      <c r="Z1983" s="17" t="s">
        <v>191</v>
      </c>
      <c r="AA1983" s="17" t="s">
        <v>46</v>
      </c>
      <c r="AB1983" s="17" t="s">
        <v>764</v>
      </c>
      <c r="AC1983" s="217">
        <v>45047</v>
      </c>
      <c r="AD1983" s="65">
        <v>1374</v>
      </c>
      <c r="AE1983" s="17" t="s">
        <v>48</v>
      </c>
    </row>
    <row r="1984" s="17" customFormat="1" hidden="1" spans="1:31">
      <c r="A1984" s="17" t="s">
        <v>34</v>
      </c>
      <c r="B1984" s="19">
        <v>846</v>
      </c>
      <c r="C1984" s="230" t="s">
        <v>761</v>
      </c>
      <c r="D1984" s="17" t="s">
        <v>35</v>
      </c>
      <c r="E1984" s="17" t="s">
        <v>482</v>
      </c>
      <c r="F1984" s="17" t="s">
        <v>72</v>
      </c>
      <c r="H1984" s="19">
        <v>1.2379</v>
      </c>
      <c r="I1984" s="19"/>
      <c r="J1984" s="17" t="s">
        <v>82</v>
      </c>
      <c r="K1984" s="19">
        <v>610</v>
      </c>
      <c r="L1984" s="19">
        <v>105</v>
      </c>
      <c r="M1984" s="19"/>
      <c r="N1984" s="19" t="s">
        <v>40</v>
      </c>
      <c r="O1984" s="19" t="s">
        <v>141</v>
      </c>
      <c r="P1984" s="19">
        <v>3000</v>
      </c>
      <c r="Q1984" s="17">
        <v>2466</v>
      </c>
      <c r="R1984" s="17">
        <f t="shared" si="108"/>
        <v>534</v>
      </c>
      <c r="S1984" s="17">
        <f t="shared" si="107"/>
        <v>2535</v>
      </c>
      <c r="T1984" s="19" t="s">
        <v>42</v>
      </c>
      <c r="U1984" s="102" t="s">
        <v>762</v>
      </c>
      <c r="V1984" s="64" t="s">
        <v>748</v>
      </c>
      <c r="W1984" s="17" t="s">
        <v>44</v>
      </c>
      <c r="Y1984" s="68">
        <v>44896</v>
      </c>
      <c r="Z1984" s="17" t="s">
        <v>191</v>
      </c>
      <c r="AA1984" s="17" t="s">
        <v>46</v>
      </c>
      <c r="AB1984" s="17" t="s">
        <v>764</v>
      </c>
      <c r="AC1984" s="217">
        <v>45047</v>
      </c>
      <c r="AD1984" s="65">
        <v>1374</v>
      </c>
      <c r="AE1984" s="17" t="s">
        <v>48</v>
      </c>
    </row>
    <row r="1985" s="17" customFormat="1" hidden="1" spans="1:35">
      <c r="A1985" s="17" t="s">
        <v>34</v>
      </c>
      <c r="B1985" s="19">
        <v>846</v>
      </c>
      <c r="C1985" s="230" t="s">
        <v>761</v>
      </c>
      <c r="D1985" s="17" t="s">
        <v>35</v>
      </c>
      <c r="E1985" s="17" t="s">
        <v>482</v>
      </c>
      <c r="F1985" s="17" t="s">
        <v>72</v>
      </c>
      <c r="H1985" s="19">
        <v>1.2379</v>
      </c>
      <c r="I1985" s="19"/>
      <c r="J1985" s="17" t="s">
        <v>82</v>
      </c>
      <c r="K1985" s="19">
        <v>510</v>
      </c>
      <c r="L1985" s="19">
        <v>150</v>
      </c>
      <c r="M1985" s="19"/>
      <c r="N1985" s="19" t="s">
        <v>40</v>
      </c>
      <c r="O1985" s="19" t="s">
        <v>141</v>
      </c>
      <c r="P1985" s="19">
        <v>3000</v>
      </c>
      <c r="Q1985" s="22">
        <v>2082</v>
      </c>
      <c r="R1985" s="17">
        <f t="shared" si="108"/>
        <v>918</v>
      </c>
      <c r="S1985" s="17">
        <f>2650-15</f>
        <v>2635</v>
      </c>
      <c r="T1985" s="19" t="s">
        <v>42</v>
      </c>
      <c r="U1985" s="102" t="s">
        <v>762</v>
      </c>
      <c r="V1985" s="64" t="s">
        <v>748</v>
      </c>
      <c r="W1985" s="17" t="s">
        <v>44</v>
      </c>
      <c r="Y1985" s="68">
        <v>44896</v>
      </c>
      <c r="Z1985" s="17" t="s">
        <v>191</v>
      </c>
      <c r="AA1985" s="17" t="s">
        <v>46</v>
      </c>
      <c r="AB1985" s="17" t="s">
        <v>764</v>
      </c>
      <c r="AC1985" s="217">
        <v>45047</v>
      </c>
      <c r="AD1985" s="65">
        <v>1374</v>
      </c>
      <c r="AE1985" s="17" t="s">
        <v>48</v>
      </c>
    </row>
    <row r="1986" s="17" customFormat="1" hidden="1" spans="1:35">
      <c r="A1986" s="17" t="s">
        <v>34</v>
      </c>
      <c r="B1986" s="19">
        <v>846</v>
      </c>
      <c r="C1986" s="230" t="s">
        <v>761</v>
      </c>
      <c r="D1986" s="17" t="s">
        <v>35</v>
      </c>
      <c r="E1986" s="17" t="s">
        <v>482</v>
      </c>
      <c r="F1986" s="17" t="s">
        <v>72</v>
      </c>
      <c r="H1986" s="19">
        <v>1.2379</v>
      </c>
      <c r="I1986" s="19"/>
      <c r="J1986" s="17" t="s">
        <v>82</v>
      </c>
      <c r="K1986" s="19">
        <v>610</v>
      </c>
      <c r="L1986" s="19">
        <v>130</v>
      </c>
      <c r="M1986" s="19"/>
      <c r="N1986" s="19" t="s">
        <v>40</v>
      </c>
      <c r="O1986" s="19" t="s">
        <v>141</v>
      </c>
      <c r="P1986" s="19">
        <v>3000</v>
      </c>
      <c r="Q1986" s="17">
        <v>3012</v>
      </c>
      <c r="R1986" s="17">
        <f t="shared" si="108"/>
        <v>-12</v>
      </c>
      <c r="S1986" s="17">
        <f>2650-15</f>
        <v>2635</v>
      </c>
      <c r="T1986" s="19" t="s">
        <v>42</v>
      </c>
      <c r="U1986" s="102" t="s">
        <v>762</v>
      </c>
      <c r="V1986" s="64" t="s">
        <v>748</v>
      </c>
      <c r="W1986" s="17" t="s">
        <v>44</v>
      </c>
      <c r="Y1986" s="68">
        <v>44896</v>
      </c>
      <c r="Z1986" s="17" t="s">
        <v>191</v>
      </c>
      <c r="AA1986" s="17" t="s">
        <v>46</v>
      </c>
      <c r="AB1986" s="17" t="s">
        <v>650</v>
      </c>
      <c r="AC1986" s="217">
        <v>45141</v>
      </c>
      <c r="AD1986" s="65">
        <v>1398</v>
      </c>
      <c r="AE1986" s="17" t="s">
        <v>48</v>
      </c>
      <c r="AF1986" s="17" t="s">
        <v>765</v>
      </c>
      <c r="AI1986" s="17">
        <v>2760</v>
      </c>
    </row>
    <row r="1987" s="17" customFormat="1" hidden="1" spans="1:35">
      <c r="A1987" s="17" t="s">
        <v>34</v>
      </c>
      <c r="B1987" s="19">
        <v>847</v>
      </c>
      <c r="C1987" s="230" t="s">
        <v>717</v>
      </c>
      <c r="D1987" s="17" t="s">
        <v>52</v>
      </c>
      <c r="E1987" s="17" t="s">
        <v>220</v>
      </c>
      <c r="F1987" s="17" t="s">
        <v>54</v>
      </c>
      <c r="H1987" s="19">
        <v>1.2344</v>
      </c>
      <c r="I1987" s="19"/>
      <c r="J1987" s="17" t="s">
        <v>82</v>
      </c>
      <c r="K1987" s="233">
        <v>255</v>
      </c>
      <c r="L1987" s="91">
        <v>40</v>
      </c>
      <c r="M1987" s="19"/>
      <c r="N1987" s="19" t="s">
        <v>40</v>
      </c>
      <c r="O1987" s="19" t="s">
        <v>168</v>
      </c>
      <c r="P1987" s="91">
        <v>320</v>
      </c>
      <c r="Q1987" s="91">
        <v>247</v>
      </c>
      <c r="R1987" s="17">
        <f t="shared" si="108"/>
        <v>73</v>
      </c>
      <c r="S1987" s="17">
        <v>2150</v>
      </c>
      <c r="T1987" s="19" t="s">
        <v>42</v>
      </c>
      <c r="U1987" s="102" t="s">
        <v>766</v>
      </c>
      <c r="V1987" s="64" t="s">
        <v>767</v>
      </c>
      <c r="W1987" s="17" t="s">
        <v>58</v>
      </c>
      <c r="Y1987" s="68">
        <v>44866</v>
      </c>
      <c r="Z1987" s="17" t="s">
        <v>191</v>
      </c>
      <c r="AA1987" s="17" t="s">
        <v>46</v>
      </c>
      <c r="AB1987" s="17" t="s">
        <v>768</v>
      </c>
      <c r="AC1987" s="67">
        <v>44604</v>
      </c>
      <c r="AD1987" s="65">
        <v>1364</v>
      </c>
      <c r="AE1987" s="17" t="s">
        <v>48</v>
      </c>
      <c r="AF1987" s="17" t="s">
        <v>245</v>
      </c>
    </row>
    <row r="1988" s="17" customFormat="1" hidden="1" spans="1:35">
      <c r="A1988" s="17" t="s">
        <v>34</v>
      </c>
      <c r="B1988" s="19">
        <v>847</v>
      </c>
      <c r="C1988" s="230" t="s">
        <v>717</v>
      </c>
      <c r="D1988" s="17" t="s">
        <v>52</v>
      </c>
      <c r="E1988" s="17" t="s">
        <v>220</v>
      </c>
      <c r="F1988" s="17" t="s">
        <v>54</v>
      </c>
      <c r="H1988" s="19">
        <v>1.2344</v>
      </c>
      <c r="I1988" s="19"/>
      <c r="J1988" s="17" t="s">
        <v>82</v>
      </c>
      <c r="K1988" s="233">
        <v>305</v>
      </c>
      <c r="L1988" s="91">
        <v>40</v>
      </c>
      <c r="M1988" s="19"/>
      <c r="N1988" s="19" t="s">
        <v>40</v>
      </c>
      <c r="O1988" s="19" t="s">
        <v>168</v>
      </c>
      <c r="P1988" s="91">
        <v>383</v>
      </c>
      <c r="Q1988" s="91">
        <v>285</v>
      </c>
      <c r="R1988" s="17">
        <f t="shared" si="108"/>
        <v>98</v>
      </c>
      <c r="S1988" s="17">
        <v>2150</v>
      </c>
      <c r="T1988" s="19" t="s">
        <v>42</v>
      </c>
      <c r="U1988" s="102" t="s">
        <v>766</v>
      </c>
      <c r="V1988" s="64" t="s">
        <v>767</v>
      </c>
      <c r="W1988" s="17" t="s">
        <v>58</v>
      </c>
      <c r="Y1988" s="68">
        <v>44866</v>
      </c>
      <c r="Z1988" s="17" t="s">
        <v>191</v>
      </c>
      <c r="AA1988" s="17" t="s">
        <v>46</v>
      </c>
      <c r="AB1988" s="17" t="s">
        <v>768</v>
      </c>
      <c r="AC1988" s="67">
        <v>44604</v>
      </c>
      <c r="AD1988" s="65">
        <v>1364</v>
      </c>
      <c r="AE1988" s="17" t="s">
        <v>48</v>
      </c>
      <c r="AF1988" s="17" t="s">
        <v>245</v>
      </c>
    </row>
    <row r="1989" s="17" customFormat="1" hidden="1" spans="1:35">
      <c r="A1989" s="17" t="s">
        <v>34</v>
      </c>
      <c r="B1989" s="19">
        <v>847</v>
      </c>
      <c r="C1989" s="230" t="s">
        <v>717</v>
      </c>
      <c r="D1989" s="17" t="s">
        <v>52</v>
      </c>
      <c r="E1989" s="17" t="s">
        <v>220</v>
      </c>
      <c r="F1989" s="17" t="s">
        <v>54</v>
      </c>
      <c r="H1989" s="19">
        <v>1.2344</v>
      </c>
      <c r="I1989" s="19"/>
      <c r="J1989" s="17" t="s">
        <v>82</v>
      </c>
      <c r="K1989" s="19">
        <v>405</v>
      </c>
      <c r="L1989" s="19">
        <v>41</v>
      </c>
      <c r="M1989" s="19"/>
      <c r="N1989" s="19" t="s">
        <v>40</v>
      </c>
      <c r="O1989" s="19" t="s">
        <v>168</v>
      </c>
      <c r="P1989" s="19">
        <v>1043</v>
      </c>
      <c r="Q1989" s="19">
        <v>771</v>
      </c>
      <c r="R1989" s="17">
        <f t="shared" si="108"/>
        <v>272</v>
      </c>
      <c r="S1989" s="17">
        <v>2150</v>
      </c>
      <c r="T1989" s="19" t="s">
        <v>42</v>
      </c>
      <c r="U1989" s="102" t="s">
        <v>766</v>
      </c>
      <c r="V1989" s="64" t="s">
        <v>767</v>
      </c>
      <c r="W1989" s="17" t="s">
        <v>58</v>
      </c>
      <c r="Y1989" s="68">
        <v>44866</v>
      </c>
      <c r="Z1989" s="17" t="s">
        <v>191</v>
      </c>
      <c r="AA1989" s="17" t="s">
        <v>46</v>
      </c>
      <c r="AB1989" s="17" t="s">
        <v>768</v>
      </c>
      <c r="AC1989" s="67">
        <v>44604</v>
      </c>
      <c r="AD1989" s="65">
        <v>1364</v>
      </c>
      <c r="AE1989" s="17" t="s">
        <v>48</v>
      </c>
      <c r="AF1989" s="17" t="s">
        <v>245</v>
      </c>
    </row>
    <row r="1990" s="17" customFormat="1" hidden="1" spans="1:35">
      <c r="A1990" s="17" t="s">
        <v>34</v>
      </c>
      <c r="B1990" s="19">
        <v>847</v>
      </c>
      <c r="C1990" s="230" t="s">
        <v>717</v>
      </c>
      <c r="D1990" s="17" t="s">
        <v>52</v>
      </c>
      <c r="E1990" s="17" t="s">
        <v>220</v>
      </c>
      <c r="F1990" s="17" t="s">
        <v>54</v>
      </c>
      <c r="H1990" s="19">
        <v>1.2344</v>
      </c>
      <c r="I1990" s="19"/>
      <c r="J1990" s="17" t="s">
        <v>82</v>
      </c>
      <c r="K1990" s="19">
        <v>255</v>
      </c>
      <c r="L1990" s="19">
        <v>50</v>
      </c>
      <c r="M1990" s="19"/>
      <c r="N1990" s="19" t="s">
        <v>40</v>
      </c>
      <c r="O1990" s="19" t="s">
        <v>168</v>
      </c>
      <c r="P1990" s="19">
        <v>400</v>
      </c>
      <c r="Q1990" s="19">
        <v>296</v>
      </c>
      <c r="R1990" s="17">
        <f t="shared" si="108"/>
        <v>104</v>
      </c>
      <c r="S1990" s="17">
        <v>2150</v>
      </c>
      <c r="T1990" s="19" t="s">
        <v>42</v>
      </c>
      <c r="U1990" s="102" t="s">
        <v>766</v>
      </c>
      <c r="V1990" s="64" t="s">
        <v>767</v>
      </c>
      <c r="W1990" s="17" t="s">
        <v>58</v>
      </c>
      <c r="Y1990" s="68">
        <v>44866</v>
      </c>
      <c r="Z1990" s="17" t="s">
        <v>191</v>
      </c>
      <c r="AA1990" s="17" t="s">
        <v>46</v>
      </c>
      <c r="AB1990" s="17" t="s">
        <v>768</v>
      </c>
      <c r="AC1990" s="67">
        <v>44604</v>
      </c>
      <c r="AD1990" s="65">
        <v>1364</v>
      </c>
      <c r="AE1990" s="17" t="s">
        <v>48</v>
      </c>
      <c r="AF1990" s="17" t="s">
        <v>245</v>
      </c>
    </row>
    <row r="1991" s="17" customFormat="1" hidden="1" spans="1:35">
      <c r="A1991" s="17" t="s">
        <v>34</v>
      </c>
      <c r="B1991" s="19">
        <v>847</v>
      </c>
      <c r="C1991" s="230" t="s">
        <v>717</v>
      </c>
      <c r="D1991" s="17" t="s">
        <v>52</v>
      </c>
      <c r="E1991" s="17" t="s">
        <v>220</v>
      </c>
      <c r="F1991" s="17" t="s">
        <v>54</v>
      </c>
      <c r="H1991" s="19">
        <v>1.2344</v>
      </c>
      <c r="I1991" s="19"/>
      <c r="J1991" s="17" t="s">
        <v>82</v>
      </c>
      <c r="K1991" s="19">
        <v>305</v>
      </c>
      <c r="L1991" s="19">
        <v>50</v>
      </c>
      <c r="M1991" s="19"/>
      <c r="N1991" s="19" t="s">
        <v>40</v>
      </c>
      <c r="O1991" s="19" t="s">
        <v>168</v>
      </c>
      <c r="P1991" s="19">
        <v>479</v>
      </c>
      <c r="Q1991" s="19">
        <v>316</v>
      </c>
      <c r="R1991" s="17">
        <f t="shared" si="108"/>
        <v>163</v>
      </c>
      <c r="S1991" s="17">
        <v>2150</v>
      </c>
      <c r="T1991" s="19" t="s">
        <v>42</v>
      </c>
      <c r="U1991" s="102" t="s">
        <v>766</v>
      </c>
      <c r="V1991" s="64" t="s">
        <v>767</v>
      </c>
      <c r="W1991" s="17" t="s">
        <v>58</v>
      </c>
      <c r="Y1991" s="68">
        <v>44866</v>
      </c>
      <c r="Z1991" s="17" t="s">
        <v>191</v>
      </c>
      <c r="AA1991" s="17" t="s">
        <v>46</v>
      </c>
      <c r="AB1991" s="17" t="s">
        <v>768</v>
      </c>
      <c r="AC1991" s="67">
        <v>44604</v>
      </c>
      <c r="AD1991" s="65">
        <v>1364</v>
      </c>
      <c r="AE1991" s="17" t="s">
        <v>48</v>
      </c>
      <c r="AF1991" s="17" t="s">
        <v>245</v>
      </c>
    </row>
    <row r="1992" s="17" customFormat="1" hidden="1" spans="1:35">
      <c r="A1992" s="17" t="s">
        <v>34</v>
      </c>
      <c r="B1992" s="19">
        <v>847</v>
      </c>
      <c r="C1992" s="230" t="s">
        <v>717</v>
      </c>
      <c r="D1992" s="17" t="s">
        <v>52</v>
      </c>
      <c r="E1992" s="17" t="s">
        <v>220</v>
      </c>
      <c r="F1992" s="17" t="s">
        <v>54</v>
      </c>
      <c r="H1992" s="19">
        <v>1.2344</v>
      </c>
      <c r="I1992" s="19"/>
      <c r="J1992" s="17" t="s">
        <v>82</v>
      </c>
      <c r="K1992" s="19">
        <v>510</v>
      </c>
      <c r="L1992" s="19">
        <v>51</v>
      </c>
      <c r="M1992" s="19"/>
      <c r="N1992" s="19" t="s">
        <v>40</v>
      </c>
      <c r="O1992" s="19" t="s">
        <v>168</v>
      </c>
      <c r="P1992" s="19">
        <v>817</v>
      </c>
      <c r="Q1992" s="19">
        <v>885</v>
      </c>
      <c r="R1992" s="17">
        <f t="shared" si="108"/>
        <v>-68</v>
      </c>
      <c r="S1992" s="17">
        <v>2150</v>
      </c>
      <c r="T1992" s="19" t="s">
        <v>42</v>
      </c>
      <c r="U1992" s="102" t="s">
        <v>766</v>
      </c>
      <c r="V1992" s="64" t="s">
        <v>767</v>
      </c>
      <c r="W1992" s="17" t="s">
        <v>58</v>
      </c>
      <c r="Y1992" s="68">
        <v>44866</v>
      </c>
      <c r="Z1992" s="17" t="s">
        <v>191</v>
      </c>
      <c r="AA1992" s="17" t="s">
        <v>46</v>
      </c>
      <c r="AB1992" s="17" t="s">
        <v>768</v>
      </c>
      <c r="AC1992" s="67">
        <v>44604</v>
      </c>
      <c r="AD1992" s="65">
        <v>1364</v>
      </c>
      <c r="AE1992" s="17" t="s">
        <v>48</v>
      </c>
      <c r="AF1992" s="17" t="s">
        <v>245</v>
      </c>
    </row>
    <row r="1993" s="17" customFormat="1" hidden="1" spans="1:35">
      <c r="A1993" s="17" t="s">
        <v>34</v>
      </c>
      <c r="B1993" s="19">
        <v>847</v>
      </c>
      <c r="C1993" s="230" t="s">
        <v>717</v>
      </c>
      <c r="D1993" s="17" t="s">
        <v>52</v>
      </c>
      <c r="E1993" s="17" t="s">
        <v>220</v>
      </c>
      <c r="F1993" s="17" t="s">
        <v>54</v>
      </c>
      <c r="H1993" s="19">
        <v>1.2344</v>
      </c>
      <c r="I1993" s="19"/>
      <c r="J1993" s="17" t="s">
        <v>82</v>
      </c>
      <c r="K1993" s="19">
        <v>610</v>
      </c>
      <c r="L1993" s="19">
        <v>51</v>
      </c>
      <c r="M1993" s="19"/>
      <c r="N1993" s="19" t="s">
        <v>40</v>
      </c>
      <c r="O1993" s="19" t="s">
        <v>168</v>
      </c>
      <c r="P1993" s="19">
        <v>977</v>
      </c>
      <c r="Q1993" s="19">
        <v>996</v>
      </c>
      <c r="R1993" s="17">
        <f t="shared" si="108"/>
        <v>-19</v>
      </c>
      <c r="S1993" s="17">
        <v>2150</v>
      </c>
      <c r="T1993" s="19" t="s">
        <v>42</v>
      </c>
      <c r="U1993" s="102" t="s">
        <v>766</v>
      </c>
      <c r="V1993" s="64" t="s">
        <v>767</v>
      </c>
      <c r="W1993" s="17" t="s">
        <v>58</v>
      </c>
      <c r="Y1993" s="68">
        <v>44866</v>
      </c>
      <c r="Z1993" s="17" t="s">
        <v>191</v>
      </c>
      <c r="AA1993" s="17" t="s">
        <v>46</v>
      </c>
      <c r="AB1993" s="17" t="s">
        <v>768</v>
      </c>
      <c r="AC1993" s="67">
        <v>44604</v>
      </c>
      <c r="AD1993" s="65">
        <v>1364</v>
      </c>
      <c r="AE1993" s="17" t="s">
        <v>48</v>
      </c>
      <c r="AF1993" s="17" t="s">
        <v>245</v>
      </c>
    </row>
    <row r="1994" s="17" customFormat="1" hidden="1" spans="1:35">
      <c r="A1994" s="17" t="s">
        <v>34</v>
      </c>
      <c r="B1994" s="19">
        <v>847</v>
      </c>
      <c r="C1994" s="230" t="s">
        <v>717</v>
      </c>
      <c r="D1994" s="17" t="s">
        <v>52</v>
      </c>
      <c r="E1994" s="17" t="s">
        <v>220</v>
      </c>
      <c r="F1994" s="17" t="s">
        <v>54</v>
      </c>
      <c r="H1994" s="19">
        <v>1.2344</v>
      </c>
      <c r="I1994" s="19"/>
      <c r="J1994" s="17" t="s">
        <v>82</v>
      </c>
      <c r="K1994" s="19">
        <v>255</v>
      </c>
      <c r="L1994" s="19">
        <v>65</v>
      </c>
      <c r="M1994" s="19"/>
      <c r="N1994" s="19" t="s">
        <v>40</v>
      </c>
      <c r="O1994" s="19" t="s">
        <v>168</v>
      </c>
      <c r="P1994" s="19">
        <v>1041</v>
      </c>
      <c r="Q1994" s="19">
        <v>782</v>
      </c>
      <c r="R1994" s="17">
        <f t="shared" si="108"/>
        <v>259</v>
      </c>
      <c r="S1994" s="17">
        <v>2150</v>
      </c>
      <c r="T1994" s="19" t="s">
        <v>42</v>
      </c>
      <c r="U1994" s="102" t="s">
        <v>766</v>
      </c>
      <c r="V1994" s="64" t="s">
        <v>767</v>
      </c>
      <c r="W1994" s="17" t="s">
        <v>58</v>
      </c>
      <c r="Y1994" s="68">
        <v>44866</v>
      </c>
      <c r="Z1994" s="17" t="s">
        <v>191</v>
      </c>
      <c r="AA1994" s="17" t="s">
        <v>46</v>
      </c>
      <c r="AB1994" s="17" t="s">
        <v>768</v>
      </c>
      <c r="AC1994" s="67">
        <v>44604</v>
      </c>
      <c r="AD1994" s="65">
        <v>1364</v>
      </c>
      <c r="AE1994" s="17" t="s">
        <v>48</v>
      </c>
      <c r="AF1994" s="17" t="s">
        <v>245</v>
      </c>
    </row>
    <row r="1995" s="17" customFormat="1" hidden="1" spans="1:35">
      <c r="A1995" s="17" t="s">
        <v>34</v>
      </c>
      <c r="B1995" s="19">
        <v>847</v>
      </c>
      <c r="C1995" s="230" t="s">
        <v>717</v>
      </c>
      <c r="D1995" s="17" t="s">
        <v>52</v>
      </c>
      <c r="E1995" s="17" t="s">
        <v>220</v>
      </c>
      <c r="F1995" s="17" t="s">
        <v>54</v>
      </c>
      <c r="H1995" s="19">
        <v>1.2344</v>
      </c>
      <c r="I1995" s="19"/>
      <c r="J1995" s="17" t="s">
        <v>82</v>
      </c>
      <c r="K1995" s="19">
        <v>305</v>
      </c>
      <c r="L1995" s="19">
        <v>65</v>
      </c>
      <c r="M1995" s="19"/>
      <c r="N1995" s="19" t="s">
        <v>40</v>
      </c>
      <c r="O1995" s="19" t="s">
        <v>168</v>
      </c>
      <c r="P1995" s="19">
        <v>1245</v>
      </c>
      <c r="Q1995" s="19">
        <v>655</v>
      </c>
      <c r="R1995" s="17">
        <f t="shared" si="108"/>
        <v>590</v>
      </c>
      <c r="S1995" s="17">
        <v>2150</v>
      </c>
      <c r="T1995" s="19" t="s">
        <v>42</v>
      </c>
      <c r="U1995" s="102" t="s">
        <v>766</v>
      </c>
      <c r="V1995" s="64" t="s">
        <v>767</v>
      </c>
      <c r="W1995" s="17" t="s">
        <v>58</v>
      </c>
      <c r="Y1995" s="68">
        <v>44866</v>
      </c>
      <c r="Z1995" s="17" t="s">
        <v>191</v>
      </c>
      <c r="AA1995" s="17" t="s">
        <v>46</v>
      </c>
      <c r="AB1995" s="17" t="s">
        <v>768</v>
      </c>
      <c r="AC1995" s="67">
        <v>44604</v>
      </c>
      <c r="AD1995" s="65">
        <v>1364</v>
      </c>
      <c r="AE1995" s="17" t="s">
        <v>48</v>
      </c>
      <c r="AF1995" s="17" t="s">
        <v>245</v>
      </c>
    </row>
    <row r="1996" s="17" customFormat="1" hidden="1" spans="1:35">
      <c r="A1996" s="17" t="s">
        <v>34</v>
      </c>
      <c r="B1996" s="19">
        <v>847</v>
      </c>
      <c r="C1996" s="230" t="s">
        <v>717</v>
      </c>
      <c r="D1996" s="17" t="s">
        <v>52</v>
      </c>
      <c r="E1996" s="17" t="s">
        <v>220</v>
      </c>
      <c r="F1996" s="17" t="s">
        <v>54</v>
      </c>
      <c r="H1996" s="19">
        <v>1.2344</v>
      </c>
      <c r="I1996" s="19"/>
      <c r="J1996" s="17" t="s">
        <v>82</v>
      </c>
      <c r="K1996" s="19">
        <v>405</v>
      </c>
      <c r="L1996" s="19">
        <v>65</v>
      </c>
      <c r="M1996" s="19"/>
      <c r="N1996" s="19" t="s">
        <v>40</v>
      </c>
      <c r="O1996" s="19" t="s">
        <v>168</v>
      </c>
      <c r="P1996" s="19">
        <v>827</v>
      </c>
      <c r="Q1996" s="19">
        <v>895</v>
      </c>
      <c r="R1996" s="17">
        <f t="shared" si="108"/>
        <v>-68</v>
      </c>
      <c r="S1996" s="17">
        <v>2150</v>
      </c>
      <c r="T1996" s="19" t="s">
        <v>42</v>
      </c>
      <c r="U1996" s="102" t="s">
        <v>766</v>
      </c>
      <c r="V1996" s="64" t="s">
        <v>767</v>
      </c>
      <c r="W1996" s="17" t="s">
        <v>58</v>
      </c>
      <c r="Y1996" s="68">
        <v>44866</v>
      </c>
      <c r="Z1996" s="17" t="s">
        <v>191</v>
      </c>
      <c r="AA1996" s="17" t="s">
        <v>46</v>
      </c>
      <c r="AB1996" s="17" t="s">
        <v>768</v>
      </c>
      <c r="AC1996" s="67">
        <v>44604</v>
      </c>
      <c r="AD1996" s="65">
        <v>1364</v>
      </c>
      <c r="AE1996" s="17" t="s">
        <v>48</v>
      </c>
      <c r="AF1996" s="17" t="s">
        <v>245</v>
      </c>
    </row>
    <row r="1997" s="17" customFormat="1" hidden="1" spans="1:35">
      <c r="A1997" s="17" t="s">
        <v>34</v>
      </c>
      <c r="B1997" s="19">
        <v>847</v>
      </c>
      <c r="C1997" s="230" t="s">
        <v>717</v>
      </c>
      <c r="D1997" s="17" t="s">
        <v>52</v>
      </c>
      <c r="E1997" s="17" t="s">
        <v>220</v>
      </c>
      <c r="F1997" s="17" t="s">
        <v>54</v>
      </c>
      <c r="H1997" s="19">
        <v>1.2344</v>
      </c>
      <c r="I1997" s="19"/>
      <c r="J1997" s="17" t="s">
        <v>82</v>
      </c>
      <c r="K1997" s="19">
        <v>510</v>
      </c>
      <c r="L1997" s="19">
        <v>65</v>
      </c>
      <c r="M1997" s="19"/>
      <c r="N1997" s="19" t="s">
        <v>40</v>
      </c>
      <c r="O1997" s="19" t="s">
        <v>168</v>
      </c>
      <c r="P1997" s="19">
        <v>1041</v>
      </c>
      <c r="Q1997" s="19">
        <v>1020</v>
      </c>
      <c r="R1997" s="17">
        <f t="shared" si="108"/>
        <v>21</v>
      </c>
      <c r="S1997" s="17">
        <v>2150</v>
      </c>
      <c r="T1997" s="19" t="s">
        <v>42</v>
      </c>
      <c r="U1997" s="102" t="s">
        <v>766</v>
      </c>
      <c r="V1997" s="64" t="s">
        <v>767</v>
      </c>
      <c r="W1997" s="17" t="s">
        <v>58</v>
      </c>
      <c r="Y1997" s="68">
        <v>44866</v>
      </c>
      <c r="Z1997" s="17" t="s">
        <v>191</v>
      </c>
      <c r="AA1997" s="17" t="s">
        <v>46</v>
      </c>
      <c r="AB1997" s="17" t="s">
        <v>768</v>
      </c>
      <c r="AC1997" s="67">
        <v>44604</v>
      </c>
      <c r="AD1997" s="65">
        <v>1364</v>
      </c>
      <c r="AE1997" s="17" t="s">
        <v>48</v>
      </c>
      <c r="AF1997" s="17" t="s">
        <v>245</v>
      </c>
    </row>
    <row r="1998" s="17" customFormat="1" hidden="1" spans="1:35">
      <c r="A1998" s="17" t="s">
        <v>34</v>
      </c>
      <c r="B1998" s="19">
        <v>847</v>
      </c>
      <c r="C1998" s="230" t="s">
        <v>717</v>
      </c>
      <c r="D1998" s="17" t="s">
        <v>52</v>
      </c>
      <c r="E1998" s="17" t="s">
        <v>220</v>
      </c>
      <c r="F1998" s="17" t="s">
        <v>54</v>
      </c>
      <c r="H1998" s="19">
        <v>1.2344</v>
      </c>
      <c r="I1998" s="19"/>
      <c r="J1998" s="17" t="s">
        <v>82</v>
      </c>
      <c r="K1998" s="19">
        <v>610</v>
      </c>
      <c r="L1998" s="19">
        <v>65</v>
      </c>
      <c r="M1998" s="19"/>
      <c r="N1998" s="19" t="s">
        <v>40</v>
      </c>
      <c r="O1998" s="19" t="s">
        <v>168</v>
      </c>
      <c r="P1998" s="19">
        <v>1245</v>
      </c>
      <c r="Q1998" s="19">
        <v>995</v>
      </c>
      <c r="R1998" s="17">
        <f t="shared" si="108"/>
        <v>250</v>
      </c>
      <c r="S1998" s="17">
        <v>2150</v>
      </c>
      <c r="T1998" s="19" t="s">
        <v>42</v>
      </c>
      <c r="U1998" s="102" t="s">
        <v>766</v>
      </c>
      <c r="V1998" s="64" t="s">
        <v>767</v>
      </c>
      <c r="W1998" s="17" t="s">
        <v>58</v>
      </c>
      <c r="Y1998" s="68">
        <v>44866</v>
      </c>
      <c r="Z1998" s="17" t="s">
        <v>191</v>
      </c>
      <c r="AA1998" s="17" t="s">
        <v>46</v>
      </c>
      <c r="AB1998" s="17" t="s">
        <v>768</v>
      </c>
      <c r="AC1998" s="67">
        <v>44604</v>
      </c>
      <c r="AD1998" s="65">
        <v>1364</v>
      </c>
      <c r="AE1998" s="17" t="s">
        <v>48</v>
      </c>
      <c r="AF1998" s="17" t="s">
        <v>245</v>
      </c>
    </row>
    <row r="1999" s="17" customFormat="1" hidden="1" spans="1:35">
      <c r="A1999" s="17" t="s">
        <v>34</v>
      </c>
      <c r="B1999" s="19">
        <v>847</v>
      </c>
      <c r="C1999" s="230" t="s">
        <v>717</v>
      </c>
      <c r="D1999" s="17" t="s">
        <v>52</v>
      </c>
      <c r="E1999" s="17" t="s">
        <v>220</v>
      </c>
      <c r="F1999" s="17" t="s">
        <v>54</v>
      </c>
      <c r="H1999" s="19">
        <v>1.2344</v>
      </c>
      <c r="I1999" s="19"/>
      <c r="J1999" s="17" t="s">
        <v>82</v>
      </c>
      <c r="K1999" s="19">
        <v>510</v>
      </c>
      <c r="L1999" s="19">
        <v>80</v>
      </c>
      <c r="M1999" s="19"/>
      <c r="N1999" s="19" t="s">
        <v>40</v>
      </c>
      <c r="O1999" s="19" t="s">
        <v>168</v>
      </c>
      <c r="P1999" s="19">
        <v>1281</v>
      </c>
      <c r="Q1999" s="19">
        <v>1623</v>
      </c>
      <c r="R1999" s="17">
        <f t="shared" si="108"/>
        <v>-342</v>
      </c>
      <c r="S1999" s="17">
        <v>2150</v>
      </c>
      <c r="T1999" s="19" t="s">
        <v>42</v>
      </c>
      <c r="U1999" s="102" t="s">
        <v>766</v>
      </c>
      <c r="V1999" s="64" t="s">
        <v>767</v>
      </c>
      <c r="W1999" s="17" t="s">
        <v>58</v>
      </c>
      <c r="Y1999" s="68">
        <v>44866</v>
      </c>
      <c r="Z1999" s="17" t="s">
        <v>191</v>
      </c>
      <c r="AA1999" s="17" t="s">
        <v>46</v>
      </c>
      <c r="AB1999" s="17" t="s">
        <v>768</v>
      </c>
      <c r="AC1999" s="67">
        <v>44604</v>
      </c>
      <c r="AD1999" s="65">
        <v>1364</v>
      </c>
      <c r="AE1999" s="17" t="s">
        <v>48</v>
      </c>
      <c r="AF1999" s="17" t="s">
        <v>245</v>
      </c>
    </row>
    <row r="2000" s="17" customFormat="1" hidden="1" spans="1:35">
      <c r="A2000" s="17" t="s">
        <v>34</v>
      </c>
      <c r="B2000" s="19">
        <v>847</v>
      </c>
      <c r="C2000" s="230" t="s">
        <v>717</v>
      </c>
      <c r="D2000" s="17" t="s">
        <v>52</v>
      </c>
      <c r="E2000" s="17" t="s">
        <v>220</v>
      </c>
      <c r="F2000" s="17" t="s">
        <v>54</v>
      </c>
      <c r="H2000" s="19">
        <v>1.2344</v>
      </c>
      <c r="I2000" s="19"/>
      <c r="J2000" s="17" t="s">
        <v>82</v>
      </c>
      <c r="K2000" s="19">
        <v>610</v>
      </c>
      <c r="L2000" s="19">
        <v>80</v>
      </c>
      <c r="M2000" s="19"/>
      <c r="N2000" s="19" t="s">
        <v>40</v>
      </c>
      <c r="O2000" s="19" t="s">
        <v>168</v>
      </c>
      <c r="P2000" s="19">
        <v>1532</v>
      </c>
      <c r="Q2000" s="19">
        <v>1481</v>
      </c>
      <c r="R2000" s="17">
        <f t="shared" si="108"/>
        <v>51</v>
      </c>
      <c r="S2000" s="17">
        <v>2150</v>
      </c>
      <c r="T2000" s="19" t="s">
        <v>42</v>
      </c>
      <c r="U2000" s="102" t="s">
        <v>766</v>
      </c>
      <c r="V2000" s="64" t="s">
        <v>767</v>
      </c>
      <c r="W2000" s="17" t="s">
        <v>58</v>
      </c>
      <c r="Y2000" s="68">
        <v>44866</v>
      </c>
      <c r="Z2000" s="17" t="s">
        <v>191</v>
      </c>
      <c r="AA2000" s="17" t="s">
        <v>46</v>
      </c>
      <c r="AB2000" s="17" t="s">
        <v>768</v>
      </c>
      <c r="AC2000" s="67">
        <v>44604</v>
      </c>
      <c r="AD2000" s="65">
        <v>1364</v>
      </c>
      <c r="AE2000" s="17" t="s">
        <v>48</v>
      </c>
      <c r="AF2000" s="17" t="s">
        <v>245</v>
      </c>
    </row>
    <row r="2001" s="17" customFormat="1" hidden="1" spans="1:32">
      <c r="A2001" s="17" t="s">
        <v>34</v>
      </c>
      <c r="B2001" s="19">
        <v>847</v>
      </c>
      <c r="C2001" s="230" t="s">
        <v>717</v>
      </c>
      <c r="D2001" s="17" t="s">
        <v>52</v>
      </c>
      <c r="E2001" s="17" t="s">
        <v>220</v>
      </c>
      <c r="F2001" s="17" t="s">
        <v>54</v>
      </c>
      <c r="H2001" s="19">
        <v>1.2344</v>
      </c>
      <c r="I2001" s="19"/>
      <c r="J2001" s="17" t="s">
        <v>82</v>
      </c>
      <c r="K2001" s="19">
        <v>510</v>
      </c>
      <c r="L2001" s="19">
        <v>105</v>
      </c>
      <c r="M2001" s="19"/>
      <c r="N2001" s="19" t="s">
        <v>40</v>
      </c>
      <c r="O2001" s="19" t="s">
        <v>168</v>
      </c>
      <c r="P2001" s="19">
        <v>1681</v>
      </c>
      <c r="Q2001" s="19">
        <v>1874</v>
      </c>
      <c r="R2001" s="17">
        <f t="shared" si="108"/>
        <v>-193</v>
      </c>
      <c r="S2001" s="17">
        <v>2150</v>
      </c>
      <c r="T2001" s="19" t="s">
        <v>42</v>
      </c>
      <c r="U2001" s="102" t="s">
        <v>766</v>
      </c>
      <c r="V2001" s="64" t="s">
        <v>767</v>
      </c>
      <c r="W2001" s="17" t="s">
        <v>58</v>
      </c>
      <c r="Y2001" s="68">
        <v>44866</v>
      </c>
      <c r="Z2001" s="17" t="s">
        <v>191</v>
      </c>
      <c r="AA2001" s="17" t="s">
        <v>46</v>
      </c>
      <c r="AB2001" s="17" t="s">
        <v>768</v>
      </c>
      <c r="AC2001" s="67">
        <v>44604</v>
      </c>
      <c r="AD2001" s="65">
        <v>1364</v>
      </c>
      <c r="AE2001" s="17" t="s">
        <v>48</v>
      </c>
      <c r="AF2001" s="17" t="s">
        <v>245</v>
      </c>
    </row>
    <row r="2002" s="17" customFormat="1" hidden="1" spans="1:32">
      <c r="A2002" s="17" t="s">
        <v>34</v>
      </c>
      <c r="B2002" s="19">
        <v>847</v>
      </c>
      <c r="C2002" s="230" t="s">
        <v>717</v>
      </c>
      <c r="D2002" s="17" t="s">
        <v>52</v>
      </c>
      <c r="E2002" s="17" t="s">
        <v>220</v>
      </c>
      <c r="F2002" s="17" t="s">
        <v>54</v>
      </c>
      <c r="H2002" s="19">
        <v>1.2344</v>
      </c>
      <c r="I2002" s="19"/>
      <c r="J2002" s="17" t="s">
        <v>82</v>
      </c>
      <c r="K2002" s="19">
        <v>510</v>
      </c>
      <c r="L2002" s="19">
        <v>130</v>
      </c>
      <c r="M2002" s="19"/>
      <c r="N2002" s="19" t="s">
        <v>40</v>
      </c>
      <c r="O2002" s="19" t="s">
        <v>168</v>
      </c>
      <c r="P2002" s="19">
        <v>2082</v>
      </c>
      <c r="Q2002" s="19">
        <v>1914</v>
      </c>
      <c r="R2002" s="17">
        <f t="shared" si="108"/>
        <v>168</v>
      </c>
      <c r="S2002" s="17">
        <v>2150</v>
      </c>
      <c r="T2002" s="19" t="s">
        <v>42</v>
      </c>
      <c r="U2002" s="102" t="s">
        <v>766</v>
      </c>
      <c r="V2002" s="64" t="s">
        <v>767</v>
      </c>
      <c r="W2002" s="17" t="s">
        <v>58</v>
      </c>
      <c r="Y2002" s="68">
        <v>44866</v>
      </c>
      <c r="Z2002" s="17" t="s">
        <v>191</v>
      </c>
      <c r="AA2002" s="17" t="s">
        <v>46</v>
      </c>
      <c r="AB2002" s="17" t="s">
        <v>768</v>
      </c>
      <c r="AC2002" s="67">
        <v>44604</v>
      </c>
      <c r="AD2002" s="65">
        <v>1364</v>
      </c>
      <c r="AE2002" s="17" t="s">
        <v>48</v>
      </c>
      <c r="AF2002" s="17" t="s">
        <v>245</v>
      </c>
    </row>
    <row r="2003" s="17" customFormat="1" hidden="1" spans="1:32">
      <c r="A2003" s="17" t="s">
        <v>34</v>
      </c>
      <c r="B2003" s="19">
        <v>847</v>
      </c>
      <c r="C2003" s="230" t="s">
        <v>717</v>
      </c>
      <c r="D2003" s="17" t="s">
        <v>52</v>
      </c>
      <c r="E2003" s="17" t="s">
        <v>220</v>
      </c>
      <c r="F2003" s="17" t="s">
        <v>54</v>
      </c>
      <c r="H2003" s="19">
        <v>1.2344</v>
      </c>
      <c r="I2003" s="19"/>
      <c r="J2003" s="17" t="s">
        <v>82</v>
      </c>
      <c r="K2003" s="19">
        <v>510</v>
      </c>
      <c r="L2003" s="19">
        <v>155</v>
      </c>
      <c r="M2003" s="19"/>
      <c r="N2003" s="19" t="s">
        <v>40</v>
      </c>
      <c r="O2003" s="19" t="s">
        <v>168</v>
      </c>
      <c r="P2003" s="19">
        <v>2482</v>
      </c>
      <c r="Q2003" s="19">
        <v>2647</v>
      </c>
      <c r="R2003" s="17">
        <f t="shared" si="108"/>
        <v>-165</v>
      </c>
      <c r="S2003" s="17">
        <v>2150</v>
      </c>
      <c r="T2003" s="19" t="s">
        <v>42</v>
      </c>
      <c r="U2003" s="102" t="s">
        <v>766</v>
      </c>
      <c r="V2003" s="64" t="s">
        <v>767</v>
      </c>
      <c r="W2003" s="17" t="s">
        <v>58</v>
      </c>
      <c r="Y2003" s="68">
        <v>44866</v>
      </c>
      <c r="Z2003" s="17" t="s">
        <v>191</v>
      </c>
      <c r="AA2003" s="17" t="s">
        <v>46</v>
      </c>
      <c r="AB2003" s="17" t="s">
        <v>768</v>
      </c>
      <c r="AC2003" s="67">
        <v>44604</v>
      </c>
      <c r="AD2003" s="65">
        <v>1364</v>
      </c>
      <c r="AE2003" s="17" t="s">
        <v>48</v>
      </c>
      <c r="AF2003" s="17" t="s">
        <v>245</v>
      </c>
    </row>
    <row r="2004" s="17" customFormat="1" hidden="1" spans="1:32">
      <c r="A2004" s="17" t="s">
        <v>34</v>
      </c>
      <c r="B2004" s="19">
        <v>847</v>
      </c>
      <c r="C2004" s="230" t="s">
        <v>717</v>
      </c>
      <c r="D2004" s="17" t="s">
        <v>52</v>
      </c>
      <c r="E2004" s="17" t="s">
        <v>220</v>
      </c>
      <c r="F2004" s="17" t="s">
        <v>54</v>
      </c>
      <c r="H2004" s="19">
        <v>1.2344</v>
      </c>
      <c r="I2004" s="19"/>
      <c r="J2004" s="17" t="s">
        <v>82</v>
      </c>
      <c r="K2004" s="19">
        <v>610</v>
      </c>
      <c r="L2004" s="19">
        <v>180</v>
      </c>
      <c r="M2004" s="19"/>
      <c r="N2004" s="19" t="s">
        <v>40</v>
      </c>
      <c r="O2004" s="19" t="s">
        <v>168</v>
      </c>
      <c r="P2004" s="19">
        <v>3448</v>
      </c>
      <c r="Q2004" s="19">
        <v>4246</v>
      </c>
      <c r="R2004" s="17">
        <f t="shared" si="108"/>
        <v>-798</v>
      </c>
      <c r="S2004" s="17">
        <v>2150</v>
      </c>
      <c r="T2004" s="19" t="s">
        <v>42</v>
      </c>
      <c r="U2004" s="102" t="s">
        <v>766</v>
      </c>
      <c r="V2004" s="64" t="s">
        <v>767</v>
      </c>
      <c r="W2004" s="17" t="s">
        <v>58</v>
      </c>
      <c r="Y2004" s="68">
        <v>44866</v>
      </c>
      <c r="Z2004" s="17" t="s">
        <v>191</v>
      </c>
      <c r="AA2004" s="17" t="s">
        <v>46</v>
      </c>
      <c r="AB2004" s="17" t="s">
        <v>768</v>
      </c>
      <c r="AC2004" s="67">
        <v>44604</v>
      </c>
      <c r="AD2004" s="65">
        <v>1364</v>
      </c>
      <c r="AE2004" s="17" t="s">
        <v>48</v>
      </c>
      <c r="AF2004" s="17" t="s">
        <v>245</v>
      </c>
    </row>
    <row r="2005" s="17" customFormat="1" hidden="1" spans="1:32">
      <c r="A2005" s="17" t="s">
        <v>34</v>
      </c>
      <c r="B2005" s="19">
        <v>847</v>
      </c>
      <c r="C2005" s="230" t="s">
        <v>717</v>
      </c>
      <c r="D2005" s="17" t="s">
        <v>52</v>
      </c>
      <c r="E2005" s="17" t="s">
        <v>220</v>
      </c>
      <c r="F2005" s="17" t="s">
        <v>54</v>
      </c>
      <c r="H2005" s="19">
        <v>1.2344</v>
      </c>
      <c r="I2005" s="19"/>
      <c r="J2005" s="17" t="s">
        <v>82</v>
      </c>
      <c r="K2005" s="19">
        <v>610</v>
      </c>
      <c r="L2005" s="19">
        <v>200</v>
      </c>
      <c r="M2005" s="19"/>
      <c r="N2005" s="19" t="s">
        <v>40</v>
      </c>
      <c r="O2005" s="19" t="s">
        <v>168</v>
      </c>
      <c r="P2005" s="147">
        <v>3841</v>
      </c>
      <c r="Q2005" s="147">
        <v>4224</v>
      </c>
      <c r="R2005" s="17">
        <f t="shared" si="108"/>
        <v>-383</v>
      </c>
      <c r="S2005" s="17">
        <v>2150</v>
      </c>
      <c r="T2005" s="19" t="s">
        <v>42</v>
      </c>
      <c r="U2005" s="102" t="s">
        <v>766</v>
      </c>
      <c r="V2005" s="64" t="s">
        <v>767</v>
      </c>
      <c r="W2005" s="17" t="s">
        <v>58</v>
      </c>
      <c r="Y2005" s="68">
        <v>44866</v>
      </c>
      <c r="Z2005" s="17" t="s">
        <v>191</v>
      </c>
      <c r="AA2005" s="17" t="s">
        <v>46</v>
      </c>
      <c r="AB2005" s="17" t="s">
        <v>768</v>
      </c>
      <c r="AC2005" s="67">
        <v>44604</v>
      </c>
      <c r="AD2005" s="65">
        <v>1364</v>
      </c>
      <c r="AE2005" s="17" t="s">
        <v>48</v>
      </c>
      <c r="AF2005" s="17" t="s">
        <v>245</v>
      </c>
    </row>
    <row r="2006" s="17" customFormat="1" hidden="1" spans="1:32">
      <c r="A2006" s="17" t="s">
        <v>34</v>
      </c>
      <c r="B2006" s="19">
        <v>847</v>
      </c>
      <c r="C2006" s="230" t="s">
        <v>717</v>
      </c>
      <c r="D2006" s="17" t="s">
        <v>52</v>
      </c>
      <c r="E2006" s="17" t="s">
        <v>220</v>
      </c>
      <c r="F2006" s="17" t="s">
        <v>54</v>
      </c>
      <c r="H2006" s="19">
        <v>1.2379</v>
      </c>
      <c r="I2006" s="19"/>
      <c r="J2006" s="17" t="s">
        <v>82</v>
      </c>
      <c r="K2006" s="184">
        <v>105</v>
      </c>
      <c r="L2006" s="19">
        <v>32</v>
      </c>
      <c r="M2006" s="19"/>
      <c r="N2006" s="19" t="s">
        <v>40</v>
      </c>
      <c r="O2006" s="19" t="s">
        <v>168</v>
      </c>
      <c r="P2006" s="17">
        <v>500</v>
      </c>
      <c r="Q2006" s="17">
        <v>324</v>
      </c>
      <c r="R2006" s="17">
        <f t="shared" si="108"/>
        <v>176</v>
      </c>
      <c r="S2006" s="17">
        <v>2150</v>
      </c>
      <c r="T2006" s="19" t="s">
        <v>42</v>
      </c>
      <c r="U2006" s="102" t="s">
        <v>766</v>
      </c>
      <c r="V2006" s="64" t="s">
        <v>767</v>
      </c>
      <c r="W2006" s="17" t="s">
        <v>58</v>
      </c>
      <c r="Y2006" s="68">
        <v>44866</v>
      </c>
      <c r="Z2006" s="17" t="s">
        <v>191</v>
      </c>
      <c r="AA2006" s="17" t="s">
        <v>46</v>
      </c>
      <c r="AB2006" s="17" t="s">
        <v>769</v>
      </c>
      <c r="AC2006" s="67">
        <v>44876</v>
      </c>
      <c r="AD2006" s="65">
        <v>1358</v>
      </c>
      <c r="AE2006" s="17" t="s">
        <v>48</v>
      </c>
    </row>
    <row r="2007" s="17" customFormat="1" hidden="1" spans="1:32">
      <c r="A2007" s="17" t="s">
        <v>34</v>
      </c>
      <c r="B2007" s="19">
        <v>847</v>
      </c>
      <c r="C2007" s="230" t="s">
        <v>717</v>
      </c>
      <c r="D2007" s="17" t="s">
        <v>52</v>
      </c>
      <c r="E2007" s="17" t="s">
        <v>220</v>
      </c>
      <c r="F2007" s="17" t="s">
        <v>54</v>
      </c>
      <c r="H2007" s="19">
        <v>1.2379</v>
      </c>
      <c r="I2007" s="19"/>
      <c r="J2007" s="17" t="s">
        <v>82</v>
      </c>
      <c r="K2007" s="184">
        <v>130</v>
      </c>
      <c r="L2007" s="19">
        <v>32</v>
      </c>
      <c r="M2007" s="19"/>
      <c r="N2007" s="19" t="s">
        <v>40</v>
      </c>
      <c r="O2007" s="19" t="s">
        <v>168</v>
      </c>
      <c r="P2007" s="17">
        <v>500</v>
      </c>
      <c r="Q2007" s="17">
        <v>347</v>
      </c>
      <c r="R2007" s="17">
        <f t="shared" si="108"/>
        <v>153</v>
      </c>
      <c r="S2007" s="17">
        <v>2150</v>
      </c>
      <c r="T2007" s="19" t="s">
        <v>42</v>
      </c>
      <c r="U2007" s="102" t="s">
        <v>766</v>
      </c>
      <c r="V2007" s="64" t="s">
        <v>767</v>
      </c>
      <c r="W2007" s="17" t="s">
        <v>58</v>
      </c>
      <c r="Y2007" s="68">
        <v>44866</v>
      </c>
      <c r="Z2007" s="17" t="s">
        <v>191</v>
      </c>
      <c r="AA2007" s="17" t="s">
        <v>46</v>
      </c>
      <c r="AB2007" s="17" t="s">
        <v>769</v>
      </c>
      <c r="AC2007" s="67">
        <v>44876</v>
      </c>
      <c r="AD2007" s="65">
        <v>1358</v>
      </c>
      <c r="AE2007" s="17" t="s">
        <v>48</v>
      </c>
    </row>
    <row r="2008" s="17" customFormat="1" hidden="1" spans="1:32">
      <c r="A2008" s="17" t="s">
        <v>34</v>
      </c>
      <c r="B2008" s="19">
        <v>847</v>
      </c>
      <c r="C2008" s="230" t="s">
        <v>717</v>
      </c>
      <c r="D2008" s="17" t="s">
        <v>52</v>
      </c>
      <c r="E2008" s="17" t="s">
        <v>220</v>
      </c>
      <c r="F2008" s="17" t="s">
        <v>54</v>
      </c>
      <c r="H2008" s="19">
        <v>1.2379</v>
      </c>
      <c r="I2008" s="19"/>
      <c r="J2008" s="17" t="s">
        <v>82</v>
      </c>
      <c r="K2008" s="184">
        <v>155</v>
      </c>
      <c r="L2008" s="19">
        <v>32</v>
      </c>
      <c r="M2008" s="19"/>
      <c r="N2008" s="19" t="s">
        <v>40</v>
      </c>
      <c r="O2008" s="19" t="s">
        <v>168</v>
      </c>
      <c r="P2008" s="17">
        <v>500</v>
      </c>
      <c r="Q2008" s="17">
        <v>467</v>
      </c>
      <c r="R2008" s="17">
        <f t="shared" si="108"/>
        <v>33</v>
      </c>
      <c r="S2008" s="17">
        <v>2150</v>
      </c>
      <c r="T2008" s="19" t="s">
        <v>42</v>
      </c>
      <c r="U2008" s="102" t="s">
        <v>766</v>
      </c>
      <c r="V2008" s="64" t="s">
        <v>767</v>
      </c>
      <c r="W2008" s="17" t="s">
        <v>58</v>
      </c>
      <c r="Y2008" s="68">
        <v>44866</v>
      </c>
      <c r="Z2008" s="17" t="s">
        <v>191</v>
      </c>
      <c r="AA2008" s="17" t="s">
        <v>46</v>
      </c>
      <c r="AB2008" s="17" t="s">
        <v>769</v>
      </c>
      <c r="AC2008" s="67">
        <v>44876</v>
      </c>
      <c r="AD2008" s="65">
        <v>1358</v>
      </c>
      <c r="AE2008" s="17" t="s">
        <v>48</v>
      </c>
    </row>
    <row r="2009" s="17" customFormat="1" hidden="1" spans="1:32">
      <c r="A2009" s="17" t="s">
        <v>34</v>
      </c>
      <c r="B2009" s="19">
        <v>847</v>
      </c>
      <c r="C2009" s="230" t="s">
        <v>717</v>
      </c>
      <c r="D2009" s="17" t="s">
        <v>52</v>
      </c>
      <c r="E2009" s="17" t="s">
        <v>220</v>
      </c>
      <c r="F2009" s="17" t="s">
        <v>54</v>
      </c>
      <c r="H2009" s="19">
        <v>1.2379</v>
      </c>
      <c r="I2009" s="19"/>
      <c r="J2009" s="17" t="s">
        <v>82</v>
      </c>
      <c r="K2009" s="184">
        <v>210</v>
      </c>
      <c r="L2009" s="19">
        <v>32</v>
      </c>
      <c r="M2009" s="19"/>
      <c r="N2009" s="19" t="s">
        <v>40</v>
      </c>
      <c r="O2009" s="19" t="s">
        <v>168</v>
      </c>
      <c r="P2009" s="17">
        <v>500</v>
      </c>
      <c r="Q2009" s="17">
        <v>345</v>
      </c>
      <c r="R2009" s="17">
        <f t="shared" si="108"/>
        <v>155</v>
      </c>
      <c r="S2009" s="17">
        <v>2150</v>
      </c>
      <c r="T2009" s="19" t="s">
        <v>42</v>
      </c>
      <c r="U2009" s="102" t="s">
        <v>766</v>
      </c>
      <c r="V2009" s="64" t="s">
        <v>767</v>
      </c>
      <c r="W2009" s="17" t="s">
        <v>58</v>
      </c>
      <c r="Y2009" s="68">
        <v>44866</v>
      </c>
      <c r="Z2009" s="17" t="s">
        <v>191</v>
      </c>
      <c r="AA2009" s="17" t="s">
        <v>46</v>
      </c>
      <c r="AB2009" s="17" t="s">
        <v>769</v>
      </c>
      <c r="AC2009" s="67">
        <v>44876</v>
      </c>
      <c r="AD2009" s="65">
        <v>1358</v>
      </c>
      <c r="AE2009" s="17" t="s">
        <v>48</v>
      </c>
    </row>
    <row r="2010" s="17" customFormat="1" hidden="1" spans="1:32">
      <c r="A2010" s="17" t="s">
        <v>34</v>
      </c>
      <c r="B2010" s="19">
        <v>847</v>
      </c>
      <c r="C2010" s="230" t="s">
        <v>717</v>
      </c>
      <c r="D2010" s="17" t="s">
        <v>52</v>
      </c>
      <c r="E2010" s="17" t="s">
        <v>220</v>
      </c>
      <c r="F2010" s="17" t="s">
        <v>54</v>
      </c>
      <c r="H2010" s="19">
        <v>1.2379</v>
      </c>
      <c r="I2010" s="19"/>
      <c r="J2010" s="17" t="s">
        <v>82</v>
      </c>
      <c r="K2010" s="184">
        <v>255</v>
      </c>
      <c r="L2010" s="19">
        <v>32</v>
      </c>
      <c r="M2010" s="19"/>
      <c r="N2010" s="19" t="s">
        <v>40</v>
      </c>
      <c r="O2010" s="19" t="s">
        <v>168</v>
      </c>
      <c r="P2010" s="17">
        <v>500</v>
      </c>
      <c r="Q2010" s="17">
        <v>517</v>
      </c>
      <c r="R2010" s="17">
        <f t="shared" ref="R2010:R2041" si="109">+P2010-Q2010</f>
        <v>-17</v>
      </c>
      <c r="S2010" s="17">
        <v>2150</v>
      </c>
      <c r="T2010" s="19" t="s">
        <v>42</v>
      </c>
      <c r="U2010" s="102" t="s">
        <v>766</v>
      </c>
      <c r="V2010" s="64" t="s">
        <v>767</v>
      </c>
      <c r="W2010" s="17" t="s">
        <v>58</v>
      </c>
      <c r="Y2010" s="68">
        <v>44866</v>
      </c>
      <c r="Z2010" s="17" t="s">
        <v>191</v>
      </c>
      <c r="AA2010" s="17" t="s">
        <v>46</v>
      </c>
      <c r="AB2010" s="17" t="s">
        <v>769</v>
      </c>
      <c r="AC2010" s="67">
        <v>44876</v>
      </c>
      <c r="AD2010" s="65">
        <v>1358</v>
      </c>
      <c r="AE2010" s="17" t="s">
        <v>48</v>
      </c>
    </row>
    <row r="2011" s="17" customFormat="1" hidden="1" spans="1:32">
      <c r="A2011" s="17" t="s">
        <v>34</v>
      </c>
      <c r="B2011" s="19">
        <v>847</v>
      </c>
      <c r="C2011" s="230" t="s">
        <v>717</v>
      </c>
      <c r="D2011" s="17" t="s">
        <v>52</v>
      </c>
      <c r="E2011" s="17" t="s">
        <v>220</v>
      </c>
      <c r="F2011" s="17" t="s">
        <v>54</v>
      </c>
      <c r="H2011" s="19">
        <v>1.2379</v>
      </c>
      <c r="I2011" s="19"/>
      <c r="J2011" s="17" t="s">
        <v>82</v>
      </c>
      <c r="K2011" s="184">
        <v>305</v>
      </c>
      <c r="L2011" s="19">
        <v>32</v>
      </c>
      <c r="M2011" s="19"/>
      <c r="N2011" s="19" t="s">
        <v>40</v>
      </c>
      <c r="O2011" s="19" t="s">
        <v>168</v>
      </c>
      <c r="P2011" s="17">
        <v>500</v>
      </c>
      <c r="Q2011" s="17">
        <v>479</v>
      </c>
      <c r="R2011" s="17">
        <f t="shared" si="109"/>
        <v>21</v>
      </c>
      <c r="S2011" s="17">
        <v>2150</v>
      </c>
      <c r="T2011" s="19" t="s">
        <v>42</v>
      </c>
      <c r="U2011" s="102" t="s">
        <v>766</v>
      </c>
      <c r="V2011" s="64" t="s">
        <v>767</v>
      </c>
      <c r="W2011" s="17" t="s">
        <v>58</v>
      </c>
      <c r="Y2011" s="68">
        <v>44866</v>
      </c>
      <c r="Z2011" s="17" t="s">
        <v>191</v>
      </c>
      <c r="AA2011" s="17" t="s">
        <v>46</v>
      </c>
      <c r="AB2011" s="17" t="s">
        <v>769</v>
      </c>
      <c r="AC2011" s="67">
        <v>44876</v>
      </c>
      <c r="AD2011" s="65">
        <v>1358</v>
      </c>
      <c r="AE2011" s="17" t="s">
        <v>48</v>
      </c>
    </row>
    <row r="2012" s="17" customFormat="1" hidden="1" spans="1:32">
      <c r="A2012" s="17" t="s">
        <v>34</v>
      </c>
      <c r="B2012" s="19">
        <v>847</v>
      </c>
      <c r="C2012" s="230" t="s">
        <v>717</v>
      </c>
      <c r="D2012" s="17" t="s">
        <v>52</v>
      </c>
      <c r="E2012" s="17" t="s">
        <v>220</v>
      </c>
      <c r="F2012" s="17" t="s">
        <v>54</v>
      </c>
      <c r="H2012" s="19">
        <v>1.2379</v>
      </c>
      <c r="I2012" s="19"/>
      <c r="J2012" s="17" t="s">
        <v>82</v>
      </c>
      <c r="K2012" s="184">
        <v>105</v>
      </c>
      <c r="L2012" s="19">
        <v>41</v>
      </c>
      <c r="M2012" s="19"/>
      <c r="N2012" s="19" t="s">
        <v>40</v>
      </c>
      <c r="O2012" s="19" t="s">
        <v>168</v>
      </c>
      <c r="P2012" s="17">
        <v>500</v>
      </c>
      <c r="Q2012" s="17">
        <v>495</v>
      </c>
      <c r="R2012" s="17">
        <f t="shared" si="109"/>
        <v>5</v>
      </c>
      <c r="S2012" s="17">
        <v>2150</v>
      </c>
      <c r="T2012" s="19" t="s">
        <v>42</v>
      </c>
      <c r="U2012" s="102" t="s">
        <v>766</v>
      </c>
      <c r="V2012" s="64" t="s">
        <v>767</v>
      </c>
      <c r="W2012" s="17" t="s">
        <v>58</v>
      </c>
      <c r="Y2012" s="68">
        <v>44866</v>
      </c>
      <c r="Z2012" s="17" t="s">
        <v>191</v>
      </c>
      <c r="AA2012" s="17" t="s">
        <v>46</v>
      </c>
      <c r="AB2012" s="17" t="s">
        <v>769</v>
      </c>
      <c r="AC2012" s="67">
        <v>44876</v>
      </c>
      <c r="AD2012" s="65">
        <v>1358</v>
      </c>
      <c r="AE2012" s="17" t="s">
        <v>48</v>
      </c>
    </row>
    <row r="2013" s="17" customFormat="1" hidden="1" spans="1:32">
      <c r="A2013" s="17" t="s">
        <v>34</v>
      </c>
      <c r="B2013" s="19">
        <v>847</v>
      </c>
      <c r="C2013" s="230" t="s">
        <v>717</v>
      </c>
      <c r="D2013" s="17" t="s">
        <v>52</v>
      </c>
      <c r="E2013" s="17" t="s">
        <v>220</v>
      </c>
      <c r="F2013" s="17" t="s">
        <v>54</v>
      </c>
      <c r="H2013" s="19">
        <v>1.2379</v>
      </c>
      <c r="I2013" s="19"/>
      <c r="J2013" s="17" t="s">
        <v>82</v>
      </c>
      <c r="K2013" s="184">
        <v>130</v>
      </c>
      <c r="L2013" s="19">
        <v>41</v>
      </c>
      <c r="M2013" s="19"/>
      <c r="N2013" s="19" t="s">
        <v>40</v>
      </c>
      <c r="O2013" s="19" t="s">
        <v>168</v>
      </c>
      <c r="P2013" s="17">
        <v>500</v>
      </c>
      <c r="Q2013" s="17">
        <v>214</v>
      </c>
      <c r="R2013" s="17">
        <f t="shared" si="109"/>
        <v>286</v>
      </c>
      <c r="S2013" s="17">
        <v>2150</v>
      </c>
      <c r="T2013" s="19" t="s">
        <v>42</v>
      </c>
      <c r="U2013" s="102" t="s">
        <v>766</v>
      </c>
      <c r="V2013" s="64" t="s">
        <v>767</v>
      </c>
      <c r="W2013" s="17" t="s">
        <v>58</v>
      </c>
      <c r="Y2013" s="68">
        <v>44866</v>
      </c>
      <c r="Z2013" s="17" t="s">
        <v>191</v>
      </c>
      <c r="AA2013" s="17" t="s">
        <v>46</v>
      </c>
      <c r="AB2013" s="17" t="s">
        <v>769</v>
      </c>
      <c r="AC2013" s="67">
        <v>44876</v>
      </c>
      <c r="AD2013" s="65">
        <v>1358</v>
      </c>
      <c r="AE2013" s="17" t="s">
        <v>48</v>
      </c>
    </row>
    <row r="2014" s="17" customFormat="1" hidden="1" spans="1:32">
      <c r="A2014" s="17" t="s">
        <v>34</v>
      </c>
      <c r="B2014" s="19">
        <v>847</v>
      </c>
      <c r="C2014" s="230" t="s">
        <v>717</v>
      </c>
      <c r="D2014" s="17" t="s">
        <v>52</v>
      </c>
      <c r="E2014" s="17" t="s">
        <v>220</v>
      </c>
      <c r="F2014" s="17" t="s">
        <v>54</v>
      </c>
      <c r="H2014" s="19">
        <v>1.2379</v>
      </c>
      <c r="I2014" s="19"/>
      <c r="J2014" s="17" t="s">
        <v>82</v>
      </c>
      <c r="K2014" s="184">
        <v>155</v>
      </c>
      <c r="L2014" s="19">
        <v>41</v>
      </c>
      <c r="M2014" s="19"/>
      <c r="N2014" s="19" t="s">
        <v>40</v>
      </c>
      <c r="O2014" s="19" t="s">
        <v>168</v>
      </c>
      <c r="P2014" s="17">
        <v>500</v>
      </c>
      <c r="Q2014" s="17">
        <v>530</v>
      </c>
      <c r="R2014" s="17">
        <f t="shared" si="109"/>
        <v>-30</v>
      </c>
      <c r="S2014" s="17">
        <v>2150</v>
      </c>
      <c r="T2014" s="19" t="s">
        <v>42</v>
      </c>
      <c r="U2014" s="102" t="s">
        <v>766</v>
      </c>
      <c r="V2014" s="64" t="s">
        <v>767</v>
      </c>
      <c r="W2014" s="17" t="s">
        <v>58</v>
      </c>
      <c r="Y2014" s="68">
        <v>44866</v>
      </c>
      <c r="Z2014" s="17" t="s">
        <v>191</v>
      </c>
      <c r="AA2014" s="17" t="s">
        <v>46</v>
      </c>
      <c r="AB2014" s="17" t="s">
        <v>769</v>
      </c>
      <c r="AC2014" s="67">
        <v>44876</v>
      </c>
      <c r="AD2014" s="65">
        <v>1358</v>
      </c>
      <c r="AE2014" s="17" t="s">
        <v>48</v>
      </c>
    </row>
    <row r="2015" s="17" customFormat="1" hidden="1" spans="1:32">
      <c r="A2015" s="17" t="s">
        <v>34</v>
      </c>
      <c r="B2015" s="19">
        <v>847</v>
      </c>
      <c r="C2015" s="230" t="s">
        <v>717</v>
      </c>
      <c r="D2015" s="17" t="s">
        <v>52</v>
      </c>
      <c r="E2015" s="17" t="s">
        <v>220</v>
      </c>
      <c r="F2015" s="17" t="s">
        <v>54</v>
      </c>
      <c r="H2015" s="19">
        <v>1.2379</v>
      </c>
      <c r="I2015" s="19"/>
      <c r="J2015" s="17" t="s">
        <v>82</v>
      </c>
      <c r="K2015" s="184">
        <v>210</v>
      </c>
      <c r="L2015" s="19">
        <v>41</v>
      </c>
      <c r="M2015" s="19"/>
      <c r="N2015" s="19" t="s">
        <v>40</v>
      </c>
      <c r="O2015" s="19" t="s">
        <v>168</v>
      </c>
      <c r="P2015" s="17">
        <v>500</v>
      </c>
      <c r="Q2015" s="17">
        <v>499</v>
      </c>
      <c r="R2015" s="17">
        <f t="shared" si="109"/>
        <v>1</v>
      </c>
      <c r="S2015" s="17">
        <v>2150</v>
      </c>
      <c r="T2015" s="19" t="s">
        <v>42</v>
      </c>
      <c r="U2015" s="102" t="s">
        <v>766</v>
      </c>
      <c r="V2015" s="64" t="s">
        <v>767</v>
      </c>
      <c r="W2015" s="17" t="s">
        <v>58</v>
      </c>
      <c r="Y2015" s="68">
        <v>44866</v>
      </c>
      <c r="Z2015" s="17" t="s">
        <v>191</v>
      </c>
      <c r="AA2015" s="17" t="s">
        <v>46</v>
      </c>
      <c r="AB2015" s="17" t="s">
        <v>769</v>
      </c>
      <c r="AC2015" s="67">
        <v>44876</v>
      </c>
      <c r="AD2015" s="65">
        <v>1358</v>
      </c>
      <c r="AE2015" s="17" t="s">
        <v>48</v>
      </c>
    </row>
    <row r="2016" s="17" customFormat="1" hidden="1" spans="1:32">
      <c r="A2016" s="17" t="s">
        <v>34</v>
      </c>
      <c r="B2016" s="19">
        <v>847</v>
      </c>
      <c r="C2016" s="230" t="s">
        <v>717</v>
      </c>
      <c r="D2016" s="17" t="s">
        <v>52</v>
      </c>
      <c r="E2016" s="17" t="s">
        <v>220</v>
      </c>
      <c r="F2016" s="17" t="s">
        <v>54</v>
      </c>
      <c r="H2016" s="19">
        <v>1.2379</v>
      </c>
      <c r="I2016" s="19"/>
      <c r="J2016" s="17" t="s">
        <v>82</v>
      </c>
      <c r="K2016" s="184">
        <v>255</v>
      </c>
      <c r="L2016" s="19">
        <v>41</v>
      </c>
      <c r="M2016" s="19"/>
      <c r="N2016" s="19" t="s">
        <v>40</v>
      </c>
      <c r="O2016" s="19" t="s">
        <v>168</v>
      </c>
      <c r="P2016" s="17">
        <v>500</v>
      </c>
      <c r="Q2016" s="17">
        <v>502</v>
      </c>
      <c r="R2016" s="17">
        <f t="shared" si="109"/>
        <v>-2</v>
      </c>
      <c r="S2016" s="17">
        <v>2150</v>
      </c>
      <c r="T2016" s="19" t="s">
        <v>42</v>
      </c>
      <c r="U2016" s="102" t="s">
        <v>766</v>
      </c>
      <c r="V2016" s="64" t="s">
        <v>767</v>
      </c>
      <c r="W2016" s="17" t="s">
        <v>58</v>
      </c>
      <c r="Y2016" s="68">
        <v>44866</v>
      </c>
      <c r="Z2016" s="17" t="s">
        <v>191</v>
      </c>
      <c r="AA2016" s="17" t="s">
        <v>46</v>
      </c>
      <c r="AB2016" s="17" t="s">
        <v>769</v>
      </c>
      <c r="AC2016" s="67">
        <v>44876</v>
      </c>
      <c r="AD2016" s="65">
        <v>1358</v>
      </c>
      <c r="AE2016" s="17" t="s">
        <v>48</v>
      </c>
    </row>
    <row r="2017" s="17" customFormat="1" hidden="1" spans="1:31">
      <c r="A2017" s="17" t="s">
        <v>34</v>
      </c>
      <c r="B2017" s="19">
        <v>847</v>
      </c>
      <c r="C2017" s="230" t="s">
        <v>717</v>
      </c>
      <c r="D2017" s="17" t="s">
        <v>52</v>
      </c>
      <c r="E2017" s="17" t="s">
        <v>220</v>
      </c>
      <c r="F2017" s="17" t="s">
        <v>54</v>
      </c>
      <c r="H2017" s="19">
        <v>1.2379</v>
      </c>
      <c r="I2017" s="19"/>
      <c r="J2017" s="17" t="s">
        <v>82</v>
      </c>
      <c r="K2017" s="184">
        <v>305</v>
      </c>
      <c r="L2017" s="19">
        <v>41</v>
      </c>
      <c r="M2017" s="19"/>
      <c r="N2017" s="19" t="s">
        <v>40</v>
      </c>
      <c r="O2017" s="19" t="s">
        <v>168</v>
      </c>
      <c r="P2017" s="17">
        <v>500</v>
      </c>
      <c r="Q2017" s="17">
        <v>491</v>
      </c>
      <c r="R2017" s="17">
        <f t="shared" si="109"/>
        <v>9</v>
      </c>
      <c r="S2017" s="17">
        <v>2150</v>
      </c>
      <c r="T2017" s="19" t="s">
        <v>42</v>
      </c>
      <c r="U2017" s="102" t="s">
        <v>766</v>
      </c>
      <c r="V2017" s="64" t="s">
        <v>767</v>
      </c>
      <c r="W2017" s="17" t="s">
        <v>58</v>
      </c>
      <c r="Y2017" s="68">
        <v>44866</v>
      </c>
      <c r="Z2017" s="17" t="s">
        <v>191</v>
      </c>
      <c r="AA2017" s="17" t="s">
        <v>46</v>
      </c>
      <c r="AB2017" s="17" t="s">
        <v>769</v>
      </c>
      <c r="AC2017" s="67">
        <v>44876</v>
      </c>
      <c r="AD2017" s="65">
        <v>1358</v>
      </c>
      <c r="AE2017" s="17" t="s">
        <v>48</v>
      </c>
    </row>
    <row r="2018" s="17" customFormat="1" hidden="1" spans="1:31">
      <c r="A2018" s="17" t="s">
        <v>34</v>
      </c>
      <c r="B2018" s="19">
        <v>847</v>
      </c>
      <c r="C2018" s="230" t="s">
        <v>717</v>
      </c>
      <c r="D2018" s="17" t="s">
        <v>52</v>
      </c>
      <c r="E2018" s="17" t="s">
        <v>220</v>
      </c>
      <c r="F2018" s="17" t="s">
        <v>54</v>
      </c>
      <c r="H2018" s="19">
        <v>1.2379</v>
      </c>
      <c r="I2018" s="19"/>
      <c r="J2018" s="17" t="s">
        <v>82</v>
      </c>
      <c r="K2018" s="184">
        <v>105</v>
      </c>
      <c r="L2018" s="19">
        <v>51</v>
      </c>
      <c r="M2018" s="19"/>
      <c r="N2018" s="19" t="s">
        <v>40</v>
      </c>
      <c r="O2018" s="19" t="s">
        <v>168</v>
      </c>
      <c r="P2018" s="17">
        <v>500</v>
      </c>
      <c r="Q2018" s="17">
        <v>521</v>
      </c>
      <c r="R2018" s="17">
        <f t="shared" si="109"/>
        <v>-21</v>
      </c>
      <c r="S2018" s="17">
        <v>2150</v>
      </c>
      <c r="T2018" s="19" t="s">
        <v>42</v>
      </c>
      <c r="U2018" s="102" t="s">
        <v>766</v>
      </c>
      <c r="V2018" s="64" t="s">
        <v>767</v>
      </c>
      <c r="W2018" s="17" t="s">
        <v>58</v>
      </c>
      <c r="Y2018" s="68">
        <v>44866</v>
      </c>
      <c r="Z2018" s="17" t="s">
        <v>191</v>
      </c>
      <c r="AA2018" s="17" t="s">
        <v>46</v>
      </c>
      <c r="AB2018" s="17" t="s">
        <v>769</v>
      </c>
      <c r="AC2018" s="67">
        <v>44876</v>
      </c>
      <c r="AD2018" s="65">
        <v>1358</v>
      </c>
      <c r="AE2018" s="17" t="s">
        <v>48</v>
      </c>
    </row>
    <row r="2019" s="17" customFormat="1" hidden="1" spans="1:31">
      <c r="A2019" s="17" t="s">
        <v>34</v>
      </c>
      <c r="B2019" s="19">
        <v>847</v>
      </c>
      <c r="C2019" s="230" t="s">
        <v>717</v>
      </c>
      <c r="D2019" s="17" t="s">
        <v>52</v>
      </c>
      <c r="E2019" s="17" t="s">
        <v>220</v>
      </c>
      <c r="F2019" s="17" t="s">
        <v>54</v>
      </c>
      <c r="H2019" s="19">
        <v>1.2379</v>
      </c>
      <c r="I2019" s="19"/>
      <c r="J2019" s="17" t="s">
        <v>82</v>
      </c>
      <c r="K2019" s="184">
        <v>130</v>
      </c>
      <c r="L2019" s="19">
        <v>51</v>
      </c>
      <c r="M2019" s="19"/>
      <c r="N2019" s="19" t="s">
        <v>40</v>
      </c>
      <c r="O2019" s="19" t="s">
        <v>168</v>
      </c>
      <c r="P2019" s="17">
        <v>500</v>
      </c>
      <c r="Q2019" s="17">
        <v>456</v>
      </c>
      <c r="R2019" s="17">
        <f t="shared" si="109"/>
        <v>44</v>
      </c>
      <c r="S2019" s="17">
        <v>2150</v>
      </c>
      <c r="T2019" s="19" t="s">
        <v>42</v>
      </c>
      <c r="U2019" s="102" t="s">
        <v>766</v>
      </c>
      <c r="V2019" s="64" t="s">
        <v>767</v>
      </c>
      <c r="W2019" s="17" t="s">
        <v>58</v>
      </c>
      <c r="Y2019" s="68">
        <v>44866</v>
      </c>
      <c r="Z2019" s="17" t="s">
        <v>191</v>
      </c>
      <c r="AA2019" s="17" t="s">
        <v>46</v>
      </c>
      <c r="AB2019" s="17" t="s">
        <v>769</v>
      </c>
      <c r="AC2019" s="67">
        <v>44876</v>
      </c>
      <c r="AD2019" s="65">
        <v>1358</v>
      </c>
      <c r="AE2019" s="17" t="s">
        <v>48</v>
      </c>
    </row>
    <row r="2020" s="17" customFormat="1" hidden="1" spans="1:31">
      <c r="A2020" s="17" t="s">
        <v>34</v>
      </c>
      <c r="B2020" s="19">
        <v>847</v>
      </c>
      <c r="C2020" s="230" t="s">
        <v>717</v>
      </c>
      <c r="D2020" s="17" t="s">
        <v>52</v>
      </c>
      <c r="E2020" s="17" t="s">
        <v>220</v>
      </c>
      <c r="F2020" s="17" t="s">
        <v>54</v>
      </c>
      <c r="H2020" s="19">
        <v>1.2379</v>
      </c>
      <c r="I2020" s="19"/>
      <c r="J2020" s="17" t="s">
        <v>82</v>
      </c>
      <c r="K2020" s="184">
        <v>155</v>
      </c>
      <c r="L2020" s="19">
        <v>51</v>
      </c>
      <c r="M2020" s="19"/>
      <c r="N2020" s="19" t="s">
        <v>40</v>
      </c>
      <c r="O2020" s="19" t="s">
        <v>168</v>
      </c>
      <c r="P2020" s="17">
        <v>500</v>
      </c>
      <c r="Q2020" s="17">
        <v>511</v>
      </c>
      <c r="R2020" s="17">
        <f t="shared" si="109"/>
        <v>-11</v>
      </c>
      <c r="S2020" s="17">
        <v>2150</v>
      </c>
      <c r="T2020" s="19" t="s">
        <v>42</v>
      </c>
      <c r="U2020" s="102" t="s">
        <v>766</v>
      </c>
      <c r="V2020" s="64" t="s">
        <v>767</v>
      </c>
      <c r="W2020" s="17" t="s">
        <v>58</v>
      </c>
      <c r="Y2020" s="68">
        <v>44866</v>
      </c>
      <c r="Z2020" s="17" t="s">
        <v>191</v>
      </c>
      <c r="AA2020" s="17" t="s">
        <v>46</v>
      </c>
      <c r="AB2020" s="17" t="s">
        <v>769</v>
      </c>
      <c r="AC2020" s="67">
        <v>44876</v>
      </c>
      <c r="AD2020" s="65">
        <v>1358</v>
      </c>
      <c r="AE2020" s="17" t="s">
        <v>48</v>
      </c>
    </row>
    <row r="2021" s="17" customFormat="1" hidden="1" spans="1:31">
      <c r="A2021" s="17" t="s">
        <v>34</v>
      </c>
      <c r="B2021" s="19">
        <v>847</v>
      </c>
      <c r="C2021" s="230" t="s">
        <v>717</v>
      </c>
      <c r="D2021" s="17" t="s">
        <v>52</v>
      </c>
      <c r="E2021" s="17" t="s">
        <v>220</v>
      </c>
      <c r="F2021" s="17" t="s">
        <v>54</v>
      </c>
      <c r="H2021" s="19">
        <v>1.2379</v>
      </c>
      <c r="I2021" s="19"/>
      <c r="J2021" s="17" t="s">
        <v>82</v>
      </c>
      <c r="K2021" s="184">
        <v>180</v>
      </c>
      <c r="L2021" s="19">
        <v>51</v>
      </c>
      <c r="N2021" s="19" t="s">
        <v>40</v>
      </c>
      <c r="O2021" s="19" t="s">
        <v>168</v>
      </c>
      <c r="P2021" s="17">
        <v>500</v>
      </c>
      <c r="Q2021" s="17">
        <v>487</v>
      </c>
      <c r="R2021" s="17">
        <f t="shared" si="109"/>
        <v>13</v>
      </c>
      <c r="S2021" s="17">
        <v>2150</v>
      </c>
      <c r="T2021" s="19" t="s">
        <v>42</v>
      </c>
      <c r="U2021" s="102" t="s">
        <v>766</v>
      </c>
      <c r="V2021" s="64" t="s">
        <v>767</v>
      </c>
      <c r="W2021" s="17" t="s">
        <v>58</v>
      </c>
      <c r="Y2021" s="68">
        <v>44866</v>
      </c>
      <c r="Z2021" s="17" t="s">
        <v>191</v>
      </c>
      <c r="AA2021" s="17" t="s">
        <v>46</v>
      </c>
      <c r="AB2021" s="17" t="s">
        <v>769</v>
      </c>
      <c r="AC2021" s="67">
        <v>44876</v>
      </c>
      <c r="AD2021" s="65">
        <v>1358</v>
      </c>
      <c r="AE2021" s="17" t="s">
        <v>48</v>
      </c>
    </row>
    <row r="2022" s="17" customFormat="1" hidden="1" spans="1:31">
      <c r="A2022" s="17" t="s">
        <v>34</v>
      </c>
      <c r="B2022" s="19">
        <v>847</v>
      </c>
      <c r="C2022" s="230" t="s">
        <v>717</v>
      </c>
      <c r="D2022" s="17" t="s">
        <v>52</v>
      </c>
      <c r="E2022" s="17" t="s">
        <v>220</v>
      </c>
      <c r="F2022" s="17" t="s">
        <v>54</v>
      </c>
      <c r="H2022" s="19">
        <v>1.2379</v>
      </c>
      <c r="I2022" s="19"/>
      <c r="J2022" s="17" t="s">
        <v>82</v>
      </c>
      <c r="K2022" s="184">
        <v>210</v>
      </c>
      <c r="L2022" s="19">
        <v>51</v>
      </c>
      <c r="N2022" s="19" t="s">
        <v>40</v>
      </c>
      <c r="O2022" s="19" t="s">
        <v>168</v>
      </c>
      <c r="P2022" s="17">
        <v>500</v>
      </c>
      <c r="Q2022" s="17">
        <v>465</v>
      </c>
      <c r="R2022" s="17">
        <f t="shared" si="109"/>
        <v>35</v>
      </c>
      <c r="S2022" s="17">
        <v>2150</v>
      </c>
      <c r="T2022" s="19" t="s">
        <v>42</v>
      </c>
      <c r="U2022" s="102" t="s">
        <v>766</v>
      </c>
      <c r="V2022" s="64" t="s">
        <v>767</v>
      </c>
      <c r="W2022" s="17" t="s">
        <v>58</v>
      </c>
      <c r="Y2022" s="68">
        <v>44866</v>
      </c>
      <c r="Z2022" s="17" t="s">
        <v>191</v>
      </c>
      <c r="AA2022" s="17" t="s">
        <v>46</v>
      </c>
      <c r="AB2022" s="17" t="s">
        <v>769</v>
      </c>
      <c r="AC2022" s="67">
        <v>44876</v>
      </c>
      <c r="AD2022" s="65">
        <v>1358</v>
      </c>
      <c r="AE2022" s="17" t="s">
        <v>48</v>
      </c>
    </row>
    <row r="2023" s="17" customFormat="1" hidden="1" spans="1:31">
      <c r="A2023" s="17" t="s">
        <v>34</v>
      </c>
      <c r="B2023" s="19">
        <v>847</v>
      </c>
      <c r="C2023" s="230" t="s">
        <v>717</v>
      </c>
      <c r="D2023" s="17" t="s">
        <v>52</v>
      </c>
      <c r="E2023" s="17" t="s">
        <v>220</v>
      </c>
      <c r="F2023" s="17" t="s">
        <v>54</v>
      </c>
      <c r="H2023" s="19">
        <v>1.2379</v>
      </c>
      <c r="I2023" s="19"/>
      <c r="J2023" s="17" t="s">
        <v>82</v>
      </c>
      <c r="K2023" s="184">
        <v>230</v>
      </c>
      <c r="L2023" s="19">
        <v>51</v>
      </c>
      <c r="N2023" s="19" t="s">
        <v>40</v>
      </c>
      <c r="O2023" s="19" t="s">
        <v>168</v>
      </c>
      <c r="P2023" s="17">
        <v>500</v>
      </c>
      <c r="Q2023" s="17">
        <v>529</v>
      </c>
      <c r="R2023" s="17">
        <f t="shared" si="109"/>
        <v>-29</v>
      </c>
      <c r="S2023" s="17">
        <v>2150</v>
      </c>
      <c r="T2023" s="19" t="s">
        <v>42</v>
      </c>
      <c r="U2023" s="102" t="s">
        <v>766</v>
      </c>
      <c r="V2023" s="64" t="s">
        <v>767</v>
      </c>
      <c r="W2023" s="17" t="s">
        <v>58</v>
      </c>
      <c r="Y2023" s="68">
        <v>44866</v>
      </c>
      <c r="Z2023" s="17" t="s">
        <v>191</v>
      </c>
      <c r="AA2023" s="17" t="s">
        <v>46</v>
      </c>
      <c r="AB2023" s="17" t="s">
        <v>769</v>
      </c>
      <c r="AC2023" s="67">
        <v>44876</v>
      </c>
      <c r="AD2023" s="65">
        <v>1358</v>
      </c>
      <c r="AE2023" s="17" t="s">
        <v>48</v>
      </c>
    </row>
    <row r="2024" s="17" customFormat="1" hidden="1" spans="1:31">
      <c r="A2024" s="17" t="s">
        <v>34</v>
      </c>
      <c r="B2024" s="19">
        <v>847</v>
      </c>
      <c r="C2024" s="230" t="s">
        <v>717</v>
      </c>
      <c r="D2024" s="17" t="s">
        <v>52</v>
      </c>
      <c r="E2024" s="17" t="s">
        <v>220</v>
      </c>
      <c r="F2024" s="17" t="s">
        <v>54</v>
      </c>
      <c r="H2024" s="19">
        <v>1.2379</v>
      </c>
      <c r="I2024" s="19"/>
      <c r="J2024" s="17" t="s">
        <v>82</v>
      </c>
      <c r="K2024" s="184">
        <v>255</v>
      </c>
      <c r="L2024" s="19">
        <v>51</v>
      </c>
      <c r="N2024" s="19" t="s">
        <v>40</v>
      </c>
      <c r="O2024" s="19" t="s">
        <v>168</v>
      </c>
      <c r="P2024" s="17">
        <v>500</v>
      </c>
      <c r="Q2024" s="17">
        <v>665</v>
      </c>
      <c r="R2024" s="17">
        <f t="shared" si="109"/>
        <v>-165</v>
      </c>
      <c r="S2024" s="17">
        <v>2150</v>
      </c>
      <c r="T2024" s="19" t="s">
        <v>42</v>
      </c>
      <c r="U2024" s="102" t="s">
        <v>766</v>
      </c>
      <c r="V2024" s="64" t="s">
        <v>767</v>
      </c>
      <c r="W2024" s="17" t="s">
        <v>58</v>
      </c>
      <c r="Y2024" s="68">
        <v>44866</v>
      </c>
      <c r="Z2024" s="17" t="s">
        <v>191</v>
      </c>
      <c r="AA2024" s="17" t="s">
        <v>46</v>
      </c>
      <c r="AB2024" s="17" t="s">
        <v>769</v>
      </c>
      <c r="AC2024" s="67">
        <v>44876</v>
      </c>
      <c r="AD2024" s="65">
        <v>1358</v>
      </c>
      <c r="AE2024" s="17" t="s">
        <v>48</v>
      </c>
    </row>
    <row r="2025" s="17" customFormat="1" hidden="1" spans="1:31">
      <c r="A2025" s="17" t="s">
        <v>34</v>
      </c>
      <c r="B2025" s="19">
        <v>847</v>
      </c>
      <c r="C2025" s="230" t="s">
        <v>717</v>
      </c>
      <c r="D2025" s="17" t="s">
        <v>52</v>
      </c>
      <c r="E2025" s="17" t="s">
        <v>220</v>
      </c>
      <c r="F2025" s="17" t="s">
        <v>54</v>
      </c>
      <c r="H2025" s="19">
        <v>1.2379</v>
      </c>
      <c r="I2025" s="19"/>
      <c r="J2025" s="17" t="s">
        <v>82</v>
      </c>
      <c r="K2025" s="184">
        <v>305</v>
      </c>
      <c r="L2025" s="19">
        <v>51</v>
      </c>
      <c r="N2025" s="19" t="s">
        <v>40</v>
      </c>
      <c r="O2025" s="19" t="s">
        <v>168</v>
      </c>
      <c r="P2025" s="17">
        <v>500</v>
      </c>
      <c r="Q2025" s="17">
        <v>673</v>
      </c>
      <c r="R2025" s="17">
        <f t="shared" si="109"/>
        <v>-173</v>
      </c>
      <c r="S2025" s="17">
        <v>2150</v>
      </c>
      <c r="T2025" s="19" t="s">
        <v>42</v>
      </c>
      <c r="U2025" s="102" t="s">
        <v>766</v>
      </c>
      <c r="V2025" s="64" t="s">
        <v>767</v>
      </c>
      <c r="W2025" s="17" t="s">
        <v>58</v>
      </c>
      <c r="Y2025" s="68">
        <v>44866</v>
      </c>
      <c r="Z2025" s="17" t="s">
        <v>191</v>
      </c>
      <c r="AA2025" s="17" t="s">
        <v>46</v>
      </c>
      <c r="AB2025" s="17" t="s">
        <v>769</v>
      </c>
      <c r="AC2025" s="67">
        <v>44876</v>
      </c>
      <c r="AD2025" s="65">
        <v>1358</v>
      </c>
      <c r="AE2025" s="17" t="s">
        <v>48</v>
      </c>
    </row>
    <row r="2026" s="17" customFormat="1" hidden="1" spans="1:31">
      <c r="A2026" s="17" t="s">
        <v>34</v>
      </c>
      <c r="B2026" s="19">
        <v>847</v>
      </c>
      <c r="C2026" s="230" t="s">
        <v>717</v>
      </c>
      <c r="D2026" s="17" t="s">
        <v>52</v>
      </c>
      <c r="E2026" s="17" t="s">
        <v>220</v>
      </c>
      <c r="F2026" s="17" t="s">
        <v>54</v>
      </c>
      <c r="H2026" s="19">
        <v>1.2379</v>
      </c>
      <c r="I2026" s="19"/>
      <c r="J2026" s="17" t="s">
        <v>82</v>
      </c>
      <c r="K2026" s="19">
        <v>610</v>
      </c>
      <c r="L2026" s="19">
        <v>51</v>
      </c>
      <c r="M2026" s="19"/>
      <c r="N2026" s="19" t="s">
        <v>40</v>
      </c>
      <c r="O2026" s="19" t="s">
        <v>168</v>
      </c>
      <c r="P2026" s="17">
        <v>1000</v>
      </c>
      <c r="Q2026" s="17">
        <v>993</v>
      </c>
      <c r="R2026" s="17">
        <f t="shared" si="109"/>
        <v>7</v>
      </c>
      <c r="S2026" s="17">
        <v>2150</v>
      </c>
      <c r="T2026" s="19" t="s">
        <v>42</v>
      </c>
      <c r="U2026" s="102" t="s">
        <v>766</v>
      </c>
      <c r="V2026" s="64" t="s">
        <v>767</v>
      </c>
      <c r="W2026" s="17" t="s">
        <v>58</v>
      </c>
      <c r="Y2026" s="68">
        <v>44866</v>
      </c>
      <c r="Z2026" s="17" t="s">
        <v>191</v>
      </c>
      <c r="AA2026" s="17" t="s">
        <v>46</v>
      </c>
      <c r="AB2026" s="17" t="s">
        <v>769</v>
      </c>
      <c r="AC2026" s="67">
        <v>44876</v>
      </c>
      <c r="AD2026" s="65">
        <v>1358</v>
      </c>
      <c r="AE2026" s="17" t="s">
        <v>48</v>
      </c>
    </row>
    <row r="2027" s="17" customFormat="1" hidden="1" spans="1:31">
      <c r="A2027" s="17" t="s">
        <v>34</v>
      </c>
      <c r="B2027" s="19">
        <v>847</v>
      </c>
      <c r="C2027" s="230" t="s">
        <v>717</v>
      </c>
      <c r="D2027" s="17" t="s">
        <v>52</v>
      </c>
      <c r="E2027" s="17" t="s">
        <v>220</v>
      </c>
      <c r="F2027" s="17" t="s">
        <v>54</v>
      </c>
      <c r="H2027" s="19">
        <v>1.2379</v>
      </c>
      <c r="I2027" s="19"/>
      <c r="J2027" s="17" t="s">
        <v>82</v>
      </c>
      <c r="K2027" s="19">
        <v>105</v>
      </c>
      <c r="L2027" s="19">
        <v>65</v>
      </c>
      <c r="M2027" s="19"/>
      <c r="N2027" s="19" t="s">
        <v>40</v>
      </c>
      <c r="O2027" s="19" t="s">
        <v>168</v>
      </c>
      <c r="P2027" s="17">
        <v>500</v>
      </c>
      <c r="Q2027" s="17">
        <v>515</v>
      </c>
      <c r="R2027" s="17">
        <f t="shared" si="109"/>
        <v>-15</v>
      </c>
      <c r="S2027" s="17">
        <v>2150</v>
      </c>
      <c r="T2027" s="19" t="s">
        <v>42</v>
      </c>
      <c r="U2027" s="102" t="s">
        <v>766</v>
      </c>
      <c r="V2027" s="64" t="s">
        <v>767</v>
      </c>
      <c r="W2027" s="17" t="s">
        <v>58</v>
      </c>
      <c r="Y2027" s="68">
        <v>44866</v>
      </c>
      <c r="Z2027" s="17" t="s">
        <v>191</v>
      </c>
      <c r="AA2027" s="17" t="s">
        <v>46</v>
      </c>
      <c r="AB2027" s="17" t="s">
        <v>769</v>
      </c>
      <c r="AC2027" s="67">
        <v>44876</v>
      </c>
      <c r="AD2027" s="65">
        <v>1358</v>
      </c>
      <c r="AE2027" s="17" t="s">
        <v>48</v>
      </c>
    </row>
    <row r="2028" s="17" customFormat="1" hidden="1" spans="1:31">
      <c r="A2028" s="17" t="s">
        <v>34</v>
      </c>
      <c r="B2028" s="19">
        <v>847</v>
      </c>
      <c r="C2028" s="230" t="s">
        <v>717</v>
      </c>
      <c r="D2028" s="17" t="s">
        <v>52</v>
      </c>
      <c r="E2028" s="17" t="s">
        <v>220</v>
      </c>
      <c r="F2028" s="17" t="s">
        <v>54</v>
      </c>
      <c r="H2028" s="19">
        <v>1.2379</v>
      </c>
      <c r="I2028" s="19"/>
      <c r="J2028" s="17" t="s">
        <v>82</v>
      </c>
      <c r="K2028" s="19">
        <v>130</v>
      </c>
      <c r="L2028" s="19">
        <v>65</v>
      </c>
      <c r="M2028" s="19"/>
      <c r="N2028" s="19" t="s">
        <v>40</v>
      </c>
      <c r="O2028" s="19" t="s">
        <v>168</v>
      </c>
      <c r="P2028" s="17">
        <v>500</v>
      </c>
      <c r="Q2028" s="17">
        <v>396</v>
      </c>
      <c r="R2028" s="17">
        <f t="shared" si="109"/>
        <v>104</v>
      </c>
      <c r="S2028" s="17">
        <v>2150</v>
      </c>
      <c r="T2028" s="19" t="s">
        <v>42</v>
      </c>
      <c r="U2028" s="102" t="s">
        <v>766</v>
      </c>
      <c r="V2028" s="64" t="s">
        <v>767</v>
      </c>
      <c r="W2028" s="17" t="s">
        <v>58</v>
      </c>
      <c r="Y2028" s="68">
        <v>44866</v>
      </c>
      <c r="Z2028" s="17" t="s">
        <v>191</v>
      </c>
      <c r="AA2028" s="17" t="s">
        <v>46</v>
      </c>
      <c r="AB2028" s="17" t="s">
        <v>769</v>
      </c>
      <c r="AC2028" s="67">
        <v>44876</v>
      </c>
      <c r="AD2028" s="65">
        <v>1358</v>
      </c>
      <c r="AE2028" s="17" t="s">
        <v>48</v>
      </c>
    </row>
    <row r="2029" s="17" customFormat="1" hidden="1" spans="1:31">
      <c r="A2029" s="17" t="s">
        <v>34</v>
      </c>
      <c r="B2029" s="19">
        <v>847</v>
      </c>
      <c r="C2029" s="230" t="s">
        <v>717</v>
      </c>
      <c r="D2029" s="17" t="s">
        <v>52</v>
      </c>
      <c r="E2029" s="17" t="s">
        <v>220</v>
      </c>
      <c r="F2029" s="17" t="s">
        <v>54</v>
      </c>
      <c r="H2029" s="19">
        <v>1.2379</v>
      </c>
      <c r="I2029" s="19"/>
      <c r="J2029" s="17" t="s">
        <v>82</v>
      </c>
      <c r="K2029" s="19">
        <v>155</v>
      </c>
      <c r="L2029" s="19">
        <v>65</v>
      </c>
      <c r="M2029" s="19"/>
      <c r="N2029" s="19" t="s">
        <v>40</v>
      </c>
      <c r="O2029" s="19" t="s">
        <v>168</v>
      </c>
      <c r="P2029" s="17">
        <v>500</v>
      </c>
      <c r="Q2029" s="17">
        <v>525</v>
      </c>
      <c r="R2029" s="17">
        <f t="shared" si="109"/>
        <v>-25</v>
      </c>
      <c r="S2029" s="17">
        <v>2150</v>
      </c>
      <c r="T2029" s="19" t="s">
        <v>42</v>
      </c>
      <c r="U2029" s="102" t="s">
        <v>766</v>
      </c>
      <c r="V2029" s="64" t="s">
        <v>767</v>
      </c>
      <c r="W2029" s="17" t="s">
        <v>58</v>
      </c>
      <c r="Y2029" s="68">
        <v>44866</v>
      </c>
      <c r="Z2029" s="17" t="s">
        <v>191</v>
      </c>
      <c r="AA2029" s="17" t="s">
        <v>46</v>
      </c>
      <c r="AB2029" s="17" t="s">
        <v>769</v>
      </c>
      <c r="AC2029" s="67">
        <v>44876</v>
      </c>
      <c r="AD2029" s="65">
        <v>1358</v>
      </c>
      <c r="AE2029" s="17" t="s">
        <v>48</v>
      </c>
    </row>
    <row r="2030" s="17" customFormat="1" hidden="1" spans="1:31">
      <c r="A2030" s="17" t="s">
        <v>34</v>
      </c>
      <c r="B2030" s="19">
        <v>847</v>
      </c>
      <c r="C2030" s="230" t="s">
        <v>717</v>
      </c>
      <c r="D2030" s="17" t="s">
        <v>52</v>
      </c>
      <c r="E2030" s="17" t="s">
        <v>220</v>
      </c>
      <c r="F2030" s="17" t="s">
        <v>54</v>
      </c>
      <c r="H2030" s="19">
        <v>1.2379</v>
      </c>
      <c r="I2030" s="19"/>
      <c r="J2030" s="17" t="s">
        <v>82</v>
      </c>
      <c r="K2030" s="19">
        <v>210</v>
      </c>
      <c r="L2030" s="19">
        <v>65</v>
      </c>
      <c r="M2030" s="19"/>
      <c r="N2030" s="19" t="s">
        <v>40</v>
      </c>
      <c r="O2030" s="19" t="s">
        <v>168</v>
      </c>
      <c r="P2030" s="17">
        <v>500</v>
      </c>
      <c r="Q2030" s="17">
        <v>734</v>
      </c>
      <c r="R2030" s="17">
        <f t="shared" si="109"/>
        <v>-234</v>
      </c>
      <c r="S2030" s="17">
        <v>2150</v>
      </c>
      <c r="T2030" s="19" t="s">
        <v>42</v>
      </c>
      <c r="U2030" s="102" t="s">
        <v>766</v>
      </c>
      <c r="V2030" s="64" t="s">
        <v>767</v>
      </c>
      <c r="W2030" s="17" t="s">
        <v>58</v>
      </c>
      <c r="Y2030" s="68">
        <v>44866</v>
      </c>
      <c r="Z2030" s="17" t="s">
        <v>191</v>
      </c>
      <c r="AA2030" s="17" t="s">
        <v>46</v>
      </c>
      <c r="AB2030" s="17" t="s">
        <v>769</v>
      </c>
      <c r="AC2030" s="67">
        <v>44876</v>
      </c>
      <c r="AD2030" s="65">
        <v>1358</v>
      </c>
      <c r="AE2030" s="17" t="s">
        <v>48</v>
      </c>
    </row>
    <row r="2031" s="17" customFormat="1" hidden="1" spans="1:31">
      <c r="A2031" s="17" t="s">
        <v>34</v>
      </c>
      <c r="B2031" s="19">
        <v>847</v>
      </c>
      <c r="C2031" s="230" t="s">
        <v>717</v>
      </c>
      <c r="D2031" s="17" t="s">
        <v>52</v>
      </c>
      <c r="E2031" s="17" t="s">
        <v>220</v>
      </c>
      <c r="F2031" s="17" t="s">
        <v>54</v>
      </c>
      <c r="H2031" s="19">
        <v>1.2379</v>
      </c>
      <c r="I2031" s="19"/>
      <c r="J2031" s="17" t="s">
        <v>82</v>
      </c>
      <c r="K2031" s="19">
        <v>255</v>
      </c>
      <c r="L2031" s="19">
        <v>65</v>
      </c>
      <c r="M2031" s="19"/>
      <c r="N2031" s="19" t="s">
        <v>40</v>
      </c>
      <c r="O2031" s="19" t="s">
        <v>168</v>
      </c>
      <c r="P2031" s="17">
        <v>500</v>
      </c>
      <c r="Q2031" s="17">
        <v>672</v>
      </c>
      <c r="R2031" s="17">
        <f t="shared" si="109"/>
        <v>-172</v>
      </c>
      <c r="S2031" s="17">
        <v>2150</v>
      </c>
      <c r="T2031" s="19" t="s">
        <v>42</v>
      </c>
      <c r="U2031" s="102" t="s">
        <v>766</v>
      </c>
      <c r="V2031" s="64" t="s">
        <v>767</v>
      </c>
      <c r="W2031" s="17" t="s">
        <v>58</v>
      </c>
      <c r="Y2031" s="68">
        <v>44866</v>
      </c>
      <c r="Z2031" s="17" t="s">
        <v>191</v>
      </c>
      <c r="AA2031" s="17" t="s">
        <v>46</v>
      </c>
      <c r="AB2031" s="17" t="s">
        <v>769</v>
      </c>
      <c r="AC2031" s="67">
        <v>44876</v>
      </c>
      <c r="AD2031" s="65">
        <v>1358</v>
      </c>
      <c r="AE2031" s="17" t="s">
        <v>48</v>
      </c>
    </row>
    <row r="2032" s="17" customFormat="1" hidden="1" spans="1:31">
      <c r="A2032" s="17" t="s">
        <v>34</v>
      </c>
      <c r="B2032" s="19">
        <v>847</v>
      </c>
      <c r="C2032" s="230" t="s">
        <v>717</v>
      </c>
      <c r="D2032" s="17" t="s">
        <v>52</v>
      </c>
      <c r="E2032" s="17" t="s">
        <v>220</v>
      </c>
      <c r="F2032" s="17" t="s">
        <v>54</v>
      </c>
      <c r="H2032" s="19">
        <v>1.2379</v>
      </c>
      <c r="I2032" s="19"/>
      <c r="J2032" s="17" t="s">
        <v>82</v>
      </c>
      <c r="K2032" s="19">
        <v>305</v>
      </c>
      <c r="L2032" s="19">
        <v>65</v>
      </c>
      <c r="M2032" s="19"/>
      <c r="N2032" s="19" t="s">
        <v>40</v>
      </c>
      <c r="O2032" s="19" t="s">
        <v>168</v>
      </c>
      <c r="P2032" s="17">
        <v>500</v>
      </c>
      <c r="Q2032" s="17">
        <v>504</v>
      </c>
      <c r="R2032" s="17">
        <f t="shared" si="109"/>
        <v>-4</v>
      </c>
      <c r="S2032" s="17">
        <v>2150</v>
      </c>
      <c r="T2032" s="19" t="s">
        <v>42</v>
      </c>
      <c r="U2032" s="102" t="s">
        <v>766</v>
      </c>
      <c r="V2032" s="64" t="s">
        <v>767</v>
      </c>
      <c r="W2032" s="17" t="s">
        <v>58</v>
      </c>
      <c r="Y2032" s="68">
        <v>44866</v>
      </c>
      <c r="Z2032" s="17" t="s">
        <v>191</v>
      </c>
      <c r="AA2032" s="17" t="s">
        <v>46</v>
      </c>
      <c r="AB2032" s="17" t="s">
        <v>769</v>
      </c>
      <c r="AC2032" s="67">
        <v>44876</v>
      </c>
      <c r="AD2032" s="65">
        <v>1358</v>
      </c>
      <c r="AE2032" s="17" t="s">
        <v>48</v>
      </c>
    </row>
    <row r="2033" s="17" customFormat="1" hidden="1" spans="1:31">
      <c r="A2033" s="17" t="s">
        <v>34</v>
      </c>
      <c r="B2033" s="19">
        <v>847</v>
      </c>
      <c r="C2033" s="230" t="s">
        <v>717</v>
      </c>
      <c r="D2033" s="17" t="s">
        <v>52</v>
      </c>
      <c r="E2033" s="17" t="s">
        <v>220</v>
      </c>
      <c r="F2033" s="17" t="s">
        <v>54</v>
      </c>
      <c r="H2033" s="19">
        <v>1.2379</v>
      </c>
      <c r="I2033" s="19"/>
      <c r="J2033" s="17" t="s">
        <v>82</v>
      </c>
      <c r="K2033" s="19">
        <v>610</v>
      </c>
      <c r="L2033" s="19">
        <v>65</v>
      </c>
      <c r="M2033" s="19"/>
      <c r="N2033" s="19" t="s">
        <v>40</v>
      </c>
      <c r="O2033" s="19" t="s">
        <v>168</v>
      </c>
      <c r="P2033" s="17">
        <v>1000</v>
      </c>
      <c r="Q2033" s="17">
        <v>981</v>
      </c>
      <c r="R2033" s="17">
        <f t="shared" si="109"/>
        <v>19</v>
      </c>
      <c r="S2033" s="17">
        <v>2150</v>
      </c>
      <c r="T2033" s="19" t="s">
        <v>42</v>
      </c>
      <c r="U2033" s="102" t="s">
        <v>766</v>
      </c>
      <c r="V2033" s="64" t="s">
        <v>767</v>
      </c>
      <c r="W2033" s="17" t="s">
        <v>58</v>
      </c>
      <c r="Y2033" s="68">
        <v>44866</v>
      </c>
      <c r="Z2033" s="17" t="s">
        <v>191</v>
      </c>
      <c r="AA2033" s="17" t="s">
        <v>46</v>
      </c>
      <c r="AB2033" s="17" t="s">
        <v>769</v>
      </c>
      <c r="AC2033" s="67">
        <v>44876</v>
      </c>
      <c r="AD2033" s="65">
        <v>1358</v>
      </c>
      <c r="AE2033" s="17" t="s">
        <v>48</v>
      </c>
    </row>
    <row r="2034" s="17" customFormat="1" hidden="1" spans="1:31">
      <c r="A2034" s="17" t="s">
        <v>34</v>
      </c>
      <c r="B2034" s="19">
        <v>847</v>
      </c>
      <c r="C2034" s="230" t="s">
        <v>717</v>
      </c>
      <c r="D2034" s="17" t="s">
        <v>52</v>
      </c>
      <c r="E2034" s="17" t="s">
        <v>220</v>
      </c>
      <c r="F2034" s="17" t="s">
        <v>54</v>
      </c>
      <c r="H2034" s="19">
        <v>1.2379</v>
      </c>
      <c r="I2034" s="19"/>
      <c r="J2034" s="17" t="s">
        <v>82</v>
      </c>
      <c r="K2034" s="19">
        <v>105</v>
      </c>
      <c r="L2034" s="19">
        <v>80</v>
      </c>
      <c r="M2034" s="19"/>
      <c r="N2034" s="19" t="s">
        <v>40</v>
      </c>
      <c r="O2034" s="19" t="s">
        <v>168</v>
      </c>
      <c r="P2034" s="17">
        <v>500</v>
      </c>
      <c r="Q2034" s="17">
        <v>518</v>
      </c>
      <c r="R2034" s="17">
        <f t="shared" si="109"/>
        <v>-18</v>
      </c>
      <c r="S2034" s="17">
        <v>2150</v>
      </c>
      <c r="T2034" s="19" t="s">
        <v>42</v>
      </c>
      <c r="U2034" s="102" t="s">
        <v>766</v>
      </c>
      <c r="V2034" s="64" t="s">
        <v>767</v>
      </c>
      <c r="W2034" s="17" t="s">
        <v>58</v>
      </c>
      <c r="Y2034" s="68">
        <v>44866</v>
      </c>
      <c r="Z2034" s="17" t="s">
        <v>191</v>
      </c>
      <c r="AA2034" s="17" t="s">
        <v>46</v>
      </c>
      <c r="AB2034" s="17" t="s">
        <v>769</v>
      </c>
      <c r="AC2034" s="67">
        <v>44876</v>
      </c>
      <c r="AD2034" s="65">
        <v>1358</v>
      </c>
      <c r="AE2034" s="17" t="s">
        <v>48</v>
      </c>
    </row>
    <row r="2035" s="17" customFormat="1" hidden="1" spans="1:31">
      <c r="A2035" s="17" t="s">
        <v>34</v>
      </c>
      <c r="B2035" s="19">
        <v>847</v>
      </c>
      <c r="C2035" s="230" t="s">
        <v>717</v>
      </c>
      <c r="D2035" s="17" t="s">
        <v>52</v>
      </c>
      <c r="E2035" s="17" t="s">
        <v>220</v>
      </c>
      <c r="F2035" s="17" t="s">
        <v>54</v>
      </c>
      <c r="H2035" s="19">
        <v>1.2379</v>
      </c>
      <c r="I2035" s="19"/>
      <c r="J2035" s="17" t="s">
        <v>82</v>
      </c>
      <c r="K2035" s="19">
        <v>130</v>
      </c>
      <c r="L2035" s="19">
        <v>80</v>
      </c>
      <c r="M2035" s="19"/>
      <c r="N2035" s="19" t="s">
        <v>40</v>
      </c>
      <c r="O2035" s="19" t="s">
        <v>168</v>
      </c>
      <c r="P2035" s="17">
        <v>500</v>
      </c>
      <c r="Q2035" s="17">
        <v>501</v>
      </c>
      <c r="R2035" s="17">
        <f t="shared" si="109"/>
        <v>-1</v>
      </c>
      <c r="S2035" s="17">
        <v>2150</v>
      </c>
      <c r="T2035" s="19" t="s">
        <v>42</v>
      </c>
      <c r="U2035" s="102" t="s">
        <v>766</v>
      </c>
      <c r="V2035" s="64" t="s">
        <v>767</v>
      </c>
      <c r="W2035" s="17" t="s">
        <v>58</v>
      </c>
      <c r="Y2035" s="68">
        <v>44866</v>
      </c>
      <c r="Z2035" s="17" t="s">
        <v>191</v>
      </c>
      <c r="AA2035" s="17" t="s">
        <v>46</v>
      </c>
      <c r="AB2035" s="17" t="s">
        <v>769</v>
      </c>
      <c r="AC2035" s="67">
        <v>44876</v>
      </c>
      <c r="AD2035" s="65">
        <v>1358</v>
      </c>
      <c r="AE2035" s="17" t="s">
        <v>48</v>
      </c>
    </row>
    <row r="2036" s="17" customFormat="1" hidden="1" spans="1:31">
      <c r="A2036" s="17" t="s">
        <v>34</v>
      </c>
      <c r="B2036" s="19">
        <v>847</v>
      </c>
      <c r="C2036" s="230" t="s">
        <v>717</v>
      </c>
      <c r="D2036" s="17" t="s">
        <v>52</v>
      </c>
      <c r="E2036" s="17" t="s">
        <v>220</v>
      </c>
      <c r="F2036" s="17" t="s">
        <v>54</v>
      </c>
      <c r="H2036" s="19">
        <v>1.2379</v>
      </c>
      <c r="I2036" s="19"/>
      <c r="J2036" s="17" t="s">
        <v>82</v>
      </c>
      <c r="K2036" s="19">
        <v>155</v>
      </c>
      <c r="L2036" s="19">
        <v>80</v>
      </c>
      <c r="M2036" s="19"/>
      <c r="N2036" s="19" t="s">
        <v>40</v>
      </c>
      <c r="O2036" s="19" t="s">
        <v>168</v>
      </c>
      <c r="P2036" s="17">
        <v>500</v>
      </c>
      <c r="Q2036" s="17">
        <v>622</v>
      </c>
      <c r="R2036" s="17">
        <f t="shared" si="109"/>
        <v>-122</v>
      </c>
      <c r="S2036" s="17">
        <v>2150</v>
      </c>
      <c r="T2036" s="19" t="s">
        <v>42</v>
      </c>
      <c r="U2036" s="102" t="s">
        <v>766</v>
      </c>
      <c r="V2036" s="64" t="s">
        <v>767</v>
      </c>
      <c r="W2036" s="17" t="s">
        <v>58</v>
      </c>
      <c r="Y2036" s="68">
        <v>44866</v>
      </c>
      <c r="Z2036" s="17" t="s">
        <v>191</v>
      </c>
      <c r="AA2036" s="17" t="s">
        <v>46</v>
      </c>
      <c r="AB2036" s="17" t="s">
        <v>769</v>
      </c>
      <c r="AC2036" s="67">
        <v>44876</v>
      </c>
      <c r="AD2036" s="65">
        <v>1358</v>
      </c>
      <c r="AE2036" s="17" t="s">
        <v>48</v>
      </c>
    </row>
    <row r="2037" s="17" customFormat="1" hidden="1" spans="1:31">
      <c r="A2037" s="17" t="s">
        <v>34</v>
      </c>
      <c r="B2037" s="19">
        <v>847</v>
      </c>
      <c r="C2037" s="230" t="s">
        <v>717</v>
      </c>
      <c r="D2037" s="17" t="s">
        <v>52</v>
      </c>
      <c r="E2037" s="17" t="s">
        <v>220</v>
      </c>
      <c r="F2037" s="17" t="s">
        <v>54</v>
      </c>
      <c r="H2037" s="19">
        <v>1.2379</v>
      </c>
      <c r="I2037" s="19"/>
      <c r="J2037" s="17" t="s">
        <v>82</v>
      </c>
      <c r="K2037" s="19">
        <v>180</v>
      </c>
      <c r="L2037" s="19">
        <v>80</v>
      </c>
      <c r="M2037" s="19"/>
      <c r="N2037" s="19" t="s">
        <v>40</v>
      </c>
      <c r="O2037" s="19" t="s">
        <v>168</v>
      </c>
      <c r="P2037" s="17">
        <v>500</v>
      </c>
      <c r="Q2037" s="17">
        <v>653</v>
      </c>
      <c r="R2037" s="17">
        <f t="shared" si="109"/>
        <v>-153</v>
      </c>
      <c r="S2037" s="17">
        <v>2150</v>
      </c>
      <c r="T2037" s="19" t="s">
        <v>42</v>
      </c>
      <c r="U2037" s="102" t="s">
        <v>766</v>
      </c>
      <c r="V2037" s="64" t="s">
        <v>767</v>
      </c>
      <c r="W2037" s="17" t="s">
        <v>58</v>
      </c>
      <c r="Y2037" s="68">
        <v>44866</v>
      </c>
      <c r="Z2037" s="17" t="s">
        <v>191</v>
      </c>
      <c r="AA2037" s="17" t="s">
        <v>46</v>
      </c>
      <c r="AB2037" s="17" t="s">
        <v>769</v>
      </c>
      <c r="AC2037" s="67">
        <v>44876</v>
      </c>
      <c r="AD2037" s="65">
        <v>1358</v>
      </c>
      <c r="AE2037" s="17" t="s">
        <v>48</v>
      </c>
    </row>
    <row r="2038" s="17" customFormat="1" hidden="1" spans="1:31">
      <c r="A2038" s="17" t="s">
        <v>34</v>
      </c>
      <c r="B2038" s="19">
        <v>847</v>
      </c>
      <c r="C2038" s="230" t="s">
        <v>717</v>
      </c>
      <c r="D2038" s="17" t="s">
        <v>52</v>
      </c>
      <c r="E2038" s="17" t="s">
        <v>220</v>
      </c>
      <c r="F2038" s="17" t="s">
        <v>54</v>
      </c>
      <c r="H2038" s="19">
        <v>1.2379</v>
      </c>
      <c r="I2038" s="19"/>
      <c r="J2038" s="17" t="s">
        <v>82</v>
      </c>
      <c r="K2038" s="19">
        <v>210</v>
      </c>
      <c r="L2038" s="19">
        <v>80</v>
      </c>
      <c r="M2038" s="19"/>
      <c r="N2038" s="19" t="s">
        <v>40</v>
      </c>
      <c r="O2038" s="19" t="s">
        <v>168</v>
      </c>
      <c r="P2038" s="17">
        <v>500</v>
      </c>
      <c r="Q2038" s="17">
        <v>682</v>
      </c>
      <c r="R2038" s="17">
        <f t="shared" si="109"/>
        <v>-182</v>
      </c>
      <c r="S2038" s="17">
        <v>2150</v>
      </c>
      <c r="T2038" s="19" t="s">
        <v>42</v>
      </c>
      <c r="U2038" s="102" t="s">
        <v>766</v>
      </c>
      <c r="V2038" s="64" t="s">
        <v>767</v>
      </c>
      <c r="W2038" s="17" t="s">
        <v>58</v>
      </c>
      <c r="Y2038" s="68">
        <v>44866</v>
      </c>
      <c r="Z2038" s="17" t="s">
        <v>191</v>
      </c>
      <c r="AA2038" s="17" t="s">
        <v>46</v>
      </c>
      <c r="AB2038" s="17" t="s">
        <v>769</v>
      </c>
      <c r="AC2038" s="67">
        <v>44876</v>
      </c>
      <c r="AD2038" s="65">
        <v>1358</v>
      </c>
      <c r="AE2038" s="17" t="s">
        <v>48</v>
      </c>
    </row>
    <row r="2039" s="17" customFormat="1" hidden="1" spans="1:31">
      <c r="A2039" s="17" t="s">
        <v>34</v>
      </c>
      <c r="B2039" s="19">
        <v>847</v>
      </c>
      <c r="C2039" s="230" t="s">
        <v>717</v>
      </c>
      <c r="D2039" s="17" t="s">
        <v>52</v>
      </c>
      <c r="E2039" s="17" t="s">
        <v>220</v>
      </c>
      <c r="F2039" s="17" t="s">
        <v>54</v>
      </c>
      <c r="H2039" s="19">
        <v>1.2379</v>
      </c>
      <c r="I2039" s="19"/>
      <c r="J2039" s="17" t="s">
        <v>82</v>
      </c>
      <c r="K2039" s="19">
        <v>255</v>
      </c>
      <c r="L2039" s="19">
        <v>80</v>
      </c>
      <c r="M2039" s="19"/>
      <c r="N2039" s="19" t="s">
        <v>40</v>
      </c>
      <c r="O2039" s="19" t="s">
        <v>168</v>
      </c>
      <c r="P2039" s="17">
        <v>500</v>
      </c>
      <c r="Q2039" s="17">
        <v>518</v>
      </c>
      <c r="R2039" s="17">
        <f t="shared" si="109"/>
        <v>-18</v>
      </c>
      <c r="S2039" s="17">
        <v>2150</v>
      </c>
      <c r="T2039" s="19" t="s">
        <v>42</v>
      </c>
      <c r="U2039" s="102" t="s">
        <v>766</v>
      </c>
      <c r="V2039" s="64" t="s">
        <v>767</v>
      </c>
      <c r="W2039" s="17" t="s">
        <v>58</v>
      </c>
      <c r="Y2039" s="68">
        <v>44866</v>
      </c>
      <c r="Z2039" s="17" t="s">
        <v>191</v>
      </c>
      <c r="AA2039" s="17" t="s">
        <v>46</v>
      </c>
      <c r="AB2039" s="17" t="s">
        <v>769</v>
      </c>
      <c r="AC2039" s="67">
        <v>44876</v>
      </c>
      <c r="AD2039" s="65">
        <v>1358</v>
      </c>
      <c r="AE2039" s="17" t="s">
        <v>48</v>
      </c>
    </row>
    <row r="2040" s="17" customFormat="1" hidden="1" spans="1:31">
      <c r="A2040" s="17" t="s">
        <v>34</v>
      </c>
      <c r="B2040" s="19">
        <v>847</v>
      </c>
      <c r="C2040" s="230" t="s">
        <v>717</v>
      </c>
      <c r="D2040" s="17" t="s">
        <v>52</v>
      </c>
      <c r="E2040" s="17" t="s">
        <v>220</v>
      </c>
      <c r="F2040" s="17" t="s">
        <v>54</v>
      </c>
      <c r="H2040" s="19">
        <v>1.2379</v>
      </c>
      <c r="I2040" s="19"/>
      <c r="J2040" s="17" t="s">
        <v>82</v>
      </c>
      <c r="K2040" s="19">
        <v>305</v>
      </c>
      <c r="L2040" s="19">
        <v>80</v>
      </c>
      <c r="M2040" s="19"/>
      <c r="N2040" s="19" t="s">
        <v>40</v>
      </c>
      <c r="O2040" s="19" t="s">
        <v>168</v>
      </c>
      <c r="P2040" s="17">
        <v>500</v>
      </c>
      <c r="Q2040" s="17">
        <v>515</v>
      </c>
      <c r="R2040" s="17">
        <f t="shared" si="109"/>
        <v>-15</v>
      </c>
      <c r="S2040" s="17">
        <v>2150</v>
      </c>
      <c r="T2040" s="19" t="s">
        <v>42</v>
      </c>
      <c r="U2040" s="102" t="s">
        <v>766</v>
      </c>
      <c r="V2040" s="64" t="s">
        <v>767</v>
      </c>
      <c r="W2040" s="17" t="s">
        <v>58</v>
      </c>
      <c r="Y2040" s="68">
        <v>44866</v>
      </c>
      <c r="Z2040" s="17" t="s">
        <v>191</v>
      </c>
      <c r="AA2040" s="17" t="s">
        <v>46</v>
      </c>
      <c r="AB2040" s="17" t="s">
        <v>769</v>
      </c>
      <c r="AC2040" s="67">
        <v>44876</v>
      </c>
      <c r="AD2040" s="65">
        <v>1358</v>
      </c>
      <c r="AE2040" s="17" t="s">
        <v>48</v>
      </c>
    </row>
    <row r="2041" s="17" customFormat="1" hidden="1" spans="1:31">
      <c r="A2041" s="17" t="s">
        <v>34</v>
      </c>
      <c r="B2041" s="19">
        <v>847</v>
      </c>
      <c r="C2041" s="230" t="s">
        <v>717</v>
      </c>
      <c r="D2041" s="17" t="s">
        <v>52</v>
      </c>
      <c r="E2041" s="17" t="s">
        <v>220</v>
      </c>
      <c r="F2041" s="17" t="s">
        <v>54</v>
      </c>
      <c r="H2041" s="19">
        <v>1.2379</v>
      </c>
      <c r="I2041" s="19"/>
      <c r="J2041" s="17" t="s">
        <v>82</v>
      </c>
      <c r="K2041" s="19">
        <v>610</v>
      </c>
      <c r="L2041" s="19">
        <v>80</v>
      </c>
      <c r="M2041" s="19"/>
      <c r="N2041" s="19" t="s">
        <v>40</v>
      </c>
      <c r="O2041" s="19" t="s">
        <v>168</v>
      </c>
      <c r="P2041" s="17">
        <v>1000</v>
      </c>
      <c r="Q2041" s="17">
        <v>1247</v>
      </c>
      <c r="R2041" s="17">
        <f t="shared" si="109"/>
        <v>-247</v>
      </c>
      <c r="S2041" s="17">
        <v>2150</v>
      </c>
      <c r="T2041" s="19" t="s">
        <v>42</v>
      </c>
      <c r="U2041" s="102" t="s">
        <v>766</v>
      </c>
      <c r="V2041" s="64" t="s">
        <v>767</v>
      </c>
      <c r="W2041" s="17" t="s">
        <v>58</v>
      </c>
      <c r="Y2041" s="68">
        <v>44866</v>
      </c>
      <c r="Z2041" s="17" t="s">
        <v>191</v>
      </c>
      <c r="AA2041" s="17" t="s">
        <v>46</v>
      </c>
      <c r="AB2041" s="17" t="s">
        <v>769</v>
      </c>
      <c r="AC2041" s="67">
        <v>44876</v>
      </c>
      <c r="AD2041" s="65">
        <v>1358</v>
      </c>
      <c r="AE2041" s="17" t="s">
        <v>48</v>
      </c>
    </row>
    <row r="2042" s="17" customFormat="1" hidden="1" spans="1:31">
      <c r="A2042" s="17" t="s">
        <v>34</v>
      </c>
      <c r="B2042" s="19">
        <v>847</v>
      </c>
      <c r="C2042" s="230" t="s">
        <v>717</v>
      </c>
      <c r="D2042" s="17" t="s">
        <v>52</v>
      </c>
      <c r="E2042" s="17" t="s">
        <v>220</v>
      </c>
      <c r="F2042" s="17" t="s">
        <v>54</v>
      </c>
      <c r="H2042" s="19">
        <v>1.2379</v>
      </c>
      <c r="I2042" s="19"/>
      <c r="J2042" s="17" t="s">
        <v>82</v>
      </c>
      <c r="K2042" s="19">
        <v>105</v>
      </c>
      <c r="L2042" s="19">
        <v>105</v>
      </c>
      <c r="M2042" s="19"/>
      <c r="N2042" s="19" t="s">
        <v>40</v>
      </c>
      <c r="O2042" s="19" t="s">
        <v>168</v>
      </c>
      <c r="P2042" s="17">
        <v>500</v>
      </c>
      <c r="Q2042" s="17">
        <v>257</v>
      </c>
      <c r="R2042" s="17">
        <f t="shared" ref="R2042:R2073" si="110">+P2042-Q2042</f>
        <v>243</v>
      </c>
      <c r="S2042" s="17">
        <v>2150</v>
      </c>
      <c r="T2042" s="19" t="s">
        <v>42</v>
      </c>
      <c r="U2042" s="102" t="s">
        <v>766</v>
      </c>
      <c r="V2042" s="64" t="s">
        <v>767</v>
      </c>
      <c r="W2042" s="17" t="s">
        <v>58</v>
      </c>
      <c r="Y2042" s="68">
        <v>44866</v>
      </c>
      <c r="Z2042" s="17" t="s">
        <v>191</v>
      </c>
      <c r="AA2042" s="17" t="s">
        <v>46</v>
      </c>
      <c r="AB2042" s="17" t="s">
        <v>769</v>
      </c>
      <c r="AC2042" s="67">
        <v>44876</v>
      </c>
      <c r="AD2042" s="65">
        <v>1358</v>
      </c>
      <c r="AE2042" s="17" t="s">
        <v>48</v>
      </c>
    </row>
    <row r="2043" s="17" customFormat="1" hidden="1" spans="1:31">
      <c r="A2043" s="17" t="s">
        <v>34</v>
      </c>
      <c r="B2043" s="19">
        <v>847</v>
      </c>
      <c r="C2043" s="230" t="s">
        <v>717</v>
      </c>
      <c r="D2043" s="17" t="s">
        <v>52</v>
      </c>
      <c r="E2043" s="17" t="s">
        <v>220</v>
      </c>
      <c r="F2043" s="17" t="s">
        <v>54</v>
      </c>
      <c r="H2043" s="19">
        <v>1.2379</v>
      </c>
      <c r="I2043" s="19"/>
      <c r="J2043" s="17" t="s">
        <v>82</v>
      </c>
      <c r="K2043" s="19">
        <v>130</v>
      </c>
      <c r="L2043" s="19">
        <v>105</v>
      </c>
      <c r="M2043" s="19"/>
      <c r="N2043" s="19" t="s">
        <v>40</v>
      </c>
      <c r="O2043" s="19" t="s">
        <v>168</v>
      </c>
      <c r="P2043" s="17">
        <v>500</v>
      </c>
      <c r="Q2043" s="17">
        <v>616</v>
      </c>
      <c r="R2043" s="17">
        <f t="shared" si="110"/>
        <v>-116</v>
      </c>
      <c r="S2043" s="17">
        <v>2150</v>
      </c>
      <c r="T2043" s="19" t="s">
        <v>42</v>
      </c>
      <c r="U2043" s="102" t="s">
        <v>766</v>
      </c>
      <c r="V2043" s="64" t="s">
        <v>767</v>
      </c>
      <c r="W2043" s="17" t="s">
        <v>58</v>
      </c>
      <c r="Y2043" s="68">
        <v>44866</v>
      </c>
      <c r="Z2043" s="17" t="s">
        <v>191</v>
      </c>
      <c r="AA2043" s="17" t="s">
        <v>46</v>
      </c>
      <c r="AB2043" s="17" t="s">
        <v>769</v>
      </c>
      <c r="AC2043" s="67">
        <v>44876</v>
      </c>
      <c r="AD2043" s="65">
        <v>1358</v>
      </c>
      <c r="AE2043" s="17" t="s">
        <v>48</v>
      </c>
    </row>
    <row r="2044" s="17" customFormat="1" hidden="1" spans="1:31">
      <c r="A2044" s="17" t="s">
        <v>34</v>
      </c>
      <c r="B2044" s="19">
        <v>847</v>
      </c>
      <c r="C2044" s="230" t="s">
        <v>717</v>
      </c>
      <c r="D2044" s="17" t="s">
        <v>52</v>
      </c>
      <c r="E2044" s="17" t="s">
        <v>220</v>
      </c>
      <c r="F2044" s="17" t="s">
        <v>54</v>
      </c>
      <c r="H2044" s="19">
        <v>1.2379</v>
      </c>
      <c r="I2044" s="19"/>
      <c r="J2044" s="17" t="s">
        <v>82</v>
      </c>
      <c r="K2044" s="19">
        <v>155</v>
      </c>
      <c r="L2044" s="19">
        <v>105</v>
      </c>
      <c r="M2044" s="19"/>
      <c r="N2044" s="19" t="s">
        <v>40</v>
      </c>
      <c r="O2044" s="19" t="s">
        <v>168</v>
      </c>
      <c r="P2044" s="17">
        <v>500</v>
      </c>
      <c r="Q2044" s="17">
        <v>725</v>
      </c>
      <c r="R2044" s="17">
        <f t="shared" si="110"/>
        <v>-225</v>
      </c>
      <c r="S2044" s="17">
        <v>2150</v>
      </c>
      <c r="T2044" s="19" t="s">
        <v>42</v>
      </c>
      <c r="U2044" s="102" t="s">
        <v>766</v>
      </c>
      <c r="V2044" s="64" t="s">
        <v>767</v>
      </c>
      <c r="W2044" s="17" t="s">
        <v>58</v>
      </c>
      <c r="Y2044" s="68">
        <v>44866</v>
      </c>
      <c r="Z2044" s="17" t="s">
        <v>191</v>
      </c>
      <c r="AA2044" s="17" t="s">
        <v>46</v>
      </c>
      <c r="AB2044" s="17" t="s">
        <v>769</v>
      </c>
      <c r="AC2044" s="67">
        <v>44876</v>
      </c>
      <c r="AD2044" s="65">
        <v>1358</v>
      </c>
      <c r="AE2044" s="17" t="s">
        <v>48</v>
      </c>
    </row>
    <row r="2045" s="17" customFormat="1" hidden="1" spans="1:31">
      <c r="A2045" s="17" t="s">
        <v>34</v>
      </c>
      <c r="B2045" s="19">
        <v>847</v>
      </c>
      <c r="C2045" s="230" t="s">
        <v>717</v>
      </c>
      <c r="D2045" s="17" t="s">
        <v>52</v>
      </c>
      <c r="E2045" s="17" t="s">
        <v>220</v>
      </c>
      <c r="F2045" s="17" t="s">
        <v>54</v>
      </c>
      <c r="H2045" s="19">
        <v>1.2379</v>
      </c>
      <c r="I2045" s="19"/>
      <c r="J2045" s="17" t="s">
        <v>82</v>
      </c>
      <c r="K2045" s="19">
        <v>180</v>
      </c>
      <c r="L2045" s="19">
        <v>105</v>
      </c>
      <c r="M2045" s="19"/>
      <c r="N2045" s="19" t="s">
        <v>40</v>
      </c>
      <c r="O2045" s="19" t="s">
        <v>168</v>
      </c>
      <c r="P2045" s="17">
        <v>500</v>
      </c>
      <c r="Q2045" s="17">
        <v>515</v>
      </c>
      <c r="R2045" s="17">
        <f t="shared" si="110"/>
        <v>-15</v>
      </c>
      <c r="S2045" s="17">
        <v>2150</v>
      </c>
      <c r="T2045" s="19" t="s">
        <v>42</v>
      </c>
      <c r="U2045" s="102" t="s">
        <v>766</v>
      </c>
      <c r="V2045" s="64" t="s">
        <v>767</v>
      </c>
      <c r="W2045" s="17" t="s">
        <v>58</v>
      </c>
      <c r="Y2045" s="68">
        <v>44866</v>
      </c>
      <c r="Z2045" s="17" t="s">
        <v>191</v>
      </c>
      <c r="AA2045" s="17" t="s">
        <v>46</v>
      </c>
      <c r="AB2045" s="17" t="s">
        <v>769</v>
      </c>
      <c r="AC2045" s="67">
        <v>44876</v>
      </c>
      <c r="AD2045" s="65">
        <v>1358</v>
      </c>
      <c r="AE2045" s="17" t="s">
        <v>48</v>
      </c>
    </row>
    <row r="2046" s="17" customFormat="1" hidden="1" spans="1:31">
      <c r="A2046" s="17" t="s">
        <v>34</v>
      </c>
      <c r="B2046" s="19">
        <v>847</v>
      </c>
      <c r="C2046" s="230" t="s">
        <v>717</v>
      </c>
      <c r="D2046" s="17" t="s">
        <v>52</v>
      </c>
      <c r="E2046" s="17" t="s">
        <v>220</v>
      </c>
      <c r="F2046" s="17" t="s">
        <v>54</v>
      </c>
      <c r="H2046" s="19">
        <v>1.2379</v>
      </c>
      <c r="I2046" s="19"/>
      <c r="J2046" s="17" t="s">
        <v>82</v>
      </c>
      <c r="K2046" s="19">
        <v>210</v>
      </c>
      <c r="L2046" s="19">
        <v>105</v>
      </c>
      <c r="M2046" s="19"/>
      <c r="N2046" s="19" t="s">
        <v>40</v>
      </c>
      <c r="O2046" s="19" t="s">
        <v>168</v>
      </c>
      <c r="P2046" s="17">
        <v>500</v>
      </c>
      <c r="Q2046" s="17">
        <v>518</v>
      </c>
      <c r="R2046" s="17">
        <f t="shared" si="110"/>
        <v>-18</v>
      </c>
      <c r="S2046" s="17">
        <v>2150</v>
      </c>
      <c r="T2046" s="19" t="s">
        <v>42</v>
      </c>
      <c r="U2046" s="102" t="s">
        <v>766</v>
      </c>
      <c r="V2046" s="64" t="s">
        <v>767</v>
      </c>
      <c r="W2046" s="17" t="s">
        <v>58</v>
      </c>
      <c r="Y2046" s="68">
        <v>44866</v>
      </c>
      <c r="Z2046" s="17" t="s">
        <v>191</v>
      </c>
      <c r="AA2046" s="17" t="s">
        <v>46</v>
      </c>
      <c r="AB2046" s="17" t="s">
        <v>769</v>
      </c>
      <c r="AC2046" s="67">
        <v>44876</v>
      </c>
      <c r="AD2046" s="65">
        <v>1358</v>
      </c>
      <c r="AE2046" s="17" t="s">
        <v>48</v>
      </c>
    </row>
    <row r="2047" s="17" customFormat="1" hidden="1" spans="1:31">
      <c r="A2047" s="17" t="s">
        <v>34</v>
      </c>
      <c r="B2047" s="19">
        <v>847</v>
      </c>
      <c r="C2047" s="230" t="s">
        <v>717</v>
      </c>
      <c r="D2047" s="17" t="s">
        <v>52</v>
      </c>
      <c r="E2047" s="17" t="s">
        <v>220</v>
      </c>
      <c r="F2047" s="17" t="s">
        <v>54</v>
      </c>
      <c r="H2047" s="19">
        <v>1.2379</v>
      </c>
      <c r="I2047" s="19"/>
      <c r="J2047" s="17" t="s">
        <v>82</v>
      </c>
      <c r="K2047" s="19">
        <v>230</v>
      </c>
      <c r="L2047" s="19">
        <v>105</v>
      </c>
      <c r="M2047" s="19"/>
      <c r="N2047" s="19" t="s">
        <v>40</v>
      </c>
      <c r="O2047" s="19" t="s">
        <v>168</v>
      </c>
      <c r="P2047" s="17">
        <v>500</v>
      </c>
      <c r="Q2047" s="17">
        <v>670</v>
      </c>
      <c r="R2047" s="17">
        <f t="shared" si="110"/>
        <v>-170</v>
      </c>
      <c r="S2047" s="17">
        <v>2150</v>
      </c>
      <c r="T2047" s="19" t="s">
        <v>42</v>
      </c>
      <c r="U2047" s="102" t="s">
        <v>766</v>
      </c>
      <c r="V2047" s="64" t="s">
        <v>767</v>
      </c>
      <c r="W2047" s="17" t="s">
        <v>58</v>
      </c>
      <c r="Y2047" s="68">
        <v>44866</v>
      </c>
      <c r="Z2047" s="17" t="s">
        <v>191</v>
      </c>
      <c r="AA2047" s="17" t="s">
        <v>46</v>
      </c>
      <c r="AB2047" s="17" t="s">
        <v>769</v>
      </c>
      <c r="AC2047" s="67">
        <v>44876</v>
      </c>
      <c r="AD2047" s="65">
        <v>1358</v>
      </c>
      <c r="AE2047" s="17" t="s">
        <v>48</v>
      </c>
    </row>
    <row r="2048" s="17" customFormat="1" hidden="1" spans="1:31">
      <c r="A2048" s="17" t="s">
        <v>34</v>
      </c>
      <c r="B2048" s="19">
        <v>847</v>
      </c>
      <c r="C2048" s="230" t="s">
        <v>717</v>
      </c>
      <c r="D2048" s="17" t="s">
        <v>52</v>
      </c>
      <c r="E2048" s="17" t="s">
        <v>220</v>
      </c>
      <c r="F2048" s="17" t="s">
        <v>54</v>
      </c>
      <c r="H2048" s="19">
        <v>1.2379</v>
      </c>
      <c r="I2048" s="19"/>
      <c r="J2048" s="17" t="s">
        <v>82</v>
      </c>
      <c r="K2048" s="19">
        <v>255</v>
      </c>
      <c r="L2048" s="19">
        <v>105</v>
      </c>
      <c r="M2048" s="19"/>
      <c r="N2048" s="19" t="s">
        <v>40</v>
      </c>
      <c r="O2048" s="19" t="s">
        <v>168</v>
      </c>
      <c r="P2048" s="17">
        <v>1000</v>
      </c>
      <c r="Q2048" s="17">
        <v>694</v>
      </c>
      <c r="R2048" s="17">
        <f t="shared" si="110"/>
        <v>306</v>
      </c>
      <c r="S2048" s="17">
        <v>2150</v>
      </c>
      <c r="T2048" s="19" t="s">
        <v>42</v>
      </c>
      <c r="U2048" s="102" t="s">
        <v>766</v>
      </c>
      <c r="V2048" s="64" t="s">
        <v>767</v>
      </c>
      <c r="W2048" s="17" t="s">
        <v>58</v>
      </c>
      <c r="Y2048" s="68">
        <v>44866</v>
      </c>
      <c r="Z2048" s="17" t="s">
        <v>191</v>
      </c>
      <c r="AA2048" s="17" t="s">
        <v>46</v>
      </c>
      <c r="AB2048" s="17" t="s">
        <v>769</v>
      </c>
      <c r="AC2048" s="67">
        <v>44876</v>
      </c>
      <c r="AD2048" s="65">
        <v>1358</v>
      </c>
      <c r="AE2048" s="17" t="s">
        <v>48</v>
      </c>
    </row>
    <row r="2049" s="17" customFormat="1" hidden="1" spans="1:32">
      <c r="A2049" s="17" t="s">
        <v>34</v>
      </c>
      <c r="B2049" s="19">
        <v>847</v>
      </c>
      <c r="C2049" s="230" t="s">
        <v>717</v>
      </c>
      <c r="D2049" s="17" t="s">
        <v>52</v>
      </c>
      <c r="E2049" s="17" t="s">
        <v>220</v>
      </c>
      <c r="F2049" s="17" t="s">
        <v>54</v>
      </c>
      <c r="H2049" s="19">
        <v>1.2379</v>
      </c>
      <c r="I2049" s="19"/>
      <c r="J2049" s="17" t="s">
        <v>82</v>
      </c>
      <c r="K2049" s="19">
        <v>305</v>
      </c>
      <c r="L2049" s="19">
        <v>105</v>
      </c>
      <c r="M2049" s="19"/>
      <c r="N2049" s="19" t="s">
        <v>40</v>
      </c>
      <c r="O2049" s="19" t="s">
        <v>168</v>
      </c>
      <c r="P2049" s="17">
        <v>500</v>
      </c>
      <c r="Q2049" s="17">
        <v>1012</v>
      </c>
      <c r="R2049" s="17">
        <f t="shared" si="110"/>
        <v>-512</v>
      </c>
      <c r="S2049" s="17">
        <v>2150</v>
      </c>
      <c r="T2049" s="19" t="s">
        <v>42</v>
      </c>
      <c r="U2049" s="102" t="s">
        <v>766</v>
      </c>
      <c r="V2049" s="64" t="s">
        <v>767</v>
      </c>
      <c r="W2049" s="17" t="s">
        <v>58</v>
      </c>
      <c r="Y2049" s="68">
        <v>44866</v>
      </c>
      <c r="Z2049" s="17" t="s">
        <v>191</v>
      </c>
      <c r="AA2049" s="17" t="s">
        <v>46</v>
      </c>
      <c r="AB2049" s="17" t="s">
        <v>769</v>
      </c>
      <c r="AC2049" s="67">
        <v>44876</v>
      </c>
      <c r="AD2049" s="65">
        <v>1358</v>
      </c>
      <c r="AE2049" s="17" t="s">
        <v>48</v>
      </c>
    </row>
    <row r="2050" s="17" customFormat="1" hidden="1" spans="1:32">
      <c r="A2050" s="17" t="s">
        <v>34</v>
      </c>
      <c r="B2050" s="19">
        <v>847</v>
      </c>
      <c r="C2050" s="230" t="s">
        <v>717</v>
      </c>
      <c r="D2050" s="17" t="s">
        <v>52</v>
      </c>
      <c r="E2050" s="17" t="s">
        <v>220</v>
      </c>
      <c r="F2050" s="17" t="s">
        <v>54</v>
      </c>
      <c r="H2050" s="19">
        <v>1.2379</v>
      </c>
      <c r="I2050" s="19"/>
      <c r="J2050" s="17" t="s">
        <v>82</v>
      </c>
      <c r="K2050" s="19">
        <v>610</v>
      </c>
      <c r="L2050" s="19">
        <v>105</v>
      </c>
      <c r="M2050" s="19"/>
      <c r="N2050" s="19" t="s">
        <v>40</v>
      </c>
      <c r="O2050" s="19" t="s">
        <v>168</v>
      </c>
      <c r="P2050" s="17">
        <v>1000</v>
      </c>
      <c r="Q2050" s="17">
        <v>2098</v>
      </c>
      <c r="R2050" s="17">
        <f t="shared" si="110"/>
        <v>-1098</v>
      </c>
      <c r="S2050" s="17">
        <v>2150</v>
      </c>
      <c r="T2050" s="19" t="s">
        <v>42</v>
      </c>
      <c r="U2050" s="102" t="s">
        <v>766</v>
      </c>
      <c r="V2050" s="64" t="s">
        <v>767</v>
      </c>
      <c r="W2050" s="17" t="s">
        <v>58</v>
      </c>
      <c r="Y2050" s="68">
        <v>44866</v>
      </c>
      <c r="Z2050" s="17" t="s">
        <v>191</v>
      </c>
      <c r="AA2050" s="17" t="s">
        <v>46</v>
      </c>
      <c r="AB2050" s="17" t="s">
        <v>769</v>
      </c>
      <c r="AC2050" s="67">
        <v>44876</v>
      </c>
      <c r="AD2050" s="65">
        <v>1358</v>
      </c>
      <c r="AE2050" s="17" t="s">
        <v>48</v>
      </c>
    </row>
    <row r="2051" s="17" customFormat="1" hidden="1" spans="1:32">
      <c r="A2051" s="17" t="s">
        <v>34</v>
      </c>
      <c r="B2051" s="19">
        <v>848</v>
      </c>
      <c r="C2051" s="110" t="s">
        <v>748</v>
      </c>
      <c r="D2051" s="17" t="s">
        <v>52</v>
      </c>
      <c r="E2051" s="17" t="s">
        <v>187</v>
      </c>
      <c r="F2051" s="17" t="s">
        <v>54</v>
      </c>
      <c r="H2051" s="19">
        <v>1.2311</v>
      </c>
      <c r="I2051" s="19"/>
      <c r="J2051" s="17" t="s">
        <v>49</v>
      </c>
      <c r="K2051" s="184">
        <v>1451</v>
      </c>
      <c r="L2051" s="19">
        <v>364</v>
      </c>
      <c r="M2051" s="19">
        <v>2855</v>
      </c>
      <c r="N2051" s="19" t="s">
        <v>66</v>
      </c>
      <c r="O2051" s="19" t="s">
        <v>149</v>
      </c>
      <c r="P2051" s="17">
        <v>11837</v>
      </c>
      <c r="Q2051" s="17">
        <v>11862</v>
      </c>
      <c r="R2051" s="17">
        <f t="shared" si="110"/>
        <v>-25</v>
      </c>
      <c r="S2051" s="17">
        <f>1400+40</f>
        <v>1440</v>
      </c>
      <c r="T2051" s="19" t="s">
        <v>42</v>
      </c>
      <c r="U2051" s="102" t="s">
        <v>770</v>
      </c>
      <c r="V2051" s="64" t="s">
        <v>771</v>
      </c>
      <c r="W2051" s="17" t="s">
        <v>69</v>
      </c>
      <c r="Y2051" s="68">
        <v>44835</v>
      </c>
      <c r="Z2051" s="17" t="s">
        <v>191</v>
      </c>
      <c r="AA2051" s="17" t="s">
        <v>46</v>
      </c>
      <c r="AB2051" s="17" t="s">
        <v>696</v>
      </c>
      <c r="AC2051" s="17" t="s">
        <v>697</v>
      </c>
      <c r="AD2051" s="65">
        <v>1351</v>
      </c>
      <c r="AE2051" s="17" t="s">
        <v>48</v>
      </c>
      <c r="AF2051" s="17" t="s">
        <v>245</v>
      </c>
    </row>
    <row r="2052" s="17" customFormat="1" hidden="1" spans="1:32">
      <c r="A2052" s="17" t="s">
        <v>34</v>
      </c>
      <c r="B2052" s="19">
        <v>848</v>
      </c>
      <c r="C2052" s="110" t="s">
        <v>748</v>
      </c>
      <c r="D2052" s="17" t="s">
        <v>52</v>
      </c>
      <c r="E2052" s="17" t="s">
        <v>187</v>
      </c>
      <c r="F2052" s="17" t="s">
        <v>54</v>
      </c>
      <c r="H2052" s="19">
        <v>1.2311</v>
      </c>
      <c r="I2052" s="19"/>
      <c r="J2052" s="17" t="s">
        <v>49</v>
      </c>
      <c r="K2052" s="184">
        <v>1192</v>
      </c>
      <c r="L2052" s="19">
        <v>358</v>
      </c>
      <c r="M2052" s="19">
        <v>1900</v>
      </c>
      <c r="N2052" s="19" t="s">
        <v>66</v>
      </c>
      <c r="O2052" s="19" t="s">
        <v>149</v>
      </c>
      <c r="P2052" s="17">
        <v>6365</v>
      </c>
      <c r="Q2052" s="17">
        <v>6416</v>
      </c>
      <c r="R2052" s="17">
        <f t="shared" si="110"/>
        <v>-51</v>
      </c>
      <c r="S2052" s="17">
        <f>1400+40</f>
        <v>1440</v>
      </c>
      <c r="T2052" s="19" t="s">
        <v>42</v>
      </c>
      <c r="U2052" s="102" t="s">
        <v>770</v>
      </c>
      <c r="V2052" s="64" t="s">
        <v>771</v>
      </c>
      <c r="W2052" s="17" t="s">
        <v>69</v>
      </c>
      <c r="Y2052" s="68">
        <v>44835</v>
      </c>
      <c r="Z2052" s="17" t="s">
        <v>191</v>
      </c>
      <c r="AA2052" s="17" t="s">
        <v>46</v>
      </c>
      <c r="AB2052" s="17" t="s">
        <v>696</v>
      </c>
      <c r="AC2052" s="17" t="s">
        <v>697</v>
      </c>
      <c r="AD2052" s="65">
        <v>1351</v>
      </c>
      <c r="AE2052" s="17" t="s">
        <v>48</v>
      </c>
      <c r="AF2052" s="17" t="s">
        <v>245</v>
      </c>
    </row>
    <row r="2053" s="17" customFormat="1" hidden="1" spans="1:32">
      <c r="A2053" s="17" t="s">
        <v>34</v>
      </c>
      <c r="B2053" s="19">
        <v>848</v>
      </c>
      <c r="C2053" s="110" t="s">
        <v>748</v>
      </c>
      <c r="D2053" s="17" t="s">
        <v>52</v>
      </c>
      <c r="E2053" s="17" t="s">
        <v>187</v>
      </c>
      <c r="F2053" s="17" t="s">
        <v>54</v>
      </c>
      <c r="H2053" s="19">
        <v>1.2311</v>
      </c>
      <c r="I2053" s="19"/>
      <c r="J2053" s="17" t="s">
        <v>49</v>
      </c>
      <c r="K2053" s="184">
        <v>1525</v>
      </c>
      <c r="L2053" s="19">
        <v>346</v>
      </c>
      <c r="M2053" s="19">
        <v>2614</v>
      </c>
      <c r="N2053" s="19" t="s">
        <v>66</v>
      </c>
      <c r="O2053" s="19" t="s">
        <v>149</v>
      </c>
      <c r="P2053" s="17">
        <v>10827</v>
      </c>
      <c r="Q2053" s="17">
        <v>10874</v>
      </c>
      <c r="R2053" s="17">
        <f t="shared" si="110"/>
        <v>-47</v>
      </c>
      <c r="S2053" s="17">
        <f>1400+40</f>
        <v>1440</v>
      </c>
      <c r="T2053" s="19" t="s">
        <v>42</v>
      </c>
      <c r="U2053" s="102" t="s">
        <v>770</v>
      </c>
      <c r="V2053" s="64" t="s">
        <v>771</v>
      </c>
      <c r="W2053" s="17" t="s">
        <v>69</v>
      </c>
      <c r="Y2053" s="68">
        <v>44835</v>
      </c>
      <c r="Z2053" s="17" t="s">
        <v>191</v>
      </c>
      <c r="AA2053" s="17" t="s">
        <v>46</v>
      </c>
      <c r="AB2053" s="17" t="s">
        <v>696</v>
      </c>
      <c r="AC2053" s="17" t="s">
        <v>697</v>
      </c>
      <c r="AD2053" s="65">
        <v>1351</v>
      </c>
      <c r="AE2053" s="17" t="s">
        <v>48</v>
      </c>
      <c r="AF2053" s="17" t="s">
        <v>245</v>
      </c>
    </row>
    <row r="2054" s="17" customFormat="1" hidden="1" spans="1:32">
      <c r="A2054" s="17" t="s">
        <v>34</v>
      </c>
      <c r="B2054" s="19">
        <v>848</v>
      </c>
      <c r="C2054" s="110" t="s">
        <v>748</v>
      </c>
      <c r="D2054" s="17" t="s">
        <v>52</v>
      </c>
      <c r="E2054" s="17" t="s">
        <v>187</v>
      </c>
      <c r="F2054" s="17" t="s">
        <v>54</v>
      </c>
      <c r="H2054" s="19">
        <v>1.2311</v>
      </c>
      <c r="I2054" s="19"/>
      <c r="J2054" s="17" t="s">
        <v>49</v>
      </c>
      <c r="K2054" s="184">
        <v>1450</v>
      </c>
      <c r="L2054" s="19">
        <v>273</v>
      </c>
      <c r="M2054" s="19">
        <v>3070</v>
      </c>
      <c r="N2054" s="19" t="s">
        <v>66</v>
      </c>
      <c r="O2054" s="19" t="s">
        <v>149</v>
      </c>
      <c r="P2054" s="17">
        <v>9568</v>
      </c>
      <c r="Q2054" s="17">
        <v>7235</v>
      </c>
      <c r="R2054" s="17">
        <f t="shared" si="110"/>
        <v>2333</v>
      </c>
      <c r="S2054" s="17">
        <f>1400+40</f>
        <v>1440</v>
      </c>
      <c r="T2054" s="19" t="s">
        <v>42</v>
      </c>
      <c r="U2054" s="102" t="s">
        <v>770</v>
      </c>
      <c r="V2054" s="64" t="s">
        <v>771</v>
      </c>
      <c r="W2054" s="17" t="s">
        <v>69</v>
      </c>
      <c r="Y2054" s="68">
        <v>44835</v>
      </c>
      <c r="Z2054" s="17" t="s">
        <v>191</v>
      </c>
      <c r="AA2054" s="17" t="s">
        <v>46</v>
      </c>
      <c r="AB2054" s="17" t="s">
        <v>696</v>
      </c>
      <c r="AC2054" s="17" t="s">
        <v>697</v>
      </c>
      <c r="AD2054" s="65">
        <v>1351</v>
      </c>
      <c r="AE2054" s="17" t="s">
        <v>48</v>
      </c>
      <c r="AF2054" s="17" t="s">
        <v>245</v>
      </c>
    </row>
    <row r="2055" s="17" customFormat="1" hidden="1" spans="1:32">
      <c r="A2055" s="17" t="s">
        <v>34</v>
      </c>
      <c r="B2055" s="19">
        <v>850</v>
      </c>
      <c r="C2055" s="230" t="s">
        <v>772</v>
      </c>
      <c r="D2055" s="17" t="s">
        <v>52</v>
      </c>
      <c r="E2055" s="17" t="s">
        <v>220</v>
      </c>
      <c r="F2055" s="17" t="s">
        <v>54</v>
      </c>
      <c r="H2055" s="19">
        <v>1.2379</v>
      </c>
      <c r="I2055" s="184"/>
      <c r="J2055" s="185" t="s">
        <v>82</v>
      </c>
      <c r="K2055" s="168">
        <v>205</v>
      </c>
      <c r="L2055" s="91">
        <v>25</v>
      </c>
      <c r="M2055" s="234">
        <v>4000</v>
      </c>
      <c r="N2055" s="17" t="s">
        <v>40</v>
      </c>
      <c r="O2055" s="19" t="s">
        <v>168</v>
      </c>
      <c r="P2055" s="235">
        <v>500</v>
      </c>
      <c r="Q2055" s="19">
        <f>120+170+180</f>
        <v>470</v>
      </c>
      <c r="R2055" s="17">
        <f t="shared" si="110"/>
        <v>30</v>
      </c>
      <c r="S2055" s="19">
        <f t="shared" ref="S2055:S2062" si="111">2380-40</f>
        <v>2340</v>
      </c>
      <c r="T2055" s="19" t="s">
        <v>42</v>
      </c>
      <c r="U2055" s="102" t="s">
        <v>773</v>
      </c>
      <c r="V2055" s="64" t="s">
        <v>774</v>
      </c>
      <c r="W2055" s="17" t="s">
        <v>69</v>
      </c>
      <c r="Y2055" s="68">
        <v>44927</v>
      </c>
      <c r="Z2055" s="17" t="s">
        <v>191</v>
      </c>
      <c r="AA2055" s="17" t="s">
        <v>46</v>
      </c>
      <c r="AB2055" s="17" t="s">
        <v>775</v>
      </c>
      <c r="AC2055" s="102" t="s">
        <v>776</v>
      </c>
      <c r="AD2055" s="65">
        <v>1383</v>
      </c>
      <c r="AE2055" s="17" t="s">
        <v>74</v>
      </c>
      <c r="AF2055" s="17" t="s">
        <v>777</v>
      </c>
    </row>
    <row r="2056" s="17" customFormat="1" hidden="1" spans="1:32">
      <c r="A2056" s="17" t="s">
        <v>34</v>
      </c>
      <c r="B2056" s="19">
        <v>850</v>
      </c>
      <c r="C2056" s="230" t="s">
        <v>772</v>
      </c>
      <c r="D2056" s="17" t="s">
        <v>52</v>
      </c>
      <c r="E2056" s="17" t="s">
        <v>220</v>
      </c>
      <c r="F2056" s="17" t="s">
        <v>54</v>
      </c>
      <c r="H2056" s="19">
        <v>1.2379</v>
      </c>
      <c r="I2056" s="184"/>
      <c r="J2056" s="185" t="s">
        <v>82</v>
      </c>
      <c r="K2056" s="91">
        <v>255</v>
      </c>
      <c r="L2056" s="91">
        <v>25</v>
      </c>
      <c r="M2056" s="23">
        <v>4000</v>
      </c>
      <c r="N2056" s="17" t="s">
        <v>40</v>
      </c>
      <c r="O2056" s="19" t="s">
        <v>168</v>
      </c>
      <c r="P2056" s="235">
        <v>500</v>
      </c>
      <c r="Q2056" s="19">
        <f>262+140</f>
        <v>402</v>
      </c>
      <c r="R2056" s="17">
        <f t="shared" si="110"/>
        <v>98</v>
      </c>
      <c r="S2056" s="19">
        <f t="shared" si="111"/>
        <v>2340</v>
      </c>
      <c r="T2056" s="19" t="s">
        <v>42</v>
      </c>
      <c r="U2056" s="102" t="s">
        <v>773</v>
      </c>
      <c r="V2056" s="64" t="s">
        <v>774</v>
      </c>
      <c r="W2056" s="17" t="s">
        <v>69</v>
      </c>
      <c r="Y2056" s="68">
        <v>44927</v>
      </c>
      <c r="Z2056" s="17" t="s">
        <v>191</v>
      </c>
      <c r="AA2056" s="17" t="s">
        <v>46</v>
      </c>
      <c r="AB2056" s="17" t="s">
        <v>775</v>
      </c>
      <c r="AC2056" s="102" t="s">
        <v>776</v>
      </c>
      <c r="AD2056" s="65">
        <v>1383</v>
      </c>
      <c r="AE2056" s="17" t="s">
        <v>74</v>
      </c>
      <c r="AF2056" s="17" t="s">
        <v>777</v>
      </c>
    </row>
    <row r="2057" s="17" customFormat="1" hidden="1" spans="1:32">
      <c r="A2057" s="17" t="s">
        <v>34</v>
      </c>
      <c r="B2057" s="19">
        <v>850</v>
      </c>
      <c r="C2057" s="230" t="s">
        <v>772</v>
      </c>
      <c r="D2057" s="17" t="s">
        <v>52</v>
      </c>
      <c r="E2057" s="17" t="s">
        <v>220</v>
      </c>
      <c r="F2057" s="17" t="s">
        <v>54</v>
      </c>
      <c r="H2057" s="19">
        <v>1.2379</v>
      </c>
      <c r="I2057" s="184"/>
      <c r="J2057" s="185" t="s">
        <v>82</v>
      </c>
      <c r="K2057" s="91">
        <v>305</v>
      </c>
      <c r="L2057" s="91">
        <v>25</v>
      </c>
      <c r="M2057" s="23">
        <v>4000</v>
      </c>
      <c r="N2057" s="17" t="s">
        <v>40</v>
      </c>
      <c r="O2057" s="19" t="s">
        <v>168</v>
      </c>
      <c r="P2057" s="235">
        <v>500</v>
      </c>
      <c r="Q2057" s="19">
        <v>258</v>
      </c>
      <c r="R2057" s="17">
        <f t="shared" si="110"/>
        <v>242</v>
      </c>
      <c r="S2057" s="19">
        <f t="shared" si="111"/>
        <v>2340</v>
      </c>
      <c r="T2057" s="19" t="s">
        <v>42</v>
      </c>
      <c r="U2057" s="102" t="s">
        <v>773</v>
      </c>
      <c r="V2057" s="64" t="s">
        <v>774</v>
      </c>
      <c r="W2057" s="17" t="s">
        <v>69</v>
      </c>
      <c r="Y2057" s="68">
        <v>44927</v>
      </c>
      <c r="Z2057" s="17" t="s">
        <v>191</v>
      </c>
      <c r="AA2057" s="17" t="s">
        <v>46</v>
      </c>
      <c r="AB2057" s="17" t="s">
        <v>775</v>
      </c>
      <c r="AC2057" s="102" t="s">
        <v>776</v>
      </c>
      <c r="AD2057" s="65">
        <v>1383</v>
      </c>
      <c r="AE2057" s="17" t="s">
        <v>74</v>
      </c>
      <c r="AF2057" s="17" t="s">
        <v>777</v>
      </c>
    </row>
    <row r="2058" s="17" customFormat="1" hidden="1" spans="1:32">
      <c r="A2058" s="17" t="s">
        <v>34</v>
      </c>
      <c r="B2058" s="19">
        <v>850</v>
      </c>
      <c r="C2058" s="230" t="s">
        <v>772</v>
      </c>
      <c r="D2058" s="17" t="s">
        <v>52</v>
      </c>
      <c r="E2058" s="17" t="s">
        <v>220</v>
      </c>
      <c r="F2058" s="17" t="s">
        <v>54</v>
      </c>
      <c r="H2058" s="19">
        <v>1.2379</v>
      </c>
      <c r="I2058" s="184"/>
      <c r="J2058" s="185" t="s">
        <v>82</v>
      </c>
      <c r="K2058" s="91">
        <v>355</v>
      </c>
      <c r="L2058" s="91">
        <v>25</v>
      </c>
      <c r="M2058" s="23">
        <v>4000</v>
      </c>
      <c r="N2058" s="17" t="s">
        <v>40</v>
      </c>
      <c r="O2058" s="19" t="s">
        <v>168</v>
      </c>
      <c r="P2058" s="235">
        <v>500</v>
      </c>
      <c r="Q2058" s="19">
        <v>182</v>
      </c>
      <c r="R2058" s="17">
        <f t="shared" si="110"/>
        <v>318</v>
      </c>
      <c r="S2058" s="19">
        <f t="shared" si="111"/>
        <v>2340</v>
      </c>
      <c r="T2058" s="19" t="s">
        <v>42</v>
      </c>
      <c r="U2058" s="102" t="s">
        <v>773</v>
      </c>
      <c r="V2058" s="64" t="s">
        <v>774</v>
      </c>
      <c r="W2058" s="17" t="s">
        <v>69</v>
      </c>
      <c r="Y2058" s="68">
        <v>44927</v>
      </c>
      <c r="Z2058" s="17" t="s">
        <v>191</v>
      </c>
      <c r="AA2058" s="17" t="s">
        <v>46</v>
      </c>
      <c r="AB2058" s="17" t="s">
        <v>775</v>
      </c>
      <c r="AC2058" s="102" t="s">
        <v>776</v>
      </c>
      <c r="AD2058" s="65">
        <v>1383</v>
      </c>
      <c r="AE2058" s="17" t="s">
        <v>74</v>
      </c>
      <c r="AF2058" s="17" t="s">
        <v>777</v>
      </c>
    </row>
    <row r="2059" s="17" customFormat="1" hidden="1" spans="1:32">
      <c r="A2059" s="17" t="s">
        <v>34</v>
      </c>
      <c r="B2059" s="19">
        <v>850</v>
      </c>
      <c r="C2059" s="230" t="s">
        <v>772</v>
      </c>
      <c r="D2059" s="17" t="s">
        <v>52</v>
      </c>
      <c r="E2059" s="17" t="s">
        <v>220</v>
      </c>
      <c r="F2059" s="17" t="s">
        <v>54</v>
      </c>
      <c r="H2059" s="19">
        <v>1.2379</v>
      </c>
      <c r="I2059" s="184"/>
      <c r="J2059" s="185" t="s">
        <v>82</v>
      </c>
      <c r="K2059" s="91">
        <v>405</v>
      </c>
      <c r="L2059" s="91">
        <v>25</v>
      </c>
      <c r="M2059" s="23">
        <v>4000</v>
      </c>
      <c r="N2059" s="17" t="s">
        <v>40</v>
      </c>
      <c r="O2059" s="19" t="s">
        <v>168</v>
      </c>
      <c r="P2059" s="235">
        <v>500</v>
      </c>
      <c r="Q2059" s="19">
        <v>510</v>
      </c>
      <c r="R2059" s="17">
        <f t="shared" si="110"/>
        <v>-10</v>
      </c>
      <c r="S2059" s="19">
        <f t="shared" si="111"/>
        <v>2340</v>
      </c>
      <c r="T2059" s="19" t="s">
        <v>42</v>
      </c>
      <c r="U2059" s="102" t="s">
        <v>773</v>
      </c>
      <c r="V2059" s="64" t="s">
        <v>774</v>
      </c>
      <c r="W2059" s="17" t="s">
        <v>69</v>
      </c>
      <c r="Y2059" s="68">
        <v>44927</v>
      </c>
      <c r="Z2059" s="17" t="s">
        <v>191</v>
      </c>
      <c r="AA2059" s="17" t="s">
        <v>46</v>
      </c>
      <c r="AB2059" s="17" t="s">
        <v>778</v>
      </c>
      <c r="AC2059" s="217">
        <v>45170</v>
      </c>
      <c r="AD2059" s="65">
        <v>1376</v>
      </c>
      <c r="AE2059" s="17" t="s">
        <v>74</v>
      </c>
      <c r="AF2059" s="17" t="s">
        <v>777</v>
      </c>
    </row>
    <row r="2060" s="17" customFormat="1" hidden="1" spans="1:32">
      <c r="A2060" s="17" t="s">
        <v>34</v>
      </c>
      <c r="B2060" s="19">
        <v>850</v>
      </c>
      <c r="C2060" s="230" t="s">
        <v>772</v>
      </c>
      <c r="D2060" s="17" t="s">
        <v>52</v>
      </c>
      <c r="E2060" s="17" t="s">
        <v>220</v>
      </c>
      <c r="F2060" s="17" t="s">
        <v>54</v>
      </c>
      <c r="H2060" s="19">
        <v>1.2379</v>
      </c>
      <c r="I2060" s="184"/>
      <c r="J2060" s="185" t="s">
        <v>82</v>
      </c>
      <c r="K2060" s="91">
        <v>405</v>
      </c>
      <c r="L2060" s="91">
        <v>32</v>
      </c>
      <c r="M2060" s="23">
        <v>4000</v>
      </c>
      <c r="N2060" s="17" t="s">
        <v>40</v>
      </c>
      <c r="O2060" s="19" t="s">
        <v>168</v>
      </c>
      <c r="P2060" s="235">
        <v>814</v>
      </c>
      <c r="Q2060" s="19">
        <v>636</v>
      </c>
      <c r="R2060" s="17">
        <f t="shared" si="110"/>
        <v>178</v>
      </c>
      <c r="S2060" s="19">
        <f t="shared" si="111"/>
        <v>2340</v>
      </c>
      <c r="T2060" s="19" t="s">
        <v>42</v>
      </c>
      <c r="U2060" s="102" t="s">
        <v>773</v>
      </c>
      <c r="V2060" s="64" t="s">
        <v>774</v>
      </c>
      <c r="W2060" s="17" t="s">
        <v>69</v>
      </c>
      <c r="Y2060" s="68">
        <v>44927</v>
      </c>
      <c r="Z2060" s="17" t="s">
        <v>191</v>
      </c>
      <c r="AA2060" s="17" t="s">
        <v>46</v>
      </c>
      <c r="AB2060" s="17" t="s">
        <v>778</v>
      </c>
      <c r="AC2060" s="217">
        <v>45170</v>
      </c>
      <c r="AD2060" s="65">
        <v>1376</v>
      </c>
      <c r="AE2060" s="17" t="s">
        <v>74</v>
      </c>
      <c r="AF2060" s="17" t="s">
        <v>777</v>
      </c>
    </row>
    <row r="2061" s="17" customFormat="1" hidden="1" spans="1:32">
      <c r="A2061" s="17" t="s">
        <v>34</v>
      </c>
      <c r="B2061" s="19">
        <v>850</v>
      </c>
      <c r="C2061" s="230" t="s">
        <v>772</v>
      </c>
      <c r="D2061" s="17" t="s">
        <v>52</v>
      </c>
      <c r="E2061" s="17" t="s">
        <v>220</v>
      </c>
      <c r="F2061" s="17" t="s">
        <v>54</v>
      </c>
      <c r="H2061" s="19">
        <v>1.2379</v>
      </c>
      <c r="I2061" s="184"/>
      <c r="J2061" s="185" t="s">
        <v>82</v>
      </c>
      <c r="K2061" s="91">
        <v>455</v>
      </c>
      <c r="L2061" s="91">
        <v>32</v>
      </c>
      <c r="M2061" s="23">
        <v>4000</v>
      </c>
      <c r="N2061" s="17" t="s">
        <v>40</v>
      </c>
      <c r="O2061" s="19" t="s">
        <v>168</v>
      </c>
      <c r="P2061" s="235">
        <v>914</v>
      </c>
      <c r="Q2061" s="19">
        <v>659</v>
      </c>
      <c r="R2061" s="17">
        <f t="shared" si="110"/>
        <v>255</v>
      </c>
      <c r="S2061" s="19">
        <f t="shared" si="111"/>
        <v>2340</v>
      </c>
      <c r="T2061" s="19" t="s">
        <v>42</v>
      </c>
      <c r="U2061" s="102" t="s">
        <v>773</v>
      </c>
      <c r="V2061" s="64" t="s">
        <v>774</v>
      </c>
      <c r="W2061" s="17" t="s">
        <v>69</v>
      </c>
      <c r="Y2061" s="68">
        <v>44927</v>
      </c>
      <c r="Z2061" s="17" t="s">
        <v>191</v>
      </c>
      <c r="AA2061" s="17" t="s">
        <v>46</v>
      </c>
      <c r="AB2061" s="17" t="s">
        <v>778</v>
      </c>
      <c r="AC2061" s="217">
        <v>45170</v>
      </c>
      <c r="AD2061" s="65">
        <v>1376</v>
      </c>
      <c r="AE2061" s="17" t="s">
        <v>74</v>
      </c>
      <c r="AF2061" s="17" t="s">
        <v>777</v>
      </c>
    </row>
    <row r="2062" s="17" customFormat="1" hidden="1" spans="1:32">
      <c r="A2062" s="17" t="s">
        <v>34</v>
      </c>
      <c r="B2062" s="19">
        <v>850</v>
      </c>
      <c r="C2062" s="230" t="s">
        <v>772</v>
      </c>
      <c r="D2062" s="17" t="s">
        <v>52</v>
      </c>
      <c r="E2062" s="17" t="s">
        <v>220</v>
      </c>
      <c r="F2062" s="17" t="s">
        <v>54</v>
      </c>
      <c r="H2062" s="19">
        <v>1.2379</v>
      </c>
      <c r="I2062" s="184"/>
      <c r="J2062" s="185" t="s">
        <v>82</v>
      </c>
      <c r="K2062" s="91">
        <v>510</v>
      </c>
      <c r="L2062" s="91">
        <v>32</v>
      </c>
      <c r="M2062" s="23">
        <v>4000</v>
      </c>
      <c r="N2062" s="17" t="s">
        <v>40</v>
      </c>
      <c r="O2062" s="19" t="s">
        <v>168</v>
      </c>
      <c r="P2062" s="235">
        <v>1025</v>
      </c>
      <c r="Q2062" s="19">
        <v>802</v>
      </c>
      <c r="R2062" s="17">
        <f t="shared" si="110"/>
        <v>223</v>
      </c>
      <c r="S2062" s="19">
        <f t="shared" si="111"/>
        <v>2340</v>
      </c>
      <c r="T2062" s="19" t="s">
        <v>42</v>
      </c>
      <c r="U2062" s="102" t="s">
        <v>773</v>
      </c>
      <c r="V2062" s="64" t="s">
        <v>774</v>
      </c>
      <c r="W2062" s="17" t="s">
        <v>69</v>
      </c>
      <c r="Y2062" s="68">
        <v>44927</v>
      </c>
      <c r="Z2062" s="17" t="s">
        <v>191</v>
      </c>
      <c r="AA2062" s="17" t="s">
        <v>46</v>
      </c>
      <c r="AB2062" s="17" t="s">
        <v>778</v>
      </c>
      <c r="AC2062" s="217">
        <v>45170</v>
      </c>
      <c r="AD2062" s="65">
        <v>1376</v>
      </c>
      <c r="AE2062" s="17" t="s">
        <v>74</v>
      </c>
      <c r="AF2062" s="17" t="s">
        <v>777</v>
      </c>
    </row>
    <row r="2063" s="17" customFormat="1" hidden="1" spans="1:32">
      <c r="A2063" s="17" t="s">
        <v>34</v>
      </c>
      <c r="B2063" s="19">
        <v>850</v>
      </c>
      <c r="C2063" s="230" t="s">
        <v>772</v>
      </c>
      <c r="D2063" s="17" t="s">
        <v>52</v>
      </c>
      <c r="E2063" s="17" t="s">
        <v>220</v>
      </c>
      <c r="F2063" s="17" t="s">
        <v>54</v>
      </c>
      <c r="H2063" s="19">
        <v>1.2379</v>
      </c>
      <c r="I2063" s="184"/>
      <c r="J2063" s="185" t="s">
        <v>82</v>
      </c>
      <c r="K2063" s="91">
        <v>205</v>
      </c>
      <c r="L2063" s="91">
        <v>40</v>
      </c>
      <c r="M2063" s="23">
        <v>4000</v>
      </c>
      <c r="N2063" s="17" t="s">
        <v>40</v>
      </c>
      <c r="O2063" s="19" t="s">
        <v>168</v>
      </c>
      <c r="P2063" s="235">
        <v>515</v>
      </c>
      <c r="Q2063" s="19">
        <v>688</v>
      </c>
      <c r="R2063" s="17">
        <f t="shared" si="110"/>
        <v>-173</v>
      </c>
      <c r="S2063" s="19">
        <f>2140-40</f>
        <v>2100</v>
      </c>
      <c r="T2063" s="19" t="s">
        <v>42</v>
      </c>
      <c r="U2063" s="102" t="s">
        <v>773</v>
      </c>
      <c r="V2063" s="64" t="s">
        <v>774</v>
      </c>
      <c r="W2063" s="17" t="s">
        <v>69</v>
      </c>
      <c r="Y2063" s="68">
        <v>44927</v>
      </c>
      <c r="Z2063" s="17" t="s">
        <v>191</v>
      </c>
      <c r="AA2063" s="17" t="s">
        <v>46</v>
      </c>
      <c r="AB2063" s="17" t="s">
        <v>775</v>
      </c>
      <c r="AC2063" s="102" t="s">
        <v>776</v>
      </c>
      <c r="AD2063" s="65">
        <v>1383</v>
      </c>
      <c r="AE2063" s="17" t="s">
        <v>74</v>
      </c>
      <c r="AF2063" s="17" t="s">
        <v>777</v>
      </c>
    </row>
    <row r="2064" s="17" customFormat="1" hidden="1" spans="1:32">
      <c r="A2064" s="17" t="s">
        <v>34</v>
      </c>
      <c r="B2064" s="19">
        <v>850</v>
      </c>
      <c r="C2064" s="230" t="s">
        <v>772</v>
      </c>
      <c r="D2064" s="17" t="s">
        <v>52</v>
      </c>
      <c r="E2064" s="17" t="s">
        <v>220</v>
      </c>
      <c r="F2064" s="17" t="s">
        <v>54</v>
      </c>
      <c r="H2064" s="19">
        <v>1.2379</v>
      </c>
      <c r="I2064" s="184"/>
      <c r="J2064" s="185" t="s">
        <v>82</v>
      </c>
      <c r="K2064" s="91">
        <v>255</v>
      </c>
      <c r="L2064" s="91">
        <v>40</v>
      </c>
      <c r="M2064" s="23">
        <v>4000</v>
      </c>
      <c r="N2064" s="17" t="s">
        <v>40</v>
      </c>
      <c r="O2064" s="19" t="s">
        <v>168</v>
      </c>
      <c r="P2064" s="235">
        <v>641</v>
      </c>
      <c r="Q2064" s="19">
        <f>360+364+370</f>
        <v>1094</v>
      </c>
      <c r="R2064" s="17">
        <f t="shared" si="110"/>
        <v>-453</v>
      </c>
      <c r="S2064" s="19">
        <f>2140-40</f>
        <v>2100</v>
      </c>
      <c r="T2064" s="19" t="s">
        <v>42</v>
      </c>
      <c r="U2064" s="102" t="s">
        <v>773</v>
      </c>
      <c r="V2064" s="64" t="s">
        <v>774</v>
      </c>
      <c r="W2064" s="17" t="s">
        <v>69</v>
      </c>
      <c r="Y2064" s="68">
        <v>44927</v>
      </c>
      <c r="Z2064" s="17" t="s">
        <v>191</v>
      </c>
      <c r="AA2064" s="17" t="s">
        <v>46</v>
      </c>
      <c r="AB2064" s="17" t="s">
        <v>775</v>
      </c>
      <c r="AC2064" s="102" t="s">
        <v>776</v>
      </c>
      <c r="AD2064" s="65">
        <v>1383</v>
      </c>
      <c r="AE2064" s="17" t="s">
        <v>74</v>
      </c>
      <c r="AF2064" s="17" t="s">
        <v>777</v>
      </c>
    </row>
    <row r="2065" s="17" customFormat="1" hidden="1" spans="1:32">
      <c r="A2065" s="17" t="s">
        <v>34</v>
      </c>
      <c r="B2065" s="19">
        <v>850</v>
      </c>
      <c r="C2065" s="230" t="s">
        <v>772</v>
      </c>
      <c r="D2065" s="17" t="s">
        <v>52</v>
      </c>
      <c r="E2065" s="17" t="s">
        <v>220</v>
      </c>
      <c r="F2065" s="17" t="s">
        <v>54</v>
      </c>
      <c r="H2065" s="19">
        <v>1.2379</v>
      </c>
      <c r="I2065" s="184"/>
      <c r="J2065" s="185" t="s">
        <v>82</v>
      </c>
      <c r="K2065" s="91">
        <v>305</v>
      </c>
      <c r="L2065" s="91">
        <v>40</v>
      </c>
      <c r="M2065" s="23">
        <v>4000</v>
      </c>
      <c r="N2065" s="17" t="s">
        <v>40</v>
      </c>
      <c r="O2065" s="19" t="s">
        <v>168</v>
      </c>
      <c r="P2065" s="235">
        <v>766</v>
      </c>
      <c r="Q2065" s="19">
        <v>642</v>
      </c>
      <c r="R2065" s="17">
        <f t="shared" si="110"/>
        <v>124</v>
      </c>
      <c r="S2065" s="19">
        <f>2140-40</f>
        <v>2100</v>
      </c>
      <c r="T2065" s="19" t="s">
        <v>42</v>
      </c>
      <c r="U2065" s="102" t="s">
        <v>773</v>
      </c>
      <c r="V2065" s="64" t="s">
        <v>774</v>
      </c>
      <c r="W2065" s="17" t="s">
        <v>69</v>
      </c>
      <c r="Y2065" s="68">
        <v>44927</v>
      </c>
      <c r="Z2065" s="17" t="s">
        <v>191</v>
      </c>
      <c r="AA2065" s="17" t="s">
        <v>46</v>
      </c>
      <c r="AB2065" s="17" t="s">
        <v>775</v>
      </c>
      <c r="AC2065" s="102" t="s">
        <v>776</v>
      </c>
      <c r="AD2065" s="65">
        <v>1383</v>
      </c>
      <c r="AE2065" s="17" t="s">
        <v>74</v>
      </c>
      <c r="AF2065" s="17" t="s">
        <v>777</v>
      </c>
    </row>
    <row r="2066" s="17" customFormat="1" hidden="1" spans="1:32">
      <c r="A2066" s="17" t="s">
        <v>34</v>
      </c>
      <c r="B2066" s="19">
        <v>850</v>
      </c>
      <c r="C2066" s="230" t="s">
        <v>772</v>
      </c>
      <c r="D2066" s="17" t="s">
        <v>52</v>
      </c>
      <c r="E2066" s="17" t="s">
        <v>220</v>
      </c>
      <c r="F2066" s="17" t="s">
        <v>54</v>
      </c>
      <c r="H2066" s="19">
        <v>1.2379</v>
      </c>
      <c r="I2066" s="184"/>
      <c r="J2066" s="185" t="s">
        <v>82</v>
      </c>
      <c r="K2066" s="91">
        <v>355</v>
      </c>
      <c r="L2066" s="91">
        <v>40</v>
      </c>
      <c r="M2066" s="23">
        <v>4000</v>
      </c>
      <c r="N2066" s="17" t="s">
        <v>40</v>
      </c>
      <c r="O2066" s="19" t="s">
        <v>168</v>
      </c>
      <c r="P2066" s="235">
        <v>892</v>
      </c>
      <c r="Q2066" s="19">
        <f>522+542</f>
        <v>1064</v>
      </c>
      <c r="R2066" s="17">
        <f t="shared" si="110"/>
        <v>-172</v>
      </c>
      <c r="S2066" s="19">
        <f>2140-40</f>
        <v>2100</v>
      </c>
      <c r="T2066" s="19" t="s">
        <v>42</v>
      </c>
      <c r="U2066" s="102" t="s">
        <v>773</v>
      </c>
      <c r="V2066" s="64" t="s">
        <v>774</v>
      </c>
      <c r="W2066" s="17" t="s">
        <v>69</v>
      </c>
      <c r="Y2066" s="68">
        <v>44927</v>
      </c>
      <c r="Z2066" s="17" t="s">
        <v>191</v>
      </c>
      <c r="AA2066" s="17" t="s">
        <v>46</v>
      </c>
      <c r="AB2066" s="17" t="s">
        <v>775</v>
      </c>
      <c r="AC2066" s="102" t="s">
        <v>776</v>
      </c>
      <c r="AD2066" s="65">
        <v>1383</v>
      </c>
      <c r="AE2066" s="17" t="s">
        <v>74</v>
      </c>
      <c r="AF2066" s="17" t="s">
        <v>777</v>
      </c>
    </row>
    <row r="2067" s="17" customFormat="1" hidden="1" spans="1:32">
      <c r="A2067" s="17" t="s">
        <v>34</v>
      </c>
      <c r="B2067" s="19">
        <v>850</v>
      </c>
      <c r="C2067" s="230" t="s">
        <v>772</v>
      </c>
      <c r="D2067" s="17" t="s">
        <v>52</v>
      </c>
      <c r="E2067" s="17" t="s">
        <v>220</v>
      </c>
      <c r="F2067" s="17" t="s">
        <v>54</v>
      </c>
      <c r="H2067" s="19">
        <v>1.2379</v>
      </c>
      <c r="I2067" s="184"/>
      <c r="J2067" s="185" t="s">
        <v>82</v>
      </c>
      <c r="K2067" s="91">
        <v>405</v>
      </c>
      <c r="L2067" s="91">
        <v>40</v>
      </c>
      <c r="M2067" s="23">
        <v>4000</v>
      </c>
      <c r="N2067" s="17" t="s">
        <v>40</v>
      </c>
      <c r="O2067" s="19" t="s">
        <v>168</v>
      </c>
      <c r="P2067" s="235">
        <v>1017</v>
      </c>
      <c r="Q2067" s="19">
        <v>956</v>
      </c>
      <c r="R2067" s="17">
        <f t="shared" si="110"/>
        <v>61</v>
      </c>
      <c r="S2067" s="19">
        <f>2140-40</f>
        <v>2100</v>
      </c>
      <c r="T2067" s="19" t="s">
        <v>42</v>
      </c>
      <c r="U2067" s="102" t="s">
        <v>773</v>
      </c>
      <c r="V2067" s="64" t="s">
        <v>774</v>
      </c>
      <c r="W2067" s="17" t="s">
        <v>69</v>
      </c>
      <c r="Y2067" s="68">
        <v>44927</v>
      </c>
      <c r="Z2067" s="17" t="s">
        <v>191</v>
      </c>
      <c r="AA2067" s="17" t="s">
        <v>46</v>
      </c>
      <c r="AB2067" s="17" t="s">
        <v>778</v>
      </c>
      <c r="AC2067" s="217">
        <v>45170</v>
      </c>
      <c r="AD2067" s="65">
        <v>1376</v>
      </c>
      <c r="AE2067" s="17" t="s">
        <v>74</v>
      </c>
      <c r="AF2067" s="17" t="s">
        <v>777</v>
      </c>
    </row>
    <row r="2068" s="17" customFormat="1" hidden="1" spans="1:32">
      <c r="A2068" s="17" t="s">
        <v>34</v>
      </c>
      <c r="B2068" s="19">
        <v>850</v>
      </c>
      <c r="C2068" s="230" t="s">
        <v>772</v>
      </c>
      <c r="D2068" s="17" t="s">
        <v>52</v>
      </c>
      <c r="E2068" s="17" t="s">
        <v>220</v>
      </c>
      <c r="F2068" s="17" t="s">
        <v>54</v>
      </c>
      <c r="H2068" s="19">
        <v>1.2379</v>
      </c>
      <c r="I2068" s="184"/>
      <c r="J2068" s="185" t="s">
        <v>82</v>
      </c>
      <c r="K2068" s="91">
        <v>505</v>
      </c>
      <c r="L2068" s="91">
        <v>40</v>
      </c>
      <c r="M2068" s="23">
        <v>4000</v>
      </c>
      <c r="N2068" s="17" t="s">
        <v>40</v>
      </c>
      <c r="O2068" s="19" t="s">
        <v>168</v>
      </c>
      <c r="P2068" s="235">
        <v>1269</v>
      </c>
      <c r="Q2068" s="19">
        <v>971</v>
      </c>
      <c r="R2068" s="17">
        <f t="shared" si="110"/>
        <v>298</v>
      </c>
      <c r="S2068" s="19">
        <f>2380-40</f>
        <v>2340</v>
      </c>
      <c r="T2068" s="19" t="s">
        <v>42</v>
      </c>
      <c r="U2068" s="102" t="s">
        <v>773</v>
      </c>
      <c r="V2068" s="64" t="s">
        <v>774</v>
      </c>
      <c r="W2068" s="17" t="s">
        <v>69</v>
      </c>
      <c r="Y2068" s="68">
        <v>44927</v>
      </c>
      <c r="Z2068" s="17" t="s">
        <v>191</v>
      </c>
      <c r="AA2068" s="17" t="s">
        <v>46</v>
      </c>
      <c r="AB2068" s="17" t="s">
        <v>778</v>
      </c>
      <c r="AC2068" s="217">
        <v>45170</v>
      </c>
      <c r="AD2068" s="65">
        <v>1376</v>
      </c>
      <c r="AE2068" s="17" t="s">
        <v>74</v>
      </c>
      <c r="AF2068" s="17" t="s">
        <v>777</v>
      </c>
    </row>
    <row r="2069" s="17" customFormat="1" hidden="1" spans="1:32">
      <c r="A2069" s="17" t="s">
        <v>34</v>
      </c>
      <c r="B2069" s="19">
        <v>850</v>
      </c>
      <c r="C2069" s="230" t="s">
        <v>772</v>
      </c>
      <c r="D2069" s="17" t="s">
        <v>52</v>
      </c>
      <c r="E2069" s="17" t="s">
        <v>220</v>
      </c>
      <c r="F2069" s="17" t="s">
        <v>54</v>
      </c>
      <c r="H2069" s="19">
        <v>1.2379</v>
      </c>
      <c r="I2069" s="184"/>
      <c r="J2069" s="185" t="s">
        <v>82</v>
      </c>
      <c r="K2069" s="91">
        <v>205</v>
      </c>
      <c r="L2069" s="91">
        <v>50</v>
      </c>
      <c r="M2069" s="23">
        <v>4000</v>
      </c>
      <c r="N2069" s="17" t="s">
        <v>40</v>
      </c>
      <c r="O2069" s="19" t="s">
        <v>168</v>
      </c>
      <c r="P2069" s="235">
        <v>644</v>
      </c>
      <c r="Q2069" s="19">
        <f>260+344</f>
        <v>604</v>
      </c>
      <c r="R2069" s="17">
        <f t="shared" si="110"/>
        <v>40</v>
      </c>
      <c r="S2069" s="19">
        <f t="shared" ref="S2069:S2104" si="112">2140-40</f>
        <v>2100</v>
      </c>
      <c r="T2069" s="19" t="s">
        <v>42</v>
      </c>
      <c r="U2069" s="102" t="s">
        <v>773</v>
      </c>
      <c r="V2069" s="64" t="s">
        <v>774</v>
      </c>
      <c r="W2069" s="17" t="s">
        <v>69</v>
      </c>
      <c r="Y2069" s="68">
        <v>44927</v>
      </c>
      <c r="Z2069" s="17" t="s">
        <v>191</v>
      </c>
      <c r="AA2069" s="17" t="s">
        <v>46</v>
      </c>
      <c r="AB2069" s="17" t="s">
        <v>775</v>
      </c>
      <c r="AC2069" s="102" t="s">
        <v>776</v>
      </c>
      <c r="AD2069" s="65">
        <v>1383</v>
      </c>
      <c r="AE2069" s="17" t="s">
        <v>74</v>
      </c>
      <c r="AF2069" s="17" t="s">
        <v>777</v>
      </c>
    </row>
    <row r="2070" s="17" customFormat="1" hidden="1" spans="1:32">
      <c r="A2070" s="17" t="s">
        <v>34</v>
      </c>
      <c r="B2070" s="19">
        <v>850</v>
      </c>
      <c r="C2070" s="230" t="s">
        <v>772</v>
      </c>
      <c r="D2070" s="17" t="s">
        <v>52</v>
      </c>
      <c r="E2070" s="17" t="s">
        <v>220</v>
      </c>
      <c r="F2070" s="17" t="s">
        <v>54</v>
      </c>
      <c r="H2070" s="19">
        <v>1.2379</v>
      </c>
      <c r="I2070" s="184"/>
      <c r="J2070" s="185" t="s">
        <v>82</v>
      </c>
      <c r="K2070" s="91">
        <v>255</v>
      </c>
      <c r="L2070" s="91">
        <v>50</v>
      </c>
      <c r="M2070" s="23">
        <v>4000</v>
      </c>
      <c r="N2070" s="17" t="s">
        <v>40</v>
      </c>
      <c r="O2070" s="19" t="s">
        <v>168</v>
      </c>
      <c r="P2070" s="235">
        <v>801</v>
      </c>
      <c r="Q2070" s="19">
        <v>362</v>
      </c>
      <c r="R2070" s="17">
        <f t="shared" si="110"/>
        <v>439</v>
      </c>
      <c r="S2070" s="19">
        <f t="shared" si="112"/>
        <v>2100</v>
      </c>
      <c r="T2070" s="19" t="s">
        <v>42</v>
      </c>
      <c r="U2070" s="102" t="s">
        <v>773</v>
      </c>
      <c r="V2070" s="64" t="s">
        <v>774</v>
      </c>
      <c r="W2070" s="17" t="s">
        <v>69</v>
      </c>
      <c r="Y2070" s="68">
        <v>44927</v>
      </c>
      <c r="Z2070" s="17" t="s">
        <v>191</v>
      </c>
      <c r="AA2070" s="17" t="s">
        <v>46</v>
      </c>
      <c r="AB2070" s="17" t="s">
        <v>775</v>
      </c>
      <c r="AC2070" s="102" t="s">
        <v>776</v>
      </c>
      <c r="AD2070" s="65">
        <v>1383</v>
      </c>
      <c r="AE2070" s="17" t="s">
        <v>74</v>
      </c>
      <c r="AF2070" s="17" t="s">
        <v>777</v>
      </c>
    </row>
    <row r="2071" s="17" customFormat="1" hidden="1" spans="1:32">
      <c r="A2071" s="17" t="s">
        <v>34</v>
      </c>
      <c r="B2071" s="19">
        <v>850</v>
      </c>
      <c r="C2071" s="230" t="s">
        <v>772</v>
      </c>
      <c r="D2071" s="17" t="s">
        <v>52</v>
      </c>
      <c r="E2071" s="17" t="s">
        <v>220</v>
      </c>
      <c r="F2071" s="17" t="s">
        <v>54</v>
      </c>
      <c r="H2071" s="19">
        <v>1.2379</v>
      </c>
      <c r="I2071" s="184"/>
      <c r="J2071" s="185" t="s">
        <v>82</v>
      </c>
      <c r="K2071" s="91">
        <v>305</v>
      </c>
      <c r="L2071" s="91">
        <v>50</v>
      </c>
      <c r="M2071" s="23">
        <v>4000</v>
      </c>
      <c r="N2071" s="17" t="s">
        <v>40</v>
      </c>
      <c r="O2071" s="19" t="s">
        <v>168</v>
      </c>
      <c r="P2071" s="235">
        <v>958</v>
      </c>
      <c r="Q2071" s="19">
        <v>548</v>
      </c>
      <c r="R2071" s="17">
        <f t="shared" si="110"/>
        <v>410</v>
      </c>
      <c r="S2071" s="19">
        <f t="shared" si="112"/>
        <v>2100</v>
      </c>
      <c r="T2071" s="19" t="s">
        <v>42</v>
      </c>
      <c r="U2071" s="102" t="s">
        <v>773</v>
      </c>
      <c r="V2071" s="64" t="s">
        <v>774</v>
      </c>
      <c r="W2071" s="17" t="s">
        <v>69</v>
      </c>
      <c r="Y2071" s="68">
        <v>44927</v>
      </c>
      <c r="Z2071" s="17" t="s">
        <v>191</v>
      </c>
      <c r="AA2071" s="17" t="s">
        <v>46</v>
      </c>
      <c r="AB2071" s="17" t="s">
        <v>775</v>
      </c>
      <c r="AC2071" s="102" t="s">
        <v>776</v>
      </c>
      <c r="AD2071" s="65">
        <v>1383</v>
      </c>
      <c r="AE2071" s="17" t="s">
        <v>74</v>
      </c>
      <c r="AF2071" s="17" t="s">
        <v>777</v>
      </c>
    </row>
    <row r="2072" s="17" customFormat="1" hidden="1" spans="1:32">
      <c r="A2072" s="17" t="s">
        <v>34</v>
      </c>
      <c r="B2072" s="19">
        <v>850</v>
      </c>
      <c r="C2072" s="230" t="s">
        <v>772</v>
      </c>
      <c r="D2072" s="17" t="s">
        <v>52</v>
      </c>
      <c r="E2072" s="17" t="s">
        <v>220</v>
      </c>
      <c r="F2072" s="17" t="s">
        <v>54</v>
      </c>
      <c r="H2072" s="19">
        <v>1.2379</v>
      </c>
      <c r="I2072" s="184"/>
      <c r="J2072" s="185" t="s">
        <v>82</v>
      </c>
      <c r="K2072" s="91">
        <v>355</v>
      </c>
      <c r="L2072" s="91">
        <v>50</v>
      </c>
      <c r="M2072" s="23">
        <v>4000</v>
      </c>
      <c r="N2072" s="17" t="s">
        <v>40</v>
      </c>
      <c r="O2072" s="19" t="s">
        <v>168</v>
      </c>
      <c r="P2072" s="235">
        <v>1115</v>
      </c>
      <c r="Q2072" s="19">
        <v>972</v>
      </c>
      <c r="R2072" s="17">
        <f t="shared" si="110"/>
        <v>143</v>
      </c>
      <c r="S2072" s="19">
        <f t="shared" si="112"/>
        <v>2100</v>
      </c>
      <c r="T2072" s="19" t="s">
        <v>42</v>
      </c>
      <c r="U2072" s="102" t="s">
        <v>773</v>
      </c>
      <c r="V2072" s="64" t="s">
        <v>774</v>
      </c>
      <c r="W2072" s="17" t="s">
        <v>69</v>
      </c>
      <c r="Y2072" s="68">
        <v>44927</v>
      </c>
      <c r="Z2072" s="17" t="s">
        <v>191</v>
      </c>
      <c r="AA2072" s="17" t="s">
        <v>46</v>
      </c>
      <c r="AB2072" s="17" t="s">
        <v>778</v>
      </c>
      <c r="AC2072" s="217">
        <v>45170</v>
      </c>
      <c r="AD2072" s="65">
        <v>1376</v>
      </c>
      <c r="AE2072" s="17" t="s">
        <v>74</v>
      </c>
      <c r="AF2072" s="17" t="s">
        <v>777</v>
      </c>
    </row>
    <row r="2073" s="17" customFormat="1" hidden="1" spans="1:32">
      <c r="A2073" s="17" t="s">
        <v>34</v>
      </c>
      <c r="B2073" s="19">
        <v>850</v>
      </c>
      <c r="C2073" s="230" t="s">
        <v>772</v>
      </c>
      <c r="D2073" s="17" t="s">
        <v>52</v>
      </c>
      <c r="E2073" s="17" t="s">
        <v>220</v>
      </c>
      <c r="F2073" s="17" t="s">
        <v>54</v>
      </c>
      <c r="H2073" s="19">
        <v>1.2379</v>
      </c>
      <c r="I2073" s="184"/>
      <c r="J2073" s="185" t="s">
        <v>82</v>
      </c>
      <c r="K2073" s="91">
        <v>505</v>
      </c>
      <c r="L2073" s="91">
        <v>50</v>
      </c>
      <c r="M2073" s="23">
        <v>4000</v>
      </c>
      <c r="N2073" s="17" t="s">
        <v>40</v>
      </c>
      <c r="O2073" s="19" t="s">
        <v>168</v>
      </c>
      <c r="P2073" s="235">
        <v>1586</v>
      </c>
      <c r="Q2073" s="19">
        <v>1270</v>
      </c>
      <c r="R2073" s="17">
        <f t="shared" si="110"/>
        <v>316</v>
      </c>
      <c r="S2073" s="19">
        <f t="shared" si="112"/>
        <v>2100</v>
      </c>
      <c r="T2073" s="19" t="s">
        <v>42</v>
      </c>
      <c r="U2073" s="102" t="s">
        <v>773</v>
      </c>
      <c r="V2073" s="64" t="s">
        <v>774</v>
      </c>
      <c r="W2073" s="17" t="s">
        <v>69</v>
      </c>
      <c r="Y2073" s="68">
        <v>44927</v>
      </c>
      <c r="Z2073" s="17" t="s">
        <v>191</v>
      </c>
      <c r="AA2073" s="17" t="s">
        <v>46</v>
      </c>
      <c r="AB2073" s="17" t="s">
        <v>778</v>
      </c>
      <c r="AC2073" s="217">
        <v>45170</v>
      </c>
      <c r="AD2073" s="65">
        <v>1376</v>
      </c>
      <c r="AE2073" s="17" t="s">
        <v>74</v>
      </c>
      <c r="AF2073" s="17" t="s">
        <v>777</v>
      </c>
    </row>
    <row r="2074" s="17" customFormat="1" hidden="1" spans="1:32">
      <c r="A2074" s="17" t="s">
        <v>34</v>
      </c>
      <c r="B2074" s="19">
        <v>850</v>
      </c>
      <c r="C2074" s="230" t="s">
        <v>772</v>
      </c>
      <c r="D2074" s="17" t="s">
        <v>52</v>
      </c>
      <c r="E2074" s="17" t="s">
        <v>220</v>
      </c>
      <c r="F2074" s="17" t="s">
        <v>54</v>
      </c>
      <c r="H2074" s="19">
        <v>1.2379</v>
      </c>
      <c r="I2074" s="184"/>
      <c r="J2074" s="185" t="s">
        <v>82</v>
      </c>
      <c r="K2074" s="91">
        <v>205</v>
      </c>
      <c r="L2074" s="91">
        <v>65</v>
      </c>
      <c r="M2074" s="23">
        <v>4000</v>
      </c>
      <c r="N2074" s="17" t="s">
        <v>40</v>
      </c>
      <c r="O2074" s="19" t="s">
        <v>168</v>
      </c>
      <c r="P2074" s="235">
        <v>837</v>
      </c>
      <c r="Q2074" s="19">
        <f>394+368+348+340</f>
        <v>1450</v>
      </c>
      <c r="R2074" s="17">
        <f t="shared" ref="R2074:R2105" si="113">+P2074-Q2074</f>
        <v>-613</v>
      </c>
      <c r="S2074" s="19">
        <f t="shared" si="112"/>
        <v>2100</v>
      </c>
      <c r="T2074" s="19" t="s">
        <v>42</v>
      </c>
      <c r="U2074" s="102" t="s">
        <v>773</v>
      </c>
      <c r="V2074" s="64" t="s">
        <v>774</v>
      </c>
      <c r="W2074" s="17" t="s">
        <v>69</v>
      </c>
      <c r="Y2074" s="68">
        <v>44927</v>
      </c>
      <c r="Z2074" s="17" t="s">
        <v>191</v>
      </c>
      <c r="AA2074" s="17" t="s">
        <v>46</v>
      </c>
      <c r="AB2074" s="17" t="s">
        <v>775</v>
      </c>
      <c r="AC2074" s="102" t="s">
        <v>776</v>
      </c>
      <c r="AD2074" s="65">
        <v>1383</v>
      </c>
      <c r="AE2074" s="17" t="s">
        <v>74</v>
      </c>
      <c r="AF2074" s="17" t="s">
        <v>777</v>
      </c>
    </row>
    <row r="2075" s="17" customFormat="1" hidden="1" spans="1:32">
      <c r="A2075" s="17" t="s">
        <v>34</v>
      </c>
      <c r="B2075" s="19">
        <v>850</v>
      </c>
      <c r="C2075" s="230" t="s">
        <v>772</v>
      </c>
      <c r="D2075" s="17" t="s">
        <v>52</v>
      </c>
      <c r="E2075" s="17" t="s">
        <v>220</v>
      </c>
      <c r="F2075" s="17" t="s">
        <v>54</v>
      </c>
      <c r="H2075" s="19">
        <v>1.2379</v>
      </c>
      <c r="I2075" s="184"/>
      <c r="J2075" s="185" t="s">
        <v>82</v>
      </c>
      <c r="K2075" s="91">
        <v>255</v>
      </c>
      <c r="L2075" s="91">
        <v>65</v>
      </c>
      <c r="M2075" s="23">
        <v>4000</v>
      </c>
      <c r="N2075" s="17" t="s">
        <v>40</v>
      </c>
      <c r="O2075" s="19" t="s">
        <v>168</v>
      </c>
      <c r="P2075" s="235">
        <v>1041</v>
      </c>
      <c r="Q2075" s="19">
        <v>554</v>
      </c>
      <c r="R2075" s="17">
        <f t="shared" si="113"/>
        <v>487</v>
      </c>
      <c r="S2075" s="19">
        <f t="shared" si="112"/>
        <v>2100</v>
      </c>
      <c r="T2075" s="19" t="s">
        <v>42</v>
      </c>
      <c r="U2075" s="102" t="s">
        <v>773</v>
      </c>
      <c r="V2075" s="64" t="s">
        <v>774</v>
      </c>
      <c r="W2075" s="17" t="s">
        <v>69</v>
      </c>
      <c r="Y2075" s="68">
        <v>44927</v>
      </c>
      <c r="Z2075" s="17" t="s">
        <v>191</v>
      </c>
      <c r="AA2075" s="17" t="s">
        <v>46</v>
      </c>
      <c r="AB2075" s="17" t="s">
        <v>775</v>
      </c>
      <c r="AC2075" s="102" t="s">
        <v>776</v>
      </c>
      <c r="AD2075" s="65">
        <v>1383</v>
      </c>
      <c r="AE2075" s="17" t="s">
        <v>74</v>
      </c>
      <c r="AF2075" s="17" t="s">
        <v>777</v>
      </c>
    </row>
    <row r="2076" s="17" customFormat="1" hidden="1" spans="1:32">
      <c r="A2076" s="17" t="s">
        <v>34</v>
      </c>
      <c r="B2076" s="19">
        <v>850</v>
      </c>
      <c r="C2076" s="230" t="s">
        <v>772</v>
      </c>
      <c r="D2076" s="17" t="s">
        <v>52</v>
      </c>
      <c r="E2076" s="17" t="s">
        <v>220</v>
      </c>
      <c r="F2076" s="17" t="s">
        <v>54</v>
      </c>
      <c r="H2076" s="19">
        <v>1.2379</v>
      </c>
      <c r="I2076" s="184"/>
      <c r="J2076" s="185" t="s">
        <v>82</v>
      </c>
      <c r="K2076" s="91">
        <v>305</v>
      </c>
      <c r="L2076" s="91">
        <v>65</v>
      </c>
      <c r="M2076" s="23">
        <v>4000</v>
      </c>
      <c r="N2076" s="17" t="s">
        <v>40</v>
      </c>
      <c r="O2076" s="19" t="s">
        <v>168</v>
      </c>
      <c r="P2076" s="235">
        <v>1245</v>
      </c>
      <c r="Q2076" s="19">
        <v>540</v>
      </c>
      <c r="R2076" s="17">
        <f t="shared" si="113"/>
        <v>705</v>
      </c>
      <c r="S2076" s="19">
        <f t="shared" si="112"/>
        <v>2100</v>
      </c>
      <c r="T2076" s="19" t="s">
        <v>42</v>
      </c>
      <c r="U2076" s="102" t="s">
        <v>773</v>
      </c>
      <c r="V2076" s="64" t="s">
        <v>774</v>
      </c>
      <c r="W2076" s="17" t="s">
        <v>69</v>
      </c>
      <c r="Y2076" s="68">
        <v>44927</v>
      </c>
      <c r="Z2076" s="17" t="s">
        <v>191</v>
      </c>
      <c r="AA2076" s="17" t="s">
        <v>46</v>
      </c>
      <c r="AB2076" s="17" t="s">
        <v>775</v>
      </c>
      <c r="AC2076" s="102" t="s">
        <v>776</v>
      </c>
      <c r="AD2076" s="65">
        <v>1383</v>
      </c>
      <c r="AE2076" s="17" t="s">
        <v>74</v>
      </c>
      <c r="AF2076" s="17" t="s">
        <v>777</v>
      </c>
    </row>
    <row r="2077" s="17" customFormat="1" hidden="1" spans="1:32">
      <c r="A2077" s="17" t="s">
        <v>34</v>
      </c>
      <c r="B2077" s="19">
        <v>850</v>
      </c>
      <c r="C2077" s="230" t="s">
        <v>772</v>
      </c>
      <c r="D2077" s="17" t="s">
        <v>52</v>
      </c>
      <c r="E2077" s="17" t="s">
        <v>220</v>
      </c>
      <c r="F2077" s="17" t="s">
        <v>54</v>
      </c>
      <c r="H2077" s="19">
        <v>1.2379</v>
      </c>
      <c r="I2077" s="184"/>
      <c r="J2077" s="185" t="s">
        <v>82</v>
      </c>
      <c r="K2077" s="91">
        <v>355</v>
      </c>
      <c r="L2077" s="91">
        <v>65</v>
      </c>
      <c r="M2077" s="23">
        <v>4000</v>
      </c>
      <c r="N2077" s="17" t="s">
        <v>40</v>
      </c>
      <c r="O2077" s="19" t="s">
        <v>168</v>
      </c>
      <c r="P2077" s="235">
        <v>1449</v>
      </c>
      <c r="Q2077" s="19">
        <v>1304</v>
      </c>
      <c r="R2077" s="17">
        <f t="shared" si="113"/>
        <v>145</v>
      </c>
      <c r="S2077" s="19">
        <f t="shared" si="112"/>
        <v>2100</v>
      </c>
      <c r="T2077" s="19" t="s">
        <v>42</v>
      </c>
      <c r="U2077" s="102" t="s">
        <v>773</v>
      </c>
      <c r="V2077" s="64" t="s">
        <v>774</v>
      </c>
      <c r="W2077" s="17" t="s">
        <v>69</v>
      </c>
      <c r="Y2077" s="68">
        <v>44927</v>
      </c>
      <c r="Z2077" s="17" t="s">
        <v>191</v>
      </c>
      <c r="AA2077" s="17" t="s">
        <v>46</v>
      </c>
      <c r="AB2077" s="17" t="s">
        <v>778</v>
      </c>
      <c r="AC2077" s="217">
        <v>45170</v>
      </c>
      <c r="AD2077" s="65">
        <v>1376</v>
      </c>
      <c r="AE2077" s="17" t="s">
        <v>74</v>
      </c>
      <c r="AF2077" s="17" t="s">
        <v>777</v>
      </c>
    </row>
    <row r="2078" s="17" customFormat="1" hidden="1" spans="1:32">
      <c r="A2078" s="17" t="s">
        <v>34</v>
      </c>
      <c r="B2078" s="19">
        <v>850</v>
      </c>
      <c r="C2078" s="230" t="s">
        <v>772</v>
      </c>
      <c r="D2078" s="17" t="s">
        <v>52</v>
      </c>
      <c r="E2078" s="17" t="s">
        <v>220</v>
      </c>
      <c r="F2078" s="17" t="s">
        <v>54</v>
      </c>
      <c r="H2078" s="19">
        <v>1.2379</v>
      </c>
      <c r="I2078" s="184"/>
      <c r="J2078" s="185" t="s">
        <v>82</v>
      </c>
      <c r="K2078" s="91">
        <v>405</v>
      </c>
      <c r="L2078" s="91">
        <v>65</v>
      </c>
      <c r="M2078" s="23">
        <v>4000</v>
      </c>
      <c r="N2078" s="17" t="s">
        <v>40</v>
      </c>
      <c r="O2078" s="19" t="s">
        <v>168</v>
      </c>
      <c r="P2078" s="235">
        <v>1653</v>
      </c>
      <c r="Q2078" s="19">
        <v>1339</v>
      </c>
      <c r="R2078" s="17">
        <f t="shared" si="113"/>
        <v>314</v>
      </c>
      <c r="S2078" s="19">
        <f t="shared" si="112"/>
        <v>2100</v>
      </c>
      <c r="T2078" s="19" t="s">
        <v>42</v>
      </c>
      <c r="U2078" s="102" t="s">
        <v>773</v>
      </c>
      <c r="V2078" s="64" t="s">
        <v>774</v>
      </c>
      <c r="W2078" s="17" t="s">
        <v>69</v>
      </c>
      <c r="Y2078" s="68">
        <v>44927</v>
      </c>
      <c r="Z2078" s="17" t="s">
        <v>191</v>
      </c>
      <c r="AA2078" s="17" t="s">
        <v>46</v>
      </c>
      <c r="AB2078" s="17" t="s">
        <v>778</v>
      </c>
      <c r="AC2078" s="217">
        <v>45170</v>
      </c>
      <c r="AD2078" s="65">
        <v>1376</v>
      </c>
      <c r="AE2078" s="17" t="s">
        <v>74</v>
      </c>
      <c r="AF2078" s="17" t="s">
        <v>777</v>
      </c>
    </row>
    <row r="2079" s="17" customFormat="1" hidden="1" spans="1:32">
      <c r="A2079" s="17" t="s">
        <v>34</v>
      </c>
      <c r="B2079" s="19">
        <v>850</v>
      </c>
      <c r="C2079" s="230" t="s">
        <v>772</v>
      </c>
      <c r="D2079" s="17" t="s">
        <v>52</v>
      </c>
      <c r="E2079" s="17" t="s">
        <v>220</v>
      </c>
      <c r="F2079" s="17" t="s">
        <v>54</v>
      </c>
      <c r="H2079" s="19">
        <v>1.2379</v>
      </c>
      <c r="I2079" s="184"/>
      <c r="J2079" s="185" t="s">
        <v>82</v>
      </c>
      <c r="K2079" s="91">
        <v>455</v>
      </c>
      <c r="L2079" s="91">
        <v>65</v>
      </c>
      <c r="M2079" s="23">
        <v>4000</v>
      </c>
      <c r="N2079" s="17" t="s">
        <v>40</v>
      </c>
      <c r="O2079" s="19" t="s">
        <v>168</v>
      </c>
      <c r="P2079" s="235">
        <v>1857</v>
      </c>
      <c r="Q2079" s="19">
        <v>1715</v>
      </c>
      <c r="R2079" s="17">
        <f t="shared" si="113"/>
        <v>142</v>
      </c>
      <c r="S2079" s="19">
        <f t="shared" si="112"/>
        <v>2100</v>
      </c>
      <c r="T2079" s="19" t="s">
        <v>42</v>
      </c>
      <c r="U2079" s="102" t="s">
        <v>773</v>
      </c>
      <c r="V2079" s="64" t="s">
        <v>774</v>
      </c>
      <c r="W2079" s="17" t="s">
        <v>69</v>
      </c>
      <c r="Y2079" s="68">
        <v>44927</v>
      </c>
      <c r="Z2079" s="17" t="s">
        <v>191</v>
      </c>
      <c r="AA2079" s="17" t="s">
        <v>46</v>
      </c>
      <c r="AB2079" s="17" t="s">
        <v>778</v>
      </c>
      <c r="AC2079" s="217">
        <v>45170</v>
      </c>
      <c r="AD2079" s="65">
        <v>1376</v>
      </c>
      <c r="AE2079" s="17" t="s">
        <v>74</v>
      </c>
      <c r="AF2079" s="17" t="s">
        <v>777</v>
      </c>
    </row>
    <row r="2080" s="17" customFormat="1" hidden="1" spans="1:32">
      <c r="A2080" s="17" t="s">
        <v>34</v>
      </c>
      <c r="B2080" s="19">
        <v>850</v>
      </c>
      <c r="C2080" s="230" t="s">
        <v>772</v>
      </c>
      <c r="D2080" s="17" t="s">
        <v>52</v>
      </c>
      <c r="E2080" s="17" t="s">
        <v>220</v>
      </c>
      <c r="F2080" s="17" t="s">
        <v>54</v>
      </c>
      <c r="H2080" s="19">
        <v>1.2379</v>
      </c>
      <c r="I2080" s="184"/>
      <c r="J2080" s="185" t="s">
        <v>82</v>
      </c>
      <c r="K2080" s="91">
        <v>505</v>
      </c>
      <c r="L2080" s="91">
        <v>65</v>
      </c>
      <c r="M2080" s="23">
        <v>4000</v>
      </c>
      <c r="N2080" s="17" t="s">
        <v>40</v>
      </c>
      <c r="O2080" s="19" t="s">
        <v>168</v>
      </c>
      <c r="P2080" s="235">
        <v>2061</v>
      </c>
      <c r="Q2080" s="19">
        <v>1583</v>
      </c>
      <c r="R2080" s="17">
        <f t="shared" si="113"/>
        <v>478</v>
      </c>
      <c r="S2080" s="19">
        <f t="shared" si="112"/>
        <v>2100</v>
      </c>
      <c r="T2080" s="19" t="s">
        <v>42</v>
      </c>
      <c r="U2080" s="102" t="s">
        <v>773</v>
      </c>
      <c r="V2080" s="64" t="s">
        <v>774</v>
      </c>
      <c r="W2080" s="17" t="s">
        <v>69</v>
      </c>
      <c r="Y2080" s="68">
        <v>44927</v>
      </c>
      <c r="Z2080" s="17" t="s">
        <v>191</v>
      </c>
      <c r="AA2080" s="17" t="s">
        <v>46</v>
      </c>
      <c r="AB2080" s="17" t="s">
        <v>778</v>
      </c>
      <c r="AC2080" s="217">
        <v>45170</v>
      </c>
      <c r="AD2080" s="65">
        <v>1376</v>
      </c>
      <c r="AE2080" s="17" t="s">
        <v>74</v>
      </c>
      <c r="AF2080" s="17" t="s">
        <v>777</v>
      </c>
    </row>
    <row r="2081" s="17" customFormat="1" hidden="1" spans="1:32">
      <c r="A2081" s="17" t="s">
        <v>34</v>
      </c>
      <c r="B2081" s="19">
        <v>850</v>
      </c>
      <c r="C2081" s="230" t="s">
        <v>772</v>
      </c>
      <c r="D2081" s="17" t="s">
        <v>52</v>
      </c>
      <c r="E2081" s="17" t="s">
        <v>220</v>
      </c>
      <c r="F2081" s="17" t="s">
        <v>54</v>
      </c>
      <c r="H2081" s="19">
        <v>1.2379</v>
      </c>
      <c r="I2081" s="184"/>
      <c r="J2081" s="185" t="s">
        <v>82</v>
      </c>
      <c r="K2081" s="91">
        <v>205</v>
      </c>
      <c r="L2081" s="91">
        <v>80</v>
      </c>
      <c r="M2081" s="23">
        <v>4000</v>
      </c>
      <c r="N2081" s="17" t="s">
        <v>40</v>
      </c>
      <c r="O2081" s="19" t="s">
        <v>168</v>
      </c>
      <c r="P2081" s="235">
        <v>515</v>
      </c>
      <c r="Q2081" s="19">
        <v>1000</v>
      </c>
      <c r="R2081" s="17">
        <f t="shared" si="113"/>
        <v>-485</v>
      </c>
      <c r="S2081" s="19">
        <f t="shared" si="112"/>
        <v>2100</v>
      </c>
      <c r="T2081" s="19" t="s">
        <v>42</v>
      </c>
      <c r="U2081" s="102" t="s">
        <v>773</v>
      </c>
      <c r="V2081" s="64" t="s">
        <v>774</v>
      </c>
      <c r="W2081" s="17" t="s">
        <v>69</v>
      </c>
      <c r="Y2081" s="68">
        <v>44927</v>
      </c>
      <c r="Z2081" s="17" t="s">
        <v>191</v>
      </c>
      <c r="AA2081" s="17" t="s">
        <v>46</v>
      </c>
      <c r="AB2081" s="17" t="s">
        <v>775</v>
      </c>
      <c r="AC2081" s="102" t="s">
        <v>776</v>
      </c>
      <c r="AD2081" s="65">
        <v>1383</v>
      </c>
      <c r="AE2081" s="17" t="s">
        <v>74</v>
      </c>
      <c r="AF2081" s="17" t="s">
        <v>777</v>
      </c>
    </row>
    <row r="2082" s="17" customFormat="1" hidden="1" spans="1:32">
      <c r="A2082" s="17" t="s">
        <v>34</v>
      </c>
      <c r="B2082" s="19">
        <v>850</v>
      </c>
      <c r="C2082" s="230" t="s">
        <v>772</v>
      </c>
      <c r="D2082" s="17" t="s">
        <v>52</v>
      </c>
      <c r="E2082" s="17" t="s">
        <v>220</v>
      </c>
      <c r="F2082" s="17" t="s">
        <v>54</v>
      </c>
      <c r="H2082" s="19">
        <v>1.2379</v>
      </c>
      <c r="I2082" s="184"/>
      <c r="J2082" s="185" t="s">
        <v>82</v>
      </c>
      <c r="K2082" s="91">
        <v>255</v>
      </c>
      <c r="L2082" s="91">
        <v>80</v>
      </c>
      <c r="M2082" s="23">
        <v>4000</v>
      </c>
      <c r="N2082" s="17" t="s">
        <v>40</v>
      </c>
      <c r="O2082" s="19" t="s">
        <v>168</v>
      </c>
      <c r="P2082" s="235">
        <v>641</v>
      </c>
      <c r="Q2082" s="19">
        <v>722</v>
      </c>
      <c r="R2082" s="17">
        <f t="shared" si="113"/>
        <v>-81</v>
      </c>
      <c r="S2082" s="19">
        <f t="shared" si="112"/>
        <v>2100</v>
      </c>
      <c r="T2082" s="19" t="s">
        <v>42</v>
      </c>
      <c r="U2082" s="102" t="s">
        <v>773</v>
      </c>
      <c r="V2082" s="64" t="s">
        <v>774</v>
      </c>
      <c r="W2082" s="17" t="s">
        <v>69</v>
      </c>
      <c r="Y2082" s="68">
        <v>44927</v>
      </c>
      <c r="Z2082" s="17" t="s">
        <v>191</v>
      </c>
      <c r="AA2082" s="17" t="s">
        <v>46</v>
      </c>
      <c r="AB2082" s="17" t="s">
        <v>775</v>
      </c>
      <c r="AC2082" s="102" t="s">
        <v>776</v>
      </c>
      <c r="AD2082" s="65">
        <v>1383</v>
      </c>
      <c r="AE2082" s="17" t="s">
        <v>74</v>
      </c>
      <c r="AF2082" s="17" t="s">
        <v>777</v>
      </c>
    </row>
    <row r="2083" s="17" customFormat="1" hidden="1" spans="1:32">
      <c r="A2083" s="17" t="s">
        <v>34</v>
      </c>
      <c r="B2083" s="19">
        <v>850</v>
      </c>
      <c r="C2083" s="230" t="s">
        <v>772</v>
      </c>
      <c r="D2083" s="17" t="s">
        <v>52</v>
      </c>
      <c r="E2083" s="17" t="s">
        <v>220</v>
      </c>
      <c r="F2083" s="17" t="s">
        <v>54</v>
      </c>
      <c r="H2083" s="19">
        <v>1.2379</v>
      </c>
      <c r="I2083" s="184"/>
      <c r="J2083" s="185" t="s">
        <v>82</v>
      </c>
      <c r="K2083" s="91">
        <v>305</v>
      </c>
      <c r="L2083" s="91">
        <v>80</v>
      </c>
      <c r="M2083" s="23">
        <v>4000</v>
      </c>
      <c r="N2083" s="17" t="s">
        <v>40</v>
      </c>
      <c r="O2083" s="19" t="s">
        <v>168</v>
      </c>
      <c r="P2083" s="235">
        <v>766</v>
      </c>
      <c r="Q2083" s="19">
        <f>716+712+570</f>
        <v>1998</v>
      </c>
      <c r="R2083" s="17">
        <f t="shared" si="113"/>
        <v>-1232</v>
      </c>
      <c r="S2083" s="19">
        <f t="shared" si="112"/>
        <v>2100</v>
      </c>
      <c r="T2083" s="19" t="s">
        <v>42</v>
      </c>
      <c r="U2083" s="102" t="s">
        <v>773</v>
      </c>
      <c r="V2083" s="64" t="s">
        <v>774</v>
      </c>
      <c r="W2083" s="17" t="s">
        <v>69</v>
      </c>
      <c r="Y2083" s="68">
        <v>44927</v>
      </c>
      <c r="Z2083" s="17" t="s">
        <v>191</v>
      </c>
      <c r="AA2083" s="17" t="s">
        <v>46</v>
      </c>
      <c r="AB2083" s="17" t="s">
        <v>775</v>
      </c>
      <c r="AC2083" s="102" t="s">
        <v>776</v>
      </c>
      <c r="AD2083" s="65">
        <v>1383</v>
      </c>
      <c r="AE2083" s="17" t="s">
        <v>74</v>
      </c>
      <c r="AF2083" s="17" t="s">
        <v>777</v>
      </c>
    </row>
    <row r="2084" s="17" customFormat="1" hidden="1" spans="1:32">
      <c r="A2084" s="17" t="s">
        <v>34</v>
      </c>
      <c r="B2084" s="19">
        <v>850</v>
      </c>
      <c r="C2084" s="230" t="s">
        <v>772</v>
      </c>
      <c r="D2084" s="17" t="s">
        <v>52</v>
      </c>
      <c r="E2084" s="17" t="s">
        <v>220</v>
      </c>
      <c r="F2084" s="17" t="s">
        <v>54</v>
      </c>
      <c r="H2084" s="19">
        <v>1.2379</v>
      </c>
      <c r="I2084" s="184"/>
      <c r="J2084" s="185" t="s">
        <v>82</v>
      </c>
      <c r="K2084" s="91">
        <v>355</v>
      </c>
      <c r="L2084" s="91">
        <v>80</v>
      </c>
      <c r="M2084" s="23">
        <v>4000</v>
      </c>
      <c r="N2084" s="17" t="s">
        <v>40</v>
      </c>
      <c r="O2084" s="19" t="s">
        <v>168</v>
      </c>
      <c r="P2084" s="235">
        <v>892</v>
      </c>
      <c r="Q2084" s="19">
        <f>690+874+886</f>
        <v>2450</v>
      </c>
      <c r="R2084" s="17">
        <f t="shared" si="113"/>
        <v>-1558</v>
      </c>
      <c r="S2084" s="19">
        <f t="shared" si="112"/>
        <v>2100</v>
      </c>
      <c r="T2084" s="19" t="s">
        <v>42</v>
      </c>
      <c r="U2084" s="102" t="s">
        <v>773</v>
      </c>
      <c r="V2084" s="64" t="s">
        <v>774</v>
      </c>
      <c r="W2084" s="17" t="s">
        <v>69</v>
      </c>
      <c r="Y2084" s="68">
        <v>44927</v>
      </c>
      <c r="Z2084" s="17" t="s">
        <v>191</v>
      </c>
      <c r="AA2084" s="17" t="s">
        <v>46</v>
      </c>
      <c r="AB2084" s="17" t="s">
        <v>775</v>
      </c>
      <c r="AC2084" s="102" t="s">
        <v>776</v>
      </c>
      <c r="AD2084" s="65">
        <v>1383</v>
      </c>
      <c r="AE2084" s="17" t="s">
        <v>74</v>
      </c>
      <c r="AF2084" s="17" t="s">
        <v>777</v>
      </c>
    </row>
    <row r="2085" s="17" customFormat="1" hidden="1" spans="1:32">
      <c r="A2085" s="17" t="s">
        <v>34</v>
      </c>
      <c r="B2085" s="19">
        <v>850</v>
      </c>
      <c r="C2085" s="230" t="s">
        <v>772</v>
      </c>
      <c r="D2085" s="17" t="s">
        <v>52</v>
      </c>
      <c r="E2085" s="17" t="s">
        <v>220</v>
      </c>
      <c r="F2085" s="17" t="s">
        <v>54</v>
      </c>
      <c r="H2085" s="19">
        <v>1.2379</v>
      </c>
      <c r="I2085" s="184"/>
      <c r="J2085" s="185" t="s">
        <v>82</v>
      </c>
      <c r="K2085" s="91">
        <v>405</v>
      </c>
      <c r="L2085" s="91">
        <v>80</v>
      </c>
      <c r="M2085" s="23">
        <v>4000</v>
      </c>
      <c r="N2085" s="17" t="s">
        <v>40</v>
      </c>
      <c r="O2085" s="19" t="s">
        <v>168</v>
      </c>
      <c r="P2085" s="235">
        <v>1017</v>
      </c>
      <c r="Q2085" s="19">
        <v>703</v>
      </c>
      <c r="R2085" s="17">
        <f t="shared" si="113"/>
        <v>314</v>
      </c>
      <c r="S2085" s="19">
        <f t="shared" si="112"/>
        <v>2100</v>
      </c>
      <c r="T2085" s="19" t="s">
        <v>42</v>
      </c>
      <c r="U2085" s="102" t="s">
        <v>773</v>
      </c>
      <c r="V2085" s="64" t="s">
        <v>774</v>
      </c>
      <c r="W2085" s="17" t="s">
        <v>69</v>
      </c>
      <c r="Y2085" s="68">
        <v>44927</v>
      </c>
      <c r="Z2085" s="17" t="s">
        <v>191</v>
      </c>
      <c r="AA2085" s="17" t="s">
        <v>46</v>
      </c>
      <c r="AB2085" s="17" t="s">
        <v>778</v>
      </c>
      <c r="AC2085" s="217">
        <v>45170</v>
      </c>
      <c r="AD2085" s="65">
        <v>1376</v>
      </c>
      <c r="AE2085" s="17" t="s">
        <v>74</v>
      </c>
      <c r="AF2085" s="17" t="s">
        <v>777</v>
      </c>
    </row>
    <row r="2086" s="17" customFormat="1" hidden="1" spans="1:32">
      <c r="A2086" s="17" t="s">
        <v>34</v>
      </c>
      <c r="B2086" s="19">
        <v>850</v>
      </c>
      <c r="C2086" s="230" t="s">
        <v>772</v>
      </c>
      <c r="D2086" s="17" t="s">
        <v>52</v>
      </c>
      <c r="E2086" s="17" t="s">
        <v>220</v>
      </c>
      <c r="F2086" s="17" t="s">
        <v>54</v>
      </c>
      <c r="H2086" s="19">
        <v>1.2379</v>
      </c>
      <c r="I2086" s="184"/>
      <c r="J2086" s="185" t="s">
        <v>82</v>
      </c>
      <c r="K2086" s="91">
        <v>455</v>
      </c>
      <c r="L2086" s="91">
        <v>80</v>
      </c>
      <c r="M2086" s="23">
        <v>4000</v>
      </c>
      <c r="N2086" s="17" t="s">
        <v>40</v>
      </c>
      <c r="O2086" s="19" t="s">
        <v>168</v>
      </c>
      <c r="P2086" s="235">
        <v>1143</v>
      </c>
      <c r="Q2086" s="19">
        <v>1080</v>
      </c>
      <c r="R2086" s="17">
        <f t="shared" si="113"/>
        <v>63</v>
      </c>
      <c r="S2086" s="19">
        <f t="shared" si="112"/>
        <v>2100</v>
      </c>
      <c r="T2086" s="19" t="s">
        <v>42</v>
      </c>
      <c r="U2086" s="102" t="s">
        <v>773</v>
      </c>
      <c r="V2086" s="64" t="s">
        <v>774</v>
      </c>
      <c r="W2086" s="17" t="s">
        <v>69</v>
      </c>
      <c r="Y2086" s="68">
        <v>44927</v>
      </c>
      <c r="Z2086" s="17" t="s">
        <v>191</v>
      </c>
      <c r="AA2086" s="17" t="s">
        <v>46</v>
      </c>
      <c r="AB2086" s="17" t="s">
        <v>778</v>
      </c>
      <c r="AC2086" s="217">
        <v>45170</v>
      </c>
      <c r="AD2086" s="65">
        <v>1376</v>
      </c>
      <c r="AE2086" s="17" t="s">
        <v>74</v>
      </c>
      <c r="AF2086" s="17" t="s">
        <v>777</v>
      </c>
    </row>
    <row r="2087" s="17" customFormat="1" hidden="1" spans="1:32">
      <c r="A2087" s="17" t="s">
        <v>34</v>
      </c>
      <c r="B2087" s="19">
        <v>850</v>
      </c>
      <c r="C2087" s="230" t="s">
        <v>772</v>
      </c>
      <c r="D2087" s="17" t="s">
        <v>52</v>
      </c>
      <c r="E2087" s="17" t="s">
        <v>220</v>
      </c>
      <c r="F2087" s="17" t="s">
        <v>54</v>
      </c>
      <c r="H2087" s="19">
        <v>1.2379</v>
      </c>
      <c r="I2087" s="184"/>
      <c r="J2087" s="185" t="s">
        <v>82</v>
      </c>
      <c r="K2087" s="91">
        <v>505</v>
      </c>
      <c r="L2087" s="91">
        <v>80</v>
      </c>
      <c r="M2087" s="23">
        <v>4000</v>
      </c>
      <c r="N2087" s="17" t="s">
        <v>40</v>
      </c>
      <c r="O2087" s="19" t="s">
        <v>168</v>
      </c>
      <c r="P2087" s="235">
        <v>1269</v>
      </c>
      <c r="Q2087" s="19">
        <v>1744</v>
      </c>
      <c r="R2087" s="17">
        <f t="shared" si="113"/>
        <v>-475</v>
      </c>
      <c r="S2087" s="19">
        <f t="shared" si="112"/>
        <v>2100</v>
      </c>
      <c r="T2087" s="19" t="s">
        <v>42</v>
      </c>
      <c r="U2087" s="102" t="s">
        <v>773</v>
      </c>
      <c r="V2087" s="64" t="s">
        <v>774</v>
      </c>
      <c r="W2087" s="17" t="s">
        <v>69</v>
      </c>
      <c r="Y2087" s="68">
        <v>44927</v>
      </c>
      <c r="Z2087" s="17" t="s">
        <v>191</v>
      </c>
      <c r="AA2087" s="17" t="s">
        <v>46</v>
      </c>
      <c r="AB2087" s="17" t="s">
        <v>778</v>
      </c>
      <c r="AC2087" s="217">
        <v>45170</v>
      </c>
      <c r="AD2087" s="65">
        <v>1376</v>
      </c>
      <c r="AE2087" s="17" t="s">
        <v>74</v>
      </c>
      <c r="AF2087" s="17" t="s">
        <v>777</v>
      </c>
    </row>
    <row r="2088" s="17" customFormat="1" hidden="1" spans="1:32">
      <c r="A2088" s="17" t="s">
        <v>34</v>
      </c>
      <c r="B2088" s="19">
        <v>850</v>
      </c>
      <c r="C2088" s="230" t="s">
        <v>772</v>
      </c>
      <c r="D2088" s="17" t="s">
        <v>52</v>
      </c>
      <c r="E2088" s="17" t="s">
        <v>220</v>
      </c>
      <c r="F2088" s="17" t="s">
        <v>54</v>
      </c>
      <c r="H2088" s="19">
        <v>1.2379</v>
      </c>
      <c r="I2088" s="184"/>
      <c r="J2088" s="185" t="s">
        <v>82</v>
      </c>
      <c r="K2088" s="91">
        <v>255</v>
      </c>
      <c r="L2088" s="91">
        <v>105</v>
      </c>
      <c r="M2088" s="23">
        <v>4000</v>
      </c>
      <c r="N2088" s="17" t="s">
        <v>40</v>
      </c>
      <c r="O2088" s="19" t="s">
        <v>168</v>
      </c>
      <c r="P2088" s="235">
        <v>841</v>
      </c>
      <c r="Q2088" s="19">
        <f>712+652</f>
        <v>1364</v>
      </c>
      <c r="R2088" s="17">
        <f t="shared" si="113"/>
        <v>-523</v>
      </c>
      <c r="S2088" s="19">
        <f t="shared" si="112"/>
        <v>2100</v>
      </c>
      <c r="T2088" s="19" t="s">
        <v>42</v>
      </c>
      <c r="U2088" s="102" t="s">
        <v>773</v>
      </c>
      <c r="V2088" s="64" t="s">
        <v>774</v>
      </c>
      <c r="W2088" s="17" t="s">
        <v>69</v>
      </c>
      <c r="Y2088" s="68">
        <v>44927</v>
      </c>
      <c r="Z2088" s="17" t="s">
        <v>191</v>
      </c>
      <c r="AA2088" s="17" t="s">
        <v>46</v>
      </c>
      <c r="AB2088" s="17" t="s">
        <v>775</v>
      </c>
      <c r="AC2088" s="102" t="s">
        <v>776</v>
      </c>
      <c r="AD2088" s="65">
        <v>1383</v>
      </c>
      <c r="AE2088" s="17" t="s">
        <v>74</v>
      </c>
      <c r="AF2088" s="17" t="s">
        <v>777</v>
      </c>
    </row>
    <row r="2089" s="17" customFormat="1" hidden="1" spans="1:32">
      <c r="A2089" s="17" t="s">
        <v>34</v>
      </c>
      <c r="B2089" s="19">
        <v>850</v>
      </c>
      <c r="C2089" s="230" t="s">
        <v>772</v>
      </c>
      <c r="D2089" s="17" t="s">
        <v>52</v>
      </c>
      <c r="E2089" s="17" t="s">
        <v>220</v>
      </c>
      <c r="F2089" s="17" t="s">
        <v>54</v>
      </c>
      <c r="H2089" s="19">
        <v>1.2379</v>
      </c>
      <c r="I2089" s="184"/>
      <c r="J2089" s="185" t="s">
        <v>82</v>
      </c>
      <c r="K2089" s="91">
        <v>305</v>
      </c>
      <c r="L2089" s="91">
        <v>105</v>
      </c>
      <c r="M2089" s="23">
        <v>4000</v>
      </c>
      <c r="N2089" s="17" t="s">
        <v>40</v>
      </c>
      <c r="O2089" s="19" t="s">
        <v>168</v>
      </c>
      <c r="P2089" s="235">
        <v>1006</v>
      </c>
      <c r="Q2089" s="19">
        <v>1030</v>
      </c>
      <c r="R2089" s="17">
        <f t="shared" si="113"/>
        <v>-24</v>
      </c>
      <c r="S2089" s="19">
        <f t="shared" si="112"/>
        <v>2100</v>
      </c>
      <c r="T2089" s="19" t="s">
        <v>42</v>
      </c>
      <c r="U2089" s="102" t="s">
        <v>773</v>
      </c>
      <c r="V2089" s="64" t="s">
        <v>774</v>
      </c>
      <c r="W2089" s="17" t="s">
        <v>69</v>
      </c>
      <c r="Y2089" s="68">
        <v>44927</v>
      </c>
      <c r="Z2089" s="17" t="s">
        <v>191</v>
      </c>
      <c r="AA2089" s="17" t="s">
        <v>46</v>
      </c>
      <c r="AB2089" s="17" t="s">
        <v>775</v>
      </c>
      <c r="AC2089" s="102" t="s">
        <v>776</v>
      </c>
      <c r="AD2089" s="65">
        <v>1383</v>
      </c>
      <c r="AE2089" s="17" t="s">
        <v>74</v>
      </c>
      <c r="AF2089" s="17" t="s">
        <v>777</v>
      </c>
    </row>
    <row r="2090" s="17" customFormat="1" hidden="1" spans="1:32">
      <c r="A2090" s="17" t="s">
        <v>34</v>
      </c>
      <c r="B2090" s="19">
        <v>850</v>
      </c>
      <c r="C2090" s="230" t="s">
        <v>772</v>
      </c>
      <c r="D2090" s="17" t="s">
        <v>52</v>
      </c>
      <c r="E2090" s="17" t="s">
        <v>220</v>
      </c>
      <c r="F2090" s="17" t="s">
        <v>54</v>
      </c>
      <c r="H2090" s="19">
        <v>1.2379</v>
      </c>
      <c r="I2090" s="184"/>
      <c r="J2090" s="185" t="s">
        <v>82</v>
      </c>
      <c r="K2090" s="91">
        <v>355</v>
      </c>
      <c r="L2090" s="91">
        <v>105</v>
      </c>
      <c r="M2090" s="23">
        <v>4000</v>
      </c>
      <c r="N2090" s="17" t="s">
        <v>40</v>
      </c>
      <c r="O2090" s="19" t="s">
        <v>168</v>
      </c>
      <c r="P2090" s="235">
        <v>1170</v>
      </c>
      <c r="Q2090" s="19">
        <v>1172</v>
      </c>
      <c r="R2090" s="17">
        <f t="shared" si="113"/>
        <v>-2</v>
      </c>
      <c r="S2090" s="19">
        <f t="shared" si="112"/>
        <v>2100</v>
      </c>
      <c r="T2090" s="19" t="s">
        <v>42</v>
      </c>
      <c r="U2090" s="102" t="s">
        <v>773</v>
      </c>
      <c r="V2090" s="64" t="s">
        <v>774</v>
      </c>
      <c r="W2090" s="17" t="s">
        <v>69</v>
      </c>
      <c r="Y2090" s="68">
        <v>44927</v>
      </c>
      <c r="Z2090" s="17" t="s">
        <v>191</v>
      </c>
      <c r="AA2090" s="17" t="s">
        <v>46</v>
      </c>
      <c r="AB2090" s="17" t="s">
        <v>775</v>
      </c>
      <c r="AC2090" s="102" t="s">
        <v>776</v>
      </c>
      <c r="AD2090" s="65">
        <v>1383</v>
      </c>
      <c r="AE2090" s="17" t="s">
        <v>74</v>
      </c>
      <c r="AF2090" s="17" t="s">
        <v>777</v>
      </c>
    </row>
    <row r="2091" s="17" customFormat="1" hidden="1" spans="1:32">
      <c r="A2091" s="17" t="s">
        <v>34</v>
      </c>
      <c r="B2091" s="19">
        <v>850</v>
      </c>
      <c r="C2091" s="230" t="s">
        <v>772</v>
      </c>
      <c r="D2091" s="17" t="s">
        <v>52</v>
      </c>
      <c r="E2091" s="17" t="s">
        <v>220</v>
      </c>
      <c r="F2091" s="17" t="s">
        <v>54</v>
      </c>
      <c r="H2091" s="19">
        <v>1.2379</v>
      </c>
      <c r="I2091" s="184"/>
      <c r="J2091" s="185" t="s">
        <v>82</v>
      </c>
      <c r="K2091" s="91">
        <v>405</v>
      </c>
      <c r="L2091" s="91">
        <v>105</v>
      </c>
      <c r="M2091" s="23">
        <v>4000</v>
      </c>
      <c r="N2091" s="17" t="s">
        <v>40</v>
      </c>
      <c r="O2091" s="19" t="s">
        <v>168</v>
      </c>
      <c r="P2091" s="235">
        <v>1335</v>
      </c>
      <c r="Q2091" s="19">
        <v>1758</v>
      </c>
      <c r="R2091" s="17">
        <f t="shared" si="113"/>
        <v>-423</v>
      </c>
      <c r="S2091" s="19">
        <f t="shared" si="112"/>
        <v>2100</v>
      </c>
      <c r="T2091" s="19" t="s">
        <v>42</v>
      </c>
      <c r="U2091" s="102" t="s">
        <v>773</v>
      </c>
      <c r="V2091" s="64" t="s">
        <v>774</v>
      </c>
      <c r="W2091" s="17" t="s">
        <v>69</v>
      </c>
      <c r="Y2091" s="68">
        <v>44927</v>
      </c>
      <c r="Z2091" s="17" t="s">
        <v>191</v>
      </c>
      <c r="AA2091" s="17" t="s">
        <v>46</v>
      </c>
      <c r="AB2091" s="17" t="s">
        <v>778</v>
      </c>
      <c r="AC2091" s="217">
        <v>45170</v>
      </c>
      <c r="AD2091" s="65">
        <v>1376</v>
      </c>
      <c r="AE2091" s="17" t="s">
        <v>74</v>
      </c>
      <c r="AF2091" s="17" t="s">
        <v>777</v>
      </c>
    </row>
    <row r="2092" s="17" customFormat="1" hidden="1" spans="1:32">
      <c r="A2092" s="17" t="s">
        <v>34</v>
      </c>
      <c r="B2092" s="19">
        <v>850</v>
      </c>
      <c r="C2092" s="230" t="s">
        <v>772</v>
      </c>
      <c r="D2092" s="17" t="s">
        <v>52</v>
      </c>
      <c r="E2092" s="17" t="s">
        <v>220</v>
      </c>
      <c r="F2092" s="17" t="s">
        <v>54</v>
      </c>
      <c r="H2092" s="19">
        <v>1.2379</v>
      </c>
      <c r="I2092" s="184"/>
      <c r="J2092" s="185" t="s">
        <v>82</v>
      </c>
      <c r="K2092" s="91">
        <v>505</v>
      </c>
      <c r="L2092" s="91">
        <v>105</v>
      </c>
      <c r="M2092" s="23">
        <v>4000</v>
      </c>
      <c r="N2092" s="17" t="s">
        <v>40</v>
      </c>
      <c r="O2092" s="19" t="s">
        <v>168</v>
      </c>
      <c r="P2092" s="235">
        <v>1678</v>
      </c>
      <c r="Q2092" s="19">
        <v>1519</v>
      </c>
      <c r="R2092" s="17">
        <f t="shared" si="113"/>
        <v>159</v>
      </c>
      <c r="S2092" s="19">
        <f t="shared" si="112"/>
        <v>2100</v>
      </c>
      <c r="T2092" s="19" t="s">
        <v>42</v>
      </c>
      <c r="U2092" s="102" t="s">
        <v>773</v>
      </c>
      <c r="V2092" s="64" t="s">
        <v>774</v>
      </c>
      <c r="W2092" s="17" t="s">
        <v>69</v>
      </c>
      <c r="Y2092" s="68">
        <v>44927</v>
      </c>
      <c r="Z2092" s="17" t="s">
        <v>191</v>
      </c>
      <c r="AA2092" s="17" t="s">
        <v>46</v>
      </c>
      <c r="AB2092" s="17" t="s">
        <v>778</v>
      </c>
      <c r="AC2092" s="217">
        <v>45170</v>
      </c>
      <c r="AD2092" s="65">
        <v>1376</v>
      </c>
      <c r="AE2092" s="17" t="s">
        <v>74</v>
      </c>
      <c r="AF2092" s="17" t="s">
        <v>777</v>
      </c>
    </row>
    <row r="2093" s="17" customFormat="1" hidden="1" spans="1:32">
      <c r="A2093" s="17" t="s">
        <v>34</v>
      </c>
      <c r="B2093" s="19">
        <v>850</v>
      </c>
      <c r="C2093" s="230" t="s">
        <v>772</v>
      </c>
      <c r="D2093" s="17" t="s">
        <v>52</v>
      </c>
      <c r="E2093" s="17" t="s">
        <v>220</v>
      </c>
      <c r="F2093" s="17" t="s">
        <v>54</v>
      </c>
      <c r="H2093" s="19">
        <v>1.2379</v>
      </c>
      <c r="I2093" s="184"/>
      <c r="J2093" s="185" t="s">
        <v>82</v>
      </c>
      <c r="K2093" s="91">
        <v>605</v>
      </c>
      <c r="L2093" s="91">
        <v>105</v>
      </c>
      <c r="M2093" s="23">
        <v>4000</v>
      </c>
      <c r="N2093" s="17" t="s">
        <v>40</v>
      </c>
      <c r="O2093" s="19" t="s">
        <v>168</v>
      </c>
      <c r="P2093" s="235">
        <v>1995</v>
      </c>
      <c r="Q2093" s="19">
        <v>1822</v>
      </c>
      <c r="R2093" s="17">
        <f t="shared" si="113"/>
        <v>173</v>
      </c>
      <c r="S2093" s="19">
        <f t="shared" si="112"/>
        <v>2100</v>
      </c>
      <c r="T2093" s="19" t="s">
        <v>42</v>
      </c>
      <c r="U2093" s="102" t="s">
        <v>773</v>
      </c>
      <c r="V2093" s="64" t="s">
        <v>774</v>
      </c>
      <c r="W2093" s="17" t="s">
        <v>69</v>
      </c>
      <c r="Y2093" s="68">
        <v>44927</v>
      </c>
      <c r="Z2093" s="17" t="s">
        <v>191</v>
      </c>
      <c r="AA2093" s="17" t="s">
        <v>46</v>
      </c>
      <c r="AB2093" s="17" t="s">
        <v>778</v>
      </c>
      <c r="AC2093" s="217">
        <v>45170</v>
      </c>
      <c r="AD2093" s="65">
        <v>1376</v>
      </c>
      <c r="AE2093" s="17" t="s">
        <v>74</v>
      </c>
      <c r="AF2093" s="17" t="s">
        <v>777</v>
      </c>
    </row>
    <row r="2094" s="17" customFormat="1" hidden="1" spans="1:32">
      <c r="A2094" s="17" t="s">
        <v>34</v>
      </c>
      <c r="B2094" s="19">
        <v>850</v>
      </c>
      <c r="C2094" s="230" t="s">
        <v>772</v>
      </c>
      <c r="D2094" s="17" t="s">
        <v>52</v>
      </c>
      <c r="E2094" s="17" t="s">
        <v>220</v>
      </c>
      <c r="F2094" s="17" t="s">
        <v>54</v>
      </c>
      <c r="H2094" s="19">
        <v>1.2379</v>
      </c>
      <c r="I2094" s="184"/>
      <c r="J2094" s="185" t="s">
        <v>82</v>
      </c>
      <c r="K2094" s="91">
        <v>205</v>
      </c>
      <c r="L2094" s="91">
        <v>130</v>
      </c>
      <c r="M2094" s="23">
        <v>4000</v>
      </c>
      <c r="N2094" s="17" t="s">
        <v>40</v>
      </c>
      <c r="O2094" s="19" t="s">
        <v>168</v>
      </c>
      <c r="P2094" s="235">
        <v>837</v>
      </c>
      <c r="Q2094" s="19">
        <v>712</v>
      </c>
      <c r="R2094" s="17">
        <f t="shared" si="113"/>
        <v>125</v>
      </c>
      <c r="S2094" s="19">
        <f t="shared" si="112"/>
        <v>2100</v>
      </c>
      <c r="T2094" s="19" t="s">
        <v>42</v>
      </c>
      <c r="U2094" s="102" t="s">
        <v>773</v>
      </c>
      <c r="V2094" s="64" t="s">
        <v>774</v>
      </c>
      <c r="W2094" s="17" t="s">
        <v>69</v>
      </c>
      <c r="Y2094" s="68">
        <v>44927</v>
      </c>
      <c r="Z2094" s="17" t="s">
        <v>191</v>
      </c>
      <c r="AA2094" s="17" t="s">
        <v>46</v>
      </c>
      <c r="AB2094" s="17" t="s">
        <v>775</v>
      </c>
      <c r="AC2094" s="102" t="s">
        <v>776</v>
      </c>
      <c r="AD2094" s="65">
        <v>1383</v>
      </c>
      <c r="AE2094" s="17" t="s">
        <v>74</v>
      </c>
      <c r="AF2094" s="17" t="s">
        <v>777</v>
      </c>
    </row>
    <row r="2095" s="17" customFormat="1" hidden="1" spans="1:32">
      <c r="A2095" s="17" t="s">
        <v>34</v>
      </c>
      <c r="B2095" s="19">
        <v>850</v>
      </c>
      <c r="C2095" s="230" t="s">
        <v>772</v>
      </c>
      <c r="D2095" s="17" t="s">
        <v>52</v>
      </c>
      <c r="E2095" s="17" t="s">
        <v>220</v>
      </c>
      <c r="F2095" s="17" t="s">
        <v>54</v>
      </c>
      <c r="H2095" s="19">
        <v>1.2379</v>
      </c>
      <c r="I2095" s="184"/>
      <c r="J2095" s="185" t="s">
        <v>82</v>
      </c>
      <c r="K2095" s="91">
        <v>255</v>
      </c>
      <c r="L2095" s="91">
        <v>130</v>
      </c>
      <c r="M2095" s="23">
        <v>4000</v>
      </c>
      <c r="N2095" s="17" t="s">
        <v>40</v>
      </c>
      <c r="O2095" s="19" t="s">
        <v>168</v>
      </c>
      <c r="P2095" s="235">
        <v>1041</v>
      </c>
      <c r="Q2095" s="19">
        <f>768</f>
        <v>768</v>
      </c>
      <c r="R2095" s="17">
        <f t="shared" si="113"/>
        <v>273</v>
      </c>
      <c r="S2095" s="19">
        <f t="shared" si="112"/>
        <v>2100</v>
      </c>
      <c r="T2095" s="19" t="s">
        <v>42</v>
      </c>
      <c r="U2095" s="102" t="s">
        <v>773</v>
      </c>
      <c r="V2095" s="64" t="s">
        <v>774</v>
      </c>
      <c r="W2095" s="17" t="s">
        <v>69</v>
      </c>
      <c r="Y2095" s="68">
        <v>44927</v>
      </c>
      <c r="Z2095" s="17" t="s">
        <v>191</v>
      </c>
      <c r="AA2095" s="17" t="s">
        <v>46</v>
      </c>
      <c r="AB2095" s="17" t="s">
        <v>775</v>
      </c>
      <c r="AC2095" s="102" t="s">
        <v>776</v>
      </c>
      <c r="AD2095" s="65">
        <v>1383</v>
      </c>
      <c r="AE2095" s="17" t="s">
        <v>74</v>
      </c>
      <c r="AF2095" s="17" t="s">
        <v>777</v>
      </c>
    </row>
    <row r="2096" s="17" customFormat="1" hidden="1" spans="1:32">
      <c r="A2096" s="17" t="s">
        <v>34</v>
      </c>
      <c r="B2096" s="19">
        <v>850</v>
      </c>
      <c r="C2096" s="230" t="s">
        <v>772</v>
      </c>
      <c r="D2096" s="17" t="s">
        <v>52</v>
      </c>
      <c r="E2096" s="17" t="s">
        <v>220</v>
      </c>
      <c r="F2096" s="17" t="s">
        <v>54</v>
      </c>
      <c r="H2096" s="19">
        <v>1.2379</v>
      </c>
      <c r="I2096" s="184"/>
      <c r="J2096" s="185" t="s">
        <v>82</v>
      </c>
      <c r="K2096" s="91">
        <v>305</v>
      </c>
      <c r="L2096" s="91">
        <v>130</v>
      </c>
      <c r="M2096" s="23">
        <v>4000</v>
      </c>
      <c r="N2096" s="17" t="s">
        <v>40</v>
      </c>
      <c r="O2096" s="19" t="s">
        <v>168</v>
      </c>
      <c r="P2096" s="235">
        <v>1245</v>
      </c>
      <c r="Q2096" s="19">
        <v>2542</v>
      </c>
      <c r="R2096" s="17">
        <f t="shared" si="113"/>
        <v>-1297</v>
      </c>
      <c r="S2096" s="19">
        <f t="shared" si="112"/>
        <v>2100</v>
      </c>
      <c r="T2096" s="19" t="s">
        <v>42</v>
      </c>
      <c r="U2096" s="102" t="s">
        <v>773</v>
      </c>
      <c r="V2096" s="64" t="s">
        <v>774</v>
      </c>
      <c r="W2096" s="17" t="s">
        <v>69</v>
      </c>
      <c r="Y2096" s="68">
        <v>44927</v>
      </c>
      <c r="Z2096" s="17" t="s">
        <v>191</v>
      </c>
      <c r="AA2096" s="17" t="s">
        <v>46</v>
      </c>
      <c r="AB2096" s="17" t="s">
        <v>775</v>
      </c>
      <c r="AC2096" s="102" t="s">
        <v>776</v>
      </c>
      <c r="AD2096" s="65">
        <v>1383</v>
      </c>
      <c r="AE2096" s="17" t="s">
        <v>74</v>
      </c>
      <c r="AF2096" s="17" t="s">
        <v>777</v>
      </c>
    </row>
    <row r="2097" s="17" customFormat="1" hidden="1" spans="1:35">
      <c r="A2097" s="17" t="s">
        <v>34</v>
      </c>
      <c r="B2097" s="19">
        <v>850</v>
      </c>
      <c r="C2097" s="230" t="s">
        <v>772</v>
      </c>
      <c r="D2097" s="17" t="s">
        <v>52</v>
      </c>
      <c r="E2097" s="17" t="s">
        <v>220</v>
      </c>
      <c r="F2097" s="17" t="s">
        <v>54</v>
      </c>
      <c r="H2097" s="19">
        <v>1.2379</v>
      </c>
      <c r="I2097" s="184"/>
      <c r="J2097" s="185" t="s">
        <v>82</v>
      </c>
      <c r="K2097" s="91">
        <v>205</v>
      </c>
      <c r="L2097" s="91">
        <v>155</v>
      </c>
      <c r="M2097" s="23">
        <v>4000</v>
      </c>
      <c r="N2097" s="17" t="s">
        <v>40</v>
      </c>
      <c r="O2097" s="19" t="s">
        <v>168</v>
      </c>
      <c r="P2097" s="235">
        <v>998</v>
      </c>
      <c r="Q2097" s="19">
        <v>0</v>
      </c>
      <c r="R2097" s="17">
        <f t="shared" si="113"/>
        <v>998</v>
      </c>
      <c r="S2097" s="19">
        <f t="shared" si="112"/>
        <v>2100</v>
      </c>
      <c r="T2097" s="19" t="s">
        <v>42</v>
      </c>
      <c r="U2097" s="102" t="s">
        <v>773</v>
      </c>
      <c r="V2097" s="64" t="s">
        <v>774</v>
      </c>
      <c r="W2097" s="17" t="s">
        <v>69</v>
      </c>
      <c r="Y2097" s="68">
        <v>44927</v>
      </c>
      <c r="Z2097" s="17" t="s">
        <v>191</v>
      </c>
      <c r="AA2097" s="17" t="s">
        <v>46</v>
      </c>
      <c r="AB2097" s="17" t="s">
        <v>775</v>
      </c>
      <c r="AC2097" s="102" t="s">
        <v>776</v>
      </c>
      <c r="AD2097" s="65">
        <v>1383</v>
      </c>
      <c r="AE2097" s="17" t="s">
        <v>74</v>
      </c>
      <c r="AF2097" s="17" t="s">
        <v>777</v>
      </c>
    </row>
    <row r="2098" s="17" customFormat="1" hidden="1" spans="1:35">
      <c r="A2098" s="17" t="s">
        <v>34</v>
      </c>
      <c r="B2098" s="19">
        <v>850</v>
      </c>
      <c r="C2098" s="230" t="s">
        <v>772</v>
      </c>
      <c r="D2098" s="17" t="s">
        <v>52</v>
      </c>
      <c r="E2098" s="17" t="s">
        <v>220</v>
      </c>
      <c r="F2098" s="17" t="s">
        <v>54</v>
      </c>
      <c r="H2098" s="19">
        <v>1.2379</v>
      </c>
      <c r="I2098" s="184"/>
      <c r="J2098" s="185" t="s">
        <v>82</v>
      </c>
      <c r="K2098" s="91">
        <v>255</v>
      </c>
      <c r="L2098" s="91">
        <v>155</v>
      </c>
      <c r="M2098" s="23">
        <v>4000</v>
      </c>
      <c r="N2098" s="17" t="s">
        <v>40</v>
      </c>
      <c r="O2098" s="19" t="s">
        <v>168</v>
      </c>
      <c r="P2098" s="235">
        <v>1241</v>
      </c>
      <c r="Q2098" s="19">
        <v>1184</v>
      </c>
      <c r="R2098" s="17">
        <f t="shared" si="113"/>
        <v>57</v>
      </c>
      <c r="S2098" s="19">
        <f t="shared" si="112"/>
        <v>2100</v>
      </c>
      <c r="T2098" s="19" t="s">
        <v>42</v>
      </c>
      <c r="U2098" s="102" t="s">
        <v>773</v>
      </c>
      <c r="V2098" s="64" t="s">
        <v>774</v>
      </c>
      <c r="W2098" s="17" t="s">
        <v>69</v>
      </c>
      <c r="Y2098" s="68">
        <v>44927</v>
      </c>
      <c r="Z2098" s="17" t="s">
        <v>191</v>
      </c>
      <c r="AA2098" s="17" t="s">
        <v>46</v>
      </c>
      <c r="AB2098" s="17" t="s">
        <v>775</v>
      </c>
      <c r="AC2098" s="102" t="s">
        <v>776</v>
      </c>
      <c r="AD2098" s="65">
        <v>1383</v>
      </c>
      <c r="AE2098" s="17" t="s">
        <v>74</v>
      </c>
      <c r="AF2098" s="17" t="s">
        <v>777</v>
      </c>
    </row>
    <row r="2099" s="17" customFormat="1" hidden="1" spans="1:35">
      <c r="A2099" s="17" t="s">
        <v>34</v>
      </c>
      <c r="B2099" s="19">
        <v>850</v>
      </c>
      <c r="C2099" s="230" t="s">
        <v>772</v>
      </c>
      <c r="D2099" s="17" t="s">
        <v>52</v>
      </c>
      <c r="E2099" s="17" t="s">
        <v>220</v>
      </c>
      <c r="F2099" s="17" t="s">
        <v>54</v>
      </c>
      <c r="H2099" s="19">
        <v>1.2379</v>
      </c>
      <c r="I2099" s="184"/>
      <c r="J2099" s="185" t="s">
        <v>82</v>
      </c>
      <c r="K2099" s="91">
        <v>305</v>
      </c>
      <c r="L2099" s="91">
        <v>155</v>
      </c>
      <c r="M2099" s="23">
        <v>4000</v>
      </c>
      <c r="N2099" s="17" t="s">
        <v>40</v>
      </c>
      <c r="O2099" s="19" t="s">
        <v>168</v>
      </c>
      <c r="P2099" s="235">
        <v>1484</v>
      </c>
      <c r="Q2099" s="19">
        <v>796</v>
      </c>
      <c r="R2099" s="17">
        <f t="shared" si="113"/>
        <v>688</v>
      </c>
      <c r="S2099" s="19">
        <f t="shared" si="112"/>
        <v>2100</v>
      </c>
      <c r="T2099" s="19" t="s">
        <v>42</v>
      </c>
      <c r="U2099" s="102" t="s">
        <v>773</v>
      </c>
      <c r="V2099" s="64" t="s">
        <v>774</v>
      </c>
      <c r="W2099" s="17" t="s">
        <v>69</v>
      </c>
      <c r="Y2099" s="68">
        <v>44927</v>
      </c>
      <c r="Z2099" s="17" t="s">
        <v>191</v>
      </c>
      <c r="AA2099" s="17" t="s">
        <v>46</v>
      </c>
      <c r="AB2099" s="17" t="s">
        <v>775</v>
      </c>
      <c r="AC2099" s="102" t="s">
        <v>776</v>
      </c>
      <c r="AD2099" s="65">
        <v>1383</v>
      </c>
      <c r="AE2099" s="17" t="s">
        <v>74</v>
      </c>
      <c r="AF2099" s="17" t="s">
        <v>777</v>
      </c>
    </row>
    <row r="2100" s="17" customFormat="1" hidden="1" spans="1:35">
      <c r="A2100" s="17" t="s">
        <v>34</v>
      </c>
      <c r="B2100" s="19">
        <v>850</v>
      </c>
      <c r="C2100" s="230" t="s">
        <v>772</v>
      </c>
      <c r="D2100" s="17" t="s">
        <v>52</v>
      </c>
      <c r="E2100" s="17" t="s">
        <v>220</v>
      </c>
      <c r="F2100" s="17" t="s">
        <v>54</v>
      </c>
      <c r="H2100" s="19">
        <v>1.2379</v>
      </c>
      <c r="I2100" s="184"/>
      <c r="J2100" s="185" t="s">
        <v>82</v>
      </c>
      <c r="K2100" s="91">
        <v>210</v>
      </c>
      <c r="L2100" s="91">
        <v>210</v>
      </c>
      <c r="M2100" s="23">
        <v>4000</v>
      </c>
      <c r="N2100" s="17" t="s">
        <v>40</v>
      </c>
      <c r="O2100" s="19" t="s">
        <v>168</v>
      </c>
      <c r="P2100" s="235">
        <v>1385</v>
      </c>
      <c r="Q2100" s="19">
        <v>1809</v>
      </c>
      <c r="R2100" s="17">
        <f t="shared" si="113"/>
        <v>-424</v>
      </c>
      <c r="S2100" s="19">
        <f t="shared" si="112"/>
        <v>2100</v>
      </c>
      <c r="T2100" s="19" t="s">
        <v>42</v>
      </c>
      <c r="U2100" s="102" t="s">
        <v>773</v>
      </c>
      <c r="V2100" s="64" t="s">
        <v>774</v>
      </c>
      <c r="W2100" s="17" t="s">
        <v>69</v>
      </c>
      <c r="Y2100" s="68">
        <v>44927</v>
      </c>
      <c r="Z2100" s="17" t="s">
        <v>191</v>
      </c>
      <c r="AA2100" s="17" t="s">
        <v>46</v>
      </c>
      <c r="AB2100" s="17" t="s">
        <v>778</v>
      </c>
      <c r="AC2100" s="217">
        <v>45170</v>
      </c>
      <c r="AD2100" s="65">
        <v>1376</v>
      </c>
      <c r="AE2100" s="17" t="s">
        <v>74</v>
      </c>
      <c r="AF2100" s="17" t="s">
        <v>777</v>
      </c>
    </row>
    <row r="2101" s="17" customFormat="1" hidden="1" spans="1:35">
      <c r="A2101" s="17" t="s">
        <v>34</v>
      </c>
      <c r="B2101" s="19">
        <v>850</v>
      </c>
      <c r="C2101" s="230" t="s">
        <v>772</v>
      </c>
      <c r="D2101" s="17" t="s">
        <v>52</v>
      </c>
      <c r="E2101" s="17" t="s">
        <v>220</v>
      </c>
      <c r="F2101" s="17" t="s">
        <v>54</v>
      </c>
      <c r="H2101" s="19">
        <v>1.2379</v>
      </c>
      <c r="I2101" s="184"/>
      <c r="J2101" s="185" t="s">
        <v>82</v>
      </c>
      <c r="K2101" s="91">
        <v>205</v>
      </c>
      <c r="L2101" s="91">
        <v>305</v>
      </c>
      <c r="M2101" s="23">
        <v>4000</v>
      </c>
      <c r="N2101" s="17" t="s">
        <v>40</v>
      </c>
      <c r="O2101" s="19" t="s">
        <v>168</v>
      </c>
      <c r="P2101" s="235">
        <v>1963</v>
      </c>
      <c r="Q2101" s="19">
        <f>1274</f>
        <v>1274</v>
      </c>
      <c r="R2101" s="17">
        <f t="shared" si="113"/>
        <v>689</v>
      </c>
      <c r="S2101" s="19">
        <f t="shared" si="112"/>
        <v>2100</v>
      </c>
      <c r="T2101" s="19" t="s">
        <v>42</v>
      </c>
      <c r="U2101" s="102" t="s">
        <v>773</v>
      </c>
      <c r="V2101" s="64" t="s">
        <v>774</v>
      </c>
      <c r="W2101" s="17" t="s">
        <v>69</v>
      </c>
      <c r="Y2101" s="68">
        <v>44927</v>
      </c>
      <c r="Z2101" s="17" t="s">
        <v>191</v>
      </c>
      <c r="AA2101" s="17" t="s">
        <v>46</v>
      </c>
      <c r="AB2101" s="17" t="s">
        <v>775</v>
      </c>
      <c r="AC2101" s="102" t="s">
        <v>776</v>
      </c>
      <c r="AD2101" s="65">
        <v>1383</v>
      </c>
      <c r="AE2101" s="17" t="s">
        <v>74</v>
      </c>
      <c r="AF2101" s="17" t="s">
        <v>777</v>
      </c>
    </row>
    <row r="2102" s="17" customFormat="1" hidden="1" spans="1:35">
      <c r="B2102" s="19">
        <v>850</v>
      </c>
      <c r="C2102" s="230" t="s">
        <v>772</v>
      </c>
      <c r="D2102" s="17" t="s">
        <v>52</v>
      </c>
      <c r="E2102" s="17" t="s">
        <v>220</v>
      </c>
      <c r="F2102" s="17" t="s">
        <v>54</v>
      </c>
      <c r="H2102" s="19">
        <v>1.2379</v>
      </c>
      <c r="I2102" s="184"/>
      <c r="J2102" s="185" t="s">
        <v>82</v>
      </c>
      <c r="K2102" s="91">
        <v>305</v>
      </c>
      <c r="L2102" s="91">
        <v>32</v>
      </c>
      <c r="M2102" s="23">
        <v>4000</v>
      </c>
      <c r="N2102" s="17" t="s">
        <v>40</v>
      </c>
      <c r="O2102" s="19" t="s">
        <v>168</v>
      </c>
      <c r="P2102" s="235">
        <v>613</v>
      </c>
      <c r="Q2102" s="19">
        <v>0</v>
      </c>
      <c r="R2102" s="17">
        <f t="shared" si="113"/>
        <v>613</v>
      </c>
      <c r="S2102" s="19">
        <f t="shared" si="112"/>
        <v>2100</v>
      </c>
      <c r="T2102" s="19" t="s">
        <v>42</v>
      </c>
      <c r="U2102" s="102" t="s">
        <v>773</v>
      </c>
      <c r="V2102" s="64" t="s">
        <v>774</v>
      </c>
      <c r="W2102" s="17" t="s">
        <v>69</v>
      </c>
      <c r="Y2102" s="68">
        <v>44927</v>
      </c>
      <c r="Z2102" s="17" t="s">
        <v>191</v>
      </c>
      <c r="AA2102" s="17" t="s">
        <v>46</v>
      </c>
      <c r="AC2102" s="102"/>
      <c r="AD2102" s="65"/>
      <c r="AE2102" s="17" t="s">
        <v>74</v>
      </c>
      <c r="AF2102" s="17" t="s">
        <v>777</v>
      </c>
      <c r="AI2102" s="17">
        <v>2125</v>
      </c>
    </row>
    <row r="2103" s="17" customFormat="1" hidden="1" spans="1:35">
      <c r="B2103" s="19">
        <v>850</v>
      </c>
      <c r="C2103" s="230" t="s">
        <v>772</v>
      </c>
      <c r="D2103" s="17" t="s">
        <v>52</v>
      </c>
      <c r="E2103" s="17" t="s">
        <v>220</v>
      </c>
      <c r="F2103" s="17" t="s">
        <v>54</v>
      </c>
      <c r="H2103" s="19">
        <v>1.2379</v>
      </c>
      <c r="I2103" s="184"/>
      <c r="J2103" s="185" t="s">
        <v>82</v>
      </c>
      <c r="K2103" s="91">
        <v>355</v>
      </c>
      <c r="L2103" s="91">
        <v>32</v>
      </c>
      <c r="M2103" s="23">
        <v>4000</v>
      </c>
      <c r="N2103" s="17" t="s">
        <v>40</v>
      </c>
      <c r="O2103" s="19" t="s">
        <v>168</v>
      </c>
      <c r="P2103" s="235">
        <v>713</v>
      </c>
      <c r="Q2103" s="19">
        <v>0</v>
      </c>
      <c r="R2103" s="17">
        <f t="shared" si="113"/>
        <v>713</v>
      </c>
      <c r="S2103" s="19">
        <f t="shared" si="112"/>
        <v>2100</v>
      </c>
      <c r="T2103" s="19" t="s">
        <v>42</v>
      </c>
      <c r="U2103" s="102" t="s">
        <v>773</v>
      </c>
      <c r="V2103" s="64" t="s">
        <v>774</v>
      </c>
      <c r="W2103" s="17" t="s">
        <v>69</v>
      </c>
      <c r="Y2103" s="68">
        <v>44927</v>
      </c>
      <c r="Z2103" s="17" t="s">
        <v>191</v>
      </c>
      <c r="AA2103" s="17" t="s">
        <v>46</v>
      </c>
      <c r="AC2103" s="102"/>
      <c r="AD2103" s="65"/>
      <c r="AE2103" s="17" t="s">
        <v>74</v>
      </c>
      <c r="AF2103" s="17" t="s">
        <v>777</v>
      </c>
      <c r="AI2103" s="17">
        <v>2125</v>
      </c>
    </row>
    <row r="2104" s="17" customFormat="1" hidden="1" spans="1:35">
      <c r="B2104" s="19">
        <v>850</v>
      </c>
      <c r="C2104" s="230" t="s">
        <v>772</v>
      </c>
      <c r="D2104" s="17" t="s">
        <v>52</v>
      </c>
      <c r="E2104" s="17" t="s">
        <v>220</v>
      </c>
      <c r="F2104" s="17" t="s">
        <v>54</v>
      </c>
      <c r="H2104" s="19">
        <v>1.2379</v>
      </c>
      <c r="I2104" s="184"/>
      <c r="J2104" s="185" t="s">
        <v>82</v>
      </c>
      <c r="K2104" s="91">
        <v>405</v>
      </c>
      <c r="L2104" s="91">
        <v>50</v>
      </c>
      <c r="M2104" s="23">
        <v>4000</v>
      </c>
      <c r="N2104" s="17" t="s">
        <v>40</v>
      </c>
      <c r="O2104" s="19" t="s">
        <v>168</v>
      </c>
      <c r="P2104" s="235">
        <v>1272</v>
      </c>
      <c r="Q2104" s="19">
        <v>0</v>
      </c>
      <c r="R2104" s="17">
        <f t="shared" si="113"/>
        <v>1272</v>
      </c>
      <c r="S2104" s="19">
        <f t="shared" si="112"/>
        <v>2100</v>
      </c>
      <c r="T2104" s="19" t="s">
        <v>42</v>
      </c>
      <c r="U2104" s="102" t="s">
        <v>773</v>
      </c>
      <c r="V2104" s="64" t="s">
        <v>774</v>
      </c>
      <c r="W2104" s="17" t="s">
        <v>69</v>
      </c>
      <c r="Y2104" s="68">
        <v>44927</v>
      </c>
      <c r="Z2104" s="17" t="s">
        <v>191</v>
      </c>
      <c r="AA2104" s="17" t="s">
        <v>46</v>
      </c>
      <c r="AC2104" s="102"/>
      <c r="AD2104" s="65"/>
      <c r="AE2104" s="17" t="s">
        <v>74</v>
      </c>
      <c r="AF2104" s="17" t="s">
        <v>777</v>
      </c>
      <c r="AI2104" s="17">
        <v>2125</v>
      </c>
    </row>
    <row r="2105" s="17" customFormat="1" hidden="1" spans="1:35">
      <c r="A2105" s="17" t="s">
        <v>34</v>
      </c>
      <c r="B2105" s="19">
        <v>851</v>
      </c>
      <c r="C2105" s="230" t="s">
        <v>772</v>
      </c>
      <c r="D2105" s="17" t="s">
        <v>52</v>
      </c>
      <c r="E2105" s="17" t="s">
        <v>187</v>
      </c>
      <c r="F2105" s="17" t="s">
        <v>54</v>
      </c>
      <c r="H2105" s="19">
        <v>1.2311</v>
      </c>
      <c r="I2105" s="19"/>
      <c r="J2105" s="17" t="s">
        <v>82</v>
      </c>
      <c r="K2105" s="181">
        <v>205</v>
      </c>
      <c r="L2105" s="181">
        <v>32</v>
      </c>
      <c r="M2105" s="19">
        <v>2300</v>
      </c>
      <c r="N2105" s="19" t="s">
        <v>66</v>
      </c>
      <c r="O2105" s="19" t="s">
        <v>141</v>
      </c>
      <c r="P2105" s="160">
        <v>1500</v>
      </c>
      <c r="Q2105" s="19">
        <f>1559</f>
        <v>1559</v>
      </c>
      <c r="R2105" s="17">
        <f t="shared" si="113"/>
        <v>-59</v>
      </c>
      <c r="S2105" s="19">
        <v>810</v>
      </c>
      <c r="T2105" s="19" t="s">
        <v>42</v>
      </c>
      <c r="U2105" s="102" t="s">
        <v>779</v>
      </c>
      <c r="V2105" s="64" t="s">
        <v>681</v>
      </c>
      <c r="W2105" s="17" t="s">
        <v>69</v>
      </c>
      <c r="Y2105" s="68">
        <v>44927</v>
      </c>
      <c r="Z2105" s="17" t="s">
        <v>191</v>
      </c>
      <c r="AA2105" s="17" t="s">
        <v>46</v>
      </c>
      <c r="AB2105" s="17" t="s">
        <v>780</v>
      </c>
      <c r="AC2105" s="67">
        <v>44632</v>
      </c>
      <c r="AD2105" s="65">
        <v>1365</v>
      </c>
      <c r="AE2105" s="17" t="s">
        <v>74</v>
      </c>
      <c r="AF2105" s="17" t="s">
        <v>781</v>
      </c>
    </row>
    <row r="2106" s="17" customFormat="1" hidden="1" spans="1:35">
      <c r="A2106" s="17" t="s">
        <v>34</v>
      </c>
      <c r="B2106" s="19">
        <v>851</v>
      </c>
      <c r="C2106" s="230" t="s">
        <v>772</v>
      </c>
      <c r="D2106" s="17" t="s">
        <v>52</v>
      </c>
      <c r="E2106" s="17" t="s">
        <v>187</v>
      </c>
      <c r="F2106" s="17" t="s">
        <v>54</v>
      </c>
      <c r="H2106" s="19">
        <v>1.2311</v>
      </c>
      <c r="I2106" s="19"/>
      <c r="J2106" s="17" t="s">
        <v>82</v>
      </c>
      <c r="K2106" s="181">
        <v>255</v>
      </c>
      <c r="L2106" s="181">
        <v>32</v>
      </c>
      <c r="M2106" s="19">
        <v>2300</v>
      </c>
      <c r="N2106" s="19" t="s">
        <v>66</v>
      </c>
      <c r="O2106" s="19" t="s">
        <v>141</v>
      </c>
      <c r="P2106" s="160">
        <v>1000</v>
      </c>
      <c r="Q2106" s="19">
        <f>1180</f>
        <v>1180</v>
      </c>
      <c r="R2106" s="17">
        <f t="shared" ref="R2106:R2137" si="114">+P2106-Q2106</f>
        <v>-180</v>
      </c>
      <c r="S2106" s="19">
        <v>810</v>
      </c>
      <c r="T2106" s="19" t="s">
        <v>42</v>
      </c>
      <c r="U2106" s="102" t="s">
        <v>779</v>
      </c>
      <c r="V2106" s="64" t="s">
        <v>681</v>
      </c>
      <c r="W2106" s="17" t="s">
        <v>69</v>
      </c>
      <c r="Y2106" s="68">
        <v>44927</v>
      </c>
      <c r="Z2106" s="17" t="s">
        <v>191</v>
      </c>
      <c r="AA2106" s="17" t="s">
        <v>46</v>
      </c>
      <c r="AB2106" s="17" t="s">
        <v>780</v>
      </c>
      <c r="AC2106" s="67">
        <v>44632</v>
      </c>
      <c r="AD2106" s="65">
        <v>1365</v>
      </c>
      <c r="AE2106" s="17" t="s">
        <v>74</v>
      </c>
      <c r="AF2106" s="17" t="s">
        <v>781</v>
      </c>
    </row>
    <row r="2107" s="17" customFormat="1" hidden="1" spans="1:35">
      <c r="A2107" s="17" t="s">
        <v>34</v>
      </c>
      <c r="B2107" s="19">
        <v>851</v>
      </c>
      <c r="C2107" s="230" t="s">
        <v>772</v>
      </c>
      <c r="D2107" s="17" t="s">
        <v>52</v>
      </c>
      <c r="E2107" s="17" t="s">
        <v>187</v>
      </c>
      <c r="F2107" s="17" t="s">
        <v>54</v>
      </c>
      <c r="H2107" s="19">
        <v>1.2311</v>
      </c>
      <c r="I2107" s="19"/>
      <c r="J2107" s="17" t="s">
        <v>82</v>
      </c>
      <c r="K2107" s="181">
        <v>305</v>
      </c>
      <c r="L2107" s="181">
        <v>32</v>
      </c>
      <c r="M2107" s="19">
        <v>2300</v>
      </c>
      <c r="N2107" s="19" t="s">
        <v>66</v>
      </c>
      <c r="O2107" s="19" t="s">
        <v>141</v>
      </c>
      <c r="P2107" s="160">
        <v>1000</v>
      </c>
      <c r="Q2107" s="19">
        <f>1060</f>
        <v>1060</v>
      </c>
      <c r="R2107" s="17">
        <f t="shared" si="114"/>
        <v>-60</v>
      </c>
      <c r="S2107" s="19">
        <v>810</v>
      </c>
      <c r="T2107" s="19" t="s">
        <v>42</v>
      </c>
      <c r="U2107" s="102" t="s">
        <v>779</v>
      </c>
      <c r="V2107" s="64" t="s">
        <v>681</v>
      </c>
      <c r="W2107" s="17" t="s">
        <v>69</v>
      </c>
      <c r="Y2107" s="68">
        <v>44927</v>
      </c>
      <c r="Z2107" s="17" t="s">
        <v>191</v>
      </c>
      <c r="AA2107" s="17" t="s">
        <v>46</v>
      </c>
      <c r="AB2107" s="17" t="s">
        <v>780</v>
      </c>
      <c r="AC2107" s="67">
        <v>44632</v>
      </c>
      <c r="AD2107" s="65">
        <v>1365</v>
      </c>
      <c r="AE2107" s="17" t="s">
        <v>74</v>
      </c>
      <c r="AF2107" s="17" t="s">
        <v>781</v>
      </c>
    </row>
    <row r="2108" s="17" customFormat="1" hidden="1" spans="1:35">
      <c r="A2108" s="17" t="s">
        <v>34</v>
      </c>
      <c r="B2108" s="19">
        <v>851</v>
      </c>
      <c r="C2108" s="230" t="s">
        <v>772</v>
      </c>
      <c r="D2108" s="17" t="s">
        <v>52</v>
      </c>
      <c r="E2108" s="17" t="s">
        <v>187</v>
      </c>
      <c r="F2108" s="17" t="s">
        <v>54</v>
      </c>
      <c r="H2108" s="19">
        <v>1.2311</v>
      </c>
      <c r="I2108" s="19"/>
      <c r="J2108" s="17" t="s">
        <v>82</v>
      </c>
      <c r="K2108" s="181">
        <v>355</v>
      </c>
      <c r="L2108" s="181">
        <v>32</v>
      </c>
      <c r="M2108" s="19">
        <v>2300</v>
      </c>
      <c r="N2108" s="19" t="s">
        <v>66</v>
      </c>
      <c r="O2108" s="19" t="s">
        <v>141</v>
      </c>
      <c r="P2108" s="160">
        <v>1000</v>
      </c>
      <c r="Q2108" s="19">
        <v>1037</v>
      </c>
      <c r="R2108" s="17">
        <f t="shared" si="114"/>
        <v>-37</v>
      </c>
      <c r="S2108" s="19">
        <v>810</v>
      </c>
      <c r="T2108" s="19" t="s">
        <v>42</v>
      </c>
      <c r="U2108" s="102" t="s">
        <v>779</v>
      </c>
      <c r="V2108" s="64" t="s">
        <v>681</v>
      </c>
      <c r="W2108" s="17" t="s">
        <v>69</v>
      </c>
      <c r="Y2108" s="68">
        <v>44927</v>
      </c>
      <c r="Z2108" s="17" t="s">
        <v>191</v>
      </c>
      <c r="AA2108" s="17" t="s">
        <v>46</v>
      </c>
      <c r="AB2108" s="17" t="s">
        <v>780</v>
      </c>
      <c r="AC2108" s="67">
        <v>44632</v>
      </c>
      <c r="AD2108" s="65">
        <v>1365</v>
      </c>
      <c r="AE2108" s="17" t="s">
        <v>74</v>
      </c>
      <c r="AF2108" s="17" t="s">
        <v>781</v>
      </c>
    </row>
    <row r="2109" s="17" customFormat="1" hidden="1" spans="1:35">
      <c r="A2109" s="17" t="s">
        <v>34</v>
      </c>
      <c r="B2109" s="19">
        <v>851</v>
      </c>
      <c r="C2109" s="230" t="s">
        <v>772</v>
      </c>
      <c r="D2109" s="17" t="s">
        <v>52</v>
      </c>
      <c r="E2109" s="17" t="s">
        <v>187</v>
      </c>
      <c r="F2109" s="17" t="s">
        <v>54</v>
      </c>
      <c r="H2109" s="19">
        <v>1.2311</v>
      </c>
      <c r="I2109" s="19"/>
      <c r="J2109" s="17" t="s">
        <v>82</v>
      </c>
      <c r="K2109" s="181">
        <v>405</v>
      </c>
      <c r="L2109" s="181">
        <v>32</v>
      </c>
      <c r="M2109" s="19">
        <v>2300</v>
      </c>
      <c r="N2109" s="19" t="s">
        <v>66</v>
      </c>
      <c r="O2109" s="19" t="s">
        <v>141</v>
      </c>
      <c r="P2109" s="160">
        <v>1000</v>
      </c>
      <c r="Q2109" s="19">
        <f>233+708</f>
        <v>941</v>
      </c>
      <c r="R2109" s="17">
        <f t="shared" si="114"/>
        <v>59</v>
      </c>
      <c r="S2109" s="19">
        <v>810</v>
      </c>
      <c r="T2109" s="19" t="s">
        <v>42</v>
      </c>
      <c r="U2109" s="102" t="s">
        <v>779</v>
      </c>
      <c r="V2109" s="64" t="s">
        <v>681</v>
      </c>
      <c r="W2109" s="17" t="s">
        <v>69</v>
      </c>
      <c r="Y2109" s="68">
        <v>44927</v>
      </c>
      <c r="Z2109" s="17" t="s">
        <v>191</v>
      </c>
      <c r="AA2109" s="17" t="s">
        <v>46</v>
      </c>
      <c r="AB2109" s="17" t="s">
        <v>780</v>
      </c>
      <c r="AC2109" s="67">
        <v>44632</v>
      </c>
      <c r="AD2109" s="65">
        <v>1365</v>
      </c>
      <c r="AE2109" s="17" t="s">
        <v>74</v>
      </c>
      <c r="AF2109" s="17" t="s">
        <v>781</v>
      </c>
    </row>
    <row r="2110" s="17" customFormat="1" hidden="1" spans="1:35">
      <c r="A2110" s="17" t="s">
        <v>34</v>
      </c>
      <c r="B2110" s="19">
        <v>851</v>
      </c>
      <c r="C2110" s="230" t="s">
        <v>772</v>
      </c>
      <c r="D2110" s="17" t="s">
        <v>52</v>
      </c>
      <c r="E2110" s="17" t="s">
        <v>187</v>
      </c>
      <c r="F2110" s="17" t="s">
        <v>54</v>
      </c>
      <c r="H2110" s="19">
        <v>1.2311</v>
      </c>
      <c r="I2110" s="19"/>
      <c r="J2110" s="17" t="s">
        <v>82</v>
      </c>
      <c r="K2110" s="181">
        <v>455</v>
      </c>
      <c r="L2110" s="181">
        <v>32</v>
      </c>
      <c r="M2110" s="19">
        <v>2300</v>
      </c>
      <c r="N2110" s="19" t="s">
        <v>66</v>
      </c>
      <c r="O2110" s="19" t="s">
        <v>141</v>
      </c>
      <c r="P2110" s="160">
        <v>1000</v>
      </c>
      <c r="Q2110" s="19">
        <f>526+521</f>
        <v>1047</v>
      </c>
      <c r="R2110" s="17">
        <f t="shared" si="114"/>
        <v>-47</v>
      </c>
      <c r="S2110" s="19">
        <v>810</v>
      </c>
      <c r="T2110" s="19" t="s">
        <v>42</v>
      </c>
      <c r="U2110" s="102" t="s">
        <v>779</v>
      </c>
      <c r="V2110" s="64" t="s">
        <v>681</v>
      </c>
      <c r="W2110" s="17" t="s">
        <v>69</v>
      </c>
      <c r="Y2110" s="68">
        <v>44927</v>
      </c>
      <c r="Z2110" s="17" t="s">
        <v>191</v>
      </c>
      <c r="AA2110" s="17" t="s">
        <v>46</v>
      </c>
      <c r="AB2110" s="17" t="s">
        <v>780</v>
      </c>
      <c r="AC2110" s="67">
        <v>44632</v>
      </c>
      <c r="AD2110" s="65">
        <v>1365</v>
      </c>
      <c r="AE2110" s="17" t="s">
        <v>74</v>
      </c>
      <c r="AF2110" s="17" t="s">
        <v>781</v>
      </c>
    </row>
    <row r="2111" s="17" customFormat="1" hidden="1" spans="1:35">
      <c r="A2111" s="17" t="s">
        <v>34</v>
      </c>
      <c r="B2111" s="19">
        <v>851</v>
      </c>
      <c r="C2111" s="230" t="s">
        <v>772</v>
      </c>
      <c r="D2111" s="17" t="s">
        <v>52</v>
      </c>
      <c r="E2111" s="17" t="s">
        <v>187</v>
      </c>
      <c r="F2111" s="17" t="s">
        <v>54</v>
      </c>
      <c r="H2111" s="19">
        <v>1.2311</v>
      </c>
      <c r="I2111" s="19"/>
      <c r="J2111" s="17" t="s">
        <v>82</v>
      </c>
      <c r="K2111" s="181">
        <v>505</v>
      </c>
      <c r="L2111" s="181">
        <v>32</v>
      </c>
      <c r="M2111" s="19">
        <v>2300</v>
      </c>
      <c r="N2111" s="19" t="s">
        <v>66</v>
      </c>
      <c r="O2111" s="19" t="s">
        <v>141</v>
      </c>
      <c r="P2111" s="160">
        <v>1000</v>
      </c>
      <c r="Q2111" s="19">
        <v>1848</v>
      </c>
      <c r="R2111" s="17">
        <f t="shared" si="114"/>
        <v>-848</v>
      </c>
      <c r="S2111" s="19">
        <v>810</v>
      </c>
      <c r="T2111" s="19" t="s">
        <v>42</v>
      </c>
      <c r="U2111" s="102" t="s">
        <v>779</v>
      </c>
      <c r="V2111" s="64" t="s">
        <v>681</v>
      </c>
      <c r="W2111" s="17" t="s">
        <v>69</v>
      </c>
      <c r="Y2111" s="68">
        <v>44927</v>
      </c>
      <c r="Z2111" s="17" t="s">
        <v>191</v>
      </c>
      <c r="AA2111" s="17" t="s">
        <v>46</v>
      </c>
      <c r="AB2111" s="17" t="s">
        <v>780</v>
      </c>
      <c r="AC2111" s="67">
        <v>44632</v>
      </c>
      <c r="AD2111" s="65">
        <v>1365</v>
      </c>
      <c r="AE2111" s="17" t="s">
        <v>74</v>
      </c>
      <c r="AF2111" s="17" t="s">
        <v>781</v>
      </c>
    </row>
    <row r="2112" s="17" customFormat="1" hidden="1" spans="1:35">
      <c r="A2112" s="17" t="s">
        <v>34</v>
      </c>
      <c r="B2112" s="19">
        <v>851</v>
      </c>
      <c r="C2112" s="230" t="s">
        <v>772</v>
      </c>
      <c r="D2112" s="17" t="s">
        <v>52</v>
      </c>
      <c r="E2112" s="17" t="s">
        <v>187</v>
      </c>
      <c r="F2112" s="17" t="s">
        <v>54</v>
      </c>
      <c r="H2112" s="19">
        <v>1.2311</v>
      </c>
      <c r="I2112" s="19"/>
      <c r="J2112" s="17" t="s">
        <v>82</v>
      </c>
      <c r="K2112" s="181">
        <v>205</v>
      </c>
      <c r="L2112" s="181">
        <v>40</v>
      </c>
      <c r="M2112" s="19">
        <v>2300</v>
      </c>
      <c r="N2112" s="19" t="s">
        <v>66</v>
      </c>
      <c r="O2112" s="19" t="s">
        <v>141</v>
      </c>
      <c r="P2112" s="160">
        <v>2500</v>
      </c>
      <c r="Q2112" s="19">
        <f>772+906</f>
        <v>1678</v>
      </c>
      <c r="R2112" s="18">
        <f t="shared" si="114"/>
        <v>822</v>
      </c>
      <c r="S2112" s="19">
        <v>810</v>
      </c>
      <c r="T2112" s="19" t="s">
        <v>42</v>
      </c>
      <c r="U2112" s="102" t="s">
        <v>779</v>
      </c>
      <c r="V2112" s="64" t="s">
        <v>681</v>
      </c>
      <c r="W2112" s="17" t="s">
        <v>69</v>
      </c>
      <c r="Y2112" s="68">
        <v>44927</v>
      </c>
      <c r="Z2112" s="17" t="s">
        <v>191</v>
      </c>
      <c r="AA2112" s="17" t="s">
        <v>46</v>
      </c>
      <c r="AB2112" s="17" t="s">
        <v>780</v>
      </c>
      <c r="AC2112" s="67">
        <v>44632</v>
      </c>
      <c r="AD2112" s="65">
        <v>1365</v>
      </c>
      <c r="AE2112" s="17" t="s">
        <v>74</v>
      </c>
      <c r="AF2112" s="17" t="s">
        <v>781</v>
      </c>
    </row>
    <row r="2113" s="17" customFormat="1" hidden="1" spans="1:32">
      <c r="A2113" s="17" t="s">
        <v>34</v>
      </c>
      <c r="B2113" s="19">
        <v>851</v>
      </c>
      <c r="C2113" s="230" t="s">
        <v>772</v>
      </c>
      <c r="D2113" s="17" t="s">
        <v>52</v>
      </c>
      <c r="E2113" s="17" t="s">
        <v>187</v>
      </c>
      <c r="F2113" s="17" t="s">
        <v>54</v>
      </c>
      <c r="H2113" s="19">
        <v>1.2311</v>
      </c>
      <c r="I2113" s="19"/>
      <c r="J2113" s="17" t="s">
        <v>82</v>
      </c>
      <c r="K2113" s="181">
        <v>255</v>
      </c>
      <c r="L2113" s="181">
        <v>40</v>
      </c>
      <c r="M2113" s="19">
        <v>2300</v>
      </c>
      <c r="N2113" s="19" t="s">
        <v>66</v>
      </c>
      <c r="O2113" s="19" t="s">
        <v>141</v>
      </c>
      <c r="P2113" s="160">
        <v>2500</v>
      </c>
      <c r="Q2113" s="19">
        <f>2488</f>
        <v>2488</v>
      </c>
      <c r="R2113" s="17">
        <f t="shared" si="114"/>
        <v>12</v>
      </c>
      <c r="S2113" s="19">
        <v>810</v>
      </c>
      <c r="T2113" s="19" t="s">
        <v>42</v>
      </c>
      <c r="U2113" s="102" t="s">
        <v>779</v>
      </c>
      <c r="V2113" s="64" t="s">
        <v>681</v>
      </c>
      <c r="W2113" s="17" t="s">
        <v>69</v>
      </c>
      <c r="Y2113" s="68">
        <v>44927</v>
      </c>
      <c r="Z2113" s="17" t="s">
        <v>191</v>
      </c>
      <c r="AA2113" s="17" t="s">
        <v>46</v>
      </c>
      <c r="AB2113" s="17" t="s">
        <v>780</v>
      </c>
      <c r="AC2113" s="67">
        <v>44632</v>
      </c>
      <c r="AD2113" s="65">
        <v>1365</v>
      </c>
      <c r="AE2113" s="17" t="s">
        <v>74</v>
      </c>
      <c r="AF2113" s="17" t="s">
        <v>781</v>
      </c>
    </row>
    <row r="2114" s="17" customFormat="1" hidden="1" spans="1:32">
      <c r="A2114" s="17" t="s">
        <v>34</v>
      </c>
      <c r="B2114" s="19">
        <v>851</v>
      </c>
      <c r="C2114" s="230" t="s">
        <v>772</v>
      </c>
      <c r="D2114" s="17" t="s">
        <v>52</v>
      </c>
      <c r="E2114" s="17" t="s">
        <v>187</v>
      </c>
      <c r="F2114" s="17" t="s">
        <v>54</v>
      </c>
      <c r="H2114" s="19">
        <v>1.2311</v>
      </c>
      <c r="I2114" s="19"/>
      <c r="J2114" s="17" t="s">
        <v>82</v>
      </c>
      <c r="K2114" s="181">
        <v>305</v>
      </c>
      <c r="L2114" s="181">
        <v>40</v>
      </c>
      <c r="M2114" s="19">
        <v>2300</v>
      </c>
      <c r="N2114" s="19" t="s">
        <v>66</v>
      </c>
      <c r="O2114" s="19" t="s">
        <v>141</v>
      </c>
      <c r="P2114" s="160">
        <v>2500</v>
      </c>
      <c r="Q2114" s="19">
        <f>2797</f>
        <v>2797</v>
      </c>
      <c r="R2114" s="17">
        <f t="shared" si="114"/>
        <v>-297</v>
      </c>
      <c r="S2114" s="19">
        <v>810</v>
      </c>
      <c r="T2114" s="19" t="s">
        <v>42</v>
      </c>
      <c r="U2114" s="102" t="s">
        <v>779</v>
      </c>
      <c r="V2114" s="64" t="s">
        <v>681</v>
      </c>
      <c r="W2114" s="17" t="s">
        <v>69</v>
      </c>
      <c r="Y2114" s="68">
        <v>44927</v>
      </c>
      <c r="Z2114" s="17" t="s">
        <v>191</v>
      </c>
      <c r="AA2114" s="17" t="s">
        <v>46</v>
      </c>
      <c r="AB2114" s="17" t="s">
        <v>780</v>
      </c>
      <c r="AC2114" s="67">
        <v>44632</v>
      </c>
      <c r="AD2114" s="65">
        <v>1365</v>
      </c>
      <c r="AE2114" s="17" t="s">
        <v>74</v>
      </c>
      <c r="AF2114" s="17" t="s">
        <v>781</v>
      </c>
    </row>
    <row r="2115" s="17" customFormat="1" hidden="1" spans="1:32">
      <c r="A2115" s="17" t="s">
        <v>34</v>
      </c>
      <c r="B2115" s="19">
        <v>851</v>
      </c>
      <c r="C2115" s="230" t="s">
        <v>772</v>
      </c>
      <c r="D2115" s="17" t="s">
        <v>52</v>
      </c>
      <c r="E2115" s="17" t="s">
        <v>187</v>
      </c>
      <c r="F2115" s="17" t="s">
        <v>54</v>
      </c>
      <c r="H2115" s="19">
        <v>1.2311</v>
      </c>
      <c r="I2115" s="19"/>
      <c r="J2115" s="17" t="s">
        <v>82</v>
      </c>
      <c r="K2115" s="181">
        <v>355</v>
      </c>
      <c r="L2115" s="181">
        <v>40</v>
      </c>
      <c r="M2115" s="19">
        <v>2300</v>
      </c>
      <c r="N2115" s="19" t="s">
        <v>66</v>
      </c>
      <c r="O2115" s="19" t="s">
        <v>141</v>
      </c>
      <c r="P2115" s="160">
        <v>2500</v>
      </c>
      <c r="Q2115" s="19">
        <f>2972</f>
        <v>2972</v>
      </c>
      <c r="R2115" s="17">
        <f t="shared" si="114"/>
        <v>-472</v>
      </c>
      <c r="S2115" s="19">
        <v>810</v>
      </c>
      <c r="T2115" s="19" t="s">
        <v>42</v>
      </c>
      <c r="U2115" s="102" t="s">
        <v>779</v>
      </c>
      <c r="V2115" s="64" t="s">
        <v>681</v>
      </c>
      <c r="W2115" s="17" t="s">
        <v>69</v>
      </c>
      <c r="Y2115" s="68">
        <v>44927</v>
      </c>
      <c r="Z2115" s="17" t="s">
        <v>191</v>
      </c>
      <c r="AA2115" s="17" t="s">
        <v>46</v>
      </c>
      <c r="AB2115" s="17" t="s">
        <v>780</v>
      </c>
      <c r="AC2115" s="67">
        <v>44632</v>
      </c>
      <c r="AD2115" s="65">
        <v>1365</v>
      </c>
      <c r="AE2115" s="17" t="s">
        <v>74</v>
      </c>
      <c r="AF2115" s="17" t="s">
        <v>781</v>
      </c>
    </row>
    <row r="2116" s="17" customFormat="1" hidden="1" spans="1:32">
      <c r="A2116" s="17" t="s">
        <v>34</v>
      </c>
      <c r="B2116" s="19">
        <v>851</v>
      </c>
      <c r="C2116" s="230" t="s">
        <v>772</v>
      </c>
      <c r="D2116" s="17" t="s">
        <v>52</v>
      </c>
      <c r="E2116" s="17" t="s">
        <v>187</v>
      </c>
      <c r="F2116" s="17" t="s">
        <v>54</v>
      </c>
      <c r="H2116" s="19">
        <v>1.2311</v>
      </c>
      <c r="I2116" s="19"/>
      <c r="J2116" s="17" t="s">
        <v>82</v>
      </c>
      <c r="K2116" s="181">
        <v>405</v>
      </c>
      <c r="L2116" s="181">
        <v>40</v>
      </c>
      <c r="M2116" s="19">
        <v>2300</v>
      </c>
      <c r="N2116" s="19" t="s">
        <v>66</v>
      </c>
      <c r="O2116" s="19" t="s">
        <v>141</v>
      </c>
      <c r="P2116" s="160">
        <v>2500</v>
      </c>
      <c r="Q2116" s="19">
        <f>2762</f>
        <v>2762</v>
      </c>
      <c r="R2116" s="17">
        <f t="shared" si="114"/>
        <v>-262</v>
      </c>
      <c r="S2116" s="19">
        <v>810</v>
      </c>
      <c r="T2116" s="19" t="s">
        <v>42</v>
      </c>
      <c r="U2116" s="102" t="s">
        <v>779</v>
      </c>
      <c r="V2116" s="64" t="s">
        <v>681</v>
      </c>
      <c r="W2116" s="17" t="s">
        <v>69</v>
      </c>
      <c r="Y2116" s="68">
        <v>44927</v>
      </c>
      <c r="Z2116" s="17" t="s">
        <v>191</v>
      </c>
      <c r="AA2116" s="17" t="s">
        <v>46</v>
      </c>
      <c r="AB2116" s="17" t="s">
        <v>780</v>
      </c>
      <c r="AC2116" s="67">
        <v>44632</v>
      </c>
      <c r="AD2116" s="65">
        <v>1365</v>
      </c>
      <c r="AE2116" s="17" t="s">
        <v>74</v>
      </c>
      <c r="AF2116" s="17" t="s">
        <v>781</v>
      </c>
    </row>
    <row r="2117" s="17" customFormat="1" hidden="1" spans="1:32">
      <c r="A2117" s="17" t="s">
        <v>34</v>
      </c>
      <c r="B2117" s="19">
        <v>851</v>
      </c>
      <c r="C2117" s="230" t="s">
        <v>772</v>
      </c>
      <c r="D2117" s="17" t="s">
        <v>52</v>
      </c>
      <c r="E2117" s="17" t="s">
        <v>187</v>
      </c>
      <c r="F2117" s="17" t="s">
        <v>54</v>
      </c>
      <c r="H2117" s="19">
        <v>1.2311</v>
      </c>
      <c r="I2117" s="19"/>
      <c r="J2117" s="17" t="s">
        <v>82</v>
      </c>
      <c r="K2117" s="181">
        <v>455</v>
      </c>
      <c r="L2117" s="181">
        <v>40</v>
      </c>
      <c r="M2117" s="19">
        <v>2300</v>
      </c>
      <c r="N2117" s="19" t="s">
        <v>66</v>
      </c>
      <c r="O2117" s="19" t="s">
        <v>141</v>
      </c>
      <c r="P2117" s="160">
        <v>1500</v>
      </c>
      <c r="Q2117" s="19">
        <v>1726</v>
      </c>
      <c r="R2117" s="17">
        <f t="shared" si="114"/>
        <v>-226</v>
      </c>
      <c r="S2117" s="19">
        <v>810</v>
      </c>
      <c r="T2117" s="19" t="s">
        <v>42</v>
      </c>
      <c r="U2117" s="102" t="s">
        <v>779</v>
      </c>
      <c r="V2117" s="64" t="s">
        <v>681</v>
      </c>
      <c r="W2117" s="17" t="s">
        <v>69</v>
      </c>
      <c r="Y2117" s="68">
        <v>44927</v>
      </c>
      <c r="Z2117" s="17" t="s">
        <v>191</v>
      </c>
      <c r="AA2117" s="17" t="s">
        <v>46</v>
      </c>
      <c r="AB2117" s="17" t="s">
        <v>780</v>
      </c>
      <c r="AC2117" s="67">
        <v>44632</v>
      </c>
      <c r="AD2117" s="65">
        <v>1365</v>
      </c>
      <c r="AE2117" s="17" t="s">
        <v>74</v>
      </c>
      <c r="AF2117" s="17" t="s">
        <v>781</v>
      </c>
    </row>
    <row r="2118" s="17" customFormat="1" hidden="1" spans="1:32">
      <c r="A2118" s="17" t="s">
        <v>34</v>
      </c>
      <c r="B2118" s="19">
        <v>851</v>
      </c>
      <c r="C2118" s="230" t="s">
        <v>772</v>
      </c>
      <c r="D2118" s="17" t="s">
        <v>52</v>
      </c>
      <c r="E2118" s="17" t="s">
        <v>187</v>
      </c>
      <c r="F2118" s="17" t="s">
        <v>54</v>
      </c>
      <c r="H2118" s="19">
        <v>1.2311</v>
      </c>
      <c r="I2118" s="19"/>
      <c r="J2118" s="17" t="s">
        <v>82</v>
      </c>
      <c r="K2118" s="181">
        <v>505</v>
      </c>
      <c r="L2118" s="181">
        <v>40</v>
      </c>
      <c r="M2118" s="19">
        <v>2300</v>
      </c>
      <c r="N2118" s="19" t="s">
        <v>66</v>
      </c>
      <c r="O2118" s="19" t="s">
        <v>141</v>
      </c>
      <c r="P2118" s="160">
        <v>1500</v>
      </c>
      <c r="Q2118" s="19">
        <v>1534</v>
      </c>
      <c r="R2118" s="17">
        <f t="shared" si="114"/>
        <v>-34</v>
      </c>
      <c r="S2118" s="19">
        <v>810</v>
      </c>
      <c r="T2118" s="19" t="s">
        <v>42</v>
      </c>
      <c r="U2118" s="102" t="s">
        <v>779</v>
      </c>
      <c r="V2118" s="64" t="s">
        <v>681</v>
      </c>
      <c r="W2118" s="17" t="s">
        <v>69</v>
      </c>
      <c r="Y2118" s="68">
        <v>44927</v>
      </c>
      <c r="Z2118" s="17" t="s">
        <v>191</v>
      </c>
      <c r="AA2118" s="17" t="s">
        <v>46</v>
      </c>
      <c r="AB2118" s="17" t="s">
        <v>780</v>
      </c>
      <c r="AC2118" s="67">
        <v>44632</v>
      </c>
      <c r="AD2118" s="65">
        <v>1365</v>
      </c>
      <c r="AE2118" s="17" t="s">
        <v>74</v>
      </c>
      <c r="AF2118" s="17" t="s">
        <v>781</v>
      </c>
    </row>
    <row r="2119" s="17" customFormat="1" hidden="1" spans="1:32">
      <c r="A2119" s="17" t="s">
        <v>34</v>
      </c>
      <c r="B2119" s="19">
        <v>851</v>
      </c>
      <c r="C2119" s="230" t="s">
        <v>772</v>
      </c>
      <c r="D2119" s="17" t="s">
        <v>52</v>
      </c>
      <c r="E2119" s="17" t="s">
        <v>187</v>
      </c>
      <c r="F2119" s="17" t="s">
        <v>54</v>
      </c>
      <c r="H2119" s="19">
        <v>1.2311</v>
      </c>
      <c r="I2119" s="19"/>
      <c r="J2119" s="17" t="s">
        <v>82</v>
      </c>
      <c r="K2119" s="181">
        <v>205</v>
      </c>
      <c r="L2119" s="181">
        <v>50</v>
      </c>
      <c r="M2119" s="19">
        <v>2300</v>
      </c>
      <c r="N2119" s="19" t="s">
        <v>66</v>
      </c>
      <c r="O2119" s="19" t="s">
        <v>141</v>
      </c>
      <c r="P2119" s="160">
        <v>2500</v>
      </c>
      <c r="Q2119" s="19">
        <f>2683</f>
        <v>2683</v>
      </c>
      <c r="R2119" s="17">
        <f t="shared" si="114"/>
        <v>-183</v>
      </c>
      <c r="S2119" s="19">
        <v>810</v>
      </c>
      <c r="T2119" s="19" t="s">
        <v>42</v>
      </c>
      <c r="U2119" s="102" t="s">
        <v>779</v>
      </c>
      <c r="V2119" s="64" t="s">
        <v>681</v>
      </c>
      <c r="W2119" s="17" t="s">
        <v>69</v>
      </c>
      <c r="Y2119" s="68">
        <v>44927</v>
      </c>
      <c r="Z2119" s="17" t="s">
        <v>191</v>
      </c>
      <c r="AA2119" s="17" t="s">
        <v>46</v>
      </c>
      <c r="AB2119" s="17" t="s">
        <v>780</v>
      </c>
      <c r="AC2119" s="67">
        <v>44632</v>
      </c>
      <c r="AD2119" s="65">
        <v>1365</v>
      </c>
      <c r="AE2119" s="17" t="s">
        <v>74</v>
      </c>
      <c r="AF2119" s="17" t="s">
        <v>781</v>
      </c>
    </row>
    <row r="2120" s="17" customFormat="1" hidden="1" spans="1:32">
      <c r="A2120" s="17" t="s">
        <v>34</v>
      </c>
      <c r="B2120" s="19">
        <v>851</v>
      </c>
      <c r="C2120" s="230" t="s">
        <v>772</v>
      </c>
      <c r="D2120" s="17" t="s">
        <v>52</v>
      </c>
      <c r="E2120" s="17" t="s">
        <v>187</v>
      </c>
      <c r="F2120" s="17" t="s">
        <v>54</v>
      </c>
      <c r="H2120" s="19">
        <v>1.2311</v>
      </c>
      <c r="I2120" s="19"/>
      <c r="J2120" s="17" t="s">
        <v>82</v>
      </c>
      <c r="K2120" s="181">
        <v>255</v>
      </c>
      <c r="L2120" s="181">
        <v>50</v>
      </c>
      <c r="M2120" s="19">
        <v>2300</v>
      </c>
      <c r="N2120" s="19" t="s">
        <v>66</v>
      </c>
      <c r="O2120" s="19" t="s">
        <v>141</v>
      </c>
      <c r="P2120" s="160">
        <v>2500</v>
      </c>
      <c r="Q2120" s="19">
        <f>2589</f>
        <v>2589</v>
      </c>
      <c r="R2120" s="17">
        <f t="shared" si="114"/>
        <v>-89</v>
      </c>
      <c r="S2120" s="19">
        <v>810</v>
      </c>
      <c r="T2120" s="19" t="s">
        <v>42</v>
      </c>
      <c r="U2120" s="102" t="s">
        <v>779</v>
      </c>
      <c r="V2120" s="64" t="s">
        <v>681</v>
      </c>
      <c r="W2120" s="17" t="s">
        <v>69</v>
      </c>
      <c r="Y2120" s="68">
        <v>44927</v>
      </c>
      <c r="Z2120" s="17" t="s">
        <v>191</v>
      </c>
      <c r="AA2120" s="17" t="s">
        <v>46</v>
      </c>
      <c r="AB2120" s="17" t="s">
        <v>780</v>
      </c>
      <c r="AC2120" s="67">
        <v>44632</v>
      </c>
      <c r="AD2120" s="65">
        <v>1365</v>
      </c>
      <c r="AE2120" s="17" t="s">
        <v>74</v>
      </c>
      <c r="AF2120" s="17" t="s">
        <v>781</v>
      </c>
    </row>
    <row r="2121" s="17" customFormat="1" hidden="1" spans="1:32">
      <c r="A2121" s="17" t="s">
        <v>34</v>
      </c>
      <c r="B2121" s="19">
        <v>851</v>
      </c>
      <c r="C2121" s="230" t="s">
        <v>772</v>
      </c>
      <c r="D2121" s="17" t="s">
        <v>52</v>
      </c>
      <c r="E2121" s="17" t="s">
        <v>187</v>
      </c>
      <c r="F2121" s="17" t="s">
        <v>54</v>
      </c>
      <c r="H2121" s="19">
        <v>1.2311</v>
      </c>
      <c r="I2121" s="19"/>
      <c r="J2121" s="17" t="s">
        <v>82</v>
      </c>
      <c r="K2121" s="181">
        <v>305</v>
      </c>
      <c r="L2121" s="181">
        <v>50</v>
      </c>
      <c r="M2121" s="19">
        <v>2300</v>
      </c>
      <c r="N2121" s="19" t="s">
        <v>66</v>
      </c>
      <c r="O2121" s="19" t="s">
        <v>141</v>
      </c>
      <c r="P2121" s="160">
        <v>2500</v>
      </c>
      <c r="Q2121" s="19">
        <v>2540</v>
      </c>
      <c r="R2121" s="17">
        <f t="shared" si="114"/>
        <v>-40</v>
      </c>
      <c r="S2121" s="19">
        <v>810</v>
      </c>
      <c r="T2121" s="19" t="s">
        <v>42</v>
      </c>
      <c r="U2121" s="102" t="s">
        <v>779</v>
      </c>
      <c r="V2121" s="64" t="s">
        <v>681</v>
      </c>
      <c r="W2121" s="17" t="s">
        <v>69</v>
      </c>
      <c r="Y2121" s="68">
        <v>44927</v>
      </c>
      <c r="Z2121" s="17" t="s">
        <v>191</v>
      </c>
      <c r="AA2121" s="17" t="s">
        <v>46</v>
      </c>
      <c r="AB2121" s="17" t="s">
        <v>780</v>
      </c>
      <c r="AC2121" s="67">
        <v>44632</v>
      </c>
      <c r="AD2121" s="65">
        <v>1365</v>
      </c>
      <c r="AE2121" s="17" t="s">
        <v>74</v>
      </c>
      <c r="AF2121" s="17" t="s">
        <v>781</v>
      </c>
    </row>
    <row r="2122" s="17" customFormat="1" hidden="1" spans="1:32">
      <c r="A2122" s="17" t="s">
        <v>34</v>
      </c>
      <c r="B2122" s="19">
        <v>851</v>
      </c>
      <c r="C2122" s="230" t="s">
        <v>772</v>
      </c>
      <c r="D2122" s="17" t="s">
        <v>52</v>
      </c>
      <c r="E2122" s="17" t="s">
        <v>187</v>
      </c>
      <c r="F2122" s="17" t="s">
        <v>54</v>
      </c>
      <c r="H2122" s="19">
        <v>1.2311</v>
      </c>
      <c r="I2122" s="19"/>
      <c r="J2122" s="17" t="s">
        <v>82</v>
      </c>
      <c r="K2122" s="181">
        <v>355</v>
      </c>
      <c r="L2122" s="181">
        <v>50</v>
      </c>
      <c r="M2122" s="19">
        <v>2300</v>
      </c>
      <c r="N2122" s="19" t="s">
        <v>66</v>
      </c>
      <c r="O2122" s="19" t="s">
        <v>141</v>
      </c>
      <c r="P2122" s="160">
        <v>2500</v>
      </c>
      <c r="Q2122" s="19">
        <f>2622</f>
        <v>2622</v>
      </c>
      <c r="R2122" s="17">
        <f t="shared" si="114"/>
        <v>-122</v>
      </c>
      <c r="S2122" s="19">
        <v>810</v>
      </c>
      <c r="T2122" s="19" t="s">
        <v>42</v>
      </c>
      <c r="U2122" s="102" t="s">
        <v>779</v>
      </c>
      <c r="V2122" s="64" t="s">
        <v>681</v>
      </c>
      <c r="W2122" s="17" t="s">
        <v>69</v>
      </c>
      <c r="Y2122" s="68">
        <v>44927</v>
      </c>
      <c r="Z2122" s="17" t="s">
        <v>191</v>
      </c>
      <c r="AA2122" s="17" t="s">
        <v>46</v>
      </c>
      <c r="AB2122" s="17" t="s">
        <v>780</v>
      </c>
      <c r="AC2122" s="67">
        <v>44632</v>
      </c>
      <c r="AD2122" s="65">
        <v>1365</v>
      </c>
      <c r="AE2122" s="17" t="s">
        <v>74</v>
      </c>
      <c r="AF2122" s="17" t="s">
        <v>781</v>
      </c>
    </row>
    <row r="2123" s="17" customFormat="1" hidden="1" spans="1:32">
      <c r="A2123" s="17" t="s">
        <v>34</v>
      </c>
      <c r="B2123" s="19">
        <v>851</v>
      </c>
      <c r="C2123" s="230" t="s">
        <v>772</v>
      </c>
      <c r="D2123" s="17" t="s">
        <v>52</v>
      </c>
      <c r="E2123" s="17" t="s">
        <v>187</v>
      </c>
      <c r="F2123" s="17" t="s">
        <v>54</v>
      </c>
      <c r="H2123" s="19">
        <v>1.2311</v>
      </c>
      <c r="I2123" s="19"/>
      <c r="J2123" s="17" t="s">
        <v>82</v>
      </c>
      <c r="K2123" s="181">
        <v>405</v>
      </c>
      <c r="L2123" s="181">
        <v>50</v>
      </c>
      <c r="M2123" s="19">
        <v>2300</v>
      </c>
      <c r="N2123" s="19" t="s">
        <v>66</v>
      </c>
      <c r="O2123" s="19" t="s">
        <v>141</v>
      </c>
      <c r="P2123" s="160">
        <v>2500</v>
      </c>
      <c r="Q2123" s="19">
        <f>2619</f>
        <v>2619</v>
      </c>
      <c r="R2123" s="17">
        <f t="shared" si="114"/>
        <v>-119</v>
      </c>
      <c r="S2123" s="19">
        <v>810</v>
      </c>
      <c r="T2123" s="19" t="s">
        <v>42</v>
      </c>
      <c r="U2123" s="102" t="s">
        <v>779</v>
      </c>
      <c r="V2123" s="64" t="s">
        <v>681</v>
      </c>
      <c r="W2123" s="17" t="s">
        <v>69</v>
      </c>
      <c r="Y2123" s="68">
        <v>44927</v>
      </c>
      <c r="Z2123" s="17" t="s">
        <v>191</v>
      </c>
      <c r="AA2123" s="17" t="s">
        <v>46</v>
      </c>
      <c r="AB2123" s="17" t="s">
        <v>780</v>
      </c>
      <c r="AC2123" s="67">
        <v>44632</v>
      </c>
      <c r="AD2123" s="65">
        <v>1365</v>
      </c>
      <c r="AE2123" s="17" t="s">
        <v>74</v>
      </c>
      <c r="AF2123" s="17" t="s">
        <v>781</v>
      </c>
    </row>
    <row r="2124" s="17" customFormat="1" hidden="1" spans="1:32">
      <c r="A2124" s="17" t="s">
        <v>34</v>
      </c>
      <c r="B2124" s="19">
        <v>851</v>
      </c>
      <c r="C2124" s="230" t="s">
        <v>772</v>
      </c>
      <c r="D2124" s="17" t="s">
        <v>52</v>
      </c>
      <c r="E2124" s="17" t="s">
        <v>187</v>
      </c>
      <c r="F2124" s="17" t="s">
        <v>54</v>
      </c>
      <c r="H2124" s="19">
        <v>1.2311</v>
      </c>
      <c r="I2124" s="19"/>
      <c r="J2124" s="17" t="s">
        <v>82</v>
      </c>
      <c r="K2124" s="181">
        <v>455</v>
      </c>
      <c r="L2124" s="181">
        <v>50</v>
      </c>
      <c r="M2124" s="19">
        <v>2300</v>
      </c>
      <c r="N2124" s="19" t="s">
        <v>66</v>
      </c>
      <c r="O2124" s="19" t="s">
        <v>141</v>
      </c>
      <c r="P2124" s="160">
        <v>1500</v>
      </c>
      <c r="Q2124" s="19">
        <v>1708</v>
      </c>
      <c r="R2124" s="17">
        <f t="shared" si="114"/>
        <v>-208</v>
      </c>
      <c r="S2124" s="19">
        <v>810</v>
      </c>
      <c r="T2124" s="19" t="s">
        <v>42</v>
      </c>
      <c r="U2124" s="102" t="s">
        <v>779</v>
      </c>
      <c r="V2124" s="64" t="s">
        <v>681</v>
      </c>
      <c r="W2124" s="17" t="s">
        <v>69</v>
      </c>
      <c r="Y2124" s="68">
        <v>44927</v>
      </c>
      <c r="Z2124" s="17" t="s">
        <v>191</v>
      </c>
      <c r="AA2124" s="17" t="s">
        <v>46</v>
      </c>
      <c r="AB2124" s="17" t="s">
        <v>780</v>
      </c>
      <c r="AC2124" s="67">
        <v>44632</v>
      </c>
      <c r="AD2124" s="65">
        <v>1365</v>
      </c>
      <c r="AE2124" s="17" t="s">
        <v>74</v>
      </c>
      <c r="AF2124" s="17" t="s">
        <v>781</v>
      </c>
    </row>
    <row r="2125" s="17" customFormat="1" hidden="1" spans="1:32">
      <c r="A2125" s="17" t="s">
        <v>34</v>
      </c>
      <c r="B2125" s="19">
        <v>851</v>
      </c>
      <c r="C2125" s="230" t="s">
        <v>772</v>
      </c>
      <c r="D2125" s="17" t="s">
        <v>52</v>
      </c>
      <c r="E2125" s="17" t="s">
        <v>187</v>
      </c>
      <c r="F2125" s="17" t="s">
        <v>54</v>
      </c>
      <c r="H2125" s="19">
        <v>1.2311</v>
      </c>
      <c r="I2125" s="19"/>
      <c r="J2125" s="17" t="s">
        <v>82</v>
      </c>
      <c r="K2125" s="181">
        <v>505</v>
      </c>
      <c r="L2125" s="181">
        <v>50</v>
      </c>
      <c r="M2125" s="19">
        <v>2300</v>
      </c>
      <c r="N2125" s="19" t="s">
        <v>66</v>
      </c>
      <c r="O2125" s="19" t="s">
        <v>141</v>
      </c>
      <c r="P2125" s="160">
        <v>1500</v>
      </c>
      <c r="Q2125" s="19">
        <v>1382</v>
      </c>
      <c r="R2125" s="17">
        <f t="shared" si="114"/>
        <v>118</v>
      </c>
      <c r="S2125" s="19">
        <v>810</v>
      </c>
      <c r="T2125" s="19" t="s">
        <v>42</v>
      </c>
      <c r="U2125" s="102" t="s">
        <v>779</v>
      </c>
      <c r="V2125" s="64" t="s">
        <v>681</v>
      </c>
      <c r="W2125" s="17" t="s">
        <v>69</v>
      </c>
      <c r="Y2125" s="68">
        <v>44927</v>
      </c>
      <c r="Z2125" s="17" t="s">
        <v>191</v>
      </c>
      <c r="AA2125" s="17" t="s">
        <v>46</v>
      </c>
      <c r="AB2125" s="17" t="s">
        <v>780</v>
      </c>
      <c r="AC2125" s="67">
        <v>44632</v>
      </c>
      <c r="AD2125" s="65">
        <v>1365</v>
      </c>
      <c r="AE2125" s="17" t="s">
        <v>74</v>
      </c>
      <c r="AF2125" s="17" t="s">
        <v>781</v>
      </c>
    </row>
    <row r="2126" s="17" customFormat="1" hidden="1" spans="1:32">
      <c r="A2126" s="17" t="s">
        <v>34</v>
      </c>
      <c r="B2126" s="19">
        <v>851</v>
      </c>
      <c r="C2126" s="230" t="s">
        <v>772</v>
      </c>
      <c r="D2126" s="17" t="s">
        <v>52</v>
      </c>
      <c r="E2126" s="17" t="s">
        <v>187</v>
      </c>
      <c r="F2126" s="17" t="s">
        <v>54</v>
      </c>
      <c r="H2126" s="19">
        <v>1.2311</v>
      </c>
      <c r="I2126" s="19"/>
      <c r="J2126" s="17" t="s">
        <v>82</v>
      </c>
      <c r="K2126" s="181">
        <v>205</v>
      </c>
      <c r="L2126" s="181">
        <v>65</v>
      </c>
      <c r="M2126" s="19">
        <v>2300</v>
      </c>
      <c r="N2126" s="19" t="s">
        <v>66</v>
      </c>
      <c r="O2126" s="19" t="s">
        <v>141</v>
      </c>
      <c r="P2126" s="160">
        <v>2500</v>
      </c>
      <c r="Q2126" s="19">
        <v>2471</v>
      </c>
      <c r="R2126" s="17">
        <f t="shared" si="114"/>
        <v>29</v>
      </c>
      <c r="S2126" s="19">
        <v>810</v>
      </c>
      <c r="T2126" s="19" t="s">
        <v>42</v>
      </c>
      <c r="U2126" s="102" t="s">
        <v>779</v>
      </c>
      <c r="V2126" s="64" t="s">
        <v>681</v>
      </c>
      <c r="W2126" s="17" t="s">
        <v>69</v>
      </c>
      <c r="Y2126" s="68">
        <v>44927</v>
      </c>
      <c r="Z2126" s="17" t="s">
        <v>191</v>
      </c>
      <c r="AA2126" s="17" t="s">
        <v>46</v>
      </c>
      <c r="AB2126" s="17" t="s">
        <v>780</v>
      </c>
      <c r="AC2126" s="67">
        <v>44632</v>
      </c>
      <c r="AD2126" s="65">
        <v>1365</v>
      </c>
      <c r="AE2126" s="17" t="s">
        <v>74</v>
      </c>
      <c r="AF2126" s="17" t="s">
        <v>781</v>
      </c>
    </row>
    <row r="2127" s="17" customFormat="1" hidden="1" spans="1:32">
      <c r="A2127" s="17" t="s">
        <v>34</v>
      </c>
      <c r="B2127" s="19">
        <v>851</v>
      </c>
      <c r="C2127" s="230" t="s">
        <v>772</v>
      </c>
      <c r="D2127" s="17" t="s">
        <v>52</v>
      </c>
      <c r="E2127" s="17" t="s">
        <v>187</v>
      </c>
      <c r="F2127" s="17" t="s">
        <v>54</v>
      </c>
      <c r="H2127" s="19">
        <v>1.2311</v>
      </c>
      <c r="I2127" s="19"/>
      <c r="J2127" s="17" t="s">
        <v>82</v>
      </c>
      <c r="K2127" s="181">
        <v>255</v>
      </c>
      <c r="L2127" s="181">
        <v>65</v>
      </c>
      <c r="M2127" s="19">
        <v>2300</v>
      </c>
      <c r="N2127" s="19" t="s">
        <v>66</v>
      </c>
      <c r="O2127" s="19" t="s">
        <v>141</v>
      </c>
      <c r="P2127" s="160">
        <v>2500</v>
      </c>
      <c r="Q2127" s="19">
        <v>2740</v>
      </c>
      <c r="R2127" s="17">
        <f t="shared" si="114"/>
        <v>-240</v>
      </c>
      <c r="S2127" s="19">
        <v>810</v>
      </c>
      <c r="T2127" s="19" t="s">
        <v>42</v>
      </c>
      <c r="U2127" s="102" t="s">
        <v>779</v>
      </c>
      <c r="V2127" s="64" t="s">
        <v>681</v>
      </c>
      <c r="W2127" s="17" t="s">
        <v>69</v>
      </c>
      <c r="Y2127" s="68">
        <v>44927</v>
      </c>
      <c r="Z2127" s="17" t="s">
        <v>191</v>
      </c>
      <c r="AA2127" s="17" t="s">
        <v>46</v>
      </c>
      <c r="AB2127" s="17" t="s">
        <v>780</v>
      </c>
      <c r="AC2127" s="67">
        <v>44632</v>
      </c>
      <c r="AD2127" s="65">
        <v>1365</v>
      </c>
      <c r="AE2127" s="17" t="s">
        <v>74</v>
      </c>
      <c r="AF2127" s="17" t="s">
        <v>781</v>
      </c>
    </row>
    <row r="2128" s="17" customFormat="1" hidden="1" spans="1:32">
      <c r="A2128" s="17" t="s">
        <v>34</v>
      </c>
      <c r="B2128" s="19">
        <v>851</v>
      </c>
      <c r="C2128" s="230" t="s">
        <v>772</v>
      </c>
      <c r="D2128" s="17" t="s">
        <v>52</v>
      </c>
      <c r="E2128" s="17" t="s">
        <v>187</v>
      </c>
      <c r="F2128" s="17" t="s">
        <v>54</v>
      </c>
      <c r="H2128" s="19">
        <v>1.2311</v>
      </c>
      <c r="I2128" s="19"/>
      <c r="J2128" s="17" t="s">
        <v>82</v>
      </c>
      <c r="K2128" s="181">
        <v>305</v>
      </c>
      <c r="L2128" s="181">
        <v>65</v>
      </c>
      <c r="M2128" s="19">
        <v>2300</v>
      </c>
      <c r="N2128" s="19" t="s">
        <v>66</v>
      </c>
      <c r="O2128" s="19" t="s">
        <v>141</v>
      </c>
      <c r="P2128" s="160">
        <v>2500</v>
      </c>
      <c r="Q2128" s="19">
        <v>2536</v>
      </c>
      <c r="R2128" s="17">
        <f t="shared" si="114"/>
        <v>-36</v>
      </c>
      <c r="S2128" s="19">
        <v>810</v>
      </c>
      <c r="T2128" s="19" t="s">
        <v>42</v>
      </c>
      <c r="U2128" s="102" t="s">
        <v>779</v>
      </c>
      <c r="V2128" s="64" t="s">
        <v>681</v>
      </c>
      <c r="W2128" s="17" t="s">
        <v>69</v>
      </c>
      <c r="Y2128" s="68">
        <v>44927</v>
      </c>
      <c r="Z2128" s="17" t="s">
        <v>191</v>
      </c>
      <c r="AA2128" s="17" t="s">
        <v>46</v>
      </c>
      <c r="AB2128" s="17" t="s">
        <v>780</v>
      </c>
      <c r="AC2128" s="67">
        <v>44632</v>
      </c>
      <c r="AD2128" s="65">
        <v>1365</v>
      </c>
      <c r="AE2128" s="17" t="s">
        <v>74</v>
      </c>
      <c r="AF2128" s="17" t="s">
        <v>781</v>
      </c>
    </row>
    <row r="2129" s="17" customFormat="1" hidden="1" spans="1:32">
      <c r="A2129" s="17" t="s">
        <v>34</v>
      </c>
      <c r="B2129" s="19">
        <v>851</v>
      </c>
      <c r="C2129" s="230" t="s">
        <v>772</v>
      </c>
      <c r="D2129" s="17" t="s">
        <v>52</v>
      </c>
      <c r="E2129" s="17" t="s">
        <v>187</v>
      </c>
      <c r="F2129" s="17" t="s">
        <v>54</v>
      </c>
      <c r="H2129" s="19">
        <v>1.2311</v>
      </c>
      <c r="I2129" s="19"/>
      <c r="J2129" s="17" t="s">
        <v>82</v>
      </c>
      <c r="K2129" s="181">
        <v>355</v>
      </c>
      <c r="L2129" s="181">
        <v>65</v>
      </c>
      <c r="M2129" s="19">
        <v>2300</v>
      </c>
      <c r="N2129" s="19" t="s">
        <v>66</v>
      </c>
      <c r="O2129" s="19" t="s">
        <v>141</v>
      </c>
      <c r="P2129" s="160">
        <v>2500</v>
      </c>
      <c r="Q2129" s="19">
        <f>1304+1311</f>
        <v>2615</v>
      </c>
      <c r="R2129" s="17">
        <f t="shared" si="114"/>
        <v>-115</v>
      </c>
      <c r="S2129" s="19">
        <v>810</v>
      </c>
      <c r="T2129" s="19" t="s">
        <v>42</v>
      </c>
      <c r="U2129" s="102" t="s">
        <v>779</v>
      </c>
      <c r="V2129" s="64" t="s">
        <v>681</v>
      </c>
      <c r="W2129" s="17" t="s">
        <v>69</v>
      </c>
      <c r="Y2129" s="68">
        <v>44927</v>
      </c>
      <c r="Z2129" s="17" t="s">
        <v>191</v>
      </c>
      <c r="AA2129" s="17" t="s">
        <v>46</v>
      </c>
      <c r="AB2129" s="17" t="s">
        <v>780</v>
      </c>
      <c r="AC2129" s="67">
        <v>44632</v>
      </c>
      <c r="AD2129" s="65">
        <v>1365</v>
      </c>
      <c r="AE2129" s="17" t="s">
        <v>74</v>
      </c>
      <c r="AF2129" s="17" t="s">
        <v>781</v>
      </c>
    </row>
    <row r="2130" s="17" customFormat="1" hidden="1" spans="1:32">
      <c r="A2130" s="17" t="s">
        <v>34</v>
      </c>
      <c r="B2130" s="19">
        <v>851</v>
      </c>
      <c r="C2130" s="230" t="s">
        <v>772</v>
      </c>
      <c r="D2130" s="17" t="s">
        <v>52</v>
      </c>
      <c r="E2130" s="17" t="s">
        <v>187</v>
      </c>
      <c r="F2130" s="17" t="s">
        <v>54</v>
      </c>
      <c r="H2130" s="19">
        <v>1.2311</v>
      </c>
      <c r="I2130" s="19"/>
      <c r="J2130" s="17" t="s">
        <v>82</v>
      </c>
      <c r="K2130" s="181">
        <v>405</v>
      </c>
      <c r="L2130" s="181">
        <v>65</v>
      </c>
      <c r="M2130" s="19">
        <v>2300</v>
      </c>
      <c r="N2130" s="19" t="s">
        <v>66</v>
      </c>
      <c r="O2130" s="19" t="s">
        <v>141</v>
      </c>
      <c r="P2130" s="160">
        <v>2500</v>
      </c>
      <c r="Q2130" s="19">
        <f>485+1464</f>
        <v>1949</v>
      </c>
      <c r="R2130" s="17">
        <f t="shared" si="114"/>
        <v>551</v>
      </c>
      <c r="S2130" s="19">
        <v>810</v>
      </c>
      <c r="T2130" s="19" t="s">
        <v>42</v>
      </c>
      <c r="U2130" s="102" t="s">
        <v>779</v>
      </c>
      <c r="V2130" s="64" t="s">
        <v>681</v>
      </c>
      <c r="W2130" s="17" t="s">
        <v>69</v>
      </c>
      <c r="Y2130" s="68">
        <v>44927</v>
      </c>
      <c r="Z2130" s="17" t="s">
        <v>191</v>
      </c>
      <c r="AA2130" s="17" t="s">
        <v>46</v>
      </c>
      <c r="AB2130" s="17" t="s">
        <v>780</v>
      </c>
      <c r="AC2130" s="67">
        <v>44632</v>
      </c>
      <c r="AD2130" s="65">
        <v>1365</v>
      </c>
      <c r="AE2130" s="17" t="s">
        <v>74</v>
      </c>
      <c r="AF2130" s="17" t="s">
        <v>781</v>
      </c>
    </row>
    <row r="2131" s="17" customFormat="1" hidden="1" spans="1:32">
      <c r="A2131" s="17" t="s">
        <v>34</v>
      </c>
      <c r="B2131" s="19">
        <v>851</v>
      </c>
      <c r="C2131" s="230" t="s">
        <v>772</v>
      </c>
      <c r="D2131" s="17" t="s">
        <v>52</v>
      </c>
      <c r="E2131" s="17" t="s">
        <v>187</v>
      </c>
      <c r="F2131" s="17" t="s">
        <v>54</v>
      </c>
      <c r="H2131" s="19">
        <v>1.2311</v>
      </c>
      <c r="I2131" s="19"/>
      <c r="J2131" s="17" t="s">
        <v>82</v>
      </c>
      <c r="K2131" s="181">
        <v>455</v>
      </c>
      <c r="L2131" s="181">
        <v>65</v>
      </c>
      <c r="M2131" s="19">
        <v>2300</v>
      </c>
      <c r="N2131" s="19" t="s">
        <v>66</v>
      </c>
      <c r="O2131" s="19" t="s">
        <v>141</v>
      </c>
      <c r="P2131" s="160">
        <v>2000</v>
      </c>
      <c r="Q2131" s="19">
        <v>2153</v>
      </c>
      <c r="R2131" s="17">
        <f t="shared" si="114"/>
        <v>-153</v>
      </c>
      <c r="S2131" s="19">
        <v>810</v>
      </c>
      <c r="T2131" s="19" t="s">
        <v>42</v>
      </c>
      <c r="U2131" s="102" t="s">
        <v>779</v>
      </c>
      <c r="V2131" s="64" t="s">
        <v>681</v>
      </c>
      <c r="W2131" s="17" t="s">
        <v>69</v>
      </c>
      <c r="Y2131" s="68">
        <v>44927</v>
      </c>
      <c r="Z2131" s="17" t="s">
        <v>191</v>
      </c>
      <c r="AA2131" s="17" t="s">
        <v>46</v>
      </c>
      <c r="AB2131" s="17" t="s">
        <v>780</v>
      </c>
      <c r="AC2131" s="67">
        <v>44632</v>
      </c>
      <c r="AD2131" s="65">
        <v>1365</v>
      </c>
      <c r="AE2131" s="17" t="s">
        <v>74</v>
      </c>
      <c r="AF2131" s="17" t="s">
        <v>781</v>
      </c>
    </row>
    <row r="2132" s="17" customFormat="1" hidden="1" spans="1:32">
      <c r="A2132" s="17" t="s">
        <v>34</v>
      </c>
      <c r="B2132" s="19">
        <v>851</v>
      </c>
      <c r="C2132" s="230" t="s">
        <v>772</v>
      </c>
      <c r="D2132" s="17" t="s">
        <v>52</v>
      </c>
      <c r="E2132" s="17" t="s">
        <v>187</v>
      </c>
      <c r="F2132" s="17" t="s">
        <v>54</v>
      </c>
      <c r="H2132" s="19">
        <v>1.2311</v>
      </c>
      <c r="I2132" s="19"/>
      <c r="J2132" s="17" t="s">
        <v>82</v>
      </c>
      <c r="K2132" s="181">
        <v>505</v>
      </c>
      <c r="L2132" s="181">
        <v>65</v>
      </c>
      <c r="M2132" s="19">
        <v>2300</v>
      </c>
      <c r="N2132" s="19" t="s">
        <v>66</v>
      </c>
      <c r="O2132" s="19" t="s">
        <v>141</v>
      </c>
      <c r="P2132" s="160">
        <v>2000</v>
      </c>
      <c r="Q2132" s="19">
        <v>2411</v>
      </c>
      <c r="R2132" s="17">
        <f t="shared" si="114"/>
        <v>-411</v>
      </c>
      <c r="S2132" s="19">
        <v>810</v>
      </c>
      <c r="T2132" s="19" t="s">
        <v>42</v>
      </c>
      <c r="U2132" s="102" t="s">
        <v>779</v>
      </c>
      <c r="V2132" s="64" t="s">
        <v>681</v>
      </c>
      <c r="W2132" s="17" t="s">
        <v>69</v>
      </c>
      <c r="Y2132" s="68">
        <v>44927</v>
      </c>
      <c r="Z2132" s="17" t="s">
        <v>191</v>
      </c>
      <c r="AA2132" s="17" t="s">
        <v>46</v>
      </c>
      <c r="AB2132" s="17" t="s">
        <v>780</v>
      </c>
      <c r="AC2132" s="67">
        <v>44632</v>
      </c>
      <c r="AD2132" s="65">
        <v>1365</v>
      </c>
      <c r="AE2132" s="17" t="s">
        <v>74</v>
      </c>
      <c r="AF2132" s="17" t="s">
        <v>781</v>
      </c>
    </row>
    <row r="2133" s="17" customFormat="1" hidden="1" spans="1:32">
      <c r="A2133" s="17" t="s">
        <v>34</v>
      </c>
      <c r="B2133" s="19">
        <v>851</v>
      </c>
      <c r="C2133" s="230" t="s">
        <v>772</v>
      </c>
      <c r="D2133" s="17" t="s">
        <v>52</v>
      </c>
      <c r="E2133" s="17" t="s">
        <v>187</v>
      </c>
      <c r="F2133" s="17" t="s">
        <v>54</v>
      </c>
      <c r="H2133" s="19">
        <v>1.2311</v>
      </c>
      <c r="I2133" s="19"/>
      <c r="J2133" s="17" t="s">
        <v>82</v>
      </c>
      <c r="K2133" s="236">
        <v>205</v>
      </c>
      <c r="L2133" s="181">
        <v>35</v>
      </c>
      <c r="M2133" s="19">
        <v>2300</v>
      </c>
      <c r="N2133" s="19" t="s">
        <v>66</v>
      </c>
      <c r="O2133" s="19" t="s">
        <v>141</v>
      </c>
      <c r="P2133" s="160">
        <v>1500</v>
      </c>
      <c r="Q2133" s="19">
        <v>1973</v>
      </c>
      <c r="R2133" s="17">
        <f t="shared" si="114"/>
        <v>-473</v>
      </c>
      <c r="S2133" s="19">
        <v>810</v>
      </c>
      <c r="T2133" s="19" t="s">
        <v>42</v>
      </c>
      <c r="U2133" s="102" t="s">
        <v>779</v>
      </c>
      <c r="V2133" s="64" t="s">
        <v>681</v>
      </c>
      <c r="W2133" s="17" t="s">
        <v>69</v>
      </c>
      <c r="Y2133" s="68">
        <v>44927</v>
      </c>
      <c r="Z2133" s="17" t="s">
        <v>191</v>
      </c>
      <c r="AA2133" s="17" t="s">
        <v>46</v>
      </c>
      <c r="AB2133" s="17" t="s">
        <v>780</v>
      </c>
      <c r="AC2133" s="67">
        <v>44632</v>
      </c>
      <c r="AD2133" s="65">
        <v>1365</v>
      </c>
      <c r="AE2133" s="17" t="s">
        <v>74</v>
      </c>
      <c r="AF2133" s="17" t="s">
        <v>781</v>
      </c>
    </row>
    <row r="2134" s="17" customFormat="1" hidden="1" spans="1:32">
      <c r="A2134" s="17" t="s">
        <v>34</v>
      </c>
      <c r="B2134" s="19">
        <v>851</v>
      </c>
      <c r="C2134" s="230" t="s">
        <v>772</v>
      </c>
      <c r="D2134" s="17" t="s">
        <v>52</v>
      </c>
      <c r="E2134" s="17" t="s">
        <v>187</v>
      </c>
      <c r="F2134" s="17" t="s">
        <v>54</v>
      </c>
      <c r="H2134" s="19">
        <v>1.2311</v>
      </c>
      <c r="I2134" s="19"/>
      <c r="J2134" s="17" t="s">
        <v>82</v>
      </c>
      <c r="K2134" s="236">
        <v>255</v>
      </c>
      <c r="L2134" s="181">
        <v>35</v>
      </c>
      <c r="M2134" s="19">
        <v>2300</v>
      </c>
      <c r="N2134" s="19" t="s">
        <v>66</v>
      </c>
      <c r="O2134" s="19" t="s">
        <v>141</v>
      </c>
      <c r="P2134" s="160">
        <v>1500</v>
      </c>
      <c r="Q2134" s="19">
        <v>1556</v>
      </c>
      <c r="R2134" s="17">
        <f t="shared" si="114"/>
        <v>-56</v>
      </c>
      <c r="S2134" s="19">
        <v>810</v>
      </c>
      <c r="T2134" s="19" t="s">
        <v>42</v>
      </c>
      <c r="U2134" s="102" t="s">
        <v>779</v>
      </c>
      <c r="V2134" s="64" t="s">
        <v>681</v>
      </c>
      <c r="W2134" s="17" t="s">
        <v>69</v>
      </c>
      <c r="Y2134" s="68">
        <v>44927</v>
      </c>
      <c r="Z2134" s="17" t="s">
        <v>191</v>
      </c>
      <c r="AA2134" s="17" t="s">
        <v>46</v>
      </c>
      <c r="AB2134" s="17" t="s">
        <v>780</v>
      </c>
      <c r="AC2134" s="67">
        <v>44632</v>
      </c>
      <c r="AD2134" s="65">
        <v>1365</v>
      </c>
      <c r="AE2134" s="17" t="s">
        <v>74</v>
      </c>
      <c r="AF2134" s="17" t="s">
        <v>781</v>
      </c>
    </row>
    <row r="2135" s="17" customFormat="1" hidden="1" spans="1:32">
      <c r="A2135" s="17" t="s">
        <v>34</v>
      </c>
      <c r="B2135" s="19">
        <v>851</v>
      </c>
      <c r="C2135" s="230" t="s">
        <v>772</v>
      </c>
      <c r="D2135" s="17" t="s">
        <v>52</v>
      </c>
      <c r="E2135" s="17" t="s">
        <v>187</v>
      </c>
      <c r="F2135" s="17" t="s">
        <v>54</v>
      </c>
      <c r="H2135" s="19">
        <v>1.2311</v>
      </c>
      <c r="I2135" s="19"/>
      <c r="J2135" s="17" t="s">
        <v>82</v>
      </c>
      <c r="K2135" s="236">
        <v>305</v>
      </c>
      <c r="L2135" s="181">
        <v>35</v>
      </c>
      <c r="M2135" s="19">
        <v>2300</v>
      </c>
      <c r="N2135" s="19" t="s">
        <v>66</v>
      </c>
      <c r="O2135" s="19" t="s">
        <v>141</v>
      </c>
      <c r="P2135" s="160">
        <v>1500</v>
      </c>
      <c r="Q2135" s="19">
        <v>2075</v>
      </c>
      <c r="R2135" s="17">
        <f t="shared" si="114"/>
        <v>-575</v>
      </c>
      <c r="S2135" s="19">
        <v>810</v>
      </c>
      <c r="T2135" s="19" t="s">
        <v>42</v>
      </c>
      <c r="U2135" s="102" t="s">
        <v>779</v>
      </c>
      <c r="V2135" s="64" t="s">
        <v>681</v>
      </c>
      <c r="W2135" s="17" t="s">
        <v>69</v>
      </c>
      <c r="Y2135" s="68">
        <v>44927</v>
      </c>
      <c r="Z2135" s="17" t="s">
        <v>191</v>
      </c>
      <c r="AA2135" s="17" t="s">
        <v>46</v>
      </c>
      <c r="AB2135" s="17" t="s">
        <v>780</v>
      </c>
      <c r="AC2135" s="67">
        <v>44632</v>
      </c>
      <c r="AD2135" s="65">
        <v>1365</v>
      </c>
      <c r="AE2135" s="17" t="s">
        <v>74</v>
      </c>
      <c r="AF2135" s="17" t="s">
        <v>781</v>
      </c>
    </row>
    <row r="2136" s="17" customFormat="1" hidden="1" spans="1:32">
      <c r="A2136" s="17" t="s">
        <v>34</v>
      </c>
      <c r="B2136" s="19">
        <v>851</v>
      </c>
      <c r="C2136" s="230" t="s">
        <v>772</v>
      </c>
      <c r="D2136" s="17" t="s">
        <v>52</v>
      </c>
      <c r="E2136" s="17" t="s">
        <v>187</v>
      </c>
      <c r="F2136" s="17" t="s">
        <v>54</v>
      </c>
      <c r="H2136" s="19">
        <v>1.2311</v>
      </c>
      <c r="I2136" s="19"/>
      <c r="J2136" s="17" t="s">
        <v>82</v>
      </c>
      <c r="K2136" s="236">
        <v>355</v>
      </c>
      <c r="L2136" s="181">
        <v>35</v>
      </c>
      <c r="M2136" s="19">
        <v>2300</v>
      </c>
      <c r="N2136" s="19" t="s">
        <v>66</v>
      </c>
      <c r="O2136" s="19" t="s">
        <v>141</v>
      </c>
      <c r="P2136" s="160">
        <v>1500</v>
      </c>
      <c r="Q2136" s="19">
        <v>1681</v>
      </c>
      <c r="R2136" s="17">
        <f t="shared" si="114"/>
        <v>-181</v>
      </c>
      <c r="S2136" s="19">
        <v>810</v>
      </c>
      <c r="T2136" s="19" t="s">
        <v>42</v>
      </c>
      <c r="U2136" s="102" t="s">
        <v>779</v>
      </c>
      <c r="V2136" s="64" t="s">
        <v>681</v>
      </c>
      <c r="W2136" s="17" t="s">
        <v>69</v>
      </c>
      <c r="Y2136" s="68">
        <v>44927</v>
      </c>
      <c r="Z2136" s="17" t="s">
        <v>191</v>
      </c>
      <c r="AA2136" s="17" t="s">
        <v>46</v>
      </c>
      <c r="AB2136" s="17" t="s">
        <v>780</v>
      </c>
      <c r="AC2136" s="67">
        <v>44632</v>
      </c>
      <c r="AD2136" s="65">
        <v>1365</v>
      </c>
      <c r="AE2136" s="17" t="s">
        <v>74</v>
      </c>
      <c r="AF2136" s="17" t="s">
        <v>781</v>
      </c>
    </row>
    <row r="2137" s="17" customFormat="1" hidden="1" spans="1:32">
      <c r="A2137" s="17" t="s">
        <v>34</v>
      </c>
      <c r="B2137" s="19">
        <v>851</v>
      </c>
      <c r="C2137" s="230" t="s">
        <v>772</v>
      </c>
      <c r="D2137" s="17" t="s">
        <v>52</v>
      </c>
      <c r="E2137" s="17" t="s">
        <v>187</v>
      </c>
      <c r="F2137" s="17" t="s">
        <v>54</v>
      </c>
      <c r="H2137" s="19">
        <v>1.2311</v>
      </c>
      <c r="I2137" s="19"/>
      <c r="J2137" s="17" t="s">
        <v>82</v>
      </c>
      <c r="K2137" s="236">
        <v>405</v>
      </c>
      <c r="L2137" s="181">
        <v>35</v>
      </c>
      <c r="M2137" s="19">
        <v>2300</v>
      </c>
      <c r="N2137" s="19" t="s">
        <v>66</v>
      </c>
      <c r="O2137" s="19" t="s">
        <v>141</v>
      </c>
      <c r="P2137" s="160">
        <v>1000</v>
      </c>
      <c r="Q2137" s="19">
        <v>1094</v>
      </c>
      <c r="R2137" s="17">
        <f t="shared" si="114"/>
        <v>-94</v>
      </c>
      <c r="S2137" s="19">
        <v>810</v>
      </c>
      <c r="T2137" s="19" t="s">
        <v>42</v>
      </c>
      <c r="U2137" s="102" t="s">
        <v>779</v>
      </c>
      <c r="V2137" s="64" t="s">
        <v>681</v>
      </c>
      <c r="W2137" s="17" t="s">
        <v>69</v>
      </c>
      <c r="Y2137" s="68">
        <v>44927</v>
      </c>
      <c r="Z2137" s="17" t="s">
        <v>191</v>
      </c>
      <c r="AA2137" s="17" t="s">
        <v>46</v>
      </c>
      <c r="AB2137" s="17" t="s">
        <v>780</v>
      </c>
      <c r="AC2137" s="67">
        <v>44632</v>
      </c>
      <c r="AD2137" s="65">
        <v>1365</v>
      </c>
      <c r="AE2137" s="17" t="s">
        <v>74</v>
      </c>
      <c r="AF2137" s="17" t="s">
        <v>781</v>
      </c>
    </row>
    <row r="2138" s="17" customFormat="1" hidden="1" spans="1:32">
      <c r="A2138" s="17" t="s">
        <v>34</v>
      </c>
      <c r="B2138" s="19">
        <v>851</v>
      </c>
      <c r="C2138" s="230" t="s">
        <v>772</v>
      </c>
      <c r="D2138" s="17" t="s">
        <v>52</v>
      </c>
      <c r="E2138" s="17" t="s">
        <v>187</v>
      </c>
      <c r="F2138" s="17" t="s">
        <v>54</v>
      </c>
      <c r="H2138" s="19">
        <v>1.2311</v>
      </c>
      <c r="I2138" s="19"/>
      <c r="J2138" s="17" t="s">
        <v>82</v>
      </c>
      <c r="K2138" s="236">
        <v>455</v>
      </c>
      <c r="L2138" s="181">
        <v>35</v>
      </c>
      <c r="M2138" s="19">
        <v>2300</v>
      </c>
      <c r="N2138" s="19" t="s">
        <v>66</v>
      </c>
      <c r="O2138" s="19" t="s">
        <v>141</v>
      </c>
      <c r="P2138" s="160">
        <v>1000</v>
      </c>
      <c r="Q2138" s="19">
        <v>921</v>
      </c>
      <c r="R2138" s="17">
        <f t="shared" ref="R2138:R2140" si="115">+P2138-Q2138</f>
        <v>79</v>
      </c>
      <c r="S2138" s="19">
        <v>810</v>
      </c>
      <c r="T2138" s="19" t="s">
        <v>42</v>
      </c>
      <c r="U2138" s="102" t="s">
        <v>779</v>
      </c>
      <c r="V2138" s="64" t="s">
        <v>681</v>
      </c>
      <c r="W2138" s="17" t="s">
        <v>69</v>
      </c>
      <c r="Y2138" s="68">
        <v>44927</v>
      </c>
      <c r="Z2138" s="17" t="s">
        <v>191</v>
      </c>
      <c r="AA2138" s="17" t="s">
        <v>46</v>
      </c>
      <c r="AB2138" s="17" t="s">
        <v>780</v>
      </c>
      <c r="AC2138" s="67">
        <v>44632</v>
      </c>
      <c r="AD2138" s="65">
        <v>1365</v>
      </c>
      <c r="AE2138" s="17" t="s">
        <v>74</v>
      </c>
      <c r="AF2138" s="17" t="s">
        <v>781</v>
      </c>
    </row>
    <row r="2139" s="17" customFormat="1" hidden="1" spans="1:32">
      <c r="A2139" s="17" t="s">
        <v>34</v>
      </c>
      <c r="B2139" s="19">
        <v>851</v>
      </c>
      <c r="C2139" s="230" t="s">
        <v>772</v>
      </c>
      <c r="D2139" s="17" t="s">
        <v>52</v>
      </c>
      <c r="E2139" s="17" t="s">
        <v>187</v>
      </c>
      <c r="F2139" s="17" t="s">
        <v>54</v>
      </c>
      <c r="H2139" s="19">
        <v>1.2311</v>
      </c>
      <c r="I2139" s="19"/>
      <c r="J2139" s="17" t="s">
        <v>82</v>
      </c>
      <c r="K2139" s="236">
        <v>505</v>
      </c>
      <c r="L2139" s="181">
        <v>35</v>
      </c>
      <c r="M2139" s="19">
        <v>2300</v>
      </c>
      <c r="N2139" s="19" t="s">
        <v>66</v>
      </c>
      <c r="O2139" s="19" t="s">
        <v>141</v>
      </c>
      <c r="P2139" s="160">
        <v>1000</v>
      </c>
      <c r="Q2139" s="19">
        <v>342</v>
      </c>
      <c r="R2139" s="17">
        <f t="shared" si="115"/>
        <v>658</v>
      </c>
      <c r="S2139" s="19">
        <v>810</v>
      </c>
      <c r="T2139" s="19" t="s">
        <v>42</v>
      </c>
      <c r="U2139" s="102" t="s">
        <v>779</v>
      </c>
      <c r="V2139" s="64" t="s">
        <v>681</v>
      </c>
      <c r="W2139" s="17" t="s">
        <v>69</v>
      </c>
      <c r="Y2139" s="68">
        <v>44927</v>
      </c>
      <c r="Z2139" s="17" t="s">
        <v>191</v>
      </c>
      <c r="AA2139" s="17" t="s">
        <v>46</v>
      </c>
      <c r="AB2139" s="17" t="s">
        <v>780</v>
      </c>
      <c r="AC2139" s="67">
        <v>44632</v>
      </c>
      <c r="AD2139" s="65">
        <v>1365</v>
      </c>
      <c r="AE2139" s="17" t="s">
        <v>74</v>
      </c>
      <c r="AF2139" s="17" t="s">
        <v>781</v>
      </c>
    </row>
    <row r="2140" s="17" customFormat="1" hidden="1" spans="1:32">
      <c r="A2140" s="17" t="s">
        <v>34</v>
      </c>
      <c r="B2140" s="19">
        <v>851</v>
      </c>
      <c r="C2140" s="230" t="s">
        <v>772</v>
      </c>
      <c r="D2140" s="17" t="s">
        <v>52</v>
      </c>
      <c r="E2140" s="17" t="s">
        <v>187</v>
      </c>
      <c r="F2140" s="17" t="s">
        <v>54</v>
      </c>
      <c r="H2140" s="19">
        <v>1.2311</v>
      </c>
      <c r="I2140" s="19"/>
      <c r="J2140" s="17" t="s">
        <v>82</v>
      </c>
      <c r="K2140" s="236">
        <v>205</v>
      </c>
      <c r="L2140" s="181">
        <v>80</v>
      </c>
      <c r="M2140" s="19">
        <v>2300</v>
      </c>
      <c r="N2140" s="19" t="s">
        <v>66</v>
      </c>
      <c r="O2140" s="19" t="s">
        <v>141</v>
      </c>
      <c r="P2140" s="160">
        <v>2500</v>
      </c>
      <c r="Q2140" s="19">
        <v>2400</v>
      </c>
      <c r="R2140" s="17">
        <f t="shared" si="115"/>
        <v>100</v>
      </c>
      <c r="S2140" s="19">
        <v>810</v>
      </c>
      <c r="T2140" s="19" t="s">
        <v>42</v>
      </c>
      <c r="U2140" s="102" t="s">
        <v>779</v>
      </c>
      <c r="V2140" s="64" t="s">
        <v>681</v>
      </c>
      <c r="W2140" s="17" t="s">
        <v>69</v>
      </c>
      <c r="Y2140" s="68">
        <v>44927</v>
      </c>
      <c r="Z2140" s="17" t="s">
        <v>191</v>
      </c>
      <c r="AA2140" s="17" t="s">
        <v>46</v>
      </c>
      <c r="AB2140" s="17" t="s">
        <v>780</v>
      </c>
      <c r="AC2140" s="67">
        <v>44632</v>
      </c>
      <c r="AD2140" s="65">
        <v>1365</v>
      </c>
      <c r="AE2140" s="17" t="s">
        <v>74</v>
      </c>
      <c r="AF2140" s="17" t="s">
        <v>781</v>
      </c>
    </row>
    <row r="2141" s="17" customFormat="1" hidden="1" spans="1:32">
      <c r="A2141" s="17" t="s">
        <v>34</v>
      </c>
      <c r="B2141" s="19">
        <v>851</v>
      </c>
      <c r="C2141" s="230" t="s">
        <v>772</v>
      </c>
      <c r="D2141" s="17" t="s">
        <v>52</v>
      </c>
      <c r="E2141" s="17" t="s">
        <v>187</v>
      </c>
      <c r="F2141" s="17" t="s">
        <v>54</v>
      </c>
      <c r="H2141" s="19">
        <v>1.2311</v>
      </c>
      <c r="I2141" s="19"/>
      <c r="J2141" s="17" t="s">
        <v>82</v>
      </c>
      <c r="K2141" s="236">
        <v>255</v>
      </c>
      <c r="L2141" s="181">
        <v>80</v>
      </c>
      <c r="M2141" s="19">
        <v>2300</v>
      </c>
      <c r="N2141" s="19" t="s">
        <v>66</v>
      </c>
      <c r="O2141" s="19" t="s">
        <v>141</v>
      </c>
      <c r="P2141" s="160">
        <v>2500</v>
      </c>
      <c r="Q2141" s="19">
        <v>1482</v>
      </c>
      <c r="S2141" s="19">
        <v>810</v>
      </c>
      <c r="T2141" s="19" t="s">
        <v>42</v>
      </c>
      <c r="U2141" s="102" t="s">
        <v>779</v>
      </c>
      <c r="V2141" s="64" t="s">
        <v>681</v>
      </c>
      <c r="W2141" s="17" t="s">
        <v>69</v>
      </c>
      <c r="Y2141" s="68">
        <v>44927</v>
      </c>
      <c r="Z2141" s="17" t="s">
        <v>191</v>
      </c>
      <c r="AA2141" s="17" t="s">
        <v>46</v>
      </c>
      <c r="AB2141" s="17" t="s">
        <v>780</v>
      </c>
      <c r="AC2141" s="67">
        <v>44632</v>
      </c>
      <c r="AD2141" s="65">
        <v>1365</v>
      </c>
      <c r="AE2141" s="17" t="s">
        <v>74</v>
      </c>
      <c r="AF2141" s="17" t="s">
        <v>781</v>
      </c>
    </row>
    <row r="2142" s="17" customFormat="1" hidden="1" spans="1:32">
      <c r="B2142" s="19">
        <v>851</v>
      </c>
      <c r="C2142" s="230" t="s">
        <v>772</v>
      </c>
      <c r="D2142" s="17" t="s">
        <v>52</v>
      </c>
      <c r="E2142" s="17" t="s">
        <v>187</v>
      </c>
      <c r="F2142" s="17" t="s">
        <v>54</v>
      </c>
      <c r="H2142" s="19">
        <v>1.2311</v>
      </c>
      <c r="I2142" s="19"/>
      <c r="J2142" s="17" t="s">
        <v>82</v>
      </c>
      <c r="K2142" s="236">
        <v>255</v>
      </c>
      <c r="L2142" s="181">
        <v>80</v>
      </c>
      <c r="M2142" s="19">
        <v>2300</v>
      </c>
      <c r="N2142" s="19" t="s">
        <v>66</v>
      </c>
      <c r="O2142" s="19" t="s">
        <v>141</v>
      </c>
      <c r="P2142" s="160"/>
      <c r="Q2142" s="19">
        <v>368</v>
      </c>
      <c r="R2142" s="113">
        <f>+P2141-Q2141-Q2142</f>
        <v>650</v>
      </c>
      <c r="S2142" s="19">
        <v>810</v>
      </c>
      <c r="T2142" s="19" t="s">
        <v>42</v>
      </c>
      <c r="U2142" s="102" t="s">
        <v>779</v>
      </c>
      <c r="V2142" s="64" t="s">
        <v>681</v>
      </c>
      <c r="W2142" s="17" t="s">
        <v>69</v>
      </c>
      <c r="Y2142" s="68">
        <v>44927</v>
      </c>
      <c r="Z2142" s="17" t="s">
        <v>191</v>
      </c>
      <c r="AA2142" s="17" t="s">
        <v>46</v>
      </c>
      <c r="AB2142" s="17" t="s">
        <v>782</v>
      </c>
      <c r="AC2142" s="102" t="s">
        <v>783</v>
      </c>
      <c r="AD2142" s="65">
        <v>1405</v>
      </c>
      <c r="AE2142" s="17" t="s">
        <v>74</v>
      </c>
    </row>
    <row r="2143" s="17" customFormat="1" hidden="1" spans="1:32">
      <c r="A2143" s="17" t="s">
        <v>34</v>
      </c>
      <c r="B2143" s="19">
        <v>851</v>
      </c>
      <c r="C2143" s="230" t="s">
        <v>772</v>
      </c>
      <c r="D2143" s="17" t="s">
        <v>52</v>
      </c>
      <c r="E2143" s="17" t="s">
        <v>187</v>
      </c>
      <c r="F2143" s="17" t="s">
        <v>54</v>
      </c>
      <c r="H2143" s="19">
        <v>1.2311</v>
      </c>
      <c r="I2143" s="19"/>
      <c r="J2143" s="17" t="s">
        <v>82</v>
      </c>
      <c r="K2143" s="236">
        <v>305</v>
      </c>
      <c r="L2143" s="181">
        <v>80</v>
      </c>
      <c r="M2143" s="19">
        <v>2300</v>
      </c>
      <c r="N2143" s="19" t="s">
        <v>66</v>
      </c>
      <c r="O2143" s="19" t="s">
        <v>141</v>
      </c>
      <c r="P2143" s="160">
        <v>2500</v>
      </c>
      <c r="Q2143" s="19">
        <v>2210</v>
      </c>
      <c r="R2143" s="17">
        <f t="shared" ref="R2143:R2148" si="116">+P2143-Q2143</f>
        <v>290</v>
      </c>
      <c r="S2143" s="19">
        <v>810</v>
      </c>
      <c r="T2143" s="19" t="s">
        <v>42</v>
      </c>
      <c r="U2143" s="102" t="s">
        <v>779</v>
      </c>
      <c r="V2143" s="64" t="s">
        <v>681</v>
      </c>
      <c r="W2143" s="17" t="s">
        <v>69</v>
      </c>
      <c r="Y2143" s="68">
        <v>44927</v>
      </c>
      <c r="Z2143" s="17" t="s">
        <v>191</v>
      </c>
      <c r="AA2143" s="17" t="s">
        <v>46</v>
      </c>
      <c r="AB2143" s="17" t="s">
        <v>780</v>
      </c>
      <c r="AC2143" s="67">
        <v>44632</v>
      </c>
      <c r="AD2143" s="65">
        <v>1365</v>
      </c>
      <c r="AE2143" s="17" t="s">
        <v>74</v>
      </c>
      <c r="AF2143" s="17" t="s">
        <v>781</v>
      </c>
    </row>
    <row r="2144" s="17" customFormat="1" hidden="1" spans="1:32">
      <c r="A2144" s="17" t="s">
        <v>34</v>
      </c>
      <c r="B2144" s="19">
        <v>851</v>
      </c>
      <c r="C2144" s="230" t="s">
        <v>772</v>
      </c>
      <c r="D2144" s="17" t="s">
        <v>52</v>
      </c>
      <c r="E2144" s="17" t="s">
        <v>187</v>
      </c>
      <c r="F2144" s="17" t="s">
        <v>54</v>
      </c>
      <c r="H2144" s="19">
        <v>1.2311</v>
      </c>
      <c r="I2144" s="19"/>
      <c r="J2144" s="17" t="s">
        <v>82</v>
      </c>
      <c r="K2144" s="236">
        <v>355</v>
      </c>
      <c r="L2144" s="181">
        <v>80</v>
      </c>
      <c r="M2144" s="19">
        <v>2300</v>
      </c>
      <c r="N2144" s="19" t="s">
        <v>66</v>
      </c>
      <c r="O2144" s="19" t="s">
        <v>141</v>
      </c>
      <c r="P2144" s="160">
        <v>2000</v>
      </c>
      <c r="Q2144" s="19">
        <v>2060</v>
      </c>
      <c r="R2144" s="17">
        <f t="shared" si="116"/>
        <v>-60</v>
      </c>
      <c r="S2144" s="19">
        <v>810</v>
      </c>
      <c r="T2144" s="19" t="s">
        <v>42</v>
      </c>
      <c r="U2144" s="102" t="s">
        <v>779</v>
      </c>
      <c r="V2144" s="64" t="s">
        <v>681</v>
      </c>
      <c r="W2144" s="17" t="s">
        <v>69</v>
      </c>
      <c r="Y2144" s="68">
        <v>44927</v>
      </c>
      <c r="Z2144" s="17" t="s">
        <v>191</v>
      </c>
      <c r="AA2144" s="17" t="s">
        <v>46</v>
      </c>
      <c r="AB2144" s="17" t="s">
        <v>780</v>
      </c>
      <c r="AC2144" s="67">
        <v>44632</v>
      </c>
      <c r="AD2144" s="65">
        <v>1365</v>
      </c>
      <c r="AE2144" s="17" t="s">
        <v>74</v>
      </c>
      <c r="AF2144" s="17" t="s">
        <v>781</v>
      </c>
    </row>
    <row r="2145" s="17" customFormat="1" hidden="1" spans="1:32">
      <c r="A2145" s="17" t="s">
        <v>34</v>
      </c>
      <c r="B2145" s="19">
        <v>851</v>
      </c>
      <c r="C2145" s="230" t="s">
        <v>772</v>
      </c>
      <c r="D2145" s="17" t="s">
        <v>52</v>
      </c>
      <c r="E2145" s="17" t="s">
        <v>187</v>
      </c>
      <c r="F2145" s="17" t="s">
        <v>54</v>
      </c>
      <c r="H2145" s="19">
        <v>1.2311</v>
      </c>
      <c r="I2145" s="19"/>
      <c r="J2145" s="17" t="s">
        <v>82</v>
      </c>
      <c r="K2145" s="236">
        <v>405</v>
      </c>
      <c r="L2145" s="181">
        <v>80</v>
      </c>
      <c r="M2145" s="19">
        <v>2300</v>
      </c>
      <c r="N2145" s="19" t="s">
        <v>66</v>
      </c>
      <c r="O2145" s="19" t="s">
        <v>141</v>
      </c>
      <c r="P2145" s="160">
        <v>2000</v>
      </c>
      <c r="Q2145" s="19">
        <v>1757</v>
      </c>
      <c r="R2145" s="18">
        <f t="shared" si="116"/>
        <v>243</v>
      </c>
      <c r="S2145" s="19">
        <v>810</v>
      </c>
      <c r="T2145" s="19" t="s">
        <v>42</v>
      </c>
      <c r="U2145" s="102" t="s">
        <v>779</v>
      </c>
      <c r="V2145" s="64" t="s">
        <v>681</v>
      </c>
      <c r="W2145" s="17" t="s">
        <v>69</v>
      </c>
      <c r="Y2145" s="68">
        <v>44927</v>
      </c>
      <c r="Z2145" s="17" t="s">
        <v>191</v>
      </c>
      <c r="AA2145" s="17" t="s">
        <v>46</v>
      </c>
      <c r="AB2145" s="17" t="s">
        <v>780</v>
      </c>
      <c r="AC2145" s="67">
        <v>44632</v>
      </c>
      <c r="AD2145" s="65">
        <v>1365</v>
      </c>
      <c r="AE2145" s="17" t="s">
        <v>74</v>
      </c>
      <c r="AF2145" s="17" t="s">
        <v>781</v>
      </c>
    </row>
    <row r="2146" s="17" customFormat="1" hidden="1" spans="1:32">
      <c r="A2146" s="17" t="s">
        <v>34</v>
      </c>
      <c r="B2146" s="19">
        <v>851</v>
      </c>
      <c r="C2146" s="230" t="s">
        <v>772</v>
      </c>
      <c r="D2146" s="17" t="s">
        <v>52</v>
      </c>
      <c r="E2146" s="17" t="s">
        <v>187</v>
      </c>
      <c r="F2146" s="17" t="s">
        <v>54</v>
      </c>
      <c r="H2146" s="19">
        <v>1.2311</v>
      </c>
      <c r="I2146" s="19"/>
      <c r="J2146" s="17" t="s">
        <v>82</v>
      </c>
      <c r="K2146" s="236">
        <v>455</v>
      </c>
      <c r="L2146" s="181">
        <v>80</v>
      </c>
      <c r="M2146" s="19">
        <v>2300</v>
      </c>
      <c r="N2146" s="19" t="s">
        <v>66</v>
      </c>
      <c r="O2146" s="19" t="s">
        <v>141</v>
      </c>
      <c r="P2146" s="160">
        <v>1500</v>
      </c>
      <c r="Q2146" s="19">
        <v>1314</v>
      </c>
      <c r="R2146" s="17">
        <f t="shared" si="116"/>
        <v>186</v>
      </c>
      <c r="S2146" s="19">
        <v>810</v>
      </c>
      <c r="T2146" s="19" t="s">
        <v>42</v>
      </c>
      <c r="U2146" s="102" t="s">
        <v>779</v>
      </c>
      <c r="V2146" s="64" t="s">
        <v>681</v>
      </c>
      <c r="W2146" s="17" t="s">
        <v>69</v>
      </c>
      <c r="Y2146" s="68">
        <v>44927</v>
      </c>
      <c r="Z2146" s="17" t="s">
        <v>191</v>
      </c>
      <c r="AA2146" s="17" t="s">
        <v>46</v>
      </c>
      <c r="AB2146" s="17" t="s">
        <v>780</v>
      </c>
      <c r="AC2146" s="67">
        <v>44632</v>
      </c>
      <c r="AD2146" s="65">
        <v>1365</v>
      </c>
      <c r="AE2146" s="17" t="s">
        <v>74</v>
      </c>
      <c r="AF2146" s="17" t="s">
        <v>781</v>
      </c>
    </row>
    <row r="2147" s="17" customFormat="1" hidden="1" spans="1:32">
      <c r="A2147" s="17" t="s">
        <v>34</v>
      </c>
      <c r="B2147" s="19">
        <v>851</v>
      </c>
      <c r="C2147" s="230" t="s">
        <v>772</v>
      </c>
      <c r="D2147" s="17" t="s">
        <v>52</v>
      </c>
      <c r="E2147" s="17" t="s">
        <v>187</v>
      </c>
      <c r="F2147" s="17" t="s">
        <v>54</v>
      </c>
      <c r="H2147" s="19">
        <v>1.2311</v>
      </c>
      <c r="I2147" s="19"/>
      <c r="J2147" s="17" t="s">
        <v>82</v>
      </c>
      <c r="K2147" s="236">
        <v>505</v>
      </c>
      <c r="L2147" s="181">
        <v>80</v>
      </c>
      <c r="M2147" s="19">
        <v>2300</v>
      </c>
      <c r="N2147" s="19" t="s">
        <v>66</v>
      </c>
      <c r="O2147" s="19" t="s">
        <v>141</v>
      </c>
      <c r="P2147" s="160">
        <v>1500</v>
      </c>
      <c r="Q2147" s="19">
        <v>1458</v>
      </c>
      <c r="R2147" s="17">
        <f t="shared" si="116"/>
        <v>42</v>
      </c>
      <c r="S2147" s="19">
        <v>810</v>
      </c>
      <c r="T2147" s="19" t="s">
        <v>42</v>
      </c>
      <c r="U2147" s="102" t="s">
        <v>779</v>
      </c>
      <c r="V2147" s="64" t="s">
        <v>681</v>
      </c>
      <c r="W2147" s="17" t="s">
        <v>69</v>
      </c>
      <c r="Y2147" s="68">
        <v>44927</v>
      </c>
      <c r="Z2147" s="17" t="s">
        <v>191</v>
      </c>
      <c r="AA2147" s="17" t="s">
        <v>46</v>
      </c>
      <c r="AB2147" s="17" t="s">
        <v>780</v>
      </c>
      <c r="AC2147" s="67">
        <v>44632</v>
      </c>
      <c r="AD2147" s="65">
        <v>1365</v>
      </c>
      <c r="AE2147" s="17" t="s">
        <v>74</v>
      </c>
      <c r="AF2147" s="17" t="s">
        <v>781</v>
      </c>
    </row>
    <row r="2148" s="17" customFormat="1" hidden="1" spans="1:32">
      <c r="A2148" s="17" t="s">
        <v>34</v>
      </c>
      <c r="B2148" s="19">
        <v>851</v>
      </c>
      <c r="C2148" s="230" t="s">
        <v>772</v>
      </c>
      <c r="D2148" s="17" t="s">
        <v>52</v>
      </c>
      <c r="E2148" s="17" t="s">
        <v>187</v>
      </c>
      <c r="F2148" s="17" t="s">
        <v>54</v>
      </c>
      <c r="H2148" s="19">
        <v>1.2311</v>
      </c>
      <c r="I2148" s="19"/>
      <c r="J2148" s="17" t="s">
        <v>82</v>
      </c>
      <c r="K2148" s="236">
        <v>205</v>
      </c>
      <c r="L2148" s="181">
        <v>105</v>
      </c>
      <c r="M2148" s="19">
        <v>2300</v>
      </c>
      <c r="N2148" s="19" t="s">
        <v>66</v>
      </c>
      <c r="O2148" s="19" t="s">
        <v>141</v>
      </c>
      <c r="P2148" s="160">
        <v>1500</v>
      </c>
      <c r="Q2148" s="19">
        <v>1594</v>
      </c>
      <c r="R2148" s="17">
        <f t="shared" si="116"/>
        <v>-94</v>
      </c>
      <c r="S2148" s="19">
        <v>810</v>
      </c>
      <c r="T2148" s="19" t="s">
        <v>42</v>
      </c>
      <c r="U2148" s="102" t="s">
        <v>779</v>
      </c>
      <c r="V2148" s="64" t="s">
        <v>681</v>
      </c>
      <c r="W2148" s="17" t="s">
        <v>69</v>
      </c>
      <c r="Y2148" s="68">
        <v>44927</v>
      </c>
      <c r="Z2148" s="17" t="s">
        <v>191</v>
      </c>
      <c r="AA2148" s="17" t="s">
        <v>46</v>
      </c>
      <c r="AB2148" s="17" t="s">
        <v>780</v>
      </c>
      <c r="AC2148" s="67">
        <v>44632</v>
      </c>
      <c r="AD2148" s="65">
        <v>1365</v>
      </c>
      <c r="AE2148" s="17" t="s">
        <v>74</v>
      </c>
      <c r="AF2148" s="17" t="s">
        <v>781</v>
      </c>
    </row>
    <row r="2149" s="17" customFormat="1" hidden="1" spans="1:32">
      <c r="A2149" s="17" t="s">
        <v>34</v>
      </c>
      <c r="B2149" s="19">
        <v>851</v>
      </c>
      <c r="C2149" s="230" t="s">
        <v>772</v>
      </c>
      <c r="D2149" s="17" t="s">
        <v>52</v>
      </c>
      <c r="E2149" s="17" t="s">
        <v>187</v>
      </c>
      <c r="F2149" s="17" t="s">
        <v>54</v>
      </c>
      <c r="H2149" s="19">
        <v>1.2311</v>
      </c>
      <c r="I2149" s="19"/>
      <c r="J2149" s="17" t="s">
        <v>82</v>
      </c>
      <c r="K2149" s="236">
        <v>255</v>
      </c>
      <c r="L2149" s="181">
        <v>105</v>
      </c>
      <c r="M2149" s="19">
        <v>2300</v>
      </c>
      <c r="N2149" s="19" t="s">
        <v>66</v>
      </c>
      <c r="O2149" s="19" t="s">
        <v>141</v>
      </c>
      <c r="P2149" s="160">
        <v>1500</v>
      </c>
      <c r="Q2149" s="19">
        <v>494</v>
      </c>
      <c r="S2149" s="19">
        <v>810</v>
      </c>
      <c r="T2149" s="19" t="s">
        <v>42</v>
      </c>
      <c r="U2149" s="102" t="s">
        <v>779</v>
      </c>
      <c r="V2149" s="64" t="s">
        <v>681</v>
      </c>
      <c r="W2149" s="17" t="s">
        <v>69</v>
      </c>
      <c r="Y2149" s="68">
        <v>44927</v>
      </c>
      <c r="Z2149" s="17" t="s">
        <v>191</v>
      </c>
      <c r="AA2149" s="17" t="s">
        <v>46</v>
      </c>
      <c r="AB2149" s="17" t="s">
        <v>780</v>
      </c>
      <c r="AC2149" s="67">
        <v>44632</v>
      </c>
      <c r="AD2149" s="65">
        <v>1365</v>
      </c>
      <c r="AE2149" s="17" t="s">
        <v>74</v>
      </c>
      <c r="AF2149" s="17" t="s">
        <v>781</v>
      </c>
    </row>
    <row r="2150" s="17" customFormat="1" hidden="1" spans="1:32">
      <c r="A2150" s="17" t="s">
        <v>34</v>
      </c>
      <c r="B2150" s="19">
        <v>851</v>
      </c>
      <c r="C2150" s="230" t="s">
        <v>772</v>
      </c>
      <c r="D2150" s="17" t="s">
        <v>52</v>
      </c>
      <c r="E2150" s="17" t="s">
        <v>187</v>
      </c>
      <c r="F2150" s="17" t="s">
        <v>54</v>
      </c>
      <c r="H2150" s="19">
        <v>1.2311</v>
      </c>
      <c r="I2150" s="19"/>
      <c r="J2150" s="17" t="s">
        <v>82</v>
      </c>
      <c r="K2150" s="236">
        <v>255</v>
      </c>
      <c r="L2150" s="181">
        <v>105</v>
      </c>
      <c r="M2150" s="19">
        <v>2300</v>
      </c>
      <c r="N2150" s="19" t="s">
        <v>66</v>
      </c>
      <c r="O2150" s="19" t="s">
        <v>141</v>
      </c>
      <c r="P2150" s="160"/>
      <c r="Q2150" s="19">
        <v>1937</v>
      </c>
      <c r="R2150" s="95">
        <f>+P2149-Q2149-Q2150</f>
        <v>-931</v>
      </c>
      <c r="S2150" s="19">
        <v>810</v>
      </c>
      <c r="T2150" s="19" t="s">
        <v>42</v>
      </c>
      <c r="U2150" s="102" t="s">
        <v>779</v>
      </c>
      <c r="V2150" s="64" t="s">
        <v>681</v>
      </c>
      <c r="W2150" s="17" t="s">
        <v>69</v>
      </c>
      <c r="Y2150" s="68">
        <v>44927</v>
      </c>
      <c r="Z2150" s="17" t="s">
        <v>191</v>
      </c>
      <c r="AA2150" s="17" t="s">
        <v>46</v>
      </c>
      <c r="AB2150" s="17" t="s">
        <v>784</v>
      </c>
      <c r="AC2150" s="67" t="s">
        <v>785</v>
      </c>
      <c r="AD2150" s="65">
        <v>1367</v>
      </c>
      <c r="AE2150" s="17" t="s">
        <v>74</v>
      </c>
    </row>
    <row r="2151" s="17" customFormat="1" hidden="1" spans="1:32">
      <c r="A2151" s="17" t="s">
        <v>34</v>
      </c>
      <c r="B2151" s="19">
        <v>851</v>
      </c>
      <c r="C2151" s="230" t="s">
        <v>772</v>
      </c>
      <c r="D2151" s="17" t="s">
        <v>52</v>
      </c>
      <c r="E2151" s="17" t="s">
        <v>187</v>
      </c>
      <c r="F2151" s="17" t="s">
        <v>54</v>
      </c>
      <c r="H2151" s="19">
        <v>1.2311</v>
      </c>
      <c r="I2151" s="19"/>
      <c r="J2151" s="17" t="s">
        <v>82</v>
      </c>
      <c r="K2151" s="236">
        <v>305</v>
      </c>
      <c r="L2151" s="181">
        <v>105</v>
      </c>
      <c r="M2151" s="19">
        <v>2300</v>
      </c>
      <c r="N2151" s="19" t="s">
        <v>66</v>
      </c>
      <c r="O2151" s="19" t="s">
        <v>141</v>
      </c>
      <c r="P2151" s="160">
        <v>1500</v>
      </c>
      <c r="Q2151" s="19">
        <v>1169</v>
      </c>
      <c r="S2151" s="19">
        <v>810</v>
      </c>
      <c r="T2151" s="19" t="s">
        <v>42</v>
      </c>
      <c r="U2151" s="102" t="s">
        <v>779</v>
      </c>
      <c r="V2151" s="64" t="s">
        <v>681</v>
      </c>
      <c r="W2151" s="17" t="s">
        <v>69</v>
      </c>
      <c r="Y2151" s="68">
        <v>44927</v>
      </c>
      <c r="Z2151" s="17" t="s">
        <v>191</v>
      </c>
      <c r="AA2151" s="17" t="s">
        <v>46</v>
      </c>
      <c r="AB2151" s="17" t="s">
        <v>780</v>
      </c>
      <c r="AC2151" s="67">
        <v>44632</v>
      </c>
      <c r="AD2151" s="65">
        <v>1365</v>
      </c>
      <c r="AE2151" s="17" t="s">
        <v>74</v>
      </c>
      <c r="AF2151" s="17" t="s">
        <v>781</v>
      </c>
    </row>
    <row r="2152" s="17" customFormat="1" hidden="1" spans="1:32">
      <c r="A2152" s="17" t="s">
        <v>34</v>
      </c>
      <c r="B2152" s="19">
        <v>851</v>
      </c>
      <c r="C2152" s="230" t="s">
        <v>772</v>
      </c>
      <c r="D2152" s="17" t="s">
        <v>52</v>
      </c>
      <c r="E2152" s="17" t="s">
        <v>187</v>
      </c>
      <c r="F2152" s="17" t="s">
        <v>54</v>
      </c>
      <c r="H2152" s="19">
        <v>1.2311</v>
      </c>
      <c r="I2152" s="19"/>
      <c r="J2152" s="17" t="s">
        <v>82</v>
      </c>
      <c r="K2152" s="236">
        <v>305</v>
      </c>
      <c r="L2152" s="181">
        <v>105</v>
      </c>
      <c r="M2152" s="19">
        <v>2300</v>
      </c>
      <c r="N2152" s="19" t="s">
        <v>66</v>
      </c>
      <c r="O2152" s="19" t="s">
        <v>141</v>
      </c>
      <c r="P2152" s="160"/>
      <c r="Q2152" s="19">
        <v>1157</v>
      </c>
      <c r="R2152" s="95">
        <f>+P2151-Q2151-Q2152</f>
        <v>-826</v>
      </c>
      <c r="S2152" s="19">
        <v>810</v>
      </c>
      <c r="T2152" s="19" t="s">
        <v>42</v>
      </c>
      <c r="U2152" s="102" t="s">
        <v>779</v>
      </c>
      <c r="V2152" s="64" t="s">
        <v>681</v>
      </c>
      <c r="W2152" s="17" t="s">
        <v>69</v>
      </c>
      <c r="Y2152" s="68">
        <v>44927</v>
      </c>
      <c r="Z2152" s="17" t="s">
        <v>191</v>
      </c>
      <c r="AA2152" s="17" t="s">
        <v>46</v>
      </c>
      <c r="AB2152" s="17" t="s">
        <v>784</v>
      </c>
      <c r="AC2152" s="67" t="s">
        <v>785</v>
      </c>
      <c r="AD2152" s="65">
        <v>1367</v>
      </c>
      <c r="AE2152" s="17" t="s">
        <v>74</v>
      </c>
    </row>
    <row r="2153" s="17" customFormat="1" hidden="1" spans="1:32">
      <c r="A2153" s="17" t="s">
        <v>34</v>
      </c>
      <c r="B2153" s="19">
        <v>851</v>
      </c>
      <c r="C2153" s="230" t="s">
        <v>772</v>
      </c>
      <c r="D2153" s="17" t="s">
        <v>52</v>
      </c>
      <c r="E2153" s="17" t="s">
        <v>187</v>
      </c>
      <c r="F2153" s="17" t="s">
        <v>54</v>
      </c>
      <c r="H2153" s="19">
        <v>1.2311</v>
      </c>
      <c r="I2153" s="19"/>
      <c r="J2153" s="17" t="s">
        <v>82</v>
      </c>
      <c r="K2153" s="236">
        <v>355</v>
      </c>
      <c r="L2153" s="181">
        <v>105</v>
      </c>
      <c r="M2153" s="19">
        <v>2300</v>
      </c>
      <c r="N2153" s="19" t="s">
        <v>66</v>
      </c>
      <c r="O2153" s="19" t="s">
        <v>141</v>
      </c>
      <c r="P2153" s="160">
        <v>1500</v>
      </c>
      <c r="Q2153" s="19">
        <v>1376</v>
      </c>
      <c r="R2153" s="17">
        <f>+P2153-Q2153</f>
        <v>124</v>
      </c>
      <c r="S2153" s="19">
        <v>810</v>
      </c>
      <c r="T2153" s="19" t="s">
        <v>42</v>
      </c>
      <c r="U2153" s="102" t="s">
        <v>779</v>
      </c>
      <c r="V2153" s="64" t="s">
        <v>681</v>
      </c>
      <c r="W2153" s="17" t="s">
        <v>69</v>
      </c>
      <c r="Y2153" s="68">
        <v>44927</v>
      </c>
      <c r="Z2153" s="17" t="s">
        <v>191</v>
      </c>
      <c r="AA2153" s="17" t="s">
        <v>46</v>
      </c>
      <c r="AB2153" s="17" t="s">
        <v>780</v>
      </c>
      <c r="AC2153" s="67">
        <v>44632</v>
      </c>
      <c r="AD2153" s="65">
        <v>1365</v>
      </c>
      <c r="AE2153" s="17" t="s">
        <v>74</v>
      </c>
      <c r="AF2153" s="17" t="s">
        <v>781</v>
      </c>
    </row>
    <row r="2154" s="17" customFormat="1" hidden="1" spans="1:32">
      <c r="A2154" s="17" t="s">
        <v>34</v>
      </c>
      <c r="B2154" s="19">
        <v>851</v>
      </c>
      <c r="C2154" s="230" t="s">
        <v>772</v>
      </c>
      <c r="D2154" s="17" t="s">
        <v>52</v>
      </c>
      <c r="E2154" s="17" t="s">
        <v>187</v>
      </c>
      <c r="F2154" s="17" t="s">
        <v>54</v>
      </c>
      <c r="H2154" s="19">
        <v>1.2311</v>
      </c>
      <c r="I2154" s="19"/>
      <c r="J2154" s="17" t="s">
        <v>82</v>
      </c>
      <c r="K2154" s="236">
        <v>405</v>
      </c>
      <c r="L2154" s="181">
        <v>105</v>
      </c>
      <c r="M2154" s="19">
        <v>2300</v>
      </c>
      <c r="N2154" s="19" t="s">
        <v>66</v>
      </c>
      <c r="O2154" s="19" t="s">
        <v>141</v>
      </c>
      <c r="P2154" s="160">
        <v>1500</v>
      </c>
      <c r="Q2154" s="19">
        <v>1548</v>
      </c>
      <c r="R2154" s="17">
        <f>+P2154-Q2154</f>
        <v>-48</v>
      </c>
      <c r="S2154" s="19">
        <v>810</v>
      </c>
      <c r="T2154" s="19" t="s">
        <v>42</v>
      </c>
      <c r="U2154" s="102" t="s">
        <v>779</v>
      </c>
      <c r="V2154" s="64" t="s">
        <v>681</v>
      </c>
      <c r="W2154" s="17" t="s">
        <v>69</v>
      </c>
      <c r="Y2154" s="68">
        <v>44927</v>
      </c>
      <c r="Z2154" s="17" t="s">
        <v>191</v>
      </c>
      <c r="AA2154" s="17" t="s">
        <v>46</v>
      </c>
      <c r="AB2154" s="17" t="s">
        <v>780</v>
      </c>
      <c r="AC2154" s="67">
        <v>44632</v>
      </c>
      <c r="AD2154" s="65">
        <v>1365</v>
      </c>
      <c r="AE2154" s="17" t="s">
        <v>74</v>
      </c>
      <c r="AF2154" s="17" t="s">
        <v>781</v>
      </c>
    </row>
    <row r="2155" s="17" customFormat="1" hidden="1" spans="1:32">
      <c r="A2155" s="17" t="s">
        <v>34</v>
      </c>
      <c r="B2155" s="19">
        <v>851</v>
      </c>
      <c r="C2155" s="230" t="s">
        <v>772</v>
      </c>
      <c r="D2155" s="17" t="s">
        <v>52</v>
      </c>
      <c r="E2155" s="17" t="s">
        <v>187</v>
      </c>
      <c r="F2155" s="17" t="s">
        <v>54</v>
      </c>
      <c r="H2155" s="19">
        <v>1.2311</v>
      </c>
      <c r="I2155" s="19"/>
      <c r="J2155" s="17" t="s">
        <v>82</v>
      </c>
      <c r="K2155" s="236">
        <v>455</v>
      </c>
      <c r="L2155" s="181">
        <v>105</v>
      </c>
      <c r="M2155" s="19">
        <v>2300</v>
      </c>
      <c r="N2155" s="19" t="s">
        <v>66</v>
      </c>
      <c r="O2155" s="19" t="s">
        <v>141</v>
      </c>
      <c r="P2155" s="160">
        <v>1500</v>
      </c>
      <c r="Q2155" s="19">
        <v>1734</v>
      </c>
      <c r="R2155" s="17">
        <f>+P2155-Q2155</f>
        <v>-234</v>
      </c>
      <c r="S2155" s="19">
        <v>810</v>
      </c>
      <c r="T2155" s="19" t="s">
        <v>42</v>
      </c>
      <c r="U2155" s="102" t="s">
        <v>779</v>
      </c>
      <c r="V2155" s="64" t="s">
        <v>681</v>
      </c>
      <c r="W2155" s="17" t="s">
        <v>69</v>
      </c>
      <c r="Y2155" s="68">
        <v>44927</v>
      </c>
      <c r="Z2155" s="17" t="s">
        <v>191</v>
      </c>
      <c r="AA2155" s="17" t="s">
        <v>46</v>
      </c>
      <c r="AB2155" s="17" t="s">
        <v>780</v>
      </c>
      <c r="AC2155" s="67">
        <v>44632</v>
      </c>
      <c r="AD2155" s="65">
        <v>1365</v>
      </c>
      <c r="AE2155" s="17" t="s">
        <v>74</v>
      </c>
      <c r="AF2155" s="17" t="s">
        <v>781</v>
      </c>
    </row>
    <row r="2156" s="17" customFormat="1" hidden="1" spans="1:32">
      <c r="A2156" s="17" t="s">
        <v>34</v>
      </c>
      <c r="B2156" s="19">
        <v>851</v>
      </c>
      <c r="C2156" s="230" t="s">
        <v>772</v>
      </c>
      <c r="D2156" s="17" t="s">
        <v>52</v>
      </c>
      <c r="E2156" s="17" t="s">
        <v>187</v>
      </c>
      <c r="F2156" s="17" t="s">
        <v>54</v>
      </c>
      <c r="H2156" s="19">
        <v>1.2311</v>
      </c>
      <c r="I2156" s="19"/>
      <c r="J2156" s="17" t="s">
        <v>82</v>
      </c>
      <c r="K2156" s="236">
        <v>505</v>
      </c>
      <c r="L2156" s="181">
        <v>105</v>
      </c>
      <c r="M2156" s="19">
        <v>2300</v>
      </c>
      <c r="N2156" s="19" t="s">
        <v>66</v>
      </c>
      <c r="O2156" s="19" t="s">
        <v>141</v>
      </c>
      <c r="P2156" s="160">
        <v>1500</v>
      </c>
      <c r="Q2156" s="19">
        <v>1917</v>
      </c>
      <c r="R2156" s="17">
        <f>+P2156-Q2156</f>
        <v>-417</v>
      </c>
      <c r="S2156" s="19">
        <v>810</v>
      </c>
      <c r="T2156" s="19" t="s">
        <v>42</v>
      </c>
      <c r="U2156" s="102" t="s">
        <v>779</v>
      </c>
      <c r="V2156" s="64" t="s">
        <v>681</v>
      </c>
      <c r="W2156" s="17" t="s">
        <v>69</v>
      </c>
      <c r="Y2156" s="68">
        <v>44927</v>
      </c>
      <c r="Z2156" s="17" t="s">
        <v>191</v>
      </c>
      <c r="AA2156" s="17" t="s">
        <v>46</v>
      </c>
      <c r="AB2156" s="17" t="s">
        <v>780</v>
      </c>
      <c r="AC2156" s="67">
        <v>44632</v>
      </c>
      <c r="AD2156" s="65">
        <v>1365</v>
      </c>
      <c r="AE2156" s="17" t="s">
        <v>74</v>
      </c>
      <c r="AF2156" s="17" t="s">
        <v>781</v>
      </c>
    </row>
    <row r="2157" s="17" customFormat="1" hidden="1" spans="1:32">
      <c r="A2157" s="17" t="s">
        <v>34</v>
      </c>
      <c r="B2157" s="19">
        <v>851</v>
      </c>
      <c r="C2157" s="230" t="s">
        <v>772</v>
      </c>
      <c r="D2157" s="17" t="s">
        <v>52</v>
      </c>
      <c r="E2157" s="17" t="s">
        <v>187</v>
      </c>
      <c r="F2157" s="17" t="s">
        <v>54</v>
      </c>
      <c r="H2157" s="19">
        <v>1.2311</v>
      </c>
      <c r="I2157" s="19"/>
      <c r="J2157" s="17" t="s">
        <v>82</v>
      </c>
      <c r="K2157" s="236">
        <v>205</v>
      </c>
      <c r="L2157" s="181">
        <v>130</v>
      </c>
      <c r="M2157" s="19">
        <v>2300</v>
      </c>
      <c r="N2157" s="19" t="s">
        <v>66</v>
      </c>
      <c r="O2157" s="19" t="s">
        <v>141</v>
      </c>
      <c r="P2157" s="160">
        <v>1500</v>
      </c>
      <c r="Q2157" s="19">
        <v>503</v>
      </c>
      <c r="S2157" s="19">
        <f t="shared" ref="S2157:S2162" si="117">810+20</f>
        <v>830</v>
      </c>
      <c r="T2157" s="19" t="s">
        <v>42</v>
      </c>
      <c r="U2157" s="102" t="s">
        <v>779</v>
      </c>
      <c r="V2157" s="64" t="s">
        <v>681</v>
      </c>
      <c r="W2157" s="17" t="s">
        <v>69</v>
      </c>
      <c r="Y2157" s="68">
        <v>44927</v>
      </c>
      <c r="Z2157" s="17" t="s">
        <v>191</v>
      </c>
      <c r="AA2157" s="17" t="s">
        <v>46</v>
      </c>
      <c r="AB2157" s="17" t="s">
        <v>780</v>
      </c>
      <c r="AC2157" s="67">
        <v>44632</v>
      </c>
      <c r="AD2157" s="65">
        <v>1365</v>
      </c>
      <c r="AE2157" s="17" t="s">
        <v>74</v>
      </c>
      <c r="AF2157" s="17" t="s">
        <v>781</v>
      </c>
    </row>
    <row r="2158" s="17" customFormat="1" hidden="1" spans="1:32">
      <c r="B2158" s="19">
        <v>851</v>
      </c>
      <c r="C2158" s="230" t="s">
        <v>772</v>
      </c>
      <c r="D2158" s="17" t="s">
        <v>52</v>
      </c>
      <c r="E2158" s="17" t="s">
        <v>187</v>
      </c>
      <c r="F2158" s="17" t="s">
        <v>54</v>
      </c>
      <c r="H2158" s="19">
        <v>1.2311</v>
      </c>
      <c r="I2158" s="19"/>
      <c r="J2158" s="17" t="s">
        <v>82</v>
      </c>
      <c r="K2158" s="236">
        <v>205</v>
      </c>
      <c r="L2158" s="181">
        <v>130</v>
      </c>
      <c r="M2158" s="19">
        <v>2250</v>
      </c>
      <c r="N2158" s="19" t="s">
        <v>66</v>
      </c>
      <c r="O2158" s="19" t="s">
        <v>141</v>
      </c>
      <c r="P2158" s="160"/>
      <c r="Q2158" s="19">
        <f>479+483+487</f>
        <v>1449</v>
      </c>
      <c r="R2158" s="95">
        <f>+P2157-Q2157-Q2158</f>
        <v>-452</v>
      </c>
      <c r="S2158" s="19">
        <f t="shared" si="117"/>
        <v>830</v>
      </c>
      <c r="T2158" s="19" t="s">
        <v>42</v>
      </c>
      <c r="U2158" s="102" t="s">
        <v>779</v>
      </c>
      <c r="V2158" s="64" t="s">
        <v>681</v>
      </c>
      <c r="W2158" s="17" t="s">
        <v>69</v>
      </c>
      <c r="Y2158" s="68">
        <v>44927</v>
      </c>
      <c r="Z2158" s="17" t="s">
        <v>191</v>
      </c>
      <c r="AA2158" s="17" t="s">
        <v>46</v>
      </c>
      <c r="AB2158" s="17" t="s">
        <v>782</v>
      </c>
      <c r="AC2158" s="102" t="s">
        <v>783</v>
      </c>
      <c r="AD2158" s="65">
        <v>1405</v>
      </c>
      <c r="AE2158" s="17" t="s">
        <v>74</v>
      </c>
    </row>
    <row r="2159" s="17" customFormat="1" hidden="1" spans="1:32">
      <c r="B2159" s="19">
        <v>851</v>
      </c>
      <c r="C2159" s="230" t="s">
        <v>772</v>
      </c>
      <c r="D2159" s="17" t="s">
        <v>52</v>
      </c>
      <c r="E2159" s="17" t="s">
        <v>187</v>
      </c>
      <c r="F2159" s="17" t="s">
        <v>54</v>
      </c>
      <c r="H2159" s="19">
        <v>1.2311</v>
      </c>
      <c r="I2159" s="19"/>
      <c r="J2159" s="17" t="s">
        <v>82</v>
      </c>
      <c r="K2159" s="236">
        <v>255</v>
      </c>
      <c r="L2159" s="181">
        <v>130</v>
      </c>
      <c r="M2159" s="19">
        <v>2300</v>
      </c>
      <c r="N2159" s="19" t="s">
        <v>66</v>
      </c>
      <c r="O2159" s="19" t="s">
        <v>141</v>
      </c>
      <c r="P2159" s="160">
        <v>1500</v>
      </c>
      <c r="Q2159" s="19">
        <f>608+610</f>
        <v>1218</v>
      </c>
      <c r="S2159" s="19">
        <f t="shared" si="117"/>
        <v>830</v>
      </c>
      <c r="T2159" s="19" t="s">
        <v>42</v>
      </c>
      <c r="U2159" s="102" t="s">
        <v>779</v>
      </c>
      <c r="V2159" s="64" t="s">
        <v>681</v>
      </c>
      <c r="W2159" s="17" t="s">
        <v>69</v>
      </c>
      <c r="Y2159" s="68">
        <v>44927</v>
      </c>
      <c r="Z2159" s="17" t="s">
        <v>191</v>
      </c>
      <c r="AA2159" s="17" t="s">
        <v>46</v>
      </c>
      <c r="AB2159" s="17" t="s">
        <v>786</v>
      </c>
      <c r="AC2159" s="17" t="s">
        <v>787</v>
      </c>
      <c r="AD2159" s="65">
        <v>1384</v>
      </c>
      <c r="AE2159" s="17" t="s">
        <v>74</v>
      </c>
      <c r="AF2159" s="17" t="s">
        <v>781</v>
      </c>
    </row>
    <row r="2160" s="17" customFormat="1" hidden="1" spans="1:32">
      <c r="B2160" s="19">
        <v>851</v>
      </c>
      <c r="C2160" s="230" t="s">
        <v>772</v>
      </c>
      <c r="D2160" s="17" t="s">
        <v>52</v>
      </c>
      <c r="E2160" s="17" t="s">
        <v>187</v>
      </c>
      <c r="F2160" s="17" t="s">
        <v>54</v>
      </c>
      <c r="H2160" s="19">
        <v>1.2311</v>
      </c>
      <c r="I2160" s="19"/>
      <c r="J2160" s="17" t="s">
        <v>82</v>
      </c>
      <c r="K2160" s="236">
        <v>255</v>
      </c>
      <c r="L2160" s="181">
        <v>130</v>
      </c>
      <c r="M2160" s="19">
        <v>2250</v>
      </c>
      <c r="N2160" s="19" t="s">
        <v>66</v>
      </c>
      <c r="O2160" s="19" t="s">
        <v>141</v>
      </c>
      <c r="P2160" s="160"/>
      <c r="Q2160" s="19">
        <v>610</v>
      </c>
      <c r="R2160" s="95">
        <f>+P2159-Q2159-Q2160</f>
        <v>-328</v>
      </c>
      <c r="S2160" s="19">
        <f t="shared" si="117"/>
        <v>830</v>
      </c>
      <c r="T2160" s="19" t="s">
        <v>42</v>
      </c>
      <c r="U2160" s="102" t="s">
        <v>779</v>
      </c>
      <c r="V2160" s="64" t="s">
        <v>681</v>
      </c>
      <c r="W2160" s="17" t="s">
        <v>69</v>
      </c>
      <c r="Y2160" s="68">
        <v>44927</v>
      </c>
      <c r="Z2160" s="17" t="s">
        <v>191</v>
      </c>
      <c r="AA2160" s="17" t="s">
        <v>46</v>
      </c>
      <c r="AB2160" s="17" t="s">
        <v>782</v>
      </c>
      <c r="AC2160" s="102" t="s">
        <v>783</v>
      </c>
      <c r="AD2160" s="65">
        <v>1405</v>
      </c>
      <c r="AE2160" s="17" t="s">
        <v>74</v>
      </c>
    </row>
    <row r="2161" s="17" customFormat="1" hidden="1" spans="1:32">
      <c r="A2161" s="17" t="s">
        <v>34</v>
      </c>
      <c r="B2161" s="19">
        <v>851</v>
      </c>
      <c r="C2161" s="230" t="s">
        <v>772</v>
      </c>
      <c r="D2161" s="17" t="s">
        <v>52</v>
      </c>
      <c r="E2161" s="17" t="s">
        <v>187</v>
      </c>
      <c r="F2161" s="17" t="s">
        <v>54</v>
      </c>
      <c r="H2161" s="19">
        <v>1.2311</v>
      </c>
      <c r="I2161" s="19"/>
      <c r="J2161" s="17" t="s">
        <v>82</v>
      </c>
      <c r="K2161" s="181">
        <v>305</v>
      </c>
      <c r="L2161" s="181">
        <v>130</v>
      </c>
      <c r="M2161" s="19">
        <v>2300</v>
      </c>
      <c r="N2161" s="19" t="s">
        <v>66</v>
      </c>
      <c r="O2161" s="19" t="s">
        <v>141</v>
      </c>
      <c r="P2161" s="160">
        <v>1500</v>
      </c>
      <c r="Q2161" s="19">
        <v>1422</v>
      </c>
      <c r="R2161" s="17">
        <f>+P2161-Q2161</f>
        <v>78</v>
      </c>
      <c r="S2161" s="19">
        <f t="shared" si="117"/>
        <v>830</v>
      </c>
      <c r="T2161" s="19" t="s">
        <v>42</v>
      </c>
      <c r="U2161" s="102" t="s">
        <v>779</v>
      </c>
      <c r="V2161" s="64" t="s">
        <v>681</v>
      </c>
      <c r="W2161" s="17" t="s">
        <v>69</v>
      </c>
      <c r="Y2161" s="68">
        <v>44927</v>
      </c>
      <c r="Z2161" s="17" t="s">
        <v>191</v>
      </c>
      <c r="AA2161" s="17" t="s">
        <v>46</v>
      </c>
      <c r="AB2161" s="17" t="s">
        <v>784</v>
      </c>
      <c r="AC2161" s="67" t="s">
        <v>785</v>
      </c>
      <c r="AD2161" s="65">
        <v>1367</v>
      </c>
      <c r="AE2161" s="17" t="s">
        <v>74</v>
      </c>
      <c r="AF2161" s="17" t="s">
        <v>781</v>
      </c>
    </row>
    <row r="2162" s="17" customFormat="1" hidden="1" spans="1:32">
      <c r="A2162" s="17" t="s">
        <v>34</v>
      </c>
      <c r="B2162" s="19">
        <v>851</v>
      </c>
      <c r="C2162" s="230" t="s">
        <v>772</v>
      </c>
      <c r="D2162" s="17" t="s">
        <v>52</v>
      </c>
      <c r="E2162" s="17" t="s">
        <v>187</v>
      </c>
      <c r="F2162" s="17" t="s">
        <v>54</v>
      </c>
      <c r="H2162" s="19">
        <v>1.2311</v>
      </c>
      <c r="I2162" s="19"/>
      <c r="J2162" s="17" t="s">
        <v>82</v>
      </c>
      <c r="K2162" s="181">
        <v>355</v>
      </c>
      <c r="L2162" s="181">
        <v>130</v>
      </c>
      <c r="M2162" s="19">
        <v>2300</v>
      </c>
      <c r="N2162" s="19" t="s">
        <v>66</v>
      </c>
      <c r="O2162" s="19" t="s">
        <v>141</v>
      </c>
      <c r="P2162" s="160">
        <v>1500</v>
      </c>
      <c r="Q2162" s="19">
        <v>850</v>
      </c>
      <c r="S2162" s="19">
        <f t="shared" si="117"/>
        <v>830</v>
      </c>
      <c r="T2162" s="19" t="s">
        <v>42</v>
      </c>
      <c r="U2162" s="102" t="s">
        <v>779</v>
      </c>
      <c r="V2162" s="64" t="s">
        <v>681</v>
      </c>
      <c r="W2162" s="17" t="s">
        <v>69</v>
      </c>
      <c r="Y2162" s="68">
        <v>44927</v>
      </c>
      <c r="Z2162" s="17" t="s">
        <v>191</v>
      </c>
      <c r="AA2162" s="17" t="s">
        <v>46</v>
      </c>
      <c r="AB2162" s="17" t="s">
        <v>780</v>
      </c>
      <c r="AC2162" s="67">
        <v>44632</v>
      </c>
      <c r="AD2162" s="65">
        <v>1365</v>
      </c>
      <c r="AE2162" s="17" t="s">
        <v>74</v>
      </c>
      <c r="AF2162" s="17" t="s">
        <v>781</v>
      </c>
    </row>
    <row r="2163" s="17" customFormat="1" hidden="1" spans="1:32">
      <c r="B2163" s="19">
        <v>851</v>
      </c>
      <c r="C2163" s="230" t="s">
        <v>772</v>
      </c>
      <c r="D2163" s="17" t="s">
        <v>52</v>
      </c>
      <c r="E2163" s="17" t="s">
        <v>187</v>
      </c>
      <c r="F2163" s="17" t="s">
        <v>54</v>
      </c>
      <c r="H2163" s="19">
        <v>1.2311</v>
      </c>
      <c r="I2163" s="19"/>
      <c r="J2163" s="17" t="s">
        <v>82</v>
      </c>
      <c r="K2163" s="181">
        <v>355</v>
      </c>
      <c r="L2163" s="181">
        <v>130</v>
      </c>
      <c r="M2163" s="19">
        <v>2250</v>
      </c>
      <c r="N2163" s="19" t="s">
        <v>66</v>
      </c>
      <c r="O2163" s="19" t="s">
        <v>141</v>
      </c>
      <c r="P2163" s="160"/>
      <c r="Q2163" s="19">
        <f>846+842</f>
        <v>1688</v>
      </c>
      <c r="R2163" s="95">
        <f>+P2162-Q2162-Q2163</f>
        <v>-1038</v>
      </c>
      <c r="S2163" s="19">
        <v>830</v>
      </c>
      <c r="T2163" s="19" t="s">
        <v>42</v>
      </c>
      <c r="U2163" s="102" t="s">
        <v>779</v>
      </c>
      <c r="V2163" s="64" t="s">
        <v>681</v>
      </c>
      <c r="W2163" s="17" t="s">
        <v>69</v>
      </c>
      <c r="Y2163" s="68">
        <v>44927</v>
      </c>
      <c r="Z2163" s="17" t="s">
        <v>191</v>
      </c>
      <c r="AA2163" s="17" t="s">
        <v>46</v>
      </c>
      <c r="AB2163" s="17" t="s">
        <v>786</v>
      </c>
      <c r="AC2163" s="17" t="s">
        <v>787</v>
      </c>
      <c r="AD2163" s="65">
        <v>1384</v>
      </c>
      <c r="AE2163" s="17" t="s">
        <v>74</v>
      </c>
      <c r="AF2163" s="17" t="s">
        <v>781</v>
      </c>
    </row>
    <row r="2164" s="17" customFormat="1" hidden="1" spans="1:32">
      <c r="A2164" s="17" t="s">
        <v>34</v>
      </c>
      <c r="B2164" s="19">
        <v>851</v>
      </c>
      <c r="C2164" s="230" t="s">
        <v>772</v>
      </c>
      <c r="D2164" s="17" t="s">
        <v>52</v>
      </c>
      <c r="E2164" s="17" t="s">
        <v>187</v>
      </c>
      <c r="F2164" s="17" t="s">
        <v>54</v>
      </c>
      <c r="H2164" s="19">
        <v>1.2311</v>
      </c>
      <c r="I2164" s="19"/>
      <c r="J2164" s="17" t="s">
        <v>82</v>
      </c>
      <c r="K2164" s="181">
        <v>405</v>
      </c>
      <c r="L2164" s="181">
        <v>130</v>
      </c>
      <c r="M2164" s="19">
        <v>2300</v>
      </c>
      <c r="N2164" s="19" t="s">
        <v>66</v>
      </c>
      <c r="O2164" s="19" t="s">
        <v>141</v>
      </c>
      <c r="P2164" s="160">
        <v>1500</v>
      </c>
      <c r="Q2164" s="19">
        <v>972</v>
      </c>
      <c r="R2164" s="18">
        <f>+P2164-Q2164</f>
        <v>528</v>
      </c>
      <c r="S2164" s="19">
        <f>810+20</f>
        <v>830</v>
      </c>
      <c r="T2164" s="19" t="s">
        <v>42</v>
      </c>
      <c r="U2164" s="102" t="s">
        <v>779</v>
      </c>
      <c r="V2164" s="64" t="s">
        <v>681</v>
      </c>
      <c r="W2164" s="17" t="s">
        <v>69</v>
      </c>
      <c r="Y2164" s="68">
        <v>44927</v>
      </c>
      <c r="Z2164" s="17" t="s">
        <v>191</v>
      </c>
      <c r="AA2164" s="17" t="s">
        <v>46</v>
      </c>
      <c r="AB2164" s="17" t="s">
        <v>780</v>
      </c>
      <c r="AC2164" s="67">
        <v>44632</v>
      </c>
      <c r="AD2164" s="65">
        <v>1365</v>
      </c>
      <c r="AE2164" s="17" t="s">
        <v>74</v>
      </c>
      <c r="AF2164" s="17" t="s">
        <v>781</v>
      </c>
    </row>
    <row r="2165" s="17" customFormat="1" hidden="1" spans="1:32">
      <c r="B2165" s="19">
        <v>851</v>
      </c>
      <c r="C2165" s="230" t="s">
        <v>772</v>
      </c>
      <c r="D2165" s="17" t="s">
        <v>52</v>
      </c>
      <c r="E2165" s="17" t="s">
        <v>187</v>
      </c>
      <c r="F2165" s="17" t="s">
        <v>54</v>
      </c>
      <c r="H2165" s="19">
        <v>1.2311</v>
      </c>
      <c r="I2165" s="19"/>
      <c r="J2165" s="17" t="s">
        <v>82</v>
      </c>
      <c r="K2165" s="181">
        <v>455</v>
      </c>
      <c r="L2165" s="181">
        <v>130</v>
      </c>
      <c r="M2165" s="19">
        <v>2300</v>
      </c>
      <c r="N2165" s="19" t="s">
        <v>66</v>
      </c>
      <c r="O2165" s="19" t="s">
        <v>141</v>
      </c>
      <c r="P2165" s="160">
        <v>1500</v>
      </c>
      <c r="Q2165" s="19">
        <v>1076</v>
      </c>
      <c r="S2165" s="19">
        <f>810+20</f>
        <v>830</v>
      </c>
      <c r="T2165" s="19" t="s">
        <v>42</v>
      </c>
      <c r="U2165" s="102" t="s">
        <v>779</v>
      </c>
      <c r="V2165" s="64" t="s">
        <v>681</v>
      </c>
      <c r="W2165" s="17" t="s">
        <v>69</v>
      </c>
      <c r="Y2165" s="68">
        <v>44927</v>
      </c>
      <c r="Z2165" s="17" t="s">
        <v>191</v>
      </c>
      <c r="AA2165" s="17" t="s">
        <v>46</v>
      </c>
      <c r="AB2165" s="17" t="s">
        <v>786</v>
      </c>
      <c r="AC2165" s="17" t="s">
        <v>787</v>
      </c>
      <c r="AD2165" s="65">
        <v>1384</v>
      </c>
      <c r="AE2165" s="17" t="s">
        <v>74</v>
      </c>
      <c r="AF2165" s="17" t="s">
        <v>781</v>
      </c>
    </row>
    <row r="2166" s="17" customFormat="1" hidden="1" spans="1:32">
      <c r="B2166" s="19">
        <v>851</v>
      </c>
      <c r="C2166" s="230" t="s">
        <v>772</v>
      </c>
      <c r="D2166" s="17" t="s">
        <v>52</v>
      </c>
      <c r="E2166" s="17" t="s">
        <v>187</v>
      </c>
      <c r="F2166" s="17" t="s">
        <v>54</v>
      </c>
      <c r="H2166" s="19">
        <v>1.2311</v>
      </c>
      <c r="I2166" s="19"/>
      <c r="J2166" s="17" t="s">
        <v>82</v>
      </c>
      <c r="K2166" s="181">
        <v>455</v>
      </c>
      <c r="L2166" s="181">
        <v>130</v>
      </c>
      <c r="M2166" s="19">
        <v>2250</v>
      </c>
      <c r="N2166" s="19" t="s">
        <v>66</v>
      </c>
      <c r="O2166" s="19" t="s">
        <v>141</v>
      </c>
      <c r="P2166" s="160"/>
      <c r="Q2166" s="19">
        <v>950</v>
      </c>
      <c r="R2166" s="95">
        <f>+P2165-Q2165-Q2166</f>
        <v>-526</v>
      </c>
      <c r="S2166" s="19">
        <f>810+20</f>
        <v>830</v>
      </c>
      <c r="T2166" s="19" t="s">
        <v>42</v>
      </c>
      <c r="U2166" s="102" t="s">
        <v>779</v>
      </c>
      <c r="V2166" s="64" t="s">
        <v>681</v>
      </c>
      <c r="W2166" s="17" t="s">
        <v>69</v>
      </c>
      <c r="Y2166" s="68">
        <v>44927</v>
      </c>
      <c r="Z2166" s="17" t="s">
        <v>191</v>
      </c>
      <c r="AA2166" s="17" t="s">
        <v>46</v>
      </c>
      <c r="AB2166" s="17" t="s">
        <v>782</v>
      </c>
      <c r="AC2166" s="102" t="s">
        <v>783</v>
      </c>
      <c r="AD2166" s="65">
        <v>1405</v>
      </c>
      <c r="AE2166" s="17" t="s">
        <v>74</v>
      </c>
    </row>
    <row r="2167" s="17" customFormat="1" hidden="1" spans="1:32">
      <c r="A2167" s="17" t="s">
        <v>34</v>
      </c>
      <c r="B2167" s="19">
        <v>851</v>
      </c>
      <c r="C2167" s="230" t="s">
        <v>772</v>
      </c>
      <c r="D2167" s="17" t="s">
        <v>52</v>
      </c>
      <c r="E2167" s="17" t="s">
        <v>187</v>
      </c>
      <c r="F2167" s="17" t="s">
        <v>54</v>
      </c>
      <c r="H2167" s="19">
        <v>1.2311</v>
      </c>
      <c r="I2167" s="19"/>
      <c r="J2167" s="17" t="s">
        <v>82</v>
      </c>
      <c r="K2167" s="181">
        <v>505</v>
      </c>
      <c r="L2167" s="181">
        <v>130</v>
      </c>
      <c r="M2167" s="19">
        <v>2300</v>
      </c>
      <c r="N2167" s="19" t="s">
        <v>66</v>
      </c>
      <c r="O2167" s="19" t="s">
        <v>141</v>
      </c>
      <c r="P2167" s="160">
        <v>1500</v>
      </c>
      <c r="Q2167" s="19">
        <v>1190</v>
      </c>
      <c r="R2167" s="17">
        <f t="shared" ref="R2167:R2174" si="118">+P2167-Q2167</f>
        <v>310</v>
      </c>
      <c r="S2167" s="19">
        <f>810+20</f>
        <v>830</v>
      </c>
      <c r="T2167" s="19" t="s">
        <v>42</v>
      </c>
      <c r="U2167" s="102" t="s">
        <v>779</v>
      </c>
      <c r="V2167" s="64" t="s">
        <v>681</v>
      </c>
      <c r="W2167" s="17" t="s">
        <v>69</v>
      </c>
      <c r="Y2167" s="68">
        <v>44927</v>
      </c>
      <c r="Z2167" s="17" t="s">
        <v>191</v>
      </c>
      <c r="AA2167" s="17" t="s">
        <v>46</v>
      </c>
      <c r="AB2167" s="17" t="s">
        <v>784</v>
      </c>
      <c r="AC2167" s="67" t="s">
        <v>785</v>
      </c>
      <c r="AD2167" s="65">
        <v>1367</v>
      </c>
      <c r="AE2167" s="17" t="s">
        <v>74</v>
      </c>
      <c r="AF2167" s="17" t="s">
        <v>781</v>
      </c>
    </row>
    <row r="2168" s="17" customFormat="1" hidden="1" spans="1:32">
      <c r="B2168" s="19">
        <v>851</v>
      </c>
      <c r="C2168" s="230" t="s">
        <v>772</v>
      </c>
      <c r="D2168" s="17" t="s">
        <v>52</v>
      </c>
      <c r="E2168" s="17" t="s">
        <v>187</v>
      </c>
      <c r="F2168" s="17" t="s">
        <v>54</v>
      </c>
      <c r="H2168" s="19">
        <v>1.2311</v>
      </c>
      <c r="I2168" s="19"/>
      <c r="J2168" s="17" t="s">
        <v>82</v>
      </c>
      <c r="K2168" s="181">
        <v>205</v>
      </c>
      <c r="L2168" s="181">
        <v>155</v>
      </c>
      <c r="M2168" s="19">
        <v>2300</v>
      </c>
      <c r="N2168" s="19" t="s">
        <v>66</v>
      </c>
      <c r="O2168" s="19" t="s">
        <v>141</v>
      </c>
      <c r="P2168" s="160">
        <v>1500</v>
      </c>
      <c r="Q2168" s="19">
        <f>588+588+584</f>
        <v>1760</v>
      </c>
      <c r="R2168" s="17">
        <f t="shared" si="118"/>
        <v>-260</v>
      </c>
      <c r="S2168" s="19">
        <f t="shared" ref="S2168:S2174" si="119">810+40</f>
        <v>850</v>
      </c>
      <c r="T2168" s="19" t="s">
        <v>42</v>
      </c>
      <c r="U2168" s="102" t="s">
        <v>779</v>
      </c>
      <c r="V2168" s="64" t="s">
        <v>681</v>
      </c>
      <c r="W2168" s="17" t="s">
        <v>69</v>
      </c>
      <c r="Y2168" s="68">
        <v>44927</v>
      </c>
      <c r="Z2168" s="17" t="s">
        <v>191</v>
      </c>
      <c r="AA2168" s="17" t="s">
        <v>46</v>
      </c>
      <c r="AB2168" s="17" t="s">
        <v>786</v>
      </c>
      <c r="AC2168" s="17" t="s">
        <v>787</v>
      </c>
      <c r="AD2168" s="65">
        <v>1384</v>
      </c>
      <c r="AE2168" s="17" t="s">
        <v>74</v>
      </c>
      <c r="AF2168" s="17" t="s">
        <v>781</v>
      </c>
    </row>
    <row r="2169" s="17" customFormat="1" hidden="1" spans="1:32">
      <c r="B2169" s="19">
        <v>851</v>
      </c>
      <c r="C2169" s="230" t="s">
        <v>772</v>
      </c>
      <c r="D2169" s="17" t="s">
        <v>52</v>
      </c>
      <c r="E2169" s="17" t="s">
        <v>187</v>
      </c>
      <c r="F2169" s="17" t="s">
        <v>54</v>
      </c>
      <c r="H2169" s="19">
        <v>1.2311</v>
      </c>
      <c r="I2169" s="19"/>
      <c r="J2169" s="17" t="s">
        <v>82</v>
      </c>
      <c r="K2169" s="181">
        <v>255</v>
      </c>
      <c r="L2169" s="181">
        <v>155</v>
      </c>
      <c r="M2169" s="19">
        <v>2300</v>
      </c>
      <c r="N2169" s="19" t="s">
        <v>66</v>
      </c>
      <c r="O2169" s="19" t="s">
        <v>141</v>
      </c>
      <c r="P2169" s="160">
        <v>1500</v>
      </c>
      <c r="Q2169" s="19">
        <f>724+720</f>
        <v>1444</v>
      </c>
      <c r="R2169" s="17">
        <f t="shared" si="118"/>
        <v>56</v>
      </c>
      <c r="S2169" s="19">
        <f t="shared" si="119"/>
        <v>850</v>
      </c>
      <c r="T2169" s="19" t="s">
        <v>42</v>
      </c>
      <c r="U2169" s="102" t="s">
        <v>779</v>
      </c>
      <c r="V2169" s="64" t="s">
        <v>681</v>
      </c>
      <c r="W2169" s="17" t="s">
        <v>69</v>
      </c>
      <c r="Y2169" s="68">
        <v>44927</v>
      </c>
      <c r="Z2169" s="17" t="s">
        <v>191</v>
      </c>
      <c r="AA2169" s="17" t="s">
        <v>46</v>
      </c>
      <c r="AB2169" s="17" t="s">
        <v>786</v>
      </c>
      <c r="AC2169" s="17" t="s">
        <v>787</v>
      </c>
      <c r="AD2169" s="65">
        <v>1384</v>
      </c>
      <c r="AE2169" s="17" t="s">
        <v>74</v>
      </c>
      <c r="AF2169" s="17" t="s">
        <v>781</v>
      </c>
    </row>
    <row r="2170" s="17" customFormat="1" hidden="1" spans="1:32">
      <c r="A2170" s="17" t="s">
        <v>34</v>
      </c>
      <c r="B2170" s="19">
        <v>851</v>
      </c>
      <c r="C2170" s="230" t="s">
        <v>772</v>
      </c>
      <c r="D2170" s="17" t="s">
        <v>52</v>
      </c>
      <c r="E2170" s="17" t="s">
        <v>187</v>
      </c>
      <c r="F2170" s="17" t="s">
        <v>54</v>
      </c>
      <c r="H2170" s="19">
        <v>1.2311</v>
      </c>
      <c r="I2170" s="19"/>
      <c r="J2170" s="17" t="s">
        <v>82</v>
      </c>
      <c r="K2170" s="181">
        <v>305</v>
      </c>
      <c r="L2170" s="181">
        <v>155</v>
      </c>
      <c r="M2170" s="19">
        <v>2300</v>
      </c>
      <c r="N2170" s="19" t="s">
        <v>66</v>
      </c>
      <c r="O2170" s="19" t="s">
        <v>141</v>
      </c>
      <c r="P2170" s="160">
        <v>1500</v>
      </c>
      <c r="Q2170" s="19">
        <v>1727</v>
      </c>
      <c r="R2170" s="17">
        <f t="shared" si="118"/>
        <v>-227</v>
      </c>
      <c r="S2170" s="19">
        <f t="shared" si="119"/>
        <v>850</v>
      </c>
      <c r="T2170" s="19" t="s">
        <v>42</v>
      </c>
      <c r="U2170" s="102" t="s">
        <v>779</v>
      </c>
      <c r="V2170" s="64" t="s">
        <v>681</v>
      </c>
      <c r="W2170" s="17" t="s">
        <v>69</v>
      </c>
      <c r="Y2170" s="68">
        <v>44927</v>
      </c>
      <c r="Z2170" s="17" t="s">
        <v>191</v>
      </c>
      <c r="AA2170" s="17" t="s">
        <v>46</v>
      </c>
      <c r="AB2170" s="17" t="s">
        <v>784</v>
      </c>
      <c r="AC2170" s="67" t="s">
        <v>785</v>
      </c>
      <c r="AD2170" s="65">
        <v>1367</v>
      </c>
      <c r="AE2170" s="17" t="s">
        <v>74</v>
      </c>
      <c r="AF2170" s="17" t="s">
        <v>781</v>
      </c>
    </row>
    <row r="2171" s="17" customFormat="1" hidden="1" spans="1:32">
      <c r="A2171" s="17" t="s">
        <v>34</v>
      </c>
      <c r="B2171" s="19">
        <v>851</v>
      </c>
      <c r="C2171" s="230" t="s">
        <v>772</v>
      </c>
      <c r="D2171" s="17" t="s">
        <v>52</v>
      </c>
      <c r="E2171" s="17" t="s">
        <v>187</v>
      </c>
      <c r="F2171" s="17" t="s">
        <v>54</v>
      </c>
      <c r="H2171" s="19">
        <v>1.2311</v>
      </c>
      <c r="I2171" s="19"/>
      <c r="J2171" s="17" t="s">
        <v>82</v>
      </c>
      <c r="K2171" s="181">
        <v>355</v>
      </c>
      <c r="L2171" s="181">
        <v>155</v>
      </c>
      <c r="M2171" s="19">
        <v>2300</v>
      </c>
      <c r="N2171" s="19" t="s">
        <v>66</v>
      </c>
      <c r="O2171" s="19" t="s">
        <v>141</v>
      </c>
      <c r="P2171" s="160">
        <v>1500</v>
      </c>
      <c r="Q2171" s="19">
        <v>2020</v>
      </c>
      <c r="R2171" s="17">
        <f t="shared" si="118"/>
        <v>-520</v>
      </c>
      <c r="S2171" s="19">
        <f t="shared" si="119"/>
        <v>850</v>
      </c>
      <c r="T2171" s="19" t="s">
        <v>42</v>
      </c>
      <c r="U2171" s="102" t="s">
        <v>779</v>
      </c>
      <c r="V2171" s="64" t="s">
        <v>681</v>
      </c>
      <c r="W2171" s="17" t="s">
        <v>69</v>
      </c>
      <c r="Y2171" s="68">
        <v>44927</v>
      </c>
      <c r="Z2171" s="17" t="s">
        <v>191</v>
      </c>
      <c r="AA2171" s="17" t="s">
        <v>46</v>
      </c>
      <c r="AB2171" s="17" t="s">
        <v>784</v>
      </c>
      <c r="AC2171" s="67" t="s">
        <v>785</v>
      </c>
      <c r="AD2171" s="65">
        <v>1367</v>
      </c>
      <c r="AE2171" s="17" t="s">
        <v>74</v>
      </c>
      <c r="AF2171" s="17" t="s">
        <v>781</v>
      </c>
    </row>
    <row r="2172" s="17" customFormat="1" hidden="1" spans="1:32">
      <c r="A2172" s="17" t="s">
        <v>34</v>
      </c>
      <c r="B2172" s="19">
        <v>851</v>
      </c>
      <c r="C2172" s="230" t="s">
        <v>772</v>
      </c>
      <c r="D2172" s="17" t="s">
        <v>52</v>
      </c>
      <c r="E2172" s="17" t="s">
        <v>187</v>
      </c>
      <c r="F2172" s="17" t="s">
        <v>54</v>
      </c>
      <c r="H2172" s="19">
        <v>1.2311</v>
      </c>
      <c r="I2172" s="19"/>
      <c r="J2172" s="17" t="s">
        <v>82</v>
      </c>
      <c r="K2172" s="181">
        <v>405</v>
      </c>
      <c r="L2172" s="181">
        <v>155</v>
      </c>
      <c r="M2172" s="19">
        <v>2300</v>
      </c>
      <c r="N2172" s="19" t="s">
        <v>66</v>
      </c>
      <c r="O2172" s="19" t="s">
        <v>141</v>
      </c>
      <c r="P2172" s="160">
        <v>1500</v>
      </c>
      <c r="Q2172" s="19">
        <v>1158</v>
      </c>
      <c r="R2172" s="18">
        <f t="shared" si="118"/>
        <v>342</v>
      </c>
      <c r="S2172" s="19">
        <f t="shared" si="119"/>
        <v>850</v>
      </c>
      <c r="T2172" s="19" t="s">
        <v>42</v>
      </c>
      <c r="U2172" s="102" t="s">
        <v>779</v>
      </c>
      <c r="V2172" s="64" t="s">
        <v>681</v>
      </c>
      <c r="W2172" s="17" t="s">
        <v>69</v>
      </c>
      <c r="Y2172" s="68">
        <v>44927</v>
      </c>
      <c r="Z2172" s="17" t="s">
        <v>191</v>
      </c>
      <c r="AA2172" s="17" t="s">
        <v>46</v>
      </c>
      <c r="AB2172" s="17" t="s">
        <v>784</v>
      </c>
      <c r="AC2172" s="67" t="s">
        <v>785</v>
      </c>
      <c r="AD2172" s="65">
        <v>1367</v>
      </c>
      <c r="AE2172" s="17" t="s">
        <v>74</v>
      </c>
      <c r="AF2172" s="17" t="s">
        <v>781</v>
      </c>
    </row>
    <row r="2173" s="17" customFormat="1" hidden="1" spans="1:32">
      <c r="A2173" s="17" t="s">
        <v>34</v>
      </c>
      <c r="B2173" s="19">
        <v>851</v>
      </c>
      <c r="C2173" s="230" t="s">
        <v>772</v>
      </c>
      <c r="D2173" s="17" t="s">
        <v>52</v>
      </c>
      <c r="E2173" s="17" t="s">
        <v>187</v>
      </c>
      <c r="F2173" s="17" t="s">
        <v>54</v>
      </c>
      <c r="H2173" s="19">
        <v>1.2311</v>
      </c>
      <c r="I2173" s="19"/>
      <c r="J2173" s="17" t="s">
        <v>82</v>
      </c>
      <c r="K2173" s="181">
        <v>455</v>
      </c>
      <c r="L2173" s="181">
        <v>155</v>
      </c>
      <c r="M2173" s="19">
        <v>2300</v>
      </c>
      <c r="N2173" s="19" t="s">
        <v>66</v>
      </c>
      <c r="O2173" s="19" t="s">
        <v>141</v>
      </c>
      <c r="P2173" s="160">
        <v>1500</v>
      </c>
      <c r="Q2173" s="19">
        <v>1292</v>
      </c>
      <c r="R2173" s="17">
        <f t="shared" si="118"/>
        <v>208</v>
      </c>
      <c r="S2173" s="19">
        <f t="shared" si="119"/>
        <v>850</v>
      </c>
      <c r="T2173" s="19" t="s">
        <v>42</v>
      </c>
      <c r="U2173" s="102" t="s">
        <v>779</v>
      </c>
      <c r="V2173" s="64" t="s">
        <v>681</v>
      </c>
      <c r="W2173" s="17" t="s">
        <v>69</v>
      </c>
      <c r="Y2173" s="68">
        <v>44927</v>
      </c>
      <c r="Z2173" s="17" t="s">
        <v>191</v>
      </c>
      <c r="AA2173" s="17" t="s">
        <v>46</v>
      </c>
      <c r="AB2173" s="17" t="s">
        <v>784</v>
      </c>
      <c r="AC2173" s="67" t="s">
        <v>785</v>
      </c>
      <c r="AD2173" s="65">
        <v>1367</v>
      </c>
      <c r="AE2173" s="17" t="s">
        <v>74</v>
      </c>
      <c r="AF2173" s="17" t="s">
        <v>781</v>
      </c>
    </row>
    <row r="2174" s="17" customFormat="1" hidden="1" spans="1:32">
      <c r="A2174" s="17" t="s">
        <v>34</v>
      </c>
      <c r="B2174" s="19">
        <v>851</v>
      </c>
      <c r="C2174" s="230" t="s">
        <v>772</v>
      </c>
      <c r="D2174" s="17" t="s">
        <v>52</v>
      </c>
      <c r="E2174" s="17" t="s">
        <v>187</v>
      </c>
      <c r="F2174" s="17" t="s">
        <v>54</v>
      </c>
      <c r="H2174" s="19">
        <v>1.2311</v>
      </c>
      <c r="I2174" s="19"/>
      <c r="J2174" s="17" t="s">
        <v>82</v>
      </c>
      <c r="K2174" s="181">
        <v>505</v>
      </c>
      <c r="L2174" s="181">
        <v>155</v>
      </c>
      <c r="M2174" s="19">
        <v>2300</v>
      </c>
      <c r="N2174" s="19" t="s">
        <v>66</v>
      </c>
      <c r="O2174" s="19" t="s">
        <v>141</v>
      </c>
      <c r="P2174" s="160">
        <v>1500</v>
      </c>
      <c r="Q2174" s="19">
        <v>1415</v>
      </c>
      <c r="R2174" s="17">
        <f t="shared" si="118"/>
        <v>85</v>
      </c>
      <c r="S2174" s="19">
        <f t="shared" si="119"/>
        <v>850</v>
      </c>
      <c r="T2174" s="19" t="s">
        <v>42</v>
      </c>
      <c r="U2174" s="102" t="s">
        <v>779</v>
      </c>
      <c r="V2174" s="64" t="s">
        <v>681</v>
      </c>
      <c r="W2174" s="17" t="s">
        <v>69</v>
      </c>
      <c r="Y2174" s="68">
        <v>44927</v>
      </c>
      <c r="Z2174" s="17" t="s">
        <v>191</v>
      </c>
      <c r="AA2174" s="17" t="s">
        <v>46</v>
      </c>
      <c r="AB2174" s="17" t="s">
        <v>784</v>
      </c>
      <c r="AC2174" s="67" t="s">
        <v>785</v>
      </c>
      <c r="AD2174" s="65">
        <v>1367</v>
      </c>
      <c r="AE2174" s="17" t="s">
        <v>74</v>
      </c>
      <c r="AF2174" s="17" t="s">
        <v>781</v>
      </c>
    </row>
    <row r="2175" s="17" customFormat="1" hidden="1" spans="1:32">
      <c r="A2175" s="17" t="s">
        <v>34</v>
      </c>
      <c r="B2175" s="19">
        <v>851</v>
      </c>
      <c r="C2175" s="230" t="s">
        <v>772</v>
      </c>
      <c r="D2175" s="17" t="s">
        <v>52</v>
      </c>
      <c r="E2175" s="17" t="s">
        <v>187</v>
      </c>
      <c r="F2175" s="17" t="s">
        <v>54</v>
      </c>
      <c r="H2175" s="19">
        <v>1.2311</v>
      </c>
      <c r="I2175" s="19"/>
      <c r="J2175" s="17" t="s">
        <v>82</v>
      </c>
      <c r="K2175" s="181">
        <v>205</v>
      </c>
      <c r="L2175" s="181">
        <v>32</v>
      </c>
      <c r="M2175" s="19">
        <v>2300</v>
      </c>
      <c r="N2175" s="19" t="s">
        <v>66</v>
      </c>
      <c r="O2175" s="19" t="s">
        <v>141</v>
      </c>
      <c r="P2175" s="160">
        <v>1500</v>
      </c>
      <c r="Q2175" s="19">
        <v>373</v>
      </c>
      <c r="S2175" s="19">
        <v>810</v>
      </c>
      <c r="T2175" s="19" t="s">
        <v>42</v>
      </c>
      <c r="U2175" s="102" t="s">
        <v>779</v>
      </c>
      <c r="V2175" s="64" t="s">
        <v>681</v>
      </c>
      <c r="W2175" s="17" t="s">
        <v>69</v>
      </c>
      <c r="Y2175" s="68">
        <v>44927</v>
      </c>
      <c r="Z2175" s="17" t="s">
        <v>191</v>
      </c>
      <c r="AA2175" s="17" t="s">
        <v>46</v>
      </c>
      <c r="AB2175" s="17" t="s">
        <v>780</v>
      </c>
      <c r="AC2175" s="67">
        <v>44632</v>
      </c>
      <c r="AD2175" s="65">
        <v>1365</v>
      </c>
      <c r="AE2175" s="17" t="s">
        <v>74</v>
      </c>
      <c r="AF2175" s="17" t="s">
        <v>781</v>
      </c>
    </row>
    <row r="2176" s="17" customFormat="1" hidden="1" spans="1:32">
      <c r="A2176" s="17" t="s">
        <v>34</v>
      </c>
      <c r="B2176" s="19">
        <v>851</v>
      </c>
      <c r="C2176" s="230" t="s">
        <v>772</v>
      </c>
      <c r="D2176" s="17" t="s">
        <v>52</v>
      </c>
      <c r="E2176" s="17" t="s">
        <v>187</v>
      </c>
      <c r="F2176" s="17" t="s">
        <v>54</v>
      </c>
      <c r="H2176" s="19">
        <v>1.2311</v>
      </c>
      <c r="I2176" s="19"/>
      <c r="J2176" s="17" t="s">
        <v>82</v>
      </c>
      <c r="K2176" s="181">
        <v>205</v>
      </c>
      <c r="L2176" s="181">
        <v>32</v>
      </c>
      <c r="M2176" s="19">
        <v>2300</v>
      </c>
      <c r="N2176" s="19" t="s">
        <v>66</v>
      </c>
      <c r="O2176" s="19" t="s">
        <v>141</v>
      </c>
      <c r="P2176" s="160"/>
      <c r="Q2176" s="19">
        <f>369+701</f>
        <v>1070</v>
      </c>
      <c r="R2176" s="95">
        <f>+P2175-Q2175-Q2176</f>
        <v>57</v>
      </c>
      <c r="S2176" s="19">
        <v>810</v>
      </c>
      <c r="T2176" s="19" t="s">
        <v>42</v>
      </c>
      <c r="U2176" s="102" t="s">
        <v>779</v>
      </c>
      <c r="V2176" s="64" t="s">
        <v>681</v>
      </c>
      <c r="W2176" s="17" t="s">
        <v>69</v>
      </c>
      <c r="Y2176" s="68">
        <v>44927</v>
      </c>
      <c r="Z2176" s="17" t="s">
        <v>191</v>
      </c>
      <c r="AA2176" s="17" t="s">
        <v>46</v>
      </c>
      <c r="AB2176" s="17" t="s">
        <v>784</v>
      </c>
      <c r="AC2176" s="67" t="s">
        <v>785</v>
      </c>
      <c r="AD2176" s="65">
        <v>1367</v>
      </c>
      <c r="AE2176" s="17" t="s">
        <v>74</v>
      </c>
    </row>
    <row r="2177" s="17" customFormat="1" hidden="1" spans="1:32">
      <c r="A2177" s="17" t="s">
        <v>34</v>
      </c>
      <c r="B2177" s="19">
        <v>851</v>
      </c>
      <c r="C2177" s="230" t="s">
        <v>772</v>
      </c>
      <c r="D2177" s="17" t="s">
        <v>52</v>
      </c>
      <c r="E2177" s="17" t="s">
        <v>187</v>
      </c>
      <c r="F2177" s="17" t="s">
        <v>54</v>
      </c>
      <c r="H2177" s="19">
        <v>1.2311</v>
      </c>
      <c r="I2177" s="19"/>
      <c r="J2177" s="17" t="s">
        <v>82</v>
      </c>
      <c r="K2177" s="181">
        <v>255</v>
      </c>
      <c r="L2177" s="181">
        <v>32</v>
      </c>
      <c r="M2177" s="19">
        <v>2300</v>
      </c>
      <c r="N2177" s="19" t="s">
        <v>66</v>
      </c>
      <c r="O2177" s="19" t="s">
        <v>141</v>
      </c>
      <c r="P2177" s="160">
        <v>1000</v>
      </c>
      <c r="Q2177" s="19">
        <v>292</v>
      </c>
      <c r="S2177" s="19">
        <v>810</v>
      </c>
      <c r="T2177" s="19" t="s">
        <v>42</v>
      </c>
      <c r="U2177" s="102" t="s">
        <v>779</v>
      </c>
      <c r="V2177" s="64" t="s">
        <v>681</v>
      </c>
      <c r="W2177" s="17" t="s">
        <v>69</v>
      </c>
      <c r="Y2177" s="68">
        <v>44927</v>
      </c>
      <c r="Z2177" s="17" t="s">
        <v>191</v>
      </c>
      <c r="AA2177" s="17" t="s">
        <v>46</v>
      </c>
      <c r="AB2177" s="17" t="s">
        <v>780</v>
      </c>
      <c r="AC2177" s="67">
        <v>44632</v>
      </c>
      <c r="AD2177" s="65">
        <v>1365</v>
      </c>
      <c r="AE2177" s="17" t="s">
        <v>74</v>
      </c>
      <c r="AF2177" s="17" t="s">
        <v>781</v>
      </c>
    </row>
    <row r="2178" s="17" customFormat="1" hidden="1" spans="1:32">
      <c r="A2178" s="17" t="s">
        <v>34</v>
      </c>
      <c r="B2178" s="19">
        <v>851</v>
      </c>
      <c r="C2178" s="230" t="s">
        <v>772</v>
      </c>
      <c r="D2178" s="17" t="s">
        <v>52</v>
      </c>
      <c r="E2178" s="17" t="s">
        <v>187</v>
      </c>
      <c r="F2178" s="17" t="s">
        <v>54</v>
      </c>
      <c r="H2178" s="19">
        <v>1.2311</v>
      </c>
      <c r="I2178" s="19"/>
      <c r="J2178" s="17" t="s">
        <v>82</v>
      </c>
      <c r="K2178" s="181">
        <v>255</v>
      </c>
      <c r="L2178" s="181">
        <v>32</v>
      </c>
      <c r="M2178" s="19">
        <v>2300</v>
      </c>
      <c r="N2178" s="19" t="s">
        <v>66</v>
      </c>
      <c r="O2178" s="19" t="s">
        <v>141</v>
      </c>
      <c r="P2178" s="160"/>
      <c r="Q2178" s="19">
        <f>463+148</f>
        <v>611</v>
      </c>
      <c r="S2178" s="19">
        <v>810</v>
      </c>
      <c r="T2178" s="19" t="s">
        <v>42</v>
      </c>
      <c r="U2178" s="102" t="s">
        <v>779</v>
      </c>
      <c r="V2178" s="64" t="s">
        <v>681</v>
      </c>
      <c r="W2178" s="17" t="s">
        <v>69</v>
      </c>
      <c r="Y2178" s="68">
        <v>44927</v>
      </c>
      <c r="Z2178" s="17" t="s">
        <v>191</v>
      </c>
      <c r="AA2178" s="17" t="s">
        <v>46</v>
      </c>
      <c r="AB2178" s="17" t="s">
        <v>784</v>
      </c>
      <c r="AC2178" s="67" t="s">
        <v>785</v>
      </c>
      <c r="AD2178" s="65">
        <v>1367</v>
      </c>
      <c r="AE2178" s="17" t="s">
        <v>74</v>
      </c>
    </row>
    <row r="2179" s="17" customFormat="1" hidden="1" spans="1:32">
      <c r="B2179" s="19">
        <v>851</v>
      </c>
      <c r="C2179" s="230" t="s">
        <v>772</v>
      </c>
      <c r="D2179" s="17" t="s">
        <v>52</v>
      </c>
      <c r="E2179" s="17" t="s">
        <v>187</v>
      </c>
      <c r="F2179" s="17" t="s">
        <v>54</v>
      </c>
      <c r="H2179" s="19">
        <v>1.2311</v>
      </c>
      <c r="I2179" s="19"/>
      <c r="J2179" s="17" t="s">
        <v>82</v>
      </c>
      <c r="K2179" s="181">
        <v>255</v>
      </c>
      <c r="L2179" s="181">
        <v>32</v>
      </c>
      <c r="M2179" s="19">
        <v>2250</v>
      </c>
      <c r="N2179" s="19" t="s">
        <v>66</v>
      </c>
      <c r="O2179" s="19" t="s">
        <v>141</v>
      </c>
      <c r="P2179" s="160"/>
      <c r="Q2179" s="19">
        <v>142</v>
      </c>
      <c r="R2179" s="95">
        <f>+P2177-Q2177-Q2178-Q2179</f>
        <v>-45</v>
      </c>
      <c r="S2179" s="19">
        <v>810</v>
      </c>
      <c r="T2179" s="19" t="s">
        <v>42</v>
      </c>
      <c r="U2179" s="102" t="s">
        <v>779</v>
      </c>
      <c r="V2179" s="64" t="s">
        <v>681</v>
      </c>
      <c r="W2179" s="17" t="s">
        <v>69</v>
      </c>
      <c r="Y2179" s="68">
        <v>44927</v>
      </c>
      <c r="Z2179" s="17" t="s">
        <v>191</v>
      </c>
      <c r="AA2179" s="17" t="s">
        <v>46</v>
      </c>
      <c r="AB2179" s="17" t="s">
        <v>782</v>
      </c>
      <c r="AC2179" s="102" t="s">
        <v>783</v>
      </c>
      <c r="AD2179" s="65">
        <v>1405</v>
      </c>
      <c r="AE2179" s="17" t="s">
        <v>74</v>
      </c>
    </row>
    <row r="2180" s="17" customFormat="1" hidden="1" spans="1:32">
      <c r="A2180" s="17" t="s">
        <v>34</v>
      </c>
      <c r="B2180" s="19">
        <v>851</v>
      </c>
      <c r="C2180" s="230" t="s">
        <v>772</v>
      </c>
      <c r="D2180" s="17" t="s">
        <v>52</v>
      </c>
      <c r="E2180" s="17" t="s">
        <v>187</v>
      </c>
      <c r="F2180" s="17" t="s">
        <v>54</v>
      </c>
      <c r="H2180" s="19">
        <v>1.2311</v>
      </c>
      <c r="I2180" s="19"/>
      <c r="J2180" s="17" t="s">
        <v>82</v>
      </c>
      <c r="K2180" s="181">
        <v>305</v>
      </c>
      <c r="L2180" s="181">
        <v>32</v>
      </c>
      <c r="M2180" s="19">
        <v>2300</v>
      </c>
      <c r="N2180" s="19" t="s">
        <v>66</v>
      </c>
      <c r="O2180" s="19" t="s">
        <v>141</v>
      </c>
      <c r="P2180" s="160">
        <v>1000</v>
      </c>
      <c r="Q2180" s="19">
        <v>541</v>
      </c>
      <c r="S2180" s="19">
        <v>810</v>
      </c>
      <c r="T2180" s="19" t="s">
        <v>42</v>
      </c>
      <c r="U2180" s="102" t="s">
        <v>779</v>
      </c>
      <c r="V2180" s="64" t="s">
        <v>681</v>
      </c>
      <c r="W2180" s="17" t="s">
        <v>69</v>
      </c>
      <c r="Y2180" s="68">
        <v>44927</v>
      </c>
      <c r="Z2180" s="17" t="s">
        <v>191</v>
      </c>
      <c r="AA2180" s="17" t="s">
        <v>46</v>
      </c>
      <c r="AB2180" s="17" t="s">
        <v>780</v>
      </c>
      <c r="AC2180" s="67">
        <v>44632</v>
      </c>
      <c r="AD2180" s="65">
        <v>1365</v>
      </c>
      <c r="AE2180" s="17" t="s">
        <v>74</v>
      </c>
      <c r="AF2180" s="17" t="s">
        <v>781</v>
      </c>
    </row>
    <row r="2181" s="17" customFormat="1" hidden="1" spans="1:32">
      <c r="A2181" s="17" t="s">
        <v>34</v>
      </c>
      <c r="B2181" s="19">
        <v>851</v>
      </c>
      <c r="C2181" s="230" t="s">
        <v>772</v>
      </c>
      <c r="D2181" s="17" t="s">
        <v>52</v>
      </c>
      <c r="E2181" s="17" t="s">
        <v>187</v>
      </c>
      <c r="F2181" s="17" t="s">
        <v>54</v>
      </c>
      <c r="H2181" s="19">
        <v>1.2311</v>
      </c>
      <c r="I2181" s="19"/>
      <c r="J2181" s="17" t="s">
        <v>82</v>
      </c>
      <c r="K2181" s="181">
        <v>305</v>
      </c>
      <c r="L2181" s="181">
        <v>32</v>
      </c>
      <c r="M2181" s="19">
        <v>2300</v>
      </c>
      <c r="N2181" s="19" t="s">
        <v>66</v>
      </c>
      <c r="O2181" s="19" t="s">
        <v>141</v>
      </c>
      <c r="P2181" s="160"/>
      <c r="Q2181" s="19">
        <v>526</v>
      </c>
      <c r="R2181" s="95">
        <f>+P2180-Q2180-Q2181</f>
        <v>-67</v>
      </c>
      <c r="S2181" s="19">
        <v>810</v>
      </c>
      <c r="T2181" s="19" t="s">
        <v>42</v>
      </c>
      <c r="U2181" s="102" t="s">
        <v>779</v>
      </c>
      <c r="V2181" s="64" t="s">
        <v>681</v>
      </c>
      <c r="W2181" s="17" t="s">
        <v>69</v>
      </c>
      <c r="Y2181" s="68">
        <v>44927</v>
      </c>
      <c r="Z2181" s="17" t="s">
        <v>191</v>
      </c>
      <c r="AA2181" s="17" t="s">
        <v>46</v>
      </c>
      <c r="AB2181" s="17" t="s">
        <v>784</v>
      </c>
      <c r="AC2181" s="67" t="s">
        <v>785</v>
      </c>
      <c r="AD2181" s="65">
        <v>1367</v>
      </c>
      <c r="AE2181" s="17" t="s">
        <v>74</v>
      </c>
    </row>
    <row r="2182" s="17" customFormat="1" hidden="1" spans="1:32">
      <c r="A2182" s="17" t="s">
        <v>34</v>
      </c>
      <c r="B2182" s="19">
        <v>851</v>
      </c>
      <c r="C2182" s="230" t="s">
        <v>772</v>
      </c>
      <c r="D2182" s="17" t="s">
        <v>52</v>
      </c>
      <c r="E2182" s="17" t="s">
        <v>187</v>
      </c>
      <c r="F2182" s="17" t="s">
        <v>54</v>
      </c>
      <c r="H2182" s="19">
        <v>1.2311</v>
      </c>
      <c r="I2182" s="19"/>
      <c r="J2182" s="17" t="s">
        <v>82</v>
      </c>
      <c r="K2182" s="181">
        <v>355</v>
      </c>
      <c r="L2182" s="181">
        <v>32</v>
      </c>
      <c r="M2182" s="19">
        <v>2300</v>
      </c>
      <c r="N2182" s="19" t="s">
        <v>66</v>
      </c>
      <c r="O2182" s="19" t="s">
        <v>141</v>
      </c>
      <c r="P2182" s="160">
        <v>1000</v>
      </c>
      <c r="Q2182" s="19">
        <v>1044</v>
      </c>
      <c r="R2182" s="17">
        <f>+P2182-Q2182</f>
        <v>-44</v>
      </c>
      <c r="S2182" s="19">
        <v>810</v>
      </c>
      <c r="T2182" s="19" t="s">
        <v>42</v>
      </c>
      <c r="U2182" s="102" t="s">
        <v>779</v>
      </c>
      <c r="V2182" s="64" t="s">
        <v>681</v>
      </c>
      <c r="W2182" s="17" t="s">
        <v>69</v>
      </c>
      <c r="Y2182" s="68">
        <v>44927</v>
      </c>
      <c r="Z2182" s="17" t="s">
        <v>191</v>
      </c>
      <c r="AA2182" s="17" t="s">
        <v>46</v>
      </c>
      <c r="AB2182" s="17" t="s">
        <v>784</v>
      </c>
      <c r="AC2182" s="67" t="s">
        <v>785</v>
      </c>
      <c r="AD2182" s="65">
        <v>1367</v>
      </c>
      <c r="AE2182" s="17" t="s">
        <v>74</v>
      </c>
      <c r="AF2182" s="17" t="s">
        <v>781</v>
      </c>
    </row>
    <row r="2183" s="17" customFormat="1" hidden="1" spans="1:32">
      <c r="A2183" s="17" t="s">
        <v>34</v>
      </c>
      <c r="B2183" s="19">
        <v>851</v>
      </c>
      <c r="C2183" s="230" t="s">
        <v>772</v>
      </c>
      <c r="D2183" s="17" t="s">
        <v>52</v>
      </c>
      <c r="E2183" s="17" t="s">
        <v>187</v>
      </c>
      <c r="F2183" s="17" t="s">
        <v>54</v>
      </c>
      <c r="H2183" s="19">
        <v>1.2311</v>
      </c>
      <c r="I2183" s="19"/>
      <c r="J2183" s="17" t="s">
        <v>82</v>
      </c>
      <c r="K2183" s="181">
        <v>405</v>
      </c>
      <c r="L2183" s="181">
        <v>32</v>
      </c>
      <c r="M2183" s="19">
        <v>2300</v>
      </c>
      <c r="N2183" s="19" t="s">
        <v>66</v>
      </c>
      <c r="O2183" s="19" t="s">
        <v>141</v>
      </c>
      <c r="P2183" s="160">
        <v>1000</v>
      </c>
      <c r="Q2183" s="19">
        <v>703</v>
      </c>
      <c r="S2183" s="19">
        <v>810</v>
      </c>
      <c r="T2183" s="19" t="s">
        <v>42</v>
      </c>
      <c r="U2183" s="102" t="s">
        <v>779</v>
      </c>
      <c r="V2183" s="64" t="s">
        <v>681</v>
      </c>
      <c r="W2183" s="17" t="s">
        <v>69</v>
      </c>
      <c r="Y2183" s="68">
        <v>44927</v>
      </c>
      <c r="Z2183" s="17" t="s">
        <v>191</v>
      </c>
      <c r="AA2183" s="17" t="s">
        <v>46</v>
      </c>
      <c r="AB2183" s="17" t="s">
        <v>784</v>
      </c>
      <c r="AC2183" s="67" t="s">
        <v>785</v>
      </c>
      <c r="AD2183" s="65">
        <v>1367</v>
      </c>
      <c r="AE2183" s="17" t="s">
        <v>74</v>
      </c>
      <c r="AF2183" s="17" t="s">
        <v>781</v>
      </c>
    </row>
    <row r="2184" s="17" customFormat="1" hidden="1" spans="1:32">
      <c r="B2184" s="19">
        <v>851</v>
      </c>
      <c r="C2184" s="230" t="s">
        <v>772</v>
      </c>
      <c r="D2184" s="17" t="s">
        <v>52</v>
      </c>
      <c r="E2184" s="17" t="s">
        <v>187</v>
      </c>
      <c r="F2184" s="17" t="s">
        <v>54</v>
      </c>
      <c r="H2184" s="19">
        <v>1.2311</v>
      </c>
      <c r="I2184" s="19"/>
      <c r="J2184" s="17" t="s">
        <v>82</v>
      </c>
      <c r="K2184" s="181">
        <v>405</v>
      </c>
      <c r="L2184" s="181">
        <v>32</v>
      </c>
      <c r="M2184" s="19">
        <v>2250</v>
      </c>
      <c r="N2184" s="19" t="s">
        <v>66</v>
      </c>
      <c r="O2184" s="19" t="s">
        <v>141</v>
      </c>
      <c r="P2184" s="160"/>
      <c r="Q2184" s="19">
        <v>225</v>
      </c>
      <c r="R2184" s="95">
        <f>+P2183-Q2183-Q2184</f>
        <v>72</v>
      </c>
      <c r="S2184" s="19">
        <v>810</v>
      </c>
      <c r="T2184" s="19" t="s">
        <v>42</v>
      </c>
      <c r="U2184" s="102" t="s">
        <v>779</v>
      </c>
      <c r="V2184" s="64" t="s">
        <v>681</v>
      </c>
      <c r="W2184" s="17" t="s">
        <v>69</v>
      </c>
      <c r="Y2184" s="68">
        <v>44927</v>
      </c>
      <c r="Z2184" s="17" t="s">
        <v>191</v>
      </c>
      <c r="AA2184" s="17" t="s">
        <v>46</v>
      </c>
      <c r="AB2184" s="17" t="s">
        <v>782</v>
      </c>
      <c r="AC2184" s="102" t="s">
        <v>783</v>
      </c>
      <c r="AD2184" s="65">
        <v>1405</v>
      </c>
      <c r="AE2184" s="17" t="s">
        <v>74</v>
      </c>
    </row>
    <row r="2185" s="17" customFormat="1" hidden="1" spans="1:32">
      <c r="A2185" s="17" t="s">
        <v>34</v>
      </c>
      <c r="B2185" s="19">
        <v>851</v>
      </c>
      <c r="C2185" s="230" t="s">
        <v>772</v>
      </c>
      <c r="D2185" s="17" t="s">
        <v>52</v>
      </c>
      <c r="E2185" s="17" t="s">
        <v>187</v>
      </c>
      <c r="F2185" s="17" t="s">
        <v>54</v>
      </c>
      <c r="H2185" s="19">
        <v>1.2311</v>
      </c>
      <c r="I2185" s="19"/>
      <c r="J2185" s="17" t="s">
        <v>82</v>
      </c>
      <c r="K2185" s="181">
        <v>205</v>
      </c>
      <c r="L2185" s="181">
        <v>35</v>
      </c>
      <c r="M2185" s="19">
        <v>2300</v>
      </c>
      <c r="N2185" s="19" t="s">
        <v>66</v>
      </c>
      <c r="O2185" s="19" t="s">
        <v>141</v>
      </c>
      <c r="P2185" s="160">
        <v>1000</v>
      </c>
      <c r="Q2185" s="19">
        <f>425+418</f>
        <v>843</v>
      </c>
      <c r="R2185" s="17">
        <f>+P2185-Q2185</f>
        <v>157</v>
      </c>
      <c r="S2185" s="19">
        <v>810</v>
      </c>
      <c r="T2185" s="19" t="s">
        <v>42</v>
      </c>
      <c r="U2185" s="102" t="s">
        <v>779</v>
      </c>
      <c r="V2185" s="64" t="s">
        <v>681</v>
      </c>
      <c r="W2185" s="17" t="s">
        <v>69</v>
      </c>
      <c r="Y2185" s="68">
        <v>44927</v>
      </c>
      <c r="Z2185" s="17" t="s">
        <v>191</v>
      </c>
      <c r="AA2185" s="17" t="s">
        <v>46</v>
      </c>
      <c r="AB2185" s="17" t="s">
        <v>784</v>
      </c>
      <c r="AC2185" s="67" t="s">
        <v>785</v>
      </c>
      <c r="AD2185" s="65">
        <v>1367</v>
      </c>
      <c r="AE2185" s="17" t="s">
        <v>74</v>
      </c>
      <c r="AF2185" s="17" t="s">
        <v>781</v>
      </c>
    </row>
    <row r="2186" s="17" customFormat="1" hidden="1" spans="1:32">
      <c r="A2186" s="17" t="s">
        <v>34</v>
      </c>
      <c r="B2186" s="19">
        <v>851</v>
      </c>
      <c r="C2186" s="230" t="s">
        <v>772</v>
      </c>
      <c r="D2186" s="17" t="s">
        <v>52</v>
      </c>
      <c r="E2186" s="17" t="s">
        <v>187</v>
      </c>
      <c r="F2186" s="17" t="s">
        <v>54</v>
      </c>
      <c r="H2186" s="19">
        <v>1.2311</v>
      </c>
      <c r="I2186" s="19"/>
      <c r="J2186" s="17" t="s">
        <v>82</v>
      </c>
      <c r="K2186" s="181">
        <v>255</v>
      </c>
      <c r="L2186" s="181">
        <v>35</v>
      </c>
      <c r="M2186" s="19">
        <v>2300</v>
      </c>
      <c r="N2186" s="19" t="s">
        <v>66</v>
      </c>
      <c r="O2186" s="19" t="s">
        <v>141</v>
      </c>
      <c r="P2186" s="160">
        <v>1000</v>
      </c>
      <c r="Q2186" s="19">
        <v>865</v>
      </c>
      <c r="S2186" s="19">
        <v>810</v>
      </c>
      <c r="T2186" s="19" t="s">
        <v>42</v>
      </c>
      <c r="U2186" s="102" t="s">
        <v>779</v>
      </c>
      <c r="V2186" s="64" t="s">
        <v>681</v>
      </c>
      <c r="W2186" s="17" t="s">
        <v>69</v>
      </c>
      <c r="Y2186" s="68">
        <v>44927</v>
      </c>
      <c r="Z2186" s="17" t="s">
        <v>191</v>
      </c>
      <c r="AA2186" s="17" t="s">
        <v>46</v>
      </c>
      <c r="AB2186" s="17" t="s">
        <v>784</v>
      </c>
      <c r="AC2186" s="67" t="s">
        <v>785</v>
      </c>
      <c r="AD2186" s="65">
        <v>1367</v>
      </c>
      <c r="AE2186" s="17" t="s">
        <v>74</v>
      </c>
      <c r="AF2186" s="17" t="s">
        <v>781</v>
      </c>
    </row>
    <row r="2187" s="17" customFormat="1" hidden="1" spans="1:32">
      <c r="B2187" s="19">
        <v>851</v>
      </c>
      <c r="C2187" s="230" t="s">
        <v>772</v>
      </c>
      <c r="D2187" s="17" t="s">
        <v>52</v>
      </c>
      <c r="E2187" s="17" t="s">
        <v>187</v>
      </c>
      <c r="F2187" s="17" t="s">
        <v>54</v>
      </c>
      <c r="H2187" s="19">
        <v>1.2311</v>
      </c>
      <c r="I2187" s="19"/>
      <c r="J2187" s="17" t="s">
        <v>82</v>
      </c>
      <c r="K2187" s="181">
        <v>255</v>
      </c>
      <c r="L2187" s="181">
        <v>35</v>
      </c>
      <c r="M2187" s="19">
        <v>2250</v>
      </c>
      <c r="N2187" s="19" t="s">
        <v>66</v>
      </c>
      <c r="O2187" s="19" t="s">
        <v>141</v>
      </c>
      <c r="P2187" s="160"/>
      <c r="Q2187" s="19">
        <v>170</v>
      </c>
      <c r="R2187" s="95">
        <f>+P2186-Q2186-Q2187</f>
        <v>-35</v>
      </c>
      <c r="S2187" s="19">
        <v>810</v>
      </c>
      <c r="T2187" s="19" t="s">
        <v>42</v>
      </c>
      <c r="U2187" s="102" t="s">
        <v>779</v>
      </c>
      <c r="V2187" s="64" t="s">
        <v>681</v>
      </c>
      <c r="W2187" s="17" t="s">
        <v>69</v>
      </c>
      <c r="Y2187" s="68">
        <v>44927</v>
      </c>
      <c r="Z2187" s="17" t="s">
        <v>191</v>
      </c>
      <c r="AA2187" s="17" t="s">
        <v>46</v>
      </c>
      <c r="AB2187" s="17" t="s">
        <v>782</v>
      </c>
      <c r="AC2187" s="102" t="s">
        <v>783</v>
      </c>
      <c r="AD2187" s="65">
        <v>1405</v>
      </c>
      <c r="AE2187" s="17" t="s">
        <v>74</v>
      </c>
    </row>
    <row r="2188" s="17" customFormat="1" hidden="1" spans="1:32">
      <c r="A2188" s="17" t="s">
        <v>34</v>
      </c>
      <c r="B2188" s="19">
        <v>851</v>
      </c>
      <c r="C2188" s="230" t="s">
        <v>772</v>
      </c>
      <c r="D2188" s="17" t="s">
        <v>52</v>
      </c>
      <c r="E2188" s="17" t="s">
        <v>187</v>
      </c>
      <c r="F2188" s="17" t="s">
        <v>54</v>
      </c>
      <c r="H2188" s="19">
        <v>1.2311</v>
      </c>
      <c r="I2188" s="19"/>
      <c r="J2188" s="17" t="s">
        <v>82</v>
      </c>
      <c r="K2188" s="181">
        <v>305</v>
      </c>
      <c r="L2188" s="181">
        <v>35</v>
      </c>
      <c r="M2188" s="19">
        <v>2300</v>
      </c>
      <c r="N2188" s="19" t="s">
        <v>66</v>
      </c>
      <c r="O2188" s="19" t="s">
        <v>141</v>
      </c>
      <c r="P2188" s="160">
        <v>1000</v>
      </c>
      <c r="Q2188" s="19">
        <f>412+627</f>
        <v>1039</v>
      </c>
      <c r="R2188" s="17">
        <f>+P2188-Q2188</f>
        <v>-39</v>
      </c>
      <c r="S2188" s="19">
        <v>810</v>
      </c>
      <c r="T2188" s="19" t="s">
        <v>42</v>
      </c>
      <c r="U2188" s="102" t="s">
        <v>779</v>
      </c>
      <c r="V2188" s="64" t="s">
        <v>681</v>
      </c>
      <c r="W2188" s="17" t="s">
        <v>69</v>
      </c>
      <c r="Y2188" s="68">
        <v>44927</v>
      </c>
      <c r="Z2188" s="17" t="s">
        <v>191</v>
      </c>
      <c r="AA2188" s="17" t="s">
        <v>46</v>
      </c>
      <c r="AB2188" s="17" t="s">
        <v>784</v>
      </c>
      <c r="AC2188" s="67" t="s">
        <v>785</v>
      </c>
      <c r="AD2188" s="65">
        <v>1367</v>
      </c>
      <c r="AE2188" s="17" t="s">
        <v>74</v>
      </c>
      <c r="AF2188" s="17" t="s">
        <v>781</v>
      </c>
    </row>
    <row r="2189" s="17" customFormat="1" hidden="1" spans="1:32">
      <c r="A2189" s="17" t="s">
        <v>34</v>
      </c>
      <c r="B2189" s="19">
        <v>851</v>
      </c>
      <c r="C2189" s="230" t="s">
        <v>772</v>
      </c>
      <c r="D2189" s="17" t="s">
        <v>52</v>
      </c>
      <c r="E2189" s="17" t="s">
        <v>187</v>
      </c>
      <c r="F2189" s="17" t="s">
        <v>54</v>
      </c>
      <c r="H2189" s="19">
        <v>1.2311</v>
      </c>
      <c r="I2189" s="19"/>
      <c r="J2189" s="17" t="s">
        <v>82</v>
      </c>
      <c r="K2189" s="181">
        <v>355</v>
      </c>
      <c r="L2189" s="181">
        <v>35</v>
      </c>
      <c r="M2189" s="19">
        <v>2300</v>
      </c>
      <c r="N2189" s="19" t="s">
        <v>66</v>
      </c>
      <c r="O2189" s="19" t="s">
        <v>141</v>
      </c>
      <c r="P2189" s="160">
        <v>1000</v>
      </c>
      <c r="Q2189" s="19">
        <v>970</v>
      </c>
      <c r="R2189" s="17">
        <f>+P2189-Q2189</f>
        <v>30</v>
      </c>
      <c r="S2189" s="19">
        <v>810</v>
      </c>
      <c r="T2189" s="19" t="s">
        <v>42</v>
      </c>
      <c r="U2189" s="102" t="s">
        <v>779</v>
      </c>
      <c r="V2189" s="64" t="s">
        <v>681</v>
      </c>
      <c r="W2189" s="17" t="s">
        <v>69</v>
      </c>
      <c r="Y2189" s="68">
        <v>44927</v>
      </c>
      <c r="Z2189" s="17" t="s">
        <v>191</v>
      </c>
      <c r="AA2189" s="17" t="s">
        <v>46</v>
      </c>
      <c r="AB2189" s="17" t="s">
        <v>784</v>
      </c>
      <c r="AC2189" s="67" t="s">
        <v>785</v>
      </c>
      <c r="AD2189" s="65">
        <v>1367</v>
      </c>
      <c r="AE2189" s="17" t="s">
        <v>74</v>
      </c>
      <c r="AF2189" s="17" t="s">
        <v>781</v>
      </c>
    </row>
    <row r="2190" s="17" customFormat="1" hidden="1" spans="1:32">
      <c r="A2190" s="17" t="s">
        <v>34</v>
      </c>
      <c r="B2190" s="19">
        <v>851</v>
      </c>
      <c r="C2190" s="230" t="s">
        <v>772</v>
      </c>
      <c r="D2190" s="17" t="s">
        <v>52</v>
      </c>
      <c r="E2190" s="17" t="s">
        <v>187</v>
      </c>
      <c r="F2190" s="17" t="s">
        <v>54</v>
      </c>
      <c r="H2190" s="19">
        <v>1.2311</v>
      </c>
      <c r="I2190" s="19"/>
      <c r="J2190" s="17" t="s">
        <v>82</v>
      </c>
      <c r="K2190" s="181">
        <v>405</v>
      </c>
      <c r="L2190" s="181">
        <v>35</v>
      </c>
      <c r="M2190" s="19">
        <v>2300</v>
      </c>
      <c r="N2190" s="19" t="s">
        <v>66</v>
      </c>
      <c r="O2190" s="19" t="s">
        <v>141</v>
      </c>
      <c r="P2190" s="160">
        <v>1000</v>
      </c>
      <c r="Q2190" s="19">
        <f>272+823</f>
        <v>1095</v>
      </c>
      <c r="R2190" s="17">
        <f>+P2190-Q2190</f>
        <v>-95</v>
      </c>
      <c r="S2190" s="19">
        <v>810</v>
      </c>
      <c r="T2190" s="19" t="s">
        <v>42</v>
      </c>
      <c r="U2190" s="102" t="s">
        <v>779</v>
      </c>
      <c r="V2190" s="64" t="s">
        <v>681</v>
      </c>
      <c r="W2190" s="17" t="s">
        <v>69</v>
      </c>
      <c r="Y2190" s="68">
        <v>44927</v>
      </c>
      <c r="Z2190" s="17" t="s">
        <v>191</v>
      </c>
      <c r="AA2190" s="17" t="s">
        <v>46</v>
      </c>
      <c r="AB2190" s="17" t="s">
        <v>784</v>
      </c>
      <c r="AC2190" s="67" t="s">
        <v>785</v>
      </c>
      <c r="AD2190" s="65">
        <v>1367</v>
      </c>
      <c r="AE2190" s="17" t="s">
        <v>74</v>
      </c>
      <c r="AF2190" s="17" t="s">
        <v>781</v>
      </c>
    </row>
    <row r="2191" s="17" customFormat="1" hidden="1" spans="1:32">
      <c r="A2191" s="17" t="s">
        <v>34</v>
      </c>
      <c r="B2191" s="19">
        <v>851</v>
      </c>
      <c r="C2191" s="230" t="s">
        <v>772</v>
      </c>
      <c r="D2191" s="17" t="s">
        <v>52</v>
      </c>
      <c r="E2191" s="17" t="s">
        <v>187</v>
      </c>
      <c r="F2191" s="17" t="s">
        <v>54</v>
      </c>
      <c r="H2191" s="19">
        <v>1.2311</v>
      </c>
      <c r="I2191" s="19"/>
      <c r="J2191" s="17" t="s">
        <v>82</v>
      </c>
      <c r="K2191" s="181">
        <v>205</v>
      </c>
      <c r="L2191" s="181">
        <v>40</v>
      </c>
      <c r="M2191" s="19">
        <v>2300</v>
      </c>
      <c r="N2191" s="19" t="s">
        <v>66</v>
      </c>
      <c r="O2191" s="19" t="s">
        <v>141</v>
      </c>
      <c r="P2191" s="160">
        <v>2000</v>
      </c>
      <c r="Q2191" s="19">
        <f>908+308</f>
        <v>1216</v>
      </c>
      <c r="R2191" s="18">
        <f>+P2191-Q2191</f>
        <v>784</v>
      </c>
      <c r="S2191" s="19">
        <v>810</v>
      </c>
      <c r="T2191" s="19" t="s">
        <v>42</v>
      </c>
      <c r="U2191" s="102" t="s">
        <v>779</v>
      </c>
      <c r="V2191" s="64" t="s">
        <v>681</v>
      </c>
      <c r="W2191" s="17" t="s">
        <v>69</v>
      </c>
      <c r="Y2191" s="68">
        <v>44927</v>
      </c>
      <c r="Z2191" s="17" t="s">
        <v>191</v>
      </c>
      <c r="AA2191" s="17" t="s">
        <v>46</v>
      </c>
      <c r="AB2191" s="17" t="s">
        <v>784</v>
      </c>
      <c r="AC2191" s="67" t="s">
        <v>785</v>
      </c>
      <c r="AD2191" s="65">
        <v>1367</v>
      </c>
      <c r="AE2191" s="17" t="s">
        <v>74</v>
      </c>
      <c r="AF2191" s="17" t="s">
        <v>781</v>
      </c>
    </row>
    <row r="2192" s="17" customFormat="1" hidden="1" spans="1:32">
      <c r="A2192" s="17" t="s">
        <v>34</v>
      </c>
      <c r="B2192" s="19">
        <v>851</v>
      </c>
      <c r="C2192" s="230" t="s">
        <v>772</v>
      </c>
      <c r="D2192" s="17" t="s">
        <v>52</v>
      </c>
      <c r="E2192" s="17" t="s">
        <v>187</v>
      </c>
      <c r="F2192" s="17" t="s">
        <v>54</v>
      </c>
      <c r="H2192" s="19">
        <v>1.2311</v>
      </c>
      <c r="I2192" s="19"/>
      <c r="J2192" s="17" t="s">
        <v>82</v>
      </c>
      <c r="K2192" s="181">
        <v>255</v>
      </c>
      <c r="L2192" s="181">
        <v>40</v>
      </c>
      <c r="M2192" s="19">
        <v>2300</v>
      </c>
      <c r="N2192" s="19" t="s">
        <v>66</v>
      </c>
      <c r="O2192" s="19" t="s">
        <v>141</v>
      </c>
      <c r="P2192" s="160">
        <v>2000</v>
      </c>
      <c r="Q2192" s="19">
        <v>188</v>
      </c>
      <c r="S2192" s="19">
        <v>810</v>
      </c>
      <c r="T2192" s="19" t="s">
        <v>42</v>
      </c>
      <c r="U2192" s="102" t="s">
        <v>779</v>
      </c>
      <c r="V2192" s="64" t="s">
        <v>681</v>
      </c>
      <c r="W2192" s="17" t="s">
        <v>69</v>
      </c>
      <c r="Y2192" s="68">
        <v>44927</v>
      </c>
      <c r="Z2192" s="17" t="s">
        <v>191</v>
      </c>
      <c r="AA2192" s="17" t="s">
        <v>46</v>
      </c>
      <c r="AB2192" s="17" t="s">
        <v>780</v>
      </c>
      <c r="AC2192" s="67">
        <v>44632</v>
      </c>
      <c r="AD2192" s="65">
        <v>1365</v>
      </c>
      <c r="AE2192" s="17" t="s">
        <v>74</v>
      </c>
      <c r="AF2192" s="17" t="s">
        <v>781</v>
      </c>
    </row>
    <row r="2193" s="17" customFormat="1" hidden="1" spans="1:32">
      <c r="A2193" s="17" t="s">
        <v>34</v>
      </c>
      <c r="B2193" s="19">
        <v>851</v>
      </c>
      <c r="C2193" s="230" t="s">
        <v>772</v>
      </c>
      <c r="D2193" s="17" t="s">
        <v>52</v>
      </c>
      <c r="E2193" s="17" t="s">
        <v>187</v>
      </c>
      <c r="F2193" s="17" t="s">
        <v>54</v>
      </c>
      <c r="H2193" s="19">
        <v>1.2311</v>
      </c>
      <c r="I2193" s="19"/>
      <c r="J2193" s="17" t="s">
        <v>82</v>
      </c>
      <c r="K2193" s="181">
        <v>255</v>
      </c>
      <c r="L2193" s="181">
        <v>40</v>
      </c>
      <c r="M2193" s="19">
        <v>2300</v>
      </c>
      <c r="N2193" s="19" t="s">
        <v>66</v>
      </c>
      <c r="O2193" s="19" t="s">
        <v>141</v>
      </c>
      <c r="P2193" s="160"/>
      <c r="Q2193" s="19">
        <f>1707+193</f>
        <v>1900</v>
      </c>
      <c r="R2193" s="95">
        <f>+P2192-Q2192-Q2193</f>
        <v>-88</v>
      </c>
      <c r="S2193" s="19">
        <v>810</v>
      </c>
      <c r="T2193" s="19" t="s">
        <v>42</v>
      </c>
      <c r="U2193" s="102" t="s">
        <v>779</v>
      </c>
      <c r="V2193" s="64" t="s">
        <v>681</v>
      </c>
      <c r="W2193" s="17" t="s">
        <v>69</v>
      </c>
      <c r="Y2193" s="68">
        <v>44927</v>
      </c>
      <c r="Z2193" s="17" t="s">
        <v>191</v>
      </c>
      <c r="AA2193" s="17" t="s">
        <v>46</v>
      </c>
      <c r="AB2193" s="17" t="s">
        <v>784</v>
      </c>
      <c r="AC2193" s="67" t="s">
        <v>785</v>
      </c>
      <c r="AD2193" s="65">
        <v>1367</v>
      </c>
      <c r="AE2193" s="17" t="s">
        <v>74</v>
      </c>
    </row>
    <row r="2194" s="17" customFormat="1" hidden="1" spans="1:32">
      <c r="A2194" s="17" t="s">
        <v>34</v>
      </c>
      <c r="B2194" s="19">
        <v>851</v>
      </c>
      <c r="C2194" s="230" t="s">
        <v>772</v>
      </c>
      <c r="D2194" s="17" t="s">
        <v>52</v>
      </c>
      <c r="E2194" s="17" t="s">
        <v>187</v>
      </c>
      <c r="F2194" s="17" t="s">
        <v>54</v>
      </c>
      <c r="H2194" s="19">
        <v>1.2311</v>
      </c>
      <c r="I2194" s="19"/>
      <c r="J2194" s="17" t="s">
        <v>82</v>
      </c>
      <c r="K2194" s="181">
        <v>305</v>
      </c>
      <c r="L2194" s="181">
        <v>40</v>
      </c>
      <c r="M2194" s="19">
        <v>2300</v>
      </c>
      <c r="N2194" s="19" t="s">
        <v>66</v>
      </c>
      <c r="O2194" s="19" t="s">
        <v>141</v>
      </c>
      <c r="P2194" s="160">
        <v>2000</v>
      </c>
      <c r="Q2194" s="19">
        <v>237</v>
      </c>
      <c r="S2194" s="19">
        <v>810</v>
      </c>
      <c r="T2194" s="19" t="s">
        <v>42</v>
      </c>
      <c r="U2194" s="102" t="s">
        <v>779</v>
      </c>
      <c r="V2194" s="64" t="s">
        <v>681</v>
      </c>
      <c r="W2194" s="17" t="s">
        <v>69</v>
      </c>
      <c r="Y2194" s="68">
        <v>44927</v>
      </c>
      <c r="Z2194" s="17" t="s">
        <v>191</v>
      </c>
      <c r="AA2194" s="17" t="s">
        <v>46</v>
      </c>
      <c r="AB2194" s="17" t="s">
        <v>780</v>
      </c>
      <c r="AC2194" s="67">
        <v>44632</v>
      </c>
      <c r="AD2194" s="65">
        <v>1365</v>
      </c>
      <c r="AE2194" s="17" t="s">
        <v>74</v>
      </c>
      <c r="AF2194" s="17" t="s">
        <v>781</v>
      </c>
    </row>
    <row r="2195" s="17" customFormat="1" hidden="1" spans="1:32">
      <c r="A2195" s="17" t="s">
        <v>34</v>
      </c>
      <c r="B2195" s="19">
        <v>851</v>
      </c>
      <c r="C2195" s="230" t="s">
        <v>772</v>
      </c>
      <c r="D2195" s="17" t="s">
        <v>52</v>
      </c>
      <c r="E2195" s="17" t="s">
        <v>187</v>
      </c>
      <c r="F2195" s="17" t="s">
        <v>54</v>
      </c>
      <c r="H2195" s="19">
        <v>1.2311</v>
      </c>
      <c r="I2195" s="19"/>
      <c r="J2195" s="17" t="s">
        <v>82</v>
      </c>
      <c r="K2195" s="181">
        <v>305</v>
      </c>
      <c r="L2195" s="181">
        <v>40</v>
      </c>
      <c r="M2195" s="19">
        <v>2300</v>
      </c>
      <c r="N2195" s="19" t="s">
        <v>66</v>
      </c>
      <c r="O2195" s="19" t="s">
        <v>141</v>
      </c>
      <c r="P2195" s="160"/>
      <c r="Q2195" s="19">
        <v>1784</v>
      </c>
      <c r="R2195" s="95">
        <f>+P2194-Q2194-Q2195</f>
        <v>-21</v>
      </c>
      <c r="S2195" s="19">
        <v>810</v>
      </c>
      <c r="T2195" s="19" t="s">
        <v>42</v>
      </c>
      <c r="U2195" s="102" t="s">
        <v>779</v>
      </c>
      <c r="V2195" s="64" t="s">
        <v>681</v>
      </c>
      <c r="W2195" s="17" t="s">
        <v>69</v>
      </c>
      <c r="Y2195" s="68">
        <v>44927</v>
      </c>
      <c r="Z2195" s="17" t="s">
        <v>191</v>
      </c>
      <c r="AA2195" s="17" t="s">
        <v>46</v>
      </c>
      <c r="AB2195" s="17" t="s">
        <v>784</v>
      </c>
      <c r="AC2195" s="67" t="s">
        <v>785</v>
      </c>
      <c r="AD2195" s="65">
        <v>1367</v>
      </c>
      <c r="AE2195" s="17" t="s">
        <v>74</v>
      </c>
    </row>
    <row r="2196" s="17" customFormat="1" hidden="1" spans="1:32">
      <c r="A2196" s="17" t="s">
        <v>34</v>
      </c>
      <c r="B2196" s="19">
        <v>851</v>
      </c>
      <c r="C2196" s="230" t="s">
        <v>772</v>
      </c>
      <c r="D2196" s="17" t="s">
        <v>52</v>
      </c>
      <c r="E2196" s="17" t="s">
        <v>187</v>
      </c>
      <c r="F2196" s="17" t="s">
        <v>54</v>
      </c>
      <c r="H2196" s="19">
        <v>1.2311</v>
      </c>
      <c r="I2196" s="19"/>
      <c r="J2196" s="17" t="s">
        <v>82</v>
      </c>
      <c r="K2196" s="181">
        <v>355</v>
      </c>
      <c r="L2196" s="181">
        <v>40</v>
      </c>
      <c r="M2196" s="19">
        <v>2300</v>
      </c>
      <c r="N2196" s="19" t="s">
        <v>66</v>
      </c>
      <c r="O2196" s="19" t="s">
        <v>141</v>
      </c>
      <c r="P2196" s="160">
        <v>2000</v>
      </c>
      <c r="Q2196" s="19">
        <v>278</v>
      </c>
      <c r="S2196" s="19">
        <v>810</v>
      </c>
      <c r="T2196" s="19" t="s">
        <v>42</v>
      </c>
      <c r="U2196" s="102" t="s">
        <v>779</v>
      </c>
      <c r="V2196" s="64" t="s">
        <v>681</v>
      </c>
      <c r="W2196" s="17" t="s">
        <v>69</v>
      </c>
      <c r="Y2196" s="68">
        <v>44927</v>
      </c>
      <c r="Z2196" s="17" t="s">
        <v>191</v>
      </c>
      <c r="AA2196" s="17" t="s">
        <v>46</v>
      </c>
      <c r="AB2196" s="17" t="s">
        <v>780</v>
      </c>
      <c r="AC2196" s="67">
        <v>44632</v>
      </c>
      <c r="AD2196" s="65">
        <v>1365</v>
      </c>
      <c r="AE2196" s="17" t="s">
        <v>74</v>
      </c>
      <c r="AF2196" s="17" t="s">
        <v>781</v>
      </c>
    </row>
    <row r="2197" s="17" customFormat="1" hidden="1" spans="1:32">
      <c r="A2197" s="17" t="s">
        <v>34</v>
      </c>
      <c r="B2197" s="19">
        <v>851</v>
      </c>
      <c r="C2197" s="230" t="s">
        <v>772</v>
      </c>
      <c r="D2197" s="17" t="s">
        <v>52</v>
      </c>
      <c r="E2197" s="17" t="s">
        <v>187</v>
      </c>
      <c r="F2197" s="17" t="s">
        <v>54</v>
      </c>
      <c r="H2197" s="19">
        <v>1.2311</v>
      </c>
      <c r="I2197" s="19"/>
      <c r="J2197" s="17" t="s">
        <v>82</v>
      </c>
      <c r="K2197" s="181">
        <v>355</v>
      </c>
      <c r="L2197" s="181">
        <v>40</v>
      </c>
      <c r="M2197" s="19">
        <v>2300</v>
      </c>
      <c r="N2197" s="19" t="s">
        <v>66</v>
      </c>
      <c r="O2197" s="19" t="s">
        <v>141</v>
      </c>
      <c r="P2197" s="160"/>
      <c r="Q2197" s="19">
        <v>1568</v>
      </c>
      <c r="R2197" s="95">
        <f>+P2196-Q2196-Q2197</f>
        <v>154</v>
      </c>
      <c r="S2197" s="19">
        <v>810</v>
      </c>
      <c r="T2197" s="19" t="s">
        <v>42</v>
      </c>
      <c r="U2197" s="102" t="s">
        <v>779</v>
      </c>
      <c r="V2197" s="64" t="s">
        <v>681</v>
      </c>
      <c r="W2197" s="17" t="s">
        <v>69</v>
      </c>
      <c r="Y2197" s="68">
        <v>44927</v>
      </c>
      <c r="Z2197" s="17" t="s">
        <v>191</v>
      </c>
      <c r="AA2197" s="17" t="s">
        <v>46</v>
      </c>
      <c r="AB2197" s="17" t="s">
        <v>784</v>
      </c>
      <c r="AC2197" s="67" t="s">
        <v>785</v>
      </c>
      <c r="AD2197" s="65">
        <v>1367</v>
      </c>
      <c r="AE2197" s="17" t="s">
        <v>74</v>
      </c>
    </row>
    <row r="2198" s="17" customFormat="1" hidden="1" spans="1:32">
      <c r="A2198" s="17" t="s">
        <v>34</v>
      </c>
      <c r="B2198" s="19">
        <v>851</v>
      </c>
      <c r="C2198" s="230" t="s">
        <v>772</v>
      </c>
      <c r="D2198" s="17" t="s">
        <v>52</v>
      </c>
      <c r="E2198" s="17" t="s">
        <v>187</v>
      </c>
      <c r="F2198" s="17" t="s">
        <v>54</v>
      </c>
      <c r="H2198" s="19">
        <v>1.2311</v>
      </c>
      <c r="I2198" s="19"/>
      <c r="J2198" s="17" t="s">
        <v>82</v>
      </c>
      <c r="K2198" s="181">
        <v>405</v>
      </c>
      <c r="L2198" s="181">
        <v>40</v>
      </c>
      <c r="M2198" s="19">
        <v>2300</v>
      </c>
      <c r="N2198" s="19" t="s">
        <v>66</v>
      </c>
      <c r="O2198" s="19" t="s">
        <v>141</v>
      </c>
      <c r="P2198" s="160">
        <v>2000</v>
      </c>
      <c r="Q2198" s="19">
        <v>304</v>
      </c>
      <c r="S2198" s="19">
        <v>810</v>
      </c>
      <c r="T2198" s="19" t="s">
        <v>42</v>
      </c>
      <c r="U2198" s="102" t="s">
        <v>779</v>
      </c>
      <c r="V2198" s="64" t="s">
        <v>681</v>
      </c>
      <c r="W2198" s="17" t="s">
        <v>69</v>
      </c>
      <c r="Y2198" s="68">
        <v>44927</v>
      </c>
      <c r="Z2198" s="17" t="s">
        <v>191</v>
      </c>
      <c r="AA2198" s="17" t="s">
        <v>46</v>
      </c>
      <c r="AB2198" s="17" t="s">
        <v>780</v>
      </c>
      <c r="AC2198" s="67">
        <v>44632</v>
      </c>
      <c r="AD2198" s="65">
        <v>1365</v>
      </c>
      <c r="AE2198" s="17" t="s">
        <v>74</v>
      </c>
      <c r="AF2198" s="17" t="s">
        <v>781</v>
      </c>
    </row>
    <row r="2199" s="17" customFormat="1" hidden="1" spans="1:32">
      <c r="A2199" s="17" t="s">
        <v>34</v>
      </c>
      <c r="B2199" s="19">
        <v>851</v>
      </c>
      <c r="C2199" s="230" t="s">
        <v>772</v>
      </c>
      <c r="D2199" s="17" t="s">
        <v>52</v>
      </c>
      <c r="E2199" s="17" t="s">
        <v>187</v>
      </c>
      <c r="F2199" s="17" t="s">
        <v>54</v>
      </c>
      <c r="H2199" s="19">
        <v>1.2311</v>
      </c>
      <c r="I2199" s="19"/>
      <c r="J2199" s="17" t="s">
        <v>82</v>
      </c>
      <c r="K2199" s="181">
        <v>405</v>
      </c>
      <c r="L2199" s="181">
        <v>40</v>
      </c>
      <c r="M2199" s="19">
        <v>2300</v>
      </c>
      <c r="N2199" s="19" t="s">
        <v>66</v>
      </c>
      <c r="O2199" s="19" t="s">
        <v>141</v>
      </c>
      <c r="P2199" s="160"/>
      <c r="Q2199" s="19">
        <f>1195+300</f>
        <v>1495</v>
      </c>
      <c r="R2199" s="95">
        <f>+P2198-Q2198-Q2199</f>
        <v>201</v>
      </c>
      <c r="S2199" s="19">
        <v>810</v>
      </c>
      <c r="T2199" s="19" t="s">
        <v>42</v>
      </c>
      <c r="U2199" s="102" t="s">
        <v>779</v>
      </c>
      <c r="V2199" s="64" t="s">
        <v>681</v>
      </c>
      <c r="W2199" s="17" t="s">
        <v>69</v>
      </c>
      <c r="Y2199" s="68">
        <v>44927</v>
      </c>
      <c r="Z2199" s="17" t="s">
        <v>191</v>
      </c>
      <c r="AA2199" s="17" t="s">
        <v>46</v>
      </c>
      <c r="AB2199" s="17" t="s">
        <v>784</v>
      </c>
      <c r="AC2199" s="67" t="s">
        <v>785</v>
      </c>
      <c r="AD2199" s="65">
        <v>1367</v>
      </c>
      <c r="AE2199" s="17" t="s">
        <v>74</v>
      </c>
    </row>
    <row r="2200" s="17" customFormat="1" hidden="1" spans="1:32">
      <c r="A2200" s="17" t="s">
        <v>34</v>
      </c>
      <c r="B2200" s="19">
        <v>851</v>
      </c>
      <c r="C2200" s="230" t="s">
        <v>772</v>
      </c>
      <c r="D2200" s="17" t="s">
        <v>52</v>
      </c>
      <c r="E2200" s="17" t="s">
        <v>187</v>
      </c>
      <c r="F2200" s="17" t="s">
        <v>54</v>
      </c>
      <c r="H2200" s="19">
        <v>1.2311</v>
      </c>
      <c r="I2200" s="19"/>
      <c r="J2200" s="17" t="s">
        <v>82</v>
      </c>
      <c r="K2200" s="181">
        <v>205</v>
      </c>
      <c r="L2200" s="181">
        <v>50</v>
      </c>
      <c r="M2200" s="19">
        <v>2300</v>
      </c>
      <c r="N2200" s="19" t="s">
        <v>66</v>
      </c>
      <c r="O2200" s="19" t="s">
        <v>141</v>
      </c>
      <c r="P2200" s="160">
        <v>2500</v>
      </c>
      <c r="Q2200" s="19">
        <v>198</v>
      </c>
      <c r="S2200" s="19">
        <v>810</v>
      </c>
      <c r="T2200" s="19" t="s">
        <v>42</v>
      </c>
      <c r="U2200" s="102" t="s">
        <v>779</v>
      </c>
      <c r="V2200" s="64" t="s">
        <v>681</v>
      </c>
      <c r="W2200" s="17" t="s">
        <v>69</v>
      </c>
      <c r="Y2200" s="68">
        <v>44927</v>
      </c>
      <c r="Z2200" s="17" t="s">
        <v>191</v>
      </c>
      <c r="AA2200" s="17" t="s">
        <v>46</v>
      </c>
      <c r="AB2200" s="17" t="s">
        <v>780</v>
      </c>
      <c r="AC2200" s="67">
        <v>44632</v>
      </c>
      <c r="AD2200" s="65">
        <v>1365</v>
      </c>
      <c r="AE2200" s="17" t="s">
        <v>74</v>
      </c>
      <c r="AF2200" s="17" t="s">
        <v>781</v>
      </c>
    </row>
    <row r="2201" s="17" customFormat="1" hidden="1" spans="1:32">
      <c r="A2201" s="17" t="s">
        <v>34</v>
      </c>
      <c r="B2201" s="19">
        <v>851</v>
      </c>
      <c r="C2201" s="230" t="s">
        <v>772</v>
      </c>
      <c r="D2201" s="17" t="s">
        <v>52</v>
      </c>
      <c r="E2201" s="17" t="s">
        <v>187</v>
      </c>
      <c r="F2201" s="17" t="s">
        <v>54</v>
      </c>
      <c r="H2201" s="19">
        <v>1.2311</v>
      </c>
      <c r="I2201" s="19"/>
      <c r="J2201" s="17" t="s">
        <v>82</v>
      </c>
      <c r="K2201" s="181">
        <v>205</v>
      </c>
      <c r="L2201" s="181">
        <v>50</v>
      </c>
      <c r="M2201" s="19">
        <v>2300</v>
      </c>
      <c r="N2201" s="19" t="s">
        <v>66</v>
      </c>
      <c r="O2201" s="19" t="s">
        <v>141</v>
      </c>
      <c r="P2201" s="160"/>
      <c r="Q2201" s="19">
        <f>2154+370</f>
        <v>2524</v>
      </c>
      <c r="R2201" s="95">
        <f>+P2200-Q2200-Q2201</f>
        <v>-222</v>
      </c>
      <c r="S2201" s="19">
        <v>810</v>
      </c>
      <c r="T2201" s="19" t="s">
        <v>42</v>
      </c>
      <c r="U2201" s="102" t="s">
        <v>779</v>
      </c>
      <c r="V2201" s="64" t="s">
        <v>681</v>
      </c>
      <c r="W2201" s="17" t="s">
        <v>69</v>
      </c>
      <c r="Y2201" s="68">
        <v>44927</v>
      </c>
      <c r="Z2201" s="17" t="s">
        <v>191</v>
      </c>
      <c r="AA2201" s="17" t="s">
        <v>46</v>
      </c>
      <c r="AB2201" s="17" t="s">
        <v>784</v>
      </c>
      <c r="AC2201" s="67" t="s">
        <v>785</v>
      </c>
      <c r="AD2201" s="65">
        <v>1367</v>
      </c>
      <c r="AE2201" s="17" t="s">
        <v>74</v>
      </c>
    </row>
    <row r="2202" s="17" customFormat="1" hidden="1" spans="1:32">
      <c r="A2202" s="17" t="s">
        <v>34</v>
      </c>
      <c r="B2202" s="19">
        <v>851</v>
      </c>
      <c r="C2202" s="230" t="s">
        <v>772</v>
      </c>
      <c r="D2202" s="17" t="s">
        <v>52</v>
      </c>
      <c r="E2202" s="17" t="s">
        <v>187</v>
      </c>
      <c r="F2202" s="17" t="s">
        <v>54</v>
      </c>
      <c r="H2202" s="19">
        <v>1.2311</v>
      </c>
      <c r="I2202" s="19"/>
      <c r="J2202" s="17" t="s">
        <v>82</v>
      </c>
      <c r="K2202" s="181">
        <v>255</v>
      </c>
      <c r="L2202" s="181">
        <v>50</v>
      </c>
      <c r="M2202" s="19">
        <v>2300</v>
      </c>
      <c r="N2202" s="19" t="s">
        <v>66</v>
      </c>
      <c r="O2202" s="19" t="s">
        <v>141</v>
      </c>
      <c r="P2202" s="160">
        <v>2500</v>
      </c>
      <c r="Q2202" s="19">
        <v>242</v>
      </c>
      <c r="S2202" s="19">
        <v>810</v>
      </c>
      <c r="T2202" s="19" t="s">
        <v>42</v>
      </c>
      <c r="U2202" s="102" t="s">
        <v>779</v>
      </c>
      <c r="V2202" s="64" t="s">
        <v>681</v>
      </c>
      <c r="W2202" s="17" t="s">
        <v>69</v>
      </c>
      <c r="Y2202" s="68">
        <v>44927</v>
      </c>
      <c r="Z2202" s="17" t="s">
        <v>191</v>
      </c>
      <c r="AA2202" s="17" t="s">
        <v>46</v>
      </c>
      <c r="AB2202" s="17" t="s">
        <v>780</v>
      </c>
      <c r="AC2202" s="67">
        <v>44632</v>
      </c>
      <c r="AD2202" s="65">
        <v>1365</v>
      </c>
      <c r="AE2202" s="17" t="s">
        <v>74</v>
      </c>
      <c r="AF2202" s="17" t="s">
        <v>781</v>
      </c>
    </row>
    <row r="2203" s="17" customFormat="1" hidden="1" spans="1:32">
      <c r="A2203" s="17" t="s">
        <v>34</v>
      </c>
      <c r="B2203" s="19">
        <v>851</v>
      </c>
      <c r="C2203" s="230" t="s">
        <v>772</v>
      </c>
      <c r="D2203" s="17" t="s">
        <v>52</v>
      </c>
      <c r="E2203" s="17" t="s">
        <v>187</v>
      </c>
      <c r="F2203" s="17" t="s">
        <v>54</v>
      </c>
      <c r="H2203" s="19">
        <v>1.2311</v>
      </c>
      <c r="I2203" s="19"/>
      <c r="J2203" s="17" t="s">
        <v>82</v>
      </c>
      <c r="K2203" s="181">
        <v>255</v>
      </c>
      <c r="L2203" s="181">
        <v>50</v>
      </c>
      <c r="M2203" s="19">
        <v>2300</v>
      </c>
      <c r="N2203" s="19" t="s">
        <v>66</v>
      </c>
      <c r="O2203" s="19" t="s">
        <v>141</v>
      </c>
      <c r="P2203" s="160"/>
      <c r="Q2203" s="19">
        <f>1708+723</f>
        <v>2431</v>
      </c>
      <c r="R2203" s="95">
        <f>+P2202-Q2202-Q2203</f>
        <v>-173</v>
      </c>
      <c r="S2203" s="19">
        <v>810</v>
      </c>
      <c r="T2203" s="19" t="s">
        <v>42</v>
      </c>
      <c r="U2203" s="102" t="s">
        <v>779</v>
      </c>
      <c r="V2203" s="64" t="s">
        <v>681</v>
      </c>
      <c r="W2203" s="17" t="s">
        <v>69</v>
      </c>
      <c r="Y2203" s="68">
        <v>44927</v>
      </c>
      <c r="Z2203" s="17" t="s">
        <v>191</v>
      </c>
      <c r="AA2203" s="17" t="s">
        <v>46</v>
      </c>
      <c r="AB2203" s="17" t="s">
        <v>784</v>
      </c>
      <c r="AC2203" s="67" t="s">
        <v>785</v>
      </c>
      <c r="AD2203" s="65">
        <v>1367</v>
      </c>
      <c r="AE2203" s="17" t="s">
        <v>74</v>
      </c>
    </row>
    <row r="2204" s="17" customFormat="1" hidden="1" spans="1:32">
      <c r="A2204" s="17" t="s">
        <v>34</v>
      </c>
      <c r="B2204" s="19">
        <v>851</v>
      </c>
      <c r="C2204" s="230" t="s">
        <v>772</v>
      </c>
      <c r="D2204" s="17" t="s">
        <v>52</v>
      </c>
      <c r="E2204" s="17" t="s">
        <v>187</v>
      </c>
      <c r="F2204" s="17" t="s">
        <v>54</v>
      </c>
      <c r="H2204" s="19">
        <v>1.2311</v>
      </c>
      <c r="I2204" s="19"/>
      <c r="J2204" s="17" t="s">
        <v>82</v>
      </c>
      <c r="K2204" s="181">
        <v>305</v>
      </c>
      <c r="L2204" s="181">
        <v>50</v>
      </c>
      <c r="M2204" s="19">
        <v>2300</v>
      </c>
      <c r="N2204" s="19" t="s">
        <v>66</v>
      </c>
      <c r="O2204" s="19" t="s">
        <v>141</v>
      </c>
      <c r="P2204" s="160">
        <v>2500</v>
      </c>
      <c r="Q2204" s="19">
        <f>2021+855</f>
        <v>2876</v>
      </c>
      <c r="R2204" s="17">
        <f>+P2204-Q2204</f>
        <v>-376</v>
      </c>
      <c r="S2204" s="19">
        <v>810</v>
      </c>
      <c r="T2204" s="19" t="s">
        <v>42</v>
      </c>
      <c r="U2204" s="102" t="s">
        <v>779</v>
      </c>
      <c r="V2204" s="64" t="s">
        <v>681</v>
      </c>
      <c r="W2204" s="17" t="s">
        <v>69</v>
      </c>
      <c r="Y2204" s="68">
        <v>44927</v>
      </c>
      <c r="Z2204" s="17" t="s">
        <v>191</v>
      </c>
      <c r="AA2204" s="17" t="s">
        <v>46</v>
      </c>
      <c r="AB2204" s="17" t="s">
        <v>784</v>
      </c>
      <c r="AC2204" s="67" t="s">
        <v>785</v>
      </c>
      <c r="AD2204" s="65">
        <v>1367</v>
      </c>
      <c r="AE2204" s="17" t="s">
        <v>74</v>
      </c>
      <c r="AF2204" s="17" t="s">
        <v>781</v>
      </c>
    </row>
    <row r="2205" s="17" customFormat="1" hidden="1" spans="1:32">
      <c r="A2205" s="17" t="s">
        <v>34</v>
      </c>
      <c r="B2205" s="19">
        <v>851</v>
      </c>
      <c r="C2205" s="230" t="s">
        <v>772</v>
      </c>
      <c r="D2205" s="17" t="s">
        <v>52</v>
      </c>
      <c r="E2205" s="17" t="s">
        <v>187</v>
      </c>
      <c r="F2205" s="17" t="s">
        <v>54</v>
      </c>
      <c r="H2205" s="19">
        <v>1.2311</v>
      </c>
      <c r="I2205" s="19"/>
      <c r="J2205" s="17" t="s">
        <v>82</v>
      </c>
      <c r="K2205" s="181">
        <v>355</v>
      </c>
      <c r="L2205" s="181">
        <v>50</v>
      </c>
      <c r="M2205" s="19">
        <v>2300</v>
      </c>
      <c r="N2205" s="19" t="s">
        <v>66</v>
      </c>
      <c r="O2205" s="19" t="s">
        <v>141</v>
      </c>
      <c r="P2205" s="160">
        <v>2500</v>
      </c>
      <c r="Q2205" s="19">
        <v>670</v>
      </c>
      <c r="S2205" s="19">
        <v>810</v>
      </c>
      <c r="T2205" s="19" t="s">
        <v>42</v>
      </c>
      <c r="U2205" s="102" t="s">
        <v>779</v>
      </c>
      <c r="V2205" s="64" t="s">
        <v>681</v>
      </c>
      <c r="W2205" s="17" t="s">
        <v>69</v>
      </c>
      <c r="Y2205" s="68">
        <v>44927</v>
      </c>
      <c r="Z2205" s="17" t="s">
        <v>191</v>
      </c>
      <c r="AA2205" s="17" t="s">
        <v>46</v>
      </c>
      <c r="AB2205" s="17" t="s">
        <v>780</v>
      </c>
      <c r="AC2205" s="67">
        <v>44632</v>
      </c>
      <c r="AD2205" s="65">
        <v>1365</v>
      </c>
      <c r="AE2205" s="17" t="s">
        <v>74</v>
      </c>
      <c r="AF2205" s="17" t="s">
        <v>781</v>
      </c>
    </row>
    <row r="2206" s="17" customFormat="1" hidden="1" spans="1:32">
      <c r="A2206" s="17" t="s">
        <v>34</v>
      </c>
      <c r="B2206" s="19">
        <v>851</v>
      </c>
      <c r="C2206" s="230" t="s">
        <v>772</v>
      </c>
      <c r="D2206" s="17" t="s">
        <v>52</v>
      </c>
      <c r="E2206" s="17" t="s">
        <v>187</v>
      </c>
      <c r="F2206" s="17" t="s">
        <v>54</v>
      </c>
      <c r="H2206" s="19">
        <v>1.2311</v>
      </c>
      <c r="I2206" s="19"/>
      <c r="J2206" s="17" t="s">
        <v>82</v>
      </c>
      <c r="K2206" s="181">
        <v>355</v>
      </c>
      <c r="L2206" s="181">
        <v>50</v>
      </c>
      <c r="M2206" s="19">
        <v>2300</v>
      </c>
      <c r="N2206" s="19" t="s">
        <v>66</v>
      </c>
      <c r="O2206" s="19" t="s">
        <v>141</v>
      </c>
      <c r="P2206" s="160"/>
      <c r="Q2206" s="19">
        <v>2009</v>
      </c>
      <c r="R2206" s="95">
        <f>+P2205-Q2205-Q2206</f>
        <v>-179</v>
      </c>
      <c r="S2206" s="19">
        <v>810</v>
      </c>
      <c r="T2206" s="19" t="s">
        <v>42</v>
      </c>
      <c r="U2206" s="102" t="s">
        <v>779</v>
      </c>
      <c r="V2206" s="64" t="s">
        <v>681</v>
      </c>
      <c r="W2206" s="17" t="s">
        <v>69</v>
      </c>
      <c r="Y2206" s="68">
        <v>44927</v>
      </c>
      <c r="Z2206" s="17" t="s">
        <v>191</v>
      </c>
      <c r="AA2206" s="17" t="s">
        <v>46</v>
      </c>
      <c r="AB2206" s="17" t="s">
        <v>784</v>
      </c>
      <c r="AC2206" s="67" t="s">
        <v>785</v>
      </c>
      <c r="AD2206" s="65">
        <v>1367</v>
      </c>
      <c r="AE2206" s="17" t="s">
        <v>74</v>
      </c>
    </row>
    <row r="2207" s="17" customFormat="1" hidden="1" spans="1:32">
      <c r="A2207" s="17" t="s">
        <v>34</v>
      </c>
      <c r="B2207" s="19">
        <v>851</v>
      </c>
      <c r="C2207" s="230" t="s">
        <v>772</v>
      </c>
      <c r="D2207" s="17" t="s">
        <v>52</v>
      </c>
      <c r="E2207" s="17" t="s">
        <v>187</v>
      </c>
      <c r="F2207" s="17" t="s">
        <v>54</v>
      </c>
      <c r="H2207" s="19">
        <v>1.2311</v>
      </c>
      <c r="I2207" s="19"/>
      <c r="J2207" s="17" t="s">
        <v>82</v>
      </c>
      <c r="K2207" s="181">
        <v>405</v>
      </c>
      <c r="L2207" s="181">
        <v>50</v>
      </c>
      <c r="M2207" s="19">
        <v>2300</v>
      </c>
      <c r="N2207" s="19" t="s">
        <v>66</v>
      </c>
      <c r="O2207" s="19" t="s">
        <v>141</v>
      </c>
      <c r="P2207" s="160">
        <v>2500</v>
      </c>
      <c r="Q2207" s="19">
        <v>1923</v>
      </c>
      <c r="S2207" s="19">
        <v>810</v>
      </c>
      <c r="T2207" s="19" t="s">
        <v>42</v>
      </c>
      <c r="U2207" s="102" t="s">
        <v>779</v>
      </c>
      <c r="V2207" s="64" t="s">
        <v>681</v>
      </c>
      <c r="W2207" s="17" t="s">
        <v>69</v>
      </c>
      <c r="Y2207" s="68">
        <v>44927</v>
      </c>
      <c r="Z2207" s="17" t="s">
        <v>191</v>
      </c>
      <c r="AA2207" s="17" t="s">
        <v>46</v>
      </c>
      <c r="AB2207" s="17" t="s">
        <v>780</v>
      </c>
      <c r="AC2207" s="67">
        <v>44632</v>
      </c>
      <c r="AD2207" s="65">
        <v>1365</v>
      </c>
      <c r="AE2207" s="17" t="s">
        <v>74</v>
      </c>
      <c r="AF2207" s="17" t="s">
        <v>781</v>
      </c>
    </row>
    <row r="2208" s="17" customFormat="1" hidden="1" spans="1:32">
      <c r="A2208" s="17" t="s">
        <v>34</v>
      </c>
      <c r="B2208" s="19">
        <v>851</v>
      </c>
      <c r="C2208" s="230" t="s">
        <v>772</v>
      </c>
      <c r="D2208" s="17" t="s">
        <v>52</v>
      </c>
      <c r="E2208" s="17" t="s">
        <v>187</v>
      </c>
      <c r="F2208" s="17" t="s">
        <v>54</v>
      </c>
      <c r="H2208" s="19">
        <v>1.2311</v>
      </c>
      <c r="I2208" s="19"/>
      <c r="J2208" s="17" t="s">
        <v>82</v>
      </c>
      <c r="K2208" s="181">
        <v>405</v>
      </c>
      <c r="L2208" s="181">
        <v>50</v>
      </c>
      <c r="M2208" s="19">
        <v>2300</v>
      </c>
      <c r="N2208" s="19" t="s">
        <v>66</v>
      </c>
      <c r="O2208" s="19" t="s">
        <v>141</v>
      </c>
      <c r="P2208" s="160"/>
      <c r="Q2208" s="19">
        <v>767</v>
      </c>
      <c r="R2208" s="95">
        <f>+P2207-Q2207-Q2208</f>
        <v>-190</v>
      </c>
      <c r="S2208" s="19">
        <v>810</v>
      </c>
      <c r="T2208" s="19" t="s">
        <v>42</v>
      </c>
      <c r="U2208" s="102" t="s">
        <v>779</v>
      </c>
      <c r="V2208" s="64" t="s">
        <v>681</v>
      </c>
      <c r="W2208" s="17" t="s">
        <v>69</v>
      </c>
      <c r="Y2208" s="68">
        <v>44927</v>
      </c>
      <c r="Z2208" s="17" t="s">
        <v>191</v>
      </c>
      <c r="AA2208" s="17" t="s">
        <v>46</v>
      </c>
      <c r="AB2208" s="17" t="s">
        <v>784</v>
      </c>
      <c r="AC2208" s="67" t="s">
        <v>785</v>
      </c>
      <c r="AD2208" s="65">
        <v>1367</v>
      </c>
      <c r="AE2208" s="17" t="s">
        <v>74</v>
      </c>
    </row>
    <row r="2209" s="17" customFormat="1" hidden="1" spans="1:32">
      <c r="A2209" s="17" t="s">
        <v>34</v>
      </c>
      <c r="B2209" s="19">
        <v>851</v>
      </c>
      <c r="C2209" s="230" t="s">
        <v>772</v>
      </c>
      <c r="D2209" s="17" t="s">
        <v>52</v>
      </c>
      <c r="E2209" s="17" t="s">
        <v>187</v>
      </c>
      <c r="F2209" s="17" t="s">
        <v>54</v>
      </c>
      <c r="H2209" s="19">
        <v>1.2311</v>
      </c>
      <c r="I2209" s="19"/>
      <c r="J2209" s="17" t="s">
        <v>82</v>
      </c>
      <c r="K2209" s="181">
        <v>205</v>
      </c>
      <c r="L2209" s="181">
        <v>65</v>
      </c>
      <c r="M2209" s="19">
        <v>2300</v>
      </c>
      <c r="N2209" s="19" t="s">
        <v>66</v>
      </c>
      <c r="O2209" s="19" t="s">
        <v>141</v>
      </c>
      <c r="P2209" s="160">
        <v>2500</v>
      </c>
      <c r="Q2209" s="19">
        <v>513</v>
      </c>
      <c r="S2209" s="19">
        <v>810</v>
      </c>
      <c r="T2209" s="19" t="s">
        <v>42</v>
      </c>
      <c r="U2209" s="102" t="s">
        <v>779</v>
      </c>
      <c r="V2209" s="64" t="s">
        <v>681</v>
      </c>
      <c r="W2209" s="17" t="s">
        <v>69</v>
      </c>
      <c r="Y2209" s="68">
        <v>44927</v>
      </c>
      <c r="Z2209" s="17" t="s">
        <v>191</v>
      </c>
      <c r="AA2209" s="17" t="s">
        <v>46</v>
      </c>
      <c r="AB2209" s="17" t="s">
        <v>780</v>
      </c>
      <c r="AC2209" s="67">
        <v>44632</v>
      </c>
      <c r="AD2209" s="65">
        <v>1365</v>
      </c>
      <c r="AE2209" s="17" t="s">
        <v>74</v>
      </c>
      <c r="AF2209" s="17" t="s">
        <v>781</v>
      </c>
    </row>
    <row r="2210" s="17" customFormat="1" hidden="1" spans="1:32">
      <c r="A2210" s="17" t="s">
        <v>34</v>
      </c>
      <c r="B2210" s="19">
        <v>851</v>
      </c>
      <c r="C2210" s="230" t="s">
        <v>772</v>
      </c>
      <c r="D2210" s="17" t="s">
        <v>52</v>
      </c>
      <c r="E2210" s="17" t="s">
        <v>187</v>
      </c>
      <c r="F2210" s="17" t="s">
        <v>54</v>
      </c>
      <c r="H2210" s="19">
        <v>1.2311</v>
      </c>
      <c r="I2210" s="19"/>
      <c r="J2210" s="17" t="s">
        <v>82</v>
      </c>
      <c r="K2210" s="181">
        <v>205</v>
      </c>
      <c r="L2210" s="181">
        <v>65</v>
      </c>
      <c r="M2210" s="19">
        <v>2300</v>
      </c>
      <c r="N2210" s="19" t="s">
        <v>66</v>
      </c>
      <c r="O2210" s="19" t="s">
        <v>141</v>
      </c>
      <c r="P2210" s="160"/>
      <c r="Q2210" s="19">
        <f>760+1259</f>
        <v>2019</v>
      </c>
      <c r="R2210" s="95">
        <f>+P2209-Q2209-Q2210</f>
        <v>-32</v>
      </c>
      <c r="S2210" s="19">
        <v>810</v>
      </c>
      <c r="T2210" s="19" t="s">
        <v>42</v>
      </c>
      <c r="U2210" s="102" t="s">
        <v>779</v>
      </c>
      <c r="V2210" s="64" t="s">
        <v>681</v>
      </c>
      <c r="W2210" s="17" t="s">
        <v>69</v>
      </c>
      <c r="Y2210" s="68">
        <v>44927</v>
      </c>
      <c r="Z2210" s="17" t="s">
        <v>191</v>
      </c>
      <c r="AA2210" s="17" t="s">
        <v>46</v>
      </c>
      <c r="AB2210" s="17" t="s">
        <v>784</v>
      </c>
      <c r="AC2210" s="67" t="s">
        <v>785</v>
      </c>
      <c r="AD2210" s="65">
        <v>1367</v>
      </c>
      <c r="AE2210" s="17" t="s">
        <v>74</v>
      </c>
    </row>
    <row r="2211" s="17" customFormat="1" hidden="1" spans="1:32">
      <c r="A2211" s="17" t="s">
        <v>34</v>
      </c>
      <c r="B2211" s="19">
        <v>851</v>
      </c>
      <c r="C2211" s="230" t="s">
        <v>772</v>
      </c>
      <c r="D2211" s="17" t="s">
        <v>52</v>
      </c>
      <c r="E2211" s="17" t="s">
        <v>187</v>
      </c>
      <c r="F2211" s="17" t="s">
        <v>54</v>
      </c>
      <c r="H2211" s="19">
        <v>1.2311</v>
      </c>
      <c r="I2211" s="19"/>
      <c r="J2211" s="17" t="s">
        <v>82</v>
      </c>
      <c r="K2211" s="181">
        <v>255</v>
      </c>
      <c r="L2211" s="181">
        <v>65</v>
      </c>
      <c r="M2211" s="19">
        <v>2300</v>
      </c>
      <c r="N2211" s="19" t="s">
        <v>66</v>
      </c>
      <c r="O2211" s="19" t="s">
        <v>141</v>
      </c>
      <c r="P2211" s="160">
        <v>2500</v>
      </c>
      <c r="Q2211" s="19">
        <v>309</v>
      </c>
      <c r="S2211" s="19">
        <v>810</v>
      </c>
      <c r="T2211" s="19" t="s">
        <v>42</v>
      </c>
      <c r="U2211" s="102" t="s">
        <v>779</v>
      </c>
      <c r="V2211" s="64" t="s">
        <v>681</v>
      </c>
      <c r="W2211" s="17" t="s">
        <v>69</v>
      </c>
      <c r="Y2211" s="68">
        <v>44927</v>
      </c>
      <c r="Z2211" s="17" t="s">
        <v>191</v>
      </c>
      <c r="AA2211" s="17" t="s">
        <v>46</v>
      </c>
      <c r="AB2211" s="17" t="s">
        <v>780</v>
      </c>
      <c r="AC2211" s="67">
        <v>44632</v>
      </c>
      <c r="AD2211" s="65">
        <v>1365</v>
      </c>
      <c r="AE2211" s="17" t="s">
        <v>74</v>
      </c>
      <c r="AF2211" s="17" t="s">
        <v>781</v>
      </c>
    </row>
    <row r="2212" s="17" customFormat="1" hidden="1" spans="1:32">
      <c r="A2212" s="17" t="s">
        <v>34</v>
      </c>
      <c r="B2212" s="19">
        <v>851</v>
      </c>
      <c r="C2212" s="230" t="s">
        <v>772</v>
      </c>
      <c r="D2212" s="17" t="s">
        <v>52</v>
      </c>
      <c r="E2212" s="17" t="s">
        <v>187</v>
      </c>
      <c r="F2212" s="17" t="s">
        <v>54</v>
      </c>
      <c r="H2212" s="19">
        <v>1.2311</v>
      </c>
      <c r="I2212" s="19"/>
      <c r="J2212" s="17" t="s">
        <v>82</v>
      </c>
      <c r="K2212" s="181">
        <v>255</v>
      </c>
      <c r="L2212" s="181">
        <v>65</v>
      </c>
      <c r="M2212" s="19">
        <v>2300</v>
      </c>
      <c r="N2212" s="19" t="s">
        <v>66</v>
      </c>
      <c r="O2212" s="19" t="s">
        <v>141</v>
      </c>
      <c r="P2212" s="160"/>
      <c r="Q2212" s="19">
        <f>631+1559</f>
        <v>2190</v>
      </c>
      <c r="S2212" s="19">
        <v>810</v>
      </c>
      <c r="T2212" s="19" t="s">
        <v>42</v>
      </c>
      <c r="U2212" s="102" t="s">
        <v>779</v>
      </c>
      <c r="V2212" s="64" t="s">
        <v>681</v>
      </c>
      <c r="W2212" s="17" t="s">
        <v>69</v>
      </c>
      <c r="Y2212" s="68">
        <v>44927</v>
      </c>
      <c r="Z2212" s="17" t="s">
        <v>191</v>
      </c>
      <c r="AA2212" s="17" t="s">
        <v>46</v>
      </c>
      <c r="AB2212" s="17" t="s">
        <v>784</v>
      </c>
      <c r="AC2212" s="67" t="s">
        <v>785</v>
      </c>
      <c r="AD2212" s="65">
        <v>1367</v>
      </c>
      <c r="AE2212" s="17" t="s">
        <v>74</v>
      </c>
    </row>
    <row r="2213" s="17" customFormat="1" hidden="1" spans="1:32">
      <c r="B2213" s="19">
        <v>851</v>
      </c>
      <c r="C2213" s="230" t="s">
        <v>772</v>
      </c>
      <c r="D2213" s="17" t="s">
        <v>52</v>
      </c>
      <c r="E2213" s="17" t="s">
        <v>187</v>
      </c>
      <c r="F2213" s="17" t="s">
        <v>54</v>
      </c>
      <c r="H2213" s="19">
        <v>1.2311</v>
      </c>
      <c r="I2213" s="19"/>
      <c r="J2213" s="17" t="s">
        <v>82</v>
      </c>
      <c r="K2213" s="181">
        <v>255</v>
      </c>
      <c r="L2213" s="181">
        <v>65</v>
      </c>
      <c r="M2213" s="19">
        <v>2250</v>
      </c>
      <c r="N2213" s="19" t="s">
        <v>66</v>
      </c>
      <c r="O2213" s="19" t="s">
        <v>141</v>
      </c>
      <c r="P2213" s="160"/>
      <c r="Q2213" s="19">
        <v>309</v>
      </c>
      <c r="R2213" s="95">
        <f>+P2211-Q2211-Q2212-Q2213</f>
        <v>-308</v>
      </c>
      <c r="S2213" s="19">
        <v>810</v>
      </c>
      <c r="T2213" s="19" t="s">
        <v>42</v>
      </c>
      <c r="U2213" s="102" t="s">
        <v>779</v>
      </c>
      <c r="V2213" s="64" t="s">
        <v>681</v>
      </c>
      <c r="W2213" s="17" t="s">
        <v>69</v>
      </c>
      <c r="Y2213" s="68">
        <v>44927</v>
      </c>
      <c r="Z2213" s="17" t="s">
        <v>191</v>
      </c>
      <c r="AA2213" s="17" t="s">
        <v>46</v>
      </c>
      <c r="AB2213" s="17" t="s">
        <v>782</v>
      </c>
      <c r="AC2213" s="102" t="s">
        <v>783</v>
      </c>
      <c r="AD2213" s="65">
        <v>1405</v>
      </c>
      <c r="AE2213" s="17" t="s">
        <v>74</v>
      </c>
    </row>
    <row r="2214" s="17" customFormat="1" hidden="1" spans="1:32">
      <c r="A2214" s="17" t="s">
        <v>34</v>
      </c>
      <c r="B2214" s="19">
        <v>851</v>
      </c>
      <c r="C2214" s="230" t="s">
        <v>772</v>
      </c>
      <c r="D2214" s="17" t="s">
        <v>52</v>
      </c>
      <c r="E2214" s="17" t="s">
        <v>187</v>
      </c>
      <c r="F2214" s="17" t="s">
        <v>54</v>
      </c>
      <c r="H2214" s="19">
        <v>1.2311</v>
      </c>
      <c r="I2214" s="19"/>
      <c r="J2214" s="17" t="s">
        <v>82</v>
      </c>
      <c r="K2214" s="181">
        <v>305</v>
      </c>
      <c r="L2214" s="181">
        <v>65</v>
      </c>
      <c r="M2214" s="19">
        <v>2300</v>
      </c>
      <c r="N2214" s="19" t="s">
        <v>66</v>
      </c>
      <c r="O2214" s="19" t="s">
        <v>141</v>
      </c>
      <c r="P2214" s="160">
        <v>2000</v>
      </c>
      <c r="Q2214" s="19">
        <v>1127</v>
      </c>
      <c r="S2214" s="19">
        <v>810</v>
      </c>
      <c r="T2214" s="19" t="s">
        <v>42</v>
      </c>
      <c r="U2214" s="102" t="s">
        <v>779</v>
      </c>
      <c r="V2214" s="64" t="s">
        <v>681</v>
      </c>
      <c r="W2214" s="17" t="s">
        <v>69</v>
      </c>
      <c r="Y2214" s="68">
        <v>44927</v>
      </c>
      <c r="Z2214" s="17" t="s">
        <v>191</v>
      </c>
      <c r="AA2214" s="17" t="s">
        <v>46</v>
      </c>
      <c r="AB2214" s="17" t="s">
        <v>780</v>
      </c>
      <c r="AC2214" s="67">
        <v>44632</v>
      </c>
      <c r="AD2214" s="65">
        <v>1365</v>
      </c>
      <c r="AE2214" s="17" t="s">
        <v>74</v>
      </c>
      <c r="AF2214" s="17" t="s">
        <v>781</v>
      </c>
    </row>
    <row r="2215" s="17" customFormat="1" hidden="1" spans="1:32">
      <c r="A2215" s="17" t="s">
        <v>34</v>
      </c>
      <c r="B2215" s="19">
        <v>851</v>
      </c>
      <c r="C2215" s="230" t="s">
        <v>772</v>
      </c>
      <c r="D2215" s="17" t="s">
        <v>52</v>
      </c>
      <c r="E2215" s="17" t="s">
        <v>187</v>
      </c>
      <c r="F2215" s="17" t="s">
        <v>54</v>
      </c>
      <c r="H2215" s="19">
        <v>1.2311</v>
      </c>
      <c r="I2215" s="19"/>
      <c r="J2215" s="17" t="s">
        <v>82</v>
      </c>
      <c r="K2215" s="181">
        <v>305</v>
      </c>
      <c r="L2215" s="181">
        <v>65</v>
      </c>
      <c r="M2215" s="19">
        <v>2300</v>
      </c>
      <c r="N2215" s="19" t="s">
        <v>66</v>
      </c>
      <c r="O2215" s="19" t="s">
        <v>141</v>
      </c>
      <c r="P2215" s="160"/>
      <c r="Q2215" s="19">
        <f>376+705</f>
        <v>1081</v>
      </c>
      <c r="R2215" s="95">
        <f>+P2214-Q2214-Q2215</f>
        <v>-208</v>
      </c>
      <c r="S2215" s="19">
        <v>810</v>
      </c>
      <c r="T2215" s="19" t="s">
        <v>42</v>
      </c>
      <c r="U2215" s="102" t="s">
        <v>779</v>
      </c>
      <c r="V2215" s="64" t="s">
        <v>681</v>
      </c>
      <c r="W2215" s="17" t="s">
        <v>69</v>
      </c>
      <c r="Y2215" s="68">
        <v>44927</v>
      </c>
      <c r="Z2215" s="17" t="s">
        <v>191</v>
      </c>
      <c r="AA2215" s="17" t="s">
        <v>46</v>
      </c>
      <c r="AB2215" s="17" t="s">
        <v>784</v>
      </c>
      <c r="AC2215" s="67" t="s">
        <v>785</v>
      </c>
      <c r="AD2215" s="65">
        <v>1367</v>
      </c>
      <c r="AE2215" s="17" t="s">
        <v>74</v>
      </c>
    </row>
    <row r="2216" s="17" customFormat="1" hidden="1" spans="1:32">
      <c r="A2216" s="17" t="s">
        <v>34</v>
      </c>
      <c r="B2216" s="19">
        <v>851</v>
      </c>
      <c r="C2216" s="230" t="s">
        <v>772</v>
      </c>
      <c r="D2216" s="17" t="s">
        <v>52</v>
      </c>
      <c r="E2216" s="17" t="s">
        <v>187</v>
      </c>
      <c r="F2216" s="17" t="s">
        <v>54</v>
      </c>
      <c r="H2216" s="19">
        <v>1.2311</v>
      </c>
      <c r="I2216" s="19"/>
      <c r="J2216" s="17" t="s">
        <v>82</v>
      </c>
      <c r="K2216" s="181">
        <v>355</v>
      </c>
      <c r="L2216" s="181">
        <v>65</v>
      </c>
      <c r="M2216" s="19">
        <v>2300</v>
      </c>
      <c r="N2216" s="19" t="s">
        <v>66</v>
      </c>
      <c r="O2216" s="19" t="s">
        <v>141</v>
      </c>
      <c r="P2216" s="160">
        <v>2000</v>
      </c>
      <c r="Q2216" s="19">
        <v>2157</v>
      </c>
      <c r="R2216" s="17">
        <f>+P2216-Q2216</f>
        <v>-157</v>
      </c>
      <c r="S2216" s="19">
        <v>810</v>
      </c>
      <c r="T2216" s="19" t="s">
        <v>42</v>
      </c>
      <c r="U2216" s="102" t="s">
        <v>779</v>
      </c>
      <c r="V2216" s="64" t="s">
        <v>681</v>
      </c>
      <c r="W2216" s="17" t="s">
        <v>69</v>
      </c>
      <c r="Y2216" s="68">
        <v>44927</v>
      </c>
      <c r="Z2216" s="17" t="s">
        <v>191</v>
      </c>
      <c r="AA2216" s="17" t="s">
        <v>46</v>
      </c>
      <c r="AB2216" s="17" t="s">
        <v>784</v>
      </c>
      <c r="AC2216" s="67" t="s">
        <v>785</v>
      </c>
      <c r="AD2216" s="65">
        <v>1367</v>
      </c>
      <c r="AE2216" s="17" t="s">
        <v>74</v>
      </c>
      <c r="AF2216" s="17" t="s">
        <v>781</v>
      </c>
    </row>
    <row r="2217" s="17" customFormat="1" hidden="1" spans="1:32">
      <c r="A2217" s="17" t="s">
        <v>34</v>
      </c>
      <c r="B2217" s="19">
        <v>851</v>
      </c>
      <c r="C2217" s="230" t="s">
        <v>772</v>
      </c>
      <c r="D2217" s="17" t="s">
        <v>52</v>
      </c>
      <c r="E2217" s="17" t="s">
        <v>187</v>
      </c>
      <c r="F2217" s="17" t="s">
        <v>54</v>
      </c>
      <c r="H2217" s="19">
        <v>1.2311</v>
      </c>
      <c r="I2217" s="19"/>
      <c r="J2217" s="17" t="s">
        <v>82</v>
      </c>
      <c r="K2217" s="181">
        <v>405</v>
      </c>
      <c r="L2217" s="181">
        <v>65</v>
      </c>
      <c r="M2217" s="19">
        <v>2300</v>
      </c>
      <c r="N2217" s="19" t="s">
        <v>66</v>
      </c>
      <c r="O2217" s="19" t="s">
        <v>141</v>
      </c>
      <c r="P2217" s="160">
        <v>2000</v>
      </c>
      <c r="Q2217" s="19">
        <v>1959</v>
      </c>
      <c r="S2217" s="19">
        <v>810</v>
      </c>
      <c r="T2217" s="19" t="s">
        <v>42</v>
      </c>
      <c r="U2217" s="102" t="s">
        <v>779</v>
      </c>
      <c r="V2217" s="64" t="s">
        <v>681</v>
      </c>
      <c r="W2217" s="17" t="s">
        <v>69</v>
      </c>
      <c r="Y2217" s="68">
        <v>44927</v>
      </c>
      <c r="Z2217" s="17" t="s">
        <v>191</v>
      </c>
      <c r="AA2217" s="17" t="s">
        <v>46</v>
      </c>
      <c r="AB2217" s="17" t="s">
        <v>780</v>
      </c>
      <c r="AC2217" s="67">
        <v>44632</v>
      </c>
      <c r="AD2217" s="65">
        <v>1365</v>
      </c>
      <c r="AE2217" s="17" t="s">
        <v>74</v>
      </c>
      <c r="AF2217" s="17" t="s">
        <v>781</v>
      </c>
    </row>
    <row r="2218" s="17" customFormat="1" hidden="1" spans="1:32">
      <c r="A2218" s="17" t="s">
        <v>34</v>
      </c>
      <c r="B2218" s="19">
        <v>851</v>
      </c>
      <c r="C2218" s="230" t="s">
        <v>772</v>
      </c>
      <c r="D2218" s="17" t="s">
        <v>52</v>
      </c>
      <c r="E2218" s="17" t="s">
        <v>187</v>
      </c>
      <c r="F2218" s="17" t="s">
        <v>54</v>
      </c>
      <c r="H2218" s="19">
        <v>1.2311</v>
      </c>
      <c r="I2218" s="19"/>
      <c r="J2218" s="17" t="s">
        <v>82</v>
      </c>
      <c r="K2218" s="181">
        <v>405</v>
      </c>
      <c r="L2218" s="181">
        <v>65</v>
      </c>
      <c r="M2218" s="19">
        <v>2300</v>
      </c>
      <c r="N2218" s="19" t="s">
        <v>66</v>
      </c>
      <c r="O2218" s="19" t="s">
        <v>141</v>
      </c>
      <c r="P2218" s="160"/>
      <c r="Q2218" s="19">
        <v>983</v>
      </c>
      <c r="R2218" s="95">
        <f>+P2217-Q2217-Q2218</f>
        <v>-942</v>
      </c>
      <c r="S2218" s="19">
        <v>810</v>
      </c>
      <c r="T2218" s="19" t="s">
        <v>42</v>
      </c>
      <c r="U2218" s="102" t="s">
        <v>779</v>
      </c>
      <c r="V2218" s="64" t="s">
        <v>681</v>
      </c>
      <c r="W2218" s="17" t="s">
        <v>69</v>
      </c>
      <c r="Y2218" s="68">
        <v>44927</v>
      </c>
      <c r="Z2218" s="17" t="s">
        <v>191</v>
      </c>
      <c r="AA2218" s="17" t="s">
        <v>46</v>
      </c>
      <c r="AB2218" s="17" t="s">
        <v>784</v>
      </c>
      <c r="AC2218" s="67" t="s">
        <v>785</v>
      </c>
      <c r="AD2218" s="65">
        <v>1367</v>
      </c>
      <c r="AE2218" s="17" t="s">
        <v>74</v>
      </c>
    </row>
    <row r="2219" s="17" customFormat="1" hidden="1" spans="1:32">
      <c r="A2219" s="17" t="s">
        <v>34</v>
      </c>
      <c r="B2219" s="19">
        <v>851</v>
      </c>
      <c r="C2219" s="230" t="s">
        <v>772</v>
      </c>
      <c r="D2219" s="17" t="s">
        <v>52</v>
      </c>
      <c r="E2219" s="17" t="s">
        <v>187</v>
      </c>
      <c r="F2219" s="17" t="s">
        <v>54</v>
      </c>
      <c r="H2219" s="19">
        <v>1.2311</v>
      </c>
      <c r="I2219" s="19"/>
      <c r="J2219" s="17" t="s">
        <v>82</v>
      </c>
      <c r="K2219" s="181">
        <v>205</v>
      </c>
      <c r="L2219" s="181">
        <v>80</v>
      </c>
      <c r="M2219" s="19">
        <v>2300</v>
      </c>
      <c r="N2219" s="19" t="s">
        <v>66</v>
      </c>
      <c r="O2219" s="19" t="s">
        <v>141</v>
      </c>
      <c r="P2219" s="160">
        <v>2500</v>
      </c>
      <c r="Q2219" s="19">
        <v>2409</v>
      </c>
      <c r="R2219" s="17">
        <f>+P2219-Q2219</f>
        <v>91</v>
      </c>
      <c r="S2219" s="19">
        <v>810</v>
      </c>
      <c r="T2219" s="19" t="s">
        <v>42</v>
      </c>
      <c r="U2219" s="102" t="s">
        <v>779</v>
      </c>
      <c r="V2219" s="64" t="s">
        <v>681</v>
      </c>
      <c r="W2219" s="17" t="s">
        <v>69</v>
      </c>
      <c r="Y2219" s="68">
        <v>44927</v>
      </c>
      <c r="Z2219" s="17" t="s">
        <v>191</v>
      </c>
      <c r="AA2219" s="17" t="s">
        <v>46</v>
      </c>
      <c r="AB2219" s="17" t="s">
        <v>780</v>
      </c>
      <c r="AC2219" s="67">
        <v>44632</v>
      </c>
      <c r="AD2219" s="65">
        <v>1365</v>
      </c>
      <c r="AE2219" s="17" t="s">
        <v>74</v>
      </c>
      <c r="AF2219" s="17" t="s">
        <v>781</v>
      </c>
    </row>
    <row r="2220" s="17" customFormat="1" hidden="1" spans="1:32">
      <c r="A2220" s="17" t="s">
        <v>34</v>
      </c>
      <c r="B2220" s="19">
        <v>851</v>
      </c>
      <c r="C2220" s="230" t="s">
        <v>772</v>
      </c>
      <c r="D2220" s="17" t="s">
        <v>52</v>
      </c>
      <c r="E2220" s="17" t="s">
        <v>187</v>
      </c>
      <c r="F2220" s="17" t="s">
        <v>54</v>
      </c>
      <c r="H2220" s="19">
        <v>1.2311</v>
      </c>
      <c r="I2220" s="19"/>
      <c r="J2220" s="17" t="s">
        <v>82</v>
      </c>
      <c r="K2220" s="181">
        <v>255</v>
      </c>
      <c r="L2220" s="181">
        <v>80</v>
      </c>
      <c r="M2220" s="19">
        <v>2300</v>
      </c>
      <c r="N2220" s="19" t="s">
        <v>66</v>
      </c>
      <c r="O2220" s="19" t="s">
        <v>141</v>
      </c>
      <c r="P2220" s="160">
        <v>2500</v>
      </c>
      <c r="Q2220" s="19">
        <v>1868</v>
      </c>
      <c r="S2220" s="19">
        <v>810</v>
      </c>
      <c r="T2220" s="19" t="s">
        <v>42</v>
      </c>
      <c r="U2220" s="102" t="s">
        <v>779</v>
      </c>
      <c r="V2220" s="64" t="s">
        <v>681</v>
      </c>
      <c r="W2220" s="17" t="s">
        <v>69</v>
      </c>
      <c r="Y2220" s="68">
        <v>44927</v>
      </c>
      <c r="Z2220" s="17" t="s">
        <v>191</v>
      </c>
      <c r="AA2220" s="17" t="s">
        <v>46</v>
      </c>
      <c r="AB2220" s="17" t="s">
        <v>780</v>
      </c>
      <c r="AC2220" s="67">
        <v>44632</v>
      </c>
      <c r="AD2220" s="65">
        <v>1365</v>
      </c>
      <c r="AE2220" s="17" t="s">
        <v>74</v>
      </c>
      <c r="AF2220" s="17" t="s">
        <v>781</v>
      </c>
    </row>
    <row r="2221" s="17" customFormat="1" hidden="1" spans="1:32">
      <c r="A2221" s="17" t="s">
        <v>34</v>
      </c>
      <c r="B2221" s="19">
        <v>851</v>
      </c>
      <c r="C2221" s="230" t="s">
        <v>772</v>
      </c>
      <c r="D2221" s="17" t="s">
        <v>52</v>
      </c>
      <c r="E2221" s="17" t="s">
        <v>187</v>
      </c>
      <c r="F2221" s="17" t="s">
        <v>54</v>
      </c>
      <c r="H2221" s="19">
        <v>1.2311</v>
      </c>
      <c r="I2221" s="19"/>
      <c r="J2221" s="17" t="s">
        <v>82</v>
      </c>
      <c r="K2221" s="181">
        <v>255</v>
      </c>
      <c r="L2221" s="181">
        <v>80</v>
      </c>
      <c r="M2221" s="19">
        <v>2300</v>
      </c>
      <c r="N2221" s="19" t="s">
        <v>66</v>
      </c>
      <c r="O2221" s="19" t="s">
        <v>141</v>
      </c>
      <c r="P2221" s="160"/>
      <c r="Q2221" s="19">
        <v>1142</v>
      </c>
      <c r="R2221" s="95">
        <f>+P2220-Q2220-Q2221</f>
        <v>-510</v>
      </c>
      <c r="S2221" s="19">
        <v>810</v>
      </c>
      <c r="T2221" s="19" t="s">
        <v>42</v>
      </c>
      <c r="U2221" s="102" t="s">
        <v>779</v>
      </c>
      <c r="V2221" s="64" t="s">
        <v>681</v>
      </c>
      <c r="W2221" s="17" t="s">
        <v>69</v>
      </c>
      <c r="Y2221" s="68">
        <v>44927</v>
      </c>
      <c r="Z2221" s="17" t="s">
        <v>191</v>
      </c>
      <c r="AA2221" s="17" t="s">
        <v>46</v>
      </c>
      <c r="AB2221" s="17" t="s">
        <v>784</v>
      </c>
      <c r="AC2221" s="67" t="s">
        <v>785</v>
      </c>
      <c r="AD2221" s="65">
        <v>1367</v>
      </c>
      <c r="AE2221" s="17" t="s">
        <v>74</v>
      </c>
    </row>
    <row r="2222" s="17" customFormat="1" hidden="1" spans="1:32">
      <c r="A2222" s="17" t="s">
        <v>34</v>
      </c>
      <c r="B2222" s="19">
        <v>851</v>
      </c>
      <c r="C2222" s="230" t="s">
        <v>772</v>
      </c>
      <c r="D2222" s="17" t="s">
        <v>52</v>
      </c>
      <c r="E2222" s="17" t="s">
        <v>187</v>
      </c>
      <c r="F2222" s="17" t="s">
        <v>54</v>
      </c>
      <c r="H2222" s="19">
        <v>1.2311</v>
      </c>
      <c r="I2222" s="19"/>
      <c r="J2222" s="17" t="s">
        <v>82</v>
      </c>
      <c r="K2222" s="181">
        <v>305</v>
      </c>
      <c r="L2222" s="181">
        <v>80</v>
      </c>
      <c r="M2222" s="19">
        <v>2300</v>
      </c>
      <c r="N2222" s="19" t="s">
        <v>66</v>
      </c>
      <c r="O2222" s="19" t="s">
        <v>141</v>
      </c>
      <c r="P2222" s="160">
        <v>2000</v>
      </c>
      <c r="Q2222" s="19">
        <v>1782</v>
      </c>
      <c r="S2222" s="19">
        <v>810</v>
      </c>
      <c r="T2222" s="19" t="s">
        <v>42</v>
      </c>
      <c r="U2222" s="102" t="s">
        <v>779</v>
      </c>
      <c r="V2222" s="64" t="s">
        <v>681</v>
      </c>
      <c r="W2222" s="17" t="s">
        <v>69</v>
      </c>
      <c r="Y2222" s="68">
        <v>44927</v>
      </c>
      <c r="Z2222" s="17" t="s">
        <v>191</v>
      </c>
      <c r="AA2222" s="17" t="s">
        <v>46</v>
      </c>
      <c r="AB2222" s="17" t="s">
        <v>780</v>
      </c>
      <c r="AC2222" s="67">
        <v>44632</v>
      </c>
      <c r="AD2222" s="65">
        <v>1365</v>
      </c>
      <c r="AE2222" s="17" t="s">
        <v>74</v>
      </c>
      <c r="AF2222" s="17" t="s">
        <v>781</v>
      </c>
    </row>
    <row r="2223" s="17" customFormat="1" hidden="1" spans="1:32">
      <c r="A2223" s="17" t="s">
        <v>34</v>
      </c>
      <c r="B2223" s="19">
        <v>851</v>
      </c>
      <c r="C2223" s="230" t="s">
        <v>772</v>
      </c>
      <c r="D2223" s="17" t="s">
        <v>52</v>
      </c>
      <c r="E2223" s="17" t="s">
        <v>187</v>
      </c>
      <c r="F2223" s="17" t="s">
        <v>54</v>
      </c>
      <c r="H2223" s="19">
        <v>1.2311</v>
      </c>
      <c r="I2223" s="19"/>
      <c r="J2223" s="17" t="s">
        <v>82</v>
      </c>
      <c r="K2223" s="181">
        <v>305</v>
      </c>
      <c r="L2223" s="181">
        <v>80</v>
      </c>
      <c r="M2223" s="19">
        <v>2300</v>
      </c>
      <c r="N2223" s="19" t="s">
        <v>66</v>
      </c>
      <c r="O2223" s="19" t="s">
        <v>141</v>
      </c>
      <c r="P2223" s="160"/>
      <c r="Q2223" s="19">
        <v>448</v>
      </c>
      <c r="R2223" s="95">
        <f>+P2222-Q2222-Q2223</f>
        <v>-230</v>
      </c>
      <c r="S2223" s="19">
        <v>810</v>
      </c>
      <c r="T2223" s="19" t="s">
        <v>42</v>
      </c>
      <c r="U2223" s="102" t="s">
        <v>779</v>
      </c>
      <c r="V2223" s="64" t="s">
        <v>681</v>
      </c>
      <c r="W2223" s="17" t="s">
        <v>69</v>
      </c>
      <c r="Y2223" s="68">
        <v>44927</v>
      </c>
      <c r="Z2223" s="17" t="s">
        <v>191</v>
      </c>
      <c r="AA2223" s="17" t="s">
        <v>46</v>
      </c>
      <c r="AB2223" s="17" t="s">
        <v>784</v>
      </c>
      <c r="AC2223" s="67" t="s">
        <v>785</v>
      </c>
      <c r="AD2223" s="65">
        <v>1367</v>
      </c>
      <c r="AE2223" s="17" t="s">
        <v>74</v>
      </c>
    </row>
    <row r="2224" s="17" customFormat="1" hidden="1" spans="1:32">
      <c r="A2224" s="17" t="s">
        <v>34</v>
      </c>
      <c r="B2224" s="19">
        <v>851</v>
      </c>
      <c r="C2224" s="230" t="s">
        <v>772</v>
      </c>
      <c r="D2224" s="17" t="s">
        <v>52</v>
      </c>
      <c r="E2224" s="17" t="s">
        <v>187</v>
      </c>
      <c r="F2224" s="17" t="s">
        <v>54</v>
      </c>
      <c r="H2224" s="19">
        <v>1.2311</v>
      </c>
      <c r="I2224" s="19"/>
      <c r="J2224" s="17" t="s">
        <v>82</v>
      </c>
      <c r="K2224" s="181">
        <v>355</v>
      </c>
      <c r="L2224" s="181">
        <v>80</v>
      </c>
      <c r="M2224" s="19">
        <v>2300</v>
      </c>
      <c r="N2224" s="19" t="s">
        <v>66</v>
      </c>
      <c r="O2224" s="19" t="s">
        <v>141</v>
      </c>
      <c r="P2224" s="160">
        <v>2000</v>
      </c>
      <c r="Q2224" s="19">
        <v>2063</v>
      </c>
      <c r="R2224" s="17">
        <f>+P2224-Q2224</f>
        <v>-63</v>
      </c>
      <c r="S2224" s="19">
        <v>810</v>
      </c>
      <c r="T2224" s="19" t="s">
        <v>42</v>
      </c>
      <c r="U2224" s="102" t="s">
        <v>779</v>
      </c>
      <c r="V2224" s="64" t="s">
        <v>681</v>
      </c>
      <c r="W2224" s="17" t="s">
        <v>69</v>
      </c>
      <c r="Y2224" s="68">
        <v>44927</v>
      </c>
      <c r="Z2224" s="17" t="s">
        <v>191</v>
      </c>
      <c r="AA2224" s="17" t="s">
        <v>46</v>
      </c>
      <c r="AB2224" s="17" t="s">
        <v>780</v>
      </c>
      <c r="AC2224" s="67">
        <v>44632</v>
      </c>
      <c r="AD2224" s="65">
        <v>1365</v>
      </c>
      <c r="AE2224" s="17" t="s">
        <v>74</v>
      </c>
      <c r="AF2224" s="17" t="s">
        <v>781</v>
      </c>
    </row>
    <row r="2225" s="17" customFormat="1" hidden="1" spans="1:32">
      <c r="A2225" s="17" t="s">
        <v>34</v>
      </c>
      <c r="B2225" s="19">
        <v>851</v>
      </c>
      <c r="C2225" s="230" t="s">
        <v>772</v>
      </c>
      <c r="D2225" s="17" t="s">
        <v>52</v>
      </c>
      <c r="E2225" s="17" t="s">
        <v>187</v>
      </c>
      <c r="F2225" s="17" t="s">
        <v>54</v>
      </c>
      <c r="H2225" s="19">
        <v>1.2311</v>
      </c>
      <c r="I2225" s="19"/>
      <c r="J2225" s="17" t="s">
        <v>82</v>
      </c>
      <c r="K2225" s="181">
        <v>405</v>
      </c>
      <c r="L2225" s="181">
        <v>80</v>
      </c>
      <c r="M2225" s="19">
        <v>2300</v>
      </c>
      <c r="N2225" s="19" t="s">
        <v>66</v>
      </c>
      <c r="O2225" s="19" t="s">
        <v>141</v>
      </c>
      <c r="P2225" s="160">
        <v>2000</v>
      </c>
      <c r="Q2225" s="19">
        <v>1751</v>
      </c>
      <c r="S2225" s="19">
        <v>810</v>
      </c>
      <c r="T2225" s="19" t="s">
        <v>42</v>
      </c>
      <c r="U2225" s="102" t="s">
        <v>779</v>
      </c>
      <c r="V2225" s="64" t="s">
        <v>681</v>
      </c>
      <c r="W2225" s="17" t="s">
        <v>69</v>
      </c>
      <c r="Y2225" s="68">
        <v>44927</v>
      </c>
      <c r="Z2225" s="17" t="s">
        <v>191</v>
      </c>
      <c r="AA2225" s="17" t="s">
        <v>46</v>
      </c>
      <c r="AB2225" s="17" t="s">
        <v>780</v>
      </c>
      <c r="AC2225" s="67">
        <v>44632</v>
      </c>
      <c r="AD2225" s="65">
        <v>1365</v>
      </c>
      <c r="AE2225" s="17" t="s">
        <v>74</v>
      </c>
      <c r="AF2225" s="17" t="s">
        <v>781</v>
      </c>
    </row>
    <row r="2226" s="17" customFormat="1" hidden="1" spans="1:32">
      <c r="A2226" s="17" t="s">
        <v>34</v>
      </c>
      <c r="B2226" s="19">
        <v>851</v>
      </c>
      <c r="C2226" s="230" t="s">
        <v>772</v>
      </c>
      <c r="D2226" s="17" t="s">
        <v>52</v>
      </c>
      <c r="E2226" s="17" t="s">
        <v>187</v>
      </c>
      <c r="F2226" s="17" t="s">
        <v>54</v>
      </c>
      <c r="H2226" s="19">
        <v>1.2311</v>
      </c>
      <c r="I2226" s="19"/>
      <c r="J2226" s="17" t="s">
        <v>82</v>
      </c>
      <c r="K2226" s="181">
        <v>405</v>
      </c>
      <c r="L2226" s="181">
        <v>80</v>
      </c>
      <c r="M2226" s="19">
        <v>2300</v>
      </c>
      <c r="N2226" s="19" t="s">
        <v>66</v>
      </c>
      <c r="O2226" s="19" t="s">
        <v>141</v>
      </c>
      <c r="P2226" s="237"/>
      <c r="Q2226" s="19">
        <v>1182</v>
      </c>
      <c r="R2226" s="95">
        <f>+P2225-Q2225-Q2226</f>
        <v>-933</v>
      </c>
      <c r="S2226" s="19">
        <v>810</v>
      </c>
      <c r="T2226" s="19" t="s">
        <v>42</v>
      </c>
      <c r="U2226" s="102" t="s">
        <v>779</v>
      </c>
      <c r="V2226" s="64" t="s">
        <v>681</v>
      </c>
      <c r="W2226" s="17" t="s">
        <v>69</v>
      </c>
      <c r="Y2226" s="68">
        <v>44927</v>
      </c>
      <c r="Z2226" s="17" t="s">
        <v>191</v>
      </c>
      <c r="AA2226" s="17" t="s">
        <v>46</v>
      </c>
      <c r="AB2226" s="17" t="s">
        <v>784</v>
      </c>
      <c r="AC2226" s="67" t="s">
        <v>785</v>
      </c>
      <c r="AD2226" s="65">
        <v>1367</v>
      </c>
      <c r="AE2226" s="17" t="s">
        <v>74</v>
      </c>
    </row>
    <row r="2227" s="17" customFormat="1" hidden="1" spans="1:32">
      <c r="A2227" s="17" t="s">
        <v>34</v>
      </c>
      <c r="B2227" s="19">
        <v>852</v>
      </c>
      <c r="C2227" s="183" t="s">
        <v>774</v>
      </c>
      <c r="D2227" s="17" t="s">
        <v>432</v>
      </c>
      <c r="E2227" s="17" t="s">
        <v>433</v>
      </c>
      <c r="F2227" s="17" t="s">
        <v>434</v>
      </c>
      <c r="H2227" s="19" t="s">
        <v>169</v>
      </c>
      <c r="I2227" s="19"/>
      <c r="J2227" s="17" t="s">
        <v>82</v>
      </c>
      <c r="K2227" s="188" t="s">
        <v>445</v>
      </c>
      <c r="L2227" s="188" t="s">
        <v>526</v>
      </c>
      <c r="M2227" s="238" t="s">
        <v>788</v>
      </c>
      <c r="N2227" s="19" t="s">
        <v>66</v>
      </c>
      <c r="O2227" s="19" t="s">
        <v>168</v>
      </c>
      <c r="P2227" s="93">
        <v>2470</v>
      </c>
      <c r="Q2227" s="19">
        <v>2470</v>
      </c>
      <c r="R2227" s="17">
        <f t="shared" ref="R2227:R2258" si="120">+P2227-Q2227</f>
        <v>0</v>
      </c>
      <c r="S2227" s="19">
        <v>1025</v>
      </c>
      <c r="T2227" s="19" t="s">
        <v>94</v>
      </c>
      <c r="U2227" s="102" t="s">
        <v>789</v>
      </c>
      <c r="V2227" s="498" t="s">
        <v>790</v>
      </c>
      <c r="W2227" s="17" t="s">
        <v>44</v>
      </c>
      <c r="Y2227" s="68">
        <v>44866</v>
      </c>
      <c r="Z2227" s="17" t="s">
        <v>791</v>
      </c>
      <c r="AA2227" s="17" t="s">
        <v>46</v>
      </c>
      <c r="AB2227" s="17" t="s">
        <v>792</v>
      </c>
      <c r="AC2227" s="67">
        <v>45140</v>
      </c>
      <c r="AD2227" s="65">
        <v>1377</v>
      </c>
      <c r="AE2227" s="17" t="s">
        <v>48</v>
      </c>
    </row>
    <row r="2228" s="17" customFormat="1" hidden="1" spans="1:32">
      <c r="A2228" s="17" t="s">
        <v>34</v>
      </c>
      <c r="B2228" s="19">
        <v>852</v>
      </c>
      <c r="C2228" s="183" t="s">
        <v>774</v>
      </c>
      <c r="D2228" s="17" t="s">
        <v>432</v>
      </c>
      <c r="E2228" s="17" t="s">
        <v>433</v>
      </c>
      <c r="F2228" s="17" t="s">
        <v>434</v>
      </c>
      <c r="H2228" s="19" t="s">
        <v>169</v>
      </c>
      <c r="I2228" s="19"/>
      <c r="J2228" s="17" t="s">
        <v>82</v>
      </c>
      <c r="K2228" s="188" t="s">
        <v>521</v>
      </c>
      <c r="L2228" s="188" t="s">
        <v>523</v>
      </c>
      <c r="M2228" s="188" t="s">
        <v>793</v>
      </c>
      <c r="N2228" s="19" t="s">
        <v>66</v>
      </c>
      <c r="O2228" s="19" t="s">
        <v>168</v>
      </c>
      <c r="P2228" s="19">
        <v>3180</v>
      </c>
      <c r="Q2228" s="19">
        <v>3180</v>
      </c>
      <c r="R2228" s="17">
        <f t="shared" si="120"/>
        <v>0</v>
      </c>
      <c r="S2228" s="19">
        <v>1025</v>
      </c>
      <c r="T2228" s="19" t="s">
        <v>94</v>
      </c>
      <c r="U2228" s="102" t="s">
        <v>789</v>
      </c>
      <c r="V2228" s="498" t="s">
        <v>790</v>
      </c>
      <c r="W2228" s="17" t="s">
        <v>44</v>
      </c>
      <c r="Y2228" s="68">
        <v>44866</v>
      </c>
      <c r="Z2228" s="17" t="s">
        <v>791</v>
      </c>
      <c r="AA2228" s="17" t="s">
        <v>46</v>
      </c>
      <c r="AB2228" s="17" t="s">
        <v>792</v>
      </c>
      <c r="AC2228" s="67">
        <v>45140</v>
      </c>
      <c r="AD2228" s="65">
        <v>1377</v>
      </c>
      <c r="AE2228" s="17" t="s">
        <v>48</v>
      </c>
    </row>
    <row r="2229" s="17" customFormat="1" hidden="1" spans="1:32">
      <c r="A2229" s="17" t="s">
        <v>34</v>
      </c>
      <c r="B2229" s="19">
        <v>852</v>
      </c>
      <c r="C2229" s="183" t="s">
        <v>774</v>
      </c>
      <c r="D2229" s="17" t="s">
        <v>432</v>
      </c>
      <c r="E2229" s="17" t="s">
        <v>433</v>
      </c>
      <c r="F2229" s="17" t="s">
        <v>434</v>
      </c>
      <c r="H2229" s="19" t="s">
        <v>169</v>
      </c>
      <c r="I2229" s="19"/>
      <c r="J2229" s="17" t="s">
        <v>82</v>
      </c>
      <c r="K2229" s="188" t="s">
        <v>459</v>
      </c>
      <c r="L2229" s="188" t="s">
        <v>794</v>
      </c>
      <c r="M2229" s="188" t="s">
        <v>795</v>
      </c>
      <c r="N2229" s="19" t="s">
        <v>66</v>
      </c>
      <c r="O2229" s="19" t="s">
        <v>168</v>
      </c>
      <c r="P2229" s="19">
        <v>4135</v>
      </c>
      <c r="Q2229" s="19">
        <v>4135</v>
      </c>
      <c r="R2229" s="17">
        <f t="shared" si="120"/>
        <v>0</v>
      </c>
      <c r="S2229" s="19">
        <v>1025</v>
      </c>
      <c r="T2229" s="19" t="s">
        <v>94</v>
      </c>
      <c r="U2229" s="102" t="s">
        <v>789</v>
      </c>
      <c r="V2229" s="498" t="s">
        <v>790</v>
      </c>
      <c r="W2229" s="17" t="s">
        <v>44</v>
      </c>
      <c r="Y2229" s="68">
        <v>44866</v>
      </c>
      <c r="Z2229" s="17" t="s">
        <v>791</v>
      </c>
      <c r="AA2229" s="17" t="s">
        <v>46</v>
      </c>
      <c r="AB2229" s="17" t="s">
        <v>792</v>
      </c>
      <c r="AC2229" s="67">
        <v>45140</v>
      </c>
      <c r="AD2229" s="65">
        <v>1377</v>
      </c>
      <c r="AE2229" s="17" t="s">
        <v>48</v>
      </c>
    </row>
    <row r="2230" s="17" customFormat="1" hidden="1" spans="1:32">
      <c r="A2230" s="17" t="s">
        <v>34</v>
      </c>
      <c r="B2230" s="19">
        <v>852</v>
      </c>
      <c r="C2230" s="183" t="s">
        <v>774</v>
      </c>
      <c r="D2230" s="17" t="s">
        <v>432</v>
      </c>
      <c r="E2230" s="17" t="s">
        <v>433</v>
      </c>
      <c r="F2230" s="17" t="s">
        <v>434</v>
      </c>
      <c r="H2230" s="19" t="s">
        <v>169</v>
      </c>
      <c r="I2230" s="19"/>
      <c r="J2230" s="17" t="s">
        <v>82</v>
      </c>
      <c r="K2230" s="188" t="s">
        <v>455</v>
      </c>
      <c r="L2230" s="188" t="s">
        <v>796</v>
      </c>
      <c r="M2230" s="188" t="s">
        <v>505</v>
      </c>
      <c r="N2230" s="19" t="s">
        <v>66</v>
      </c>
      <c r="O2230" s="19" t="s">
        <v>168</v>
      </c>
      <c r="P2230" s="19">
        <v>2000</v>
      </c>
      <c r="Q2230" s="19">
        <v>2000</v>
      </c>
      <c r="R2230" s="17">
        <f t="shared" si="120"/>
        <v>0</v>
      </c>
      <c r="S2230" s="19">
        <v>1025</v>
      </c>
      <c r="T2230" s="19" t="s">
        <v>94</v>
      </c>
      <c r="U2230" s="102" t="s">
        <v>789</v>
      </c>
      <c r="V2230" s="498" t="s">
        <v>790</v>
      </c>
      <c r="W2230" s="17" t="s">
        <v>44</v>
      </c>
      <c r="Y2230" s="68">
        <v>44866</v>
      </c>
      <c r="Z2230" s="17" t="s">
        <v>791</v>
      </c>
      <c r="AA2230" s="17" t="s">
        <v>46</v>
      </c>
      <c r="AB2230" s="17" t="s">
        <v>792</v>
      </c>
      <c r="AC2230" s="67">
        <v>45140</v>
      </c>
      <c r="AD2230" s="65">
        <v>1377</v>
      </c>
      <c r="AE2230" s="17" t="s">
        <v>48</v>
      </c>
    </row>
    <row r="2231" s="17" customFormat="1" hidden="1" spans="1:32">
      <c r="A2231" s="17" t="s">
        <v>34</v>
      </c>
      <c r="B2231" s="19">
        <v>852</v>
      </c>
      <c r="C2231" s="183" t="s">
        <v>774</v>
      </c>
      <c r="D2231" s="17" t="s">
        <v>432</v>
      </c>
      <c r="E2231" s="17" t="s">
        <v>433</v>
      </c>
      <c r="F2231" s="17" t="s">
        <v>434</v>
      </c>
      <c r="H2231" s="19" t="s">
        <v>169</v>
      </c>
      <c r="I2231" s="19"/>
      <c r="J2231" s="17" t="s">
        <v>82</v>
      </c>
      <c r="K2231" s="188" t="s">
        <v>797</v>
      </c>
      <c r="L2231" s="188" t="s">
        <v>796</v>
      </c>
      <c r="M2231" s="188" t="s">
        <v>798</v>
      </c>
      <c r="N2231" s="19" t="s">
        <v>66</v>
      </c>
      <c r="O2231" s="19" t="s">
        <v>168</v>
      </c>
      <c r="P2231" s="19">
        <v>1055</v>
      </c>
      <c r="Q2231" s="19">
        <v>1055</v>
      </c>
      <c r="R2231" s="17">
        <f t="shared" si="120"/>
        <v>0</v>
      </c>
      <c r="S2231" s="19">
        <v>1025</v>
      </c>
      <c r="T2231" s="19" t="s">
        <v>94</v>
      </c>
      <c r="U2231" s="102" t="s">
        <v>789</v>
      </c>
      <c r="V2231" s="498" t="s">
        <v>790</v>
      </c>
      <c r="W2231" s="17" t="s">
        <v>44</v>
      </c>
      <c r="Y2231" s="68">
        <v>44866</v>
      </c>
      <c r="Z2231" s="17" t="s">
        <v>791</v>
      </c>
      <c r="AA2231" s="17" t="s">
        <v>46</v>
      </c>
      <c r="AB2231" s="17" t="s">
        <v>792</v>
      </c>
      <c r="AC2231" s="67">
        <v>45140</v>
      </c>
      <c r="AD2231" s="65">
        <v>1377</v>
      </c>
      <c r="AE2231" s="17" t="s">
        <v>48</v>
      </c>
    </row>
    <row r="2232" s="17" customFormat="1" hidden="1" spans="1:32">
      <c r="A2232" s="17" t="s">
        <v>34</v>
      </c>
      <c r="B2232" s="19">
        <v>852</v>
      </c>
      <c r="C2232" s="183" t="s">
        <v>774</v>
      </c>
      <c r="D2232" s="17" t="s">
        <v>432</v>
      </c>
      <c r="E2232" s="17" t="s">
        <v>433</v>
      </c>
      <c r="F2232" s="17" t="s">
        <v>434</v>
      </c>
      <c r="H2232" s="19" t="s">
        <v>169</v>
      </c>
      <c r="I2232" s="19"/>
      <c r="J2232" s="17" t="s">
        <v>82</v>
      </c>
      <c r="K2232" s="188" t="s">
        <v>445</v>
      </c>
      <c r="L2232" s="188" t="s">
        <v>799</v>
      </c>
      <c r="M2232" s="188" t="s">
        <v>800</v>
      </c>
      <c r="N2232" s="19" t="s">
        <v>66</v>
      </c>
      <c r="O2232" s="19" t="s">
        <v>168</v>
      </c>
      <c r="P2232" s="19">
        <v>2565</v>
      </c>
      <c r="Q2232" s="19">
        <v>2565</v>
      </c>
      <c r="R2232" s="17">
        <f t="shared" si="120"/>
        <v>0</v>
      </c>
      <c r="S2232" s="19">
        <v>1025</v>
      </c>
      <c r="T2232" s="19" t="s">
        <v>94</v>
      </c>
      <c r="U2232" s="102" t="s">
        <v>789</v>
      </c>
      <c r="V2232" s="498" t="s">
        <v>790</v>
      </c>
      <c r="W2232" s="17" t="s">
        <v>44</v>
      </c>
      <c r="Y2232" s="68">
        <v>44866</v>
      </c>
      <c r="Z2232" s="17" t="s">
        <v>791</v>
      </c>
      <c r="AA2232" s="17" t="s">
        <v>46</v>
      </c>
      <c r="AB2232" s="17" t="s">
        <v>792</v>
      </c>
      <c r="AC2232" s="67">
        <v>45140</v>
      </c>
      <c r="AD2232" s="65">
        <v>1377</v>
      </c>
      <c r="AE2232" s="17" t="s">
        <v>48</v>
      </c>
    </row>
    <row r="2233" s="17" customFormat="1" hidden="1" spans="1:32">
      <c r="A2233" s="17" t="s">
        <v>34</v>
      </c>
      <c r="B2233" s="19">
        <v>852</v>
      </c>
      <c r="C2233" s="183" t="s">
        <v>774</v>
      </c>
      <c r="D2233" s="17" t="s">
        <v>432</v>
      </c>
      <c r="E2233" s="17" t="s">
        <v>433</v>
      </c>
      <c r="F2233" s="17" t="s">
        <v>434</v>
      </c>
      <c r="H2233" s="19" t="s">
        <v>169</v>
      </c>
      <c r="I2233" s="19"/>
      <c r="J2233" s="17" t="s">
        <v>82</v>
      </c>
      <c r="K2233" s="188" t="s">
        <v>801</v>
      </c>
      <c r="L2233" s="188" t="s">
        <v>802</v>
      </c>
      <c r="M2233" s="188" t="s">
        <v>803</v>
      </c>
      <c r="N2233" s="19" t="s">
        <v>66</v>
      </c>
      <c r="O2233" s="19" t="s">
        <v>168</v>
      </c>
      <c r="P2233" s="19">
        <v>3548</v>
      </c>
      <c r="Q2233" s="19">
        <v>3548</v>
      </c>
      <c r="R2233" s="17">
        <f t="shared" si="120"/>
        <v>0</v>
      </c>
      <c r="S2233" s="19">
        <v>1025</v>
      </c>
      <c r="T2233" s="19" t="s">
        <v>94</v>
      </c>
      <c r="U2233" s="102" t="s">
        <v>789</v>
      </c>
      <c r="V2233" s="498" t="s">
        <v>790</v>
      </c>
      <c r="W2233" s="17" t="s">
        <v>44</v>
      </c>
      <c r="Y2233" s="68">
        <v>44866</v>
      </c>
      <c r="Z2233" s="17" t="s">
        <v>791</v>
      </c>
      <c r="AA2233" s="17" t="s">
        <v>46</v>
      </c>
      <c r="AB2233" s="17" t="s">
        <v>792</v>
      </c>
      <c r="AC2233" s="67">
        <v>45140</v>
      </c>
      <c r="AD2233" s="65">
        <v>1377</v>
      </c>
      <c r="AE2233" s="17" t="s">
        <v>48</v>
      </c>
    </row>
    <row r="2234" s="17" customFormat="1" hidden="1" spans="1:32">
      <c r="A2234" s="17" t="s">
        <v>34</v>
      </c>
      <c r="B2234" s="19">
        <v>852</v>
      </c>
      <c r="C2234" s="183" t="s">
        <v>774</v>
      </c>
      <c r="D2234" s="17" t="s">
        <v>432</v>
      </c>
      <c r="E2234" s="17" t="s">
        <v>433</v>
      </c>
      <c r="F2234" s="17" t="s">
        <v>434</v>
      </c>
      <c r="H2234" s="19" t="s">
        <v>169</v>
      </c>
      <c r="I2234" s="19"/>
      <c r="J2234" s="17" t="s">
        <v>82</v>
      </c>
      <c r="K2234" s="188" t="s">
        <v>508</v>
      </c>
      <c r="L2234" s="188" t="s">
        <v>804</v>
      </c>
      <c r="M2234" s="188" t="s">
        <v>456</v>
      </c>
      <c r="N2234" s="19" t="s">
        <v>66</v>
      </c>
      <c r="O2234" s="19" t="s">
        <v>168</v>
      </c>
      <c r="P2234" s="19">
        <v>1905</v>
      </c>
      <c r="Q2234" s="19">
        <v>1905</v>
      </c>
      <c r="R2234" s="17">
        <f t="shared" si="120"/>
        <v>0</v>
      </c>
      <c r="S2234" s="19">
        <v>1025</v>
      </c>
      <c r="T2234" s="19" t="s">
        <v>94</v>
      </c>
      <c r="U2234" s="102" t="s">
        <v>789</v>
      </c>
      <c r="V2234" s="498" t="s">
        <v>790</v>
      </c>
      <c r="W2234" s="17" t="s">
        <v>44</v>
      </c>
      <c r="Y2234" s="68">
        <v>44866</v>
      </c>
      <c r="Z2234" s="17" t="s">
        <v>791</v>
      </c>
      <c r="AA2234" s="17" t="s">
        <v>46</v>
      </c>
      <c r="AB2234" s="17" t="s">
        <v>792</v>
      </c>
      <c r="AC2234" s="67">
        <v>45140</v>
      </c>
      <c r="AD2234" s="65">
        <v>1377</v>
      </c>
      <c r="AE2234" s="17" t="s">
        <v>48</v>
      </c>
    </row>
    <row r="2235" s="17" customFormat="1" hidden="1" spans="1:32">
      <c r="A2235" s="17" t="s">
        <v>34</v>
      </c>
      <c r="B2235" s="19">
        <v>852</v>
      </c>
      <c r="C2235" s="183" t="s">
        <v>774</v>
      </c>
      <c r="D2235" s="17" t="s">
        <v>432</v>
      </c>
      <c r="E2235" s="17" t="s">
        <v>433</v>
      </c>
      <c r="F2235" s="17" t="s">
        <v>434</v>
      </c>
      <c r="H2235" s="19" t="s">
        <v>169</v>
      </c>
      <c r="I2235" s="19"/>
      <c r="J2235" s="17" t="s">
        <v>82</v>
      </c>
      <c r="K2235" s="188" t="s">
        <v>519</v>
      </c>
      <c r="L2235" s="188" t="s">
        <v>804</v>
      </c>
      <c r="M2235" s="188" t="s">
        <v>462</v>
      </c>
      <c r="N2235" s="19" t="s">
        <v>66</v>
      </c>
      <c r="O2235" s="19" t="s">
        <v>168</v>
      </c>
      <c r="P2235" s="19">
        <v>1596</v>
      </c>
      <c r="Q2235" s="19">
        <v>1596</v>
      </c>
      <c r="R2235" s="17">
        <f t="shared" si="120"/>
        <v>0</v>
      </c>
      <c r="S2235" s="19">
        <v>1025</v>
      </c>
      <c r="T2235" s="19" t="s">
        <v>94</v>
      </c>
      <c r="U2235" s="102" t="s">
        <v>789</v>
      </c>
      <c r="V2235" s="498" t="s">
        <v>790</v>
      </c>
      <c r="W2235" s="17" t="s">
        <v>44</v>
      </c>
      <c r="Y2235" s="68">
        <v>44866</v>
      </c>
      <c r="Z2235" s="17" t="s">
        <v>791</v>
      </c>
      <c r="AA2235" s="17" t="s">
        <v>46</v>
      </c>
      <c r="AB2235" s="17" t="s">
        <v>792</v>
      </c>
      <c r="AC2235" s="67">
        <v>45140</v>
      </c>
      <c r="AD2235" s="65">
        <v>1377</v>
      </c>
      <c r="AE2235" s="17" t="s">
        <v>48</v>
      </c>
    </row>
    <row r="2236" s="17" customFormat="1" hidden="1" spans="1:32">
      <c r="A2236" s="17" t="s">
        <v>34</v>
      </c>
      <c r="B2236" s="19">
        <v>852</v>
      </c>
      <c r="C2236" s="183" t="s">
        <v>774</v>
      </c>
      <c r="D2236" s="17" t="s">
        <v>432</v>
      </c>
      <c r="E2236" s="17" t="s">
        <v>433</v>
      </c>
      <c r="F2236" s="17" t="s">
        <v>434</v>
      </c>
      <c r="H2236" s="19" t="s">
        <v>169</v>
      </c>
      <c r="I2236" s="19"/>
      <c r="J2236" s="17" t="s">
        <v>82</v>
      </c>
      <c r="K2236" s="188" t="s">
        <v>805</v>
      </c>
      <c r="L2236" s="188" t="s">
        <v>806</v>
      </c>
      <c r="M2236" s="188" t="s">
        <v>807</v>
      </c>
      <c r="N2236" s="19" t="s">
        <v>66</v>
      </c>
      <c r="O2236" s="19" t="s">
        <v>168</v>
      </c>
      <c r="P2236" s="19">
        <v>4950</v>
      </c>
      <c r="Q2236" s="19">
        <v>4950</v>
      </c>
      <c r="R2236" s="17">
        <f t="shared" si="120"/>
        <v>0</v>
      </c>
      <c r="S2236" s="19">
        <v>1025</v>
      </c>
      <c r="T2236" s="19" t="s">
        <v>94</v>
      </c>
      <c r="U2236" s="102" t="s">
        <v>789</v>
      </c>
      <c r="V2236" s="498" t="s">
        <v>790</v>
      </c>
      <c r="W2236" s="17" t="s">
        <v>44</v>
      </c>
      <c r="Y2236" s="68">
        <v>44866</v>
      </c>
      <c r="Z2236" s="17" t="s">
        <v>791</v>
      </c>
      <c r="AA2236" s="17" t="s">
        <v>46</v>
      </c>
      <c r="AB2236" s="17" t="s">
        <v>808</v>
      </c>
      <c r="AC2236" s="67">
        <v>45140</v>
      </c>
      <c r="AD2236" s="65">
        <v>1377</v>
      </c>
      <c r="AE2236" s="17" t="s">
        <v>48</v>
      </c>
    </row>
    <row r="2237" s="17" customFormat="1" hidden="1" spans="1:32">
      <c r="A2237" s="17" t="s">
        <v>34</v>
      </c>
      <c r="B2237" s="19">
        <v>852</v>
      </c>
      <c r="C2237" s="183" t="s">
        <v>774</v>
      </c>
      <c r="D2237" s="17" t="s">
        <v>432</v>
      </c>
      <c r="E2237" s="17" t="s">
        <v>433</v>
      </c>
      <c r="F2237" s="17" t="s">
        <v>434</v>
      </c>
      <c r="H2237" s="19" t="s">
        <v>169</v>
      </c>
      <c r="I2237" s="19"/>
      <c r="J2237" s="17" t="s">
        <v>82</v>
      </c>
      <c r="K2237" s="188" t="s">
        <v>522</v>
      </c>
      <c r="L2237" s="188" t="s">
        <v>809</v>
      </c>
      <c r="M2237" s="188" t="s">
        <v>810</v>
      </c>
      <c r="N2237" s="19" t="s">
        <v>66</v>
      </c>
      <c r="O2237" s="19" t="s">
        <v>168</v>
      </c>
      <c r="P2237" s="19">
        <v>2780</v>
      </c>
      <c r="Q2237" s="19">
        <v>2780</v>
      </c>
      <c r="R2237" s="17">
        <f t="shared" si="120"/>
        <v>0</v>
      </c>
      <c r="S2237" s="19">
        <v>1025</v>
      </c>
      <c r="T2237" s="19" t="s">
        <v>94</v>
      </c>
      <c r="U2237" s="102" t="s">
        <v>789</v>
      </c>
      <c r="V2237" s="498" t="s">
        <v>790</v>
      </c>
      <c r="W2237" s="17" t="s">
        <v>44</v>
      </c>
      <c r="Y2237" s="68">
        <v>44866</v>
      </c>
      <c r="Z2237" s="17" t="s">
        <v>791</v>
      </c>
      <c r="AA2237" s="17" t="s">
        <v>46</v>
      </c>
      <c r="AB2237" s="17" t="s">
        <v>808</v>
      </c>
      <c r="AC2237" s="67">
        <v>45140</v>
      </c>
      <c r="AD2237" s="65">
        <v>1377</v>
      </c>
      <c r="AE2237" s="17" t="s">
        <v>48</v>
      </c>
    </row>
    <row r="2238" s="17" customFormat="1" hidden="1" spans="1:32">
      <c r="A2238" s="17" t="s">
        <v>34</v>
      </c>
      <c r="B2238" s="19">
        <v>852</v>
      </c>
      <c r="C2238" s="183" t="s">
        <v>774</v>
      </c>
      <c r="D2238" s="17" t="s">
        <v>432</v>
      </c>
      <c r="E2238" s="17" t="s">
        <v>433</v>
      </c>
      <c r="F2238" s="17" t="s">
        <v>434</v>
      </c>
      <c r="H2238" s="19" t="s">
        <v>169</v>
      </c>
      <c r="I2238" s="19"/>
      <c r="J2238" s="17" t="s">
        <v>82</v>
      </c>
      <c r="K2238" s="188" t="s">
        <v>811</v>
      </c>
      <c r="L2238" s="188" t="s">
        <v>809</v>
      </c>
      <c r="M2238" s="188" t="s">
        <v>519</v>
      </c>
      <c r="N2238" s="19" t="s">
        <v>66</v>
      </c>
      <c r="O2238" s="19" t="s">
        <v>168</v>
      </c>
      <c r="P2238" s="19">
        <v>1268</v>
      </c>
      <c r="Q2238" s="19">
        <v>1268</v>
      </c>
      <c r="R2238" s="17">
        <f t="shared" si="120"/>
        <v>0</v>
      </c>
      <c r="S2238" s="19">
        <v>1025</v>
      </c>
      <c r="T2238" s="19" t="s">
        <v>94</v>
      </c>
      <c r="U2238" s="102" t="s">
        <v>789</v>
      </c>
      <c r="V2238" s="498" t="s">
        <v>790</v>
      </c>
      <c r="W2238" s="17" t="s">
        <v>44</v>
      </c>
      <c r="Y2238" s="68">
        <v>44866</v>
      </c>
      <c r="Z2238" s="17" t="s">
        <v>791</v>
      </c>
      <c r="AA2238" s="17" t="s">
        <v>46</v>
      </c>
      <c r="AB2238" s="17" t="s">
        <v>808</v>
      </c>
      <c r="AC2238" s="67">
        <v>45140</v>
      </c>
      <c r="AD2238" s="65">
        <v>1377</v>
      </c>
      <c r="AE2238" s="17" t="s">
        <v>48</v>
      </c>
    </row>
    <row r="2239" s="17" customFormat="1" hidden="1" spans="1:32">
      <c r="A2239" s="17" t="s">
        <v>34</v>
      </c>
      <c r="B2239" s="19">
        <v>852</v>
      </c>
      <c r="C2239" s="183" t="s">
        <v>774</v>
      </c>
      <c r="D2239" s="17" t="s">
        <v>432</v>
      </c>
      <c r="E2239" s="17" t="s">
        <v>433</v>
      </c>
      <c r="F2239" s="17" t="s">
        <v>434</v>
      </c>
      <c r="H2239" s="19" t="s">
        <v>169</v>
      </c>
      <c r="I2239" s="19"/>
      <c r="J2239" s="17" t="s">
        <v>82</v>
      </c>
      <c r="K2239" s="188" t="s">
        <v>521</v>
      </c>
      <c r="L2239" s="188" t="s">
        <v>809</v>
      </c>
      <c r="M2239" s="188" t="s">
        <v>812</v>
      </c>
      <c r="N2239" s="19" t="s">
        <v>66</v>
      </c>
      <c r="O2239" s="19" t="s">
        <v>168</v>
      </c>
      <c r="P2239" s="19">
        <v>2095</v>
      </c>
      <c r="Q2239" s="19">
        <v>2095</v>
      </c>
      <c r="R2239" s="17">
        <f t="shared" si="120"/>
        <v>0</v>
      </c>
      <c r="S2239" s="19">
        <v>1025</v>
      </c>
      <c r="T2239" s="19" t="s">
        <v>94</v>
      </c>
      <c r="U2239" s="102" t="s">
        <v>789</v>
      </c>
      <c r="V2239" s="498" t="s">
        <v>790</v>
      </c>
      <c r="W2239" s="17" t="s">
        <v>44</v>
      </c>
      <c r="Y2239" s="68">
        <v>44866</v>
      </c>
      <c r="Z2239" s="17" t="s">
        <v>791</v>
      </c>
      <c r="AA2239" s="17" t="s">
        <v>46</v>
      </c>
      <c r="AB2239" s="17" t="s">
        <v>808</v>
      </c>
      <c r="AC2239" s="67">
        <v>45140</v>
      </c>
      <c r="AD2239" s="65">
        <v>1377</v>
      </c>
      <c r="AE2239" s="17" t="s">
        <v>48</v>
      </c>
    </row>
    <row r="2240" s="17" customFormat="1" hidden="1" spans="1:32">
      <c r="A2240" s="17" t="s">
        <v>34</v>
      </c>
      <c r="B2240" s="19">
        <v>852</v>
      </c>
      <c r="C2240" s="183" t="s">
        <v>774</v>
      </c>
      <c r="D2240" s="17" t="s">
        <v>432</v>
      </c>
      <c r="E2240" s="17" t="s">
        <v>433</v>
      </c>
      <c r="F2240" s="17" t="s">
        <v>434</v>
      </c>
      <c r="H2240" s="19" t="s">
        <v>169</v>
      </c>
      <c r="I2240" s="19"/>
      <c r="J2240" s="17" t="s">
        <v>82</v>
      </c>
      <c r="K2240" s="188" t="s">
        <v>813</v>
      </c>
      <c r="L2240" s="188" t="s">
        <v>522</v>
      </c>
      <c r="M2240" s="188" t="s">
        <v>814</v>
      </c>
      <c r="N2240" s="19" t="s">
        <v>66</v>
      </c>
      <c r="O2240" s="19" t="s">
        <v>168</v>
      </c>
      <c r="P2240" s="19">
        <v>2935</v>
      </c>
      <c r="Q2240" s="19">
        <v>2935</v>
      </c>
      <c r="R2240" s="17">
        <f t="shared" si="120"/>
        <v>0</v>
      </c>
      <c r="S2240" s="19">
        <v>1025</v>
      </c>
      <c r="T2240" s="19" t="s">
        <v>94</v>
      </c>
      <c r="U2240" s="102" t="s">
        <v>789</v>
      </c>
      <c r="V2240" s="498" t="s">
        <v>790</v>
      </c>
      <c r="W2240" s="17" t="s">
        <v>44</v>
      </c>
      <c r="Y2240" s="68">
        <v>44866</v>
      </c>
      <c r="Z2240" s="17" t="s">
        <v>791</v>
      </c>
      <c r="AA2240" s="17" t="s">
        <v>46</v>
      </c>
      <c r="AB2240" s="17" t="s">
        <v>808</v>
      </c>
      <c r="AC2240" s="67">
        <v>45140</v>
      </c>
      <c r="AD2240" s="65">
        <v>1377</v>
      </c>
      <c r="AE2240" s="17" t="s">
        <v>48</v>
      </c>
    </row>
    <row r="2241" s="17" customFormat="1" hidden="1" spans="1:31">
      <c r="A2241" s="17" t="s">
        <v>34</v>
      </c>
      <c r="B2241" s="19">
        <v>852</v>
      </c>
      <c r="C2241" s="183" t="s">
        <v>774</v>
      </c>
      <c r="D2241" s="17" t="s">
        <v>432</v>
      </c>
      <c r="E2241" s="17" t="s">
        <v>433</v>
      </c>
      <c r="F2241" s="17" t="s">
        <v>434</v>
      </c>
      <c r="H2241" s="19" t="s">
        <v>169</v>
      </c>
      <c r="I2241" s="19"/>
      <c r="J2241" s="17" t="s">
        <v>82</v>
      </c>
      <c r="K2241" s="188" t="s">
        <v>797</v>
      </c>
      <c r="L2241" s="188" t="s">
        <v>522</v>
      </c>
      <c r="M2241" s="188" t="s">
        <v>815</v>
      </c>
      <c r="N2241" s="19" t="s">
        <v>66</v>
      </c>
      <c r="O2241" s="19" t="s">
        <v>168</v>
      </c>
      <c r="P2241" s="19">
        <v>3480</v>
      </c>
      <c r="Q2241" s="19">
        <v>3480</v>
      </c>
      <c r="R2241" s="17">
        <f t="shared" si="120"/>
        <v>0</v>
      </c>
      <c r="S2241" s="19">
        <v>1025</v>
      </c>
      <c r="T2241" s="19" t="s">
        <v>94</v>
      </c>
      <c r="U2241" s="102" t="s">
        <v>789</v>
      </c>
      <c r="V2241" s="498" t="s">
        <v>790</v>
      </c>
      <c r="W2241" s="17" t="s">
        <v>44</v>
      </c>
      <c r="Y2241" s="68">
        <v>44866</v>
      </c>
      <c r="Z2241" s="17" t="s">
        <v>791</v>
      </c>
      <c r="AA2241" s="17" t="s">
        <v>46</v>
      </c>
      <c r="AB2241" s="17" t="s">
        <v>808</v>
      </c>
      <c r="AC2241" s="67">
        <v>45140</v>
      </c>
      <c r="AD2241" s="65">
        <v>1377</v>
      </c>
      <c r="AE2241" s="17" t="s">
        <v>48</v>
      </c>
    </row>
    <row r="2242" s="17" customFormat="1" hidden="1" spans="1:31">
      <c r="A2242" s="17" t="s">
        <v>34</v>
      </c>
      <c r="B2242" s="19">
        <v>852</v>
      </c>
      <c r="C2242" s="183" t="s">
        <v>774</v>
      </c>
      <c r="D2242" s="17" t="s">
        <v>432</v>
      </c>
      <c r="E2242" s="17" t="s">
        <v>433</v>
      </c>
      <c r="F2242" s="17" t="s">
        <v>434</v>
      </c>
      <c r="H2242" s="19" t="s">
        <v>169</v>
      </c>
      <c r="I2242" s="19"/>
      <c r="J2242" s="17" t="s">
        <v>82</v>
      </c>
      <c r="K2242" s="188" t="s">
        <v>816</v>
      </c>
      <c r="L2242" s="188" t="s">
        <v>817</v>
      </c>
      <c r="M2242" s="188" t="s">
        <v>818</v>
      </c>
      <c r="N2242" s="19" t="s">
        <v>66</v>
      </c>
      <c r="O2242" s="19" t="s">
        <v>168</v>
      </c>
      <c r="P2242" s="19">
        <v>1285</v>
      </c>
      <c r="Q2242" s="19">
        <v>1285</v>
      </c>
      <c r="R2242" s="17">
        <f t="shared" si="120"/>
        <v>0</v>
      </c>
      <c r="S2242" s="19">
        <v>1025</v>
      </c>
      <c r="T2242" s="19" t="s">
        <v>94</v>
      </c>
      <c r="U2242" s="102" t="s">
        <v>789</v>
      </c>
      <c r="V2242" s="498" t="s">
        <v>790</v>
      </c>
      <c r="W2242" s="17" t="s">
        <v>44</v>
      </c>
      <c r="Y2242" s="68">
        <v>44866</v>
      </c>
      <c r="Z2242" s="17" t="s">
        <v>791</v>
      </c>
      <c r="AA2242" s="17" t="s">
        <v>46</v>
      </c>
      <c r="AB2242" s="17" t="s">
        <v>792</v>
      </c>
      <c r="AC2242" s="67">
        <v>45140</v>
      </c>
      <c r="AD2242" s="65">
        <v>1377</v>
      </c>
      <c r="AE2242" s="17" t="s">
        <v>48</v>
      </c>
    </row>
    <row r="2243" s="17" customFormat="1" hidden="1" spans="1:31">
      <c r="A2243" s="17" t="s">
        <v>34</v>
      </c>
      <c r="B2243" s="19">
        <v>852</v>
      </c>
      <c r="C2243" s="183" t="s">
        <v>774</v>
      </c>
      <c r="D2243" s="17" t="s">
        <v>432</v>
      </c>
      <c r="E2243" s="17" t="s">
        <v>433</v>
      </c>
      <c r="F2243" s="17" t="s">
        <v>434</v>
      </c>
      <c r="H2243" s="19" t="s">
        <v>169</v>
      </c>
      <c r="I2243" s="19"/>
      <c r="J2243" s="17" t="s">
        <v>82</v>
      </c>
      <c r="K2243" s="188" t="s">
        <v>459</v>
      </c>
      <c r="L2243" s="188" t="s">
        <v>455</v>
      </c>
      <c r="M2243" s="188" t="s">
        <v>819</v>
      </c>
      <c r="N2243" s="19" t="s">
        <v>66</v>
      </c>
      <c r="O2243" s="19" t="s">
        <v>168</v>
      </c>
      <c r="P2243" s="19">
        <v>3680</v>
      </c>
      <c r="Q2243" s="19">
        <v>3680</v>
      </c>
      <c r="R2243" s="17">
        <f t="shared" si="120"/>
        <v>0</v>
      </c>
      <c r="S2243" s="19">
        <v>1025</v>
      </c>
      <c r="T2243" s="19" t="s">
        <v>94</v>
      </c>
      <c r="U2243" s="102" t="s">
        <v>789</v>
      </c>
      <c r="V2243" s="498" t="s">
        <v>790</v>
      </c>
      <c r="W2243" s="17" t="s">
        <v>44</v>
      </c>
      <c r="Y2243" s="68">
        <v>44866</v>
      </c>
      <c r="Z2243" s="17" t="s">
        <v>791</v>
      </c>
      <c r="AA2243" s="17" t="s">
        <v>46</v>
      </c>
      <c r="AB2243" s="17" t="s">
        <v>808</v>
      </c>
      <c r="AC2243" s="67">
        <v>45140</v>
      </c>
      <c r="AD2243" s="65">
        <v>1377</v>
      </c>
      <c r="AE2243" s="17" t="s">
        <v>48</v>
      </c>
    </row>
    <row r="2244" s="17" customFormat="1" hidden="1" spans="1:31">
      <c r="A2244" s="17" t="s">
        <v>34</v>
      </c>
      <c r="B2244" s="19">
        <v>852</v>
      </c>
      <c r="C2244" s="183" t="s">
        <v>774</v>
      </c>
      <c r="D2244" s="17" t="s">
        <v>432</v>
      </c>
      <c r="E2244" s="17" t="s">
        <v>433</v>
      </c>
      <c r="F2244" s="17" t="s">
        <v>434</v>
      </c>
      <c r="H2244" s="19" t="s">
        <v>169</v>
      </c>
      <c r="I2244" s="19"/>
      <c r="J2244" s="17" t="s">
        <v>82</v>
      </c>
      <c r="K2244" s="188" t="s">
        <v>811</v>
      </c>
      <c r="L2244" s="188" t="s">
        <v>455</v>
      </c>
      <c r="M2244" s="188" t="s">
        <v>820</v>
      </c>
      <c r="N2244" s="19" t="s">
        <v>66</v>
      </c>
      <c r="O2244" s="19" t="s">
        <v>168</v>
      </c>
      <c r="P2244" s="19">
        <v>2155</v>
      </c>
      <c r="Q2244" s="19">
        <v>2155</v>
      </c>
      <c r="R2244" s="17">
        <f t="shared" si="120"/>
        <v>0</v>
      </c>
      <c r="S2244" s="19">
        <v>1025</v>
      </c>
      <c r="T2244" s="19" t="s">
        <v>94</v>
      </c>
      <c r="U2244" s="102" t="s">
        <v>789</v>
      </c>
      <c r="V2244" s="498" t="s">
        <v>790</v>
      </c>
      <c r="W2244" s="17" t="s">
        <v>44</v>
      </c>
      <c r="Y2244" s="68">
        <v>44866</v>
      </c>
      <c r="Z2244" s="17" t="s">
        <v>791</v>
      </c>
      <c r="AA2244" s="17" t="s">
        <v>46</v>
      </c>
      <c r="AB2244" s="17" t="s">
        <v>808</v>
      </c>
      <c r="AC2244" s="67">
        <v>45140</v>
      </c>
      <c r="AD2244" s="65">
        <v>1377</v>
      </c>
      <c r="AE2244" s="17" t="s">
        <v>48</v>
      </c>
    </row>
    <row r="2245" s="17" customFormat="1" hidden="1" spans="1:31">
      <c r="A2245" s="17" t="s">
        <v>34</v>
      </c>
      <c r="B2245" s="19">
        <v>852</v>
      </c>
      <c r="C2245" s="183" t="s">
        <v>774</v>
      </c>
      <c r="D2245" s="17" t="s">
        <v>432</v>
      </c>
      <c r="E2245" s="17" t="s">
        <v>433</v>
      </c>
      <c r="F2245" s="17" t="s">
        <v>434</v>
      </c>
      <c r="H2245" s="19" t="s">
        <v>169</v>
      </c>
      <c r="I2245" s="19"/>
      <c r="J2245" s="17" t="s">
        <v>82</v>
      </c>
      <c r="K2245" s="169" t="s">
        <v>821</v>
      </c>
      <c r="L2245" s="169" t="s">
        <v>439</v>
      </c>
      <c r="M2245" s="169" t="s">
        <v>820</v>
      </c>
      <c r="N2245" s="19" t="s">
        <v>66</v>
      </c>
      <c r="O2245" s="19" t="s">
        <v>168</v>
      </c>
      <c r="P2245" s="19">
        <v>2105</v>
      </c>
      <c r="Q2245" s="19">
        <v>2105</v>
      </c>
      <c r="R2245" s="17">
        <f t="shared" si="120"/>
        <v>0</v>
      </c>
      <c r="S2245" s="19">
        <v>1025</v>
      </c>
      <c r="T2245" s="19" t="s">
        <v>94</v>
      </c>
      <c r="U2245" s="102" t="s">
        <v>789</v>
      </c>
      <c r="V2245" s="498" t="s">
        <v>790</v>
      </c>
      <c r="W2245" s="17" t="s">
        <v>44</v>
      </c>
      <c r="Y2245" s="68">
        <v>44866</v>
      </c>
      <c r="Z2245" s="17" t="s">
        <v>791</v>
      </c>
      <c r="AA2245" s="17" t="s">
        <v>46</v>
      </c>
      <c r="AB2245" s="17" t="s">
        <v>808</v>
      </c>
      <c r="AC2245" s="67">
        <v>45140</v>
      </c>
      <c r="AD2245" s="65">
        <v>1377</v>
      </c>
      <c r="AE2245" s="17" t="s">
        <v>48</v>
      </c>
    </row>
    <row r="2246" s="17" customFormat="1" hidden="1" spans="1:31">
      <c r="A2246" s="17" t="s">
        <v>34</v>
      </c>
      <c r="B2246" s="19">
        <v>852</v>
      </c>
      <c r="C2246" s="183" t="s">
        <v>774</v>
      </c>
      <c r="D2246" s="17" t="s">
        <v>432</v>
      </c>
      <c r="E2246" s="17" t="s">
        <v>433</v>
      </c>
      <c r="F2246" s="17" t="s">
        <v>434</v>
      </c>
      <c r="H2246" s="19" t="s">
        <v>169</v>
      </c>
      <c r="I2246" s="19"/>
      <c r="J2246" s="17" t="s">
        <v>82</v>
      </c>
      <c r="K2246" s="188" t="s">
        <v>821</v>
      </c>
      <c r="L2246" s="188" t="s">
        <v>822</v>
      </c>
      <c r="M2246" s="188" t="s">
        <v>820</v>
      </c>
      <c r="N2246" s="19" t="s">
        <v>66</v>
      </c>
      <c r="O2246" s="19" t="s">
        <v>168</v>
      </c>
      <c r="P2246" s="19">
        <v>2130</v>
      </c>
      <c r="Q2246" s="19">
        <v>2130</v>
      </c>
      <c r="R2246" s="17">
        <f t="shared" si="120"/>
        <v>0</v>
      </c>
      <c r="S2246" s="19">
        <v>1025</v>
      </c>
      <c r="T2246" s="19" t="s">
        <v>94</v>
      </c>
      <c r="U2246" s="102" t="s">
        <v>789</v>
      </c>
      <c r="V2246" s="498" t="s">
        <v>790</v>
      </c>
      <c r="W2246" s="17" t="s">
        <v>44</v>
      </c>
      <c r="Y2246" s="68">
        <v>44866</v>
      </c>
      <c r="Z2246" s="17" t="s">
        <v>791</v>
      </c>
      <c r="AA2246" s="17" t="s">
        <v>46</v>
      </c>
      <c r="AB2246" s="17" t="s">
        <v>792</v>
      </c>
      <c r="AC2246" s="67">
        <v>45140</v>
      </c>
      <c r="AD2246" s="65">
        <v>1377</v>
      </c>
      <c r="AE2246" s="17" t="s">
        <v>48</v>
      </c>
    </row>
    <row r="2247" s="17" customFormat="1" hidden="1" spans="1:31">
      <c r="A2247" s="17" t="s">
        <v>34</v>
      </c>
      <c r="B2247" s="19">
        <v>852</v>
      </c>
      <c r="C2247" s="183" t="s">
        <v>774</v>
      </c>
      <c r="D2247" s="17" t="s">
        <v>432</v>
      </c>
      <c r="E2247" s="17" t="s">
        <v>433</v>
      </c>
      <c r="F2247" s="17" t="s">
        <v>434</v>
      </c>
      <c r="H2247" s="19" t="s">
        <v>169</v>
      </c>
      <c r="I2247" s="19"/>
      <c r="J2247" s="17" t="s">
        <v>82</v>
      </c>
      <c r="K2247" s="188" t="s">
        <v>818</v>
      </c>
      <c r="L2247" s="188" t="s">
        <v>446</v>
      </c>
      <c r="M2247" s="188" t="s">
        <v>519</v>
      </c>
      <c r="N2247" s="19" t="s">
        <v>66</v>
      </c>
      <c r="O2247" s="19" t="s">
        <v>168</v>
      </c>
      <c r="P2247" s="19">
        <v>1510</v>
      </c>
      <c r="Q2247" s="19">
        <v>1510</v>
      </c>
      <c r="R2247" s="17">
        <f t="shared" si="120"/>
        <v>0</v>
      </c>
      <c r="S2247" s="19">
        <v>1025</v>
      </c>
      <c r="T2247" s="19" t="s">
        <v>94</v>
      </c>
      <c r="U2247" s="102" t="s">
        <v>789</v>
      </c>
      <c r="V2247" s="498" t="s">
        <v>790</v>
      </c>
      <c r="W2247" s="17" t="s">
        <v>44</v>
      </c>
      <c r="Y2247" s="68">
        <v>44866</v>
      </c>
      <c r="Z2247" s="17" t="s">
        <v>791</v>
      </c>
      <c r="AA2247" s="17" t="s">
        <v>46</v>
      </c>
      <c r="AB2247" s="17" t="s">
        <v>823</v>
      </c>
      <c r="AC2247" s="67">
        <v>45140</v>
      </c>
      <c r="AD2247" s="65">
        <v>1377</v>
      </c>
      <c r="AE2247" s="17" t="s">
        <v>48</v>
      </c>
    </row>
    <row r="2248" s="17" customFormat="1" hidden="1" spans="1:31">
      <c r="A2248" s="17" t="s">
        <v>34</v>
      </c>
      <c r="B2248" s="19">
        <v>852</v>
      </c>
      <c r="C2248" s="183" t="s">
        <v>774</v>
      </c>
      <c r="D2248" s="17" t="s">
        <v>432</v>
      </c>
      <c r="E2248" s="17" t="s">
        <v>433</v>
      </c>
      <c r="F2248" s="17" t="s">
        <v>434</v>
      </c>
      <c r="H2248" s="19" t="s">
        <v>169</v>
      </c>
      <c r="I2248" s="19"/>
      <c r="J2248" s="17" t="s">
        <v>82</v>
      </c>
      <c r="K2248" s="188" t="s">
        <v>818</v>
      </c>
      <c r="L2248" s="188" t="s">
        <v>446</v>
      </c>
      <c r="M2248" s="188" t="s">
        <v>824</v>
      </c>
      <c r="N2248" s="19" t="s">
        <v>66</v>
      </c>
      <c r="O2248" s="19" t="s">
        <v>168</v>
      </c>
      <c r="P2248" s="19">
        <v>3695</v>
      </c>
      <c r="Q2248" s="19">
        <v>3695</v>
      </c>
      <c r="R2248" s="17">
        <f t="shared" si="120"/>
        <v>0</v>
      </c>
      <c r="S2248" s="19">
        <v>1025</v>
      </c>
      <c r="T2248" s="19" t="s">
        <v>94</v>
      </c>
      <c r="U2248" s="102" t="s">
        <v>789</v>
      </c>
      <c r="V2248" s="498" t="s">
        <v>790</v>
      </c>
      <c r="W2248" s="17" t="s">
        <v>44</v>
      </c>
      <c r="Y2248" s="68">
        <v>44866</v>
      </c>
      <c r="Z2248" s="17" t="s">
        <v>791</v>
      </c>
      <c r="AA2248" s="17" t="s">
        <v>46</v>
      </c>
      <c r="AB2248" s="17" t="s">
        <v>823</v>
      </c>
      <c r="AC2248" s="67">
        <v>45140</v>
      </c>
      <c r="AD2248" s="65">
        <v>1377</v>
      </c>
      <c r="AE2248" s="17" t="s">
        <v>48</v>
      </c>
    </row>
    <row r="2249" s="17" customFormat="1" hidden="1" spans="1:31">
      <c r="A2249" s="17" t="s">
        <v>34</v>
      </c>
      <c r="B2249" s="19">
        <v>852</v>
      </c>
      <c r="C2249" s="183" t="s">
        <v>774</v>
      </c>
      <c r="D2249" s="17" t="s">
        <v>432</v>
      </c>
      <c r="E2249" s="17" t="s">
        <v>433</v>
      </c>
      <c r="F2249" s="17" t="s">
        <v>434</v>
      </c>
      <c r="H2249" s="19" t="s">
        <v>169</v>
      </c>
      <c r="I2249" s="19"/>
      <c r="J2249" s="17" t="s">
        <v>82</v>
      </c>
      <c r="K2249" s="188" t="s">
        <v>445</v>
      </c>
      <c r="L2249" s="188" t="s">
        <v>825</v>
      </c>
      <c r="M2249" s="188" t="s">
        <v>826</v>
      </c>
      <c r="N2249" s="19" t="s">
        <v>66</v>
      </c>
      <c r="O2249" s="19" t="s">
        <v>168</v>
      </c>
      <c r="P2249" s="19">
        <v>4740</v>
      </c>
      <c r="Q2249" s="19">
        <v>4740</v>
      </c>
      <c r="R2249" s="17">
        <f t="shared" si="120"/>
        <v>0</v>
      </c>
      <c r="S2249" s="19">
        <v>1025</v>
      </c>
      <c r="T2249" s="19" t="s">
        <v>94</v>
      </c>
      <c r="U2249" s="102" t="s">
        <v>789</v>
      </c>
      <c r="V2249" s="498" t="s">
        <v>790</v>
      </c>
      <c r="W2249" s="17" t="s">
        <v>44</v>
      </c>
      <c r="Y2249" s="68">
        <v>44866</v>
      </c>
      <c r="Z2249" s="17" t="s">
        <v>791</v>
      </c>
      <c r="AA2249" s="17" t="s">
        <v>46</v>
      </c>
      <c r="AB2249" s="17" t="s">
        <v>823</v>
      </c>
      <c r="AC2249" s="67">
        <v>45140</v>
      </c>
      <c r="AD2249" s="65">
        <v>1377</v>
      </c>
      <c r="AE2249" s="17" t="s">
        <v>48</v>
      </c>
    </row>
    <row r="2250" s="17" customFormat="1" hidden="1" spans="1:31">
      <c r="A2250" s="17" t="s">
        <v>34</v>
      </c>
      <c r="B2250" s="19">
        <v>852</v>
      </c>
      <c r="C2250" s="183" t="s">
        <v>774</v>
      </c>
      <c r="D2250" s="17" t="s">
        <v>432</v>
      </c>
      <c r="E2250" s="17" t="s">
        <v>433</v>
      </c>
      <c r="F2250" s="17" t="s">
        <v>434</v>
      </c>
      <c r="H2250" s="19" t="s">
        <v>169</v>
      </c>
      <c r="I2250" s="19"/>
      <c r="J2250" s="17" t="s">
        <v>82</v>
      </c>
      <c r="K2250" s="188" t="s">
        <v>457</v>
      </c>
      <c r="L2250" s="188" t="s">
        <v>825</v>
      </c>
      <c r="M2250" s="188" t="s">
        <v>827</v>
      </c>
      <c r="N2250" s="19" t="s">
        <v>66</v>
      </c>
      <c r="O2250" s="19" t="s">
        <v>168</v>
      </c>
      <c r="P2250" s="19">
        <v>4370</v>
      </c>
      <c r="Q2250" s="19">
        <v>4370</v>
      </c>
      <c r="R2250" s="17">
        <f t="shared" si="120"/>
        <v>0</v>
      </c>
      <c r="S2250" s="19">
        <v>1025</v>
      </c>
      <c r="T2250" s="19" t="s">
        <v>94</v>
      </c>
      <c r="U2250" s="102" t="s">
        <v>789</v>
      </c>
      <c r="V2250" s="498" t="s">
        <v>790</v>
      </c>
      <c r="W2250" s="17" t="s">
        <v>44</v>
      </c>
      <c r="Y2250" s="68">
        <v>44866</v>
      </c>
      <c r="Z2250" s="17" t="s">
        <v>791</v>
      </c>
      <c r="AA2250" s="17" t="s">
        <v>46</v>
      </c>
      <c r="AB2250" s="17" t="s">
        <v>823</v>
      </c>
      <c r="AC2250" s="67">
        <v>45140</v>
      </c>
      <c r="AD2250" s="65">
        <v>1377</v>
      </c>
      <c r="AE2250" s="17" t="s">
        <v>48</v>
      </c>
    </row>
    <row r="2251" s="17" customFormat="1" hidden="1" spans="1:31">
      <c r="A2251" s="17" t="s">
        <v>34</v>
      </c>
      <c r="B2251" s="19">
        <v>852</v>
      </c>
      <c r="C2251" s="183" t="s">
        <v>774</v>
      </c>
      <c r="D2251" s="17" t="s">
        <v>432</v>
      </c>
      <c r="E2251" s="17" t="s">
        <v>433</v>
      </c>
      <c r="F2251" s="17" t="s">
        <v>434</v>
      </c>
      <c r="H2251" s="19" t="s">
        <v>169</v>
      </c>
      <c r="I2251" s="19"/>
      <c r="J2251" s="17" t="s">
        <v>82</v>
      </c>
      <c r="K2251" s="188" t="s">
        <v>459</v>
      </c>
      <c r="L2251" s="188" t="s">
        <v>520</v>
      </c>
      <c r="M2251" s="188" t="s">
        <v>828</v>
      </c>
      <c r="N2251" s="19" t="s">
        <v>66</v>
      </c>
      <c r="O2251" s="19" t="s">
        <v>168</v>
      </c>
      <c r="P2251" s="19">
        <v>4680</v>
      </c>
      <c r="Q2251" s="19">
        <v>4680</v>
      </c>
      <c r="R2251" s="17">
        <f t="shared" si="120"/>
        <v>0</v>
      </c>
      <c r="S2251" s="19">
        <v>1025</v>
      </c>
      <c r="T2251" s="19" t="s">
        <v>94</v>
      </c>
      <c r="U2251" s="102" t="s">
        <v>789</v>
      </c>
      <c r="V2251" s="498" t="s">
        <v>790</v>
      </c>
      <c r="W2251" s="17" t="s">
        <v>44</v>
      </c>
      <c r="Y2251" s="68">
        <v>44866</v>
      </c>
      <c r="Z2251" s="17" t="s">
        <v>791</v>
      </c>
      <c r="AA2251" s="17" t="s">
        <v>46</v>
      </c>
      <c r="AB2251" s="17" t="s">
        <v>823</v>
      </c>
      <c r="AC2251" s="67">
        <v>45140</v>
      </c>
      <c r="AD2251" s="65">
        <v>1377</v>
      </c>
      <c r="AE2251" s="17" t="s">
        <v>48</v>
      </c>
    </row>
    <row r="2252" s="17" customFormat="1" hidden="1" spans="1:31">
      <c r="A2252" s="17" t="s">
        <v>34</v>
      </c>
      <c r="B2252" s="19">
        <v>852</v>
      </c>
      <c r="C2252" s="183" t="s">
        <v>774</v>
      </c>
      <c r="D2252" s="17" t="s">
        <v>432</v>
      </c>
      <c r="E2252" s="17" t="s">
        <v>433</v>
      </c>
      <c r="F2252" s="17" t="s">
        <v>434</v>
      </c>
      <c r="H2252" s="19" t="s">
        <v>169</v>
      </c>
      <c r="I2252" s="19"/>
      <c r="J2252" s="17" t="s">
        <v>82</v>
      </c>
      <c r="K2252" s="188" t="s">
        <v>459</v>
      </c>
      <c r="L2252" s="188" t="s">
        <v>829</v>
      </c>
      <c r="M2252" s="188" t="s">
        <v>830</v>
      </c>
      <c r="N2252" s="19" t="s">
        <v>66</v>
      </c>
      <c r="O2252" s="19" t="s">
        <v>168</v>
      </c>
      <c r="P2252" s="19">
        <v>2282</v>
      </c>
      <c r="Q2252" s="19">
        <v>2282</v>
      </c>
      <c r="R2252" s="17">
        <f t="shared" si="120"/>
        <v>0</v>
      </c>
      <c r="S2252" s="19">
        <v>1025</v>
      </c>
      <c r="T2252" s="19" t="s">
        <v>94</v>
      </c>
      <c r="U2252" s="102" t="s">
        <v>789</v>
      </c>
      <c r="V2252" s="498" t="s">
        <v>790</v>
      </c>
      <c r="W2252" s="17" t="s">
        <v>44</v>
      </c>
      <c r="Y2252" s="68">
        <v>44866</v>
      </c>
      <c r="Z2252" s="17" t="s">
        <v>791</v>
      </c>
      <c r="AA2252" s="17" t="s">
        <v>46</v>
      </c>
      <c r="AB2252" s="17" t="s">
        <v>823</v>
      </c>
      <c r="AC2252" s="67">
        <v>45140</v>
      </c>
      <c r="AD2252" s="65">
        <v>1377</v>
      </c>
      <c r="AE2252" s="17" t="s">
        <v>48</v>
      </c>
    </row>
    <row r="2253" s="17" customFormat="1" hidden="1" spans="1:31">
      <c r="A2253" s="17" t="s">
        <v>34</v>
      </c>
      <c r="B2253" s="19">
        <v>852</v>
      </c>
      <c r="C2253" s="183" t="s">
        <v>774</v>
      </c>
      <c r="D2253" s="17" t="s">
        <v>432</v>
      </c>
      <c r="E2253" s="17" t="s">
        <v>433</v>
      </c>
      <c r="F2253" s="17" t="s">
        <v>434</v>
      </c>
      <c r="H2253" s="19" t="s">
        <v>169</v>
      </c>
      <c r="I2253" s="19"/>
      <c r="J2253" s="17" t="s">
        <v>82</v>
      </c>
      <c r="K2253" s="169" t="s">
        <v>831</v>
      </c>
      <c r="L2253" s="169" t="s">
        <v>821</v>
      </c>
      <c r="M2253" s="169" t="s">
        <v>832</v>
      </c>
      <c r="N2253" s="19" t="s">
        <v>66</v>
      </c>
      <c r="O2253" s="19" t="s">
        <v>168</v>
      </c>
      <c r="P2253" s="19">
        <v>5050</v>
      </c>
      <c r="Q2253" s="19">
        <v>5050</v>
      </c>
      <c r="R2253" s="17">
        <f t="shared" si="120"/>
        <v>0</v>
      </c>
      <c r="S2253" s="19">
        <v>1025</v>
      </c>
      <c r="T2253" s="19" t="s">
        <v>94</v>
      </c>
      <c r="U2253" s="102" t="s">
        <v>789</v>
      </c>
      <c r="V2253" s="498" t="s">
        <v>790</v>
      </c>
      <c r="W2253" s="17" t="s">
        <v>44</v>
      </c>
      <c r="Y2253" s="68">
        <v>44866</v>
      </c>
      <c r="Z2253" s="17" t="s">
        <v>791</v>
      </c>
      <c r="AA2253" s="17" t="s">
        <v>46</v>
      </c>
      <c r="AB2253" s="17" t="s">
        <v>823</v>
      </c>
      <c r="AC2253" s="67">
        <v>45140</v>
      </c>
      <c r="AD2253" s="65">
        <v>1377</v>
      </c>
      <c r="AE2253" s="17" t="s">
        <v>48</v>
      </c>
    </row>
    <row r="2254" s="17" customFormat="1" hidden="1" spans="1:31">
      <c r="B2254" s="19">
        <v>853</v>
      </c>
      <c r="C2254" s="183" t="s">
        <v>774</v>
      </c>
      <c r="D2254" s="17" t="s">
        <v>432</v>
      </c>
      <c r="E2254" s="17" t="s">
        <v>433</v>
      </c>
      <c r="F2254" s="17" t="s">
        <v>434</v>
      </c>
      <c r="H2254" s="19" t="s">
        <v>169</v>
      </c>
      <c r="I2254" s="19"/>
      <c r="J2254" s="17" t="s">
        <v>82</v>
      </c>
      <c r="K2254" s="188" t="s">
        <v>833</v>
      </c>
      <c r="L2254" s="188" t="s">
        <v>834</v>
      </c>
      <c r="M2254" s="238" t="s">
        <v>835</v>
      </c>
      <c r="N2254" s="19" t="s">
        <v>66</v>
      </c>
      <c r="O2254" s="19" t="s">
        <v>168</v>
      </c>
      <c r="P2254" s="93">
        <v>304</v>
      </c>
      <c r="Q2254" s="19">
        <v>304</v>
      </c>
      <c r="R2254" s="17">
        <f t="shared" si="120"/>
        <v>0</v>
      </c>
      <c r="S2254" s="19">
        <v>1025</v>
      </c>
      <c r="T2254" s="19" t="s">
        <v>94</v>
      </c>
      <c r="U2254" s="102" t="s">
        <v>836</v>
      </c>
      <c r="V2254" s="498" t="s">
        <v>790</v>
      </c>
      <c r="W2254" s="17" t="s">
        <v>44</v>
      </c>
      <c r="Y2254" s="68">
        <v>44866</v>
      </c>
      <c r="Z2254" s="17" t="s">
        <v>436</v>
      </c>
      <c r="AA2254" s="17" t="s">
        <v>46</v>
      </c>
      <c r="AB2254" s="17" t="s">
        <v>837</v>
      </c>
      <c r="AC2254" s="17" t="s">
        <v>838</v>
      </c>
      <c r="AD2254" s="65">
        <v>1361</v>
      </c>
      <c r="AE2254" s="17" t="s">
        <v>48</v>
      </c>
    </row>
    <row r="2255" s="17" customFormat="1" hidden="1" spans="1:31">
      <c r="B2255" s="19">
        <v>853</v>
      </c>
      <c r="C2255" s="183" t="s">
        <v>774</v>
      </c>
      <c r="D2255" s="17" t="s">
        <v>432</v>
      </c>
      <c r="E2255" s="17" t="s">
        <v>433</v>
      </c>
      <c r="F2255" s="17" t="s">
        <v>434</v>
      </c>
      <c r="H2255" s="19">
        <v>1.2311</v>
      </c>
      <c r="I2255" s="19"/>
      <c r="J2255" s="17" t="s">
        <v>82</v>
      </c>
      <c r="K2255" s="188" t="s">
        <v>520</v>
      </c>
      <c r="L2255" s="188" t="s">
        <v>834</v>
      </c>
      <c r="M2255" s="188" t="s">
        <v>839</v>
      </c>
      <c r="N2255" s="19" t="s">
        <v>66</v>
      </c>
      <c r="O2255" s="19" t="s">
        <v>168</v>
      </c>
      <c r="P2255" s="19">
        <v>302</v>
      </c>
      <c r="Q2255" s="19">
        <v>302</v>
      </c>
      <c r="R2255" s="17">
        <f t="shared" si="120"/>
        <v>0</v>
      </c>
      <c r="S2255" s="19">
        <v>1025</v>
      </c>
      <c r="T2255" s="19" t="s">
        <v>94</v>
      </c>
      <c r="U2255" s="102" t="s">
        <v>836</v>
      </c>
      <c r="V2255" s="498" t="s">
        <v>790</v>
      </c>
      <c r="W2255" s="17" t="s">
        <v>44</v>
      </c>
      <c r="Y2255" s="68">
        <v>44866</v>
      </c>
      <c r="Z2255" s="17" t="s">
        <v>436</v>
      </c>
      <c r="AA2255" s="17" t="s">
        <v>46</v>
      </c>
      <c r="AB2255" s="17" t="s">
        <v>837</v>
      </c>
      <c r="AC2255" s="17" t="s">
        <v>838</v>
      </c>
      <c r="AD2255" s="65">
        <v>1361</v>
      </c>
      <c r="AE2255" s="17" t="s">
        <v>48</v>
      </c>
    </row>
    <row r="2256" s="17" customFormat="1" hidden="1" spans="1:31">
      <c r="B2256" s="19">
        <v>853</v>
      </c>
      <c r="C2256" s="183" t="s">
        <v>774</v>
      </c>
      <c r="D2256" s="17" t="s">
        <v>432</v>
      </c>
      <c r="E2256" s="17" t="s">
        <v>433</v>
      </c>
      <c r="F2256" s="17" t="s">
        <v>434</v>
      </c>
      <c r="H2256" s="19" t="s">
        <v>169</v>
      </c>
      <c r="I2256" s="19"/>
      <c r="J2256" s="17" t="s">
        <v>82</v>
      </c>
      <c r="K2256" s="188" t="s">
        <v>459</v>
      </c>
      <c r="L2256" s="188" t="s">
        <v>834</v>
      </c>
      <c r="M2256" s="188" t="s">
        <v>840</v>
      </c>
      <c r="N2256" s="19" t="s">
        <v>66</v>
      </c>
      <c r="O2256" s="19" t="s">
        <v>168</v>
      </c>
      <c r="P2256" s="19">
        <v>405</v>
      </c>
      <c r="Q2256" s="19">
        <v>405</v>
      </c>
      <c r="R2256" s="17">
        <f t="shared" si="120"/>
        <v>0</v>
      </c>
      <c r="S2256" s="19">
        <v>1025</v>
      </c>
      <c r="T2256" s="19" t="s">
        <v>94</v>
      </c>
      <c r="U2256" s="102" t="s">
        <v>836</v>
      </c>
      <c r="V2256" s="498" t="s">
        <v>790</v>
      </c>
      <c r="W2256" s="17" t="s">
        <v>44</v>
      </c>
      <c r="Y2256" s="68">
        <v>44866</v>
      </c>
      <c r="Z2256" s="17" t="s">
        <v>436</v>
      </c>
      <c r="AA2256" s="17" t="s">
        <v>46</v>
      </c>
      <c r="AB2256" s="17" t="s">
        <v>837</v>
      </c>
      <c r="AC2256" s="17" t="s">
        <v>838</v>
      </c>
      <c r="AD2256" s="65">
        <v>1361</v>
      </c>
      <c r="AE2256" s="17" t="s">
        <v>48</v>
      </c>
    </row>
    <row r="2257" s="17" customFormat="1" hidden="1" spans="2:31">
      <c r="B2257" s="19">
        <v>853</v>
      </c>
      <c r="C2257" s="183" t="s">
        <v>774</v>
      </c>
      <c r="D2257" s="17" t="s">
        <v>432</v>
      </c>
      <c r="E2257" s="17" t="s">
        <v>433</v>
      </c>
      <c r="F2257" s="17" t="s">
        <v>434</v>
      </c>
      <c r="H2257" s="19" t="s">
        <v>169</v>
      </c>
      <c r="I2257" s="19"/>
      <c r="J2257" s="17" t="s">
        <v>82</v>
      </c>
      <c r="K2257" s="188" t="s">
        <v>522</v>
      </c>
      <c r="L2257" s="188" t="s">
        <v>841</v>
      </c>
      <c r="M2257" s="188" t="s">
        <v>842</v>
      </c>
      <c r="N2257" s="19" t="s">
        <v>66</v>
      </c>
      <c r="O2257" s="19" t="s">
        <v>168</v>
      </c>
      <c r="P2257" s="19">
        <v>470</v>
      </c>
      <c r="Q2257" s="19">
        <v>470</v>
      </c>
      <c r="R2257" s="17">
        <f t="shared" si="120"/>
        <v>0</v>
      </c>
      <c r="S2257" s="19">
        <v>1025</v>
      </c>
      <c r="T2257" s="19" t="s">
        <v>94</v>
      </c>
      <c r="U2257" s="102" t="s">
        <v>836</v>
      </c>
      <c r="V2257" s="498" t="s">
        <v>790</v>
      </c>
      <c r="W2257" s="17" t="s">
        <v>44</v>
      </c>
      <c r="Y2257" s="68">
        <v>44866</v>
      </c>
      <c r="Z2257" s="17" t="s">
        <v>436</v>
      </c>
      <c r="AA2257" s="17" t="s">
        <v>46</v>
      </c>
      <c r="AB2257" s="17" t="s">
        <v>837</v>
      </c>
      <c r="AC2257" s="17" t="s">
        <v>838</v>
      </c>
      <c r="AD2257" s="65">
        <v>1361</v>
      </c>
      <c r="AE2257" s="17" t="s">
        <v>48</v>
      </c>
    </row>
    <row r="2258" s="17" customFormat="1" hidden="1" spans="2:31">
      <c r="B2258" s="19">
        <v>853</v>
      </c>
      <c r="C2258" s="183" t="s">
        <v>774</v>
      </c>
      <c r="D2258" s="17" t="s">
        <v>432</v>
      </c>
      <c r="E2258" s="17" t="s">
        <v>433</v>
      </c>
      <c r="F2258" s="17" t="s">
        <v>434</v>
      </c>
      <c r="H2258" s="19" t="s">
        <v>169</v>
      </c>
      <c r="I2258" s="19"/>
      <c r="J2258" s="17" t="s">
        <v>82</v>
      </c>
      <c r="K2258" s="188" t="s">
        <v>520</v>
      </c>
      <c r="L2258" s="188" t="s">
        <v>841</v>
      </c>
      <c r="M2258" s="188" t="s">
        <v>843</v>
      </c>
      <c r="N2258" s="19" t="s">
        <v>66</v>
      </c>
      <c r="O2258" s="19" t="s">
        <v>168</v>
      </c>
      <c r="P2258" s="19">
        <v>410</v>
      </c>
      <c r="Q2258" s="19">
        <v>410</v>
      </c>
      <c r="R2258" s="17">
        <f t="shared" si="120"/>
        <v>0</v>
      </c>
      <c r="S2258" s="19">
        <v>1025</v>
      </c>
      <c r="T2258" s="19" t="s">
        <v>94</v>
      </c>
      <c r="U2258" s="102" t="s">
        <v>836</v>
      </c>
      <c r="V2258" s="498" t="s">
        <v>790</v>
      </c>
      <c r="W2258" s="17" t="s">
        <v>44</v>
      </c>
      <c r="Y2258" s="68">
        <v>44866</v>
      </c>
      <c r="Z2258" s="17" t="s">
        <v>436</v>
      </c>
      <c r="AA2258" s="17" t="s">
        <v>46</v>
      </c>
      <c r="AB2258" s="17" t="s">
        <v>837</v>
      </c>
      <c r="AC2258" s="17" t="s">
        <v>838</v>
      </c>
      <c r="AD2258" s="65">
        <v>1361</v>
      </c>
      <c r="AE2258" s="17" t="s">
        <v>48</v>
      </c>
    </row>
    <row r="2259" s="17" customFormat="1" hidden="1" spans="2:31">
      <c r="B2259" s="19">
        <v>853</v>
      </c>
      <c r="C2259" s="183" t="s">
        <v>774</v>
      </c>
      <c r="D2259" s="17" t="s">
        <v>432</v>
      </c>
      <c r="E2259" s="17" t="s">
        <v>433</v>
      </c>
      <c r="F2259" s="17" t="s">
        <v>434</v>
      </c>
      <c r="H2259" s="19" t="s">
        <v>169</v>
      </c>
      <c r="I2259" s="19"/>
      <c r="J2259" s="17" t="s">
        <v>82</v>
      </c>
      <c r="K2259" s="188" t="s">
        <v>445</v>
      </c>
      <c r="L2259" s="188" t="s">
        <v>841</v>
      </c>
      <c r="M2259" s="188" t="s">
        <v>844</v>
      </c>
      <c r="N2259" s="19" t="s">
        <v>66</v>
      </c>
      <c r="O2259" s="19" t="s">
        <v>168</v>
      </c>
      <c r="P2259" s="19">
        <v>595</v>
      </c>
      <c r="Q2259" s="19">
        <v>595</v>
      </c>
      <c r="R2259" s="17">
        <f t="shared" ref="R2259:R2290" si="121">+P2259-Q2259</f>
        <v>0</v>
      </c>
      <c r="S2259" s="19">
        <v>1025</v>
      </c>
      <c r="T2259" s="19" t="s">
        <v>94</v>
      </c>
      <c r="U2259" s="102" t="s">
        <v>836</v>
      </c>
      <c r="V2259" s="498" t="s">
        <v>790</v>
      </c>
      <c r="W2259" s="17" t="s">
        <v>44</v>
      </c>
      <c r="Y2259" s="68">
        <v>44866</v>
      </c>
      <c r="Z2259" s="17" t="s">
        <v>436</v>
      </c>
      <c r="AA2259" s="17" t="s">
        <v>46</v>
      </c>
      <c r="AB2259" s="17" t="s">
        <v>837</v>
      </c>
      <c r="AC2259" s="17" t="s">
        <v>838</v>
      </c>
      <c r="AD2259" s="65">
        <v>1361</v>
      </c>
      <c r="AE2259" s="17" t="s">
        <v>48</v>
      </c>
    </row>
    <row r="2260" s="17" customFormat="1" hidden="1" spans="2:31">
      <c r="B2260" s="19">
        <v>853</v>
      </c>
      <c r="C2260" s="183" t="s">
        <v>774</v>
      </c>
      <c r="D2260" s="17" t="s">
        <v>432</v>
      </c>
      <c r="E2260" s="17" t="s">
        <v>433</v>
      </c>
      <c r="F2260" s="17" t="s">
        <v>434</v>
      </c>
      <c r="H2260" s="19" t="s">
        <v>169</v>
      </c>
      <c r="I2260" s="19"/>
      <c r="J2260" s="17" t="s">
        <v>82</v>
      </c>
      <c r="K2260" s="188" t="s">
        <v>818</v>
      </c>
      <c r="L2260" s="188" t="s">
        <v>841</v>
      </c>
      <c r="M2260" s="188" t="s">
        <v>845</v>
      </c>
      <c r="N2260" s="19" t="s">
        <v>66</v>
      </c>
      <c r="O2260" s="19" t="s">
        <v>168</v>
      </c>
      <c r="P2260" s="19">
        <v>455</v>
      </c>
      <c r="Q2260" s="19">
        <v>455</v>
      </c>
      <c r="R2260" s="17">
        <f t="shared" si="121"/>
        <v>0</v>
      </c>
      <c r="S2260" s="19">
        <v>1025</v>
      </c>
      <c r="T2260" s="19" t="s">
        <v>94</v>
      </c>
      <c r="U2260" s="102" t="s">
        <v>836</v>
      </c>
      <c r="V2260" s="498" t="s">
        <v>790</v>
      </c>
      <c r="W2260" s="17" t="s">
        <v>44</v>
      </c>
      <c r="Y2260" s="68">
        <v>44866</v>
      </c>
      <c r="Z2260" s="17" t="s">
        <v>436</v>
      </c>
      <c r="AA2260" s="17" t="s">
        <v>46</v>
      </c>
      <c r="AB2260" s="17" t="s">
        <v>837</v>
      </c>
      <c r="AC2260" s="17" t="s">
        <v>838</v>
      </c>
      <c r="AD2260" s="65">
        <v>1361</v>
      </c>
      <c r="AE2260" s="17" t="s">
        <v>48</v>
      </c>
    </row>
    <row r="2261" s="17" customFormat="1" hidden="1" spans="2:31">
      <c r="B2261" s="19">
        <v>853</v>
      </c>
      <c r="C2261" s="183" t="s">
        <v>774</v>
      </c>
      <c r="D2261" s="17" t="s">
        <v>432</v>
      </c>
      <c r="E2261" s="17" t="s">
        <v>433</v>
      </c>
      <c r="F2261" s="17" t="s">
        <v>434</v>
      </c>
      <c r="H2261" s="19" t="s">
        <v>169</v>
      </c>
      <c r="I2261" s="19"/>
      <c r="J2261" s="17" t="s">
        <v>82</v>
      </c>
      <c r="K2261" s="188" t="s">
        <v>465</v>
      </c>
      <c r="L2261" s="188" t="s">
        <v>846</v>
      </c>
      <c r="M2261" s="188" t="s">
        <v>847</v>
      </c>
      <c r="N2261" s="19" t="s">
        <v>66</v>
      </c>
      <c r="O2261" s="19" t="s">
        <v>168</v>
      </c>
      <c r="P2261" s="19">
        <v>640</v>
      </c>
      <c r="Q2261" s="19">
        <v>640</v>
      </c>
      <c r="R2261" s="17">
        <f t="shared" si="121"/>
        <v>0</v>
      </c>
      <c r="S2261" s="19">
        <v>1025</v>
      </c>
      <c r="T2261" s="19" t="s">
        <v>94</v>
      </c>
      <c r="U2261" s="102" t="s">
        <v>836</v>
      </c>
      <c r="V2261" s="498" t="s">
        <v>790</v>
      </c>
      <c r="W2261" s="17" t="s">
        <v>44</v>
      </c>
      <c r="Y2261" s="68">
        <v>44866</v>
      </c>
      <c r="Z2261" s="17" t="s">
        <v>436</v>
      </c>
      <c r="AA2261" s="17" t="s">
        <v>46</v>
      </c>
      <c r="AB2261" s="17" t="s">
        <v>837</v>
      </c>
      <c r="AC2261" s="17" t="s">
        <v>838</v>
      </c>
      <c r="AD2261" s="65">
        <v>1361</v>
      </c>
      <c r="AE2261" s="17" t="s">
        <v>48</v>
      </c>
    </row>
    <row r="2262" s="17" customFormat="1" hidden="1" spans="2:31">
      <c r="B2262" s="19">
        <v>853</v>
      </c>
      <c r="C2262" s="183" t="s">
        <v>774</v>
      </c>
      <c r="D2262" s="17" t="s">
        <v>432</v>
      </c>
      <c r="E2262" s="17" t="s">
        <v>433</v>
      </c>
      <c r="F2262" s="17" t="s">
        <v>434</v>
      </c>
      <c r="H2262" s="19" t="s">
        <v>169</v>
      </c>
      <c r="I2262" s="19"/>
      <c r="J2262" s="17" t="s">
        <v>82</v>
      </c>
      <c r="K2262" s="188" t="s">
        <v>799</v>
      </c>
      <c r="L2262" s="188" t="s">
        <v>848</v>
      </c>
      <c r="M2262" s="188" t="s">
        <v>849</v>
      </c>
      <c r="N2262" s="19" t="s">
        <v>66</v>
      </c>
      <c r="O2262" s="19" t="s">
        <v>168</v>
      </c>
      <c r="P2262" s="19">
        <v>555</v>
      </c>
      <c r="Q2262" s="19">
        <v>555</v>
      </c>
      <c r="R2262" s="17">
        <f t="shared" si="121"/>
        <v>0</v>
      </c>
      <c r="S2262" s="19">
        <v>1025</v>
      </c>
      <c r="T2262" s="19" t="s">
        <v>94</v>
      </c>
      <c r="U2262" s="102" t="s">
        <v>836</v>
      </c>
      <c r="V2262" s="498" t="s">
        <v>790</v>
      </c>
      <c r="W2262" s="17" t="s">
        <v>44</v>
      </c>
      <c r="Y2262" s="68">
        <v>44866</v>
      </c>
      <c r="Z2262" s="17" t="s">
        <v>436</v>
      </c>
      <c r="AA2262" s="17" t="s">
        <v>46</v>
      </c>
      <c r="AB2262" s="17" t="s">
        <v>837</v>
      </c>
      <c r="AC2262" s="17" t="s">
        <v>838</v>
      </c>
      <c r="AD2262" s="65">
        <v>1361</v>
      </c>
      <c r="AE2262" s="17" t="s">
        <v>48</v>
      </c>
    </row>
    <row r="2263" s="17" customFormat="1" hidden="1" spans="2:31">
      <c r="B2263" s="19">
        <v>853</v>
      </c>
      <c r="C2263" s="183" t="s">
        <v>774</v>
      </c>
      <c r="D2263" s="17" t="s">
        <v>432</v>
      </c>
      <c r="E2263" s="17" t="s">
        <v>433</v>
      </c>
      <c r="F2263" s="17" t="s">
        <v>434</v>
      </c>
      <c r="H2263" s="19" t="s">
        <v>169</v>
      </c>
      <c r="I2263" s="19"/>
      <c r="J2263" s="17" t="s">
        <v>82</v>
      </c>
      <c r="K2263" s="188" t="s">
        <v>517</v>
      </c>
      <c r="L2263" s="188" t="s">
        <v>850</v>
      </c>
      <c r="M2263" s="188" t="s">
        <v>851</v>
      </c>
      <c r="N2263" s="19" t="s">
        <v>66</v>
      </c>
      <c r="O2263" s="19" t="s">
        <v>168</v>
      </c>
      <c r="P2263" s="19">
        <v>410</v>
      </c>
      <c r="Q2263" s="19">
        <v>410</v>
      </c>
      <c r="R2263" s="17">
        <f t="shared" si="121"/>
        <v>0</v>
      </c>
      <c r="S2263" s="19">
        <v>1025</v>
      </c>
      <c r="T2263" s="19" t="s">
        <v>94</v>
      </c>
      <c r="U2263" s="102" t="s">
        <v>836</v>
      </c>
      <c r="V2263" s="498" t="s">
        <v>790</v>
      </c>
      <c r="W2263" s="17" t="s">
        <v>44</v>
      </c>
      <c r="Y2263" s="68">
        <v>44866</v>
      </c>
      <c r="Z2263" s="17" t="s">
        <v>436</v>
      </c>
      <c r="AA2263" s="17" t="s">
        <v>46</v>
      </c>
      <c r="AB2263" s="17" t="s">
        <v>837</v>
      </c>
      <c r="AC2263" s="17" t="s">
        <v>838</v>
      </c>
      <c r="AD2263" s="65">
        <v>1361</v>
      </c>
      <c r="AE2263" s="17" t="s">
        <v>48</v>
      </c>
    </row>
    <row r="2264" s="17" customFormat="1" hidden="1" spans="2:31">
      <c r="B2264" s="19">
        <v>853</v>
      </c>
      <c r="C2264" s="183" t="s">
        <v>774</v>
      </c>
      <c r="D2264" s="17" t="s">
        <v>432</v>
      </c>
      <c r="E2264" s="17" t="s">
        <v>433</v>
      </c>
      <c r="F2264" s="17" t="s">
        <v>434</v>
      </c>
      <c r="H2264" s="19" t="s">
        <v>169</v>
      </c>
      <c r="I2264" s="19"/>
      <c r="J2264" s="17" t="s">
        <v>82</v>
      </c>
      <c r="K2264" s="188" t="s">
        <v>796</v>
      </c>
      <c r="L2264" s="188" t="s">
        <v>850</v>
      </c>
      <c r="M2264" s="188" t="s">
        <v>852</v>
      </c>
      <c r="N2264" s="19" t="s">
        <v>66</v>
      </c>
      <c r="O2264" s="19" t="s">
        <v>168</v>
      </c>
      <c r="P2264" s="19">
        <v>346</v>
      </c>
      <c r="Q2264" s="19">
        <v>346</v>
      </c>
      <c r="R2264" s="17">
        <f t="shared" si="121"/>
        <v>0</v>
      </c>
      <c r="S2264" s="19">
        <v>1025</v>
      </c>
      <c r="T2264" s="19" t="s">
        <v>94</v>
      </c>
      <c r="U2264" s="102" t="s">
        <v>836</v>
      </c>
      <c r="V2264" s="498" t="s">
        <v>790</v>
      </c>
      <c r="W2264" s="17" t="s">
        <v>44</v>
      </c>
      <c r="Y2264" s="68">
        <v>44866</v>
      </c>
      <c r="Z2264" s="17" t="s">
        <v>436</v>
      </c>
      <c r="AA2264" s="17" t="s">
        <v>46</v>
      </c>
      <c r="AB2264" s="17" t="s">
        <v>837</v>
      </c>
      <c r="AC2264" s="17" t="s">
        <v>838</v>
      </c>
      <c r="AD2264" s="65">
        <v>1361</v>
      </c>
      <c r="AE2264" s="17" t="s">
        <v>48</v>
      </c>
    </row>
    <row r="2265" s="17" customFormat="1" hidden="1" spans="2:31">
      <c r="B2265" s="19">
        <v>853</v>
      </c>
      <c r="C2265" s="183" t="s">
        <v>774</v>
      </c>
      <c r="D2265" s="17" t="s">
        <v>432</v>
      </c>
      <c r="E2265" s="17" t="s">
        <v>433</v>
      </c>
      <c r="F2265" s="17" t="s">
        <v>434</v>
      </c>
      <c r="H2265" s="19" t="s">
        <v>169</v>
      </c>
      <c r="I2265" s="19"/>
      <c r="J2265" s="17" t="s">
        <v>82</v>
      </c>
      <c r="K2265" s="188" t="s">
        <v>853</v>
      </c>
      <c r="L2265" s="188" t="s">
        <v>850</v>
      </c>
      <c r="M2265" s="188" t="s">
        <v>852</v>
      </c>
      <c r="N2265" s="19" t="s">
        <v>66</v>
      </c>
      <c r="O2265" s="19" t="s">
        <v>168</v>
      </c>
      <c r="P2265" s="19">
        <v>436</v>
      </c>
      <c r="Q2265" s="19">
        <v>436</v>
      </c>
      <c r="R2265" s="17">
        <f t="shared" si="121"/>
        <v>0</v>
      </c>
      <c r="S2265" s="19">
        <v>1025</v>
      </c>
      <c r="T2265" s="19" t="s">
        <v>94</v>
      </c>
      <c r="U2265" s="102" t="s">
        <v>836</v>
      </c>
      <c r="V2265" s="498" t="s">
        <v>790</v>
      </c>
      <c r="W2265" s="17" t="s">
        <v>44</v>
      </c>
      <c r="Y2265" s="68">
        <v>44866</v>
      </c>
      <c r="Z2265" s="17" t="s">
        <v>436</v>
      </c>
      <c r="AA2265" s="17" t="s">
        <v>46</v>
      </c>
      <c r="AB2265" s="17" t="s">
        <v>854</v>
      </c>
      <c r="AC2265" s="17" t="s">
        <v>838</v>
      </c>
      <c r="AD2265" s="65">
        <v>1361</v>
      </c>
      <c r="AE2265" s="17" t="s">
        <v>48</v>
      </c>
    </row>
    <row r="2266" s="17" customFormat="1" hidden="1" spans="2:31">
      <c r="B2266" s="19">
        <v>853</v>
      </c>
      <c r="C2266" s="183" t="s">
        <v>774</v>
      </c>
      <c r="D2266" s="17" t="s">
        <v>432</v>
      </c>
      <c r="E2266" s="17" t="s">
        <v>433</v>
      </c>
      <c r="F2266" s="17" t="s">
        <v>434</v>
      </c>
      <c r="H2266" s="19" t="s">
        <v>169</v>
      </c>
      <c r="I2266" s="19"/>
      <c r="J2266" s="17" t="s">
        <v>82</v>
      </c>
      <c r="K2266" s="188" t="s">
        <v>855</v>
      </c>
      <c r="L2266" s="188" t="s">
        <v>856</v>
      </c>
      <c r="M2266" s="188" t="s">
        <v>857</v>
      </c>
      <c r="N2266" s="19" t="s">
        <v>66</v>
      </c>
      <c r="O2266" s="19" t="s">
        <v>168</v>
      </c>
      <c r="P2266" s="19">
        <v>780</v>
      </c>
      <c r="Q2266" s="19">
        <v>780</v>
      </c>
      <c r="R2266" s="17">
        <f t="shared" si="121"/>
        <v>0</v>
      </c>
      <c r="S2266" s="19">
        <v>1025</v>
      </c>
      <c r="T2266" s="19" t="s">
        <v>94</v>
      </c>
      <c r="U2266" s="102" t="s">
        <v>836</v>
      </c>
      <c r="V2266" s="498" t="s">
        <v>790</v>
      </c>
      <c r="W2266" s="17" t="s">
        <v>44</v>
      </c>
      <c r="Y2266" s="68">
        <v>44866</v>
      </c>
      <c r="Z2266" s="17" t="s">
        <v>436</v>
      </c>
      <c r="AA2266" s="17" t="s">
        <v>46</v>
      </c>
      <c r="AB2266" s="17" t="s">
        <v>854</v>
      </c>
      <c r="AC2266" s="17" t="s">
        <v>838</v>
      </c>
      <c r="AD2266" s="65">
        <v>1361</v>
      </c>
      <c r="AE2266" s="17" t="s">
        <v>48</v>
      </c>
    </row>
    <row r="2267" s="17" customFormat="1" hidden="1" spans="2:31">
      <c r="B2267" s="19">
        <v>853</v>
      </c>
      <c r="C2267" s="183" t="s">
        <v>774</v>
      </c>
      <c r="D2267" s="17" t="s">
        <v>432</v>
      </c>
      <c r="E2267" s="17" t="s">
        <v>433</v>
      </c>
      <c r="F2267" s="17" t="s">
        <v>434</v>
      </c>
      <c r="H2267" s="19" t="s">
        <v>169</v>
      </c>
      <c r="I2267" s="19"/>
      <c r="J2267" s="17" t="s">
        <v>82</v>
      </c>
      <c r="K2267" s="188" t="s">
        <v>520</v>
      </c>
      <c r="L2267" s="188" t="s">
        <v>858</v>
      </c>
      <c r="M2267" s="188" t="s">
        <v>859</v>
      </c>
      <c r="N2267" s="19" t="s">
        <v>66</v>
      </c>
      <c r="O2267" s="19" t="s">
        <v>168</v>
      </c>
      <c r="P2267" s="19">
        <v>958</v>
      </c>
      <c r="Q2267" s="19">
        <v>958</v>
      </c>
      <c r="R2267" s="17">
        <f t="shared" si="121"/>
        <v>0</v>
      </c>
      <c r="S2267" s="19">
        <v>1025</v>
      </c>
      <c r="T2267" s="19" t="s">
        <v>94</v>
      </c>
      <c r="U2267" s="102" t="s">
        <v>836</v>
      </c>
      <c r="V2267" s="498" t="s">
        <v>790</v>
      </c>
      <c r="W2267" s="17" t="s">
        <v>44</v>
      </c>
      <c r="Y2267" s="68">
        <v>44866</v>
      </c>
      <c r="Z2267" s="17" t="s">
        <v>436</v>
      </c>
      <c r="AA2267" s="17" t="s">
        <v>46</v>
      </c>
      <c r="AB2267" s="17" t="s">
        <v>854</v>
      </c>
      <c r="AC2267" s="17" t="s">
        <v>838</v>
      </c>
      <c r="AD2267" s="65">
        <v>1361</v>
      </c>
      <c r="AE2267" s="17" t="s">
        <v>48</v>
      </c>
    </row>
    <row r="2268" s="17" customFormat="1" hidden="1" spans="2:31">
      <c r="B2268" s="19">
        <v>853</v>
      </c>
      <c r="C2268" s="183" t="s">
        <v>774</v>
      </c>
      <c r="D2268" s="17" t="s">
        <v>432</v>
      </c>
      <c r="E2268" s="17" t="s">
        <v>433</v>
      </c>
      <c r="F2268" s="17" t="s">
        <v>434</v>
      </c>
      <c r="H2268" s="19" t="s">
        <v>169</v>
      </c>
      <c r="I2268" s="19"/>
      <c r="J2268" s="17" t="s">
        <v>82</v>
      </c>
      <c r="K2268" s="188" t="s">
        <v>860</v>
      </c>
      <c r="L2268" s="188" t="s">
        <v>861</v>
      </c>
      <c r="M2268" s="188" t="s">
        <v>810</v>
      </c>
      <c r="N2268" s="19" t="s">
        <v>66</v>
      </c>
      <c r="O2268" s="19" t="s">
        <v>168</v>
      </c>
      <c r="P2268" s="19">
        <v>965</v>
      </c>
      <c r="Q2268" s="19">
        <v>965</v>
      </c>
      <c r="R2268" s="17">
        <f t="shared" si="121"/>
        <v>0</v>
      </c>
      <c r="S2268" s="19">
        <v>1025</v>
      </c>
      <c r="T2268" s="19" t="s">
        <v>94</v>
      </c>
      <c r="U2268" s="102" t="s">
        <v>836</v>
      </c>
      <c r="V2268" s="498" t="s">
        <v>790</v>
      </c>
      <c r="W2268" s="17" t="s">
        <v>44</v>
      </c>
      <c r="Y2268" s="68">
        <v>44866</v>
      </c>
      <c r="Z2268" s="17" t="s">
        <v>436</v>
      </c>
      <c r="AA2268" s="17" t="s">
        <v>46</v>
      </c>
      <c r="AB2268" s="17" t="s">
        <v>854</v>
      </c>
      <c r="AC2268" s="17" t="s">
        <v>838</v>
      </c>
      <c r="AD2268" s="65">
        <v>1361</v>
      </c>
      <c r="AE2268" s="17" t="s">
        <v>48</v>
      </c>
    </row>
    <row r="2269" s="17" customFormat="1" hidden="1" spans="2:31">
      <c r="B2269" s="19">
        <v>853</v>
      </c>
      <c r="C2269" s="183" t="s">
        <v>774</v>
      </c>
      <c r="D2269" s="17" t="s">
        <v>432</v>
      </c>
      <c r="E2269" s="17" t="s">
        <v>433</v>
      </c>
      <c r="F2269" s="17" t="s">
        <v>434</v>
      </c>
      <c r="H2269" s="19" t="s">
        <v>169</v>
      </c>
      <c r="I2269" s="19"/>
      <c r="J2269" s="17" t="s">
        <v>82</v>
      </c>
      <c r="K2269" s="188" t="s">
        <v>862</v>
      </c>
      <c r="L2269" s="188" t="s">
        <v>861</v>
      </c>
      <c r="M2269" s="188" t="s">
        <v>863</v>
      </c>
      <c r="N2269" s="19" t="s">
        <v>66</v>
      </c>
      <c r="O2269" s="19" t="s">
        <v>168</v>
      </c>
      <c r="P2269" s="19">
        <v>860</v>
      </c>
      <c r="Q2269" s="19">
        <v>860</v>
      </c>
      <c r="R2269" s="17">
        <f t="shared" si="121"/>
        <v>0</v>
      </c>
      <c r="S2269" s="19">
        <v>1025</v>
      </c>
      <c r="T2269" s="19" t="s">
        <v>94</v>
      </c>
      <c r="U2269" s="102" t="s">
        <v>836</v>
      </c>
      <c r="V2269" s="498" t="s">
        <v>790</v>
      </c>
      <c r="W2269" s="17" t="s">
        <v>44</v>
      </c>
      <c r="Y2269" s="68">
        <v>44866</v>
      </c>
      <c r="Z2269" s="17" t="s">
        <v>436</v>
      </c>
      <c r="AA2269" s="17" t="s">
        <v>46</v>
      </c>
      <c r="AB2269" s="17" t="s">
        <v>854</v>
      </c>
      <c r="AC2269" s="17" t="s">
        <v>838</v>
      </c>
      <c r="AD2269" s="65">
        <v>1361</v>
      </c>
      <c r="AE2269" s="17" t="s">
        <v>48</v>
      </c>
    </row>
    <row r="2270" s="17" customFormat="1" hidden="1" spans="2:31">
      <c r="B2270" s="19">
        <v>853</v>
      </c>
      <c r="C2270" s="183" t="s">
        <v>774</v>
      </c>
      <c r="D2270" s="17" t="s">
        <v>432</v>
      </c>
      <c r="E2270" s="17" t="s">
        <v>433</v>
      </c>
      <c r="F2270" s="17" t="s">
        <v>434</v>
      </c>
      <c r="H2270" s="19" t="s">
        <v>169</v>
      </c>
      <c r="I2270" s="19"/>
      <c r="J2270" s="17" t="s">
        <v>82</v>
      </c>
      <c r="K2270" s="188" t="s">
        <v>805</v>
      </c>
      <c r="L2270" s="188" t="s">
        <v>861</v>
      </c>
      <c r="M2270" s="188" t="s">
        <v>864</v>
      </c>
      <c r="N2270" s="19" t="s">
        <v>66</v>
      </c>
      <c r="O2270" s="19" t="s">
        <v>168</v>
      </c>
      <c r="P2270" s="19">
        <v>1320</v>
      </c>
      <c r="Q2270" s="19">
        <v>1320</v>
      </c>
      <c r="R2270" s="17">
        <f t="shared" si="121"/>
        <v>0</v>
      </c>
      <c r="S2270" s="19">
        <v>1025</v>
      </c>
      <c r="T2270" s="19" t="s">
        <v>94</v>
      </c>
      <c r="U2270" s="102" t="s">
        <v>836</v>
      </c>
      <c r="V2270" s="498" t="s">
        <v>790</v>
      </c>
      <c r="W2270" s="17" t="s">
        <v>44</v>
      </c>
      <c r="Y2270" s="68">
        <v>44866</v>
      </c>
      <c r="Z2270" s="17" t="s">
        <v>436</v>
      </c>
      <c r="AA2270" s="17" t="s">
        <v>46</v>
      </c>
      <c r="AB2270" s="17" t="s">
        <v>854</v>
      </c>
      <c r="AC2270" s="17" t="s">
        <v>838</v>
      </c>
      <c r="AD2270" s="65">
        <v>1361</v>
      </c>
      <c r="AE2270" s="17" t="s">
        <v>48</v>
      </c>
    </row>
    <row r="2271" s="17" customFormat="1" hidden="1" spans="2:31">
      <c r="B2271" s="19">
        <v>853</v>
      </c>
      <c r="C2271" s="183" t="s">
        <v>774</v>
      </c>
      <c r="D2271" s="17" t="s">
        <v>432</v>
      </c>
      <c r="E2271" s="17" t="s">
        <v>433</v>
      </c>
      <c r="F2271" s="17" t="s">
        <v>434</v>
      </c>
      <c r="H2271" s="19" t="s">
        <v>169</v>
      </c>
      <c r="I2271" s="19"/>
      <c r="J2271" s="17" t="s">
        <v>82</v>
      </c>
      <c r="K2271" s="188" t="s">
        <v>534</v>
      </c>
      <c r="L2271" s="188" t="s">
        <v>463</v>
      </c>
      <c r="M2271" s="188" t="s">
        <v>865</v>
      </c>
      <c r="N2271" s="19" t="s">
        <v>66</v>
      </c>
      <c r="O2271" s="19" t="s">
        <v>168</v>
      </c>
      <c r="P2271" s="19">
        <v>660</v>
      </c>
      <c r="Q2271" s="19">
        <v>660</v>
      </c>
      <c r="R2271" s="17">
        <f t="shared" si="121"/>
        <v>0</v>
      </c>
      <c r="S2271" s="19">
        <v>1025</v>
      </c>
      <c r="T2271" s="19" t="s">
        <v>94</v>
      </c>
      <c r="U2271" s="102" t="s">
        <v>836</v>
      </c>
      <c r="V2271" s="498" t="s">
        <v>790</v>
      </c>
      <c r="W2271" s="17" t="s">
        <v>44</v>
      </c>
      <c r="Y2271" s="68">
        <v>44866</v>
      </c>
      <c r="Z2271" s="17" t="s">
        <v>436</v>
      </c>
      <c r="AA2271" s="17" t="s">
        <v>46</v>
      </c>
      <c r="AB2271" s="17" t="s">
        <v>854</v>
      </c>
      <c r="AC2271" s="17" t="s">
        <v>838</v>
      </c>
      <c r="AD2271" s="65">
        <v>1361</v>
      </c>
      <c r="AE2271" s="17" t="s">
        <v>48</v>
      </c>
    </row>
    <row r="2272" s="17" customFormat="1" hidden="1" spans="2:31">
      <c r="B2272" s="19">
        <v>853</v>
      </c>
      <c r="C2272" s="183" t="s">
        <v>774</v>
      </c>
      <c r="D2272" s="17" t="s">
        <v>432</v>
      </c>
      <c r="E2272" s="17" t="s">
        <v>433</v>
      </c>
      <c r="F2272" s="17" t="s">
        <v>434</v>
      </c>
      <c r="H2272" s="19" t="s">
        <v>169</v>
      </c>
      <c r="I2272" s="19"/>
      <c r="J2272" s="17" t="s">
        <v>82</v>
      </c>
      <c r="K2272" s="169" t="s">
        <v>866</v>
      </c>
      <c r="L2272" s="169" t="s">
        <v>867</v>
      </c>
      <c r="M2272" s="169" t="s">
        <v>868</v>
      </c>
      <c r="N2272" s="19" t="s">
        <v>66</v>
      </c>
      <c r="O2272" s="19" t="s">
        <v>168</v>
      </c>
      <c r="P2272" s="19">
        <v>785</v>
      </c>
      <c r="Q2272" s="19">
        <v>785</v>
      </c>
      <c r="R2272" s="17">
        <f t="shared" si="121"/>
        <v>0</v>
      </c>
      <c r="S2272" s="19">
        <v>1025</v>
      </c>
      <c r="T2272" s="19" t="s">
        <v>94</v>
      </c>
      <c r="U2272" s="102" t="s">
        <v>836</v>
      </c>
      <c r="V2272" s="498" t="s">
        <v>790</v>
      </c>
      <c r="W2272" s="17" t="s">
        <v>44</v>
      </c>
      <c r="Y2272" s="68">
        <v>44866</v>
      </c>
      <c r="Z2272" s="17" t="s">
        <v>436</v>
      </c>
      <c r="AA2272" s="17" t="s">
        <v>46</v>
      </c>
      <c r="AB2272" s="17" t="s">
        <v>854</v>
      </c>
      <c r="AC2272" s="17" t="s">
        <v>838</v>
      </c>
      <c r="AD2272" s="65">
        <v>1361</v>
      </c>
      <c r="AE2272" s="17" t="s">
        <v>48</v>
      </c>
    </row>
    <row r="2273" s="17" customFormat="1" hidden="1" spans="2:31">
      <c r="B2273" s="19">
        <v>853</v>
      </c>
      <c r="C2273" s="183" t="s">
        <v>774</v>
      </c>
      <c r="D2273" s="17" t="s">
        <v>432</v>
      </c>
      <c r="E2273" s="17" t="s">
        <v>433</v>
      </c>
      <c r="F2273" s="17" t="s">
        <v>434</v>
      </c>
      <c r="H2273" s="19" t="s">
        <v>169</v>
      </c>
      <c r="I2273" s="19"/>
      <c r="J2273" s="17" t="s">
        <v>82</v>
      </c>
      <c r="K2273" s="188" t="s">
        <v>517</v>
      </c>
      <c r="L2273" s="188" t="s">
        <v>867</v>
      </c>
      <c r="M2273" s="188" t="s">
        <v>869</v>
      </c>
      <c r="N2273" s="19" t="s">
        <v>66</v>
      </c>
      <c r="O2273" s="19" t="s">
        <v>168</v>
      </c>
      <c r="P2273" s="19">
        <v>520</v>
      </c>
      <c r="Q2273" s="19">
        <v>520</v>
      </c>
      <c r="R2273" s="17">
        <f t="shared" si="121"/>
        <v>0</v>
      </c>
      <c r="S2273" s="19">
        <v>1025</v>
      </c>
      <c r="T2273" s="19" t="s">
        <v>94</v>
      </c>
      <c r="U2273" s="102" t="s">
        <v>836</v>
      </c>
      <c r="V2273" s="498" t="s">
        <v>790</v>
      </c>
      <c r="W2273" s="17" t="s">
        <v>44</v>
      </c>
      <c r="Y2273" s="68">
        <v>44866</v>
      </c>
      <c r="Z2273" s="17" t="s">
        <v>436</v>
      </c>
      <c r="AA2273" s="17" t="s">
        <v>46</v>
      </c>
      <c r="AB2273" s="17" t="s">
        <v>854</v>
      </c>
      <c r="AC2273" s="17" t="s">
        <v>838</v>
      </c>
      <c r="AD2273" s="65">
        <v>1361</v>
      </c>
      <c r="AE2273" s="17" t="s">
        <v>48</v>
      </c>
    </row>
    <row r="2274" s="17" customFormat="1" hidden="1" spans="2:31">
      <c r="B2274" s="19">
        <v>853</v>
      </c>
      <c r="C2274" s="183" t="s">
        <v>774</v>
      </c>
      <c r="D2274" s="17" t="s">
        <v>432</v>
      </c>
      <c r="E2274" s="17" t="s">
        <v>433</v>
      </c>
      <c r="F2274" s="17" t="s">
        <v>434</v>
      </c>
      <c r="H2274" s="19" t="s">
        <v>169</v>
      </c>
      <c r="I2274" s="19"/>
      <c r="J2274" s="17" t="s">
        <v>82</v>
      </c>
      <c r="K2274" s="188" t="s">
        <v>517</v>
      </c>
      <c r="L2274" s="188" t="s">
        <v>867</v>
      </c>
      <c r="M2274" s="188" t="s">
        <v>870</v>
      </c>
      <c r="N2274" s="19" t="s">
        <v>66</v>
      </c>
      <c r="O2274" s="19" t="s">
        <v>168</v>
      </c>
      <c r="P2274" s="19">
        <v>830</v>
      </c>
      <c r="Q2274" s="19">
        <v>830</v>
      </c>
      <c r="R2274" s="17">
        <f t="shared" si="121"/>
        <v>0</v>
      </c>
      <c r="S2274" s="19">
        <v>1025</v>
      </c>
      <c r="T2274" s="19" t="s">
        <v>94</v>
      </c>
      <c r="U2274" s="102" t="s">
        <v>836</v>
      </c>
      <c r="V2274" s="498" t="s">
        <v>790</v>
      </c>
      <c r="W2274" s="17" t="s">
        <v>44</v>
      </c>
      <c r="Y2274" s="68">
        <v>44866</v>
      </c>
      <c r="Z2274" s="17" t="s">
        <v>436</v>
      </c>
      <c r="AA2274" s="17" t="s">
        <v>46</v>
      </c>
      <c r="AB2274" s="17" t="s">
        <v>871</v>
      </c>
      <c r="AC2274" s="17" t="s">
        <v>838</v>
      </c>
      <c r="AD2274" s="65">
        <v>1361</v>
      </c>
      <c r="AE2274" s="17" t="s">
        <v>48</v>
      </c>
    </row>
    <row r="2275" s="17" customFormat="1" hidden="1" spans="2:31">
      <c r="B2275" s="19">
        <v>853</v>
      </c>
      <c r="C2275" s="183" t="s">
        <v>774</v>
      </c>
      <c r="D2275" s="17" t="s">
        <v>432</v>
      </c>
      <c r="E2275" s="17" t="s">
        <v>433</v>
      </c>
      <c r="F2275" s="17" t="s">
        <v>434</v>
      </c>
      <c r="H2275" s="19" t="s">
        <v>169</v>
      </c>
      <c r="I2275" s="19"/>
      <c r="J2275" s="17" t="s">
        <v>82</v>
      </c>
      <c r="K2275" s="188" t="s">
        <v>872</v>
      </c>
      <c r="L2275" s="188" t="s">
        <v>867</v>
      </c>
      <c r="M2275" s="188" t="s">
        <v>873</v>
      </c>
      <c r="N2275" s="19" t="s">
        <v>66</v>
      </c>
      <c r="O2275" s="19" t="s">
        <v>168</v>
      </c>
      <c r="P2275" s="19">
        <v>1140</v>
      </c>
      <c r="Q2275" s="19">
        <v>1140</v>
      </c>
      <c r="R2275" s="17">
        <f t="shared" si="121"/>
        <v>0</v>
      </c>
      <c r="S2275" s="19">
        <v>1025</v>
      </c>
      <c r="T2275" s="19" t="s">
        <v>94</v>
      </c>
      <c r="U2275" s="102" t="s">
        <v>836</v>
      </c>
      <c r="V2275" s="498" t="s">
        <v>790</v>
      </c>
      <c r="W2275" s="17" t="s">
        <v>44</v>
      </c>
      <c r="Y2275" s="68">
        <v>44866</v>
      </c>
      <c r="Z2275" s="17" t="s">
        <v>436</v>
      </c>
      <c r="AA2275" s="17" t="s">
        <v>46</v>
      </c>
      <c r="AB2275" s="17" t="s">
        <v>871</v>
      </c>
      <c r="AC2275" s="17" t="s">
        <v>838</v>
      </c>
      <c r="AD2275" s="65">
        <v>1361</v>
      </c>
      <c r="AE2275" s="17" t="s">
        <v>48</v>
      </c>
    </row>
    <row r="2276" s="17" customFormat="1" hidden="1" spans="2:31">
      <c r="B2276" s="19">
        <v>853</v>
      </c>
      <c r="C2276" s="183" t="s">
        <v>774</v>
      </c>
      <c r="D2276" s="17" t="s">
        <v>432</v>
      </c>
      <c r="E2276" s="17" t="s">
        <v>433</v>
      </c>
      <c r="F2276" s="17" t="s">
        <v>434</v>
      </c>
      <c r="H2276" s="19" t="s">
        <v>169</v>
      </c>
      <c r="I2276" s="19"/>
      <c r="J2276" s="17" t="s">
        <v>82</v>
      </c>
      <c r="K2276" s="188" t="s">
        <v>874</v>
      </c>
      <c r="L2276" s="188" t="s">
        <v>867</v>
      </c>
      <c r="M2276" s="188" t="s">
        <v>875</v>
      </c>
      <c r="N2276" s="19" t="s">
        <v>66</v>
      </c>
      <c r="O2276" s="19" t="s">
        <v>168</v>
      </c>
      <c r="P2276" s="19">
        <v>709</v>
      </c>
      <c r="Q2276" s="19">
        <v>709</v>
      </c>
      <c r="R2276" s="17">
        <f t="shared" si="121"/>
        <v>0</v>
      </c>
      <c r="S2276" s="19">
        <v>1025</v>
      </c>
      <c r="T2276" s="19" t="s">
        <v>94</v>
      </c>
      <c r="U2276" s="102" t="s">
        <v>836</v>
      </c>
      <c r="V2276" s="498" t="s">
        <v>790</v>
      </c>
      <c r="W2276" s="17" t="s">
        <v>44</v>
      </c>
      <c r="Y2276" s="68">
        <v>44866</v>
      </c>
      <c r="Z2276" s="17" t="s">
        <v>436</v>
      </c>
      <c r="AA2276" s="17" t="s">
        <v>46</v>
      </c>
      <c r="AB2276" s="17" t="s">
        <v>871</v>
      </c>
      <c r="AC2276" s="17" t="s">
        <v>838</v>
      </c>
      <c r="AD2276" s="65">
        <v>1361</v>
      </c>
      <c r="AE2276" s="17" t="s">
        <v>48</v>
      </c>
    </row>
    <row r="2277" s="17" customFormat="1" hidden="1" spans="2:31">
      <c r="B2277" s="19">
        <v>853</v>
      </c>
      <c r="C2277" s="183" t="s">
        <v>774</v>
      </c>
      <c r="D2277" s="17" t="s">
        <v>432</v>
      </c>
      <c r="E2277" s="17" t="s">
        <v>433</v>
      </c>
      <c r="F2277" s="17" t="s">
        <v>434</v>
      </c>
      <c r="H2277" s="19" t="s">
        <v>169</v>
      </c>
      <c r="I2277" s="19"/>
      <c r="J2277" s="17" t="s">
        <v>82</v>
      </c>
      <c r="K2277" s="188" t="s">
        <v>876</v>
      </c>
      <c r="L2277" s="188" t="s">
        <v>867</v>
      </c>
      <c r="M2277" s="188" t="s">
        <v>877</v>
      </c>
      <c r="N2277" s="19" t="s">
        <v>66</v>
      </c>
      <c r="O2277" s="19" t="s">
        <v>168</v>
      </c>
      <c r="P2277" s="19">
        <v>570</v>
      </c>
      <c r="Q2277" s="19">
        <v>570</v>
      </c>
      <c r="R2277" s="17">
        <f t="shared" si="121"/>
        <v>0</v>
      </c>
      <c r="S2277" s="19">
        <v>1025</v>
      </c>
      <c r="T2277" s="19" t="s">
        <v>94</v>
      </c>
      <c r="U2277" s="102" t="s">
        <v>836</v>
      </c>
      <c r="V2277" s="498" t="s">
        <v>790</v>
      </c>
      <c r="W2277" s="17" t="s">
        <v>44</v>
      </c>
      <c r="Y2277" s="68">
        <v>44866</v>
      </c>
      <c r="Z2277" s="17" t="s">
        <v>436</v>
      </c>
      <c r="AA2277" s="17" t="s">
        <v>46</v>
      </c>
      <c r="AB2277" s="17" t="s">
        <v>871</v>
      </c>
      <c r="AC2277" s="17" t="s">
        <v>838</v>
      </c>
      <c r="AD2277" s="65">
        <v>1361</v>
      </c>
      <c r="AE2277" s="17" t="s">
        <v>48</v>
      </c>
    </row>
    <row r="2278" s="17" customFormat="1" hidden="1" spans="2:31">
      <c r="B2278" s="19">
        <v>853</v>
      </c>
      <c r="C2278" s="183" t="s">
        <v>774</v>
      </c>
      <c r="D2278" s="17" t="s">
        <v>432</v>
      </c>
      <c r="E2278" s="17" t="s">
        <v>433</v>
      </c>
      <c r="F2278" s="17" t="s">
        <v>434</v>
      </c>
      <c r="H2278" s="19" t="s">
        <v>169</v>
      </c>
      <c r="I2278" s="19"/>
      <c r="J2278" s="17" t="s">
        <v>82</v>
      </c>
      <c r="K2278" s="188" t="s">
        <v>455</v>
      </c>
      <c r="L2278" s="188" t="s">
        <v>878</v>
      </c>
      <c r="M2278" s="188" t="s">
        <v>800</v>
      </c>
      <c r="N2278" s="19" t="s">
        <v>66</v>
      </c>
      <c r="O2278" s="19" t="s">
        <v>168</v>
      </c>
      <c r="P2278" s="19">
        <v>720</v>
      </c>
      <c r="Q2278" s="19">
        <v>720</v>
      </c>
      <c r="R2278" s="17">
        <f t="shared" si="121"/>
        <v>0</v>
      </c>
      <c r="S2278" s="19">
        <v>1025</v>
      </c>
      <c r="T2278" s="19" t="s">
        <v>94</v>
      </c>
      <c r="U2278" s="102" t="s">
        <v>836</v>
      </c>
      <c r="V2278" s="498" t="s">
        <v>790</v>
      </c>
      <c r="W2278" s="17" t="s">
        <v>44</v>
      </c>
      <c r="Y2278" s="68">
        <v>44866</v>
      </c>
      <c r="Z2278" s="17" t="s">
        <v>436</v>
      </c>
      <c r="AA2278" s="17" t="s">
        <v>46</v>
      </c>
      <c r="AB2278" s="17" t="s">
        <v>871</v>
      </c>
      <c r="AC2278" s="17" t="s">
        <v>838</v>
      </c>
      <c r="AD2278" s="65">
        <v>1361</v>
      </c>
      <c r="AE2278" s="17" t="s">
        <v>48</v>
      </c>
    </row>
    <row r="2279" s="17" customFormat="1" hidden="1" spans="2:31">
      <c r="B2279" s="19">
        <v>853</v>
      </c>
      <c r="C2279" s="183" t="s">
        <v>774</v>
      </c>
      <c r="D2279" s="17" t="s">
        <v>432</v>
      </c>
      <c r="E2279" s="17" t="s">
        <v>433</v>
      </c>
      <c r="F2279" s="17" t="s">
        <v>434</v>
      </c>
      <c r="H2279" s="19" t="s">
        <v>169</v>
      </c>
      <c r="I2279" s="19"/>
      <c r="J2279" s="17" t="s">
        <v>82</v>
      </c>
      <c r="K2279" s="188" t="s">
        <v>459</v>
      </c>
      <c r="L2279" s="188" t="s">
        <v>879</v>
      </c>
      <c r="M2279" s="188" t="s">
        <v>805</v>
      </c>
      <c r="N2279" s="19" t="s">
        <v>66</v>
      </c>
      <c r="O2279" s="19" t="s">
        <v>168</v>
      </c>
      <c r="P2279" s="19">
        <v>381</v>
      </c>
      <c r="Q2279" s="19">
        <v>381</v>
      </c>
      <c r="R2279" s="17">
        <f t="shared" si="121"/>
        <v>0</v>
      </c>
      <c r="S2279" s="19">
        <v>1025</v>
      </c>
      <c r="T2279" s="19" t="s">
        <v>94</v>
      </c>
      <c r="U2279" s="102" t="s">
        <v>836</v>
      </c>
      <c r="V2279" s="498" t="s">
        <v>790</v>
      </c>
      <c r="W2279" s="17" t="s">
        <v>44</v>
      </c>
      <c r="Y2279" s="68">
        <v>44866</v>
      </c>
      <c r="Z2279" s="17" t="s">
        <v>436</v>
      </c>
      <c r="AA2279" s="17" t="s">
        <v>46</v>
      </c>
      <c r="AB2279" s="17" t="s">
        <v>854</v>
      </c>
      <c r="AC2279" s="17" t="s">
        <v>838</v>
      </c>
      <c r="AD2279" s="65">
        <v>1361</v>
      </c>
      <c r="AE2279" s="17" t="s">
        <v>48</v>
      </c>
    </row>
    <row r="2280" s="17" customFormat="1" hidden="1" spans="2:31">
      <c r="B2280" s="19">
        <v>853</v>
      </c>
      <c r="C2280" s="183" t="s">
        <v>774</v>
      </c>
      <c r="D2280" s="17" t="s">
        <v>432</v>
      </c>
      <c r="E2280" s="17" t="s">
        <v>433</v>
      </c>
      <c r="F2280" s="17" t="s">
        <v>434</v>
      </c>
      <c r="H2280" s="19" t="s">
        <v>169</v>
      </c>
      <c r="I2280" s="19"/>
      <c r="J2280" s="17" t="s">
        <v>82</v>
      </c>
      <c r="K2280" s="169" t="s">
        <v>521</v>
      </c>
      <c r="L2280" s="169" t="s">
        <v>879</v>
      </c>
      <c r="M2280" s="169" t="s">
        <v>880</v>
      </c>
      <c r="N2280" s="19" t="s">
        <v>66</v>
      </c>
      <c r="O2280" s="19" t="s">
        <v>168</v>
      </c>
      <c r="P2280" s="19">
        <v>770</v>
      </c>
      <c r="Q2280" s="19">
        <v>770</v>
      </c>
      <c r="R2280" s="17">
        <f t="shared" si="121"/>
        <v>0</v>
      </c>
      <c r="S2280" s="19">
        <v>1025</v>
      </c>
      <c r="T2280" s="19" t="s">
        <v>94</v>
      </c>
      <c r="U2280" s="102" t="s">
        <v>836</v>
      </c>
      <c r="V2280" s="498" t="s">
        <v>790</v>
      </c>
      <c r="W2280" s="17" t="s">
        <v>44</v>
      </c>
      <c r="Y2280" s="68">
        <v>44866</v>
      </c>
      <c r="Z2280" s="17" t="s">
        <v>436</v>
      </c>
      <c r="AA2280" s="17" t="s">
        <v>46</v>
      </c>
      <c r="AB2280" s="17" t="s">
        <v>871</v>
      </c>
      <c r="AC2280" s="17" t="s">
        <v>838</v>
      </c>
      <c r="AD2280" s="65">
        <v>1361</v>
      </c>
      <c r="AE2280" s="17" t="s">
        <v>48</v>
      </c>
    </row>
    <row r="2281" s="17" customFormat="1" hidden="1" spans="2:31">
      <c r="B2281" s="19">
        <v>853</v>
      </c>
      <c r="C2281" s="183" t="s">
        <v>774</v>
      </c>
      <c r="D2281" s="17" t="s">
        <v>432</v>
      </c>
      <c r="E2281" s="17" t="s">
        <v>433</v>
      </c>
      <c r="F2281" s="17" t="s">
        <v>434</v>
      </c>
      <c r="H2281" s="19" t="s">
        <v>169</v>
      </c>
      <c r="I2281" s="19"/>
      <c r="J2281" s="17" t="s">
        <v>82</v>
      </c>
      <c r="K2281" s="169" t="s">
        <v>522</v>
      </c>
      <c r="L2281" s="169" t="s">
        <v>881</v>
      </c>
      <c r="M2281" s="169" t="s">
        <v>800</v>
      </c>
      <c r="N2281" s="19" t="s">
        <v>66</v>
      </c>
      <c r="O2281" s="19" t="s">
        <v>168</v>
      </c>
      <c r="P2281" s="19">
        <v>730</v>
      </c>
      <c r="Q2281" s="19">
        <v>730</v>
      </c>
      <c r="R2281" s="17">
        <f t="shared" si="121"/>
        <v>0</v>
      </c>
      <c r="S2281" s="19">
        <v>1025</v>
      </c>
      <c r="T2281" s="19" t="s">
        <v>94</v>
      </c>
      <c r="U2281" s="102" t="s">
        <v>836</v>
      </c>
      <c r="V2281" s="498" t="s">
        <v>790</v>
      </c>
      <c r="W2281" s="17" t="s">
        <v>44</v>
      </c>
      <c r="Y2281" s="68">
        <v>44866</v>
      </c>
      <c r="Z2281" s="17" t="s">
        <v>436</v>
      </c>
      <c r="AA2281" s="17" t="s">
        <v>46</v>
      </c>
      <c r="AB2281" s="17" t="s">
        <v>871</v>
      </c>
      <c r="AC2281" s="17" t="s">
        <v>838</v>
      </c>
      <c r="AD2281" s="65">
        <v>1361</v>
      </c>
      <c r="AE2281" s="17" t="s">
        <v>48</v>
      </c>
    </row>
    <row r="2282" s="17" customFormat="1" hidden="1" spans="2:31">
      <c r="B2282" s="19">
        <v>853</v>
      </c>
      <c r="C2282" s="183" t="s">
        <v>774</v>
      </c>
      <c r="D2282" s="17" t="s">
        <v>432</v>
      </c>
      <c r="E2282" s="17" t="s">
        <v>433</v>
      </c>
      <c r="F2282" s="17" t="s">
        <v>434</v>
      </c>
      <c r="H2282" s="19" t="s">
        <v>169</v>
      </c>
      <c r="I2282" s="19"/>
      <c r="J2282" s="17" t="s">
        <v>82</v>
      </c>
      <c r="K2282" s="169" t="s">
        <v>514</v>
      </c>
      <c r="L2282" s="169" t="s">
        <v>881</v>
      </c>
      <c r="M2282" s="169" t="s">
        <v>882</v>
      </c>
      <c r="N2282" s="19" t="s">
        <v>66</v>
      </c>
      <c r="O2282" s="19" t="s">
        <v>168</v>
      </c>
      <c r="P2282" s="19">
        <v>536</v>
      </c>
      <c r="Q2282" s="19">
        <v>536</v>
      </c>
      <c r="R2282" s="17">
        <f t="shared" si="121"/>
        <v>0</v>
      </c>
      <c r="S2282" s="19">
        <v>1025</v>
      </c>
      <c r="T2282" s="19" t="s">
        <v>94</v>
      </c>
      <c r="U2282" s="102" t="s">
        <v>836</v>
      </c>
      <c r="V2282" s="498" t="s">
        <v>790</v>
      </c>
      <c r="W2282" s="17" t="s">
        <v>44</v>
      </c>
      <c r="Y2282" s="68">
        <v>44866</v>
      </c>
      <c r="Z2282" s="17" t="s">
        <v>436</v>
      </c>
      <c r="AA2282" s="17" t="s">
        <v>46</v>
      </c>
      <c r="AB2282" s="17" t="s">
        <v>837</v>
      </c>
      <c r="AC2282" s="17" t="s">
        <v>838</v>
      </c>
      <c r="AD2282" s="65">
        <v>1361</v>
      </c>
      <c r="AE2282" s="17" t="s">
        <v>48</v>
      </c>
    </row>
    <row r="2283" s="17" customFormat="1" hidden="1" spans="2:31">
      <c r="B2283" s="19">
        <v>853</v>
      </c>
      <c r="C2283" s="183" t="s">
        <v>774</v>
      </c>
      <c r="D2283" s="17" t="s">
        <v>432</v>
      </c>
      <c r="E2283" s="17" t="s">
        <v>433</v>
      </c>
      <c r="F2283" s="17" t="s">
        <v>434</v>
      </c>
      <c r="H2283" s="19" t="s">
        <v>169</v>
      </c>
      <c r="I2283" s="19"/>
      <c r="J2283" s="17" t="s">
        <v>82</v>
      </c>
      <c r="K2283" s="169" t="s">
        <v>445</v>
      </c>
      <c r="L2283" s="169" t="s">
        <v>883</v>
      </c>
      <c r="M2283" s="169" t="s">
        <v>884</v>
      </c>
      <c r="N2283" s="19" t="s">
        <v>66</v>
      </c>
      <c r="O2283" s="19" t="s">
        <v>168</v>
      </c>
      <c r="P2283" s="19">
        <v>540</v>
      </c>
      <c r="Q2283" s="19">
        <v>540</v>
      </c>
      <c r="R2283" s="17">
        <f t="shared" si="121"/>
        <v>0</v>
      </c>
      <c r="S2283" s="19">
        <v>1025</v>
      </c>
      <c r="T2283" s="19" t="s">
        <v>94</v>
      </c>
      <c r="U2283" s="102" t="s">
        <v>836</v>
      </c>
      <c r="V2283" s="498" t="s">
        <v>790</v>
      </c>
      <c r="W2283" s="17" t="s">
        <v>44</v>
      </c>
      <c r="Y2283" s="68">
        <v>44866</v>
      </c>
      <c r="Z2283" s="17" t="s">
        <v>436</v>
      </c>
      <c r="AA2283" s="17" t="s">
        <v>46</v>
      </c>
      <c r="AB2283" s="17" t="s">
        <v>871</v>
      </c>
      <c r="AC2283" s="17" t="s">
        <v>838</v>
      </c>
      <c r="AD2283" s="65">
        <v>1361</v>
      </c>
      <c r="AE2283" s="17" t="s">
        <v>48</v>
      </c>
    </row>
    <row r="2284" s="17" customFormat="1" hidden="1" spans="2:31">
      <c r="B2284" s="19">
        <v>853</v>
      </c>
      <c r="C2284" s="183" t="s">
        <v>774</v>
      </c>
      <c r="D2284" s="17" t="s">
        <v>432</v>
      </c>
      <c r="E2284" s="17" t="s">
        <v>433</v>
      </c>
      <c r="F2284" s="17" t="s">
        <v>434</v>
      </c>
      <c r="H2284" s="19" t="s">
        <v>169</v>
      </c>
      <c r="I2284" s="19"/>
      <c r="J2284" s="17" t="s">
        <v>82</v>
      </c>
      <c r="K2284" s="169" t="s">
        <v>805</v>
      </c>
      <c r="L2284" s="169" t="s">
        <v>885</v>
      </c>
      <c r="M2284" s="169" t="s">
        <v>886</v>
      </c>
      <c r="N2284" s="19" t="s">
        <v>66</v>
      </c>
      <c r="O2284" s="19" t="s">
        <v>168</v>
      </c>
      <c r="P2284" s="19">
        <v>1010</v>
      </c>
      <c r="Q2284" s="19">
        <v>1010</v>
      </c>
      <c r="R2284" s="17">
        <f t="shared" si="121"/>
        <v>0</v>
      </c>
      <c r="S2284" s="19">
        <v>1025</v>
      </c>
      <c r="T2284" s="19" t="s">
        <v>94</v>
      </c>
      <c r="U2284" s="102" t="s">
        <v>836</v>
      </c>
      <c r="V2284" s="498" t="s">
        <v>790</v>
      </c>
      <c r="W2284" s="17" t="s">
        <v>44</v>
      </c>
      <c r="Y2284" s="68">
        <v>44866</v>
      </c>
      <c r="Z2284" s="17" t="s">
        <v>436</v>
      </c>
      <c r="AA2284" s="17" t="s">
        <v>46</v>
      </c>
      <c r="AB2284" s="17" t="s">
        <v>871</v>
      </c>
      <c r="AC2284" s="17" t="s">
        <v>838</v>
      </c>
      <c r="AD2284" s="65">
        <v>1361</v>
      </c>
      <c r="AE2284" s="17" t="s">
        <v>48</v>
      </c>
    </row>
    <row r="2285" s="17" customFormat="1" hidden="1" spans="2:31">
      <c r="B2285" s="19">
        <v>853</v>
      </c>
      <c r="C2285" s="183" t="s">
        <v>774</v>
      </c>
      <c r="D2285" s="17" t="s">
        <v>432</v>
      </c>
      <c r="E2285" s="17" t="s">
        <v>433</v>
      </c>
      <c r="F2285" s="17" t="s">
        <v>434</v>
      </c>
      <c r="H2285" s="19" t="s">
        <v>169</v>
      </c>
      <c r="I2285" s="19"/>
      <c r="J2285" s="17" t="s">
        <v>82</v>
      </c>
      <c r="K2285" s="169" t="s">
        <v>860</v>
      </c>
      <c r="L2285" s="169" t="s">
        <v>887</v>
      </c>
      <c r="M2285" s="169" t="s">
        <v>888</v>
      </c>
      <c r="N2285" s="19" t="s">
        <v>66</v>
      </c>
      <c r="O2285" s="19" t="s">
        <v>168</v>
      </c>
      <c r="P2285" s="19">
        <v>610</v>
      </c>
      <c r="Q2285" s="19">
        <v>610</v>
      </c>
      <c r="R2285" s="17">
        <f t="shared" si="121"/>
        <v>0</v>
      </c>
      <c r="S2285" s="19">
        <v>1025</v>
      </c>
      <c r="T2285" s="19" t="s">
        <v>94</v>
      </c>
      <c r="U2285" s="102" t="s">
        <v>836</v>
      </c>
      <c r="V2285" s="498" t="s">
        <v>790</v>
      </c>
      <c r="W2285" s="17" t="s">
        <v>44</v>
      </c>
      <c r="Y2285" s="68">
        <v>44866</v>
      </c>
      <c r="Z2285" s="17" t="s">
        <v>436</v>
      </c>
      <c r="AA2285" s="17" t="s">
        <v>46</v>
      </c>
      <c r="AB2285" s="17" t="s">
        <v>871</v>
      </c>
      <c r="AC2285" s="17" t="s">
        <v>838</v>
      </c>
      <c r="AD2285" s="65">
        <v>1361</v>
      </c>
      <c r="AE2285" s="17" t="s">
        <v>48</v>
      </c>
    </row>
    <row r="2286" s="17" customFormat="1" hidden="1" spans="2:31">
      <c r="B2286" s="19">
        <v>853</v>
      </c>
      <c r="C2286" s="183" t="s">
        <v>774</v>
      </c>
      <c r="D2286" s="17" t="s">
        <v>432</v>
      </c>
      <c r="E2286" s="17" t="s">
        <v>433</v>
      </c>
      <c r="F2286" s="17" t="s">
        <v>434</v>
      </c>
      <c r="H2286" s="19" t="s">
        <v>169</v>
      </c>
      <c r="I2286" s="19"/>
      <c r="J2286" s="17" t="s">
        <v>82</v>
      </c>
      <c r="K2286" s="169" t="s">
        <v>797</v>
      </c>
      <c r="L2286" s="169" t="s">
        <v>889</v>
      </c>
      <c r="M2286" s="169" t="s">
        <v>815</v>
      </c>
      <c r="N2286" s="19" t="s">
        <v>66</v>
      </c>
      <c r="O2286" s="19" t="s">
        <v>168</v>
      </c>
      <c r="P2286" s="19">
        <v>1475</v>
      </c>
      <c r="Q2286" s="19">
        <v>1475</v>
      </c>
      <c r="R2286" s="17">
        <f t="shared" si="121"/>
        <v>0</v>
      </c>
      <c r="S2286" s="19">
        <v>1025</v>
      </c>
      <c r="T2286" s="19" t="s">
        <v>94</v>
      </c>
      <c r="U2286" s="102" t="s">
        <v>836</v>
      </c>
      <c r="V2286" s="498" t="s">
        <v>790</v>
      </c>
      <c r="W2286" s="17" t="s">
        <v>44</v>
      </c>
      <c r="Y2286" s="68">
        <v>44866</v>
      </c>
      <c r="Z2286" s="17" t="s">
        <v>436</v>
      </c>
      <c r="AA2286" s="17" t="s">
        <v>46</v>
      </c>
      <c r="AB2286" s="17" t="s">
        <v>871</v>
      </c>
      <c r="AC2286" s="17" t="s">
        <v>838</v>
      </c>
      <c r="AD2286" s="65">
        <v>1361</v>
      </c>
      <c r="AE2286" s="17" t="s">
        <v>48</v>
      </c>
    </row>
    <row r="2287" s="17" customFormat="1" hidden="1" spans="2:31">
      <c r="B2287" s="19">
        <v>853</v>
      </c>
      <c r="C2287" s="183" t="s">
        <v>774</v>
      </c>
      <c r="D2287" s="17" t="s">
        <v>432</v>
      </c>
      <c r="E2287" s="17" t="s">
        <v>433</v>
      </c>
      <c r="F2287" s="17" t="s">
        <v>434</v>
      </c>
      <c r="H2287" s="19" t="s">
        <v>169</v>
      </c>
      <c r="I2287" s="19"/>
      <c r="J2287" s="17" t="s">
        <v>82</v>
      </c>
      <c r="K2287" s="169" t="s">
        <v>797</v>
      </c>
      <c r="L2287" s="169" t="s">
        <v>510</v>
      </c>
      <c r="M2287" s="169" t="s">
        <v>890</v>
      </c>
      <c r="N2287" s="19" t="s">
        <v>66</v>
      </c>
      <c r="O2287" s="19" t="s">
        <v>168</v>
      </c>
      <c r="P2287" s="19">
        <v>1470</v>
      </c>
      <c r="Q2287" s="19">
        <v>1470</v>
      </c>
      <c r="R2287" s="17">
        <f t="shared" si="121"/>
        <v>0</v>
      </c>
      <c r="S2287" s="19">
        <v>1025</v>
      </c>
      <c r="T2287" s="19" t="s">
        <v>94</v>
      </c>
      <c r="U2287" s="102" t="s">
        <v>836</v>
      </c>
      <c r="V2287" s="498" t="s">
        <v>790</v>
      </c>
      <c r="W2287" s="17" t="s">
        <v>44</v>
      </c>
      <c r="Y2287" s="68">
        <v>44866</v>
      </c>
      <c r="Z2287" s="17" t="s">
        <v>436</v>
      </c>
      <c r="AA2287" s="17" t="s">
        <v>46</v>
      </c>
      <c r="AB2287" s="17" t="s">
        <v>871</v>
      </c>
      <c r="AC2287" s="17" t="s">
        <v>838</v>
      </c>
      <c r="AD2287" s="65">
        <v>1361</v>
      </c>
      <c r="AE2287" s="17" t="s">
        <v>48</v>
      </c>
    </row>
    <row r="2288" s="17" customFormat="1" hidden="1" spans="2:31">
      <c r="B2288" s="19">
        <v>853</v>
      </c>
      <c r="C2288" s="183" t="s">
        <v>774</v>
      </c>
      <c r="D2288" s="17" t="s">
        <v>432</v>
      </c>
      <c r="E2288" s="17" t="s">
        <v>433</v>
      </c>
      <c r="F2288" s="17" t="s">
        <v>434</v>
      </c>
      <c r="H2288" s="19" t="s">
        <v>169</v>
      </c>
      <c r="I2288" s="19"/>
      <c r="J2288" s="17" t="s">
        <v>82</v>
      </c>
      <c r="K2288" s="169" t="s">
        <v>891</v>
      </c>
      <c r="L2288" s="169" t="s">
        <v>510</v>
      </c>
      <c r="M2288" s="169" t="s">
        <v>892</v>
      </c>
      <c r="N2288" s="19" t="s">
        <v>66</v>
      </c>
      <c r="O2288" s="19" t="s">
        <v>168</v>
      </c>
      <c r="P2288" s="19">
        <v>1305</v>
      </c>
      <c r="Q2288" s="19">
        <v>1305</v>
      </c>
      <c r="R2288" s="17">
        <f t="shared" si="121"/>
        <v>0</v>
      </c>
      <c r="S2288" s="19">
        <v>1025</v>
      </c>
      <c r="T2288" s="19" t="s">
        <v>94</v>
      </c>
      <c r="U2288" s="102" t="s">
        <v>836</v>
      </c>
      <c r="V2288" s="498" t="s">
        <v>790</v>
      </c>
      <c r="W2288" s="17" t="s">
        <v>44</v>
      </c>
      <c r="Y2288" s="68">
        <v>44866</v>
      </c>
      <c r="Z2288" s="17" t="s">
        <v>436</v>
      </c>
      <c r="AA2288" s="17" t="s">
        <v>46</v>
      </c>
      <c r="AB2288" s="17" t="s">
        <v>871</v>
      </c>
      <c r="AC2288" s="17" t="s">
        <v>838</v>
      </c>
      <c r="AD2288" s="65">
        <v>1361</v>
      </c>
      <c r="AE2288" s="17" t="s">
        <v>48</v>
      </c>
    </row>
    <row r="2289" s="17" customFormat="1" hidden="1" spans="2:31">
      <c r="B2289" s="19">
        <v>853</v>
      </c>
      <c r="C2289" s="183" t="s">
        <v>774</v>
      </c>
      <c r="D2289" s="17" t="s">
        <v>432</v>
      </c>
      <c r="E2289" s="17" t="s">
        <v>433</v>
      </c>
      <c r="F2289" s="17" t="s">
        <v>434</v>
      </c>
      <c r="H2289" s="19" t="s">
        <v>169</v>
      </c>
      <c r="I2289" s="19"/>
      <c r="J2289" s="17" t="s">
        <v>82</v>
      </c>
      <c r="K2289" s="169" t="s">
        <v>459</v>
      </c>
      <c r="L2289" s="169" t="s">
        <v>510</v>
      </c>
      <c r="M2289" s="169" t="s">
        <v>893</v>
      </c>
      <c r="N2289" s="19" t="s">
        <v>66</v>
      </c>
      <c r="O2289" s="19" t="s">
        <v>168</v>
      </c>
      <c r="P2289" s="19">
        <v>1580</v>
      </c>
      <c r="Q2289" s="19">
        <v>1580</v>
      </c>
      <c r="R2289" s="17">
        <f t="shared" si="121"/>
        <v>0</v>
      </c>
      <c r="S2289" s="19">
        <v>1025</v>
      </c>
      <c r="T2289" s="19" t="s">
        <v>94</v>
      </c>
      <c r="U2289" s="102" t="s">
        <v>836</v>
      </c>
      <c r="V2289" s="498" t="s">
        <v>790</v>
      </c>
      <c r="W2289" s="17" t="s">
        <v>44</v>
      </c>
      <c r="Y2289" s="68">
        <v>44866</v>
      </c>
      <c r="Z2289" s="17" t="s">
        <v>436</v>
      </c>
      <c r="AA2289" s="17" t="s">
        <v>46</v>
      </c>
      <c r="AB2289" s="17" t="s">
        <v>871</v>
      </c>
      <c r="AC2289" s="17" t="s">
        <v>838</v>
      </c>
      <c r="AD2289" s="65">
        <v>1361</v>
      </c>
      <c r="AE2289" s="17" t="s">
        <v>48</v>
      </c>
    </row>
    <row r="2290" s="17" customFormat="1" hidden="1" spans="2:31">
      <c r="B2290" s="19">
        <v>853</v>
      </c>
      <c r="C2290" s="183" t="s">
        <v>774</v>
      </c>
      <c r="D2290" s="17" t="s">
        <v>432</v>
      </c>
      <c r="E2290" s="17" t="s">
        <v>433</v>
      </c>
      <c r="F2290" s="17" t="s">
        <v>434</v>
      </c>
      <c r="H2290" s="19" t="s">
        <v>169</v>
      </c>
      <c r="I2290" s="19"/>
      <c r="J2290" s="17" t="s">
        <v>82</v>
      </c>
      <c r="K2290" s="169" t="s">
        <v>521</v>
      </c>
      <c r="L2290" s="169" t="s">
        <v>510</v>
      </c>
      <c r="M2290" s="169" t="s">
        <v>894</v>
      </c>
      <c r="N2290" s="19" t="s">
        <v>66</v>
      </c>
      <c r="O2290" s="19" t="s">
        <v>168</v>
      </c>
      <c r="P2290" s="19">
        <v>3235</v>
      </c>
      <c r="Q2290" s="19">
        <v>3235</v>
      </c>
      <c r="R2290" s="17">
        <f t="shared" si="121"/>
        <v>0</v>
      </c>
      <c r="S2290" s="19">
        <v>1025</v>
      </c>
      <c r="T2290" s="19" t="s">
        <v>94</v>
      </c>
      <c r="U2290" s="102" t="s">
        <v>836</v>
      </c>
      <c r="V2290" s="498" t="s">
        <v>790</v>
      </c>
      <c r="W2290" s="17" t="s">
        <v>44</v>
      </c>
      <c r="Y2290" s="68">
        <v>44866</v>
      </c>
      <c r="Z2290" s="17" t="s">
        <v>436</v>
      </c>
      <c r="AA2290" s="17" t="s">
        <v>46</v>
      </c>
      <c r="AB2290" s="17" t="s">
        <v>871</v>
      </c>
      <c r="AC2290" s="17" t="s">
        <v>838</v>
      </c>
      <c r="AD2290" s="65">
        <v>1361</v>
      </c>
      <c r="AE2290" s="17" t="s">
        <v>48</v>
      </c>
    </row>
    <row r="2291" s="17" customFormat="1" hidden="1" spans="2:31">
      <c r="B2291" s="19">
        <v>853</v>
      </c>
      <c r="C2291" s="183" t="s">
        <v>774</v>
      </c>
      <c r="D2291" s="17" t="s">
        <v>432</v>
      </c>
      <c r="E2291" s="17" t="s">
        <v>433</v>
      </c>
      <c r="F2291" s="17" t="s">
        <v>434</v>
      </c>
      <c r="H2291" s="19" t="s">
        <v>169</v>
      </c>
      <c r="I2291" s="19"/>
      <c r="J2291" s="17" t="s">
        <v>82</v>
      </c>
      <c r="K2291" s="169" t="s">
        <v>794</v>
      </c>
      <c r="L2291" s="169" t="s">
        <v>895</v>
      </c>
      <c r="M2291" s="169" t="s">
        <v>849</v>
      </c>
      <c r="N2291" s="19" t="s">
        <v>66</v>
      </c>
      <c r="O2291" s="19" t="s">
        <v>168</v>
      </c>
      <c r="P2291" s="19">
        <v>1368</v>
      </c>
      <c r="Q2291" s="19">
        <v>1368</v>
      </c>
      <c r="R2291" s="17">
        <f t="shared" ref="R2291:R2322" si="122">+P2291-Q2291</f>
        <v>0</v>
      </c>
      <c r="S2291" s="19">
        <v>1025</v>
      </c>
      <c r="T2291" s="19" t="s">
        <v>94</v>
      </c>
      <c r="U2291" s="102" t="s">
        <v>836</v>
      </c>
      <c r="V2291" s="498" t="s">
        <v>790</v>
      </c>
      <c r="W2291" s="17" t="s">
        <v>44</v>
      </c>
      <c r="Y2291" s="68">
        <v>44866</v>
      </c>
      <c r="Z2291" s="17" t="s">
        <v>436</v>
      </c>
      <c r="AA2291" s="17" t="s">
        <v>46</v>
      </c>
      <c r="AB2291" s="17" t="s">
        <v>871</v>
      </c>
      <c r="AC2291" s="17" t="s">
        <v>838</v>
      </c>
      <c r="AD2291" s="65">
        <v>1361</v>
      </c>
      <c r="AE2291" s="17" t="s">
        <v>48</v>
      </c>
    </row>
    <row r="2292" s="17" customFormat="1" hidden="1" spans="2:31">
      <c r="B2292" s="19">
        <v>853</v>
      </c>
      <c r="C2292" s="183" t="s">
        <v>774</v>
      </c>
      <c r="D2292" s="17" t="s">
        <v>432</v>
      </c>
      <c r="E2292" s="17" t="s">
        <v>433</v>
      </c>
      <c r="F2292" s="17" t="s">
        <v>434</v>
      </c>
      <c r="H2292" s="19" t="s">
        <v>169</v>
      </c>
      <c r="I2292" s="19"/>
      <c r="J2292" s="17" t="s">
        <v>82</v>
      </c>
      <c r="K2292" s="169" t="s">
        <v>522</v>
      </c>
      <c r="L2292" s="169" t="s">
        <v>895</v>
      </c>
      <c r="M2292" s="169" t="s">
        <v>896</v>
      </c>
      <c r="N2292" s="19" t="s">
        <v>66</v>
      </c>
      <c r="O2292" s="19" t="s">
        <v>168</v>
      </c>
      <c r="P2292" s="19">
        <v>1095</v>
      </c>
      <c r="Q2292" s="19">
        <v>1095</v>
      </c>
      <c r="R2292" s="17">
        <f t="shared" si="122"/>
        <v>0</v>
      </c>
      <c r="S2292" s="19">
        <v>1025</v>
      </c>
      <c r="T2292" s="19" t="s">
        <v>94</v>
      </c>
      <c r="U2292" s="102" t="s">
        <v>836</v>
      </c>
      <c r="V2292" s="498" t="s">
        <v>790</v>
      </c>
      <c r="W2292" s="17" t="s">
        <v>44</v>
      </c>
      <c r="Y2292" s="68">
        <v>44866</v>
      </c>
      <c r="Z2292" s="17" t="s">
        <v>436</v>
      </c>
      <c r="AA2292" s="17" t="s">
        <v>46</v>
      </c>
      <c r="AB2292" s="17" t="s">
        <v>871</v>
      </c>
      <c r="AC2292" s="17" t="s">
        <v>838</v>
      </c>
      <c r="AD2292" s="65">
        <v>1361</v>
      </c>
      <c r="AE2292" s="17" t="s">
        <v>48</v>
      </c>
    </row>
    <row r="2293" s="17" customFormat="1" hidden="1" spans="2:31">
      <c r="B2293" s="19">
        <v>853</v>
      </c>
      <c r="C2293" s="183" t="s">
        <v>774</v>
      </c>
      <c r="D2293" s="17" t="s">
        <v>432</v>
      </c>
      <c r="E2293" s="17" t="s">
        <v>433</v>
      </c>
      <c r="F2293" s="17" t="s">
        <v>434</v>
      </c>
      <c r="H2293" s="19" t="s">
        <v>169</v>
      </c>
      <c r="I2293" s="19"/>
      <c r="J2293" s="17" t="s">
        <v>82</v>
      </c>
      <c r="K2293" s="169" t="s">
        <v>897</v>
      </c>
      <c r="L2293" s="169" t="s">
        <v>895</v>
      </c>
      <c r="M2293" s="169" t="s">
        <v>812</v>
      </c>
      <c r="N2293" s="19" t="s">
        <v>66</v>
      </c>
      <c r="O2293" s="19" t="s">
        <v>168</v>
      </c>
      <c r="P2293" s="19">
        <v>986</v>
      </c>
      <c r="Q2293" s="19">
        <v>986</v>
      </c>
      <c r="R2293" s="17">
        <f t="shared" si="122"/>
        <v>0</v>
      </c>
      <c r="S2293" s="19">
        <v>1025</v>
      </c>
      <c r="T2293" s="19" t="s">
        <v>94</v>
      </c>
      <c r="U2293" s="102" t="s">
        <v>836</v>
      </c>
      <c r="V2293" s="498" t="s">
        <v>790</v>
      </c>
      <c r="W2293" s="17" t="s">
        <v>44</v>
      </c>
      <c r="Y2293" s="68">
        <v>44866</v>
      </c>
      <c r="Z2293" s="17" t="s">
        <v>436</v>
      </c>
      <c r="AA2293" s="17" t="s">
        <v>46</v>
      </c>
      <c r="AB2293" s="17" t="s">
        <v>871</v>
      </c>
      <c r="AC2293" s="17" t="s">
        <v>838</v>
      </c>
      <c r="AD2293" s="65">
        <v>1361</v>
      </c>
      <c r="AE2293" s="17" t="s">
        <v>48</v>
      </c>
    </row>
    <row r="2294" s="17" customFormat="1" hidden="1" spans="2:31">
      <c r="B2294" s="19">
        <v>853</v>
      </c>
      <c r="C2294" s="183" t="s">
        <v>774</v>
      </c>
      <c r="D2294" s="17" t="s">
        <v>432</v>
      </c>
      <c r="E2294" s="17" t="s">
        <v>433</v>
      </c>
      <c r="F2294" s="17" t="s">
        <v>434</v>
      </c>
      <c r="H2294" s="19" t="s">
        <v>169</v>
      </c>
      <c r="I2294" s="19"/>
      <c r="J2294" s="17" t="s">
        <v>82</v>
      </c>
      <c r="K2294" s="169" t="s">
        <v>898</v>
      </c>
      <c r="L2294" s="169" t="s">
        <v>447</v>
      </c>
      <c r="M2294" s="169" t="s">
        <v>899</v>
      </c>
      <c r="N2294" s="19" t="s">
        <v>66</v>
      </c>
      <c r="O2294" s="19" t="s">
        <v>168</v>
      </c>
      <c r="P2294" s="19">
        <v>1160</v>
      </c>
      <c r="Q2294" s="19">
        <v>1160</v>
      </c>
      <c r="R2294" s="17">
        <f t="shared" si="122"/>
        <v>0</v>
      </c>
      <c r="S2294" s="19">
        <v>1025</v>
      </c>
      <c r="T2294" s="19" t="s">
        <v>94</v>
      </c>
      <c r="U2294" s="102" t="s">
        <v>836</v>
      </c>
      <c r="V2294" s="498" t="s">
        <v>790</v>
      </c>
      <c r="W2294" s="17" t="s">
        <v>44</v>
      </c>
      <c r="Y2294" s="68">
        <v>44866</v>
      </c>
      <c r="Z2294" s="17" t="s">
        <v>436</v>
      </c>
      <c r="AA2294" s="17" t="s">
        <v>46</v>
      </c>
      <c r="AB2294" s="17" t="s">
        <v>871</v>
      </c>
      <c r="AC2294" s="17" t="s">
        <v>838</v>
      </c>
      <c r="AD2294" s="65">
        <v>1361</v>
      </c>
      <c r="AE2294" s="17" t="s">
        <v>48</v>
      </c>
    </row>
    <row r="2295" s="17" customFormat="1" hidden="1" spans="2:31">
      <c r="B2295" s="19">
        <v>853</v>
      </c>
      <c r="C2295" s="183" t="s">
        <v>774</v>
      </c>
      <c r="D2295" s="17" t="s">
        <v>432</v>
      </c>
      <c r="E2295" s="17" t="s">
        <v>433</v>
      </c>
      <c r="F2295" s="17" t="s">
        <v>434</v>
      </c>
      <c r="H2295" s="19" t="s">
        <v>169</v>
      </c>
      <c r="I2295" s="19"/>
      <c r="J2295" s="17" t="s">
        <v>82</v>
      </c>
      <c r="K2295" s="169" t="s">
        <v>900</v>
      </c>
      <c r="L2295" s="169" t="s">
        <v>509</v>
      </c>
      <c r="M2295" s="169" t="s">
        <v>901</v>
      </c>
      <c r="N2295" s="19" t="s">
        <v>66</v>
      </c>
      <c r="O2295" s="19" t="s">
        <v>168</v>
      </c>
      <c r="P2295" s="19">
        <v>1880</v>
      </c>
      <c r="Q2295" s="19">
        <v>1880</v>
      </c>
      <c r="R2295" s="17">
        <f t="shared" si="122"/>
        <v>0</v>
      </c>
      <c r="S2295" s="19">
        <v>1025</v>
      </c>
      <c r="T2295" s="19" t="s">
        <v>94</v>
      </c>
      <c r="U2295" s="102" t="s">
        <v>836</v>
      </c>
      <c r="V2295" s="498" t="s">
        <v>790</v>
      </c>
      <c r="W2295" s="17" t="s">
        <v>44</v>
      </c>
      <c r="Y2295" s="68">
        <v>44866</v>
      </c>
      <c r="Z2295" s="17" t="s">
        <v>436</v>
      </c>
      <c r="AA2295" s="17" t="s">
        <v>46</v>
      </c>
      <c r="AB2295" s="17" t="s">
        <v>871</v>
      </c>
      <c r="AC2295" s="17" t="s">
        <v>838</v>
      </c>
      <c r="AD2295" s="65">
        <v>1361</v>
      </c>
      <c r="AE2295" s="17" t="s">
        <v>48</v>
      </c>
    </row>
    <row r="2296" s="17" customFormat="1" hidden="1" spans="2:31">
      <c r="B2296" s="19">
        <v>853</v>
      </c>
      <c r="C2296" s="183" t="s">
        <v>774</v>
      </c>
      <c r="D2296" s="17" t="s">
        <v>432</v>
      </c>
      <c r="E2296" s="17" t="s">
        <v>433</v>
      </c>
      <c r="F2296" s="17" t="s">
        <v>434</v>
      </c>
      <c r="H2296" s="19" t="s">
        <v>169</v>
      </c>
      <c r="I2296" s="19"/>
      <c r="J2296" s="17" t="s">
        <v>82</v>
      </c>
      <c r="K2296" s="169" t="s">
        <v>829</v>
      </c>
      <c r="L2296" s="169" t="s">
        <v>902</v>
      </c>
      <c r="M2296" s="169" t="s">
        <v>903</v>
      </c>
      <c r="N2296" s="19" t="s">
        <v>66</v>
      </c>
      <c r="O2296" s="19" t="s">
        <v>168</v>
      </c>
      <c r="P2296" s="19">
        <v>1036</v>
      </c>
      <c r="Q2296" s="19">
        <v>1036</v>
      </c>
      <c r="R2296" s="17">
        <f t="shared" si="122"/>
        <v>0</v>
      </c>
      <c r="S2296" s="19">
        <v>1025</v>
      </c>
      <c r="T2296" s="19" t="s">
        <v>94</v>
      </c>
      <c r="U2296" s="102" t="s">
        <v>836</v>
      </c>
      <c r="V2296" s="498" t="s">
        <v>790</v>
      </c>
      <c r="W2296" s="17" t="s">
        <v>44</v>
      </c>
      <c r="Y2296" s="68">
        <v>44866</v>
      </c>
      <c r="Z2296" s="17" t="s">
        <v>436</v>
      </c>
      <c r="AA2296" s="17" t="s">
        <v>46</v>
      </c>
      <c r="AB2296" s="17" t="s">
        <v>871</v>
      </c>
      <c r="AC2296" s="17" t="s">
        <v>838</v>
      </c>
      <c r="AD2296" s="65">
        <v>1361</v>
      </c>
      <c r="AE2296" s="17" t="s">
        <v>48</v>
      </c>
    </row>
    <row r="2297" s="17" customFormat="1" hidden="1" spans="2:31">
      <c r="B2297" s="19">
        <v>853</v>
      </c>
      <c r="C2297" s="183" t="s">
        <v>774</v>
      </c>
      <c r="D2297" s="17" t="s">
        <v>432</v>
      </c>
      <c r="E2297" s="17" t="s">
        <v>433</v>
      </c>
      <c r="F2297" s="17" t="s">
        <v>434</v>
      </c>
      <c r="H2297" s="19" t="s">
        <v>169</v>
      </c>
      <c r="I2297" s="19"/>
      <c r="J2297" s="17" t="s">
        <v>82</v>
      </c>
      <c r="K2297" s="169" t="s">
        <v>520</v>
      </c>
      <c r="L2297" s="169" t="s">
        <v>458</v>
      </c>
      <c r="M2297" s="169" t="s">
        <v>470</v>
      </c>
      <c r="N2297" s="19" t="s">
        <v>66</v>
      </c>
      <c r="O2297" s="19" t="s">
        <v>168</v>
      </c>
      <c r="P2297" s="19">
        <v>1370</v>
      </c>
      <c r="Q2297" s="19">
        <v>1370</v>
      </c>
      <c r="R2297" s="17">
        <f t="shared" si="122"/>
        <v>0</v>
      </c>
      <c r="S2297" s="19">
        <v>1025</v>
      </c>
      <c r="T2297" s="19" t="s">
        <v>94</v>
      </c>
      <c r="U2297" s="102" t="s">
        <v>836</v>
      </c>
      <c r="V2297" s="498" t="s">
        <v>790</v>
      </c>
      <c r="W2297" s="17" t="s">
        <v>44</v>
      </c>
      <c r="Y2297" s="68">
        <v>44866</v>
      </c>
      <c r="Z2297" s="17" t="s">
        <v>436</v>
      </c>
      <c r="AA2297" s="17" t="s">
        <v>46</v>
      </c>
      <c r="AB2297" s="17" t="s">
        <v>871</v>
      </c>
      <c r="AC2297" s="17" t="s">
        <v>838</v>
      </c>
      <c r="AD2297" s="65">
        <v>1361</v>
      </c>
      <c r="AE2297" s="17" t="s">
        <v>48</v>
      </c>
    </row>
    <row r="2298" s="17" customFormat="1" hidden="1" spans="2:31">
      <c r="B2298" s="19">
        <v>853</v>
      </c>
      <c r="C2298" s="183" t="s">
        <v>774</v>
      </c>
      <c r="D2298" s="17" t="s">
        <v>432</v>
      </c>
      <c r="E2298" s="17" t="s">
        <v>433</v>
      </c>
      <c r="F2298" s="17" t="s">
        <v>434</v>
      </c>
      <c r="H2298" s="19" t="s">
        <v>169</v>
      </c>
      <c r="I2298" s="19"/>
      <c r="J2298" s="17" t="s">
        <v>82</v>
      </c>
      <c r="K2298" s="169" t="s">
        <v>811</v>
      </c>
      <c r="L2298" s="169" t="s">
        <v>458</v>
      </c>
      <c r="M2298" s="169" t="s">
        <v>904</v>
      </c>
      <c r="N2298" s="19" t="s">
        <v>66</v>
      </c>
      <c r="O2298" s="19" t="s">
        <v>168</v>
      </c>
      <c r="P2298" s="19">
        <v>1330</v>
      </c>
      <c r="Q2298" s="19">
        <v>1330</v>
      </c>
      <c r="R2298" s="17">
        <f t="shared" si="122"/>
        <v>0</v>
      </c>
      <c r="S2298" s="19">
        <v>1025</v>
      </c>
      <c r="T2298" s="19" t="s">
        <v>94</v>
      </c>
      <c r="U2298" s="102" t="s">
        <v>836</v>
      </c>
      <c r="V2298" s="498" t="s">
        <v>790</v>
      </c>
      <c r="W2298" s="17" t="s">
        <v>44</v>
      </c>
      <c r="Y2298" s="68">
        <v>44866</v>
      </c>
      <c r="Z2298" s="17" t="s">
        <v>436</v>
      </c>
      <c r="AA2298" s="17" t="s">
        <v>46</v>
      </c>
      <c r="AB2298" s="17" t="s">
        <v>854</v>
      </c>
      <c r="AC2298" s="17" t="s">
        <v>838</v>
      </c>
      <c r="AD2298" s="65">
        <v>1361</v>
      </c>
      <c r="AE2298" s="17" t="s">
        <v>48</v>
      </c>
    </row>
    <row r="2299" s="17" customFormat="1" hidden="1" spans="2:31">
      <c r="B2299" s="19">
        <v>853</v>
      </c>
      <c r="C2299" s="183" t="s">
        <v>774</v>
      </c>
      <c r="D2299" s="17" t="s">
        <v>432</v>
      </c>
      <c r="E2299" s="17" t="s">
        <v>433</v>
      </c>
      <c r="F2299" s="17" t="s">
        <v>434</v>
      </c>
      <c r="H2299" s="19" t="s">
        <v>169</v>
      </c>
      <c r="I2299" s="19"/>
      <c r="J2299" s="17" t="s">
        <v>82</v>
      </c>
      <c r="K2299" s="169" t="s">
        <v>520</v>
      </c>
      <c r="L2299" s="169" t="s">
        <v>905</v>
      </c>
      <c r="M2299" s="169" t="s">
        <v>890</v>
      </c>
      <c r="N2299" s="19" t="s">
        <v>66</v>
      </c>
      <c r="O2299" s="19" t="s">
        <v>168</v>
      </c>
      <c r="P2299" s="19">
        <v>1660</v>
      </c>
      <c r="Q2299" s="19">
        <v>1660</v>
      </c>
      <c r="R2299" s="17">
        <f t="shared" si="122"/>
        <v>0</v>
      </c>
      <c r="S2299" s="19">
        <v>1025</v>
      </c>
      <c r="T2299" s="19" t="s">
        <v>94</v>
      </c>
      <c r="U2299" s="102" t="s">
        <v>836</v>
      </c>
      <c r="V2299" s="498" t="s">
        <v>790</v>
      </c>
      <c r="W2299" s="17" t="s">
        <v>44</v>
      </c>
      <c r="Y2299" s="68">
        <v>44866</v>
      </c>
      <c r="Z2299" s="17" t="s">
        <v>436</v>
      </c>
      <c r="AA2299" s="17" t="s">
        <v>46</v>
      </c>
      <c r="AB2299" s="17" t="s">
        <v>854</v>
      </c>
      <c r="AC2299" s="17" t="s">
        <v>838</v>
      </c>
      <c r="AD2299" s="65">
        <v>1361</v>
      </c>
      <c r="AE2299" s="17" t="s">
        <v>48</v>
      </c>
    </row>
    <row r="2300" s="17" customFormat="1" hidden="1" spans="2:31">
      <c r="B2300" s="19">
        <v>853</v>
      </c>
      <c r="C2300" s="183" t="s">
        <v>774</v>
      </c>
      <c r="D2300" s="17" t="s">
        <v>432</v>
      </c>
      <c r="E2300" s="17" t="s">
        <v>433</v>
      </c>
      <c r="F2300" s="17" t="s">
        <v>434</v>
      </c>
      <c r="H2300" s="19" t="s">
        <v>169</v>
      </c>
      <c r="I2300" s="19"/>
      <c r="J2300" s="17" t="s">
        <v>82</v>
      </c>
      <c r="K2300" s="169" t="s">
        <v>445</v>
      </c>
      <c r="L2300" s="169" t="s">
        <v>905</v>
      </c>
      <c r="M2300" s="169" t="s">
        <v>906</v>
      </c>
      <c r="N2300" s="19" t="s">
        <v>66</v>
      </c>
      <c r="O2300" s="19" t="s">
        <v>168</v>
      </c>
      <c r="P2300" s="19">
        <v>2120</v>
      </c>
      <c r="Q2300" s="19">
        <v>2120</v>
      </c>
      <c r="R2300" s="17">
        <f t="shared" si="122"/>
        <v>0</v>
      </c>
      <c r="S2300" s="19">
        <v>1025</v>
      </c>
      <c r="T2300" s="19" t="s">
        <v>94</v>
      </c>
      <c r="U2300" s="102" t="s">
        <v>836</v>
      </c>
      <c r="V2300" s="498" t="s">
        <v>790</v>
      </c>
      <c r="W2300" s="17" t="s">
        <v>44</v>
      </c>
      <c r="Y2300" s="68">
        <v>44866</v>
      </c>
      <c r="Z2300" s="17" t="s">
        <v>436</v>
      </c>
      <c r="AA2300" s="17" t="s">
        <v>46</v>
      </c>
      <c r="AB2300" s="17" t="s">
        <v>854</v>
      </c>
      <c r="AC2300" s="17" t="s">
        <v>838</v>
      </c>
      <c r="AD2300" s="65">
        <v>1361</v>
      </c>
      <c r="AE2300" s="17" t="s">
        <v>48</v>
      </c>
    </row>
    <row r="2301" s="17" customFormat="1" hidden="1" spans="2:31">
      <c r="B2301" s="19">
        <v>853</v>
      </c>
      <c r="C2301" s="183" t="s">
        <v>774</v>
      </c>
      <c r="D2301" s="17" t="s">
        <v>432</v>
      </c>
      <c r="E2301" s="17" t="s">
        <v>433</v>
      </c>
      <c r="F2301" s="17" t="s">
        <v>434</v>
      </c>
      <c r="H2301" s="19" t="s">
        <v>169</v>
      </c>
      <c r="I2301" s="19"/>
      <c r="J2301" s="17" t="s">
        <v>82</v>
      </c>
      <c r="K2301" s="169" t="s">
        <v>818</v>
      </c>
      <c r="L2301" s="169" t="s">
        <v>453</v>
      </c>
      <c r="M2301" s="169" t="s">
        <v>907</v>
      </c>
      <c r="N2301" s="19" t="s">
        <v>66</v>
      </c>
      <c r="O2301" s="19" t="s">
        <v>168</v>
      </c>
      <c r="P2301" s="19">
        <v>1814</v>
      </c>
      <c r="Q2301" s="19">
        <v>1814</v>
      </c>
      <c r="R2301" s="17">
        <f t="shared" si="122"/>
        <v>0</v>
      </c>
      <c r="S2301" s="19">
        <v>1025</v>
      </c>
      <c r="T2301" s="19" t="s">
        <v>94</v>
      </c>
      <c r="U2301" s="102" t="s">
        <v>836</v>
      </c>
      <c r="V2301" s="498" t="s">
        <v>790</v>
      </c>
      <c r="W2301" s="17" t="s">
        <v>44</v>
      </c>
      <c r="Y2301" s="68">
        <v>44866</v>
      </c>
      <c r="Z2301" s="17" t="s">
        <v>436</v>
      </c>
      <c r="AA2301" s="17" t="s">
        <v>46</v>
      </c>
      <c r="AB2301" s="17" t="s">
        <v>854</v>
      </c>
      <c r="AC2301" s="17" t="s">
        <v>838</v>
      </c>
      <c r="AD2301" s="65">
        <v>1361</v>
      </c>
      <c r="AE2301" s="17" t="s">
        <v>48</v>
      </c>
    </row>
    <row r="2302" s="17" customFormat="1" hidden="1" spans="2:31">
      <c r="B2302" s="19">
        <v>853</v>
      </c>
      <c r="C2302" s="183" t="s">
        <v>774</v>
      </c>
      <c r="D2302" s="17" t="s">
        <v>432</v>
      </c>
      <c r="E2302" s="17" t="s">
        <v>433</v>
      </c>
      <c r="F2302" s="17" t="s">
        <v>434</v>
      </c>
      <c r="H2302" s="19" t="s">
        <v>169</v>
      </c>
      <c r="I2302" s="19"/>
      <c r="J2302" s="17" t="s">
        <v>82</v>
      </c>
      <c r="K2302" s="169" t="s">
        <v>821</v>
      </c>
      <c r="L2302" s="169" t="s">
        <v>908</v>
      </c>
      <c r="M2302" s="169" t="s">
        <v>909</v>
      </c>
      <c r="N2302" s="19" t="s">
        <v>66</v>
      </c>
      <c r="O2302" s="19" t="s">
        <v>168</v>
      </c>
      <c r="P2302" s="19">
        <v>2770</v>
      </c>
      <c r="Q2302" s="19">
        <v>2770</v>
      </c>
      <c r="R2302" s="17">
        <f t="shared" si="122"/>
        <v>0</v>
      </c>
      <c r="S2302" s="19">
        <v>1025</v>
      </c>
      <c r="T2302" s="19" t="s">
        <v>94</v>
      </c>
      <c r="U2302" s="102" t="s">
        <v>836</v>
      </c>
      <c r="V2302" s="498" t="s">
        <v>790</v>
      </c>
      <c r="W2302" s="17" t="s">
        <v>44</v>
      </c>
      <c r="Y2302" s="68">
        <v>44866</v>
      </c>
      <c r="Z2302" s="17" t="s">
        <v>436</v>
      </c>
      <c r="AA2302" s="17" t="s">
        <v>46</v>
      </c>
      <c r="AB2302" s="17" t="s">
        <v>854</v>
      </c>
      <c r="AC2302" s="17" t="s">
        <v>838</v>
      </c>
      <c r="AD2302" s="65">
        <v>1361</v>
      </c>
      <c r="AE2302" s="17" t="s">
        <v>48</v>
      </c>
    </row>
    <row r="2303" s="17" customFormat="1" hidden="1" spans="2:31">
      <c r="B2303" s="19">
        <v>853</v>
      </c>
      <c r="C2303" s="183" t="s">
        <v>774</v>
      </c>
      <c r="D2303" s="17" t="s">
        <v>432</v>
      </c>
      <c r="E2303" s="17" t="s">
        <v>433</v>
      </c>
      <c r="F2303" s="17" t="s">
        <v>434</v>
      </c>
      <c r="H2303" s="19" t="s">
        <v>169</v>
      </c>
      <c r="I2303" s="19"/>
      <c r="J2303" s="17" t="s">
        <v>82</v>
      </c>
      <c r="K2303" s="169" t="s">
        <v>872</v>
      </c>
      <c r="L2303" s="169" t="s">
        <v>910</v>
      </c>
      <c r="M2303" s="169" t="s">
        <v>911</v>
      </c>
      <c r="N2303" s="19" t="s">
        <v>66</v>
      </c>
      <c r="O2303" s="19" t="s">
        <v>168</v>
      </c>
      <c r="P2303" s="19">
        <v>1420</v>
      </c>
      <c r="Q2303" s="19">
        <v>1420</v>
      </c>
      <c r="R2303" s="17">
        <f t="shared" si="122"/>
        <v>0</v>
      </c>
      <c r="S2303" s="19">
        <v>1025</v>
      </c>
      <c r="T2303" s="19" t="s">
        <v>94</v>
      </c>
      <c r="U2303" s="102" t="s">
        <v>836</v>
      </c>
      <c r="V2303" s="498" t="s">
        <v>790</v>
      </c>
      <c r="W2303" s="17" t="s">
        <v>44</v>
      </c>
      <c r="Y2303" s="68">
        <v>44866</v>
      </c>
      <c r="Z2303" s="17" t="s">
        <v>436</v>
      </c>
      <c r="AA2303" s="17" t="s">
        <v>46</v>
      </c>
      <c r="AB2303" s="17" t="s">
        <v>854</v>
      </c>
      <c r="AC2303" s="17" t="s">
        <v>838</v>
      </c>
      <c r="AD2303" s="65">
        <v>1361</v>
      </c>
      <c r="AE2303" s="17" t="s">
        <v>48</v>
      </c>
    </row>
    <row r="2304" s="17" customFormat="1" hidden="1" spans="2:31">
      <c r="B2304" s="19">
        <v>853</v>
      </c>
      <c r="C2304" s="183" t="s">
        <v>774</v>
      </c>
      <c r="D2304" s="17" t="s">
        <v>432</v>
      </c>
      <c r="E2304" s="17" t="s">
        <v>433</v>
      </c>
      <c r="F2304" s="17" t="s">
        <v>434</v>
      </c>
      <c r="H2304" s="19" t="s">
        <v>169</v>
      </c>
      <c r="I2304" s="19"/>
      <c r="J2304" s="17" t="s">
        <v>82</v>
      </c>
      <c r="K2304" s="169" t="s">
        <v>912</v>
      </c>
      <c r="L2304" s="169" t="s">
        <v>506</v>
      </c>
      <c r="M2304" s="169" t="s">
        <v>913</v>
      </c>
      <c r="N2304" s="19" t="s">
        <v>66</v>
      </c>
      <c r="O2304" s="19" t="s">
        <v>168</v>
      </c>
      <c r="P2304" s="19">
        <v>1840</v>
      </c>
      <c r="Q2304" s="19">
        <v>1840</v>
      </c>
      <c r="R2304" s="17">
        <f t="shared" si="122"/>
        <v>0</v>
      </c>
      <c r="S2304" s="19">
        <v>1025</v>
      </c>
      <c r="T2304" s="19" t="s">
        <v>94</v>
      </c>
      <c r="U2304" s="102" t="s">
        <v>836</v>
      </c>
      <c r="V2304" s="498" t="s">
        <v>790</v>
      </c>
      <c r="W2304" s="17" t="s">
        <v>44</v>
      </c>
      <c r="Y2304" s="68">
        <v>44866</v>
      </c>
      <c r="Z2304" s="17" t="s">
        <v>436</v>
      </c>
      <c r="AA2304" s="17" t="s">
        <v>46</v>
      </c>
      <c r="AB2304" s="17" t="s">
        <v>854</v>
      </c>
      <c r="AC2304" s="17" t="s">
        <v>838</v>
      </c>
      <c r="AD2304" s="65">
        <v>1361</v>
      </c>
      <c r="AE2304" s="17" t="s">
        <v>48</v>
      </c>
    </row>
    <row r="2305" s="17" customFormat="1" hidden="1" spans="1:31">
      <c r="B2305" s="19">
        <v>853</v>
      </c>
      <c r="C2305" s="183" t="s">
        <v>774</v>
      </c>
      <c r="D2305" s="17" t="s">
        <v>432</v>
      </c>
      <c r="E2305" s="17" t="s">
        <v>433</v>
      </c>
      <c r="F2305" s="17" t="s">
        <v>434</v>
      </c>
      <c r="H2305" s="19" t="s">
        <v>169</v>
      </c>
      <c r="I2305" s="19"/>
      <c r="J2305" s="17" t="s">
        <v>82</v>
      </c>
      <c r="K2305" s="169" t="s">
        <v>914</v>
      </c>
      <c r="L2305" s="169" t="s">
        <v>533</v>
      </c>
      <c r="M2305" s="169" t="s">
        <v>915</v>
      </c>
      <c r="N2305" s="19" t="s">
        <v>66</v>
      </c>
      <c r="O2305" s="19" t="s">
        <v>168</v>
      </c>
      <c r="P2305" s="19">
        <v>3080</v>
      </c>
      <c r="Q2305" s="19">
        <v>3080</v>
      </c>
      <c r="R2305" s="17">
        <f t="shared" si="122"/>
        <v>0</v>
      </c>
      <c r="S2305" s="19">
        <v>1025</v>
      </c>
      <c r="T2305" s="19" t="s">
        <v>94</v>
      </c>
      <c r="U2305" s="102" t="s">
        <v>836</v>
      </c>
      <c r="V2305" s="498" t="s">
        <v>790</v>
      </c>
      <c r="W2305" s="17" t="s">
        <v>44</v>
      </c>
      <c r="Y2305" s="68">
        <v>44866</v>
      </c>
      <c r="Z2305" s="17" t="s">
        <v>436</v>
      </c>
      <c r="AA2305" s="17" t="s">
        <v>46</v>
      </c>
      <c r="AB2305" s="17" t="s">
        <v>854</v>
      </c>
      <c r="AC2305" s="17" t="s">
        <v>838</v>
      </c>
      <c r="AD2305" s="65">
        <v>1361</v>
      </c>
      <c r="AE2305" s="17" t="s">
        <v>48</v>
      </c>
    </row>
    <row r="2306" s="17" customFormat="1" hidden="1" spans="1:31">
      <c r="B2306" s="19">
        <v>853</v>
      </c>
      <c r="C2306" s="183" t="s">
        <v>774</v>
      </c>
      <c r="D2306" s="17" t="s">
        <v>432</v>
      </c>
      <c r="E2306" s="17" t="s">
        <v>433</v>
      </c>
      <c r="F2306" s="17" t="s">
        <v>434</v>
      </c>
      <c r="H2306" s="19" t="s">
        <v>169</v>
      </c>
      <c r="I2306" s="19"/>
      <c r="J2306" s="17" t="s">
        <v>82</v>
      </c>
      <c r="K2306" s="169" t="s">
        <v>916</v>
      </c>
      <c r="L2306" s="169" t="s">
        <v>917</v>
      </c>
      <c r="M2306" s="169" t="s">
        <v>918</v>
      </c>
      <c r="N2306" s="19" t="s">
        <v>66</v>
      </c>
      <c r="O2306" s="19" t="s">
        <v>168</v>
      </c>
      <c r="P2306" s="19">
        <v>2064</v>
      </c>
      <c r="Q2306" s="19">
        <v>2064</v>
      </c>
      <c r="R2306" s="17">
        <f t="shared" si="122"/>
        <v>0</v>
      </c>
      <c r="S2306" s="19">
        <v>1025</v>
      </c>
      <c r="T2306" s="19" t="s">
        <v>94</v>
      </c>
      <c r="U2306" s="102" t="s">
        <v>836</v>
      </c>
      <c r="V2306" s="498" t="s">
        <v>790</v>
      </c>
      <c r="W2306" s="17" t="s">
        <v>44</v>
      </c>
      <c r="Y2306" s="68">
        <v>44866</v>
      </c>
      <c r="Z2306" s="17" t="s">
        <v>436</v>
      </c>
      <c r="AA2306" s="17" t="s">
        <v>46</v>
      </c>
      <c r="AB2306" s="17" t="s">
        <v>854</v>
      </c>
      <c r="AC2306" s="17" t="s">
        <v>838</v>
      </c>
      <c r="AD2306" s="65">
        <v>1361</v>
      </c>
      <c r="AE2306" s="17" t="s">
        <v>48</v>
      </c>
    </row>
    <row r="2307" s="17" customFormat="1" hidden="1" spans="1:31">
      <c r="B2307" s="19">
        <v>853</v>
      </c>
      <c r="C2307" s="183" t="s">
        <v>774</v>
      </c>
      <c r="D2307" s="17" t="s">
        <v>432</v>
      </c>
      <c r="E2307" s="17" t="s">
        <v>433</v>
      </c>
      <c r="F2307" s="17" t="s">
        <v>434</v>
      </c>
      <c r="H2307" s="19" t="s">
        <v>169</v>
      </c>
      <c r="I2307" s="19"/>
      <c r="J2307" s="17" t="s">
        <v>82</v>
      </c>
      <c r="K2307" s="169" t="s">
        <v>855</v>
      </c>
      <c r="L2307" s="169" t="s">
        <v>511</v>
      </c>
      <c r="M2307" s="169" t="s">
        <v>919</v>
      </c>
      <c r="N2307" s="19" t="s">
        <v>66</v>
      </c>
      <c r="O2307" s="19" t="s">
        <v>168</v>
      </c>
      <c r="P2307" s="19">
        <v>1468</v>
      </c>
      <c r="Q2307" s="19">
        <v>1468</v>
      </c>
      <c r="R2307" s="17">
        <f t="shared" si="122"/>
        <v>0</v>
      </c>
      <c r="S2307" s="19">
        <v>1025</v>
      </c>
      <c r="T2307" s="19" t="s">
        <v>94</v>
      </c>
      <c r="U2307" s="102" t="s">
        <v>836</v>
      </c>
      <c r="V2307" s="498" t="s">
        <v>790</v>
      </c>
      <c r="W2307" s="17" t="s">
        <v>44</v>
      </c>
      <c r="Y2307" s="68">
        <v>44866</v>
      </c>
      <c r="Z2307" s="17" t="s">
        <v>436</v>
      </c>
      <c r="AA2307" s="17" t="s">
        <v>46</v>
      </c>
      <c r="AB2307" s="17" t="s">
        <v>837</v>
      </c>
      <c r="AC2307" s="17" t="s">
        <v>838</v>
      </c>
      <c r="AD2307" s="65">
        <v>1361</v>
      </c>
      <c r="AE2307" s="17" t="s">
        <v>48</v>
      </c>
    </row>
    <row r="2308" s="17" customFormat="1" hidden="1" spans="1:31">
      <c r="B2308" s="19">
        <v>853</v>
      </c>
      <c r="C2308" s="183" t="s">
        <v>774</v>
      </c>
      <c r="D2308" s="17" t="s">
        <v>432</v>
      </c>
      <c r="E2308" s="17" t="s">
        <v>433</v>
      </c>
      <c r="F2308" s="17" t="s">
        <v>434</v>
      </c>
      <c r="H2308" s="19" t="s">
        <v>169</v>
      </c>
      <c r="I2308" s="19"/>
      <c r="J2308" s="17" t="s">
        <v>82</v>
      </c>
      <c r="K2308" s="169" t="s">
        <v>821</v>
      </c>
      <c r="L2308" s="169" t="s">
        <v>920</v>
      </c>
      <c r="M2308" s="169" t="s">
        <v>872</v>
      </c>
      <c r="N2308" s="19" t="s">
        <v>66</v>
      </c>
      <c r="O2308" s="19" t="s">
        <v>168</v>
      </c>
      <c r="P2308" s="19">
        <v>816</v>
      </c>
      <c r="Q2308" s="19">
        <v>816</v>
      </c>
      <c r="R2308" s="17">
        <f t="shared" si="122"/>
        <v>0</v>
      </c>
      <c r="S2308" s="19">
        <v>1025</v>
      </c>
      <c r="T2308" s="19" t="s">
        <v>94</v>
      </c>
      <c r="U2308" s="102" t="s">
        <v>836</v>
      </c>
      <c r="V2308" s="498" t="s">
        <v>790</v>
      </c>
      <c r="W2308" s="17" t="s">
        <v>44</v>
      </c>
      <c r="Y2308" s="68">
        <v>44866</v>
      </c>
      <c r="Z2308" s="17" t="s">
        <v>436</v>
      </c>
      <c r="AA2308" s="17" t="s">
        <v>46</v>
      </c>
      <c r="AB2308" s="17" t="s">
        <v>837</v>
      </c>
      <c r="AC2308" s="17" t="s">
        <v>838</v>
      </c>
      <c r="AD2308" s="65">
        <v>1361</v>
      </c>
      <c r="AE2308" s="17" t="s">
        <v>48</v>
      </c>
    </row>
    <row r="2309" s="17" customFormat="1" hidden="1" spans="1:31">
      <c r="B2309" s="19">
        <v>853</v>
      </c>
      <c r="C2309" s="183" t="s">
        <v>774</v>
      </c>
      <c r="D2309" s="17" t="s">
        <v>432</v>
      </c>
      <c r="E2309" s="17" t="s">
        <v>433</v>
      </c>
      <c r="F2309" s="17" t="s">
        <v>434</v>
      </c>
      <c r="H2309" s="19" t="s">
        <v>169</v>
      </c>
      <c r="I2309" s="19"/>
      <c r="J2309" s="17" t="s">
        <v>82</v>
      </c>
      <c r="K2309" s="169" t="s">
        <v>811</v>
      </c>
      <c r="L2309" s="169" t="s">
        <v>920</v>
      </c>
      <c r="M2309" s="169" t="s">
        <v>921</v>
      </c>
      <c r="N2309" s="19" t="s">
        <v>66</v>
      </c>
      <c r="O2309" s="19" t="s">
        <v>168</v>
      </c>
      <c r="P2309" s="19">
        <v>2360</v>
      </c>
      <c r="Q2309" s="19">
        <v>2360</v>
      </c>
      <c r="R2309" s="17">
        <f t="shared" si="122"/>
        <v>0</v>
      </c>
      <c r="S2309" s="19">
        <v>1025</v>
      </c>
      <c r="T2309" s="19" t="s">
        <v>94</v>
      </c>
      <c r="U2309" s="102" t="s">
        <v>836</v>
      </c>
      <c r="V2309" s="498" t="s">
        <v>790</v>
      </c>
      <c r="W2309" s="17" t="s">
        <v>44</v>
      </c>
      <c r="Y2309" s="68">
        <v>44866</v>
      </c>
      <c r="Z2309" s="17" t="s">
        <v>436</v>
      </c>
      <c r="AA2309" s="17" t="s">
        <v>46</v>
      </c>
      <c r="AB2309" s="17" t="s">
        <v>837</v>
      </c>
      <c r="AC2309" s="17" t="s">
        <v>838</v>
      </c>
      <c r="AD2309" s="65">
        <v>1361</v>
      </c>
      <c r="AE2309" s="17" t="s">
        <v>48</v>
      </c>
    </row>
    <row r="2310" s="17" customFormat="1" hidden="1" spans="1:31">
      <c r="B2310" s="19">
        <v>853</v>
      </c>
      <c r="C2310" s="183" t="s">
        <v>774</v>
      </c>
      <c r="D2310" s="17" t="s">
        <v>432</v>
      </c>
      <c r="E2310" s="17" t="s">
        <v>433</v>
      </c>
      <c r="F2310" s="17" t="s">
        <v>434</v>
      </c>
      <c r="H2310" s="19" t="s">
        <v>169</v>
      </c>
      <c r="I2310" s="19"/>
      <c r="J2310" s="17" t="s">
        <v>82</v>
      </c>
      <c r="K2310" s="169" t="s">
        <v>813</v>
      </c>
      <c r="L2310" s="169" t="s">
        <v>452</v>
      </c>
      <c r="M2310" s="169" t="s">
        <v>893</v>
      </c>
      <c r="N2310" s="19" t="s">
        <v>66</v>
      </c>
      <c r="O2310" s="19" t="s">
        <v>168</v>
      </c>
      <c r="P2310" s="19">
        <v>2220</v>
      </c>
      <c r="Q2310" s="19">
        <v>2220</v>
      </c>
      <c r="R2310" s="17">
        <f t="shared" si="122"/>
        <v>0</v>
      </c>
      <c r="S2310" s="19">
        <v>1025</v>
      </c>
      <c r="T2310" s="19" t="s">
        <v>94</v>
      </c>
      <c r="U2310" s="102" t="s">
        <v>836</v>
      </c>
      <c r="V2310" s="498" t="s">
        <v>790</v>
      </c>
      <c r="W2310" s="17" t="s">
        <v>44</v>
      </c>
      <c r="Y2310" s="68">
        <v>44866</v>
      </c>
      <c r="Z2310" s="17" t="s">
        <v>436</v>
      </c>
      <c r="AA2310" s="17" t="s">
        <v>46</v>
      </c>
      <c r="AB2310" s="17" t="s">
        <v>837</v>
      </c>
      <c r="AC2310" s="17" t="s">
        <v>838</v>
      </c>
      <c r="AD2310" s="65">
        <v>1361</v>
      </c>
      <c r="AE2310" s="17" t="s">
        <v>48</v>
      </c>
    </row>
    <row r="2311" s="17" customFormat="1" hidden="1" spans="1:31">
      <c r="B2311" s="19">
        <v>853</v>
      </c>
      <c r="C2311" s="183" t="s">
        <v>774</v>
      </c>
      <c r="D2311" s="17" t="s">
        <v>432</v>
      </c>
      <c r="E2311" s="17" t="s">
        <v>433</v>
      </c>
      <c r="F2311" s="17" t="s">
        <v>434</v>
      </c>
      <c r="H2311" s="19" t="s">
        <v>169</v>
      </c>
      <c r="I2311" s="19"/>
      <c r="J2311" s="17" t="s">
        <v>82</v>
      </c>
      <c r="K2311" s="169" t="s">
        <v>922</v>
      </c>
      <c r="L2311" s="169" t="s">
        <v>452</v>
      </c>
      <c r="M2311" s="169" t="s">
        <v>815</v>
      </c>
      <c r="N2311" s="19" t="s">
        <v>66</v>
      </c>
      <c r="O2311" s="19" t="s">
        <v>168</v>
      </c>
      <c r="P2311" s="19">
        <v>2640</v>
      </c>
      <c r="Q2311" s="19">
        <v>2640</v>
      </c>
      <c r="R2311" s="17">
        <f t="shared" si="122"/>
        <v>0</v>
      </c>
      <c r="S2311" s="19">
        <v>1025</v>
      </c>
      <c r="T2311" s="19" t="s">
        <v>94</v>
      </c>
      <c r="U2311" s="102" t="s">
        <v>836</v>
      </c>
      <c r="V2311" s="498" t="s">
        <v>790</v>
      </c>
      <c r="W2311" s="17" t="s">
        <v>44</v>
      </c>
      <c r="Y2311" s="68">
        <v>44866</v>
      </c>
      <c r="Z2311" s="17" t="s">
        <v>436</v>
      </c>
      <c r="AA2311" s="17" t="s">
        <v>46</v>
      </c>
      <c r="AB2311" s="17" t="s">
        <v>837</v>
      </c>
      <c r="AC2311" s="17" t="s">
        <v>838</v>
      </c>
      <c r="AD2311" s="65">
        <v>1361</v>
      </c>
      <c r="AE2311" s="17" t="s">
        <v>48</v>
      </c>
    </row>
    <row r="2312" s="17" customFormat="1" hidden="1" spans="1:31">
      <c r="B2312" s="19">
        <v>853</v>
      </c>
      <c r="C2312" s="183" t="s">
        <v>774</v>
      </c>
      <c r="D2312" s="17" t="s">
        <v>432</v>
      </c>
      <c r="E2312" s="17" t="s">
        <v>433</v>
      </c>
      <c r="F2312" s="17" t="s">
        <v>434</v>
      </c>
      <c r="H2312" s="19" t="s">
        <v>169</v>
      </c>
      <c r="I2312" s="19"/>
      <c r="J2312" s="17" t="s">
        <v>82</v>
      </c>
      <c r="K2312" s="169" t="s">
        <v>459</v>
      </c>
      <c r="L2312" s="169" t="s">
        <v>444</v>
      </c>
      <c r="M2312" s="169" t="s">
        <v>923</v>
      </c>
      <c r="N2312" s="19" t="s">
        <v>66</v>
      </c>
      <c r="O2312" s="19" t="s">
        <v>168</v>
      </c>
      <c r="P2312" s="19">
        <v>2400</v>
      </c>
      <c r="Q2312" s="19">
        <v>2400</v>
      </c>
      <c r="R2312" s="17">
        <f t="shared" si="122"/>
        <v>0</v>
      </c>
      <c r="S2312" s="19">
        <v>1025</v>
      </c>
      <c r="T2312" s="19" t="s">
        <v>94</v>
      </c>
      <c r="U2312" s="102" t="s">
        <v>836</v>
      </c>
      <c r="V2312" s="498" t="s">
        <v>790</v>
      </c>
      <c r="W2312" s="17" t="s">
        <v>44</v>
      </c>
      <c r="Y2312" s="68">
        <v>44866</v>
      </c>
      <c r="Z2312" s="17" t="s">
        <v>436</v>
      </c>
      <c r="AA2312" s="17" t="s">
        <v>46</v>
      </c>
      <c r="AB2312" s="17" t="s">
        <v>837</v>
      </c>
      <c r="AC2312" s="17" t="s">
        <v>838</v>
      </c>
      <c r="AD2312" s="65">
        <v>1361</v>
      </c>
      <c r="AE2312" s="17" t="s">
        <v>48</v>
      </c>
    </row>
    <row r="2313" s="17" customFormat="1" hidden="1" spans="1:31">
      <c r="B2313" s="19">
        <v>853</v>
      </c>
      <c r="C2313" s="183" t="s">
        <v>774</v>
      </c>
      <c r="D2313" s="17" t="s">
        <v>432</v>
      </c>
      <c r="E2313" s="17" t="s">
        <v>433</v>
      </c>
      <c r="F2313" s="17" t="s">
        <v>434</v>
      </c>
      <c r="H2313" s="19" t="s">
        <v>169</v>
      </c>
      <c r="I2313" s="19"/>
      <c r="J2313" s="17" t="s">
        <v>82</v>
      </c>
      <c r="K2313" s="169" t="s">
        <v>818</v>
      </c>
      <c r="L2313" s="169" t="s">
        <v>444</v>
      </c>
      <c r="M2313" s="169" t="s">
        <v>831</v>
      </c>
      <c r="N2313" s="19" t="s">
        <v>66</v>
      </c>
      <c r="O2313" s="19" t="s">
        <v>168</v>
      </c>
      <c r="P2313" s="19">
        <v>1026</v>
      </c>
      <c r="Q2313" s="19">
        <v>1026</v>
      </c>
      <c r="R2313" s="17">
        <f t="shared" si="122"/>
        <v>0</v>
      </c>
      <c r="S2313" s="19">
        <v>1025</v>
      </c>
      <c r="T2313" s="19" t="s">
        <v>94</v>
      </c>
      <c r="U2313" s="102" t="s">
        <v>836</v>
      </c>
      <c r="V2313" s="498" t="s">
        <v>790</v>
      </c>
      <c r="W2313" s="17" t="s">
        <v>44</v>
      </c>
      <c r="Y2313" s="68">
        <v>44866</v>
      </c>
      <c r="Z2313" s="17" t="s">
        <v>436</v>
      </c>
      <c r="AA2313" s="17" t="s">
        <v>46</v>
      </c>
      <c r="AB2313" s="17" t="s">
        <v>837</v>
      </c>
      <c r="AC2313" s="17" t="s">
        <v>838</v>
      </c>
      <c r="AD2313" s="65">
        <v>1361</v>
      </c>
      <c r="AE2313" s="17" t="s">
        <v>48</v>
      </c>
    </row>
    <row r="2314" s="17" customFormat="1" hidden="1" spans="1:31">
      <c r="B2314" s="19">
        <v>853</v>
      </c>
      <c r="C2314" s="183" t="s">
        <v>774</v>
      </c>
      <c r="D2314" s="17" t="s">
        <v>432</v>
      </c>
      <c r="E2314" s="17" t="s">
        <v>433</v>
      </c>
      <c r="F2314" s="17" t="s">
        <v>434</v>
      </c>
      <c r="H2314" s="19" t="s">
        <v>169</v>
      </c>
      <c r="I2314" s="19"/>
      <c r="J2314" s="17" t="s">
        <v>82</v>
      </c>
      <c r="K2314" s="169" t="s">
        <v>804</v>
      </c>
      <c r="L2314" s="169" t="s">
        <v>924</v>
      </c>
      <c r="M2314" s="169" t="s">
        <v>925</v>
      </c>
      <c r="N2314" s="19" t="s">
        <v>66</v>
      </c>
      <c r="O2314" s="19" t="s">
        <v>168</v>
      </c>
      <c r="P2314" s="19">
        <v>925</v>
      </c>
      <c r="Q2314" s="19">
        <v>925</v>
      </c>
      <c r="R2314" s="17">
        <f t="shared" si="122"/>
        <v>0</v>
      </c>
      <c r="S2314" s="19">
        <v>1025</v>
      </c>
      <c r="T2314" s="19" t="s">
        <v>94</v>
      </c>
      <c r="U2314" s="102" t="s">
        <v>836</v>
      </c>
      <c r="V2314" s="498" t="s">
        <v>790</v>
      </c>
      <c r="W2314" s="17" t="s">
        <v>44</v>
      </c>
      <c r="Y2314" s="68">
        <v>44866</v>
      </c>
      <c r="Z2314" s="17" t="s">
        <v>436</v>
      </c>
      <c r="AA2314" s="17" t="s">
        <v>46</v>
      </c>
      <c r="AB2314" s="17" t="s">
        <v>837</v>
      </c>
      <c r="AC2314" s="17" t="s">
        <v>838</v>
      </c>
      <c r="AD2314" s="65">
        <v>1361</v>
      </c>
      <c r="AE2314" s="17" t="s">
        <v>48</v>
      </c>
    </row>
    <row r="2315" s="17" customFormat="1" hidden="1" spans="1:31">
      <c r="B2315" s="19">
        <v>853</v>
      </c>
      <c r="C2315" s="183" t="s">
        <v>774</v>
      </c>
      <c r="D2315" s="17" t="s">
        <v>432</v>
      </c>
      <c r="E2315" s="17" t="s">
        <v>433</v>
      </c>
      <c r="F2315" s="17" t="s">
        <v>434</v>
      </c>
      <c r="H2315" s="19" t="s">
        <v>169</v>
      </c>
      <c r="I2315" s="19"/>
      <c r="J2315" s="17" t="s">
        <v>82</v>
      </c>
      <c r="K2315" s="169" t="s">
        <v>831</v>
      </c>
      <c r="L2315" s="169" t="s">
        <v>926</v>
      </c>
      <c r="M2315" s="169" t="s">
        <v>927</v>
      </c>
      <c r="N2315" s="19" t="s">
        <v>66</v>
      </c>
      <c r="O2315" s="19" t="s">
        <v>168</v>
      </c>
      <c r="P2315" s="19">
        <v>1310</v>
      </c>
      <c r="Q2315" s="19">
        <v>1310</v>
      </c>
      <c r="R2315" s="17">
        <f t="shared" si="122"/>
        <v>0</v>
      </c>
      <c r="S2315" s="19">
        <v>1025</v>
      </c>
      <c r="T2315" s="19" t="s">
        <v>94</v>
      </c>
      <c r="U2315" s="102" t="s">
        <v>836</v>
      </c>
      <c r="V2315" s="498" t="s">
        <v>790</v>
      </c>
      <c r="W2315" s="17" t="s">
        <v>44</v>
      </c>
      <c r="Y2315" s="68">
        <v>44866</v>
      </c>
      <c r="Z2315" s="17" t="s">
        <v>436</v>
      </c>
      <c r="AA2315" s="17" t="s">
        <v>46</v>
      </c>
      <c r="AB2315" s="17" t="s">
        <v>837</v>
      </c>
      <c r="AC2315" s="17" t="s">
        <v>838</v>
      </c>
      <c r="AD2315" s="65">
        <v>1361</v>
      </c>
      <c r="AE2315" s="17" t="s">
        <v>48</v>
      </c>
    </row>
    <row r="2316" s="17" customFormat="1" hidden="1" spans="1:31">
      <c r="B2316" s="19">
        <v>853</v>
      </c>
      <c r="C2316" s="183" t="s">
        <v>774</v>
      </c>
      <c r="D2316" s="17" t="s">
        <v>432</v>
      </c>
      <c r="E2316" s="17" t="s">
        <v>433</v>
      </c>
      <c r="F2316" s="17" t="s">
        <v>434</v>
      </c>
      <c r="H2316" s="19" t="s">
        <v>169</v>
      </c>
      <c r="I2316" s="19"/>
      <c r="J2316" s="17" t="s">
        <v>82</v>
      </c>
      <c r="K2316" s="169" t="s">
        <v>898</v>
      </c>
      <c r="L2316" s="169" t="s">
        <v>526</v>
      </c>
      <c r="M2316" s="169" t="s">
        <v>919</v>
      </c>
      <c r="N2316" s="19" t="s">
        <v>66</v>
      </c>
      <c r="O2316" s="19" t="s">
        <v>168</v>
      </c>
      <c r="P2316" s="19">
        <v>975</v>
      </c>
      <c r="Q2316" s="19">
        <v>975</v>
      </c>
      <c r="R2316" s="17">
        <f t="shared" si="122"/>
        <v>0</v>
      </c>
      <c r="S2316" s="19">
        <v>1025</v>
      </c>
      <c r="T2316" s="19" t="s">
        <v>94</v>
      </c>
      <c r="U2316" s="102" t="s">
        <v>836</v>
      </c>
      <c r="V2316" s="498" t="s">
        <v>790</v>
      </c>
      <c r="W2316" s="17" t="s">
        <v>44</v>
      </c>
      <c r="Y2316" s="68">
        <v>44866</v>
      </c>
      <c r="Z2316" s="17" t="s">
        <v>436</v>
      </c>
      <c r="AA2316" s="17" t="s">
        <v>46</v>
      </c>
      <c r="AB2316" s="17" t="s">
        <v>837</v>
      </c>
      <c r="AC2316" s="17" t="s">
        <v>838</v>
      </c>
      <c r="AD2316" s="65">
        <v>1361</v>
      </c>
      <c r="AE2316" s="17" t="s">
        <v>48</v>
      </c>
    </row>
    <row r="2317" s="17" customFormat="1" hidden="1" spans="1:31">
      <c r="B2317" s="19">
        <v>853</v>
      </c>
      <c r="C2317" s="183" t="s">
        <v>774</v>
      </c>
      <c r="D2317" s="17" t="s">
        <v>432</v>
      </c>
      <c r="E2317" s="17" t="s">
        <v>433</v>
      </c>
      <c r="F2317" s="17" t="s">
        <v>434</v>
      </c>
      <c r="H2317" s="19" t="s">
        <v>169</v>
      </c>
      <c r="I2317" s="19"/>
      <c r="J2317" s="17" t="s">
        <v>82</v>
      </c>
      <c r="K2317" s="169" t="s">
        <v>513</v>
      </c>
      <c r="L2317" s="169" t="s">
        <v>526</v>
      </c>
      <c r="M2317" s="169" t="s">
        <v>928</v>
      </c>
      <c r="N2317" s="19" t="s">
        <v>66</v>
      </c>
      <c r="O2317" s="19" t="s">
        <v>168</v>
      </c>
      <c r="P2317" s="19">
        <v>3260</v>
      </c>
      <c r="Q2317" s="19">
        <v>3260</v>
      </c>
      <c r="R2317" s="17">
        <f t="shared" si="122"/>
        <v>0</v>
      </c>
      <c r="S2317" s="19">
        <v>1025</v>
      </c>
      <c r="T2317" s="19" t="s">
        <v>94</v>
      </c>
      <c r="U2317" s="102" t="s">
        <v>836</v>
      </c>
      <c r="V2317" s="498" t="s">
        <v>790</v>
      </c>
      <c r="W2317" s="17" t="s">
        <v>44</v>
      </c>
      <c r="Y2317" s="68">
        <v>44866</v>
      </c>
      <c r="Z2317" s="17" t="s">
        <v>436</v>
      </c>
      <c r="AA2317" s="17" t="s">
        <v>46</v>
      </c>
      <c r="AB2317" s="17" t="s">
        <v>837</v>
      </c>
      <c r="AC2317" s="17" t="s">
        <v>838</v>
      </c>
      <c r="AD2317" s="65">
        <v>1361</v>
      </c>
      <c r="AE2317" s="17" t="s">
        <v>48</v>
      </c>
    </row>
    <row r="2318" s="17" customFormat="1" hidden="1" spans="1:31">
      <c r="B2318" s="19">
        <v>853</v>
      </c>
      <c r="C2318" s="183" t="s">
        <v>774</v>
      </c>
      <c r="D2318" s="17" t="s">
        <v>432</v>
      </c>
      <c r="E2318" s="17" t="s">
        <v>433</v>
      </c>
      <c r="F2318" s="17" t="s">
        <v>434</v>
      </c>
      <c r="H2318" s="19" t="s">
        <v>169</v>
      </c>
      <c r="I2318" s="19"/>
      <c r="J2318" s="17" t="s">
        <v>82</v>
      </c>
      <c r="K2318" s="169" t="s">
        <v>806</v>
      </c>
      <c r="L2318" s="169" t="s">
        <v>794</v>
      </c>
      <c r="M2318" s="169" t="s">
        <v>446</v>
      </c>
      <c r="N2318" s="19" t="s">
        <v>66</v>
      </c>
      <c r="O2318" s="19" t="s">
        <v>168</v>
      </c>
      <c r="P2318" s="19">
        <v>590</v>
      </c>
      <c r="Q2318" s="19">
        <v>590</v>
      </c>
      <c r="R2318" s="17">
        <f t="shared" si="122"/>
        <v>0</v>
      </c>
      <c r="S2318" s="19">
        <v>1025</v>
      </c>
      <c r="T2318" s="19" t="s">
        <v>94</v>
      </c>
      <c r="U2318" s="102" t="s">
        <v>836</v>
      </c>
      <c r="V2318" s="498" t="s">
        <v>790</v>
      </c>
      <c r="W2318" s="17" t="s">
        <v>44</v>
      </c>
      <c r="Y2318" s="68">
        <v>44866</v>
      </c>
      <c r="Z2318" s="17" t="s">
        <v>436</v>
      </c>
      <c r="AA2318" s="17" t="s">
        <v>46</v>
      </c>
      <c r="AB2318" s="17" t="s">
        <v>837</v>
      </c>
      <c r="AC2318" s="17" t="s">
        <v>838</v>
      </c>
      <c r="AD2318" s="65">
        <v>1361</v>
      </c>
      <c r="AE2318" s="17" t="s">
        <v>48</v>
      </c>
    </row>
    <row r="2319" s="17" customFormat="1" hidden="1" spans="1:31">
      <c r="A2319" s="17" t="s">
        <v>34</v>
      </c>
      <c r="B2319" s="19">
        <v>854</v>
      </c>
      <c r="C2319" s="183" t="s">
        <v>929</v>
      </c>
      <c r="D2319" s="17" t="s">
        <v>35</v>
      </c>
      <c r="E2319" s="17" t="s">
        <v>718</v>
      </c>
      <c r="F2319" s="17" t="s">
        <v>96</v>
      </c>
      <c r="H2319" s="19" t="s">
        <v>97</v>
      </c>
      <c r="I2319" s="19"/>
      <c r="J2319" s="17" t="s">
        <v>82</v>
      </c>
      <c r="K2319" s="232">
        <v>310</v>
      </c>
      <c r="L2319" s="232">
        <v>110</v>
      </c>
      <c r="M2319" s="19"/>
      <c r="N2319" s="19" t="s">
        <v>40</v>
      </c>
      <c r="O2319" s="19" t="s">
        <v>168</v>
      </c>
      <c r="P2319" s="19">
        <v>767</v>
      </c>
      <c r="Q2319" s="19">
        <v>959</v>
      </c>
      <c r="R2319" s="19">
        <f t="shared" si="122"/>
        <v>-192</v>
      </c>
      <c r="S2319" s="19">
        <v>367</v>
      </c>
      <c r="T2319" s="19" t="s">
        <v>99</v>
      </c>
      <c r="U2319" s="102" t="s">
        <v>930</v>
      </c>
      <c r="V2319" s="110" t="s">
        <v>931</v>
      </c>
      <c r="W2319" s="17" t="s">
        <v>44</v>
      </c>
      <c r="Y2319" s="68">
        <v>44927</v>
      </c>
      <c r="Z2319" s="17" t="s">
        <v>721</v>
      </c>
      <c r="AA2319" s="17" t="s">
        <v>46</v>
      </c>
      <c r="AB2319" s="17" t="s">
        <v>932</v>
      </c>
      <c r="AC2319" s="17" t="s">
        <v>933</v>
      </c>
      <c r="AD2319" s="65">
        <v>1369</v>
      </c>
      <c r="AE2319" s="17" t="s">
        <v>48</v>
      </c>
    </row>
    <row r="2320" s="17" customFormat="1" hidden="1" spans="1:31">
      <c r="A2320" s="17" t="s">
        <v>34</v>
      </c>
      <c r="B2320" s="19">
        <v>854</v>
      </c>
      <c r="C2320" s="183" t="s">
        <v>929</v>
      </c>
      <c r="D2320" s="17" t="s">
        <v>35</v>
      </c>
      <c r="E2320" s="17" t="s">
        <v>718</v>
      </c>
      <c r="F2320" s="17" t="s">
        <v>96</v>
      </c>
      <c r="H2320" s="19" t="s">
        <v>97</v>
      </c>
      <c r="I2320" s="19"/>
      <c r="J2320" s="17" t="s">
        <v>82</v>
      </c>
      <c r="K2320" s="232">
        <v>310</v>
      </c>
      <c r="L2320" s="232">
        <v>140</v>
      </c>
      <c r="M2320" s="19"/>
      <c r="N2320" s="19" t="s">
        <v>40</v>
      </c>
      <c r="O2320" s="19" t="s">
        <v>168</v>
      </c>
      <c r="P2320" s="19">
        <v>1246</v>
      </c>
      <c r="Q2320" s="19">
        <v>1202</v>
      </c>
      <c r="R2320" s="19">
        <f t="shared" si="122"/>
        <v>44</v>
      </c>
      <c r="S2320" s="19">
        <v>387</v>
      </c>
      <c r="T2320" s="19" t="s">
        <v>99</v>
      </c>
      <c r="U2320" s="102" t="s">
        <v>930</v>
      </c>
      <c r="V2320" s="110" t="s">
        <v>931</v>
      </c>
      <c r="W2320" s="17" t="s">
        <v>44</v>
      </c>
      <c r="Y2320" s="68">
        <v>44927</v>
      </c>
      <c r="Z2320" s="17" t="s">
        <v>721</v>
      </c>
      <c r="AA2320" s="17" t="s">
        <v>46</v>
      </c>
      <c r="AB2320" s="17" t="s">
        <v>932</v>
      </c>
      <c r="AC2320" s="17" t="s">
        <v>933</v>
      </c>
      <c r="AD2320" s="65">
        <v>1369</v>
      </c>
      <c r="AE2320" s="17" t="s">
        <v>48</v>
      </c>
    </row>
    <row r="2321" s="17" customFormat="1" hidden="1" spans="1:31">
      <c r="A2321" s="17" t="s">
        <v>34</v>
      </c>
      <c r="B2321" s="19">
        <v>854</v>
      </c>
      <c r="C2321" s="183" t="s">
        <v>929</v>
      </c>
      <c r="D2321" s="17" t="s">
        <v>35</v>
      </c>
      <c r="E2321" s="17" t="s">
        <v>718</v>
      </c>
      <c r="F2321" s="17" t="s">
        <v>96</v>
      </c>
      <c r="H2321" s="19" t="s">
        <v>97</v>
      </c>
      <c r="I2321" s="19"/>
      <c r="J2321" s="17" t="s">
        <v>82</v>
      </c>
      <c r="K2321" s="232">
        <v>410</v>
      </c>
      <c r="L2321" s="232">
        <v>140</v>
      </c>
      <c r="M2321" s="19"/>
      <c r="N2321" s="19" t="s">
        <v>40</v>
      </c>
      <c r="O2321" s="19" t="s">
        <v>168</v>
      </c>
      <c r="P2321" s="19">
        <v>1423</v>
      </c>
      <c r="Q2321" s="19">
        <v>1424</v>
      </c>
      <c r="R2321" s="19">
        <f t="shared" si="122"/>
        <v>-1</v>
      </c>
      <c r="S2321" s="19">
        <v>387</v>
      </c>
      <c r="T2321" s="19" t="s">
        <v>99</v>
      </c>
      <c r="U2321" s="102" t="s">
        <v>930</v>
      </c>
      <c r="V2321" s="110" t="s">
        <v>931</v>
      </c>
      <c r="W2321" s="17" t="s">
        <v>44</v>
      </c>
      <c r="Y2321" s="68">
        <v>44927</v>
      </c>
      <c r="Z2321" s="17" t="s">
        <v>721</v>
      </c>
      <c r="AA2321" s="17" t="s">
        <v>46</v>
      </c>
      <c r="AB2321" s="17" t="s">
        <v>932</v>
      </c>
      <c r="AC2321" s="17" t="s">
        <v>933</v>
      </c>
      <c r="AD2321" s="65">
        <v>1369</v>
      </c>
      <c r="AE2321" s="17" t="s">
        <v>48</v>
      </c>
    </row>
    <row r="2322" s="17" customFormat="1" hidden="1" spans="1:31">
      <c r="A2322" s="17" t="s">
        <v>34</v>
      </c>
      <c r="B2322" s="19">
        <v>854</v>
      </c>
      <c r="C2322" s="183" t="s">
        <v>929</v>
      </c>
      <c r="D2322" s="17" t="s">
        <v>35</v>
      </c>
      <c r="E2322" s="17" t="s">
        <v>718</v>
      </c>
      <c r="F2322" s="17" t="s">
        <v>96</v>
      </c>
      <c r="H2322" s="19" t="s">
        <v>97</v>
      </c>
      <c r="I2322" s="19"/>
      <c r="J2322" s="17" t="s">
        <v>82</v>
      </c>
      <c r="K2322" s="232">
        <v>410</v>
      </c>
      <c r="L2322" s="232">
        <v>150</v>
      </c>
      <c r="M2322" s="19"/>
      <c r="N2322" s="19" t="s">
        <v>40</v>
      </c>
      <c r="O2322" s="19" t="s">
        <v>168</v>
      </c>
      <c r="P2322" s="19">
        <v>1538</v>
      </c>
      <c r="Q2322" s="19">
        <v>1558</v>
      </c>
      <c r="R2322" s="19">
        <f t="shared" si="122"/>
        <v>-20</v>
      </c>
      <c r="S2322" s="19">
        <v>387</v>
      </c>
      <c r="T2322" s="19" t="s">
        <v>99</v>
      </c>
      <c r="U2322" s="102" t="s">
        <v>930</v>
      </c>
      <c r="V2322" s="110" t="s">
        <v>931</v>
      </c>
      <c r="W2322" s="17" t="s">
        <v>44</v>
      </c>
      <c r="Y2322" s="68">
        <v>44927</v>
      </c>
      <c r="Z2322" s="17" t="s">
        <v>721</v>
      </c>
      <c r="AA2322" s="17" t="s">
        <v>46</v>
      </c>
      <c r="AB2322" s="17" t="s">
        <v>932</v>
      </c>
      <c r="AC2322" s="17" t="s">
        <v>933</v>
      </c>
      <c r="AD2322" s="65">
        <v>1369</v>
      </c>
      <c r="AE2322" s="17" t="s">
        <v>48</v>
      </c>
    </row>
    <row r="2323" s="17" customFormat="1" hidden="1" spans="1:31">
      <c r="A2323" s="17" t="s">
        <v>34</v>
      </c>
      <c r="B2323" s="19">
        <v>854</v>
      </c>
      <c r="C2323" s="183" t="s">
        <v>929</v>
      </c>
      <c r="D2323" s="17" t="s">
        <v>35</v>
      </c>
      <c r="E2323" s="17" t="s">
        <v>718</v>
      </c>
      <c r="F2323" s="17" t="s">
        <v>96</v>
      </c>
      <c r="H2323" s="19" t="s">
        <v>97</v>
      </c>
      <c r="I2323" s="19"/>
      <c r="J2323" s="17" t="s">
        <v>82</v>
      </c>
      <c r="K2323" s="232">
        <v>310</v>
      </c>
      <c r="L2323" s="232">
        <v>160</v>
      </c>
      <c r="M2323" s="19"/>
      <c r="N2323" s="19" t="s">
        <v>40</v>
      </c>
      <c r="O2323" s="19" t="s">
        <v>168</v>
      </c>
      <c r="P2323" s="19">
        <v>1251</v>
      </c>
      <c r="Q2323" s="19">
        <v>1414</v>
      </c>
      <c r="R2323" s="19">
        <f t="shared" ref="R2323:R2354" si="123">+P2323-Q2323</f>
        <v>-163</v>
      </c>
      <c r="S2323" s="19">
        <v>387</v>
      </c>
      <c r="T2323" s="19" t="s">
        <v>99</v>
      </c>
      <c r="U2323" s="102" t="s">
        <v>930</v>
      </c>
      <c r="V2323" s="110" t="s">
        <v>931</v>
      </c>
      <c r="W2323" s="17" t="s">
        <v>44</v>
      </c>
      <c r="Y2323" s="68">
        <v>44927</v>
      </c>
      <c r="Z2323" s="17" t="s">
        <v>721</v>
      </c>
      <c r="AA2323" s="17" t="s">
        <v>46</v>
      </c>
      <c r="AB2323" s="17" t="s">
        <v>932</v>
      </c>
      <c r="AC2323" s="17" t="s">
        <v>933</v>
      </c>
      <c r="AD2323" s="65">
        <v>1369</v>
      </c>
      <c r="AE2323" s="17" t="s">
        <v>48</v>
      </c>
    </row>
    <row r="2324" s="17" customFormat="1" hidden="1" spans="1:31">
      <c r="A2324" s="17" t="s">
        <v>34</v>
      </c>
      <c r="B2324" s="19">
        <v>854</v>
      </c>
      <c r="C2324" s="183" t="s">
        <v>929</v>
      </c>
      <c r="D2324" s="17" t="s">
        <v>35</v>
      </c>
      <c r="E2324" s="17" t="s">
        <v>718</v>
      </c>
      <c r="F2324" s="17" t="s">
        <v>96</v>
      </c>
      <c r="H2324" s="19" t="s">
        <v>97</v>
      </c>
      <c r="I2324" s="19"/>
      <c r="J2324" s="17" t="s">
        <v>82</v>
      </c>
      <c r="K2324" s="232">
        <v>310</v>
      </c>
      <c r="L2324" s="232">
        <v>170</v>
      </c>
      <c r="M2324" s="19"/>
      <c r="N2324" s="19" t="s">
        <v>40</v>
      </c>
      <c r="O2324" s="19" t="s">
        <v>168</v>
      </c>
      <c r="P2324" s="19">
        <v>1370</v>
      </c>
      <c r="Q2324" s="19">
        <v>1522</v>
      </c>
      <c r="R2324" s="19">
        <f t="shared" si="123"/>
        <v>-152</v>
      </c>
      <c r="S2324" s="19">
        <v>387</v>
      </c>
      <c r="T2324" s="19" t="s">
        <v>99</v>
      </c>
      <c r="U2324" s="102" t="s">
        <v>930</v>
      </c>
      <c r="V2324" s="110" t="s">
        <v>931</v>
      </c>
      <c r="W2324" s="17" t="s">
        <v>44</v>
      </c>
      <c r="Y2324" s="68">
        <v>44927</v>
      </c>
      <c r="Z2324" s="17" t="s">
        <v>721</v>
      </c>
      <c r="AA2324" s="17" t="s">
        <v>46</v>
      </c>
      <c r="AB2324" s="17" t="s">
        <v>932</v>
      </c>
      <c r="AC2324" s="17" t="s">
        <v>933</v>
      </c>
      <c r="AD2324" s="65">
        <v>1369</v>
      </c>
      <c r="AE2324" s="17" t="s">
        <v>48</v>
      </c>
    </row>
    <row r="2325" s="17" customFormat="1" hidden="1" spans="1:31">
      <c r="A2325" s="17" t="s">
        <v>34</v>
      </c>
      <c r="B2325" s="19">
        <v>854</v>
      </c>
      <c r="C2325" s="183" t="s">
        <v>929</v>
      </c>
      <c r="D2325" s="17" t="s">
        <v>35</v>
      </c>
      <c r="E2325" s="17" t="s">
        <v>718</v>
      </c>
      <c r="F2325" s="17" t="s">
        <v>96</v>
      </c>
      <c r="H2325" s="19" t="s">
        <v>97</v>
      </c>
      <c r="I2325" s="19"/>
      <c r="J2325" s="17" t="s">
        <v>82</v>
      </c>
      <c r="K2325" s="232">
        <v>410</v>
      </c>
      <c r="L2325" s="232">
        <v>200</v>
      </c>
      <c r="M2325" s="19"/>
      <c r="N2325" s="19" t="s">
        <v>40</v>
      </c>
      <c r="O2325" s="19" t="s">
        <v>168</v>
      </c>
      <c r="P2325" s="19">
        <v>2087</v>
      </c>
      <c r="Q2325" s="19">
        <v>2104</v>
      </c>
      <c r="R2325" s="19">
        <f t="shared" si="123"/>
        <v>-17</v>
      </c>
      <c r="S2325" s="19">
        <v>387</v>
      </c>
      <c r="T2325" s="19" t="s">
        <v>99</v>
      </c>
      <c r="U2325" s="102" t="s">
        <v>930</v>
      </c>
      <c r="V2325" s="110" t="s">
        <v>931</v>
      </c>
      <c r="W2325" s="17" t="s">
        <v>44</v>
      </c>
      <c r="Y2325" s="68">
        <v>44927</v>
      </c>
      <c r="Z2325" s="17" t="s">
        <v>721</v>
      </c>
      <c r="AA2325" s="17" t="s">
        <v>46</v>
      </c>
      <c r="AB2325" s="17" t="s">
        <v>932</v>
      </c>
      <c r="AC2325" s="17" t="s">
        <v>933</v>
      </c>
      <c r="AD2325" s="65">
        <v>1369</v>
      </c>
      <c r="AE2325" s="17" t="s">
        <v>48</v>
      </c>
    </row>
    <row r="2326" s="17" customFormat="1" hidden="1" spans="1:31">
      <c r="A2326" s="17" t="s">
        <v>34</v>
      </c>
      <c r="B2326" s="19">
        <v>854</v>
      </c>
      <c r="C2326" s="183" t="s">
        <v>929</v>
      </c>
      <c r="D2326" s="17" t="s">
        <v>35</v>
      </c>
      <c r="E2326" s="17" t="s">
        <v>718</v>
      </c>
      <c r="F2326" s="17" t="s">
        <v>96</v>
      </c>
      <c r="H2326" s="19" t="s">
        <v>97</v>
      </c>
      <c r="I2326" s="19"/>
      <c r="J2326" s="17" t="s">
        <v>82</v>
      </c>
      <c r="K2326" s="232">
        <v>260</v>
      </c>
      <c r="L2326" s="232">
        <v>205</v>
      </c>
      <c r="M2326" s="19"/>
      <c r="N2326" s="19" t="s">
        <v>40</v>
      </c>
      <c r="O2326" s="19" t="s">
        <v>168</v>
      </c>
      <c r="P2326" s="19">
        <v>1027</v>
      </c>
      <c r="Q2326" s="19">
        <v>1027</v>
      </c>
      <c r="R2326" s="19">
        <f t="shared" si="123"/>
        <v>0</v>
      </c>
      <c r="S2326" s="19">
        <v>387</v>
      </c>
      <c r="T2326" s="19" t="s">
        <v>99</v>
      </c>
      <c r="U2326" s="102" t="s">
        <v>930</v>
      </c>
      <c r="V2326" s="110" t="s">
        <v>931</v>
      </c>
      <c r="W2326" s="17" t="s">
        <v>44</v>
      </c>
      <c r="Y2326" s="68">
        <v>44927</v>
      </c>
      <c r="Z2326" s="17" t="s">
        <v>721</v>
      </c>
      <c r="AA2326" s="17" t="s">
        <v>46</v>
      </c>
      <c r="AB2326" s="17" t="s">
        <v>932</v>
      </c>
      <c r="AC2326" s="17" t="s">
        <v>933</v>
      </c>
      <c r="AD2326" s="65">
        <v>1369</v>
      </c>
      <c r="AE2326" s="17" t="s">
        <v>48</v>
      </c>
    </row>
    <row r="2327" s="17" customFormat="1" hidden="1" spans="1:31">
      <c r="A2327" s="17" t="s">
        <v>34</v>
      </c>
      <c r="B2327" s="19">
        <v>854</v>
      </c>
      <c r="C2327" s="183" t="s">
        <v>929</v>
      </c>
      <c r="D2327" s="17" t="s">
        <v>35</v>
      </c>
      <c r="E2327" s="17" t="s">
        <v>718</v>
      </c>
      <c r="F2327" s="17" t="s">
        <v>96</v>
      </c>
      <c r="H2327" s="19" t="s">
        <v>97</v>
      </c>
      <c r="I2327" s="19"/>
      <c r="J2327" s="17" t="s">
        <v>82</v>
      </c>
      <c r="K2327" s="232">
        <v>310</v>
      </c>
      <c r="L2327" s="232">
        <v>210</v>
      </c>
      <c r="M2327" s="19"/>
      <c r="N2327" s="19" t="s">
        <v>40</v>
      </c>
      <c r="O2327" s="19" t="s">
        <v>168</v>
      </c>
      <c r="P2327" s="19">
        <v>1702</v>
      </c>
      <c r="Q2327" s="19">
        <v>1730</v>
      </c>
      <c r="R2327" s="19">
        <f t="shared" si="123"/>
        <v>-28</v>
      </c>
      <c r="S2327" s="19">
        <v>387</v>
      </c>
      <c r="T2327" s="19" t="s">
        <v>99</v>
      </c>
      <c r="U2327" s="102" t="s">
        <v>930</v>
      </c>
      <c r="V2327" s="110" t="s">
        <v>931</v>
      </c>
      <c r="W2327" s="17" t="s">
        <v>44</v>
      </c>
      <c r="Y2327" s="68">
        <v>44927</v>
      </c>
      <c r="Z2327" s="17" t="s">
        <v>721</v>
      </c>
      <c r="AA2327" s="17" t="s">
        <v>46</v>
      </c>
      <c r="AB2327" s="17" t="s">
        <v>932</v>
      </c>
      <c r="AC2327" s="17" t="s">
        <v>933</v>
      </c>
      <c r="AD2327" s="65">
        <v>1369</v>
      </c>
      <c r="AE2327" s="17" t="s">
        <v>48</v>
      </c>
    </row>
    <row r="2328" s="17" customFormat="1" hidden="1" spans="1:31">
      <c r="A2328" s="17" t="s">
        <v>34</v>
      </c>
      <c r="B2328" s="19">
        <v>854</v>
      </c>
      <c r="C2328" s="183" t="s">
        <v>929</v>
      </c>
      <c r="D2328" s="17" t="s">
        <v>35</v>
      </c>
      <c r="E2328" s="17" t="s">
        <v>718</v>
      </c>
      <c r="F2328" s="17" t="s">
        <v>96</v>
      </c>
      <c r="H2328" s="19" t="s">
        <v>97</v>
      </c>
      <c r="I2328" s="19"/>
      <c r="J2328" s="17" t="s">
        <v>82</v>
      </c>
      <c r="K2328" s="232">
        <v>520</v>
      </c>
      <c r="L2328" s="232">
        <v>250</v>
      </c>
      <c r="M2328" s="19"/>
      <c r="N2328" s="19" t="s">
        <v>40</v>
      </c>
      <c r="O2328" s="19" t="s">
        <v>168</v>
      </c>
      <c r="P2328" s="19">
        <v>2797</v>
      </c>
      <c r="Q2328" s="19">
        <v>2795</v>
      </c>
      <c r="R2328" s="19">
        <f t="shared" si="123"/>
        <v>2</v>
      </c>
      <c r="S2328" s="19">
        <v>387</v>
      </c>
      <c r="T2328" s="19" t="s">
        <v>99</v>
      </c>
      <c r="U2328" s="102" t="s">
        <v>930</v>
      </c>
      <c r="V2328" s="110" t="s">
        <v>931</v>
      </c>
      <c r="W2328" s="17" t="s">
        <v>44</v>
      </c>
      <c r="Y2328" s="68">
        <v>44927</v>
      </c>
      <c r="Z2328" s="17" t="s">
        <v>721</v>
      </c>
      <c r="AA2328" s="17" t="s">
        <v>46</v>
      </c>
      <c r="AB2328" s="17" t="s">
        <v>932</v>
      </c>
      <c r="AC2328" s="17" t="s">
        <v>933</v>
      </c>
      <c r="AD2328" s="65">
        <v>1369</v>
      </c>
      <c r="AE2328" s="17" t="s">
        <v>48</v>
      </c>
    </row>
    <row r="2329" s="17" customFormat="1" hidden="1" spans="1:31">
      <c r="A2329" s="17" t="s">
        <v>34</v>
      </c>
      <c r="B2329" s="19">
        <v>854</v>
      </c>
      <c r="C2329" s="183" t="s">
        <v>929</v>
      </c>
      <c r="D2329" s="17" t="s">
        <v>35</v>
      </c>
      <c r="E2329" s="17" t="s">
        <v>718</v>
      </c>
      <c r="F2329" s="17" t="s">
        <v>96</v>
      </c>
      <c r="H2329" s="19" t="s">
        <v>97</v>
      </c>
      <c r="I2329" s="19"/>
      <c r="J2329" s="17" t="s">
        <v>82</v>
      </c>
      <c r="K2329" s="232">
        <v>360</v>
      </c>
      <c r="L2329" s="232">
        <v>280</v>
      </c>
      <c r="M2329" s="19"/>
      <c r="N2329" s="19" t="s">
        <v>40</v>
      </c>
      <c r="O2329" s="19" t="s">
        <v>168</v>
      </c>
      <c r="P2329" s="19">
        <v>2424</v>
      </c>
      <c r="Q2329" s="19">
        <v>2433</v>
      </c>
      <c r="R2329" s="19">
        <f t="shared" si="123"/>
        <v>-9</v>
      </c>
      <c r="S2329" s="19">
        <v>387</v>
      </c>
      <c r="T2329" s="19" t="s">
        <v>99</v>
      </c>
      <c r="U2329" s="102" t="s">
        <v>930</v>
      </c>
      <c r="V2329" s="110" t="s">
        <v>931</v>
      </c>
      <c r="W2329" s="17" t="s">
        <v>44</v>
      </c>
      <c r="Y2329" s="68">
        <v>44927</v>
      </c>
      <c r="Z2329" s="17" t="s">
        <v>721</v>
      </c>
      <c r="AA2329" s="17" t="s">
        <v>46</v>
      </c>
      <c r="AB2329" s="17" t="s">
        <v>932</v>
      </c>
      <c r="AC2329" s="17" t="s">
        <v>933</v>
      </c>
      <c r="AD2329" s="65">
        <v>1369</v>
      </c>
      <c r="AE2329" s="17" t="s">
        <v>48</v>
      </c>
    </row>
    <row r="2330" s="17" customFormat="1" hidden="1" spans="1:31">
      <c r="A2330" s="17" t="s">
        <v>34</v>
      </c>
      <c r="B2330" s="19">
        <v>854</v>
      </c>
      <c r="C2330" s="183" t="s">
        <v>929</v>
      </c>
      <c r="D2330" s="17" t="s">
        <v>35</v>
      </c>
      <c r="E2330" s="17" t="s">
        <v>718</v>
      </c>
      <c r="F2330" s="17" t="s">
        <v>96</v>
      </c>
      <c r="H2330" s="19" t="s">
        <v>97</v>
      </c>
      <c r="I2330" s="19"/>
      <c r="J2330" s="17" t="s">
        <v>82</v>
      </c>
      <c r="K2330" s="232">
        <v>610</v>
      </c>
      <c r="L2330" s="232">
        <v>305</v>
      </c>
      <c r="M2330" s="19"/>
      <c r="N2330" s="19" t="s">
        <v>40</v>
      </c>
      <c r="O2330" s="19" t="s">
        <v>168</v>
      </c>
      <c r="P2330" s="19">
        <v>2789</v>
      </c>
      <c r="Q2330" s="19">
        <v>2798</v>
      </c>
      <c r="R2330" s="19">
        <f t="shared" si="123"/>
        <v>-9</v>
      </c>
      <c r="S2330" s="19">
        <v>387</v>
      </c>
      <c r="T2330" s="19" t="s">
        <v>99</v>
      </c>
      <c r="U2330" s="102" t="s">
        <v>930</v>
      </c>
      <c r="V2330" s="110" t="s">
        <v>931</v>
      </c>
      <c r="W2330" s="17" t="s">
        <v>44</v>
      </c>
      <c r="Y2330" s="68">
        <v>44927</v>
      </c>
      <c r="Z2330" s="17" t="s">
        <v>721</v>
      </c>
      <c r="AA2330" s="17" t="s">
        <v>46</v>
      </c>
      <c r="AB2330" s="17" t="s">
        <v>932</v>
      </c>
      <c r="AC2330" s="17" t="s">
        <v>933</v>
      </c>
      <c r="AD2330" s="65">
        <v>1369</v>
      </c>
      <c r="AE2330" s="17" t="s">
        <v>48</v>
      </c>
    </row>
    <row r="2331" s="17" customFormat="1" hidden="1" spans="1:31">
      <c r="A2331" s="17" t="s">
        <v>34</v>
      </c>
      <c r="B2331" s="19">
        <v>856</v>
      </c>
      <c r="C2331" s="183" t="s">
        <v>934</v>
      </c>
      <c r="D2331" s="17" t="s">
        <v>52</v>
      </c>
      <c r="E2331" s="17" t="s">
        <v>187</v>
      </c>
      <c r="F2331" s="17" t="s">
        <v>54</v>
      </c>
      <c r="H2331" s="19">
        <v>1.2311</v>
      </c>
      <c r="I2331" s="19"/>
      <c r="J2331" s="17" t="s">
        <v>49</v>
      </c>
      <c r="K2331" s="19">
        <v>2200</v>
      </c>
      <c r="L2331" s="91">
        <v>40</v>
      </c>
      <c r="M2331" s="19">
        <v>5000</v>
      </c>
      <c r="N2331" s="19" t="s">
        <v>66</v>
      </c>
      <c r="O2331" s="19" t="s">
        <v>141</v>
      </c>
      <c r="P2331" s="19">
        <v>3548</v>
      </c>
      <c r="Q2331" s="19">
        <v>3530</v>
      </c>
      <c r="R2331" s="19">
        <f t="shared" si="123"/>
        <v>18</v>
      </c>
      <c r="S2331" s="19">
        <v>830</v>
      </c>
      <c r="T2331" s="19" t="s">
        <v>42</v>
      </c>
      <c r="U2331" s="102" t="s">
        <v>935</v>
      </c>
      <c r="V2331" s="212">
        <v>44632</v>
      </c>
      <c r="W2331" s="17" t="s">
        <v>69</v>
      </c>
      <c r="Y2331" s="68">
        <v>44896</v>
      </c>
      <c r="Z2331" s="17" t="s">
        <v>191</v>
      </c>
      <c r="AA2331" s="17" t="s">
        <v>46</v>
      </c>
      <c r="AB2331" s="17" t="s">
        <v>936</v>
      </c>
      <c r="AC2331" s="17" t="s">
        <v>937</v>
      </c>
      <c r="AD2331" s="65">
        <v>1366</v>
      </c>
      <c r="AE2331" s="17" t="s">
        <v>48</v>
      </c>
    </row>
    <row r="2332" s="17" customFormat="1" hidden="1" spans="1:31">
      <c r="A2332" s="17" t="s">
        <v>34</v>
      </c>
      <c r="B2332" s="19">
        <v>856</v>
      </c>
      <c r="C2332" s="183" t="s">
        <v>934</v>
      </c>
      <c r="D2332" s="17" t="s">
        <v>52</v>
      </c>
      <c r="E2332" s="17" t="s">
        <v>187</v>
      </c>
      <c r="F2332" s="17" t="s">
        <v>54</v>
      </c>
      <c r="H2332" s="19">
        <v>1.2311</v>
      </c>
      <c r="I2332" s="19"/>
      <c r="J2332" s="17" t="s">
        <v>49</v>
      </c>
      <c r="K2332" s="19">
        <v>2200</v>
      </c>
      <c r="L2332" s="91">
        <v>45</v>
      </c>
      <c r="M2332" s="19">
        <v>5000</v>
      </c>
      <c r="N2332" s="19" t="s">
        <v>66</v>
      </c>
      <c r="O2332" s="19" t="s">
        <v>141</v>
      </c>
      <c r="P2332" s="19">
        <v>7983</v>
      </c>
      <c r="Q2332" s="19">
        <f>3780+3750</f>
        <v>7530</v>
      </c>
      <c r="R2332" s="19">
        <f t="shared" si="123"/>
        <v>453</v>
      </c>
      <c r="S2332" s="19">
        <v>830</v>
      </c>
      <c r="T2332" s="19" t="s">
        <v>42</v>
      </c>
      <c r="U2332" s="102" t="s">
        <v>935</v>
      </c>
      <c r="V2332" s="110" t="s">
        <v>931</v>
      </c>
      <c r="W2332" s="17" t="s">
        <v>69</v>
      </c>
      <c r="Y2332" s="68">
        <v>44896</v>
      </c>
      <c r="Z2332" s="17" t="s">
        <v>191</v>
      </c>
      <c r="AA2332" s="17" t="s">
        <v>46</v>
      </c>
      <c r="AB2332" s="17" t="s">
        <v>936</v>
      </c>
      <c r="AC2332" s="17" t="s">
        <v>937</v>
      </c>
      <c r="AD2332" s="65">
        <v>1366</v>
      </c>
      <c r="AE2332" s="17" t="s">
        <v>48</v>
      </c>
    </row>
    <row r="2333" s="17" customFormat="1" hidden="1" spans="1:31">
      <c r="A2333" s="17" t="s">
        <v>34</v>
      </c>
      <c r="B2333" s="19">
        <v>856</v>
      </c>
      <c r="C2333" s="183" t="s">
        <v>934</v>
      </c>
      <c r="D2333" s="17" t="s">
        <v>52</v>
      </c>
      <c r="E2333" s="17" t="s">
        <v>187</v>
      </c>
      <c r="F2333" s="17" t="s">
        <v>54</v>
      </c>
      <c r="H2333" s="19">
        <v>1.2311</v>
      </c>
      <c r="I2333" s="19"/>
      <c r="J2333" s="17" t="s">
        <v>49</v>
      </c>
      <c r="K2333" s="19">
        <v>2200</v>
      </c>
      <c r="L2333" s="91">
        <v>50</v>
      </c>
      <c r="M2333" s="19">
        <v>5000</v>
      </c>
      <c r="N2333" s="19" t="s">
        <v>66</v>
      </c>
      <c r="O2333" s="19" t="s">
        <v>141</v>
      </c>
      <c r="P2333" s="19">
        <v>8871</v>
      </c>
      <c r="Q2333" s="19">
        <f>4260+4400</f>
        <v>8660</v>
      </c>
      <c r="R2333" s="19">
        <f t="shared" si="123"/>
        <v>211</v>
      </c>
      <c r="S2333" s="19">
        <v>830</v>
      </c>
      <c r="T2333" s="19" t="s">
        <v>42</v>
      </c>
      <c r="U2333" s="102" t="s">
        <v>935</v>
      </c>
      <c r="V2333" s="110" t="s">
        <v>931</v>
      </c>
      <c r="W2333" s="17" t="s">
        <v>69</v>
      </c>
      <c r="Y2333" s="68">
        <v>44896</v>
      </c>
      <c r="Z2333" s="17" t="s">
        <v>191</v>
      </c>
      <c r="AA2333" s="17" t="s">
        <v>46</v>
      </c>
      <c r="AB2333" s="17" t="s">
        <v>936</v>
      </c>
      <c r="AC2333" s="17" t="s">
        <v>937</v>
      </c>
      <c r="AD2333" s="65">
        <v>1366</v>
      </c>
      <c r="AE2333" s="17" t="s">
        <v>48</v>
      </c>
    </row>
    <row r="2334" s="17" customFormat="1" hidden="1" spans="1:31">
      <c r="A2334" s="17" t="s">
        <v>34</v>
      </c>
      <c r="B2334" s="19">
        <v>856</v>
      </c>
      <c r="C2334" s="183" t="s">
        <v>934</v>
      </c>
      <c r="D2334" s="17" t="s">
        <v>52</v>
      </c>
      <c r="E2334" s="17" t="s">
        <v>187</v>
      </c>
      <c r="F2334" s="17" t="s">
        <v>54</v>
      </c>
      <c r="H2334" s="19">
        <v>1.2311</v>
      </c>
      <c r="I2334" s="19"/>
      <c r="J2334" s="17" t="s">
        <v>49</v>
      </c>
      <c r="K2334" s="19">
        <v>2200</v>
      </c>
      <c r="L2334" s="91">
        <v>56</v>
      </c>
      <c r="M2334" s="19">
        <v>5000</v>
      </c>
      <c r="N2334" s="19" t="s">
        <v>66</v>
      </c>
      <c r="O2334" s="19" t="s">
        <v>141</v>
      </c>
      <c r="P2334" s="19">
        <v>14902</v>
      </c>
      <c r="Q2334" s="19">
        <f>4830+4820+4830</f>
        <v>14480</v>
      </c>
      <c r="R2334" s="19">
        <f t="shared" si="123"/>
        <v>422</v>
      </c>
      <c r="S2334" s="19">
        <v>830</v>
      </c>
      <c r="T2334" s="19" t="s">
        <v>42</v>
      </c>
      <c r="U2334" s="102" t="s">
        <v>935</v>
      </c>
      <c r="V2334" s="110" t="s">
        <v>931</v>
      </c>
      <c r="W2334" s="17" t="s">
        <v>69</v>
      </c>
      <c r="Y2334" s="68">
        <v>44896</v>
      </c>
      <c r="Z2334" s="17" t="s">
        <v>191</v>
      </c>
      <c r="AA2334" s="17" t="s">
        <v>46</v>
      </c>
      <c r="AB2334" s="17" t="s">
        <v>936</v>
      </c>
      <c r="AC2334" s="17" t="s">
        <v>937</v>
      </c>
      <c r="AD2334" s="65">
        <v>1366</v>
      </c>
      <c r="AE2334" s="17" t="s">
        <v>48</v>
      </c>
    </row>
    <row r="2335" s="17" customFormat="1" hidden="1" spans="1:31">
      <c r="A2335" s="17" t="s">
        <v>34</v>
      </c>
      <c r="B2335" s="19">
        <v>856</v>
      </c>
      <c r="C2335" s="183" t="s">
        <v>934</v>
      </c>
      <c r="D2335" s="17" t="s">
        <v>52</v>
      </c>
      <c r="E2335" s="17" t="s">
        <v>187</v>
      </c>
      <c r="F2335" s="17" t="s">
        <v>54</v>
      </c>
      <c r="H2335" s="19">
        <v>1.2311</v>
      </c>
      <c r="I2335" s="19"/>
      <c r="J2335" s="17" t="s">
        <v>49</v>
      </c>
      <c r="K2335" s="19">
        <v>2200</v>
      </c>
      <c r="L2335" s="91">
        <v>61</v>
      </c>
      <c r="M2335" s="19">
        <v>5000</v>
      </c>
      <c r="N2335" s="19" t="s">
        <v>66</v>
      </c>
      <c r="O2335" s="19" t="s">
        <v>141</v>
      </c>
      <c r="P2335" s="19">
        <v>10822</v>
      </c>
      <c r="Q2335" s="19">
        <f>5350+5390</f>
        <v>10740</v>
      </c>
      <c r="R2335" s="19">
        <f t="shared" si="123"/>
        <v>82</v>
      </c>
      <c r="S2335" s="19">
        <v>830</v>
      </c>
      <c r="T2335" s="19" t="s">
        <v>42</v>
      </c>
      <c r="U2335" s="102" t="s">
        <v>935</v>
      </c>
      <c r="V2335" s="110" t="s">
        <v>931</v>
      </c>
      <c r="W2335" s="17" t="s">
        <v>69</v>
      </c>
      <c r="Y2335" s="68">
        <v>44896</v>
      </c>
      <c r="Z2335" s="17" t="s">
        <v>191</v>
      </c>
      <c r="AA2335" s="17" t="s">
        <v>46</v>
      </c>
      <c r="AB2335" s="17" t="s">
        <v>936</v>
      </c>
      <c r="AC2335" s="17" t="s">
        <v>937</v>
      </c>
      <c r="AD2335" s="65">
        <v>1366</v>
      </c>
      <c r="AE2335" s="17" t="s">
        <v>48</v>
      </c>
    </row>
    <row r="2336" s="17" customFormat="1" hidden="1" spans="1:31">
      <c r="A2336" s="17" t="s">
        <v>34</v>
      </c>
      <c r="B2336" s="19">
        <v>856</v>
      </c>
      <c r="C2336" s="183" t="s">
        <v>934</v>
      </c>
      <c r="D2336" s="17" t="s">
        <v>52</v>
      </c>
      <c r="E2336" s="17" t="s">
        <v>187</v>
      </c>
      <c r="F2336" s="17" t="s">
        <v>54</v>
      </c>
      <c r="H2336" s="19">
        <v>1.2311</v>
      </c>
      <c r="I2336" s="19"/>
      <c r="J2336" s="17" t="s">
        <v>49</v>
      </c>
      <c r="K2336" s="19">
        <v>2200</v>
      </c>
      <c r="L2336" s="91">
        <v>65</v>
      </c>
      <c r="M2336" s="19">
        <v>5000</v>
      </c>
      <c r="N2336" s="19" t="s">
        <v>66</v>
      </c>
      <c r="O2336" s="19" t="s">
        <v>141</v>
      </c>
      <c r="P2336" s="147">
        <v>5766</v>
      </c>
      <c r="Q2336" s="147">
        <v>5630</v>
      </c>
      <c r="R2336" s="19">
        <f t="shared" si="123"/>
        <v>136</v>
      </c>
      <c r="S2336" s="19">
        <v>830</v>
      </c>
      <c r="T2336" s="19" t="s">
        <v>42</v>
      </c>
      <c r="U2336" s="102" t="s">
        <v>935</v>
      </c>
      <c r="V2336" s="110" t="s">
        <v>931</v>
      </c>
      <c r="W2336" s="17" t="s">
        <v>69</v>
      </c>
      <c r="Y2336" s="68">
        <v>44896</v>
      </c>
      <c r="Z2336" s="17" t="s">
        <v>191</v>
      </c>
      <c r="AA2336" s="17" t="s">
        <v>46</v>
      </c>
      <c r="AB2336" s="17" t="s">
        <v>936</v>
      </c>
      <c r="AC2336" s="17" t="s">
        <v>937</v>
      </c>
      <c r="AD2336" s="65">
        <v>1366</v>
      </c>
      <c r="AE2336" s="17" t="s">
        <v>48</v>
      </c>
    </row>
    <row r="2337" s="17" customFormat="1" hidden="1" spans="1:32">
      <c r="A2337" s="17" t="s">
        <v>34</v>
      </c>
      <c r="B2337" s="19">
        <v>857</v>
      </c>
      <c r="C2337" s="222">
        <v>44573</v>
      </c>
      <c r="D2337" s="17" t="s">
        <v>52</v>
      </c>
      <c r="E2337" s="17" t="s">
        <v>187</v>
      </c>
      <c r="F2337" s="17" t="s">
        <v>54</v>
      </c>
      <c r="H2337" s="19">
        <v>1.2379</v>
      </c>
      <c r="I2337" s="19"/>
      <c r="J2337" s="17" t="s">
        <v>39</v>
      </c>
      <c r="K2337" s="19">
        <v>16</v>
      </c>
      <c r="L2337" s="91"/>
      <c r="M2337" s="19">
        <v>5800</v>
      </c>
      <c r="N2337" s="19" t="s">
        <v>40</v>
      </c>
      <c r="O2337" s="19" t="s">
        <v>84</v>
      </c>
      <c r="P2337" s="91">
        <v>1500</v>
      </c>
      <c r="Q2337" s="91">
        <f>898+644</f>
        <v>1542</v>
      </c>
      <c r="R2337" s="19">
        <f t="shared" si="123"/>
        <v>-42</v>
      </c>
      <c r="S2337" s="19">
        <v>2800</v>
      </c>
      <c r="T2337" s="19" t="s">
        <v>42</v>
      </c>
      <c r="U2337" s="102" t="s">
        <v>938</v>
      </c>
      <c r="V2337" s="212">
        <v>44785</v>
      </c>
      <c r="W2337" s="17" t="s">
        <v>69</v>
      </c>
      <c r="Y2337" s="68">
        <v>44980</v>
      </c>
      <c r="Z2337" s="17" t="s">
        <v>191</v>
      </c>
      <c r="AA2337" s="17" t="s">
        <v>46</v>
      </c>
      <c r="AB2337" s="17" t="s">
        <v>939</v>
      </c>
      <c r="AC2337" s="102" t="s">
        <v>940</v>
      </c>
      <c r="AD2337" s="65">
        <v>1388</v>
      </c>
      <c r="AE2337" s="17" t="s">
        <v>74</v>
      </c>
      <c r="AF2337" s="17" t="s">
        <v>560</v>
      </c>
    </row>
    <row r="2338" s="17" customFormat="1" hidden="1" spans="1:32">
      <c r="A2338" s="17" t="s">
        <v>34</v>
      </c>
      <c r="B2338" s="19">
        <v>857</v>
      </c>
      <c r="C2338" s="222">
        <v>44573</v>
      </c>
      <c r="D2338" s="17" t="s">
        <v>52</v>
      </c>
      <c r="E2338" s="17" t="s">
        <v>187</v>
      </c>
      <c r="F2338" s="17" t="s">
        <v>54</v>
      </c>
      <c r="H2338" s="19">
        <v>1.2379</v>
      </c>
      <c r="I2338" s="19"/>
      <c r="J2338" s="17" t="s">
        <v>39</v>
      </c>
      <c r="K2338" s="19">
        <v>18</v>
      </c>
      <c r="L2338" s="91"/>
      <c r="M2338" s="19">
        <v>5800</v>
      </c>
      <c r="N2338" s="19" t="s">
        <v>40</v>
      </c>
      <c r="O2338" s="19" t="s">
        <v>84</v>
      </c>
      <c r="P2338" s="160">
        <v>1000</v>
      </c>
      <c r="Q2338" s="160">
        <v>683</v>
      </c>
      <c r="R2338" s="19">
        <f t="shared" si="123"/>
        <v>317</v>
      </c>
      <c r="S2338" s="19">
        <v>2800</v>
      </c>
      <c r="T2338" s="19" t="s">
        <v>42</v>
      </c>
      <c r="U2338" s="102" t="s">
        <v>938</v>
      </c>
      <c r="V2338" s="212">
        <v>44785</v>
      </c>
      <c r="W2338" s="17" t="s">
        <v>69</v>
      </c>
      <c r="Y2338" s="68">
        <v>44980</v>
      </c>
      <c r="Z2338" s="17" t="s">
        <v>191</v>
      </c>
      <c r="AA2338" s="17" t="s">
        <v>46</v>
      </c>
      <c r="AB2338" s="17" t="s">
        <v>939</v>
      </c>
      <c r="AC2338" s="102" t="s">
        <v>940</v>
      </c>
      <c r="AD2338" s="65">
        <v>1388</v>
      </c>
      <c r="AE2338" s="17" t="s">
        <v>74</v>
      </c>
      <c r="AF2338" s="17" t="s">
        <v>560</v>
      </c>
    </row>
    <row r="2339" s="17" customFormat="1" hidden="1" spans="1:32">
      <c r="A2339" s="17" t="s">
        <v>34</v>
      </c>
      <c r="B2339" s="19">
        <v>857</v>
      </c>
      <c r="C2339" s="222">
        <v>44573</v>
      </c>
      <c r="D2339" s="17" t="s">
        <v>52</v>
      </c>
      <c r="E2339" s="17" t="s">
        <v>187</v>
      </c>
      <c r="F2339" s="17" t="s">
        <v>54</v>
      </c>
      <c r="H2339" s="19">
        <v>1.2379</v>
      </c>
      <c r="I2339" s="19"/>
      <c r="J2339" s="17" t="s">
        <v>39</v>
      </c>
      <c r="K2339" s="19">
        <v>20</v>
      </c>
      <c r="L2339" s="91"/>
      <c r="M2339" s="19">
        <v>5800</v>
      </c>
      <c r="N2339" s="19" t="s">
        <v>40</v>
      </c>
      <c r="O2339" s="19" t="s">
        <v>84</v>
      </c>
      <c r="P2339" s="160">
        <v>2500</v>
      </c>
      <c r="Q2339" s="160">
        <v>569</v>
      </c>
      <c r="R2339" s="19">
        <f t="shared" si="123"/>
        <v>1931</v>
      </c>
      <c r="S2339" s="19">
        <v>2800</v>
      </c>
      <c r="T2339" s="19" t="s">
        <v>42</v>
      </c>
      <c r="U2339" s="102" t="s">
        <v>938</v>
      </c>
      <c r="V2339" s="212">
        <v>44785</v>
      </c>
      <c r="W2339" s="17" t="s">
        <v>69</v>
      </c>
      <c r="Y2339" s="68">
        <v>44980</v>
      </c>
      <c r="Z2339" s="17" t="s">
        <v>191</v>
      </c>
      <c r="AA2339" s="17" t="s">
        <v>46</v>
      </c>
      <c r="AB2339" s="17" t="s">
        <v>939</v>
      </c>
      <c r="AC2339" s="102" t="s">
        <v>940</v>
      </c>
      <c r="AD2339" s="65">
        <v>1388</v>
      </c>
      <c r="AE2339" s="17" t="s">
        <v>74</v>
      </c>
      <c r="AF2339" s="17" t="s">
        <v>560</v>
      </c>
    </row>
    <row r="2340" s="17" customFormat="1" hidden="1" spans="1:32">
      <c r="A2340" s="17" t="s">
        <v>34</v>
      </c>
      <c r="B2340" s="19">
        <v>857</v>
      </c>
      <c r="C2340" s="222">
        <v>44573</v>
      </c>
      <c r="D2340" s="17" t="s">
        <v>52</v>
      </c>
      <c r="E2340" s="17" t="s">
        <v>187</v>
      </c>
      <c r="F2340" s="17" t="s">
        <v>54</v>
      </c>
      <c r="H2340" s="19">
        <v>1.2379</v>
      </c>
      <c r="I2340" s="19"/>
      <c r="J2340" s="17" t="s">
        <v>39</v>
      </c>
      <c r="K2340" s="19">
        <v>22</v>
      </c>
      <c r="L2340" s="91"/>
      <c r="M2340" s="19">
        <v>5800</v>
      </c>
      <c r="N2340" s="19" t="s">
        <v>40</v>
      </c>
      <c r="O2340" s="19" t="s">
        <v>84</v>
      </c>
      <c r="P2340" s="160">
        <v>1000</v>
      </c>
      <c r="Q2340" s="160">
        <v>984</v>
      </c>
      <c r="R2340" s="19">
        <f t="shared" si="123"/>
        <v>16</v>
      </c>
      <c r="S2340" s="19">
        <v>2800</v>
      </c>
      <c r="T2340" s="19" t="s">
        <v>42</v>
      </c>
      <c r="U2340" s="102" t="s">
        <v>938</v>
      </c>
      <c r="V2340" s="212">
        <v>44785</v>
      </c>
      <c r="W2340" s="17" t="s">
        <v>69</v>
      </c>
      <c r="Y2340" s="68">
        <v>44980</v>
      </c>
      <c r="Z2340" s="17" t="s">
        <v>191</v>
      </c>
      <c r="AA2340" s="17" t="s">
        <v>46</v>
      </c>
      <c r="AB2340" s="17" t="s">
        <v>939</v>
      </c>
      <c r="AC2340" s="102" t="s">
        <v>940</v>
      </c>
      <c r="AD2340" s="65">
        <v>1388</v>
      </c>
      <c r="AE2340" s="17" t="s">
        <v>74</v>
      </c>
      <c r="AF2340" s="17" t="s">
        <v>560</v>
      </c>
    </row>
    <row r="2341" s="17" customFormat="1" hidden="1" spans="1:32">
      <c r="A2341" s="17" t="s">
        <v>34</v>
      </c>
      <c r="B2341" s="19">
        <v>857</v>
      </c>
      <c r="C2341" s="222">
        <v>44573</v>
      </c>
      <c r="D2341" s="17" t="s">
        <v>52</v>
      </c>
      <c r="E2341" s="17" t="s">
        <v>187</v>
      </c>
      <c r="F2341" s="17" t="s">
        <v>54</v>
      </c>
      <c r="H2341" s="19">
        <v>1.2379</v>
      </c>
      <c r="I2341" s="19"/>
      <c r="J2341" s="17" t="s">
        <v>39</v>
      </c>
      <c r="K2341" s="19">
        <v>26</v>
      </c>
      <c r="L2341" s="91"/>
      <c r="M2341" s="19">
        <v>5800</v>
      </c>
      <c r="N2341" s="19" t="s">
        <v>40</v>
      </c>
      <c r="O2341" s="19" t="s">
        <v>84</v>
      </c>
      <c r="P2341" s="160">
        <v>2000</v>
      </c>
      <c r="Q2341" s="160">
        <f>639+932</f>
        <v>1571</v>
      </c>
      <c r="R2341" s="19">
        <f t="shared" si="123"/>
        <v>429</v>
      </c>
      <c r="S2341" s="19">
        <v>2800</v>
      </c>
      <c r="T2341" s="19" t="s">
        <v>42</v>
      </c>
      <c r="U2341" s="102" t="s">
        <v>938</v>
      </c>
      <c r="V2341" s="212">
        <v>44785</v>
      </c>
      <c r="W2341" s="17" t="s">
        <v>69</v>
      </c>
      <c r="Y2341" s="68">
        <v>44980</v>
      </c>
      <c r="Z2341" s="17" t="s">
        <v>191</v>
      </c>
      <c r="AA2341" s="17" t="s">
        <v>46</v>
      </c>
      <c r="AB2341" s="17" t="s">
        <v>939</v>
      </c>
      <c r="AC2341" s="102" t="s">
        <v>940</v>
      </c>
      <c r="AD2341" s="65">
        <v>1388</v>
      </c>
      <c r="AE2341" s="17" t="s">
        <v>74</v>
      </c>
      <c r="AF2341" s="17" t="s">
        <v>560</v>
      </c>
    </row>
    <row r="2342" s="17" customFormat="1" hidden="1" spans="1:32">
      <c r="A2342" s="17" t="s">
        <v>34</v>
      </c>
      <c r="B2342" s="19">
        <v>857</v>
      </c>
      <c r="C2342" s="222">
        <v>44573</v>
      </c>
      <c r="D2342" s="17" t="s">
        <v>52</v>
      </c>
      <c r="E2342" s="17" t="s">
        <v>187</v>
      </c>
      <c r="F2342" s="17" t="s">
        <v>54</v>
      </c>
      <c r="H2342" s="19">
        <v>1.2379</v>
      </c>
      <c r="I2342" s="19"/>
      <c r="J2342" s="17" t="s">
        <v>39</v>
      </c>
      <c r="K2342" s="19">
        <v>28</v>
      </c>
      <c r="L2342" s="91"/>
      <c r="M2342" s="19">
        <v>5800</v>
      </c>
      <c r="N2342" s="19" t="s">
        <v>40</v>
      </c>
      <c r="O2342" s="19" t="s">
        <v>84</v>
      </c>
      <c r="P2342" s="160">
        <v>1000</v>
      </c>
      <c r="Q2342" s="160">
        <v>216</v>
      </c>
      <c r="R2342" s="19">
        <f t="shared" si="123"/>
        <v>784</v>
      </c>
      <c r="S2342" s="19">
        <v>2800</v>
      </c>
      <c r="T2342" s="19" t="s">
        <v>42</v>
      </c>
      <c r="U2342" s="102" t="s">
        <v>938</v>
      </c>
      <c r="V2342" s="212">
        <v>44785</v>
      </c>
      <c r="W2342" s="17" t="s">
        <v>69</v>
      </c>
      <c r="Y2342" s="68">
        <v>44980</v>
      </c>
      <c r="Z2342" s="17" t="s">
        <v>191</v>
      </c>
      <c r="AA2342" s="17" t="s">
        <v>46</v>
      </c>
      <c r="AB2342" s="17" t="s">
        <v>939</v>
      </c>
      <c r="AC2342" s="102" t="s">
        <v>940</v>
      </c>
      <c r="AD2342" s="65">
        <v>1388</v>
      </c>
      <c r="AE2342" s="17" t="s">
        <v>74</v>
      </c>
      <c r="AF2342" s="17" t="s">
        <v>560</v>
      </c>
    </row>
    <row r="2343" s="17" customFormat="1" hidden="1" spans="1:32">
      <c r="A2343" s="17" t="s">
        <v>34</v>
      </c>
      <c r="B2343" s="19">
        <v>857</v>
      </c>
      <c r="C2343" s="222">
        <v>44573</v>
      </c>
      <c r="D2343" s="17" t="s">
        <v>52</v>
      </c>
      <c r="E2343" s="17" t="s">
        <v>187</v>
      </c>
      <c r="F2343" s="17" t="s">
        <v>54</v>
      </c>
      <c r="H2343" s="19">
        <v>1.2379</v>
      </c>
      <c r="I2343" s="19"/>
      <c r="J2343" s="17" t="s">
        <v>39</v>
      </c>
      <c r="K2343" s="19">
        <v>32</v>
      </c>
      <c r="L2343" s="91"/>
      <c r="M2343" s="19">
        <v>5800</v>
      </c>
      <c r="N2343" s="19" t="s">
        <v>40</v>
      </c>
      <c r="O2343" s="19" t="s">
        <v>84</v>
      </c>
      <c r="P2343" s="160">
        <v>1000</v>
      </c>
      <c r="Q2343" s="160">
        <v>176</v>
      </c>
      <c r="R2343" s="19">
        <f t="shared" si="123"/>
        <v>824</v>
      </c>
      <c r="S2343" s="19">
        <v>2800</v>
      </c>
      <c r="T2343" s="19" t="s">
        <v>42</v>
      </c>
      <c r="U2343" s="102" t="s">
        <v>938</v>
      </c>
      <c r="V2343" s="212">
        <v>44785</v>
      </c>
      <c r="W2343" s="17" t="s">
        <v>69</v>
      </c>
      <c r="Y2343" s="68">
        <v>44980</v>
      </c>
      <c r="Z2343" s="17" t="s">
        <v>191</v>
      </c>
      <c r="AA2343" s="17" t="s">
        <v>46</v>
      </c>
      <c r="AB2343" s="17" t="s">
        <v>939</v>
      </c>
      <c r="AC2343" s="102" t="s">
        <v>940</v>
      </c>
      <c r="AD2343" s="65">
        <v>1388</v>
      </c>
      <c r="AE2343" s="17" t="s">
        <v>74</v>
      </c>
      <c r="AF2343" s="17" t="s">
        <v>560</v>
      </c>
    </row>
    <row r="2344" s="17" customFormat="1" hidden="1" spans="1:32">
      <c r="A2344" s="17" t="s">
        <v>34</v>
      </c>
      <c r="B2344" s="19">
        <v>857</v>
      </c>
      <c r="C2344" s="222">
        <v>44573</v>
      </c>
      <c r="D2344" s="17" t="s">
        <v>52</v>
      </c>
      <c r="E2344" s="17" t="s">
        <v>187</v>
      </c>
      <c r="F2344" s="17" t="s">
        <v>54</v>
      </c>
      <c r="H2344" s="19">
        <v>1.2379</v>
      </c>
      <c r="I2344" s="19"/>
      <c r="J2344" s="17" t="s">
        <v>39</v>
      </c>
      <c r="K2344" s="19">
        <v>36</v>
      </c>
      <c r="L2344" s="91"/>
      <c r="M2344" s="19">
        <v>5800</v>
      </c>
      <c r="N2344" s="19" t="s">
        <v>40</v>
      </c>
      <c r="O2344" s="19" t="s">
        <v>84</v>
      </c>
      <c r="P2344" s="160">
        <v>500</v>
      </c>
      <c r="Q2344" s="160">
        <v>476</v>
      </c>
      <c r="R2344" s="19">
        <f t="shared" si="123"/>
        <v>24</v>
      </c>
      <c r="S2344" s="19">
        <v>2800</v>
      </c>
      <c r="T2344" s="19" t="s">
        <v>42</v>
      </c>
      <c r="U2344" s="102" t="s">
        <v>938</v>
      </c>
      <c r="V2344" s="212">
        <v>44785</v>
      </c>
      <c r="W2344" s="17" t="s">
        <v>69</v>
      </c>
      <c r="Y2344" s="68">
        <v>44980</v>
      </c>
      <c r="Z2344" s="17" t="s">
        <v>191</v>
      </c>
      <c r="AA2344" s="17" t="s">
        <v>46</v>
      </c>
      <c r="AB2344" s="17" t="s">
        <v>939</v>
      </c>
      <c r="AC2344" s="102" t="s">
        <v>940</v>
      </c>
      <c r="AD2344" s="65">
        <v>1388</v>
      </c>
      <c r="AE2344" s="17" t="s">
        <v>74</v>
      </c>
      <c r="AF2344" s="17" t="s">
        <v>560</v>
      </c>
    </row>
    <row r="2345" s="17" customFormat="1" hidden="1" spans="1:32">
      <c r="A2345" s="17" t="s">
        <v>34</v>
      </c>
      <c r="B2345" s="19">
        <v>857</v>
      </c>
      <c r="C2345" s="222">
        <v>44573</v>
      </c>
      <c r="D2345" s="17" t="s">
        <v>52</v>
      </c>
      <c r="E2345" s="17" t="s">
        <v>187</v>
      </c>
      <c r="F2345" s="17" t="s">
        <v>54</v>
      </c>
      <c r="H2345" s="19">
        <v>1.2379</v>
      </c>
      <c r="I2345" s="19"/>
      <c r="J2345" s="17" t="s">
        <v>39</v>
      </c>
      <c r="K2345" s="19">
        <v>40</v>
      </c>
      <c r="L2345" s="91"/>
      <c r="M2345" s="19">
        <v>5800</v>
      </c>
      <c r="N2345" s="19" t="s">
        <v>40</v>
      </c>
      <c r="O2345" s="19" t="s">
        <v>84</v>
      </c>
      <c r="P2345" s="160">
        <v>500</v>
      </c>
      <c r="Q2345" s="160">
        <v>522</v>
      </c>
      <c r="R2345" s="19">
        <f t="shared" si="123"/>
        <v>-22</v>
      </c>
      <c r="S2345" s="19">
        <v>2800</v>
      </c>
      <c r="T2345" s="19" t="s">
        <v>42</v>
      </c>
      <c r="U2345" s="102" t="s">
        <v>938</v>
      </c>
      <c r="V2345" s="212">
        <v>44785</v>
      </c>
      <c r="W2345" s="17" t="s">
        <v>69</v>
      </c>
      <c r="Y2345" s="68">
        <v>44980</v>
      </c>
      <c r="Z2345" s="17" t="s">
        <v>191</v>
      </c>
      <c r="AA2345" s="17" t="s">
        <v>46</v>
      </c>
      <c r="AB2345" s="17" t="s">
        <v>939</v>
      </c>
      <c r="AC2345" s="102" t="s">
        <v>940</v>
      </c>
      <c r="AD2345" s="65">
        <v>1388</v>
      </c>
      <c r="AE2345" s="17" t="s">
        <v>74</v>
      </c>
      <c r="AF2345" s="17" t="s">
        <v>560</v>
      </c>
    </row>
    <row r="2346" s="17" customFormat="1" hidden="1" spans="1:32">
      <c r="A2346" s="17" t="s">
        <v>34</v>
      </c>
      <c r="B2346" s="19">
        <v>857</v>
      </c>
      <c r="C2346" s="222">
        <v>44573</v>
      </c>
      <c r="D2346" s="17" t="s">
        <v>52</v>
      </c>
      <c r="E2346" s="17" t="s">
        <v>187</v>
      </c>
      <c r="F2346" s="17" t="s">
        <v>54</v>
      </c>
      <c r="H2346" s="19">
        <v>1.2379</v>
      </c>
      <c r="I2346" s="19"/>
      <c r="J2346" s="17" t="s">
        <v>39</v>
      </c>
      <c r="K2346" s="19">
        <v>45</v>
      </c>
      <c r="L2346" s="91"/>
      <c r="M2346" s="19">
        <v>5800</v>
      </c>
      <c r="N2346" s="19" t="s">
        <v>40</v>
      </c>
      <c r="O2346" s="19" t="s">
        <v>84</v>
      </c>
      <c r="P2346" s="160">
        <v>500</v>
      </c>
      <c r="Q2346" s="160">
        <v>552</v>
      </c>
      <c r="R2346" s="19">
        <f t="shared" si="123"/>
        <v>-52</v>
      </c>
      <c r="S2346" s="19">
        <v>2800</v>
      </c>
      <c r="T2346" s="19" t="s">
        <v>42</v>
      </c>
      <c r="U2346" s="102" t="s">
        <v>938</v>
      </c>
      <c r="V2346" s="212">
        <v>44785</v>
      </c>
      <c r="W2346" s="17" t="s">
        <v>69</v>
      </c>
      <c r="Y2346" s="68">
        <v>44980</v>
      </c>
      <c r="Z2346" s="17" t="s">
        <v>191</v>
      </c>
      <c r="AA2346" s="17" t="s">
        <v>46</v>
      </c>
      <c r="AB2346" s="17" t="s">
        <v>939</v>
      </c>
      <c r="AC2346" s="102" t="s">
        <v>940</v>
      </c>
      <c r="AD2346" s="65">
        <v>1388</v>
      </c>
      <c r="AE2346" s="17" t="s">
        <v>74</v>
      </c>
      <c r="AF2346" s="17" t="s">
        <v>560</v>
      </c>
    </row>
    <row r="2347" s="17" customFormat="1" hidden="1" spans="1:32">
      <c r="A2347" s="17" t="s">
        <v>34</v>
      </c>
      <c r="B2347" s="19">
        <v>857</v>
      </c>
      <c r="C2347" s="222">
        <v>44573</v>
      </c>
      <c r="D2347" s="17" t="s">
        <v>52</v>
      </c>
      <c r="E2347" s="17" t="s">
        <v>187</v>
      </c>
      <c r="F2347" s="17" t="s">
        <v>54</v>
      </c>
      <c r="H2347" s="19">
        <v>1.2379</v>
      </c>
      <c r="I2347" s="19"/>
      <c r="J2347" s="17" t="s">
        <v>39</v>
      </c>
      <c r="K2347" s="19">
        <v>51</v>
      </c>
      <c r="L2347" s="91"/>
      <c r="M2347" s="19">
        <v>5800</v>
      </c>
      <c r="N2347" s="19" t="s">
        <v>40</v>
      </c>
      <c r="O2347" s="19" t="s">
        <v>84</v>
      </c>
      <c r="P2347" s="160">
        <v>500</v>
      </c>
      <c r="Q2347" s="160">
        <v>516</v>
      </c>
      <c r="R2347" s="19">
        <f t="shared" si="123"/>
        <v>-16</v>
      </c>
      <c r="S2347" s="19">
        <v>2800</v>
      </c>
      <c r="T2347" s="19" t="s">
        <v>42</v>
      </c>
      <c r="U2347" s="102" t="s">
        <v>938</v>
      </c>
      <c r="V2347" s="212">
        <v>44785</v>
      </c>
      <c r="W2347" s="17" t="s">
        <v>69</v>
      </c>
      <c r="Y2347" s="68">
        <v>44980</v>
      </c>
      <c r="Z2347" s="17" t="s">
        <v>191</v>
      </c>
      <c r="AA2347" s="17" t="s">
        <v>46</v>
      </c>
      <c r="AB2347" s="17" t="s">
        <v>939</v>
      </c>
      <c r="AC2347" s="102" t="s">
        <v>940</v>
      </c>
      <c r="AD2347" s="65">
        <v>1388</v>
      </c>
      <c r="AE2347" s="17" t="s">
        <v>74</v>
      </c>
      <c r="AF2347" s="17" t="s">
        <v>560</v>
      </c>
    </row>
    <row r="2348" s="17" customFormat="1" hidden="1" spans="1:32">
      <c r="A2348" s="17" t="s">
        <v>34</v>
      </c>
      <c r="B2348" s="19">
        <v>857</v>
      </c>
      <c r="C2348" s="222">
        <v>44573</v>
      </c>
      <c r="D2348" s="17" t="s">
        <v>52</v>
      </c>
      <c r="E2348" s="17" t="s">
        <v>187</v>
      </c>
      <c r="F2348" s="17" t="s">
        <v>54</v>
      </c>
      <c r="H2348" s="19">
        <v>1.2379</v>
      </c>
      <c r="I2348" s="19"/>
      <c r="J2348" s="17" t="s">
        <v>39</v>
      </c>
      <c r="K2348" s="19">
        <v>56</v>
      </c>
      <c r="L2348" s="91"/>
      <c r="M2348" s="19">
        <v>5800</v>
      </c>
      <c r="N2348" s="19" t="s">
        <v>40</v>
      </c>
      <c r="O2348" s="19" t="s">
        <v>84</v>
      </c>
      <c r="P2348" s="160">
        <v>500</v>
      </c>
      <c r="Q2348" s="160">
        <f>226+226</f>
        <v>452</v>
      </c>
      <c r="R2348" s="19">
        <f t="shared" si="123"/>
        <v>48</v>
      </c>
      <c r="S2348" s="19">
        <v>2600</v>
      </c>
      <c r="T2348" s="19" t="s">
        <v>42</v>
      </c>
      <c r="U2348" s="102" t="s">
        <v>938</v>
      </c>
      <c r="V2348" s="212">
        <v>44785</v>
      </c>
      <c r="W2348" s="17" t="s">
        <v>69</v>
      </c>
      <c r="Y2348" s="68">
        <v>44980</v>
      </c>
      <c r="Z2348" s="17" t="s">
        <v>191</v>
      </c>
      <c r="AA2348" s="17" t="s">
        <v>46</v>
      </c>
      <c r="AB2348" s="17" t="s">
        <v>939</v>
      </c>
      <c r="AC2348" s="102" t="s">
        <v>940</v>
      </c>
      <c r="AD2348" s="65">
        <v>1388</v>
      </c>
      <c r="AE2348" s="17" t="s">
        <v>74</v>
      </c>
      <c r="AF2348" s="17" t="s">
        <v>560</v>
      </c>
    </row>
    <row r="2349" s="17" customFormat="1" hidden="1" spans="1:32">
      <c r="A2349" s="17" t="s">
        <v>34</v>
      </c>
      <c r="B2349" s="19">
        <v>857</v>
      </c>
      <c r="C2349" s="222">
        <v>44573</v>
      </c>
      <c r="D2349" s="17" t="s">
        <v>52</v>
      </c>
      <c r="E2349" s="17" t="s">
        <v>187</v>
      </c>
      <c r="F2349" s="17" t="s">
        <v>54</v>
      </c>
      <c r="H2349" s="19">
        <v>1.2379</v>
      </c>
      <c r="I2349" s="19"/>
      <c r="J2349" s="17" t="s">
        <v>39</v>
      </c>
      <c r="K2349" s="19">
        <v>61</v>
      </c>
      <c r="L2349" s="91"/>
      <c r="M2349" s="19">
        <v>5800</v>
      </c>
      <c r="N2349" s="19" t="s">
        <v>40</v>
      </c>
      <c r="O2349" s="19" t="s">
        <v>84</v>
      </c>
      <c r="P2349" s="160">
        <v>500</v>
      </c>
      <c r="Q2349" s="160">
        <v>511</v>
      </c>
      <c r="R2349" s="19">
        <f t="shared" si="123"/>
        <v>-11</v>
      </c>
      <c r="S2349" s="19">
        <v>2600</v>
      </c>
      <c r="T2349" s="19" t="s">
        <v>42</v>
      </c>
      <c r="U2349" s="102" t="s">
        <v>938</v>
      </c>
      <c r="V2349" s="212">
        <v>44785</v>
      </c>
      <c r="W2349" s="17" t="s">
        <v>69</v>
      </c>
      <c r="Y2349" s="68">
        <v>44980</v>
      </c>
      <c r="Z2349" s="17" t="s">
        <v>191</v>
      </c>
      <c r="AA2349" s="17" t="s">
        <v>46</v>
      </c>
      <c r="AB2349" s="17" t="s">
        <v>939</v>
      </c>
      <c r="AC2349" s="102" t="s">
        <v>940</v>
      </c>
      <c r="AD2349" s="65">
        <v>1388</v>
      </c>
      <c r="AE2349" s="17" t="s">
        <v>74</v>
      </c>
      <c r="AF2349" s="17" t="s">
        <v>560</v>
      </c>
    </row>
    <row r="2350" s="17" customFormat="1" hidden="1" spans="1:32">
      <c r="A2350" s="17" t="s">
        <v>34</v>
      </c>
      <c r="B2350" s="19">
        <v>857</v>
      </c>
      <c r="C2350" s="222">
        <v>44573</v>
      </c>
      <c r="D2350" s="17" t="s">
        <v>52</v>
      </c>
      <c r="E2350" s="17" t="s">
        <v>187</v>
      </c>
      <c r="F2350" s="17" t="s">
        <v>54</v>
      </c>
      <c r="H2350" s="19">
        <v>1.2379</v>
      </c>
      <c r="I2350" s="19"/>
      <c r="J2350" s="17" t="s">
        <v>39</v>
      </c>
      <c r="K2350" s="19">
        <v>71</v>
      </c>
      <c r="L2350" s="91"/>
      <c r="M2350" s="19">
        <v>5800</v>
      </c>
      <c r="N2350" s="19" t="s">
        <v>40</v>
      </c>
      <c r="O2350" s="19" t="s">
        <v>84</v>
      </c>
      <c r="P2350" s="160">
        <v>500</v>
      </c>
      <c r="Q2350" s="160">
        <v>790</v>
      </c>
      <c r="R2350" s="19">
        <f t="shared" si="123"/>
        <v>-290</v>
      </c>
      <c r="S2350" s="19">
        <v>2600</v>
      </c>
      <c r="T2350" s="19" t="s">
        <v>42</v>
      </c>
      <c r="U2350" s="102" t="s">
        <v>938</v>
      </c>
      <c r="V2350" s="212">
        <v>44785</v>
      </c>
      <c r="W2350" s="17" t="s">
        <v>69</v>
      </c>
      <c r="Y2350" s="68">
        <v>44980</v>
      </c>
      <c r="Z2350" s="17" t="s">
        <v>191</v>
      </c>
      <c r="AA2350" s="17" t="s">
        <v>46</v>
      </c>
      <c r="AB2350" s="17" t="s">
        <v>939</v>
      </c>
      <c r="AC2350" s="102" t="s">
        <v>940</v>
      </c>
      <c r="AD2350" s="65">
        <v>1388</v>
      </c>
      <c r="AE2350" s="17" t="s">
        <v>74</v>
      </c>
      <c r="AF2350" s="17" t="s">
        <v>560</v>
      </c>
    </row>
    <row r="2351" s="17" customFormat="1" hidden="1" spans="1:32">
      <c r="A2351" s="17" t="s">
        <v>34</v>
      </c>
      <c r="B2351" s="19">
        <v>857</v>
      </c>
      <c r="C2351" s="222">
        <v>44573</v>
      </c>
      <c r="D2351" s="17" t="s">
        <v>52</v>
      </c>
      <c r="E2351" s="17" t="s">
        <v>187</v>
      </c>
      <c r="F2351" s="17" t="s">
        <v>54</v>
      </c>
      <c r="H2351" s="19">
        <v>1.2379</v>
      </c>
      <c r="I2351" s="19"/>
      <c r="J2351" s="17" t="s">
        <v>39</v>
      </c>
      <c r="K2351" s="19">
        <v>76</v>
      </c>
      <c r="L2351" s="91"/>
      <c r="M2351" s="19">
        <v>5800</v>
      </c>
      <c r="N2351" s="19" t="s">
        <v>40</v>
      </c>
      <c r="O2351" s="19" t="s">
        <v>84</v>
      </c>
      <c r="P2351" s="160">
        <v>500</v>
      </c>
      <c r="Q2351" s="160">
        <v>809</v>
      </c>
      <c r="R2351" s="19">
        <f t="shared" si="123"/>
        <v>-309</v>
      </c>
      <c r="S2351" s="19">
        <v>2600</v>
      </c>
      <c r="T2351" s="19" t="s">
        <v>42</v>
      </c>
      <c r="U2351" s="102" t="s">
        <v>938</v>
      </c>
      <c r="V2351" s="212">
        <v>44785</v>
      </c>
      <c r="W2351" s="17" t="s">
        <v>69</v>
      </c>
      <c r="Y2351" s="68">
        <v>44980</v>
      </c>
      <c r="Z2351" s="17" t="s">
        <v>191</v>
      </c>
      <c r="AA2351" s="17" t="s">
        <v>46</v>
      </c>
      <c r="AB2351" s="17" t="s">
        <v>939</v>
      </c>
      <c r="AC2351" s="102" t="s">
        <v>940</v>
      </c>
      <c r="AD2351" s="65">
        <v>1388</v>
      </c>
      <c r="AE2351" s="17" t="s">
        <v>74</v>
      </c>
      <c r="AF2351" s="17" t="s">
        <v>560</v>
      </c>
    </row>
    <row r="2352" s="17" customFormat="1" hidden="1" spans="1:32">
      <c r="A2352" s="17" t="s">
        <v>34</v>
      </c>
      <c r="B2352" s="19">
        <v>857</v>
      </c>
      <c r="C2352" s="222">
        <v>44573</v>
      </c>
      <c r="D2352" s="17" t="s">
        <v>52</v>
      </c>
      <c r="E2352" s="17" t="s">
        <v>187</v>
      </c>
      <c r="F2352" s="17" t="s">
        <v>54</v>
      </c>
      <c r="H2352" s="19">
        <v>1.2379</v>
      </c>
      <c r="I2352" s="19"/>
      <c r="J2352" s="17" t="s">
        <v>39</v>
      </c>
      <c r="K2352" s="19">
        <v>81</v>
      </c>
      <c r="L2352" s="91"/>
      <c r="M2352" s="19">
        <v>5800</v>
      </c>
      <c r="N2352" s="19" t="s">
        <v>40</v>
      </c>
      <c r="O2352" s="19" t="s">
        <v>84</v>
      </c>
      <c r="P2352" s="160">
        <v>500</v>
      </c>
      <c r="Q2352" s="160">
        <v>1410</v>
      </c>
      <c r="R2352" s="19">
        <f t="shared" si="123"/>
        <v>-910</v>
      </c>
      <c r="S2352" s="19">
        <v>2600</v>
      </c>
      <c r="T2352" s="19" t="s">
        <v>42</v>
      </c>
      <c r="U2352" s="102" t="s">
        <v>938</v>
      </c>
      <c r="V2352" s="212">
        <v>44785</v>
      </c>
      <c r="W2352" s="17" t="s">
        <v>69</v>
      </c>
      <c r="Y2352" s="68">
        <v>44980</v>
      </c>
      <c r="Z2352" s="17" t="s">
        <v>191</v>
      </c>
      <c r="AA2352" s="17" t="s">
        <v>46</v>
      </c>
      <c r="AB2352" s="17" t="s">
        <v>939</v>
      </c>
      <c r="AC2352" s="102" t="s">
        <v>940</v>
      </c>
      <c r="AD2352" s="65">
        <v>1388</v>
      </c>
      <c r="AE2352" s="17" t="s">
        <v>74</v>
      </c>
      <c r="AF2352" s="17" t="s">
        <v>560</v>
      </c>
    </row>
    <row r="2353" s="17" customFormat="1" hidden="1" spans="1:35">
      <c r="A2353" s="17" t="s">
        <v>34</v>
      </c>
      <c r="B2353" s="19">
        <v>857</v>
      </c>
      <c r="C2353" s="222">
        <v>44573</v>
      </c>
      <c r="D2353" s="17" t="s">
        <v>52</v>
      </c>
      <c r="E2353" s="17" t="s">
        <v>187</v>
      </c>
      <c r="F2353" s="17" t="s">
        <v>54</v>
      </c>
      <c r="H2353" s="19">
        <v>1.2379</v>
      </c>
      <c r="I2353" s="19"/>
      <c r="J2353" s="17" t="s">
        <v>39</v>
      </c>
      <c r="K2353" s="19">
        <v>101</v>
      </c>
      <c r="L2353" s="91"/>
      <c r="M2353" s="19">
        <v>5800</v>
      </c>
      <c r="N2353" s="19" t="s">
        <v>40</v>
      </c>
      <c r="O2353" s="19" t="s">
        <v>84</v>
      </c>
      <c r="P2353" s="160">
        <v>500</v>
      </c>
      <c r="Q2353" s="160">
        <f>225+358</f>
        <v>583</v>
      </c>
      <c r="R2353" s="19">
        <f t="shared" si="123"/>
        <v>-83</v>
      </c>
      <c r="S2353" s="19">
        <v>2600</v>
      </c>
      <c r="T2353" s="19" t="s">
        <v>42</v>
      </c>
      <c r="U2353" s="102" t="s">
        <v>938</v>
      </c>
      <c r="V2353" s="212">
        <v>44785</v>
      </c>
      <c r="W2353" s="17" t="s">
        <v>69</v>
      </c>
      <c r="Y2353" s="68">
        <v>44980</v>
      </c>
      <c r="Z2353" s="17" t="s">
        <v>191</v>
      </c>
      <c r="AA2353" s="17" t="s">
        <v>46</v>
      </c>
      <c r="AB2353" s="17" t="s">
        <v>939</v>
      </c>
      <c r="AC2353" s="102" t="s">
        <v>940</v>
      </c>
      <c r="AD2353" s="65">
        <v>1388</v>
      </c>
      <c r="AE2353" s="17" t="s">
        <v>74</v>
      </c>
      <c r="AF2353" s="17" t="s">
        <v>560</v>
      </c>
    </row>
    <row r="2354" s="17" customFormat="1" hidden="1" spans="1:35">
      <c r="A2354" s="17" t="s">
        <v>34</v>
      </c>
      <c r="B2354" s="19">
        <v>858</v>
      </c>
      <c r="C2354" s="222">
        <v>44573</v>
      </c>
      <c r="D2354" s="17" t="s">
        <v>35</v>
      </c>
      <c r="E2354" s="17" t="s">
        <v>482</v>
      </c>
      <c r="F2354" s="17" t="s">
        <v>72</v>
      </c>
      <c r="H2354" s="19">
        <v>1.2316</v>
      </c>
      <c r="I2354" s="19"/>
      <c r="J2354" s="17" t="s">
        <v>39</v>
      </c>
      <c r="K2354" s="19">
        <v>32</v>
      </c>
      <c r="L2354" s="91"/>
      <c r="M2354" s="19">
        <v>5800</v>
      </c>
      <c r="N2354" s="19" t="s">
        <v>66</v>
      </c>
      <c r="O2354" s="19" t="s">
        <v>84</v>
      </c>
      <c r="P2354" s="19">
        <v>1200</v>
      </c>
      <c r="Q2354" s="19">
        <v>1130</v>
      </c>
      <c r="R2354" s="19">
        <f t="shared" si="123"/>
        <v>70</v>
      </c>
      <c r="S2354" s="19">
        <f t="shared" ref="S2354:S2374" si="124">3200-25</f>
        <v>3175</v>
      </c>
      <c r="T2354" s="19" t="s">
        <v>42</v>
      </c>
      <c r="U2354" s="102" t="s">
        <v>941</v>
      </c>
      <c r="V2354" s="212" t="s">
        <v>942</v>
      </c>
      <c r="W2354" s="17" t="s">
        <v>44</v>
      </c>
      <c r="Y2354" s="68">
        <v>45069</v>
      </c>
      <c r="Z2354" s="17" t="s">
        <v>191</v>
      </c>
      <c r="AA2354" s="17" t="s">
        <v>46</v>
      </c>
      <c r="AB2354" s="17" t="s">
        <v>943</v>
      </c>
      <c r="AC2354" s="217">
        <v>45081</v>
      </c>
      <c r="AD2354" s="65">
        <v>1422</v>
      </c>
      <c r="AE2354" s="17" t="s">
        <v>944</v>
      </c>
      <c r="AF2354" s="17" t="s">
        <v>945</v>
      </c>
      <c r="AI2354" s="17">
        <v>3300</v>
      </c>
    </row>
    <row r="2355" s="17" customFormat="1" hidden="1" spans="1:35">
      <c r="A2355" s="17" t="s">
        <v>34</v>
      </c>
      <c r="B2355" s="19">
        <v>858</v>
      </c>
      <c r="C2355" s="222">
        <v>44573</v>
      </c>
      <c r="D2355" s="17" t="s">
        <v>35</v>
      </c>
      <c r="E2355" s="17" t="s">
        <v>482</v>
      </c>
      <c r="F2355" s="17" t="s">
        <v>72</v>
      </c>
      <c r="H2355" s="19">
        <v>1.2316</v>
      </c>
      <c r="I2355" s="19"/>
      <c r="J2355" s="17" t="s">
        <v>39</v>
      </c>
      <c r="K2355" s="19">
        <v>36</v>
      </c>
      <c r="L2355" s="91"/>
      <c r="M2355" s="19">
        <v>5800</v>
      </c>
      <c r="N2355" s="19" t="s">
        <v>66</v>
      </c>
      <c r="O2355" s="19" t="s">
        <v>84</v>
      </c>
      <c r="P2355" s="19">
        <v>1200</v>
      </c>
      <c r="Q2355" s="19">
        <v>1132</v>
      </c>
      <c r="R2355" s="19">
        <f t="shared" ref="R2355:R2386" si="125">+P2355-Q2355</f>
        <v>68</v>
      </c>
      <c r="S2355" s="19">
        <f t="shared" si="124"/>
        <v>3175</v>
      </c>
      <c r="T2355" s="19" t="s">
        <v>42</v>
      </c>
      <c r="U2355" s="102" t="s">
        <v>941</v>
      </c>
      <c r="V2355" s="212" t="s">
        <v>942</v>
      </c>
      <c r="W2355" s="17" t="s">
        <v>44</v>
      </c>
      <c r="Y2355" s="68">
        <v>45069</v>
      </c>
      <c r="Z2355" s="17" t="s">
        <v>191</v>
      </c>
      <c r="AA2355" s="17" t="s">
        <v>46</v>
      </c>
      <c r="AB2355" s="17" t="s">
        <v>943</v>
      </c>
      <c r="AC2355" s="217">
        <v>45081</v>
      </c>
      <c r="AD2355" s="65">
        <v>1422</v>
      </c>
      <c r="AE2355" s="17" t="s">
        <v>74</v>
      </c>
      <c r="AF2355" s="17" t="s">
        <v>945</v>
      </c>
      <c r="AI2355" s="17">
        <v>3300</v>
      </c>
    </row>
    <row r="2356" s="17" customFormat="1" hidden="1" spans="1:35">
      <c r="A2356" s="17" t="s">
        <v>34</v>
      </c>
      <c r="B2356" s="19">
        <v>858</v>
      </c>
      <c r="C2356" s="222">
        <v>44573</v>
      </c>
      <c r="D2356" s="17" t="s">
        <v>35</v>
      </c>
      <c r="E2356" s="17" t="s">
        <v>482</v>
      </c>
      <c r="F2356" s="17" t="s">
        <v>72</v>
      </c>
      <c r="H2356" s="19">
        <v>1.2316</v>
      </c>
      <c r="I2356" s="19"/>
      <c r="J2356" s="17" t="s">
        <v>39</v>
      </c>
      <c r="K2356" s="19">
        <v>41</v>
      </c>
      <c r="L2356" s="91"/>
      <c r="M2356" s="19">
        <v>5800</v>
      </c>
      <c r="N2356" s="19" t="s">
        <v>66</v>
      </c>
      <c r="O2356" s="19" t="s">
        <v>84</v>
      </c>
      <c r="P2356" s="19">
        <v>1200</v>
      </c>
      <c r="Q2356" s="19">
        <v>1162</v>
      </c>
      <c r="R2356" s="19">
        <f t="shared" si="125"/>
        <v>38</v>
      </c>
      <c r="S2356" s="19">
        <f t="shared" si="124"/>
        <v>3175</v>
      </c>
      <c r="T2356" s="19" t="s">
        <v>42</v>
      </c>
      <c r="U2356" s="102" t="s">
        <v>941</v>
      </c>
      <c r="V2356" s="212" t="s">
        <v>942</v>
      </c>
      <c r="W2356" s="17" t="s">
        <v>44</v>
      </c>
      <c r="Y2356" s="68">
        <v>45069</v>
      </c>
      <c r="Z2356" s="17" t="s">
        <v>191</v>
      </c>
      <c r="AA2356" s="17" t="s">
        <v>46</v>
      </c>
      <c r="AB2356" s="17" t="s">
        <v>943</v>
      </c>
      <c r="AC2356" s="217">
        <v>45081</v>
      </c>
      <c r="AD2356" s="65">
        <v>1422</v>
      </c>
      <c r="AE2356" s="17" t="s">
        <v>944</v>
      </c>
      <c r="AF2356" s="17" t="s">
        <v>945</v>
      </c>
      <c r="AI2356" s="17">
        <v>3300</v>
      </c>
    </row>
    <row r="2357" s="17" customFormat="1" hidden="1" spans="1:35">
      <c r="A2357" s="17" t="s">
        <v>34</v>
      </c>
      <c r="B2357" s="19">
        <v>858</v>
      </c>
      <c r="C2357" s="222">
        <v>44573</v>
      </c>
      <c r="D2357" s="17" t="s">
        <v>35</v>
      </c>
      <c r="E2357" s="17" t="s">
        <v>482</v>
      </c>
      <c r="F2357" s="17" t="s">
        <v>72</v>
      </c>
      <c r="H2357" s="19">
        <v>1.2316</v>
      </c>
      <c r="I2357" s="19"/>
      <c r="J2357" s="17" t="s">
        <v>39</v>
      </c>
      <c r="K2357" s="19">
        <v>46</v>
      </c>
      <c r="L2357" s="91"/>
      <c r="M2357" s="19">
        <v>5800</v>
      </c>
      <c r="N2357" s="19" t="s">
        <v>66</v>
      </c>
      <c r="O2357" s="19" t="s">
        <v>84</v>
      </c>
      <c r="P2357" s="19">
        <v>1200</v>
      </c>
      <c r="Q2357" s="19">
        <v>1074</v>
      </c>
      <c r="R2357" s="19">
        <f t="shared" si="125"/>
        <v>126</v>
      </c>
      <c r="S2357" s="19">
        <f t="shared" si="124"/>
        <v>3175</v>
      </c>
      <c r="T2357" s="19" t="s">
        <v>42</v>
      </c>
      <c r="U2357" s="102" t="s">
        <v>941</v>
      </c>
      <c r="V2357" s="212" t="s">
        <v>942</v>
      </c>
      <c r="W2357" s="17" t="s">
        <v>44</v>
      </c>
      <c r="Y2357" s="68">
        <v>45069</v>
      </c>
      <c r="Z2357" s="17" t="s">
        <v>191</v>
      </c>
      <c r="AA2357" s="17" t="s">
        <v>46</v>
      </c>
      <c r="AB2357" s="17" t="s">
        <v>943</v>
      </c>
      <c r="AC2357" s="217">
        <v>45081</v>
      </c>
      <c r="AD2357" s="65">
        <v>1422</v>
      </c>
      <c r="AE2357" s="17" t="s">
        <v>944</v>
      </c>
      <c r="AF2357" s="17" t="s">
        <v>945</v>
      </c>
      <c r="AI2357" s="17">
        <v>3300</v>
      </c>
    </row>
    <row r="2358" s="17" customFormat="1" hidden="1" spans="1:35">
      <c r="A2358" s="17" t="s">
        <v>34</v>
      </c>
      <c r="B2358" s="19">
        <v>858</v>
      </c>
      <c r="C2358" s="222">
        <v>44573</v>
      </c>
      <c r="D2358" s="17" t="s">
        <v>35</v>
      </c>
      <c r="E2358" s="17" t="s">
        <v>482</v>
      </c>
      <c r="F2358" s="17" t="s">
        <v>72</v>
      </c>
      <c r="H2358" s="19">
        <v>1.2316</v>
      </c>
      <c r="I2358" s="19"/>
      <c r="J2358" s="17" t="s">
        <v>39</v>
      </c>
      <c r="K2358" s="19">
        <v>51</v>
      </c>
      <c r="L2358" s="91"/>
      <c r="M2358" s="19">
        <v>5800</v>
      </c>
      <c r="N2358" s="19" t="s">
        <v>66</v>
      </c>
      <c r="O2358" s="19" t="s">
        <v>84</v>
      </c>
      <c r="P2358" s="19">
        <v>1200</v>
      </c>
      <c r="Q2358" s="19">
        <v>1270</v>
      </c>
      <c r="R2358" s="19">
        <f t="shared" si="125"/>
        <v>-70</v>
      </c>
      <c r="S2358" s="19">
        <f t="shared" si="124"/>
        <v>3175</v>
      </c>
      <c r="T2358" s="19" t="s">
        <v>42</v>
      </c>
      <c r="U2358" s="102" t="s">
        <v>941</v>
      </c>
      <c r="V2358" s="212" t="s">
        <v>942</v>
      </c>
      <c r="W2358" s="17" t="s">
        <v>44</v>
      </c>
      <c r="Y2358" s="68">
        <v>45069</v>
      </c>
      <c r="Z2358" s="17" t="s">
        <v>191</v>
      </c>
      <c r="AA2358" s="17" t="s">
        <v>46</v>
      </c>
      <c r="AB2358" s="17" t="s">
        <v>943</v>
      </c>
      <c r="AC2358" s="217">
        <v>45081</v>
      </c>
      <c r="AD2358" s="65">
        <v>1422</v>
      </c>
      <c r="AE2358" s="17" t="s">
        <v>944</v>
      </c>
      <c r="AF2358" s="17" t="s">
        <v>945</v>
      </c>
      <c r="AI2358" s="17">
        <v>3300</v>
      </c>
    </row>
    <row r="2359" s="17" customFormat="1" hidden="1" spans="1:35">
      <c r="A2359" s="17" t="s">
        <v>34</v>
      </c>
      <c r="B2359" s="19">
        <v>858</v>
      </c>
      <c r="C2359" s="222">
        <v>44573</v>
      </c>
      <c r="D2359" s="17" t="s">
        <v>35</v>
      </c>
      <c r="E2359" s="17" t="s">
        <v>482</v>
      </c>
      <c r="F2359" s="17" t="s">
        <v>72</v>
      </c>
      <c r="H2359" s="19">
        <v>1.2316</v>
      </c>
      <c r="I2359" s="19"/>
      <c r="J2359" s="17" t="s">
        <v>39</v>
      </c>
      <c r="K2359" s="19">
        <v>56</v>
      </c>
      <c r="L2359" s="91"/>
      <c r="M2359" s="19">
        <v>5800</v>
      </c>
      <c r="N2359" s="19" t="s">
        <v>66</v>
      </c>
      <c r="O2359" s="19" t="s">
        <v>141</v>
      </c>
      <c r="P2359" s="19">
        <v>6000</v>
      </c>
      <c r="Q2359" s="19">
        <f>2378+2364+2544</f>
        <v>7286</v>
      </c>
      <c r="R2359" s="19">
        <f t="shared" si="125"/>
        <v>-1286</v>
      </c>
      <c r="S2359" s="19">
        <f t="shared" si="124"/>
        <v>3175</v>
      </c>
      <c r="T2359" s="19" t="s">
        <v>42</v>
      </c>
      <c r="U2359" s="102" t="s">
        <v>941</v>
      </c>
      <c r="V2359" s="212" t="s">
        <v>942</v>
      </c>
      <c r="W2359" s="17" t="s">
        <v>44</v>
      </c>
      <c r="Y2359" s="68">
        <v>45069</v>
      </c>
      <c r="Z2359" s="17" t="s">
        <v>191</v>
      </c>
      <c r="AA2359" s="17" t="s">
        <v>46</v>
      </c>
      <c r="AB2359" s="17" t="s">
        <v>946</v>
      </c>
      <c r="AC2359" s="102" t="s">
        <v>947</v>
      </c>
      <c r="AD2359" s="65">
        <v>1420</v>
      </c>
      <c r="AE2359" s="17" t="s">
        <v>948</v>
      </c>
      <c r="AF2359" s="17" t="s">
        <v>949</v>
      </c>
      <c r="AI2359" s="17">
        <v>3300</v>
      </c>
    </row>
    <row r="2360" s="17" customFormat="1" hidden="1" spans="1:35">
      <c r="A2360" s="17" t="s">
        <v>34</v>
      </c>
      <c r="B2360" s="19">
        <v>858</v>
      </c>
      <c r="C2360" s="222">
        <v>44573</v>
      </c>
      <c r="D2360" s="17" t="s">
        <v>35</v>
      </c>
      <c r="E2360" s="17" t="s">
        <v>482</v>
      </c>
      <c r="F2360" s="17" t="s">
        <v>72</v>
      </c>
      <c r="H2360" s="19">
        <v>1.2316</v>
      </c>
      <c r="I2360" s="19"/>
      <c r="J2360" s="17" t="s">
        <v>39</v>
      </c>
      <c r="K2360" s="19">
        <v>61</v>
      </c>
      <c r="L2360" s="91"/>
      <c r="M2360" s="19">
        <v>5800</v>
      </c>
      <c r="N2360" s="19" t="s">
        <v>66</v>
      </c>
      <c r="O2360" s="19" t="s">
        <v>84</v>
      </c>
      <c r="P2360" s="19">
        <v>1200</v>
      </c>
      <c r="Q2360" s="19">
        <v>1200</v>
      </c>
      <c r="R2360" s="19">
        <f t="shared" si="125"/>
        <v>0</v>
      </c>
      <c r="S2360" s="19">
        <f t="shared" si="124"/>
        <v>3175</v>
      </c>
      <c r="T2360" s="19" t="s">
        <v>42</v>
      </c>
      <c r="U2360" s="102" t="s">
        <v>941</v>
      </c>
      <c r="V2360" s="212" t="s">
        <v>942</v>
      </c>
      <c r="W2360" s="17" t="s">
        <v>44</v>
      </c>
      <c r="Y2360" s="68">
        <v>45069</v>
      </c>
      <c r="Z2360" s="17" t="s">
        <v>191</v>
      </c>
      <c r="AA2360" s="17" t="s">
        <v>46</v>
      </c>
      <c r="AB2360" s="17" t="s">
        <v>943</v>
      </c>
      <c r="AC2360" s="217">
        <v>45081</v>
      </c>
      <c r="AD2360" s="65">
        <v>1422</v>
      </c>
      <c r="AE2360" s="17" t="s">
        <v>944</v>
      </c>
      <c r="AF2360" s="17" t="s">
        <v>945</v>
      </c>
      <c r="AI2360" s="17">
        <v>3300</v>
      </c>
    </row>
    <row r="2361" s="17" customFormat="1" hidden="1" spans="1:35">
      <c r="A2361" s="17" t="s">
        <v>34</v>
      </c>
      <c r="B2361" s="19">
        <v>858</v>
      </c>
      <c r="C2361" s="222">
        <v>44573</v>
      </c>
      <c r="D2361" s="17" t="s">
        <v>35</v>
      </c>
      <c r="E2361" s="17" t="s">
        <v>482</v>
      </c>
      <c r="F2361" s="17" t="s">
        <v>72</v>
      </c>
      <c r="H2361" s="19">
        <v>1.2316</v>
      </c>
      <c r="I2361" s="19"/>
      <c r="J2361" s="17" t="s">
        <v>39</v>
      </c>
      <c r="K2361" s="19">
        <v>66</v>
      </c>
      <c r="L2361" s="91"/>
      <c r="M2361" s="19">
        <v>5800</v>
      </c>
      <c r="N2361" s="19" t="s">
        <v>66</v>
      </c>
      <c r="O2361" s="19" t="s">
        <v>84</v>
      </c>
      <c r="P2361" s="19">
        <v>1200</v>
      </c>
      <c r="Q2361" s="19">
        <v>1062</v>
      </c>
      <c r="R2361" s="19">
        <f t="shared" si="125"/>
        <v>138</v>
      </c>
      <c r="S2361" s="19">
        <f t="shared" si="124"/>
        <v>3175</v>
      </c>
      <c r="T2361" s="19" t="s">
        <v>42</v>
      </c>
      <c r="U2361" s="102" t="s">
        <v>941</v>
      </c>
      <c r="V2361" s="212" t="s">
        <v>942</v>
      </c>
      <c r="W2361" s="17" t="s">
        <v>44</v>
      </c>
      <c r="Y2361" s="68">
        <v>45069</v>
      </c>
      <c r="Z2361" s="17" t="s">
        <v>191</v>
      </c>
      <c r="AA2361" s="17" t="s">
        <v>46</v>
      </c>
      <c r="AB2361" s="17" t="s">
        <v>943</v>
      </c>
      <c r="AC2361" s="217">
        <v>45081</v>
      </c>
      <c r="AD2361" s="65">
        <v>1422</v>
      </c>
      <c r="AE2361" s="17" t="s">
        <v>74</v>
      </c>
      <c r="AF2361" s="17" t="s">
        <v>945</v>
      </c>
      <c r="AI2361" s="17">
        <v>3300</v>
      </c>
    </row>
    <row r="2362" s="17" customFormat="1" hidden="1" spans="1:35">
      <c r="A2362" s="17" t="s">
        <v>34</v>
      </c>
      <c r="B2362" s="19">
        <v>858</v>
      </c>
      <c r="C2362" s="222">
        <v>44573</v>
      </c>
      <c r="D2362" s="17" t="s">
        <v>35</v>
      </c>
      <c r="E2362" s="17" t="s">
        <v>482</v>
      </c>
      <c r="F2362" s="17" t="s">
        <v>72</v>
      </c>
      <c r="H2362" s="19">
        <v>1.2316</v>
      </c>
      <c r="I2362" s="19"/>
      <c r="J2362" s="17" t="s">
        <v>39</v>
      </c>
      <c r="K2362" s="19">
        <v>71</v>
      </c>
      <c r="L2362" s="91"/>
      <c r="M2362" s="19">
        <v>5800</v>
      </c>
      <c r="N2362" s="19" t="s">
        <v>66</v>
      </c>
      <c r="O2362" s="19" t="s">
        <v>84</v>
      </c>
      <c r="P2362" s="19">
        <v>1200</v>
      </c>
      <c r="Q2362" s="19">
        <v>1242</v>
      </c>
      <c r="R2362" s="19">
        <f t="shared" si="125"/>
        <v>-42</v>
      </c>
      <c r="S2362" s="19">
        <f t="shared" si="124"/>
        <v>3175</v>
      </c>
      <c r="T2362" s="19" t="s">
        <v>42</v>
      </c>
      <c r="U2362" s="102" t="s">
        <v>941</v>
      </c>
      <c r="V2362" s="212" t="s">
        <v>942</v>
      </c>
      <c r="W2362" s="17" t="s">
        <v>44</v>
      </c>
      <c r="Y2362" s="68">
        <v>45069</v>
      </c>
      <c r="Z2362" s="17" t="s">
        <v>191</v>
      </c>
      <c r="AA2362" s="17" t="s">
        <v>46</v>
      </c>
      <c r="AB2362" s="17" t="s">
        <v>943</v>
      </c>
      <c r="AC2362" s="217">
        <v>45081</v>
      </c>
      <c r="AD2362" s="65">
        <v>1422</v>
      </c>
      <c r="AE2362" s="17" t="s">
        <v>944</v>
      </c>
      <c r="AF2362" s="17" t="s">
        <v>945</v>
      </c>
      <c r="AI2362" s="17">
        <v>3300</v>
      </c>
    </row>
    <row r="2363" s="17" customFormat="1" hidden="1" spans="1:35">
      <c r="A2363" s="17" t="s">
        <v>34</v>
      </c>
      <c r="B2363" s="19">
        <v>858</v>
      </c>
      <c r="C2363" s="222">
        <v>44573</v>
      </c>
      <c r="D2363" s="17" t="s">
        <v>35</v>
      </c>
      <c r="E2363" s="17" t="s">
        <v>482</v>
      </c>
      <c r="F2363" s="17" t="s">
        <v>72</v>
      </c>
      <c r="H2363" s="19">
        <v>1.2316</v>
      </c>
      <c r="I2363" s="19"/>
      <c r="J2363" s="17" t="s">
        <v>39</v>
      </c>
      <c r="K2363" s="19">
        <v>76</v>
      </c>
      <c r="L2363" s="91"/>
      <c r="M2363" s="19">
        <v>5800</v>
      </c>
      <c r="N2363" s="19" t="s">
        <v>66</v>
      </c>
      <c r="O2363" s="19" t="s">
        <v>84</v>
      </c>
      <c r="P2363" s="19">
        <v>1200</v>
      </c>
      <c r="Q2363" s="19">
        <v>1204</v>
      </c>
      <c r="R2363" s="19">
        <f t="shared" si="125"/>
        <v>-4</v>
      </c>
      <c r="S2363" s="19">
        <f t="shared" si="124"/>
        <v>3175</v>
      </c>
      <c r="T2363" s="19" t="s">
        <v>42</v>
      </c>
      <c r="U2363" s="102" t="s">
        <v>941</v>
      </c>
      <c r="V2363" s="212" t="s">
        <v>942</v>
      </c>
      <c r="W2363" s="17" t="s">
        <v>44</v>
      </c>
      <c r="Y2363" s="68">
        <v>45069</v>
      </c>
      <c r="Z2363" s="17" t="s">
        <v>191</v>
      </c>
      <c r="AA2363" s="17" t="s">
        <v>46</v>
      </c>
      <c r="AB2363" s="17" t="s">
        <v>943</v>
      </c>
      <c r="AC2363" s="217">
        <v>45081</v>
      </c>
      <c r="AD2363" s="65">
        <v>1422</v>
      </c>
      <c r="AE2363" s="17" t="s">
        <v>944</v>
      </c>
      <c r="AF2363" s="17" t="s">
        <v>945</v>
      </c>
      <c r="AI2363" s="17">
        <v>3300</v>
      </c>
    </row>
    <row r="2364" s="17" customFormat="1" hidden="1" spans="1:35">
      <c r="A2364" s="17" t="s">
        <v>34</v>
      </c>
      <c r="B2364" s="19">
        <v>858</v>
      </c>
      <c r="C2364" s="222">
        <v>44573</v>
      </c>
      <c r="D2364" s="17" t="s">
        <v>35</v>
      </c>
      <c r="E2364" s="17" t="s">
        <v>482</v>
      </c>
      <c r="F2364" s="17" t="s">
        <v>72</v>
      </c>
      <c r="H2364" s="19">
        <v>1.2316</v>
      </c>
      <c r="I2364" s="19"/>
      <c r="J2364" s="17" t="s">
        <v>39</v>
      </c>
      <c r="K2364" s="19">
        <v>81</v>
      </c>
      <c r="L2364" s="91"/>
      <c r="M2364" s="19">
        <v>5800</v>
      </c>
      <c r="N2364" s="19" t="s">
        <v>66</v>
      </c>
      <c r="O2364" s="19" t="s">
        <v>84</v>
      </c>
      <c r="P2364" s="19">
        <v>2400</v>
      </c>
      <c r="Q2364" s="19">
        <f>1242+1256</f>
        <v>2498</v>
      </c>
      <c r="R2364" s="19">
        <f t="shared" si="125"/>
        <v>-98</v>
      </c>
      <c r="S2364" s="19">
        <f t="shared" si="124"/>
        <v>3175</v>
      </c>
      <c r="T2364" s="19" t="s">
        <v>42</v>
      </c>
      <c r="U2364" s="102" t="s">
        <v>941</v>
      </c>
      <c r="V2364" s="212" t="s">
        <v>942</v>
      </c>
      <c r="W2364" s="17" t="s">
        <v>44</v>
      </c>
      <c r="Y2364" s="68">
        <v>45069</v>
      </c>
      <c r="Z2364" s="17" t="s">
        <v>191</v>
      </c>
      <c r="AA2364" s="17" t="s">
        <v>46</v>
      </c>
      <c r="AB2364" s="17" t="s">
        <v>943</v>
      </c>
      <c r="AC2364" s="217">
        <v>45081</v>
      </c>
      <c r="AD2364" s="65">
        <v>1422</v>
      </c>
      <c r="AE2364" s="17" t="s">
        <v>950</v>
      </c>
      <c r="AF2364" s="17" t="s">
        <v>945</v>
      </c>
      <c r="AI2364" s="17">
        <v>3300</v>
      </c>
    </row>
    <row r="2365" s="17" customFormat="1" hidden="1" spans="1:35">
      <c r="A2365" s="17" t="s">
        <v>34</v>
      </c>
      <c r="B2365" s="19">
        <v>858</v>
      </c>
      <c r="C2365" s="222">
        <v>44573</v>
      </c>
      <c r="D2365" s="17" t="s">
        <v>35</v>
      </c>
      <c r="E2365" s="17" t="s">
        <v>482</v>
      </c>
      <c r="F2365" s="17" t="s">
        <v>72</v>
      </c>
      <c r="H2365" s="19">
        <v>1.2316</v>
      </c>
      <c r="I2365" s="19"/>
      <c r="J2365" s="17" t="s">
        <v>39</v>
      </c>
      <c r="K2365" s="19">
        <v>91</v>
      </c>
      <c r="L2365" s="91"/>
      <c r="M2365" s="19">
        <v>5800</v>
      </c>
      <c r="N2365" s="19" t="s">
        <v>66</v>
      </c>
      <c r="O2365" s="19" t="s">
        <v>84</v>
      </c>
      <c r="P2365" s="19">
        <v>2000</v>
      </c>
      <c r="Q2365" s="19">
        <v>1855</v>
      </c>
      <c r="R2365" s="19">
        <f t="shared" si="125"/>
        <v>145</v>
      </c>
      <c r="S2365" s="19">
        <f t="shared" si="124"/>
        <v>3175</v>
      </c>
      <c r="T2365" s="19" t="s">
        <v>42</v>
      </c>
      <c r="U2365" s="102" t="s">
        <v>941</v>
      </c>
      <c r="V2365" s="212" t="s">
        <v>942</v>
      </c>
      <c r="W2365" s="17" t="s">
        <v>44</v>
      </c>
      <c r="Y2365" s="68">
        <v>45069</v>
      </c>
      <c r="Z2365" s="17" t="s">
        <v>191</v>
      </c>
      <c r="AA2365" s="17" t="s">
        <v>46</v>
      </c>
      <c r="AB2365" s="17" t="s">
        <v>943</v>
      </c>
      <c r="AC2365" s="217">
        <v>45081</v>
      </c>
      <c r="AD2365" s="65">
        <v>1422</v>
      </c>
      <c r="AE2365" s="17" t="s">
        <v>951</v>
      </c>
      <c r="AF2365" s="17" t="s">
        <v>945</v>
      </c>
      <c r="AI2365" s="17">
        <v>3300</v>
      </c>
    </row>
    <row r="2366" s="17" customFormat="1" hidden="1" spans="1:35">
      <c r="A2366" s="17" t="s">
        <v>34</v>
      </c>
      <c r="B2366" s="19">
        <v>858</v>
      </c>
      <c r="C2366" s="222">
        <v>44573</v>
      </c>
      <c r="D2366" s="17" t="s">
        <v>35</v>
      </c>
      <c r="E2366" s="17" t="s">
        <v>482</v>
      </c>
      <c r="F2366" s="17" t="s">
        <v>72</v>
      </c>
      <c r="H2366" s="19">
        <v>1.2316</v>
      </c>
      <c r="I2366" s="19"/>
      <c r="J2366" s="17" t="s">
        <v>39</v>
      </c>
      <c r="K2366" s="19">
        <v>101</v>
      </c>
      <c r="L2366" s="91"/>
      <c r="M2366" s="19">
        <v>5800</v>
      </c>
      <c r="N2366" s="19" t="s">
        <v>66</v>
      </c>
      <c r="O2366" s="19" t="s">
        <v>84</v>
      </c>
      <c r="P2366" s="19">
        <v>2000</v>
      </c>
      <c r="Q2366" s="19">
        <v>1130</v>
      </c>
      <c r="R2366" s="19">
        <f t="shared" si="125"/>
        <v>870</v>
      </c>
      <c r="S2366" s="19">
        <f t="shared" si="124"/>
        <v>3175</v>
      </c>
      <c r="T2366" s="19" t="s">
        <v>42</v>
      </c>
      <c r="U2366" s="102" t="s">
        <v>941</v>
      </c>
      <c r="V2366" s="212" t="s">
        <v>942</v>
      </c>
      <c r="W2366" s="17" t="s">
        <v>44</v>
      </c>
      <c r="Y2366" s="68">
        <v>45069</v>
      </c>
      <c r="Z2366" s="17" t="s">
        <v>191</v>
      </c>
      <c r="AA2366" s="17" t="s">
        <v>46</v>
      </c>
      <c r="AB2366" s="17" t="s">
        <v>943</v>
      </c>
      <c r="AC2366" s="217">
        <v>45081</v>
      </c>
      <c r="AD2366" s="65">
        <v>1422</v>
      </c>
      <c r="AE2366" s="17" t="s">
        <v>951</v>
      </c>
      <c r="AF2366" s="17" t="s">
        <v>945</v>
      </c>
      <c r="AI2366" s="17">
        <v>3300</v>
      </c>
    </row>
    <row r="2367" s="17" customFormat="1" hidden="1" spans="1:35">
      <c r="A2367" s="17" t="s">
        <v>34</v>
      </c>
      <c r="B2367" s="19">
        <v>858</v>
      </c>
      <c r="C2367" s="222">
        <v>44573</v>
      </c>
      <c r="D2367" s="17" t="s">
        <v>35</v>
      </c>
      <c r="E2367" s="17" t="s">
        <v>482</v>
      </c>
      <c r="F2367" s="17" t="s">
        <v>72</v>
      </c>
      <c r="H2367" s="19">
        <v>1.2316</v>
      </c>
      <c r="I2367" s="19"/>
      <c r="J2367" s="17" t="s">
        <v>39</v>
      </c>
      <c r="K2367" s="19">
        <v>111</v>
      </c>
      <c r="L2367" s="91"/>
      <c r="M2367" s="19">
        <v>5800</v>
      </c>
      <c r="N2367" s="19" t="s">
        <v>66</v>
      </c>
      <c r="O2367" s="19" t="s">
        <v>84</v>
      </c>
      <c r="P2367" s="19">
        <v>2000</v>
      </c>
      <c r="Q2367" s="19">
        <v>1100</v>
      </c>
      <c r="R2367" s="19">
        <f t="shared" si="125"/>
        <v>900</v>
      </c>
      <c r="S2367" s="19">
        <f t="shared" si="124"/>
        <v>3175</v>
      </c>
      <c r="T2367" s="19" t="s">
        <v>42</v>
      </c>
      <c r="U2367" s="102" t="s">
        <v>941</v>
      </c>
      <c r="V2367" s="212" t="s">
        <v>942</v>
      </c>
      <c r="W2367" s="17" t="s">
        <v>44</v>
      </c>
      <c r="Y2367" s="68">
        <v>45069</v>
      </c>
      <c r="Z2367" s="17" t="s">
        <v>191</v>
      </c>
      <c r="AA2367" s="17" t="s">
        <v>46</v>
      </c>
      <c r="AB2367" s="17" t="s">
        <v>943</v>
      </c>
      <c r="AC2367" s="217">
        <v>45081</v>
      </c>
      <c r="AD2367" s="65">
        <v>1422</v>
      </c>
      <c r="AE2367" s="17" t="s">
        <v>951</v>
      </c>
      <c r="AF2367" s="17" t="s">
        <v>945</v>
      </c>
      <c r="AI2367" s="17">
        <v>3300</v>
      </c>
    </row>
    <row r="2368" s="17" customFormat="1" hidden="1" spans="1:35">
      <c r="A2368" s="17" t="s">
        <v>34</v>
      </c>
      <c r="B2368" s="19">
        <v>858</v>
      </c>
      <c r="C2368" s="222">
        <v>44573</v>
      </c>
      <c r="D2368" s="17" t="s">
        <v>35</v>
      </c>
      <c r="E2368" s="17" t="s">
        <v>482</v>
      </c>
      <c r="F2368" s="17" t="s">
        <v>72</v>
      </c>
      <c r="H2368" s="19">
        <v>1.2316</v>
      </c>
      <c r="I2368" s="19"/>
      <c r="J2368" s="17" t="s">
        <v>39</v>
      </c>
      <c r="K2368" s="19">
        <v>121</v>
      </c>
      <c r="L2368" s="91"/>
      <c r="M2368" s="19">
        <v>5800</v>
      </c>
      <c r="N2368" s="19" t="s">
        <v>66</v>
      </c>
      <c r="O2368" s="19" t="s">
        <v>84</v>
      </c>
      <c r="P2368" s="19">
        <v>2000</v>
      </c>
      <c r="Q2368" s="19">
        <v>2380</v>
      </c>
      <c r="R2368" s="19">
        <f t="shared" si="125"/>
        <v>-380</v>
      </c>
      <c r="S2368" s="19">
        <f t="shared" si="124"/>
        <v>3175</v>
      </c>
      <c r="T2368" s="19" t="s">
        <v>42</v>
      </c>
      <c r="U2368" s="102" t="s">
        <v>941</v>
      </c>
      <c r="V2368" s="212" t="s">
        <v>942</v>
      </c>
      <c r="W2368" s="17" t="s">
        <v>44</v>
      </c>
      <c r="Y2368" s="68">
        <v>45069</v>
      </c>
      <c r="Z2368" s="17" t="s">
        <v>191</v>
      </c>
      <c r="AA2368" s="17" t="s">
        <v>46</v>
      </c>
      <c r="AB2368" s="17" t="s">
        <v>943</v>
      </c>
      <c r="AC2368" s="217">
        <v>45081</v>
      </c>
      <c r="AD2368" s="65">
        <v>1422</v>
      </c>
      <c r="AE2368" s="17" t="s">
        <v>951</v>
      </c>
      <c r="AF2368" s="17" t="s">
        <v>945</v>
      </c>
      <c r="AI2368" s="17">
        <v>3300</v>
      </c>
    </row>
    <row r="2369" s="17" customFormat="1" hidden="1" spans="1:35">
      <c r="A2369" s="17" t="s">
        <v>34</v>
      </c>
      <c r="B2369" s="19">
        <v>858</v>
      </c>
      <c r="C2369" s="222">
        <v>44573</v>
      </c>
      <c r="D2369" s="17" t="s">
        <v>35</v>
      </c>
      <c r="E2369" s="17" t="s">
        <v>482</v>
      </c>
      <c r="F2369" s="17" t="s">
        <v>72</v>
      </c>
      <c r="H2369" s="19">
        <v>1.2316</v>
      </c>
      <c r="I2369" s="19"/>
      <c r="J2369" s="17" t="s">
        <v>39</v>
      </c>
      <c r="K2369" s="19">
        <v>131</v>
      </c>
      <c r="L2369" s="91"/>
      <c r="M2369" s="19">
        <v>5800</v>
      </c>
      <c r="N2369" s="19" t="s">
        <v>66</v>
      </c>
      <c r="O2369" s="19" t="s">
        <v>84</v>
      </c>
      <c r="P2369" s="19">
        <v>2000</v>
      </c>
      <c r="Q2369" s="19">
        <v>1118</v>
      </c>
      <c r="R2369" s="19">
        <f t="shared" si="125"/>
        <v>882</v>
      </c>
      <c r="S2369" s="19">
        <f t="shared" si="124"/>
        <v>3175</v>
      </c>
      <c r="T2369" s="19" t="s">
        <v>42</v>
      </c>
      <c r="U2369" s="102" t="s">
        <v>941</v>
      </c>
      <c r="V2369" s="212" t="s">
        <v>942</v>
      </c>
      <c r="W2369" s="17" t="s">
        <v>44</v>
      </c>
      <c r="Y2369" s="68">
        <v>45069</v>
      </c>
      <c r="Z2369" s="17" t="s">
        <v>191</v>
      </c>
      <c r="AA2369" s="17" t="s">
        <v>46</v>
      </c>
      <c r="AB2369" s="17" t="s">
        <v>943</v>
      </c>
      <c r="AC2369" s="217">
        <v>45081</v>
      </c>
      <c r="AD2369" s="65">
        <v>1422</v>
      </c>
      <c r="AE2369" s="17" t="s">
        <v>951</v>
      </c>
      <c r="AF2369" s="17" t="s">
        <v>945</v>
      </c>
      <c r="AI2369" s="17">
        <v>3300</v>
      </c>
    </row>
    <row r="2370" s="17" customFormat="1" hidden="1" spans="1:35">
      <c r="A2370" s="17" t="s">
        <v>34</v>
      </c>
      <c r="B2370" s="19">
        <v>858</v>
      </c>
      <c r="C2370" s="222">
        <v>44573</v>
      </c>
      <c r="D2370" s="17" t="s">
        <v>35</v>
      </c>
      <c r="E2370" s="17" t="s">
        <v>482</v>
      </c>
      <c r="F2370" s="17" t="s">
        <v>72</v>
      </c>
      <c r="H2370" s="19">
        <v>1.2316</v>
      </c>
      <c r="I2370" s="19"/>
      <c r="J2370" s="17" t="s">
        <v>39</v>
      </c>
      <c r="K2370" s="19">
        <v>141</v>
      </c>
      <c r="L2370" s="91"/>
      <c r="M2370" s="19">
        <v>5800</v>
      </c>
      <c r="N2370" s="19" t="s">
        <v>66</v>
      </c>
      <c r="O2370" s="19" t="s">
        <v>84</v>
      </c>
      <c r="P2370" s="19">
        <v>2000</v>
      </c>
      <c r="Q2370" s="19">
        <f>1074+282</f>
        <v>1356</v>
      </c>
      <c r="R2370" s="19">
        <f t="shared" si="125"/>
        <v>644</v>
      </c>
      <c r="S2370" s="19">
        <f t="shared" si="124"/>
        <v>3175</v>
      </c>
      <c r="T2370" s="19" t="s">
        <v>42</v>
      </c>
      <c r="U2370" s="102" t="s">
        <v>941</v>
      </c>
      <c r="V2370" s="212" t="s">
        <v>942</v>
      </c>
      <c r="W2370" s="17" t="s">
        <v>44</v>
      </c>
      <c r="Y2370" s="68">
        <v>45069</v>
      </c>
      <c r="Z2370" s="17" t="s">
        <v>191</v>
      </c>
      <c r="AA2370" s="17" t="s">
        <v>46</v>
      </c>
      <c r="AB2370" s="17" t="s">
        <v>952</v>
      </c>
      <c r="AC2370" s="217">
        <v>45081</v>
      </c>
      <c r="AD2370" s="65">
        <v>1423</v>
      </c>
      <c r="AE2370" s="17" t="s">
        <v>951</v>
      </c>
      <c r="AF2370" s="17" t="s">
        <v>945</v>
      </c>
      <c r="AI2370" s="17">
        <v>3300</v>
      </c>
    </row>
    <row r="2371" s="17" customFormat="1" hidden="1" spans="1:35">
      <c r="A2371" s="17" t="s">
        <v>34</v>
      </c>
      <c r="B2371" s="19">
        <v>858</v>
      </c>
      <c r="C2371" s="222">
        <v>44573</v>
      </c>
      <c r="D2371" s="17" t="s">
        <v>35</v>
      </c>
      <c r="E2371" s="17" t="s">
        <v>482</v>
      </c>
      <c r="F2371" s="17" t="s">
        <v>72</v>
      </c>
      <c r="H2371" s="19">
        <v>1.2316</v>
      </c>
      <c r="I2371" s="19"/>
      <c r="J2371" s="17" t="s">
        <v>39</v>
      </c>
      <c r="K2371" s="19">
        <v>161</v>
      </c>
      <c r="L2371" s="91"/>
      <c r="M2371" s="19">
        <v>5800</v>
      </c>
      <c r="N2371" s="19" t="s">
        <v>66</v>
      </c>
      <c r="O2371" s="19" t="s">
        <v>84</v>
      </c>
      <c r="P2371" s="19">
        <v>2000</v>
      </c>
      <c r="Q2371" s="19">
        <f>762+840+528</f>
        <v>2130</v>
      </c>
      <c r="R2371" s="19">
        <f t="shared" si="125"/>
        <v>-130</v>
      </c>
      <c r="S2371" s="19">
        <f t="shared" si="124"/>
        <v>3175</v>
      </c>
      <c r="T2371" s="19" t="s">
        <v>42</v>
      </c>
      <c r="U2371" s="102" t="s">
        <v>941</v>
      </c>
      <c r="V2371" s="212" t="s">
        <v>942</v>
      </c>
      <c r="W2371" s="17" t="s">
        <v>44</v>
      </c>
      <c r="Y2371" s="68">
        <v>45069</v>
      </c>
      <c r="Z2371" s="17" t="s">
        <v>191</v>
      </c>
      <c r="AA2371" s="17" t="s">
        <v>46</v>
      </c>
      <c r="AB2371" s="17" t="s">
        <v>952</v>
      </c>
      <c r="AC2371" s="217">
        <v>45081</v>
      </c>
      <c r="AD2371" s="65">
        <v>1423</v>
      </c>
      <c r="AE2371" s="17" t="s">
        <v>951</v>
      </c>
      <c r="AF2371" s="17" t="s">
        <v>945</v>
      </c>
      <c r="AI2371" s="17">
        <v>3300</v>
      </c>
    </row>
    <row r="2372" s="17" customFormat="1" hidden="1" spans="1:35">
      <c r="A2372" s="17" t="s">
        <v>34</v>
      </c>
      <c r="B2372" s="19">
        <v>858</v>
      </c>
      <c r="C2372" s="222">
        <v>44573</v>
      </c>
      <c r="D2372" s="17" t="s">
        <v>35</v>
      </c>
      <c r="E2372" s="17" t="s">
        <v>482</v>
      </c>
      <c r="F2372" s="17" t="s">
        <v>72</v>
      </c>
      <c r="H2372" s="19">
        <v>1.2316</v>
      </c>
      <c r="I2372" s="19"/>
      <c r="J2372" s="17" t="s">
        <v>39</v>
      </c>
      <c r="K2372" s="19">
        <v>181</v>
      </c>
      <c r="L2372" s="91"/>
      <c r="M2372" s="19">
        <v>5800</v>
      </c>
      <c r="N2372" s="19" t="s">
        <v>66</v>
      </c>
      <c r="O2372" s="19" t="s">
        <v>84</v>
      </c>
      <c r="P2372" s="19">
        <v>2000</v>
      </c>
      <c r="Q2372" s="19">
        <f>1032+1034</f>
        <v>2066</v>
      </c>
      <c r="R2372" s="19">
        <f t="shared" si="125"/>
        <v>-66</v>
      </c>
      <c r="S2372" s="19">
        <f t="shared" si="124"/>
        <v>3175</v>
      </c>
      <c r="T2372" s="19" t="s">
        <v>42</v>
      </c>
      <c r="U2372" s="102" t="s">
        <v>941</v>
      </c>
      <c r="V2372" s="212" t="s">
        <v>942</v>
      </c>
      <c r="W2372" s="17" t="s">
        <v>44</v>
      </c>
      <c r="Y2372" s="68">
        <v>45069</v>
      </c>
      <c r="Z2372" s="17" t="s">
        <v>191</v>
      </c>
      <c r="AA2372" s="17" t="s">
        <v>46</v>
      </c>
      <c r="AB2372" s="17" t="s">
        <v>952</v>
      </c>
      <c r="AC2372" s="217">
        <v>45081</v>
      </c>
      <c r="AD2372" s="65">
        <v>1423</v>
      </c>
      <c r="AE2372" s="17" t="s">
        <v>951</v>
      </c>
      <c r="AF2372" s="17" t="s">
        <v>945</v>
      </c>
      <c r="AI2372" s="17">
        <v>3300</v>
      </c>
    </row>
    <row r="2373" s="17" customFormat="1" hidden="1" spans="1:35">
      <c r="A2373" s="17" t="s">
        <v>34</v>
      </c>
      <c r="B2373" s="19">
        <v>858</v>
      </c>
      <c r="C2373" s="222">
        <v>44573</v>
      </c>
      <c r="D2373" s="17" t="s">
        <v>35</v>
      </c>
      <c r="E2373" s="17" t="s">
        <v>482</v>
      </c>
      <c r="F2373" s="17" t="s">
        <v>72</v>
      </c>
      <c r="H2373" s="19">
        <v>1.2316</v>
      </c>
      <c r="I2373" s="19"/>
      <c r="J2373" s="17" t="s">
        <v>39</v>
      </c>
      <c r="K2373" s="19">
        <v>191</v>
      </c>
      <c r="L2373" s="91"/>
      <c r="M2373" s="19">
        <v>5800</v>
      </c>
      <c r="N2373" s="19" t="s">
        <v>66</v>
      </c>
      <c r="O2373" s="19" t="s">
        <v>84</v>
      </c>
      <c r="P2373" s="19">
        <v>2000</v>
      </c>
      <c r="Q2373" s="19">
        <f>1060+674</f>
        <v>1734</v>
      </c>
      <c r="R2373" s="19">
        <f t="shared" si="125"/>
        <v>266</v>
      </c>
      <c r="S2373" s="19">
        <f t="shared" si="124"/>
        <v>3175</v>
      </c>
      <c r="T2373" s="19" t="s">
        <v>42</v>
      </c>
      <c r="U2373" s="102" t="s">
        <v>941</v>
      </c>
      <c r="V2373" s="212" t="s">
        <v>942</v>
      </c>
      <c r="W2373" s="17" t="s">
        <v>44</v>
      </c>
      <c r="Y2373" s="68">
        <v>45069</v>
      </c>
      <c r="Z2373" s="17" t="s">
        <v>191</v>
      </c>
      <c r="AA2373" s="17" t="s">
        <v>46</v>
      </c>
      <c r="AB2373" s="17" t="s">
        <v>952</v>
      </c>
      <c r="AC2373" s="217">
        <v>45081</v>
      </c>
      <c r="AD2373" s="65">
        <v>1423</v>
      </c>
      <c r="AE2373" s="17" t="s">
        <v>951</v>
      </c>
      <c r="AF2373" s="17" t="s">
        <v>945</v>
      </c>
      <c r="AI2373" s="17">
        <v>3300</v>
      </c>
    </row>
    <row r="2374" s="17" customFormat="1" hidden="1" spans="1:35">
      <c r="A2374" s="17" t="s">
        <v>34</v>
      </c>
      <c r="B2374" s="19">
        <v>858</v>
      </c>
      <c r="C2374" s="222">
        <v>44573</v>
      </c>
      <c r="D2374" s="17" t="s">
        <v>35</v>
      </c>
      <c r="E2374" s="17" t="s">
        <v>482</v>
      </c>
      <c r="F2374" s="17" t="s">
        <v>72</v>
      </c>
      <c r="H2374" s="19">
        <v>1.2316</v>
      </c>
      <c r="I2374" s="19"/>
      <c r="J2374" s="17" t="s">
        <v>39</v>
      </c>
      <c r="K2374" s="19">
        <v>212</v>
      </c>
      <c r="L2374" s="91"/>
      <c r="M2374" s="19">
        <v>5800</v>
      </c>
      <c r="N2374" s="19" t="s">
        <v>66</v>
      </c>
      <c r="O2374" s="19" t="s">
        <v>84</v>
      </c>
      <c r="P2374" s="19">
        <v>2000</v>
      </c>
      <c r="Q2374" s="19">
        <f>1052+1092</f>
        <v>2144</v>
      </c>
      <c r="R2374" s="19">
        <f t="shared" si="125"/>
        <v>-144</v>
      </c>
      <c r="S2374" s="19">
        <f t="shared" si="124"/>
        <v>3175</v>
      </c>
      <c r="T2374" s="19" t="s">
        <v>42</v>
      </c>
      <c r="U2374" s="102" t="s">
        <v>941</v>
      </c>
      <c r="V2374" s="212" t="s">
        <v>942</v>
      </c>
      <c r="W2374" s="17" t="s">
        <v>44</v>
      </c>
      <c r="Y2374" s="68">
        <v>45069</v>
      </c>
      <c r="Z2374" s="17" t="s">
        <v>191</v>
      </c>
      <c r="AA2374" s="17" t="s">
        <v>46</v>
      </c>
      <c r="AB2374" s="17" t="s">
        <v>952</v>
      </c>
      <c r="AC2374" s="217">
        <v>45081</v>
      </c>
      <c r="AD2374" s="65">
        <v>1423</v>
      </c>
      <c r="AE2374" s="17" t="s">
        <v>74</v>
      </c>
      <c r="AF2374" s="17" t="s">
        <v>945</v>
      </c>
      <c r="AI2374" s="17">
        <v>3300</v>
      </c>
    </row>
    <row r="2375" s="17" customFormat="1" hidden="1" spans="1:35">
      <c r="A2375" s="17" t="s">
        <v>34</v>
      </c>
      <c r="B2375" s="19">
        <v>858</v>
      </c>
      <c r="C2375" s="222">
        <v>44573</v>
      </c>
      <c r="D2375" s="17" t="s">
        <v>35</v>
      </c>
      <c r="E2375" s="17" t="s">
        <v>482</v>
      </c>
      <c r="F2375" s="17" t="s">
        <v>72</v>
      </c>
      <c r="H2375" s="19">
        <v>1.2316</v>
      </c>
      <c r="I2375" s="19"/>
      <c r="J2375" s="17" t="s">
        <v>39</v>
      </c>
      <c r="K2375" s="19">
        <v>255</v>
      </c>
      <c r="L2375" s="91"/>
      <c r="M2375" s="19">
        <v>5800</v>
      </c>
      <c r="N2375" s="19" t="s">
        <v>66</v>
      </c>
      <c r="O2375" s="19" t="s">
        <v>84</v>
      </c>
      <c r="P2375" s="19">
        <v>3500</v>
      </c>
      <c r="Q2375" s="19">
        <f>1862+1858</f>
        <v>3720</v>
      </c>
      <c r="R2375" s="19">
        <f t="shared" si="125"/>
        <v>-220</v>
      </c>
      <c r="S2375" s="19">
        <v>3175</v>
      </c>
      <c r="T2375" s="19" t="s">
        <v>42</v>
      </c>
      <c r="U2375" s="102" t="s">
        <v>941</v>
      </c>
      <c r="V2375" s="212" t="s">
        <v>942</v>
      </c>
      <c r="W2375" s="17" t="s">
        <v>44</v>
      </c>
      <c r="Y2375" s="68">
        <v>45069</v>
      </c>
      <c r="Z2375" s="17" t="s">
        <v>191</v>
      </c>
      <c r="AA2375" s="17" t="s">
        <v>46</v>
      </c>
      <c r="AB2375" s="17" t="s">
        <v>952</v>
      </c>
      <c r="AC2375" s="217">
        <v>45081</v>
      </c>
      <c r="AD2375" s="65">
        <v>1423</v>
      </c>
      <c r="AE2375" s="17" t="s">
        <v>74</v>
      </c>
      <c r="AF2375" s="17" t="s">
        <v>945</v>
      </c>
      <c r="AI2375" s="17">
        <v>3300</v>
      </c>
    </row>
    <row r="2376" s="17" customFormat="1" hidden="1" spans="1:35">
      <c r="A2376" s="17" t="s">
        <v>34</v>
      </c>
      <c r="B2376" s="19">
        <v>859</v>
      </c>
      <c r="C2376" s="239">
        <v>44573</v>
      </c>
      <c r="D2376" s="17" t="s">
        <v>35</v>
      </c>
      <c r="E2376" s="17" t="s">
        <v>482</v>
      </c>
      <c r="F2376" s="17" t="s">
        <v>72</v>
      </c>
      <c r="H2376" s="19">
        <v>1.2083</v>
      </c>
      <c r="I2376" s="19"/>
      <c r="J2376" s="17" t="s">
        <v>39</v>
      </c>
      <c r="K2376" s="19">
        <v>20</v>
      </c>
      <c r="L2376" s="91"/>
      <c r="M2376" s="19">
        <v>5800</v>
      </c>
      <c r="N2376" s="19" t="s">
        <v>40</v>
      </c>
      <c r="O2376" s="19" t="s">
        <v>84</v>
      </c>
      <c r="P2376" s="19">
        <v>1200</v>
      </c>
      <c r="Q2376" s="19">
        <v>1234</v>
      </c>
      <c r="R2376" s="19">
        <f t="shared" si="125"/>
        <v>-34</v>
      </c>
      <c r="S2376" s="19">
        <v>2505</v>
      </c>
      <c r="T2376" s="19" t="s">
        <v>42</v>
      </c>
      <c r="U2376" s="102" t="s">
        <v>953</v>
      </c>
      <c r="V2376" s="212" t="s">
        <v>954</v>
      </c>
      <c r="W2376" s="17" t="s">
        <v>44</v>
      </c>
      <c r="Y2376" s="68">
        <v>45069</v>
      </c>
      <c r="Z2376" s="17" t="s">
        <v>191</v>
      </c>
      <c r="AA2376" s="17" t="s">
        <v>46</v>
      </c>
      <c r="AB2376" s="17" t="s">
        <v>952</v>
      </c>
      <c r="AC2376" s="217">
        <v>45081</v>
      </c>
      <c r="AD2376" s="65">
        <v>1423</v>
      </c>
      <c r="AE2376" s="17" t="s">
        <v>74</v>
      </c>
      <c r="AF2376" s="17" t="s">
        <v>955</v>
      </c>
      <c r="AI2376" s="17">
        <v>2630</v>
      </c>
    </row>
    <row r="2377" s="17" customFormat="1" hidden="1" spans="1:35">
      <c r="A2377" s="17" t="s">
        <v>34</v>
      </c>
      <c r="B2377" s="19">
        <v>859</v>
      </c>
      <c r="C2377" s="239">
        <v>44573</v>
      </c>
      <c r="D2377" s="17" t="s">
        <v>35</v>
      </c>
      <c r="E2377" s="17" t="s">
        <v>482</v>
      </c>
      <c r="F2377" s="17" t="s">
        <v>72</v>
      </c>
      <c r="H2377" s="19">
        <v>1.2083</v>
      </c>
      <c r="I2377" s="19"/>
      <c r="J2377" s="17" t="s">
        <v>39</v>
      </c>
      <c r="K2377" s="19">
        <v>26</v>
      </c>
      <c r="L2377" s="91"/>
      <c r="M2377" s="19">
        <v>5800</v>
      </c>
      <c r="N2377" s="19" t="s">
        <v>40</v>
      </c>
      <c r="O2377" s="19" t="s">
        <v>84</v>
      </c>
      <c r="P2377" s="19">
        <v>1200</v>
      </c>
      <c r="Q2377" s="19">
        <v>1302</v>
      </c>
      <c r="R2377" s="19">
        <f t="shared" si="125"/>
        <v>-102</v>
      </c>
      <c r="S2377" s="19">
        <v>2505</v>
      </c>
      <c r="T2377" s="19" t="s">
        <v>42</v>
      </c>
      <c r="U2377" s="102" t="s">
        <v>953</v>
      </c>
      <c r="V2377" s="212" t="s">
        <v>954</v>
      </c>
      <c r="W2377" s="17" t="s">
        <v>44</v>
      </c>
      <c r="Y2377" s="68">
        <v>45069</v>
      </c>
      <c r="Z2377" s="17" t="s">
        <v>191</v>
      </c>
      <c r="AA2377" s="17" t="s">
        <v>46</v>
      </c>
      <c r="AB2377" s="17" t="s">
        <v>952</v>
      </c>
      <c r="AC2377" s="217">
        <v>45081</v>
      </c>
      <c r="AD2377" s="65">
        <v>1423</v>
      </c>
      <c r="AE2377" s="17" t="s">
        <v>74</v>
      </c>
      <c r="AF2377" s="17" t="s">
        <v>955</v>
      </c>
      <c r="AI2377" s="17">
        <v>2630</v>
      </c>
    </row>
    <row r="2378" s="17" customFormat="1" hidden="1" spans="1:35">
      <c r="A2378" s="17" t="s">
        <v>34</v>
      </c>
      <c r="B2378" s="19">
        <v>859</v>
      </c>
      <c r="C2378" s="239">
        <v>44573</v>
      </c>
      <c r="D2378" s="17" t="s">
        <v>35</v>
      </c>
      <c r="E2378" s="17" t="s">
        <v>482</v>
      </c>
      <c r="F2378" s="17" t="s">
        <v>72</v>
      </c>
      <c r="H2378" s="19">
        <v>1.2083</v>
      </c>
      <c r="I2378" s="19"/>
      <c r="J2378" s="17" t="s">
        <v>39</v>
      </c>
      <c r="K2378" s="19">
        <v>32</v>
      </c>
      <c r="L2378" s="91"/>
      <c r="M2378" s="19">
        <v>5800</v>
      </c>
      <c r="N2378" s="19" t="s">
        <v>40</v>
      </c>
      <c r="O2378" s="19" t="s">
        <v>84</v>
      </c>
      <c r="P2378" s="19">
        <v>1200</v>
      </c>
      <c r="Q2378" s="19">
        <v>1256</v>
      </c>
      <c r="R2378" s="19">
        <f t="shared" si="125"/>
        <v>-56</v>
      </c>
      <c r="S2378" s="19">
        <v>2355</v>
      </c>
      <c r="T2378" s="19" t="s">
        <v>42</v>
      </c>
      <c r="U2378" s="102" t="s">
        <v>953</v>
      </c>
      <c r="V2378" s="212" t="s">
        <v>954</v>
      </c>
      <c r="W2378" s="17" t="s">
        <v>44</v>
      </c>
      <c r="Y2378" s="68">
        <v>45069</v>
      </c>
      <c r="Z2378" s="17" t="s">
        <v>191</v>
      </c>
      <c r="AA2378" s="17" t="s">
        <v>46</v>
      </c>
      <c r="AB2378" s="17" t="s">
        <v>952</v>
      </c>
      <c r="AC2378" s="217">
        <v>45081</v>
      </c>
      <c r="AD2378" s="65">
        <v>1423</v>
      </c>
      <c r="AE2378" s="17" t="s">
        <v>74</v>
      </c>
      <c r="AF2378" s="17" t="s">
        <v>956</v>
      </c>
      <c r="AI2378" s="17">
        <v>2480</v>
      </c>
    </row>
    <row r="2379" s="17" customFormat="1" hidden="1" spans="1:35">
      <c r="A2379" s="17" t="s">
        <v>34</v>
      </c>
      <c r="B2379" s="19">
        <v>859</v>
      </c>
      <c r="C2379" s="239">
        <v>44573</v>
      </c>
      <c r="D2379" s="17" t="s">
        <v>35</v>
      </c>
      <c r="E2379" s="17" t="s">
        <v>482</v>
      </c>
      <c r="F2379" s="17" t="s">
        <v>72</v>
      </c>
      <c r="H2379" s="19">
        <v>1.2083</v>
      </c>
      <c r="I2379" s="19"/>
      <c r="J2379" s="17" t="s">
        <v>39</v>
      </c>
      <c r="K2379" s="19">
        <v>36</v>
      </c>
      <c r="L2379" s="91"/>
      <c r="M2379" s="19">
        <v>5800</v>
      </c>
      <c r="N2379" s="19" t="s">
        <v>40</v>
      </c>
      <c r="O2379" s="19" t="s">
        <v>84</v>
      </c>
      <c r="P2379" s="19">
        <v>1200</v>
      </c>
      <c r="Q2379" s="19">
        <v>1394</v>
      </c>
      <c r="R2379" s="19">
        <f t="shared" si="125"/>
        <v>-194</v>
      </c>
      <c r="S2379" s="19">
        <v>2355</v>
      </c>
      <c r="T2379" s="19" t="s">
        <v>42</v>
      </c>
      <c r="U2379" s="102" t="s">
        <v>953</v>
      </c>
      <c r="V2379" s="212" t="s">
        <v>954</v>
      </c>
      <c r="W2379" s="17" t="s">
        <v>44</v>
      </c>
      <c r="Y2379" s="68">
        <v>45069</v>
      </c>
      <c r="Z2379" s="17" t="s">
        <v>191</v>
      </c>
      <c r="AA2379" s="17" t="s">
        <v>46</v>
      </c>
      <c r="AB2379" s="17" t="s">
        <v>952</v>
      </c>
      <c r="AC2379" s="217">
        <v>45081</v>
      </c>
      <c r="AD2379" s="65">
        <v>1423</v>
      </c>
      <c r="AE2379" s="17" t="s">
        <v>74</v>
      </c>
      <c r="AF2379" s="17" t="s">
        <v>956</v>
      </c>
      <c r="AI2379" s="17">
        <v>2480</v>
      </c>
    </row>
    <row r="2380" s="17" customFormat="1" hidden="1" spans="1:35">
      <c r="A2380" s="17" t="s">
        <v>34</v>
      </c>
      <c r="B2380" s="19">
        <v>859</v>
      </c>
      <c r="C2380" s="239">
        <v>44573</v>
      </c>
      <c r="D2380" s="17" t="s">
        <v>35</v>
      </c>
      <c r="E2380" s="17" t="s">
        <v>482</v>
      </c>
      <c r="F2380" s="17" t="s">
        <v>72</v>
      </c>
      <c r="H2380" s="19">
        <v>1.2083</v>
      </c>
      <c r="I2380" s="19"/>
      <c r="J2380" s="17" t="s">
        <v>39</v>
      </c>
      <c r="K2380" s="19">
        <v>41</v>
      </c>
      <c r="L2380" s="91"/>
      <c r="M2380" s="19">
        <v>5800</v>
      </c>
      <c r="N2380" s="19" t="s">
        <v>40</v>
      </c>
      <c r="O2380" s="19" t="s">
        <v>84</v>
      </c>
      <c r="P2380" s="19">
        <v>1200</v>
      </c>
      <c r="Q2380" s="19">
        <v>1276</v>
      </c>
      <c r="R2380" s="19">
        <f t="shared" si="125"/>
        <v>-76</v>
      </c>
      <c r="S2380" s="19">
        <v>2355</v>
      </c>
      <c r="T2380" s="19" t="s">
        <v>42</v>
      </c>
      <c r="U2380" s="102" t="s">
        <v>953</v>
      </c>
      <c r="V2380" s="212" t="s">
        <v>954</v>
      </c>
      <c r="W2380" s="17" t="s">
        <v>44</v>
      </c>
      <c r="Y2380" s="68">
        <v>45069</v>
      </c>
      <c r="Z2380" s="17" t="s">
        <v>191</v>
      </c>
      <c r="AA2380" s="17" t="s">
        <v>46</v>
      </c>
      <c r="AB2380" s="17" t="s">
        <v>952</v>
      </c>
      <c r="AC2380" s="217">
        <v>45081</v>
      </c>
      <c r="AD2380" s="65">
        <v>1423</v>
      </c>
      <c r="AE2380" s="17" t="s">
        <v>74</v>
      </c>
      <c r="AF2380" s="17" t="s">
        <v>956</v>
      </c>
      <c r="AI2380" s="17">
        <v>2480</v>
      </c>
    </row>
    <row r="2381" s="17" customFormat="1" hidden="1" spans="1:35">
      <c r="A2381" s="17" t="s">
        <v>34</v>
      </c>
      <c r="B2381" s="19">
        <v>859</v>
      </c>
      <c r="C2381" s="239">
        <v>44573</v>
      </c>
      <c r="D2381" s="17" t="s">
        <v>35</v>
      </c>
      <c r="E2381" s="17" t="s">
        <v>482</v>
      </c>
      <c r="F2381" s="17" t="s">
        <v>72</v>
      </c>
      <c r="H2381" s="19">
        <v>1.2083</v>
      </c>
      <c r="I2381" s="19"/>
      <c r="J2381" s="17" t="s">
        <v>39</v>
      </c>
      <c r="K2381" s="19">
        <v>46</v>
      </c>
      <c r="L2381" s="91"/>
      <c r="M2381" s="19">
        <v>5800</v>
      </c>
      <c r="N2381" s="19" t="s">
        <v>40</v>
      </c>
      <c r="O2381" s="19" t="s">
        <v>84</v>
      </c>
      <c r="P2381" s="19">
        <v>1200</v>
      </c>
      <c r="Q2381" s="19">
        <v>1342</v>
      </c>
      <c r="R2381" s="19">
        <f t="shared" si="125"/>
        <v>-142</v>
      </c>
      <c r="S2381" s="19">
        <v>2355</v>
      </c>
      <c r="T2381" s="19" t="s">
        <v>42</v>
      </c>
      <c r="U2381" s="102" t="s">
        <v>953</v>
      </c>
      <c r="V2381" s="212" t="s">
        <v>954</v>
      </c>
      <c r="W2381" s="17" t="s">
        <v>44</v>
      </c>
      <c r="Y2381" s="68">
        <v>45069</v>
      </c>
      <c r="Z2381" s="17" t="s">
        <v>191</v>
      </c>
      <c r="AA2381" s="17" t="s">
        <v>46</v>
      </c>
      <c r="AB2381" s="17" t="s">
        <v>733</v>
      </c>
      <c r="AC2381" s="217">
        <v>45081</v>
      </c>
      <c r="AD2381" s="65">
        <v>1421</v>
      </c>
      <c r="AE2381" s="17" t="s">
        <v>74</v>
      </c>
      <c r="AF2381" s="17" t="s">
        <v>956</v>
      </c>
      <c r="AI2381" s="17">
        <v>2480</v>
      </c>
    </row>
    <row r="2382" s="17" customFormat="1" hidden="1" spans="1:35">
      <c r="A2382" s="17" t="s">
        <v>34</v>
      </c>
      <c r="B2382" s="19">
        <v>859</v>
      </c>
      <c r="C2382" s="239">
        <v>44573</v>
      </c>
      <c r="D2382" s="17" t="s">
        <v>35</v>
      </c>
      <c r="E2382" s="17" t="s">
        <v>482</v>
      </c>
      <c r="F2382" s="17" t="s">
        <v>72</v>
      </c>
      <c r="H2382" s="19">
        <v>1.2083</v>
      </c>
      <c r="I2382" s="19"/>
      <c r="J2382" s="17" t="s">
        <v>39</v>
      </c>
      <c r="K2382" s="19">
        <v>51</v>
      </c>
      <c r="L2382" s="91"/>
      <c r="M2382" s="19">
        <v>5800</v>
      </c>
      <c r="N2382" s="19" t="s">
        <v>40</v>
      </c>
      <c r="O2382" s="19" t="s">
        <v>84</v>
      </c>
      <c r="P2382" s="19">
        <v>1200</v>
      </c>
      <c r="Q2382" s="19">
        <v>972</v>
      </c>
      <c r="R2382" s="19">
        <f t="shared" si="125"/>
        <v>228</v>
      </c>
      <c r="S2382" s="19">
        <v>2355</v>
      </c>
      <c r="T2382" s="19" t="s">
        <v>42</v>
      </c>
      <c r="U2382" s="102" t="s">
        <v>953</v>
      </c>
      <c r="V2382" s="212" t="s">
        <v>954</v>
      </c>
      <c r="W2382" s="17" t="s">
        <v>44</v>
      </c>
      <c r="Y2382" s="68">
        <v>45069</v>
      </c>
      <c r="Z2382" s="17" t="s">
        <v>191</v>
      </c>
      <c r="AA2382" s="17" t="s">
        <v>46</v>
      </c>
      <c r="AB2382" s="17" t="s">
        <v>952</v>
      </c>
      <c r="AC2382" s="217">
        <v>45081</v>
      </c>
      <c r="AD2382" s="65">
        <v>1423</v>
      </c>
      <c r="AE2382" s="17" t="s">
        <v>74</v>
      </c>
      <c r="AF2382" s="17" t="s">
        <v>956</v>
      </c>
      <c r="AI2382" s="17">
        <v>2480</v>
      </c>
    </row>
    <row r="2383" s="17" customFormat="1" hidden="1" spans="1:35">
      <c r="A2383" s="17" t="s">
        <v>34</v>
      </c>
      <c r="B2383" s="19">
        <v>859</v>
      </c>
      <c r="C2383" s="239">
        <v>44573</v>
      </c>
      <c r="D2383" s="17" t="s">
        <v>35</v>
      </c>
      <c r="E2383" s="17" t="s">
        <v>482</v>
      </c>
      <c r="F2383" s="17" t="s">
        <v>72</v>
      </c>
      <c r="H2383" s="19">
        <v>1.2083</v>
      </c>
      <c r="I2383" s="19"/>
      <c r="J2383" s="17" t="s">
        <v>39</v>
      </c>
      <c r="K2383" s="19">
        <v>56</v>
      </c>
      <c r="L2383" s="91"/>
      <c r="M2383" s="19">
        <v>5800</v>
      </c>
      <c r="N2383" s="19" t="s">
        <v>40</v>
      </c>
      <c r="O2383" s="19" t="s">
        <v>84</v>
      </c>
      <c r="P2383" s="19">
        <v>1200</v>
      </c>
      <c r="Q2383" s="19">
        <v>1440</v>
      </c>
      <c r="R2383" s="19">
        <f t="shared" si="125"/>
        <v>-240</v>
      </c>
      <c r="S2383" s="19">
        <v>2355</v>
      </c>
      <c r="T2383" s="19" t="s">
        <v>42</v>
      </c>
      <c r="U2383" s="102" t="s">
        <v>953</v>
      </c>
      <c r="V2383" s="212" t="s">
        <v>954</v>
      </c>
      <c r="W2383" s="17" t="s">
        <v>44</v>
      </c>
      <c r="Y2383" s="68">
        <v>45069</v>
      </c>
      <c r="Z2383" s="17" t="s">
        <v>191</v>
      </c>
      <c r="AA2383" s="17" t="s">
        <v>46</v>
      </c>
      <c r="AB2383" s="17" t="s">
        <v>733</v>
      </c>
      <c r="AC2383" s="217">
        <v>45081</v>
      </c>
      <c r="AD2383" s="65">
        <v>1421</v>
      </c>
      <c r="AE2383" s="17" t="s">
        <v>74</v>
      </c>
      <c r="AF2383" s="17" t="s">
        <v>956</v>
      </c>
      <c r="AI2383" s="17">
        <v>2480</v>
      </c>
    </row>
    <row r="2384" s="17" customFormat="1" hidden="1" spans="1:35">
      <c r="A2384" s="17" t="s">
        <v>34</v>
      </c>
      <c r="B2384" s="19">
        <v>859</v>
      </c>
      <c r="C2384" s="239">
        <v>44573</v>
      </c>
      <c r="D2384" s="17" t="s">
        <v>35</v>
      </c>
      <c r="E2384" s="17" t="s">
        <v>482</v>
      </c>
      <c r="F2384" s="17" t="s">
        <v>72</v>
      </c>
      <c r="H2384" s="19">
        <v>1.2083</v>
      </c>
      <c r="I2384" s="19"/>
      <c r="J2384" s="17" t="s">
        <v>39</v>
      </c>
      <c r="K2384" s="19">
        <v>61</v>
      </c>
      <c r="L2384" s="91"/>
      <c r="M2384" s="19">
        <v>5800</v>
      </c>
      <c r="N2384" s="19" t="s">
        <v>40</v>
      </c>
      <c r="O2384" s="19" t="s">
        <v>84</v>
      </c>
      <c r="P2384" s="19">
        <v>1200</v>
      </c>
      <c r="Q2384" s="19">
        <v>1308</v>
      </c>
      <c r="R2384" s="19">
        <f t="shared" si="125"/>
        <v>-108</v>
      </c>
      <c r="S2384" s="19">
        <v>2355</v>
      </c>
      <c r="T2384" s="19" t="s">
        <v>42</v>
      </c>
      <c r="U2384" s="102" t="s">
        <v>953</v>
      </c>
      <c r="V2384" s="212" t="s">
        <v>954</v>
      </c>
      <c r="W2384" s="17" t="s">
        <v>44</v>
      </c>
      <c r="Y2384" s="68">
        <v>45069</v>
      </c>
      <c r="Z2384" s="17" t="s">
        <v>191</v>
      </c>
      <c r="AA2384" s="17" t="s">
        <v>46</v>
      </c>
      <c r="AB2384" s="17" t="s">
        <v>733</v>
      </c>
      <c r="AC2384" s="217">
        <v>45081</v>
      </c>
      <c r="AD2384" s="65">
        <v>1421</v>
      </c>
      <c r="AE2384" s="17" t="s">
        <v>74</v>
      </c>
      <c r="AF2384" s="17" t="s">
        <v>956</v>
      </c>
      <c r="AI2384" s="17">
        <v>2480</v>
      </c>
    </row>
    <row r="2385" s="17" customFormat="1" hidden="1" spans="1:36">
      <c r="A2385" s="17" t="s">
        <v>34</v>
      </c>
      <c r="B2385" s="19">
        <v>859</v>
      </c>
      <c r="C2385" s="239">
        <v>44573</v>
      </c>
      <c r="D2385" s="17" t="s">
        <v>35</v>
      </c>
      <c r="E2385" s="17" t="s">
        <v>482</v>
      </c>
      <c r="F2385" s="17" t="s">
        <v>72</v>
      </c>
      <c r="H2385" s="19">
        <v>1.2083</v>
      </c>
      <c r="I2385" s="19"/>
      <c r="J2385" s="17" t="s">
        <v>39</v>
      </c>
      <c r="K2385" s="19">
        <v>66</v>
      </c>
      <c r="L2385" s="91"/>
      <c r="M2385" s="19">
        <v>5800</v>
      </c>
      <c r="N2385" s="19" t="s">
        <v>40</v>
      </c>
      <c r="O2385" s="19" t="s">
        <v>84</v>
      </c>
      <c r="P2385" s="19">
        <v>1200</v>
      </c>
      <c r="Q2385" s="19">
        <v>1520</v>
      </c>
      <c r="R2385" s="19">
        <f t="shared" si="125"/>
        <v>-320</v>
      </c>
      <c r="S2385" s="19">
        <v>2355</v>
      </c>
      <c r="T2385" s="19" t="s">
        <v>42</v>
      </c>
      <c r="U2385" s="102" t="s">
        <v>953</v>
      </c>
      <c r="V2385" s="212" t="s">
        <v>954</v>
      </c>
      <c r="W2385" s="17" t="s">
        <v>44</v>
      </c>
      <c r="Y2385" s="68">
        <v>45069</v>
      </c>
      <c r="Z2385" s="17" t="s">
        <v>191</v>
      </c>
      <c r="AA2385" s="17" t="s">
        <v>46</v>
      </c>
      <c r="AB2385" s="17" t="s">
        <v>733</v>
      </c>
      <c r="AC2385" s="217">
        <v>45081</v>
      </c>
      <c r="AD2385" s="65">
        <v>1421</v>
      </c>
      <c r="AE2385" s="17" t="s">
        <v>74</v>
      </c>
      <c r="AF2385" s="17" t="s">
        <v>956</v>
      </c>
      <c r="AI2385" s="17">
        <v>2480</v>
      </c>
    </row>
    <row r="2386" s="17" customFormat="1" hidden="1" spans="1:36">
      <c r="A2386" s="17" t="s">
        <v>34</v>
      </c>
      <c r="B2386" s="19">
        <v>859</v>
      </c>
      <c r="C2386" s="239">
        <v>44573</v>
      </c>
      <c r="D2386" s="17" t="s">
        <v>35</v>
      </c>
      <c r="E2386" s="17" t="s">
        <v>482</v>
      </c>
      <c r="F2386" s="17" t="s">
        <v>72</v>
      </c>
      <c r="H2386" s="19">
        <v>1.2083</v>
      </c>
      <c r="I2386" s="19"/>
      <c r="J2386" s="17" t="s">
        <v>39</v>
      </c>
      <c r="K2386" s="19">
        <v>71</v>
      </c>
      <c r="L2386" s="91"/>
      <c r="M2386" s="19">
        <v>5800</v>
      </c>
      <c r="N2386" s="19" t="s">
        <v>40</v>
      </c>
      <c r="O2386" s="19" t="s">
        <v>84</v>
      </c>
      <c r="P2386" s="19">
        <v>1200</v>
      </c>
      <c r="Q2386" s="19">
        <v>1416</v>
      </c>
      <c r="R2386" s="19">
        <f t="shared" si="125"/>
        <v>-216</v>
      </c>
      <c r="S2386" s="19">
        <v>2355</v>
      </c>
      <c r="T2386" s="19" t="s">
        <v>42</v>
      </c>
      <c r="U2386" s="102" t="s">
        <v>953</v>
      </c>
      <c r="V2386" s="212" t="s">
        <v>954</v>
      </c>
      <c r="W2386" s="17" t="s">
        <v>44</v>
      </c>
      <c r="Y2386" s="68">
        <v>45069</v>
      </c>
      <c r="Z2386" s="17" t="s">
        <v>191</v>
      </c>
      <c r="AA2386" s="17" t="s">
        <v>46</v>
      </c>
      <c r="AB2386" s="17" t="s">
        <v>733</v>
      </c>
      <c r="AC2386" s="217">
        <v>45081</v>
      </c>
      <c r="AD2386" s="65">
        <v>1421</v>
      </c>
      <c r="AE2386" s="17" t="s">
        <v>74</v>
      </c>
      <c r="AF2386" s="17" t="s">
        <v>956</v>
      </c>
      <c r="AI2386" s="17">
        <v>2480</v>
      </c>
    </row>
    <row r="2387" s="17" customFormat="1" hidden="1" spans="1:36">
      <c r="A2387" s="17" t="s">
        <v>34</v>
      </c>
      <c r="B2387" s="19">
        <v>859</v>
      </c>
      <c r="C2387" s="239">
        <v>44573</v>
      </c>
      <c r="D2387" s="17" t="s">
        <v>35</v>
      </c>
      <c r="E2387" s="17" t="s">
        <v>482</v>
      </c>
      <c r="F2387" s="17" t="s">
        <v>72</v>
      </c>
      <c r="H2387" s="19">
        <v>1.2083</v>
      </c>
      <c r="I2387" s="19"/>
      <c r="J2387" s="17" t="s">
        <v>39</v>
      </c>
      <c r="K2387" s="19">
        <v>76</v>
      </c>
      <c r="L2387" s="91"/>
      <c r="M2387" s="19">
        <v>5800</v>
      </c>
      <c r="N2387" s="19" t="s">
        <v>40</v>
      </c>
      <c r="O2387" s="19" t="s">
        <v>84</v>
      </c>
      <c r="P2387" s="19">
        <v>1200</v>
      </c>
      <c r="Q2387" s="19">
        <v>1374</v>
      </c>
      <c r="R2387" s="19">
        <f t="shared" ref="R2387:R2396" si="126">+P2387-Q2387</f>
        <v>-174</v>
      </c>
      <c r="S2387" s="19">
        <v>2355</v>
      </c>
      <c r="T2387" s="19" t="s">
        <v>42</v>
      </c>
      <c r="U2387" s="102" t="s">
        <v>953</v>
      </c>
      <c r="V2387" s="212" t="s">
        <v>954</v>
      </c>
      <c r="W2387" s="17" t="s">
        <v>44</v>
      </c>
      <c r="Y2387" s="68">
        <v>45069</v>
      </c>
      <c r="Z2387" s="17" t="s">
        <v>191</v>
      </c>
      <c r="AA2387" s="17" t="s">
        <v>46</v>
      </c>
      <c r="AB2387" s="17" t="s">
        <v>733</v>
      </c>
      <c r="AC2387" s="217">
        <v>45081</v>
      </c>
      <c r="AD2387" s="65">
        <v>1421</v>
      </c>
      <c r="AE2387" s="17" t="s">
        <v>74</v>
      </c>
      <c r="AF2387" s="17" t="s">
        <v>956</v>
      </c>
      <c r="AI2387" s="17">
        <v>2480</v>
      </c>
    </row>
    <row r="2388" s="17" customFormat="1" hidden="1" spans="1:36">
      <c r="A2388" s="17" t="s">
        <v>34</v>
      </c>
      <c r="B2388" s="19">
        <v>859</v>
      </c>
      <c r="C2388" s="239">
        <v>44573</v>
      </c>
      <c r="D2388" s="17" t="s">
        <v>35</v>
      </c>
      <c r="E2388" s="17" t="s">
        <v>482</v>
      </c>
      <c r="F2388" s="17" t="s">
        <v>72</v>
      </c>
      <c r="H2388" s="19">
        <v>1.2083</v>
      </c>
      <c r="I2388" s="19"/>
      <c r="J2388" s="17" t="s">
        <v>39</v>
      </c>
      <c r="K2388" s="19">
        <v>81</v>
      </c>
      <c r="L2388" s="91"/>
      <c r="M2388" s="19">
        <v>5800</v>
      </c>
      <c r="N2388" s="19" t="s">
        <v>40</v>
      </c>
      <c r="O2388" s="19" t="s">
        <v>84</v>
      </c>
      <c r="P2388" s="19">
        <v>1200</v>
      </c>
      <c r="Q2388" s="19">
        <v>1526</v>
      </c>
      <c r="R2388" s="19">
        <f t="shared" si="126"/>
        <v>-326</v>
      </c>
      <c r="S2388" s="19">
        <v>2355</v>
      </c>
      <c r="T2388" s="19" t="s">
        <v>42</v>
      </c>
      <c r="U2388" s="102" t="s">
        <v>953</v>
      </c>
      <c r="V2388" s="212" t="s">
        <v>954</v>
      </c>
      <c r="W2388" s="17" t="s">
        <v>44</v>
      </c>
      <c r="Y2388" s="68">
        <v>45069</v>
      </c>
      <c r="Z2388" s="17" t="s">
        <v>191</v>
      </c>
      <c r="AA2388" s="17" t="s">
        <v>46</v>
      </c>
      <c r="AB2388" s="17" t="s">
        <v>733</v>
      </c>
      <c r="AC2388" s="217">
        <v>45081</v>
      </c>
      <c r="AD2388" s="65">
        <v>1421</v>
      </c>
      <c r="AE2388" s="17" t="s">
        <v>74</v>
      </c>
      <c r="AF2388" s="17" t="s">
        <v>956</v>
      </c>
      <c r="AI2388" s="17">
        <v>2480</v>
      </c>
    </row>
    <row r="2389" s="17" customFormat="1" hidden="1" spans="1:36">
      <c r="A2389" s="17" t="s">
        <v>34</v>
      </c>
      <c r="B2389" s="19">
        <v>859</v>
      </c>
      <c r="C2389" s="239">
        <v>44573</v>
      </c>
      <c r="D2389" s="17" t="s">
        <v>35</v>
      </c>
      <c r="E2389" s="17" t="s">
        <v>482</v>
      </c>
      <c r="F2389" s="17" t="s">
        <v>72</v>
      </c>
      <c r="H2389" s="19">
        <v>1.2083</v>
      </c>
      <c r="I2389" s="19"/>
      <c r="J2389" s="17" t="s">
        <v>39</v>
      </c>
      <c r="K2389" s="19">
        <v>91</v>
      </c>
      <c r="L2389" s="91"/>
      <c r="M2389" s="19">
        <v>5800</v>
      </c>
      <c r="N2389" s="19" t="s">
        <v>40</v>
      </c>
      <c r="O2389" s="19" t="s">
        <v>84</v>
      </c>
      <c r="P2389" s="19">
        <v>1200</v>
      </c>
      <c r="Q2389" s="19">
        <v>1280</v>
      </c>
      <c r="R2389" s="19">
        <f t="shared" si="126"/>
        <v>-80</v>
      </c>
      <c r="S2389" s="19">
        <v>2300</v>
      </c>
      <c r="T2389" s="19" t="s">
        <v>42</v>
      </c>
      <c r="U2389" s="102" t="s">
        <v>953</v>
      </c>
      <c r="V2389" s="212" t="s">
        <v>954</v>
      </c>
      <c r="W2389" s="17" t="s">
        <v>44</v>
      </c>
      <c r="Y2389" s="68">
        <v>45069</v>
      </c>
      <c r="Z2389" s="17" t="s">
        <v>191</v>
      </c>
      <c r="AA2389" s="17" t="s">
        <v>46</v>
      </c>
      <c r="AB2389" s="17" t="s">
        <v>733</v>
      </c>
      <c r="AC2389" s="217">
        <v>45081</v>
      </c>
      <c r="AD2389" s="65">
        <v>1421</v>
      </c>
      <c r="AE2389" s="17" t="s">
        <v>74</v>
      </c>
      <c r="AF2389" s="17" t="s">
        <v>957</v>
      </c>
      <c r="AI2389" s="17">
        <v>2425</v>
      </c>
    </row>
    <row r="2390" s="17" customFormat="1" hidden="1" spans="1:36">
      <c r="A2390" s="17" t="s">
        <v>34</v>
      </c>
      <c r="B2390" s="19">
        <v>859</v>
      </c>
      <c r="C2390" s="239">
        <v>44573</v>
      </c>
      <c r="D2390" s="17" t="s">
        <v>35</v>
      </c>
      <c r="E2390" s="17" t="s">
        <v>482</v>
      </c>
      <c r="F2390" s="17" t="s">
        <v>72</v>
      </c>
      <c r="H2390" s="19">
        <v>1.2083</v>
      </c>
      <c r="I2390" s="19"/>
      <c r="J2390" s="17" t="s">
        <v>39</v>
      </c>
      <c r="K2390" s="19">
        <v>101</v>
      </c>
      <c r="L2390" s="91"/>
      <c r="M2390" s="19">
        <v>5800</v>
      </c>
      <c r="N2390" s="19" t="s">
        <v>40</v>
      </c>
      <c r="O2390" s="19" t="s">
        <v>84</v>
      </c>
      <c r="P2390" s="19">
        <v>1000</v>
      </c>
      <c r="Q2390" s="19">
        <v>1333</v>
      </c>
      <c r="R2390" s="19">
        <f t="shared" si="126"/>
        <v>-333</v>
      </c>
      <c r="S2390" s="19">
        <v>2300</v>
      </c>
      <c r="T2390" s="19" t="s">
        <v>42</v>
      </c>
      <c r="U2390" s="102" t="s">
        <v>953</v>
      </c>
      <c r="V2390" s="212" t="s">
        <v>954</v>
      </c>
      <c r="W2390" s="17" t="s">
        <v>44</v>
      </c>
      <c r="Y2390" s="68">
        <v>45069</v>
      </c>
      <c r="Z2390" s="17" t="s">
        <v>191</v>
      </c>
      <c r="AA2390" s="17" t="s">
        <v>46</v>
      </c>
      <c r="AB2390" s="17" t="s">
        <v>733</v>
      </c>
      <c r="AC2390" s="217">
        <v>45081</v>
      </c>
      <c r="AD2390" s="65">
        <v>1421</v>
      </c>
      <c r="AE2390" s="17" t="s">
        <v>74</v>
      </c>
      <c r="AF2390" s="17" t="s">
        <v>957</v>
      </c>
      <c r="AI2390" s="17">
        <v>2425</v>
      </c>
    </row>
    <row r="2391" s="17" customFormat="1" hidden="1" spans="1:36">
      <c r="A2391" s="17" t="s">
        <v>34</v>
      </c>
      <c r="B2391" s="19">
        <v>859</v>
      </c>
      <c r="C2391" s="239">
        <v>44573</v>
      </c>
      <c r="D2391" s="17" t="s">
        <v>35</v>
      </c>
      <c r="E2391" s="17" t="s">
        <v>482</v>
      </c>
      <c r="F2391" s="17" t="s">
        <v>72</v>
      </c>
      <c r="H2391" s="19">
        <v>1.2083</v>
      </c>
      <c r="I2391" s="19"/>
      <c r="J2391" s="17" t="s">
        <v>39</v>
      </c>
      <c r="K2391" s="19">
        <v>110</v>
      </c>
      <c r="L2391" s="91"/>
      <c r="M2391" s="19">
        <v>5800</v>
      </c>
      <c r="N2391" s="19" t="s">
        <v>40</v>
      </c>
      <c r="O2391" s="19" t="s">
        <v>84</v>
      </c>
      <c r="P2391" s="19">
        <v>1000</v>
      </c>
      <c r="Q2391" s="19">
        <v>1249</v>
      </c>
      <c r="R2391" s="19">
        <f t="shared" si="126"/>
        <v>-249</v>
      </c>
      <c r="S2391" s="19">
        <v>2300</v>
      </c>
      <c r="T2391" s="19" t="s">
        <v>42</v>
      </c>
      <c r="U2391" s="102" t="s">
        <v>953</v>
      </c>
      <c r="V2391" s="212" t="s">
        <v>954</v>
      </c>
      <c r="W2391" s="17" t="s">
        <v>44</v>
      </c>
      <c r="Y2391" s="68">
        <v>45069</v>
      </c>
      <c r="Z2391" s="17" t="s">
        <v>191</v>
      </c>
      <c r="AA2391" s="17" t="s">
        <v>46</v>
      </c>
      <c r="AB2391" s="17" t="s">
        <v>733</v>
      </c>
      <c r="AC2391" s="217">
        <v>45081</v>
      </c>
      <c r="AD2391" s="65">
        <v>1421</v>
      </c>
      <c r="AE2391" s="17" t="s">
        <v>74</v>
      </c>
      <c r="AF2391" s="17" t="s">
        <v>957</v>
      </c>
      <c r="AI2391" s="17">
        <v>2425</v>
      </c>
    </row>
    <row r="2392" s="17" customFormat="1" hidden="1" spans="1:36">
      <c r="A2392" s="17" t="s">
        <v>34</v>
      </c>
      <c r="B2392" s="19">
        <v>859</v>
      </c>
      <c r="C2392" s="239">
        <v>44573</v>
      </c>
      <c r="D2392" s="17" t="s">
        <v>35</v>
      </c>
      <c r="E2392" s="17" t="s">
        <v>482</v>
      </c>
      <c r="F2392" s="17" t="s">
        <v>72</v>
      </c>
      <c r="H2392" s="19">
        <v>1.2083</v>
      </c>
      <c r="I2392" s="19"/>
      <c r="J2392" s="17" t="s">
        <v>39</v>
      </c>
      <c r="K2392" s="19">
        <v>120</v>
      </c>
      <c r="L2392" s="91"/>
      <c r="M2392" s="19">
        <v>5800</v>
      </c>
      <c r="N2392" s="19" t="s">
        <v>40</v>
      </c>
      <c r="O2392" s="19" t="s">
        <v>84</v>
      </c>
      <c r="P2392" s="19">
        <v>1000</v>
      </c>
      <c r="Q2392" s="19">
        <v>1298</v>
      </c>
      <c r="R2392" s="19">
        <f t="shared" si="126"/>
        <v>-298</v>
      </c>
      <c r="S2392" s="19">
        <v>2300</v>
      </c>
      <c r="T2392" s="19" t="s">
        <v>42</v>
      </c>
      <c r="U2392" s="102" t="s">
        <v>953</v>
      </c>
      <c r="V2392" s="212" t="s">
        <v>954</v>
      </c>
      <c r="W2392" s="17" t="s">
        <v>44</v>
      </c>
      <c r="Y2392" s="68">
        <v>45069</v>
      </c>
      <c r="Z2392" s="17" t="s">
        <v>191</v>
      </c>
      <c r="AA2392" s="17" t="s">
        <v>46</v>
      </c>
      <c r="AB2392" s="17" t="s">
        <v>733</v>
      </c>
      <c r="AC2392" s="217">
        <v>45081</v>
      </c>
      <c r="AD2392" s="65">
        <v>1421</v>
      </c>
      <c r="AE2392" s="17" t="s">
        <v>74</v>
      </c>
      <c r="AF2392" s="17" t="s">
        <v>957</v>
      </c>
      <c r="AI2392" s="17">
        <v>2425</v>
      </c>
    </row>
    <row r="2393" s="18" customFormat="1" hidden="1" spans="1:36">
      <c r="B2393" s="75">
        <v>859</v>
      </c>
      <c r="C2393" s="240">
        <v>44573</v>
      </c>
      <c r="D2393" s="18" t="s">
        <v>35</v>
      </c>
      <c r="E2393" s="18" t="s">
        <v>71</v>
      </c>
      <c r="F2393" s="18" t="s">
        <v>72</v>
      </c>
      <c r="H2393" s="75">
        <v>1.2083</v>
      </c>
      <c r="I2393" s="75"/>
      <c r="J2393" s="18" t="s">
        <v>39</v>
      </c>
      <c r="K2393" s="75">
        <v>130</v>
      </c>
      <c r="L2393" s="111"/>
      <c r="M2393" s="75">
        <v>5800</v>
      </c>
      <c r="N2393" s="75" t="s">
        <v>40</v>
      </c>
      <c r="O2393" s="75" t="s">
        <v>84</v>
      </c>
      <c r="P2393" s="75">
        <v>1000</v>
      </c>
      <c r="Q2393" s="75"/>
      <c r="R2393" s="75">
        <f t="shared" si="126"/>
        <v>1000</v>
      </c>
      <c r="S2393" s="75">
        <v>2300</v>
      </c>
      <c r="T2393" s="75" t="s">
        <v>42</v>
      </c>
      <c r="U2393" s="137" t="s">
        <v>953</v>
      </c>
      <c r="V2393" s="241" t="s">
        <v>954</v>
      </c>
      <c r="W2393" s="18" t="s">
        <v>44</v>
      </c>
      <c r="Y2393" s="114">
        <v>45069</v>
      </c>
      <c r="Z2393" s="18" t="s">
        <v>191</v>
      </c>
      <c r="AA2393" s="18" t="s">
        <v>46</v>
      </c>
      <c r="AC2393" s="137"/>
      <c r="AD2393" s="77"/>
      <c r="AE2393" s="18" t="s">
        <v>74</v>
      </c>
      <c r="AI2393" s="18">
        <v>2425</v>
      </c>
      <c r="AJ2393" s="18" t="s">
        <v>958</v>
      </c>
    </row>
    <row r="2394" s="17" customFormat="1" hidden="1" spans="1:36">
      <c r="A2394" s="17" t="s">
        <v>34</v>
      </c>
      <c r="B2394" s="19">
        <v>860</v>
      </c>
      <c r="C2394" s="239">
        <v>44573</v>
      </c>
      <c r="D2394" s="17" t="s">
        <v>35</v>
      </c>
      <c r="E2394" s="17" t="s">
        <v>482</v>
      </c>
      <c r="F2394" s="17" t="s">
        <v>72</v>
      </c>
      <c r="H2394" s="19">
        <v>1.2379</v>
      </c>
      <c r="I2394" s="19"/>
      <c r="J2394" s="17" t="s">
        <v>39</v>
      </c>
      <c r="K2394" s="19">
        <v>32</v>
      </c>
      <c r="L2394" s="91"/>
      <c r="M2394" s="19">
        <v>5800</v>
      </c>
      <c r="N2394" s="19" t="s">
        <v>40</v>
      </c>
      <c r="O2394" s="19" t="s">
        <v>50</v>
      </c>
      <c r="P2394" s="19">
        <v>1000</v>
      </c>
      <c r="Q2394" s="19">
        <v>599</v>
      </c>
      <c r="R2394" s="19">
        <f t="shared" si="126"/>
        <v>401</v>
      </c>
      <c r="S2394" s="19">
        <v>2800</v>
      </c>
      <c r="T2394" s="19" t="s">
        <v>42</v>
      </c>
      <c r="U2394" s="102" t="s">
        <v>959</v>
      </c>
      <c r="V2394" s="212" t="s">
        <v>954</v>
      </c>
      <c r="W2394" s="17" t="s">
        <v>44</v>
      </c>
      <c r="Y2394" s="68">
        <v>45039</v>
      </c>
      <c r="Z2394" s="17" t="s">
        <v>191</v>
      </c>
      <c r="AA2394" s="17" t="s">
        <v>46</v>
      </c>
      <c r="AB2394" s="17" t="s">
        <v>735</v>
      </c>
      <c r="AC2394" s="217">
        <v>45141</v>
      </c>
      <c r="AD2394" s="65">
        <v>1399</v>
      </c>
      <c r="AE2394" s="17" t="s">
        <v>48</v>
      </c>
      <c r="AF2394" s="17" t="s">
        <v>960</v>
      </c>
      <c r="AI2394" s="17">
        <v>2925</v>
      </c>
    </row>
    <row r="2395" s="17" customFormat="1" hidden="1" spans="1:36">
      <c r="A2395" s="17" t="s">
        <v>34</v>
      </c>
      <c r="B2395" s="19">
        <v>860</v>
      </c>
      <c r="C2395" s="239">
        <v>44573</v>
      </c>
      <c r="D2395" s="17" t="s">
        <v>35</v>
      </c>
      <c r="E2395" s="17" t="s">
        <v>482</v>
      </c>
      <c r="F2395" s="17" t="s">
        <v>72</v>
      </c>
      <c r="H2395" s="19">
        <v>1.2379</v>
      </c>
      <c r="I2395" s="19"/>
      <c r="J2395" s="17" t="s">
        <v>39</v>
      </c>
      <c r="K2395" s="19">
        <v>33</v>
      </c>
      <c r="L2395" s="91"/>
      <c r="M2395" s="19">
        <v>5800</v>
      </c>
      <c r="N2395" s="19" t="s">
        <v>40</v>
      </c>
      <c r="O2395" s="19" t="s">
        <v>50</v>
      </c>
      <c r="P2395" s="19">
        <v>1000</v>
      </c>
      <c r="Q2395" s="19">
        <v>942</v>
      </c>
      <c r="R2395" s="19">
        <f t="shared" si="126"/>
        <v>58</v>
      </c>
      <c r="S2395" s="19">
        <v>2800</v>
      </c>
      <c r="T2395" s="19" t="s">
        <v>42</v>
      </c>
      <c r="U2395" s="102" t="s">
        <v>959</v>
      </c>
      <c r="V2395" s="212" t="s">
        <v>954</v>
      </c>
      <c r="W2395" s="17" t="s">
        <v>44</v>
      </c>
      <c r="Y2395" s="68">
        <v>45039</v>
      </c>
      <c r="Z2395" s="17" t="s">
        <v>191</v>
      </c>
      <c r="AA2395" s="17" t="s">
        <v>46</v>
      </c>
      <c r="AB2395" s="17" t="s">
        <v>650</v>
      </c>
      <c r="AC2395" s="217">
        <v>45141</v>
      </c>
      <c r="AD2395" s="65">
        <v>1398</v>
      </c>
      <c r="AE2395" s="17" t="s">
        <v>48</v>
      </c>
      <c r="AF2395" s="17" t="s">
        <v>960</v>
      </c>
      <c r="AI2395" s="17">
        <v>2925</v>
      </c>
    </row>
    <row r="2396" s="17" customFormat="1" hidden="1" spans="1:36">
      <c r="A2396" s="17" t="s">
        <v>34</v>
      </c>
      <c r="B2396" s="19">
        <v>860</v>
      </c>
      <c r="C2396" s="239">
        <v>44573</v>
      </c>
      <c r="D2396" s="17" t="s">
        <v>35</v>
      </c>
      <c r="E2396" s="17" t="s">
        <v>482</v>
      </c>
      <c r="F2396" s="17" t="s">
        <v>72</v>
      </c>
      <c r="H2396" s="19">
        <v>1.2379</v>
      </c>
      <c r="I2396" s="19"/>
      <c r="J2396" s="17" t="s">
        <v>39</v>
      </c>
      <c r="K2396" s="19">
        <v>36</v>
      </c>
      <c r="L2396" s="91"/>
      <c r="M2396" s="19">
        <v>5800</v>
      </c>
      <c r="N2396" s="19" t="s">
        <v>40</v>
      </c>
      <c r="O2396" s="19" t="s">
        <v>50</v>
      </c>
      <c r="P2396" s="19">
        <v>1000</v>
      </c>
      <c r="Q2396" s="19">
        <v>814</v>
      </c>
      <c r="R2396" s="19">
        <f t="shared" si="126"/>
        <v>186</v>
      </c>
      <c r="S2396" s="19">
        <v>2800</v>
      </c>
      <c r="T2396" s="19" t="s">
        <v>42</v>
      </c>
      <c r="U2396" s="102" t="s">
        <v>959</v>
      </c>
      <c r="V2396" s="212" t="s">
        <v>954</v>
      </c>
      <c r="W2396" s="17" t="s">
        <v>44</v>
      </c>
      <c r="Y2396" s="68">
        <v>45039</v>
      </c>
      <c r="Z2396" s="17" t="s">
        <v>191</v>
      </c>
      <c r="AA2396" s="17" t="s">
        <v>46</v>
      </c>
      <c r="AB2396" s="17" t="s">
        <v>735</v>
      </c>
      <c r="AC2396" s="217">
        <v>45141</v>
      </c>
      <c r="AD2396" s="65">
        <v>1399</v>
      </c>
      <c r="AE2396" s="17" t="s">
        <v>48</v>
      </c>
      <c r="AF2396" s="17" t="s">
        <v>960</v>
      </c>
      <c r="AI2396" s="17">
        <v>2925</v>
      </c>
    </row>
    <row r="2397" s="17" customFormat="1" hidden="1" spans="1:36">
      <c r="A2397" s="17" t="s">
        <v>34</v>
      </c>
      <c r="B2397" s="19">
        <v>860</v>
      </c>
      <c r="C2397" s="239">
        <v>44573</v>
      </c>
      <c r="D2397" s="17" t="s">
        <v>35</v>
      </c>
      <c r="E2397" s="17" t="s">
        <v>482</v>
      </c>
      <c r="F2397" s="17" t="s">
        <v>72</v>
      </c>
      <c r="H2397" s="19">
        <v>1.2379</v>
      </c>
      <c r="I2397" s="19"/>
      <c r="J2397" s="17" t="s">
        <v>39</v>
      </c>
      <c r="K2397" s="19">
        <v>40</v>
      </c>
      <c r="L2397" s="91"/>
      <c r="M2397" s="19">
        <v>5800</v>
      </c>
      <c r="N2397" s="19" t="s">
        <v>40</v>
      </c>
      <c r="O2397" s="19" t="s">
        <v>50</v>
      </c>
      <c r="P2397" s="19">
        <v>1500</v>
      </c>
      <c r="Q2397" s="19">
        <v>542</v>
      </c>
      <c r="S2397" s="19">
        <v>2800</v>
      </c>
      <c r="T2397" s="19" t="s">
        <v>42</v>
      </c>
      <c r="U2397" s="102" t="s">
        <v>959</v>
      </c>
      <c r="V2397" s="212" t="s">
        <v>954</v>
      </c>
      <c r="W2397" s="17" t="s">
        <v>44</v>
      </c>
      <c r="Y2397" s="68">
        <v>45039</v>
      </c>
      <c r="Z2397" s="17" t="s">
        <v>191</v>
      </c>
      <c r="AA2397" s="17" t="s">
        <v>46</v>
      </c>
      <c r="AB2397" s="17" t="s">
        <v>650</v>
      </c>
      <c r="AC2397" s="217">
        <v>45141</v>
      </c>
      <c r="AD2397" s="65">
        <v>1398</v>
      </c>
      <c r="AE2397" s="17" t="s">
        <v>48</v>
      </c>
      <c r="AF2397" s="17" t="s">
        <v>960</v>
      </c>
      <c r="AI2397" s="17">
        <v>2925</v>
      </c>
    </row>
    <row r="2398" s="17" customFormat="1" hidden="1" spans="1:36">
      <c r="A2398" s="17" t="s">
        <v>34</v>
      </c>
      <c r="B2398" s="19">
        <v>860</v>
      </c>
      <c r="C2398" s="239">
        <v>44573</v>
      </c>
      <c r="D2398" s="17" t="s">
        <v>35</v>
      </c>
      <c r="E2398" s="17" t="s">
        <v>482</v>
      </c>
      <c r="F2398" s="17" t="s">
        <v>72</v>
      </c>
      <c r="H2398" s="19">
        <v>1.2379</v>
      </c>
      <c r="I2398" s="19"/>
      <c r="J2398" s="17" t="s">
        <v>39</v>
      </c>
      <c r="K2398" s="19">
        <v>40</v>
      </c>
      <c r="L2398" s="91"/>
      <c r="M2398" s="19">
        <v>5800</v>
      </c>
      <c r="N2398" s="19" t="s">
        <v>40</v>
      </c>
      <c r="O2398" s="19" t="s">
        <v>50</v>
      </c>
      <c r="P2398" s="19"/>
      <c r="Q2398" s="19">
        <v>1137</v>
      </c>
      <c r="R2398" s="19">
        <f>+P2397-Q2397-Q2398</f>
        <v>-179</v>
      </c>
      <c r="S2398" s="19">
        <v>2800</v>
      </c>
      <c r="T2398" s="19" t="s">
        <v>42</v>
      </c>
      <c r="U2398" s="102" t="s">
        <v>959</v>
      </c>
      <c r="V2398" s="212" t="s">
        <v>954</v>
      </c>
      <c r="W2398" s="17" t="s">
        <v>44</v>
      </c>
      <c r="Y2398" s="68">
        <v>45039</v>
      </c>
      <c r="Z2398" s="17" t="s">
        <v>191</v>
      </c>
      <c r="AA2398" s="17" t="s">
        <v>46</v>
      </c>
      <c r="AB2398" s="17" t="s">
        <v>733</v>
      </c>
      <c r="AC2398" s="217">
        <v>45081</v>
      </c>
      <c r="AD2398" s="65">
        <v>1421</v>
      </c>
      <c r="AE2398" s="17" t="s">
        <v>48</v>
      </c>
      <c r="AF2398" s="17" t="s">
        <v>960</v>
      </c>
    </row>
    <row r="2399" s="17" customFormat="1" hidden="1" spans="1:36">
      <c r="A2399" s="17" t="s">
        <v>34</v>
      </c>
      <c r="B2399" s="19">
        <v>860</v>
      </c>
      <c r="C2399" s="239">
        <v>44573</v>
      </c>
      <c r="D2399" s="17" t="s">
        <v>35</v>
      </c>
      <c r="E2399" s="17" t="s">
        <v>482</v>
      </c>
      <c r="F2399" s="17" t="s">
        <v>72</v>
      </c>
      <c r="H2399" s="19">
        <v>1.2379</v>
      </c>
      <c r="I2399" s="19"/>
      <c r="J2399" s="17" t="s">
        <v>39</v>
      </c>
      <c r="K2399" s="19">
        <v>45</v>
      </c>
      <c r="L2399" s="91"/>
      <c r="M2399" s="19">
        <v>5800</v>
      </c>
      <c r="N2399" s="19" t="s">
        <v>40</v>
      </c>
      <c r="O2399" s="19" t="s">
        <v>50</v>
      </c>
      <c r="P2399" s="19">
        <v>1500</v>
      </c>
      <c r="Q2399" s="19">
        <v>818</v>
      </c>
      <c r="S2399" s="19">
        <v>2800</v>
      </c>
      <c r="T2399" s="19" t="s">
        <v>42</v>
      </c>
      <c r="U2399" s="102" t="s">
        <v>959</v>
      </c>
      <c r="V2399" s="212" t="s">
        <v>954</v>
      </c>
      <c r="W2399" s="17" t="s">
        <v>44</v>
      </c>
      <c r="Y2399" s="68">
        <v>45039</v>
      </c>
      <c r="Z2399" s="17" t="s">
        <v>191</v>
      </c>
      <c r="AA2399" s="17" t="s">
        <v>46</v>
      </c>
      <c r="AB2399" s="17" t="s">
        <v>735</v>
      </c>
      <c r="AC2399" s="217">
        <v>45141</v>
      </c>
      <c r="AD2399" s="65">
        <v>1399</v>
      </c>
      <c r="AE2399" s="17" t="s">
        <v>48</v>
      </c>
      <c r="AF2399" s="17" t="s">
        <v>960</v>
      </c>
      <c r="AI2399" s="17">
        <v>2925</v>
      </c>
    </row>
    <row r="2400" s="17" customFormat="1" hidden="1" spans="1:36">
      <c r="A2400" s="17" t="s">
        <v>34</v>
      </c>
      <c r="B2400" s="19">
        <v>860</v>
      </c>
      <c r="C2400" s="239">
        <v>44573</v>
      </c>
      <c r="D2400" s="17" t="s">
        <v>35</v>
      </c>
      <c r="E2400" s="17" t="s">
        <v>482</v>
      </c>
      <c r="F2400" s="17" t="s">
        <v>72</v>
      </c>
      <c r="H2400" s="19">
        <v>1.2379</v>
      </c>
      <c r="I2400" s="19"/>
      <c r="J2400" s="17" t="s">
        <v>39</v>
      </c>
      <c r="K2400" s="19">
        <v>45</v>
      </c>
      <c r="L2400" s="91"/>
      <c r="M2400" s="19">
        <v>5800</v>
      </c>
      <c r="N2400" s="19" t="s">
        <v>40</v>
      </c>
      <c r="O2400" s="19" t="s">
        <v>50</v>
      </c>
      <c r="P2400" s="19"/>
      <c r="Q2400" s="19">
        <v>759</v>
      </c>
      <c r="R2400" s="19">
        <f>+P2399-Q2399-Q2400</f>
        <v>-77</v>
      </c>
      <c r="S2400" s="19">
        <v>2800</v>
      </c>
      <c r="T2400" s="19" t="s">
        <v>42</v>
      </c>
      <c r="U2400" s="102" t="s">
        <v>959</v>
      </c>
      <c r="V2400" s="212" t="s">
        <v>954</v>
      </c>
      <c r="W2400" s="17" t="s">
        <v>44</v>
      </c>
      <c r="Y2400" s="68">
        <v>45039</v>
      </c>
      <c r="Z2400" s="17" t="s">
        <v>191</v>
      </c>
      <c r="AA2400" s="17" t="s">
        <v>46</v>
      </c>
      <c r="AB2400" s="17" t="s">
        <v>733</v>
      </c>
      <c r="AC2400" s="217">
        <v>45081</v>
      </c>
      <c r="AD2400" s="65">
        <v>1421</v>
      </c>
      <c r="AE2400" s="17" t="s">
        <v>48</v>
      </c>
      <c r="AF2400" s="17" t="s">
        <v>960</v>
      </c>
    </row>
    <row r="2401" s="17" customFormat="1" hidden="1" spans="1:35">
      <c r="A2401" s="17" t="s">
        <v>34</v>
      </c>
      <c r="B2401" s="19">
        <v>860</v>
      </c>
      <c r="C2401" s="239">
        <v>44573</v>
      </c>
      <c r="D2401" s="17" t="s">
        <v>35</v>
      </c>
      <c r="E2401" s="17" t="s">
        <v>482</v>
      </c>
      <c r="F2401" s="17" t="s">
        <v>72</v>
      </c>
      <c r="H2401" s="19">
        <v>1.2379</v>
      </c>
      <c r="I2401" s="19"/>
      <c r="J2401" s="17" t="s">
        <v>39</v>
      </c>
      <c r="K2401" s="19">
        <v>51</v>
      </c>
      <c r="L2401" s="91"/>
      <c r="M2401" s="19">
        <v>5800</v>
      </c>
      <c r="N2401" s="19" t="s">
        <v>40</v>
      </c>
      <c r="O2401" s="19" t="s">
        <v>50</v>
      </c>
      <c r="P2401" s="19">
        <v>1500</v>
      </c>
      <c r="Q2401" s="19">
        <v>1352</v>
      </c>
      <c r="R2401" s="19">
        <f t="shared" ref="R2401:R2432" si="127">+P2401-Q2401</f>
        <v>148</v>
      </c>
      <c r="S2401" s="19">
        <v>2650</v>
      </c>
      <c r="T2401" s="19" t="s">
        <v>42</v>
      </c>
      <c r="U2401" s="102" t="s">
        <v>959</v>
      </c>
      <c r="V2401" s="212" t="s">
        <v>954</v>
      </c>
      <c r="W2401" s="17" t="s">
        <v>44</v>
      </c>
      <c r="Y2401" s="68">
        <v>45039</v>
      </c>
      <c r="Z2401" s="17" t="s">
        <v>191</v>
      </c>
      <c r="AA2401" s="17" t="s">
        <v>46</v>
      </c>
      <c r="AB2401" s="17" t="s">
        <v>650</v>
      </c>
      <c r="AC2401" s="217">
        <v>45141</v>
      </c>
      <c r="AD2401" s="65">
        <v>1398</v>
      </c>
      <c r="AE2401" s="17" t="s">
        <v>48</v>
      </c>
      <c r="AF2401" s="17" t="s">
        <v>765</v>
      </c>
      <c r="AI2401" s="17">
        <v>2775</v>
      </c>
    </row>
    <row r="2402" s="17" customFormat="1" hidden="1" spans="1:35">
      <c r="A2402" s="17" t="s">
        <v>34</v>
      </c>
      <c r="B2402" s="19">
        <v>860</v>
      </c>
      <c r="C2402" s="239">
        <v>44573</v>
      </c>
      <c r="D2402" s="17" t="s">
        <v>35</v>
      </c>
      <c r="E2402" s="17" t="s">
        <v>482</v>
      </c>
      <c r="F2402" s="17" t="s">
        <v>72</v>
      </c>
      <c r="H2402" s="19">
        <v>1.2379</v>
      </c>
      <c r="I2402" s="19"/>
      <c r="J2402" s="17" t="s">
        <v>39</v>
      </c>
      <c r="K2402" s="19">
        <v>56</v>
      </c>
      <c r="L2402" s="91"/>
      <c r="M2402" s="19">
        <v>5800</v>
      </c>
      <c r="N2402" s="19" t="s">
        <v>40</v>
      </c>
      <c r="O2402" s="19" t="s">
        <v>50</v>
      </c>
      <c r="P2402" s="19">
        <v>1500</v>
      </c>
      <c r="Q2402" s="19">
        <v>1228</v>
      </c>
      <c r="R2402" s="19">
        <f t="shared" si="127"/>
        <v>272</v>
      </c>
      <c r="S2402" s="19">
        <v>2650</v>
      </c>
      <c r="T2402" s="19" t="s">
        <v>42</v>
      </c>
      <c r="U2402" s="102" t="s">
        <v>959</v>
      </c>
      <c r="V2402" s="212" t="s">
        <v>954</v>
      </c>
      <c r="W2402" s="17" t="s">
        <v>44</v>
      </c>
      <c r="Y2402" s="68">
        <v>45039</v>
      </c>
      <c r="Z2402" s="17" t="s">
        <v>191</v>
      </c>
      <c r="AA2402" s="17" t="s">
        <v>46</v>
      </c>
      <c r="AB2402" s="17" t="s">
        <v>946</v>
      </c>
      <c r="AC2402" s="102" t="s">
        <v>947</v>
      </c>
      <c r="AD2402" s="65">
        <v>1420</v>
      </c>
      <c r="AE2402" s="17" t="s">
        <v>48</v>
      </c>
      <c r="AF2402" s="17" t="s">
        <v>961</v>
      </c>
      <c r="AI2402" s="17">
        <v>2775</v>
      </c>
    </row>
    <row r="2403" s="17" customFormat="1" hidden="1" spans="1:35">
      <c r="A2403" s="17" t="s">
        <v>34</v>
      </c>
      <c r="B2403" s="19">
        <v>860</v>
      </c>
      <c r="C2403" s="239">
        <v>44573</v>
      </c>
      <c r="D2403" s="17" t="s">
        <v>35</v>
      </c>
      <c r="E2403" s="17" t="s">
        <v>482</v>
      </c>
      <c r="F2403" s="17" t="s">
        <v>72</v>
      </c>
      <c r="H2403" s="19">
        <v>1.2379</v>
      </c>
      <c r="I2403" s="19"/>
      <c r="J2403" s="17" t="s">
        <v>39</v>
      </c>
      <c r="K2403" s="19">
        <v>61</v>
      </c>
      <c r="L2403" s="91"/>
      <c r="M2403" s="19">
        <v>5800</v>
      </c>
      <c r="N2403" s="19" t="s">
        <v>40</v>
      </c>
      <c r="O2403" s="19" t="s">
        <v>50</v>
      </c>
      <c r="P2403" s="19">
        <v>1500</v>
      </c>
      <c r="Q2403" s="19">
        <v>1242</v>
      </c>
      <c r="R2403" s="19">
        <f t="shared" si="127"/>
        <v>258</v>
      </c>
      <c r="S2403" s="19">
        <v>2650</v>
      </c>
      <c r="T2403" s="19" t="s">
        <v>42</v>
      </c>
      <c r="U2403" s="102" t="s">
        <v>959</v>
      </c>
      <c r="V2403" s="212" t="s">
        <v>954</v>
      </c>
      <c r="W2403" s="17" t="s">
        <v>44</v>
      </c>
      <c r="Y2403" s="68">
        <v>45039</v>
      </c>
      <c r="Z2403" s="17" t="s">
        <v>191</v>
      </c>
      <c r="AA2403" s="17" t="s">
        <v>46</v>
      </c>
      <c r="AB2403" s="17" t="s">
        <v>946</v>
      </c>
      <c r="AC2403" s="102" t="s">
        <v>947</v>
      </c>
      <c r="AD2403" s="65">
        <v>1420</v>
      </c>
      <c r="AE2403" s="17" t="s">
        <v>48</v>
      </c>
      <c r="AF2403" s="17" t="s">
        <v>961</v>
      </c>
      <c r="AI2403" s="17">
        <v>2775</v>
      </c>
    </row>
    <row r="2404" s="17" customFormat="1" hidden="1" spans="1:35">
      <c r="A2404" s="17" t="s">
        <v>34</v>
      </c>
      <c r="B2404" s="19">
        <v>860</v>
      </c>
      <c r="C2404" s="239">
        <v>44573</v>
      </c>
      <c r="D2404" s="17" t="s">
        <v>35</v>
      </c>
      <c r="E2404" s="17" t="s">
        <v>482</v>
      </c>
      <c r="F2404" s="17" t="s">
        <v>72</v>
      </c>
      <c r="H2404" s="19">
        <v>1.2379</v>
      </c>
      <c r="I2404" s="19"/>
      <c r="J2404" s="17" t="s">
        <v>39</v>
      </c>
      <c r="K2404" s="19">
        <v>66</v>
      </c>
      <c r="L2404" s="91"/>
      <c r="M2404" s="19">
        <v>5800</v>
      </c>
      <c r="N2404" s="19" t="s">
        <v>40</v>
      </c>
      <c r="O2404" s="19" t="s">
        <v>50</v>
      </c>
      <c r="P2404" s="19">
        <v>1500</v>
      </c>
      <c r="Q2404" s="19">
        <v>854</v>
      </c>
      <c r="R2404" s="19">
        <f t="shared" si="127"/>
        <v>646</v>
      </c>
      <c r="S2404" s="19">
        <v>2650</v>
      </c>
      <c r="T2404" s="19" t="s">
        <v>42</v>
      </c>
      <c r="U2404" s="102" t="s">
        <v>959</v>
      </c>
      <c r="V2404" s="212" t="s">
        <v>954</v>
      </c>
      <c r="W2404" s="17" t="s">
        <v>44</v>
      </c>
      <c r="Y2404" s="68">
        <v>45039</v>
      </c>
      <c r="Z2404" s="17" t="s">
        <v>191</v>
      </c>
      <c r="AA2404" s="17" t="s">
        <v>46</v>
      </c>
      <c r="AB2404" s="17" t="s">
        <v>733</v>
      </c>
      <c r="AC2404" s="217">
        <v>45081</v>
      </c>
      <c r="AD2404" s="65">
        <v>1421</v>
      </c>
      <c r="AE2404" s="17" t="s">
        <v>48</v>
      </c>
      <c r="AF2404" s="17" t="s">
        <v>765</v>
      </c>
      <c r="AI2404" s="17">
        <v>2775</v>
      </c>
    </row>
    <row r="2405" s="17" customFormat="1" hidden="1" spans="1:35">
      <c r="A2405" s="17" t="s">
        <v>34</v>
      </c>
      <c r="B2405" s="19">
        <v>860</v>
      </c>
      <c r="C2405" s="239">
        <v>44573</v>
      </c>
      <c r="D2405" s="17" t="s">
        <v>35</v>
      </c>
      <c r="E2405" s="17" t="s">
        <v>482</v>
      </c>
      <c r="F2405" s="17" t="s">
        <v>72</v>
      </c>
      <c r="H2405" s="19">
        <v>1.2379</v>
      </c>
      <c r="I2405" s="19"/>
      <c r="J2405" s="17" t="s">
        <v>39</v>
      </c>
      <c r="K2405" s="19">
        <v>76</v>
      </c>
      <c r="L2405" s="91"/>
      <c r="M2405" s="19">
        <v>5800</v>
      </c>
      <c r="N2405" s="19" t="s">
        <v>40</v>
      </c>
      <c r="O2405" s="19" t="s">
        <v>50</v>
      </c>
      <c r="P2405" s="19">
        <v>1500</v>
      </c>
      <c r="Q2405" s="19">
        <v>1388</v>
      </c>
      <c r="R2405" s="19">
        <f t="shared" si="127"/>
        <v>112</v>
      </c>
      <c r="S2405" s="19">
        <v>2650</v>
      </c>
      <c r="T2405" s="19" t="s">
        <v>42</v>
      </c>
      <c r="U2405" s="102" t="s">
        <v>959</v>
      </c>
      <c r="V2405" s="212" t="s">
        <v>954</v>
      </c>
      <c r="W2405" s="17" t="s">
        <v>44</v>
      </c>
      <c r="Y2405" s="68">
        <v>45039</v>
      </c>
      <c r="Z2405" s="17" t="s">
        <v>191</v>
      </c>
      <c r="AA2405" s="17" t="s">
        <v>46</v>
      </c>
      <c r="AB2405" s="17" t="s">
        <v>650</v>
      </c>
      <c r="AC2405" s="217">
        <v>45141</v>
      </c>
      <c r="AD2405" s="65">
        <v>1398</v>
      </c>
      <c r="AE2405" s="17" t="s">
        <v>48</v>
      </c>
      <c r="AF2405" s="17" t="s">
        <v>765</v>
      </c>
      <c r="AI2405" s="17">
        <v>2775</v>
      </c>
    </row>
    <row r="2406" s="17" customFormat="1" hidden="1" spans="1:35">
      <c r="A2406" s="17" t="s">
        <v>34</v>
      </c>
      <c r="B2406" s="19">
        <v>860</v>
      </c>
      <c r="C2406" s="239">
        <v>44573</v>
      </c>
      <c r="D2406" s="17" t="s">
        <v>35</v>
      </c>
      <c r="E2406" s="17" t="s">
        <v>482</v>
      </c>
      <c r="F2406" s="17" t="s">
        <v>72</v>
      </c>
      <c r="H2406" s="19">
        <v>1.2379</v>
      </c>
      <c r="I2406" s="19"/>
      <c r="J2406" s="17" t="s">
        <v>39</v>
      </c>
      <c r="K2406" s="19">
        <v>81</v>
      </c>
      <c r="L2406" s="91"/>
      <c r="M2406" s="19">
        <v>5800</v>
      </c>
      <c r="N2406" s="19" t="s">
        <v>40</v>
      </c>
      <c r="O2406" s="19" t="s">
        <v>50</v>
      </c>
      <c r="P2406" s="19">
        <v>1500</v>
      </c>
      <c r="Q2406" s="19">
        <v>1390</v>
      </c>
      <c r="R2406" s="19">
        <f t="shared" si="127"/>
        <v>110</v>
      </c>
      <c r="S2406" s="19">
        <v>2650</v>
      </c>
      <c r="T2406" s="19" t="s">
        <v>42</v>
      </c>
      <c r="U2406" s="102" t="s">
        <v>959</v>
      </c>
      <c r="V2406" s="212" t="s">
        <v>954</v>
      </c>
      <c r="W2406" s="17" t="s">
        <v>44</v>
      </c>
      <c r="Y2406" s="68">
        <v>45039</v>
      </c>
      <c r="Z2406" s="17" t="s">
        <v>191</v>
      </c>
      <c r="AA2406" s="17" t="s">
        <v>46</v>
      </c>
      <c r="AB2406" s="17" t="s">
        <v>946</v>
      </c>
      <c r="AC2406" s="102" t="s">
        <v>947</v>
      </c>
      <c r="AD2406" s="65">
        <v>1420</v>
      </c>
      <c r="AE2406" s="17" t="s">
        <v>48</v>
      </c>
      <c r="AF2406" s="17" t="s">
        <v>961</v>
      </c>
      <c r="AI2406" s="17">
        <v>2775</v>
      </c>
    </row>
    <row r="2407" s="17" customFormat="1" hidden="1" spans="1:35">
      <c r="A2407" s="17" t="s">
        <v>34</v>
      </c>
      <c r="B2407" s="19">
        <v>860</v>
      </c>
      <c r="C2407" s="239">
        <v>44573</v>
      </c>
      <c r="D2407" s="17" t="s">
        <v>35</v>
      </c>
      <c r="E2407" s="17" t="s">
        <v>482</v>
      </c>
      <c r="F2407" s="17" t="s">
        <v>72</v>
      </c>
      <c r="H2407" s="19">
        <v>1.2379</v>
      </c>
      <c r="I2407" s="19"/>
      <c r="J2407" s="17" t="s">
        <v>39</v>
      </c>
      <c r="K2407" s="19">
        <v>91</v>
      </c>
      <c r="L2407" s="91"/>
      <c r="M2407" s="19">
        <v>5800</v>
      </c>
      <c r="N2407" s="19" t="s">
        <v>40</v>
      </c>
      <c r="O2407" s="19" t="s">
        <v>50</v>
      </c>
      <c r="P2407" s="19">
        <v>1500</v>
      </c>
      <c r="Q2407" s="19">
        <v>1446</v>
      </c>
      <c r="R2407" s="19">
        <f t="shared" si="127"/>
        <v>54</v>
      </c>
      <c r="S2407" s="19">
        <v>2500</v>
      </c>
      <c r="T2407" s="19" t="s">
        <v>42</v>
      </c>
      <c r="U2407" s="102" t="s">
        <v>959</v>
      </c>
      <c r="V2407" s="212" t="s">
        <v>954</v>
      </c>
      <c r="W2407" s="17" t="s">
        <v>44</v>
      </c>
      <c r="Y2407" s="68">
        <v>45039</v>
      </c>
      <c r="Z2407" s="17" t="s">
        <v>191</v>
      </c>
      <c r="AA2407" s="17" t="s">
        <v>46</v>
      </c>
      <c r="AB2407" s="17" t="s">
        <v>650</v>
      </c>
      <c r="AC2407" s="217">
        <v>45141</v>
      </c>
      <c r="AD2407" s="65">
        <v>1398</v>
      </c>
      <c r="AE2407" s="17" t="s">
        <v>48</v>
      </c>
      <c r="AF2407" s="17" t="s">
        <v>962</v>
      </c>
      <c r="AI2407" s="17">
        <v>2625</v>
      </c>
    </row>
    <row r="2408" s="17" customFormat="1" hidden="1" spans="1:35">
      <c r="A2408" s="17" t="s">
        <v>34</v>
      </c>
      <c r="B2408" s="19">
        <v>860</v>
      </c>
      <c r="C2408" s="239">
        <v>44573</v>
      </c>
      <c r="D2408" s="17" t="s">
        <v>35</v>
      </c>
      <c r="E2408" s="17" t="s">
        <v>482</v>
      </c>
      <c r="F2408" s="17" t="s">
        <v>72</v>
      </c>
      <c r="H2408" s="19">
        <v>1.2379</v>
      </c>
      <c r="I2408" s="19"/>
      <c r="J2408" s="17" t="s">
        <v>39</v>
      </c>
      <c r="K2408" s="19">
        <v>101</v>
      </c>
      <c r="L2408" s="91"/>
      <c r="M2408" s="19">
        <v>5800</v>
      </c>
      <c r="N2408" s="19" t="s">
        <v>40</v>
      </c>
      <c r="O2408" s="19" t="s">
        <v>50</v>
      </c>
      <c r="P2408" s="19">
        <v>1000</v>
      </c>
      <c r="Q2408" s="19">
        <v>1046</v>
      </c>
      <c r="R2408" s="19">
        <f t="shared" si="127"/>
        <v>-46</v>
      </c>
      <c r="S2408" s="19">
        <v>2500</v>
      </c>
      <c r="T2408" s="19" t="s">
        <v>42</v>
      </c>
      <c r="U2408" s="102" t="s">
        <v>959</v>
      </c>
      <c r="V2408" s="212" t="s">
        <v>954</v>
      </c>
      <c r="W2408" s="17" t="s">
        <v>44</v>
      </c>
      <c r="Y2408" s="68">
        <v>45039</v>
      </c>
      <c r="Z2408" s="17" t="s">
        <v>191</v>
      </c>
      <c r="AA2408" s="17" t="s">
        <v>46</v>
      </c>
      <c r="AB2408" s="17" t="s">
        <v>735</v>
      </c>
      <c r="AC2408" s="217">
        <v>45141</v>
      </c>
      <c r="AD2408" s="65">
        <v>1399</v>
      </c>
      <c r="AE2408" s="17" t="s">
        <v>48</v>
      </c>
      <c r="AF2408" s="17" t="s">
        <v>960</v>
      </c>
      <c r="AI2408" s="17">
        <v>2625</v>
      </c>
    </row>
    <row r="2409" s="17" customFormat="1" hidden="1" spans="1:35">
      <c r="A2409" s="17" t="s">
        <v>34</v>
      </c>
      <c r="B2409" s="19">
        <v>860</v>
      </c>
      <c r="C2409" s="239">
        <v>44573</v>
      </c>
      <c r="D2409" s="17" t="s">
        <v>35</v>
      </c>
      <c r="E2409" s="17" t="s">
        <v>482</v>
      </c>
      <c r="F2409" s="17" t="s">
        <v>72</v>
      </c>
      <c r="H2409" s="19">
        <v>1.2379</v>
      </c>
      <c r="I2409" s="19"/>
      <c r="J2409" s="17" t="s">
        <v>39</v>
      </c>
      <c r="K2409" s="19">
        <v>105</v>
      </c>
      <c r="L2409" s="91"/>
      <c r="M2409" s="19">
        <v>5800</v>
      </c>
      <c r="N2409" s="19" t="s">
        <v>40</v>
      </c>
      <c r="O2409" s="19" t="s">
        <v>50</v>
      </c>
      <c r="P2409" s="19">
        <v>1000</v>
      </c>
      <c r="Q2409" s="19">
        <v>1040</v>
      </c>
      <c r="R2409" s="19">
        <f t="shared" si="127"/>
        <v>-40</v>
      </c>
      <c r="S2409" s="19">
        <v>2500</v>
      </c>
      <c r="T2409" s="19" t="s">
        <v>42</v>
      </c>
      <c r="U2409" s="102" t="s">
        <v>959</v>
      </c>
      <c r="V2409" s="212" t="s">
        <v>954</v>
      </c>
      <c r="W2409" s="17" t="s">
        <v>44</v>
      </c>
      <c r="Y2409" s="68">
        <v>45039</v>
      </c>
      <c r="Z2409" s="17" t="s">
        <v>191</v>
      </c>
      <c r="AA2409" s="17" t="s">
        <v>46</v>
      </c>
      <c r="AB2409" s="17" t="s">
        <v>650</v>
      </c>
      <c r="AC2409" s="217">
        <v>45141</v>
      </c>
      <c r="AD2409" s="65">
        <v>1398</v>
      </c>
      <c r="AE2409" s="17" t="s">
        <v>48</v>
      </c>
      <c r="AF2409" s="17" t="s">
        <v>962</v>
      </c>
      <c r="AI2409" s="17">
        <v>2625</v>
      </c>
    </row>
    <row r="2410" s="17" customFormat="1" hidden="1" spans="1:35">
      <c r="A2410" s="17" t="s">
        <v>34</v>
      </c>
      <c r="B2410" s="19">
        <v>860</v>
      </c>
      <c r="C2410" s="239">
        <v>44573</v>
      </c>
      <c r="D2410" s="17" t="s">
        <v>35</v>
      </c>
      <c r="E2410" s="17" t="s">
        <v>482</v>
      </c>
      <c r="F2410" s="17" t="s">
        <v>72</v>
      </c>
      <c r="H2410" s="19">
        <v>1.2379</v>
      </c>
      <c r="I2410" s="19"/>
      <c r="J2410" s="17" t="s">
        <v>39</v>
      </c>
      <c r="K2410" s="19">
        <v>111</v>
      </c>
      <c r="L2410" s="91"/>
      <c r="M2410" s="19">
        <v>5800</v>
      </c>
      <c r="N2410" s="19" t="s">
        <v>40</v>
      </c>
      <c r="O2410" s="19" t="s">
        <v>50</v>
      </c>
      <c r="P2410" s="19">
        <v>1000</v>
      </c>
      <c r="Q2410" s="19">
        <v>1075</v>
      </c>
      <c r="R2410" s="19">
        <f t="shared" si="127"/>
        <v>-75</v>
      </c>
      <c r="S2410" s="19">
        <v>2500</v>
      </c>
      <c r="T2410" s="19" t="s">
        <v>42</v>
      </c>
      <c r="U2410" s="102" t="s">
        <v>959</v>
      </c>
      <c r="V2410" s="212" t="s">
        <v>954</v>
      </c>
      <c r="W2410" s="17" t="s">
        <v>44</v>
      </c>
      <c r="Y2410" s="68">
        <v>45039</v>
      </c>
      <c r="Z2410" s="17" t="s">
        <v>191</v>
      </c>
      <c r="AA2410" s="17" t="s">
        <v>46</v>
      </c>
      <c r="AB2410" s="17" t="s">
        <v>650</v>
      </c>
      <c r="AC2410" s="217">
        <v>45141</v>
      </c>
      <c r="AD2410" s="65">
        <v>1398</v>
      </c>
      <c r="AE2410" s="17" t="s">
        <v>48</v>
      </c>
      <c r="AF2410" s="17" t="s">
        <v>962</v>
      </c>
      <c r="AI2410" s="17">
        <v>2625</v>
      </c>
    </row>
    <row r="2411" s="17" customFormat="1" hidden="1" spans="1:35">
      <c r="A2411" s="17" t="s">
        <v>34</v>
      </c>
      <c r="B2411" s="19">
        <v>860</v>
      </c>
      <c r="C2411" s="239">
        <v>44573</v>
      </c>
      <c r="D2411" s="17" t="s">
        <v>35</v>
      </c>
      <c r="E2411" s="17" t="s">
        <v>482</v>
      </c>
      <c r="F2411" s="17" t="s">
        <v>72</v>
      </c>
      <c r="H2411" s="19">
        <v>1.2379</v>
      </c>
      <c r="I2411" s="19"/>
      <c r="J2411" s="17" t="s">
        <v>39</v>
      </c>
      <c r="K2411" s="19">
        <v>115</v>
      </c>
      <c r="L2411" s="91"/>
      <c r="M2411" s="19">
        <v>5800</v>
      </c>
      <c r="N2411" s="19" t="s">
        <v>40</v>
      </c>
      <c r="O2411" s="19" t="s">
        <v>50</v>
      </c>
      <c r="P2411" s="19">
        <v>1000</v>
      </c>
      <c r="Q2411" s="19">
        <v>1031</v>
      </c>
      <c r="R2411" s="19">
        <f t="shared" si="127"/>
        <v>-31</v>
      </c>
      <c r="S2411" s="19">
        <v>2500</v>
      </c>
      <c r="T2411" s="19" t="s">
        <v>42</v>
      </c>
      <c r="U2411" s="102" t="s">
        <v>959</v>
      </c>
      <c r="V2411" s="212" t="s">
        <v>954</v>
      </c>
      <c r="W2411" s="17" t="s">
        <v>44</v>
      </c>
      <c r="Y2411" s="68">
        <v>45039</v>
      </c>
      <c r="Z2411" s="17" t="s">
        <v>191</v>
      </c>
      <c r="AA2411" s="17" t="s">
        <v>46</v>
      </c>
      <c r="AB2411" s="17" t="s">
        <v>946</v>
      </c>
      <c r="AC2411" s="102" t="s">
        <v>947</v>
      </c>
      <c r="AD2411" s="65">
        <v>1420</v>
      </c>
      <c r="AE2411" s="17" t="s">
        <v>48</v>
      </c>
      <c r="AF2411" s="17" t="s">
        <v>963</v>
      </c>
      <c r="AI2411" s="17">
        <v>2625</v>
      </c>
    </row>
    <row r="2412" s="17" customFormat="1" hidden="1" spans="1:35">
      <c r="A2412" s="17" t="s">
        <v>34</v>
      </c>
      <c r="B2412" s="19">
        <v>860</v>
      </c>
      <c r="C2412" s="239">
        <v>44573</v>
      </c>
      <c r="D2412" s="17" t="s">
        <v>35</v>
      </c>
      <c r="E2412" s="17" t="s">
        <v>482</v>
      </c>
      <c r="F2412" s="17" t="s">
        <v>72</v>
      </c>
      <c r="H2412" s="19">
        <v>1.2379</v>
      </c>
      <c r="I2412" s="19"/>
      <c r="J2412" s="17" t="s">
        <v>39</v>
      </c>
      <c r="K2412" s="19">
        <v>121</v>
      </c>
      <c r="L2412" s="91"/>
      <c r="M2412" s="19">
        <v>5800</v>
      </c>
      <c r="N2412" s="19" t="s">
        <v>40</v>
      </c>
      <c r="O2412" s="19" t="s">
        <v>50</v>
      </c>
      <c r="P2412" s="19">
        <v>1000</v>
      </c>
      <c r="Q2412" s="19">
        <v>894</v>
      </c>
      <c r="R2412" s="19">
        <f t="shared" si="127"/>
        <v>106</v>
      </c>
      <c r="S2412" s="19">
        <v>2500</v>
      </c>
      <c r="T2412" s="19" t="s">
        <v>42</v>
      </c>
      <c r="U2412" s="102" t="s">
        <v>959</v>
      </c>
      <c r="V2412" s="212" t="s">
        <v>954</v>
      </c>
      <c r="W2412" s="17" t="s">
        <v>44</v>
      </c>
      <c r="Y2412" s="68">
        <v>45039</v>
      </c>
      <c r="Z2412" s="17" t="s">
        <v>191</v>
      </c>
      <c r="AA2412" s="17" t="s">
        <v>46</v>
      </c>
      <c r="AB2412" s="17" t="s">
        <v>650</v>
      </c>
      <c r="AC2412" s="217">
        <v>45141</v>
      </c>
      <c r="AD2412" s="65">
        <v>1398</v>
      </c>
      <c r="AE2412" s="17" t="s">
        <v>48</v>
      </c>
      <c r="AF2412" s="17" t="s">
        <v>962</v>
      </c>
      <c r="AI2412" s="17">
        <v>2625</v>
      </c>
    </row>
    <row r="2413" s="17" customFormat="1" hidden="1" spans="1:35">
      <c r="A2413" s="17" t="s">
        <v>34</v>
      </c>
      <c r="B2413" s="19">
        <v>860</v>
      </c>
      <c r="C2413" s="239">
        <v>44573</v>
      </c>
      <c r="D2413" s="17" t="s">
        <v>35</v>
      </c>
      <c r="E2413" s="17" t="s">
        <v>482</v>
      </c>
      <c r="F2413" s="17" t="s">
        <v>72</v>
      </c>
      <c r="H2413" s="19">
        <v>1.2379</v>
      </c>
      <c r="I2413" s="19"/>
      <c r="J2413" s="17" t="s">
        <v>39</v>
      </c>
      <c r="K2413" s="19">
        <v>131</v>
      </c>
      <c r="L2413" s="91"/>
      <c r="M2413" s="19">
        <v>5800</v>
      </c>
      <c r="N2413" s="19" t="s">
        <v>40</v>
      </c>
      <c r="O2413" s="19" t="s">
        <v>50</v>
      </c>
      <c r="P2413" s="19">
        <v>5000</v>
      </c>
      <c r="Q2413" s="19">
        <f>1782+1826+922</f>
        <v>4530</v>
      </c>
      <c r="R2413" s="19">
        <f t="shared" si="127"/>
        <v>470</v>
      </c>
      <c r="S2413" s="19">
        <v>2500</v>
      </c>
      <c r="T2413" s="19" t="s">
        <v>42</v>
      </c>
      <c r="U2413" s="102" t="s">
        <v>959</v>
      </c>
      <c r="V2413" s="212" t="s">
        <v>954</v>
      </c>
      <c r="W2413" s="17" t="s">
        <v>44</v>
      </c>
      <c r="Y2413" s="68">
        <v>45039</v>
      </c>
      <c r="Z2413" s="17" t="s">
        <v>191</v>
      </c>
      <c r="AA2413" s="17" t="s">
        <v>46</v>
      </c>
      <c r="AB2413" s="17" t="s">
        <v>946</v>
      </c>
      <c r="AC2413" s="102" t="s">
        <v>947</v>
      </c>
      <c r="AD2413" s="65">
        <v>1420</v>
      </c>
      <c r="AE2413" s="17" t="s">
        <v>48</v>
      </c>
      <c r="AF2413" s="17" t="s">
        <v>963</v>
      </c>
      <c r="AI2413" s="17">
        <v>2625</v>
      </c>
    </row>
    <row r="2414" s="17" customFormat="1" hidden="1" spans="1:35">
      <c r="A2414" s="17" t="s">
        <v>34</v>
      </c>
      <c r="B2414" s="19">
        <v>860</v>
      </c>
      <c r="C2414" s="239">
        <v>44573</v>
      </c>
      <c r="D2414" s="17" t="s">
        <v>35</v>
      </c>
      <c r="E2414" s="17" t="s">
        <v>482</v>
      </c>
      <c r="F2414" s="17" t="s">
        <v>72</v>
      </c>
      <c r="H2414" s="19">
        <v>1.2379</v>
      </c>
      <c r="I2414" s="19"/>
      <c r="J2414" s="17" t="s">
        <v>39</v>
      </c>
      <c r="K2414" s="19">
        <v>142</v>
      </c>
      <c r="L2414" s="91"/>
      <c r="M2414" s="19">
        <v>5800</v>
      </c>
      <c r="N2414" s="19" t="s">
        <v>40</v>
      </c>
      <c r="O2414" s="19" t="s">
        <v>50</v>
      </c>
      <c r="P2414" s="19">
        <v>2500</v>
      </c>
      <c r="Q2414" s="19">
        <f>1390+1362</f>
        <v>2752</v>
      </c>
      <c r="R2414" s="19">
        <f t="shared" si="127"/>
        <v>-252</v>
      </c>
      <c r="S2414" s="19">
        <v>2500</v>
      </c>
      <c r="T2414" s="19" t="s">
        <v>42</v>
      </c>
      <c r="U2414" s="102" t="s">
        <v>959</v>
      </c>
      <c r="V2414" s="212" t="s">
        <v>954</v>
      </c>
      <c r="W2414" s="17" t="s">
        <v>44</v>
      </c>
      <c r="Y2414" s="68">
        <v>45039</v>
      </c>
      <c r="Z2414" s="17" t="s">
        <v>191</v>
      </c>
      <c r="AA2414" s="17" t="s">
        <v>46</v>
      </c>
      <c r="AB2414" s="17" t="s">
        <v>946</v>
      </c>
      <c r="AC2414" s="102" t="s">
        <v>947</v>
      </c>
      <c r="AD2414" s="65">
        <v>1420</v>
      </c>
      <c r="AE2414" s="17" t="s">
        <v>48</v>
      </c>
      <c r="AF2414" s="17" t="s">
        <v>961</v>
      </c>
      <c r="AI2414" s="17">
        <v>2625</v>
      </c>
    </row>
    <row r="2415" s="17" customFormat="1" hidden="1" spans="1:35">
      <c r="A2415" s="17" t="s">
        <v>34</v>
      </c>
      <c r="B2415" s="19">
        <v>860</v>
      </c>
      <c r="C2415" s="239">
        <v>44573</v>
      </c>
      <c r="D2415" s="17" t="s">
        <v>35</v>
      </c>
      <c r="E2415" s="17" t="s">
        <v>482</v>
      </c>
      <c r="F2415" s="17" t="s">
        <v>72</v>
      </c>
      <c r="H2415" s="19">
        <v>1.2379</v>
      </c>
      <c r="I2415" s="19"/>
      <c r="J2415" s="17" t="s">
        <v>39</v>
      </c>
      <c r="K2415" s="19">
        <v>151</v>
      </c>
      <c r="L2415" s="91"/>
      <c r="M2415" s="19">
        <v>5800</v>
      </c>
      <c r="N2415" s="19" t="s">
        <v>40</v>
      </c>
      <c r="O2415" s="19" t="s">
        <v>50</v>
      </c>
      <c r="P2415" s="19">
        <v>1500</v>
      </c>
      <c r="Q2415" s="19">
        <v>1546</v>
      </c>
      <c r="R2415" s="19">
        <f t="shared" si="127"/>
        <v>-46</v>
      </c>
      <c r="S2415" s="19">
        <v>2500</v>
      </c>
      <c r="T2415" s="19" t="s">
        <v>42</v>
      </c>
      <c r="U2415" s="102" t="s">
        <v>959</v>
      </c>
      <c r="V2415" s="212" t="s">
        <v>954</v>
      </c>
      <c r="W2415" s="17" t="s">
        <v>44</v>
      </c>
      <c r="Y2415" s="68">
        <v>45039</v>
      </c>
      <c r="Z2415" s="17" t="s">
        <v>191</v>
      </c>
      <c r="AA2415" s="17" t="s">
        <v>46</v>
      </c>
      <c r="AB2415" s="17" t="s">
        <v>735</v>
      </c>
      <c r="AC2415" s="217">
        <v>45141</v>
      </c>
      <c r="AD2415" s="65">
        <v>1399</v>
      </c>
      <c r="AE2415" s="17" t="s">
        <v>48</v>
      </c>
      <c r="AF2415" s="17" t="s">
        <v>960</v>
      </c>
      <c r="AI2415" s="17">
        <v>2625</v>
      </c>
    </row>
    <row r="2416" s="17" customFormat="1" hidden="1" spans="1:35">
      <c r="A2416" s="17" t="s">
        <v>34</v>
      </c>
      <c r="B2416" s="19">
        <v>860</v>
      </c>
      <c r="C2416" s="239">
        <v>44573</v>
      </c>
      <c r="D2416" s="17" t="s">
        <v>35</v>
      </c>
      <c r="E2416" s="17" t="s">
        <v>482</v>
      </c>
      <c r="F2416" s="17" t="s">
        <v>72</v>
      </c>
      <c r="H2416" s="19">
        <v>1.2379</v>
      </c>
      <c r="I2416" s="19"/>
      <c r="J2416" s="17" t="s">
        <v>39</v>
      </c>
      <c r="K2416" s="19">
        <v>202</v>
      </c>
      <c r="L2416" s="91"/>
      <c r="M2416" s="19">
        <v>5800</v>
      </c>
      <c r="N2416" s="19" t="s">
        <v>40</v>
      </c>
      <c r="O2416" s="19" t="s">
        <v>50</v>
      </c>
      <c r="P2416" s="19">
        <v>2000</v>
      </c>
      <c r="Q2416" s="19">
        <v>2198</v>
      </c>
      <c r="R2416" s="19">
        <f t="shared" si="127"/>
        <v>-198</v>
      </c>
      <c r="S2416" s="19">
        <v>2500</v>
      </c>
      <c r="T2416" s="19" t="s">
        <v>42</v>
      </c>
      <c r="U2416" s="102" t="s">
        <v>959</v>
      </c>
      <c r="V2416" s="212" t="s">
        <v>954</v>
      </c>
      <c r="W2416" s="17" t="s">
        <v>44</v>
      </c>
      <c r="Y2416" s="68">
        <v>45039</v>
      </c>
      <c r="Z2416" s="17" t="s">
        <v>191</v>
      </c>
      <c r="AA2416" s="17" t="s">
        <v>46</v>
      </c>
      <c r="AB2416" s="17" t="s">
        <v>650</v>
      </c>
      <c r="AC2416" s="217">
        <v>45141</v>
      </c>
      <c r="AD2416" s="65">
        <v>1398</v>
      </c>
      <c r="AE2416" s="17" t="s">
        <v>48</v>
      </c>
      <c r="AF2416" s="17" t="s">
        <v>962</v>
      </c>
      <c r="AI2416" s="17">
        <v>2625</v>
      </c>
    </row>
    <row r="2417" s="17" customFormat="1" hidden="1" spans="1:35">
      <c r="A2417" s="17" t="s">
        <v>34</v>
      </c>
      <c r="B2417" s="19">
        <v>860</v>
      </c>
      <c r="C2417" s="239">
        <v>44573</v>
      </c>
      <c r="D2417" s="17" t="s">
        <v>35</v>
      </c>
      <c r="E2417" s="17" t="s">
        <v>482</v>
      </c>
      <c r="F2417" s="17" t="s">
        <v>72</v>
      </c>
      <c r="H2417" s="19">
        <v>1.2379</v>
      </c>
      <c r="I2417" s="19"/>
      <c r="J2417" s="17" t="s">
        <v>39</v>
      </c>
      <c r="K2417" s="19">
        <v>222</v>
      </c>
      <c r="L2417" s="91"/>
      <c r="M2417" s="19">
        <v>5800</v>
      </c>
      <c r="N2417" s="19" t="s">
        <v>40</v>
      </c>
      <c r="O2417" s="19" t="s">
        <v>50</v>
      </c>
      <c r="P2417" s="19">
        <v>2000</v>
      </c>
      <c r="Q2417" s="19">
        <v>2820</v>
      </c>
      <c r="R2417" s="19">
        <f t="shared" si="127"/>
        <v>-820</v>
      </c>
      <c r="S2417" s="19">
        <v>2500</v>
      </c>
      <c r="T2417" s="19" t="s">
        <v>42</v>
      </c>
      <c r="U2417" s="102" t="s">
        <v>959</v>
      </c>
      <c r="V2417" s="212" t="s">
        <v>954</v>
      </c>
      <c r="W2417" s="17" t="s">
        <v>44</v>
      </c>
      <c r="Y2417" s="68">
        <v>45039</v>
      </c>
      <c r="Z2417" s="17" t="s">
        <v>191</v>
      </c>
      <c r="AA2417" s="17" t="s">
        <v>46</v>
      </c>
      <c r="AB2417" s="17" t="s">
        <v>650</v>
      </c>
      <c r="AC2417" s="217">
        <v>45141</v>
      </c>
      <c r="AD2417" s="65">
        <v>1398</v>
      </c>
      <c r="AE2417" s="17" t="s">
        <v>48</v>
      </c>
      <c r="AF2417" s="17" t="s">
        <v>962</v>
      </c>
      <c r="AI2417" s="17">
        <v>2625</v>
      </c>
    </row>
    <row r="2418" s="17" customFormat="1" hidden="1" spans="1:35">
      <c r="A2418" s="17" t="s">
        <v>34</v>
      </c>
      <c r="B2418" s="19">
        <v>860</v>
      </c>
      <c r="C2418" s="239">
        <v>44573</v>
      </c>
      <c r="D2418" s="17" t="s">
        <v>35</v>
      </c>
      <c r="E2418" s="17" t="s">
        <v>482</v>
      </c>
      <c r="F2418" s="17" t="s">
        <v>72</v>
      </c>
      <c r="H2418" s="19">
        <v>1.2379</v>
      </c>
      <c r="I2418" s="19"/>
      <c r="J2418" s="17" t="s">
        <v>39</v>
      </c>
      <c r="K2418" s="19">
        <v>410</v>
      </c>
      <c r="L2418" s="91"/>
      <c r="M2418" s="19">
        <v>5800</v>
      </c>
      <c r="N2418" s="19" t="s">
        <v>40</v>
      </c>
      <c r="O2418" s="19" t="s">
        <v>50</v>
      </c>
      <c r="P2418" s="19">
        <v>5000</v>
      </c>
      <c r="Q2418" s="19">
        <f>2194+1750</f>
        <v>3944</v>
      </c>
      <c r="R2418" s="19">
        <f t="shared" si="127"/>
        <v>1056</v>
      </c>
      <c r="S2418" s="19">
        <f>2500+250</f>
        <v>2750</v>
      </c>
      <c r="T2418" s="19" t="s">
        <v>42</v>
      </c>
      <c r="U2418" s="102" t="s">
        <v>959</v>
      </c>
      <c r="V2418" s="212" t="s">
        <v>954</v>
      </c>
      <c r="W2418" s="17" t="s">
        <v>44</v>
      </c>
      <c r="Y2418" s="68">
        <v>45039</v>
      </c>
      <c r="Z2418" s="17" t="s">
        <v>191</v>
      </c>
      <c r="AA2418" s="17" t="s">
        <v>46</v>
      </c>
      <c r="AB2418" s="17" t="s">
        <v>946</v>
      </c>
      <c r="AC2418" s="102" t="s">
        <v>947</v>
      </c>
      <c r="AD2418" s="65">
        <v>1420</v>
      </c>
      <c r="AE2418" s="17" t="s">
        <v>48</v>
      </c>
      <c r="AF2418" s="17" t="s">
        <v>961</v>
      </c>
      <c r="AI2418" s="17">
        <v>2875</v>
      </c>
    </row>
    <row r="2419" s="17" customFormat="1" hidden="1" spans="1:35">
      <c r="B2419" s="19">
        <v>861</v>
      </c>
      <c r="C2419" s="239">
        <v>44573</v>
      </c>
      <c r="D2419" s="17" t="s">
        <v>35</v>
      </c>
      <c r="E2419" s="17" t="s">
        <v>482</v>
      </c>
      <c r="F2419" s="17" t="s">
        <v>72</v>
      </c>
      <c r="H2419" s="19">
        <v>1.2344</v>
      </c>
      <c r="I2419" s="19"/>
      <c r="J2419" s="17" t="s">
        <v>39</v>
      </c>
      <c r="K2419" s="19">
        <v>26</v>
      </c>
      <c r="L2419" s="91"/>
      <c r="M2419" s="19"/>
      <c r="N2419" s="19" t="s">
        <v>40</v>
      </c>
      <c r="O2419" s="19" t="s">
        <v>50</v>
      </c>
      <c r="P2419" s="19">
        <v>1000</v>
      </c>
      <c r="Q2419" s="19"/>
      <c r="R2419" s="19">
        <f t="shared" si="127"/>
        <v>1000</v>
      </c>
      <c r="S2419" s="19">
        <v>2350</v>
      </c>
      <c r="T2419" s="19" t="s">
        <v>42</v>
      </c>
      <c r="U2419" s="102"/>
      <c r="V2419" s="212"/>
      <c r="W2419" s="17" t="s">
        <v>44</v>
      </c>
      <c r="Z2419" s="17" t="s">
        <v>191</v>
      </c>
      <c r="AA2419" s="17" t="s">
        <v>46</v>
      </c>
      <c r="AD2419" s="65"/>
      <c r="AE2419" s="17" t="s">
        <v>964</v>
      </c>
    </row>
    <row r="2420" s="17" customFormat="1" hidden="1" spans="1:35">
      <c r="B2420" s="19">
        <v>861</v>
      </c>
      <c r="C2420" s="239">
        <v>44573</v>
      </c>
      <c r="D2420" s="17" t="s">
        <v>35</v>
      </c>
      <c r="E2420" s="17" t="s">
        <v>482</v>
      </c>
      <c r="F2420" s="17" t="s">
        <v>72</v>
      </c>
      <c r="H2420" s="19">
        <v>1.2344</v>
      </c>
      <c r="I2420" s="19"/>
      <c r="J2420" s="17" t="s">
        <v>39</v>
      </c>
      <c r="K2420" s="19">
        <v>32</v>
      </c>
      <c r="L2420" s="91"/>
      <c r="M2420" s="19"/>
      <c r="N2420" s="19" t="s">
        <v>40</v>
      </c>
      <c r="O2420" s="19" t="s">
        <v>50</v>
      </c>
      <c r="P2420" s="19">
        <v>1000</v>
      </c>
      <c r="Q2420" s="19"/>
      <c r="R2420" s="19">
        <f t="shared" si="127"/>
        <v>1000</v>
      </c>
      <c r="S2420" s="19">
        <v>2350</v>
      </c>
      <c r="T2420" s="19" t="s">
        <v>42</v>
      </c>
      <c r="U2420" s="102"/>
      <c r="V2420" s="212"/>
      <c r="W2420" s="17" t="s">
        <v>44</v>
      </c>
      <c r="Z2420" s="17" t="s">
        <v>191</v>
      </c>
      <c r="AA2420" s="17" t="s">
        <v>46</v>
      </c>
      <c r="AD2420" s="65"/>
      <c r="AE2420" s="17" t="s">
        <v>964</v>
      </c>
    </row>
    <row r="2421" s="17" customFormat="1" hidden="1" spans="1:35">
      <c r="B2421" s="19">
        <v>861</v>
      </c>
      <c r="C2421" s="239">
        <v>44573</v>
      </c>
      <c r="D2421" s="17" t="s">
        <v>35</v>
      </c>
      <c r="E2421" s="17" t="s">
        <v>482</v>
      </c>
      <c r="F2421" s="17" t="s">
        <v>72</v>
      </c>
      <c r="H2421" s="19">
        <v>1.2344</v>
      </c>
      <c r="I2421" s="19"/>
      <c r="J2421" s="17" t="s">
        <v>39</v>
      </c>
      <c r="K2421" s="19">
        <v>36</v>
      </c>
      <c r="L2421" s="91"/>
      <c r="M2421" s="19"/>
      <c r="N2421" s="19" t="s">
        <v>40</v>
      </c>
      <c r="O2421" s="19" t="s">
        <v>50</v>
      </c>
      <c r="P2421" s="19">
        <v>1000</v>
      </c>
      <c r="Q2421" s="19"/>
      <c r="R2421" s="19">
        <f t="shared" si="127"/>
        <v>1000</v>
      </c>
      <c r="S2421" s="19">
        <v>2350</v>
      </c>
      <c r="T2421" s="19" t="s">
        <v>42</v>
      </c>
      <c r="U2421" s="102"/>
      <c r="V2421" s="212"/>
      <c r="W2421" s="17" t="s">
        <v>44</v>
      </c>
      <c r="Z2421" s="17" t="s">
        <v>191</v>
      </c>
      <c r="AA2421" s="17" t="s">
        <v>46</v>
      </c>
      <c r="AD2421" s="65"/>
      <c r="AE2421" s="17" t="s">
        <v>964</v>
      </c>
    </row>
    <row r="2422" s="17" customFormat="1" hidden="1" spans="1:35">
      <c r="B2422" s="19">
        <v>861</v>
      </c>
      <c r="C2422" s="239">
        <v>44573</v>
      </c>
      <c r="D2422" s="17" t="s">
        <v>35</v>
      </c>
      <c r="E2422" s="17" t="s">
        <v>482</v>
      </c>
      <c r="F2422" s="17" t="s">
        <v>72</v>
      </c>
      <c r="H2422" s="19">
        <v>1.2344</v>
      </c>
      <c r="I2422" s="19"/>
      <c r="J2422" s="17" t="s">
        <v>39</v>
      </c>
      <c r="K2422" s="19">
        <v>40</v>
      </c>
      <c r="L2422" s="91"/>
      <c r="M2422" s="19"/>
      <c r="N2422" s="19" t="s">
        <v>40</v>
      </c>
      <c r="O2422" s="19" t="s">
        <v>50</v>
      </c>
      <c r="P2422" s="19">
        <v>1000</v>
      </c>
      <c r="Q2422" s="19"/>
      <c r="R2422" s="19">
        <f t="shared" si="127"/>
        <v>1000</v>
      </c>
      <c r="S2422" s="19">
        <v>2350</v>
      </c>
      <c r="T2422" s="19" t="s">
        <v>42</v>
      </c>
      <c r="U2422" s="102"/>
      <c r="V2422" s="212"/>
      <c r="W2422" s="17" t="s">
        <v>44</v>
      </c>
      <c r="Z2422" s="17" t="s">
        <v>191</v>
      </c>
      <c r="AA2422" s="17" t="s">
        <v>46</v>
      </c>
      <c r="AD2422" s="65"/>
      <c r="AE2422" s="17" t="s">
        <v>964</v>
      </c>
    </row>
    <row r="2423" s="17" customFormat="1" hidden="1" spans="1:35">
      <c r="B2423" s="19">
        <v>861</v>
      </c>
      <c r="C2423" s="239">
        <v>44573</v>
      </c>
      <c r="D2423" s="17" t="s">
        <v>35</v>
      </c>
      <c r="E2423" s="17" t="s">
        <v>482</v>
      </c>
      <c r="F2423" s="17" t="s">
        <v>72</v>
      </c>
      <c r="H2423" s="19">
        <v>1.2344</v>
      </c>
      <c r="I2423" s="19"/>
      <c r="J2423" s="17" t="s">
        <v>39</v>
      </c>
      <c r="K2423" s="19">
        <v>45</v>
      </c>
      <c r="L2423" s="91"/>
      <c r="M2423" s="19"/>
      <c r="N2423" s="19" t="s">
        <v>40</v>
      </c>
      <c r="O2423" s="19" t="s">
        <v>50</v>
      </c>
      <c r="P2423" s="19">
        <v>1000</v>
      </c>
      <c r="Q2423" s="19"/>
      <c r="R2423" s="19">
        <f t="shared" si="127"/>
        <v>1000</v>
      </c>
      <c r="S2423" s="19">
        <v>2350</v>
      </c>
      <c r="T2423" s="19" t="s">
        <v>42</v>
      </c>
      <c r="U2423" s="102"/>
      <c r="V2423" s="212"/>
      <c r="W2423" s="17" t="s">
        <v>44</v>
      </c>
      <c r="Z2423" s="17" t="s">
        <v>191</v>
      </c>
      <c r="AA2423" s="17" t="s">
        <v>46</v>
      </c>
      <c r="AD2423" s="65"/>
      <c r="AE2423" s="17" t="s">
        <v>964</v>
      </c>
    </row>
    <row r="2424" s="17" customFormat="1" hidden="1" spans="1:35">
      <c r="B2424" s="19">
        <v>861</v>
      </c>
      <c r="C2424" s="239">
        <v>44573</v>
      </c>
      <c r="D2424" s="17" t="s">
        <v>35</v>
      </c>
      <c r="E2424" s="17" t="s">
        <v>482</v>
      </c>
      <c r="F2424" s="17" t="s">
        <v>72</v>
      </c>
      <c r="H2424" s="19">
        <v>1.2344</v>
      </c>
      <c r="I2424" s="19"/>
      <c r="J2424" s="17" t="s">
        <v>39</v>
      </c>
      <c r="K2424" s="19">
        <v>50</v>
      </c>
      <c r="L2424" s="91"/>
      <c r="M2424" s="19"/>
      <c r="N2424" s="19" t="s">
        <v>40</v>
      </c>
      <c r="O2424" s="19" t="s">
        <v>50</v>
      </c>
      <c r="P2424" s="19">
        <v>1000</v>
      </c>
      <c r="Q2424" s="19"/>
      <c r="R2424" s="19">
        <f t="shared" si="127"/>
        <v>1000</v>
      </c>
      <c r="S2424" s="19">
        <v>2350</v>
      </c>
      <c r="T2424" s="19" t="s">
        <v>42</v>
      </c>
      <c r="U2424" s="102"/>
      <c r="V2424" s="212"/>
      <c r="W2424" s="17" t="s">
        <v>44</v>
      </c>
      <c r="Z2424" s="17" t="s">
        <v>191</v>
      </c>
      <c r="AA2424" s="17" t="s">
        <v>46</v>
      </c>
      <c r="AD2424" s="65"/>
      <c r="AE2424" s="17" t="s">
        <v>964</v>
      </c>
    </row>
    <row r="2425" s="17" customFormat="1" hidden="1" spans="1:35">
      <c r="B2425" s="19">
        <v>861</v>
      </c>
      <c r="C2425" s="239">
        <v>44573</v>
      </c>
      <c r="D2425" s="17" t="s">
        <v>35</v>
      </c>
      <c r="E2425" s="17" t="s">
        <v>482</v>
      </c>
      <c r="F2425" s="17" t="s">
        <v>72</v>
      </c>
      <c r="H2425" s="19">
        <v>1.2344</v>
      </c>
      <c r="I2425" s="19"/>
      <c r="J2425" s="17" t="s">
        <v>39</v>
      </c>
      <c r="K2425" s="19">
        <v>56</v>
      </c>
      <c r="L2425" s="91"/>
      <c r="M2425" s="19"/>
      <c r="N2425" s="19" t="s">
        <v>40</v>
      </c>
      <c r="O2425" s="19" t="s">
        <v>50</v>
      </c>
      <c r="P2425" s="19">
        <v>1000</v>
      </c>
      <c r="Q2425" s="19"/>
      <c r="R2425" s="19">
        <f t="shared" si="127"/>
        <v>1000</v>
      </c>
      <c r="S2425" s="19">
        <v>2350</v>
      </c>
      <c r="T2425" s="19" t="s">
        <v>42</v>
      </c>
      <c r="U2425" s="102"/>
      <c r="V2425" s="212"/>
      <c r="W2425" s="17" t="s">
        <v>44</v>
      </c>
      <c r="Z2425" s="17" t="s">
        <v>191</v>
      </c>
      <c r="AA2425" s="17" t="s">
        <v>46</v>
      </c>
      <c r="AD2425" s="65"/>
      <c r="AE2425" s="17" t="s">
        <v>964</v>
      </c>
    </row>
    <row r="2426" s="17" customFormat="1" hidden="1" spans="1:35">
      <c r="B2426" s="19">
        <v>861</v>
      </c>
      <c r="C2426" s="239">
        <v>44573</v>
      </c>
      <c r="D2426" s="17" t="s">
        <v>35</v>
      </c>
      <c r="E2426" s="17" t="s">
        <v>482</v>
      </c>
      <c r="F2426" s="17" t="s">
        <v>72</v>
      </c>
      <c r="H2426" s="19">
        <v>1.2344</v>
      </c>
      <c r="I2426" s="19"/>
      <c r="J2426" s="17" t="s">
        <v>39</v>
      </c>
      <c r="K2426" s="19">
        <v>60</v>
      </c>
      <c r="L2426" s="91"/>
      <c r="M2426" s="19"/>
      <c r="N2426" s="19" t="s">
        <v>40</v>
      </c>
      <c r="O2426" s="19" t="s">
        <v>50</v>
      </c>
      <c r="P2426" s="19">
        <v>1000</v>
      </c>
      <c r="Q2426" s="19"/>
      <c r="R2426" s="19">
        <f t="shared" si="127"/>
        <v>1000</v>
      </c>
      <c r="S2426" s="19">
        <v>2350</v>
      </c>
      <c r="T2426" s="19" t="s">
        <v>42</v>
      </c>
      <c r="U2426" s="102"/>
      <c r="V2426" s="212"/>
      <c r="W2426" s="17" t="s">
        <v>44</v>
      </c>
      <c r="Z2426" s="17" t="s">
        <v>191</v>
      </c>
      <c r="AA2426" s="17" t="s">
        <v>46</v>
      </c>
      <c r="AD2426" s="65"/>
      <c r="AE2426" s="17" t="s">
        <v>964</v>
      </c>
    </row>
    <row r="2427" s="17" customFormat="1" hidden="1" spans="1:35">
      <c r="B2427" s="19">
        <v>861</v>
      </c>
      <c r="C2427" s="239">
        <v>44573</v>
      </c>
      <c r="D2427" s="17" t="s">
        <v>35</v>
      </c>
      <c r="E2427" s="17" t="s">
        <v>482</v>
      </c>
      <c r="F2427" s="17" t="s">
        <v>72</v>
      </c>
      <c r="H2427" s="19">
        <v>1.2344</v>
      </c>
      <c r="I2427" s="19"/>
      <c r="J2427" s="17" t="s">
        <v>39</v>
      </c>
      <c r="K2427" s="19">
        <v>65</v>
      </c>
      <c r="L2427" s="91"/>
      <c r="M2427" s="19"/>
      <c r="N2427" s="19" t="s">
        <v>40</v>
      </c>
      <c r="O2427" s="19" t="s">
        <v>50</v>
      </c>
      <c r="P2427" s="19">
        <v>1000</v>
      </c>
      <c r="Q2427" s="19"/>
      <c r="R2427" s="19">
        <f t="shared" si="127"/>
        <v>1000</v>
      </c>
      <c r="S2427" s="19">
        <v>2350</v>
      </c>
      <c r="T2427" s="19" t="s">
        <v>42</v>
      </c>
      <c r="U2427" s="102"/>
      <c r="V2427" s="212"/>
      <c r="W2427" s="17" t="s">
        <v>44</v>
      </c>
      <c r="Z2427" s="17" t="s">
        <v>191</v>
      </c>
      <c r="AA2427" s="17" t="s">
        <v>46</v>
      </c>
      <c r="AD2427" s="65"/>
      <c r="AE2427" s="17" t="s">
        <v>964</v>
      </c>
    </row>
    <row r="2428" s="17" customFormat="1" hidden="1" spans="1:35">
      <c r="B2428" s="19">
        <v>861</v>
      </c>
      <c r="C2428" s="239">
        <v>44573</v>
      </c>
      <c r="D2428" s="17" t="s">
        <v>35</v>
      </c>
      <c r="E2428" s="17" t="s">
        <v>482</v>
      </c>
      <c r="F2428" s="17" t="s">
        <v>72</v>
      </c>
      <c r="H2428" s="19">
        <v>1.2344</v>
      </c>
      <c r="I2428" s="19"/>
      <c r="J2428" s="17" t="s">
        <v>39</v>
      </c>
      <c r="K2428" s="19">
        <v>70</v>
      </c>
      <c r="L2428" s="91"/>
      <c r="M2428" s="19"/>
      <c r="N2428" s="19" t="s">
        <v>40</v>
      </c>
      <c r="O2428" s="19" t="s">
        <v>50</v>
      </c>
      <c r="P2428" s="19">
        <v>1000</v>
      </c>
      <c r="Q2428" s="19"/>
      <c r="R2428" s="19">
        <f t="shared" si="127"/>
        <v>1000</v>
      </c>
      <c r="S2428" s="19">
        <v>2350</v>
      </c>
      <c r="T2428" s="19" t="s">
        <v>42</v>
      </c>
      <c r="U2428" s="102"/>
      <c r="V2428" s="212"/>
      <c r="W2428" s="17" t="s">
        <v>44</v>
      </c>
      <c r="Z2428" s="17" t="s">
        <v>191</v>
      </c>
      <c r="AA2428" s="17" t="s">
        <v>46</v>
      </c>
      <c r="AD2428" s="65"/>
      <c r="AE2428" s="17" t="s">
        <v>964</v>
      </c>
    </row>
    <row r="2429" s="17" customFormat="1" hidden="1" spans="1:35">
      <c r="B2429" s="19">
        <v>861</v>
      </c>
      <c r="C2429" s="239">
        <v>44573</v>
      </c>
      <c r="D2429" s="17" t="s">
        <v>35</v>
      </c>
      <c r="E2429" s="17" t="s">
        <v>482</v>
      </c>
      <c r="F2429" s="17" t="s">
        <v>72</v>
      </c>
      <c r="H2429" s="19">
        <v>1.2344</v>
      </c>
      <c r="I2429" s="19"/>
      <c r="J2429" s="17" t="s">
        <v>39</v>
      </c>
      <c r="K2429" s="19">
        <v>80</v>
      </c>
      <c r="L2429" s="91"/>
      <c r="M2429" s="19"/>
      <c r="N2429" s="19" t="s">
        <v>40</v>
      </c>
      <c r="O2429" s="19" t="s">
        <v>50</v>
      </c>
      <c r="P2429" s="19">
        <v>1000</v>
      </c>
      <c r="Q2429" s="19"/>
      <c r="R2429" s="19">
        <f t="shared" si="127"/>
        <v>1000</v>
      </c>
      <c r="S2429" s="19">
        <v>2350</v>
      </c>
      <c r="T2429" s="19" t="s">
        <v>42</v>
      </c>
      <c r="U2429" s="102"/>
      <c r="V2429" s="212"/>
      <c r="W2429" s="17" t="s">
        <v>44</v>
      </c>
      <c r="Z2429" s="17" t="s">
        <v>191</v>
      </c>
      <c r="AA2429" s="17" t="s">
        <v>46</v>
      </c>
      <c r="AD2429" s="65"/>
      <c r="AE2429" s="17" t="s">
        <v>964</v>
      </c>
    </row>
    <row r="2430" s="17" customFormat="1" hidden="1" spans="1:35">
      <c r="B2430" s="19">
        <v>861</v>
      </c>
      <c r="C2430" s="239">
        <v>44573</v>
      </c>
      <c r="D2430" s="17" t="s">
        <v>35</v>
      </c>
      <c r="E2430" s="17" t="s">
        <v>482</v>
      </c>
      <c r="F2430" s="17" t="s">
        <v>72</v>
      </c>
      <c r="H2430" s="19">
        <v>1.2344</v>
      </c>
      <c r="I2430" s="19"/>
      <c r="J2430" s="17" t="s">
        <v>39</v>
      </c>
      <c r="K2430" s="19">
        <v>85</v>
      </c>
      <c r="L2430" s="91"/>
      <c r="M2430" s="19"/>
      <c r="N2430" s="19" t="s">
        <v>40</v>
      </c>
      <c r="O2430" s="19" t="s">
        <v>50</v>
      </c>
      <c r="P2430" s="19">
        <v>1000</v>
      </c>
      <c r="Q2430" s="19"/>
      <c r="R2430" s="19">
        <f t="shared" si="127"/>
        <v>1000</v>
      </c>
      <c r="S2430" s="19">
        <v>2350</v>
      </c>
      <c r="T2430" s="19" t="s">
        <v>42</v>
      </c>
      <c r="U2430" s="102"/>
      <c r="V2430" s="212"/>
      <c r="W2430" s="17" t="s">
        <v>44</v>
      </c>
      <c r="Z2430" s="17" t="s">
        <v>191</v>
      </c>
      <c r="AA2430" s="17" t="s">
        <v>46</v>
      </c>
      <c r="AD2430" s="65"/>
      <c r="AE2430" s="17" t="s">
        <v>964</v>
      </c>
    </row>
    <row r="2431" s="17" customFormat="1" hidden="1" spans="1:35">
      <c r="B2431" s="19">
        <v>861</v>
      </c>
      <c r="C2431" s="239">
        <v>44573</v>
      </c>
      <c r="D2431" s="17" t="s">
        <v>35</v>
      </c>
      <c r="E2431" s="17" t="s">
        <v>482</v>
      </c>
      <c r="F2431" s="17" t="s">
        <v>72</v>
      </c>
      <c r="H2431" s="19">
        <v>1.2344</v>
      </c>
      <c r="I2431" s="19"/>
      <c r="J2431" s="17" t="s">
        <v>39</v>
      </c>
      <c r="K2431" s="19">
        <v>91</v>
      </c>
      <c r="L2431" s="91"/>
      <c r="M2431" s="19"/>
      <c r="N2431" s="19" t="s">
        <v>40</v>
      </c>
      <c r="O2431" s="19" t="s">
        <v>50</v>
      </c>
      <c r="P2431" s="19">
        <v>1000</v>
      </c>
      <c r="Q2431" s="19"/>
      <c r="R2431" s="19">
        <f t="shared" si="127"/>
        <v>1000</v>
      </c>
      <c r="S2431" s="19">
        <v>2350</v>
      </c>
      <c r="T2431" s="19" t="s">
        <v>42</v>
      </c>
      <c r="U2431" s="102"/>
      <c r="V2431" s="212"/>
      <c r="W2431" s="17" t="s">
        <v>44</v>
      </c>
      <c r="Z2431" s="17" t="s">
        <v>191</v>
      </c>
      <c r="AA2431" s="17" t="s">
        <v>46</v>
      </c>
      <c r="AD2431" s="65"/>
      <c r="AE2431" s="17" t="s">
        <v>964</v>
      </c>
    </row>
    <row r="2432" s="17" customFormat="1" hidden="1" spans="1:35">
      <c r="B2432" s="19">
        <v>861</v>
      </c>
      <c r="C2432" s="239">
        <v>44573</v>
      </c>
      <c r="D2432" s="17" t="s">
        <v>35</v>
      </c>
      <c r="E2432" s="17" t="s">
        <v>482</v>
      </c>
      <c r="F2432" s="17" t="s">
        <v>72</v>
      </c>
      <c r="H2432" s="19">
        <v>1.2344</v>
      </c>
      <c r="I2432" s="19"/>
      <c r="J2432" s="17" t="s">
        <v>39</v>
      </c>
      <c r="K2432" s="19">
        <v>101</v>
      </c>
      <c r="L2432" s="91"/>
      <c r="M2432" s="19"/>
      <c r="N2432" s="19" t="s">
        <v>40</v>
      </c>
      <c r="O2432" s="19" t="s">
        <v>50</v>
      </c>
      <c r="P2432" s="19">
        <v>1000</v>
      </c>
      <c r="Q2432" s="19"/>
      <c r="R2432" s="19">
        <f t="shared" si="127"/>
        <v>1000</v>
      </c>
      <c r="S2432" s="19">
        <v>2350</v>
      </c>
      <c r="T2432" s="19" t="s">
        <v>42</v>
      </c>
      <c r="U2432" s="102"/>
      <c r="V2432" s="212"/>
      <c r="W2432" s="17" t="s">
        <v>44</v>
      </c>
      <c r="Z2432" s="17" t="s">
        <v>191</v>
      </c>
      <c r="AA2432" s="17" t="s">
        <v>46</v>
      </c>
      <c r="AD2432" s="65"/>
      <c r="AE2432" s="17" t="s">
        <v>964</v>
      </c>
    </row>
    <row r="2433" s="17" customFormat="1" hidden="1" spans="2:31">
      <c r="B2433" s="19">
        <v>861</v>
      </c>
      <c r="C2433" s="239">
        <v>44573</v>
      </c>
      <c r="D2433" s="17" t="s">
        <v>35</v>
      </c>
      <c r="E2433" s="17" t="s">
        <v>482</v>
      </c>
      <c r="F2433" s="17" t="s">
        <v>72</v>
      </c>
      <c r="H2433" s="19">
        <v>1.2344</v>
      </c>
      <c r="I2433" s="19"/>
      <c r="J2433" s="17" t="s">
        <v>39</v>
      </c>
      <c r="K2433" s="19">
        <v>111</v>
      </c>
      <c r="L2433" s="91"/>
      <c r="M2433" s="19"/>
      <c r="N2433" s="19" t="s">
        <v>40</v>
      </c>
      <c r="O2433" s="19" t="s">
        <v>50</v>
      </c>
      <c r="P2433" s="19">
        <v>1000</v>
      </c>
      <c r="Q2433" s="19"/>
      <c r="R2433" s="19">
        <f t="shared" ref="R2433:R2464" si="128">+P2433-Q2433</f>
        <v>1000</v>
      </c>
      <c r="S2433" s="19">
        <v>2350</v>
      </c>
      <c r="T2433" s="19" t="s">
        <v>42</v>
      </c>
      <c r="U2433" s="102"/>
      <c r="V2433" s="212"/>
      <c r="W2433" s="17" t="s">
        <v>44</v>
      </c>
      <c r="Z2433" s="17" t="s">
        <v>191</v>
      </c>
      <c r="AA2433" s="17" t="s">
        <v>46</v>
      </c>
      <c r="AD2433" s="65"/>
      <c r="AE2433" s="17" t="s">
        <v>964</v>
      </c>
    </row>
    <row r="2434" s="17" customFormat="1" hidden="1" spans="2:31">
      <c r="B2434" s="19">
        <v>861</v>
      </c>
      <c r="C2434" s="239">
        <v>44573</v>
      </c>
      <c r="D2434" s="17" t="s">
        <v>35</v>
      </c>
      <c r="E2434" s="17" t="s">
        <v>482</v>
      </c>
      <c r="F2434" s="17" t="s">
        <v>72</v>
      </c>
      <c r="H2434" s="19">
        <v>1.2344</v>
      </c>
      <c r="I2434" s="19"/>
      <c r="J2434" s="17" t="s">
        <v>39</v>
      </c>
      <c r="K2434" s="19">
        <v>121</v>
      </c>
      <c r="L2434" s="91"/>
      <c r="M2434" s="19"/>
      <c r="N2434" s="19" t="s">
        <v>40</v>
      </c>
      <c r="O2434" s="19" t="s">
        <v>50</v>
      </c>
      <c r="P2434" s="19">
        <v>1000</v>
      </c>
      <c r="Q2434" s="19"/>
      <c r="R2434" s="19">
        <f t="shared" si="128"/>
        <v>1000</v>
      </c>
      <c r="S2434" s="19">
        <v>2350</v>
      </c>
      <c r="T2434" s="19" t="s">
        <v>42</v>
      </c>
      <c r="U2434" s="102"/>
      <c r="V2434" s="212"/>
      <c r="W2434" s="17" t="s">
        <v>44</v>
      </c>
      <c r="Z2434" s="17" t="s">
        <v>191</v>
      </c>
      <c r="AA2434" s="17" t="s">
        <v>46</v>
      </c>
      <c r="AD2434" s="65"/>
      <c r="AE2434" s="17" t="s">
        <v>964</v>
      </c>
    </row>
    <row r="2435" s="17" customFormat="1" hidden="1" spans="2:31">
      <c r="B2435" s="19">
        <v>861</v>
      </c>
      <c r="C2435" s="239">
        <v>44573</v>
      </c>
      <c r="D2435" s="17" t="s">
        <v>35</v>
      </c>
      <c r="E2435" s="17" t="s">
        <v>482</v>
      </c>
      <c r="F2435" s="17" t="s">
        <v>72</v>
      </c>
      <c r="H2435" s="19">
        <v>1.2344</v>
      </c>
      <c r="I2435" s="19"/>
      <c r="J2435" s="17" t="s">
        <v>39</v>
      </c>
      <c r="K2435" s="19">
        <v>132</v>
      </c>
      <c r="L2435" s="91"/>
      <c r="M2435" s="19"/>
      <c r="N2435" s="19" t="s">
        <v>40</v>
      </c>
      <c r="O2435" s="19" t="s">
        <v>50</v>
      </c>
      <c r="P2435" s="19">
        <v>5000</v>
      </c>
      <c r="Q2435" s="19"/>
      <c r="R2435" s="19">
        <f t="shared" si="128"/>
        <v>5000</v>
      </c>
      <c r="S2435" s="19">
        <v>2350</v>
      </c>
      <c r="T2435" s="19" t="s">
        <v>42</v>
      </c>
      <c r="U2435" s="102"/>
      <c r="V2435" s="212"/>
      <c r="W2435" s="17" t="s">
        <v>44</v>
      </c>
      <c r="Z2435" s="17" t="s">
        <v>191</v>
      </c>
      <c r="AA2435" s="17" t="s">
        <v>46</v>
      </c>
      <c r="AD2435" s="65"/>
      <c r="AE2435" s="17" t="s">
        <v>964</v>
      </c>
    </row>
    <row r="2436" s="17" customFormat="1" hidden="1" spans="2:31">
      <c r="B2436" s="19">
        <v>861</v>
      </c>
      <c r="C2436" s="239">
        <v>44573</v>
      </c>
      <c r="D2436" s="17" t="s">
        <v>35</v>
      </c>
      <c r="E2436" s="17" t="s">
        <v>482</v>
      </c>
      <c r="F2436" s="17" t="s">
        <v>72</v>
      </c>
      <c r="H2436" s="19">
        <v>1.2344</v>
      </c>
      <c r="I2436" s="19"/>
      <c r="J2436" s="17" t="s">
        <v>39</v>
      </c>
      <c r="K2436" s="19">
        <v>142</v>
      </c>
      <c r="L2436" s="91"/>
      <c r="M2436" s="19"/>
      <c r="N2436" s="19" t="s">
        <v>40</v>
      </c>
      <c r="O2436" s="19" t="s">
        <v>50</v>
      </c>
      <c r="P2436" s="19">
        <v>1000</v>
      </c>
      <c r="Q2436" s="19"/>
      <c r="R2436" s="19">
        <f t="shared" si="128"/>
        <v>1000</v>
      </c>
      <c r="S2436" s="19">
        <v>2350</v>
      </c>
      <c r="T2436" s="19" t="s">
        <v>42</v>
      </c>
      <c r="U2436" s="102"/>
      <c r="V2436" s="212"/>
      <c r="W2436" s="17" t="s">
        <v>44</v>
      </c>
      <c r="Z2436" s="17" t="s">
        <v>191</v>
      </c>
      <c r="AA2436" s="17" t="s">
        <v>46</v>
      </c>
      <c r="AD2436" s="65"/>
      <c r="AE2436" s="17" t="s">
        <v>964</v>
      </c>
    </row>
    <row r="2437" s="17" customFormat="1" hidden="1" spans="2:31">
      <c r="B2437" s="19">
        <v>861</v>
      </c>
      <c r="C2437" s="239">
        <v>44573</v>
      </c>
      <c r="D2437" s="17" t="s">
        <v>35</v>
      </c>
      <c r="E2437" s="17" t="s">
        <v>482</v>
      </c>
      <c r="F2437" s="17" t="s">
        <v>72</v>
      </c>
      <c r="H2437" s="19">
        <v>1.2344</v>
      </c>
      <c r="I2437" s="19"/>
      <c r="J2437" s="17" t="s">
        <v>39</v>
      </c>
      <c r="K2437" s="19">
        <v>152</v>
      </c>
      <c r="L2437" s="91"/>
      <c r="M2437" s="19"/>
      <c r="N2437" s="19" t="s">
        <v>40</v>
      </c>
      <c r="O2437" s="19" t="s">
        <v>50</v>
      </c>
      <c r="P2437" s="19">
        <v>1000</v>
      </c>
      <c r="Q2437" s="19"/>
      <c r="R2437" s="19">
        <f t="shared" si="128"/>
        <v>1000</v>
      </c>
      <c r="S2437" s="19">
        <v>2350</v>
      </c>
      <c r="T2437" s="19" t="s">
        <v>42</v>
      </c>
      <c r="U2437" s="102"/>
      <c r="V2437" s="212"/>
      <c r="W2437" s="17" t="s">
        <v>44</v>
      </c>
      <c r="Z2437" s="17" t="s">
        <v>191</v>
      </c>
      <c r="AA2437" s="17" t="s">
        <v>46</v>
      </c>
      <c r="AD2437" s="65"/>
      <c r="AE2437" s="17" t="s">
        <v>964</v>
      </c>
    </row>
    <row r="2438" s="17" customFormat="1" hidden="1" spans="2:31">
      <c r="B2438" s="19">
        <v>861</v>
      </c>
      <c r="C2438" s="239">
        <v>44573</v>
      </c>
      <c r="D2438" s="17" t="s">
        <v>35</v>
      </c>
      <c r="E2438" s="17" t="s">
        <v>482</v>
      </c>
      <c r="F2438" s="17" t="s">
        <v>72</v>
      </c>
      <c r="H2438" s="19">
        <v>1.2344</v>
      </c>
      <c r="I2438" s="19"/>
      <c r="J2438" s="17" t="s">
        <v>39</v>
      </c>
      <c r="K2438" s="19">
        <v>162</v>
      </c>
      <c r="L2438" s="91"/>
      <c r="M2438" s="19"/>
      <c r="N2438" s="19" t="s">
        <v>40</v>
      </c>
      <c r="O2438" s="19" t="s">
        <v>50</v>
      </c>
      <c r="P2438" s="19">
        <v>3000</v>
      </c>
      <c r="Q2438" s="19"/>
      <c r="R2438" s="19">
        <f t="shared" si="128"/>
        <v>3000</v>
      </c>
      <c r="S2438" s="19">
        <v>2350</v>
      </c>
      <c r="T2438" s="19" t="s">
        <v>42</v>
      </c>
      <c r="U2438" s="102"/>
      <c r="V2438" s="212"/>
      <c r="W2438" s="17" t="s">
        <v>44</v>
      </c>
      <c r="Z2438" s="17" t="s">
        <v>191</v>
      </c>
      <c r="AA2438" s="17" t="s">
        <v>46</v>
      </c>
      <c r="AD2438" s="65"/>
      <c r="AE2438" s="17" t="s">
        <v>964</v>
      </c>
    </row>
    <row r="2439" s="17" customFormat="1" hidden="1" spans="2:31">
      <c r="B2439" s="19">
        <v>861</v>
      </c>
      <c r="C2439" s="239">
        <v>44573</v>
      </c>
      <c r="D2439" s="17" t="s">
        <v>35</v>
      </c>
      <c r="E2439" s="17" t="s">
        <v>482</v>
      </c>
      <c r="F2439" s="17" t="s">
        <v>72</v>
      </c>
      <c r="H2439" s="19">
        <v>1.2344</v>
      </c>
      <c r="I2439" s="19"/>
      <c r="J2439" s="17" t="s">
        <v>39</v>
      </c>
      <c r="K2439" s="19">
        <v>172</v>
      </c>
      <c r="L2439" s="91"/>
      <c r="M2439" s="19"/>
      <c r="N2439" s="19" t="s">
        <v>40</v>
      </c>
      <c r="O2439" s="19" t="s">
        <v>50</v>
      </c>
      <c r="P2439" s="19">
        <v>2000</v>
      </c>
      <c r="Q2439" s="19"/>
      <c r="R2439" s="19">
        <f t="shared" si="128"/>
        <v>2000</v>
      </c>
      <c r="S2439" s="19">
        <v>2350</v>
      </c>
      <c r="T2439" s="19" t="s">
        <v>42</v>
      </c>
      <c r="U2439" s="102"/>
      <c r="V2439" s="212"/>
      <c r="W2439" s="17" t="s">
        <v>44</v>
      </c>
      <c r="Z2439" s="17" t="s">
        <v>191</v>
      </c>
      <c r="AA2439" s="17" t="s">
        <v>46</v>
      </c>
      <c r="AD2439" s="65"/>
      <c r="AE2439" s="17" t="s">
        <v>964</v>
      </c>
    </row>
    <row r="2440" s="17" customFormat="1" hidden="1" spans="2:31">
      <c r="B2440" s="19">
        <v>861</v>
      </c>
      <c r="C2440" s="239">
        <v>44573</v>
      </c>
      <c r="D2440" s="17" t="s">
        <v>35</v>
      </c>
      <c r="E2440" s="17" t="s">
        <v>482</v>
      </c>
      <c r="F2440" s="17" t="s">
        <v>72</v>
      </c>
      <c r="H2440" s="19">
        <v>1.2344</v>
      </c>
      <c r="I2440" s="19"/>
      <c r="J2440" s="17" t="s">
        <v>39</v>
      </c>
      <c r="K2440" s="19">
        <v>182</v>
      </c>
      <c r="L2440" s="91"/>
      <c r="M2440" s="19"/>
      <c r="N2440" s="19" t="s">
        <v>40</v>
      </c>
      <c r="O2440" s="19" t="s">
        <v>50</v>
      </c>
      <c r="P2440" s="19">
        <v>2000</v>
      </c>
      <c r="Q2440" s="19"/>
      <c r="R2440" s="19">
        <f t="shared" si="128"/>
        <v>2000</v>
      </c>
      <c r="S2440" s="19">
        <v>2350</v>
      </c>
      <c r="T2440" s="19" t="s">
        <v>42</v>
      </c>
      <c r="U2440" s="102"/>
      <c r="V2440" s="212"/>
      <c r="W2440" s="17" t="s">
        <v>44</v>
      </c>
      <c r="Z2440" s="17" t="s">
        <v>191</v>
      </c>
      <c r="AA2440" s="17" t="s">
        <v>46</v>
      </c>
      <c r="AD2440" s="65"/>
      <c r="AE2440" s="17" t="s">
        <v>964</v>
      </c>
    </row>
    <row r="2441" s="17" customFormat="1" hidden="1" spans="2:31">
      <c r="B2441" s="19">
        <v>861</v>
      </c>
      <c r="C2441" s="239">
        <v>44573</v>
      </c>
      <c r="D2441" s="17" t="s">
        <v>35</v>
      </c>
      <c r="E2441" s="17" t="s">
        <v>482</v>
      </c>
      <c r="F2441" s="17" t="s">
        <v>72</v>
      </c>
      <c r="H2441" s="19">
        <v>1.2344</v>
      </c>
      <c r="I2441" s="19"/>
      <c r="J2441" s="17" t="s">
        <v>39</v>
      </c>
      <c r="K2441" s="19">
        <v>192</v>
      </c>
      <c r="L2441" s="91"/>
      <c r="M2441" s="19"/>
      <c r="N2441" s="19" t="s">
        <v>40</v>
      </c>
      <c r="O2441" s="19" t="s">
        <v>50</v>
      </c>
      <c r="P2441" s="19">
        <v>3000</v>
      </c>
      <c r="Q2441" s="19"/>
      <c r="R2441" s="19">
        <f t="shared" si="128"/>
        <v>3000</v>
      </c>
      <c r="S2441" s="19">
        <v>2350</v>
      </c>
      <c r="T2441" s="19" t="s">
        <v>42</v>
      </c>
      <c r="U2441" s="102"/>
      <c r="V2441" s="212"/>
      <c r="W2441" s="17" t="s">
        <v>44</v>
      </c>
      <c r="Z2441" s="17" t="s">
        <v>191</v>
      </c>
      <c r="AA2441" s="17" t="s">
        <v>46</v>
      </c>
      <c r="AD2441" s="65"/>
      <c r="AE2441" s="17" t="s">
        <v>964</v>
      </c>
    </row>
    <row r="2442" s="17" customFormat="1" hidden="1" spans="2:31">
      <c r="B2442" s="19">
        <v>861</v>
      </c>
      <c r="C2442" s="239">
        <v>44573</v>
      </c>
      <c r="D2442" s="17" t="s">
        <v>35</v>
      </c>
      <c r="E2442" s="17" t="s">
        <v>482</v>
      </c>
      <c r="F2442" s="17" t="s">
        <v>72</v>
      </c>
      <c r="H2442" s="19">
        <v>1.2344</v>
      </c>
      <c r="I2442" s="19"/>
      <c r="J2442" s="17" t="s">
        <v>39</v>
      </c>
      <c r="K2442" s="19">
        <v>212</v>
      </c>
      <c r="L2442" s="91"/>
      <c r="M2442" s="19"/>
      <c r="N2442" s="19" t="s">
        <v>40</v>
      </c>
      <c r="O2442" s="19" t="s">
        <v>50</v>
      </c>
      <c r="P2442" s="19">
        <v>2000</v>
      </c>
      <c r="Q2442" s="19"/>
      <c r="R2442" s="19">
        <f t="shared" si="128"/>
        <v>2000</v>
      </c>
      <c r="S2442" s="19">
        <v>2350</v>
      </c>
      <c r="T2442" s="19" t="s">
        <v>42</v>
      </c>
      <c r="U2442" s="102"/>
      <c r="V2442" s="212"/>
      <c r="W2442" s="17" t="s">
        <v>44</v>
      </c>
      <c r="Z2442" s="17" t="s">
        <v>191</v>
      </c>
      <c r="AA2442" s="17" t="s">
        <v>46</v>
      </c>
      <c r="AD2442" s="65"/>
      <c r="AE2442" s="17" t="s">
        <v>964</v>
      </c>
    </row>
    <row r="2443" s="17" customFormat="1" hidden="1" spans="2:31">
      <c r="B2443" s="19">
        <v>861</v>
      </c>
      <c r="C2443" s="239">
        <v>44573</v>
      </c>
      <c r="D2443" s="17" t="s">
        <v>35</v>
      </c>
      <c r="E2443" s="17" t="s">
        <v>482</v>
      </c>
      <c r="F2443" s="17" t="s">
        <v>72</v>
      </c>
      <c r="H2443" s="19">
        <v>1.2344</v>
      </c>
      <c r="I2443" s="19"/>
      <c r="J2443" s="17" t="s">
        <v>39</v>
      </c>
      <c r="K2443" s="19">
        <v>222</v>
      </c>
      <c r="L2443" s="91"/>
      <c r="M2443" s="19"/>
      <c r="N2443" s="19" t="s">
        <v>40</v>
      </c>
      <c r="O2443" s="19" t="s">
        <v>50</v>
      </c>
      <c r="P2443" s="19">
        <v>3000</v>
      </c>
      <c r="Q2443" s="19"/>
      <c r="R2443" s="19">
        <f t="shared" si="128"/>
        <v>3000</v>
      </c>
      <c r="S2443" s="19">
        <v>2350</v>
      </c>
      <c r="T2443" s="19" t="s">
        <v>42</v>
      </c>
      <c r="U2443" s="102"/>
      <c r="V2443" s="212"/>
      <c r="W2443" s="17" t="s">
        <v>44</v>
      </c>
      <c r="Z2443" s="17" t="s">
        <v>191</v>
      </c>
      <c r="AA2443" s="17" t="s">
        <v>46</v>
      </c>
      <c r="AD2443" s="65"/>
      <c r="AE2443" s="17" t="s">
        <v>964</v>
      </c>
    </row>
    <row r="2444" s="17" customFormat="1" hidden="1" spans="2:31">
      <c r="B2444" s="19">
        <v>861</v>
      </c>
      <c r="C2444" s="239">
        <v>44573</v>
      </c>
      <c r="D2444" s="17" t="s">
        <v>35</v>
      </c>
      <c r="E2444" s="17" t="s">
        <v>482</v>
      </c>
      <c r="F2444" s="17" t="s">
        <v>72</v>
      </c>
      <c r="H2444" s="19">
        <v>1.2344</v>
      </c>
      <c r="I2444" s="19"/>
      <c r="J2444" s="17" t="s">
        <v>39</v>
      </c>
      <c r="K2444" s="19">
        <v>242</v>
      </c>
      <c r="L2444" s="91"/>
      <c r="M2444" s="19"/>
      <c r="N2444" s="19" t="s">
        <v>40</v>
      </c>
      <c r="O2444" s="19" t="s">
        <v>50</v>
      </c>
      <c r="P2444" s="19">
        <v>2000</v>
      </c>
      <c r="Q2444" s="19"/>
      <c r="R2444" s="19">
        <f t="shared" si="128"/>
        <v>2000</v>
      </c>
      <c r="S2444" s="19">
        <v>2350</v>
      </c>
      <c r="T2444" s="19" t="s">
        <v>42</v>
      </c>
      <c r="U2444" s="102"/>
      <c r="V2444" s="212"/>
      <c r="W2444" s="17" t="s">
        <v>44</v>
      </c>
      <c r="Z2444" s="17" t="s">
        <v>191</v>
      </c>
      <c r="AA2444" s="17" t="s">
        <v>46</v>
      </c>
      <c r="AD2444" s="65"/>
      <c r="AE2444" s="17" t="s">
        <v>964</v>
      </c>
    </row>
    <row r="2445" s="17" customFormat="1" hidden="1" spans="2:31">
      <c r="B2445" s="19">
        <v>861</v>
      </c>
      <c r="C2445" s="239">
        <v>44573</v>
      </c>
      <c r="D2445" s="17" t="s">
        <v>35</v>
      </c>
      <c r="E2445" s="17" t="s">
        <v>482</v>
      </c>
      <c r="F2445" s="17" t="s">
        <v>72</v>
      </c>
      <c r="H2445" s="19">
        <v>1.2344</v>
      </c>
      <c r="I2445" s="19"/>
      <c r="J2445" s="17" t="s">
        <v>39</v>
      </c>
      <c r="K2445" s="19">
        <v>252</v>
      </c>
      <c r="L2445" s="91"/>
      <c r="M2445" s="19"/>
      <c r="N2445" s="19" t="s">
        <v>40</v>
      </c>
      <c r="O2445" s="19" t="s">
        <v>50</v>
      </c>
      <c r="P2445" s="19">
        <v>2000</v>
      </c>
      <c r="Q2445" s="19"/>
      <c r="R2445" s="19">
        <f t="shared" si="128"/>
        <v>2000</v>
      </c>
      <c r="S2445" s="19">
        <v>2350</v>
      </c>
      <c r="T2445" s="19" t="s">
        <v>42</v>
      </c>
      <c r="U2445" s="102"/>
      <c r="V2445" s="212"/>
      <c r="W2445" s="17" t="s">
        <v>44</v>
      </c>
      <c r="Z2445" s="17" t="s">
        <v>191</v>
      </c>
      <c r="AA2445" s="17" t="s">
        <v>46</v>
      </c>
      <c r="AD2445" s="65"/>
      <c r="AE2445" s="17" t="s">
        <v>964</v>
      </c>
    </row>
    <row r="2446" s="17" customFormat="1" hidden="1" spans="2:31">
      <c r="B2446" s="19">
        <v>861</v>
      </c>
      <c r="C2446" s="239">
        <v>44573</v>
      </c>
      <c r="D2446" s="17" t="s">
        <v>35</v>
      </c>
      <c r="E2446" s="17" t="s">
        <v>482</v>
      </c>
      <c r="F2446" s="17" t="s">
        <v>72</v>
      </c>
      <c r="H2446" s="19">
        <v>1.2344</v>
      </c>
      <c r="I2446" s="19"/>
      <c r="J2446" s="17" t="s">
        <v>39</v>
      </c>
      <c r="K2446" s="19">
        <v>262</v>
      </c>
      <c r="L2446" s="91"/>
      <c r="M2446" s="19"/>
      <c r="N2446" s="19" t="s">
        <v>40</v>
      </c>
      <c r="O2446" s="19" t="s">
        <v>50</v>
      </c>
      <c r="P2446" s="19">
        <v>2000</v>
      </c>
      <c r="Q2446" s="19"/>
      <c r="R2446" s="19">
        <f t="shared" si="128"/>
        <v>2000</v>
      </c>
      <c r="S2446" s="19">
        <v>2350</v>
      </c>
      <c r="T2446" s="19" t="s">
        <v>42</v>
      </c>
      <c r="U2446" s="102"/>
      <c r="V2446" s="212"/>
      <c r="W2446" s="17" t="s">
        <v>44</v>
      </c>
      <c r="Z2446" s="17" t="s">
        <v>191</v>
      </c>
      <c r="AA2446" s="17" t="s">
        <v>46</v>
      </c>
      <c r="AD2446" s="65"/>
      <c r="AE2446" s="17" t="s">
        <v>964</v>
      </c>
    </row>
    <row r="2447" s="17" customFormat="1" hidden="1" spans="2:31">
      <c r="B2447" s="19">
        <v>861</v>
      </c>
      <c r="C2447" s="239">
        <v>44573</v>
      </c>
      <c r="D2447" s="17" t="s">
        <v>35</v>
      </c>
      <c r="E2447" s="17" t="s">
        <v>482</v>
      </c>
      <c r="F2447" s="17" t="s">
        <v>72</v>
      </c>
      <c r="H2447" s="19">
        <v>1.2344</v>
      </c>
      <c r="I2447" s="19"/>
      <c r="J2447" s="17" t="s">
        <v>39</v>
      </c>
      <c r="K2447" s="19">
        <v>282</v>
      </c>
      <c r="L2447" s="91"/>
      <c r="M2447" s="19"/>
      <c r="N2447" s="19" t="s">
        <v>40</v>
      </c>
      <c r="O2447" s="19" t="s">
        <v>50</v>
      </c>
      <c r="P2447" s="19">
        <v>2000</v>
      </c>
      <c r="Q2447" s="19"/>
      <c r="R2447" s="19">
        <f t="shared" si="128"/>
        <v>2000</v>
      </c>
      <c r="S2447" s="19">
        <v>2350</v>
      </c>
      <c r="T2447" s="19" t="s">
        <v>42</v>
      </c>
      <c r="U2447" s="102"/>
      <c r="V2447" s="212"/>
      <c r="W2447" s="17" t="s">
        <v>44</v>
      </c>
      <c r="Z2447" s="17" t="s">
        <v>191</v>
      </c>
      <c r="AA2447" s="17" t="s">
        <v>46</v>
      </c>
      <c r="AD2447" s="65"/>
      <c r="AE2447" s="17" t="s">
        <v>964</v>
      </c>
    </row>
    <row r="2448" s="17" customFormat="1" hidden="1" spans="2:31">
      <c r="B2448" s="19">
        <v>861</v>
      </c>
      <c r="C2448" s="239">
        <v>44573</v>
      </c>
      <c r="D2448" s="17" t="s">
        <v>35</v>
      </c>
      <c r="E2448" s="17" t="s">
        <v>482</v>
      </c>
      <c r="F2448" s="17" t="s">
        <v>72</v>
      </c>
      <c r="H2448" s="19">
        <v>1.2344</v>
      </c>
      <c r="I2448" s="19"/>
      <c r="J2448" s="17" t="s">
        <v>39</v>
      </c>
      <c r="K2448" s="19">
        <v>312</v>
      </c>
      <c r="L2448" s="91"/>
      <c r="M2448" s="19"/>
      <c r="N2448" s="19" t="s">
        <v>40</v>
      </c>
      <c r="O2448" s="19" t="s">
        <v>50</v>
      </c>
      <c r="P2448" s="19">
        <v>2000</v>
      </c>
      <c r="Q2448" s="19"/>
      <c r="R2448" s="19">
        <f t="shared" si="128"/>
        <v>2000</v>
      </c>
      <c r="S2448" s="19">
        <v>2350</v>
      </c>
      <c r="T2448" s="19" t="s">
        <v>42</v>
      </c>
      <c r="U2448" s="102"/>
      <c r="V2448" s="212"/>
      <c r="W2448" s="17" t="s">
        <v>44</v>
      </c>
      <c r="Z2448" s="17" t="s">
        <v>191</v>
      </c>
      <c r="AA2448" s="17" t="s">
        <v>46</v>
      </c>
      <c r="AD2448" s="65"/>
      <c r="AE2448" s="17" t="s">
        <v>964</v>
      </c>
    </row>
    <row r="2449" s="17" customFormat="1" hidden="1" spans="1:32">
      <c r="B2449" s="19">
        <v>861</v>
      </c>
      <c r="C2449" s="239">
        <v>44573</v>
      </c>
      <c r="D2449" s="17" t="s">
        <v>35</v>
      </c>
      <c r="E2449" s="17" t="s">
        <v>482</v>
      </c>
      <c r="F2449" s="17" t="s">
        <v>72</v>
      </c>
      <c r="H2449" s="19">
        <v>1.2344</v>
      </c>
      <c r="I2449" s="19"/>
      <c r="J2449" s="17" t="s">
        <v>39</v>
      </c>
      <c r="K2449" s="19">
        <v>322</v>
      </c>
      <c r="L2449" s="91"/>
      <c r="M2449" s="19"/>
      <c r="N2449" s="19" t="s">
        <v>40</v>
      </c>
      <c r="O2449" s="19" t="s">
        <v>50</v>
      </c>
      <c r="P2449" s="19">
        <v>2000</v>
      </c>
      <c r="Q2449" s="19"/>
      <c r="R2449" s="19">
        <f t="shared" si="128"/>
        <v>2000</v>
      </c>
      <c r="S2449" s="19">
        <v>2350</v>
      </c>
      <c r="T2449" s="19" t="s">
        <v>42</v>
      </c>
      <c r="U2449" s="102"/>
      <c r="V2449" s="212"/>
      <c r="W2449" s="17" t="s">
        <v>44</v>
      </c>
      <c r="Z2449" s="17" t="s">
        <v>191</v>
      </c>
      <c r="AA2449" s="17" t="s">
        <v>46</v>
      </c>
      <c r="AD2449" s="65"/>
      <c r="AE2449" s="17" t="s">
        <v>964</v>
      </c>
    </row>
    <row r="2450" s="17" customFormat="1" hidden="1" spans="1:32">
      <c r="B2450" s="19">
        <v>861</v>
      </c>
      <c r="C2450" s="239">
        <v>44573</v>
      </c>
      <c r="D2450" s="17" t="s">
        <v>35</v>
      </c>
      <c r="E2450" s="17" t="s">
        <v>482</v>
      </c>
      <c r="F2450" s="17" t="s">
        <v>72</v>
      </c>
      <c r="H2450" s="19">
        <v>1.2344</v>
      </c>
      <c r="I2450" s="19"/>
      <c r="J2450" s="17" t="s">
        <v>39</v>
      </c>
      <c r="K2450" s="19">
        <v>410</v>
      </c>
      <c r="L2450" s="91"/>
      <c r="M2450" s="19"/>
      <c r="N2450" s="19" t="s">
        <v>40</v>
      </c>
      <c r="O2450" s="19" t="s">
        <v>50</v>
      </c>
      <c r="P2450" s="19">
        <v>3000</v>
      </c>
      <c r="Q2450" s="19"/>
      <c r="R2450" s="19">
        <f t="shared" si="128"/>
        <v>3000</v>
      </c>
      <c r="S2450" s="19">
        <v>2350</v>
      </c>
      <c r="T2450" s="19" t="s">
        <v>42</v>
      </c>
      <c r="U2450" s="102"/>
      <c r="V2450" s="212"/>
      <c r="W2450" s="17" t="s">
        <v>44</v>
      </c>
      <c r="Z2450" s="17" t="s">
        <v>191</v>
      </c>
      <c r="AA2450" s="17" t="s">
        <v>46</v>
      </c>
      <c r="AD2450" s="65"/>
      <c r="AE2450" s="17" t="s">
        <v>964</v>
      </c>
    </row>
    <row r="2451" s="17" customFormat="1" hidden="1" spans="1:32">
      <c r="A2451" s="17" t="s">
        <v>34</v>
      </c>
      <c r="B2451" s="19">
        <v>862</v>
      </c>
      <c r="C2451" s="239" t="s">
        <v>954</v>
      </c>
      <c r="D2451" s="17" t="s">
        <v>52</v>
      </c>
      <c r="E2451" s="17" t="s">
        <v>187</v>
      </c>
      <c r="F2451" s="17" t="s">
        <v>54</v>
      </c>
      <c r="H2451" s="19">
        <v>1.2311</v>
      </c>
      <c r="I2451" s="19"/>
      <c r="J2451" s="17" t="s">
        <v>49</v>
      </c>
      <c r="K2451" s="19">
        <v>2200</v>
      </c>
      <c r="L2451" s="91">
        <v>16</v>
      </c>
      <c r="M2451" s="19">
        <v>5000</v>
      </c>
      <c r="N2451" s="19" t="s">
        <v>66</v>
      </c>
      <c r="O2451" s="19" t="s">
        <v>141</v>
      </c>
      <c r="P2451" s="19">
        <v>2000</v>
      </c>
      <c r="Q2451" s="19">
        <f>1422+1370</f>
        <v>2792</v>
      </c>
      <c r="R2451" s="19">
        <f t="shared" si="128"/>
        <v>-792</v>
      </c>
      <c r="S2451" s="19">
        <v>915</v>
      </c>
      <c r="T2451" s="19" t="s">
        <v>42</v>
      </c>
      <c r="U2451" s="102" t="s">
        <v>965</v>
      </c>
      <c r="V2451" s="212" t="s">
        <v>966</v>
      </c>
      <c r="W2451" s="17" t="s">
        <v>69</v>
      </c>
      <c r="Y2451" s="68">
        <v>44927</v>
      </c>
      <c r="Z2451" s="17" t="s">
        <v>191</v>
      </c>
      <c r="AA2451" s="17" t="s">
        <v>46</v>
      </c>
      <c r="AB2451" s="17" t="s">
        <v>967</v>
      </c>
      <c r="AC2451" s="17" t="s">
        <v>968</v>
      </c>
      <c r="AD2451" s="65">
        <v>1385</v>
      </c>
      <c r="AE2451" s="17" t="s">
        <v>48</v>
      </c>
      <c r="AF2451" s="17" t="s">
        <v>245</v>
      </c>
    </row>
    <row r="2452" s="17" customFormat="1" hidden="1" spans="1:32">
      <c r="A2452" s="17" t="s">
        <v>34</v>
      </c>
      <c r="B2452" s="19">
        <v>862</v>
      </c>
      <c r="C2452" s="239" t="s">
        <v>954</v>
      </c>
      <c r="D2452" s="17" t="s">
        <v>52</v>
      </c>
      <c r="E2452" s="17" t="s">
        <v>187</v>
      </c>
      <c r="F2452" s="17" t="s">
        <v>54</v>
      </c>
      <c r="H2452" s="19">
        <v>1.2311</v>
      </c>
      <c r="I2452" s="19"/>
      <c r="J2452" s="17" t="s">
        <v>49</v>
      </c>
      <c r="K2452" s="19">
        <v>2200</v>
      </c>
      <c r="L2452" s="91">
        <v>32</v>
      </c>
      <c r="M2452" s="19">
        <v>5000</v>
      </c>
      <c r="N2452" s="19" t="s">
        <v>66</v>
      </c>
      <c r="O2452" s="19" t="s">
        <v>141</v>
      </c>
      <c r="P2452" s="19">
        <v>2763</v>
      </c>
      <c r="Q2452" s="19">
        <v>2440</v>
      </c>
      <c r="R2452" s="19">
        <f t="shared" si="128"/>
        <v>323</v>
      </c>
      <c r="S2452" s="19">
        <f>865-10</f>
        <v>855</v>
      </c>
      <c r="T2452" s="19" t="s">
        <v>42</v>
      </c>
      <c r="U2452" s="102" t="s">
        <v>965</v>
      </c>
      <c r="V2452" s="212" t="s">
        <v>966</v>
      </c>
      <c r="W2452" s="17" t="s">
        <v>69</v>
      </c>
      <c r="Y2452" s="68">
        <v>44927</v>
      </c>
      <c r="Z2452" s="17" t="s">
        <v>191</v>
      </c>
      <c r="AA2452" s="17" t="s">
        <v>46</v>
      </c>
      <c r="AB2452" s="17" t="s">
        <v>967</v>
      </c>
      <c r="AC2452" s="17" t="s">
        <v>968</v>
      </c>
      <c r="AD2452" s="65">
        <v>1385</v>
      </c>
      <c r="AE2452" s="17" t="s">
        <v>48</v>
      </c>
      <c r="AF2452" s="17" t="s">
        <v>245</v>
      </c>
    </row>
    <row r="2453" s="17" customFormat="1" hidden="1" spans="1:32">
      <c r="A2453" s="17" t="s">
        <v>34</v>
      </c>
      <c r="B2453" s="19">
        <v>862</v>
      </c>
      <c r="C2453" s="239" t="s">
        <v>954</v>
      </c>
      <c r="D2453" s="17" t="s">
        <v>52</v>
      </c>
      <c r="E2453" s="17" t="s">
        <v>187</v>
      </c>
      <c r="F2453" s="17" t="s">
        <v>54</v>
      </c>
      <c r="H2453" s="19">
        <v>1.2311</v>
      </c>
      <c r="I2453" s="19"/>
      <c r="J2453" s="17" t="s">
        <v>49</v>
      </c>
      <c r="K2453" s="19">
        <v>2200</v>
      </c>
      <c r="L2453" s="91">
        <v>40</v>
      </c>
      <c r="M2453" s="19">
        <v>5000</v>
      </c>
      <c r="N2453" s="19" t="s">
        <v>66</v>
      </c>
      <c r="O2453" s="19" t="s">
        <v>141</v>
      </c>
      <c r="P2453" s="19">
        <v>3454</v>
      </c>
      <c r="Q2453" s="19">
        <v>3200</v>
      </c>
      <c r="R2453" s="19">
        <f t="shared" si="128"/>
        <v>254</v>
      </c>
      <c r="S2453" s="19">
        <f>865-10</f>
        <v>855</v>
      </c>
      <c r="T2453" s="19" t="s">
        <v>42</v>
      </c>
      <c r="U2453" s="102" t="s">
        <v>965</v>
      </c>
      <c r="V2453" s="212" t="s">
        <v>966</v>
      </c>
      <c r="W2453" s="17" t="s">
        <v>69</v>
      </c>
      <c r="Y2453" s="68">
        <v>44927</v>
      </c>
      <c r="Z2453" s="17" t="s">
        <v>191</v>
      </c>
      <c r="AA2453" s="17" t="s">
        <v>46</v>
      </c>
      <c r="AB2453" s="17" t="s">
        <v>967</v>
      </c>
      <c r="AC2453" s="17" t="s">
        <v>968</v>
      </c>
      <c r="AD2453" s="65">
        <v>1385</v>
      </c>
      <c r="AE2453" s="17" t="s">
        <v>48</v>
      </c>
      <c r="AF2453" s="17" t="s">
        <v>245</v>
      </c>
    </row>
    <row r="2454" s="17" customFormat="1" hidden="1" spans="1:32">
      <c r="A2454" s="17" t="s">
        <v>34</v>
      </c>
      <c r="B2454" s="19">
        <v>862</v>
      </c>
      <c r="C2454" s="239" t="s">
        <v>954</v>
      </c>
      <c r="D2454" s="17" t="s">
        <v>52</v>
      </c>
      <c r="E2454" s="17" t="s">
        <v>187</v>
      </c>
      <c r="F2454" s="17" t="s">
        <v>54</v>
      </c>
      <c r="H2454" s="19">
        <v>1.2311</v>
      </c>
      <c r="I2454" s="19"/>
      <c r="J2454" s="17" t="s">
        <v>49</v>
      </c>
      <c r="K2454" s="19">
        <v>2200</v>
      </c>
      <c r="L2454" s="91">
        <v>45</v>
      </c>
      <c r="M2454" s="19">
        <v>5000</v>
      </c>
      <c r="N2454" s="19" t="s">
        <v>66</v>
      </c>
      <c r="O2454" s="19" t="s">
        <v>141</v>
      </c>
      <c r="P2454" s="19">
        <v>3886</v>
      </c>
      <c r="Q2454" s="19">
        <v>3730</v>
      </c>
      <c r="R2454" s="19">
        <f t="shared" si="128"/>
        <v>156</v>
      </c>
      <c r="S2454" s="19">
        <v>865</v>
      </c>
      <c r="T2454" s="19" t="s">
        <v>42</v>
      </c>
      <c r="U2454" s="102" t="s">
        <v>965</v>
      </c>
      <c r="V2454" s="212" t="s">
        <v>966</v>
      </c>
      <c r="W2454" s="17" t="s">
        <v>69</v>
      </c>
      <c r="Y2454" s="68">
        <v>44927</v>
      </c>
      <c r="Z2454" s="17" t="s">
        <v>191</v>
      </c>
      <c r="AA2454" s="17" t="s">
        <v>46</v>
      </c>
      <c r="AB2454" s="17" t="s">
        <v>969</v>
      </c>
      <c r="AC2454" s="17" t="s">
        <v>970</v>
      </c>
      <c r="AD2454" s="65">
        <v>1378</v>
      </c>
      <c r="AE2454" s="17" t="s">
        <v>48</v>
      </c>
      <c r="AF2454" s="17" t="s">
        <v>245</v>
      </c>
    </row>
    <row r="2455" s="17" customFormat="1" hidden="1" spans="1:32">
      <c r="A2455" s="17" t="s">
        <v>34</v>
      </c>
      <c r="B2455" s="19">
        <v>862</v>
      </c>
      <c r="C2455" s="239" t="s">
        <v>954</v>
      </c>
      <c r="D2455" s="17" t="s">
        <v>52</v>
      </c>
      <c r="E2455" s="17" t="s">
        <v>187</v>
      </c>
      <c r="F2455" s="17" t="s">
        <v>54</v>
      </c>
      <c r="H2455" s="19">
        <v>1.2311</v>
      </c>
      <c r="I2455" s="19"/>
      <c r="J2455" s="17" t="s">
        <v>49</v>
      </c>
      <c r="K2455" s="19">
        <v>2200</v>
      </c>
      <c r="L2455" s="91">
        <v>56</v>
      </c>
      <c r="M2455" s="19">
        <v>5000</v>
      </c>
      <c r="N2455" s="19" t="s">
        <v>66</v>
      </c>
      <c r="O2455" s="19" t="s">
        <v>141</v>
      </c>
      <c r="P2455" s="19">
        <v>4836</v>
      </c>
      <c r="Q2455" s="19">
        <v>4524</v>
      </c>
      <c r="R2455" s="19">
        <f t="shared" si="128"/>
        <v>312</v>
      </c>
      <c r="S2455" s="19">
        <f>865-10</f>
        <v>855</v>
      </c>
      <c r="T2455" s="19" t="s">
        <v>42</v>
      </c>
      <c r="U2455" s="102" t="s">
        <v>965</v>
      </c>
      <c r="V2455" s="212" t="s">
        <v>966</v>
      </c>
      <c r="W2455" s="17" t="s">
        <v>69</v>
      </c>
      <c r="Y2455" s="68">
        <v>44927</v>
      </c>
      <c r="Z2455" s="17" t="s">
        <v>191</v>
      </c>
      <c r="AA2455" s="17" t="s">
        <v>46</v>
      </c>
      <c r="AB2455" s="17" t="s">
        <v>967</v>
      </c>
      <c r="AC2455" s="17" t="s">
        <v>968</v>
      </c>
      <c r="AD2455" s="65">
        <v>1385</v>
      </c>
      <c r="AE2455" s="17" t="s">
        <v>48</v>
      </c>
      <c r="AF2455" s="17" t="s">
        <v>245</v>
      </c>
    </row>
    <row r="2456" s="17" customFormat="1" hidden="1" spans="1:32">
      <c r="A2456" s="17" t="s">
        <v>34</v>
      </c>
      <c r="B2456" s="19">
        <v>862</v>
      </c>
      <c r="C2456" s="239" t="s">
        <v>954</v>
      </c>
      <c r="D2456" s="17" t="s">
        <v>52</v>
      </c>
      <c r="E2456" s="17" t="s">
        <v>187</v>
      </c>
      <c r="F2456" s="17" t="s">
        <v>54</v>
      </c>
      <c r="H2456" s="19">
        <v>1.2311</v>
      </c>
      <c r="I2456" s="19"/>
      <c r="J2456" s="17" t="s">
        <v>49</v>
      </c>
      <c r="K2456" s="19">
        <v>2200</v>
      </c>
      <c r="L2456" s="91">
        <v>61</v>
      </c>
      <c r="M2456" s="19">
        <v>5000</v>
      </c>
      <c r="N2456" s="19" t="s">
        <v>66</v>
      </c>
      <c r="O2456" s="19" t="s">
        <v>141</v>
      </c>
      <c r="P2456" s="19">
        <v>5267</v>
      </c>
      <c r="Q2456" s="19">
        <v>4790</v>
      </c>
      <c r="R2456" s="19">
        <f t="shared" si="128"/>
        <v>477</v>
      </c>
      <c r="S2456" s="19">
        <f>865-10</f>
        <v>855</v>
      </c>
      <c r="T2456" s="19" t="s">
        <v>42</v>
      </c>
      <c r="U2456" s="102" t="s">
        <v>965</v>
      </c>
      <c r="V2456" s="212" t="s">
        <v>966</v>
      </c>
      <c r="W2456" s="17" t="s">
        <v>69</v>
      </c>
      <c r="Y2456" s="68">
        <v>44927</v>
      </c>
      <c r="Z2456" s="17" t="s">
        <v>191</v>
      </c>
      <c r="AA2456" s="17" t="s">
        <v>46</v>
      </c>
      <c r="AB2456" s="17" t="s">
        <v>967</v>
      </c>
      <c r="AC2456" s="17" t="s">
        <v>968</v>
      </c>
      <c r="AD2456" s="65">
        <v>1385</v>
      </c>
      <c r="AE2456" s="17" t="s">
        <v>48</v>
      </c>
      <c r="AF2456" s="17" t="s">
        <v>245</v>
      </c>
    </row>
    <row r="2457" s="17" customFormat="1" hidden="1" spans="1:32">
      <c r="A2457" s="17" t="s">
        <v>34</v>
      </c>
      <c r="B2457" s="19">
        <v>862</v>
      </c>
      <c r="C2457" s="239" t="s">
        <v>954</v>
      </c>
      <c r="D2457" s="17" t="s">
        <v>52</v>
      </c>
      <c r="E2457" s="17" t="s">
        <v>187</v>
      </c>
      <c r="F2457" s="17" t="s">
        <v>54</v>
      </c>
      <c r="H2457" s="19">
        <v>1.2311</v>
      </c>
      <c r="I2457" s="19"/>
      <c r="J2457" s="17" t="s">
        <v>49</v>
      </c>
      <c r="K2457" s="19">
        <v>2200</v>
      </c>
      <c r="L2457" s="91">
        <v>65</v>
      </c>
      <c r="M2457" s="19">
        <v>5000</v>
      </c>
      <c r="N2457" s="19" t="s">
        <v>66</v>
      </c>
      <c r="O2457" s="19" t="s">
        <v>141</v>
      </c>
      <c r="P2457" s="19">
        <v>5613</v>
      </c>
      <c r="Q2457" s="19">
        <v>5404</v>
      </c>
      <c r="R2457" s="19">
        <f t="shared" si="128"/>
        <v>209</v>
      </c>
      <c r="S2457" s="19">
        <f>865-10</f>
        <v>855</v>
      </c>
      <c r="T2457" s="19" t="s">
        <v>42</v>
      </c>
      <c r="U2457" s="102" t="s">
        <v>965</v>
      </c>
      <c r="V2457" s="212" t="s">
        <v>966</v>
      </c>
      <c r="W2457" s="17" t="s">
        <v>69</v>
      </c>
      <c r="Y2457" s="68">
        <v>44927</v>
      </c>
      <c r="Z2457" s="17" t="s">
        <v>191</v>
      </c>
      <c r="AA2457" s="17" t="s">
        <v>46</v>
      </c>
      <c r="AB2457" s="17" t="s">
        <v>967</v>
      </c>
      <c r="AC2457" s="17" t="s">
        <v>968</v>
      </c>
      <c r="AD2457" s="65">
        <v>1385</v>
      </c>
      <c r="AE2457" s="17" t="s">
        <v>48</v>
      </c>
      <c r="AF2457" s="17" t="s">
        <v>245</v>
      </c>
    </row>
    <row r="2458" s="17" customFormat="1" hidden="1" spans="1:32">
      <c r="A2458" s="17" t="s">
        <v>34</v>
      </c>
      <c r="B2458" s="19">
        <v>862</v>
      </c>
      <c r="C2458" s="239" t="s">
        <v>954</v>
      </c>
      <c r="D2458" s="17" t="s">
        <v>52</v>
      </c>
      <c r="E2458" s="17" t="s">
        <v>187</v>
      </c>
      <c r="F2458" s="17" t="s">
        <v>54</v>
      </c>
      <c r="H2458" s="19">
        <v>1.2311</v>
      </c>
      <c r="I2458" s="19"/>
      <c r="J2458" s="17" t="s">
        <v>49</v>
      </c>
      <c r="K2458" s="19">
        <v>2200</v>
      </c>
      <c r="L2458" s="91">
        <v>75</v>
      </c>
      <c r="M2458" s="19">
        <v>5000</v>
      </c>
      <c r="N2458" s="19" t="s">
        <v>66</v>
      </c>
      <c r="O2458" s="19" t="s">
        <v>141</v>
      </c>
      <c r="P2458" s="19">
        <v>6476</v>
      </c>
      <c r="Q2458" s="19">
        <v>6122</v>
      </c>
      <c r="R2458" s="19">
        <f t="shared" si="128"/>
        <v>354</v>
      </c>
      <c r="S2458" s="19">
        <f>865-10</f>
        <v>855</v>
      </c>
      <c r="T2458" s="19" t="s">
        <v>42</v>
      </c>
      <c r="U2458" s="102" t="s">
        <v>965</v>
      </c>
      <c r="V2458" s="212" t="s">
        <v>966</v>
      </c>
      <c r="W2458" s="17" t="s">
        <v>69</v>
      </c>
      <c r="Y2458" s="68">
        <v>44927</v>
      </c>
      <c r="Z2458" s="17" t="s">
        <v>191</v>
      </c>
      <c r="AA2458" s="17" t="s">
        <v>46</v>
      </c>
      <c r="AB2458" s="17" t="s">
        <v>967</v>
      </c>
      <c r="AC2458" s="17" t="s">
        <v>968</v>
      </c>
      <c r="AD2458" s="65">
        <v>1385</v>
      </c>
      <c r="AE2458" s="17" t="s">
        <v>48</v>
      </c>
      <c r="AF2458" s="17" t="s">
        <v>245</v>
      </c>
    </row>
    <row r="2459" s="17" customFormat="1" hidden="1" spans="1:32">
      <c r="A2459" s="17" t="s">
        <v>34</v>
      </c>
      <c r="B2459" s="19">
        <v>862</v>
      </c>
      <c r="C2459" s="239" t="s">
        <v>954</v>
      </c>
      <c r="D2459" s="17" t="s">
        <v>52</v>
      </c>
      <c r="E2459" s="17" t="s">
        <v>187</v>
      </c>
      <c r="F2459" s="17" t="s">
        <v>54</v>
      </c>
      <c r="H2459" s="19">
        <v>1.2311</v>
      </c>
      <c r="I2459" s="19"/>
      <c r="J2459" s="17" t="s">
        <v>49</v>
      </c>
      <c r="K2459" s="19">
        <v>2200</v>
      </c>
      <c r="L2459" s="91">
        <v>81</v>
      </c>
      <c r="M2459" s="19">
        <v>5000</v>
      </c>
      <c r="N2459" s="19" t="s">
        <v>66</v>
      </c>
      <c r="O2459" s="19" t="s">
        <v>141</v>
      </c>
      <c r="P2459" s="19">
        <v>6994</v>
      </c>
      <c r="Q2459" s="19">
        <v>6970</v>
      </c>
      <c r="R2459" s="19">
        <f t="shared" si="128"/>
        <v>24</v>
      </c>
      <c r="S2459" s="19">
        <v>865</v>
      </c>
      <c r="T2459" s="19" t="s">
        <v>42</v>
      </c>
      <c r="U2459" s="102" t="s">
        <v>965</v>
      </c>
      <c r="V2459" s="212" t="s">
        <v>966</v>
      </c>
      <c r="W2459" s="17" t="s">
        <v>69</v>
      </c>
      <c r="Y2459" s="68">
        <v>44927</v>
      </c>
      <c r="Z2459" s="17" t="s">
        <v>191</v>
      </c>
      <c r="AA2459" s="17" t="s">
        <v>46</v>
      </c>
      <c r="AB2459" s="17" t="s">
        <v>969</v>
      </c>
      <c r="AC2459" s="17" t="s">
        <v>970</v>
      </c>
      <c r="AD2459" s="65">
        <v>1378</v>
      </c>
      <c r="AE2459" s="17" t="s">
        <v>48</v>
      </c>
      <c r="AF2459" s="17" t="s">
        <v>245</v>
      </c>
    </row>
    <row r="2460" s="17" customFormat="1" hidden="1" spans="1:32">
      <c r="A2460" s="17" t="s">
        <v>34</v>
      </c>
      <c r="B2460" s="19">
        <v>862</v>
      </c>
      <c r="C2460" s="239" t="s">
        <v>954</v>
      </c>
      <c r="D2460" s="17" t="s">
        <v>52</v>
      </c>
      <c r="E2460" s="17" t="s">
        <v>187</v>
      </c>
      <c r="F2460" s="17" t="s">
        <v>54</v>
      </c>
      <c r="H2460" s="19">
        <v>1.2311</v>
      </c>
      <c r="I2460" s="19"/>
      <c r="J2460" s="17" t="s">
        <v>49</v>
      </c>
      <c r="K2460" s="19">
        <v>1573</v>
      </c>
      <c r="L2460" s="91">
        <v>190</v>
      </c>
      <c r="M2460" s="19">
        <v>5000</v>
      </c>
      <c r="N2460" s="19" t="s">
        <v>66</v>
      </c>
      <c r="O2460" s="19" t="s">
        <v>141</v>
      </c>
      <c r="P2460" s="19">
        <v>16407</v>
      </c>
      <c r="Q2460" s="19">
        <v>13528</v>
      </c>
      <c r="R2460" s="19">
        <f t="shared" si="128"/>
        <v>2879</v>
      </c>
      <c r="S2460" s="19">
        <f>1085-10</f>
        <v>1075</v>
      </c>
      <c r="T2460" s="19" t="s">
        <v>42</v>
      </c>
      <c r="U2460" s="102" t="s">
        <v>965</v>
      </c>
      <c r="V2460" s="212" t="s">
        <v>966</v>
      </c>
      <c r="W2460" s="17" t="s">
        <v>69</v>
      </c>
      <c r="Y2460" s="68">
        <v>44927</v>
      </c>
      <c r="Z2460" s="17" t="s">
        <v>191</v>
      </c>
      <c r="AA2460" s="17" t="s">
        <v>46</v>
      </c>
      <c r="AB2460" s="17" t="s">
        <v>967</v>
      </c>
      <c r="AC2460" s="17" t="s">
        <v>968</v>
      </c>
      <c r="AD2460" s="65">
        <v>1385</v>
      </c>
      <c r="AE2460" s="17" t="s">
        <v>48</v>
      </c>
      <c r="AF2460" s="17" t="s">
        <v>245</v>
      </c>
    </row>
    <row r="2461" s="17" customFormat="1" hidden="1" spans="1:32">
      <c r="A2461" s="17" t="s">
        <v>34</v>
      </c>
      <c r="B2461" s="19">
        <v>862</v>
      </c>
      <c r="C2461" s="239" t="s">
        <v>954</v>
      </c>
      <c r="D2461" s="17" t="s">
        <v>52</v>
      </c>
      <c r="E2461" s="17" t="s">
        <v>187</v>
      </c>
      <c r="F2461" s="17" t="s">
        <v>54</v>
      </c>
      <c r="H2461" s="19">
        <v>1.2311</v>
      </c>
      <c r="I2461" s="19"/>
      <c r="J2461" s="17" t="s">
        <v>49</v>
      </c>
      <c r="K2461" s="19">
        <v>2200</v>
      </c>
      <c r="L2461" s="91">
        <v>210</v>
      </c>
      <c r="M2461" s="19">
        <v>5000</v>
      </c>
      <c r="N2461" s="19" t="s">
        <v>66</v>
      </c>
      <c r="O2461" s="19" t="s">
        <v>141</v>
      </c>
      <c r="P2461" s="19">
        <v>18134</v>
      </c>
      <c r="Q2461" s="19">
        <v>14748</v>
      </c>
      <c r="R2461" s="19">
        <f t="shared" si="128"/>
        <v>3386</v>
      </c>
      <c r="S2461" s="19">
        <v>1085</v>
      </c>
      <c r="T2461" s="19" t="s">
        <v>42</v>
      </c>
      <c r="U2461" s="102" t="s">
        <v>965</v>
      </c>
      <c r="V2461" s="212" t="s">
        <v>966</v>
      </c>
      <c r="W2461" s="17" t="s">
        <v>69</v>
      </c>
      <c r="Y2461" s="68">
        <v>44927</v>
      </c>
      <c r="Z2461" s="17" t="s">
        <v>191</v>
      </c>
      <c r="AA2461" s="17" t="s">
        <v>46</v>
      </c>
      <c r="AB2461" s="17" t="s">
        <v>969</v>
      </c>
      <c r="AC2461" s="17" t="s">
        <v>970</v>
      </c>
      <c r="AD2461" s="65">
        <v>1378</v>
      </c>
      <c r="AE2461" s="17" t="s">
        <v>48</v>
      </c>
      <c r="AF2461" s="17" t="s">
        <v>245</v>
      </c>
    </row>
    <row r="2462" s="17" customFormat="1" hidden="1" spans="1:32">
      <c r="A2462" s="17" t="s">
        <v>34</v>
      </c>
      <c r="B2462" s="19">
        <v>862</v>
      </c>
      <c r="C2462" s="239" t="s">
        <v>954</v>
      </c>
      <c r="D2462" s="17" t="s">
        <v>52</v>
      </c>
      <c r="E2462" s="17" t="s">
        <v>187</v>
      </c>
      <c r="F2462" s="17" t="s">
        <v>54</v>
      </c>
      <c r="H2462" s="19">
        <v>1.2311</v>
      </c>
      <c r="I2462" s="19"/>
      <c r="J2462" s="17" t="s">
        <v>49</v>
      </c>
      <c r="K2462" s="19">
        <v>2200</v>
      </c>
      <c r="L2462" s="91">
        <v>255</v>
      </c>
      <c r="M2462" s="19">
        <v>4000</v>
      </c>
      <c r="N2462" s="19" t="s">
        <v>66</v>
      </c>
      <c r="O2462" s="19" t="s">
        <v>168</v>
      </c>
      <c r="P2462" s="19">
        <v>17615</v>
      </c>
      <c r="Q2462" s="19">
        <f>10920+9790</f>
        <v>20710</v>
      </c>
      <c r="R2462" s="19">
        <f t="shared" si="128"/>
        <v>-3095</v>
      </c>
      <c r="S2462" s="19">
        <v>1385</v>
      </c>
      <c r="T2462" s="19" t="s">
        <v>42</v>
      </c>
      <c r="U2462" s="102" t="s">
        <v>965</v>
      </c>
      <c r="V2462" s="212" t="s">
        <v>966</v>
      </c>
      <c r="W2462" s="17" t="s">
        <v>69</v>
      </c>
      <c r="Y2462" s="68">
        <v>44927</v>
      </c>
      <c r="Z2462" s="17" t="s">
        <v>191</v>
      </c>
      <c r="AA2462" s="17" t="s">
        <v>46</v>
      </c>
      <c r="AB2462" s="17" t="s">
        <v>969</v>
      </c>
      <c r="AC2462" s="17" t="s">
        <v>970</v>
      </c>
      <c r="AD2462" s="65">
        <v>1378</v>
      </c>
      <c r="AE2462" s="17" t="s">
        <v>48</v>
      </c>
      <c r="AF2462" s="17" t="s">
        <v>245</v>
      </c>
    </row>
    <row r="2463" s="17" customFormat="1" hidden="1" spans="1:32">
      <c r="A2463" s="17" t="s">
        <v>34</v>
      </c>
      <c r="B2463" s="19">
        <v>862</v>
      </c>
      <c r="C2463" s="239" t="s">
        <v>954</v>
      </c>
      <c r="D2463" s="17" t="s">
        <v>52</v>
      </c>
      <c r="E2463" s="17" t="s">
        <v>187</v>
      </c>
      <c r="F2463" s="17" t="s">
        <v>54</v>
      </c>
      <c r="H2463" s="19">
        <v>1.2311</v>
      </c>
      <c r="I2463" s="19"/>
      <c r="J2463" s="17" t="s">
        <v>49</v>
      </c>
      <c r="K2463" s="19">
        <v>2200</v>
      </c>
      <c r="L2463" s="91">
        <v>310</v>
      </c>
      <c r="M2463" s="19">
        <v>4000</v>
      </c>
      <c r="N2463" s="19" t="s">
        <v>66</v>
      </c>
      <c r="O2463" s="19" t="s">
        <v>168</v>
      </c>
      <c r="P2463" s="19">
        <v>21415</v>
      </c>
      <c r="Q2463" s="19">
        <f>13450+13180</f>
        <v>26630</v>
      </c>
      <c r="R2463" s="19">
        <f t="shared" si="128"/>
        <v>-5215</v>
      </c>
      <c r="S2463" s="19">
        <v>1385</v>
      </c>
      <c r="T2463" s="19" t="s">
        <v>42</v>
      </c>
      <c r="U2463" s="102" t="s">
        <v>965</v>
      </c>
      <c r="V2463" s="212" t="s">
        <v>966</v>
      </c>
      <c r="W2463" s="17" t="s">
        <v>69</v>
      </c>
      <c r="Y2463" s="68">
        <v>44927</v>
      </c>
      <c r="Z2463" s="17" t="s">
        <v>191</v>
      </c>
      <c r="AA2463" s="17" t="s">
        <v>46</v>
      </c>
      <c r="AB2463" s="17" t="s">
        <v>969</v>
      </c>
      <c r="AC2463" s="17" t="s">
        <v>970</v>
      </c>
      <c r="AD2463" s="65">
        <v>1378</v>
      </c>
      <c r="AE2463" s="17" t="s">
        <v>48</v>
      </c>
      <c r="AF2463" s="17" t="s">
        <v>245</v>
      </c>
    </row>
    <row r="2464" s="17" customFormat="1" hidden="1" spans="1:32">
      <c r="A2464" s="17" t="s">
        <v>34</v>
      </c>
      <c r="B2464" s="19">
        <v>862</v>
      </c>
      <c r="C2464" s="239" t="s">
        <v>954</v>
      </c>
      <c r="D2464" s="17" t="s">
        <v>52</v>
      </c>
      <c r="E2464" s="17" t="s">
        <v>187</v>
      </c>
      <c r="F2464" s="17" t="s">
        <v>54</v>
      </c>
      <c r="H2464" s="19">
        <v>1.2311</v>
      </c>
      <c r="I2464" s="19"/>
      <c r="J2464" s="17" t="s">
        <v>49</v>
      </c>
      <c r="K2464" s="19">
        <v>2200</v>
      </c>
      <c r="L2464" s="91">
        <v>510</v>
      </c>
      <c r="M2464" s="19">
        <v>3000</v>
      </c>
      <c r="N2464" s="19" t="s">
        <v>66</v>
      </c>
      <c r="O2464" s="19" t="s">
        <v>168</v>
      </c>
      <c r="P2464" s="19">
        <v>26423</v>
      </c>
      <c r="Q2464" s="19">
        <v>20700</v>
      </c>
      <c r="R2464" s="19">
        <f t="shared" si="128"/>
        <v>5723</v>
      </c>
      <c r="S2464" s="19">
        <f>1485-20</f>
        <v>1465</v>
      </c>
      <c r="T2464" s="19" t="s">
        <v>42</v>
      </c>
      <c r="U2464" s="102" t="s">
        <v>965</v>
      </c>
      <c r="V2464" s="212" t="s">
        <v>966</v>
      </c>
      <c r="W2464" s="17" t="s">
        <v>69</v>
      </c>
      <c r="Y2464" s="68">
        <v>44927</v>
      </c>
      <c r="Z2464" s="17" t="s">
        <v>191</v>
      </c>
      <c r="AA2464" s="17" t="s">
        <v>46</v>
      </c>
      <c r="AB2464" s="17" t="s">
        <v>967</v>
      </c>
      <c r="AC2464" s="17" t="s">
        <v>968</v>
      </c>
      <c r="AD2464" s="65">
        <v>1385</v>
      </c>
      <c r="AE2464" s="17" t="s">
        <v>48</v>
      </c>
      <c r="AF2464" s="17" t="s">
        <v>245</v>
      </c>
    </row>
    <row r="2465" s="17" customFormat="1" hidden="1" spans="1:35">
      <c r="A2465" s="17" t="s">
        <v>34</v>
      </c>
      <c r="B2465" s="19">
        <v>862</v>
      </c>
      <c r="C2465" s="239" t="s">
        <v>954</v>
      </c>
      <c r="D2465" s="17" t="s">
        <v>52</v>
      </c>
      <c r="E2465" s="17" t="s">
        <v>187</v>
      </c>
      <c r="F2465" s="17" t="s">
        <v>54</v>
      </c>
      <c r="H2465" s="19">
        <v>1.2738</v>
      </c>
      <c r="I2465" s="19"/>
      <c r="J2465" s="17" t="s">
        <v>49</v>
      </c>
      <c r="K2465" s="19">
        <v>2200</v>
      </c>
      <c r="L2465" s="91">
        <v>230</v>
      </c>
      <c r="M2465" s="19">
        <v>5000</v>
      </c>
      <c r="N2465" s="19" t="s">
        <v>66</v>
      </c>
      <c r="O2465" s="19" t="s">
        <v>141</v>
      </c>
      <c r="P2465" s="19">
        <v>19861</v>
      </c>
      <c r="Q2465" s="19">
        <v>8075</v>
      </c>
      <c r="S2465" s="19">
        <v>1565</v>
      </c>
      <c r="T2465" s="19" t="s">
        <v>42</v>
      </c>
      <c r="U2465" s="102" t="s">
        <v>965</v>
      </c>
      <c r="V2465" s="212" t="s">
        <v>966</v>
      </c>
      <c r="W2465" s="17" t="s">
        <v>69</v>
      </c>
      <c r="Y2465" s="68">
        <v>44927</v>
      </c>
      <c r="Z2465" s="17" t="s">
        <v>191</v>
      </c>
      <c r="AA2465" s="17" t="s">
        <v>46</v>
      </c>
      <c r="AB2465" s="17" t="s">
        <v>969</v>
      </c>
      <c r="AC2465" s="17" t="s">
        <v>970</v>
      </c>
      <c r="AD2465" s="65">
        <v>1378</v>
      </c>
      <c r="AE2465" s="17" t="s">
        <v>48</v>
      </c>
      <c r="AF2465" s="17" t="s">
        <v>245</v>
      </c>
    </row>
    <row r="2466" s="17" customFormat="1" hidden="1" spans="1:35">
      <c r="A2466" s="17" t="s">
        <v>34</v>
      </c>
      <c r="B2466" s="19">
        <v>862</v>
      </c>
      <c r="C2466" s="239" t="s">
        <v>954</v>
      </c>
      <c r="D2466" s="17" t="s">
        <v>52</v>
      </c>
      <c r="E2466" s="17" t="s">
        <v>187</v>
      </c>
      <c r="F2466" s="17" t="s">
        <v>54</v>
      </c>
      <c r="H2466" s="19">
        <v>1.2738</v>
      </c>
      <c r="I2466" s="19"/>
      <c r="J2466" s="17" t="s">
        <v>49</v>
      </c>
      <c r="K2466" s="19">
        <v>1560</v>
      </c>
      <c r="L2466" s="91">
        <v>230</v>
      </c>
      <c r="M2466" s="19">
        <v>2790</v>
      </c>
      <c r="N2466" s="19" t="s">
        <v>66</v>
      </c>
      <c r="O2466" s="19" t="s">
        <v>141</v>
      </c>
      <c r="P2466" s="19"/>
      <c r="Q2466" s="19">
        <v>7950</v>
      </c>
      <c r="R2466" s="19">
        <f>+P2465-Q2465-Q2466</f>
        <v>3836</v>
      </c>
      <c r="S2466" s="19">
        <v>1565</v>
      </c>
      <c r="T2466" s="19" t="s">
        <v>42</v>
      </c>
      <c r="U2466" s="102" t="s">
        <v>965</v>
      </c>
      <c r="V2466" s="212" t="s">
        <v>966</v>
      </c>
      <c r="W2466" s="17" t="s">
        <v>69</v>
      </c>
      <c r="Y2466" s="68">
        <v>44927</v>
      </c>
      <c r="Z2466" s="17" t="s">
        <v>191</v>
      </c>
      <c r="AA2466" s="17" t="s">
        <v>46</v>
      </c>
      <c r="AB2466" s="17" t="s">
        <v>967</v>
      </c>
      <c r="AC2466" s="17" t="s">
        <v>968</v>
      </c>
      <c r="AD2466" s="65">
        <v>1385</v>
      </c>
      <c r="AE2466" s="17" t="s">
        <v>48</v>
      </c>
      <c r="AF2466" s="17" t="s">
        <v>245</v>
      </c>
    </row>
    <row r="2467" s="17" customFormat="1" hidden="1" spans="1:35">
      <c r="A2467" s="17" t="s">
        <v>34</v>
      </c>
      <c r="B2467" s="19">
        <v>864</v>
      </c>
      <c r="C2467" s="239" t="s">
        <v>971</v>
      </c>
      <c r="D2467" s="17" t="s">
        <v>52</v>
      </c>
      <c r="E2467" s="17" t="s">
        <v>187</v>
      </c>
      <c r="F2467" s="17" t="s">
        <v>54</v>
      </c>
      <c r="H2467" s="19">
        <v>1.2311</v>
      </c>
      <c r="I2467" s="19"/>
      <c r="J2467" s="17" t="s">
        <v>49</v>
      </c>
      <c r="K2467" s="19">
        <v>1600</v>
      </c>
      <c r="L2467" s="91">
        <v>380</v>
      </c>
      <c r="M2467" s="19">
        <v>3000</v>
      </c>
      <c r="N2467" s="19" t="s">
        <v>66</v>
      </c>
      <c r="O2467" s="19" t="s">
        <v>168</v>
      </c>
      <c r="P2467" s="19">
        <v>14318</v>
      </c>
      <c r="Q2467" s="19">
        <v>17940</v>
      </c>
      <c r="R2467" s="19">
        <f t="shared" ref="R2467:R2485" si="129">+P2467-Q2467</f>
        <v>-3622</v>
      </c>
      <c r="S2467" s="19">
        <v>1340</v>
      </c>
      <c r="T2467" s="19" t="s">
        <v>42</v>
      </c>
      <c r="U2467" s="102" t="s">
        <v>972</v>
      </c>
      <c r="V2467" s="212" t="s">
        <v>973</v>
      </c>
      <c r="W2467" s="17" t="s">
        <v>69</v>
      </c>
      <c r="Y2467" s="68">
        <v>44927</v>
      </c>
      <c r="Z2467" s="17" t="s">
        <v>191</v>
      </c>
      <c r="AA2467" s="17" t="s">
        <v>46</v>
      </c>
      <c r="AB2467" s="17" t="s">
        <v>967</v>
      </c>
      <c r="AC2467" s="102" t="s">
        <v>974</v>
      </c>
      <c r="AD2467" s="65">
        <v>1385</v>
      </c>
      <c r="AE2467" s="17" t="s">
        <v>48</v>
      </c>
      <c r="AF2467" s="17" t="s">
        <v>560</v>
      </c>
      <c r="AI2467" s="17">
        <v>1360</v>
      </c>
    </row>
    <row r="2468" s="17" customFormat="1" hidden="1" spans="1:35">
      <c r="A2468" s="17" t="s">
        <v>34</v>
      </c>
      <c r="B2468" s="19">
        <v>864</v>
      </c>
      <c r="C2468" s="239" t="s">
        <v>971</v>
      </c>
      <c r="D2468" s="17" t="s">
        <v>52</v>
      </c>
      <c r="E2468" s="17" t="s">
        <v>187</v>
      </c>
      <c r="F2468" s="17" t="s">
        <v>54</v>
      </c>
      <c r="H2468" s="19">
        <v>1.2311</v>
      </c>
      <c r="I2468" s="19"/>
      <c r="J2468" s="17" t="s">
        <v>49</v>
      </c>
      <c r="K2468" s="19">
        <v>1600</v>
      </c>
      <c r="L2468" s="91">
        <v>400</v>
      </c>
      <c r="M2468" s="19">
        <v>3000</v>
      </c>
      <c r="N2468" s="19" t="s">
        <v>66</v>
      </c>
      <c r="O2468" s="19" t="s">
        <v>168</v>
      </c>
      <c r="P2468" s="19">
        <v>15072</v>
      </c>
      <c r="Q2468" s="19">
        <v>18460</v>
      </c>
      <c r="R2468" s="19">
        <f t="shared" si="129"/>
        <v>-3388</v>
      </c>
      <c r="S2468" s="19">
        <v>1380</v>
      </c>
      <c r="T2468" s="19" t="s">
        <v>42</v>
      </c>
      <c r="U2468" s="102" t="s">
        <v>972</v>
      </c>
      <c r="V2468" s="212" t="s">
        <v>973</v>
      </c>
      <c r="W2468" s="17" t="s">
        <v>69</v>
      </c>
      <c r="Y2468" s="68">
        <v>44927</v>
      </c>
      <c r="Z2468" s="17" t="s">
        <v>191</v>
      </c>
      <c r="AA2468" s="17" t="s">
        <v>46</v>
      </c>
      <c r="AB2468" s="17" t="s">
        <v>975</v>
      </c>
      <c r="AC2468" s="102" t="s">
        <v>976</v>
      </c>
      <c r="AD2468" s="65">
        <v>1401</v>
      </c>
      <c r="AE2468" s="17" t="s">
        <v>48</v>
      </c>
      <c r="AF2468" s="17" t="s">
        <v>560</v>
      </c>
      <c r="AI2468" s="17">
        <v>1400</v>
      </c>
    </row>
    <row r="2469" s="17" customFormat="1" hidden="1" spans="1:35">
      <c r="A2469" s="17" t="s">
        <v>34</v>
      </c>
      <c r="B2469" s="19">
        <v>864</v>
      </c>
      <c r="C2469" s="239" t="s">
        <v>971</v>
      </c>
      <c r="D2469" s="17" t="s">
        <v>52</v>
      </c>
      <c r="E2469" s="17" t="s">
        <v>187</v>
      </c>
      <c r="F2469" s="17" t="s">
        <v>54</v>
      </c>
      <c r="H2469" s="19">
        <v>1.2738</v>
      </c>
      <c r="I2469" s="19"/>
      <c r="J2469" s="17" t="s">
        <v>49</v>
      </c>
      <c r="K2469" s="19">
        <v>1600</v>
      </c>
      <c r="L2469" s="91">
        <v>265</v>
      </c>
      <c r="M2469" s="19">
        <v>3000</v>
      </c>
      <c r="N2469" s="19" t="s">
        <v>66</v>
      </c>
      <c r="O2469" s="19" t="s">
        <v>168</v>
      </c>
      <c r="P2469" s="19">
        <v>9985</v>
      </c>
      <c r="Q2469" s="19">
        <v>12040</v>
      </c>
      <c r="R2469" s="19">
        <f t="shared" si="129"/>
        <v>-2055</v>
      </c>
      <c r="S2469" s="19">
        <v>1580</v>
      </c>
      <c r="T2469" s="19" t="s">
        <v>42</v>
      </c>
      <c r="U2469" s="102" t="s">
        <v>972</v>
      </c>
      <c r="V2469" s="212" t="s">
        <v>973</v>
      </c>
      <c r="W2469" s="17" t="s">
        <v>69</v>
      </c>
      <c r="Y2469" s="68">
        <v>44927</v>
      </c>
      <c r="Z2469" s="17" t="s">
        <v>191</v>
      </c>
      <c r="AA2469" s="17" t="s">
        <v>46</v>
      </c>
      <c r="AB2469" s="17" t="s">
        <v>977</v>
      </c>
      <c r="AC2469" s="217">
        <v>45172</v>
      </c>
      <c r="AD2469" s="65">
        <v>1392</v>
      </c>
      <c r="AE2469" s="17" t="s">
        <v>48</v>
      </c>
      <c r="AF2469" s="17" t="s">
        <v>560</v>
      </c>
      <c r="AI2469" s="17">
        <v>1600</v>
      </c>
    </row>
    <row r="2470" s="17" customFormat="1" hidden="1" spans="1:35">
      <c r="A2470" s="17" t="s">
        <v>34</v>
      </c>
      <c r="B2470" s="19">
        <v>864</v>
      </c>
      <c r="C2470" s="239" t="s">
        <v>971</v>
      </c>
      <c r="D2470" s="17" t="s">
        <v>52</v>
      </c>
      <c r="E2470" s="17" t="s">
        <v>187</v>
      </c>
      <c r="F2470" s="17" t="s">
        <v>54</v>
      </c>
      <c r="H2470" s="19">
        <v>1.2738</v>
      </c>
      <c r="I2470" s="19"/>
      <c r="J2470" s="17" t="s">
        <v>49</v>
      </c>
      <c r="K2470" s="19">
        <v>1600</v>
      </c>
      <c r="L2470" s="91">
        <v>315</v>
      </c>
      <c r="M2470" s="19">
        <v>3000</v>
      </c>
      <c r="N2470" s="19" t="s">
        <v>66</v>
      </c>
      <c r="O2470" s="19" t="s">
        <v>168</v>
      </c>
      <c r="P2470" s="19">
        <v>11869</v>
      </c>
      <c r="Q2470" s="19">
        <v>13860</v>
      </c>
      <c r="R2470" s="19">
        <f t="shared" si="129"/>
        <v>-1991</v>
      </c>
      <c r="S2470" s="19">
        <v>1580</v>
      </c>
      <c r="T2470" s="19" t="s">
        <v>42</v>
      </c>
      <c r="U2470" s="102" t="s">
        <v>972</v>
      </c>
      <c r="V2470" s="212" t="s">
        <v>973</v>
      </c>
      <c r="W2470" s="17" t="s">
        <v>69</v>
      </c>
      <c r="Y2470" s="68">
        <v>44927</v>
      </c>
      <c r="Z2470" s="17" t="s">
        <v>191</v>
      </c>
      <c r="AA2470" s="17" t="s">
        <v>46</v>
      </c>
      <c r="AB2470" s="17" t="s">
        <v>977</v>
      </c>
      <c r="AC2470" s="217">
        <v>45172</v>
      </c>
      <c r="AD2470" s="65">
        <v>1392</v>
      </c>
      <c r="AE2470" s="17" t="s">
        <v>48</v>
      </c>
      <c r="AF2470" s="17" t="s">
        <v>560</v>
      </c>
      <c r="AI2470" s="17">
        <v>1600</v>
      </c>
    </row>
    <row r="2471" s="17" customFormat="1" hidden="1" spans="1:35">
      <c r="A2471" s="17" t="s">
        <v>34</v>
      </c>
      <c r="B2471" s="19">
        <v>864</v>
      </c>
      <c r="C2471" s="239" t="s">
        <v>971</v>
      </c>
      <c r="D2471" s="17" t="s">
        <v>52</v>
      </c>
      <c r="E2471" s="17" t="s">
        <v>187</v>
      </c>
      <c r="F2471" s="17" t="s">
        <v>54</v>
      </c>
      <c r="H2471" s="19">
        <v>1.2738</v>
      </c>
      <c r="I2471" s="19"/>
      <c r="J2471" s="17" t="s">
        <v>49</v>
      </c>
      <c r="K2471" s="19">
        <v>1600</v>
      </c>
      <c r="L2471" s="91">
        <v>380</v>
      </c>
      <c r="M2471" s="19">
        <v>3000</v>
      </c>
      <c r="N2471" s="19" t="s">
        <v>66</v>
      </c>
      <c r="O2471" s="19" t="s">
        <v>168</v>
      </c>
      <c r="P2471" s="19">
        <v>14318</v>
      </c>
      <c r="Q2471" s="19">
        <v>15000</v>
      </c>
      <c r="R2471" s="19">
        <f t="shared" si="129"/>
        <v>-682</v>
      </c>
      <c r="S2471" s="19">
        <v>1620</v>
      </c>
      <c r="T2471" s="19" t="s">
        <v>42</v>
      </c>
      <c r="U2471" s="102" t="s">
        <v>972</v>
      </c>
      <c r="V2471" s="212" t="s">
        <v>973</v>
      </c>
      <c r="W2471" s="17" t="s">
        <v>69</v>
      </c>
      <c r="Y2471" s="68">
        <v>44927</v>
      </c>
      <c r="Z2471" s="17" t="s">
        <v>191</v>
      </c>
      <c r="AA2471" s="17" t="s">
        <v>46</v>
      </c>
      <c r="AB2471" s="17" t="s">
        <v>967</v>
      </c>
      <c r="AC2471" s="102" t="s">
        <v>974</v>
      </c>
      <c r="AD2471" s="65">
        <v>1385</v>
      </c>
      <c r="AE2471" s="17" t="s">
        <v>48</v>
      </c>
      <c r="AF2471" s="17" t="s">
        <v>560</v>
      </c>
      <c r="AI2471" s="17">
        <v>1640</v>
      </c>
    </row>
    <row r="2472" s="17" customFormat="1" hidden="1" spans="1:35">
      <c r="A2472" s="17" t="s">
        <v>34</v>
      </c>
      <c r="B2472" s="19">
        <v>864</v>
      </c>
      <c r="C2472" s="239" t="s">
        <v>971</v>
      </c>
      <c r="D2472" s="17" t="s">
        <v>52</v>
      </c>
      <c r="E2472" s="17" t="s">
        <v>187</v>
      </c>
      <c r="F2472" s="17" t="s">
        <v>54</v>
      </c>
      <c r="H2472" s="19">
        <v>1.2738</v>
      </c>
      <c r="I2472" s="19"/>
      <c r="J2472" s="17" t="s">
        <v>49</v>
      </c>
      <c r="K2472" s="19">
        <v>1600</v>
      </c>
      <c r="L2472" s="91">
        <v>460</v>
      </c>
      <c r="M2472" s="19">
        <v>3000</v>
      </c>
      <c r="N2472" s="19" t="s">
        <v>66</v>
      </c>
      <c r="O2472" s="19" t="s">
        <v>168</v>
      </c>
      <c r="P2472" s="19">
        <v>17333</v>
      </c>
      <c r="Q2472" s="19">
        <v>18100</v>
      </c>
      <c r="R2472" s="19">
        <f t="shared" si="129"/>
        <v>-767</v>
      </c>
      <c r="S2472" s="19">
        <v>1620</v>
      </c>
      <c r="T2472" s="19" t="s">
        <v>42</v>
      </c>
      <c r="U2472" s="102" t="s">
        <v>972</v>
      </c>
      <c r="V2472" s="212" t="s">
        <v>973</v>
      </c>
      <c r="W2472" s="17" t="s">
        <v>69</v>
      </c>
      <c r="Y2472" s="68">
        <v>44927</v>
      </c>
      <c r="Z2472" s="17" t="s">
        <v>191</v>
      </c>
      <c r="AA2472" s="17" t="s">
        <v>46</v>
      </c>
      <c r="AB2472" s="17" t="s">
        <v>977</v>
      </c>
      <c r="AC2472" s="217">
        <v>45172</v>
      </c>
      <c r="AD2472" s="65">
        <v>1392</v>
      </c>
      <c r="AE2472" s="17" t="s">
        <v>48</v>
      </c>
      <c r="AF2472" s="17" t="s">
        <v>560</v>
      </c>
      <c r="AI2472" s="17">
        <v>1640</v>
      </c>
    </row>
    <row r="2473" s="17" customFormat="1" hidden="1" spans="1:35">
      <c r="A2473" s="17" t="s">
        <v>34</v>
      </c>
      <c r="B2473" s="19">
        <v>865</v>
      </c>
      <c r="C2473" s="239">
        <v>45200</v>
      </c>
      <c r="D2473" s="17" t="s">
        <v>52</v>
      </c>
      <c r="E2473" s="17" t="s">
        <v>187</v>
      </c>
      <c r="F2473" s="17" t="s">
        <v>54</v>
      </c>
      <c r="H2473" s="242" t="s">
        <v>426</v>
      </c>
      <c r="I2473" s="242"/>
      <c r="J2473" s="17" t="s">
        <v>49</v>
      </c>
      <c r="K2473" s="19">
        <v>2000</v>
      </c>
      <c r="L2473" s="91">
        <v>185</v>
      </c>
      <c r="M2473" s="19">
        <v>5000</v>
      </c>
      <c r="N2473" s="19" t="s">
        <v>66</v>
      </c>
      <c r="O2473" s="19" t="s">
        <v>141</v>
      </c>
      <c r="P2473" s="19">
        <v>14523</v>
      </c>
      <c r="Q2473" s="19">
        <v>16710</v>
      </c>
      <c r="R2473" s="19">
        <f t="shared" si="129"/>
        <v>-2187</v>
      </c>
      <c r="S2473" s="19">
        <v>765</v>
      </c>
      <c r="T2473" s="19" t="s">
        <v>42</v>
      </c>
      <c r="U2473" s="102" t="s">
        <v>978</v>
      </c>
      <c r="V2473" s="212">
        <v>45231</v>
      </c>
      <c r="W2473" s="17" t="s">
        <v>69</v>
      </c>
      <c r="Y2473" s="68">
        <v>44980</v>
      </c>
      <c r="Z2473" s="17" t="s">
        <v>191</v>
      </c>
      <c r="AA2473" s="17" t="s">
        <v>46</v>
      </c>
      <c r="AB2473" s="17" t="s">
        <v>939</v>
      </c>
      <c r="AC2473" s="102" t="s">
        <v>940</v>
      </c>
      <c r="AD2473" s="65">
        <v>1388</v>
      </c>
      <c r="AE2473" s="17" t="s">
        <v>48</v>
      </c>
      <c r="AF2473" s="17" t="s">
        <v>560</v>
      </c>
    </row>
    <row r="2474" s="17" customFormat="1" hidden="1" spans="1:35">
      <c r="A2474" s="17" t="s">
        <v>34</v>
      </c>
      <c r="B2474" s="19">
        <v>865</v>
      </c>
      <c r="C2474" s="239">
        <v>45200</v>
      </c>
      <c r="D2474" s="17" t="s">
        <v>52</v>
      </c>
      <c r="E2474" s="17" t="s">
        <v>187</v>
      </c>
      <c r="F2474" s="17" t="s">
        <v>54</v>
      </c>
      <c r="H2474" s="242" t="s">
        <v>426</v>
      </c>
      <c r="I2474" s="242"/>
      <c r="J2474" s="17" t="s">
        <v>49</v>
      </c>
      <c r="K2474" s="19">
        <v>2000</v>
      </c>
      <c r="L2474" s="91">
        <v>210</v>
      </c>
      <c r="M2474" s="19">
        <v>5000</v>
      </c>
      <c r="N2474" s="19" t="s">
        <v>66</v>
      </c>
      <c r="O2474" s="19" t="s">
        <v>141</v>
      </c>
      <c r="P2474" s="19">
        <v>16485</v>
      </c>
      <c r="Q2474" s="19">
        <v>18870</v>
      </c>
      <c r="R2474" s="19">
        <f t="shared" si="129"/>
        <v>-2385</v>
      </c>
      <c r="S2474" s="19">
        <v>790</v>
      </c>
      <c r="T2474" s="19" t="s">
        <v>42</v>
      </c>
      <c r="U2474" s="102" t="s">
        <v>978</v>
      </c>
      <c r="V2474" s="212">
        <v>45231</v>
      </c>
      <c r="W2474" s="17" t="s">
        <v>69</v>
      </c>
      <c r="Y2474" s="68">
        <v>44980</v>
      </c>
      <c r="Z2474" s="17" t="s">
        <v>191</v>
      </c>
      <c r="AA2474" s="17" t="s">
        <v>46</v>
      </c>
      <c r="AB2474" s="17" t="s">
        <v>786</v>
      </c>
      <c r="AC2474" s="102" t="s">
        <v>979</v>
      </c>
      <c r="AD2474" s="65">
        <v>1384</v>
      </c>
      <c r="AE2474" s="17" t="s">
        <v>48</v>
      </c>
      <c r="AF2474" s="17" t="s">
        <v>560</v>
      </c>
    </row>
    <row r="2475" s="17" customFormat="1" hidden="1" spans="1:35">
      <c r="A2475" s="17" t="s">
        <v>34</v>
      </c>
      <c r="B2475" s="19">
        <v>865</v>
      </c>
      <c r="C2475" s="239">
        <v>45200</v>
      </c>
      <c r="D2475" s="17" t="s">
        <v>52</v>
      </c>
      <c r="E2475" s="17" t="s">
        <v>187</v>
      </c>
      <c r="F2475" s="17" t="s">
        <v>54</v>
      </c>
      <c r="H2475" s="242" t="s">
        <v>426</v>
      </c>
      <c r="I2475" s="242"/>
      <c r="J2475" s="17" t="s">
        <v>49</v>
      </c>
      <c r="K2475" s="19">
        <v>2000</v>
      </c>
      <c r="L2475" s="91">
        <v>230</v>
      </c>
      <c r="M2475" s="19">
        <v>5000</v>
      </c>
      <c r="N2475" s="19" t="s">
        <v>66</v>
      </c>
      <c r="O2475" s="19" t="s">
        <v>141</v>
      </c>
      <c r="P2475" s="19">
        <v>18055</v>
      </c>
      <c r="Q2475" s="19">
        <v>20750</v>
      </c>
      <c r="R2475" s="19">
        <f t="shared" si="129"/>
        <v>-2695</v>
      </c>
      <c r="S2475" s="19">
        <v>790</v>
      </c>
      <c r="T2475" s="19" t="s">
        <v>42</v>
      </c>
      <c r="U2475" s="102" t="s">
        <v>978</v>
      </c>
      <c r="V2475" s="212">
        <v>45231</v>
      </c>
      <c r="W2475" s="17" t="s">
        <v>69</v>
      </c>
      <c r="Y2475" s="68">
        <v>44980</v>
      </c>
      <c r="Z2475" s="17" t="s">
        <v>191</v>
      </c>
      <c r="AA2475" s="17" t="s">
        <v>46</v>
      </c>
      <c r="AB2475" s="17" t="s">
        <v>786</v>
      </c>
      <c r="AC2475" s="102" t="s">
        <v>979</v>
      </c>
      <c r="AD2475" s="65">
        <v>1384</v>
      </c>
      <c r="AE2475" s="17" t="s">
        <v>48</v>
      </c>
      <c r="AF2475" s="17" t="s">
        <v>560</v>
      </c>
    </row>
    <row r="2476" s="17" customFormat="1" hidden="1" spans="1:35">
      <c r="A2476" s="17" t="s">
        <v>34</v>
      </c>
      <c r="B2476" s="19">
        <v>865</v>
      </c>
      <c r="C2476" s="239">
        <v>45200</v>
      </c>
      <c r="D2476" s="17" t="s">
        <v>52</v>
      </c>
      <c r="E2476" s="17" t="s">
        <v>187</v>
      </c>
      <c r="F2476" s="17" t="s">
        <v>54</v>
      </c>
      <c r="H2476" s="242" t="s">
        <v>426</v>
      </c>
      <c r="I2476" s="242"/>
      <c r="J2476" s="17" t="s">
        <v>49</v>
      </c>
      <c r="K2476" s="19">
        <v>2000</v>
      </c>
      <c r="L2476" s="91">
        <v>250</v>
      </c>
      <c r="M2476" s="19">
        <v>5000</v>
      </c>
      <c r="N2476" s="19" t="s">
        <v>66</v>
      </c>
      <c r="O2476" s="19" t="s">
        <v>141</v>
      </c>
      <c r="P2476" s="19">
        <v>19625</v>
      </c>
      <c r="Q2476" s="19">
        <v>23730</v>
      </c>
      <c r="R2476" s="19">
        <f t="shared" si="129"/>
        <v>-4105</v>
      </c>
      <c r="S2476" s="19">
        <v>790</v>
      </c>
      <c r="T2476" s="19" t="s">
        <v>42</v>
      </c>
      <c r="U2476" s="102" t="s">
        <v>978</v>
      </c>
      <c r="V2476" s="212">
        <v>45231</v>
      </c>
      <c r="W2476" s="17" t="s">
        <v>69</v>
      </c>
      <c r="Y2476" s="68">
        <v>44980</v>
      </c>
      <c r="Z2476" s="17" t="s">
        <v>191</v>
      </c>
      <c r="AA2476" s="17" t="s">
        <v>46</v>
      </c>
      <c r="AB2476" s="17" t="s">
        <v>939</v>
      </c>
      <c r="AC2476" s="102" t="s">
        <v>940</v>
      </c>
      <c r="AD2476" s="65">
        <v>1388</v>
      </c>
      <c r="AE2476" s="17" t="s">
        <v>48</v>
      </c>
      <c r="AF2476" s="17" t="s">
        <v>560</v>
      </c>
    </row>
    <row r="2477" s="17" customFormat="1" hidden="1" spans="1:35">
      <c r="A2477" s="17" t="s">
        <v>34</v>
      </c>
      <c r="B2477" s="19">
        <v>865</v>
      </c>
      <c r="C2477" s="239">
        <v>45200</v>
      </c>
      <c r="D2477" s="17" t="s">
        <v>52</v>
      </c>
      <c r="E2477" s="17" t="s">
        <v>187</v>
      </c>
      <c r="F2477" s="17" t="s">
        <v>54</v>
      </c>
      <c r="H2477" s="242" t="s">
        <v>426</v>
      </c>
      <c r="I2477" s="242"/>
      <c r="J2477" s="17" t="s">
        <v>49</v>
      </c>
      <c r="K2477" s="19">
        <v>2000</v>
      </c>
      <c r="L2477" s="91">
        <v>300</v>
      </c>
      <c r="M2477" s="19">
        <v>5000</v>
      </c>
      <c r="N2477" s="19" t="s">
        <v>66</v>
      </c>
      <c r="O2477" s="19" t="s">
        <v>141</v>
      </c>
      <c r="P2477" s="19">
        <v>23550</v>
      </c>
      <c r="Q2477" s="19">
        <v>20470</v>
      </c>
      <c r="R2477" s="19">
        <f t="shared" si="129"/>
        <v>3080</v>
      </c>
      <c r="S2477" s="19">
        <v>820</v>
      </c>
      <c r="T2477" s="19" t="s">
        <v>42</v>
      </c>
      <c r="U2477" s="102" t="s">
        <v>978</v>
      </c>
      <c r="V2477" s="212">
        <v>45231</v>
      </c>
      <c r="W2477" s="17" t="s">
        <v>69</v>
      </c>
      <c r="Y2477" s="68">
        <v>44980</v>
      </c>
      <c r="Z2477" s="17" t="s">
        <v>191</v>
      </c>
      <c r="AA2477" s="17" t="s">
        <v>46</v>
      </c>
      <c r="AB2477" s="17" t="s">
        <v>786</v>
      </c>
      <c r="AC2477" s="102" t="s">
        <v>979</v>
      </c>
      <c r="AD2477" s="65">
        <v>1384</v>
      </c>
      <c r="AE2477" s="17" t="s">
        <v>48</v>
      </c>
      <c r="AF2477" s="17" t="s">
        <v>560</v>
      </c>
    </row>
    <row r="2478" s="17" customFormat="1" hidden="1" spans="1:35">
      <c r="A2478" s="17" t="s">
        <v>34</v>
      </c>
      <c r="B2478" s="19">
        <v>866</v>
      </c>
      <c r="C2478" s="239" t="s">
        <v>980</v>
      </c>
      <c r="D2478" s="17" t="s">
        <v>52</v>
      </c>
      <c r="E2478" s="17" t="s">
        <v>187</v>
      </c>
      <c r="F2478" s="17" t="s">
        <v>54</v>
      </c>
      <c r="H2478" s="19">
        <v>1.2083</v>
      </c>
      <c r="I2478" s="19"/>
      <c r="J2478" s="17" t="s">
        <v>82</v>
      </c>
      <c r="K2478" s="19">
        <v>610</v>
      </c>
      <c r="L2478" s="91">
        <v>300</v>
      </c>
      <c r="M2478" s="19">
        <v>3500</v>
      </c>
      <c r="N2478" s="19" t="s">
        <v>40</v>
      </c>
      <c r="O2478" s="19" t="s">
        <v>50</v>
      </c>
      <c r="P2478" s="19">
        <v>5028</v>
      </c>
      <c r="Q2478" s="19">
        <v>5485</v>
      </c>
      <c r="R2478" s="19">
        <f t="shared" si="129"/>
        <v>-457</v>
      </c>
      <c r="S2478" s="19">
        <f>2000</f>
        <v>2000</v>
      </c>
      <c r="T2478" s="19" t="s">
        <v>42</v>
      </c>
      <c r="U2478" s="102" t="s">
        <v>981</v>
      </c>
      <c r="V2478" s="212">
        <v>44959</v>
      </c>
      <c r="W2478" s="17" t="s">
        <v>69</v>
      </c>
      <c r="Y2478" s="68">
        <v>44980</v>
      </c>
      <c r="Z2478" s="17" t="s">
        <v>191</v>
      </c>
      <c r="AA2478" s="17" t="s">
        <v>46</v>
      </c>
      <c r="AB2478" s="17" t="s">
        <v>786</v>
      </c>
      <c r="AC2478" s="102" t="s">
        <v>979</v>
      </c>
      <c r="AD2478" s="65">
        <v>1384</v>
      </c>
      <c r="AE2478" s="17" t="s">
        <v>48</v>
      </c>
      <c r="AF2478" s="17" t="s">
        <v>560</v>
      </c>
    </row>
    <row r="2479" s="17" customFormat="1" hidden="1" spans="1:35">
      <c r="A2479" s="17" t="s">
        <v>34</v>
      </c>
      <c r="B2479" s="19">
        <v>866</v>
      </c>
      <c r="C2479" s="239" t="s">
        <v>980</v>
      </c>
      <c r="D2479" s="17" t="s">
        <v>52</v>
      </c>
      <c r="E2479" s="17" t="s">
        <v>187</v>
      </c>
      <c r="F2479" s="17" t="s">
        <v>54</v>
      </c>
      <c r="H2479" s="141" t="s">
        <v>111</v>
      </c>
      <c r="I2479" s="141"/>
      <c r="J2479" s="17" t="s">
        <v>82</v>
      </c>
      <c r="K2479" s="19">
        <v>610</v>
      </c>
      <c r="L2479" s="91">
        <v>210</v>
      </c>
      <c r="M2479" s="19">
        <v>3500</v>
      </c>
      <c r="N2479" s="19" t="s">
        <v>40</v>
      </c>
      <c r="O2479" s="19" t="s">
        <v>50</v>
      </c>
      <c r="P2479" s="19">
        <v>3520</v>
      </c>
      <c r="Q2479" s="19">
        <v>2202</v>
      </c>
      <c r="R2479" s="19">
        <f t="shared" si="129"/>
        <v>1318</v>
      </c>
      <c r="S2479" s="19">
        <v>2400</v>
      </c>
      <c r="T2479" s="19" t="s">
        <v>42</v>
      </c>
      <c r="U2479" s="102" t="s">
        <v>981</v>
      </c>
      <c r="V2479" s="212">
        <v>44959</v>
      </c>
      <c r="W2479" s="17" t="s">
        <v>69</v>
      </c>
      <c r="Y2479" s="68">
        <v>44980</v>
      </c>
      <c r="Z2479" s="17" t="s">
        <v>191</v>
      </c>
      <c r="AA2479" s="17" t="s">
        <v>46</v>
      </c>
      <c r="AB2479" s="17" t="s">
        <v>786</v>
      </c>
      <c r="AC2479" s="102" t="s">
        <v>979</v>
      </c>
      <c r="AD2479" s="65">
        <v>1384</v>
      </c>
      <c r="AE2479" s="17" t="s">
        <v>48</v>
      </c>
      <c r="AF2479" s="17" t="s">
        <v>560</v>
      </c>
    </row>
    <row r="2480" s="17" customFormat="1" hidden="1" spans="1:35">
      <c r="A2480" s="17" t="s">
        <v>34</v>
      </c>
      <c r="B2480" s="19">
        <v>866</v>
      </c>
      <c r="C2480" s="239" t="s">
        <v>980</v>
      </c>
      <c r="D2480" s="17" t="s">
        <v>52</v>
      </c>
      <c r="E2480" s="17" t="s">
        <v>187</v>
      </c>
      <c r="F2480" s="17" t="s">
        <v>54</v>
      </c>
      <c r="H2480" s="141" t="s">
        <v>111</v>
      </c>
      <c r="I2480" s="141"/>
      <c r="J2480" s="17" t="s">
        <v>82</v>
      </c>
      <c r="K2480" s="147">
        <v>610</v>
      </c>
      <c r="L2480" s="243">
        <v>240</v>
      </c>
      <c r="M2480" s="19">
        <v>3500</v>
      </c>
      <c r="N2480" s="19" t="s">
        <v>40</v>
      </c>
      <c r="O2480" s="19" t="s">
        <v>50</v>
      </c>
      <c r="P2480" s="19">
        <v>4022</v>
      </c>
      <c r="Q2480" s="19">
        <v>4365</v>
      </c>
      <c r="R2480" s="19">
        <f t="shared" si="129"/>
        <v>-343</v>
      </c>
      <c r="S2480" s="19">
        <v>2400</v>
      </c>
      <c r="T2480" s="19" t="s">
        <v>42</v>
      </c>
      <c r="U2480" s="102" t="s">
        <v>981</v>
      </c>
      <c r="V2480" s="212">
        <v>44959</v>
      </c>
      <c r="W2480" s="17" t="s">
        <v>69</v>
      </c>
      <c r="Y2480" s="68">
        <v>44980</v>
      </c>
      <c r="Z2480" s="17" t="s">
        <v>191</v>
      </c>
      <c r="AA2480" s="17" t="s">
        <v>46</v>
      </c>
      <c r="AB2480" s="17" t="s">
        <v>786</v>
      </c>
      <c r="AC2480" s="102" t="s">
        <v>979</v>
      </c>
      <c r="AD2480" s="65">
        <v>1384</v>
      </c>
      <c r="AE2480" s="17" t="s">
        <v>48</v>
      </c>
      <c r="AF2480" s="17" t="s">
        <v>560</v>
      </c>
    </row>
    <row r="2481" s="17" customFormat="1" hidden="1" spans="1:36">
      <c r="A2481" s="17" t="s">
        <v>34</v>
      </c>
      <c r="B2481" s="19">
        <v>868</v>
      </c>
      <c r="C2481" s="239">
        <v>44928</v>
      </c>
      <c r="D2481" s="17" t="s">
        <v>52</v>
      </c>
      <c r="E2481" s="17" t="s">
        <v>187</v>
      </c>
      <c r="F2481" s="17" t="s">
        <v>54</v>
      </c>
      <c r="H2481" s="19" t="s">
        <v>106</v>
      </c>
      <c r="I2481" s="19"/>
      <c r="J2481" s="17" t="s">
        <v>82</v>
      </c>
      <c r="K2481" s="244">
        <v>410</v>
      </c>
      <c r="L2481" s="245">
        <v>42</v>
      </c>
      <c r="M2481" s="19">
        <v>5800</v>
      </c>
      <c r="N2481" s="19" t="s">
        <v>66</v>
      </c>
      <c r="O2481" s="19" t="s">
        <v>141</v>
      </c>
      <c r="P2481" s="234">
        <v>510</v>
      </c>
      <c r="Q2481" s="19">
        <v>508</v>
      </c>
      <c r="R2481" s="19">
        <f t="shared" si="129"/>
        <v>2</v>
      </c>
      <c r="S2481" s="19">
        <v>1600</v>
      </c>
      <c r="T2481" s="19" t="s">
        <v>42</v>
      </c>
      <c r="U2481" s="102" t="s">
        <v>982</v>
      </c>
      <c r="V2481" s="212">
        <v>44959</v>
      </c>
      <c r="W2481" s="17" t="s">
        <v>69</v>
      </c>
      <c r="Y2481" s="68">
        <v>44980</v>
      </c>
      <c r="Z2481" s="17" t="s">
        <v>191</v>
      </c>
      <c r="AA2481" s="17" t="s">
        <v>46</v>
      </c>
      <c r="AB2481" s="17" t="s">
        <v>983</v>
      </c>
      <c r="AC2481" s="102" t="s">
        <v>984</v>
      </c>
      <c r="AD2481" s="65">
        <v>1403</v>
      </c>
      <c r="AE2481" s="17" t="s">
        <v>48</v>
      </c>
      <c r="AF2481" s="17" t="s">
        <v>560</v>
      </c>
      <c r="AI2481" s="17">
        <v>1650</v>
      </c>
    </row>
    <row r="2482" s="17" customFormat="1" hidden="1" spans="1:36">
      <c r="A2482" s="17" t="s">
        <v>34</v>
      </c>
      <c r="B2482" s="19">
        <v>868</v>
      </c>
      <c r="C2482" s="239">
        <v>44928</v>
      </c>
      <c r="D2482" s="17" t="s">
        <v>52</v>
      </c>
      <c r="E2482" s="17" t="s">
        <v>187</v>
      </c>
      <c r="F2482" s="17" t="s">
        <v>54</v>
      </c>
      <c r="H2482" s="19" t="s">
        <v>106</v>
      </c>
      <c r="I2482" s="19"/>
      <c r="J2482" s="17" t="s">
        <v>82</v>
      </c>
      <c r="K2482" s="244">
        <v>510</v>
      </c>
      <c r="L2482" s="245">
        <v>42</v>
      </c>
      <c r="M2482" s="19">
        <v>5800</v>
      </c>
      <c r="N2482" s="19" t="s">
        <v>66</v>
      </c>
      <c r="O2482" s="19" t="s">
        <v>141</v>
      </c>
      <c r="P2482" s="23">
        <v>900</v>
      </c>
      <c r="Q2482" s="19">
        <v>760</v>
      </c>
      <c r="R2482" s="19">
        <f t="shared" si="129"/>
        <v>140</v>
      </c>
      <c r="S2482" s="19">
        <v>1600</v>
      </c>
      <c r="T2482" s="19" t="s">
        <v>42</v>
      </c>
      <c r="U2482" s="102" t="s">
        <v>982</v>
      </c>
      <c r="V2482" s="212">
        <v>44959</v>
      </c>
      <c r="W2482" s="17" t="s">
        <v>69</v>
      </c>
      <c r="Y2482" s="68">
        <v>44980</v>
      </c>
      <c r="Z2482" s="17" t="s">
        <v>191</v>
      </c>
      <c r="AA2482" s="17" t="s">
        <v>46</v>
      </c>
      <c r="AB2482" s="17" t="s">
        <v>977</v>
      </c>
      <c r="AC2482" s="217">
        <v>45172</v>
      </c>
      <c r="AD2482" s="65">
        <v>1392</v>
      </c>
      <c r="AE2482" s="17" t="s">
        <v>48</v>
      </c>
      <c r="AF2482" s="17" t="s">
        <v>560</v>
      </c>
      <c r="AI2482" s="17">
        <v>1650</v>
      </c>
    </row>
    <row r="2483" s="17" customFormat="1" hidden="1" spans="1:36">
      <c r="A2483" s="17" t="s">
        <v>34</v>
      </c>
      <c r="B2483" s="19">
        <v>868</v>
      </c>
      <c r="C2483" s="239">
        <v>44928</v>
      </c>
      <c r="D2483" s="17" t="s">
        <v>52</v>
      </c>
      <c r="E2483" s="17" t="s">
        <v>187</v>
      </c>
      <c r="F2483" s="17" t="s">
        <v>54</v>
      </c>
      <c r="H2483" s="19" t="s">
        <v>106</v>
      </c>
      <c r="I2483" s="19"/>
      <c r="J2483" s="17" t="s">
        <v>82</v>
      </c>
      <c r="K2483" s="244">
        <v>610</v>
      </c>
      <c r="L2483" s="245">
        <v>42</v>
      </c>
      <c r="M2483" s="19">
        <v>5800</v>
      </c>
      <c r="N2483" s="19" t="s">
        <v>66</v>
      </c>
      <c r="O2483" s="19" t="s">
        <v>141</v>
      </c>
      <c r="P2483" s="23">
        <v>1600</v>
      </c>
      <c r="Q2483" s="19">
        <f>950+949</f>
        <v>1899</v>
      </c>
      <c r="R2483" s="19">
        <f t="shared" si="129"/>
        <v>-299</v>
      </c>
      <c r="S2483" s="19">
        <v>1600</v>
      </c>
      <c r="T2483" s="19" t="s">
        <v>42</v>
      </c>
      <c r="U2483" s="102" t="s">
        <v>982</v>
      </c>
      <c r="V2483" s="212">
        <v>44959</v>
      </c>
      <c r="W2483" s="17" t="s">
        <v>69</v>
      </c>
      <c r="Y2483" s="68">
        <v>44980</v>
      </c>
      <c r="Z2483" s="17" t="s">
        <v>191</v>
      </c>
      <c r="AA2483" s="17" t="s">
        <v>46</v>
      </c>
      <c r="AB2483" s="17" t="s">
        <v>977</v>
      </c>
      <c r="AC2483" s="217">
        <v>45172</v>
      </c>
      <c r="AD2483" s="65">
        <v>1392</v>
      </c>
      <c r="AE2483" s="17" t="s">
        <v>48</v>
      </c>
      <c r="AF2483" s="17" t="s">
        <v>560</v>
      </c>
      <c r="AI2483" s="17">
        <v>1650</v>
      </c>
    </row>
    <row r="2484" s="17" customFormat="1" hidden="1" spans="1:36">
      <c r="A2484" s="17" t="s">
        <v>34</v>
      </c>
      <c r="B2484" s="19">
        <v>868</v>
      </c>
      <c r="C2484" s="239">
        <v>44928</v>
      </c>
      <c r="D2484" s="17" t="s">
        <v>52</v>
      </c>
      <c r="E2484" s="17" t="s">
        <v>187</v>
      </c>
      <c r="F2484" s="17" t="s">
        <v>54</v>
      </c>
      <c r="H2484" s="19" t="s">
        <v>106</v>
      </c>
      <c r="I2484" s="19"/>
      <c r="J2484" s="17" t="s">
        <v>82</v>
      </c>
      <c r="K2484" s="244">
        <v>610</v>
      </c>
      <c r="L2484" s="245">
        <v>46</v>
      </c>
      <c r="M2484" s="19">
        <v>5800</v>
      </c>
      <c r="N2484" s="19" t="s">
        <v>66</v>
      </c>
      <c r="O2484" s="19" t="s">
        <v>141</v>
      </c>
      <c r="P2484" s="23">
        <v>900</v>
      </c>
      <c r="Q2484" s="19">
        <v>790</v>
      </c>
      <c r="R2484" s="19">
        <f t="shared" si="129"/>
        <v>110</v>
      </c>
      <c r="S2484" s="19">
        <v>1600</v>
      </c>
      <c r="T2484" s="19" t="s">
        <v>42</v>
      </c>
      <c r="U2484" s="102" t="s">
        <v>982</v>
      </c>
      <c r="V2484" s="212">
        <v>44959</v>
      </c>
      <c r="W2484" s="17" t="s">
        <v>69</v>
      </c>
      <c r="Y2484" s="68">
        <v>44980</v>
      </c>
      <c r="Z2484" s="17" t="s">
        <v>191</v>
      </c>
      <c r="AA2484" s="17" t="s">
        <v>46</v>
      </c>
      <c r="AB2484" s="17" t="s">
        <v>975</v>
      </c>
      <c r="AC2484" s="102" t="s">
        <v>976</v>
      </c>
      <c r="AD2484" s="65">
        <v>1401</v>
      </c>
      <c r="AE2484" s="17" t="s">
        <v>48</v>
      </c>
      <c r="AF2484" s="17" t="s">
        <v>560</v>
      </c>
      <c r="AI2484" s="17">
        <v>1650</v>
      </c>
    </row>
    <row r="2485" s="17" customFormat="1" hidden="1" spans="1:36">
      <c r="B2485" s="19">
        <v>868</v>
      </c>
      <c r="C2485" s="239">
        <v>44928</v>
      </c>
      <c r="D2485" s="17" t="s">
        <v>52</v>
      </c>
      <c r="E2485" s="17" t="s">
        <v>187</v>
      </c>
      <c r="F2485" s="17" t="s">
        <v>54</v>
      </c>
      <c r="H2485" s="19" t="s">
        <v>106</v>
      </c>
      <c r="I2485" s="19"/>
      <c r="J2485" s="17" t="s">
        <v>82</v>
      </c>
      <c r="K2485" s="244">
        <v>610</v>
      </c>
      <c r="L2485" s="245">
        <v>51</v>
      </c>
      <c r="M2485" s="19">
        <v>5800</v>
      </c>
      <c r="N2485" s="19" t="s">
        <v>66</v>
      </c>
      <c r="O2485" s="19" t="s">
        <v>141</v>
      </c>
      <c r="P2485" s="23">
        <v>1954</v>
      </c>
      <c r="Q2485" s="19">
        <v>0</v>
      </c>
      <c r="R2485" s="19">
        <f t="shared" si="129"/>
        <v>1954</v>
      </c>
      <c r="S2485" s="19">
        <v>1600</v>
      </c>
      <c r="T2485" s="19" t="s">
        <v>42</v>
      </c>
      <c r="U2485" s="102" t="s">
        <v>982</v>
      </c>
      <c r="V2485" s="212">
        <v>44959</v>
      </c>
      <c r="W2485" s="17" t="s">
        <v>69</v>
      </c>
      <c r="Y2485" s="68">
        <v>44980</v>
      </c>
      <c r="Z2485" s="17" t="s">
        <v>191</v>
      </c>
      <c r="AA2485" s="17" t="s">
        <v>46</v>
      </c>
      <c r="AC2485" s="102"/>
      <c r="AD2485" s="65"/>
      <c r="AE2485" s="17" t="s">
        <v>48</v>
      </c>
      <c r="AF2485" s="17" t="s">
        <v>560</v>
      </c>
      <c r="AI2485" s="17">
        <v>1650</v>
      </c>
      <c r="AJ2485" s="17" t="s">
        <v>985</v>
      </c>
    </row>
    <row r="2486" s="17" customFormat="1" hidden="1" spans="1:36">
      <c r="A2486" s="17" t="s">
        <v>34</v>
      </c>
      <c r="B2486" s="19">
        <v>868</v>
      </c>
      <c r="C2486" s="239">
        <v>44928</v>
      </c>
      <c r="D2486" s="17" t="s">
        <v>52</v>
      </c>
      <c r="E2486" s="17" t="s">
        <v>187</v>
      </c>
      <c r="F2486" s="17" t="s">
        <v>54</v>
      </c>
      <c r="H2486" s="19" t="s">
        <v>106</v>
      </c>
      <c r="I2486" s="19"/>
      <c r="J2486" s="17" t="s">
        <v>82</v>
      </c>
      <c r="K2486" s="244">
        <v>610</v>
      </c>
      <c r="L2486" s="245">
        <v>61</v>
      </c>
      <c r="M2486" s="19">
        <v>5800</v>
      </c>
      <c r="N2486" s="19" t="s">
        <v>66</v>
      </c>
      <c r="O2486" s="19" t="s">
        <v>141</v>
      </c>
      <c r="P2486" s="23">
        <v>2000</v>
      </c>
      <c r="Q2486" s="19">
        <v>1078</v>
      </c>
      <c r="S2486" s="19">
        <v>1600</v>
      </c>
      <c r="T2486" s="19" t="s">
        <v>42</v>
      </c>
      <c r="U2486" s="102" t="s">
        <v>982</v>
      </c>
      <c r="V2486" s="212">
        <v>44959</v>
      </c>
      <c r="W2486" s="17" t="s">
        <v>69</v>
      </c>
      <c r="Y2486" s="68">
        <v>44980</v>
      </c>
      <c r="Z2486" s="17" t="s">
        <v>191</v>
      </c>
      <c r="AA2486" s="17" t="s">
        <v>46</v>
      </c>
      <c r="AB2486" s="17" t="s">
        <v>977</v>
      </c>
      <c r="AC2486" s="217">
        <v>45172</v>
      </c>
      <c r="AD2486" s="65">
        <v>1392</v>
      </c>
      <c r="AE2486" s="17" t="s">
        <v>48</v>
      </c>
      <c r="AF2486" s="17" t="s">
        <v>560</v>
      </c>
      <c r="AI2486" s="17">
        <v>1650</v>
      </c>
    </row>
    <row r="2487" s="17" customFormat="1" hidden="1" spans="1:36">
      <c r="A2487" s="17" t="s">
        <v>34</v>
      </c>
      <c r="B2487" s="19">
        <v>868</v>
      </c>
      <c r="C2487" s="239">
        <v>44928</v>
      </c>
      <c r="D2487" s="17" t="s">
        <v>52</v>
      </c>
      <c r="E2487" s="17" t="s">
        <v>187</v>
      </c>
      <c r="F2487" s="17" t="s">
        <v>54</v>
      </c>
      <c r="H2487" s="19" t="s">
        <v>106</v>
      </c>
      <c r="I2487" s="19"/>
      <c r="J2487" s="17" t="s">
        <v>82</v>
      </c>
      <c r="K2487" s="244">
        <v>610</v>
      </c>
      <c r="L2487" s="245">
        <v>61</v>
      </c>
      <c r="M2487" s="19">
        <v>3901</v>
      </c>
      <c r="N2487" s="19" t="s">
        <v>66</v>
      </c>
      <c r="O2487" s="19" t="s">
        <v>141</v>
      </c>
      <c r="P2487" s="23"/>
      <c r="Q2487" s="19">
        <v>1209</v>
      </c>
      <c r="R2487" s="19">
        <f>+P2486-Q2486-Q2487</f>
        <v>-287</v>
      </c>
      <c r="S2487" s="19">
        <v>1600</v>
      </c>
      <c r="T2487" s="19" t="s">
        <v>42</v>
      </c>
      <c r="U2487" s="102" t="s">
        <v>982</v>
      </c>
      <c r="V2487" s="212">
        <v>44959</v>
      </c>
      <c r="W2487" s="17" t="s">
        <v>69</v>
      </c>
      <c r="Y2487" s="68">
        <v>44980</v>
      </c>
      <c r="Z2487" s="17" t="s">
        <v>191</v>
      </c>
      <c r="AA2487" s="17" t="s">
        <v>46</v>
      </c>
      <c r="AB2487" s="17" t="s">
        <v>975</v>
      </c>
      <c r="AC2487" s="102" t="s">
        <v>976</v>
      </c>
      <c r="AD2487" s="65">
        <v>1401</v>
      </c>
      <c r="AE2487" s="17" t="s">
        <v>48</v>
      </c>
      <c r="AF2487" s="17" t="s">
        <v>560</v>
      </c>
      <c r="AI2487" s="17">
        <v>1650</v>
      </c>
    </row>
    <row r="2488" s="17" customFormat="1" hidden="1" spans="1:36">
      <c r="A2488" s="17" t="s">
        <v>34</v>
      </c>
      <c r="B2488" s="19">
        <v>868</v>
      </c>
      <c r="C2488" s="239">
        <v>44928</v>
      </c>
      <c r="D2488" s="17" t="s">
        <v>52</v>
      </c>
      <c r="E2488" s="17" t="s">
        <v>187</v>
      </c>
      <c r="F2488" s="17" t="s">
        <v>54</v>
      </c>
      <c r="H2488" s="19" t="s">
        <v>106</v>
      </c>
      <c r="I2488" s="19"/>
      <c r="J2488" s="17" t="s">
        <v>82</v>
      </c>
      <c r="K2488" s="244">
        <v>610</v>
      </c>
      <c r="L2488" s="245">
        <v>71</v>
      </c>
      <c r="M2488" s="19">
        <v>5800</v>
      </c>
      <c r="N2488" s="19" t="s">
        <v>66</v>
      </c>
      <c r="O2488" s="19" t="s">
        <v>141</v>
      </c>
      <c r="P2488" s="23">
        <v>2600</v>
      </c>
      <c r="Q2488" s="19">
        <f>1082+953</f>
        <v>2035</v>
      </c>
      <c r="R2488" s="19">
        <f t="shared" ref="R2488:R2522" si="130">+P2488-Q2488</f>
        <v>565</v>
      </c>
      <c r="S2488" s="19">
        <v>1600</v>
      </c>
      <c r="T2488" s="19" t="s">
        <v>42</v>
      </c>
      <c r="U2488" s="102" t="s">
        <v>982</v>
      </c>
      <c r="V2488" s="212">
        <v>44959</v>
      </c>
      <c r="W2488" s="17" t="s">
        <v>69</v>
      </c>
      <c r="Y2488" s="68">
        <v>44980</v>
      </c>
      <c r="Z2488" s="17" t="s">
        <v>191</v>
      </c>
      <c r="AA2488" s="17" t="s">
        <v>46</v>
      </c>
      <c r="AB2488" s="17" t="s">
        <v>977</v>
      </c>
      <c r="AC2488" s="217">
        <v>45172</v>
      </c>
      <c r="AD2488" s="65">
        <v>1392</v>
      </c>
      <c r="AE2488" s="17" t="s">
        <v>48</v>
      </c>
      <c r="AF2488" s="17" t="s">
        <v>560</v>
      </c>
      <c r="AI2488" s="17">
        <v>1650</v>
      </c>
    </row>
    <row r="2489" s="17" customFormat="1" hidden="1" spans="1:36">
      <c r="A2489" s="17" t="s">
        <v>34</v>
      </c>
      <c r="B2489" s="19">
        <v>868</v>
      </c>
      <c r="C2489" s="239">
        <v>44928</v>
      </c>
      <c r="D2489" s="17" t="s">
        <v>52</v>
      </c>
      <c r="E2489" s="17" t="s">
        <v>187</v>
      </c>
      <c r="F2489" s="17" t="s">
        <v>54</v>
      </c>
      <c r="H2489" s="19" t="s">
        <v>106</v>
      </c>
      <c r="I2489" s="19"/>
      <c r="J2489" s="17" t="s">
        <v>82</v>
      </c>
      <c r="K2489" s="244">
        <v>610</v>
      </c>
      <c r="L2489" s="245">
        <v>76</v>
      </c>
      <c r="M2489" s="19">
        <v>5800</v>
      </c>
      <c r="N2489" s="19" t="s">
        <v>66</v>
      </c>
      <c r="O2489" s="19" t="s">
        <v>141</v>
      </c>
      <c r="P2489" s="23">
        <v>1400</v>
      </c>
      <c r="Q2489" s="19">
        <v>1854</v>
      </c>
      <c r="R2489" s="19">
        <f t="shared" si="130"/>
        <v>-454</v>
      </c>
      <c r="S2489" s="19">
        <v>1600</v>
      </c>
      <c r="T2489" s="19" t="s">
        <v>42</v>
      </c>
      <c r="U2489" s="102" t="s">
        <v>982</v>
      </c>
      <c r="V2489" s="212">
        <v>44959</v>
      </c>
      <c r="W2489" s="17" t="s">
        <v>69</v>
      </c>
      <c r="Y2489" s="68">
        <v>44980</v>
      </c>
      <c r="Z2489" s="17" t="s">
        <v>191</v>
      </c>
      <c r="AA2489" s="17" t="s">
        <v>46</v>
      </c>
      <c r="AB2489" s="17" t="s">
        <v>975</v>
      </c>
      <c r="AC2489" s="102" t="s">
        <v>976</v>
      </c>
      <c r="AD2489" s="65">
        <v>1401</v>
      </c>
      <c r="AE2489" s="17" t="s">
        <v>48</v>
      </c>
      <c r="AF2489" s="17" t="s">
        <v>560</v>
      </c>
      <c r="AI2489" s="17">
        <v>1650</v>
      </c>
    </row>
    <row r="2490" s="17" customFormat="1" hidden="1" spans="1:36">
      <c r="A2490" s="17" t="s">
        <v>34</v>
      </c>
      <c r="B2490" s="19">
        <v>868</v>
      </c>
      <c r="C2490" s="239">
        <v>44928</v>
      </c>
      <c r="D2490" s="17" t="s">
        <v>52</v>
      </c>
      <c r="E2490" s="17" t="s">
        <v>187</v>
      </c>
      <c r="F2490" s="17" t="s">
        <v>54</v>
      </c>
      <c r="H2490" s="19" t="s">
        <v>106</v>
      </c>
      <c r="I2490" s="19"/>
      <c r="J2490" s="17" t="s">
        <v>82</v>
      </c>
      <c r="K2490" s="244">
        <v>610</v>
      </c>
      <c r="L2490" s="245">
        <v>81</v>
      </c>
      <c r="M2490" s="19">
        <v>5800</v>
      </c>
      <c r="N2490" s="19" t="s">
        <v>66</v>
      </c>
      <c r="O2490" s="19" t="s">
        <v>141</v>
      </c>
      <c r="P2490" s="23">
        <v>1551</v>
      </c>
      <c r="Q2490" s="19">
        <v>1724</v>
      </c>
      <c r="R2490" s="19">
        <f t="shared" si="130"/>
        <v>-173</v>
      </c>
      <c r="S2490" s="19">
        <v>1600</v>
      </c>
      <c r="T2490" s="19" t="s">
        <v>42</v>
      </c>
      <c r="U2490" s="102" t="s">
        <v>982</v>
      </c>
      <c r="V2490" s="212">
        <v>44959</v>
      </c>
      <c r="W2490" s="17" t="s">
        <v>69</v>
      </c>
      <c r="Y2490" s="68">
        <v>44980</v>
      </c>
      <c r="Z2490" s="17" t="s">
        <v>191</v>
      </c>
      <c r="AA2490" s="17" t="s">
        <v>46</v>
      </c>
      <c r="AB2490" s="17" t="s">
        <v>977</v>
      </c>
      <c r="AC2490" s="217">
        <v>45172</v>
      </c>
      <c r="AD2490" s="65">
        <v>1392</v>
      </c>
      <c r="AE2490" s="17" t="s">
        <v>48</v>
      </c>
      <c r="AF2490" s="17" t="s">
        <v>560</v>
      </c>
      <c r="AI2490" s="17">
        <v>1650</v>
      </c>
    </row>
    <row r="2491" s="17" customFormat="1" hidden="1" spans="1:36">
      <c r="A2491" s="17" t="s">
        <v>34</v>
      </c>
      <c r="B2491" s="19">
        <v>868</v>
      </c>
      <c r="C2491" s="239">
        <v>44928</v>
      </c>
      <c r="D2491" s="17" t="s">
        <v>52</v>
      </c>
      <c r="E2491" s="17" t="s">
        <v>187</v>
      </c>
      <c r="F2491" s="17" t="s">
        <v>54</v>
      </c>
      <c r="H2491" s="19" t="s">
        <v>106</v>
      </c>
      <c r="I2491" s="19"/>
      <c r="J2491" s="17" t="s">
        <v>82</v>
      </c>
      <c r="K2491" s="244">
        <v>510</v>
      </c>
      <c r="L2491" s="159">
        <v>90</v>
      </c>
      <c r="M2491" s="19">
        <v>5800</v>
      </c>
      <c r="N2491" s="19" t="s">
        <v>66</v>
      </c>
      <c r="O2491" s="19" t="s">
        <v>141</v>
      </c>
      <c r="P2491" s="23">
        <v>1441</v>
      </c>
      <c r="Q2491" s="19">
        <v>1900</v>
      </c>
      <c r="R2491" s="19">
        <f t="shared" si="130"/>
        <v>-459</v>
      </c>
      <c r="S2491" s="19">
        <v>1600</v>
      </c>
      <c r="T2491" s="19" t="s">
        <v>42</v>
      </c>
      <c r="U2491" s="102" t="s">
        <v>982</v>
      </c>
      <c r="V2491" s="212">
        <v>44959</v>
      </c>
      <c r="W2491" s="17" t="s">
        <v>69</v>
      </c>
      <c r="Y2491" s="68">
        <v>44980</v>
      </c>
      <c r="Z2491" s="17" t="s">
        <v>191</v>
      </c>
      <c r="AA2491" s="17" t="s">
        <v>46</v>
      </c>
      <c r="AB2491" s="17" t="s">
        <v>977</v>
      </c>
      <c r="AC2491" s="217">
        <v>45172</v>
      </c>
      <c r="AD2491" s="65">
        <v>1392</v>
      </c>
      <c r="AE2491" s="17" t="s">
        <v>48</v>
      </c>
      <c r="AF2491" s="17" t="s">
        <v>560</v>
      </c>
      <c r="AI2491" s="17">
        <v>1650</v>
      </c>
    </row>
    <row r="2492" s="17" customFormat="1" hidden="1" spans="1:36">
      <c r="A2492" s="17" t="s">
        <v>34</v>
      </c>
      <c r="B2492" s="19">
        <v>868</v>
      </c>
      <c r="C2492" s="239">
        <v>44928</v>
      </c>
      <c r="D2492" s="17" t="s">
        <v>52</v>
      </c>
      <c r="E2492" s="17" t="s">
        <v>187</v>
      </c>
      <c r="F2492" s="17" t="s">
        <v>54</v>
      </c>
      <c r="H2492" s="19" t="s">
        <v>106</v>
      </c>
      <c r="I2492" s="19"/>
      <c r="J2492" s="17" t="s">
        <v>82</v>
      </c>
      <c r="K2492" s="244">
        <v>610</v>
      </c>
      <c r="L2492" s="159">
        <v>90</v>
      </c>
      <c r="M2492" s="19">
        <v>5800</v>
      </c>
      <c r="N2492" s="19" t="s">
        <v>66</v>
      </c>
      <c r="O2492" s="19" t="s">
        <v>141</v>
      </c>
      <c r="P2492" s="23">
        <v>1727</v>
      </c>
      <c r="Q2492" s="19">
        <v>1868</v>
      </c>
      <c r="R2492" s="19">
        <f t="shared" si="130"/>
        <v>-141</v>
      </c>
      <c r="S2492" s="19">
        <v>1600</v>
      </c>
      <c r="T2492" s="19" t="s">
        <v>42</v>
      </c>
      <c r="U2492" s="102" t="s">
        <v>982</v>
      </c>
      <c r="V2492" s="212">
        <v>44959</v>
      </c>
      <c r="W2492" s="17" t="s">
        <v>69</v>
      </c>
      <c r="Y2492" s="68">
        <v>44980</v>
      </c>
      <c r="Z2492" s="17" t="s">
        <v>191</v>
      </c>
      <c r="AA2492" s="17" t="s">
        <v>46</v>
      </c>
      <c r="AB2492" s="17" t="s">
        <v>977</v>
      </c>
      <c r="AC2492" s="217">
        <v>45172</v>
      </c>
      <c r="AD2492" s="65">
        <v>1392</v>
      </c>
      <c r="AE2492" s="17" t="s">
        <v>48</v>
      </c>
      <c r="AF2492" s="17" t="s">
        <v>560</v>
      </c>
      <c r="AI2492" s="17">
        <v>1650</v>
      </c>
    </row>
    <row r="2493" s="17" customFormat="1" hidden="1" spans="1:36">
      <c r="A2493" s="17" t="s">
        <v>34</v>
      </c>
      <c r="B2493" s="19">
        <v>868</v>
      </c>
      <c r="C2493" s="239">
        <v>44928</v>
      </c>
      <c r="D2493" s="17" t="s">
        <v>52</v>
      </c>
      <c r="E2493" s="17" t="s">
        <v>187</v>
      </c>
      <c r="F2493" s="17" t="s">
        <v>54</v>
      </c>
      <c r="H2493" s="19" t="s">
        <v>986</v>
      </c>
      <c r="I2493" s="19"/>
      <c r="J2493" s="17" t="s">
        <v>82</v>
      </c>
      <c r="K2493" s="244">
        <v>810</v>
      </c>
      <c r="L2493" s="159">
        <v>120</v>
      </c>
      <c r="M2493" s="19">
        <v>5800</v>
      </c>
      <c r="N2493" s="19" t="s">
        <v>66</v>
      </c>
      <c r="O2493" s="19" t="s">
        <v>168</v>
      </c>
      <c r="P2493" s="23">
        <v>2000</v>
      </c>
      <c r="Q2493" s="19">
        <v>1736</v>
      </c>
      <c r="R2493" s="19">
        <f t="shared" si="130"/>
        <v>264</v>
      </c>
      <c r="S2493" s="19">
        <v>1600</v>
      </c>
      <c r="T2493" s="19" t="s">
        <v>42</v>
      </c>
      <c r="U2493" s="102" t="s">
        <v>982</v>
      </c>
      <c r="V2493" s="212">
        <v>44959</v>
      </c>
      <c r="W2493" s="17" t="s">
        <v>69</v>
      </c>
      <c r="Y2493" s="68">
        <v>44980</v>
      </c>
      <c r="Z2493" s="17" t="s">
        <v>191</v>
      </c>
      <c r="AA2493" s="17" t="s">
        <v>46</v>
      </c>
      <c r="AB2493" s="17" t="s">
        <v>987</v>
      </c>
      <c r="AC2493" s="102" t="s">
        <v>988</v>
      </c>
      <c r="AD2493" s="65">
        <v>1412</v>
      </c>
      <c r="AE2493" s="17" t="s">
        <v>48</v>
      </c>
      <c r="AF2493" s="17" t="s">
        <v>560</v>
      </c>
      <c r="AI2493" s="17">
        <v>1650</v>
      </c>
    </row>
    <row r="2494" s="17" customFormat="1" hidden="1" spans="1:36">
      <c r="A2494" s="17" t="s">
        <v>34</v>
      </c>
      <c r="B2494" s="19">
        <v>868</v>
      </c>
      <c r="C2494" s="239">
        <v>44928</v>
      </c>
      <c r="D2494" s="17" t="s">
        <v>52</v>
      </c>
      <c r="E2494" s="17" t="s">
        <v>187</v>
      </c>
      <c r="F2494" s="17" t="s">
        <v>54</v>
      </c>
      <c r="H2494" s="19" t="s">
        <v>986</v>
      </c>
      <c r="I2494" s="19"/>
      <c r="J2494" s="17" t="s">
        <v>82</v>
      </c>
      <c r="K2494" s="246">
        <v>810</v>
      </c>
      <c r="L2494" s="247">
        <v>235</v>
      </c>
      <c r="M2494" s="19">
        <v>5800</v>
      </c>
      <c r="N2494" s="19" t="s">
        <v>66</v>
      </c>
      <c r="O2494" s="19" t="s">
        <v>168</v>
      </c>
      <c r="P2494" s="248">
        <v>2298</v>
      </c>
      <c r="Q2494" s="19">
        <v>3778</v>
      </c>
      <c r="R2494" s="19">
        <f t="shared" si="130"/>
        <v>-1480</v>
      </c>
      <c r="S2494" s="19">
        <v>1600</v>
      </c>
      <c r="T2494" s="19" t="s">
        <v>42</v>
      </c>
      <c r="U2494" s="102" t="s">
        <v>982</v>
      </c>
      <c r="V2494" s="212">
        <v>44959</v>
      </c>
      <c r="W2494" s="17" t="s">
        <v>69</v>
      </c>
      <c r="Y2494" s="68">
        <v>44980</v>
      </c>
      <c r="Z2494" s="17" t="s">
        <v>191</v>
      </c>
      <c r="AA2494" s="17" t="s">
        <v>46</v>
      </c>
      <c r="AB2494" s="17" t="s">
        <v>987</v>
      </c>
      <c r="AC2494" s="102" t="s">
        <v>988</v>
      </c>
      <c r="AD2494" s="65">
        <v>1412</v>
      </c>
      <c r="AE2494" s="17" t="s">
        <v>48</v>
      </c>
      <c r="AF2494" s="17" t="s">
        <v>560</v>
      </c>
      <c r="AI2494" s="17">
        <v>1650</v>
      </c>
    </row>
    <row r="2495" s="17" customFormat="1" hidden="1" spans="1:36">
      <c r="A2495" s="17" t="s">
        <v>34</v>
      </c>
      <c r="B2495" s="19">
        <v>868</v>
      </c>
      <c r="C2495" s="239">
        <v>44928</v>
      </c>
      <c r="D2495" s="17" t="s">
        <v>52</v>
      </c>
      <c r="E2495" s="17" t="s">
        <v>187</v>
      </c>
      <c r="F2495" s="17" t="s">
        <v>54</v>
      </c>
      <c r="H2495" s="19">
        <v>1.2083</v>
      </c>
      <c r="I2495" s="19"/>
      <c r="J2495" s="17" t="s">
        <v>82</v>
      </c>
      <c r="K2495" s="245">
        <v>610</v>
      </c>
      <c r="L2495" s="245">
        <v>21</v>
      </c>
      <c r="M2495" s="19">
        <v>5800</v>
      </c>
      <c r="N2495" s="19" t="s">
        <v>40</v>
      </c>
      <c r="O2495" s="19" t="s">
        <v>141</v>
      </c>
      <c r="P2495" s="23">
        <v>402</v>
      </c>
      <c r="Q2495" s="19">
        <v>276</v>
      </c>
      <c r="R2495" s="19">
        <f t="shared" si="130"/>
        <v>126</v>
      </c>
      <c r="S2495" s="19">
        <v>1550</v>
      </c>
      <c r="T2495" s="19" t="s">
        <v>42</v>
      </c>
      <c r="U2495" s="102" t="s">
        <v>982</v>
      </c>
      <c r="V2495" s="212">
        <v>44959</v>
      </c>
      <c r="W2495" s="17" t="s">
        <v>69</v>
      </c>
      <c r="Y2495" s="68">
        <v>44980</v>
      </c>
      <c r="Z2495" s="17" t="s">
        <v>191</v>
      </c>
      <c r="AA2495" s="17" t="s">
        <v>46</v>
      </c>
      <c r="AB2495" s="17" t="s">
        <v>983</v>
      </c>
      <c r="AC2495" s="102" t="s">
        <v>984</v>
      </c>
      <c r="AD2495" s="65">
        <v>1403</v>
      </c>
      <c r="AE2495" s="17" t="s">
        <v>74</v>
      </c>
      <c r="AF2495" s="17" t="s">
        <v>560</v>
      </c>
      <c r="AI2495" s="17">
        <v>1850</v>
      </c>
    </row>
    <row r="2496" s="17" customFormat="1" hidden="1" spans="1:36">
      <c r="A2496" s="17" t="s">
        <v>34</v>
      </c>
      <c r="B2496" s="19">
        <v>868</v>
      </c>
      <c r="C2496" s="239">
        <v>44928</v>
      </c>
      <c r="D2496" s="17" t="s">
        <v>52</v>
      </c>
      <c r="E2496" s="17" t="s">
        <v>187</v>
      </c>
      <c r="F2496" s="17" t="s">
        <v>54</v>
      </c>
      <c r="H2496" s="19">
        <v>1.2083</v>
      </c>
      <c r="I2496" s="19"/>
      <c r="J2496" s="17" t="s">
        <v>82</v>
      </c>
      <c r="K2496" s="245">
        <v>610</v>
      </c>
      <c r="L2496" s="245">
        <v>31</v>
      </c>
      <c r="M2496" s="19">
        <v>5800</v>
      </c>
      <c r="N2496" s="19" t="s">
        <v>40</v>
      </c>
      <c r="O2496" s="19" t="s">
        <v>141</v>
      </c>
      <c r="P2496" s="23">
        <v>1188</v>
      </c>
      <c r="Q2496" s="19">
        <f>544+466</f>
        <v>1010</v>
      </c>
      <c r="R2496" s="19">
        <f t="shared" si="130"/>
        <v>178</v>
      </c>
      <c r="S2496" s="19">
        <v>1550</v>
      </c>
      <c r="T2496" s="19" t="s">
        <v>42</v>
      </c>
      <c r="U2496" s="102" t="s">
        <v>982</v>
      </c>
      <c r="V2496" s="212">
        <v>44959</v>
      </c>
      <c r="W2496" s="17" t="s">
        <v>69</v>
      </c>
      <c r="Y2496" s="68">
        <v>44980</v>
      </c>
      <c r="Z2496" s="17" t="s">
        <v>191</v>
      </c>
      <c r="AA2496" s="17" t="s">
        <v>46</v>
      </c>
      <c r="AB2496" s="17" t="s">
        <v>983</v>
      </c>
      <c r="AC2496" s="102" t="s">
        <v>984</v>
      </c>
      <c r="AD2496" s="65">
        <v>1403</v>
      </c>
      <c r="AE2496" s="17" t="s">
        <v>194</v>
      </c>
      <c r="AF2496" s="17" t="s">
        <v>560</v>
      </c>
      <c r="AI2496" s="17">
        <v>1850</v>
      </c>
    </row>
    <row r="2497" s="17" customFormat="1" hidden="1" spans="1:35">
      <c r="A2497" s="17" t="s">
        <v>34</v>
      </c>
      <c r="B2497" s="19">
        <v>868</v>
      </c>
      <c r="C2497" s="239">
        <v>44928</v>
      </c>
      <c r="D2497" s="17" t="s">
        <v>52</v>
      </c>
      <c r="E2497" s="17" t="s">
        <v>187</v>
      </c>
      <c r="F2497" s="17" t="s">
        <v>54</v>
      </c>
      <c r="H2497" s="19">
        <v>1.2083</v>
      </c>
      <c r="I2497" s="19"/>
      <c r="J2497" s="17" t="s">
        <v>82</v>
      </c>
      <c r="K2497" s="245">
        <v>610</v>
      </c>
      <c r="L2497" s="245">
        <v>36</v>
      </c>
      <c r="M2497" s="19">
        <v>5800</v>
      </c>
      <c r="N2497" s="19" t="s">
        <v>40</v>
      </c>
      <c r="O2497" s="19" t="s">
        <v>141</v>
      </c>
      <c r="P2497" s="23">
        <v>1379</v>
      </c>
      <c r="Q2497" s="19">
        <f>940+894</f>
        <v>1834</v>
      </c>
      <c r="R2497" s="19">
        <f t="shared" si="130"/>
        <v>-455</v>
      </c>
      <c r="S2497" s="19">
        <v>1550</v>
      </c>
      <c r="T2497" s="19" t="s">
        <v>42</v>
      </c>
      <c r="U2497" s="102" t="s">
        <v>982</v>
      </c>
      <c r="V2497" s="212">
        <v>44959</v>
      </c>
      <c r="W2497" s="17" t="s">
        <v>69</v>
      </c>
      <c r="Y2497" s="68">
        <v>44980</v>
      </c>
      <c r="Z2497" s="17" t="s">
        <v>191</v>
      </c>
      <c r="AA2497" s="17" t="s">
        <v>46</v>
      </c>
      <c r="AB2497" s="17" t="s">
        <v>975</v>
      </c>
      <c r="AC2497" s="102" t="s">
        <v>976</v>
      </c>
      <c r="AD2497" s="65">
        <v>1401</v>
      </c>
      <c r="AE2497" s="17" t="s">
        <v>194</v>
      </c>
      <c r="AF2497" s="17" t="s">
        <v>560</v>
      </c>
      <c r="AI2497" s="17">
        <v>1600</v>
      </c>
    </row>
    <row r="2498" s="17" customFormat="1" hidden="1" spans="1:35">
      <c r="A2498" s="17" t="s">
        <v>34</v>
      </c>
      <c r="B2498" s="19">
        <v>868</v>
      </c>
      <c r="C2498" s="239">
        <v>44928</v>
      </c>
      <c r="D2498" s="17" t="s">
        <v>52</v>
      </c>
      <c r="E2498" s="17" t="s">
        <v>187</v>
      </c>
      <c r="F2498" s="17" t="s">
        <v>54</v>
      </c>
      <c r="H2498" s="19">
        <v>1.2083</v>
      </c>
      <c r="I2498" s="19"/>
      <c r="J2498" s="17" t="s">
        <v>82</v>
      </c>
      <c r="K2498" s="245">
        <v>610</v>
      </c>
      <c r="L2498" s="245">
        <v>42</v>
      </c>
      <c r="M2498" s="19">
        <v>5800</v>
      </c>
      <c r="N2498" s="19" t="s">
        <v>40</v>
      </c>
      <c r="O2498" s="19" t="s">
        <v>141</v>
      </c>
      <c r="P2498" s="23">
        <v>2413</v>
      </c>
      <c r="Q2498" s="19">
        <f>898+928+922</f>
        <v>2748</v>
      </c>
      <c r="R2498" s="19">
        <f t="shared" si="130"/>
        <v>-335</v>
      </c>
      <c r="S2498" s="19">
        <v>1550</v>
      </c>
      <c r="T2498" s="19" t="s">
        <v>42</v>
      </c>
      <c r="U2498" s="102" t="s">
        <v>982</v>
      </c>
      <c r="V2498" s="212">
        <v>44959</v>
      </c>
      <c r="W2498" s="17" t="s">
        <v>69</v>
      </c>
      <c r="Y2498" s="68">
        <v>44980</v>
      </c>
      <c r="Z2498" s="17" t="s">
        <v>191</v>
      </c>
      <c r="AA2498" s="17" t="s">
        <v>46</v>
      </c>
      <c r="AB2498" s="17" t="s">
        <v>975</v>
      </c>
      <c r="AC2498" s="102" t="s">
        <v>976</v>
      </c>
      <c r="AD2498" s="65">
        <v>1401</v>
      </c>
      <c r="AE2498" s="17" t="s">
        <v>989</v>
      </c>
      <c r="AF2498" s="17" t="s">
        <v>560</v>
      </c>
      <c r="AI2498" s="17">
        <v>1600</v>
      </c>
    </row>
    <row r="2499" s="17" customFormat="1" hidden="1" spans="1:35">
      <c r="A2499" s="17" t="s">
        <v>34</v>
      </c>
      <c r="B2499" s="19">
        <v>868</v>
      </c>
      <c r="C2499" s="239">
        <v>44928</v>
      </c>
      <c r="D2499" s="17" t="s">
        <v>52</v>
      </c>
      <c r="E2499" s="17" t="s">
        <v>187</v>
      </c>
      <c r="F2499" s="17" t="s">
        <v>54</v>
      </c>
      <c r="H2499" s="19">
        <v>1.2083</v>
      </c>
      <c r="I2499" s="19"/>
      <c r="J2499" s="17" t="s">
        <v>82</v>
      </c>
      <c r="K2499" s="245">
        <v>610</v>
      </c>
      <c r="L2499" s="245">
        <v>50</v>
      </c>
      <c r="M2499" s="19">
        <v>5800</v>
      </c>
      <c r="N2499" s="19" t="s">
        <v>40</v>
      </c>
      <c r="O2499" s="19" t="s">
        <v>141</v>
      </c>
      <c r="P2499" s="23">
        <v>1915</v>
      </c>
      <c r="Q2499" s="19">
        <f>820+830</f>
        <v>1650</v>
      </c>
      <c r="R2499" s="19">
        <f t="shared" si="130"/>
        <v>265</v>
      </c>
      <c r="S2499" s="19">
        <v>1550</v>
      </c>
      <c r="T2499" s="19" t="s">
        <v>42</v>
      </c>
      <c r="U2499" s="102" t="s">
        <v>982</v>
      </c>
      <c r="V2499" s="212">
        <v>44959</v>
      </c>
      <c r="W2499" s="17" t="s">
        <v>69</v>
      </c>
      <c r="Y2499" s="68">
        <v>44980</v>
      </c>
      <c r="Z2499" s="17" t="s">
        <v>191</v>
      </c>
      <c r="AA2499" s="17" t="s">
        <v>46</v>
      </c>
      <c r="AB2499" s="17" t="s">
        <v>983</v>
      </c>
      <c r="AC2499" s="102" t="s">
        <v>984</v>
      </c>
      <c r="AD2499" s="65">
        <v>1403</v>
      </c>
      <c r="AE2499" s="17" t="s">
        <v>74</v>
      </c>
      <c r="AF2499" s="17" t="s">
        <v>560</v>
      </c>
      <c r="AI2499" s="17">
        <v>1850</v>
      </c>
    </row>
    <row r="2500" s="17" customFormat="1" hidden="1" spans="1:35">
      <c r="A2500" s="17" t="s">
        <v>34</v>
      </c>
      <c r="B2500" s="19">
        <v>868</v>
      </c>
      <c r="C2500" s="239">
        <v>44928</v>
      </c>
      <c r="D2500" s="17" t="s">
        <v>52</v>
      </c>
      <c r="E2500" s="17" t="s">
        <v>187</v>
      </c>
      <c r="F2500" s="17" t="s">
        <v>54</v>
      </c>
      <c r="H2500" s="19">
        <v>1.2083</v>
      </c>
      <c r="I2500" s="19"/>
      <c r="J2500" s="17" t="s">
        <v>82</v>
      </c>
      <c r="K2500" s="245">
        <v>510</v>
      </c>
      <c r="L2500" s="245">
        <v>51</v>
      </c>
      <c r="M2500" s="19">
        <v>5800</v>
      </c>
      <c r="N2500" s="19" t="s">
        <v>40</v>
      </c>
      <c r="O2500" s="19" t="s">
        <v>141</v>
      </c>
      <c r="P2500" s="23">
        <v>817</v>
      </c>
      <c r="Q2500" s="19">
        <v>1060</v>
      </c>
      <c r="R2500" s="19">
        <f t="shared" si="130"/>
        <v>-243</v>
      </c>
      <c r="S2500" s="19">
        <v>1550</v>
      </c>
      <c r="T2500" s="19" t="s">
        <v>42</v>
      </c>
      <c r="U2500" s="102" t="s">
        <v>982</v>
      </c>
      <c r="V2500" s="212">
        <v>44959</v>
      </c>
      <c r="W2500" s="17" t="s">
        <v>69</v>
      </c>
      <c r="Y2500" s="68">
        <v>44980</v>
      </c>
      <c r="Z2500" s="17" t="s">
        <v>191</v>
      </c>
      <c r="AA2500" s="17" t="s">
        <v>46</v>
      </c>
      <c r="AB2500" s="17" t="s">
        <v>975</v>
      </c>
      <c r="AC2500" s="102" t="s">
        <v>976</v>
      </c>
      <c r="AD2500" s="65">
        <v>1401</v>
      </c>
      <c r="AE2500" s="17" t="s">
        <v>74</v>
      </c>
      <c r="AF2500" s="17" t="s">
        <v>560</v>
      </c>
      <c r="AI2500" s="17">
        <v>1600</v>
      </c>
    </row>
    <row r="2501" s="17" customFormat="1" hidden="1" spans="1:35">
      <c r="A2501" s="17" t="s">
        <v>34</v>
      </c>
      <c r="B2501" s="19">
        <v>868</v>
      </c>
      <c r="C2501" s="239">
        <v>44928</v>
      </c>
      <c r="D2501" s="17" t="s">
        <v>52</v>
      </c>
      <c r="E2501" s="17" t="s">
        <v>187</v>
      </c>
      <c r="F2501" s="17" t="s">
        <v>54</v>
      </c>
      <c r="H2501" s="19">
        <v>1.2083</v>
      </c>
      <c r="I2501" s="19"/>
      <c r="J2501" s="17" t="s">
        <v>82</v>
      </c>
      <c r="K2501" s="245">
        <v>610</v>
      </c>
      <c r="L2501" s="245">
        <v>51</v>
      </c>
      <c r="M2501" s="19">
        <v>5800</v>
      </c>
      <c r="N2501" s="19" t="s">
        <v>40</v>
      </c>
      <c r="O2501" s="19" t="s">
        <v>141</v>
      </c>
      <c r="P2501" s="23">
        <v>1000</v>
      </c>
      <c r="Q2501" s="19">
        <v>848</v>
      </c>
      <c r="R2501" s="19">
        <f t="shared" si="130"/>
        <v>152</v>
      </c>
      <c r="S2501" s="19">
        <v>1550</v>
      </c>
      <c r="T2501" s="19" t="s">
        <v>42</v>
      </c>
      <c r="U2501" s="102" t="s">
        <v>982</v>
      </c>
      <c r="V2501" s="212">
        <v>44959</v>
      </c>
      <c r="W2501" s="17" t="s">
        <v>69</v>
      </c>
      <c r="Y2501" s="68">
        <v>44980</v>
      </c>
      <c r="Z2501" s="17" t="s">
        <v>191</v>
      </c>
      <c r="AA2501" s="17" t="s">
        <v>46</v>
      </c>
      <c r="AB2501" s="17" t="s">
        <v>983</v>
      </c>
      <c r="AC2501" s="102" t="s">
        <v>984</v>
      </c>
      <c r="AD2501" s="65">
        <v>1403</v>
      </c>
      <c r="AE2501" s="17" t="s">
        <v>48</v>
      </c>
      <c r="AF2501" s="17" t="s">
        <v>560</v>
      </c>
      <c r="AI2501" s="17">
        <v>1850</v>
      </c>
    </row>
    <row r="2502" s="17" customFormat="1" hidden="1" spans="1:35">
      <c r="A2502" s="17" t="s">
        <v>34</v>
      </c>
      <c r="B2502" s="19">
        <v>868</v>
      </c>
      <c r="C2502" s="239">
        <v>44928</v>
      </c>
      <c r="D2502" s="17" t="s">
        <v>52</v>
      </c>
      <c r="E2502" s="17" t="s">
        <v>187</v>
      </c>
      <c r="F2502" s="17" t="s">
        <v>54</v>
      </c>
      <c r="H2502" s="19">
        <v>1.2083</v>
      </c>
      <c r="I2502" s="19"/>
      <c r="J2502" s="17" t="s">
        <v>82</v>
      </c>
      <c r="K2502" s="245">
        <v>610</v>
      </c>
      <c r="L2502" s="245">
        <v>61</v>
      </c>
      <c r="M2502" s="19">
        <v>5800</v>
      </c>
      <c r="N2502" s="19" t="s">
        <v>40</v>
      </c>
      <c r="O2502" s="19" t="s">
        <v>141</v>
      </c>
      <c r="P2502" s="23">
        <v>1000</v>
      </c>
      <c r="Q2502" s="19">
        <v>888</v>
      </c>
      <c r="R2502" s="19">
        <f t="shared" si="130"/>
        <v>112</v>
      </c>
      <c r="S2502" s="19">
        <v>1550</v>
      </c>
      <c r="T2502" s="19" t="s">
        <v>42</v>
      </c>
      <c r="U2502" s="102" t="s">
        <v>982</v>
      </c>
      <c r="V2502" s="212">
        <v>44959</v>
      </c>
      <c r="W2502" s="17" t="s">
        <v>69</v>
      </c>
      <c r="Y2502" s="68">
        <v>44980</v>
      </c>
      <c r="Z2502" s="17" t="s">
        <v>191</v>
      </c>
      <c r="AA2502" s="17" t="s">
        <v>46</v>
      </c>
      <c r="AB2502" s="17" t="s">
        <v>983</v>
      </c>
      <c r="AC2502" s="102" t="s">
        <v>984</v>
      </c>
      <c r="AD2502" s="65">
        <v>1403</v>
      </c>
      <c r="AE2502" s="17" t="s">
        <v>48</v>
      </c>
      <c r="AF2502" s="17" t="s">
        <v>560</v>
      </c>
      <c r="AI2502" s="17">
        <v>1850</v>
      </c>
    </row>
    <row r="2503" s="17" customFormat="1" hidden="1" spans="1:35">
      <c r="A2503" s="17" t="s">
        <v>34</v>
      </c>
      <c r="B2503" s="19">
        <v>868</v>
      </c>
      <c r="C2503" s="239">
        <v>44928</v>
      </c>
      <c r="D2503" s="17" t="s">
        <v>52</v>
      </c>
      <c r="E2503" s="17" t="s">
        <v>187</v>
      </c>
      <c r="F2503" s="17" t="s">
        <v>54</v>
      </c>
      <c r="H2503" s="19">
        <v>1.2083</v>
      </c>
      <c r="I2503" s="19"/>
      <c r="J2503" s="17" t="s">
        <v>82</v>
      </c>
      <c r="K2503" s="245">
        <v>610</v>
      </c>
      <c r="L2503" s="245">
        <v>71</v>
      </c>
      <c r="M2503" s="19">
        <v>5800</v>
      </c>
      <c r="N2503" s="19" t="s">
        <v>40</v>
      </c>
      <c r="O2503" s="19" t="s">
        <v>141</v>
      </c>
      <c r="P2503" s="23">
        <v>1360</v>
      </c>
      <c r="Q2503" s="19">
        <v>1294</v>
      </c>
      <c r="R2503" s="19">
        <f t="shared" si="130"/>
        <v>66</v>
      </c>
      <c r="S2503" s="19">
        <v>1550</v>
      </c>
      <c r="T2503" s="19" t="s">
        <v>42</v>
      </c>
      <c r="U2503" s="102" t="s">
        <v>982</v>
      </c>
      <c r="V2503" s="212">
        <v>44959</v>
      </c>
      <c r="W2503" s="17" t="s">
        <v>69</v>
      </c>
      <c r="Y2503" s="68">
        <v>44980</v>
      </c>
      <c r="Z2503" s="17" t="s">
        <v>191</v>
      </c>
      <c r="AA2503" s="17" t="s">
        <v>46</v>
      </c>
      <c r="AB2503" s="17" t="s">
        <v>983</v>
      </c>
      <c r="AC2503" s="102" t="s">
        <v>984</v>
      </c>
      <c r="AD2503" s="65">
        <v>1403</v>
      </c>
      <c r="AE2503" s="17" t="s">
        <v>74</v>
      </c>
      <c r="AF2503" s="17" t="s">
        <v>560</v>
      </c>
      <c r="AI2503" s="17">
        <v>1850</v>
      </c>
    </row>
    <row r="2504" s="17" customFormat="1" hidden="1" spans="1:35">
      <c r="A2504" s="17" t="s">
        <v>34</v>
      </c>
      <c r="B2504" s="19">
        <v>868</v>
      </c>
      <c r="C2504" s="239">
        <v>44928</v>
      </c>
      <c r="D2504" s="17" t="s">
        <v>52</v>
      </c>
      <c r="E2504" s="17" t="s">
        <v>187</v>
      </c>
      <c r="F2504" s="17" t="s">
        <v>54</v>
      </c>
      <c r="H2504" s="19">
        <v>1.2083</v>
      </c>
      <c r="I2504" s="19"/>
      <c r="J2504" s="17" t="s">
        <v>82</v>
      </c>
      <c r="K2504" s="245">
        <v>610</v>
      </c>
      <c r="L2504" s="245">
        <v>81</v>
      </c>
      <c r="M2504" s="19">
        <v>5800</v>
      </c>
      <c r="N2504" s="19" t="s">
        <v>40</v>
      </c>
      <c r="O2504" s="19" t="s">
        <v>141</v>
      </c>
      <c r="P2504" s="23">
        <v>1551</v>
      </c>
      <c r="Q2504" s="19">
        <v>1322</v>
      </c>
      <c r="R2504" s="19">
        <f t="shared" si="130"/>
        <v>229</v>
      </c>
      <c r="S2504" s="19">
        <v>1550</v>
      </c>
      <c r="T2504" s="19" t="s">
        <v>42</v>
      </c>
      <c r="U2504" s="102" t="s">
        <v>982</v>
      </c>
      <c r="V2504" s="212">
        <v>44959</v>
      </c>
      <c r="W2504" s="17" t="s">
        <v>69</v>
      </c>
      <c r="Y2504" s="68">
        <v>44980</v>
      </c>
      <c r="Z2504" s="17" t="s">
        <v>191</v>
      </c>
      <c r="AA2504" s="17" t="s">
        <v>46</v>
      </c>
      <c r="AB2504" s="17" t="s">
        <v>983</v>
      </c>
      <c r="AC2504" s="102" t="s">
        <v>984</v>
      </c>
      <c r="AD2504" s="65">
        <v>1403</v>
      </c>
      <c r="AE2504" s="17" t="s">
        <v>74</v>
      </c>
      <c r="AF2504" s="17" t="s">
        <v>560</v>
      </c>
      <c r="AI2504" s="17">
        <v>1850</v>
      </c>
    </row>
    <row r="2505" s="17" customFormat="1" hidden="1" spans="1:35">
      <c r="A2505" s="17" t="s">
        <v>34</v>
      </c>
      <c r="B2505" s="19">
        <v>869</v>
      </c>
      <c r="C2505" s="239">
        <v>45079</v>
      </c>
      <c r="D2505" s="17" t="s">
        <v>181</v>
      </c>
      <c r="E2505" s="17" t="s">
        <v>182</v>
      </c>
      <c r="F2505" s="17" t="s">
        <v>183</v>
      </c>
      <c r="H2505" s="19">
        <v>1.2311</v>
      </c>
      <c r="I2505" s="19"/>
      <c r="J2505" s="17" t="s">
        <v>49</v>
      </c>
      <c r="K2505" s="19">
        <v>1400</v>
      </c>
      <c r="L2505" s="91">
        <v>300</v>
      </c>
      <c r="M2505" s="19">
        <v>5000</v>
      </c>
      <c r="N2505" s="19" t="s">
        <v>66</v>
      </c>
      <c r="O2505" s="19" t="s">
        <v>168</v>
      </c>
      <c r="P2505" s="65">
        <f>13000+13000</f>
        <v>26000</v>
      </c>
      <c r="Q2505" s="19">
        <f>13080+13340</f>
        <v>26420</v>
      </c>
      <c r="R2505" s="19">
        <f t="shared" si="130"/>
        <v>-420</v>
      </c>
      <c r="S2505" s="19">
        <v>2120</v>
      </c>
      <c r="T2505" s="19" t="s">
        <v>94</v>
      </c>
      <c r="U2505" s="102">
        <v>8230114</v>
      </c>
      <c r="V2505" s="212">
        <v>45171</v>
      </c>
      <c r="W2505" s="17" t="s">
        <v>185</v>
      </c>
      <c r="Y2505" s="68">
        <v>45039</v>
      </c>
      <c r="Z2505" s="17" t="s">
        <v>990</v>
      </c>
      <c r="AA2505" s="17" t="s">
        <v>46</v>
      </c>
      <c r="AB2505" s="17">
        <v>82300303</v>
      </c>
      <c r="AC2505" s="217">
        <v>45050</v>
      </c>
      <c r="AD2505" s="65">
        <v>1404</v>
      </c>
      <c r="AE2505" s="17" t="s">
        <v>48</v>
      </c>
      <c r="AF2505" s="17" t="s">
        <v>560</v>
      </c>
      <c r="AI2505" s="17">
        <v>2220</v>
      </c>
    </row>
    <row r="2506" s="17" customFormat="1" hidden="1" spans="1:35">
      <c r="A2506" s="17" t="s">
        <v>34</v>
      </c>
      <c r="B2506" s="19">
        <v>869</v>
      </c>
      <c r="C2506" s="239">
        <v>45079</v>
      </c>
      <c r="D2506" s="17" t="s">
        <v>181</v>
      </c>
      <c r="E2506" s="17" t="s">
        <v>182</v>
      </c>
      <c r="F2506" s="17" t="s">
        <v>183</v>
      </c>
      <c r="H2506" s="19">
        <v>1.2738</v>
      </c>
      <c r="I2506" s="19"/>
      <c r="J2506" s="17" t="s">
        <v>49</v>
      </c>
      <c r="K2506" s="147">
        <v>1400</v>
      </c>
      <c r="L2506" s="243">
        <v>300</v>
      </c>
      <c r="M2506" s="147">
        <v>5000</v>
      </c>
      <c r="N2506" s="19" t="s">
        <v>66</v>
      </c>
      <c r="O2506" s="19" t="s">
        <v>168</v>
      </c>
      <c r="P2506" s="249">
        <f>13000+13000</f>
        <v>26000</v>
      </c>
      <c r="Q2506" s="19">
        <f>12890+13020</f>
        <v>25910</v>
      </c>
      <c r="R2506" s="19">
        <f t="shared" si="130"/>
        <v>90</v>
      </c>
      <c r="S2506" s="19">
        <v>2350</v>
      </c>
      <c r="T2506" s="19" t="s">
        <v>94</v>
      </c>
      <c r="U2506" s="102">
        <v>8230114</v>
      </c>
      <c r="V2506" s="212">
        <v>45171</v>
      </c>
      <c r="W2506" s="17" t="s">
        <v>185</v>
      </c>
      <c r="Y2506" s="68">
        <v>45039</v>
      </c>
      <c r="Z2506" s="17" t="s">
        <v>990</v>
      </c>
      <c r="AA2506" s="17" t="s">
        <v>46</v>
      </c>
      <c r="AB2506" s="17">
        <v>82300303</v>
      </c>
      <c r="AC2506" s="217">
        <v>45050</v>
      </c>
      <c r="AD2506" s="65">
        <v>1404</v>
      </c>
      <c r="AE2506" s="17" t="s">
        <v>48</v>
      </c>
      <c r="AF2506" s="17" t="s">
        <v>560</v>
      </c>
      <c r="AI2506" s="17">
        <v>2450</v>
      </c>
    </row>
    <row r="2507" s="17" customFormat="1" hidden="1" spans="1:35">
      <c r="A2507" s="17" t="s">
        <v>34</v>
      </c>
      <c r="B2507" s="19">
        <v>870</v>
      </c>
      <c r="C2507" s="239">
        <v>45140</v>
      </c>
      <c r="D2507" s="17" t="s">
        <v>52</v>
      </c>
      <c r="E2507" s="17" t="s">
        <v>53</v>
      </c>
      <c r="F2507" s="17" t="s">
        <v>54</v>
      </c>
      <c r="H2507" s="19" t="s">
        <v>55</v>
      </c>
      <c r="I2507" s="19"/>
      <c r="J2507" s="17" t="s">
        <v>82</v>
      </c>
      <c r="K2507" s="250">
        <v>255</v>
      </c>
      <c r="L2507" s="245">
        <v>50</v>
      </c>
      <c r="M2507" s="245">
        <v>4230</v>
      </c>
      <c r="N2507" s="19" t="s">
        <v>40</v>
      </c>
      <c r="O2507" s="19" t="s">
        <v>50</v>
      </c>
      <c r="P2507" s="23">
        <v>430</v>
      </c>
      <c r="Q2507" s="19">
        <v>430</v>
      </c>
      <c r="R2507" s="19">
        <f t="shared" si="130"/>
        <v>0</v>
      </c>
      <c r="S2507" s="19">
        <f t="shared" ref="S2507:S2526" si="131">2100+210</f>
        <v>2310</v>
      </c>
      <c r="T2507" s="19" t="s">
        <v>42</v>
      </c>
      <c r="U2507" s="102" t="s">
        <v>991</v>
      </c>
      <c r="V2507" s="212">
        <v>45201</v>
      </c>
      <c r="W2507" s="17" t="s">
        <v>69</v>
      </c>
      <c r="Y2507" s="68">
        <v>44986</v>
      </c>
      <c r="Z2507" s="17" t="s">
        <v>191</v>
      </c>
      <c r="AA2507" s="17" t="s">
        <v>46</v>
      </c>
      <c r="AB2507" s="17" t="s">
        <v>991</v>
      </c>
      <c r="AC2507" s="102" t="s">
        <v>992</v>
      </c>
      <c r="AD2507" s="65">
        <v>1391</v>
      </c>
      <c r="AE2507" s="17" t="s">
        <v>48</v>
      </c>
      <c r="AF2507" s="17" t="s">
        <v>560</v>
      </c>
      <c r="AI2507" s="17">
        <v>2350</v>
      </c>
    </row>
    <row r="2508" s="17" customFormat="1" hidden="1" spans="1:35">
      <c r="A2508" s="17" t="s">
        <v>34</v>
      </c>
      <c r="B2508" s="19">
        <v>870</v>
      </c>
      <c r="C2508" s="239">
        <v>45140</v>
      </c>
      <c r="D2508" s="17" t="s">
        <v>52</v>
      </c>
      <c r="E2508" s="17" t="s">
        <v>53</v>
      </c>
      <c r="F2508" s="17" t="s">
        <v>54</v>
      </c>
      <c r="H2508" s="19" t="s">
        <v>55</v>
      </c>
      <c r="I2508" s="19"/>
      <c r="J2508" s="17" t="s">
        <v>82</v>
      </c>
      <c r="K2508" s="250">
        <v>355</v>
      </c>
      <c r="L2508" s="245">
        <v>50</v>
      </c>
      <c r="M2508" s="245">
        <v>3725</v>
      </c>
      <c r="N2508" s="19" t="s">
        <v>40</v>
      </c>
      <c r="O2508" s="19" t="s">
        <v>50</v>
      </c>
      <c r="P2508" s="23">
        <v>528</v>
      </c>
      <c r="Q2508" s="19">
        <v>528</v>
      </c>
      <c r="R2508" s="19">
        <f t="shared" si="130"/>
        <v>0</v>
      </c>
      <c r="S2508" s="19">
        <f t="shared" si="131"/>
        <v>2310</v>
      </c>
      <c r="T2508" s="19" t="s">
        <v>42</v>
      </c>
      <c r="U2508" s="102" t="s">
        <v>991</v>
      </c>
      <c r="V2508" s="212">
        <v>45201</v>
      </c>
      <c r="W2508" s="17" t="s">
        <v>69</v>
      </c>
      <c r="Y2508" s="68">
        <v>44986</v>
      </c>
      <c r="Z2508" s="17" t="s">
        <v>191</v>
      </c>
      <c r="AA2508" s="17" t="s">
        <v>46</v>
      </c>
      <c r="AB2508" s="17" t="s">
        <v>991</v>
      </c>
      <c r="AC2508" s="102" t="s">
        <v>992</v>
      </c>
      <c r="AD2508" s="65">
        <v>1391</v>
      </c>
      <c r="AE2508" s="17" t="s">
        <v>48</v>
      </c>
      <c r="AF2508" s="17" t="s">
        <v>560</v>
      </c>
      <c r="AI2508" s="17">
        <v>2350</v>
      </c>
    </row>
    <row r="2509" s="17" customFormat="1" hidden="1" spans="1:35">
      <c r="A2509" s="17" t="s">
        <v>34</v>
      </c>
      <c r="B2509" s="19">
        <v>870</v>
      </c>
      <c r="C2509" s="239">
        <v>45140</v>
      </c>
      <c r="D2509" s="17" t="s">
        <v>52</v>
      </c>
      <c r="E2509" s="17" t="s">
        <v>53</v>
      </c>
      <c r="F2509" s="17" t="s">
        <v>54</v>
      </c>
      <c r="H2509" s="19" t="s">
        <v>55</v>
      </c>
      <c r="I2509" s="19"/>
      <c r="J2509" s="17" t="s">
        <v>82</v>
      </c>
      <c r="K2509" s="250">
        <v>455</v>
      </c>
      <c r="L2509" s="245">
        <v>60</v>
      </c>
      <c r="M2509" s="245">
        <v>5960</v>
      </c>
      <c r="N2509" s="19" t="s">
        <v>40</v>
      </c>
      <c r="O2509" s="19" t="s">
        <v>50</v>
      </c>
      <c r="P2509" s="23">
        <v>1302</v>
      </c>
      <c r="Q2509" s="19">
        <f>652+646</f>
        <v>1298</v>
      </c>
      <c r="R2509" s="19">
        <f t="shared" si="130"/>
        <v>4</v>
      </c>
      <c r="S2509" s="19">
        <f t="shared" si="131"/>
        <v>2310</v>
      </c>
      <c r="T2509" s="19" t="s">
        <v>42</v>
      </c>
      <c r="U2509" s="102" t="s">
        <v>991</v>
      </c>
      <c r="V2509" s="212">
        <v>45201</v>
      </c>
      <c r="W2509" s="17" t="s">
        <v>69</v>
      </c>
      <c r="Y2509" s="68">
        <v>44986</v>
      </c>
      <c r="Z2509" s="17" t="s">
        <v>191</v>
      </c>
      <c r="AA2509" s="17" t="s">
        <v>46</v>
      </c>
      <c r="AB2509" s="17" t="s">
        <v>991</v>
      </c>
      <c r="AC2509" s="102" t="s">
        <v>992</v>
      </c>
      <c r="AD2509" s="65">
        <v>1391</v>
      </c>
      <c r="AE2509" s="17" t="s">
        <v>48</v>
      </c>
      <c r="AF2509" s="17" t="s">
        <v>560</v>
      </c>
      <c r="AI2509" s="17">
        <v>2350</v>
      </c>
    </row>
    <row r="2510" s="17" customFormat="1" hidden="1" spans="1:35">
      <c r="A2510" s="17" t="s">
        <v>34</v>
      </c>
      <c r="B2510" s="19">
        <v>870</v>
      </c>
      <c r="C2510" s="239">
        <v>45140</v>
      </c>
      <c r="D2510" s="17" t="s">
        <v>52</v>
      </c>
      <c r="E2510" s="17" t="s">
        <v>53</v>
      </c>
      <c r="F2510" s="17" t="s">
        <v>54</v>
      </c>
      <c r="H2510" s="19" t="s">
        <v>55</v>
      </c>
      <c r="I2510" s="19"/>
      <c r="J2510" s="17" t="s">
        <v>82</v>
      </c>
      <c r="K2510" s="250">
        <v>355</v>
      </c>
      <c r="L2510" s="159">
        <v>65</v>
      </c>
      <c r="M2510" s="245">
        <v>3823</v>
      </c>
      <c r="N2510" s="19" t="s">
        <v>40</v>
      </c>
      <c r="O2510" s="19" t="s">
        <v>50</v>
      </c>
      <c r="P2510" s="23">
        <v>742</v>
      </c>
      <c r="Q2510" s="19">
        <v>720</v>
      </c>
      <c r="R2510" s="19">
        <f t="shared" si="130"/>
        <v>22</v>
      </c>
      <c r="S2510" s="19">
        <f t="shared" si="131"/>
        <v>2310</v>
      </c>
      <c r="T2510" s="19" t="s">
        <v>42</v>
      </c>
      <c r="U2510" s="102" t="s">
        <v>991</v>
      </c>
      <c r="V2510" s="212">
        <v>45201</v>
      </c>
      <c r="W2510" s="17" t="s">
        <v>69</v>
      </c>
      <c r="Y2510" s="68">
        <v>44986</v>
      </c>
      <c r="Z2510" s="17" t="s">
        <v>191</v>
      </c>
      <c r="AA2510" s="17" t="s">
        <v>46</v>
      </c>
      <c r="AB2510" s="17" t="s">
        <v>991</v>
      </c>
      <c r="AC2510" s="102" t="s">
        <v>992</v>
      </c>
      <c r="AD2510" s="65">
        <v>1391</v>
      </c>
      <c r="AE2510" s="17" t="s">
        <v>48</v>
      </c>
      <c r="AF2510" s="17" t="s">
        <v>560</v>
      </c>
      <c r="AI2510" s="17">
        <v>2350</v>
      </c>
    </row>
    <row r="2511" s="17" customFormat="1" hidden="1" spans="1:35">
      <c r="B2511" s="19">
        <v>870</v>
      </c>
      <c r="C2511" s="239">
        <v>45140</v>
      </c>
      <c r="D2511" s="17" t="s">
        <v>52</v>
      </c>
      <c r="E2511" s="17" t="s">
        <v>53</v>
      </c>
      <c r="F2511" s="17" t="s">
        <v>54</v>
      </c>
      <c r="H2511" s="19" t="s">
        <v>55</v>
      </c>
      <c r="I2511" s="19"/>
      <c r="J2511" s="17" t="s">
        <v>82</v>
      </c>
      <c r="K2511" s="250">
        <v>355</v>
      </c>
      <c r="L2511" s="159">
        <v>65</v>
      </c>
      <c r="M2511" s="245">
        <v>3462</v>
      </c>
      <c r="N2511" s="19" t="s">
        <v>40</v>
      </c>
      <c r="O2511" s="19" t="s">
        <v>50</v>
      </c>
      <c r="P2511" s="23">
        <v>640</v>
      </c>
      <c r="Q2511" s="19">
        <v>0</v>
      </c>
      <c r="R2511" s="19">
        <f t="shared" si="130"/>
        <v>640</v>
      </c>
      <c r="S2511" s="19">
        <f t="shared" si="131"/>
        <v>2310</v>
      </c>
      <c r="T2511" s="19" t="s">
        <v>42</v>
      </c>
      <c r="U2511" s="102" t="s">
        <v>991</v>
      </c>
      <c r="V2511" s="212">
        <v>45201</v>
      </c>
      <c r="W2511" s="17" t="s">
        <v>69</v>
      </c>
      <c r="Y2511" s="68">
        <v>44986</v>
      </c>
      <c r="Z2511" s="17" t="s">
        <v>191</v>
      </c>
      <c r="AA2511" s="17" t="s">
        <v>46</v>
      </c>
      <c r="AC2511" s="102"/>
      <c r="AD2511" s="65"/>
      <c r="AE2511" s="17" t="s">
        <v>48</v>
      </c>
      <c r="AF2511" s="17" t="s">
        <v>560</v>
      </c>
      <c r="AI2511" s="17">
        <v>2350</v>
      </c>
    </row>
    <row r="2512" s="17" customFormat="1" hidden="1" spans="1:35">
      <c r="B2512" s="19">
        <v>870</v>
      </c>
      <c r="C2512" s="239">
        <v>45140</v>
      </c>
      <c r="D2512" s="17" t="s">
        <v>52</v>
      </c>
      <c r="E2512" s="17" t="s">
        <v>53</v>
      </c>
      <c r="F2512" s="17" t="s">
        <v>54</v>
      </c>
      <c r="H2512" s="19" t="s">
        <v>55</v>
      </c>
      <c r="I2512" s="19"/>
      <c r="J2512" s="17" t="s">
        <v>82</v>
      </c>
      <c r="K2512" s="250">
        <v>405</v>
      </c>
      <c r="L2512" s="159">
        <v>65</v>
      </c>
      <c r="M2512" s="245">
        <v>3524</v>
      </c>
      <c r="N2512" s="19" t="s">
        <v>40</v>
      </c>
      <c r="O2512" s="19" t="s">
        <v>50</v>
      </c>
      <c r="P2512" s="23">
        <v>728</v>
      </c>
      <c r="Q2512" s="19">
        <v>0</v>
      </c>
      <c r="R2512" s="19">
        <f t="shared" si="130"/>
        <v>728</v>
      </c>
      <c r="S2512" s="19">
        <f t="shared" si="131"/>
        <v>2310</v>
      </c>
      <c r="T2512" s="19" t="s">
        <v>42</v>
      </c>
      <c r="U2512" s="102" t="s">
        <v>991</v>
      </c>
      <c r="V2512" s="212">
        <v>45201</v>
      </c>
      <c r="W2512" s="17" t="s">
        <v>69</v>
      </c>
      <c r="Y2512" s="68">
        <v>44986</v>
      </c>
      <c r="Z2512" s="17" t="s">
        <v>191</v>
      </c>
      <c r="AA2512" s="17" t="s">
        <v>46</v>
      </c>
      <c r="AC2512" s="102"/>
      <c r="AD2512" s="65"/>
      <c r="AE2512" s="17" t="s">
        <v>48</v>
      </c>
      <c r="AF2512" s="17" t="s">
        <v>560</v>
      </c>
      <c r="AI2512" s="17">
        <v>2350</v>
      </c>
    </row>
    <row r="2513" s="17" customFormat="1" hidden="1" spans="1:35">
      <c r="A2513" s="17" t="s">
        <v>34</v>
      </c>
      <c r="B2513" s="19">
        <v>870</v>
      </c>
      <c r="C2513" s="239">
        <v>45140</v>
      </c>
      <c r="D2513" s="17" t="s">
        <v>52</v>
      </c>
      <c r="E2513" s="17" t="s">
        <v>53</v>
      </c>
      <c r="F2513" s="17" t="s">
        <v>54</v>
      </c>
      <c r="H2513" s="19" t="s">
        <v>55</v>
      </c>
      <c r="I2513" s="19"/>
      <c r="J2513" s="17" t="s">
        <v>82</v>
      </c>
      <c r="K2513" s="250">
        <v>455</v>
      </c>
      <c r="L2513" s="245">
        <v>75</v>
      </c>
      <c r="M2513" s="245">
        <v>5065</v>
      </c>
      <c r="N2513" s="19" t="s">
        <v>40</v>
      </c>
      <c r="O2513" s="19" t="s">
        <v>50</v>
      </c>
      <c r="P2513" s="23">
        <v>1364</v>
      </c>
      <c r="Q2513" s="19">
        <f>1120+1364</f>
        <v>2484</v>
      </c>
      <c r="R2513" s="19">
        <f t="shared" si="130"/>
        <v>-1120</v>
      </c>
      <c r="S2513" s="19">
        <f t="shared" si="131"/>
        <v>2310</v>
      </c>
      <c r="T2513" s="19" t="s">
        <v>42</v>
      </c>
      <c r="U2513" s="102" t="s">
        <v>991</v>
      </c>
      <c r="V2513" s="212">
        <v>45201</v>
      </c>
      <c r="W2513" s="17" t="s">
        <v>69</v>
      </c>
      <c r="Y2513" s="68">
        <v>44986</v>
      </c>
      <c r="Z2513" s="17" t="s">
        <v>191</v>
      </c>
      <c r="AA2513" s="17" t="s">
        <v>46</v>
      </c>
      <c r="AB2513" s="17" t="s">
        <v>991</v>
      </c>
      <c r="AC2513" s="102" t="s">
        <v>992</v>
      </c>
      <c r="AD2513" s="65">
        <v>1391</v>
      </c>
      <c r="AE2513" s="17" t="s">
        <v>48</v>
      </c>
      <c r="AF2513" s="17" t="s">
        <v>560</v>
      </c>
      <c r="AI2513" s="17">
        <v>2350</v>
      </c>
    </row>
    <row r="2514" s="17" customFormat="1" hidden="1" spans="1:35">
      <c r="B2514" s="19">
        <v>870</v>
      </c>
      <c r="C2514" s="239">
        <v>45140</v>
      </c>
      <c r="D2514" s="17" t="s">
        <v>52</v>
      </c>
      <c r="E2514" s="17" t="s">
        <v>53</v>
      </c>
      <c r="F2514" s="17" t="s">
        <v>54</v>
      </c>
      <c r="H2514" s="19" t="s">
        <v>55</v>
      </c>
      <c r="I2514" s="19"/>
      <c r="J2514" s="17" t="s">
        <v>82</v>
      </c>
      <c r="K2514" s="250">
        <v>505</v>
      </c>
      <c r="L2514" s="245">
        <v>80</v>
      </c>
      <c r="M2514" s="245">
        <v>5542</v>
      </c>
      <c r="N2514" s="19" t="s">
        <v>40</v>
      </c>
      <c r="O2514" s="19" t="s">
        <v>50</v>
      </c>
      <c r="P2514" s="23">
        <v>1776</v>
      </c>
      <c r="Q2514" s="19">
        <v>0</v>
      </c>
      <c r="R2514" s="19">
        <f t="shared" si="130"/>
        <v>1776</v>
      </c>
      <c r="S2514" s="19">
        <f t="shared" si="131"/>
        <v>2310</v>
      </c>
      <c r="T2514" s="19" t="s">
        <v>42</v>
      </c>
      <c r="U2514" s="102" t="s">
        <v>991</v>
      </c>
      <c r="V2514" s="212">
        <v>45201</v>
      </c>
      <c r="W2514" s="17" t="s">
        <v>69</v>
      </c>
      <c r="Y2514" s="68">
        <v>44986</v>
      </c>
      <c r="Z2514" s="17" t="s">
        <v>191</v>
      </c>
      <c r="AA2514" s="17" t="s">
        <v>46</v>
      </c>
      <c r="AC2514" s="102"/>
      <c r="AD2514" s="65"/>
      <c r="AE2514" s="17" t="s">
        <v>48</v>
      </c>
      <c r="AF2514" s="17" t="s">
        <v>560</v>
      </c>
      <c r="AI2514" s="17">
        <v>2350</v>
      </c>
    </row>
    <row r="2515" s="17" customFormat="1" hidden="1" spans="1:35">
      <c r="A2515" s="17" t="s">
        <v>34</v>
      </c>
      <c r="B2515" s="19">
        <v>870</v>
      </c>
      <c r="C2515" s="239">
        <v>45140</v>
      </c>
      <c r="D2515" s="17" t="s">
        <v>52</v>
      </c>
      <c r="E2515" s="17" t="s">
        <v>53</v>
      </c>
      <c r="F2515" s="17" t="s">
        <v>54</v>
      </c>
      <c r="H2515" s="19" t="s">
        <v>55</v>
      </c>
      <c r="I2515" s="19"/>
      <c r="J2515" s="17" t="s">
        <v>82</v>
      </c>
      <c r="K2515" s="250">
        <v>405</v>
      </c>
      <c r="L2515" s="245">
        <v>85</v>
      </c>
      <c r="M2515" s="245">
        <v>4223</v>
      </c>
      <c r="N2515" s="19" t="s">
        <v>40</v>
      </c>
      <c r="O2515" s="19" t="s">
        <v>50</v>
      </c>
      <c r="P2515" s="23">
        <v>1152</v>
      </c>
      <c r="Q2515" s="19">
        <v>1152</v>
      </c>
      <c r="R2515" s="19">
        <f t="shared" si="130"/>
        <v>0</v>
      </c>
      <c r="S2515" s="19">
        <f t="shared" si="131"/>
        <v>2310</v>
      </c>
      <c r="T2515" s="19" t="s">
        <v>42</v>
      </c>
      <c r="U2515" s="102" t="s">
        <v>991</v>
      </c>
      <c r="V2515" s="212">
        <v>45201</v>
      </c>
      <c r="W2515" s="17" t="s">
        <v>69</v>
      </c>
      <c r="Y2515" s="68">
        <v>44986</v>
      </c>
      <c r="Z2515" s="17" t="s">
        <v>191</v>
      </c>
      <c r="AA2515" s="17" t="s">
        <v>46</v>
      </c>
      <c r="AB2515" s="17" t="s">
        <v>991</v>
      </c>
      <c r="AC2515" s="102" t="s">
        <v>992</v>
      </c>
      <c r="AD2515" s="65">
        <v>1391</v>
      </c>
      <c r="AE2515" s="17" t="s">
        <v>48</v>
      </c>
      <c r="AF2515" s="17" t="s">
        <v>560</v>
      </c>
      <c r="AI2515" s="17">
        <v>2350</v>
      </c>
    </row>
    <row r="2516" s="17" customFormat="1" hidden="1" spans="1:35">
      <c r="A2516" s="17" t="s">
        <v>34</v>
      </c>
      <c r="B2516" s="19">
        <v>870</v>
      </c>
      <c r="C2516" s="239">
        <v>45140</v>
      </c>
      <c r="D2516" s="17" t="s">
        <v>52</v>
      </c>
      <c r="E2516" s="17" t="s">
        <v>53</v>
      </c>
      <c r="F2516" s="17" t="s">
        <v>54</v>
      </c>
      <c r="H2516" s="19" t="s">
        <v>55</v>
      </c>
      <c r="I2516" s="19"/>
      <c r="J2516" s="17" t="s">
        <v>82</v>
      </c>
      <c r="K2516" s="250">
        <v>610</v>
      </c>
      <c r="L2516" s="245">
        <v>90</v>
      </c>
      <c r="M2516" s="245">
        <v>4280</v>
      </c>
      <c r="N2516" s="19" t="s">
        <v>40</v>
      </c>
      <c r="O2516" s="19" t="s">
        <v>50</v>
      </c>
      <c r="P2516" s="23">
        <v>1838</v>
      </c>
      <c r="Q2516" s="19">
        <v>1838</v>
      </c>
      <c r="R2516" s="19">
        <f t="shared" si="130"/>
        <v>0</v>
      </c>
      <c r="S2516" s="19">
        <f t="shared" si="131"/>
        <v>2310</v>
      </c>
      <c r="T2516" s="19" t="s">
        <v>42</v>
      </c>
      <c r="U2516" s="102" t="s">
        <v>991</v>
      </c>
      <c r="V2516" s="212">
        <v>45201</v>
      </c>
      <c r="W2516" s="17" t="s">
        <v>69</v>
      </c>
      <c r="Y2516" s="68">
        <v>44986</v>
      </c>
      <c r="Z2516" s="17" t="s">
        <v>191</v>
      </c>
      <c r="AA2516" s="17" t="s">
        <v>46</v>
      </c>
      <c r="AB2516" s="17" t="s">
        <v>991</v>
      </c>
      <c r="AC2516" s="102" t="s">
        <v>992</v>
      </c>
      <c r="AD2516" s="65">
        <v>1391</v>
      </c>
      <c r="AE2516" s="17" t="s">
        <v>48</v>
      </c>
      <c r="AF2516" s="17" t="s">
        <v>560</v>
      </c>
      <c r="AI2516" s="17">
        <v>2350</v>
      </c>
    </row>
    <row r="2517" s="17" customFormat="1" hidden="1" spans="1:35">
      <c r="A2517" s="17" t="s">
        <v>34</v>
      </c>
      <c r="B2517" s="19">
        <v>870</v>
      </c>
      <c r="C2517" s="239">
        <v>45140</v>
      </c>
      <c r="D2517" s="17" t="s">
        <v>52</v>
      </c>
      <c r="E2517" s="17" t="s">
        <v>53</v>
      </c>
      <c r="F2517" s="17" t="s">
        <v>54</v>
      </c>
      <c r="H2517" s="19" t="s">
        <v>55</v>
      </c>
      <c r="I2517" s="19"/>
      <c r="J2517" s="17" t="s">
        <v>82</v>
      </c>
      <c r="K2517" s="250">
        <v>455</v>
      </c>
      <c r="L2517" s="159">
        <v>95</v>
      </c>
      <c r="M2517" s="245">
        <v>2749</v>
      </c>
      <c r="N2517" s="19" t="s">
        <v>40</v>
      </c>
      <c r="O2517" s="19" t="s">
        <v>50</v>
      </c>
      <c r="P2517" s="23">
        <v>930</v>
      </c>
      <c r="Q2517" s="19">
        <v>930</v>
      </c>
      <c r="R2517" s="19">
        <f t="shared" si="130"/>
        <v>0</v>
      </c>
      <c r="S2517" s="19">
        <f t="shared" si="131"/>
        <v>2310</v>
      </c>
      <c r="T2517" s="19" t="s">
        <v>42</v>
      </c>
      <c r="U2517" s="102" t="s">
        <v>991</v>
      </c>
      <c r="V2517" s="212">
        <v>45201</v>
      </c>
      <c r="W2517" s="17" t="s">
        <v>69</v>
      </c>
      <c r="Y2517" s="68">
        <v>44986</v>
      </c>
      <c r="Z2517" s="17" t="s">
        <v>191</v>
      </c>
      <c r="AA2517" s="17" t="s">
        <v>46</v>
      </c>
      <c r="AB2517" s="17" t="s">
        <v>991</v>
      </c>
      <c r="AC2517" s="102" t="s">
        <v>992</v>
      </c>
      <c r="AD2517" s="65">
        <v>1391</v>
      </c>
      <c r="AE2517" s="17" t="s">
        <v>48</v>
      </c>
      <c r="AF2517" s="17" t="s">
        <v>560</v>
      </c>
      <c r="AI2517" s="17">
        <v>2350</v>
      </c>
    </row>
    <row r="2518" s="17" customFormat="1" hidden="1" spans="1:35">
      <c r="A2518" s="17" t="s">
        <v>34</v>
      </c>
      <c r="B2518" s="19">
        <v>870</v>
      </c>
      <c r="C2518" s="239">
        <v>45140</v>
      </c>
      <c r="D2518" s="17" t="s">
        <v>52</v>
      </c>
      <c r="E2518" s="17" t="s">
        <v>53</v>
      </c>
      <c r="F2518" s="17" t="s">
        <v>54</v>
      </c>
      <c r="H2518" s="19" t="s">
        <v>55</v>
      </c>
      <c r="I2518" s="19"/>
      <c r="J2518" s="17" t="s">
        <v>82</v>
      </c>
      <c r="K2518" s="250">
        <v>455</v>
      </c>
      <c r="L2518" s="159">
        <v>100</v>
      </c>
      <c r="M2518" s="245">
        <v>3516</v>
      </c>
      <c r="N2518" s="19" t="s">
        <v>40</v>
      </c>
      <c r="O2518" s="19" t="s">
        <v>50</v>
      </c>
      <c r="P2518" s="23">
        <v>1259</v>
      </c>
      <c r="Q2518" s="19">
        <v>1259</v>
      </c>
      <c r="R2518" s="19">
        <f t="shared" si="130"/>
        <v>0</v>
      </c>
      <c r="S2518" s="19">
        <f t="shared" si="131"/>
        <v>2310</v>
      </c>
      <c r="T2518" s="19" t="s">
        <v>42</v>
      </c>
      <c r="U2518" s="102" t="s">
        <v>991</v>
      </c>
      <c r="V2518" s="212">
        <v>45201</v>
      </c>
      <c r="W2518" s="17" t="s">
        <v>69</v>
      </c>
      <c r="Y2518" s="68">
        <v>44986</v>
      </c>
      <c r="Z2518" s="17" t="s">
        <v>191</v>
      </c>
      <c r="AA2518" s="17" t="s">
        <v>46</v>
      </c>
      <c r="AB2518" s="17" t="s">
        <v>991</v>
      </c>
      <c r="AC2518" s="102" t="s">
        <v>992</v>
      </c>
      <c r="AD2518" s="65">
        <v>1391</v>
      </c>
      <c r="AE2518" s="17" t="s">
        <v>48</v>
      </c>
      <c r="AF2518" s="17" t="s">
        <v>560</v>
      </c>
      <c r="AI2518" s="17">
        <v>2350</v>
      </c>
    </row>
    <row r="2519" s="17" customFormat="1" hidden="1" spans="1:35">
      <c r="A2519" s="17" t="s">
        <v>34</v>
      </c>
      <c r="B2519" s="19">
        <v>870</v>
      </c>
      <c r="C2519" s="239">
        <v>45140</v>
      </c>
      <c r="D2519" s="17" t="s">
        <v>52</v>
      </c>
      <c r="E2519" s="17" t="s">
        <v>53</v>
      </c>
      <c r="F2519" s="17" t="s">
        <v>54</v>
      </c>
      <c r="H2519" s="19" t="s">
        <v>55</v>
      </c>
      <c r="I2519" s="19"/>
      <c r="J2519" s="17" t="s">
        <v>82</v>
      </c>
      <c r="K2519" s="250">
        <v>305</v>
      </c>
      <c r="L2519" s="159">
        <v>120</v>
      </c>
      <c r="M2519" s="245">
        <v>4618</v>
      </c>
      <c r="N2519" s="19" t="s">
        <v>40</v>
      </c>
      <c r="O2519" s="19" t="s">
        <v>50</v>
      </c>
      <c r="P2519" s="23">
        <v>1337</v>
      </c>
      <c r="Q2519" s="19">
        <v>1337</v>
      </c>
      <c r="R2519" s="19">
        <f t="shared" si="130"/>
        <v>0</v>
      </c>
      <c r="S2519" s="19">
        <f t="shared" si="131"/>
        <v>2310</v>
      </c>
      <c r="T2519" s="19" t="s">
        <v>42</v>
      </c>
      <c r="U2519" s="102" t="s">
        <v>991</v>
      </c>
      <c r="V2519" s="212">
        <v>45201</v>
      </c>
      <c r="W2519" s="17" t="s">
        <v>69</v>
      </c>
      <c r="Y2519" s="68">
        <v>44986</v>
      </c>
      <c r="Z2519" s="17" t="s">
        <v>191</v>
      </c>
      <c r="AA2519" s="17" t="s">
        <v>46</v>
      </c>
      <c r="AB2519" s="17" t="s">
        <v>991</v>
      </c>
      <c r="AC2519" s="102" t="s">
        <v>992</v>
      </c>
      <c r="AD2519" s="65">
        <v>1391</v>
      </c>
      <c r="AE2519" s="17" t="s">
        <v>48</v>
      </c>
      <c r="AF2519" s="17" t="s">
        <v>560</v>
      </c>
      <c r="AI2519" s="17">
        <v>2350</v>
      </c>
    </row>
    <row r="2520" s="17" customFormat="1" hidden="1" spans="1:35">
      <c r="A2520" s="17" t="s">
        <v>34</v>
      </c>
      <c r="B2520" s="19">
        <v>870</v>
      </c>
      <c r="C2520" s="239">
        <v>45140</v>
      </c>
      <c r="D2520" s="17" t="s">
        <v>52</v>
      </c>
      <c r="E2520" s="17" t="s">
        <v>53</v>
      </c>
      <c r="F2520" s="17" t="s">
        <v>54</v>
      </c>
      <c r="H2520" s="19" t="s">
        <v>55</v>
      </c>
      <c r="I2520" s="19"/>
      <c r="J2520" s="17" t="s">
        <v>82</v>
      </c>
      <c r="K2520" s="250">
        <v>505</v>
      </c>
      <c r="L2520" s="245">
        <v>130</v>
      </c>
      <c r="M2520" s="245">
        <v>4950</v>
      </c>
      <c r="N2520" s="19" t="s">
        <v>40</v>
      </c>
      <c r="O2520" s="19" t="s">
        <v>50</v>
      </c>
      <c r="P2520" s="23">
        <v>2554</v>
      </c>
      <c r="Q2520" s="19">
        <v>2530</v>
      </c>
      <c r="R2520" s="19">
        <f t="shared" si="130"/>
        <v>24</v>
      </c>
      <c r="S2520" s="19">
        <f t="shared" si="131"/>
        <v>2310</v>
      </c>
      <c r="T2520" s="19" t="s">
        <v>42</v>
      </c>
      <c r="U2520" s="102" t="s">
        <v>991</v>
      </c>
      <c r="V2520" s="212">
        <v>45201</v>
      </c>
      <c r="W2520" s="17" t="s">
        <v>69</v>
      </c>
      <c r="Y2520" s="68">
        <v>44986</v>
      </c>
      <c r="Z2520" s="17" t="s">
        <v>191</v>
      </c>
      <c r="AA2520" s="17" t="s">
        <v>46</v>
      </c>
      <c r="AB2520" s="17" t="s">
        <v>991</v>
      </c>
      <c r="AC2520" s="102" t="s">
        <v>992</v>
      </c>
      <c r="AD2520" s="65">
        <v>1391</v>
      </c>
      <c r="AE2520" s="17" t="s">
        <v>48</v>
      </c>
      <c r="AF2520" s="17" t="s">
        <v>560</v>
      </c>
      <c r="AI2520" s="17">
        <v>2350</v>
      </c>
    </row>
    <row r="2521" s="17" customFormat="1" hidden="1" spans="1:35">
      <c r="A2521" s="17" t="s">
        <v>34</v>
      </c>
      <c r="B2521" s="19">
        <v>870</v>
      </c>
      <c r="C2521" s="239">
        <v>45140</v>
      </c>
      <c r="D2521" s="17" t="s">
        <v>52</v>
      </c>
      <c r="E2521" s="17" t="s">
        <v>53</v>
      </c>
      <c r="F2521" s="17" t="s">
        <v>54</v>
      </c>
      <c r="H2521" s="19" t="s">
        <v>55</v>
      </c>
      <c r="I2521" s="19"/>
      <c r="J2521" s="17" t="s">
        <v>82</v>
      </c>
      <c r="K2521" s="250">
        <v>455</v>
      </c>
      <c r="L2521" s="245">
        <v>150</v>
      </c>
      <c r="M2521" s="245">
        <v>4440</v>
      </c>
      <c r="N2521" s="19" t="s">
        <v>40</v>
      </c>
      <c r="O2521" s="19" t="s">
        <v>50</v>
      </c>
      <c r="P2521" s="23">
        <v>2346</v>
      </c>
      <c r="Q2521" s="19">
        <v>2346</v>
      </c>
      <c r="R2521" s="19">
        <f t="shared" si="130"/>
        <v>0</v>
      </c>
      <c r="S2521" s="19">
        <f t="shared" si="131"/>
        <v>2310</v>
      </c>
      <c r="T2521" s="19" t="s">
        <v>42</v>
      </c>
      <c r="U2521" s="102" t="s">
        <v>991</v>
      </c>
      <c r="V2521" s="212">
        <v>45201</v>
      </c>
      <c r="W2521" s="17" t="s">
        <v>69</v>
      </c>
      <c r="Y2521" s="68">
        <v>44986</v>
      </c>
      <c r="Z2521" s="17" t="s">
        <v>191</v>
      </c>
      <c r="AA2521" s="17" t="s">
        <v>46</v>
      </c>
      <c r="AB2521" s="17" t="s">
        <v>991</v>
      </c>
      <c r="AC2521" s="102" t="s">
        <v>992</v>
      </c>
      <c r="AD2521" s="65">
        <v>1391</v>
      </c>
      <c r="AE2521" s="17" t="s">
        <v>48</v>
      </c>
      <c r="AF2521" s="17" t="s">
        <v>560</v>
      </c>
      <c r="AI2521" s="17">
        <v>2350</v>
      </c>
    </row>
    <row r="2522" s="17" customFormat="1" hidden="1" spans="1:35">
      <c r="A2522" s="17" t="s">
        <v>34</v>
      </c>
      <c r="B2522" s="19">
        <v>870</v>
      </c>
      <c r="C2522" s="239">
        <v>45140</v>
      </c>
      <c r="D2522" s="17" t="s">
        <v>52</v>
      </c>
      <c r="E2522" s="17" t="s">
        <v>53</v>
      </c>
      <c r="F2522" s="17" t="s">
        <v>54</v>
      </c>
      <c r="H2522" s="19" t="s">
        <v>55</v>
      </c>
      <c r="I2522" s="19"/>
      <c r="J2522" s="17" t="s">
        <v>82</v>
      </c>
      <c r="K2522" s="250">
        <v>505</v>
      </c>
      <c r="L2522" s="159">
        <v>160</v>
      </c>
      <c r="M2522" s="245">
        <v>3674</v>
      </c>
      <c r="N2522" s="19" t="s">
        <v>40</v>
      </c>
      <c r="O2522" s="19" t="s">
        <v>50</v>
      </c>
      <c r="P2522" s="23">
        <v>2318</v>
      </c>
      <c r="Q2522" s="19">
        <v>2318</v>
      </c>
      <c r="R2522" s="19">
        <f t="shared" si="130"/>
        <v>0</v>
      </c>
      <c r="S2522" s="19">
        <f t="shared" si="131"/>
        <v>2310</v>
      </c>
      <c r="T2522" s="19" t="s">
        <v>42</v>
      </c>
      <c r="U2522" s="102" t="s">
        <v>991</v>
      </c>
      <c r="V2522" s="212">
        <v>45201</v>
      </c>
      <c r="W2522" s="17" t="s">
        <v>69</v>
      </c>
      <c r="Y2522" s="68">
        <v>44986</v>
      </c>
      <c r="Z2522" s="17" t="s">
        <v>191</v>
      </c>
      <c r="AA2522" s="17" t="s">
        <v>46</v>
      </c>
      <c r="AB2522" s="17" t="s">
        <v>991</v>
      </c>
      <c r="AC2522" s="102" t="s">
        <v>992</v>
      </c>
      <c r="AD2522" s="65">
        <v>1391</v>
      </c>
      <c r="AE2522" s="17" t="s">
        <v>48</v>
      </c>
      <c r="AF2522" s="17" t="s">
        <v>560</v>
      </c>
      <c r="AI2522" s="17">
        <v>2350</v>
      </c>
    </row>
    <row r="2523" s="17" customFormat="1" hidden="1" spans="1:35">
      <c r="A2523" s="17" t="s">
        <v>34</v>
      </c>
      <c r="B2523" s="19">
        <v>870</v>
      </c>
      <c r="C2523" s="239">
        <v>45140</v>
      </c>
      <c r="D2523" s="17" t="s">
        <v>52</v>
      </c>
      <c r="E2523" s="17" t="s">
        <v>53</v>
      </c>
      <c r="F2523" s="17" t="s">
        <v>54</v>
      </c>
      <c r="H2523" s="19" t="s">
        <v>55</v>
      </c>
      <c r="I2523" s="19"/>
      <c r="J2523" s="17" t="s">
        <v>82</v>
      </c>
      <c r="K2523" s="251">
        <v>355</v>
      </c>
      <c r="L2523" s="252">
        <v>170</v>
      </c>
      <c r="M2523" s="245"/>
      <c r="N2523" s="19" t="s">
        <v>40</v>
      </c>
      <c r="O2523" s="19" t="s">
        <v>50</v>
      </c>
      <c r="P2523" s="23"/>
      <c r="Q2523" s="242">
        <v>1290</v>
      </c>
      <c r="R2523" s="19"/>
      <c r="S2523" s="19">
        <f t="shared" si="131"/>
        <v>2310</v>
      </c>
      <c r="T2523" s="19" t="s">
        <v>42</v>
      </c>
      <c r="U2523" s="102" t="s">
        <v>991</v>
      </c>
      <c r="V2523" s="212">
        <v>45201</v>
      </c>
      <c r="W2523" s="17" t="s">
        <v>69</v>
      </c>
      <c r="Y2523" s="68">
        <v>44986</v>
      </c>
      <c r="Z2523" s="17" t="s">
        <v>191</v>
      </c>
      <c r="AA2523" s="17" t="s">
        <v>46</v>
      </c>
      <c r="AB2523" s="17" t="s">
        <v>991</v>
      </c>
      <c r="AC2523" s="102" t="s">
        <v>992</v>
      </c>
      <c r="AD2523" s="65">
        <v>1391</v>
      </c>
      <c r="AE2523" s="17" t="s">
        <v>48</v>
      </c>
      <c r="AF2523" s="17" t="s">
        <v>560</v>
      </c>
      <c r="AI2523" s="17">
        <v>2350</v>
      </c>
    </row>
    <row r="2524" s="17" customFormat="1" hidden="1" spans="1:35">
      <c r="A2524" s="17" t="s">
        <v>34</v>
      </c>
      <c r="B2524" s="19">
        <v>870</v>
      </c>
      <c r="C2524" s="239">
        <v>45140</v>
      </c>
      <c r="D2524" s="17" t="s">
        <v>52</v>
      </c>
      <c r="E2524" s="17" t="s">
        <v>53</v>
      </c>
      <c r="F2524" s="17" t="s">
        <v>54</v>
      </c>
      <c r="H2524" s="19" t="s">
        <v>55</v>
      </c>
      <c r="I2524" s="19"/>
      <c r="J2524" s="17" t="s">
        <v>82</v>
      </c>
      <c r="K2524" s="251">
        <v>305</v>
      </c>
      <c r="L2524" s="252">
        <v>180</v>
      </c>
      <c r="M2524" s="245"/>
      <c r="N2524" s="19" t="s">
        <v>40</v>
      </c>
      <c r="O2524" s="19" t="s">
        <v>50</v>
      </c>
      <c r="P2524" s="23"/>
      <c r="Q2524" s="242">
        <v>1774</v>
      </c>
      <c r="R2524" s="19"/>
      <c r="S2524" s="19">
        <f t="shared" si="131"/>
        <v>2310</v>
      </c>
      <c r="T2524" s="19" t="s">
        <v>42</v>
      </c>
      <c r="U2524" s="102" t="s">
        <v>991</v>
      </c>
      <c r="V2524" s="212">
        <v>45201</v>
      </c>
      <c r="W2524" s="17" t="s">
        <v>69</v>
      </c>
      <c r="Y2524" s="68">
        <v>44986</v>
      </c>
      <c r="Z2524" s="17" t="s">
        <v>191</v>
      </c>
      <c r="AA2524" s="17" t="s">
        <v>46</v>
      </c>
      <c r="AB2524" s="17" t="s">
        <v>991</v>
      </c>
      <c r="AC2524" s="102" t="s">
        <v>992</v>
      </c>
      <c r="AD2524" s="65">
        <v>1391</v>
      </c>
      <c r="AE2524" s="17" t="s">
        <v>48</v>
      </c>
      <c r="AF2524" s="17" t="s">
        <v>560</v>
      </c>
      <c r="AI2524" s="17">
        <v>2350</v>
      </c>
    </row>
    <row r="2525" s="17" customFormat="1" hidden="1" spans="1:35">
      <c r="A2525" s="17" t="s">
        <v>34</v>
      </c>
      <c r="B2525" s="19">
        <v>870</v>
      </c>
      <c r="C2525" s="239">
        <v>45140</v>
      </c>
      <c r="D2525" s="17" t="s">
        <v>52</v>
      </c>
      <c r="E2525" s="17" t="s">
        <v>53</v>
      </c>
      <c r="F2525" s="17" t="s">
        <v>54</v>
      </c>
      <c r="H2525" s="19" t="s">
        <v>55</v>
      </c>
      <c r="I2525" s="19"/>
      <c r="J2525" s="17" t="s">
        <v>82</v>
      </c>
      <c r="K2525" s="251">
        <v>355</v>
      </c>
      <c r="L2525" s="252">
        <v>180</v>
      </c>
      <c r="M2525" s="245"/>
      <c r="N2525" s="19" t="s">
        <v>40</v>
      </c>
      <c r="O2525" s="19" t="s">
        <v>50</v>
      </c>
      <c r="P2525" s="23"/>
      <c r="Q2525" s="242">
        <v>1440</v>
      </c>
      <c r="R2525" s="19"/>
      <c r="S2525" s="19">
        <f t="shared" si="131"/>
        <v>2310</v>
      </c>
      <c r="T2525" s="19" t="s">
        <v>42</v>
      </c>
      <c r="U2525" s="102" t="s">
        <v>991</v>
      </c>
      <c r="V2525" s="212">
        <v>45201</v>
      </c>
      <c r="W2525" s="17" t="s">
        <v>69</v>
      </c>
      <c r="Y2525" s="68">
        <v>44986</v>
      </c>
      <c r="Z2525" s="17" t="s">
        <v>191</v>
      </c>
      <c r="AA2525" s="17" t="s">
        <v>46</v>
      </c>
      <c r="AB2525" s="17" t="s">
        <v>991</v>
      </c>
      <c r="AC2525" s="102" t="s">
        <v>992</v>
      </c>
      <c r="AD2525" s="65">
        <v>1391</v>
      </c>
      <c r="AE2525" s="17" t="s">
        <v>48</v>
      </c>
      <c r="AF2525" s="17" t="s">
        <v>560</v>
      </c>
      <c r="AI2525" s="17">
        <v>2350</v>
      </c>
    </row>
    <row r="2526" s="17" customFormat="1" hidden="1" spans="1:35">
      <c r="A2526" s="17" t="s">
        <v>34</v>
      </c>
      <c r="B2526" s="19">
        <v>870</v>
      </c>
      <c r="C2526" s="239">
        <v>45140</v>
      </c>
      <c r="D2526" s="17" t="s">
        <v>52</v>
      </c>
      <c r="E2526" s="17" t="s">
        <v>53</v>
      </c>
      <c r="F2526" s="17" t="s">
        <v>54</v>
      </c>
      <c r="H2526" s="19" t="s">
        <v>55</v>
      </c>
      <c r="I2526" s="19"/>
      <c r="J2526" s="17" t="s">
        <v>82</v>
      </c>
      <c r="K2526" s="250">
        <v>405</v>
      </c>
      <c r="L2526" s="159">
        <v>190</v>
      </c>
      <c r="M2526" s="245">
        <v>5284</v>
      </c>
      <c r="N2526" s="19" t="s">
        <v>40</v>
      </c>
      <c r="O2526" s="19" t="s">
        <v>50</v>
      </c>
      <c r="P2526" s="23">
        <v>3178</v>
      </c>
      <c r="Q2526" s="19">
        <v>3178</v>
      </c>
      <c r="R2526" s="19">
        <f t="shared" ref="R2526:R2560" si="132">+P2526-Q2526</f>
        <v>0</v>
      </c>
      <c r="S2526" s="19">
        <f t="shared" si="131"/>
        <v>2310</v>
      </c>
      <c r="T2526" s="19" t="s">
        <v>42</v>
      </c>
      <c r="U2526" s="102" t="s">
        <v>991</v>
      </c>
      <c r="V2526" s="212">
        <v>45201</v>
      </c>
      <c r="W2526" s="17" t="s">
        <v>69</v>
      </c>
      <c r="Y2526" s="68">
        <v>44986</v>
      </c>
      <c r="Z2526" s="17" t="s">
        <v>191</v>
      </c>
      <c r="AA2526" s="17" t="s">
        <v>46</v>
      </c>
      <c r="AB2526" s="17" t="s">
        <v>991</v>
      </c>
      <c r="AC2526" s="102" t="s">
        <v>992</v>
      </c>
      <c r="AD2526" s="65">
        <v>1391</v>
      </c>
      <c r="AE2526" s="17" t="s">
        <v>48</v>
      </c>
      <c r="AF2526" s="17" t="s">
        <v>560</v>
      </c>
      <c r="AI2526" s="17">
        <v>2350</v>
      </c>
    </row>
    <row r="2527" s="17" customFormat="1" hidden="1" spans="1:35">
      <c r="A2527" s="17" t="s">
        <v>34</v>
      </c>
      <c r="B2527" s="19">
        <v>871</v>
      </c>
      <c r="C2527" s="239">
        <v>45140</v>
      </c>
      <c r="D2527" s="17" t="s">
        <v>35</v>
      </c>
      <c r="E2527" s="17" t="s">
        <v>718</v>
      </c>
      <c r="F2527" s="17" t="s">
        <v>37</v>
      </c>
      <c r="H2527" s="19">
        <v>1.2344</v>
      </c>
      <c r="I2527" s="19"/>
      <c r="J2527" s="17" t="s">
        <v>39</v>
      </c>
      <c r="K2527" s="19">
        <v>322</v>
      </c>
      <c r="L2527" s="91"/>
      <c r="M2527" s="19"/>
      <c r="N2527" s="19" t="s">
        <v>40</v>
      </c>
      <c r="O2527" s="19" t="s">
        <v>50</v>
      </c>
      <c r="P2527" s="19">
        <v>8000</v>
      </c>
      <c r="Q2527" s="19">
        <v>7850</v>
      </c>
      <c r="R2527" s="19">
        <f t="shared" si="132"/>
        <v>150</v>
      </c>
      <c r="S2527" s="19">
        <v>3900</v>
      </c>
      <c r="T2527" s="19" t="s">
        <v>42</v>
      </c>
      <c r="U2527" s="102" t="s">
        <v>993</v>
      </c>
      <c r="V2527" s="253" t="s">
        <v>994</v>
      </c>
      <c r="W2527" s="17" t="s">
        <v>44</v>
      </c>
      <c r="Y2527" s="144">
        <v>45130</v>
      </c>
      <c r="Z2527" s="17" t="s">
        <v>995</v>
      </c>
      <c r="AA2527" s="17" t="s">
        <v>146</v>
      </c>
      <c r="AB2527" s="17" t="s">
        <v>996</v>
      </c>
      <c r="AC2527" s="217">
        <v>45146</v>
      </c>
      <c r="AD2527" s="65">
        <v>1438</v>
      </c>
      <c r="AE2527" s="17" t="s">
        <v>252</v>
      </c>
      <c r="AF2527" s="17" t="s">
        <v>997</v>
      </c>
    </row>
    <row r="2528" s="17" customFormat="1" hidden="1" spans="1:35">
      <c r="A2528" s="17" t="s">
        <v>34</v>
      </c>
      <c r="B2528" s="19">
        <v>871</v>
      </c>
      <c r="C2528" s="239">
        <v>45140</v>
      </c>
      <c r="D2528" s="17" t="s">
        <v>35</v>
      </c>
      <c r="E2528" s="17" t="s">
        <v>718</v>
      </c>
      <c r="F2528" s="17" t="s">
        <v>37</v>
      </c>
      <c r="H2528" s="19">
        <v>1.2344</v>
      </c>
      <c r="I2528" s="19"/>
      <c r="J2528" s="17" t="s">
        <v>39</v>
      </c>
      <c r="K2528" s="19">
        <v>402</v>
      </c>
      <c r="L2528" s="91"/>
      <c r="M2528" s="19"/>
      <c r="N2528" s="19" t="s">
        <v>40</v>
      </c>
      <c r="O2528" s="19" t="s">
        <v>50</v>
      </c>
      <c r="P2528" s="19">
        <v>24000</v>
      </c>
      <c r="Q2528" s="19">
        <v>22086</v>
      </c>
      <c r="R2528" s="19">
        <f t="shared" si="132"/>
        <v>1914</v>
      </c>
      <c r="S2528" s="19">
        <v>3900</v>
      </c>
      <c r="T2528" s="19" t="s">
        <v>42</v>
      </c>
      <c r="U2528" s="102" t="s">
        <v>993</v>
      </c>
      <c r="V2528" s="253" t="s">
        <v>994</v>
      </c>
      <c r="W2528" s="17" t="s">
        <v>44</v>
      </c>
      <c r="Y2528" s="144">
        <v>45130</v>
      </c>
      <c r="Z2528" s="17" t="s">
        <v>995</v>
      </c>
      <c r="AA2528" s="17" t="s">
        <v>146</v>
      </c>
      <c r="AB2528" s="17" t="s">
        <v>996</v>
      </c>
      <c r="AC2528" s="217">
        <v>45146</v>
      </c>
      <c r="AD2528" s="65">
        <v>1438</v>
      </c>
      <c r="AE2528" s="17" t="s">
        <v>252</v>
      </c>
      <c r="AF2528" s="17" t="s">
        <v>997</v>
      </c>
    </row>
    <row r="2529" s="17" customFormat="1" hidden="1" spans="1:45">
      <c r="A2529" s="17" t="s">
        <v>34</v>
      </c>
      <c r="B2529" s="19">
        <v>871</v>
      </c>
      <c r="C2529" s="239">
        <v>45140</v>
      </c>
      <c r="D2529" s="17" t="s">
        <v>35</v>
      </c>
      <c r="E2529" s="17" t="s">
        <v>718</v>
      </c>
      <c r="F2529" s="17" t="s">
        <v>37</v>
      </c>
      <c r="H2529" s="19">
        <v>1.2344</v>
      </c>
      <c r="I2529" s="19"/>
      <c r="J2529" s="17" t="s">
        <v>39</v>
      </c>
      <c r="K2529" s="19">
        <v>502</v>
      </c>
      <c r="L2529" s="91"/>
      <c r="M2529" s="19"/>
      <c r="N2529" s="19" t="s">
        <v>40</v>
      </c>
      <c r="O2529" s="19" t="s">
        <v>50</v>
      </c>
      <c r="P2529" s="19">
        <v>12000</v>
      </c>
      <c r="Q2529" s="19">
        <v>11640</v>
      </c>
      <c r="R2529" s="19">
        <f t="shared" si="132"/>
        <v>360</v>
      </c>
      <c r="S2529" s="19">
        <v>3900</v>
      </c>
      <c r="T2529" s="19" t="s">
        <v>42</v>
      </c>
      <c r="U2529" s="102" t="s">
        <v>993</v>
      </c>
      <c r="V2529" s="253" t="s">
        <v>994</v>
      </c>
      <c r="W2529" s="17" t="s">
        <v>44</v>
      </c>
      <c r="Y2529" s="144">
        <v>45130</v>
      </c>
      <c r="Z2529" s="17" t="s">
        <v>995</v>
      </c>
      <c r="AA2529" s="17" t="s">
        <v>146</v>
      </c>
      <c r="AB2529" s="17" t="s">
        <v>996</v>
      </c>
      <c r="AC2529" s="217">
        <v>45146</v>
      </c>
      <c r="AD2529" s="65">
        <v>1438</v>
      </c>
      <c r="AE2529" s="17" t="s">
        <v>252</v>
      </c>
      <c r="AF2529" s="17" t="s">
        <v>997</v>
      </c>
    </row>
    <row r="2530" s="20" customFormat="1" hidden="1" spans="1:45">
      <c r="A2530" s="17" t="s">
        <v>34</v>
      </c>
      <c r="B2530" s="19">
        <v>872</v>
      </c>
      <c r="C2530" s="183">
        <v>44972</v>
      </c>
      <c r="D2530" s="17" t="s">
        <v>137</v>
      </c>
      <c r="E2530" s="17" t="s">
        <v>138</v>
      </c>
      <c r="F2530" s="17" t="s">
        <v>139</v>
      </c>
      <c r="G2530" s="17"/>
      <c r="H2530" s="19">
        <v>1.2311</v>
      </c>
      <c r="I2530" s="19"/>
      <c r="J2530" s="17" t="s">
        <v>49</v>
      </c>
      <c r="K2530" s="19">
        <v>2000</v>
      </c>
      <c r="L2530" s="91">
        <v>355</v>
      </c>
      <c r="M2530" s="19">
        <v>4400</v>
      </c>
      <c r="N2530" s="19" t="s">
        <v>66</v>
      </c>
      <c r="O2530" s="19" t="s">
        <v>168</v>
      </c>
      <c r="P2530" s="19">
        <v>24523</v>
      </c>
      <c r="Q2530" s="19">
        <v>25700</v>
      </c>
      <c r="R2530" s="19">
        <f t="shared" si="132"/>
        <v>-1177</v>
      </c>
      <c r="S2530" s="19">
        <v>2000</v>
      </c>
      <c r="T2530" s="19" t="s">
        <v>94</v>
      </c>
      <c r="U2530" s="102">
        <v>57886</v>
      </c>
      <c r="V2530" s="101">
        <v>44978</v>
      </c>
      <c r="W2530" s="17" t="s">
        <v>44</v>
      </c>
      <c r="X2530" s="17"/>
      <c r="Y2530" s="144">
        <v>45100</v>
      </c>
      <c r="Z2530" s="17" t="s">
        <v>998</v>
      </c>
      <c r="AA2530" s="17" t="s">
        <v>999</v>
      </c>
      <c r="AB2530" s="17">
        <v>4001380048</v>
      </c>
      <c r="AC2530" s="217">
        <v>45707</v>
      </c>
      <c r="AD2530" s="65">
        <v>1591</v>
      </c>
      <c r="AE2530" s="17" t="s">
        <v>48</v>
      </c>
      <c r="AF2530" s="17"/>
      <c r="AG2530" s="17"/>
      <c r="AH2530" s="17"/>
      <c r="AI2530" s="17">
        <v>2100</v>
      </c>
      <c r="AJ2530" s="254"/>
      <c r="AK2530" s="17"/>
      <c r="AL2530" s="17"/>
      <c r="AM2530" s="17"/>
      <c r="AN2530" s="17"/>
      <c r="AO2530" s="17"/>
      <c r="AP2530" s="17"/>
      <c r="AQ2530" s="17"/>
      <c r="AR2530" s="17"/>
      <c r="AS2530" s="17"/>
    </row>
    <row r="2531" s="20" customFormat="1" hidden="1" spans="1:45">
      <c r="A2531" s="17" t="s">
        <v>34</v>
      </c>
      <c r="B2531" s="19">
        <v>872</v>
      </c>
      <c r="C2531" s="183">
        <v>44972</v>
      </c>
      <c r="D2531" s="17" t="s">
        <v>137</v>
      </c>
      <c r="E2531" s="17" t="s">
        <v>138</v>
      </c>
      <c r="F2531" s="17" t="s">
        <v>139</v>
      </c>
      <c r="G2531" s="17"/>
      <c r="H2531" s="19">
        <v>1.2311</v>
      </c>
      <c r="I2531" s="19"/>
      <c r="J2531" s="17" t="s">
        <v>49</v>
      </c>
      <c r="K2531" s="19">
        <v>1850</v>
      </c>
      <c r="L2531" s="91">
        <v>510</v>
      </c>
      <c r="M2531" s="19">
        <v>3250</v>
      </c>
      <c r="N2531" s="19" t="s">
        <v>66</v>
      </c>
      <c r="O2531" s="19" t="s">
        <v>168</v>
      </c>
      <c r="P2531" s="19">
        <v>24071</v>
      </c>
      <c r="Q2531" s="19">
        <v>23600</v>
      </c>
      <c r="R2531" s="19">
        <f t="shared" si="132"/>
        <v>471</v>
      </c>
      <c r="S2531" s="19">
        <f>2000-100</f>
        <v>1900</v>
      </c>
      <c r="T2531" s="19" t="s">
        <v>94</v>
      </c>
      <c r="U2531" s="102">
        <v>57886</v>
      </c>
      <c r="V2531" s="101">
        <v>44978</v>
      </c>
      <c r="W2531" s="17" t="s">
        <v>44</v>
      </c>
      <c r="X2531" s="17"/>
      <c r="Y2531" s="144">
        <v>45100</v>
      </c>
      <c r="Z2531" s="17" t="s">
        <v>998</v>
      </c>
      <c r="AA2531" s="17" t="s">
        <v>46</v>
      </c>
      <c r="AB2531" s="17">
        <v>4001380078</v>
      </c>
      <c r="AC2531" s="217">
        <v>45747</v>
      </c>
      <c r="AD2531" s="65">
        <v>1593</v>
      </c>
      <c r="AE2531" s="17" t="s">
        <v>48</v>
      </c>
      <c r="AF2531" s="17"/>
      <c r="AG2531" s="17"/>
      <c r="AH2531" s="17"/>
      <c r="AI2531" s="17">
        <v>2100</v>
      </c>
      <c r="AJ2531" s="254"/>
      <c r="AK2531" s="17"/>
      <c r="AL2531" s="17"/>
      <c r="AM2531" s="17"/>
      <c r="AN2531" s="17"/>
      <c r="AO2531" s="17"/>
      <c r="AP2531" s="17"/>
      <c r="AQ2531" s="17"/>
      <c r="AR2531" s="17"/>
      <c r="AS2531" s="17"/>
    </row>
    <row r="2532" s="20" customFormat="1" hidden="1" spans="1:45">
      <c r="A2532" s="17" t="s">
        <v>34</v>
      </c>
      <c r="B2532" s="19">
        <v>873</v>
      </c>
      <c r="C2532" s="183">
        <v>44972</v>
      </c>
      <c r="D2532" s="17" t="s">
        <v>137</v>
      </c>
      <c r="E2532" s="17" t="s">
        <v>138</v>
      </c>
      <c r="F2532" s="17" t="s">
        <v>139</v>
      </c>
      <c r="G2532" s="17"/>
      <c r="H2532" s="19" t="s">
        <v>108</v>
      </c>
      <c r="I2532" s="19"/>
      <c r="J2532" s="17" t="s">
        <v>49</v>
      </c>
      <c r="K2532" s="19">
        <v>1605</v>
      </c>
      <c r="L2532" s="91">
        <v>342</v>
      </c>
      <c r="M2532" s="19">
        <v>2900</v>
      </c>
      <c r="N2532" s="19" t="s">
        <v>66</v>
      </c>
      <c r="O2532" s="19" t="s">
        <v>168</v>
      </c>
      <c r="P2532" s="19">
        <v>12496</v>
      </c>
      <c r="Q2532" s="19">
        <v>12860</v>
      </c>
      <c r="R2532" s="19">
        <f t="shared" si="132"/>
        <v>-364</v>
      </c>
      <c r="S2532" s="19">
        <v>2000</v>
      </c>
      <c r="T2532" s="19" t="s">
        <v>94</v>
      </c>
      <c r="U2532" s="102">
        <v>58443</v>
      </c>
      <c r="V2532" s="253">
        <v>45020</v>
      </c>
      <c r="W2532" s="17" t="s">
        <v>44</v>
      </c>
      <c r="X2532" s="17"/>
      <c r="Y2532" s="144">
        <v>45039</v>
      </c>
      <c r="Z2532" s="17" t="s">
        <v>1000</v>
      </c>
      <c r="AA2532" s="17"/>
      <c r="AB2532" s="17">
        <v>4001380018</v>
      </c>
      <c r="AC2532" s="217">
        <v>45344</v>
      </c>
      <c r="AD2532" s="65">
        <v>1528</v>
      </c>
      <c r="AE2532" s="17" t="s">
        <v>48</v>
      </c>
      <c r="AF2532" s="17"/>
      <c r="AG2532" s="17"/>
      <c r="AH2532" s="17"/>
      <c r="AI2532" s="17">
        <v>2100</v>
      </c>
      <c r="AJ2532" s="17"/>
      <c r="AK2532" s="17"/>
      <c r="AL2532" s="17"/>
      <c r="AM2532" s="17"/>
      <c r="AN2532" s="17"/>
      <c r="AO2532" s="17"/>
      <c r="AP2532" s="17"/>
      <c r="AQ2532" s="17"/>
      <c r="AR2532" s="17"/>
    </row>
    <row r="2533" s="20" customFormat="1" hidden="1" spans="1:45">
      <c r="A2533" s="17" t="s">
        <v>34</v>
      </c>
      <c r="B2533" s="19">
        <v>873</v>
      </c>
      <c r="C2533" s="183">
        <v>44972</v>
      </c>
      <c r="D2533" s="17" t="s">
        <v>137</v>
      </c>
      <c r="E2533" s="17" t="s">
        <v>138</v>
      </c>
      <c r="F2533" s="17" t="s">
        <v>139</v>
      </c>
      <c r="G2533" s="17"/>
      <c r="H2533" s="19" t="s">
        <v>108</v>
      </c>
      <c r="I2533" s="19"/>
      <c r="J2533" s="17" t="s">
        <v>49</v>
      </c>
      <c r="K2533" s="19">
        <v>1605</v>
      </c>
      <c r="L2533" s="91">
        <v>381</v>
      </c>
      <c r="M2533" s="19">
        <v>2500</v>
      </c>
      <c r="N2533" s="19" t="s">
        <v>66</v>
      </c>
      <c r="O2533" s="19" t="s">
        <v>168</v>
      </c>
      <c r="P2533" s="19">
        <v>12001</v>
      </c>
      <c r="Q2533" s="19">
        <v>12300</v>
      </c>
      <c r="R2533" s="19">
        <f t="shared" si="132"/>
        <v>-299</v>
      </c>
      <c r="S2533" s="19">
        <v>2000</v>
      </c>
      <c r="T2533" s="19" t="s">
        <v>94</v>
      </c>
      <c r="U2533" s="102">
        <v>58443</v>
      </c>
      <c r="V2533" s="253">
        <v>45020</v>
      </c>
      <c r="W2533" s="17" t="s">
        <v>44</v>
      </c>
      <c r="X2533" s="17"/>
      <c r="Y2533" s="144">
        <v>45039</v>
      </c>
      <c r="Z2533" s="17" t="s">
        <v>1000</v>
      </c>
      <c r="AA2533" s="17"/>
      <c r="AB2533" s="17">
        <v>4001380018</v>
      </c>
      <c r="AC2533" s="217">
        <v>45344</v>
      </c>
      <c r="AD2533" s="65">
        <v>1528</v>
      </c>
      <c r="AE2533" s="17" t="s">
        <v>48</v>
      </c>
      <c r="AF2533" s="17"/>
      <c r="AG2533" s="17"/>
      <c r="AH2533" s="17"/>
      <c r="AI2533" s="17">
        <v>2100</v>
      </c>
      <c r="AJ2533" s="17"/>
      <c r="AK2533" s="17"/>
      <c r="AL2533" s="17"/>
      <c r="AM2533" s="17"/>
      <c r="AN2533" s="17"/>
      <c r="AO2533" s="17"/>
      <c r="AP2533" s="17"/>
      <c r="AQ2533" s="17"/>
      <c r="AR2533" s="17"/>
    </row>
    <row r="2534" s="20" customFormat="1" hidden="1" spans="1:45">
      <c r="A2534" s="17" t="s">
        <v>34</v>
      </c>
      <c r="B2534" s="19">
        <v>873</v>
      </c>
      <c r="C2534" s="183">
        <v>44972</v>
      </c>
      <c r="D2534" s="17" t="s">
        <v>137</v>
      </c>
      <c r="E2534" s="17" t="s">
        <v>138</v>
      </c>
      <c r="F2534" s="17" t="s">
        <v>139</v>
      </c>
      <c r="G2534" s="17"/>
      <c r="H2534" s="19" t="s">
        <v>108</v>
      </c>
      <c r="I2534" s="19"/>
      <c r="J2534" s="17" t="s">
        <v>49</v>
      </c>
      <c r="K2534" s="19">
        <v>1605</v>
      </c>
      <c r="L2534" s="91">
        <v>436</v>
      </c>
      <c r="M2534" s="19">
        <v>2260</v>
      </c>
      <c r="N2534" s="19" t="s">
        <v>66</v>
      </c>
      <c r="O2534" s="19" t="s">
        <v>168</v>
      </c>
      <c r="P2534" s="19">
        <v>12415</v>
      </c>
      <c r="Q2534" s="19">
        <v>12720</v>
      </c>
      <c r="R2534" s="19">
        <f t="shared" si="132"/>
        <v>-305</v>
      </c>
      <c r="S2534" s="19">
        <v>2000</v>
      </c>
      <c r="T2534" s="19" t="s">
        <v>94</v>
      </c>
      <c r="U2534" s="102">
        <v>58443</v>
      </c>
      <c r="V2534" s="253">
        <v>45020</v>
      </c>
      <c r="W2534" s="17" t="s">
        <v>44</v>
      </c>
      <c r="X2534" s="17"/>
      <c r="Y2534" s="144">
        <v>45039</v>
      </c>
      <c r="Z2534" s="17" t="s">
        <v>1000</v>
      </c>
      <c r="AA2534" s="17"/>
      <c r="AB2534" s="17">
        <v>4001380018</v>
      </c>
      <c r="AC2534" s="217">
        <v>45344</v>
      </c>
      <c r="AD2534" s="65">
        <v>1528</v>
      </c>
      <c r="AE2534" s="17" t="s">
        <v>48</v>
      </c>
      <c r="AF2534" s="17"/>
      <c r="AG2534" s="17"/>
      <c r="AH2534" s="17"/>
      <c r="AI2534" s="17">
        <v>2100</v>
      </c>
      <c r="AJ2534" s="17"/>
      <c r="AK2534" s="17"/>
      <c r="AL2534" s="17"/>
      <c r="AM2534" s="17"/>
      <c r="AN2534" s="17"/>
      <c r="AO2534" s="17"/>
      <c r="AP2534" s="17"/>
      <c r="AQ2534" s="17"/>
      <c r="AR2534" s="17"/>
    </row>
    <row r="2535" s="20" customFormat="1" hidden="1" spans="1:45">
      <c r="A2535" s="17" t="s">
        <v>34</v>
      </c>
      <c r="B2535" s="19">
        <v>873</v>
      </c>
      <c r="C2535" s="183">
        <v>44972</v>
      </c>
      <c r="D2535" s="17" t="s">
        <v>137</v>
      </c>
      <c r="E2535" s="17" t="s">
        <v>138</v>
      </c>
      <c r="F2535" s="17" t="s">
        <v>139</v>
      </c>
      <c r="G2535" s="17"/>
      <c r="H2535" s="19" t="s">
        <v>108</v>
      </c>
      <c r="I2535" s="19"/>
      <c r="J2535" s="17" t="s">
        <v>49</v>
      </c>
      <c r="K2535" s="19">
        <v>1610</v>
      </c>
      <c r="L2535" s="91">
        <v>535</v>
      </c>
      <c r="M2535" s="19">
        <v>1860</v>
      </c>
      <c r="N2535" s="19" t="s">
        <v>66</v>
      </c>
      <c r="O2535" s="19" t="s">
        <v>168</v>
      </c>
      <c r="P2535" s="19">
        <v>12538</v>
      </c>
      <c r="Q2535" s="19">
        <v>12620</v>
      </c>
      <c r="R2535" s="19">
        <f t="shared" si="132"/>
        <v>-82</v>
      </c>
      <c r="S2535" s="19">
        <v>2000</v>
      </c>
      <c r="T2535" s="19" t="s">
        <v>94</v>
      </c>
      <c r="U2535" s="102">
        <v>58443</v>
      </c>
      <c r="V2535" s="253">
        <v>45020</v>
      </c>
      <c r="W2535" s="17" t="s">
        <v>44</v>
      </c>
      <c r="X2535" s="17"/>
      <c r="Y2535" s="144">
        <v>45039</v>
      </c>
      <c r="Z2535" s="17" t="s">
        <v>1000</v>
      </c>
      <c r="AA2535" s="17" t="s">
        <v>171</v>
      </c>
      <c r="AB2535" s="17">
        <v>4001380274</v>
      </c>
      <c r="AC2535" s="66">
        <v>45219</v>
      </c>
      <c r="AD2535" s="65">
        <v>1464</v>
      </c>
      <c r="AE2535" s="17" t="s">
        <v>48</v>
      </c>
      <c r="AF2535" s="17"/>
      <c r="AG2535" s="17"/>
      <c r="AH2535" s="17"/>
      <c r="AI2535" s="17">
        <v>2100</v>
      </c>
      <c r="AJ2535" s="17"/>
      <c r="AK2535" s="17"/>
      <c r="AL2535" s="17"/>
      <c r="AM2535" s="17"/>
      <c r="AN2535" s="17"/>
      <c r="AO2535" s="17"/>
      <c r="AP2535" s="17"/>
      <c r="AQ2535" s="17"/>
      <c r="AR2535" s="17"/>
    </row>
    <row r="2536" s="20" customFormat="1" hidden="1" spans="1:45">
      <c r="A2536" s="17" t="s">
        <v>34</v>
      </c>
      <c r="B2536" s="19">
        <v>873</v>
      </c>
      <c r="C2536" s="183">
        <v>44972</v>
      </c>
      <c r="D2536" s="17" t="s">
        <v>137</v>
      </c>
      <c r="E2536" s="17" t="s">
        <v>138</v>
      </c>
      <c r="F2536" s="17" t="s">
        <v>139</v>
      </c>
      <c r="G2536" s="17"/>
      <c r="H2536" s="19" t="s">
        <v>108</v>
      </c>
      <c r="I2536" s="19"/>
      <c r="J2536" s="17" t="s">
        <v>49</v>
      </c>
      <c r="K2536" s="19">
        <v>1610</v>
      </c>
      <c r="L2536" s="91">
        <v>535</v>
      </c>
      <c r="M2536" s="19">
        <v>1860</v>
      </c>
      <c r="N2536" s="19" t="s">
        <v>66</v>
      </c>
      <c r="O2536" s="19" t="s">
        <v>168</v>
      </c>
      <c r="P2536" s="19">
        <v>12538</v>
      </c>
      <c r="Q2536" s="19">
        <v>12580</v>
      </c>
      <c r="R2536" s="19">
        <f t="shared" si="132"/>
        <v>-42</v>
      </c>
      <c r="S2536" s="19">
        <v>2000</v>
      </c>
      <c r="T2536" s="19" t="s">
        <v>94</v>
      </c>
      <c r="U2536" s="102">
        <v>58443</v>
      </c>
      <c r="V2536" s="253">
        <v>45020</v>
      </c>
      <c r="W2536" s="17" t="s">
        <v>44</v>
      </c>
      <c r="X2536" s="17"/>
      <c r="Y2536" s="144">
        <v>45039</v>
      </c>
      <c r="Z2536" s="17" t="s">
        <v>1000</v>
      </c>
      <c r="AA2536" s="17" t="s">
        <v>171</v>
      </c>
      <c r="AB2536" s="17">
        <v>4001380274</v>
      </c>
      <c r="AC2536" s="66">
        <v>45219</v>
      </c>
      <c r="AD2536" s="65">
        <v>1464</v>
      </c>
      <c r="AE2536" s="17" t="s">
        <v>48</v>
      </c>
      <c r="AF2536" s="17"/>
      <c r="AG2536" s="17"/>
      <c r="AH2536" s="17"/>
      <c r="AI2536" s="17">
        <v>2100</v>
      </c>
      <c r="AJ2536" s="17"/>
      <c r="AK2536" s="17"/>
      <c r="AL2536" s="17"/>
      <c r="AM2536" s="17"/>
      <c r="AN2536" s="17"/>
      <c r="AO2536" s="17"/>
      <c r="AP2536" s="17"/>
      <c r="AQ2536" s="17"/>
      <c r="AR2536" s="17"/>
    </row>
    <row r="2537" s="17" customFormat="1" hidden="1" spans="1:45">
      <c r="A2537" s="17" t="s">
        <v>34</v>
      </c>
      <c r="B2537" s="19">
        <v>874</v>
      </c>
      <c r="C2537" s="239" t="s">
        <v>1001</v>
      </c>
      <c r="D2537" s="17" t="s">
        <v>52</v>
      </c>
      <c r="E2537" s="17" t="s">
        <v>187</v>
      </c>
      <c r="F2537" s="17" t="s">
        <v>54</v>
      </c>
      <c r="H2537" s="19">
        <v>1.2311</v>
      </c>
      <c r="I2537" s="19"/>
      <c r="J2537" s="17" t="s">
        <v>49</v>
      </c>
      <c r="K2537" s="255">
        <v>2200</v>
      </c>
      <c r="L2537" s="91">
        <v>32</v>
      </c>
      <c r="M2537" s="255">
        <v>4000</v>
      </c>
      <c r="N2537" s="19" t="s">
        <v>66</v>
      </c>
      <c r="O2537" s="19" t="s">
        <v>141</v>
      </c>
      <c r="P2537" s="91">
        <v>2555</v>
      </c>
      <c r="Q2537" s="19">
        <v>2520</v>
      </c>
      <c r="R2537" s="19">
        <f t="shared" si="132"/>
        <v>35</v>
      </c>
      <c r="S2537" s="19">
        <v>1050</v>
      </c>
      <c r="T2537" s="19" t="s">
        <v>42</v>
      </c>
      <c r="U2537" s="102" t="s">
        <v>1002</v>
      </c>
      <c r="V2537" s="212" t="s">
        <v>1003</v>
      </c>
      <c r="W2537" s="17" t="s">
        <v>69</v>
      </c>
      <c r="Y2537" s="68">
        <v>45008</v>
      </c>
      <c r="Z2537" s="17" t="s">
        <v>191</v>
      </c>
      <c r="AA2537" s="17" t="s">
        <v>46</v>
      </c>
      <c r="AB2537" s="17" t="s">
        <v>1004</v>
      </c>
      <c r="AC2537" s="102" t="s">
        <v>1005</v>
      </c>
      <c r="AD2537" s="65">
        <v>1387</v>
      </c>
      <c r="AE2537" s="17" t="s">
        <v>48</v>
      </c>
      <c r="AF2537" s="17" t="s">
        <v>560</v>
      </c>
    </row>
    <row r="2538" s="17" customFormat="1" hidden="1" spans="1:45">
      <c r="A2538" s="17" t="s">
        <v>34</v>
      </c>
      <c r="B2538" s="19">
        <v>874</v>
      </c>
      <c r="C2538" s="239" t="s">
        <v>1001</v>
      </c>
      <c r="D2538" s="17" t="s">
        <v>52</v>
      </c>
      <c r="E2538" s="17" t="s">
        <v>187</v>
      </c>
      <c r="F2538" s="17" t="s">
        <v>54</v>
      </c>
      <c r="H2538" s="19">
        <v>1.2311</v>
      </c>
      <c r="I2538" s="19"/>
      <c r="J2538" s="17" t="s">
        <v>49</v>
      </c>
      <c r="K2538" s="255">
        <v>2200</v>
      </c>
      <c r="L2538" s="91">
        <v>40</v>
      </c>
      <c r="M2538" s="255">
        <v>4000</v>
      </c>
      <c r="N2538" s="19" t="s">
        <v>66</v>
      </c>
      <c r="O2538" s="19" t="s">
        <v>141</v>
      </c>
      <c r="P2538" s="91">
        <v>3193</v>
      </c>
      <c r="Q2538" s="19">
        <v>3280</v>
      </c>
      <c r="R2538" s="19">
        <f t="shared" si="132"/>
        <v>-87</v>
      </c>
      <c r="S2538" s="19">
        <v>1050</v>
      </c>
      <c r="T2538" s="19" t="s">
        <v>42</v>
      </c>
      <c r="U2538" s="102" t="s">
        <v>1002</v>
      </c>
      <c r="V2538" s="212" t="s">
        <v>1003</v>
      </c>
      <c r="W2538" s="17" t="s">
        <v>69</v>
      </c>
      <c r="Y2538" s="68">
        <v>45008</v>
      </c>
      <c r="Z2538" s="17" t="s">
        <v>191</v>
      </c>
      <c r="AA2538" s="17" t="s">
        <v>46</v>
      </c>
      <c r="AB2538" s="17" t="s">
        <v>1004</v>
      </c>
      <c r="AC2538" s="102" t="s">
        <v>1005</v>
      </c>
      <c r="AD2538" s="65">
        <v>1387</v>
      </c>
      <c r="AE2538" s="17" t="s">
        <v>48</v>
      </c>
      <c r="AF2538" s="17" t="s">
        <v>560</v>
      </c>
    </row>
    <row r="2539" s="17" customFormat="1" hidden="1" spans="1:45">
      <c r="A2539" s="17" t="s">
        <v>34</v>
      </c>
      <c r="B2539" s="19">
        <v>874</v>
      </c>
      <c r="C2539" s="239" t="s">
        <v>1001</v>
      </c>
      <c r="D2539" s="17" t="s">
        <v>52</v>
      </c>
      <c r="E2539" s="17" t="s">
        <v>187</v>
      </c>
      <c r="F2539" s="17" t="s">
        <v>54</v>
      </c>
      <c r="H2539" s="19">
        <v>1.2311</v>
      </c>
      <c r="I2539" s="19"/>
      <c r="J2539" s="17" t="s">
        <v>49</v>
      </c>
      <c r="K2539" s="255">
        <v>2200</v>
      </c>
      <c r="L2539" s="91">
        <v>45</v>
      </c>
      <c r="M2539" s="255">
        <v>4000</v>
      </c>
      <c r="N2539" s="19" t="s">
        <v>66</v>
      </c>
      <c r="O2539" s="19" t="s">
        <v>141</v>
      </c>
      <c r="P2539" s="91">
        <v>7185</v>
      </c>
      <c r="Q2539" s="19">
        <f>3710+3610</f>
        <v>7320</v>
      </c>
      <c r="R2539" s="19">
        <f t="shared" si="132"/>
        <v>-135</v>
      </c>
      <c r="S2539" s="19">
        <v>1050</v>
      </c>
      <c r="T2539" s="19" t="s">
        <v>42</v>
      </c>
      <c r="U2539" s="102" t="s">
        <v>1002</v>
      </c>
      <c r="V2539" s="212" t="s">
        <v>1003</v>
      </c>
      <c r="W2539" s="17" t="s">
        <v>69</v>
      </c>
      <c r="Y2539" s="68">
        <v>45008</v>
      </c>
      <c r="Z2539" s="17" t="s">
        <v>191</v>
      </c>
      <c r="AA2539" s="17" t="s">
        <v>46</v>
      </c>
      <c r="AB2539" s="17" t="s">
        <v>1004</v>
      </c>
      <c r="AC2539" s="102" t="s">
        <v>1005</v>
      </c>
      <c r="AD2539" s="65">
        <v>1387</v>
      </c>
      <c r="AE2539" s="17" t="s">
        <v>194</v>
      </c>
      <c r="AF2539" s="17" t="s">
        <v>560</v>
      </c>
    </row>
    <row r="2540" s="17" customFormat="1" hidden="1" spans="1:45">
      <c r="A2540" s="17" t="s">
        <v>34</v>
      </c>
      <c r="B2540" s="19">
        <v>874</v>
      </c>
      <c r="C2540" s="239" t="s">
        <v>1001</v>
      </c>
      <c r="D2540" s="17" t="s">
        <v>52</v>
      </c>
      <c r="E2540" s="17" t="s">
        <v>187</v>
      </c>
      <c r="F2540" s="17" t="s">
        <v>54</v>
      </c>
      <c r="H2540" s="19">
        <v>1.2311</v>
      </c>
      <c r="I2540" s="19"/>
      <c r="J2540" s="17" t="s">
        <v>49</v>
      </c>
      <c r="K2540" s="255">
        <v>2200</v>
      </c>
      <c r="L2540" s="91">
        <v>50</v>
      </c>
      <c r="M2540" s="255">
        <v>5000</v>
      </c>
      <c r="N2540" s="19" t="s">
        <v>66</v>
      </c>
      <c r="O2540" s="19" t="s">
        <v>141</v>
      </c>
      <c r="P2540" s="91">
        <v>8871</v>
      </c>
      <c r="Q2540" s="19">
        <f>4100+4530</f>
        <v>8630</v>
      </c>
      <c r="R2540" s="19">
        <f t="shared" si="132"/>
        <v>241</v>
      </c>
      <c r="S2540" s="19">
        <v>1050</v>
      </c>
      <c r="T2540" s="19" t="s">
        <v>42</v>
      </c>
      <c r="U2540" s="102" t="s">
        <v>1002</v>
      </c>
      <c r="V2540" s="212" t="s">
        <v>1003</v>
      </c>
      <c r="W2540" s="17" t="s">
        <v>69</v>
      </c>
      <c r="Y2540" s="68">
        <v>45008</v>
      </c>
      <c r="Z2540" s="17" t="s">
        <v>191</v>
      </c>
      <c r="AA2540" s="17" t="s">
        <v>46</v>
      </c>
      <c r="AB2540" s="17" t="s">
        <v>1004</v>
      </c>
      <c r="AC2540" s="102" t="s">
        <v>1005</v>
      </c>
      <c r="AD2540" s="65">
        <v>1387</v>
      </c>
      <c r="AE2540" s="17" t="s">
        <v>194</v>
      </c>
      <c r="AF2540" s="17" t="s">
        <v>560</v>
      </c>
    </row>
    <row r="2541" s="17" customFormat="1" hidden="1" spans="1:45">
      <c r="A2541" s="17" t="s">
        <v>34</v>
      </c>
      <c r="B2541" s="19">
        <v>874</v>
      </c>
      <c r="C2541" s="239" t="s">
        <v>1001</v>
      </c>
      <c r="D2541" s="17" t="s">
        <v>52</v>
      </c>
      <c r="E2541" s="17" t="s">
        <v>187</v>
      </c>
      <c r="F2541" s="17" t="s">
        <v>54</v>
      </c>
      <c r="H2541" s="19">
        <v>1.2311</v>
      </c>
      <c r="I2541" s="19"/>
      <c r="J2541" s="17" t="s">
        <v>49</v>
      </c>
      <c r="K2541" s="255">
        <v>2200</v>
      </c>
      <c r="L2541" s="91">
        <v>56</v>
      </c>
      <c r="M2541" s="255">
        <v>5000</v>
      </c>
      <c r="N2541" s="19" t="s">
        <v>66</v>
      </c>
      <c r="O2541" s="19" t="s">
        <v>141</v>
      </c>
      <c r="P2541" s="91">
        <v>9935</v>
      </c>
      <c r="Q2541" s="19">
        <f>4990+5030</f>
        <v>10020</v>
      </c>
      <c r="R2541" s="19">
        <f t="shared" si="132"/>
        <v>-85</v>
      </c>
      <c r="S2541" s="19">
        <v>1050</v>
      </c>
      <c r="T2541" s="19" t="s">
        <v>42</v>
      </c>
      <c r="U2541" s="102" t="s">
        <v>1002</v>
      </c>
      <c r="V2541" s="212" t="s">
        <v>1003</v>
      </c>
      <c r="W2541" s="17" t="s">
        <v>69</v>
      </c>
      <c r="Y2541" s="68">
        <v>45008</v>
      </c>
      <c r="Z2541" s="17" t="s">
        <v>191</v>
      </c>
      <c r="AA2541" s="17" t="s">
        <v>46</v>
      </c>
      <c r="AB2541" s="17" t="s">
        <v>1004</v>
      </c>
      <c r="AC2541" s="102" t="s">
        <v>1005</v>
      </c>
      <c r="AD2541" s="65">
        <v>1387</v>
      </c>
      <c r="AE2541" s="17" t="s">
        <v>194</v>
      </c>
      <c r="AF2541" s="17" t="s">
        <v>560</v>
      </c>
    </row>
    <row r="2542" s="17" customFormat="1" hidden="1" spans="1:45">
      <c r="A2542" s="17" t="s">
        <v>34</v>
      </c>
      <c r="B2542" s="19">
        <v>874</v>
      </c>
      <c r="C2542" s="239" t="s">
        <v>1001</v>
      </c>
      <c r="D2542" s="17" t="s">
        <v>52</v>
      </c>
      <c r="E2542" s="17" t="s">
        <v>187</v>
      </c>
      <c r="F2542" s="17" t="s">
        <v>54</v>
      </c>
      <c r="H2542" s="19">
        <v>1.2311</v>
      </c>
      <c r="I2542" s="19"/>
      <c r="J2542" s="17" t="s">
        <v>49</v>
      </c>
      <c r="K2542" s="255">
        <v>2200</v>
      </c>
      <c r="L2542" s="91">
        <v>60</v>
      </c>
      <c r="M2542" s="255">
        <v>4000</v>
      </c>
      <c r="N2542" s="19" t="s">
        <v>66</v>
      </c>
      <c r="O2542" s="19" t="s">
        <v>141</v>
      </c>
      <c r="P2542" s="91">
        <v>9580</v>
      </c>
      <c r="Q2542" s="19">
        <f>4880+4920</f>
        <v>9800</v>
      </c>
      <c r="R2542" s="19">
        <f t="shared" si="132"/>
        <v>-220</v>
      </c>
      <c r="S2542" s="19">
        <v>1050</v>
      </c>
      <c r="T2542" s="19" t="s">
        <v>42</v>
      </c>
      <c r="U2542" s="102" t="s">
        <v>1002</v>
      </c>
      <c r="V2542" s="212" t="s">
        <v>1003</v>
      </c>
      <c r="W2542" s="17" t="s">
        <v>69</v>
      </c>
      <c r="Y2542" s="68">
        <v>45008</v>
      </c>
      <c r="Z2542" s="17" t="s">
        <v>191</v>
      </c>
      <c r="AA2542" s="17" t="s">
        <v>46</v>
      </c>
      <c r="AB2542" s="17" t="s">
        <v>1004</v>
      </c>
      <c r="AC2542" s="102" t="s">
        <v>1005</v>
      </c>
      <c r="AD2542" s="65">
        <v>1387</v>
      </c>
      <c r="AE2542" s="17" t="s">
        <v>194</v>
      </c>
      <c r="AF2542" s="17" t="s">
        <v>560</v>
      </c>
    </row>
    <row r="2543" s="17" customFormat="1" hidden="1" spans="1:45">
      <c r="A2543" s="17" t="s">
        <v>34</v>
      </c>
      <c r="B2543" s="19">
        <v>874</v>
      </c>
      <c r="C2543" s="239" t="s">
        <v>1001</v>
      </c>
      <c r="D2543" s="17" t="s">
        <v>52</v>
      </c>
      <c r="E2543" s="17" t="s">
        <v>187</v>
      </c>
      <c r="F2543" s="17" t="s">
        <v>54</v>
      </c>
      <c r="H2543" s="19">
        <v>1.2311</v>
      </c>
      <c r="I2543" s="19"/>
      <c r="J2543" s="17" t="s">
        <v>49</v>
      </c>
      <c r="K2543" s="255">
        <v>2200</v>
      </c>
      <c r="L2543" s="91">
        <v>65</v>
      </c>
      <c r="M2543" s="255">
        <v>5000</v>
      </c>
      <c r="N2543" s="19" t="s">
        <v>66</v>
      </c>
      <c r="O2543" s="19" t="s">
        <v>141</v>
      </c>
      <c r="P2543" s="91">
        <v>5766</v>
      </c>
      <c r="Q2543" s="19">
        <v>5780</v>
      </c>
      <c r="R2543" s="19">
        <f t="shared" si="132"/>
        <v>-14</v>
      </c>
      <c r="S2543" s="19">
        <v>1050</v>
      </c>
      <c r="T2543" s="19" t="s">
        <v>42</v>
      </c>
      <c r="U2543" s="102" t="s">
        <v>1002</v>
      </c>
      <c r="V2543" s="212" t="s">
        <v>1003</v>
      </c>
      <c r="W2543" s="17" t="s">
        <v>69</v>
      </c>
      <c r="Y2543" s="68">
        <v>45008</v>
      </c>
      <c r="Z2543" s="17" t="s">
        <v>191</v>
      </c>
      <c r="AA2543" s="17" t="s">
        <v>46</v>
      </c>
      <c r="AB2543" s="17" t="s">
        <v>1004</v>
      </c>
      <c r="AC2543" s="102" t="s">
        <v>1005</v>
      </c>
      <c r="AD2543" s="65">
        <v>1387</v>
      </c>
      <c r="AE2543" s="17" t="s">
        <v>48</v>
      </c>
      <c r="AF2543" s="17" t="s">
        <v>560</v>
      </c>
    </row>
    <row r="2544" s="17" customFormat="1" hidden="1" spans="1:45">
      <c r="A2544" s="17" t="s">
        <v>34</v>
      </c>
      <c r="B2544" s="19">
        <v>874</v>
      </c>
      <c r="C2544" s="239" t="s">
        <v>1001</v>
      </c>
      <c r="D2544" s="17" t="s">
        <v>52</v>
      </c>
      <c r="E2544" s="17" t="s">
        <v>187</v>
      </c>
      <c r="F2544" s="17" t="s">
        <v>54</v>
      </c>
      <c r="H2544" s="19">
        <v>1.2311</v>
      </c>
      <c r="I2544" s="19"/>
      <c r="J2544" s="17" t="s">
        <v>49</v>
      </c>
      <c r="K2544" s="255">
        <v>2200</v>
      </c>
      <c r="L2544" s="91">
        <v>70</v>
      </c>
      <c r="M2544" s="255">
        <v>5000</v>
      </c>
      <c r="N2544" s="19" t="s">
        <v>66</v>
      </c>
      <c r="O2544" s="19" t="s">
        <v>141</v>
      </c>
      <c r="P2544" s="91">
        <v>6209</v>
      </c>
      <c r="Q2544" s="19">
        <v>6300</v>
      </c>
      <c r="R2544" s="19">
        <f t="shared" si="132"/>
        <v>-91</v>
      </c>
      <c r="S2544" s="19">
        <v>1050</v>
      </c>
      <c r="T2544" s="19" t="s">
        <v>42</v>
      </c>
      <c r="U2544" s="102" t="s">
        <v>1002</v>
      </c>
      <c r="V2544" s="212" t="s">
        <v>1003</v>
      </c>
      <c r="W2544" s="17" t="s">
        <v>69</v>
      </c>
      <c r="Y2544" s="68">
        <v>45008</v>
      </c>
      <c r="Z2544" s="17" t="s">
        <v>191</v>
      </c>
      <c r="AA2544" s="17" t="s">
        <v>46</v>
      </c>
      <c r="AB2544" s="17" t="s">
        <v>1004</v>
      </c>
      <c r="AC2544" s="102" t="s">
        <v>1005</v>
      </c>
      <c r="AD2544" s="65">
        <v>1387</v>
      </c>
      <c r="AE2544" s="17" t="s">
        <v>48</v>
      </c>
      <c r="AF2544" s="17" t="s">
        <v>560</v>
      </c>
    </row>
    <row r="2545" s="17" customFormat="1" hidden="1" spans="1:35">
      <c r="A2545" s="17" t="s">
        <v>34</v>
      </c>
      <c r="B2545" s="19">
        <v>875</v>
      </c>
      <c r="C2545" s="239" t="s">
        <v>1001</v>
      </c>
      <c r="D2545" s="17" t="s">
        <v>52</v>
      </c>
      <c r="E2545" s="17" t="s">
        <v>187</v>
      </c>
      <c r="F2545" s="17" t="s">
        <v>54</v>
      </c>
      <c r="H2545" s="19">
        <v>1.2738</v>
      </c>
      <c r="I2545" s="19"/>
      <c r="J2545" s="17" t="s">
        <v>49</v>
      </c>
      <c r="K2545" s="19">
        <v>2300</v>
      </c>
      <c r="L2545" s="91">
        <v>32</v>
      </c>
      <c r="M2545" s="19">
        <v>5500</v>
      </c>
      <c r="N2545" s="19" t="s">
        <v>66</v>
      </c>
      <c r="O2545" s="19" t="s">
        <v>141</v>
      </c>
      <c r="P2545" s="19">
        <v>2839</v>
      </c>
      <c r="Q2545" s="19">
        <v>2700</v>
      </c>
      <c r="R2545" s="19">
        <f t="shared" si="132"/>
        <v>139</v>
      </c>
      <c r="S2545" s="19">
        <v>1395</v>
      </c>
      <c r="T2545" s="19" t="s">
        <v>42</v>
      </c>
      <c r="U2545" s="102" t="s">
        <v>1006</v>
      </c>
      <c r="V2545" s="212" t="s">
        <v>1007</v>
      </c>
      <c r="W2545" s="17" t="s">
        <v>69</v>
      </c>
      <c r="Y2545" s="68">
        <v>45008</v>
      </c>
      <c r="Z2545" s="17" t="s">
        <v>191</v>
      </c>
      <c r="AA2545" s="17" t="s">
        <v>46</v>
      </c>
      <c r="AB2545" s="17" t="s">
        <v>1008</v>
      </c>
      <c r="AC2545" s="217">
        <v>44960</v>
      </c>
      <c r="AD2545" s="65">
        <v>1389</v>
      </c>
      <c r="AE2545" s="17" t="s">
        <v>48</v>
      </c>
      <c r="AF2545" s="17" t="s">
        <v>560</v>
      </c>
    </row>
    <row r="2546" s="17" customFormat="1" hidden="1" spans="1:35">
      <c r="A2546" s="17" t="s">
        <v>34</v>
      </c>
      <c r="B2546" s="19">
        <v>875</v>
      </c>
      <c r="C2546" s="239" t="s">
        <v>1001</v>
      </c>
      <c r="D2546" s="17" t="s">
        <v>52</v>
      </c>
      <c r="E2546" s="17" t="s">
        <v>187</v>
      </c>
      <c r="F2546" s="17" t="s">
        <v>54</v>
      </c>
      <c r="H2546" s="19">
        <v>1.2738</v>
      </c>
      <c r="I2546" s="19"/>
      <c r="J2546" s="17" t="s">
        <v>49</v>
      </c>
      <c r="K2546" s="19">
        <v>2300</v>
      </c>
      <c r="L2546" s="91">
        <v>40</v>
      </c>
      <c r="M2546" s="19">
        <v>5500</v>
      </c>
      <c r="N2546" s="19" t="s">
        <v>66</v>
      </c>
      <c r="O2546" s="19" t="s">
        <v>141</v>
      </c>
      <c r="P2546" s="19">
        <v>3548</v>
      </c>
      <c r="Q2546" s="19">
        <v>3610</v>
      </c>
      <c r="R2546" s="19">
        <f t="shared" si="132"/>
        <v>-62</v>
      </c>
      <c r="S2546" s="19">
        <v>1395</v>
      </c>
      <c r="T2546" s="19" t="s">
        <v>42</v>
      </c>
      <c r="U2546" s="102" t="s">
        <v>1006</v>
      </c>
      <c r="V2546" s="212" t="s">
        <v>1007</v>
      </c>
      <c r="W2546" s="17" t="s">
        <v>69</v>
      </c>
      <c r="Y2546" s="68">
        <v>45008</v>
      </c>
      <c r="Z2546" s="17" t="s">
        <v>191</v>
      </c>
      <c r="AA2546" s="17" t="s">
        <v>46</v>
      </c>
      <c r="AB2546" s="17" t="s">
        <v>1008</v>
      </c>
      <c r="AC2546" s="217">
        <v>44960</v>
      </c>
      <c r="AD2546" s="65">
        <v>1389</v>
      </c>
      <c r="AE2546" s="17" t="s">
        <v>48</v>
      </c>
      <c r="AF2546" s="17" t="s">
        <v>560</v>
      </c>
    </row>
    <row r="2547" s="17" customFormat="1" hidden="1" spans="1:35">
      <c r="A2547" s="17" t="s">
        <v>34</v>
      </c>
      <c r="B2547" s="19">
        <v>875</v>
      </c>
      <c r="C2547" s="239" t="s">
        <v>1001</v>
      </c>
      <c r="D2547" s="17" t="s">
        <v>52</v>
      </c>
      <c r="E2547" s="17" t="s">
        <v>187</v>
      </c>
      <c r="F2547" s="17" t="s">
        <v>54</v>
      </c>
      <c r="H2547" s="19">
        <v>1.2738</v>
      </c>
      <c r="I2547" s="19"/>
      <c r="J2547" s="17" t="s">
        <v>49</v>
      </c>
      <c r="K2547" s="19">
        <v>2300</v>
      </c>
      <c r="L2547" s="91">
        <v>45</v>
      </c>
      <c r="M2547" s="19">
        <v>5500</v>
      </c>
      <c r="N2547" s="19" t="s">
        <v>66</v>
      </c>
      <c r="O2547" s="19" t="s">
        <v>141</v>
      </c>
      <c r="P2547" s="19">
        <v>3992</v>
      </c>
      <c r="Q2547" s="19">
        <v>4125</v>
      </c>
      <c r="R2547" s="19">
        <f t="shared" si="132"/>
        <v>-133</v>
      </c>
      <c r="S2547" s="19">
        <v>1395</v>
      </c>
      <c r="T2547" s="19" t="s">
        <v>42</v>
      </c>
      <c r="U2547" s="102" t="s">
        <v>1006</v>
      </c>
      <c r="V2547" s="212" t="s">
        <v>1007</v>
      </c>
      <c r="W2547" s="17" t="s">
        <v>69</v>
      </c>
      <c r="Y2547" s="68">
        <v>45008</v>
      </c>
      <c r="Z2547" s="17" t="s">
        <v>191</v>
      </c>
      <c r="AA2547" s="17" t="s">
        <v>46</v>
      </c>
      <c r="AB2547" s="17" t="s">
        <v>1008</v>
      </c>
      <c r="AC2547" s="217">
        <v>44960</v>
      </c>
      <c r="AD2547" s="65">
        <v>1389</v>
      </c>
      <c r="AE2547" s="17" t="s">
        <v>48</v>
      </c>
      <c r="AF2547" s="17" t="s">
        <v>560</v>
      </c>
    </row>
    <row r="2548" s="17" customFormat="1" hidden="1" spans="1:35">
      <c r="A2548" s="17" t="s">
        <v>34</v>
      </c>
      <c r="B2548" s="19">
        <v>875</v>
      </c>
      <c r="C2548" s="239" t="s">
        <v>1001</v>
      </c>
      <c r="D2548" s="17" t="s">
        <v>52</v>
      </c>
      <c r="E2548" s="17" t="s">
        <v>187</v>
      </c>
      <c r="F2548" s="17" t="s">
        <v>54</v>
      </c>
      <c r="H2548" s="19">
        <v>1.2738</v>
      </c>
      <c r="I2548" s="19"/>
      <c r="J2548" s="17" t="s">
        <v>49</v>
      </c>
      <c r="K2548" s="19">
        <v>2300</v>
      </c>
      <c r="L2548" s="91">
        <v>50</v>
      </c>
      <c r="M2548" s="19">
        <v>5500</v>
      </c>
      <c r="N2548" s="19" t="s">
        <v>66</v>
      </c>
      <c r="O2548" s="19" t="s">
        <v>141</v>
      </c>
      <c r="P2548" s="19">
        <v>4435</v>
      </c>
      <c r="Q2548" s="19">
        <v>4465</v>
      </c>
      <c r="R2548" s="19">
        <f t="shared" si="132"/>
        <v>-30</v>
      </c>
      <c r="S2548" s="19">
        <v>1395</v>
      </c>
      <c r="T2548" s="19" t="s">
        <v>42</v>
      </c>
      <c r="U2548" s="102" t="s">
        <v>1006</v>
      </c>
      <c r="V2548" s="212" t="s">
        <v>1007</v>
      </c>
      <c r="W2548" s="17" t="s">
        <v>69</v>
      </c>
      <c r="Y2548" s="68">
        <v>45008</v>
      </c>
      <c r="Z2548" s="17" t="s">
        <v>191</v>
      </c>
      <c r="AA2548" s="17" t="s">
        <v>46</v>
      </c>
      <c r="AB2548" s="17" t="s">
        <v>1008</v>
      </c>
      <c r="AC2548" s="217">
        <v>44960</v>
      </c>
      <c r="AD2548" s="65">
        <v>1389</v>
      </c>
      <c r="AE2548" s="17" t="s">
        <v>48</v>
      </c>
      <c r="AF2548" s="17" t="s">
        <v>560</v>
      </c>
    </row>
    <row r="2549" s="17" customFormat="1" hidden="1" spans="1:35">
      <c r="A2549" s="17" t="s">
        <v>34</v>
      </c>
      <c r="B2549" s="19">
        <v>875</v>
      </c>
      <c r="C2549" s="239" t="s">
        <v>1001</v>
      </c>
      <c r="D2549" s="17" t="s">
        <v>52</v>
      </c>
      <c r="E2549" s="17" t="s">
        <v>187</v>
      </c>
      <c r="F2549" s="17" t="s">
        <v>54</v>
      </c>
      <c r="H2549" s="19">
        <v>1.2738</v>
      </c>
      <c r="I2549" s="19"/>
      <c r="J2549" s="17" t="s">
        <v>49</v>
      </c>
      <c r="K2549" s="19">
        <v>2300</v>
      </c>
      <c r="L2549" s="91">
        <v>56</v>
      </c>
      <c r="M2549" s="19">
        <v>5500</v>
      </c>
      <c r="N2549" s="19" t="s">
        <v>66</v>
      </c>
      <c r="O2549" s="19" t="s">
        <v>141</v>
      </c>
      <c r="P2549" s="19">
        <v>4967</v>
      </c>
      <c r="Q2549" s="19">
        <v>4885</v>
      </c>
      <c r="R2549" s="19">
        <f t="shared" si="132"/>
        <v>82</v>
      </c>
      <c r="S2549" s="19">
        <v>1395</v>
      </c>
      <c r="T2549" s="19" t="s">
        <v>42</v>
      </c>
      <c r="U2549" s="102" t="s">
        <v>1006</v>
      </c>
      <c r="V2549" s="212" t="s">
        <v>1007</v>
      </c>
      <c r="W2549" s="17" t="s">
        <v>69</v>
      </c>
      <c r="Y2549" s="68">
        <v>45008</v>
      </c>
      <c r="Z2549" s="17" t="s">
        <v>191</v>
      </c>
      <c r="AA2549" s="17" t="s">
        <v>46</v>
      </c>
      <c r="AB2549" s="17" t="s">
        <v>1008</v>
      </c>
      <c r="AC2549" s="217">
        <v>44960</v>
      </c>
      <c r="AD2549" s="65">
        <v>1389</v>
      </c>
      <c r="AE2549" s="17" t="s">
        <v>48</v>
      </c>
      <c r="AF2549" s="17" t="s">
        <v>560</v>
      </c>
    </row>
    <row r="2550" s="17" customFormat="1" hidden="1" spans="1:35">
      <c r="A2550" s="17" t="s">
        <v>34</v>
      </c>
      <c r="B2550" s="19">
        <v>875</v>
      </c>
      <c r="C2550" s="239" t="s">
        <v>1001</v>
      </c>
      <c r="D2550" s="17" t="s">
        <v>52</v>
      </c>
      <c r="E2550" s="17" t="s">
        <v>187</v>
      </c>
      <c r="F2550" s="17" t="s">
        <v>54</v>
      </c>
      <c r="H2550" s="19">
        <v>1.2738</v>
      </c>
      <c r="I2550" s="19"/>
      <c r="J2550" s="17" t="s">
        <v>49</v>
      </c>
      <c r="K2550" s="19">
        <v>2300</v>
      </c>
      <c r="L2550" s="91">
        <v>60</v>
      </c>
      <c r="M2550" s="19">
        <v>5500</v>
      </c>
      <c r="N2550" s="19" t="s">
        <v>66</v>
      </c>
      <c r="O2550" s="19" t="s">
        <v>141</v>
      </c>
      <c r="P2550" s="19">
        <v>5322</v>
      </c>
      <c r="Q2550" s="19">
        <v>5295</v>
      </c>
      <c r="R2550" s="19">
        <f t="shared" si="132"/>
        <v>27</v>
      </c>
      <c r="S2550" s="19">
        <v>1395</v>
      </c>
      <c r="T2550" s="19" t="s">
        <v>42</v>
      </c>
      <c r="U2550" s="102" t="s">
        <v>1006</v>
      </c>
      <c r="V2550" s="212" t="s">
        <v>1007</v>
      </c>
      <c r="W2550" s="17" t="s">
        <v>69</v>
      </c>
      <c r="Y2550" s="68">
        <v>45008</v>
      </c>
      <c r="Z2550" s="17" t="s">
        <v>191</v>
      </c>
      <c r="AA2550" s="17" t="s">
        <v>46</v>
      </c>
      <c r="AB2550" s="17" t="s">
        <v>1008</v>
      </c>
      <c r="AC2550" s="217">
        <v>44960</v>
      </c>
      <c r="AD2550" s="65">
        <v>1389</v>
      </c>
      <c r="AE2550" s="17" t="s">
        <v>48</v>
      </c>
      <c r="AF2550" s="17" t="s">
        <v>560</v>
      </c>
    </row>
    <row r="2551" s="17" customFormat="1" hidden="1" spans="1:35">
      <c r="A2551" s="17" t="s">
        <v>34</v>
      </c>
      <c r="B2551" s="19">
        <v>875</v>
      </c>
      <c r="C2551" s="239" t="s">
        <v>1001</v>
      </c>
      <c r="D2551" s="17" t="s">
        <v>52</v>
      </c>
      <c r="E2551" s="17" t="s">
        <v>187</v>
      </c>
      <c r="F2551" s="17" t="s">
        <v>54</v>
      </c>
      <c r="H2551" s="19">
        <v>1.2738</v>
      </c>
      <c r="I2551" s="19"/>
      <c r="J2551" s="17" t="s">
        <v>49</v>
      </c>
      <c r="K2551" s="19">
        <v>2300</v>
      </c>
      <c r="L2551" s="91">
        <v>65</v>
      </c>
      <c r="M2551" s="19">
        <v>5500</v>
      </c>
      <c r="N2551" s="19" t="s">
        <v>66</v>
      </c>
      <c r="O2551" s="19" t="s">
        <v>141</v>
      </c>
      <c r="P2551" s="19">
        <v>5766</v>
      </c>
      <c r="Q2551" s="19">
        <v>5810</v>
      </c>
      <c r="R2551" s="19">
        <f t="shared" si="132"/>
        <v>-44</v>
      </c>
      <c r="S2551" s="19">
        <v>1395</v>
      </c>
      <c r="T2551" s="19" t="s">
        <v>42</v>
      </c>
      <c r="U2551" s="102" t="s">
        <v>1006</v>
      </c>
      <c r="V2551" s="212" t="s">
        <v>1007</v>
      </c>
      <c r="W2551" s="17" t="s">
        <v>69</v>
      </c>
      <c r="Y2551" s="68">
        <v>45008</v>
      </c>
      <c r="Z2551" s="17" t="s">
        <v>191</v>
      </c>
      <c r="AA2551" s="17" t="s">
        <v>46</v>
      </c>
      <c r="AB2551" s="17" t="s">
        <v>1008</v>
      </c>
      <c r="AC2551" s="217">
        <v>44960</v>
      </c>
      <c r="AD2551" s="65">
        <v>1389</v>
      </c>
      <c r="AE2551" s="17" t="s">
        <v>48</v>
      </c>
      <c r="AF2551" s="17" t="s">
        <v>560</v>
      </c>
    </row>
    <row r="2552" s="17" customFormat="1" hidden="1" spans="1:35">
      <c r="A2552" s="17" t="s">
        <v>34</v>
      </c>
      <c r="B2552" s="19">
        <v>875</v>
      </c>
      <c r="C2552" s="239" t="s">
        <v>1001</v>
      </c>
      <c r="D2552" s="17" t="s">
        <v>52</v>
      </c>
      <c r="E2552" s="17" t="s">
        <v>187</v>
      </c>
      <c r="F2552" s="17" t="s">
        <v>54</v>
      </c>
      <c r="H2552" s="19">
        <v>1.2738</v>
      </c>
      <c r="I2552" s="19"/>
      <c r="J2552" s="17" t="s">
        <v>49</v>
      </c>
      <c r="K2552" s="19">
        <v>2300</v>
      </c>
      <c r="L2552" s="91">
        <v>80</v>
      </c>
      <c r="M2552" s="19">
        <v>5500</v>
      </c>
      <c r="N2552" s="19" t="s">
        <v>66</v>
      </c>
      <c r="O2552" s="19" t="s">
        <v>141</v>
      </c>
      <c r="P2552" s="19">
        <v>7096</v>
      </c>
      <c r="Q2552" s="19">
        <v>7045</v>
      </c>
      <c r="R2552" s="19">
        <f t="shared" si="132"/>
        <v>51</v>
      </c>
      <c r="S2552" s="19">
        <v>1395</v>
      </c>
      <c r="T2552" s="19" t="s">
        <v>42</v>
      </c>
      <c r="U2552" s="102" t="s">
        <v>1006</v>
      </c>
      <c r="V2552" s="212" t="s">
        <v>1007</v>
      </c>
      <c r="W2552" s="17" t="s">
        <v>69</v>
      </c>
      <c r="Y2552" s="68">
        <v>45008</v>
      </c>
      <c r="Z2552" s="17" t="s">
        <v>191</v>
      </c>
      <c r="AA2552" s="17" t="s">
        <v>46</v>
      </c>
      <c r="AB2552" s="17" t="s">
        <v>1008</v>
      </c>
      <c r="AC2552" s="217">
        <v>44960</v>
      </c>
      <c r="AD2552" s="65">
        <v>1389</v>
      </c>
      <c r="AE2552" s="17" t="s">
        <v>48</v>
      </c>
      <c r="AF2552" s="17" t="s">
        <v>560</v>
      </c>
    </row>
    <row r="2553" s="17" customFormat="1" hidden="1" spans="1:35">
      <c r="A2553" s="17" t="s">
        <v>34</v>
      </c>
      <c r="B2553" s="19">
        <v>875</v>
      </c>
      <c r="C2553" s="239" t="s">
        <v>1001</v>
      </c>
      <c r="D2553" s="17" t="s">
        <v>52</v>
      </c>
      <c r="E2553" s="17" t="s">
        <v>187</v>
      </c>
      <c r="F2553" s="17" t="s">
        <v>54</v>
      </c>
      <c r="H2553" s="19">
        <v>1.2738</v>
      </c>
      <c r="I2553" s="19"/>
      <c r="J2553" s="17" t="s">
        <v>49</v>
      </c>
      <c r="K2553" s="19">
        <v>2300</v>
      </c>
      <c r="L2553" s="91">
        <v>90</v>
      </c>
      <c r="M2553" s="19">
        <v>5500</v>
      </c>
      <c r="N2553" s="19" t="s">
        <v>66</v>
      </c>
      <c r="O2553" s="19" t="s">
        <v>141</v>
      </c>
      <c r="P2553" s="19">
        <v>7983</v>
      </c>
      <c r="Q2553" s="19">
        <v>8435</v>
      </c>
      <c r="R2553" s="19">
        <f t="shared" si="132"/>
        <v>-452</v>
      </c>
      <c r="S2553" s="19">
        <v>1395</v>
      </c>
      <c r="T2553" s="19" t="s">
        <v>42</v>
      </c>
      <c r="U2553" s="102" t="s">
        <v>1006</v>
      </c>
      <c r="V2553" s="212" t="s">
        <v>1007</v>
      </c>
      <c r="W2553" s="17" t="s">
        <v>69</v>
      </c>
      <c r="Y2553" s="68">
        <v>45008</v>
      </c>
      <c r="Z2553" s="17" t="s">
        <v>191</v>
      </c>
      <c r="AA2553" s="17" t="s">
        <v>46</v>
      </c>
      <c r="AB2553" s="17" t="s">
        <v>1008</v>
      </c>
      <c r="AC2553" s="217">
        <v>44960</v>
      </c>
      <c r="AD2553" s="65">
        <v>1389</v>
      </c>
      <c r="AE2553" s="17" t="s">
        <v>48</v>
      </c>
      <c r="AF2553" s="17" t="s">
        <v>560</v>
      </c>
    </row>
    <row r="2554" s="17" customFormat="1" hidden="1" spans="1:35">
      <c r="A2554" s="17" t="s">
        <v>34</v>
      </c>
      <c r="B2554" s="19">
        <v>875</v>
      </c>
      <c r="C2554" s="239" t="s">
        <v>1001</v>
      </c>
      <c r="D2554" s="17" t="s">
        <v>52</v>
      </c>
      <c r="E2554" s="17" t="s">
        <v>187</v>
      </c>
      <c r="F2554" s="17" t="s">
        <v>54</v>
      </c>
      <c r="H2554" s="19">
        <v>1.2738</v>
      </c>
      <c r="I2554" s="19"/>
      <c r="J2554" s="17" t="s">
        <v>49</v>
      </c>
      <c r="K2554" s="19">
        <v>2300</v>
      </c>
      <c r="L2554" s="91">
        <v>105</v>
      </c>
      <c r="M2554" s="19">
        <v>5500</v>
      </c>
      <c r="N2554" s="19" t="s">
        <v>66</v>
      </c>
      <c r="O2554" s="19" t="s">
        <v>141</v>
      </c>
      <c r="P2554" s="19">
        <v>9314</v>
      </c>
      <c r="Q2554" s="19">
        <v>8555</v>
      </c>
      <c r="R2554" s="19">
        <f t="shared" si="132"/>
        <v>759</v>
      </c>
      <c r="S2554" s="19">
        <v>1395</v>
      </c>
      <c r="T2554" s="19" t="s">
        <v>42</v>
      </c>
      <c r="U2554" s="102" t="s">
        <v>1006</v>
      </c>
      <c r="V2554" s="212" t="s">
        <v>1007</v>
      </c>
      <c r="W2554" s="17" t="s">
        <v>69</v>
      </c>
      <c r="Y2554" s="68">
        <v>45008</v>
      </c>
      <c r="Z2554" s="17" t="s">
        <v>191</v>
      </c>
      <c r="AA2554" s="17" t="s">
        <v>46</v>
      </c>
      <c r="AB2554" s="17" t="s">
        <v>1008</v>
      </c>
      <c r="AC2554" s="217">
        <v>44960</v>
      </c>
      <c r="AD2554" s="65">
        <v>1389</v>
      </c>
      <c r="AE2554" s="17" t="s">
        <v>48</v>
      </c>
      <c r="AF2554" s="17" t="s">
        <v>560</v>
      </c>
    </row>
    <row r="2555" s="17" customFormat="1" hidden="1" spans="1:35">
      <c r="A2555" s="17" t="s">
        <v>34</v>
      </c>
      <c r="B2555" s="19">
        <v>876</v>
      </c>
      <c r="C2555" s="239" t="s">
        <v>1009</v>
      </c>
      <c r="D2555" s="17" t="s">
        <v>52</v>
      </c>
      <c r="E2555" s="17" t="s">
        <v>220</v>
      </c>
      <c r="F2555" s="17" t="s">
        <v>54</v>
      </c>
      <c r="H2555" s="19" t="s">
        <v>55</v>
      </c>
      <c r="I2555" s="19"/>
      <c r="J2555" s="17" t="s">
        <v>82</v>
      </c>
      <c r="K2555" s="19">
        <v>610</v>
      </c>
      <c r="L2555" s="91">
        <v>180</v>
      </c>
      <c r="M2555" s="19">
        <v>4000</v>
      </c>
      <c r="N2555" s="19" t="s">
        <v>40</v>
      </c>
      <c r="O2555" s="19" t="s">
        <v>168</v>
      </c>
      <c r="P2555" s="19">
        <v>3500</v>
      </c>
      <c r="Q2555" s="19">
        <v>1263</v>
      </c>
      <c r="R2555" s="19">
        <f t="shared" si="132"/>
        <v>2237</v>
      </c>
      <c r="S2555" s="19">
        <f>2150-100</f>
        <v>2050</v>
      </c>
      <c r="T2555" s="19" t="s">
        <v>42</v>
      </c>
      <c r="U2555" s="102" t="s">
        <v>1010</v>
      </c>
      <c r="V2555" s="212" t="s">
        <v>1007</v>
      </c>
      <c r="W2555" s="17" t="s">
        <v>69</v>
      </c>
      <c r="Y2555" s="68">
        <v>45008</v>
      </c>
      <c r="Z2555" s="17" t="s">
        <v>191</v>
      </c>
      <c r="AA2555" s="17" t="s">
        <v>46</v>
      </c>
      <c r="AB2555" s="17" t="s">
        <v>1011</v>
      </c>
      <c r="AC2555" s="102" t="s">
        <v>1012</v>
      </c>
      <c r="AD2555" s="65">
        <v>1416</v>
      </c>
      <c r="AE2555" s="17" t="s">
        <v>48</v>
      </c>
      <c r="AF2555" s="17" t="s">
        <v>560</v>
      </c>
      <c r="AI2555" s="17">
        <v>2190</v>
      </c>
    </row>
    <row r="2556" s="17" customFormat="1" hidden="1" spans="1:35">
      <c r="A2556" s="17" t="s">
        <v>34</v>
      </c>
      <c r="B2556" s="19">
        <v>876</v>
      </c>
      <c r="C2556" s="239" t="s">
        <v>1009</v>
      </c>
      <c r="D2556" s="17" t="s">
        <v>52</v>
      </c>
      <c r="E2556" s="17" t="s">
        <v>220</v>
      </c>
      <c r="F2556" s="17" t="s">
        <v>54</v>
      </c>
      <c r="H2556" s="19" t="s">
        <v>55</v>
      </c>
      <c r="I2556" s="19"/>
      <c r="J2556" s="17" t="s">
        <v>82</v>
      </c>
      <c r="K2556" s="19">
        <v>610</v>
      </c>
      <c r="L2556" s="91">
        <v>210</v>
      </c>
      <c r="M2556" s="19">
        <v>4000</v>
      </c>
      <c r="N2556" s="19" t="s">
        <v>40</v>
      </c>
      <c r="O2556" s="19" t="s">
        <v>168</v>
      </c>
      <c r="P2556" s="19">
        <v>4000</v>
      </c>
      <c r="Q2556" s="19">
        <v>1653</v>
      </c>
      <c r="R2556" s="19">
        <f t="shared" si="132"/>
        <v>2347</v>
      </c>
      <c r="S2556" s="19">
        <f>2150-100</f>
        <v>2050</v>
      </c>
      <c r="T2556" s="19" t="s">
        <v>42</v>
      </c>
      <c r="U2556" s="102" t="s">
        <v>1010</v>
      </c>
      <c r="V2556" s="212" t="s">
        <v>1007</v>
      </c>
      <c r="W2556" s="17" t="s">
        <v>69</v>
      </c>
      <c r="Y2556" s="68">
        <v>45008</v>
      </c>
      <c r="Z2556" s="17" t="s">
        <v>191</v>
      </c>
      <c r="AA2556" s="17" t="s">
        <v>46</v>
      </c>
      <c r="AB2556" s="17" t="s">
        <v>1011</v>
      </c>
      <c r="AC2556" s="102" t="s">
        <v>1012</v>
      </c>
      <c r="AD2556" s="65">
        <v>1416</v>
      </c>
      <c r="AE2556" s="17" t="s">
        <v>48</v>
      </c>
      <c r="AF2556" s="17" t="s">
        <v>560</v>
      </c>
      <c r="AI2556" s="17">
        <v>2190</v>
      </c>
    </row>
    <row r="2557" s="17" customFormat="1" hidden="1" spans="1:35">
      <c r="A2557" s="17" t="s">
        <v>34</v>
      </c>
      <c r="B2557" s="19">
        <v>876</v>
      </c>
      <c r="C2557" s="239" t="s">
        <v>1009</v>
      </c>
      <c r="D2557" s="17" t="s">
        <v>52</v>
      </c>
      <c r="E2557" s="17" t="s">
        <v>220</v>
      </c>
      <c r="F2557" s="17" t="s">
        <v>54</v>
      </c>
      <c r="H2557" s="19" t="s">
        <v>55</v>
      </c>
      <c r="I2557" s="19"/>
      <c r="J2557" s="17" t="s">
        <v>82</v>
      </c>
      <c r="K2557" s="19">
        <v>610</v>
      </c>
      <c r="L2557" s="243">
        <v>255</v>
      </c>
      <c r="M2557" s="19">
        <v>4000</v>
      </c>
      <c r="N2557" s="19" t="s">
        <v>40</v>
      </c>
      <c r="O2557" s="19" t="s">
        <v>168</v>
      </c>
      <c r="P2557" s="147">
        <v>5000</v>
      </c>
      <c r="Q2557" s="19">
        <v>2543</v>
      </c>
      <c r="R2557" s="19">
        <f t="shared" si="132"/>
        <v>2457</v>
      </c>
      <c r="S2557" s="19">
        <f>2150-100</f>
        <v>2050</v>
      </c>
      <c r="T2557" s="19" t="s">
        <v>42</v>
      </c>
      <c r="U2557" s="102" t="s">
        <v>1010</v>
      </c>
      <c r="V2557" s="212" t="s">
        <v>1007</v>
      </c>
      <c r="W2557" s="17" t="s">
        <v>69</v>
      </c>
      <c r="Y2557" s="68">
        <v>45008</v>
      </c>
      <c r="Z2557" s="17" t="s">
        <v>191</v>
      </c>
      <c r="AA2557" s="17" t="s">
        <v>46</v>
      </c>
      <c r="AB2557" s="17" t="s">
        <v>1011</v>
      </c>
      <c r="AC2557" s="102" t="s">
        <v>1012</v>
      </c>
      <c r="AD2557" s="65">
        <v>1416</v>
      </c>
      <c r="AE2557" s="17" t="s">
        <v>48</v>
      </c>
      <c r="AF2557" s="17" t="s">
        <v>560</v>
      </c>
      <c r="AI2557" s="17">
        <v>2190</v>
      </c>
    </row>
    <row r="2558" s="17" customFormat="1" hidden="1" spans="1:35">
      <c r="A2558" s="17" t="s">
        <v>34</v>
      </c>
      <c r="B2558" s="19">
        <v>876</v>
      </c>
      <c r="C2558" s="239" t="s">
        <v>1009</v>
      </c>
      <c r="D2558" s="17" t="s">
        <v>52</v>
      </c>
      <c r="E2558" s="17" t="s">
        <v>220</v>
      </c>
      <c r="F2558" s="17" t="s">
        <v>54</v>
      </c>
      <c r="H2558" s="19" t="s">
        <v>55</v>
      </c>
      <c r="I2558" s="19"/>
      <c r="J2558" s="17" t="s">
        <v>82</v>
      </c>
      <c r="K2558" s="19">
        <v>610</v>
      </c>
      <c r="L2558" s="91">
        <v>180</v>
      </c>
      <c r="M2558" s="19">
        <v>4000</v>
      </c>
      <c r="N2558" s="19" t="s">
        <v>40</v>
      </c>
      <c r="O2558" s="19" t="s">
        <v>168</v>
      </c>
      <c r="P2558" s="19">
        <v>3500</v>
      </c>
      <c r="Q2558" s="19">
        <v>3434</v>
      </c>
      <c r="R2558" s="19">
        <f t="shared" si="132"/>
        <v>66</v>
      </c>
      <c r="S2558" s="19">
        <f t="shared" ref="S2558:S2563" si="133">2150</f>
        <v>2150</v>
      </c>
      <c r="T2558" s="19" t="s">
        <v>42</v>
      </c>
      <c r="U2558" s="102" t="s">
        <v>1010</v>
      </c>
      <c r="V2558" s="212" t="s">
        <v>1007</v>
      </c>
      <c r="W2558" s="17" t="s">
        <v>69</v>
      </c>
      <c r="Y2558" s="68">
        <v>45008</v>
      </c>
      <c r="Z2558" s="17" t="s">
        <v>191</v>
      </c>
      <c r="AA2558" s="17" t="s">
        <v>46</v>
      </c>
      <c r="AB2558" s="17" t="s">
        <v>1013</v>
      </c>
      <c r="AC2558" s="217">
        <v>45234</v>
      </c>
      <c r="AD2558" s="65">
        <v>1419</v>
      </c>
      <c r="AE2558" s="17" t="s">
        <v>48</v>
      </c>
      <c r="AF2558" s="17" t="s">
        <v>560</v>
      </c>
      <c r="AI2558" s="17">
        <v>2190</v>
      </c>
    </row>
    <row r="2559" s="17" customFormat="1" hidden="1" spans="1:35">
      <c r="A2559" s="17" t="s">
        <v>34</v>
      </c>
      <c r="B2559" s="19">
        <v>876</v>
      </c>
      <c r="C2559" s="239" t="s">
        <v>1009</v>
      </c>
      <c r="D2559" s="17" t="s">
        <v>52</v>
      </c>
      <c r="E2559" s="17" t="s">
        <v>220</v>
      </c>
      <c r="F2559" s="17" t="s">
        <v>54</v>
      </c>
      <c r="H2559" s="19" t="s">
        <v>55</v>
      </c>
      <c r="I2559" s="19"/>
      <c r="J2559" s="17" t="s">
        <v>82</v>
      </c>
      <c r="K2559" s="19">
        <v>610</v>
      </c>
      <c r="L2559" s="91">
        <v>210</v>
      </c>
      <c r="M2559" s="19">
        <v>4000</v>
      </c>
      <c r="N2559" s="19" t="s">
        <v>40</v>
      </c>
      <c r="O2559" s="19" t="s">
        <v>168</v>
      </c>
      <c r="P2559" s="19">
        <v>4000</v>
      </c>
      <c r="Q2559" s="19">
        <v>4998</v>
      </c>
      <c r="R2559" s="19">
        <f t="shared" si="132"/>
        <v>-998</v>
      </c>
      <c r="S2559" s="19">
        <f t="shared" si="133"/>
        <v>2150</v>
      </c>
      <c r="T2559" s="19" t="s">
        <v>42</v>
      </c>
      <c r="U2559" s="102" t="s">
        <v>1010</v>
      </c>
      <c r="V2559" s="212" t="s">
        <v>1007</v>
      </c>
      <c r="W2559" s="17" t="s">
        <v>69</v>
      </c>
      <c r="Y2559" s="68">
        <v>45008</v>
      </c>
      <c r="Z2559" s="17" t="s">
        <v>191</v>
      </c>
      <c r="AA2559" s="17" t="s">
        <v>46</v>
      </c>
      <c r="AB2559" s="17" t="s">
        <v>1013</v>
      </c>
      <c r="AC2559" s="217">
        <v>45234</v>
      </c>
      <c r="AD2559" s="65">
        <v>1419</v>
      </c>
      <c r="AE2559" s="17" t="s">
        <v>48</v>
      </c>
      <c r="AF2559" s="17" t="s">
        <v>560</v>
      </c>
      <c r="AI2559" s="17">
        <v>2190</v>
      </c>
    </row>
    <row r="2560" s="17" customFormat="1" hidden="1" spans="1:35">
      <c r="A2560" s="17" t="s">
        <v>34</v>
      </c>
      <c r="B2560" s="19">
        <v>876</v>
      </c>
      <c r="C2560" s="239" t="s">
        <v>1009</v>
      </c>
      <c r="D2560" s="17" t="s">
        <v>52</v>
      </c>
      <c r="E2560" s="17" t="s">
        <v>220</v>
      </c>
      <c r="F2560" s="17" t="s">
        <v>54</v>
      </c>
      <c r="H2560" s="19" t="s">
        <v>55</v>
      </c>
      <c r="I2560" s="19"/>
      <c r="J2560" s="17" t="s">
        <v>82</v>
      </c>
      <c r="K2560" s="19">
        <v>610</v>
      </c>
      <c r="L2560" s="243">
        <v>255</v>
      </c>
      <c r="M2560" s="19">
        <v>4000</v>
      </c>
      <c r="N2560" s="19" t="s">
        <v>40</v>
      </c>
      <c r="O2560" s="19" t="s">
        <v>168</v>
      </c>
      <c r="P2560" s="147">
        <v>5000</v>
      </c>
      <c r="Q2560" s="19">
        <v>3512</v>
      </c>
      <c r="R2560" s="19">
        <f t="shared" si="132"/>
        <v>1488</v>
      </c>
      <c r="S2560" s="19">
        <f t="shared" si="133"/>
        <v>2150</v>
      </c>
      <c r="T2560" s="19" t="s">
        <v>42</v>
      </c>
      <c r="U2560" s="102" t="s">
        <v>1010</v>
      </c>
      <c r="V2560" s="212" t="s">
        <v>1007</v>
      </c>
      <c r="W2560" s="17" t="s">
        <v>69</v>
      </c>
      <c r="Y2560" s="68">
        <v>45008</v>
      </c>
      <c r="Z2560" s="17" t="s">
        <v>191</v>
      </c>
      <c r="AA2560" s="17" t="s">
        <v>46</v>
      </c>
      <c r="AB2560" s="17" t="s">
        <v>1013</v>
      </c>
      <c r="AC2560" s="217">
        <v>45234</v>
      </c>
      <c r="AD2560" s="65">
        <v>1419</v>
      </c>
      <c r="AE2560" s="17" t="s">
        <v>48</v>
      </c>
      <c r="AF2560" s="17" t="s">
        <v>560</v>
      </c>
      <c r="AI2560" s="17">
        <v>2190</v>
      </c>
    </row>
    <row r="2561" s="17" customFormat="1" hidden="1" spans="1:35">
      <c r="A2561" s="17" t="s">
        <v>34</v>
      </c>
      <c r="B2561" s="19">
        <v>876</v>
      </c>
      <c r="C2561" s="239" t="s">
        <v>1009</v>
      </c>
      <c r="D2561" s="17" t="s">
        <v>52</v>
      </c>
      <c r="E2561" s="17" t="s">
        <v>220</v>
      </c>
      <c r="F2561" s="17" t="s">
        <v>54</v>
      </c>
      <c r="H2561" s="19" t="s">
        <v>55</v>
      </c>
      <c r="I2561" s="19"/>
      <c r="J2561" s="17" t="s">
        <v>82</v>
      </c>
      <c r="K2561" s="19">
        <v>310</v>
      </c>
      <c r="L2561" s="91">
        <v>60</v>
      </c>
      <c r="M2561" s="19">
        <v>4000</v>
      </c>
      <c r="N2561" s="19" t="s">
        <v>40</v>
      </c>
      <c r="O2561" s="19" t="s">
        <v>168</v>
      </c>
      <c r="P2561" s="19"/>
      <c r="Q2561" s="19">
        <v>626</v>
      </c>
      <c r="R2561" s="19"/>
      <c r="S2561" s="19">
        <f t="shared" si="133"/>
        <v>2150</v>
      </c>
      <c r="T2561" s="19" t="s">
        <v>42</v>
      </c>
      <c r="U2561" s="102" t="s">
        <v>1010</v>
      </c>
      <c r="V2561" s="212" t="s">
        <v>1007</v>
      </c>
      <c r="W2561" s="17" t="s">
        <v>69</v>
      </c>
      <c r="Y2561" s="68">
        <v>45008</v>
      </c>
      <c r="Z2561" s="17" t="s">
        <v>191</v>
      </c>
      <c r="AA2561" s="17" t="s">
        <v>46</v>
      </c>
      <c r="AB2561" s="17" t="s">
        <v>1013</v>
      </c>
      <c r="AC2561" s="217">
        <v>45234</v>
      </c>
      <c r="AD2561" s="65">
        <v>1419</v>
      </c>
      <c r="AE2561" s="17" t="s">
        <v>48</v>
      </c>
      <c r="AF2561" s="17" t="s">
        <v>560</v>
      </c>
      <c r="AI2561" s="17">
        <v>2190</v>
      </c>
    </row>
    <row r="2562" s="17" customFormat="1" hidden="1" spans="1:35">
      <c r="A2562" s="17" t="s">
        <v>34</v>
      </c>
      <c r="B2562" s="19">
        <v>876</v>
      </c>
      <c r="C2562" s="239" t="s">
        <v>1009</v>
      </c>
      <c r="D2562" s="17" t="s">
        <v>52</v>
      </c>
      <c r="E2562" s="17" t="s">
        <v>220</v>
      </c>
      <c r="F2562" s="17" t="s">
        <v>54</v>
      </c>
      <c r="H2562" s="19" t="s">
        <v>55</v>
      </c>
      <c r="I2562" s="19"/>
      <c r="J2562" s="17" t="s">
        <v>82</v>
      </c>
      <c r="K2562" s="19">
        <v>330</v>
      </c>
      <c r="L2562" s="91">
        <v>80</v>
      </c>
      <c r="M2562" s="19">
        <v>4000</v>
      </c>
      <c r="N2562" s="19" t="s">
        <v>40</v>
      </c>
      <c r="O2562" s="19" t="s">
        <v>168</v>
      </c>
      <c r="P2562" s="19"/>
      <c r="Q2562" s="19">
        <v>447</v>
      </c>
      <c r="R2562" s="19"/>
      <c r="S2562" s="19">
        <f t="shared" si="133"/>
        <v>2150</v>
      </c>
      <c r="T2562" s="19" t="s">
        <v>42</v>
      </c>
      <c r="U2562" s="102" t="s">
        <v>1010</v>
      </c>
      <c r="V2562" s="212" t="s">
        <v>1007</v>
      </c>
      <c r="W2562" s="17" t="s">
        <v>69</v>
      </c>
      <c r="Y2562" s="68">
        <v>45008</v>
      </c>
      <c r="Z2562" s="17" t="s">
        <v>191</v>
      </c>
      <c r="AA2562" s="17" t="s">
        <v>46</v>
      </c>
      <c r="AB2562" s="17" t="s">
        <v>1013</v>
      </c>
      <c r="AC2562" s="217">
        <v>45234</v>
      </c>
      <c r="AD2562" s="65">
        <v>1419</v>
      </c>
      <c r="AE2562" s="17" t="s">
        <v>48</v>
      </c>
      <c r="AF2562" s="17" t="s">
        <v>560</v>
      </c>
      <c r="AI2562" s="17">
        <v>2190</v>
      </c>
    </row>
    <row r="2563" s="17" customFormat="1" hidden="1" spans="1:35">
      <c r="A2563" s="17" t="s">
        <v>34</v>
      </c>
      <c r="B2563" s="19">
        <v>876</v>
      </c>
      <c r="C2563" s="239" t="s">
        <v>1009</v>
      </c>
      <c r="D2563" s="17" t="s">
        <v>52</v>
      </c>
      <c r="E2563" s="17" t="s">
        <v>220</v>
      </c>
      <c r="F2563" s="17" t="s">
        <v>54</v>
      </c>
      <c r="H2563" s="19" t="s">
        <v>55</v>
      </c>
      <c r="I2563" s="19"/>
      <c r="J2563" s="17" t="s">
        <v>82</v>
      </c>
      <c r="K2563" s="19">
        <v>105</v>
      </c>
      <c r="L2563" s="243">
        <v>105</v>
      </c>
      <c r="M2563" s="19">
        <v>4000</v>
      </c>
      <c r="N2563" s="19" t="s">
        <v>40</v>
      </c>
      <c r="O2563" s="19" t="s">
        <v>168</v>
      </c>
      <c r="P2563" s="147"/>
      <c r="Q2563" s="19">
        <v>944</v>
      </c>
      <c r="R2563" s="19"/>
      <c r="S2563" s="19">
        <f t="shared" si="133"/>
        <v>2150</v>
      </c>
      <c r="T2563" s="19" t="s">
        <v>42</v>
      </c>
      <c r="U2563" s="102" t="s">
        <v>1010</v>
      </c>
      <c r="V2563" s="212" t="s">
        <v>1007</v>
      </c>
      <c r="W2563" s="17" t="s">
        <v>69</v>
      </c>
      <c r="Y2563" s="68">
        <v>45008</v>
      </c>
      <c r="Z2563" s="17" t="s">
        <v>191</v>
      </c>
      <c r="AA2563" s="17" t="s">
        <v>46</v>
      </c>
      <c r="AB2563" s="17" t="s">
        <v>1013</v>
      </c>
      <c r="AC2563" s="217">
        <v>45234</v>
      </c>
      <c r="AD2563" s="65">
        <v>1419</v>
      </c>
      <c r="AE2563" s="17" t="s">
        <v>48</v>
      </c>
      <c r="AF2563" s="17" t="s">
        <v>560</v>
      </c>
      <c r="AI2563" s="17">
        <v>2190</v>
      </c>
    </row>
    <row r="2564" s="17" customFormat="1" ht="15.6" hidden="1" spans="1:35">
      <c r="A2564" s="17" t="s">
        <v>34</v>
      </c>
      <c r="B2564" s="19">
        <v>878</v>
      </c>
      <c r="C2564" s="239" t="s">
        <v>1001</v>
      </c>
      <c r="D2564" s="17" t="s">
        <v>52</v>
      </c>
      <c r="E2564" s="17" t="s">
        <v>220</v>
      </c>
      <c r="F2564" s="17" t="s">
        <v>54</v>
      </c>
      <c r="H2564" s="19">
        <v>1.2379</v>
      </c>
      <c r="I2564" s="19"/>
      <c r="J2564" s="17" t="s">
        <v>82</v>
      </c>
      <c r="K2564" s="184">
        <v>65</v>
      </c>
      <c r="L2564" s="91">
        <v>25</v>
      </c>
      <c r="M2564" s="19"/>
      <c r="N2564" s="19" t="s">
        <v>40</v>
      </c>
      <c r="O2564" s="19" t="s">
        <v>168</v>
      </c>
      <c r="P2564" s="256">
        <v>52</v>
      </c>
      <c r="Q2564" s="19">
        <v>52</v>
      </c>
      <c r="R2564" s="19">
        <f t="shared" ref="R2564:R2574" si="134">+P2564-Q2564</f>
        <v>0</v>
      </c>
      <c r="S2564" s="19">
        <v>2300</v>
      </c>
      <c r="T2564" s="19" t="s">
        <v>42</v>
      </c>
      <c r="U2564" s="102" t="s">
        <v>1014</v>
      </c>
      <c r="V2564" s="212" t="s">
        <v>1003</v>
      </c>
      <c r="W2564" s="17" t="s">
        <v>69</v>
      </c>
      <c r="Y2564" s="68">
        <v>44980</v>
      </c>
      <c r="Z2564" s="17" t="s">
        <v>191</v>
      </c>
      <c r="AA2564" s="17" t="s">
        <v>46</v>
      </c>
      <c r="AB2564" s="17" t="s">
        <v>1015</v>
      </c>
      <c r="AC2564" s="102" t="s">
        <v>1016</v>
      </c>
      <c r="AD2564" s="65">
        <v>1386</v>
      </c>
      <c r="AE2564" s="17" t="s">
        <v>48</v>
      </c>
      <c r="AF2564" s="17" t="s">
        <v>560</v>
      </c>
    </row>
    <row r="2565" s="17" customFormat="1" ht="15.6" hidden="1" spans="1:35">
      <c r="A2565" s="17" t="s">
        <v>34</v>
      </c>
      <c r="B2565" s="19">
        <v>878</v>
      </c>
      <c r="C2565" s="239" t="s">
        <v>1001</v>
      </c>
      <c r="D2565" s="17" t="s">
        <v>52</v>
      </c>
      <c r="E2565" s="17" t="s">
        <v>220</v>
      </c>
      <c r="F2565" s="17" t="s">
        <v>54</v>
      </c>
      <c r="H2565" s="19">
        <v>1.2379</v>
      </c>
      <c r="I2565" s="19"/>
      <c r="J2565" s="17" t="s">
        <v>82</v>
      </c>
      <c r="K2565" s="184">
        <v>155</v>
      </c>
      <c r="L2565" s="91">
        <v>32</v>
      </c>
      <c r="M2565" s="19"/>
      <c r="N2565" s="19" t="s">
        <v>40</v>
      </c>
      <c r="O2565" s="19" t="s">
        <v>168</v>
      </c>
      <c r="P2565" s="256">
        <f>122+115</f>
        <v>237</v>
      </c>
      <c r="Q2565" s="19">
        <v>363</v>
      </c>
      <c r="R2565" s="19">
        <f t="shared" si="134"/>
        <v>-126</v>
      </c>
      <c r="S2565" s="19">
        <v>2300</v>
      </c>
      <c r="T2565" s="19" t="s">
        <v>42</v>
      </c>
      <c r="U2565" s="102" t="s">
        <v>1014</v>
      </c>
      <c r="V2565" s="212" t="s">
        <v>1003</v>
      </c>
      <c r="W2565" s="17" t="s">
        <v>69</v>
      </c>
      <c r="Y2565" s="68">
        <v>44980</v>
      </c>
      <c r="Z2565" s="17" t="s">
        <v>191</v>
      </c>
      <c r="AA2565" s="17" t="s">
        <v>46</v>
      </c>
      <c r="AB2565" s="17" t="s">
        <v>1015</v>
      </c>
      <c r="AC2565" s="102" t="s">
        <v>1016</v>
      </c>
      <c r="AD2565" s="65">
        <v>1386</v>
      </c>
      <c r="AE2565" s="17" t="s">
        <v>48</v>
      </c>
      <c r="AF2565" s="17" t="s">
        <v>560</v>
      </c>
    </row>
    <row r="2566" s="17" customFormat="1" ht="15.6" hidden="1" spans="1:35">
      <c r="A2566" s="17" t="s">
        <v>34</v>
      </c>
      <c r="B2566" s="19">
        <v>878</v>
      </c>
      <c r="C2566" s="239" t="s">
        <v>1001</v>
      </c>
      <c r="D2566" s="17" t="s">
        <v>52</v>
      </c>
      <c r="E2566" s="17" t="s">
        <v>220</v>
      </c>
      <c r="F2566" s="17" t="s">
        <v>54</v>
      </c>
      <c r="H2566" s="19">
        <v>1.2379</v>
      </c>
      <c r="I2566" s="19"/>
      <c r="J2566" s="17" t="s">
        <v>82</v>
      </c>
      <c r="K2566" s="184">
        <v>255</v>
      </c>
      <c r="L2566" s="91">
        <v>40</v>
      </c>
      <c r="M2566" s="19"/>
      <c r="N2566" s="19" t="s">
        <v>40</v>
      </c>
      <c r="O2566" s="19" t="s">
        <v>168</v>
      </c>
      <c r="P2566" s="256">
        <f>252+255+196+276+262+263+263+260+182</f>
        <v>2209</v>
      </c>
      <c r="Q2566" s="19">
        <v>2161</v>
      </c>
      <c r="R2566" s="19">
        <f t="shared" si="134"/>
        <v>48</v>
      </c>
      <c r="S2566" s="19">
        <v>2300</v>
      </c>
      <c r="T2566" s="19" t="s">
        <v>42</v>
      </c>
      <c r="U2566" s="102" t="s">
        <v>1014</v>
      </c>
      <c r="V2566" s="212" t="s">
        <v>1003</v>
      </c>
      <c r="W2566" s="17" t="s">
        <v>69</v>
      </c>
      <c r="Y2566" s="68">
        <v>44980</v>
      </c>
      <c r="Z2566" s="17" t="s">
        <v>191</v>
      </c>
      <c r="AA2566" s="17" t="s">
        <v>46</v>
      </c>
      <c r="AB2566" s="17" t="s">
        <v>1015</v>
      </c>
      <c r="AC2566" s="102" t="s">
        <v>1016</v>
      </c>
      <c r="AD2566" s="65">
        <v>1386</v>
      </c>
      <c r="AE2566" s="17" t="s">
        <v>48</v>
      </c>
      <c r="AF2566" s="17" t="s">
        <v>560</v>
      </c>
    </row>
    <row r="2567" s="17" customFormat="1" ht="15.6" hidden="1" spans="1:35">
      <c r="A2567" s="17" t="s">
        <v>34</v>
      </c>
      <c r="B2567" s="19">
        <v>878</v>
      </c>
      <c r="C2567" s="239" t="s">
        <v>1001</v>
      </c>
      <c r="D2567" s="17" t="s">
        <v>52</v>
      </c>
      <c r="E2567" s="17" t="s">
        <v>220</v>
      </c>
      <c r="F2567" s="17" t="s">
        <v>54</v>
      </c>
      <c r="H2567" s="19">
        <v>1.2379</v>
      </c>
      <c r="I2567" s="19"/>
      <c r="J2567" s="17" t="s">
        <v>82</v>
      </c>
      <c r="K2567" s="184">
        <v>355</v>
      </c>
      <c r="L2567" s="91">
        <v>40</v>
      </c>
      <c r="M2567" s="19"/>
      <c r="N2567" s="19" t="s">
        <v>40</v>
      </c>
      <c r="O2567" s="19" t="s">
        <v>168</v>
      </c>
      <c r="P2567" s="256">
        <f>268+338</f>
        <v>606</v>
      </c>
      <c r="Q2567" s="19">
        <v>606</v>
      </c>
      <c r="R2567" s="19">
        <f t="shared" si="134"/>
        <v>0</v>
      </c>
      <c r="S2567" s="19">
        <v>2300</v>
      </c>
      <c r="T2567" s="19" t="s">
        <v>42</v>
      </c>
      <c r="U2567" s="102" t="s">
        <v>1014</v>
      </c>
      <c r="V2567" s="212" t="s">
        <v>1003</v>
      </c>
      <c r="W2567" s="17" t="s">
        <v>69</v>
      </c>
      <c r="Y2567" s="68">
        <v>44980</v>
      </c>
      <c r="Z2567" s="17" t="s">
        <v>191</v>
      </c>
      <c r="AA2567" s="17" t="s">
        <v>46</v>
      </c>
      <c r="AB2567" s="17" t="s">
        <v>1015</v>
      </c>
      <c r="AC2567" s="102" t="s">
        <v>1016</v>
      </c>
      <c r="AD2567" s="65">
        <v>1386</v>
      </c>
      <c r="AE2567" s="17" t="s">
        <v>48</v>
      </c>
      <c r="AF2567" s="17" t="s">
        <v>560</v>
      </c>
    </row>
    <row r="2568" s="17" customFormat="1" ht="15.6" hidden="1" spans="1:35">
      <c r="A2568" s="17" t="s">
        <v>34</v>
      </c>
      <c r="B2568" s="19">
        <v>878</v>
      </c>
      <c r="C2568" s="239" t="s">
        <v>1001</v>
      </c>
      <c r="D2568" s="17" t="s">
        <v>52</v>
      </c>
      <c r="E2568" s="17" t="s">
        <v>220</v>
      </c>
      <c r="F2568" s="17" t="s">
        <v>54</v>
      </c>
      <c r="H2568" s="19">
        <v>1.2379</v>
      </c>
      <c r="I2568" s="19"/>
      <c r="J2568" s="17" t="s">
        <v>82</v>
      </c>
      <c r="K2568" s="184">
        <v>455</v>
      </c>
      <c r="L2568" s="91">
        <v>40</v>
      </c>
      <c r="M2568" s="19"/>
      <c r="N2568" s="19" t="s">
        <v>40</v>
      </c>
      <c r="O2568" s="19" t="s">
        <v>168</v>
      </c>
      <c r="P2568" s="256">
        <v>486</v>
      </c>
      <c r="Q2568" s="19">
        <v>480</v>
      </c>
      <c r="R2568" s="19">
        <f t="shared" si="134"/>
        <v>6</v>
      </c>
      <c r="S2568" s="19">
        <v>2300</v>
      </c>
      <c r="T2568" s="19" t="s">
        <v>42</v>
      </c>
      <c r="U2568" s="102" t="s">
        <v>1014</v>
      </c>
      <c r="V2568" s="212" t="s">
        <v>1003</v>
      </c>
      <c r="W2568" s="17" t="s">
        <v>69</v>
      </c>
      <c r="Y2568" s="68">
        <v>44980</v>
      </c>
      <c r="Z2568" s="17" t="s">
        <v>191</v>
      </c>
      <c r="AA2568" s="17" t="s">
        <v>46</v>
      </c>
      <c r="AB2568" s="17" t="s">
        <v>1015</v>
      </c>
      <c r="AC2568" s="102" t="s">
        <v>1016</v>
      </c>
      <c r="AD2568" s="65">
        <v>1386</v>
      </c>
      <c r="AE2568" s="17" t="s">
        <v>48</v>
      </c>
      <c r="AF2568" s="17" t="s">
        <v>560</v>
      </c>
    </row>
    <row r="2569" s="18" customFormat="1" ht="15.6" hidden="1" spans="1:35">
      <c r="B2569" s="75">
        <v>878</v>
      </c>
      <c r="C2569" s="240" t="s">
        <v>1001</v>
      </c>
      <c r="D2569" s="18" t="s">
        <v>52</v>
      </c>
      <c r="E2569" s="18" t="s">
        <v>220</v>
      </c>
      <c r="F2569" s="18" t="s">
        <v>54</v>
      </c>
      <c r="H2569" s="75">
        <v>1.2379</v>
      </c>
      <c r="I2569" s="75"/>
      <c r="J2569" s="18" t="s">
        <v>82</v>
      </c>
      <c r="K2569" s="257">
        <v>65</v>
      </c>
      <c r="L2569" s="111">
        <v>50</v>
      </c>
      <c r="M2569" s="75"/>
      <c r="N2569" s="75" t="s">
        <v>40</v>
      </c>
      <c r="O2569" s="75" t="s">
        <v>168</v>
      </c>
      <c r="P2569" s="258">
        <v>110</v>
      </c>
      <c r="Q2569" s="259"/>
      <c r="R2569" s="75">
        <f t="shared" si="134"/>
        <v>110</v>
      </c>
      <c r="S2569" s="75">
        <v>2300</v>
      </c>
      <c r="T2569" s="75" t="s">
        <v>42</v>
      </c>
      <c r="U2569" s="137" t="s">
        <v>1014</v>
      </c>
      <c r="V2569" s="241" t="s">
        <v>1003</v>
      </c>
      <c r="W2569" s="18" t="s">
        <v>69</v>
      </c>
      <c r="Y2569" s="114">
        <v>44980</v>
      </c>
      <c r="Z2569" s="18" t="s">
        <v>191</v>
      </c>
      <c r="AA2569" s="18" t="s">
        <v>46</v>
      </c>
      <c r="AB2569" s="18" t="s">
        <v>1015</v>
      </c>
      <c r="AC2569" s="137" t="s">
        <v>1016</v>
      </c>
      <c r="AD2569" s="77">
        <v>1386</v>
      </c>
      <c r="AE2569" s="18" t="s">
        <v>48</v>
      </c>
      <c r="AF2569" s="18" t="s">
        <v>560</v>
      </c>
    </row>
    <row r="2570" s="17" customFormat="1" ht="15.6" hidden="1" spans="1:35">
      <c r="A2570" s="17" t="s">
        <v>34</v>
      </c>
      <c r="B2570" s="19">
        <v>878</v>
      </c>
      <c r="C2570" s="239" t="s">
        <v>1001</v>
      </c>
      <c r="D2570" s="17" t="s">
        <v>52</v>
      </c>
      <c r="E2570" s="17" t="s">
        <v>220</v>
      </c>
      <c r="F2570" s="17" t="s">
        <v>54</v>
      </c>
      <c r="H2570" s="19">
        <v>1.2379</v>
      </c>
      <c r="I2570" s="19"/>
      <c r="J2570" s="17" t="s">
        <v>82</v>
      </c>
      <c r="K2570" s="184">
        <v>105</v>
      </c>
      <c r="L2570" s="91">
        <v>50</v>
      </c>
      <c r="M2570" s="19"/>
      <c r="N2570" s="19" t="s">
        <v>40</v>
      </c>
      <c r="O2570" s="19" t="s">
        <v>168</v>
      </c>
      <c r="P2570" s="256">
        <f>121+126+125+122+172</f>
        <v>666</v>
      </c>
      <c r="Q2570" s="19">
        <v>666</v>
      </c>
      <c r="R2570" s="19">
        <f t="shared" si="134"/>
        <v>0</v>
      </c>
      <c r="S2570" s="19">
        <v>2300</v>
      </c>
      <c r="T2570" s="19" t="s">
        <v>42</v>
      </c>
      <c r="U2570" s="102" t="s">
        <v>1014</v>
      </c>
      <c r="V2570" s="212" t="s">
        <v>1003</v>
      </c>
      <c r="W2570" s="17" t="s">
        <v>69</v>
      </c>
      <c r="Y2570" s="68">
        <v>44980</v>
      </c>
      <c r="Z2570" s="17" t="s">
        <v>191</v>
      </c>
      <c r="AA2570" s="17" t="s">
        <v>46</v>
      </c>
      <c r="AB2570" s="17" t="s">
        <v>1015</v>
      </c>
      <c r="AC2570" s="102" t="s">
        <v>1016</v>
      </c>
      <c r="AD2570" s="65">
        <v>1386</v>
      </c>
      <c r="AE2570" s="17" t="s">
        <v>48</v>
      </c>
      <c r="AF2570" s="17" t="s">
        <v>560</v>
      </c>
    </row>
    <row r="2571" s="17" customFormat="1" ht="15.6" hidden="1" spans="1:35">
      <c r="A2571" s="17" t="s">
        <v>34</v>
      </c>
      <c r="B2571" s="19">
        <v>878</v>
      </c>
      <c r="C2571" s="239" t="s">
        <v>1001</v>
      </c>
      <c r="D2571" s="17" t="s">
        <v>52</v>
      </c>
      <c r="E2571" s="17" t="s">
        <v>220</v>
      </c>
      <c r="F2571" s="17" t="s">
        <v>54</v>
      </c>
      <c r="H2571" s="19">
        <v>1.2379</v>
      </c>
      <c r="I2571" s="19"/>
      <c r="J2571" s="17" t="s">
        <v>82</v>
      </c>
      <c r="K2571" s="19">
        <v>155</v>
      </c>
      <c r="L2571" s="91">
        <v>50</v>
      </c>
      <c r="M2571" s="19"/>
      <c r="N2571" s="19" t="s">
        <v>40</v>
      </c>
      <c r="O2571" s="19" t="s">
        <v>168</v>
      </c>
      <c r="P2571" s="256">
        <f>170+172</f>
        <v>342</v>
      </c>
      <c r="Q2571" s="19">
        <v>342</v>
      </c>
      <c r="R2571" s="19">
        <f t="shared" si="134"/>
        <v>0</v>
      </c>
      <c r="S2571" s="19">
        <v>2300</v>
      </c>
      <c r="T2571" s="19" t="s">
        <v>42</v>
      </c>
      <c r="U2571" s="102" t="s">
        <v>1014</v>
      </c>
      <c r="V2571" s="212" t="s">
        <v>1003</v>
      </c>
      <c r="W2571" s="17" t="s">
        <v>69</v>
      </c>
      <c r="Y2571" s="68">
        <v>44980</v>
      </c>
      <c r="Z2571" s="17" t="s">
        <v>191</v>
      </c>
      <c r="AA2571" s="17" t="s">
        <v>46</v>
      </c>
      <c r="AB2571" s="17" t="s">
        <v>1015</v>
      </c>
      <c r="AC2571" s="102" t="s">
        <v>1016</v>
      </c>
      <c r="AD2571" s="65">
        <v>1386</v>
      </c>
      <c r="AE2571" s="17" t="s">
        <v>48</v>
      </c>
      <c r="AF2571" s="17" t="s">
        <v>560</v>
      </c>
    </row>
    <row r="2572" s="17" customFormat="1" ht="15.6" hidden="1" spans="1:35">
      <c r="A2572" s="17" t="s">
        <v>34</v>
      </c>
      <c r="B2572" s="19">
        <v>878</v>
      </c>
      <c r="C2572" s="239" t="s">
        <v>1001</v>
      </c>
      <c r="D2572" s="17" t="s">
        <v>52</v>
      </c>
      <c r="E2572" s="17" t="s">
        <v>220</v>
      </c>
      <c r="F2572" s="17" t="s">
        <v>54</v>
      </c>
      <c r="H2572" s="19">
        <v>1.2379</v>
      </c>
      <c r="I2572" s="19"/>
      <c r="J2572" s="17" t="s">
        <v>82</v>
      </c>
      <c r="K2572" s="184">
        <v>205</v>
      </c>
      <c r="L2572" s="91">
        <v>50</v>
      </c>
      <c r="M2572" s="19"/>
      <c r="N2572" s="19" t="s">
        <v>40</v>
      </c>
      <c r="O2572" s="19" t="s">
        <v>168</v>
      </c>
      <c r="P2572" s="256">
        <f>258+261+265+330+262</f>
        <v>1376</v>
      </c>
      <c r="Q2572" s="19">
        <v>1376</v>
      </c>
      <c r="R2572" s="19">
        <f t="shared" si="134"/>
        <v>0</v>
      </c>
      <c r="S2572" s="19">
        <v>2300</v>
      </c>
      <c r="T2572" s="19" t="s">
        <v>42</v>
      </c>
      <c r="U2572" s="102" t="s">
        <v>1014</v>
      </c>
      <c r="V2572" s="212" t="s">
        <v>1003</v>
      </c>
      <c r="W2572" s="17" t="s">
        <v>69</v>
      </c>
      <c r="Y2572" s="68">
        <v>44980</v>
      </c>
      <c r="Z2572" s="17" t="s">
        <v>191</v>
      </c>
      <c r="AA2572" s="17" t="s">
        <v>46</v>
      </c>
      <c r="AB2572" s="17" t="s">
        <v>1015</v>
      </c>
      <c r="AC2572" s="102" t="s">
        <v>1016</v>
      </c>
      <c r="AD2572" s="65">
        <v>1386</v>
      </c>
      <c r="AE2572" s="17" t="s">
        <v>48</v>
      </c>
      <c r="AF2572" s="17" t="s">
        <v>560</v>
      </c>
    </row>
    <row r="2573" s="17" customFormat="1" ht="15.6" hidden="1" spans="1:35">
      <c r="A2573" s="17" t="s">
        <v>34</v>
      </c>
      <c r="B2573" s="19">
        <v>878</v>
      </c>
      <c r="C2573" s="239" t="s">
        <v>1001</v>
      </c>
      <c r="D2573" s="17" t="s">
        <v>52</v>
      </c>
      <c r="E2573" s="17" t="s">
        <v>220</v>
      </c>
      <c r="F2573" s="17" t="s">
        <v>54</v>
      </c>
      <c r="H2573" s="19">
        <v>1.2379</v>
      </c>
      <c r="I2573" s="19"/>
      <c r="J2573" s="17" t="s">
        <v>82</v>
      </c>
      <c r="K2573" s="184">
        <v>255</v>
      </c>
      <c r="L2573" s="91">
        <v>50</v>
      </c>
      <c r="M2573" s="19"/>
      <c r="N2573" s="19" t="s">
        <v>40</v>
      </c>
      <c r="O2573" s="19" t="s">
        <v>168</v>
      </c>
      <c r="P2573" s="256">
        <f>367+368</f>
        <v>735</v>
      </c>
      <c r="Q2573" s="19">
        <v>735</v>
      </c>
      <c r="R2573" s="19">
        <f t="shared" si="134"/>
        <v>0</v>
      </c>
      <c r="S2573" s="19">
        <v>2300</v>
      </c>
      <c r="T2573" s="19" t="s">
        <v>42</v>
      </c>
      <c r="U2573" s="102" t="s">
        <v>1014</v>
      </c>
      <c r="V2573" s="212" t="s">
        <v>1003</v>
      </c>
      <c r="W2573" s="17" t="s">
        <v>69</v>
      </c>
      <c r="Y2573" s="68">
        <v>44980</v>
      </c>
      <c r="Z2573" s="17" t="s">
        <v>191</v>
      </c>
      <c r="AA2573" s="17" t="s">
        <v>46</v>
      </c>
      <c r="AB2573" s="17" t="s">
        <v>1015</v>
      </c>
      <c r="AC2573" s="102" t="s">
        <v>1016</v>
      </c>
      <c r="AD2573" s="65">
        <v>1386</v>
      </c>
      <c r="AE2573" s="17" t="s">
        <v>48</v>
      </c>
      <c r="AF2573" s="17" t="s">
        <v>560</v>
      </c>
    </row>
    <row r="2574" s="17" customFormat="1" ht="15.6" hidden="1" spans="1:35">
      <c r="A2574" s="17" t="s">
        <v>34</v>
      </c>
      <c r="B2574" s="19">
        <v>878</v>
      </c>
      <c r="C2574" s="239" t="s">
        <v>1001</v>
      </c>
      <c r="D2574" s="17" t="s">
        <v>52</v>
      </c>
      <c r="E2574" s="17" t="s">
        <v>220</v>
      </c>
      <c r="F2574" s="17" t="s">
        <v>54</v>
      </c>
      <c r="H2574" s="19">
        <v>1.2379</v>
      </c>
      <c r="I2574" s="19"/>
      <c r="J2574" s="17" t="s">
        <v>82</v>
      </c>
      <c r="K2574" s="184">
        <v>305</v>
      </c>
      <c r="L2574" s="91">
        <v>50</v>
      </c>
      <c r="M2574" s="19"/>
      <c r="N2574" s="19" t="s">
        <v>40</v>
      </c>
      <c r="O2574" s="19" t="s">
        <v>168</v>
      </c>
      <c r="P2574" s="256">
        <f>366+261+347+302+366+391</f>
        <v>2033</v>
      </c>
      <c r="Q2574" s="19">
        <v>2008</v>
      </c>
      <c r="R2574" s="19">
        <f t="shared" si="134"/>
        <v>25</v>
      </c>
      <c r="S2574" s="19">
        <v>2300</v>
      </c>
      <c r="T2574" s="19" t="s">
        <v>42</v>
      </c>
      <c r="U2574" s="102" t="s">
        <v>1014</v>
      </c>
      <c r="V2574" s="212" t="s">
        <v>1003</v>
      </c>
      <c r="W2574" s="17" t="s">
        <v>69</v>
      </c>
      <c r="Y2574" s="68">
        <v>44980</v>
      </c>
      <c r="Z2574" s="17" t="s">
        <v>191</v>
      </c>
      <c r="AA2574" s="17" t="s">
        <v>46</v>
      </c>
      <c r="AB2574" s="17" t="s">
        <v>1015</v>
      </c>
      <c r="AC2574" s="102" t="s">
        <v>1016</v>
      </c>
      <c r="AD2574" s="65">
        <v>1386</v>
      </c>
      <c r="AE2574" s="17" t="s">
        <v>48</v>
      </c>
      <c r="AF2574" s="17" t="s">
        <v>560</v>
      </c>
    </row>
    <row r="2575" s="17" customFormat="1" ht="15.6" hidden="1" spans="1:35">
      <c r="A2575" s="17" t="s">
        <v>34</v>
      </c>
      <c r="B2575" s="19">
        <v>878</v>
      </c>
      <c r="C2575" s="239" t="s">
        <v>1001</v>
      </c>
      <c r="D2575" s="17" t="s">
        <v>52</v>
      </c>
      <c r="E2575" s="17" t="s">
        <v>220</v>
      </c>
      <c r="F2575" s="17" t="s">
        <v>54</v>
      </c>
      <c r="H2575" s="19">
        <v>1.2379</v>
      </c>
      <c r="I2575" s="19"/>
      <c r="J2575" s="17" t="s">
        <v>82</v>
      </c>
      <c r="K2575" s="260">
        <v>405</v>
      </c>
      <c r="L2575" s="261">
        <v>50</v>
      </c>
      <c r="M2575" s="19"/>
      <c r="N2575" s="19" t="s">
        <v>40</v>
      </c>
      <c r="O2575" s="19" t="s">
        <v>168</v>
      </c>
      <c r="P2575" s="256"/>
      <c r="Q2575" s="242">
        <v>1038</v>
      </c>
      <c r="R2575" s="19"/>
      <c r="S2575" s="19">
        <v>2300</v>
      </c>
      <c r="T2575" s="19" t="s">
        <v>42</v>
      </c>
      <c r="U2575" s="102" t="s">
        <v>1014</v>
      </c>
      <c r="V2575" s="212" t="s">
        <v>1003</v>
      </c>
      <c r="W2575" s="17" t="s">
        <v>69</v>
      </c>
      <c r="Y2575" s="68">
        <v>44980</v>
      </c>
      <c r="Z2575" s="17" t="s">
        <v>191</v>
      </c>
      <c r="AA2575" s="17" t="s">
        <v>46</v>
      </c>
      <c r="AB2575" s="17" t="s">
        <v>1015</v>
      </c>
      <c r="AC2575" s="102" t="s">
        <v>1016</v>
      </c>
      <c r="AD2575" s="65">
        <v>1386</v>
      </c>
      <c r="AE2575" s="17" t="s">
        <v>48</v>
      </c>
      <c r="AF2575" s="17" t="s">
        <v>560</v>
      </c>
    </row>
    <row r="2576" s="17" customFormat="1" ht="15.6" hidden="1" spans="1:35">
      <c r="A2576" s="17" t="s">
        <v>34</v>
      </c>
      <c r="B2576" s="19">
        <v>878</v>
      </c>
      <c r="C2576" s="239" t="s">
        <v>1001</v>
      </c>
      <c r="D2576" s="17" t="s">
        <v>52</v>
      </c>
      <c r="E2576" s="17" t="s">
        <v>220</v>
      </c>
      <c r="F2576" s="17" t="s">
        <v>54</v>
      </c>
      <c r="H2576" s="19">
        <v>1.2379</v>
      </c>
      <c r="I2576" s="19"/>
      <c r="J2576" s="17" t="s">
        <v>82</v>
      </c>
      <c r="K2576" s="184">
        <v>505</v>
      </c>
      <c r="L2576" s="91">
        <v>50</v>
      </c>
      <c r="M2576" s="19"/>
      <c r="N2576" s="19" t="s">
        <v>40</v>
      </c>
      <c r="O2576" s="19" t="s">
        <v>168</v>
      </c>
      <c r="P2576" s="256">
        <v>492</v>
      </c>
      <c r="Q2576" s="19">
        <v>492</v>
      </c>
      <c r="R2576" s="19">
        <f t="shared" ref="R2576:R2605" si="135">+P2576-Q2576</f>
        <v>0</v>
      </c>
      <c r="S2576" s="19">
        <v>2300</v>
      </c>
      <c r="T2576" s="19" t="s">
        <v>42</v>
      </c>
      <c r="U2576" s="102" t="s">
        <v>1014</v>
      </c>
      <c r="V2576" s="212" t="s">
        <v>1003</v>
      </c>
      <c r="W2576" s="17" t="s">
        <v>69</v>
      </c>
      <c r="Y2576" s="68">
        <v>44980</v>
      </c>
      <c r="Z2576" s="17" t="s">
        <v>191</v>
      </c>
      <c r="AA2576" s="17" t="s">
        <v>46</v>
      </c>
      <c r="AB2576" s="17" t="s">
        <v>1015</v>
      </c>
      <c r="AC2576" s="102" t="s">
        <v>1016</v>
      </c>
      <c r="AD2576" s="65">
        <v>1386</v>
      </c>
      <c r="AE2576" s="17" t="s">
        <v>48</v>
      </c>
      <c r="AF2576" s="17" t="s">
        <v>560</v>
      </c>
    </row>
    <row r="2577" s="17" customFormat="1" ht="15.6" hidden="1" spans="1:32">
      <c r="A2577" s="17" t="s">
        <v>34</v>
      </c>
      <c r="B2577" s="19">
        <v>878</v>
      </c>
      <c r="C2577" s="239" t="s">
        <v>1001</v>
      </c>
      <c r="D2577" s="17" t="s">
        <v>52</v>
      </c>
      <c r="E2577" s="17" t="s">
        <v>220</v>
      </c>
      <c r="F2577" s="17" t="s">
        <v>54</v>
      </c>
      <c r="H2577" s="19">
        <v>1.2379</v>
      </c>
      <c r="I2577" s="19"/>
      <c r="J2577" s="17" t="s">
        <v>82</v>
      </c>
      <c r="K2577" s="184">
        <v>80</v>
      </c>
      <c r="L2577" s="91">
        <v>65</v>
      </c>
      <c r="M2577" s="19"/>
      <c r="N2577" s="19" t="s">
        <v>40</v>
      </c>
      <c r="O2577" s="19" t="s">
        <v>168</v>
      </c>
      <c r="P2577" s="256">
        <f>117+125+121</f>
        <v>363</v>
      </c>
      <c r="Q2577" s="19">
        <v>363</v>
      </c>
      <c r="R2577" s="19">
        <f t="shared" si="135"/>
        <v>0</v>
      </c>
      <c r="S2577" s="19">
        <v>2300</v>
      </c>
      <c r="T2577" s="19" t="s">
        <v>42</v>
      </c>
      <c r="U2577" s="102" t="s">
        <v>1014</v>
      </c>
      <c r="V2577" s="212" t="s">
        <v>1003</v>
      </c>
      <c r="W2577" s="17" t="s">
        <v>69</v>
      </c>
      <c r="Y2577" s="68">
        <v>44980</v>
      </c>
      <c r="Z2577" s="17" t="s">
        <v>191</v>
      </c>
      <c r="AA2577" s="17" t="s">
        <v>46</v>
      </c>
      <c r="AB2577" s="17" t="s">
        <v>1015</v>
      </c>
      <c r="AC2577" s="102" t="s">
        <v>1016</v>
      </c>
      <c r="AD2577" s="65">
        <v>1386</v>
      </c>
      <c r="AE2577" s="17" t="s">
        <v>48</v>
      </c>
      <c r="AF2577" s="17" t="s">
        <v>560</v>
      </c>
    </row>
    <row r="2578" s="17" customFormat="1" ht="15.6" hidden="1" spans="1:32">
      <c r="A2578" s="17" t="s">
        <v>34</v>
      </c>
      <c r="B2578" s="19">
        <v>878</v>
      </c>
      <c r="C2578" s="239" t="s">
        <v>1001</v>
      </c>
      <c r="D2578" s="17" t="s">
        <v>52</v>
      </c>
      <c r="E2578" s="17" t="s">
        <v>220</v>
      </c>
      <c r="F2578" s="17" t="s">
        <v>54</v>
      </c>
      <c r="H2578" s="19">
        <v>1.2379</v>
      </c>
      <c r="I2578" s="19"/>
      <c r="J2578" s="17" t="s">
        <v>82</v>
      </c>
      <c r="K2578" s="184">
        <v>155</v>
      </c>
      <c r="L2578" s="91">
        <v>65</v>
      </c>
      <c r="M2578" s="19"/>
      <c r="N2578" s="19" t="s">
        <v>40</v>
      </c>
      <c r="O2578" s="19" t="s">
        <v>168</v>
      </c>
      <c r="P2578" s="256">
        <f>263+262+253+171</f>
        <v>949</v>
      </c>
      <c r="Q2578" s="19">
        <v>949</v>
      </c>
      <c r="R2578" s="19">
        <f t="shared" si="135"/>
        <v>0</v>
      </c>
      <c r="S2578" s="19">
        <v>2300</v>
      </c>
      <c r="T2578" s="19" t="s">
        <v>42</v>
      </c>
      <c r="U2578" s="102" t="s">
        <v>1014</v>
      </c>
      <c r="V2578" s="212" t="s">
        <v>1003</v>
      </c>
      <c r="W2578" s="17" t="s">
        <v>69</v>
      </c>
      <c r="Y2578" s="68">
        <v>44980</v>
      </c>
      <c r="Z2578" s="17" t="s">
        <v>191</v>
      </c>
      <c r="AA2578" s="17" t="s">
        <v>46</v>
      </c>
      <c r="AB2578" s="17" t="s">
        <v>1015</v>
      </c>
      <c r="AC2578" s="102" t="s">
        <v>1016</v>
      </c>
      <c r="AD2578" s="65">
        <v>1386</v>
      </c>
      <c r="AE2578" s="17" t="s">
        <v>48</v>
      </c>
      <c r="AF2578" s="17" t="s">
        <v>560</v>
      </c>
    </row>
    <row r="2579" s="17" customFormat="1" ht="15.6" hidden="1" spans="1:32">
      <c r="A2579" s="17" t="s">
        <v>34</v>
      </c>
      <c r="B2579" s="19">
        <v>878</v>
      </c>
      <c r="C2579" s="239" t="s">
        <v>1001</v>
      </c>
      <c r="D2579" s="17" t="s">
        <v>52</v>
      </c>
      <c r="E2579" s="17" t="s">
        <v>220</v>
      </c>
      <c r="F2579" s="17" t="s">
        <v>54</v>
      </c>
      <c r="H2579" s="19">
        <v>1.2379</v>
      </c>
      <c r="I2579" s="19"/>
      <c r="J2579" s="17" t="s">
        <v>82</v>
      </c>
      <c r="K2579" s="184">
        <v>205</v>
      </c>
      <c r="L2579" s="91">
        <v>65</v>
      </c>
      <c r="M2579" s="19"/>
      <c r="N2579" s="19" t="s">
        <v>40</v>
      </c>
      <c r="O2579" s="19" t="s">
        <v>168</v>
      </c>
      <c r="P2579" s="256">
        <v>345</v>
      </c>
      <c r="Q2579" s="19">
        <v>340</v>
      </c>
      <c r="R2579" s="19">
        <f t="shared" si="135"/>
        <v>5</v>
      </c>
      <c r="S2579" s="19">
        <v>2300</v>
      </c>
      <c r="T2579" s="19" t="s">
        <v>42</v>
      </c>
      <c r="U2579" s="102" t="s">
        <v>1014</v>
      </c>
      <c r="V2579" s="212" t="s">
        <v>1003</v>
      </c>
      <c r="W2579" s="17" t="s">
        <v>69</v>
      </c>
      <c r="Y2579" s="68">
        <v>44980</v>
      </c>
      <c r="Z2579" s="17" t="s">
        <v>191</v>
      </c>
      <c r="AA2579" s="17" t="s">
        <v>46</v>
      </c>
      <c r="AB2579" s="17" t="s">
        <v>1015</v>
      </c>
      <c r="AC2579" s="102" t="s">
        <v>1016</v>
      </c>
      <c r="AD2579" s="65">
        <v>1386</v>
      </c>
      <c r="AE2579" s="17" t="s">
        <v>48</v>
      </c>
      <c r="AF2579" s="17" t="s">
        <v>560</v>
      </c>
    </row>
    <row r="2580" s="17" customFormat="1" ht="15.6" hidden="1" spans="1:32">
      <c r="A2580" s="17" t="s">
        <v>34</v>
      </c>
      <c r="B2580" s="19">
        <v>878</v>
      </c>
      <c r="C2580" s="239" t="s">
        <v>1001</v>
      </c>
      <c r="D2580" s="17" t="s">
        <v>52</v>
      </c>
      <c r="E2580" s="17" t="s">
        <v>220</v>
      </c>
      <c r="F2580" s="17" t="s">
        <v>54</v>
      </c>
      <c r="H2580" s="19">
        <v>1.2379</v>
      </c>
      <c r="I2580" s="19"/>
      <c r="J2580" s="17" t="s">
        <v>82</v>
      </c>
      <c r="K2580" s="184">
        <v>255</v>
      </c>
      <c r="L2580" s="91">
        <v>65</v>
      </c>
      <c r="M2580" s="19"/>
      <c r="N2580" s="19" t="s">
        <v>40</v>
      </c>
      <c r="O2580" s="19" t="s">
        <v>168</v>
      </c>
      <c r="P2580" s="256">
        <f>353+368+368+372+373+369+362+370</f>
        <v>2935</v>
      </c>
      <c r="Q2580" s="19">
        <v>2935</v>
      </c>
      <c r="R2580" s="19">
        <f t="shared" si="135"/>
        <v>0</v>
      </c>
      <c r="S2580" s="19">
        <v>2300</v>
      </c>
      <c r="T2580" s="19" t="s">
        <v>42</v>
      </c>
      <c r="U2580" s="102" t="s">
        <v>1014</v>
      </c>
      <c r="V2580" s="212" t="s">
        <v>1003</v>
      </c>
      <c r="W2580" s="17" t="s">
        <v>69</v>
      </c>
      <c r="Y2580" s="68">
        <v>44980</v>
      </c>
      <c r="Z2580" s="17" t="s">
        <v>191</v>
      </c>
      <c r="AA2580" s="17" t="s">
        <v>46</v>
      </c>
      <c r="AB2580" s="17" t="s">
        <v>1015</v>
      </c>
      <c r="AC2580" s="102" t="s">
        <v>1016</v>
      </c>
      <c r="AD2580" s="65">
        <v>1386</v>
      </c>
      <c r="AE2580" s="17" t="s">
        <v>48</v>
      </c>
      <c r="AF2580" s="17" t="s">
        <v>560</v>
      </c>
    </row>
    <row r="2581" s="17" customFormat="1" ht="15.6" hidden="1" spans="1:32">
      <c r="A2581" s="17" t="s">
        <v>34</v>
      </c>
      <c r="B2581" s="19">
        <v>878</v>
      </c>
      <c r="C2581" s="239" t="s">
        <v>1001</v>
      </c>
      <c r="D2581" s="17" t="s">
        <v>52</v>
      </c>
      <c r="E2581" s="17" t="s">
        <v>220</v>
      </c>
      <c r="F2581" s="17" t="s">
        <v>54</v>
      </c>
      <c r="H2581" s="19">
        <v>1.2379</v>
      </c>
      <c r="I2581" s="19"/>
      <c r="J2581" s="17" t="s">
        <v>82</v>
      </c>
      <c r="K2581" s="184">
        <v>130</v>
      </c>
      <c r="L2581" s="91">
        <v>80</v>
      </c>
      <c r="M2581" s="19"/>
      <c r="N2581" s="19" t="s">
        <v>40</v>
      </c>
      <c r="O2581" s="19" t="s">
        <v>168</v>
      </c>
      <c r="P2581" s="256">
        <f>264+258+265</f>
        <v>787</v>
      </c>
      <c r="Q2581" s="19">
        <v>529</v>
      </c>
      <c r="R2581" s="19">
        <f t="shared" si="135"/>
        <v>258</v>
      </c>
      <c r="S2581" s="19">
        <v>2300</v>
      </c>
      <c r="T2581" s="19" t="s">
        <v>42</v>
      </c>
      <c r="U2581" s="102" t="s">
        <v>1014</v>
      </c>
      <c r="V2581" s="212" t="s">
        <v>1003</v>
      </c>
      <c r="W2581" s="17" t="s">
        <v>69</v>
      </c>
      <c r="Y2581" s="68">
        <v>44980</v>
      </c>
      <c r="Z2581" s="17" t="s">
        <v>191</v>
      </c>
      <c r="AA2581" s="17" t="s">
        <v>46</v>
      </c>
      <c r="AB2581" s="17" t="s">
        <v>1015</v>
      </c>
      <c r="AC2581" s="102" t="s">
        <v>1016</v>
      </c>
      <c r="AD2581" s="65">
        <v>1386</v>
      </c>
      <c r="AE2581" s="17" t="s">
        <v>48</v>
      </c>
      <c r="AF2581" s="17" t="s">
        <v>560</v>
      </c>
    </row>
    <row r="2582" s="17" customFormat="1" ht="15.6" hidden="1" spans="1:32">
      <c r="A2582" s="17" t="s">
        <v>34</v>
      </c>
      <c r="B2582" s="19">
        <v>878</v>
      </c>
      <c r="C2582" s="239" t="s">
        <v>1001</v>
      </c>
      <c r="D2582" s="17" t="s">
        <v>52</v>
      </c>
      <c r="E2582" s="17" t="s">
        <v>220</v>
      </c>
      <c r="F2582" s="17" t="s">
        <v>54</v>
      </c>
      <c r="H2582" s="19">
        <v>1.2379</v>
      </c>
      <c r="I2582" s="19"/>
      <c r="J2582" s="17" t="s">
        <v>82</v>
      </c>
      <c r="K2582" s="184">
        <v>205</v>
      </c>
      <c r="L2582" s="91">
        <v>80</v>
      </c>
      <c r="M2582" s="19"/>
      <c r="N2582" s="19" t="s">
        <v>40</v>
      </c>
      <c r="O2582" s="19" t="s">
        <v>168</v>
      </c>
      <c r="P2582" s="256">
        <f>395+356</f>
        <v>751</v>
      </c>
      <c r="Q2582" s="19">
        <v>668</v>
      </c>
      <c r="R2582" s="19">
        <f t="shared" si="135"/>
        <v>83</v>
      </c>
      <c r="S2582" s="19">
        <v>2300</v>
      </c>
      <c r="T2582" s="19" t="s">
        <v>42</v>
      </c>
      <c r="U2582" s="102" t="s">
        <v>1014</v>
      </c>
      <c r="V2582" s="212" t="s">
        <v>1003</v>
      </c>
      <c r="W2582" s="17" t="s">
        <v>69</v>
      </c>
      <c r="Y2582" s="68">
        <v>44980</v>
      </c>
      <c r="Z2582" s="17" t="s">
        <v>191</v>
      </c>
      <c r="AA2582" s="17" t="s">
        <v>46</v>
      </c>
      <c r="AB2582" s="17" t="s">
        <v>1015</v>
      </c>
      <c r="AC2582" s="102" t="s">
        <v>1016</v>
      </c>
      <c r="AD2582" s="65">
        <v>1386</v>
      </c>
      <c r="AE2582" s="17" t="s">
        <v>48</v>
      </c>
      <c r="AF2582" s="17" t="s">
        <v>560</v>
      </c>
    </row>
    <row r="2583" s="17" customFormat="1" ht="15.6" hidden="1" spans="1:32">
      <c r="A2583" s="17" t="s">
        <v>34</v>
      </c>
      <c r="B2583" s="19">
        <v>878</v>
      </c>
      <c r="C2583" s="239" t="s">
        <v>1001</v>
      </c>
      <c r="D2583" s="17" t="s">
        <v>52</v>
      </c>
      <c r="E2583" s="17" t="s">
        <v>220</v>
      </c>
      <c r="F2583" s="17" t="s">
        <v>54</v>
      </c>
      <c r="H2583" s="19">
        <v>1.2379</v>
      </c>
      <c r="I2583" s="19"/>
      <c r="J2583" s="17" t="s">
        <v>82</v>
      </c>
      <c r="K2583" s="184">
        <v>255</v>
      </c>
      <c r="L2583" s="91">
        <v>80</v>
      </c>
      <c r="M2583" s="19"/>
      <c r="N2583" s="19" t="s">
        <v>40</v>
      </c>
      <c r="O2583" s="19" t="s">
        <v>168</v>
      </c>
      <c r="P2583" s="256">
        <f>395+381</f>
        <v>776</v>
      </c>
      <c r="Q2583" s="19">
        <v>776</v>
      </c>
      <c r="R2583" s="19">
        <f t="shared" si="135"/>
        <v>0</v>
      </c>
      <c r="S2583" s="19">
        <v>2300</v>
      </c>
      <c r="T2583" s="19" t="s">
        <v>42</v>
      </c>
      <c r="U2583" s="102" t="s">
        <v>1014</v>
      </c>
      <c r="V2583" s="212" t="s">
        <v>1003</v>
      </c>
      <c r="W2583" s="17" t="s">
        <v>69</v>
      </c>
      <c r="Y2583" s="68">
        <v>44980</v>
      </c>
      <c r="Z2583" s="17" t="s">
        <v>191</v>
      </c>
      <c r="AA2583" s="17" t="s">
        <v>46</v>
      </c>
      <c r="AB2583" s="17" t="s">
        <v>1015</v>
      </c>
      <c r="AC2583" s="102" t="s">
        <v>1016</v>
      </c>
      <c r="AD2583" s="65">
        <v>1386</v>
      </c>
      <c r="AE2583" s="17" t="s">
        <v>48</v>
      </c>
      <c r="AF2583" s="17" t="s">
        <v>560</v>
      </c>
    </row>
    <row r="2584" s="17" customFormat="1" ht="15.6" hidden="1" spans="1:32">
      <c r="A2584" s="17" t="s">
        <v>34</v>
      </c>
      <c r="B2584" s="19">
        <v>878</v>
      </c>
      <c r="C2584" s="239" t="s">
        <v>1001</v>
      </c>
      <c r="D2584" s="17" t="s">
        <v>52</v>
      </c>
      <c r="E2584" s="17" t="s">
        <v>220</v>
      </c>
      <c r="F2584" s="17" t="s">
        <v>54</v>
      </c>
      <c r="H2584" s="19">
        <v>1.2379</v>
      </c>
      <c r="I2584" s="19"/>
      <c r="J2584" s="17" t="s">
        <v>82</v>
      </c>
      <c r="K2584" s="184">
        <v>105</v>
      </c>
      <c r="L2584" s="91">
        <v>105</v>
      </c>
      <c r="M2584" s="19"/>
      <c r="N2584" s="19" t="s">
        <v>40</v>
      </c>
      <c r="O2584" s="19" t="s">
        <v>168</v>
      </c>
      <c r="P2584" s="256">
        <f>262+247+264+259+267+254+241+250</f>
        <v>2044</v>
      </c>
      <c r="Q2584" s="19">
        <v>2040</v>
      </c>
      <c r="R2584" s="19">
        <f t="shared" si="135"/>
        <v>4</v>
      </c>
      <c r="S2584" s="19">
        <v>2300</v>
      </c>
      <c r="T2584" s="19" t="s">
        <v>42</v>
      </c>
      <c r="U2584" s="102" t="s">
        <v>1014</v>
      </c>
      <c r="V2584" s="212" t="s">
        <v>1003</v>
      </c>
      <c r="W2584" s="17" t="s">
        <v>69</v>
      </c>
      <c r="Y2584" s="68">
        <v>44980</v>
      </c>
      <c r="Z2584" s="17" t="s">
        <v>191</v>
      </c>
      <c r="AA2584" s="17" t="s">
        <v>46</v>
      </c>
      <c r="AB2584" s="17" t="s">
        <v>1015</v>
      </c>
      <c r="AC2584" s="102" t="s">
        <v>1016</v>
      </c>
      <c r="AD2584" s="65">
        <v>1386</v>
      </c>
      <c r="AE2584" s="17" t="s">
        <v>48</v>
      </c>
      <c r="AF2584" s="17" t="s">
        <v>560</v>
      </c>
    </row>
    <row r="2585" s="17" customFormat="1" ht="15.6" hidden="1" spans="1:32">
      <c r="A2585" s="17" t="s">
        <v>34</v>
      </c>
      <c r="B2585" s="19">
        <v>878</v>
      </c>
      <c r="C2585" s="239" t="s">
        <v>1001</v>
      </c>
      <c r="D2585" s="17" t="s">
        <v>52</v>
      </c>
      <c r="E2585" s="17" t="s">
        <v>220</v>
      </c>
      <c r="F2585" s="17" t="s">
        <v>54</v>
      </c>
      <c r="H2585" s="19">
        <v>1.2379</v>
      </c>
      <c r="I2585" s="19"/>
      <c r="J2585" s="17" t="s">
        <v>82</v>
      </c>
      <c r="K2585" s="184">
        <v>130</v>
      </c>
      <c r="L2585" s="91">
        <v>105</v>
      </c>
      <c r="M2585" s="19"/>
      <c r="N2585" s="19" t="s">
        <v>40</v>
      </c>
      <c r="O2585" s="19" t="s">
        <v>168</v>
      </c>
      <c r="P2585" s="256">
        <f>354+266+245+260+263</f>
        <v>1388</v>
      </c>
      <c r="Q2585" s="19">
        <v>1124</v>
      </c>
      <c r="R2585" s="19">
        <f t="shared" si="135"/>
        <v>264</v>
      </c>
      <c r="S2585" s="19">
        <v>2300</v>
      </c>
      <c r="T2585" s="19" t="s">
        <v>42</v>
      </c>
      <c r="U2585" s="102" t="s">
        <v>1014</v>
      </c>
      <c r="V2585" s="212" t="s">
        <v>1003</v>
      </c>
      <c r="W2585" s="17" t="s">
        <v>69</v>
      </c>
      <c r="Y2585" s="68">
        <v>44980</v>
      </c>
      <c r="Z2585" s="17" t="s">
        <v>191</v>
      </c>
      <c r="AA2585" s="17" t="s">
        <v>46</v>
      </c>
      <c r="AB2585" s="17" t="s">
        <v>1015</v>
      </c>
      <c r="AC2585" s="102" t="s">
        <v>1016</v>
      </c>
      <c r="AD2585" s="65">
        <v>1386</v>
      </c>
      <c r="AE2585" s="17" t="s">
        <v>48</v>
      </c>
      <c r="AF2585" s="17" t="s">
        <v>560</v>
      </c>
    </row>
    <row r="2586" s="17" customFormat="1" ht="15.6" hidden="1" spans="1:32">
      <c r="A2586" s="17" t="s">
        <v>34</v>
      </c>
      <c r="B2586" s="19">
        <v>878</v>
      </c>
      <c r="C2586" s="239" t="s">
        <v>1001</v>
      </c>
      <c r="D2586" s="17" t="s">
        <v>52</v>
      </c>
      <c r="E2586" s="17" t="s">
        <v>220</v>
      </c>
      <c r="F2586" s="17" t="s">
        <v>54</v>
      </c>
      <c r="H2586" s="19">
        <v>1.2379</v>
      </c>
      <c r="I2586" s="19"/>
      <c r="J2586" s="17" t="s">
        <v>82</v>
      </c>
      <c r="K2586" s="184">
        <v>155</v>
      </c>
      <c r="L2586" s="91">
        <v>105</v>
      </c>
      <c r="M2586" s="19"/>
      <c r="N2586" s="19" t="s">
        <v>40</v>
      </c>
      <c r="O2586" s="19" t="s">
        <v>168</v>
      </c>
      <c r="P2586" s="256">
        <f>337+350</f>
        <v>687</v>
      </c>
      <c r="Q2586" s="19">
        <v>687</v>
      </c>
      <c r="R2586" s="19">
        <f t="shared" si="135"/>
        <v>0</v>
      </c>
      <c r="S2586" s="19">
        <v>2300</v>
      </c>
      <c r="T2586" s="19" t="s">
        <v>42</v>
      </c>
      <c r="U2586" s="102" t="s">
        <v>1014</v>
      </c>
      <c r="V2586" s="212" t="s">
        <v>1003</v>
      </c>
      <c r="W2586" s="17" t="s">
        <v>69</v>
      </c>
      <c r="Y2586" s="68">
        <v>44980</v>
      </c>
      <c r="Z2586" s="17" t="s">
        <v>191</v>
      </c>
      <c r="AA2586" s="17" t="s">
        <v>46</v>
      </c>
      <c r="AB2586" s="17" t="s">
        <v>1015</v>
      </c>
      <c r="AC2586" s="102" t="s">
        <v>1016</v>
      </c>
      <c r="AD2586" s="65">
        <v>1386</v>
      </c>
      <c r="AE2586" s="17" t="s">
        <v>48</v>
      </c>
      <c r="AF2586" s="17" t="s">
        <v>560</v>
      </c>
    </row>
    <row r="2587" s="17" customFormat="1" ht="15.6" hidden="1" spans="1:32">
      <c r="A2587" s="17" t="s">
        <v>34</v>
      </c>
      <c r="B2587" s="19">
        <v>878</v>
      </c>
      <c r="C2587" s="239" t="s">
        <v>1001</v>
      </c>
      <c r="D2587" s="17" t="s">
        <v>52</v>
      </c>
      <c r="E2587" s="17" t="s">
        <v>220</v>
      </c>
      <c r="F2587" s="17" t="s">
        <v>54</v>
      </c>
      <c r="H2587" s="19">
        <v>1.2379</v>
      </c>
      <c r="I2587" s="19"/>
      <c r="J2587" s="17" t="s">
        <v>82</v>
      </c>
      <c r="K2587" s="184">
        <v>205</v>
      </c>
      <c r="L2587" s="91">
        <v>105</v>
      </c>
      <c r="M2587" s="19"/>
      <c r="N2587" s="19" t="s">
        <v>40</v>
      </c>
      <c r="O2587" s="19" t="s">
        <v>168</v>
      </c>
      <c r="P2587" s="256">
        <f>342+525+369</f>
        <v>1236</v>
      </c>
      <c r="Q2587" s="19">
        <v>1236</v>
      </c>
      <c r="R2587" s="19">
        <f t="shared" si="135"/>
        <v>0</v>
      </c>
      <c r="S2587" s="19">
        <v>2300</v>
      </c>
      <c r="T2587" s="19" t="s">
        <v>42</v>
      </c>
      <c r="U2587" s="102" t="s">
        <v>1014</v>
      </c>
      <c r="V2587" s="212" t="s">
        <v>1003</v>
      </c>
      <c r="W2587" s="17" t="s">
        <v>69</v>
      </c>
      <c r="Y2587" s="68">
        <v>44980</v>
      </c>
      <c r="Z2587" s="17" t="s">
        <v>191</v>
      </c>
      <c r="AA2587" s="17" t="s">
        <v>46</v>
      </c>
      <c r="AB2587" s="17" t="s">
        <v>1015</v>
      </c>
      <c r="AC2587" s="102" t="s">
        <v>1016</v>
      </c>
      <c r="AD2587" s="65">
        <v>1386</v>
      </c>
      <c r="AE2587" s="17" t="s">
        <v>48</v>
      </c>
      <c r="AF2587" s="17" t="s">
        <v>560</v>
      </c>
    </row>
    <row r="2588" s="17" customFormat="1" ht="15.6" hidden="1" spans="1:32">
      <c r="A2588" s="17" t="s">
        <v>34</v>
      </c>
      <c r="B2588" s="19">
        <v>878</v>
      </c>
      <c r="C2588" s="239" t="s">
        <v>1001</v>
      </c>
      <c r="D2588" s="17" t="s">
        <v>52</v>
      </c>
      <c r="E2588" s="17" t="s">
        <v>220</v>
      </c>
      <c r="F2588" s="17" t="s">
        <v>54</v>
      </c>
      <c r="H2588" s="19">
        <v>1.2379</v>
      </c>
      <c r="I2588" s="19"/>
      <c r="J2588" s="17" t="s">
        <v>82</v>
      </c>
      <c r="K2588" s="184">
        <v>255</v>
      </c>
      <c r="L2588" s="91">
        <v>105</v>
      </c>
      <c r="M2588" s="19"/>
      <c r="N2588" s="19" t="s">
        <v>40</v>
      </c>
      <c r="O2588" s="19" t="s">
        <v>168</v>
      </c>
      <c r="P2588" s="256">
        <f>626+709</f>
        <v>1335</v>
      </c>
      <c r="Q2588" s="19">
        <v>1335</v>
      </c>
      <c r="R2588" s="19">
        <f t="shared" si="135"/>
        <v>0</v>
      </c>
      <c r="S2588" s="19">
        <v>2300</v>
      </c>
      <c r="T2588" s="19" t="s">
        <v>42</v>
      </c>
      <c r="U2588" s="102" t="s">
        <v>1014</v>
      </c>
      <c r="V2588" s="212" t="s">
        <v>1003</v>
      </c>
      <c r="W2588" s="17" t="s">
        <v>69</v>
      </c>
      <c r="Y2588" s="68">
        <v>44980</v>
      </c>
      <c r="Z2588" s="17" t="s">
        <v>191</v>
      </c>
      <c r="AA2588" s="17" t="s">
        <v>46</v>
      </c>
      <c r="AB2588" s="17" t="s">
        <v>1015</v>
      </c>
      <c r="AC2588" s="102" t="s">
        <v>1016</v>
      </c>
      <c r="AD2588" s="65">
        <v>1386</v>
      </c>
      <c r="AE2588" s="17" t="s">
        <v>48</v>
      </c>
      <c r="AF2588" s="17" t="s">
        <v>560</v>
      </c>
    </row>
    <row r="2589" s="17" customFormat="1" ht="15.6" hidden="1" spans="1:32">
      <c r="A2589" s="17" t="s">
        <v>34</v>
      </c>
      <c r="B2589" s="19">
        <v>878</v>
      </c>
      <c r="C2589" s="239" t="s">
        <v>1001</v>
      </c>
      <c r="D2589" s="17" t="s">
        <v>52</v>
      </c>
      <c r="E2589" s="17" t="s">
        <v>220</v>
      </c>
      <c r="F2589" s="17" t="s">
        <v>54</v>
      </c>
      <c r="H2589" s="19">
        <v>1.2379</v>
      </c>
      <c r="I2589" s="19"/>
      <c r="J2589" s="17" t="s">
        <v>82</v>
      </c>
      <c r="K2589" s="184">
        <v>305</v>
      </c>
      <c r="L2589" s="91">
        <v>205</v>
      </c>
      <c r="M2589" s="19"/>
      <c r="N2589" s="19" t="s">
        <v>40</v>
      </c>
      <c r="O2589" s="19" t="s">
        <v>168</v>
      </c>
      <c r="P2589" s="256">
        <v>1908</v>
      </c>
      <c r="Q2589" s="19">
        <v>2065</v>
      </c>
      <c r="R2589" s="19">
        <f t="shared" si="135"/>
        <v>-157</v>
      </c>
      <c r="S2589" s="19">
        <v>2300</v>
      </c>
      <c r="T2589" s="19" t="s">
        <v>42</v>
      </c>
      <c r="U2589" s="102" t="s">
        <v>1014</v>
      </c>
      <c r="V2589" s="212" t="s">
        <v>1003</v>
      </c>
      <c r="W2589" s="17" t="s">
        <v>69</v>
      </c>
      <c r="Y2589" s="68">
        <v>44980</v>
      </c>
      <c r="Z2589" s="17" t="s">
        <v>191</v>
      </c>
      <c r="AA2589" s="17" t="s">
        <v>46</v>
      </c>
      <c r="AB2589" s="17" t="s">
        <v>1015</v>
      </c>
      <c r="AC2589" s="102" t="s">
        <v>1016</v>
      </c>
      <c r="AD2589" s="65">
        <v>1386</v>
      </c>
      <c r="AE2589" s="17" t="s">
        <v>48</v>
      </c>
      <c r="AF2589" s="17" t="s">
        <v>560</v>
      </c>
    </row>
    <row r="2590" s="17" customFormat="1" hidden="1" spans="1:32">
      <c r="A2590" s="17" t="s">
        <v>34</v>
      </c>
      <c r="B2590" s="19">
        <v>878</v>
      </c>
      <c r="C2590" s="239" t="s">
        <v>1001</v>
      </c>
      <c r="D2590" s="17" t="s">
        <v>52</v>
      </c>
      <c r="E2590" s="17" t="s">
        <v>220</v>
      </c>
      <c r="F2590" s="17" t="s">
        <v>54</v>
      </c>
      <c r="H2590" s="19">
        <v>1.2379</v>
      </c>
      <c r="I2590" s="19"/>
      <c r="J2590" s="17" t="s">
        <v>39</v>
      </c>
      <c r="K2590" s="19">
        <v>65</v>
      </c>
      <c r="L2590" s="91"/>
      <c r="M2590" s="19"/>
      <c r="N2590" s="19" t="s">
        <v>40</v>
      </c>
      <c r="O2590" s="19" t="s">
        <v>1017</v>
      </c>
      <c r="P2590" s="19">
        <v>52</v>
      </c>
      <c r="Q2590" s="19">
        <v>95</v>
      </c>
      <c r="R2590" s="19">
        <f t="shared" si="135"/>
        <v>-43</v>
      </c>
      <c r="S2590" s="19">
        <v>2300</v>
      </c>
      <c r="T2590" s="19" t="s">
        <v>42</v>
      </c>
      <c r="U2590" s="102" t="s">
        <v>1014</v>
      </c>
      <c r="V2590" s="212" t="s">
        <v>1003</v>
      </c>
      <c r="W2590" s="17" t="s">
        <v>69</v>
      </c>
      <c r="Y2590" s="68">
        <v>44980</v>
      </c>
      <c r="Z2590" s="17" t="s">
        <v>191</v>
      </c>
      <c r="AA2590" s="17" t="s">
        <v>46</v>
      </c>
      <c r="AB2590" s="17" t="s">
        <v>1015</v>
      </c>
      <c r="AC2590" s="102" t="s">
        <v>1016</v>
      </c>
      <c r="AD2590" s="65">
        <v>1386</v>
      </c>
      <c r="AE2590" s="17" t="s">
        <v>48</v>
      </c>
      <c r="AF2590" s="17" t="s">
        <v>560</v>
      </c>
    </row>
    <row r="2591" s="17" customFormat="1" hidden="1" spans="1:32">
      <c r="A2591" s="17" t="s">
        <v>34</v>
      </c>
      <c r="B2591" s="19">
        <v>878</v>
      </c>
      <c r="C2591" s="239" t="s">
        <v>1001</v>
      </c>
      <c r="D2591" s="17" t="s">
        <v>52</v>
      </c>
      <c r="E2591" s="17" t="s">
        <v>220</v>
      </c>
      <c r="F2591" s="17" t="s">
        <v>54</v>
      </c>
      <c r="H2591" s="19">
        <v>1.2379</v>
      </c>
      <c r="I2591" s="19"/>
      <c r="J2591" s="17" t="s">
        <v>39</v>
      </c>
      <c r="K2591" s="19">
        <v>70</v>
      </c>
      <c r="L2591" s="91"/>
      <c r="M2591" s="19"/>
      <c r="N2591" s="19" t="s">
        <v>40</v>
      </c>
      <c r="O2591" s="19" t="s">
        <v>1017</v>
      </c>
      <c r="P2591" s="19">
        <v>122</v>
      </c>
      <c r="Q2591" s="19">
        <v>115</v>
      </c>
      <c r="R2591" s="19">
        <f t="shared" si="135"/>
        <v>7</v>
      </c>
      <c r="S2591" s="19">
        <v>2300</v>
      </c>
      <c r="T2591" s="19" t="s">
        <v>42</v>
      </c>
      <c r="U2591" s="102" t="s">
        <v>1014</v>
      </c>
      <c r="V2591" s="212" t="s">
        <v>1003</v>
      </c>
      <c r="W2591" s="17" t="s">
        <v>69</v>
      </c>
      <c r="Y2591" s="68">
        <v>44980</v>
      </c>
      <c r="Z2591" s="17" t="s">
        <v>191</v>
      </c>
      <c r="AA2591" s="17" t="s">
        <v>46</v>
      </c>
      <c r="AB2591" s="17" t="s">
        <v>1015</v>
      </c>
      <c r="AC2591" s="102" t="s">
        <v>1016</v>
      </c>
      <c r="AD2591" s="65">
        <v>1386</v>
      </c>
      <c r="AE2591" s="17" t="s">
        <v>48</v>
      </c>
      <c r="AF2591" s="17" t="s">
        <v>560</v>
      </c>
    </row>
    <row r="2592" s="17" customFormat="1" hidden="1" spans="1:32">
      <c r="A2592" s="17" t="s">
        <v>34</v>
      </c>
      <c r="B2592" s="19">
        <v>878</v>
      </c>
      <c r="C2592" s="239" t="s">
        <v>1001</v>
      </c>
      <c r="D2592" s="17" t="s">
        <v>52</v>
      </c>
      <c r="E2592" s="17" t="s">
        <v>220</v>
      </c>
      <c r="F2592" s="17" t="s">
        <v>54</v>
      </c>
      <c r="H2592" s="19">
        <v>1.2379</v>
      </c>
      <c r="I2592" s="19"/>
      <c r="J2592" s="17" t="s">
        <v>39</v>
      </c>
      <c r="K2592" s="19">
        <v>80</v>
      </c>
      <c r="L2592" s="91"/>
      <c r="M2592" s="19"/>
      <c r="N2592" s="19" t="s">
        <v>40</v>
      </c>
      <c r="O2592" s="19" t="s">
        <v>1017</v>
      </c>
      <c r="P2592" s="19">
        <v>115</v>
      </c>
      <c r="Q2592" s="19">
        <v>121</v>
      </c>
      <c r="R2592" s="19">
        <f t="shared" si="135"/>
        <v>-6</v>
      </c>
      <c r="S2592" s="19">
        <v>2300</v>
      </c>
      <c r="T2592" s="19" t="s">
        <v>42</v>
      </c>
      <c r="U2592" s="102" t="s">
        <v>1014</v>
      </c>
      <c r="V2592" s="212" t="s">
        <v>1003</v>
      </c>
      <c r="W2592" s="17" t="s">
        <v>69</v>
      </c>
      <c r="Y2592" s="68">
        <v>44980</v>
      </c>
      <c r="Z2592" s="17" t="s">
        <v>191</v>
      </c>
      <c r="AA2592" s="17" t="s">
        <v>46</v>
      </c>
      <c r="AB2592" s="17" t="s">
        <v>1015</v>
      </c>
      <c r="AC2592" s="102" t="s">
        <v>1016</v>
      </c>
      <c r="AD2592" s="65">
        <v>1386</v>
      </c>
      <c r="AE2592" s="17" t="s">
        <v>48</v>
      </c>
      <c r="AF2592" s="17" t="s">
        <v>560</v>
      </c>
    </row>
    <row r="2593" s="17" customFormat="1" hidden="1" spans="1:35">
      <c r="A2593" s="17" t="s">
        <v>34</v>
      </c>
      <c r="B2593" s="19">
        <v>878</v>
      </c>
      <c r="C2593" s="239" t="s">
        <v>1001</v>
      </c>
      <c r="D2593" s="17" t="s">
        <v>52</v>
      </c>
      <c r="E2593" s="17" t="s">
        <v>220</v>
      </c>
      <c r="F2593" s="17" t="s">
        <v>54</v>
      </c>
      <c r="H2593" s="19">
        <v>1.2379</v>
      </c>
      <c r="I2593" s="19"/>
      <c r="J2593" s="17" t="s">
        <v>39</v>
      </c>
      <c r="K2593" s="19">
        <v>85</v>
      </c>
      <c r="L2593" s="91"/>
      <c r="M2593" s="19"/>
      <c r="N2593" s="19" t="s">
        <v>40</v>
      </c>
      <c r="O2593" s="19" t="s">
        <v>1017</v>
      </c>
      <c r="P2593" s="19">
        <v>252</v>
      </c>
      <c r="Q2593" s="19">
        <v>172</v>
      </c>
      <c r="R2593" s="19">
        <f t="shared" si="135"/>
        <v>80</v>
      </c>
      <c r="S2593" s="19">
        <v>2300</v>
      </c>
      <c r="T2593" s="19" t="s">
        <v>42</v>
      </c>
      <c r="U2593" s="102" t="s">
        <v>1014</v>
      </c>
      <c r="V2593" s="212" t="s">
        <v>1003</v>
      </c>
      <c r="W2593" s="17" t="s">
        <v>69</v>
      </c>
      <c r="Y2593" s="68">
        <v>44980</v>
      </c>
      <c r="Z2593" s="17" t="s">
        <v>191</v>
      </c>
      <c r="AA2593" s="17" t="s">
        <v>46</v>
      </c>
      <c r="AB2593" s="17" t="s">
        <v>1015</v>
      </c>
      <c r="AC2593" s="102" t="s">
        <v>1016</v>
      </c>
      <c r="AD2593" s="65">
        <v>1386</v>
      </c>
      <c r="AE2593" s="17" t="s">
        <v>48</v>
      </c>
      <c r="AF2593" s="17" t="s">
        <v>560</v>
      </c>
    </row>
    <row r="2594" s="17" customFormat="1" hidden="1" spans="1:35">
      <c r="A2594" s="17" t="s">
        <v>34</v>
      </c>
      <c r="B2594" s="19">
        <v>878</v>
      </c>
      <c r="C2594" s="239" t="s">
        <v>1001</v>
      </c>
      <c r="D2594" s="17" t="s">
        <v>52</v>
      </c>
      <c r="E2594" s="17" t="s">
        <v>220</v>
      </c>
      <c r="F2594" s="17" t="s">
        <v>54</v>
      </c>
      <c r="H2594" s="19">
        <v>1.2379</v>
      </c>
      <c r="I2594" s="19"/>
      <c r="J2594" s="17" t="s">
        <v>39</v>
      </c>
      <c r="K2594" s="19">
        <v>90</v>
      </c>
      <c r="L2594" s="91"/>
      <c r="M2594" s="19"/>
      <c r="N2594" s="19" t="s">
        <v>40</v>
      </c>
      <c r="O2594" s="19" t="s">
        <v>1017</v>
      </c>
      <c r="P2594" s="19">
        <v>255</v>
      </c>
      <c r="Q2594" s="19">
        <v>176</v>
      </c>
      <c r="R2594" s="19">
        <f t="shared" si="135"/>
        <v>79</v>
      </c>
      <c r="S2594" s="19">
        <v>2300</v>
      </c>
      <c r="T2594" s="19" t="s">
        <v>42</v>
      </c>
      <c r="U2594" s="102" t="s">
        <v>1014</v>
      </c>
      <c r="V2594" s="212" t="s">
        <v>1003</v>
      </c>
      <c r="W2594" s="17" t="s">
        <v>69</v>
      </c>
      <c r="Y2594" s="68">
        <v>44980</v>
      </c>
      <c r="Z2594" s="17" t="s">
        <v>191</v>
      </c>
      <c r="AA2594" s="17" t="s">
        <v>46</v>
      </c>
      <c r="AB2594" s="17" t="s">
        <v>1015</v>
      </c>
      <c r="AC2594" s="102" t="s">
        <v>1016</v>
      </c>
      <c r="AD2594" s="65">
        <v>1386</v>
      </c>
      <c r="AE2594" s="17" t="s">
        <v>48</v>
      </c>
      <c r="AF2594" s="17" t="s">
        <v>560</v>
      </c>
    </row>
    <row r="2595" s="17" customFormat="1" hidden="1" spans="1:35">
      <c r="A2595" s="17" t="s">
        <v>34</v>
      </c>
      <c r="B2595" s="19">
        <v>878</v>
      </c>
      <c r="C2595" s="239" t="s">
        <v>1001</v>
      </c>
      <c r="D2595" s="17" t="s">
        <v>52</v>
      </c>
      <c r="E2595" s="17" t="s">
        <v>220</v>
      </c>
      <c r="F2595" s="17" t="s">
        <v>54</v>
      </c>
      <c r="H2595" s="19">
        <v>1.2379</v>
      </c>
      <c r="I2595" s="19"/>
      <c r="J2595" s="17" t="s">
        <v>39</v>
      </c>
      <c r="K2595" s="19">
        <v>105</v>
      </c>
      <c r="L2595" s="91"/>
      <c r="M2595" s="19"/>
      <c r="N2595" s="19" t="s">
        <v>40</v>
      </c>
      <c r="O2595" s="19" t="s">
        <v>1017</v>
      </c>
      <c r="P2595" s="19">
        <v>196</v>
      </c>
      <c r="Q2595" s="19">
        <v>252</v>
      </c>
      <c r="R2595" s="19">
        <f t="shared" si="135"/>
        <v>-56</v>
      </c>
      <c r="S2595" s="19">
        <v>2300</v>
      </c>
      <c r="T2595" s="19" t="s">
        <v>42</v>
      </c>
      <c r="U2595" s="102" t="s">
        <v>1014</v>
      </c>
      <c r="V2595" s="212" t="s">
        <v>1003</v>
      </c>
      <c r="W2595" s="17" t="s">
        <v>69</v>
      </c>
      <c r="Y2595" s="68">
        <v>44980</v>
      </c>
      <c r="Z2595" s="17" t="s">
        <v>191</v>
      </c>
      <c r="AA2595" s="17" t="s">
        <v>46</v>
      </c>
      <c r="AB2595" s="17" t="s">
        <v>1015</v>
      </c>
      <c r="AC2595" s="102" t="s">
        <v>1016</v>
      </c>
      <c r="AD2595" s="65">
        <v>1386</v>
      </c>
      <c r="AE2595" s="17" t="s">
        <v>48</v>
      </c>
      <c r="AF2595" s="17" t="s">
        <v>560</v>
      </c>
    </row>
    <row r="2596" s="17" customFormat="1" hidden="1" spans="1:35">
      <c r="A2596" s="17" t="s">
        <v>34</v>
      </c>
      <c r="B2596" s="19">
        <v>878</v>
      </c>
      <c r="C2596" s="239" t="s">
        <v>1001</v>
      </c>
      <c r="D2596" s="17" t="s">
        <v>52</v>
      </c>
      <c r="E2596" s="17" t="s">
        <v>220</v>
      </c>
      <c r="F2596" s="17" t="s">
        <v>54</v>
      </c>
      <c r="H2596" s="19">
        <v>1.2379</v>
      </c>
      <c r="I2596" s="19"/>
      <c r="J2596" s="17" t="s">
        <v>39</v>
      </c>
      <c r="K2596" s="19">
        <v>110</v>
      </c>
      <c r="L2596" s="91"/>
      <c r="M2596" s="19"/>
      <c r="N2596" s="19" t="s">
        <v>40</v>
      </c>
      <c r="O2596" s="19" t="s">
        <v>1017</v>
      </c>
      <c r="P2596" s="19">
        <v>276</v>
      </c>
      <c r="Q2596" s="19">
        <v>343</v>
      </c>
      <c r="R2596" s="19">
        <f t="shared" si="135"/>
        <v>-67</v>
      </c>
      <c r="S2596" s="19">
        <v>2300</v>
      </c>
      <c r="T2596" s="19" t="s">
        <v>42</v>
      </c>
      <c r="U2596" s="102" t="s">
        <v>1014</v>
      </c>
      <c r="V2596" s="212" t="s">
        <v>1003</v>
      </c>
      <c r="W2596" s="17" t="s">
        <v>69</v>
      </c>
      <c r="Y2596" s="68">
        <v>44980</v>
      </c>
      <c r="Z2596" s="17" t="s">
        <v>191</v>
      </c>
      <c r="AA2596" s="17" t="s">
        <v>46</v>
      </c>
      <c r="AB2596" s="17" t="s">
        <v>1015</v>
      </c>
      <c r="AC2596" s="102" t="s">
        <v>1016</v>
      </c>
      <c r="AD2596" s="65">
        <v>1386</v>
      </c>
      <c r="AE2596" s="17" t="s">
        <v>48</v>
      </c>
      <c r="AF2596" s="17" t="s">
        <v>560</v>
      </c>
    </row>
    <row r="2597" s="17" customFormat="1" ht="15.15" hidden="1" spans="1:35">
      <c r="A2597" s="17" t="s">
        <v>34</v>
      </c>
      <c r="B2597" s="19">
        <v>878</v>
      </c>
      <c r="C2597" s="239" t="s">
        <v>1001</v>
      </c>
      <c r="D2597" s="17" t="s">
        <v>52</v>
      </c>
      <c r="E2597" s="17" t="s">
        <v>220</v>
      </c>
      <c r="F2597" s="17" t="s">
        <v>54</v>
      </c>
      <c r="H2597" s="19">
        <v>1.2379</v>
      </c>
      <c r="I2597" s="19"/>
      <c r="J2597" s="17" t="s">
        <v>39</v>
      </c>
      <c r="K2597" s="19">
        <v>180</v>
      </c>
      <c r="L2597" s="243"/>
      <c r="M2597" s="19"/>
      <c r="N2597" s="19" t="s">
        <v>40</v>
      </c>
      <c r="O2597" s="19" t="s">
        <v>1017</v>
      </c>
      <c r="P2597" s="19">
        <v>262</v>
      </c>
      <c r="Q2597" s="19">
        <v>863</v>
      </c>
      <c r="R2597" s="19">
        <f t="shared" si="135"/>
        <v>-601</v>
      </c>
      <c r="S2597" s="19">
        <v>2300</v>
      </c>
      <c r="T2597" s="19" t="s">
        <v>42</v>
      </c>
      <c r="U2597" s="102" t="s">
        <v>1014</v>
      </c>
      <c r="V2597" s="212" t="s">
        <v>1003</v>
      </c>
      <c r="W2597" s="17" t="s">
        <v>69</v>
      </c>
      <c r="Y2597" s="68">
        <v>44980</v>
      </c>
      <c r="Z2597" s="17" t="s">
        <v>191</v>
      </c>
      <c r="AA2597" s="17" t="s">
        <v>46</v>
      </c>
      <c r="AB2597" s="17" t="s">
        <v>1015</v>
      </c>
      <c r="AC2597" s="102" t="s">
        <v>1016</v>
      </c>
      <c r="AD2597" s="65">
        <v>1386</v>
      </c>
      <c r="AE2597" s="17" t="s">
        <v>48</v>
      </c>
      <c r="AF2597" s="17" t="s">
        <v>560</v>
      </c>
    </row>
    <row r="2598" s="17" customFormat="1" ht="15.6" hidden="1" spans="1:35">
      <c r="B2598" s="19">
        <v>879</v>
      </c>
      <c r="C2598" s="239" t="s">
        <v>1009</v>
      </c>
      <c r="D2598" s="17" t="s">
        <v>52</v>
      </c>
      <c r="E2598" s="17" t="s">
        <v>220</v>
      </c>
      <c r="F2598" s="17" t="s">
        <v>54</v>
      </c>
      <c r="H2598" s="19">
        <v>1.2379</v>
      </c>
      <c r="I2598" s="19"/>
      <c r="J2598" s="17" t="s">
        <v>82</v>
      </c>
      <c r="K2598" s="184">
        <v>205</v>
      </c>
      <c r="L2598" s="91">
        <v>26</v>
      </c>
      <c r="M2598" s="19"/>
      <c r="N2598" s="19" t="s">
        <v>40</v>
      </c>
      <c r="O2598" s="19" t="s">
        <v>168</v>
      </c>
      <c r="P2598" s="262">
        <v>500</v>
      </c>
      <c r="Q2598" s="19">
        <v>0</v>
      </c>
      <c r="R2598" s="19">
        <f t="shared" si="135"/>
        <v>500</v>
      </c>
      <c r="S2598" s="19">
        <v>2320</v>
      </c>
      <c r="T2598" s="19" t="s">
        <v>42</v>
      </c>
      <c r="U2598" s="102" t="s">
        <v>1018</v>
      </c>
      <c r="V2598" s="212" t="s">
        <v>1007</v>
      </c>
      <c r="W2598" s="17" t="s">
        <v>69</v>
      </c>
      <c r="Y2598" s="68">
        <v>45008</v>
      </c>
      <c r="Z2598" s="17" t="s">
        <v>191</v>
      </c>
      <c r="AA2598" s="17" t="s">
        <v>46</v>
      </c>
      <c r="AC2598" s="102"/>
      <c r="AD2598" s="65"/>
      <c r="AE2598" s="17" t="s">
        <v>48</v>
      </c>
      <c r="AF2598" s="17" t="s">
        <v>560</v>
      </c>
      <c r="AI2598" s="17">
        <v>2370</v>
      </c>
    </row>
    <row r="2599" s="17" customFormat="1" ht="15.6" hidden="1" spans="1:35">
      <c r="B2599" s="19">
        <v>879</v>
      </c>
      <c r="C2599" s="239" t="s">
        <v>1009</v>
      </c>
      <c r="D2599" s="17" t="s">
        <v>52</v>
      </c>
      <c r="E2599" s="17" t="s">
        <v>220</v>
      </c>
      <c r="F2599" s="17" t="s">
        <v>54</v>
      </c>
      <c r="H2599" s="19">
        <v>1.2379</v>
      </c>
      <c r="I2599" s="19"/>
      <c r="J2599" s="17" t="s">
        <v>82</v>
      </c>
      <c r="K2599" s="184">
        <v>255</v>
      </c>
      <c r="L2599" s="91">
        <v>26</v>
      </c>
      <c r="M2599" s="19"/>
      <c r="N2599" s="19" t="s">
        <v>40</v>
      </c>
      <c r="O2599" s="19" t="s">
        <v>168</v>
      </c>
      <c r="P2599" s="256">
        <v>500</v>
      </c>
      <c r="Q2599" s="19">
        <v>0</v>
      </c>
      <c r="R2599" s="19">
        <f t="shared" si="135"/>
        <v>500</v>
      </c>
      <c r="S2599" s="19">
        <v>2320</v>
      </c>
      <c r="T2599" s="19" t="s">
        <v>42</v>
      </c>
      <c r="U2599" s="102" t="s">
        <v>1018</v>
      </c>
      <c r="V2599" s="212" t="s">
        <v>1007</v>
      </c>
      <c r="W2599" s="17" t="s">
        <v>69</v>
      </c>
      <c r="Y2599" s="68">
        <v>45008</v>
      </c>
      <c r="Z2599" s="17" t="s">
        <v>191</v>
      </c>
      <c r="AA2599" s="17" t="s">
        <v>46</v>
      </c>
      <c r="AC2599" s="102"/>
      <c r="AD2599" s="65"/>
      <c r="AE2599" s="17" t="s">
        <v>48</v>
      </c>
      <c r="AF2599" s="17" t="s">
        <v>560</v>
      </c>
      <c r="AI2599" s="17">
        <v>2370</v>
      </c>
    </row>
    <row r="2600" s="17" customFormat="1" ht="15.6" hidden="1" spans="1:35">
      <c r="B2600" s="19">
        <v>879</v>
      </c>
      <c r="C2600" s="239" t="s">
        <v>1009</v>
      </c>
      <c r="D2600" s="17" t="s">
        <v>52</v>
      </c>
      <c r="E2600" s="17" t="s">
        <v>220</v>
      </c>
      <c r="F2600" s="17" t="s">
        <v>54</v>
      </c>
      <c r="H2600" s="19">
        <v>1.2379</v>
      </c>
      <c r="I2600" s="19"/>
      <c r="J2600" s="17" t="s">
        <v>82</v>
      </c>
      <c r="K2600" s="184">
        <v>305</v>
      </c>
      <c r="L2600" s="91">
        <v>26</v>
      </c>
      <c r="M2600" s="19"/>
      <c r="N2600" s="19" t="s">
        <v>40</v>
      </c>
      <c r="O2600" s="19" t="s">
        <v>168</v>
      </c>
      <c r="P2600" s="256">
        <v>500</v>
      </c>
      <c r="Q2600" s="19">
        <v>0</v>
      </c>
      <c r="R2600" s="19">
        <f t="shared" si="135"/>
        <v>500</v>
      </c>
      <c r="S2600" s="19">
        <v>2320</v>
      </c>
      <c r="T2600" s="19" t="s">
        <v>42</v>
      </c>
      <c r="U2600" s="102" t="s">
        <v>1018</v>
      </c>
      <c r="V2600" s="212" t="s">
        <v>1007</v>
      </c>
      <c r="W2600" s="17" t="s">
        <v>69</v>
      </c>
      <c r="Y2600" s="68">
        <v>45008</v>
      </c>
      <c r="Z2600" s="17" t="s">
        <v>191</v>
      </c>
      <c r="AA2600" s="17" t="s">
        <v>46</v>
      </c>
      <c r="AC2600" s="102"/>
      <c r="AD2600" s="65"/>
      <c r="AE2600" s="17" t="s">
        <v>48</v>
      </c>
      <c r="AF2600" s="17" t="s">
        <v>560</v>
      </c>
      <c r="AI2600" s="17">
        <v>2370</v>
      </c>
    </row>
    <row r="2601" s="17" customFormat="1" ht="15.6" hidden="1" spans="1:35">
      <c r="B2601" s="19">
        <v>879</v>
      </c>
      <c r="C2601" s="239" t="s">
        <v>1009</v>
      </c>
      <c r="D2601" s="17" t="s">
        <v>52</v>
      </c>
      <c r="E2601" s="17" t="s">
        <v>220</v>
      </c>
      <c r="F2601" s="17" t="s">
        <v>54</v>
      </c>
      <c r="H2601" s="19">
        <v>1.2379</v>
      </c>
      <c r="I2601" s="19"/>
      <c r="J2601" s="17" t="s">
        <v>82</v>
      </c>
      <c r="K2601" s="184">
        <v>405</v>
      </c>
      <c r="L2601" s="91">
        <v>26</v>
      </c>
      <c r="M2601" s="19"/>
      <c r="N2601" s="19" t="s">
        <v>40</v>
      </c>
      <c r="O2601" s="19" t="s">
        <v>168</v>
      </c>
      <c r="P2601" s="256">
        <v>500</v>
      </c>
      <c r="Q2601" s="19">
        <v>0</v>
      </c>
      <c r="R2601" s="19">
        <f t="shared" si="135"/>
        <v>500</v>
      </c>
      <c r="S2601" s="19">
        <v>2320</v>
      </c>
      <c r="T2601" s="19" t="s">
        <v>42</v>
      </c>
      <c r="U2601" s="102" t="s">
        <v>1018</v>
      </c>
      <c r="V2601" s="212" t="s">
        <v>1007</v>
      </c>
      <c r="W2601" s="17" t="s">
        <v>69</v>
      </c>
      <c r="Y2601" s="68">
        <v>45008</v>
      </c>
      <c r="Z2601" s="17" t="s">
        <v>191</v>
      </c>
      <c r="AA2601" s="17" t="s">
        <v>46</v>
      </c>
      <c r="AC2601" s="102"/>
      <c r="AD2601" s="65"/>
      <c r="AE2601" s="17" t="s">
        <v>48</v>
      </c>
      <c r="AF2601" s="17" t="s">
        <v>560</v>
      </c>
      <c r="AI2601" s="17">
        <v>2370</v>
      </c>
    </row>
    <row r="2602" s="17" customFormat="1" ht="15.6" hidden="1" spans="1:35">
      <c r="A2602" s="17" t="s">
        <v>34</v>
      </c>
      <c r="B2602" s="19">
        <v>879</v>
      </c>
      <c r="C2602" s="239" t="s">
        <v>1009</v>
      </c>
      <c r="D2602" s="17" t="s">
        <v>52</v>
      </c>
      <c r="E2602" s="17" t="s">
        <v>220</v>
      </c>
      <c r="F2602" s="17" t="s">
        <v>54</v>
      </c>
      <c r="H2602" s="19">
        <v>1.2379</v>
      </c>
      <c r="I2602" s="19"/>
      <c r="J2602" s="17" t="s">
        <v>82</v>
      </c>
      <c r="K2602" s="184">
        <v>155</v>
      </c>
      <c r="L2602" s="91">
        <v>32</v>
      </c>
      <c r="M2602" s="19"/>
      <c r="N2602" s="19" t="s">
        <v>40</v>
      </c>
      <c r="O2602" s="19" t="s">
        <v>168</v>
      </c>
      <c r="P2602" s="256">
        <v>1000</v>
      </c>
      <c r="Q2602" s="19">
        <v>730</v>
      </c>
      <c r="R2602" s="19">
        <f t="shared" si="135"/>
        <v>270</v>
      </c>
      <c r="S2602" s="19">
        <v>2320</v>
      </c>
      <c r="T2602" s="19" t="s">
        <v>42</v>
      </c>
      <c r="U2602" s="102" t="s">
        <v>1018</v>
      </c>
      <c r="V2602" s="212" t="s">
        <v>1007</v>
      </c>
      <c r="W2602" s="17" t="s">
        <v>69</v>
      </c>
      <c r="Y2602" s="68">
        <v>45008</v>
      </c>
      <c r="Z2602" s="17" t="s">
        <v>191</v>
      </c>
      <c r="AA2602" s="17" t="s">
        <v>46</v>
      </c>
      <c r="AB2602" s="17" t="s">
        <v>1019</v>
      </c>
      <c r="AC2602" s="102" t="s">
        <v>1020</v>
      </c>
      <c r="AD2602" s="65">
        <v>1408</v>
      </c>
      <c r="AE2602" s="17" t="s">
        <v>48</v>
      </c>
      <c r="AF2602" s="17" t="s">
        <v>560</v>
      </c>
      <c r="AI2602" s="17">
        <v>2370</v>
      </c>
    </row>
    <row r="2603" s="17" customFormat="1" ht="15.6" hidden="1" spans="1:35">
      <c r="A2603" s="17" t="s">
        <v>34</v>
      </c>
      <c r="B2603" s="19">
        <v>879</v>
      </c>
      <c r="C2603" s="239" t="s">
        <v>1009</v>
      </c>
      <c r="D2603" s="17" t="s">
        <v>52</v>
      </c>
      <c r="E2603" s="17" t="s">
        <v>220</v>
      </c>
      <c r="F2603" s="17" t="s">
        <v>54</v>
      </c>
      <c r="H2603" s="19">
        <v>1.2379</v>
      </c>
      <c r="I2603" s="19"/>
      <c r="J2603" s="17" t="s">
        <v>82</v>
      </c>
      <c r="K2603" s="184">
        <v>205</v>
      </c>
      <c r="L2603" s="91">
        <v>32</v>
      </c>
      <c r="M2603" s="19"/>
      <c r="N2603" s="19" t="s">
        <v>40</v>
      </c>
      <c r="O2603" s="19" t="s">
        <v>168</v>
      </c>
      <c r="P2603" s="256">
        <v>1000</v>
      </c>
      <c r="Q2603" s="19">
        <v>638</v>
      </c>
      <c r="R2603" s="19">
        <f t="shared" si="135"/>
        <v>362</v>
      </c>
      <c r="S2603" s="19">
        <v>2320</v>
      </c>
      <c r="T2603" s="19" t="s">
        <v>42</v>
      </c>
      <c r="U2603" s="102" t="s">
        <v>1018</v>
      </c>
      <c r="V2603" s="212" t="s">
        <v>1007</v>
      </c>
      <c r="W2603" s="17" t="s">
        <v>69</v>
      </c>
      <c r="Y2603" s="68">
        <v>45008</v>
      </c>
      <c r="Z2603" s="17" t="s">
        <v>191</v>
      </c>
      <c r="AA2603" s="17" t="s">
        <v>46</v>
      </c>
      <c r="AB2603" s="17" t="s">
        <v>1019</v>
      </c>
      <c r="AC2603" s="102" t="s">
        <v>1020</v>
      </c>
      <c r="AD2603" s="65">
        <v>1408</v>
      </c>
      <c r="AE2603" s="17" t="s">
        <v>48</v>
      </c>
      <c r="AF2603" s="17" t="s">
        <v>560</v>
      </c>
      <c r="AI2603" s="17">
        <v>2370</v>
      </c>
    </row>
    <row r="2604" s="17" customFormat="1" ht="15.6" hidden="1" spans="1:35">
      <c r="A2604" s="17" t="s">
        <v>34</v>
      </c>
      <c r="B2604" s="19">
        <v>879</v>
      </c>
      <c r="C2604" s="239" t="s">
        <v>1009</v>
      </c>
      <c r="D2604" s="17" t="s">
        <v>52</v>
      </c>
      <c r="E2604" s="17" t="s">
        <v>220</v>
      </c>
      <c r="F2604" s="17" t="s">
        <v>54</v>
      </c>
      <c r="H2604" s="19">
        <v>1.2379</v>
      </c>
      <c r="I2604" s="19"/>
      <c r="J2604" s="17" t="s">
        <v>82</v>
      </c>
      <c r="K2604" s="184">
        <v>255</v>
      </c>
      <c r="L2604" s="91">
        <v>32</v>
      </c>
      <c r="M2604" s="19"/>
      <c r="N2604" s="19" t="s">
        <v>40</v>
      </c>
      <c r="O2604" s="19" t="s">
        <v>168</v>
      </c>
      <c r="P2604" s="256">
        <v>1000</v>
      </c>
      <c r="Q2604" s="19">
        <v>1032</v>
      </c>
      <c r="R2604" s="19">
        <f t="shared" si="135"/>
        <v>-32</v>
      </c>
      <c r="S2604" s="19">
        <v>2320</v>
      </c>
      <c r="T2604" s="19" t="s">
        <v>42</v>
      </c>
      <c r="U2604" s="102" t="s">
        <v>1018</v>
      </c>
      <c r="V2604" s="212" t="s">
        <v>1007</v>
      </c>
      <c r="W2604" s="17" t="s">
        <v>69</v>
      </c>
      <c r="Y2604" s="68">
        <v>45008</v>
      </c>
      <c r="Z2604" s="17" t="s">
        <v>191</v>
      </c>
      <c r="AA2604" s="17" t="s">
        <v>46</v>
      </c>
      <c r="AB2604" s="17" t="s">
        <v>1019</v>
      </c>
      <c r="AC2604" s="102" t="s">
        <v>1020</v>
      </c>
      <c r="AD2604" s="65">
        <v>1408</v>
      </c>
      <c r="AE2604" s="17" t="s">
        <v>48</v>
      </c>
      <c r="AF2604" s="17" t="s">
        <v>560</v>
      </c>
      <c r="AI2604" s="17">
        <v>2370</v>
      </c>
    </row>
    <row r="2605" s="17" customFormat="1" ht="15.6" hidden="1" spans="1:35">
      <c r="A2605" s="17" t="s">
        <v>34</v>
      </c>
      <c r="B2605" s="19">
        <v>879</v>
      </c>
      <c r="C2605" s="239" t="s">
        <v>1009</v>
      </c>
      <c r="D2605" s="17" t="s">
        <v>52</v>
      </c>
      <c r="E2605" s="17" t="s">
        <v>220</v>
      </c>
      <c r="F2605" s="17" t="s">
        <v>54</v>
      </c>
      <c r="H2605" s="19">
        <v>1.2379</v>
      </c>
      <c r="I2605" s="19"/>
      <c r="J2605" s="17" t="s">
        <v>82</v>
      </c>
      <c r="K2605" s="184">
        <v>305</v>
      </c>
      <c r="L2605" s="91">
        <v>32</v>
      </c>
      <c r="M2605" s="19"/>
      <c r="N2605" s="19" t="s">
        <v>40</v>
      </c>
      <c r="O2605" s="19" t="s">
        <v>168</v>
      </c>
      <c r="P2605" s="256">
        <v>1000</v>
      </c>
      <c r="Q2605" s="19">
        <v>209</v>
      </c>
      <c r="R2605" s="19">
        <f t="shared" si="135"/>
        <v>791</v>
      </c>
      <c r="S2605" s="19">
        <v>2320</v>
      </c>
      <c r="T2605" s="19" t="s">
        <v>42</v>
      </c>
      <c r="U2605" s="102" t="s">
        <v>1018</v>
      </c>
      <c r="V2605" s="212" t="s">
        <v>1007</v>
      </c>
      <c r="W2605" s="17" t="s">
        <v>69</v>
      </c>
      <c r="Y2605" s="68">
        <v>45008</v>
      </c>
      <c r="Z2605" s="17" t="s">
        <v>191</v>
      </c>
      <c r="AA2605" s="17" t="s">
        <v>46</v>
      </c>
      <c r="AB2605" s="17" t="s">
        <v>1021</v>
      </c>
      <c r="AC2605" s="217">
        <v>44989</v>
      </c>
      <c r="AD2605" s="65">
        <v>1413</v>
      </c>
      <c r="AE2605" s="17" t="s">
        <v>48</v>
      </c>
      <c r="AF2605" s="17" t="s">
        <v>560</v>
      </c>
      <c r="AI2605" s="17">
        <v>2370</v>
      </c>
    </row>
    <row r="2606" s="17" customFormat="1" ht="15.6" hidden="1" spans="1:35">
      <c r="A2606" s="17" t="s">
        <v>34</v>
      </c>
      <c r="B2606" s="19">
        <v>879</v>
      </c>
      <c r="C2606" s="239" t="s">
        <v>1009</v>
      </c>
      <c r="D2606" s="17" t="s">
        <v>52</v>
      </c>
      <c r="E2606" s="17" t="s">
        <v>220</v>
      </c>
      <c r="F2606" s="17" t="s">
        <v>54</v>
      </c>
      <c r="H2606" s="19">
        <v>1.2379</v>
      </c>
      <c r="I2606" s="19"/>
      <c r="J2606" s="17" t="s">
        <v>82</v>
      </c>
      <c r="K2606" s="184">
        <v>355</v>
      </c>
      <c r="L2606" s="91">
        <v>32</v>
      </c>
      <c r="M2606" s="19"/>
      <c r="N2606" s="19" t="s">
        <v>40</v>
      </c>
      <c r="O2606" s="19" t="s">
        <v>168</v>
      </c>
      <c r="P2606" s="256">
        <v>500</v>
      </c>
      <c r="Q2606" s="19">
        <v>327</v>
      </c>
      <c r="S2606" s="19">
        <v>2320</v>
      </c>
      <c r="T2606" s="19" t="s">
        <v>42</v>
      </c>
      <c r="U2606" s="102" t="s">
        <v>1018</v>
      </c>
      <c r="V2606" s="212" t="s">
        <v>1007</v>
      </c>
      <c r="W2606" s="17" t="s">
        <v>69</v>
      </c>
      <c r="Y2606" s="68">
        <v>45008</v>
      </c>
      <c r="Z2606" s="17" t="s">
        <v>191</v>
      </c>
      <c r="AA2606" s="17" t="s">
        <v>46</v>
      </c>
      <c r="AB2606" s="17" t="s">
        <v>1011</v>
      </c>
      <c r="AC2606" s="102" t="s">
        <v>1012</v>
      </c>
      <c r="AD2606" s="65">
        <v>1416</v>
      </c>
      <c r="AE2606" s="17" t="s">
        <v>48</v>
      </c>
      <c r="AF2606" s="17" t="s">
        <v>560</v>
      </c>
      <c r="AI2606" s="17">
        <v>2370</v>
      </c>
    </row>
    <row r="2607" s="17" customFormat="1" ht="15.6" hidden="1" spans="1:35">
      <c r="A2607" s="17" t="s">
        <v>34</v>
      </c>
      <c r="B2607" s="19">
        <v>879</v>
      </c>
      <c r="C2607" s="239" t="s">
        <v>1009</v>
      </c>
      <c r="D2607" s="17" t="s">
        <v>52</v>
      </c>
      <c r="E2607" s="17" t="s">
        <v>220</v>
      </c>
      <c r="F2607" s="17" t="s">
        <v>54</v>
      </c>
      <c r="H2607" s="19">
        <v>1.2379</v>
      </c>
      <c r="I2607" s="19"/>
      <c r="J2607" s="17" t="s">
        <v>82</v>
      </c>
      <c r="K2607" s="184">
        <v>355</v>
      </c>
      <c r="L2607" s="91">
        <v>32</v>
      </c>
      <c r="M2607" s="19"/>
      <c r="N2607" s="19" t="s">
        <v>40</v>
      </c>
      <c r="O2607" s="19" t="s">
        <v>168</v>
      </c>
      <c r="P2607" s="256"/>
      <c r="Q2607" s="19">
        <v>236</v>
      </c>
      <c r="R2607" s="19">
        <f>+P2606-Q2606-Q2607</f>
        <v>-63</v>
      </c>
      <c r="S2607" s="19">
        <v>2320</v>
      </c>
      <c r="T2607" s="19" t="s">
        <v>42</v>
      </c>
      <c r="U2607" s="102" t="s">
        <v>1018</v>
      </c>
      <c r="V2607" s="212" t="s">
        <v>1007</v>
      </c>
      <c r="W2607" s="17" t="s">
        <v>69</v>
      </c>
      <c r="Y2607" s="68">
        <v>45008</v>
      </c>
      <c r="Z2607" s="17" t="s">
        <v>191</v>
      </c>
      <c r="AA2607" s="17" t="s">
        <v>46</v>
      </c>
      <c r="AB2607" s="17" t="s">
        <v>1013</v>
      </c>
      <c r="AC2607" s="217">
        <v>45234</v>
      </c>
      <c r="AD2607" s="65">
        <v>1419</v>
      </c>
      <c r="AE2607" s="17" t="s">
        <v>48</v>
      </c>
      <c r="AF2607" s="17" t="s">
        <v>560</v>
      </c>
    </row>
    <row r="2608" s="17" customFormat="1" ht="15.6" hidden="1" spans="1:35">
      <c r="B2608" s="19">
        <v>879</v>
      </c>
      <c r="C2608" s="239" t="s">
        <v>1009</v>
      </c>
      <c r="D2608" s="17" t="s">
        <v>52</v>
      </c>
      <c r="E2608" s="17" t="s">
        <v>220</v>
      </c>
      <c r="F2608" s="17" t="s">
        <v>54</v>
      </c>
      <c r="H2608" s="19">
        <v>1.2379</v>
      </c>
      <c r="I2608" s="19"/>
      <c r="J2608" s="17" t="s">
        <v>82</v>
      </c>
      <c r="K2608" s="184">
        <v>405</v>
      </c>
      <c r="L2608" s="91">
        <v>32</v>
      </c>
      <c r="M2608" s="19"/>
      <c r="N2608" s="19" t="s">
        <v>40</v>
      </c>
      <c r="O2608" s="19" t="s">
        <v>168</v>
      </c>
      <c r="P2608" s="256">
        <v>1000</v>
      </c>
      <c r="Q2608" s="19">
        <v>0</v>
      </c>
      <c r="R2608" s="19">
        <f>+P2608-Q2608</f>
        <v>1000</v>
      </c>
      <c r="S2608" s="19">
        <v>2320</v>
      </c>
      <c r="T2608" s="19" t="s">
        <v>42</v>
      </c>
      <c r="U2608" s="102" t="s">
        <v>1018</v>
      </c>
      <c r="V2608" s="212" t="s">
        <v>1007</v>
      </c>
      <c r="W2608" s="17" t="s">
        <v>69</v>
      </c>
      <c r="Y2608" s="68">
        <v>45008</v>
      </c>
      <c r="Z2608" s="17" t="s">
        <v>191</v>
      </c>
      <c r="AA2608" s="17" t="s">
        <v>46</v>
      </c>
      <c r="AC2608" s="102"/>
      <c r="AD2608" s="65"/>
      <c r="AE2608" s="17" t="s">
        <v>48</v>
      </c>
      <c r="AF2608" s="17" t="s">
        <v>560</v>
      </c>
      <c r="AI2608" s="17">
        <v>2370</v>
      </c>
    </row>
    <row r="2609" s="17" customFormat="1" ht="15.6" hidden="1" spans="1:35">
      <c r="A2609" s="17" t="s">
        <v>34</v>
      </c>
      <c r="B2609" s="19">
        <v>879</v>
      </c>
      <c r="C2609" s="239" t="s">
        <v>1009</v>
      </c>
      <c r="D2609" s="17" t="s">
        <v>52</v>
      </c>
      <c r="E2609" s="17" t="s">
        <v>220</v>
      </c>
      <c r="F2609" s="17" t="s">
        <v>54</v>
      </c>
      <c r="H2609" s="19">
        <v>1.2379</v>
      </c>
      <c r="I2609" s="19"/>
      <c r="J2609" s="17" t="s">
        <v>82</v>
      </c>
      <c r="K2609" s="184">
        <v>130</v>
      </c>
      <c r="L2609" s="91">
        <v>40</v>
      </c>
      <c r="M2609" s="19"/>
      <c r="N2609" s="19" t="s">
        <v>40</v>
      </c>
      <c r="O2609" s="19" t="s">
        <v>168</v>
      </c>
      <c r="P2609" s="256"/>
      <c r="Q2609" s="19">
        <f>137+137</f>
        <v>274</v>
      </c>
      <c r="R2609" s="19"/>
      <c r="S2609" s="19">
        <v>2320</v>
      </c>
      <c r="T2609" s="19" t="s">
        <v>42</v>
      </c>
      <c r="U2609" s="102" t="s">
        <v>1018</v>
      </c>
      <c r="V2609" s="212" t="s">
        <v>1007</v>
      </c>
      <c r="W2609" s="17" t="s">
        <v>69</v>
      </c>
      <c r="Y2609" s="68">
        <v>45008</v>
      </c>
      <c r="Z2609" s="17" t="s">
        <v>191</v>
      </c>
      <c r="AA2609" s="17" t="s">
        <v>46</v>
      </c>
      <c r="AB2609" s="17" t="s">
        <v>1013</v>
      </c>
      <c r="AC2609" s="217">
        <v>45234</v>
      </c>
      <c r="AD2609" s="65">
        <v>1419</v>
      </c>
      <c r="AE2609" s="17" t="s">
        <v>48</v>
      </c>
      <c r="AF2609" s="17" t="s">
        <v>560</v>
      </c>
      <c r="AI2609" s="17">
        <v>2370</v>
      </c>
    </row>
    <row r="2610" s="17" customFormat="1" ht="15.6" hidden="1" spans="1:35">
      <c r="A2610" s="17" t="s">
        <v>34</v>
      </c>
      <c r="B2610" s="19">
        <v>879</v>
      </c>
      <c r="C2610" s="239" t="s">
        <v>1009</v>
      </c>
      <c r="D2610" s="17" t="s">
        <v>52</v>
      </c>
      <c r="E2610" s="17" t="s">
        <v>220</v>
      </c>
      <c r="F2610" s="17" t="s">
        <v>54</v>
      </c>
      <c r="H2610" s="19">
        <v>1.2379</v>
      </c>
      <c r="I2610" s="19"/>
      <c r="J2610" s="17" t="s">
        <v>82</v>
      </c>
      <c r="K2610" s="184">
        <v>155</v>
      </c>
      <c r="L2610" s="91">
        <v>40</v>
      </c>
      <c r="M2610" s="19"/>
      <c r="N2610" s="19" t="s">
        <v>40</v>
      </c>
      <c r="O2610" s="19" t="s">
        <v>168</v>
      </c>
      <c r="P2610" s="256">
        <v>1000</v>
      </c>
      <c r="Q2610" s="19">
        <v>657</v>
      </c>
      <c r="R2610" s="19">
        <f>+P2610-Q2610</f>
        <v>343</v>
      </c>
      <c r="S2610" s="19">
        <v>2320</v>
      </c>
      <c r="T2610" s="19" t="s">
        <v>42</v>
      </c>
      <c r="U2610" s="102" t="s">
        <v>1018</v>
      </c>
      <c r="V2610" s="212" t="s">
        <v>1007</v>
      </c>
      <c r="W2610" s="17" t="s">
        <v>69</v>
      </c>
      <c r="Y2610" s="68">
        <v>45008</v>
      </c>
      <c r="Z2610" s="17" t="s">
        <v>191</v>
      </c>
      <c r="AA2610" s="17" t="s">
        <v>46</v>
      </c>
      <c r="AB2610" s="17" t="s">
        <v>1019</v>
      </c>
      <c r="AC2610" s="102" t="s">
        <v>1020</v>
      </c>
      <c r="AD2610" s="65">
        <v>1408</v>
      </c>
      <c r="AE2610" s="17" t="s">
        <v>48</v>
      </c>
      <c r="AF2610" s="17" t="s">
        <v>560</v>
      </c>
      <c r="AI2610" s="17">
        <v>2370</v>
      </c>
    </row>
    <row r="2611" s="17" customFormat="1" ht="15.6" hidden="1" spans="1:35">
      <c r="A2611" s="17" t="s">
        <v>34</v>
      </c>
      <c r="B2611" s="19">
        <v>879</v>
      </c>
      <c r="C2611" s="239" t="s">
        <v>1009</v>
      </c>
      <c r="D2611" s="17" t="s">
        <v>52</v>
      </c>
      <c r="E2611" s="17" t="s">
        <v>220</v>
      </c>
      <c r="F2611" s="17" t="s">
        <v>54</v>
      </c>
      <c r="H2611" s="19">
        <v>1.2379</v>
      </c>
      <c r="I2611" s="19"/>
      <c r="J2611" s="17" t="s">
        <v>82</v>
      </c>
      <c r="K2611" s="184">
        <v>205</v>
      </c>
      <c r="L2611" s="91">
        <v>40</v>
      </c>
      <c r="M2611" s="19"/>
      <c r="N2611" s="19" t="s">
        <v>40</v>
      </c>
      <c r="O2611" s="19" t="s">
        <v>168</v>
      </c>
      <c r="P2611" s="256">
        <v>1000</v>
      </c>
      <c r="Q2611" s="19">
        <v>1038</v>
      </c>
      <c r="R2611" s="19">
        <f>+P2611-Q2611</f>
        <v>-38</v>
      </c>
      <c r="S2611" s="19">
        <v>2320</v>
      </c>
      <c r="T2611" s="19" t="s">
        <v>42</v>
      </c>
      <c r="U2611" s="102" t="s">
        <v>1018</v>
      </c>
      <c r="V2611" s="212" t="s">
        <v>1007</v>
      </c>
      <c r="W2611" s="17" t="s">
        <v>69</v>
      </c>
      <c r="Y2611" s="68">
        <v>45008</v>
      </c>
      <c r="Z2611" s="17" t="s">
        <v>191</v>
      </c>
      <c r="AA2611" s="17" t="s">
        <v>46</v>
      </c>
      <c r="AB2611" s="17" t="s">
        <v>1019</v>
      </c>
      <c r="AC2611" s="102" t="s">
        <v>1020</v>
      </c>
      <c r="AD2611" s="65">
        <v>1408</v>
      </c>
      <c r="AE2611" s="17" t="s">
        <v>48</v>
      </c>
      <c r="AF2611" s="17" t="s">
        <v>560</v>
      </c>
      <c r="AI2611" s="17">
        <v>2370</v>
      </c>
    </row>
    <row r="2612" s="17" customFormat="1" ht="15.6" hidden="1" spans="1:35">
      <c r="B2612" s="19">
        <v>879</v>
      </c>
      <c r="C2612" s="239" t="s">
        <v>1009</v>
      </c>
      <c r="D2612" s="17" t="s">
        <v>52</v>
      </c>
      <c r="E2612" s="17" t="s">
        <v>220</v>
      </c>
      <c r="F2612" s="17" t="s">
        <v>54</v>
      </c>
      <c r="H2612" s="19">
        <v>1.2379</v>
      </c>
      <c r="I2612" s="19"/>
      <c r="J2612" s="17" t="s">
        <v>82</v>
      </c>
      <c r="K2612" s="184">
        <v>255</v>
      </c>
      <c r="L2612" s="91">
        <v>40</v>
      </c>
      <c r="M2612" s="19"/>
      <c r="N2612" s="19" t="s">
        <v>40</v>
      </c>
      <c r="O2612" s="19" t="s">
        <v>168</v>
      </c>
      <c r="P2612" s="256">
        <v>1000</v>
      </c>
      <c r="Q2612" s="19">
        <v>0</v>
      </c>
      <c r="R2612" s="19">
        <f>+P2612-Q2612</f>
        <v>1000</v>
      </c>
      <c r="S2612" s="19">
        <v>2320</v>
      </c>
      <c r="T2612" s="19" t="s">
        <v>42</v>
      </c>
      <c r="U2612" s="102" t="s">
        <v>1018</v>
      </c>
      <c r="V2612" s="212" t="s">
        <v>1007</v>
      </c>
      <c r="W2612" s="17" t="s">
        <v>69</v>
      </c>
      <c r="Y2612" s="68">
        <v>45008</v>
      </c>
      <c r="Z2612" s="17" t="s">
        <v>191</v>
      </c>
      <c r="AA2612" s="17" t="s">
        <v>46</v>
      </c>
      <c r="AC2612" s="102"/>
      <c r="AD2612" s="65"/>
      <c r="AE2612" s="17" t="s">
        <v>48</v>
      </c>
      <c r="AF2612" s="17" t="s">
        <v>560</v>
      </c>
      <c r="AI2612" s="17">
        <v>2370</v>
      </c>
    </row>
    <row r="2613" s="17" customFormat="1" ht="15.6" hidden="1" spans="1:35">
      <c r="A2613" s="17" t="s">
        <v>34</v>
      </c>
      <c r="B2613" s="19">
        <v>879</v>
      </c>
      <c r="C2613" s="239" t="s">
        <v>1009</v>
      </c>
      <c r="D2613" s="17" t="s">
        <v>52</v>
      </c>
      <c r="E2613" s="17" t="s">
        <v>220</v>
      </c>
      <c r="F2613" s="17" t="s">
        <v>54</v>
      </c>
      <c r="H2613" s="19">
        <v>1.2379</v>
      </c>
      <c r="I2613" s="19"/>
      <c r="J2613" s="17" t="s">
        <v>82</v>
      </c>
      <c r="K2613" s="184">
        <v>305</v>
      </c>
      <c r="L2613" s="91">
        <v>40</v>
      </c>
      <c r="M2613" s="19"/>
      <c r="N2613" s="19" t="s">
        <v>40</v>
      </c>
      <c r="O2613" s="19" t="s">
        <v>168</v>
      </c>
      <c r="P2613" s="256">
        <v>1000</v>
      </c>
      <c r="Q2613" s="19">
        <v>275</v>
      </c>
      <c r="S2613" s="19">
        <v>2320</v>
      </c>
      <c r="T2613" s="19" t="s">
        <v>42</v>
      </c>
      <c r="U2613" s="102" t="s">
        <v>1018</v>
      </c>
      <c r="V2613" s="212" t="s">
        <v>1007</v>
      </c>
      <c r="W2613" s="17" t="s">
        <v>69</v>
      </c>
      <c r="Y2613" s="68">
        <v>45008</v>
      </c>
      <c r="Z2613" s="17" t="s">
        <v>191</v>
      </c>
      <c r="AA2613" s="17" t="s">
        <v>46</v>
      </c>
      <c r="AB2613" s="17" t="s">
        <v>1019</v>
      </c>
      <c r="AC2613" s="102" t="s">
        <v>1020</v>
      </c>
      <c r="AD2613" s="65">
        <v>1408</v>
      </c>
      <c r="AE2613" s="17" t="s">
        <v>48</v>
      </c>
      <c r="AF2613" s="17" t="s">
        <v>560</v>
      </c>
      <c r="AI2613" s="17">
        <v>2370</v>
      </c>
    </row>
    <row r="2614" s="17" customFormat="1" ht="15.6" hidden="1" spans="1:35">
      <c r="A2614" s="17" t="s">
        <v>34</v>
      </c>
      <c r="B2614" s="19">
        <v>879</v>
      </c>
      <c r="C2614" s="239" t="s">
        <v>1009</v>
      </c>
      <c r="D2614" s="17" t="s">
        <v>52</v>
      </c>
      <c r="E2614" s="17" t="s">
        <v>220</v>
      </c>
      <c r="F2614" s="17" t="s">
        <v>54</v>
      </c>
      <c r="H2614" s="19">
        <v>1.2379</v>
      </c>
      <c r="I2614" s="19"/>
      <c r="J2614" s="17" t="s">
        <v>82</v>
      </c>
      <c r="K2614" s="184">
        <v>305</v>
      </c>
      <c r="L2614" s="91">
        <v>40</v>
      </c>
      <c r="M2614" s="19"/>
      <c r="N2614" s="19" t="s">
        <v>40</v>
      </c>
      <c r="O2614" s="19" t="s">
        <v>168</v>
      </c>
      <c r="P2614" s="256"/>
      <c r="Q2614" s="19">
        <v>280</v>
      </c>
      <c r="R2614" s="19">
        <f>+P2613-Q2613-Q2614</f>
        <v>445</v>
      </c>
      <c r="S2614" s="19">
        <v>2320</v>
      </c>
      <c r="T2614" s="19" t="s">
        <v>42</v>
      </c>
      <c r="U2614" s="102" t="s">
        <v>1018</v>
      </c>
      <c r="V2614" s="212" t="s">
        <v>1007</v>
      </c>
      <c r="W2614" s="17" t="s">
        <v>69</v>
      </c>
      <c r="Y2614" s="68">
        <v>45008</v>
      </c>
      <c r="Z2614" s="17" t="s">
        <v>191</v>
      </c>
      <c r="AA2614" s="17" t="s">
        <v>46</v>
      </c>
      <c r="AB2614" s="17" t="s">
        <v>1021</v>
      </c>
      <c r="AC2614" s="217">
        <v>44989</v>
      </c>
      <c r="AD2614" s="65">
        <v>1413</v>
      </c>
      <c r="AE2614" s="17" t="s">
        <v>48</v>
      </c>
      <c r="AF2614" s="17" t="s">
        <v>560</v>
      </c>
      <c r="AI2614" s="17">
        <v>2370</v>
      </c>
    </row>
    <row r="2615" s="17" customFormat="1" ht="15.6" hidden="1" spans="1:35">
      <c r="A2615" s="17" t="s">
        <v>34</v>
      </c>
      <c r="B2615" s="19">
        <v>879</v>
      </c>
      <c r="C2615" s="239" t="s">
        <v>1009</v>
      </c>
      <c r="D2615" s="17" t="s">
        <v>52</v>
      </c>
      <c r="E2615" s="17" t="s">
        <v>220</v>
      </c>
      <c r="F2615" s="17" t="s">
        <v>54</v>
      </c>
      <c r="H2615" s="19">
        <v>1.2379</v>
      </c>
      <c r="I2615" s="19"/>
      <c r="J2615" s="17" t="s">
        <v>82</v>
      </c>
      <c r="K2615" s="184">
        <v>355</v>
      </c>
      <c r="L2615" s="91">
        <v>40</v>
      </c>
      <c r="M2615" s="19"/>
      <c r="N2615" s="19" t="s">
        <v>40</v>
      </c>
      <c r="O2615" s="19" t="s">
        <v>168</v>
      </c>
      <c r="P2615" s="256">
        <v>500</v>
      </c>
      <c r="Q2615" s="19">
        <v>826</v>
      </c>
      <c r="R2615" s="19">
        <f>+P2615-Q2615</f>
        <v>-326</v>
      </c>
      <c r="S2615" s="19">
        <v>2320</v>
      </c>
      <c r="T2615" s="19" t="s">
        <v>42</v>
      </c>
      <c r="U2615" s="102" t="s">
        <v>1018</v>
      </c>
      <c r="V2615" s="212" t="s">
        <v>1007</v>
      </c>
      <c r="W2615" s="17" t="s">
        <v>69</v>
      </c>
      <c r="Y2615" s="68">
        <v>45008</v>
      </c>
      <c r="Z2615" s="17" t="s">
        <v>191</v>
      </c>
      <c r="AA2615" s="17" t="s">
        <v>46</v>
      </c>
      <c r="AB2615" s="17" t="s">
        <v>1019</v>
      </c>
      <c r="AC2615" s="102" t="s">
        <v>1020</v>
      </c>
      <c r="AD2615" s="65">
        <v>1408</v>
      </c>
      <c r="AE2615" s="17" t="s">
        <v>48</v>
      </c>
      <c r="AF2615" s="17" t="s">
        <v>560</v>
      </c>
      <c r="AI2615" s="17">
        <v>2370</v>
      </c>
    </row>
    <row r="2616" s="17" customFormat="1" ht="15.6" hidden="1" spans="1:35">
      <c r="A2616" s="17" t="s">
        <v>34</v>
      </c>
      <c r="B2616" s="19">
        <v>879</v>
      </c>
      <c r="C2616" s="239" t="s">
        <v>1009</v>
      </c>
      <c r="D2616" s="17" t="s">
        <v>52</v>
      </c>
      <c r="E2616" s="17" t="s">
        <v>220</v>
      </c>
      <c r="F2616" s="17" t="s">
        <v>54</v>
      </c>
      <c r="H2616" s="19">
        <v>1.2379</v>
      </c>
      <c r="I2616" s="19"/>
      <c r="J2616" s="17" t="s">
        <v>82</v>
      </c>
      <c r="K2616" s="184">
        <v>405</v>
      </c>
      <c r="L2616" s="91">
        <v>40</v>
      </c>
      <c r="M2616" s="19"/>
      <c r="N2616" s="19" t="s">
        <v>40</v>
      </c>
      <c r="O2616" s="19" t="s">
        <v>168</v>
      </c>
      <c r="P2616" s="256">
        <v>1000</v>
      </c>
      <c r="Q2616" s="19">
        <v>441</v>
      </c>
      <c r="R2616" s="19">
        <f>+P2616-Q2616</f>
        <v>559</v>
      </c>
      <c r="S2616" s="19">
        <v>2320</v>
      </c>
      <c r="T2616" s="19" t="s">
        <v>42</v>
      </c>
      <c r="U2616" s="102" t="s">
        <v>1018</v>
      </c>
      <c r="V2616" s="212" t="s">
        <v>1007</v>
      </c>
      <c r="W2616" s="17" t="s">
        <v>69</v>
      </c>
      <c r="Y2616" s="68">
        <v>45008</v>
      </c>
      <c r="Z2616" s="17" t="s">
        <v>191</v>
      </c>
      <c r="AA2616" s="17" t="s">
        <v>46</v>
      </c>
      <c r="AB2616" s="17" t="s">
        <v>1011</v>
      </c>
      <c r="AC2616" s="102" t="s">
        <v>1012</v>
      </c>
      <c r="AD2616" s="65">
        <v>1416</v>
      </c>
      <c r="AE2616" s="17" t="s">
        <v>48</v>
      </c>
      <c r="AF2616" s="17" t="s">
        <v>560</v>
      </c>
      <c r="AI2616" s="17">
        <v>2370</v>
      </c>
    </row>
    <row r="2617" s="17" customFormat="1" ht="15.6" hidden="1" spans="1:35">
      <c r="A2617" s="17" t="s">
        <v>34</v>
      </c>
      <c r="B2617" s="19">
        <v>879</v>
      </c>
      <c r="C2617" s="239" t="s">
        <v>1009</v>
      </c>
      <c r="D2617" s="17" t="s">
        <v>52</v>
      </c>
      <c r="E2617" s="17" t="s">
        <v>220</v>
      </c>
      <c r="F2617" s="17" t="s">
        <v>54</v>
      </c>
      <c r="H2617" s="19">
        <v>1.2379</v>
      </c>
      <c r="I2617" s="19"/>
      <c r="J2617" s="17" t="s">
        <v>82</v>
      </c>
      <c r="K2617" s="184">
        <v>155</v>
      </c>
      <c r="L2617" s="91">
        <v>50</v>
      </c>
      <c r="M2617" s="19"/>
      <c r="N2617" s="19" t="s">
        <v>40</v>
      </c>
      <c r="O2617" s="19" t="s">
        <v>168</v>
      </c>
      <c r="P2617" s="256">
        <v>1000</v>
      </c>
      <c r="Q2617" s="19">
        <f>972+141</f>
        <v>1113</v>
      </c>
      <c r="R2617" s="19">
        <f>+P2617-Q2617</f>
        <v>-113</v>
      </c>
      <c r="S2617" s="19">
        <v>2320</v>
      </c>
      <c r="T2617" s="19" t="s">
        <v>42</v>
      </c>
      <c r="U2617" s="102" t="s">
        <v>1018</v>
      </c>
      <c r="V2617" s="212" t="s">
        <v>1007</v>
      </c>
      <c r="W2617" s="17" t="s">
        <v>69</v>
      </c>
      <c r="Y2617" s="68">
        <v>45008</v>
      </c>
      <c r="Z2617" s="17" t="s">
        <v>191</v>
      </c>
      <c r="AA2617" s="17" t="s">
        <v>46</v>
      </c>
      <c r="AB2617" s="17" t="s">
        <v>1019</v>
      </c>
      <c r="AC2617" s="102" t="s">
        <v>1020</v>
      </c>
      <c r="AD2617" s="65">
        <v>1408</v>
      </c>
      <c r="AE2617" s="17" t="s">
        <v>48</v>
      </c>
      <c r="AF2617" s="17" t="s">
        <v>560</v>
      </c>
      <c r="AI2617" s="17">
        <v>2370</v>
      </c>
    </row>
    <row r="2618" s="17" customFormat="1" ht="15.6" hidden="1" spans="1:35">
      <c r="A2618" s="17" t="s">
        <v>34</v>
      </c>
      <c r="B2618" s="19">
        <v>879</v>
      </c>
      <c r="C2618" s="239" t="s">
        <v>1009</v>
      </c>
      <c r="D2618" s="17" t="s">
        <v>52</v>
      </c>
      <c r="E2618" s="17" t="s">
        <v>220</v>
      </c>
      <c r="F2618" s="17" t="s">
        <v>54</v>
      </c>
      <c r="H2618" s="19">
        <v>1.2379</v>
      </c>
      <c r="I2618" s="19"/>
      <c r="J2618" s="17" t="s">
        <v>82</v>
      </c>
      <c r="K2618" s="184">
        <v>205</v>
      </c>
      <c r="L2618" s="91">
        <v>50</v>
      </c>
      <c r="M2618" s="19"/>
      <c r="N2618" s="19" t="s">
        <v>40</v>
      </c>
      <c r="O2618" s="19" t="s">
        <v>168</v>
      </c>
      <c r="P2618" s="256">
        <v>1000</v>
      </c>
      <c r="Q2618" s="19">
        <v>705</v>
      </c>
      <c r="R2618" s="19">
        <f>+P2618-Q2618</f>
        <v>295</v>
      </c>
      <c r="S2618" s="19">
        <v>2320</v>
      </c>
      <c r="T2618" s="19" t="s">
        <v>42</v>
      </c>
      <c r="U2618" s="102" t="s">
        <v>1018</v>
      </c>
      <c r="V2618" s="212" t="s">
        <v>1007</v>
      </c>
      <c r="W2618" s="17" t="s">
        <v>69</v>
      </c>
      <c r="Y2618" s="68">
        <v>45008</v>
      </c>
      <c r="Z2618" s="17" t="s">
        <v>191</v>
      </c>
      <c r="AA2618" s="17" t="s">
        <v>46</v>
      </c>
      <c r="AB2618" s="17" t="s">
        <v>1019</v>
      </c>
      <c r="AC2618" s="102" t="s">
        <v>1020</v>
      </c>
      <c r="AD2618" s="65">
        <v>1408</v>
      </c>
      <c r="AE2618" s="17" t="s">
        <v>48</v>
      </c>
      <c r="AF2618" s="17" t="s">
        <v>560</v>
      </c>
      <c r="AI2618" s="17">
        <v>2370</v>
      </c>
    </row>
    <row r="2619" s="17" customFormat="1" ht="15.6" hidden="1" spans="1:35">
      <c r="A2619" s="17" t="s">
        <v>34</v>
      </c>
      <c r="B2619" s="19">
        <v>879</v>
      </c>
      <c r="C2619" s="239" t="s">
        <v>1009</v>
      </c>
      <c r="D2619" s="17" t="s">
        <v>52</v>
      </c>
      <c r="E2619" s="17" t="s">
        <v>220</v>
      </c>
      <c r="F2619" s="17" t="s">
        <v>54</v>
      </c>
      <c r="H2619" s="19">
        <v>1.2379</v>
      </c>
      <c r="I2619" s="19"/>
      <c r="J2619" s="17" t="s">
        <v>82</v>
      </c>
      <c r="K2619" s="184">
        <v>255</v>
      </c>
      <c r="L2619" s="91">
        <v>50</v>
      </c>
      <c r="M2619" s="19"/>
      <c r="N2619" s="19" t="s">
        <v>40</v>
      </c>
      <c r="O2619" s="19" t="s">
        <v>168</v>
      </c>
      <c r="P2619" s="256">
        <v>1000</v>
      </c>
      <c r="Q2619" s="19">
        <v>1050</v>
      </c>
      <c r="S2619" s="19">
        <v>2320</v>
      </c>
      <c r="T2619" s="19" t="s">
        <v>42</v>
      </c>
      <c r="U2619" s="102" t="s">
        <v>1018</v>
      </c>
      <c r="V2619" s="212" t="s">
        <v>1007</v>
      </c>
      <c r="W2619" s="17" t="s">
        <v>69</v>
      </c>
      <c r="Y2619" s="68">
        <v>45008</v>
      </c>
      <c r="Z2619" s="17" t="s">
        <v>191</v>
      </c>
      <c r="AA2619" s="17" t="s">
        <v>46</v>
      </c>
      <c r="AB2619" s="17" t="s">
        <v>1019</v>
      </c>
      <c r="AC2619" s="102" t="s">
        <v>1020</v>
      </c>
      <c r="AD2619" s="65">
        <v>1408</v>
      </c>
      <c r="AE2619" s="17" t="s">
        <v>48</v>
      </c>
      <c r="AF2619" s="17" t="s">
        <v>560</v>
      </c>
      <c r="AI2619" s="17">
        <v>2370</v>
      </c>
    </row>
    <row r="2620" s="17" customFormat="1" ht="15.6" hidden="1" spans="1:35">
      <c r="A2620" s="17" t="s">
        <v>34</v>
      </c>
      <c r="B2620" s="19">
        <v>879</v>
      </c>
      <c r="C2620" s="239" t="s">
        <v>1009</v>
      </c>
      <c r="D2620" s="17" t="s">
        <v>52</v>
      </c>
      <c r="E2620" s="17" t="s">
        <v>220</v>
      </c>
      <c r="F2620" s="17" t="s">
        <v>54</v>
      </c>
      <c r="H2620" s="19">
        <v>1.2379</v>
      </c>
      <c r="I2620" s="19"/>
      <c r="J2620" s="17" t="s">
        <v>82</v>
      </c>
      <c r="K2620" s="184">
        <v>250</v>
      </c>
      <c r="L2620" s="91">
        <v>50</v>
      </c>
      <c r="M2620" s="19"/>
      <c r="N2620" s="19" t="s">
        <v>40</v>
      </c>
      <c r="O2620" s="19" t="s">
        <v>168</v>
      </c>
      <c r="P2620" s="256"/>
      <c r="Q2620" s="19">
        <v>357</v>
      </c>
      <c r="R2620" s="19">
        <f>+P2619-Q2619-Q2620</f>
        <v>-407</v>
      </c>
      <c r="S2620" s="19">
        <v>2320</v>
      </c>
      <c r="T2620" s="19" t="s">
        <v>42</v>
      </c>
      <c r="U2620" s="102" t="s">
        <v>1018</v>
      </c>
      <c r="V2620" s="212" t="s">
        <v>1007</v>
      </c>
      <c r="W2620" s="17" t="s">
        <v>69</v>
      </c>
      <c r="Y2620" s="68">
        <v>45008</v>
      </c>
      <c r="Z2620" s="17" t="s">
        <v>191</v>
      </c>
      <c r="AA2620" s="17" t="s">
        <v>46</v>
      </c>
      <c r="AB2620" s="17" t="s">
        <v>1013</v>
      </c>
      <c r="AC2620" s="217">
        <v>45234</v>
      </c>
      <c r="AD2620" s="65">
        <v>1419</v>
      </c>
      <c r="AE2620" s="17" t="s">
        <v>48</v>
      </c>
    </row>
    <row r="2621" s="17" customFormat="1" ht="15.6" hidden="1" spans="1:35">
      <c r="A2621" s="17" t="s">
        <v>34</v>
      </c>
      <c r="B2621" s="19">
        <v>879</v>
      </c>
      <c r="C2621" s="239" t="s">
        <v>1009</v>
      </c>
      <c r="D2621" s="17" t="s">
        <v>52</v>
      </c>
      <c r="E2621" s="17" t="s">
        <v>220</v>
      </c>
      <c r="F2621" s="17" t="s">
        <v>54</v>
      </c>
      <c r="H2621" s="19">
        <v>1.2379</v>
      </c>
      <c r="I2621" s="19"/>
      <c r="J2621" s="17" t="s">
        <v>82</v>
      </c>
      <c r="K2621" s="184">
        <v>305</v>
      </c>
      <c r="L2621" s="91">
        <v>50</v>
      </c>
      <c r="M2621" s="19"/>
      <c r="N2621" s="19" t="s">
        <v>40</v>
      </c>
      <c r="O2621" s="19" t="s">
        <v>168</v>
      </c>
      <c r="P2621" s="256">
        <v>1000</v>
      </c>
      <c r="Q2621" s="19">
        <v>723</v>
      </c>
      <c r="R2621" s="19">
        <f>+P2621-Q2621</f>
        <v>277</v>
      </c>
      <c r="S2621" s="19">
        <v>2320</v>
      </c>
      <c r="T2621" s="19" t="s">
        <v>42</v>
      </c>
      <c r="U2621" s="102" t="s">
        <v>1018</v>
      </c>
      <c r="V2621" s="212" t="s">
        <v>1007</v>
      </c>
      <c r="W2621" s="17" t="s">
        <v>69</v>
      </c>
      <c r="Y2621" s="68">
        <v>45008</v>
      </c>
      <c r="Z2621" s="17" t="s">
        <v>191</v>
      </c>
      <c r="AA2621" s="17" t="s">
        <v>46</v>
      </c>
      <c r="AB2621" s="17" t="s">
        <v>1019</v>
      </c>
      <c r="AC2621" s="102" t="s">
        <v>1020</v>
      </c>
      <c r="AD2621" s="65">
        <v>1408</v>
      </c>
      <c r="AE2621" s="17" t="s">
        <v>48</v>
      </c>
      <c r="AF2621" s="17" t="s">
        <v>560</v>
      </c>
      <c r="AI2621" s="17">
        <v>2370</v>
      </c>
    </row>
    <row r="2622" s="17" customFormat="1" ht="15.6" hidden="1" spans="1:35">
      <c r="A2622" s="17" t="s">
        <v>34</v>
      </c>
      <c r="B2622" s="19">
        <v>879</v>
      </c>
      <c r="C2622" s="239" t="s">
        <v>1009</v>
      </c>
      <c r="D2622" s="17" t="s">
        <v>52</v>
      </c>
      <c r="E2622" s="17" t="s">
        <v>220</v>
      </c>
      <c r="F2622" s="17" t="s">
        <v>54</v>
      </c>
      <c r="H2622" s="19">
        <v>1.2379</v>
      </c>
      <c r="I2622" s="19"/>
      <c r="J2622" s="17" t="s">
        <v>82</v>
      </c>
      <c r="K2622" s="184">
        <v>355</v>
      </c>
      <c r="L2622" s="91">
        <v>50</v>
      </c>
      <c r="M2622" s="19"/>
      <c r="N2622" s="19" t="s">
        <v>40</v>
      </c>
      <c r="O2622" s="19" t="s">
        <v>168</v>
      </c>
      <c r="P2622" s="256">
        <v>500</v>
      </c>
      <c r="Q2622" s="19">
        <v>515</v>
      </c>
      <c r="R2622" s="19">
        <f>+P2622-Q2622</f>
        <v>-15</v>
      </c>
      <c r="S2622" s="19">
        <v>2320</v>
      </c>
      <c r="T2622" s="19" t="s">
        <v>42</v>
      </c>
      <c r="U2622" s="102" t="s">
        <v>1018</v>
      </c>
      <c r="V2622" s="212" t="s">
        <v>1007</v>
      </c>
      <c r="W2622" s="17" t="s">
        <v>69</v>
      </c>
      <c r="Y2622" s="68">
        <v>45008</v>
      </c>
      <c r="Z2622" s="17" t="s">
        <v>191</v>
      </c>
      <c r="AA2622" s="17" t="s">
        <v>46</v>
      </c>
      <c r="AB2622" s="17" t="s">
        <v>1019</v>
      </c>
      <c r="AC2622" s="102" t="s">
        <v>1020</v>
      </c>
      <c r="AD2622" s="65">
        <v>1408</v>
      </c>
      <c r="AE2622" s="17" t="s">
        <v>48</v>
      </c>
      <c r="AF2622" s="17" t="s">
        <v>560</v>
      </c>
      <c r="AI2622" s="17">
        <v>2370</v>
      </c>
    </row>
    <row r="2623" s="17" customFormat="1" ht="15.6" hidden="1" spans="1:35">
      <c r="A2623" s="17" t="s">
        <v>34</v>
      </c>
      <c r="B2623" s="19">
        <v>879</v>
      </c>
      <c r="C2623" s="239" t="s">
        <v>1009</v>
      </c>
      <c r="D2623" s="17" t="s">
        <v>52</v>
      </c>
      <c r="E2623" s="17" t="s">
        <v>220</v>
      </c>
      <c r="F2623" s="17" t="s">
        <v>54</v>
      </c>
      <c r="H2623" s="19">
        <v>1.2379</v>
      </c>
      <c r="I2623" s="19"/>
      <c r="J2623" s="17" t="s">
        <v>82</v>
      </c>
      <c r="K2623" s="184">
        <v>405</v>
      </c>
      <c r="L2623" s="91">
        <v>50</v>
      </c>
      <c r="M2623" s="19"/>
      <c r="N2623" s="19" t="s">
        <v>40</v>
      </c>
      <c r="O2623" s="19" t="s">
        <v>168</v>
      </c>
      <c r="P2623" s="256">
        <v>1000</v>
      </c>
      <c r="Q2623" s="19">
        <v>575</v>
      </c>
      <c r="S2623" s="19">
        <v>2320</v>
      </c>
      <c r="T2623" s="19" t="s">
        <v>42</v>
      </c>
      <c r="U2623" s="102" t="s">
        <v>1018</v>
      </c>
      <c r="V2623" s="212" t="s">
        <v>1007</v>
      </c>
      <c r="W2623" s="17" t="s">
        <v>69</v>
      </c>
      <c r="Y2623" s="68">
        <v>45008</v>
      </c>
      <c r="Z2623" s="17" t="s">
        <v>191</v>
      </c>
      <c r="AA2623" s="17" t="s">
        <v>46</v>
      </c>
      <c r="AB2623" s="17" t="s">
        <v>1019</v>
      </c>
      <c r="AC2623" s="102" t="s">
        <v>1020</v>
      </c>
      <c r="AD2623" s="65">
        <v>1408</v>
      </c>
      <c r="AE2623" s="17" t="s">
        <v>48</v>
      </c>
      <c r="AF2623" s="17" t="s">
        <v>560</v>
      </c>
      <c r="AI2623" s="17">
        <v>2370</v>
      </c>
    </row>
    <row r="2624" s="17" customFormat="1" ht="15.6" hidden="1" spans="1:35">
      <c r="A2624" s="17" t="s">
        <v>34</v>
      </c>
      <c r="B2624" s="19">
        <v>879</v>
      </c>
      <c r="C2624" s="239" t="s">
        <v>1009</v>
      </c>
      <c r="D2624" s="17" t="s">
        <v>52</v>
      </c>
      <c r="E2624" s="17" t="s">
        <v>220</v>
      </c>
      <c r="F2624" s="17" t="s">
        <v>54</v>
      </c>
      <c r="H2624" s="19">
        <v>1.2379</v>
      </c>
      <c r="I2624" s="19"/>
      <c r="J2624" s="17" t="s">
        <v>82</v>
      </c>
      <c r="K2624" s="184">
        <v>405</v>
      </c>
      <c r="L2624" s="91">
        <v>50</v>
      </c>
      <c r="M2624" s="19"/>
      <c r="N2624" s="19" t="s">
        <v>40</v>
      </c>
      <c r="O2624" s="19" t="s">
        <v>168</v>
      </c>
      <c r="P2624" s="256"/>
      <c r="Q2624" s="19">
        <v>668</v>
      </c>
      <c r="R2624" s="19">
        <f>+P2623-Q2623-Q2624</f>
        <v>-243</v>
      </c>
      <c r="S2624" s="19">
        <v>2320</v>
      </c>
      <c r="T2624" s="19" t="s">
        <v>42</v>
      </c>
      <c r="U2624" s="102" t="s">
        <v>1018</v>
      </c>
      <c r="V2624" s="212" t="s">
        <v>1007</v>
      </c>
      <c r="W2624" s="17" t="s">
        <v>69</v>
      </c>
      <c r="Y2624" s="68">
        <v>45008</v>
      </c>
      <c r="Z2624" s="17" t="s">
        <v>191</v>
      </c>
      <c r="AA2624" s="17" t="s">
        <v>46</v>
      </c>
      <c r="AB2624" s="17" t="s">
        <v>1021</v>
      </c>
      <c r="AC2624" s="217">
        <v>44989</v>
      </c>
      <c r="AD2624" s="65">
        <v>1413</v>
      </c>
      <c r="AE2624" s="17" t="s">
        <v>48</v>
      </c>
      <c r="AF2624" s="17" t="s">
        <v>560</v>
      </c>
      <c r="AI2624" s="17">
        <v>2370</v>
      </c>
    </row>
    <row r="2625" s="17" customFormat="1" ht="15.6" hidden="1" spans="1:35">
      <c r="B2625" s="19">
        <v>879</v>
      </c>
      <c r="C2625" s="239" t="s">
        <v>1009</v>
      </c>
      <c r="D2625" s="17" t="s">
        <v>52</v>
      </c>
      <c r="E2625" s="17" t="s">
        <v>220</v>
      </c>
      <c r="F2625" s="17" t="s">
        <v>54</v>
      </c>
      <c r="H2625" s="19">
        <v>1.2379</v>
      </c>
      <c r="I2625" s="19"/>
      <c r="J2625" s="17" t="s">
        <v>82</v>
      </c>
      <c r="K2625" s="184">
        <v>510</v>
      </c>
      <c r="L2625" s="91">
        <v>50</v>
      </c>
      <c r="M2625" s="19"/>
      <c r="N2625" s="19" t="s">
        <v>40</v>
      </c>
      <c r="O2625" s="19" t="s">
        <v>168</v>
      </c>
      <c r="P2625" s="256">
        <v>1000</v>
      </c>
      <c r="Q2625" s="19">
        <v>0</v>
      </c>
      <c r="R2625" s="19">
        <f>+P2625-Q2625</f>
        <v>1000</v>
      </c>
      <c r="S2625" s="19">
        <v>2320</v>
      </c>
      <c r="T2625" s="19" t="s">
        <v>42</v>
      </c>
      <c r="U2625" s="102" t="s">
        <v>1018</v>
      </c>
      <c r="V2625" s="212" t="s">
        <v>1007</v>
      </c>
      <c r="W2625" s="17" t="s">
        <v>69</v>
      </c>
      <c r="Y2625" s="68">
        <v>45008</v>
      </c>
      <c r="Z2625" s="17" t="s">
        <v>191</v>
      </c>
      <c r="AA2625" s="17" t="s">
        <v>46</v>
      </c>
      <c r="AC2625" s="102"/>
      <c r="AD2625" s="65"/>
      <c r="AE2625" s="17" t="s">
        <v>48</v>
      </c>
      <c r="AF2625" s="17" t="s">
        <v>560</v>
      </c>
      <c r="AI2625" s="17">
        <v>2370</v>
      </c>
    </row>
    <row r="2626" s="17" customFormat="1" ht="15.6" hidden="1" spans="1:35">
      <c r="A2626" s="17" t="s">
        <v>34</v>
      </c>
      <c r="B2626" s="19">
        <v>879</v>
      </c>
      <c r="C2626" s="239" t="s">
        <v>1009</v>
      </c>
      <c r="D2626" s="17" t="s">
        <v>52</v>
      </c>
      <c r="E2626" s="17" t="s">
        <v>220</v>
      </c>
      <c r="F2626" s="17" t="s">
        <v>54</v>
      </c>
      <c r="H2626" s="19">
        <v>1.2379</v>
      </c>
      <c r="I2626" s="19"/>
      <c r="J2626" s="17" t="s">
        <v>82</v>
      </c>
      <c r="K2626" s="184">
        <v>510</v>
      </c>
      <c r="L2626" s="91">
        <v>60</v>
      </c>
      <c r="M2626" s="19"/>
      <c r="N2626" s="19" t="s">
        <v>40</v>
      </c>
      <c r="O2626" s="19" t="s">
        <v>168</v>
      </c>
      <c r="P2626" s="256">
        <v>1000</v>
      </c>
      <c r="Q2626" s="19">
        <v>986</v>
      </c>
      <c r="R2626" s="19">
        <f>+P2626-Q2626</f>
        <v>14</v>
      </c>
      <c r="S2626" s="19">
        <v>2320</v>
      </c>
      <c r="T2626" s="19" t="s">
        <v>42</v>
      </c>
      <c r="U2626" s="102" t="s">
        <v>1018</v>
      </c>
      <c r="V2626" s="212" t="s">
        <v>1007</v>
      </c>
      <c r="W2626" s="17" t="s">
        <v>69</v>
      </c>
      <c r="Y2626" s="68">
        <v>45008</v>
      </c>
      <c r="Z2626" s="17" t="s">
        <v>191</v>
      </c>
      <c r="AA2626" s="17" t="s">
        <v>46</v>
      </c>
      <c r="AB2626" s="17" t="s">
        <v>1019</v>
      </c>
      <c r="AC2626" s="102" t="s">
        <v>1020</v>
      </c>
      <c r="AD2626" s="65">
        <v>1408</v>
      </c>
      <c r="AE2626" s="17" t="s">
        <v>48</v>
      </c>
      <c r="AF2626" s="17" t="s">
        <v>560</v>
      </c>
      <c r="AI2626" s="17">
        <v>2370</v>
      </c>
    </row>
    <row r="2627" s="17" customFormat="1" ht="15.6" hidden="1" spans="1:35">
      <c r="B2627" s="19">
        <v>879</v>
      </c>
      <c r="C2627" s="239" t="s">
        <v>1009</v>
      </c>
      <c r="D2627" s="17" t="s">
        <v>52</v>
      </c>
      <c r="E2627" s="17" t="s">
        <v>220</v>
      </c>
      <c r="F2627" s="17" t="s">
        <v>54</v>
      </c>
      <c r="H2627" s="19">
        <v>1.2379</v>
      </c>
      <c r="I2627" s="19"/>
      <c r="J2627" s="17" t="s">
        <v>82</v>
      </c>
      <c r="K2627" s="184">
        <v>155</v>
      </c>
      <c r="L2627" s="91">
        <v>65</v>
      </c>
      <c r="M2627" s="19"/>
      <c r="N2627" s="19" t="s">
        <v>40</v>
      </c>
      <c r="O2627" s="19" t="s">
        <v>168</v>
      </c>
      <c r="P2627" s="256">
        <v>1000</v>
      </c>
      <c r="Q2627" s="19">
        <v>0</v>
      </c>
      <c r="R2627" s="19">
        <f>+P2627-Q2627</f>
        <v>1000</v>
      </c>
      <c r="S2627" s="19">
        <v>2320</v>
      </c>
      <c r="T2627" s="19" t="s">
        <v>42</v>
      </c>
      <c r="U2627" s="102" t="s">
        <v>1018</v>
      </c>
      <c r="V2627" s="212" t="s">
        <v>1007</v>
      </c>
      <c r="W2627" s="17" t="s">
        <v>69</v>
      </c>
      <c r="Y2627" s="68">
        <v>45008</v>
      </c>
      <c r="Z2627" s="17" t="s">
        <v>191</v>
      </c>
      <c r="AA2627" s="17" t="s">
        <v>46</v>
      </c>
      <c r="AC2627" s="102"/>
      <c r="AD2627" s="65"/>
      <c r="AE2627" s="17" t="s">
        <v>48</v>
      </c>
      <c r="AF2627" s="17" t="s">
        <v>560</v>
      </c>
      <c r="AI2627" s="17">
        <v>2370</v>
      </c>
    </row>
    <row r="2628" s="17" customFormat="1" ht="15.6" hidden="1" spans="1:35">
      <c r="A2628" s="17" t="s">
        <v>34</v>
      </c>
      <c r="B2628" s="19">
        <v>879</v>
      </c>
      <c r="C2628" s="239" t="s">
        <v>1009</v>
      </c>
      <c r="D2628" s="17" t="s">
        <v>52</v>
      </c>
      <c r="E2628" s="17" t="s">
        <v>220</v>
      </c>
      <c r="F2628" s="17" t="s">
        <v>54</v>
      </c>
      <c r="H2628" s="19">
        <v>1.2379</v>
      </c>
      <c r="I2628" s="19"/>
      <c r="J2628" s="17" t="s">
        <v>82</v>
      </c>
      <c r="K2628" s="184">
        <v>205</v>
      </c>
      <c r="L2628" s="91">
        <v>65</v>
      </c>
      <c r="M2628" s="19"/>
      <c r="N2628" s="19" t="s">
        <v>40</v>
      </c>
      <c r="O2628" s="19" t="s">
        <v>168</v>
      </c>
      <c r="P2628" s="256">
        <v>1000</v>
      </c>
      <c r="Q2628" s="19">
        <f>1033+330</f>
        <v>1363</v>
      </c>
      <c r="S2628" s="19">
        <v>2320</v>
      </c>
      <c r="T2628" s="19" t="s">
        <v>42</v>
      </c>
      <c r="U2628" s="102" t="s">
        <v>1018</v>
      </c>
      <c r="V2628" s="212" t="s">
        <v>1007</v>
      </c>
      <c r="W2628" s="17" t="s">
        <v>69</v>
      </c>
      <c r="Y2628" s="68">
        <v>45008</v>
      </c>
      <c r="Z2628" s="17" t="s">
        <v>191</v>
      </c>
      <c r="AA2628" s="17" t="s">
        <v>46</v>
      </c>
      <c r="AB2628" s="17" t="s">
        <v>1019</v>
      </c>
      <c r="AC2628" s="102" t="s">
        <v>1020</v>
      </c>
      <c r="AD2628" s="65">
        <v>1408</v>
      </c>
      <c r="AE2628" s="17" t="s">
        <v>48</v>
      </c>
      <c r="AF2628" s="17" t="s">
        <v>560</v>
      </c>
      <c r="AI2628" s="17">
        <v>2370</v>
      </c>
    </row>
    <row r="2629" s="17" customFormat="1" ht="15.6" hidden="1" spans="1:35">
      <c r="A2629" s="17" t="s">
        <v>34</v>
      </c>
      <c r="B2629" s="19">
        <v>879</v>
      </c>
      <c r="C2629" s="239" t="s">
        <v>1009</v>
      </c>
      <c r="D2629" s="17" t="s">
        <v>52</v>
      </c>
      <c r="E2629" s="17" t="s">
        <v>220</v>
      </c>
      <c r="F2629" s="17" t="s">
        <v>54</v>
      </c>
      <c r="H2629" s="19">
        <v>1.2379</v>
      </c>
      <c r="I2629" s="19"/>
      <c r="J2629" s="17" t="s">
        <v>82</v>
      </c>
      <c r="K2629" s="184">
        <v>205</v>
      </c>
      <c r="L2629" s="91">
        <v>65</v>
      </c>
      <c r="M2629" s="19"/>
      <c r="N2629" s="19" t="s">
        <v>40</v>
      </c>
      <c r="O2629" s="19" t="s">
        <v>168</v>
      </c>
      <c r="P2629" s="256"/>
      <c r="Q2629" s="19">
        <v>489</v>
      </c>
      <c r="S2629" s="19">
        <v>2320</v>
      </c>
      <c r="T2629" s="19" t="s">
        <v>42</v>
      </c>
      <c r="U2629" s="102" t="s">
        <v>1018</v>
      </c>
      <c r="V2629" s="212" t="s">
        <v>1007</v>
      </c>
      <c r="W2629" s="17" t="s">
        <v>69</v>
      </c>
      <c r="Y2629" s="68">
        <v>45008</v>
      </c>
      <c r="Z2629" s="17" t="s">
        <v>191</v>
      </c>
      <c r="AA2629" s="17" t="s">
        <v>46</v>
      </c>
      <c r="AB2629" s="17" t="s">
        <v>1021</v>
      </c>
      <c r="AC2629" s="217">
        <v>44989</v>
      </c>
      <c r="AD2629" s="65">
        <v>1413</v>
      </c>
      <c r="AE2629" s="17" t="s">
        <v>48</v>
      </c>
      <c r="AF2629" s="17" t="s">
        <v>560</v>
      </c>
    </row>
    <row r="2630" s="17" customFormat="1" ht="15.6" hidden="1" spans="1:35">
      <c r="A2630" s="17" t="s">
        <v>34</v>
      </c>
      <c r="B2630" s="19">
        <v>879</v>
      </c>
      <c r="C2630" s="239" t="s">
        <v>1009</v>
      </c>
      <c r="D2630" s="17" t="s">
        <v>52</v>
      </c>
      <c r="E2630" s="17" t="s">
        <v>220</v>
      </c>
      <c r="F2630" s="17" t="s">
        <v>54</v>
      </c>
      <c r="H2630" s="19">
        <v>1.2379</v>
      </c>
      <c r="I2630" s="19"/>
      <c r="J2630" s="17" t="s">
        <v>82</v>
      </c>
      <c r="K2630" s="184">
        <v>205</v>
      </c>
      <c r="L2630" s="91">
        <v>65</v>
      </c>
      <c r="M2630" s="19"/>
      <c r="N2630" s="19" t="s">
        <v>40</v>
      </c>
      <c r="O2630" s="19" t="s">
        <v>168</v>
      </c>
      <c r="P2630" s="256"/>
      <c r="Q2630" s="19">
        <v>353</v>
      </c>
      <c r="S2630" s="19">
        <v>2320</v>
      </c>
      <c r="T2630" s="19" t="s">
        <v>42</v>
      </c>
      <c r="U2630" s="102" t="s">
        <v>1018</v>
      </c>
      <c r="V2630" s="212" t="s">
        <v>1007</v>
      </c>
      <c r="W2630" s="17" t="s">
        <v>69</v>
      </c>
      <c r="Y2630" s="68">
        <v>45008</v>
      </c>
      <c r="Z2630" s="17" t="s">
        <v>191</v>
      </c>
      <c r="AA2630" s="17" t="s">
        <v>46</v>
      </c>
      <c r="AB2630" s="17" t="s">
        <v>1011</v>
      </c>
      <c r="AC2630" s="102" t="s">
        <v>1012</v>
      </c>
      <c r="AD2630" s="65">
        <v>1416</v>
      </c>
      <c r="AE2630" s="17" t="s">
        <v>48</v>
      </c>
      <c r="AF2630" s="17" t="s">
        <v>560</v>
      </c>
    </row>
    <row r="2631" s="17" customFormat="1" ht="15.6" hidden="1" spans="1:35">
      <c r="A2631" s="17" t="s">
        <v>34</v>
      </c>
      <c r="B2631" s="19">
        <v>879</v>
      </c>
      <c r="C2631" s="239" t="s">
        <v>1009</v>
      </c>
      <c r="D2631" s="17" t="s">
        <v>52</v>
      </c>
      <c r="E2631" s="17" t="s">
        <v>220</v>
      </c>
      <c r="F2631" s="17" t="s">
        <v>54</v>
      </c>
      <c r="H2631" s="19">
        <v>1.2379</v>
      </c>
      <c r="I2631" s="19"/>
      <c r="J2631" s="17" t="s">
        <v>82</v>
      </c>
      <c r="K2631" s="184">
        <v>205</v>
      </c>
      <c r="L2631" s="91">
        <v>65</v>
      </c>
      <c r="M2631" s="19"/>
      <c r="N2631" s="19" t="s">
        <v>40</v>
      </c>
      <c r="O2631" s="19" t="s">
        <v>168</v>
      </c>
      <c r="P2631" s="256"/>
      <c r="Q2631" s="19">
        <v>485</v>
      </c>
      <c r="R2631" s="19">
        <f>+P2628-Q2628-Q2629-Q2630-Q2631</f>
        <v>-1690</v>
      </c>
      <c r="S2631" s="19">
        <v>2320</v>
      </c>
      <c r="T2631" s="19" t="s">
        <v>42</v>
      </c>
      <c r="U2631" s="102" t="s">
        <v>1018</v>
      </c>
      <c r="V2631" s="212" t="s">
        <v>1007</v>
      </c>
      <c r="W2631" s="17" t="s">
        <v>69</v>
      </c>
      <c r="Y2631" s="68">
        <v>45008</v>
      </c>
      <c r="Z2631" s="17" t="s">
        <v>191</v>
      </c>
      <c r="AA2631" s="17" t="s">
        <v>46</v>
      </c>
      <c r="AB2631" s="17" t="s">
        <v>1013</v>
      </c>
      <c r="AC2631" s="217">
        <v>45234</v>
      </c>
      <c r="AD2631" s="65">
        <v>1419</v>
      </c>
      <c r="AE2631" s="17" t="s">
        <v>48</v>
      </c>
      <c r="AF2631" s="17" t="s">
        <v>560</v>
      </c>
    </row>
    <row r="2632" s="17" customFormat="1" ht="15.6" hidden="1" spans="1:35">
      <c r="A2632" s="17" t="s">
        <v>34</v>
      </c>
      <c r="B2632" s="19">
        <v>879</v>
      </c>
      <c r="C2632" s="239" t="s">
        <v>1009</v>
      </c>
      <c r="D2632" s="17" t="s">
        <v>52</v>
      </c>
      <c r="E2632" s="17" t="s">
        <v>220</v>
      </c>
      <c r="F2632" s="17" t="s">
        <v>54</v>
      </c>
      <c r="H2632" s="19">
        <v>1.2379</v>
      </c>
      <c r="I2632" s="19"/>
      <c r="J2632" s="17" t="s">
        <v>82</v>
      </c>
      <c r="K2632" s="184">
        <v>255</v>
      </c>
      <c r="L2632" s="91">
        <v>65</v>
      </c>
      <c r="M2632" s="19"/>
      <c r="N2632" s="19" t="s">
        <v>40</v>
      </c>
      <c r="O2632" s="19" t="s">
        <v>168</v>
      </c>
      <c r="P2632" s="256">
        <v>1000</v>
      </c>
      <c r="Q2632" s="19">
        <v>704</v>
      </c>
      <c r="R2632" s="19">
        <f>+P2632-Q2632</f>
        <v>296</v>
      </c>
      <c r="S2632" s="19">
        <v>2320</v>
      </c>
      <c r="T2632" s="19" t="s">
        <v>42</v>
      </c>
      <c r="U2632" s="102" t="s">
        <v>1018</v>
      </c>
      <c r="V2632" s="212" t="s">
        <v>1007</v>
      </c>
      <c r="W2632" s="17" t="s">
        <v>69</v>
      </c>
      <c r="Y2632" s="68">
        <v>45008</v>
      </c>
      <c r="Z2632" s="17" t="s">
        <v>191</v>
      </c>
      <c r="AA2632" s="17" t="s">
        <v>46</v>
      </c>
      <c r="AB2632" s="17" t="s">
        <v>1011</v>
      </c>
      <c r="AC2632" s="102" t="s">
        <v>1012</v>
      </c>
      <c r="AD2632" s="65">
        <v>1416</v>
      </c>
      <c r="AE2632" s="17" t="s">
        <v>48</v>
      </c>
      <c r="AF2632" s="17" t="s">
        <v>560</v>
      </c>
      <c r="AI2632" s="17">
        <v>2370</v>
      </c>
    </row>
    <row r="2633" s="17" customFormat="1" ht="15.6" hidden="1" spans="1:35">
      <c r="A2633" s="17" t="s">
        <v>34</v>
      </c>
      <c r="B2633" s="19">
        <v>879</v>
      </c>
      <c r="C2633" s="239" t="s">
        <v>1009</v>
      </c>
      <c r="D2633" s="17" t="s">
        <v>52</v>
      </c>
      <c r="E2633" s="17" t="s">
        <v>220</v>
      </c>
      <c r="F2633" s="17" t="s">
        <v>54</v>
      </c>
      <c r="H2633" s="19">
        <v>1.2379</v>
      </c>
      <c r="I2633" s="19"/>
      <c r="J2633" s="17" t="s">
        <v>82</v>
      </c>
      <c r="K2633" s="184">
        <v>305</v>
      </c>
      <c r="L2633" s="91">
        <v>65</v>
      </c>
      <c r="M2633" s="19"/>
      <c r="N2633" s="19" t="s">
        <v>40</v>
      </c>
      <c r="O2633" s="19" t="s">
        <v>168</v>
      </c>
      <c r="P2633" s="256">
        <v>1000</v>
      </c>
      <c r="Q2633" s="19">
        <f>662+598</f>
        <v>1260</v>
      </c>
      <c r="R2633" s="19">
        <f>+P2633-Q2633</f>
        <v>-260</v>
      </c>
      <c r="S2633" s="19">
        <v>2320</v>
      </c>
      <c r="T2633" s="19" t="s">
        <v>42</v>
      </c>
      <c r="U2633" s="102" t="s">
        <v>1018</v>
      </c>
      <c r="V2633" s="212" t="s">
        <v>1007</v>
      </c>
      <c r="W2633" s="17" t="s">
        <v>69</v>
      </c>
      <c r="Y2633" s="68">
        <v>45008</v>
      </c>
      <c r="Z2633" s="17" t="s">
        <v>191</v>
      </c>
      <c r="AA2633" s="17" t="s">
        <v>46</v>
      </c>
      <c r="AB2633" s="17" t="s">
        <v>1019</v>
      </c>
      <c r="AC2633" s="102" t="s">
        <v>1020</v>
      </c>
      <c r="AD2633" s="65">
        <v>1408</v>
      </c>
      <c r="AE2633" s="17" t="s">
        <v>48</v>
      </c>
      <c r="AF2633" s="17" t="s">
        <v>560</v>
      </c>
      <c r="AI2633" s="17">
        <v>2370</v>
      </c>
    </row>
    <row r="2634" s="17" customFormat="1" ht="15.6" hidden="1" spans="1:35">
      <c r="A2634" s="17" t="s">
        <v>34</v>
      </c>
      <c r="B2634" s="19">
        <v>879</v>
      </c>
      <c r="C2634" s="239" t="s">
        <v>1009</v>
      </c>
      <c r="D2634" s="17" t="s">
        <v>52</v>
      </c>
      <c r="E2634" s="17" t="s">
        <v>220</v>
      </c>
      <c r="F2634" s="17" t="s">
        <v>54</v>
      </c>
      <c r="H2634" s="19">
        <v>1.2379</v>
      </c>
      <c r="I2634" s="19"/>
      <c r="J2634" s="17" t="s">
        <v>82</v>
      </c>
      <c r="K2634" s="184">
        <v>355</v>
      </c>
      <c r="L2634" s="91">
        <v>65</v>
      </c>
      <c r="M2634" s="19"/>
      <c r="N2634" s="19" t="s">
        <v>40</v>
      </c>
      <c r="O2634" s="19" t="s">
        <v>168</v>
      </c>
      <c r="P2634" s="256">
        <v>500</v>
      </c>
      <c r="Q2634" s="19">
        <v>860</v>
      </c>
      <c r="R2634" s="19">
        <f>+P2634-Q2634</f>
        <v>-360</v>
      </c>
      <c r="S2634" s="19">
        <v>2320</v>
      </c>
      <c r="T2634" s="19" t="s">
        <v>42</v>
      </c>
      <c r="U2634" s="102" t="s">
        <v>1018</v>
      </c>
      <c r="V2634" s="212" t="s">
        <v>1007</v>
      </c>
      <c r="W2634" s="17" t="s">
        <v>69</v>
      </c>
      <c r="Y2634" s="68">
        <v>45008</v>
      </c>
      <c r="Z2634" s="17" t="s">
        <v>191</v>
      </c>
      <c r="AA2634" s="17" t="s">
        <v>46</v>
      </c>
      <c r="AB2634" s="17" t="s">
        <v>1019</v>
      </c>
      <c r="AC2634" s="102" t="s">
        <v>1020</v>
      </c>
      <c r="AD2634" s="65">
        <v>1408</v>
      </c>
      <c r="AE2634" s="17" t="s">
        <v>48</v>
      </c>
      <c r="AF2634" s="17" t="s">
        <v>560</v>
      </c>
      <c r="AI2634" s="17">
        <v>2370</v>
      </c>
    </row>
    <row r="2635" s="17" customFormat="1" ht="15.6" hidden="1" spans="1:35">
      <c r="A2635" s="17" t="s">
        <v>34</v>
      </c>
      <c r="B2635" s="19">
        <v>879</v>
      </c>
      <c r="C2635" s="239" t="s">
        <v>1009</v>
      </c>
      <c r="D2635" s="17" t="s">
        <v>52</v>
      </c>
      <c r="E2635" s="17" t="s">
        <v>220</v>
      </c>
      <c r="F2635" s="17" t="s">
        <v>54</v>
      </c>
      <c r="H2635" s="19">
        <v>1.2379</v>
      </c>
      <c r="I2635" s="19"/>
      <c r="J2635" s="17" t="s">
        <v>82</v>
      </c>
      <c r="K2635" s="184">
        <v>405</v>
      </c>
      <c r="L2635" s="91">
        <v>65</v>
      </c>
      <c r="M2635" s="19"/>
      <c r="N2635" s="19" t="s">
        <v>40</v>
      </c>
      <c r="O2635" s="19" t="s">
        <v>168</v>
      </c>
      <c r="P2635" s="256">
        <v>1000</v>
      </c>
      <c r="Q2635" s="19">
        <v>846</v>
      </c>
      <c r="R2635" s="19">
        <f>+P2635-Q2635</f>
        <v>154</v>
      </c>
      <c r="S2635" s="19">
        <v>2320</v>
      </c>
      <c r="T2635" s="19" t="s">
        <v>42</v>
      </c>
      <c r="U2635" s="102" t="s">
        <v>1018</v>
      </c>
      <c r="V2635" s="212" t="s">
        <v>1007</v>
      </c>
      <c r="W2635" s="17" t="s">
        <v>69</v>
      </c>
      <c r="Y2635" s="68">
        <v>45008</v>
      </c>
      <c r="Z2635" s="17" t="s">
        <v>191</v>
      </c>
      <c r="AA2635" s="17" t="s">
        <v>46</v>
      </c>
      <c r="AB2635" s="17" t="s">
        <v>1019</v>
      </c>
      <c r="AC2635" s="102" t="s">
        <v>1020</v>
      </c>
      <c r="AD2635" s="65">
        <v>1408</v>
      </c>
      <c r="AE2635" s="17" t="s">
        <v>48</v>
      </c>
      <c r="AF2635" s="17" t="s">
        <v>560</v>
      </c>
      <c r="AI2635" s="17">
        <v>2370</v>
      </c>
    </row>
    <row r="2636" s="17" customFormat="1" ht="15.6" hidden="1" spans="1:35">
      <c r="A2636" s="17" t="s">
        <v>34</v>
      </c>
      <c r="B2636" s="19">
        <v>879</v>
      </c>
      <c r="C2636" s="239" t="s">
        <v>1009</v>
      </c>
      <c r="D2636" s="17" t="s">
        <v>52</v>
      </c>
      <c r="E2636" s="17" t="s">
        <v>220</v>
      </c>
      <c r="F2636" s="17" t="s">
        <v>54</v>
      </c>
      <c r="H2636" s="19">
        <v>1.2379</v>
      </c>
      <c r="I2636" s="19"/>
      <c r="J2636" s="17" t="s">
        <v>82</v>
      </c>
      <c r="K2636" s="184">
        <v>510</v>
      </c>
      <c r="L2636" s="91">
        <v>65</v>
      </c>
      <c r="M2636" s="19"/>
      <c r="N2636" s="19" t="s">
        <v>40</v>
      </c>
      <c r="O2636" s="19" t="s">
        <v>168</v>
      </c>
      <c r="P2636" s="256">
        <v>1000</v>
      </c>
      <c r="Q2636" s="19">
        <v>913</v>
      </c>
      <c r="R2636" s="19">
        <f>+P2636-Q2636</f>
        <v>87</v>
      </c>
      <c r="S2636" s="19">
        <v>2320</v>
      </c>
      <c r="T2636" s="19" t="s">
        <v>42</v>
      </c>
      <c r="U2636" s="102" t="s">
        <v>1018</v>
      </c>
      <c r="V2636" s="212" t="s">
        <v>1007</v>
      </c>
      <c r="W2636" s="17" t="s">
        <v>69</v>
      </c>
      <c r="Y2636" s="68">
        <v>45008</v>
      </c>
      <c r="Z2636" s="17" t="s">
        <v>191</v>
      </c>
      <c r="AA2636" s="17" t="s">
        <v>46</v>
      </c>
      <c r="AB2636" s="17" t="s">
        <v>1019</v>
      </c>
      <c r="AC2636" s="102" t="s">
        <v>1020</v>
      </c>
      <c r="AD2636" s="65">
        <v>1408</v>
      </c>
      <c r="AE2636" s="17" t="s">
        <v>48</v>
      </c>
      <c r="AF2636" s="17" t="s">
        <v>560</v>
      </c>
      <c r="AI2636" s="17">
        <v>2370</v>
      </c>
    </row>
    <row r="2637" s="17" customFormat="1" ht="15.6" hidden="1" spans="1:35">
      <c r="A2637" s="17" t="s">
        <v>34</v>
      </c>
      <c r="B2637" s="19">
        <v>879</v>
      </c>
      <c r="C2637" s="239" t="s">
        <v>1009</v>
      </c>
      <c r="D2637" s="17" t="s">
        <v>52</v>
      </c>
      <c r="E2637" s="17" t="s">
        <v>220</v>
      </c>
      <c r="F2637" s="17" t="s">
        <v>54</v>
      </c>
      <c r="H2637" s="19">
        <v>1.2379</v>
      </c>
      <c r="I2637" s="19"/>
      <c r="J2637" s="17" t="s">
        <v>82</v>
      </c>
      <c r="K2637" s="184">
        <v>155</v>
      </c>
      <c r="L2637" s="91">
        <v>80</v>
      </c>
      <c r="M2637" s="19"/>
      <c r="N2637" s="19" t="s">
        <v>40</v>
      </c>
      <c r="O2637" s="19" t="s">
        <v>168</v>
      </c>
      <c r="P2637" s="256">
        <v>1000</v>
      </c>
      <c r="Q2637" s="19">
        <v>1357</v>
      </c>
      <c r="S2637" s="19">
        <v>2320</v>
      </c>
      <c r="T2637" s="19" t="s">
        <v>42</v>
      </c>
      <c r="U2637" s="102" t="s">
        <v>1018</v>
      </c>
      <c r="V2637" s="212" t="s">
        <v>1007</v>
      </c>
      <c r="W2637" s="17" t="s">
        <v>69</v>
      </c>
      <c r="Y2637" s="68">
        <v>45008</v>
      </c>
      <c r="Z2637" s="17" t="s">
        <v>191</v>
      </c>
      <c r="AA2637" s="17" t="s">
        <v>46</v>
      </c>
      <c r="AB2637" s="17" t="s">
        <v>1019</v>
      </c>
      <c r="AC2637" s="102" t="s">
        <v>1020</v>
      </c>
      <c r="AD2637" s="65">
        <v>1408</v>
      </c>
      <c r="AE2637" s="17" t="s">
        <v>48</v>
      </c>
      <c r="AF2637" s="17" t="s">
        <v>560</v>
      </c>
      <c r="AI2637" s="17">
        <v>2370</v>
      </c>
    </row>
    <row r="2638" s="17" customFormat="1" ht="15.6" hidden="1" spans="1:35">
      <c r="A2638" s="17" t="s">
        <v>34</v>
      </c>
      <c r="B2638" s="19">
        <v>879</v>
      </c>
      <c r="C2638" s="239" t="s">
        <v>1009</v>
      </c>
      <c r="D2638" s="17" t="s">
        <v>52</v>
      </c>
      <c r="E2638" s="17" t="s">
        <v>220</v>
      </c>
      <c r="F2638" s="17" t="s">
        <v>54</v>
      </c>
      <c r="H2638" s="19">
        <v>1.2379</v>
      </c>
      <c r="I2638" s="19"/>
      <c r="J2638" s="17" t="s">
        <v>82</v>
      </c>
      <c r="K2638" s="184">
        <v>155</v>
      </c>
      <c r="L2638" s="91">
        <v>80</v>
      </c>
      <c r="M2638" s="19"/>
      <c r="N2638" s="19" t="s">
        <v>40</v>
      </c>
      <c r="O2638" s="19" t="s">
        <v>168</v>
      </c>
      <c r="P2638" s="256"/>
      <c r="Q2638" s="19">
        <v>329</v>
      </c>
      <c r="R2638" s="19">
        <f>+P2637-Q2637-Q2638</f>
        <v>-686</v>
      </c>
      <c r="S2638" s="19">
        <v>2320</v>
      </c>
      <c r="T2638" s="19" t="s">
        <v>42</v>
      </c>
      <c r="U2638" s="102" t="s">
        <v>1018</v>
      </c>
      <c r="V2638" s="212" t="s">
        <v>1007</v>
      </c>
      <c r="W2638" s="17" t="s">
        <v>69</v>
      </c>
      <c r="Y2638" s="68">
        <v>45008</v>
      </c>
      <c r="Z2638" s="17" t="s">
        <v>191</v>
      </c>
      <c r="AA2638" s="17" t="s">
        <v>46</v>
      </c>
      <c r="AB2638" s="17" t="s">
        <v>1011</v>
      </c>
      <c r="AC2638" s="102" t="s">
        <v>1012</v>
      </c>
      <c r="AD2638" s="65">
        <v>1416</v>
      </c>
      <c r="AE2638" s="17" t="s">
        <v>48</v>
      </c>
      <c r="AF2638" s="17" t="s">
        <v>560</v>
      </c>
    </row>
    <row r="2639" s="17" customFormat="1" ht="15.6" hidden="1" spans="1:35">
      <c r="A2639" s="17" t="s">
        <v>34</v>
      </c>
      <c r="B2639" s="19">
        <v>879</v>
      </c>
      <c r="C2639" s="239" t="s">
        <v>1009</v>
      </c>
      <c r="D2639" s="17" t="s">
        <v>52</v>
      </c>
      <c r="E2639" s="17" t="s">
        <v>220</v>
      </c>
      <c r="F2639" s="17" t="s">
        <v>54</v>
      </c>
      <c r="H2639" s="19">
        <v>1.2379</v>
      </c>
      <c r="I2639" s="19"/>
      <c r="J2639" s="17" t="s">
        <v>82</v>
      </c>
      <c r="K2639" s="184">
        <v>205</v>
      </c>
      <c r="L2639" s="91">
        <v>80</v>
      </c>
      <c r="M2639" s="19"/>
      <c r="N2639" s="19" t="s">
        <v>40</v>
      </c>
      <c r="O2639" s="19" t="s">
        <v>168</v>
      </c>
      <c r="P2639" s="256">
        <v>1000</v>
      </c>
      <c r="Q2639" s="19">
        <v>321</v>
      </c>
      <c r="S2639" s="19">
        <v>2320</v>
      </c>
      <c r="T2639" s="19" t="s">
        <v>42</v>
      </c>
      <c r="U2639" s="102" t="s">
        <v>1018</v>
      </c>
      <c r="V2639" s="212" t="s">
        <v>1007</v>
      </c>
      <c r="W2639" s="17" t="s">
        <v>69</v>
      </c>
      <c r="Y2639" s="68">
        <v>45008</v>
      </c>
      <c r="Z2639" s="17" t="s">
        <v>191</v>
      </c>
      <c r="AA2639" s="17" t="s">
        <v>46</v>
      </c>
      <c r="AB2639" s="17" t="s">
        <v>1019</v>
      </c>
      <c r="AC2639" s="102" t="s">
        <v>1020</v>
      </c>
      <c r="AD2639" s="65">
        <v>1408</v>
      </c>
      <c r="AE2639" s="17" t="s">
        <v>48</v>
      </c>
      <c r="AF2639" s="17" t="s">
        <v>560</v>
      </c>
      <c r="AI2639" s="17">
        <v>2370</v>
      </c>
    </row>
    <row r="2640" s="17" customFormat="1" ht="15.6" hidden="1" spans="1:35">
      <c r="A2640" s="17" t="s">
        <v>34</v>
      </c>
      <c r="B2640" s="19">
        <v>879</v>
      </c>
      <c r="C2640" s="239" t="s">
        <v>1009</v>
      </c>
      <c r="D2640" s="17" t="s">
        <v>52</v>
      </c>
      <c r="E2640" s="17" t="s">
        <v>220</v>
      </c>
      <c r="F2640" s="17" t="s">
        <v>54</v>
      </c>
      <c r="H2640" s="19">
        <v>1.2379</v>
      </c>
      <c r="I2640" s="19"/>
      <c r="J2640" s="17" t="s">
        <v>82</v>
      </c>
      <c r="K2640" s="184">
        <v>205</v>
      </c>
      <c r="L2640" s="91">
        <v>80</v>
      </c>
      <c r="M2640" s="19"/>
      <c r="N2640" s="19" t="s">
        <v>40</v>
      </c>
      <c r="O2640" s="19" t="s">
        <v>168</v>
      </c>
      <c r="P2640" s="256"/>
      <c r="Q2640" s="19">
        <v>501</v>
      </c>
      <c r="S2640" s="19">
        <v>2320</v>
      </c>
      <c r="T2640" s="19" t="s">
        <v>42</v>
      </c>
      <c r="U2640" s="102" t="s">
        <v>1018</v>
      </c>
      <c r="V2640" s="212" t="s">
        <v>1007</v>
      </c>
      <c r="W2640" s="17" t="s">
        <v>69</v>
      </c>
      <c r="Y2640" s="68">
        <v>45008</v>
      </c>
      <c r="Z2640" s="17" t="s">
        <v>191</v>
      </c>
      <c r="AA2640" s="17" t="s">
        <v>46</v>
      </c>
      <c r="AB2640" s="17" t="s">
        <v>1021</v>
      </c>
      <c r="AC2640" s="217">
        <v>44989</v>
      </c>
      <c r="AD2640" s="65">
        <v>1413</v>
      </c>
      <c r="AE2640" s="17" t="s">
        <v>48</v>
      </c>
      <c r="AF2640" s="17" t="s">
        <v>560</v>
      </c>
    </row>
    <row r="2641" s="17" customFormat="1" ht="15.6" hidden="1" spans="1:35">
      <c r="A2641" s="17" t="s">
        <v>34</v>
      </c>
      <c r="B2641" s="19">
        <v>879</v>
      </c>
      <c r="C2641" s="239" t="s">
        <v>1009</v>
      </c>
      <c r="D2641" s="17" t="s">
        <v>52</v>
      </c>
      <c r="E2641" s="17" t="s">
        <v>220</v>
      </c>
      <c r="F2641" s="17" t="s">
        <v>54</v>
      </c>
      <c r="H2641" s="19">
        <v>1.2379</v>
      </c>
      <c r="I2641" s="19"/>
      <c r="J2641" s="17" t="s">
        <v>82</v>
      </c>
      <c r="K2641" s="184">
        <v>205</v>
      </c>
      <c r="L2641" s="91">
        <v>80</v>
      </c>
      <c r="M2641" s="19"/>
      <c r="N2641" s="19" t="s">
        <v>40</v>
      </c>
      <c r="O2641" s="19" t="s">
        <v>168</v>
      </c>
      <c r="P2641" s="256"/>
      <c r="Q2641" s="19">
        <v>770</v>
      </c>
      <c r="R2641" s="19">
        <f>+P2639-Q2639-Q2640-Q2641</f>
        <v>-592</v>
      </c>
      <c r="S2641" s="19">
        <v>2320</v>
      </c>
      <c r="T2641" s="19" t="s">
        <v>42</v>
      </c>
      <c r="U2641" s="102" t="s">
        <v>1018</v>
      </c>
      <c r="V2641" s="212" t="s">
        <v>1007</v>
      </c>
      <c r="W2641" s="17" t="s">
        <v>69</v>
      </c>
      <c r="Y2641" s="68">
        <v>45008</v>
      </c>
      <c r="Z2641" s="17" t="s">
        <v>191</v>
      </c>
      <c r="AA2641" s="17" t="s">
        <v>46</v>
      </c>
      <c r="AB2641" s="17" t="s">
        <v>1011</v>
      </c>
      <c r="AC2641" s="102" t="s">
        <v>1012</v>
      </c>
      <c r="AD2641" s="65">
        <v>1416</v>
      </c>
      <c r="AE2641" s="17" t="s">
        <v>48</v>
      </c>
      <c r="AF2641" s="17" t="s">
        <v>560</v>
      </c>
    </row>
    <row r="2642" s="17" customFormat="1" ht="15.6" hidden="1" spans="1:35">
      <c r="A2642" s="17" t="s">
        <v>34</v>
      </c>
      <c r="B2642" s="19">
        <v>879</v>
      </c>
      <c r="C2642" s="239" t="s">
        <v>1009</v>
      </c>
      <c r="D2642" s="17" t="s">
        <v>52</v>
      </c>
      <c r="E2642" s="17" t="s">
        <v>220</v>
      </c>
      <c r="F2642" s="17" t="s">
        <v>54</v>
      </c>
      <c r="H2642" s="19">
        <v>1.2379</v>
      </c>
      <c r="I2642" s="19"/>
      <c r="J2642" s="17" t="s">
        <v>82</v>
      </c>
      <c r="K2642" s="184">
        <v>255</v>
      </c>
      <c r="L2642" s="91">
        <v>80</v>
      </c>
      <c r="M2642" s="19"/>
      <c r="N2642" s="19" t="s">
        <v>40</v>
      </c>
      <c r="O2642" s="19" t="s">
        <v>168</v>
      </c>
      <c r="P2642" s="256">
        <v>1000</v>
      </c>
      <c r="Q2642" s="19">
        <v>1329</v>
      </c>
      <c r="R2642" s="19">
        <f>+P2642-Q2642</f>
        <v>-329</v>
      </c>
      <c r="S2642" s="19">
        <v>2320</v>
      </c>
      <c r="T2642" s="19" t="s">
        <v>42</v>
      </c>
      <c r="U2642" s="102" t="s">
        <v>1018</v>
      </c>
      <c r="V2642" s="212" t="s">
        <v>1007</v>
      </c>
      <c r="W2642" s="17" t="s">
        <v>69</v>
      </c>
      <c r="Y2642" s="68">
        <v>45008</v>
      </c>
      <c r="Z2642" s="17" t="s">
        <v>191</v>
      </c>
      <c r="AA2642" s="17" t="s">
        <v>46</v>
      </c>
      <c r="AB2642" s="17" t="s">
        <v>1021</v>
      </c>
      <c r="AC2642" s="217">
        <v>44989</v>
      </c>
      <c r="AD2642" s="65">
        <v>1413</v>
      </c>
      <c r="AE2642" s="17" t="s">
        <v>48</v>
      </c>
      <c r="AF2642" s="17" t="s">
        <v>560</v>
      </c>
      <c r="AI2642" s="17">
        <v>2370</v>
      </c>
    </row>
    <row r="2643" s="17" customFormat="1" ht="15.6" hidden="1" spans="1:35">
      <c r="A2643" s="17" t="s">
        <v>34</v>
      </c>
      <c r="B2643" s="19">
        <v>879</v>
      </c>
      <c r="C2643" s="239" t="s">
        <v>1009</v>
      </c>
      <c r="D2643" s="17" t="s">
        <v>52</v>
      </c>
      <c r="E2643" s="17" t="s">
        <v>220</v>
      </c>
      <c r="F2643" s="17" t="s">
        <v>54</v>
      </c>
      <c r="H2643" s="19">
        <v>1.2379</v>
      </c>
      <c r="I2643" s="19"/>
      <c r="J2643" s="17" t="s">
        <v>82</v>
      </c>
      <c r="K2643" s="184">
        <v>305</v>
      </c>
      <c r="L2643" s="91">
        <v>80</v>
      </c>
      <c r="M2643" s="19"/>
      <c r="N2643" s="19" t="s">
        <v>40</v>
      </c>
      <c r="O2643" s="19" t="s">
        <v>168</v>
      </c>
      <c r="P2643" s="256">
        <v>1000</v>
      </c>
      <c r="Q2643" s="19">
        <v>830</v>
      </c>
      <c r="S2643" s="19">
        <v>2320</v>
      </c>
      <c r="T2643" s="19" t="s">
        <v>42</v>
      </c>
      <c r="U2643" s="102" t="s">
        <v>1018</v>
      </c>
      <c r="V2643" s="212" t="s">
        <v>1007</v>
      </c>
      <c r="W2643" s="17" t="s">
        <v>69</v>
      </c>
      <c r="Y2643" s="68">
        <v>45008</v>
      </c>
      <c r="Z2643" s="17" t="s">
        <v>191</v>
      </c>
      <c r="AA2643" s="17" t="s">
        <v>46</v>
      </c>
      <c r="AB2643" s="17" t="s">
        <v>1019</v>
      </c>
      <c r="AC2643" s="102" t="s">
        <v>1020</v>
      </c>
      <c r="AD2643" s="65">
        <v>1408</v>
      </c>
      <c r="AE2643" s="17" t="s">
        <v>48</v>
      </c>
      <c r="AF2643" s="17" t="s">
        <v>560</v>
      </c>
      <c r="AI2643" s="17">
        <v>2370</v>
      </c>
    </row>
    <row r="2644" s="17" customFormat="1" ht="15.6" hidden="1" spans="1:35">
      <c r="A2644" s="17" t="s">
        <v>34</v>
      </c>
      <c r="B2644" s="19">
        <v>879</v>
      </c>
      <c r="C2644" s="239" t="s">
        <v>1009</v>
      </c>
      <c r="D2644" s="17" t="s">
        <v>52</v>
      </c>
      <c r="E2644" s="17" t="s">
        <v>220</v>
      </c>
      <c r="F2644" s="17" t="s">
        <v>54</v>
      </c>
      <c r="H2644" s="19">
        <v>1.2379</v>
      </c>
      <c r="I2644" s="19"/>
      <c r="J2644" s="17" t="s">
        <v>82</v>
      </c>
      <c r="K2644" s="184">
        <v>305</v>
      </c>
      <c r="L2644" s="91">
        <v>80</v>
      </c>
      <c r="M2644" s="19"/>
      <c r="N2644" s="19" t="s">
        <v>40</v>
      </c>
      <c r="O2644" s="19" t="s">
        <v>168</v>
      </c>
      <c r="P2644" s="256"/>
      <c r="Q2644" s="19">
        <v>658</v>
      </c>
      <c r="R2644" s="19">
        <f>+P2643-Q2643-Q2644</f>
        <v>-488</v>
      </c>
      <c r="S2644" s="19">
        <v>2320</v>
      </c>
      <c r="T2644" s="19" t="s">
        <v>42</v>
      </c>
      <c r="U2644" s="102" t="s">
        <v>1018</v>
      </c>
      <c r="V2644" s="212" t="s">
        <v>1007</v>
      </c>
      <c r="W2644" s="17" t="s">
        <v>69</v>
      </c>
      <c r="Y2644" s="68">
        <v>45008</v>
      </c>
      <c r="Z2644" s="17" t="s">
        <v>191</v>
      </c>
      <c r="AA2644" s="17" t="s">
        <v>46</v>
      </c>
      <c r="AB2644" s="17" t="s">
        <v>1021</v>
      </c>
      <c r="AC2644" s="217">
        <v>44989</v>
      </c>
      <c r="AD2644" s="65">
        <v>1413</v>
      </c>
      <c r="AE2644" s="17" t="s">
        <v>48</v>
      </c>
      <c r="AF2644" s="17" t="s">
        <v>560</v>
      </c>
    </row>
    <row r="2645" s="17" customFormat="1" ht="15.6" hidden="1" spans="1:35">
      <c r="A2645" s="17" t="s">
        <v>34</v>
      </c>
      <c r="B2645" s="19">
        <v>879</v>
      </c>
      <c r="C2645" s="239" t="s">
        <v>1009</v>
      </c>
      <c r="D2645" s="17" t="s">
        <v>52</v>
      </c>
      <c r="E2645" s="17" t="s">
        <v>220</v>
      </c>
      <c r="F2645" s="17" t="s">
        <v>54</v>
      </c>
      <c r="H2645" s="19">
        <v>1.2379</v>
      </c>
      <c r="I2645" s="19"/>
      <c r="J2645" s="17" t="s">
        <v>82</v>
      </c>
      <c r="K2645" s="184">
        <v>355</v>
      </c>
      <c r="L2645" s="91">
        <v>80</v>
      </c>
      <c r="M2645" s="19"/>
      <c r="N2645" s="19" t="s">
        <v>40</v>
      </c>
      <c r="O2645" s="19" t="s">
        <v>168</v>
      </c>
      <c r="P2645" s="256">
        <v>500</v>
      </c>
      <c r="Q2645" s="19">
        <v>867</v>
      </c>
      <c r="R2645" s="19">
        <f>+P2645-Q2645</f>
        <v>-367</v>
      </c>
      <c r="S2645" s="19">
        <v>2320</v>
      </c>
      <c r="T2645" s="19" t="s">
        <v>42</v>
      </c>
      <c r="U2645" s="102" t="s">
        <v>1018</v>
      </c>
      <c r="V2645" s="212" t="s">
        <v>1007</v>
      </c>
      <c r="W2645" s="17" t="s">
        <v>69</v>
      </c>
      <c r="Y2645" s="68">
        <v>45008</v>
      </c>
      <c r="Z2645" s="17" t="s">
        <v>191</v>
      </c>
      <c r="AA2645" s="17" t="s">
        <v>46</v>
      </c>
      <c r="AB2645" s="17" t="s">
        <v>1019</v>
      </c>
      <c r="AC2645" s="102" t="s">
        <v>1020</v>
      </c>
      <c r="AD2645" s="65">
        <v>1408</v>
      </c>
      <c r="AE2645" s="17" t="s">
        <v>48</v>
      </c>
      <c r="AF2645" s="17" t="s">
        <v>560</v>
      </c>
      <c r="AI2645" s="17">
        <v>2370</v>
      </c>
    </row>
    <row r="2646" s="17" customFormat="1" ht="15.6" hidden="1" spans="1:35">
      <c r="A2646" s="17" t="s">
        <v>34</v>
      </c>
      <c r="B2646" s="19">
        <v>879</v>
      </c>
      <c r="C2646" s="239" t="s">
        <v>1009</v>
      </c>
      <c r="D2646" s="17" t="s">
        <v>52</v>
      </c>
      <c r="E2646" s="17" t="s">
        <v>220</v>
      </c>
      <c r="F2646" s="17" t="s">
        <v>54</v>
      </c>
      <c r="H2646" s="19">
        <v>1.2379</v>
      </c>
      <c r="I2646" s="19"/>
      <c r="J2646" s="17" t="s">
        <v>82</v>
      </c>
      <c r="K2646" s="184">
        <v>405</v>
      </c>
      <c r="L2646" s="91">
        <v>80</v>
      </c>
      <c r="M2646" s="19"/>
      <c r="N2646" s="19" t="s">
        <v>40</v>
      </c>
      <c r="O2646" s="19" t="s">
        <v>168</v>
      </c>
      <c r="P2646" s="256">
        <v>1000</v>
      </c>
      <c r="Q2646" s="19">
        <v>852</v>
      </c>
      <c r="R2646" s="19">
        <f>+P2646-Q2646</f>
        <v>148</v>
      </c>
      <c r="S2646" s="19">
        <v>2320</v>
      </c>
      <c r="T2646" s="19" t="s">
        <v>42</v>
      </c>
      <c r="U2646" s="102" t="s">
        <v>1018</v>
      </c>
      <c r="V2646" s="212" t="s">
        <v>1007</v>
      </c>
      <c r="W2646" s="17" t="s">
        <v>69</v>
      </c>
      <c r="Y2646" s="68">
        <v>45008</v>
      </c>
      <c r="Z2646" s="17" t="s">
        <v>191</v>
      </c>
      <c r="AA2646" s="17" t="s">
        <v>46</v>
      </c>
      <c r="AB2646" s="17" t="s">
        <v>1019</v>
      </c>
      <c r="AC2646" s="102" t="s">
        <v>1020</v>
      </c>
      <c r="AD2646" s="65">
        <v>1408</v>
      </c>
      <c r="AE2646" s="17" t="s">
        <v>48</v>
      </c>
      <c r="AF2646" s="17" t="s">
        <v>560</v>
      </c>
      <c r="AI2646" s="17">
        <v>2370</v>
      </c>
    </row>
    <row r="2647" s="17" customFormat="1" ht="15.6" hidden="1" spans="1:35">
      <c r="A2647" s="17" t="s">
        <v>34</v>
      </c>
      <c r="B2647" s="19">
        <v>879</v>
      </c>
      <c r="C2647" s="239" t="s">
        <v>1009</v>
      </c>
      <c r="D2647" s="17" t="s">
        <v>52</v>
      </c>
      <c r="E2647" s="17" t="s">
        <v>220</v>
      </c>
      <c r="F2647" s="17" t="s">
        <v>54</v>
      </c>
      <c r="H2647" s="19">
        <v>1.2379</v>
      </c>
      <c r="I2647" s="19"/>
      <c r="J2647" s="17" t="s">
        <v>82</v>
      </c>
      <c r="K2647" s="184">
        <v>510</v>
      </c>
      <c r="L2647" s="91">
        <v>80</v>
      </c>
      <c r="M2647" s="19"/>
      <c r="N2647" s="19" t="s">
        <v>40</v>
      </c>
      <c r="O2647" s="19" t="s">
        <v>168</v>
      </c>
      <c r="P2647" s="256">
        <v>1000</v>
      </c>
      <c r="Q2647" s="19">
        <v>1241</v>
      </c>
      <c r="R2647" s="19">
        <f>+P2647-Q2647</f>
        <v>-241</v>
      </c>
      <c r="S2647" s="19">
        <v>2320</v>
      </c>
      <c r="T2647" s="19" t="s">
        <v>42</v>
      </c>
      <c r="U2647" s="102" t="s">
        <v>1018</v>
      </c>
      <c r="V2647" s="212" t="s">
        <v>1007</v>
      </c>
      <c r="W2647" s="17" t="s">
        <v>69</v>
      </c>
      <c r="Y2647" s="68">
        <v>45008</v>
      </c>
      <c r="Z2647" s="17" t="s">
        <v>191</v>
      </c>
      <c r="AA2647" s="17" t="s">
        <v>46</v>
      </c>
      <c r="AB2647" s="17" t="s">
        <v>1019</v>
      </c>
      <c r="AC2647" s="102" t="s">
        <v>1020</v>
      </c>
      <c r="AD2647" s="65">
        <v>1408</v>
      </c>
      <c r="AE2647" s="17" t="s">
        <v>48</v>
      </c>
      <c r="AF2647" s="17" t="s">
        <v>560</v>
      </c>
      <c r="AI2647" s="17">
        <v>2370</v>
      </c>
    </row>
    <row r="2648" s="17" customFormat="1" ht="15.6" hidden="1" spans="1:35">
      <c r="A2648" s="17" t="s">
        <v>34</v>
      </c>
      <c r="B2648" s="19">
        <v>879</v>
      </c>
      <c r="C2648" s="239" t="s">
        <v>1009</v>
      </c>
      <c r="D2648" s="17" t="s">
        <v>52</v>
      </c>
      <c r="E2648" s="17" t="s">
        <v>220</v>
      </c>
      <c r="F2648" s="17" t="s">
        <v>54</v>
      </c>
      <c r="H2648" s="19">
        <v>1.2379</v>
      </c>
      <c r="I2648" s="19"/>
      <c r="J2648" s="17" t="s">
        <v>82</v>
      </c>
      <c r="K2648" s="184">
        <v>510</v>
      </c>
      <c r="L2648" s="91">
        <v>90</v>
      </c>
      <c r="M2648" s="19"/>
      <c r="N2648" s="19" t="s">
        <v>40</v>
      </c>
      <c r="O2648" s="19" t="s">
        <v>168</v>
      </c>
      <c r="P2648" s="256">
        <v>1000</v>
      </c>
      <c r="Q2648" s="19">
        <v>1611</v>
      </c>
      <c r="R2648" s="19">
        <f>+P2648-Q2648</f>
        <v>-611</v>
      </c>
      <c r="S2648" s="19">
        <v>2320</v>
      </c>
      <c r="T2648" s="19" t="s">
        <v>42</v>
      </c>
      <c r="U2648" s="102" t="s">
        <v>1018</v>
      </c>
      <c r="V2648" s="212" t="s">
        <v>1007</v>
      </c>
      <c r="W2648" s="17" t="s">
        <v>69</v>
      </c>
      <c r="Y2648" s="68">
        <v>45008</v>
      </c>
      <c r="Z2648" s="17" t="s">
        <v>191</v>
      </c>
      <c r="AA2648" s="17" t="s">
        <v>46</v>
      </c>
      <c r="AB2648" s="17" t="s">
        <v>1019</v>
      </c>
      <c r="AC2648" s="102" t="s">
        <v>1020</v>
      </c>
      <c r="AD2648" s="65">
        <v>1408</v>
      </c>
      <c r="AE2648" s="17" t="s">
        <v>48</v>
      </c>
      <c r="AF2648" s="17" t="s">
        <v>560</v>
      </c>
      <c r="AI2648" s="17">
        <v>2370</v>
      </c>
    </row>
    <row r="2649" s="17" customFormat="1" ht="15.6" hidden="1" spans="1:35">
      <c r="A2649" s="17" t="s">
        <v>34</v>
      </c>
      <c r="B2649" s="19">
        <v>879</v>
      </c>
      <c r="C2649" s="239" t="s">
        <v>1009</v>
      </c>
      <c r="D2649" s="17" t="s">
        <v>52</v>
      </c>
      <c r="E2649" s="17" t="s">
        <v>220</v>
      </c>
      <c r="F2649" s="17" t="s">
        <v>54</v>
      </c>
      <c r="H2649" s="19">
        <v>1.2379</v>
      </c>
      <c r="I2649" s="19"/>
      <c r="J2649" s="17" t="s">
        <v>82</v>
      </c>
      <c r="K2649" s="184">
        <v>130</v>
      </c>
      <c r="L2649" s="91">
        <v>105</v>
      </c>
      <c r="M2649" s="19"/>
      <c r="N2649" s="19" t="s">
        <v>40</v>
      </c>
      <c r="O2649" s="19" t="s">
        <v>168</v>
      </c>
      <c r="P2649" s="256"/>
      <c r="Q2649" s="19">
        <v>260</v>
      </c>
      <c r="R2649" s="19"/>
      <c r="S2649" s="19">
        <v>2320</v>
      </c>
      <c r="T2649" s="19" t="s">
        <v>42</v>
      </c>
      <c r="U2649" s="102" t="s">
        <v>1018</v>
      </c>
      <c r="V2649" s="212" t="s">
        <v>1007</v>
      </c>
      <c r="W2649" s="17" t="s">
        <v>69</v>
      </c>
      <c r="Y2649" s="68">
        <v>45008</v>
      </c>
      <c r="Z2649" s="17" t="s">
        <v>191</v>
      </c>
      <c r="AA2649" s="17" t="s">
        <v>46</v>
      </c>
      <c r="AB2649" s="17" t="s">
        <v>1013</v>
      </c>
      <c r="AC2649" s="217">
        <v>45234</v>
      </c>
      <c r="AD2649" s="65">
        <v>1419</v>
      </c>
      <c r="AE2649" s="17" t="s">
        <v>48</v>
      </c>
      <c r="AF2649" s="17" t="s">
        <v>560</v>
      </c>
    </row>
    <row r="2650" s="17" customFormat="1" ht="15.6" hidden="1" spans="1:35">
      <c r="A2650" s="17" t="s">
        <v>34</v>
      </c>
      <c r="B2650" s="19">
        <v>879</v>
      </c>
      <c r="C2650" s="239" t="s">
        <v>1009</v>
      </c>
      <c r="D2650" s="17" t="s">
        <v>52</v>
      </c>
      <c r="E2650" s="17" t="s">
        <v>220</v>
      </c>
      <c r="F2650" s="17" t="s">
        <v>54</v>
      </c>
      <c r="H2650" s="19">
        <v>1.2379</v>
      </c>
      <c r="I2650" s="19"/>
      <c r="J2650" s="17" t="s">
        <v>82</v>
      </c>
      <c r="K2650" s="184">
        <v>155</v>
      </c>
      <c r="L2650" s="91">
        <v>105</v>
      </c>
      <c r="M2650" s="19"/>
      <c r="N2650" s="19" t="s">
        <v>40</v>
      </c>
      <c r="O2650" s="19" t="s">
        <v>168</v>
      </c>
      <c r="P2650" s="256">
        <v>500</v>
      </c>
      <c r="Q2650" s="19">
        <v>710</v>
      </c>
      <c r="S2650" s="19">
        <v>2320</v>
      </c>
      <c r="T2650" s="19" t="s">
        <v>42</v>
      </c>
      <c r="U2650" s="102" t="s">
        <v>1018</v>
      </c>
      <c r="V2650" s="212" t="s">
        <v>1007</v>
      </c>
      <c r="W2650" s="17" t="s">
        <v>69</v>
      </c>
      <c r="Y2650" s="68">
        <v>45008</v>
      </c>
      <c r="Z2650" s="17" t="s">
        <v>191</v>
      </c>
      <c r="AA2650" s="17" t="s">
        <v>46</v>
      </c>
      <c r="AB2650" s="17" t="s">
        <v>1019</v>
      </c>
      <c r="AC2650" s="102" t="s">
        <v>1020</v>
      </c>
      <c r="AD2650" s="65">
        <v>1408</v>
      </c>
      <c r="AE2650" s="17" t="s">
        <v>48</v>
      </c>
      <c r="AF2650" s="17" t="s">
        <v>560</v>
      </c>
      <c r="AI2650" s="17">
        <v>2370</v>
      </c>
    </row>
    <row r="2651" s="17" customFormat="1" ht="15.6" hidden="1" spans="1:35">
      <c r="A2651" s="17" t="s">
        <v>34</v>
      </c>
      <c r="B2651" s="19">
        <v>879</v>
      </c>
      <c r="C2651" s="239" t="s">
        <v>1009</v>
      </c>
      <c r="D2651" s="17" t="s">
        <v>52</v>
      </c>
      <c r="E2651" s="17" t="s">
        <v>220</v>
      </c>
      <c r="F2651" s="17" t="s">
        <v>54</v>
      </c>
      <c r="H2651" s="19">
        <v>1.2379</v>
      </c>
      <c r="I2651" s="19"/>
      <c r="J2651" s="17" t="s">
        <v>82</v>
      </c>
      <c r="K2651" s="184">
        <v>155</v>
      </c>
      <c r="L2651" s="91">
        <v>105</v>
      </c>
      <c r="M2651" s="19"/>
      <c r="N2651" s="19" t="s">
        <v>40</v>
      </c>
      <c r="O2651" s="19" t="s">
        <v>168</v>
      </c>
      <c r="P2651" s="256"/>
      <c r="Q2651" s="19">
        <v>521</v>
      </c>
      <c r="R2651" s="19">
        <f>+P2650-Q2650-Q2651</f>
        <v>-731</v>
      </c>
      <c r="S2651" s="19">
        <v>2320</v>
      </c>
      <c r="T2651" s="19" t="s">
        <v>42</v>
      </c>
      <c r="U2651" s="102" t="s">
        <v>1018</v>
      </c>
      <c r="V2651" s="212" t="s">
        <v>1007</v>
      </c>
      <c r="W2651" s="17" t="s">
        <v>69</v>
      </c>
      <c r="Y2651" s="68">
        <v>45008</v>
      </c>
      <c r="Z2651" s="17" t="s">
        <v>191</v>
      </c>
      <c r="AA2651" s="17" t="s">
        <v>46</v>
      </c>
      <c r="AB2651" s="17" t="s">
        <v>1021</v>
      </c>
      <c r="AC2651" s="217">
        <v>44989</v>
      </c>
      <c r="AD2651" s="65">
        <v>1413</v>
      </c>
      <c r="AE2651" s="17" t="s">
        <v>48</v>
      </c>
      <c r="AF2651" s="17" t="s">
        <v>560</v>
      </c>
    </row>
    <row r="2652" s="17" customFormat="1" ht="15.6" hidden="1" spans="1:35">
      <c r="A2652" s="17" t="s">
        <v>34</v>
      </c>
      <c r="B2652" s="19">
        <v>879</v>
      </c>
      <c r="C2652" s="239" t="s">
        <v>1009</v>
      </c>
      <c r="D2652" s="17" t="s">
        <v>52</v>
      </c>
      <c r="E2652" s="17" t="s">
        <v>220</v>
      </c>
      <c r="F2652" s="17" t="s">
        <v>54</v>
      </c>
      <c r="H2652" s="19">
        <v>1.2379</v>
      </c>
      <c r="I2652" s="19"/>
      <c r="J2652" s="17" t="s">
        <v>82</v>
      </c>
      <c r="K2652" s="184">
        <v>205</v>
      </c>
      <c r="L2652" s="91">
        <v>105</v>
      </c>
      <c r="M2652" s="19"/>
      <c r="N2652" s="19" t="s">
        <v>40</v>
      </c>
      <c r="O2652" s="19" t="s">
        <v>168</v>
      </c>
      <c r="P2652" s="256">
        <v>1000</v>
      </c>
      <c r="Q2652" s="19">
        <v>1135</v>
      </c>
      <c r="R2652" s="19">
        <f t="shared" ref="R2652:R2669" si="136">+P2652-Q2652</f>
        <v>-135</v>
      </c>
      <c r="S2652" s="19">
        <v>2320</v>
      </c>
      <c r="T2652" s="19" t="s">
        <v>42</v>
      </c>
      <c r="U2652" s="102" t="s">
        <v>1018</v>
      </c>
      <c r="V2652" s="212" t="s">
        <v>1007</v>
      </c>
      <c r="W2652" s="17" t="s">
        <v>69</v>
      </c>
      <c r="Y2652" s="68">
        <v>45008</v>
      </c>
      <c r="Z2652" s="17" t="s">
        <v>191</v>
      </c>
      <c r="AA2652" s="17" t="s">
        <v>46</v>
      </c>
      <c r="AB2652" s="17" t="s">
        <v>1019</v>
      </c>
      <c r="AC2652" s="102" t="s">
        <v>1020</v>
      </c>
      <c r="AD2652" s="65">
        <v>1408</v>
      </c>
      <c r="AE2652" s="17" t="s">
        <v>48</v>
      </c>
      <c r="AF2652" s="17" t="s">
        <v>560</v>
      </c>
      <c r="AI2652" s="17">
        <v>2370</v>
      </c>
    </row>
    <row r="2653" s="17" customFormat="1" ht="15.6" hidden="1" spans="1:35">
      <c r="A2653" s="17" t="s">
        <v>34</v>
      </c>
      <c r="B2653" s="19">
        <v>879</v>
      </c>
      <c r="C2653" s="239" t="s">
        <v>1009</v>
      </c>
      <c r="D2653" s="17" t="s">
        <v>52</v>
      </c>
      <c r="E2653" s="17" t="s">
        <v>220</v>
      </c>
      <c r="F2653" s="17" t="s">
        <v>54</v>
      </c>
      <c r="H2653" s="19">
        <v>1.2379</v>
      </c>
      <c r="I2653" s="19"/>
      <c r="J2653" s="17" t="s">
        <v>82</v>
      </c>
      <c r="K2653" s="184">
        <v>255</v>
      </c>
      <c r="L2653" s="91">
        <v>105</v>
      </c>
      <c r="M2653" s="19"/>
      <c r="N2653" s="19" t="s">
        <v>40</v>
      </c>
      <c r="O2653" s="19" t="s">
        <v>168</v>
      </c>
      <c r="P2653" s="256">
        <v>1000</v>
      </c>
      <c r="Q2653" s="19">
        <v>831</v>
      </c>
      <c r="R2653" s="19">
        <f t="shared" si="136"/>
        <v>169</v>
      </c>
      <c r="S2653" s="19">
        <v>2320</v>
      </c>
      <c r="T2653" s="19" t="s">
        <v>42</v>
      </c>
      <c r="U2653" s="102" t="s">
        <v>1018</v>
      </c>
      <c r="V2653" s="212" t="s">
        <v>1007</v>
      </c>
      <c r="W2653" s="17" t="s">
        <v>69</v>
      </c>
      <c r="Y2653" s="68">
        <v>45008</v>
      </c>
      <c r="Z2653" s="17" t="s">
        <v>191</v>
      </c>
      <c r="AA2653" s="17" t="s">
        <v>46</v>
      </c>
      <c r="AB2653" s="17" t="s">
        <v>1021</v>
      </c>
      <c r="AC2653" s="217">
        <v>44989</v>
      </c>
      <c r="AD2653" s="65">
        <v>1413</v>
      </c>
      <c r="AE2653" s="17" t="s">
        <v>48</v>
      </c>
      <c r="AF2653" s="17" t="s">
        <v>560</v>
      </c>
      <c r="AI2653" s="17">
        <v>2370</v>
      </c>
    </row>
    <row r="2654" s="17" customFormat="1" ht="15.6" hidden="1" spans="1:35">
      <c r="A2654" s="17" t="s">
        <v>34</v>
      </c>
      <c r="B2654" s="19">
        <v>879</v>
      </c>
      <c r="C2654" s="239" t="s">
        <v>1009</v>
      </c>
      <c r="D2654" s="17" t="s">
        <v>52</v>
      </c>
      <c r="E2654" s="17" t="s">
        <v>220</v>
      </c>
      <c r="F2654" s="17" t="s">
        <v>54</v>
      </c>
      <c r="H2654" s="19">
        <v>1.2379</v>
      </c>
      <c r="I2654" s="19"/>
      <c r="J2654" s="17" t="s">
        <v>82</v>
      </c>
      <c r="K2654" s="184">
        <v>305</v>
      </c>
      <c r="L2654" s="91">
        <v>105</v>
      </c>
      <c r="M2654" s="19"/>
      <c r="N2654" s="19" t="s">
        <v>40</v>
      </c>
      <c r="O2654" s="19" t="s">
        <v>168</v>
      </c>
      <c r="P2654" s="256">
        <v>1000</v>
      </c>
      <c r="Q2654" s="19">
        <v>944</v>
      </c>
      <c r="R2654" s="19">
        <f t="shared" si="136"/>
        <v>56</v>
      </c>
      <c r="S2654" s="19">
        <v>2320</v>
      </c>
      <c r="T2654" s="19" t="s">
        <v>42</v>
      </c>
      <c r="U2654" s="102" t="s">
        <v>1018</v>
      </c>
      <c r="V2654" s="212" t="s">
        <v>1007</v>
      </c>
      <c r="W2654" s="17" t="s">
        <v>69</v>
      </c>
      <c r="Y2654" s="68">
        <v>45008</v>
      </c>
      <c r="Z2654" s="17" t="s">
        <v>191</v>
      </c>
      <c r="AA2654" s="17" t="s">
        <v>46</v>
      </c>
      <c r="AB2654" s="17" t="s">
        <v>1021</v>
      </c>
      <c r="AC2654" s="217">
        <v>44989</v>
      </c>
      <c r="AD2654" s="65">
        <v>1413</v>
      </c>
      <c r="AE2654" s="17" t="s">
        <v>48</v>
      </c>
      <c r="AF2654" s="17" t="s">
        <v>560</v>
      </c>
      <c r="AI2654" s="17">
        <v>2370</v>
      </c>
    </row>
    <row r="2655" s="17" customFormat="1" ht="15.6" hidden="1" spans="1:35">
      <c r="A2655" s="17" t="s">
        <v>34</v>
      </c>
      <c r="B2655" s="19">
        <v>879</v>
      </c>
      <c r="C2655" s="239" t="s">
        <v>1009</v>
      </c>
      <c r="D2655" s="17" t="s">
        <v>52</v>
      </c>
      <c r="E2655" s="17" t="s">
        <v>220</v>
      </c>
      <c r="F2655" s="17" t="s">
        <v>54</v>
      </c>
      <c r="H2655" s="19">
        <v>1.2379</v>
      </c>
      <c r="I2655" s="19"/>
      <c r="J2655" s="17" t="s">
        <v>82</v>
      </c>
      <c r="K2655" s="184">
        <v>355</v>
      </c>
      <c r="L2655" s="91">
        <v>105</v>
      </c>
      <c r="M2655" s="19"/>
      <c r="N2655" s="19" t="s">
        <v>40</v>
      </c>
      <c r="O2655" s="19" t="s">
        <v>168</v>
      </c>
      <c r="P2655" s="256">
        <v>500</v>
      </c>
      <c r="Q2655" s="19">
        <v>999</v>
      </c>
      <c r="R2655" s="19">
        <f t="shared" si="136"/>
        <v>-499</v>
      </c>
      <c r="S2655" s="19">
        <v>2320</v>
      </c>
      <c r="T2655" s="19" t="s">
        <v>42</v>
      </c>
      <c r="U2655" s="102" t="s">
        <v>1018</v>
      </c>
      <c r="V2655" s="212" t="s">
        <v>1007</v>
      </c>
      <c r="W2655" s="17" t="s">
        <v>69</v>
      </c>
      <c r="Y2655" s="68">
        <v>45008</v>
      </c>
      <c r="Z2655" s="17" t="s">
        <v>191</v>
      </c>
      <c r="AA2655" s="17" t="s">
        <v>46</v>
      </c>
      <c r="AB2655" s="17" t="s">
        <v>1021</v>
      </c>
      <c r="AC2655" s="217">
        <v>44989</v>
      </c>
      <c r="AD2655" s="65">
        <v>1413</v>
      </c>
      <c r="AE2655" s="17" t="s">
        <v>48</v>
      </c>
      <c r="AF2655" s="17" t="s">
        <v>560</v>
      </c>
      <c r="AI2655" s="17">
        <v>2370</v>
      </c>
    </row>
    <row r="2656" s="17" customFormat="1" ht="15.6" hidden="1" spans="1:35">
      <c r="A2656" s="17" t="s">
        <v>34</v>
      </c>
      <c r="B2656" s="19">
        <v>879</v>
      </c>
      <c r="C2656" s="239" t="s">
        <v>1009</v>
      </c>
      <c r="D2656" s="17" t="s">
        <v>52</v>
      </c>
      <c r="E2656" s="17" t="s">
        <v>220</v>
      </c>
      <c r="F2656" s="17" t="s">
        <v>54</v>
      </c>
      <c r="H2656" s="19">
        <v>1.2379</v>
      </c>
      <c r="I2656" s="19"/>
      <c r="J2656" s="17" t="s">
        <v>82</v>
      </c>
      <c r="K2656" s="184">
        <v>405</v>
      </c>
      <c r="L2656" s="91">
        <v>105</v>
      </c>
      <c r="M2656" s="19"/>
      <c r="N2656" s="19" t="s">
        <v>40</v>
      </c>
      <c r="O2656" s="19" t="s">
        <v>168</v>
      </c>
      <c r="P2656" s="256">
        <v>1000</v>
      </c>
      <c r="Q2656" s="19">
        <v>700</v>
      </c>
      <c r="R2656" s="19">
        <f t="shared" si="136"/>
        <v>300</v>
      </c>
      <c r="S2656" s="19">
        <v>2320</v>
      </c>
      <c r="T2656" s="19" t="s">
        <v>42</v>
      </c>
      <c r="U2656" s="102" t="s">
        <v>1018</v>
      </c>
      <c r="V2656" s="212" t="s">
        <v>1007</v>
      </c>
      <c r="W2656" s="17" t="s">
        <v>69</v>
      </c>
      <c r="Y2656" s="68">
        <v>45008</v>
      </c>
      <c r="Z2656" s="17" t="s">
        <v>191</v>
      </c>
      <c r="AA2656" s="17" t="s">
        <v>46</v>
      </c>
      <c r="AB2656" s="17" t="s">
        <v>1019</v>
      </c>
      <c r="AC2656" s="102" t="s">
        <v>1020</v>
      </c>
      <c r="AD2656" s="65">
        <v>1408</v>
      </c>
      <c r="AE2656" s="17" t="s">
        <v>48</v>
      </c>
      <c r="AF2656" s="17" t="s">
        <v>560</v>
      </c>
      <c r="AI2656" s="17">
        <v>2370</v>
      </c>
    </row>
    <row r="2657" s="17" customFormat="1" ht="15.6" hidden="1" spans="1:35">
      <c r="A2657" s="17" t="s">
        <v>34</v>
      </c>
      <c r="B2657" s="19">
        <v>879</v>
      </c>
      <c r="C2657" s="239" t="s">
        <v>1009</v>
      </c>
      <c r="D2657" s="17" t="s">
        <v>52</v>
      </c>
      <c r="E2657" s="17" t="s">
        <v>220</v>
      </c>
      <c r="F2657" s="17" t="s">
        <v>54</v>
      </c>
      <c r="H2657" s="19">
        <v>1.2379</v>
      </c>
      <c r="I2657" s="19"/>
      <c r="J2657" s="17" t="s">
        <v>82</v>
      </c>
      <c r="K2657" s="184">
        <v>510</v>
      </c>
      <c r="L2657" s="91">
        <v>105</v>
      </c>
      <c r="M2657" s="19"/>
      <c r="N2657" s="19" t="s">
        <v>40</v>
      </c>
      <c r="O2657" s="19" t="s">
        <v>168</v>
      </c>
      <c r="P2657" s="256">
        <v>1000</v>
      </c>
      <c r="Q2657" s="19">
        <v>1224</v>
      </c>
      <c r="R2657" s="19">
        <f t="shared" si="136"/>
        <v>-224</v>
      </c>
      <c r="S2657" s="19">
        <v>2320</v>
      </c>
      <c r="T2657" s="19" t="s">
        <v>42</v>
      </c>
      <c r="U2657" s="102" t="s">
        <v>1018</v>
      </c>
      <c r="V2657" s="212" t="s">
        <v>1007</v>
      </c>
      <c r="W2657" s="17" t="s">
        <v>69</v>
      </c>
      <c r="Y2657" s="68">
        <v>45008</v>
      </c>
      <c r="Z2657" s="17" t="s">
        <v>191</v>
      </c>
      <c r="AA2657" s="17" t="s">
        <v>46</v>
      </c>
      <c r="AB2657" s="17" t="s">
        <v>1019</v>
      </c>
      <c r="AC2657" s="102" t="s">
        <v>1020</v>
      </c>
      <c r="AD2657" s="65">
        <v>1408</v>
      </c>
      <c r="AE2657" s="17" t="s">
        <v>48</v>
      </c>
      <c r="AF2657" s="17" t="s">
        <v>560</v>
      </c>
      <c r="AI2657" s="17">
        <v>2370</v>
      </c>
    </row>
    <row r="2658" s="17" customFormat="1" ht="15.6" hidden="1" spans="1:35">
      <c r="A2658" s="17" t="s">
        <v>34</v>
      </c>
      <c r="B2658" s="19">
        <v>879</v>
      </c>
      <c r="C2658" s="239" t="s">
        <v>1009</v>
      </c>
      <c r="D2658" s="17" t="s">
        <v>52</v>
      </c>
      <c r="E2658" s="17" t="s">
        <v>220</v>
      </c>
      <c r="F2658" s="17" t="s">
        <v>54</v>
      </c>
      <c r="H2658" s="19">
        <v>1.2379</v>
      </c>
      <c r="I2658" s="19"/>
      <c r="J2658" s="17" t="s">
        <v>82</v>
      </c>
      <c r="K2658" s="184">
        <v>155</v>
      </c>
      <c r="L2658" s="91">
        <v>130</v>
      </c>
      <c r="M2658" s="19"/>
      <c r="N2658" s="19" t="s">
        <v>40</v>
      </c>
      <c r="O2658" s="19" t="s">
        <v>168</v>
      </c>
      <c r="P2658" s="256">
        <v>500</v>
      </c>
      <c r="Q2658" s="19">
        <v>675</v>
      </c>
      <c r="R2658" s="19">
        <f t="shared" si="136"/>
        <v>-175</v>
      </c>
      <c r="S2658" s="19">
        <v>2320</v>
      </c>
      <c r="T2658" s="19" t="s">
        <v>42</v>
      </c>
      <c r="U2658" s="102" t="s">
        <v>1018</v>
      </c>
      <c r="V2658" s="212" t="s">
        <v>1007</v>
      </c>
      <c r="W2658" s="17" t="s">
        <v>69</v>
      </c>
      <c r="Y2658" s="68">
        <v>45008</v>
      </c>
      <c r="Z2658" s="17" t="s">
        <v>191</v>
      </c>
      <c r="AA2658" s="17" t="s">
        <v>46</v>
      </c>
      <c r="AB2658" s="17" t="s">
        <v>1019</v>
      </c>
      <c r="AC2658" s="102" t="s">
        <v>1020</v>
      </c>
      <c r="AD2658" s="65">
        <v>1408</v>
      </c>
      <c r="AE2658" s="17" t="s">
        <v>48</v>
      </c>
      <c r="AF2658" s="17" t="s">
        <v>560</v>
      </c>
      <c r="AI2658" s="17">
        <v>2370</v>
      </c>
    </row>
    <row r="2659" s="17" customFormat="1" ht="15.6" hidden="1" spans="1:35">
      <c r="A2659" s="17" t="s">
        <v>34</v>
      </c>
      <c r="B2659" s="19">
        <v>879</v>
      </c>
      <c r="C2659" s="239" t="s">
        <v>1009</v>
      </c>
      <c r="D2659" s="17" t="s">
        <v>52</v>
      </c>
      <c r="E2659" s="17" t="s">
        <v>220</v>
      </c>
      <c r="F2659" s="17" t="s">
        <v>54</v>
      </c>
      <c r="H2659" s="19">
        <v>1.2379</v>
      </c>
      <c r="I2659" s="19"/>
      <c r="J2659" s="17" t="s">
        <v>82</v>
      </c>
      <c r="K2659" s="184">
        <v>510</v>
      </c>
      <c r="L2659" s="91">
        <v>130</v>
      </c>
      <c r="M2659" s="19"/>
      <c r="N2659" s="19" t="s">
        <v>40</v>
      </c>
      <c r="O2659" s="19" t="s">
        <v>168</v>
      </c>
      <c r="P2659" s="256">
        <v>1000</v>
      </c>
      <c r="Q2659" s="19">
        <v>2078</v>
      </c>
      <c r="R2659" s="19">
        <f t="shared" si="136"/>
        <v>-1078</v>
      </c>
      <c r="S2659" s="19">
        <v>2320</v>
      </c>
      <c r="T2659" s="19" t="s">
        <v>42</v>
      </c>
      <c r="U2659" s="102" t="s">
        <v>1018</v>
      </c>
      <c r="V2659" s="212" t="s">
        <v>1007</v>
      </c>
      <c r="W2659" s="17" t="s">
        <v>69</v>
      </c>
      <c r="Y2659" s="68">
        <v>45008</v>
      </c>
      <c r="Z2659" s="17" t="s">
        <v>191</v>
      </c>
      <c r="AA2659" s="17" t="s">
        <v>46</v>
      </c>
      <c r="AB2659" s="17" t="s">
        <v>1019</v>
      </c>
      <c r="AC2659" s="102" t="s">
        <v>1020</v>
      </c>
      <c r="AD2659" s="65">
        <v>1408</v>
      </c>
      <c r="AE2659" s="17" t="s">
        <v>48</v>
      </c>
      <c r="AF2659" s="17" t="s">
        <v>560</v>
      </c>
      <c r="AI2659" s="17">
        <v>2370</v>
      </c>
    </row>
    <row r="2660" s="17" customFormat="1" ht="15.6" hidden="1" spans="1:35">
      <c r="A2660" s="17" t="s">
        <v>34</v>
      </c>
      <c r="B2660" s="19">
        <v>879</v>
      </c>
      <c r="C2660" s="239" t="s">
        <v>1009</v>
      </c>
      <c r="D2660" s="17" t="s">
        <v>52</v>
      </c>
      <c r="E2660" s="17" t="s">
        <v>220</v>
      </c>
      <c r="F2660" s="17" t="s">
        <v>54</v>
      </c>
      <c r="H2660" s="19">
        <v>1.2379</v>
      </c>
      <c r="I2660" s="19"/>
      <c r="J2660" s="17" t="s">
        <v>82</v>
      </c>
      <c r="K2660" s="184">
        <v>510</v>
      </c>
      <c r="L2660" s="91">
        <v>155</v>
      </c>
      <c r="M2660" s="19"/>
      <c r="N2660" s="19" t="s">
        <v>40</v>
      </c>
      <c r="O2660" s="19" t="s">
        <v>168</v>
      </c>
      <c r="P2660" s="256">
        <v>1000</v>
      </c>
      <c r="Q2660" s="19">
        <v>2116</v>
      </c>
      <c r="R2660" s="19">
        <f t="shared" si="136"/>
        <v>-1116</v>
      </c>
      <c r="S2660" s="19">
        <v>2320</v>
      </c>
      <c r="T2660" s="19" t="s">
        <v>42</v>
      </c>
      <c r="U2660" s="102" t="s">
        <v>1018</v>
      </c>
      <c r="V2660" s="212" t="s">
        <v>1007</v>
      </c>
      <c r="W2660" s="17" t="s">
        <v>69</v>
      </c>
      <c r="Y2660" s="68">
        <v>45008</v>
      </c>
      <c r="Z2660" s="17" t="s">
        <v>191</v>
      </c>
      <c r="AA2660" s="17" t="s">
        <v>46</v>
      </c>
      <c r="AB2660" s="17" t="s">
        <v>1019</v>
      </c>
      <c r="AC2660" s="102" t="s">
        <v>1020</v>
      </c>
      <c r="AD2660" s="65">
        <v>1408</v>
      </c>
      <c r="AE2660" s="17" t="s">
        <v>48</v>
      </c>
      <c r="AF2660" s="17" t="s">
        <v>560</v>
      </c>
      <c r="AI2660" s="17">
        <v>2370</v>
      </c>
    </row>
    <row r="2661" s="17" customFormat="1" ht="15.6" hidden="1" spans="1:35">
      <c r="A2661" s="17" t="s">
        <v>34</v>
      </c>
      <c r="B2661" s="19">
        <v>879</v>
      </c>
      <c r="C2661" s="239" t="s">
        <v>1009</v>
      </c>
      <c r="D2661" s="17" t="s">
        <v>52</v>
      </c>
      <c r="E2661" s="17" t="s">
        <v>220</v>
      </c>
      <c r="F2661" s="17" t="s">
        <v>54</v>
      </c>
      <c r="H2661" s="19">
        <v>1.2379</v>
      </c>
      <c r="I2661" s="19"/>
      <c r="J2661" s="17" t="s">
        <v>82</v>
      </c>
      <c r="K2661" s="184">
        <v>510</v>
      </c>
      <c r="L2661" s="91">
        <v>180</v>
      </c>
      <c r="M2661" s="19"/>
      <c r="N2661" s="19" t="s">
        <v>40</v>
      </c>
      <c r="O2661" s="19" t="s">
        <v>168</v>
      </c>
      <c r="P2661" s="256">
        <v>2000</v>
      </c>
      <c r="Q2661" s="19">
        <v>2985</v>
      </c>
      <c r="R2661" s="19">
        <f t="shared" si="136"/>
        <v>-985</v>
      </c>
      <c r="S2661" s="19">
        <v>2320</v>
      </c>
      <c r="T2661" s="19" t="s">
        <v>42</v>
      </c>
      <c r="U2661" s="102" t="s">
        <v>1018</v>
      </c>
      <c r="V2661" s="212" t="s">
        <v>1007</v>
      </c>
      <c r="W2661" s="17" t="s">
        <v>69</v>
      </c>
      <c r="Y2661" s="68">
        <v>45008</v>
      </c>
      <c r="Z2661" s="17" t="s">
        <v>191</v>
      </c>
      <c r="AA2661" s="17" t="s">
        <v>46</v>
      </c>
      <c r="AB2661" s="17" t="s">
        <v>1019</v>
      </c>
      <c r="AC2661" s="102" t="s">
        <v>1020</v>
      </c>
      <c r="AD2661" s="65">
        <v>1408</v>
      </c>
      <c r="AE2661" s="17" t="s">
        <v>48</v>
      </c>
      <c r="AF2661" s="17" t="s">
        <v>560</v>
      </c>
      <c r="AI2661" s="17">
        <v>2370</v>
      </c>
    </row>
    <row r="2662" s="17" customFormat="1" ht="15.6" hidden="1" spans="1:35">
      <c r="A2662" s="17" t="s">
        <v>34</v>
      </c>
      <c r="B2662" s="19">
        <v>879</v>
      </c>
      <c r="C2662" s="239" t="s">
        <v>1009</v>
      </c>
      <c r="D2662" s="17" t="s">
        <v>52</v>
      </c>
      <c r="E2662" s="17" t="s">
        <v>220</v>
      </c>
      <c r="F2662" s="17" t="s">
        <v>54</v>
      </c>
      <c r="H2662" s="19">
        <v>1.2379</v>
      </c>
      <c r="I2662" s="19"/>
      <c r="J2662" s="17" t="s">
        <v>82</v>
      </c>
      <c r="K2662" s="184">
        <v>205</v>
      </c>
      <c r="L2662" s="91">
        <v>210</v>
      </c>
      <c r="M2662" s="19"/>
      <c r="N2662" s="19" t="s">
        <v>40</v>
      </c>
      <c r="O2662" s="19" t="s">
        <v>168</v>
      </c>
      <c r="P2662" s="256">
        <v>1000</v>
      </c>
      <c r="Q2662" s="19">
        <v>1230</v>
      </c>
      <c r="R2662" s="19">
        <f t="shared" si="136"/>
        <v>-230</v>
      </c>
      <c r="S2662" s="19">
        <v>2320</v>
      </c>
      <c r="T2662" s="19" t="s">
        <v>42</v>
      </c>
      <c r="U2662" s="102" t="s">
        <v>1018</v>
      </c>
      <c r="V2662" s="212" t="s">
        <v>1007</v>
      </c>
      <c r="W2662" s="17" t="s">
        <v>69</v>
      </c>
      <c r="Y2662" s="68">
        <v>45008</v>
      </c>
      <c r="Z2662" s="17" t="s">
        <v>191</v>
      </c>
      <c r="AA2662" s="17" t="s">
        <v>46</v>
      </c>
      <c r="AB2662" s="17" t="s">
        <v>1019</v>
      </c>
      <c r="AC2662" s="102" t="s">
        <v>1020</v>
      </c>
      <c r="AD2662" s="65">
        <v>1408</v>
      </c>
      <c r="AE2662" s="17" t="s">
        <v>48</v>
      </c>
      <c r="AF2662" s="17" t="s">
        <v>560</v>
      </c>
      <c r="AI2662" s="17">
        <v>2370</v>
      </c>
    </row>
    <row r="2663" s="17" customFormat="1" ht="15.6" hidden="1" spans="1:35">
      <c r="A2663" s="17" t="s">
        <v>34</v>
      </c>
      <c r="B2663" s="19">
        <v>879</v>
      </c>
      <c r="C2663" s="239" t="s">
        <v>1009</v>
      </c>
      <c r="D2663" s="17" t="s">
        <v>52</v>
      </c>
      <c r="E2663" s="17" t="s">
        <v>220</v>
      </c>
      <c r="F2663" s="17" t="s">
        <v>54</v>
      </c>
      <c r="H2663" s="19">
        <v>1.2379</v>
      </c>
      <c r="I2663" s="19"/>
      <c r="J2663" s="17" t="s">
        <v>82</v>
      </c>
      <c r="K2663" s="184">
        <v>510</v>
      </c>
      <c r="L2663" s="91">
        <v>210</v>
      </c>
      <c r="M2663" s="19"/>
      <c r="N2663" s="19" t="s">
        <v>40</v>
      </c>
      <c r="O2663" s="19" t="s">
        <v>168</v>
      </c>
      <c r="P2663" s="256">
        <v>2000</v>
      </c>
      <c r="Q2663" s="19">
        <v>3111</v>
      </c>
      <c r="R2663" s="19">
        <f t="shared" si="136"/>
        <v>-1111</v>
      </c>
      <c r="S2663" s="19">
        <v>2320</v>
      </c>
      <c r="T2663" s="19" t="s">
        <v>42</v>
      </c>
      <c r="U2663" s="102" t="s">
        <v>1018</v>
      </c>
      <c r="V2663" s="212" t="s">
        <v>1007</v>
      </c>
      <c r="W2663" s="17" t="s">
        <v>69</v>
      </c>
      <c r="Y2663" s="68">
        <v>45008</v>
      </c>
      <c r="Z2663" s="17" t="s">
        <v>191</v>
      </c>
      <c r="AA2663" s="17" t="s">
        <v>46</v>
      </c>
      <c r="AB2663" s="17" t="s">
        <v>1019</v>
      </c>
      <c r="AC2663" s="102" t="s">
        <v>1020</v>
      </c>
      <c r="AD2663" s="65">
        <v>1408</v>
      </c>
      <c r="AE2663" s="17" t="s">
        <v>48</v>
      </c>
      <c r="AF2663" s="17" t="s">
        <v>560</v>
      </c>
      <c r="AI2663" s="17">
        <v>2370</v>
      </c>
    </row>
    <row r="2664" s="17" customFormat="1" ht="15.6" hidden="1" spans="1:35">
      <c r="A2664" s="17" t="s">
        <v>34</v>
      </c>
      <c r="B2664" s="19">
        <v>879</v>
      </c>
      <c r="C2664" s="239" t="s">
        <v>1009</v>
      </c>
      <c r="D2664" s="22" t="s">
        <v>52</v>
      </c>
      <c r="E2664" s="22" t="s">
        <v>220</v>
      </c>
      <c r="F2664" s="22" t="s">
        <v>54</v>
      </c>
      <c r="G2664" s="22"/>
      <c r="H2664" s="147">
        <v>1.2379</v>
      </c>
      <c r="I2664" s="147"/>
      <c r="J2664" s="22" t="s">
        <v>82</v>
      </c>
      <c r="K2664" s="147">
        <v>510</v>
      </c>
      <c r="L2664" s="243">
        <v>260</v>
      </c>
      <c r="M2664" s="147"/>
      <c r="N2664" s="147" t="s">
        <v>40</v>
      </c>
      <c r="O2664" s="147" t="s">
        <v>168</v>
      </c>
      <c r="P2664" s="263">
        <v>2000</v>
      </c>
      <c r="Q2664" s="147">
        <v>3274</v>
      </c>
      <c r="R2664" s="147">
        <f t="shared" si="136"/>
        <v>-1274</v>
      </c>
      <c r="S2664" s="147">
        <v>2320</v>
      </c>
      <c r="T2664" s="147" t="s">
        <v>42</v>
      </c>
      <c r="U2664" s="102" t="s">
        <v>1018</v>
      </c>
      <c r="V2664" s="212" t="s">
        <v>1007</v>
      </c>
      <c r="W2664" s="17" t="s">
        <v>69</v>
      </c>
      <c r="Y2664" s="68">
        <v>45008</v>
      </c>
      <c r="Z2664" s="17" t="s">
        <v>191</v>
      </c>
      <c r="AA2664" s="17" t="s">
        <v>46</v>
      </c>
      <c r="AB2664" s="17" t="s">
        <v>1019</v>
      </c>
      <c r="AC2664" s="102" t="s">
        <v>1020</v>
      </c>
      <c r="AD2664" s="65">
        <v>1408</v>
      </c>
      <c r="AE2664" s="17" t="s">
        <v>48</v>
      </c>
      <c r="AF2664" s="17" t="s">
        <v>560</v>
      </c>
      <c r="AI2664" s="17">
        <v>2370</v>
      </c>
    </row>
    <row r="2665" s="17" customFormat="1" hidden="1" spans="1:35">
      <c r="A2665" s="17" t="s">
        <v>34</v>
      </c>
      <c r="B2665" s="19">
        <v>881</v>
      </c>
      <c r="C2665" s="239" t="s">
        <v>1009</v>
      </c>
      <c r="D2665" s="17" t="s">
        <v>52</v>
      </c>
      <c r="E2665" s="17" t="s">
        <v>187</v>
      </c>
      <c r="F2665" s="17" t="s">
        <v>54</v>
      </c>
      <c r="H2665" s="19">
        <v>1.2311</v>
      </c>
      <c r="I2665" s="19"/>
      <c r="J2665" s="17" t="s">
        <v>82</v>
      </c>
      <c r="K2665" s="255">
        <v>205</v>
      </c>
      <c r="L2665" s="91">
        <v>40</v>
      </c>
      <c r="M2665" s="19">
        <v>2200</v>
      </c>
      <c r="N2665" s="19" t="s">
        <v>66</v>
      </c>
      <c r="O2665" s="19" t="s">
        <v>141</v>
      </c>
      <c r="P2665" s="91">
        <v>2500</v>
      </c>
      <c r="Q2665" s="19">
        <v>2620</v>
      </c>
      <c r="R2665" s="19">
        <f t="shared" si="136"/>
        <v>-120</v>
      </c>
      <c r="S2665" s="19">
        <v>1050</v>
      </c>
      <c r="T2665" s="19" t="s">
        <v>42</v>
      </c>
      <c r="U2665" s="102" t="s">
        <v>1022</v>
      </c>
      <c r="V2665" s="212" t="s">
        <v>1023</v>
      </c>
      <c r="W2665" s="17" t="s">
        <v>69</v>
      </c>
      <c r="Y2665" s="68">
        <v>45008</v>
      </c>
      <c r="Z2665" s="17" t="s">
        <v>191</v>
      </c>
      <c r="AA2665" s="17" t="s">
        <v>46</v>
      </c>
      <c r="AB2665" s="17" t="s">
        <v>1024</v>
      </c>
      <c r="AC2665" s="102" t="s">
        <v>1025</v>
      </c>
      <c r="AD2665" s="65">
        <v>1397</v>
      </c>
      <c r="AE2665" s="17" t="s">
        <v>74</v>
      </c>
      <c r="AF2665" s="17" t="s">
        <v>560</v>
      </c>
      <c r="AI2665" s="17">
        <v>1060</v>
      </c>
    </row>
    <row r="2666" s="17" customFormat="1" hidden="1" spans="1:35">
      <c r="A2666" s="17" t="s">
        <v>34</v>
      </c>
      <c r="B2666" s="19">
        <v>881</v>
      </c>
      <c r="C2666" s="239" t="s">
        <v>1009</v>
      </c>
      <c r="D2666" s="17" t="s">
        <v>52</v>
      </c>
      <c r="E2666" s="17" t="s">
        <v>187</v>
      </c>
      <c r="F2666" s="17" t="s">
        <v>54</v>
      </c>
      <c r="H2666" s="19">
        <v>1.2311</v>
      </c>
      <c r="I2666" s="19"/>
      <c r="J2666" s="17" t="s">
        <v>82</v>
      </c>
      <c r="K2666" s="255">
        <v>255</v>
      </c>
      <c r="L2666" s="91">
        <v>40</v>
      </c>
      <c r="M2666" s="19">
        <v>2200</v>
      </c>
      <c r="N2666" s="19" t="s">
        <v>66</v>
      </c>
      <c r="O2666" s="19" t="s">
        <v>141</v>
      </c>
      <c r="P2666" s="91">
        <v>4500</v>
      </c>
      <c r="Q2666" s="19">
        <f>2294+2467</f>
        <v>4761</v>
      </c>
      <c r="R2666" s="19">
        <f t="shared" si="136"/>
        <v>-261</v>
      </c>
      <c r="S2666" s="19">
        <v>1050</v>
      </c>
      <c r="T2666" s="19" t="s">
        <v>42</v>
      </c>
      <c r="U2666" s="102" t="s">
        <v>1022</v>
      </c>
      <c r="V2666" s="212" t="s">
        <v>1023</v>
      </c>
      <c r="W2666" s="17" t="s">
        <v>69</v>
      </c>
      <c r="Y2666" s="68">
        <v>45008</v>
      </c>
      <c r="Z2666" s="17" t="s">
        <v>191</v>
      </c>
      <c r="AA2666" s="17" t="s">
        <v>46</v>
      </c>
      <c r="AB2666" s="17" t="s">
        <v>1024</v>
      </c>
      <c r="AC2666" s="102" t="s">
        <v>1025</v>
      </c>
      <c r="AD2666" s="65">
        <v>1397</v>
      </c>
      <c r="AE2666" s="17" t="s">
        <v>74</v>
      </c>
      <c r="AF2666" s="17" t="s">
        <v>560</v>
      </c>
      <c r="AI2666" s="17">
        <v>1060</v>
      </c>
    </row>
    <row r="2667" s="17" customFormat="1" hidden="1" spans="1:35">
      <c r="A2667" s="17" t="s">
        <v>34</v>
      </c>
      <c r="B2667" s="19">
        <v>881</v>
      </c>
      <c r="C2667" s="239" t="s">
        <v>1009</v>
      </c>
      <c r="D2667" s="17" t="s">
        <v>52</v>
      </c>
      <c r="E2667" s="17" t="s">
        <v>187</v>
      </c>
      <c r="F2667" s="17" t="s">
        <v>54</v>
      </c>
      <c r="H2667" s="19">
        <v>1.2311</v>
      </c>
      <c r="I2667" s="19"/>
      <c r="J2667" s="17" t="s">
        <v>82</v>
      </c>
      <c r="K2667" s="255">
        <v>305</v>
      </c>
      <c r="L2667" s="91">
        <v>40</v>
      </c>
      <c r="M2667" s="19">
        <v>2200</v>
      </c>
      <c r="N2667" s="19" t="s">
        <v>66</v>
      </c>
      <c r="O2667" s="19" t="s">
        <v>141</v>
      </c>
      <c r="P2667" s="91">
        <v>5000</v>
      </c>
      <c r="Q2667" s="19">
        <f>1352+4103</f>
        <v>5455</v>
      </c>
      <c r="R2667" s="19">
        <f t="shared" si="136"/>
        <v>-455</v>
      </c>
      <c r="S2667" s="19">
        <v>1050</v>
      </c>
      <c r="T2667" s="19" t="s">
        <v>42</v>
      </c>
      <c r="U2667" s="102" t="s">
        <v>1022</v>
      </c>
      <c r="V2667" s="212" t="s">
        <v>1023</v>
      </c>
      <c r="W2667" s="17" t="s">
        <v>69</v>
      </c>
      <c r="Y2667" s="68">
        <v>45008</v>
      </c>
      <c r="Z2667" s="17" t="s">
        <v>191</v>
      </c>
      <c r="AA2667" s="17" t="s">
        <v>46</v>
      </c>
      <c r="AB2667" s="17" t="s">
        <v>1024</v>
      </c>
      <c r="AC2667" s="102" t="s">
        <v>1025</v>
      </c>
      <c r="AD2667" s="65">
        <v>1397</v>
      </c>
      <c r="AE2667" s="17" t="s">
        <v>74</v>
      </c>
      <c r="AF2667" s="17" t="s">
        <v>560</v>
      </c>
      <c r="AI2667" s="17">
        <v>1060</v>
      </c>
    </row>
    <row r="2668" s="17" customFormat="1" hidden="1" spans="1:35">
      <c r="A2668" s="17" t="s">
        <v>34</v>
      </c>
      <c r="B2668" s="19">
        <v>881</v>
      </c>
      <c r="C2668" s="239" t="s">
        <v>1009</v>
      </c>
      <c r="D2668" s="17" t="s">
        <v>52</v>
      </c>
      <c r="E2668" s="17" t="s">
        <v>187</v>
      </c>
      <c r="F2668" s="17" t="s">
        <v>54</v>
      </c>
      <c r="H2668" s="19">
        <v>1.2311</v>
      </c>
      <c r="I2668" s="19"/>
      <c r="J2668" s="17" t="s">
        <v>82</v>
      </c>
      <c r="K2668" s="255">
        <v>355</v>
      </c>
      <c r="L2668" s="91">
        <v>40</v>
      </c>
      <c r="M2668" s="19">
        <v>2200</v>
      </c>
      <c r="N2668" s="19" t="s">
        <v>66</v>
      </c>
      <c r="O2668" s="19" t="s">
        <v>141</v>
      </c>
      <c r="P2668" s="91">
        <v>3000</v>
      </c>
      <c r="Q2668" s="19">
        <f>794+2367</f>
        <v>3161</v>
      </c>
      <c r="R2668" s="19">
        <f t="shared" si="136"/>
        <v>-161</v>
      </c>
      <c r="S2668" s="19">
        <v>1050</v>
      </c>
      <c r="T2668" s="19" t="s">
        <v>42</v>
      </c>
      <c r="U2668" s="102" t="s">
        <v>1022</v>
      </c>
      <c r="V2668" s="212" t="s">
        <v>1023</v>
      </c>
      <c r="W2668" s="17" t="s">
        <v>69</v>
      </c>
      <c r="Y2668" s="68">
        <v>45008</v>
      </c>
      <c r="Z2668" s="17" t="s">
        <v>191</v>
      </c>
      <c r="AA2668" s="17" t="s">
        <v>46</v>
      </c>
      <c r="AB2668" s="17" t="s">
        <v>1024</v>
      </c>
      <c r="AC2668" s="102" t="s">
        <v>1025</v>
      </c>
      <c r="AD2668" s="65">
        <v>1397</v>
      </c>
      <c r="AE2668" s="17" t="s">
        <v>74</v>
      </c>
      <c r="AF2668" s="17" t="s">
        <v>560</v>
      </c>
      <c r="AI2668" s="17">
        <v>1060</v>
      </c>
    </row>
    <row r="2669" s="17" customFormat="1" hidden="1" spans="1:35">
      <c r="A2669" s="17" t="s">
        <v>34</v>
      </c>
      <c r="B2669" s="19">
        <v>881</v>
      </c>
      <c r="C2669" s="239" t="s">
        <v>1009</v>
      </c>
      <c r="D2669" s="17" t="s">
        <v>52</v>
      </c>
      <c r="E2669" s="17" t="s">
        <v>187</v>
      </c>
      <c r="F2669" s="17" t="s">
        <v>54</v>
      </c>
      <c r="H2669" s="19">
        <v>1.2311</v>
      </c>
      <c r="I2669" s="19"/>
      <c r="J2669" s="17" t="s">
        <v>82</v>
      </c>
      <c r="K2669" s="255">
        <v>405</v>
      </c>
      <c r="L2669" s="91">
        <v>40</v>
      </c>
      <c r="M2669" s="19">
        <v>2200</v>
      </c>
      <c r="N2669" s="19" t="s">
        <v>66</v>
      </c>
      <c r="O2669" s="19" t="s">
        <v>141</v>
      </c>
      <c r="P2669" s="91">
        <v>2500</v>
      </c>
      <c r="Q2669" s="19">
        <f>300+2391</f>
        <v>2691</v>
      </c>
      <c r="R2669" s="19">
        <f t="shared" si="136"/>
        <v>-191</v>
      </c>
      <c r="S2669" s="19">
        <v>1050</v>
      </c>
      <c r="T2669" s="19" t="s">
        <v>42</v>
      </c>
      <c r="U2669" s="102" t="s">
        <v>1022</v>
      </c>
      <c r="V2669" s="212" t="s">
        <v>1023</v>
      </c>
      <c r="W2669" s="17" t="s">
        <v>69</v>
      </c>
      <c r="Y2669" s="68">
        <v>45008</v>
      </c>
      <c r="Z2669" s="17" t="s">
        <v>191</v>
      </c>
      <c r="AA2669" s="17" t="s">
        <v>46</v>
      </c>
      <c r="AB2669" s="17" t="s">
        <v>1024</v>
      </c>
      <c r="AC2669" s="102" t="s">
        <v>1025</v>
      </c>
      <c r="AD2669" s="65">
        <v>1397</v>
      </c>
      <c r="AE2669" s="17" t="s">
        <v>74</v>
      </c>
      <c r="AF2669" s="17" t="s">
        <v>560</v>
      </c>
      <c r="AI2669" s="17">
        <v>1060</v>
      </c>
    </row>
    <row r="2670" s="17" customFormat="1" hidden="1" spans="1:35">
      <c r="A2670" s="17" t="s">
        <v>34</v>
      </c>
      <c r="B2670" s="19">
        <v>881</v>
      </c>
      <c r="C2670" s="239" t="s">
        <v>1009</v>
      </c>
      <c r="D2670" s="17" t="s">
        <v>52</v>
      </c>
      <c r="E2670" s="17" t="s">
        <v>187</v>
      </c>
      <c r="F2670" s="17" t="s">
        <v>54</v>
      </c>
      <c r="H2670" s="19">
        <v>1.2311</v>
      </c>
      <c r="I2670" s="19"/>
      <c r="J2670" s="17" t="s">
        <v>82</v>
      </c>
      <c r="K2670" s="255">
        <v>455</v>
      </c>
      <c r="L2670" s="91">
        <v>40</v>
      </c>
      <c r="M2670" s="19">
        <v>2200</v>
      </c>
      <c r="N2670" s="19" t="s">
        <v>66</v>
      </c>
      <c r="O2670" s="19" t="s">
        <v>141</v>
      </c>
      <c r="P2670" s="91">
        <v>2000</v>
      </c>
      <c r="Q2670" s="19">
        <v>1670</v>
      </c>
      <c r="S2670" s="19">
        <v>1050</v>
      </c>
      <c r="T2670" s="19" t="s">
        <v>42</v>
      </c>
      <c r="U2670" s="102" t="s">
        <v>1022</v>
      </c>
      <c r="V2670" s="212" t="s">
        <v>1023</v>
      </c>
      <c r="W2670" s="17" t="s">
        <v>69</v>
      </c>
      <c r="Y2670" s="68">
        <v>45008</v>
      </c>
      <c r="Z2670" s="17" t="s">
        <v>191</v>
      </c>
      <c r="AA2670" s="17" t="s">
        <v>46</v>
      </c>
      <c r="AB2670" s="17" t="s">
        <v>1024</v>
      </c>
      <c r="AC2670" s="102" t="s">
        <v>1025</v>
      </c>
      <c r="AD2670" s="65">
        <v>1397</v>
      </c>
      <c r="AE2670" s="17" t="s">
        <v>74</v>
      </c>
      <c r="AF2670" s="17" t="s">
        <v>560</v>
      </c>
      <c r="AI2670" s="17">
        <v>1060</v>
      </c>
    </row>
    <row r="2671" s="17" customFormat="1" hidden="1" spans="1:35">
      <c r="A2671" s="17" t="s">
        <v>34</v>
      </c>
      <c r="B2671" s="19">
        <v>881</v>
      </c>
      <c r="C2671" s="239" t="s">
        <v>1009</v>
      </c>
      <c r="D2671" s="17" t="s">
        <v>52</v>
      </c>
      <c r="E2671" s="17" t="s">
        <v>187</v>
      </c>
      <c r="F2671" s="17" t="s">
        <v>54</v>
      </c>
      <c r="H2671" s="19">
        <v>1.2311</v>
      </c>
      <c r="I2671" s="19"/>
      <c r="J2671" s="17" t="s">
        <v>82</v>
      </c>
      <c r="K2671" s="255">
        <v>455</v>
      </c>
      <c r="L2671" s="91">
        <v>40</v>
      </c>
      <c r="M2671" s="19">
        <v>2200</v>
      </c>
      <c r="N2671" s="19" t="s">
        <v>66</v>
      </c>
      <c r="O2671" s="19" t="s">
        <v>141</v>
      </c>
      <c r="P2671" s="91"/>
      <c r="Q2671" s="19">
        <v>327</v>
      </c>
      <c r="R2671" s="19">
        <f>+P2670-Q2670-Q2671</f>
        <v>3</v>
      </c>
      <c r="S2671" s="19">
        <v>1050</v>
      </c>
      <c r="T2671" s="19" t="s">
        <v>42</v>
      </c>
      <c r="U2671" s="102" t="s">
        <v>1022</v>
      </c>
      <c r="V2671" s="212" t="s">
        <v>1023</v>
      </c>
      <c r="W2671" s="17" t="s">
        <v>69</v>
      </c>
      <c r="Y2671" s="68">
        <v>45008</v>
      </c>
      <c r="Z2671" s="17" t="s">
        <v>191</v>
      </c>
      <c r="AA2671" s="17" t="s">
        <v>46</v>
      </c>
      <c r="AB2671" s="17" t="s">
        <v>1026</v>
      </c>
      <c r="AC2671" s="217">
        <v>45142</v>
      </c>
      <c r="AD2671" s="65">
        <v>1417</v>
      </c>
      <c r="AE2671" s="17" t="s">
        <v>74</v>
      </c>
      <c r="AF2671" s="17" t="s">
        <v>560</v>
      </c>
      <c r="AI2671" s="17">
        <v>1060</v>
      </c>
    </row>
    <row r="2672" s="17" customFormat="1" hidden="1" spans="1:35">
      <c r="A2672" s="17" t="s">
        <v>34</v>
      </c>
      <c r="B2672" s="19">
        <v>881</v>
      </c>
      <c r="C2672" s="239" t="s">
        <v>1009</v>
      </c>
      <c r="D2672" s="17" t="s">
        <v>52</v>
      </c>
      <c r="E2672" s="17" t="s">
        <v>187</v>
      </c>
      <c r="F2672" s="17" t="s">
        <v>54</v>
      </c>
      <c r="H2672" s="19">
        <v>1.2311</v>
      </c>
      <c r="I2672" s="19"/>
      <c r="J2672" s="17" t="s">
        <v>82</v>
      </c>
      <c r="K2672" s="255">
        <v>505</v>
      </c>
      <c r="L2672" s="91">
        <v>40</v>
      </c>
      <c r="M2672" s="19">
        <v>2200</v>
      </c>
      <c r="N2672" s="19" t="s">
        <v>66</v>
      </c>
      <c r="O2672" s="19" t="s">
        <v>141</v>
      </c>
      <c r="P2672" s="91">
        <v>2000</v>
      </c>
      <c r="Q2672" s="19">
        <v>2224</v>
      </c>
      <c r="R2672" s="19">
        <f t="shared" ref="R2672:R2684" si="137">+P2672-Q2672</f>
        <v>-224</v>
      </c>
      <c r="S2672" s="19">
        <v>1050</v>
      </c>
      <c r="T2672" s="19" t="s">
        <v>42</v>
      </c>
      <c r="U2672" s="102" t="s">
        <v>1022</v>
      </c>
      <c r="V2672" s="212" t="s">
        <v>1023</v>
      </c>
      <c r="W2672" s="17" t="s">
        <v>69</v>
      </c>
      <c r="Y2672" s="68">
        <v>45008</v>
      </c>
      <c r="Z2672" s="17" t="s">
        <v>191</v>
      </c>
      <c r="AA2672" s="17" t="s">
        <v>46</v>
      </c>
      <c r="AB2672" s="17" t="s">
        <v>1024</v>
      </c>
      <c r="AC2672" s="102" t="s">
        <v>1025</v>
      </c>
      <c r="AD2672" s="65">
        <v>1397</v>
      </c>
      <c r="AE2672" s="17" t="s">
        <v>74</v>
      </c>
      <c r="AF2672" s="17" t="s">
        <v>560</v>
      </c>
      <c r="AI2672" s="17">
        <v>1060</v>
      </c>
    </row>
    <row r="2673" s="17" customFormat="1" hidden="1" spans="1:35">
      <c r="A2673" s="17" t="s">
        <v>34</v>
      </c>
      <c r="B2673" s="19">
        <v>881</v>
      </c>
      <c r="C2673" s="239" t="s">
        <v>1009</v>
      </c>
      <c r="D2673" s="17" t="s">
        <v>52</v>
      </c>
      <c r="E2673" s="17" t="s">
        <v>187</v>
      </c>
      <c r="F2673" s="17" t="s">
        <v>54</v>
      </c>
      <c r="H2673" s="19">
        <v>1.2311</v>
      </c>
      <c r="I2673" s="19"/>
      <c r="J2673" s="17" t="s">
        <v>82</v>
      </c>
      <c r="K2673" s="255">
        <v>205</v>
      </c>
      <c r="L2673" s="91">
        <v>50</v>
      </c>
      <c r="M2673" s="19">
        <v>2200</v>
      </c>
      <c r="N2673" s="19" t="s">
        <v>66</v>
      </c>
      <c r="O2673" s="19" t="s">
        <v>141</v>
      </c>
      <c r="P2673" s="91">
        <v>3000</v>
      </c>
      <c r="Q2673" s="19">
        <v>3233</v>
      </c>
      <c r="R2673" s="19">
        <f t="shared" si="137"/>
        <v>-233</v>
      </c>
      <c r="S2673" s="19">
        <v>1050</v>
      </c>
      <c r="T2673" s="19" t="s">
        <v>42</v>
      </c>
      <c r="U2673" s="102" t="s">
        <v>1022</v>
      </c>
      <c r="V2673" s="212" t="s">
        <v>1023</v>
      </c>
      <c r="W2673" s="17" t="s">
        <v>69</v>
      </c>
      <c r="Y2673" s="68">
        <v>45008</v>
      </c>
      <c r="Z2673" s="17" t="s">
        <v>191</v>
      </c>
      <c r="AA2673" s="17" t="s">
        <v>46</v>
      </c>
      <c r="AB2673" s="17" t="s">
        <v>1024</v>
      </c>
      <c r="AC2673" s="102" t="s">
        <v>1025</v>
      </c>
      <c r="AD2673" s="65">
        <v>1397</v>
      </c>
      <c r="AE2673" s="17" t="s">
        <v>74</v>
      </c>
      <c r="AF2673" s="17" t="s">
        <v>560</v>
      </c>
      <c r="AI2673" s="17">
        <v>1060</v>
      </c>
    </row>
    <row r="2674" s="17" customFormat="1" hidden="1" spans="1:35">
      <c r="A2674" s="17" t="s">
        <v>34</v>
      </c>
      <c r="B2674" s="19">
        <v>881</v>
      </c>
      <c r="C2674" s="239" t="s">
        <v>1009</v>
      </c>
      <c r="D2674" s="17" t="s">
        <v>52</v>
      </c>
      <c r="E2674" s="17" t="s">
        <v>187</v>
      </c>
      <c r="F2674" s="17" t="s">
        <v>54</v>
      </c>
      <c r="H2674" s="19">
        <v>1.2311</v>
      </c>
      <c r="I2674" s="19"/>
      <c r="J2674" s="17" t="s">
        <v>82</v>
      </c>
      <c r="K2674" s="255">
        <v>255</v>
      </c>
      <c r="L2674" s="91">
        <v>50</v>
      </c>
      <c r="M2674" s="19">
        <v>2200</v>
      </c>
      <c r="N2674" s="19" t="s">
        <v>66</v>
      </c>
      <c r="O2674" s="19" t="s">
        <v>141</v>
      </c>
      <c r="P2674" s="91">
        <v>4500</v>
      </c>
      <c r="Q2674" s="19">
        <f>1163+3532</f>
        <v>4695</v>
      </c>
      <c r="R2674" s="19">
        <f t="shared" si="137"/>
        <v>-195</v>
      </c>
      <c r="S2674" s="19">
        <v>1050</v>
      </c>
      <c r="T2674" s="19" t="s">
        <v>42</v>
      </c>
      <c r="U2674" s="102" t="s">
        <v>1022</v>
      </c>
      <c r="V2674" s="212" t="s">
        <v>1023</v>
      </c>
      <c r="W2674" s="17" t="s">
        <v>69</v>
      </c>
      <c r="Y2674" s="68">
        <v>45008</v>
      </c>
      <c r="Z2674" s="17" t="s">
        <v>191</v>
      </c>
      <c r="AA2674" s="17" t="s">
        <v>46</v>
      </c>
      <c r="AB2674" s="17" t="s">
        <v>1024</v>
      </c>
      <c r="AC2674" s="102" t="s">
        <v>1025</v>
      </c>
      <c r="AD2674" s="65">
        <v>1397</v>
      </c>
      <c r="AE2674" s="17" t="s">
        <v>74</v>
      </c>
      <c r="AF2674" s="17" t="s">
        <v>560</v>
      </c>
      <c r="AI2674" s="17">
        <v>1060</v>
      </c>
    </row>
    <row r="2675" s="17" customFormat="1" hidden="1" spans="1:35">
      <c r="A2675" s="17" t="s">
        <v>34</v>
      </c>
      <c r="B2675" s="19">
        <v>881</v>
      </c>
      <c r="C2675" s="239" t="s">
        <v>1009</v>
      </c>
      <c r="D2675" s="17" t="s">
        <v>52</v>
      </c>
      <c r="E2675" s="17" t="s">
        <v>187</v>
      </c>
      <c r="F2675" s="17" t="s">
        <v>54</v>
      </c>
      <c r="H2675" s="19">
        <v>1.2311</v>
      </c>
      <c r="I2675" s="19"/>
      <c r="J2675" s="17" t="s">
        <v>82</v>
      </c>
      <c r="K2675" s="255">
        <v>305</v>
      </c>
      <c r="L2675" s="91">
        <v>50</v>
      </c>
      <c r="M2675" s="19">
        <v>2200</v>
      </c>
      <c r="N2675" s="19" t="s">
        <v>66</v>
      </c>
      <c r="O2675" s="19" t="s">
        <v>141</v>
      </c>
      <c r="P2675" s="91">
        <v>4500</v>
      </c>
      <c r="Q2675" s="19">
        <f>1935+2808</f>
        <v>4743</v>
      </c>
      <c r="R2675" s="19">
        <f t="shared" si="137"/>
        <v>-243</v>
      </c>
      <c r="S2675" s="19">
        <v>1050</v>
      </c>
      <c r="T2675" s="19" t="s">
        <v>42</v>
      </c>
      <c r="U2675" s="102" t="s">
        <v>1022</v>
      </c>
      <c r="V2675" s="212" t="s">
        <v>1023</v>
      </c>
      <c r="W2675" s="17" t="s">
        <v>69</v>
      </c>
      <c r="Y2675" s="68">
        <v>45008</v>
      </c>
      <c r="Z2675" s="17" t="s">
        <v>191</v>
      </c>
      <c r="AA2675" s="17" t="s">
        <v>46</v>
      </c>
      <c r="AB2675" s="17" t="s">
        <v>1024</v>
      </c>
      <c r="AC2675" s="102" t="s">
        <v>1025</v>
      </c>
      <c r="AD2675" s="65">
        <v>1397</v>
      </c>
      <c r="AE2675" s="17" t="s">
        <v>74</v>
      </c>
      <c r="AF2675" s="17" t="s">
        <v>560</v>
      </c>
      <c r="AI2675" s="17">
        <v>1060</v>
      </c>
    </row>
    <row r="2676" s="17" customFormat="1" hidden="1" spans="1:35">
      <c r="A2676" s="17" t="s">
        <v>34</v>
      </c>
      <c r="B2676" s="19">
        <v>881</v>
      </c>
      <c r="C2676" s="239" t="s">
        <v>1009</v>
      </c>
      <c r="D2676" s="17" t="s">
        <v>52</v>
      </c>
      <c r="E2676" s="17" t="s">
        <v>187</v>
      </c>
      <c r="F2676" s="17" t="s">
        <v>54</v>
      </c>
      <c r="H2676" s="19">
        <v>1.2311</v>
      </c>
      <c r="I2676" s="19"/>
      <c r="J2676" s="17" t="s">
        <v>82</v>
      </c>
      <c r="K2676" s="255">
        <v>355</v>
      </c>
      <c r="L2676" s="91">
        <v>50</v>
      </c>
      <c r="M2676" s="19">
        <v>2200</v>
      </c>
      <c r="N2676" s="19" t="s">
        <v>66</v>
      </c>
      <c r="O2676" s="19" t="s">
        <v>141</v>
      </c>
      <c r="P2676" s="91">
        <v>4000</v>
      </c>
      <c r="Q2676" s="19">
        <f>982+652+2619</f>
        <v>4253</v>
      </c>
      <c r="R2676" s="19">
        <f t="shared" si="137"/>
        <v>-253</v>
      </c>
      <c r="S2676" s="19">
        <v>1050</v>
      </c>
      <c r="T2676" s="19" t="s">
        <v>42</v>
      </c>
      <c r="U2676" s="102" t="s">
        <v>1022</v>
      </c>
      <c r="V2676" s="212" t="s">
        <v>1023</v>
      </c>
      <c r="W2676" s="17" t="s">
        <v>69</v>
      </c>
      <c r="Y2676" s="68">
        <v>45008</v>
      </c>
      <c r="Z2676" s="17" t="s">
        <v>191</v>
      </c>
      <c r="AA2676" s="17" t="s">
        <v>46</v>
      </c>
      <c r="AB2676" s="17" t="s">
        <v>1024</v>
      </c>
      <c r="AC2676" s="102" t="s">
        <v>1025</v>
      </c>
      <c r="AD2676" s="65">
        <v>1397</v>
      </c>
      <c r="AE2676" s="17" t="s">
        <v>74</v>
      </c>
      <c r="AF2676" s="17" t="s">
        <v>560</v>
      </c>
      <c r="AI2676" s="17">
        <v>1060</v>
      </c>
    </row>
    <row r="2677" s="17" customFormat="1" hidden="1" spans="1:35">
      <c r="A2677" s="17" t="s">
        <v>34</v>
      </c>
      <c r="B2677" s="19">
        <v>881</v>
      </c>
      <c r="C2677" s="239" t="s">
        <v>1009</v>
      </c>
      <c r="D2677" s="17" t="s">
        <v>52</v>
      </c>
      <c r="E2677" s="17" t="s">
        <v>187</v>
      </c>
      <c r="F2677" s="17" t="s">
        <v>54</v>
      </c>
      <c r="H2677" s="19">
        <v>1.2311</v>
      </c>
      <c r="I2677" s="19"/>
      <c r="J2677" s="17" t="s">
        <v>82</v>
      </c>
      <c r="K2677" s="255">
        <v>405</v>
      </c>
      <c r="L2677" s="91">
        <v>50</v>
      </c>
      <c r="M2677" s="19">
        <v>2200</v>
      </c>
      <c r="N2677" s="19" t="s">
        <v>66</v>
      </c>
      <c r="O2677" s="19" t="s">
        <v>141</v>
      </c>
      <c r="P2677" s="91">
        <v>4000</v>
      </c>
      <c r="Q2677" s="19">
        <f>367+3700</f>
        <v>4067</v>
      </c>
      <c r="R2677" s="19">
        <f t="shared" si="137"/>
        <v>-67</v>
      </c>
      <c r="S2677" s="19">
        <v>1050</v>
      </c>
      <c r="T2677" s="19" t="s">
        <v>42</v>
      </c>
      <c r="U2677" s="102" t="s">
        <v>1022</v>
      </c>
      <c r="V2677" s="212" t="s">
        <v>1023</v>
      </c>
      <c r="W2677" s="17" t="s">
        <v>69</v>
      </c>
      <c r="Y2677" s="68">
        <v>45008</v>
      </c>
      <c r="Z2677" s="17" t="s">
        <v>191</v>
      </c>
      <c r="AA2677" s="17" t="s">
        <v>46</v>
      </c>
      <c r="AB2677" s="17" t="s">
        <v>1024</v>
      </c>
      <c r="AC2677" s="102" t="s">
        <v>1025</v>
      </c>
      <c r="AD2677" s="65">
        <v>1397</v>
      </c>
      <c r="AE2677" s="17" t="s">
        <v>74</v>
      </c>
      <c r="AF2677" s="17" t="s">
        <v>560</v>
      </c>
      <c r="AI2677" s="17">
        <v>1060</v>
      </c>
    </row>
    <row r="2678" s="17" customFormat="1" hidden="1" spans="1:35">
      <c r="A2678" s="17" t="s">
        <v>34</v>
      </c>
      <c r="B2678" s="19">
        <v>881</v>
      </c>
      <c r="C2678" s="239" t="s">
        <v>1009</v>
      </c>
      <c r="D2678" s="17" t="s">
        <v>52</v>
      </c>
      <c r="E2678" s="17" t="s">
        <v>187</v>
      </c>
      <c r="F2678" s="17" t="s">
        <v>54</v>
      </c>
      <c r="H2678" s="19">
        <v>1.2311</v>
      </c>
      <c r="I2678" s="19"/>
      <c r="J2678" s="17" t="s">
        <v>82</v>
      </c>
      <c r="K2678" s="255">
        <v>455</v>
      </c>
      <c r="L2678" s="91">
        <v>50</v>
      </c>
      <c r="M2678" s="19">
        <v>2200</v>
      </c>
      <c r="N2678" s="19" t="s">
        <v>66</v>
      </c>
      <c r="O2678" s="19" t="s">
        <v>141</v>
      </c>
      <c r="P2678" s="91">
        <v>2000</v>
      </c>
      <c r="Q2678" s="19">
        <v>2090</v>
      </c>
      <c r="R2678" s="19">
        <f t="shared" si="137"/>
        <v>-90</v>
      </c>
      <c r="S2678" s="19">
        <v>1050</v>
      </c>
      <c r="T2678" s="19" t="s">
        <v>42</v>
      </c>
      <c r="U2678" s="102" t="s">
        <v>1022</v>
      </c>
      <c r="V2678" s="212" t="s">
        <v>1023</v>
      </c>
      <c r="W2678" s="17" t="s">
        <v>69</v>
      </c>
      <c r="Y2678" s="68">
        <v>45008</v>
      </c>
      <c r="Z2678" s="17" t="s">
        <v>191</v>
      </c>
      <c r="AA2678" s="17" t="s">
        <v>46</v>
      </c>
      <c r="AB2678" s="17" t="s">
        <v>1024</v>
      </c>
      <c r="AC2678" s="102" t="s">
        <v>1025</v>
      </c>
      <c r="AD2678" s="65">
        <v>1397</v>
      </c>
      <c r="AE2678" s="17" t="s">
        <v>74</v>
      </c>
      <c r="AF2678" s="17" t="s">
        <v>560</v>
      </c>
      <c r="AI2678" s="17">
        <v>1060</v>
      </c>
    </row>
    <row r="2679" s="17" customFormat="1" hidden="1" spans="1:35">
      <c r="A2679" s="17" t="s">
        <v>34</v>
      </c>
      <c r="B2679" s="19">
        <v>881</v>
      </c>
      <c r="C2679" s="239" t="s">
        <v>1009</v>
      </c>
      <c r="D2679" s="17" t="s">
        <v>52</v>
      </c>
      <c r="E2679" s="17" t="s">
        <v>187</v>
      </c>
      <c r="F2679" s="17" t="s">
        <v>54</v>
      </c>
      <c r="H2679" s="19">
        <v>1.2311</v>
      </c>
      <c r="I2679" s="19"/>
      <c r="J2679" s="17" t="s">
        <v>82</v>
      </c>
      <c r="K2679" s="255">
        <v>505</v>
      </c>
      <c r="L2679" s="91">
        <v>50</v>
      </c>
      <c r="M2679" s="19">
        <v>2200</v>
      </c>
      <c r="N2679" s="19" t="s">
        <v>66</v>
      </c>
      <c r="O2679" s="19" t="s">
        <v>141</v>
      </c>
      <c r="P2679" s="91">
        <v>2000</v>
      </c>
      <c r="Q2679" s="19">
        <f>462+1841</f>
        <v>2303</v>
      </c>
      <c r="R2679" s="19">
        <f t="shared" si="137"/>
        <v>-303</v>
      </c>
      <c r="S2679" s="19">
        <v>1050</v>
      </c>
      <c r="T2679" s="19" t="s">
        <v>42</v>
      </c>
      <c r="U2679" s="102" t="s">
        <v>1022</v>
      </c>
      <c r="V2679" s="212" t="s">
        <v>1023</v>
      </c>
      <c r="W2679" s="17" t="s">
        <v>69</v>
      </c>
      <c r="Y2679" s="68">
        <v>45008</v>
      </c>
      <c r="Z2679" s="17" t="s">
        <v>191</v>
      </c>
      <c r="AA2679" s="17" t="s">
        <v>46</v>
      </c>
      <c r="AB2679" s="17" t="s">
        <v>1024</v>
      </c>
      <c r="AC2679" s="102" t="s">
        <v>1025</v>
      </c>
      <c r="AD2679" s="65">
        <v>1397</v>
      </c>
      <c r="AE2679" s="17" t="s">
        <v>74</v>
      </c>
      <c r="AF2679" s="17" t="s">
        <v>560</v>
      </c>
      <c r="AI2679" s="17">
        <v>1060</v>
      </c>
    </row>
    <row r="2680" s="17" customFormat="1" hidden="1" spans="1:35">
      <c r="A2680" s="17" t="s">
        <v>34</v>
      </c>
      <c r="B2680" s="19">
        <v>881</v>
      </c>
      <c r="C2680" s="239" t="s">
        <v>1009</v>
      </c>
      <c r="D2680" s="17" t="s">
        <v>52</v>
      </c>
      <c r="E2680" s="17" t="s">
        <v>187</v>
      </c>
      <c r="F2680" s="17" t="s">
        <v>54</v>
      </c>
      <c r="H2680" s="19">
        <v>1.2311</v>
      </c>
      <c r="I2680" s="19"/>
      <c r="J2680" s="17" t="s">
        <v>82</v>
      </c>
      <c r="K2680" s="255">
        <v>205</v>
      </c>
      <c r="L2680" s="91">
        <v>65</v>
      </c>
      <c r="M2680" s="19">
        <v>2200</v>
      </c>
      <c r="N2680" s="19" t="s">
        <v>66</v>
      </c>
      <c r="O2680" s="19" t="s">
        <v>141</v>
      </c>
      <c r="P2680" s="91">
        <v>2500</v>
      </c>
      <c r="Q2680" s="19">
        <v>2446</v>
      </c>
      <c r="R2680" s="19">
        <f t="shared" si="137"/>
        <v>54</v>
      </c>
      <c r="S2680" s="19">
        <v>1050</v>
      </c>
      <c r="T2680" s="19" t="s">
        <v>42</v>
      </c>
      <c r="U2680" s="102" t="s">
        <v>1022</v>
      </c>
      <c r="V2680" s="212" t="s">
        <v>1023</v>
      </c>
      <c r="W2680" s="17" t="s">
        <v>69</v>
      </c>
      <c r="Y2680" s="68">
        <v>45008</v>
      </c>
      <c r="Z2680" s="17" t="s">
        <v>191</v>
      </c>
      <c r="AA2680" s="17" t="s">
        <v>46</v>
      </c>
      <c r="AB2680" s="17" t="s">
        <v>1024</v>
      </c>
      <c r="AC2680" s="102" t="s">
        <v>1025</v>
      </c>
      <c r="AD2680" s="65">
        <v>1397</v>
      </c>
      <c r="AE2680" s="17" t="s">
        <v>74</v>
      </c>
      <c r="AF2680" s="17" t="s">
        <v>560</v>
      </c>
      <c r="AI2680" s="17">
        <v>1060</v>
      </c>
    </row>
    <row r="2681" s="17" customFormat="1" hidden="1" spans="1:35">
      <c r="A2681" s="17" t="s">
        <v>34</v>
      </c>
      <c r="B2681" s="19">
        <v>881</v>
      </c>
      <c r="C2681" s="239" t="s">
        <v>1009</v>
      </c>
      <c r="D2681" s="17" t="s">
        <v>52</v>
      </c>
      <c r="E2681" s="17" t="s">
        <v>187</v>
      </c>
      <c r="F2681" s="17" t="s">
        <v>54</v>
      </c>
      <c r="H2681" s="19">
        <v>1.2311</v>
      </c>
      <c r="I2681" s="19"/>
      <c r="J2681" s="17" t="s">
        <v>82</v>
      </c>
      <c r="K2681" s="255">
        <v>255</v>
      </c>
      <c r="L2681" s="91">
        <v>65</v>
      </c>
      <c r="M2681" s="19">
        <v>2200</v>
      </c>
      <c r="N2681" s="19" t="s">
        <v>66</v>
      </c>
      <c r="O2681" s="19" t="s">
        <v>141</v>
      </c>
      <c r="P2681" s="91">
        <v>2500</v>
      </c>
      <c r="Q2681" s="19">
        <v>2723</v>
      </c>
      <c r="R2681" s="19">
        <f t="shared" si="137"/>
        <v>-223</v>
      </c>
      <c r="S2681" s="19">
        <v>1050</v>
      </c>
      <c r="T2681" s="19" t="s">
        <v>42</v>
      </c>
      <c r="U2681" s="102" t="s">
        <v>1022</v>
      </c>
      <c r="V2681" s="212" t="s">
        <v>1023</v>
      </c>
      <c r="W2681" s="17" t="s">
        <v>69</v>
      </c>
      <c r="Y2681" s="68">
        <v>45008</v>
      </c>
      <c r="Z2681" s="17" t="s">
        <v>191</v>
      </c>
      <c r="AA2681" s="17" t="s">
        <v>46</v>
      </c>
      <c r="AB2681" s="17" t="s">
        <v>1024</v>
      </c>
      <c r="AC2681" s="102" t="s">
        <v>1025</v>
      </c>
      <c r="AD2681" s="65">
        <v>1397</v>
      </c>
      <c r="AE2681" s="17" t="s">
        <v>74</v>
      </c>
      <c r="AF2681" s="17" t="s">
        <v>560</v>
      </c>
      <c r="AI2681" s="17">
        <v>1060</v>
      </c>
    </row>
    <row r="2682" s="17" customFormat="1" hidden="1" spans="1:35">
      <c r="A2682" s="17" t="s">
        <v>34</v>
      </c>
      <c r="B2682" s="19">
        <v>881</v>
      </c>
      <c r="C2682" s="239" t="s">
        <v>1009</v>
      </c>
      <c r="D2682" s="17" t="s">
        <v>52</v>
      </c>
      <c r="E2682" s="17" t="s">
        <v>187</v>
      </c>
      <c r="F2682" s="17" t="s">
        <v>54</v>
      </c>
      <c r="H2682" s="19">
        <v>1.2311</v>
      </c>
      <c r="I2682" s="19"/>
      <c r="J2682" s="17" t="s">
        <v>82</v>
      </c>
      <c r="K2682" s="255">
        <v>305</v>
      </c>
      <c r="L2682" s="91">
        <v>65</v>
      </c>
      <c r="M2682" s="19">
        <v>2200</v>
      </c>
      <c r="N2682" s="19" t="s">
        <v>66</v>
      </c>
      <c r="O2682" s="19" t="s">
        <v>141</v>
      </c>
      <c r="P2682" s="91">
        <v>2500</v>
      </c>
      <c r="Q2682" s="19">
        <f>1830+727</f>
        <v>2557</v>
      </c>
      <c r="R2682" s="19">
        <f t="shared" si="137"/>
        <v>-57</v>
      </c>
      <c r="S2682" s="19">
        <v>1050</v>
      </c>
      <c r="T2682" s="19" t="s">
        <v>42</v>
      </c>
      <c r="U2682" s="102" t="s">
        <v>1022</v>
      </c>
      <c r="V2682" s="212" t="s">
        <v>1023</v>
      </c>
      <c r="W2682" s="17" t="s">
        <v>69</v>
      </c>
      <c r="Y2682" s="68">
        <v>45008</v>
      </c>
      <c r="Z2682" s="17" t="s">
        <v>191</v>
      </c>
      <c r="AA2682" s="17" t="s">
        <v>46</v>
      </c>
      <c r="AB2682" s="17" t="s">
        <v>1024</v>
      </c>
      <c r="AC2682" s="102" t="s">
        <v>1025</v>
      </c>
      <c r="AD2682" s="65">
        <v>1397</v>
      </c>
      <c r="AE2682" s="17" t="s">
        <v>74</v>
      </c>
      <c r="AF2682" s="17" t="s">
        <v>560</v>
      </c>
      <c r="AI2682" s="17">
        <v>1060</v>
      </c>
    </row>
    <row r="2683" s="17" customFormat="1" hidden="1" spans="1:35">
      <c r="A2683" s="17" t="s">
        <v>34</v>
      </c>
      <c r="B2683" s="19">
        <v>881</v>
      </c>
      <c r="C2683" s="239" t="s">
        <v>1009</v>
      </c>
      <c r="D2683" s="17" t="s">
        <v>52</v>
      </c>
      <c r="E2683" s="17" t="s">
        <v>187</v>
      </c>
      <c r="F2683" s="17" t="s">
        <v>54</v>
      </c>
      <c r="H2683" s="19">
        <v>1.2311</v>
      </c>
      <c r="I2683" s="19"/>
      <c r="J2683" s="17" t="s">
        <v>82</v>
      </c>
      <c r="K2683" s="255">
        <v>355</v>
      </c>
      <c r="L2683" s="91">
        <v>65</v>
      </c>
      <c r="M2683" s="19">
        <v>2200</v>
      </c>
      <c r="N2683" s="19" t="s">
        <v>66</v>
      </c>
      <c r="O2683" s="19" t="s">
        <v>141</v>
      </c>
      <c r="P2683" s="91">
        <v>2500</v>
      </c>
      <c r="Q2683" s="19">
        <v>2509</v>
      </c>
      <c r="R2683" s="19">
        <f t="shared" si="137"/>
        <v>-9</v>
      </c>
      <c r="S2683" s="19">
        <v>1050</v>
      </c>
      <c r="T2683" s="19" t="s">
        <v>42</v>
      </c>
      <c r="U2683" s="102" t="s">
        <v>1022</v>
      </c>
      <c r="V2683" s="212" t="s">
        <v>1023</v>
      </c>
      <c r="W2683" s="17" t="s">
        <v>69</v>
      </c>
      <c r="Y2683" s="68">
        <v>45008</v>
      </c>
      <c r="Z2683" s="17" t="s">
        <v>191</v>
      </c>
      <c r="AA2683" s="17" t="s">
        <v>46</v>
      </c>
      <c r="AB2683" s="17" t="s">
        <v>1024</v>
      </c>
      <c r="AC2683" s="102" t="s">
        <v>1025</v>
      </c>
      <c r="AD2683" s="65">
        <v>1397</v>
      </c>
      <c r="AE2683" s="17" t="s">
        <v>74</v>
      </c>
      <c r="AF2683" s="17" t="s">
        <v>560</v>
      </c>
      <c r="AI2683" s="17">
        <v>1060</v>
      </c>
    </row>
    <row r="2684" s="17" customFormat="1" hidden="1" spans="1:35">
      <c r="A2684" s="17" t="s">
        <v>34</v>
      </c>
      <c r="B2684" s="19">
        <v>881</v>
      </c>
      <c r="C2684" s="239" t="s">
        <v>1009</v>
      </c>
      <c r="D2684" s="17" t="s">
        <v>52</v>
      </c>
      <c r="E2684" s="17" t="s">
        <v>187</v>
      </c>
      <c r="F2684" s="17" t="s">
        <v>54</v>
      </c>
      <c r="H2684" s="19">
        <v>1.2311</v>
      </c>
      <c r="I2684" s="19"/>
      <c r="J2684" s="17" t="s">
        <v>82</v>
      </c>
      <c r="K2684" s="255">
        <v>405</v>
      </c>
      <c r="L2684" s="91">
        <v>65</v>
      </c>
      <c r="M2684" s="19">
        <v>2200</v>
      </c>
      <c r="N2684" s="19" t="s">
        <v>66</v>
      </c>
      <c r="O2684" s="19" t="s">
        <v>141</v>
      </c>
      <c r="P2684" s="91">
        <v>1500</v>
      </c>
      <c r="Q2684" s="19">
        <v>1432</v>
      </c>
      <c r="R2684" s="19">
        <f t="shared" si="137"/>
        <v>68</v>
      </c>
      <c r="S2684" s="19">
        <v>1050</v>
      </c>
      <c r="T2684" s="19" t="s">
        <v>42</v>
      </c>
      <c r="U2684" s="102" t="s">
        <v>1022</v>
      </c>
      <c r="V2684" s="212" t="s">
        <v>1023</v>
      </c>
      <c r="W2684" s="17" t="s">
        <v>69</v>
      </c>
      <c r="Y2684" s="68">
        <v>45008</v>
      </c>
      <c r="Z2684" s="17" t="s">
        <v>191</v>
      </c>
      <c r="AA2684" s="17" t="s">
        <v>46</v>
      </c>
      <c r="AB2684" s="17" t="s">
        <v>1024</v>
      </c>
      <c r="AC2684" s="102" t="s">
        <v>1025</v>
      </c>
      <c r="AD2684" s="65">
        <v>1397</v>
      </c>
      <c r="AE2684" s="17" t="s">
        <v>74</v>
      </c>
      <c r="AF2684" s="17" t="s">
        <v>560</v>
      </c>
      <c r="AI2684" s="17">
        <v>1060</v>
      </c>
    </row>
    <row r="2685" s="17" customFormat="1" hidden="1" spans="1:35">
      <c r="A2685" s="17" t="s">
        <v>34</v>
      </c>
      <c r="B2685" s="19">
        <v>881</v>
      </c>
      <c r="C2685" s="239" t="s">
        <v>1009</v>
      </c>
      <c r="D2685" s="17" t="s">
        <v>52</v>
      </c>
      <c r="E2685" s="17" t="s">
        <v>187</v>
      </c>
      <c r="F2685" s="17" t="s">
        <v>54</v>
      </c>
      <c r="H2685" s="19">
        <v>1.2311</v>
      </c>
      <c r="I2685" s="19"/>
      <c r="J2685" s="17" t="s">
        <v>82</v>
      </c>
      <c r="K2685" s="255">
        <v>455</v>
      </c>
      <c r="L2685" s="91">
        <v>65</v>
      </c>
      <c r="M2685" s="19">
        <v>2200</v>
      </c>
      <c r="N2685" s="19" t="s">
        <v>66</v>
      </c>
      <c r="O2685" s="19" t="s">
        <v>141</v>
      </c>
      <c r="P2685" s="91">
        <v>1500</v>
      </c>
      <c r="Q2685" s="19">
        <v>1079</v>
      </c>
      <c r="S2685" s="19">
        <v>1050</v>
      </c>
      <c r="T2685" s="19" t="s">
        <v>42</v>
      </c>
      <c r="U2685" s="102" t="s">
        <v>1022</v>
      </c>
      <c r="V2685" s="212" t="s">
        <v>1023</v>
      </c>
      <c r="W2685" s="17" t="s">
        <v>69</v>
      </c>
      <c r="Y2685" s="68">
        <v>45008</v>
      </c>
      <c r="Z2685" s="17" t="s">
        <v>191</v>
      </c>
      <c r="AA2685" s="17" t="s">
        <v>46</v>
      </c>
      <c r="AB2685" s="17" t="s">
        <v>1024</v>
      </c>
      <c r="AC2685" s="102" t="s">
        <v>1025</v>
      </c>
      <c r="AD2685" s="65">
        <v>1397</v>
      </c>
      <c r="AE2685" s="17" t="s">
        <v>74</v>
      </c>
      <c r="AF2685" s="17" t="s">
        <v>560</v>
      </c>
      <c r="AI2685" s="17">
        <v>1060</v>
      </c>
    </row>
    <row r="2686" s="17" customFormat="1" hidden="1" spans="1:35">
      <c r="A2686" s="17" t="s">
        <v>34</v>
      </c>
      <c r="B2686" s="19">
        <v>881</v>
      </c>
      <c r="C2686" s="239" t="s">
        <v>1009</v>
      </c>
      <c r="D2686" s="17" t="s">
        <v>52</v>
      </c>
      <c r="E2686" s="17" t="s">
        <v>187</v>
      </c>
      <c r="F2686" s="17" t="s">
        <v>54</v>
      </c>
      <c r="H2686" s="19">
        <v>1.2311</v>
      </c>
      <c r="I2686" s="19"/>
      <c r="J2686" s="17" t="s">
        <v>82</v>
      </c>
      <c r="K2686" s="255">
        <v>455</v>
      </c>
      <c r="L2686" s="91">
        <v>65</v>
      </c>
      <c r="M2686" s="19">
        <v>2200</v>
      </c>
      <c r="N2686" s="19" t="s">
        <v>66</v>
      </c>
      <c r="O2686" s="19" t="s">
        <v>141</v>
      </c>
      <c r="P2686" s="91"/>
      <c r="Q2686" s="19">
        <v>539</v>
      </c>
      <c r="R2686" s="19">
        <f>+P2685-Q2685-Q2686</f>
        <v>-118</v>
      </c>
      <c r="S2686" s="19">
        <v>1050</v>
      </c>
      <c r="T2686" s="19" t="s">
        <v>42</v>
      </c>
      <c r="U2686" s="102" t="s">
        <v>1022</v>
      </c>
      <c r="V2686" s="212" t="s">
        <v>1023</v>
      </c>
      <c r="W2686" s="17" t="s">
        <v>69</v>
      </c>
      <c r="Y2686" s="68">
        <v>45008</v>
      </c>
      <c r="Z2686" s="17" t="s">
        <v>191</v>
      </c>
      <c r="AA2686" s="17" t="s">
        <v>46</v>
      </c>
      <c r="AB2686" s="17" t="s">
        <v>1026</v>
      </c>
      <c r="AC2686" s="217">
        <v>45142</v>
      </c>
      <c r="AD2686" s="65">
        <v>1417</v>
      </c>
      <c r="AE2686" s="17" t="s">
        <v>74</v>
      </c>
      <c r="AF2686" s="17" t="s">
        <v>560</v>
      </c>
      <c r="AI2686" s="17">
        <v>1060</v>
      </c>
    </row>
    <row r="2687" s="17" customFormat="1" hidden="1" spans="1:35">
      <c r="A2687" s="17" t="s">
        <v>34</v>
      </c>
      <c r="B2687" s="19">
        <v>881</v>
      </c>
      <c r="C2687" s="239" t="s">
        <v>1009</v>
      </c>
      <c r="D2687" s="17" t="s">
        <v>52</v>
      </c>
      <c r="E2687" s="17" t="s">
        <v>187</v>
      </c>
      <c r="F2687" s="17" t="s">
        <v>54</v>
      </c>
      <c r="H2687" s="19">
        <v>1.2311</v>
      </c>
      <c r="I2687" s="19"/>
      <c r="J2687" s="17" t="s">
        <v>82</v>
      </c>
      <c r="K2687" s="255">
        <v>505</v>
      </c>
      <c r="L2687" s="91">
        <v>65</v>
      </c>
      <c r="M2687" s="19">
        <v>2200</v>
      </c>
      <c r="N2687" s="19" t="s">
        <v>66</v>
      </c>
      <c r="O2687" s="19" t="s">
        <v>141</v>
      </c>
      <c r="P2687" s="91">
        <v>1500</v>
      </c>
      <c r="Q2687" s="19">
        <v>1793</v>
      </c>
      <c r="R2687" s="19">
        <f t="shared" ref="R2687:R2697" si="138">+P2687-Q2687</f>
        <v>-293</v>
      </c>
      <c r="S2687" s="19">
        <v>1050</v>
      </c>
      <c r="T2687" s="19" t="s">
        <v>42</v>
      </c>
      <c r="U2687" s="102" t="s">
        <v>1022</v>
      </c>
      <c r="V2687" s="212" t="s">
        <v>1023</v>
      </c>
      <c r="W2687" s="17" t="s">
        <v>69</v>
      </c>
      <c r="Y2687" s="68">
        <v>45008</v>
      </c>
      <c r="Z2687" s="17" t="s">
        <v>191</v>
      </c>
      <c r="AA2687" s="17" t="s">
        <v>46</v>
      </c>
      <c r="AB2687" s="17" t="s">
        <v>1024</v>
      </c>
      <c r="AC2687" s="102" t="s">
        <v>1025</v>
      </c>
      <c r="AD2687" s="65">
        <v>1397</v>
      </c>
      <c r="AE2687" s="17" t="s">
        <v>74</v>
      </c>
      <c r="AF2687" s="17" t="s">
        <v>560</v>
      </c>
      <c r="AI2687" s="17">
        <v>1060</v>
      </c>
    </row>
    <row r="2688" s="17" customFormat="1" hidden="1" spans="1:35">
      <c r="A2688" s="17" t="s">
        <v>34</v>
      </c>
      <c r="B2688" s="19">
        <v>881</v>
      </c>
      <c r="C2688" s="239" t="s">
        <v>1009</v>
      </c>
      <c r="D2688" s="17" t="s">
        <v>52</v>
      </c>
      <c r="E2688" s="17" t="s">
        <v>187</v>
      </c>
      <c r="F2688" s="17" t="s">
        <v>54</v>
      </c>
      <c r="H2688" s="19">
        <v>1.2311</v>
      </c>
      <c r="I2688" s="19"/>
      <c r="J2688" s="17" t="s">
        <v>82</v>
      </c>
      <c r="K2688" s="255">
        <v>255</v>
      </c>
      <c r="L2688" s="91">
        <v>80</v>
      </c>
      <c r="M2688" s="19">
        <v>2200</v>
      </c>
      <c r="N2688" s="19" t="s">
        <v>66</v>
      </c>
      <c r="O2688" s="19" t="s">
        <v>141</v>
      </c>
      <c r="P2688" s="91">
        <v>2000</v>
      </c>
      <c r="Q2688" s="19">
        <f>366+1867</f>
        <v>2233</v>
      </c>
      <c r="R2688" s="19">
        <f t="shared" si="138"/>
        <v>-233</v>
      </c>
      <c r="S2688" s="19">
        <v>1050</v>
      </c>
      <c r="T2688" s="19" t="s">
        <v>42</v>
      </c>
      <c r="U2688" s="102" t="s">
        <v>1022</v>
      </c>
      <c r="V2688" s="212" t="s">
        <v>1023</v>
      </c>
      <c r="W2688" s="17" t="s">
        <v>69</v>
      </c>
      <c r="Y2688" s="68">
        <v>45008</v>
      </c>
      <c r="Z2688" s="17" t="s">
        <v>191</v>
      </c>
      <c r="AA2688" s="17" t="s">
        <v>46</v>
      </c>
      <c r="AB2688" s="17" t="s">
        <v>1024</v>
      </c>
      <c r="AC2688" s="102" t="s">
        <v>1025</v>
      </c>
      <c r="AD2688" s="65">
        <v>1397</v>
      </c>
      <c r="AE2688" s="17" t="s">
        <v>74</v>
      </c>
      <c r="AF2688" s="17" t="s">
        <v>560</v>
      </c>
      <c r="AI2688" s="17">
        <v>1060</v>
      </c>
    </row>
    <row r="2689" s="17" customFormat="1" hidden="1" spans="1:35">
      <c r="A2689" s="17" t="s">
        <v>34</v>
      </c>
      <c r="B2689" s="19">
        <v>881</v>
      </c>
      <c r="C2689" s="239" t="s">
        <v>1009</v>
      </c>
      <c r="D2689" s="17" t="s">
        <v>52</v>
      </c>
      <c r="E2689" s="17" t="s">
        <v>187</v>
      </c>
      <c r="F2689" s="17" t="s">
        <v>54</v>
      </c>
      <c r="H2689" s="19">
        <v>1.2311</v>
      </c>
      <c r="I2689" s="19"/>
      <c r="J2689" s="17" t="s">
        <v>82</v>
      </c>
      <c r="K2689" s="255">
        <v>305</v>
      </c>
      <c r="L2689" s="91">
        <v>80</v>
      </c>
      <c r="M2689" s="19">
        <v>2200</v>
      </c>
      <c r="N2689" s="19" t="s">
        <v>66</v>
      </c>
      <c r="O2689" s="19" t="s">
        <v>141</v>
      </c>
      <c r="P2689" s="91">
        <v>2000</v>
      </c>
      <c r="Q2689" s="19">
        <v>2215</v>
      </c>
      <c r="R2689" s="19">
        <f t="shared" si="138"/>
        <v>-215</v>
      </c>
      <c r="S2689" s="19">
        <v>1050</v>
      </c>
      <c r="T2689" s="19" t="s">
        <v>42</v>
      </c>
      <c r="U2689" s="102" t="s">
        <v>1022</v>
      </c>
      <c r="V2689" s="212" t="s">
        <v>1023</v>
      </c>
      <c r="W2689" s="17" t="s">
        <v>69</v>
      </c>
      <c r="Y2689" s="68">
        <v>45008</v>
      </c>
      <c r="Z2689" s="17" t="s">
        <v>191</v>
      </c>
      <c r="AA2689" s="17" t="s">
        <v>46</v>
      </c>
      <c r="AB2689" s="17" t="s">
        <v>1024</v>
      </c>
      <c r="AC2689" s="102" t="s">
        <v>1025</v>
      </c>
      <c r="AD2689" s="65">
        <v>1397</v>
      </c>
      <c r="AE2689" s="17" t="s">
        <v>74</v>
      </c>
      <c r="AF2689" s="17" t="s">
        <v>560</v>
      </c>
      <c r="AI2689" s="17">
        <v>1060</v>
      </c>
    </row>
    <row r="2690" s="17" customFormat="1" hidden="1" spans="1:35">
      <c r="A2690" s="17" t="s">
        <v>34</v>
      </c>
      <c r="B2690" s="19">
        <v>881</v>
      </c>
      <c r="C2690" s="239" t="s">
        <v>1009</v>
      </c>
      <c r="D2690" s="17" t="s">
        <v>52</v>
      </c>
      <c r="E2690" s="17" t="s">
        <v>187</v>
      </c>
      <c r="F2690" s="17" t="s">
        <v>54</v>
      </c>
      <c r="H2690" s="19">
        <v>1.2311</v>
      </c>
      <c r="I2690" s="19"/>
      <c r="J2690" s="17" t="s">
        <v>82</v>
      </c>
      <c r="K2690" s="255">
        <v>355</v>
      </c>
      <c r="L2690" s="91">
        <v>80</v>
      </c>
      <c r="M2690" s="19">
        <v>2200</v>
      </c>
      <c r="N2690" s="19" t="s">
        <v>66</v>
      </c>
      <c r="O2690" s="19" t="s">
        <v>141</v>
      </c>
      <c r="P2690" s="91">
        <v>2000</v>
      </c>
      <c r="Q2690" s="19">
        <f>507+1018+508</f>
        <v>2033</v>
      </c>
      <c r="R2690" s="19">
        <f t="shared" si="138"/>
        <v>-33</v>
      </c>
      <c r="S2690" s="19">
        <v>1050</v>
      </c>
      <c r="T2690" s="19" t="s">
        <v>42</v>
      </c>
      <c r="U2690" s="102" t="s">
        <v>1022</v>
      </c>
      <c r="V2690" s="212" t="s">
        <v>1023</v>
      </c>
      <c r="W2690" s="17" t="s">
        <v>69</v>
      </c>
      <c r="Y2690" s="68">
        <v>45008</v>
      </c>
      <c r="Z2690" s="17" t="s">
        <v>191</v>
      </c>
      <c r="AA2690" s="17" t="s">
        <v>46</v>
      </c>
      <c r="AB2690" s="17" t="s">
        <v>1024</v>
      </c>
      <c r="AC2690" s="102" t="s">
        <v>1025</v>
      </c>
      <c r="AD2690" s="65">
        <v>1397</v>
      </c>
      <c r="AE2690" s="17" t="s">
        <v>74</v>
      </c>
      <c r="AF2690" s="17" t="s">
        <v>560</v>
      </c>
      <c r="AI2690" s="17">
        <v>1060</v>
      </c>
    </row>
    <row r="2691" s="17" customFormat="1" hidden="1" spans="1:35">
      <c r="A2691" s="17" t="s">
        <v>34</v>
      </c>
      <c r="B2691" s="19">
        <v>881</v>
      </c>
      <c r="C2691" s="239" t="s">
        <v>1009</v>
      </c>
      <c r="D2691" s="17" t="s">
        <v>52</v>
      </c>
      <c r="E2691" s="17" t="s">
        <v>187</v>
      </c>
      <c r="F2691" s="17" t="s">
        <v>54</v>
      </c>
      <c r="H2691" s="19">
        <v>1.2311</v>
      </c>
      <c r="I2691" s="19"/>
      <c r="J2691" s="17" t="s">
        <v>82</v>
      </c>
      <c r="K2691" s="255">
        <v>405</v>
      </c>
      <c r="L2691" s="91">
        <v>80</v>
      </c>
      <c r="M2691" s="19">
        <v>2200</v>
      </c>
      <c r="N2691" s="19" t="s">
        <v>66</v>
      </c>
      <c r="O2691" s="19" t="s">
        <v>141</v>
      </c>
      <c r="P2691" s="91">
        <v>2000</v>
      </c>
      <c r="Q2691" s="19">
        <v>2324</v>
      </c>
      <c r="R2691" s="19">
        <f t="shared" si="138"/>
        <v>-324</v>
      </c>
      <c r="S2691" s="19">
        <v>1050</v>
      </c>
      <c r="T2691" s="19" t="s">
        <v>42</v>
      </c>
      <c r="U2691" s="102" t="s">
        <v>1022</v>
      </c>
      <c r="V2691" s="212" t="s">
        <v>1023</v>
      </c>
      <c r="W2691" s="17" t="s">
        <v>69</v>
      </c>
      <c r="Y2691" s="68">
        <v>45008</v>
      </c>
      <c r="Z2691" s="17" t="s">
        <v>191</v>
      </c>
      <c r="AA2691" s="17" t="s">
        <v>46</v>
      </c>
      <c r="AB2691" s="17" t="s">
        <v>1024</v>
      </c>
      <c r="AC2691" s="102" t="s">
        <v>1025</v>
      </c>
      <c r="AD2691" s="65">
        <v>1397</v>
      </c>
      <c r="AE2691" s="17" t="s">
        <v>74</v>
      </c>
      <c r="AF2691" s="17" t="s">
        <v>560</v>
      </c>
      <c r="AI2691" s="17">
        <v>1060</v>
      </c>
    </row>
    <row r="2692" s="17" customFormat="1" hidden="1" spans="1:35">
      <c r="A2692" s="17" t="s">
        <v>34</v>
      </c>
      <c r="B2692" s="19">
        <v>881</v>
      </c>
      <c r="C2692" s="239" t="s">
        <v>1009</v>
      </c>
      <c r="D2692" s="17" t="s">
        <v>52</v>
      </c>
      <c r="E2692" s="17" t="s">
        <v>187</v>
      </c>
      <c r="F2692" s="17" t="s">
        <v>54</v>
      </c>
      <c r="H2692" s="19">
        <v>1.2311</v>
      </c>
      <c r="I2692" s="19"/>
      <c r="J2692" s="17" t="s">
        <v>82</v>
      </c>
      <c r="K2692" s="255">
        <v>455</v>
      </c>
      <c r="L2692" s="91">
        <v>80</v>
      </c>
      <c r="M2692" s="19">
        <v>2200</v>
      </c>
      <c r="N2692" s="19" t="s">
        <v>66</v>
      </c>
      <c r="O2692" s="19" t="s">
        <v>141</v>
      </c>
      <c r="P2692" s="91">
        <v>2000</v>
      </c>
      <c r="Q2692" s="19">
        <v>1953</v>
      </c>
      <c r="R2692" s="19">
        <f t="shared" si="138"/>
        <v>47</v>
      </c>
      <c r="S2692" s="19">
        <v>1050</v>
      </c>
      <c r="T2692" s="19" t="s">
        <v>42</v>
      </c>
      <c r="U2692" s="102" t="s">
        <v>1022</v>
      </c>
      <c r="V2692" s="212" t="s">
        <v>1023</v>
      </c>
      <c r="W2692" s="17" t="s">
        <v>69</v>
      </c>
      <c r="Y2692" s="68">
        <v>45008</v>
      </c>
      <c r="Z2692" s="17" t="s">
        <v>191</v>
      </c>
      <c r="AA2692" s="17" t="s">
        <v>46</v>
      </c>
      <c r="AB2692" s="17" t="s">
        <v>1024</v>
      </c>
      <c r="AC2692" s="102" t="s">
        <v>1025</v>
      </c>
      <c r="AD2692" s="65">
        <v>1397</v>
      </c>
      <c r="AE2692" s="17" t="s">
        <v>74</v>
      </c>
      <c r="AF2692" s="17" t="s">
        <v>560</v>
      </c>
      <c r="AI2692" s="17">
        <v>1060</v>
      </c>
    </row>
    <row r="2693" s="17" customFormat="1" hidden="1" spans="1:35">
      <c r="A2693" s="17" t="s">
        <v>34</v>
      </c>
      <c r="B2693" s="19">
        <v>881</v>
      </c>
      <c r="C2693" s="239" t="s">
        <v>1009</v>
      </c>
      <c r="D2693" s="17" t="s">
        <v>52</v>
      </c>
      <c r="E2693" s="17" t="s">
        <v>187</v>
      </c>
      <c r="F2693" s="17" t="s">
        <v>54</v>
      </c>
      <c r="H2693" s="19">
        <v>1.2311</v>
      </c>
      <c r="I2693" s="19"/>
      <c r="J2693" s="17" t="s">
        <v>82</v>
      </c>
      <c r="K2693" s="255">
        <v>505</v>
      </c>
      <c r="L2693" s="91">
        <v>80</v>
      </c>
      <c r="M2693" s="19">
        <v>2200</v>
      </c>
      <c r="N2693" s="19" t="s">
        <v>66</v>
      </c>
      <c r="O2693" s="19" t="s">
        <v>141</v>
      </c>
      <c r="P2693" s="91">
        <v>2000</v>
      </c>
      <c r="Q2693" s="19">
        <v>2206</v>
      </c>
      <c r="R2693" s="19">
        <f t="shared" si="138"/>
        <v>-206</v>
      </c>
      <c r="S2693" s="19">
        <v>1050</v>
      </c>
      <c r="T2693" s="19" t="s">
        <v>42</v>
      </c>
      <c r="U2693" s="102" t="s">
        <v>1022</v>
      </c>
      <c r="V2693" s="212" t="s">
        <v>1023</v>
      </c>
      <c r="W2693" s="17" t="s">
        <v>69</v>
      </c>
      <c r="Y2693" s="68">
        <v>45008</v>
      </c>
      <c r="Z2693" s="17" t="s">
        <v>191</v>
      </c>
      <c r="AA2693" s="17" t="s">
        <v>46</v>
      </c>
      <c r="AB2693" s="17" t="s">
        <v>1024</v>
      </c>
      <c r="AC2693" s="102" t="s">
        <v>1025</v>
      </c>
      <c r="AD2693" s="65">
        <v>1397</v>
      </c>
      <c r="AE2693" s="17" t="s">
        <v>74</v>
      </c>
      <c r="AF2693" s="17" t="s">
        <v>560</v>
      </c>
      <c r="AI2693" s="17">
        <v>1060</v>
      </c>
    </row>
    <row r="2694" s="17" customFormat="1" hidden="1" spans="1:35">
      <c r="A2694" s="17" t="s">
        <v>34</v>
      </c>
      <c r="B2694" s="19">
        <v>881</v>
      </c>
      <c r="C2694" s="239" t="s">
        <v>1009</v>
      </c>
      <c r="D2694" s="17" t="s">
        <v>52</v>
      </c>
      <c r="E2694" s="17" t="s">
        <v>187</v>
      </c>
      <c r="F2694" s="17" t="s">
        <v>54</v>
      </c>
      <c r="H2694" s="19">
        <v>1.2311</v>
      </c>
      <c r="I2694" s="19"/>
      <c r="J2694" s="17" t="s">
        <v>82</v>
      </c>
      <c r="K2694" s="255">
        <v>205</v>
      </c>
      <c r="L2694" s="91">
        <v>105</v>
      </c>
      <c r="M2694" s="19">
        <v>2200</v>
      </c>
      <c r="N2694" s="19" t="s">
        <v>66</v>
      </c>
      <c r="O2694" s="19" t="s">
        <v>141</v>
      </c>
      <c r="P2694" s="91">
        <v>1000</v>
      </c>
      <c r="Q2694" s="19">
        <f>796+406</f>
        <v>1202</v>
      </c>
      <c r="R2694" s="19">
        <f t="shared" si="138"/>
        <v>-202</v>
      </c>
      <c r="S2694" s="19">
        <v>1050</v>
      </c>
      <c r="T2694" s="19" t="s">
        <v>42</v>
      </c>
      <c r="U2694" s="102" t="s">
        <v>1022</v>
      </c>
      <c r="V2694" s="212" t="s">
        <v>1023</v>
      </c>
      <c r="W2694" s="17" t="s">
        <v>69</v>
      </c>
      <c r="Y2694" s="68">
        <v>45008</v>
      </c>
      <c r="Z2694" s="17" t="s">
        <v>191</v>
      </c>
      <c r="AA2694" s="17" t="s">
        <v>46</v>
      </c>
      <c r="AB2694" s="17" t="s">
        <v>1024</v>
      </c>
      <c r="AC2694" s="102" t="s">
        <v>1025</v>
      </c>
      <c r="AD2694" s="65">
        <v>1397</v>
      </c>
      <c r="AE2694" s="17" t="s">
        <v>74</v>
      </c>
      <c r="AF2694" s="17" t="s">
        <v>560</v>
      </c>
      <c r="AI2694" s="17">
        <v>1060</v>
      </c>
    </row>
    <row r="2695" s="17" customFormat="1" hidden="1" spans="1:35">
      <c r="A2695" s="17" t="s">
        <v>34</v>
      </c>
      <c r="B2695" s="19">
        <v>881</v>
      </c>
      <c r="C2695" s="239" t="s">
        <v>1009</v>
      </c>
      <c r="D2695" s="17" t="s">
        <v>52</v>
      </c>
      <c r="E2695" s="17" t="s">
        <v>187</v>
      </c>
      <c r="F2695" s="17" t="s">
        <v>54</v>
      </c>
      <c r="H2695" s="19">
        <v>1.2311</v>
      </c>
      <c r="I2695" s="19"/>
      <c r="J2695" s="17" t="s">
        <v>82</v>
      </c>
      <c r="K2695" s="255">
        <v>255</v>
      </c>
      <c r="L2695" s="91">
        <v>105</v>
      </c>
      <c r="M2695" s="19">
        <v>2200</v>
      </c>
      <c r="N2695" s="19" t="s">
        <v>66</v>
      </c>
      <c r="O2695" s="19" t="s">
        <v>141</v>
      </c>
      <c r="P2695" s="91">
        <v>1500</v>
      </c>
      <c r="Q2695" s="19">
        <v>1455</v>
      </c>
      <c r="R2695" s="19">
        <f t="shared" si="138"/>
        <v>45</v>
      </c>
      <c r="S2695" s="19">
        <v>1050</v>
      </c>
      <c r="T2695" s="19" t="s">
        <v>42</v>
      </c>
      <c r="U2695" s="102" t="s">
        <v>1022</v>
      </c>
      <c r="V2695" s="212" t="s">
        <v>1023</v>
      </c>
      <c r="W2695" s="17" t="s">
        <v>69</v>
      </c>
      <c r="Y2695" s="68">
        <v>45008</v>
      </c>
      <c r="Z2695" s="17" t="s">
        <v>191</v>
      </c>
      <c r="AA2695" s="17" t="s">
        <v>46</v>
      </c>
      <c r="AB2695" s="17" t="s">
        <v>1024</v>
      </c>
      <c r="AC2695" s="102" t="s">
        <v>1025</v>
      </c>
      <c r="AD2695" s="65">
        <v>1397</v>
      </c>
      <c r="AE2695" s="17" t="s">
        <v>74</v>
      </c>
      <c r="AF2695" s="17" t="s">
        <v>560</v>
      </c>
      <c r="AI2695" s="17">
        <v>1060</v>
      </c>
    </row>
    <row r="2696" s="17" customFormat="1" hidden="1" spans="1:35">
      <c r="A2696" s="17" t="s">
        <v>34</v>
      </c>
      <c r="B2696" s="19">
        <v>881</v>
      </c>
      <c r="C2696" s="239" t="s">
        <v>1009</v>
      </c>
      <c r="D2696" s="17" t="s">
        <v>52</v>
      </c>
      <c r="E2696" s="17" t="s">
        <v>187</v>
      </c>
      <c r="F2696" s="17" t="s">
        <v>54</v>
      </c>
      <c r="H2696" s="19">
        <v>1.2311</v>
      </c>
      <c r="I2696" s="19"/>
      <c r="J2696" s="17" t="s">
        <v>82</v>
      </c>
      <c r="K2696" s="255">
        <v>305</v>
      </c>
      <c r="L2696" s="91">
        <v>105</v>
      </c>
      <c r="M2696" s="19">
        <v>2200</v>
      </c>
      <c r="N2696" s="19" t="s">
        <v>66</v>
      </c>
      <c r="O2696" s="19" t="s">
        <v>141</v>
      </c>
      <c r="P2696" s="91">
        <v>1500</v>
      </c>
      <c r="Q2696" s="19">
        <v>1739</v>
      </c>
      <c r="R2696" s="19">
        <f t="shared" si="138"/>
        <v>-239</v>
      </c>
      <c r="S2696" s="19">
        <v>1050</v>
      </c>
      <c r="T2696" s="19" t="s">
        <v>42</v>
      </c>
      <c r="U2696" s="102" t="s">
        <v>1022</v>
      </c>
      <c r="V2696" s="212" t="s">
        <v>1023</v>
      </c>
      <c r="W2696" s="17" t="s">
        <v>69</v>
      </c>
      <c r="Y2696" s="68">
        <v>45008</v>
      </c>
      <c r="Z2696" s="17" t="s">
        <v>191</v>
      </c>
      <c r="AA2696" s="17" t="s">
        <v>46</v>
      </c>
      <c r="AB2696" s="17" t="s">
        <v>1024</v>
      </c>
      <c r="AC2696" s="102" t="s">
        <v>1025</v>
      </c>
      <c r="AD2696" s="65">
        <v>1397</v>
      </c>
      <c r="AE2696" s="17" t="s">
        <v>74</v>
      </c>
      <c r="AF2696" s="17" t="s">
        <v>560</v>
      </c>
      <c r="AI2696" s="17">
        <v>1060</v>
      </c>
    </row>
    <row r="2697" s="17" customFormat="1" hidden="1" spans="1:35">
      <c r="A2697" s="17" t="s">
        <v>34</v>
      </c>
      <c r="B2697" s="19">
        <v>881</v>
      </c>
      <c r="C2697" s="239" t="s">
        <v>1009</v>
      </c>
      <c r="D2697" s="17" t="s">
        <v>52</v>
      </c>
      <c r="E2697" s="17" t="s">
        <v>187</v>
      </c>
      <c r="F2697" s="17" t="s">
        <v>54</v>
      </c>
      <c r="H2697" s="19">
        <v>1.2311</v>
      </c>
      <c r="I2697" s="19"/>
      <c r="J2697" s="17" t="s">
        <v>82</v>
      </c>
      <c r="K2697" s="255">
        <v>355</v>
      </c>
      <c r="L2697" s="91">
        <v>105</v>
      </c>
      <c r="M2697" s="19">
        <v>2200</v>
      </c>
      <c r="N2697" s="19" t="s">
        <v>66</v>
      </c>
      <c r="O2697" s="19" t="s">
        <v>141</v>
      </c>
      <c r="P2697" s="91">
        <v>1500</v>
      </c>
      <c r="Q2697" s="19">
        <v>1347</v>
      </c>
      <c r="R2697" s="19">
        <f t="shared" si="138"/>
        <v>153</v>
      </c>
      <c r="S2697" s="19">
        <v>1050</v>
      </c>
      <c r="T2697" s="19" t="s">
        <v>42</v>
      </c>
      <c r="U2697" s="102" t="s">
        <v>1022</v>
      </c>
      <c r="V2697" s="212" t="s">
        <v>1023</v>
      </c>
      <c r="W2697" s="17" t="s">
        <v>69</v>
      </c>
      <c r="Y2697" s="68">
        <v>45008</v>
      </c>
      <c r="Z2697" s="17" t="s">
        <v>191</v>
      </c>
      <c r="AA2697" s="17" t="s">
        <v>46</v>
      </c>
      <c r="AB2697" s="17" t="s">
        <v>1024</v>
      </c>
      <c r="AC2697" s="102" t="s">
        <v>1025</v>
      </c>
      <c r="AD2697" s="65">
        <v>1397</v>
      </c>
      <c r="AE2697" s="17" t="s">
        <v>74</v>
      </c>
      <c r="AF2697" s="17" t="s">
        <v>560</v>
      </c>
      <c r="AI2697" s="17">
        <v>1060</v>
      </c>
    </row>
    <row r="2698" s="17" customFormat="1" hidden="1" spans="1:35">
      <c r="A2698" s="17" t="s">
        <v>34</v>
      </c>
      <c r="B2698" s="19">
        <v>881</v>
      </c>
      <c r="C2698" s="239" t="s">
        <v>1009</v>
      </c>
      <c r="D2698" s="17" t="s">
        <v>52</v>
      </c>
      <c r="E2698" s="17" t="s">
        <v>187</v>
      </c>
      <c r="F2698" s="17" t="s">
        <v>54</v>
      </c>
      <c r="H2698" s="19">
        <v>1.2311</v>
      </c>
      <c r="I2698" s="19"/>
      <c r="J2698" s="17" t="s">
        <v>82</v>
      </c>
      <c r="K2698" s="255">
        <v>405</v>
      </c>
      <c r="L2698" s="91">
        <v>105</v>
      </c>
      <c r="M2698" s="19">
        <v>2200</v>
      </c>
      <c r="N2698" s="19" t="s">
        <v>66</v>
      </c>
      <c r="O2698" s="19" t="s">
        <v>141</v>
      </c>
      <c r="P2698" s="91">
        <v>1500</v>
      </c>
      <c r="Q2698" s="19">
        <v>773</v>
      </c>
      <c r="S2698" s="19">
        <v>1050</v>
      </c>
      <c r="T2698" s="19" t="s">
        <v>42</v>
      </c>
      <c r="U2698" s="102" t="s">
        <v>1022</v>
      </c>
      <c r="V2698" s="212" t="s">
        <v>1023</v>
      </c>
      <c r="W2698" s="17" t="s">
        <v>69</v>
      </c>
      <c r="Y2698" s="68">
        <v>45008</v>
      </c>
      <c r="Z2698" s="17" t="s">
        <v>191</v>
      </c>
      <c r="AA2698" s="17" t="s">
        <v>46</v>
      </c>
      <c r="AB2698" s="17" t="s">
        <v>1024</v>
      </c>
      <c r="AC2698" s="102" t="s">
        <v>1025</v>
      </c>
      <c r="AD2698" s="65">
        <v>1397</v>
      </c>
      <c r="AE2698" s="17" t="s">
        <v>74</v>
      </c>
      <c r="AF2698" s="17" t="s">
        <v>560</v>
      </c>
      <c r="AI2698" s="17">
        <v>1060</v>
      </c>
    </row>
    <row r="2699" s="17" customFormat="1" hidden="1" spans="1:35">
      <c r="A2699" s="17" t="s">
        <v>34</v>
      </c>
      <c r="B2699" s="19">
        <v>881</v>
      </c>
      <c r="C2699" s="239" t="s">
        <v>1009</v>
      </c>
      <c r="D2699" s="17" t="s">
        <v>52</v>
      </c>
      <c r="E2699" s="17" t="s">
        <v>187</v>
      </c>
      <c r="F2699" s="17" t="s">
        <v>54</v>
      </c>
      <c r="H2699" s="19">
        <v>1.2311</v>
      </c>
      <c r="I2699" s="19"/>
      <c r="J2699" s="17" t="s">
        <v>82</v>
      </c>
      <c r="K2699" s="255">
        <v>405</v>
      </c>
      <c r="L2699" s="91">
        <v>105</v>
      </c>
      <c r="M2699" s="19">
        <v>2200</v>
      </c>
      <c r="N2699" s="19" t="s">
        <v>66</v>
      </c>
      <c r="O2699" s="19" t="s">
        <v>141</v>
      </c>
      <c r="P2699" s="91"/>
      <c r="Q2699" s="19">
        <v>753</v>
      </c>
      <c r="R2699" s="19">
        <f>+P2698-Q2698-Q2699</f>
        <v>-26</v>
      </c>
      <c r="S2699" s="19">
        <v>1050</v>
      </c>
      <c r="T2699" s="19" t="s">
        <v>42</v>
      </c>
      <c r="U2699" s="102" t="s">
        <v>1022</v>
      </c>
      <c r="V2699" s="212" t="s">
        <v>1023</v>
      </c>
      <c r="W2699" s="17" t="s">
        <v>69</v>
      </c>
      <c r="Y2699" s="68">
        <v>45008</v>
      </c>
      <c r="Z2699" s="17" t="s">
        <v>191</v>
      </c>
      <c r="AA2699" s="17" t="s">
        <v>46</v>
      </c>
      <c r="AB2699" s="17" t="s">
        <v>1026</v>
      </c>
      <c r="AC2699" s="217">
        <v>45142</v>
      </c>
      <c r="AD2699" s="65">
        <v>1417</v>
      </c>
      <c r="AE2699" s="17" t="s">
        <v>74</v>
      </c>
      <c r="AF2699" s="17" t="s">
        <v>560</v>
      </c>
      <c r="AI2699" s="17">
        <v>1060</v>
      </c>
    </row>
    <row r="2700" s="17" customFormat="1" hidden="1" spans="1:35">
      <c r="A2700" s="17" t="s">
        <v>34</v>
      </c>
      <c r="B2700" s="19">
        <v>881</v>
      </c>
      <c r="C2700" s="239" t="s">
        <v>1009</v>
      </c>
      <c r="D2700" s="17" t="s">
        <v>52</v>
      </c>
      <c r="E2700" s="17" t="s">
        <v>187</v>
      </c>
      <c r="F2700" s="17" t="s">
        <v>54</v>
      </c>
      <c r="H2700" s="19">
        <v>1.2311</v>
      </c>
      <c r="I2700" s="19"/>
      <c r="J2700" s="17" t="s">
        <v>82</v>
      </c>
      <c r="K2700" s="255">
        <v>455</v>
      </c>
      <c r="L2700" s="91">
        <v>105</v>
      </c>
      <c r="M2700" s="19">
        <v>2200</v>
      </c>
      <c r="N2700" s="19" t="s">
        <v>66</v>
      </c>
      <c r="O2700" s="19" t="s">
        <v>141</v>
      </c>
      <c r="P2700" s="91">
        <v>1000</v>
      </c>
      <c r="Q2700" s="19">
        <v>838</v>
      </c>
      <c r="R2700" s="19">
        <f t="shared" ref="R2700:R2734" si="139">+P2700-Q2700</f>
        <v>162</v>
      </c>
      <c r="S2700" s="19">
        <v>1050</v>
      </c>
      <c r="T2700" s="19" t="s">
        <v>42</v>
      </c>
      <c r="U2700" s="102" t="s">
        <v>1022</v>
      </c>
      <c r="V2700" s="212" t="s">
        <v>1023</v>
      </c>
      <c r="W2700" s="17" t="s">
        <v>69</v>
      </c>
      <c r="Y2700" s="68">
        <v>45008</v>
      </c>
      <c r="Z2700" s="17" t="s">
        <v>191</v>
      </c>
      <c r="AA2700" s="17" t="s">
        <v>46</v>
      </c>
      <c r="AB2700" s="17" t="s">
        <v>1026</v>
      </c>
      <c r="AC2700" s="217">
        <v>45142</v>
      </c>
      <c r="AD2700" s="65">
        <v>1417</v>
      </c>
      <c r="AE2700" s="17" t="s">
        <v>74</v>
      </c>
      <c r="AF2700" s="17" t="s">
        <v>560</v>
      </c>
      <c r="AI2700" s="17">
        <v>1060</v>
      </c>
    </row>
    <row r="2701" s="17" customFormat="1" hidden="1" spans="1:35">
      <c r="A2701" s="17" t="s">
        <v>34</v>
      </c>
      <c r="B2701" s="19">
        <v>881</v>
      </c>
      <c r="C2701" s="239" t="s">
        <v>1009</v>
      </c>
      <c r="D2701" s="17" t="s">
        <v>52</v>
      </c>
      <c r="E2701" s="17" t="s">
        <v>187</v>
      </c>
      <c r="F2701" s="17" t="s">
        <v>54</v>
      </c>
      <c r="H2701" s="19">
        <v>1.2311</v>
      </c>
      <c r="I2701" s="19"/>
      <c r="J2701" s="17" t="s">
        <v>82</v>
      </c>
      <c r="K2701" s="255">
        <v>505</v>
      </c>
      <c r="L2701" s="91">
        <v>105</v>
      </c>
      <c r="M2701" s="19">
        <v>2200</v>
      </c>
      <c r="N2701" s="19" t="s">
        <v>66</v>
      </c>
      <c r="O2701" s="19" t="s">
        <v>141</v>
      </c>
      <c r="P2701" s="91">
        <v>1000</v>
      </c>
      <c r="Q2701" s="19">
        <v>955</v>
      </c>
      <c r="R2701" s="19">
        <f t="shared" si="139"/>
        <v>45</v>
      </c>
      <c r="S2701" s="19">
        <v>1050</v>
      </c>
      <c r="T2701" s="19" t="s">
        <v>42</v>
      </c>
      <c r="U2701" s="102" t="s">
        <v>1022</v>
      </c>
      <c r="V2701" s="212" t="s">
        <v>1023</v>
      </c>
      <c r="W2701" s="17" t="s">
        <v>69</v>
      </c>
      <c r="Y2701" s="68">
        <v>45008</v>
      </c>
      <c r="Z2701" s="17" t="s">
        <v>191</v>
      </c>
      <c r="AA2701" s="17" t="s">
        <v>46</v>
      </c>
      <c r="AB2701" s="17" t="s">
        <v>1026</v>
      </c>
      <c r="AC2701" s="217">
        <v>45142</v>
      </c>
      <c r="AD2701" s="65">
        <v>1417</v>
      </c>
      <c r="AE2701" s="17" t="s">
        <v>74</v>
      </c>
      <c r="AF2701" s="17" t="s">
        <v>560</v>
      </c>
      <c r="AI2701" s="17">
        <v>1060</v>
      </c>
    </row>
    <row r="2702" s="17" customFormat="1" hidden="1" spans="1:35">
      <c r="A2702" s="17" t="s">
        <v>34</v>
      </c>
      <c r="B2702" s="19">
        <v>882</v>
      </c>
      <c r="C2702" s="239" t="s">
        <v>1027</v>
      </c>
      <c r="D2702" s="17" t="s">
        <v>52</v>
      </c>
      <c r="E2702" s="17" t="s">
        <v>187</v>
      </c>
      <c r="F2702" s="17" t="s">
        <v>54</v>
      </c>
      <c r="H2702" s="19">
        <v>1.2311</v>
      </c>
      <c r="I2702" s="19"/>
      <c r="J2702" s="17" t="s">
        <v>49</v>
      </c>
      <c r="K2702" s="19">
        <v>2200</v>
      </c>
      <c r="L2702" s="91">
        <v>16</v>
      </c>
      <c r="M2702" s="19">
        <v>4000</v>
      </c>
      <c r="N2702" s="19" t="s">
        <v>66</v>
      </c>
      <c r="O2702" s="19" t="s">
        <v>141</v>
      </c>
      <c r="P2702" s="19">
        <v>2211</v>
      </c>
      <c r="Q2702" s="19">
        <f>1245+1245</f>
        <v>2490</v>
      </c>
      <c r="R2702" s="19">
        <f t="shared" si="139"/>
        <v>-279</v>
      </c>
      <c r="S2702" s="19">
        <v>1090</v>
      </c>
      <c r="T2702" s="19" t="s">
        <v>42</v>
      </c>
      <c r="U2702" s="102" t="s">
        <v>1028</v>
      </c>
      <c r="V2702" s="212" t="s">
        <v>1023</v>
      </c>
      <c r="W2702" s="17" t="s">
        <v>69</v>
      </c>
      <c r="Y2702" s="68">
        <v>45008</v>
      </c>
      <c r="Z2702" s="17" t="s">
        <v>191</v>
      </c>
      <c r="AA2702" s="17" t="s">
        <v>46</v>
      </c>
      <c r="AB2702" s="17" t="s">
        <v>1029</v>
      </c>
      <c r="AC2702" s="217">
        <v>45019</v>
      </c>
      <c r="AD2702" s="65">
        <v>1390</v>
      </c>
      <c r="AE2702" s="17" t="s">
        <v>194</v>
      </c>
      <c r="AF2702" s="17" t="s">
        <v>560</v>
      </c>
    </row>
    <row r="2703" s="17" customFormat="1" hidden="1" spans="1:35">
      <c r="A2703" s="17" t="s">
        <v>34</v>
      </c>
      <c r="B2703" s="19">
        <v>882</v>
      </c>
      <c r="C2703" s="239" t="s">
        <v>1027</v>
      </c>
      <c r="D2703" s="17" t="s">
        <v>52</v>
      </c>
      <c r="E2703" s="17" t="s">
        <v>187</v>
      </c>
      <c r="F2703" s="17" t="s">
        <v>54</v>
      </c>
      <c r="H2703" s="19">
        <v>1.2311</v>
      </c>
      <c r="I2703" s="19"/>
      <c r="J2703" s="17" t="s">
        <v>49</v>
      </c>
      <c r="K2703" s="19">
        <v>2200</v>
      </c>
      <c r="L2703" s="91">
        <v>40</v>
      </c>
      <c r="M2703" s="19">
        <v>4000</v>
      </c>
      <c r="N2703" s="19" t="s">
        <v>66</v>
      </c>
      <c r="O2703" s="19" t="s">
        <v>141</v>
      </c>
      <c r="P2703" s="19">
        <v>5526</v>
      </c>
      <c r="Q2703" s="19">
        <f>2911+2962</f>
        <v>5873</v>
      </c>
      <c r="R2703" s="19">
        <f t="shared" si="139"/>
        <v>-347</v>
      </c>
      <c r="S2703" s="19">
        <v>1030</v>
      </c>
      <c r="T2703" s="19" t="s">
        <v>42</v>
      </c>
      <c r="U2703" s="102" t="s">
        <v>1028</v>
      </c>
      <c r="V2703" s="212" t="s">
        <v>1023</v>
      </c>
      <c r="W2703" s="17" t="s">
        <v>69</v>
      </c>
      <c r="Y2703" s="68">
        <v>45008</v>
      </c>
      <c r="Z2703" s="17" t="s">
        <v>191</v>
      </c>
      <c r="AA2703" s="17" t="s">
        <v>46</v>
      </c>
      <c r="AB2703" s="17" t="s">
        <v>1029</v>
      </c>
      <c r="AC2703" s="217">
        <v>45019</v>
      </c>
      <c r="AD2703" s="65">
        <v>1390</v>
      </c>
      <c r="AE2703" s="17" t="s">
        <v>48</v>
      </c>
      <c r="AF2703" s="17" t="s">
        <v>560</v>
      </c>
    </row>
    <row r="2704" s="17" customFormat="1" hidden="1" spans="1:35">
      <c r="A2704" s="17" t="s">
        <v>34</v>
      </c>
      <c r="B2704" s="19">
        <v>882</v>
      </c>
      <c r="C2704" s="239" t="s">
        <v>1027</v>
      </c>
      <c r="D2704" s="17" t="s">
        <v>52</v>
      </c>
      <c r="E2704" s="17" t="s">
        <v>187</v>
      </c>
      <c r="F2704" s="17" t="s">
        <v>54</v>
      </c>
      <c r="H2704" s="19">
        <v>1.2311</v>
      </c>
      <c r="I2704" s="19"/>
      <c r="J2704" s="17" t="s">
        <v>49</v>
      </c>
      <c r="K2704" s="19">
        <v>2200</v>
      </c>
      <c r="L2704" s="91">
        <v>45</v>
      </c>
      <c r="M2704" s="19">
        <v>4000</v>
      </c>
      <c r="N2704" s="19" t="s">
        <v>66</v>
      </c>
      <c r="O2704" s="19" t="s">
        <v>141</v>
      </c>
      <c r="P2704" s="19">
        <v>3109</v>
      </c>
      <c r="Q2704" s="19">
        <v>3290</v>
      </c>
      <c r="R2704" s="19">
        <f t="shared" si="139"/>
        <v>-181</v>
      </c>
      <c r="S2704" s="19">
        <v>1030</v>
      </c>
      <c r="T2704" s="19" t="s">
        <v>42</v>
      </c>
      <c r="U2704" s="102" t="s">
        <v>1028</v>
      </c>
      <c r="V2704" s="212" t="s">
        <v>1023</v>
      </c>
      <c r="W2704" s="17" t="s">
        <v>69</v>
      </c>
      <c r="Y2704" s="68">
        <v>45008</v>
      </c>
      <c r="Z2704" s="17" t="s">
        <v>191</v>
      </c>
      <c r="AA2704" s="17" t="s">
        <v>46</v>
      </c>
      <c r="AB2704" s="17" t="s">
        <v>1029</v>
      </c>
      <c r="AC2704" s="217">
        <v>45019</v>
      </c>
      <c r="AD2704" s="65">
        <v>1390</v>
      </c>
      <c r="AE2704" s="17" t="s">
        <v>48</v>
      </c>
      <c r="AF2704" s="17" t="s">
        <v>560</v>
      </c>
    </row>
    <row r="2705" s="17" customFormat="1" hidden="1" spans="1:35">
      <c r="A2705" s="17" t="s">
        <v>34</v>
      </c>
      <c r="B2705" s="19">
        <v>882</v>
      </c>
      <c r="C2705" s="239" t="s">
        <v>1027</v>
      </c>
      <c r="D2705" s="17" t="s">
        <v>52</v>
      </c>
      <c r="E2705" s="17" t="s">
        <v>187</v>
      </c>
      <c r="F2705" s="17" t="s">
        <v>54</v>
      </c>
      <c r="H2705" s="19">
        <v>1.2311</v>
      </c>
      <c r="I2705" s="19"/>
      <c r="J2705" s="17" t="s">
        <v>49</v>
      </c>
      <c r="K2705" s="19">
        <v>2200</v>
      </c>
      <c r="L2705" s="91">
        <v>50</v>
      </c>
      <c r="M2705" s="19">
        <v>5000</v>
      </c>
      <c r="N2705" s="19" t="s">
        <v>66</v>
      </c>
      <c r="O2705" s="19" t="s">
        <v>141</v>
      </c>
      <c r="P2705" s="19">
        <v>8635</v>
      </c>
      <c r="Q2705" s="19">
        <f>4575+4565</f>
        <v>9140</v>
      </c>
      <c r="R2705" s="19">
        <f t="shared" si="139"/>
        <v>-505</v>
      </c>
      <c r="S2705" s="19">
        <v>1030</v>
      </c>
      <c r="T2705" s="19" t="s">
        <v>42</v>
      </c>
      <c r="U2705" s="102" t="s">
        <v>1028</v>
      </c>
      <c r="V2705" s="212" t="s">
        <v>1023</v>
      </c>
      <c r="W2705" s="17" t="s">
        <v>69</v>
      </c>
      <c r="Y2705" s="68">
        <v>45008</v>
      </c>
      <c r="Z2705" s="17" t="s">
        <v>191</v>
      </c>
      <c r="AA2705" s="17" t="s">
        <v>46</v>
      </c>
      <c r="AB2705" s="17" t="s">
        <v>1029</v>
      </c>
      <c r="AC2705" s="217">
        <v>45019</v>
      </c>
      <c r="AD2705" s="65">
        <v>1390</v>
      </c>
      <c r="AE2705" s="17" t="s">
        <v>48</v>
      </c>
      <c r="AF2705" s="17" t="s">
        <v>560</v>
      </c>
    </row>
    <row r="2706" s="17" customFormat="1" hidden="1" spans="1:35">
      <c r="A2706" s="17" t="s">
        <v>34</v>
      </c>
      <c r="B2706" s="19">
        <v>882</v>
      </c>
      <c r="C2706" s="239" t="s">
        <v>1027</v>
      </c>
      <c r="D2706" s="17" t="s">
        <v>52</v>
      </c>
      <c r="E2706" s="17" t="s">
        <v>187</v>
      </c>
      <c r="F2706" s="17" t="s">
        <v>54</v>
      </c>
      <c r="H2706" s="19">
        <v>1.2311</v>
      </c>
      <c r="I2706" s="19"/>
      <c r="J2706" s="17" t="s">
        <v>49</v>
      </c>
      <c r="K2706" s="19">
        <v>2200</v>
      </c>
      <c r="L2706" s="91">
        <v>56</v>
      </c>
      <c r="M2706" s="19">
        <v>5000</v>
      </c>
      <c r="N2706" s="19" t="s">
        <v>66</v>
      </c>
      <c r="O2706" s="19" t="s">
        <v>141</v>
      </c>
      <c r="P2706" s="19">
        <v>4836</v>
      </c>
      <c r="Q2706" s="19">
        <v>4464</v>
      </c>
      <c r="R2706" s="19">
        <f t="shared" si="139"/>
        <v>372</v>
      </c>
      <c r="S2706" s="19">
        <v>1030</v>
      </c>
      <c r="T2706" s="19" t="s">
        <v>42</v>
      </c>
      <c r="U2706" s="102" t="s">
        <v>1028</v>
      </c>
      <c r="V2706" s="212" t="s">
        <v>1023</v>
      </c>
      <c r="W2706" s="17" t="s">
        <v>69</v>
      </c>
      <c r="Y2706" s="68">
        <v>45008</v>
      </c>
      <c r="Z2706" s="17" t="s">
        <v>191</v>
      </c>
      <c r="AA2706" s="17" t="s">
        <v>46</v>
      </c>
      <c r="AB2706" s="17" t="s">
        <v>1029</v>
      </c>
      <c r="AC2706" s="217">
        <v>45019</v>
      </c>
      <c r="AD2706" s="65">
        <v>1390</v>
      </c>
      <c r="AE2706" s="17" t="s">
        <v>48</v>
      </c>
      <c r="AF2706" s="17" t="s">
        <v>560</v>
      </c>
    </row>
    <row r="2707" s="17" customFormat="1" hidden="1" spans="1:35">
      <c r="A2707" s="17" t="s">
        <v>34</v>
      </c>
      <c r="B2707" s="19">
        <v>882</v>
      </c>
      <c r="C2707" s="239" t="s">
        <v>1027</v>
      </c>
      <c r="D2707" s="17" t="s">
        <v>52</v>
      </c>
      <c r="E2707" s="17" t="s">
        <v>187</v>
      </c>
      <c r="F2707" s="17" t="s">
        <v>54</v>
      </c>
      <c r="H2707" s="19">
        <v>1.2311</v>
      </c>
      <c r="I2707" s="19"/>
      <c r="J2707" s="17" t="s">
        <v>49</v>
      </c>
      <c r="K2707" s="19">
        <v>2200</v>
      </c>
      <c r="L2707" s="91">
        <v>60</v>
      </c>
      <c r="M2707" s="19">
        <v>4000</v>
      </c>
      <c r="N2707" s="19" t="s">
        <v>66</v>
      </c>
      <c r="O2707" s="19" t="s">
        <v>141</v>
      </c>
      <c r="P2707" s="19">
        <v>4145</v>
      </c>
      <c r="Q2707" s="19">
        <v>4310</v>
      </c>
      <c r="R2707" s="19">
        <f t="shared" si="139"/>
        <v>-165</v>
      </c>
      <c r="S2707" s="19">
        <v>1030</v>
      </c>
      <c r="T2707" s="19" t="s">
        <v>42</v>
      </c>
      <c r="U2707" s="102" t="s">
        <v>1028</v>
      </c>
      <c r="V2707" s="212" t="s">
        <v>1023</v>
      </c>
      <c r="W2707" s="17" t="s">
        <v>69</v>
      </c>
      <c r="Y2707" s="68">
        <v>45008</v>
      </c>
      <c r="Z2707" s="17" t="s">
        <v>191</v>
      </c>
      <c r="AA2707" s="17" t="s">
        <v>46</v>
      </c>
      <c r="AB2707" s="17" t="s">
        <v>1029</v>
      </c>
      <c r="AC2707" s="217">
        <v>45019</v>
      </c>
      <c r="AD2707" s="65">
        <v>1390</v>
      </c>
      <c r="AE2707" s="17" t="s">
        <v>48</v>
      </c>
      <c r="AF2707" s="17" t="s">
        <v>560</v>
      </c>
    </row>
    <row r="2708" s="17" customFormat="1" hidden="1" spans="1:35">
      <c r="A2708" s="17" t="s">
        <v>34</v>
      </c>
      <c r="B2708" s="19">
        <v>882</v>
      </c>
      <c r="C2708" s="239" t="s">
        <v>1027</v>
      </c>
      <c r="D2708" s="17" t="s">
        <v>52</v>
      </c>
      <c r="E2708" s="17" t="s">
        <v>187</v>
      </c>
      <c r="F2708" s="17" t="s">
        <v>54</v>
      </c>
      <c r="H2708" s="19">
        <v>1.2311</v>
      </c>
      <c r="I2708" s="19"/>
      <c r="J2708" s="17" t="s">
        <v>49</v>
      </c>
      <c r="K2708" s="19">
        <v>2200</v>
      </c>
      <c r="L2708" s="91">
        <v>65</v>
      </c>
      <c r="M2708" s="19">
        <v>5000</v>
      </c>
      <c r="N2708" s="19" t="s">
        <v>66</v>
      </c>
      <c r="O2708" s="19" t="s">
        <v>141</v>
      </c>
      <c r="P2708" s="19">
        <v>5613</v>
      </c>
      <c r="Q2708" s="19">
        <v>5830</v>
      </c>
      <c r="R2708" s="19">
        <f t="shared" si="139"/>
        <v>-217</v>
      </c>
      <c r="S2708" s="19">
        <v>1030</v>
      </c>
      <c r="T2708" s="19" t="s">
        <v>42</v>
      </c>
      <c r="U2708" s="102" t="s">
        <v>1028</v>
      </c>
      <c r="V2708" s="212" t="s">
        <v>1023</v>
      </c>
      <c r="W2708" s="17" t="s">
        <v>69</v>
      </c>
      <c r="Y2708" s="68">
        <v>45008</v>
      </c>
      <c r="Z2708" s="17" t="s">
        <v>191</v>
      </c>
      <c r="AA2708" s="17" t="s">
        <v>46</v>
      </c>
      <c r="AB2708" s="17" t="s">
        <v>1029</v>
      </c>
      <c r="AC2708" s="217">
        <v>45019</v>
      </c>
      <c r="AD2708" s="65">
        <v>1390</v>
      </c>
      <c r="AE2708" s="17" t="s">
        <v>48</v>
      </c>
      <c r="AF2708" s="17" t="s">
        <v>560</v>
      </c>
    </row>
    <row r="2709" s="17" customFormat="1" hidden="1" spans="1:35">
      <c r="A2709" s="17" t="s">
        <v>34</v>
      </c>
      <c r="B2709" s="19">
        <v>882</v>
      </c>
      <c r="C2709" s="239" t="s">
        <v>1027</v>
      </c>
      <c r="D2709" s="17" t="s">
        <v>52</v>
      </c>
      <c r="E2709" s="17" t="s">
        <v>187</v>
      </c>
      <c r="F2709" s="17" t="s">
        <v>54</v>
      </c>
      <c r="H2709" s="19">
        <v>1.2311</v>
      </c>
      <c r="I2709" s="19"/>
      <c r="J2709" s="17" t="s">
        <v>49</v>
      </c>
      <c r="K2709" s="19">
        <v>2200</v>
      </c>
      <c r="L2709" s="91">
        <v>75</v>
      </c>
      <c r="M2709" s="19">
        <v>4000</v>
      </c>
      <c r="N2709" s="19" t="s">
        <v>66</v>
      </c>
      <c r="O2709" s="19" t="s">
        <v>141</v>
      </c>
      <c r="P2709" s="19">
        <v>5181</v>
      </c>
      <c r="Q2709" s="19">
        <v>6760</v>
      </c>
      <c r="R2709" s="19">
        <f t="shared" si="139"/>
        <v>-1579</v>
      </c>
      <c r="S2709" s="19">
        <v>1030</v>
      </c>
      <c r="T2709" s="19" t="s">
        <v>42</v>
      </c>
      <c r="U2709" s="102" t="s">
        <v>1028</v>
      </c>
      <c r="V2709" s="212" t="s">
        <v>1023</v>
      </c>
      <c r="W2709" s="17" t="s">
        <v>69</v>
      </c>
      <c r="Y2709" s="68">
        <v>45008</v>
      </c>
      <c r="Z2709" s="17" t="s">
        <v>191</v>
      </c>
      <c r="AA2709" s="17" t="s">
        <v>46</v>
      </c>
      <c r="AB2709" s="17" t="s">
        <v>1029</v>
      </c>
      <c r="AC2709" s="217">
        <v>45019</v>
      </c>
      <c r="AD2709" s="65">
        <v>1390</v>
      </c>
      <c r="AE2709" s="17" t="s">
        <v>48</v>
      </c>
      <c r="AF2709" s="17" t="s">
        <v>560</v>
      </c>
    </row>
    <row r="2710" s="17" customFormat="1" hidden="1" spans="1:35">
      <c r="A2710" s="17" t="s">
        <v>34</v>
      </c>
      <c r="B2710" s="19">
        <v>882</v>
      </c>
      <c r="C2710" s="239" t="s">
        <v>1027</v>
      </c>
      <c r="D2710" s="17" t="s">
        <v>52</v>
      </c>
      <c r="E2710" s="17" t="s">
        <v>187</v>
      </c>
      <c r="F2710" s="17" t="s">
        <v>54</v>
      </c>
      <c r="H2710" s="19">
        <v>1.2311</v>
      </c>
      <c r="I2710" s="19"/>
      <c r="J2710" s="17" t="s">
        <v>49</v>
      </c>
      <c r="K2710" s="19">
        <v>2200</v>
      </c>
      <c r="L2710" s="91">
        <v>80</v>
      </c>
      <c r="M2710" s="19">
        <v>5000</v>
      </c>
      <c r="N2710" s="19" t="s">
        <v>66</v>
      </c>
      <c r="O2710" s="19" t="s">
        <v>141</v>
      </c>
      <c r="P2710" s="19">
        <v>6908</v>
      </c>
      <c r="Q2710" s="19">
        <v>5830</v>
      </c>
      <c r="R2710" s="19">
        <f t="shared" si="139"/>
        <v>1078</v>
      </c>
      <c r="S2710" s="19">
        <v>1030</v>
      </c>
      <c r="T2710" s="19" t="s">
        <v>42</v>
      </c>
      <c r="U2710" s="102" t="s">
        <v>1028</v>
      </c>
      <c r="V2710" s="212" t="s">
        <v>1023</v>
      </c>
      <c r="W2710" s="17" t="s">
        <v>69</v>
      </c>
      <c r="Y2710" s="68">
        <v>45008</v>
      </c>
      <c r="Z2710" s="17" t="s">
        <v>191</v>
      </c>
      <c r="AA2710" s="17" t="s">
        <v>46</v>
      </c>
      <c r="AB2710" s="17" t="s">
        <v>1029</v>
      </c>
      <c r="AC2710" s="217">
        <v>45019</v>
      </c>
      <c r="AD2710" s="65">
        <v>1390</v>
      </c>
      <c r="AE2710" s="17" t="s">
        <v>48</v>
      </c>
      <c r="AF2710" s="17" t="s">
        <v>560</v>
      </c>
    </row>
    <row r="2711" s="17" customFormat="1" hidden="1" spans="1:35">
      <c r="A2711" s="17" t="s">
        <v>34</v>
      </c>
      <c r="B2711" s="19">
        <v>882</v>
      </c>
      <c r="C2711" s="239" t="s">
        <v>1027</v>
      </c>
      <c r="D2711" s="17" t="s">
        <v>52</v>
      </c>
      <c r="E2711" s="17" t="s">
        <v>187</v>
      </c>
      <c r="F2711" s="17" t="s">
        <v>54</v>
      </c>
      <c r="H2711" s="19">
        <v>1.2311</v>
      </c>
      <c r="I2711" s="19"/>
      <c r="J2711" s="17" t="s">
        <v>49</v>
      </c>
      <c r="K2711" s="19">
        <v>2200</v>
      </c>
      <c r="L2711" s="91">
        <v>105</v>
      </c>
      <c r="M2711" s="19">
        <v>5000</v>
      </c>
      <c r="N2711" s="19" t="s">
        <v>66</v>
      </c>
      <c r="O2711" s="19" t="s">
        <v>141</v>
      </c>
      <c r="P2711" s="19">
        <v>9067</v>
      </c>
      <c r="Q2711" s="19">
        <v>7530</v>
      </c>
      <c r="R2711" s="19">
        <f t="shared" si="139"/>
        <v>1537</v>
      </c>
      <c r="S2711" s="19">
        <v>1030</v>
      </c>
      <c r="T2711" s="19" t="s">
        <v>42</v>
      </c>
      <c r="U2711" s="102" t="s">
        <v>1028</v>
      </c>
      <c r="V2711" s="212" t="s">
        <v>1023</v>
      </c>
      <c r="W2711" s="17" t="s">
        <v>69</v>
      </c>
      <c r="Y2711" s="68">
        <v>45008</v>
      </c>
      <c r="Z2711" s="17" t="s">
        <v>191</v>
      </c>
      <c r="AA2711" s="17" t="s">
        <v>46</v>
      </c>
      <c r="AB2711" s="17" t="s">
        <v>1029</v>
      </c>
      <c r="AC2711" s="217">
        <v>45019</v>
      </c>
      <c r="AD2711" s="65">
        <v>1390</v>
      </c>
      <c r="AE2711" s="17" t="s">
        <v>48</v>
      </c>
      <c r="AF2711" s="17" t="s">
        <v>560</v>
      </c>
    </row>
    <row r="2712" s="17" customFormat="1" hidden="1" spans="1:35">
      <c r="A2712" s="17" t="s">
        <v>34</v>
      </c>
      <c r="B2712" s="19">
        <v>883</v>
      </c>
      <c r="C2712" s="239" t="s">
        <v>1027</v>
      </c>
      <c r="D2712" s="17" t="s">
        <v>52</v>
      </c>
      <c r="E2712" s="17" t="s">
        <v>220</v>
      </c>
      <c r="F2712" s="17" t="s">
        <v>54</v>
      </c>
      <c r="H2712" s="19" t="s">
        <v>55</v>
      </c>
      <c r="I2712" s="19"/>
      <c r="J2712" s="17" t="s">
        <v>82</v>
      </c>
      <c r="K2712" s="19">
        <v>510</v>
      </c>
      <c r="L2712" s="91">
        <v>50</v>
      </c>
      <c r="M2712" s="19">
        <v>5000</v>
      </c>
      <c r="N2712" s="19" t="s">
        <v>40</v>
      </c>
      <c r="O2712" s="19" t="s">
        <v>168</v>
      </c>
      <c r="P2712" s="19">
        <v>701</v>
      </c>
      <c r="Q2712" s="19">
        <v>905</v>
      </c>
      <c r="R2712" s="19">
        <f t="shared" si="139"/>
        <v>-204</v>
      </c>
      <c r="S2712" s="19">
        <v>2150</v>
      </c>
      <c r="T2712" s="19" t="s">
        <v>42</v>
      </c>
      <c r="U2712" s="102" t="s">
        <v>1030</v>
      </c>
      <c r="V2712" s="212" t="s">
        <v>1031</v>
      </c>
      <c r="W2712" s="17" t="s">
        <v>69</v>
      </c>
      <c r="Y2712" s="68">
        <v>45008</v>
      </c>
      <c r="Z2712" s="17" t="s">
        <v>191</v>
      </c>
      <c r="AA2712" s="17" t="s">
        <v>46</v>
      </c>
      <c r="AB2712" s="17" t="s">
        <v>1019</v>
      </c>
      <c r="AC2712" s="102" t="s">
        <v>1020</v>
      </c>
      <c r="AD2712" s="65">
        <v>1408</v>
      </c>
      <c r="AE2712" s="17" t="s">
        <v>48</v>
      </c>
      <c r="AF2712" s="17" t="s">
        <v>560</v>
      </c>
      <c r="AI2712" s="17">
        <v>2190</v>
      </c>
    </row>
    <row r="2713" s="17" customFormat="1" hidden="1" spans="1:35">
      <c r="A2713" s="17" t="s">
        <v>34</v>
      </c>
      <c r="B2713" s="19">
        <v>883</v>
      </c>
      <c r="C2713" s="239" t="s">
        <v>1027</v>
      </c>
      <c r="D2713" s="17" t="s">
        <v>52</v>
      </c>
      <c r="E2713" s="17" t="s">
        <v>220</v>
      </c>
      <c r="F2713" s="17" t="s">
        <v>54</v>
      </c>
      <c r="H2713" s="19" t="s">
        <v>55</v>
      </c>
      <c r="I2713" s="19"/>
      <c r="J2713" s="17" t="s">
        <v>82</v>
      </c>
      <c r="K2713" s="19">
        <v>510</v>
      </c>
      <c r="L2713" s="91">
        <v>65</v>
      </c>
      <c r="M2713" s="19">
        <v>5000</v>
      </c>
      <c r="N2713" s="19" t="s">
        <v>40</v>
      </c>
      <c r="O2713" s="19" t="s">
        <v>168</v>
      </c>
      <c r="P2713" s="19">
        <v>911</v>
      </c>
      <c r="Q2713" s="19">
        <v>955</v>
      </c>
      <c r="R2713" s="19">
        <f t="shared" si="139"/>
        <v>-44</v>
      </c>
      <c r="S2713" s="19">
        <v>2150</v>
      </c>
      <c r="T2713" s="19" t="s">
        <v>42</v>
      </c>
      <c r="U2713" s="102" t="s">
        <v>1030</v>
      </c>
      <c r="V2713" s="212" t="s">
        <v>1031</v>
      </c>
      <c r="W2713" s="17" t="s">
        <v>69</v>
      </c>
      <c r="Y2713" s="68">
        <v>45008</v>
      </c>
      <c r="Z2713" s="17" t="s">
        <v>191</v>
      </c>
      <c r="AA2713" s="17" t="s">
        <v>46</v>
      </c>
      <c r="AB2713" s="17" t="s">
        <v>1019</v>
      </c>
      <c r="AC2713" s="102" t="s">
        <v>1020</v>
      </c>
      <c r="AD2713" s="65">
        <v>1408</v>
      </c>
      <c r="AE2713" s="17" t="s">
        <v>48</v>
      </c>
      <c r="AF2713" s="17" t="s">
        <v>560</v>
      </c>
      <c r="AI2713" s="17">
        <v>2190</v>
      </c>
    </row>
    <row r="2714" s="17" customFormat="1" hidden="1" spans="1:35">
      <c r="A2714" s="17" t="s">
        <v>34</v>
      </c>
      <c r="B2714" s="19">
        <v>883</v>
      </c>
      <c r="C2714" s="239" t="s">
        <v>1027</v>
      </c>
      <c r="D2714" s="17" t="s">
        <v>52</v>
      </c>
      <c r="E2714" s="17" t="s">
        <v>220</v>
      </c>
      <c r="F2714" s="17" t="s">
        <v>54</v>
      </c>
      <c r="H2714" s="19" t="s">
        <v>55</v>
      </c>
      <c r="I2714" s="19"/>
      <c r="J2714" s="17" t="s">
        <v>82</v>
      </c>
      <c r="K2714" s="19">
        <v>510</v>
      </c>
      <c r="L2714" s="91">
        <v>80</v>
      </c>
      <c r="M2714" s="19">
        <v>5000</v>
      </c>
      <c r="N2714" s="19" t="s">
        <v>40</v>
      </c>
      <c r="O2714" s="19" t="s">
        <v>168</v>
      </c>
      <c r="P2714" s="19">
        <v>1121</v>
      </c>
      <c r="Q2714" s="19">
        <v>1199</v>
      </c>
      <c r="R2714" s="19">
        <f t="shared" si="139"/>
        <v>-78</v>
      </c>
      <c r="S2714" s="19">
        <v>2150</v>
      </c>
      <c r="T2714" s="19" t="s">
        <v>42</v>
      </c>
      <c r="U2714" s="102" t="s">
        <v>1030</v>
      </c>
      <c r="V2714" s="212" t="s">
        <v>1031</v>
      </c>
      <c r="W2714" s="17" t="s">
        <v>69</v>
      </c>
      <c r="Y2714" s="68">
        <v>45008</v>
      </c>
      <c r="Z2714" s="17" t="s">
        <v>191</v>
      </c>
      <c r="AA2714" s="17" t="s">
        <v>46</v>
      </c>
      <c r="AB2714" s="17" t="s">
        <v>1019</v>
      </c>
      <c r="AC2714" s="102" t="s">
        <v>1020</v>
      </c>
      <c r="AD2714" s="65">
        <v>1408</v>
      </c>
      <c r="AE2714" s="17" t="s">
        <v>48</v>
      </c>
      <c r="AF2714" s="17" t="s">
        <v>560</v>
      </c>
      <c r="AI2714" s="17">
        <v>2190</v>
      </c>
    </row>
    <row r="2715" s="17" customFormat="1" hidden="1" spans="1:35">
      <c r="A2715" s="17" t="s">
        <v>34</v>
      </c>
      <c r="B2715" s="19">
        <v>883</v>
      </c>
      <c r="C2715" s="239" t="s">
        <v>1027</v>
      </c>
      <c r="D2715" s="17" t="s">
        <v>52</v>
      </c>
      <c r="E2715" s="17" t="s">
        <v>220</v>
      </c>
      <c r="F2715" s="17" t="s">
        <v>54</v>
      </c>
      <c r="H2715" s="19" t="s">
        <v>55</v>
      </c>
      <c r="I2715" s="19"/>
      <c r="J2715" s="17" t="s">
        <v>82</v>
      </c>
      <c r="K2715" s="19">
        <v>510</v>
      </c>
      <c r="L2715" s="91">
        <v>105</v>
      </c>
      <c r="M2715" s="19">
        <v>5000</v>
      </c>
      <c r="N2715" s="19" t="s">
        <v>40</v>
      </c>
      <c r="O2715" s="19" t="s">
        <v>168</v>
      </c>
      <c r="P2715" s="19">
        <v>1760</v>
      </c>
      <c r="Q2715" s="19">
        <v>3718</v>
      </c>
      <c r="R2715" s="19">
        <f t="shared" si="139"/>
        <v>-1958</v>
      </c>
      <c r="S2715" s="19">
        <v>2150</v>
      </c>
      <c r="T2715" s="19" t="s">
        <v>42</v>
      </c>
      <c r="U2715" s="102" t="s">
        <v>1030</v>
      </c>
      <c r="V2715" s="212" t="s">
        <v>1031</v>
      </c>
      <c r="W2715" s="17" t="s">
        <v>69</v>
      </c>
      <c r="Y2715" s="68">
        <v>45008</v>
      </c>
      <c r="Z2715" s="17" t="s">
        <v>191</v>
      </c>
      <c r="AA2715" s="17" t="s">
        <v>46</v>
      </c>
      <c r="AB2715" s="17" t="s">
        <v>1019</v>
      </c>
      <c r="AC2715" s="102" t="s">
        <v>1020</v>
      </c>
      <c r="AD2715" s="65">
        <v>1408</v>
      </c>
      <c r="AE2715" s="17" t="s">
        <v>48</v>
      </c>
      <c r="AF2715" s="17" t="s">
        <v>560</v>
      </c>
      <c r="AI2715" s="17">
        <v>2190</v>
      </c>
    </row>
    <row r="2716" s="17" customFormat="1" hidden="1" spans="1:35">
      <c r="A2716" s="17" t="s">
        <v>34</v>
      </c>
      <c r="B2716" s="19">
        <v>883</v>
      </c>
      <c r="C2716" s="239" t="s">
        <v>1027</v>
      </c>
      <c r="D2716" s="17" t="s">
        <v>52</v>
      </c>
      <c r="E2716" s="17" t="s">
        <v>220</v>
      </c>
      <c r="F2716" s="17" t="s">
        <v>54</v>
      </c>
      <c r="H2716" s="19" t="s">
        <v>55</v>
      </c>
      <c r="I2716" s="19"/>
      <c r="J2716" s="17" t="s">
        <v>82</v>
      </c>
      <c r="K2716" s="19">
        <v>610</v>
      </c>
      <c r="L2716" s="91">
        <v>155</v>
      </c>
      <c r="M2716" s="19">
        <v>5000</v>
      </c>
      <c r="N2716" s="19" t="s">
        <v>40</v>
      </c>
      <c r="O2716" s="19" t="s">
        <v>168</v>
      </c>
      <c r="P2716" s="19">
        <v>2598</v>
      </c>
      <c r="Q2716" s="19">
        <v>3115</v>
      </c>
      <c r="R2716" s="19">
        <f t="shared" si="139"/>
        <v>-517</v>
      </c>
      <c r="S2716" s="19">
        <v>2150</v>
      </c>
      <c r="T2716" s="19" t="s">
        <v>42</v>
      </c>
      <c r="U2716" s="102" t="s">
        <v>1030</v>
      </c>
      <c r="V2716" s="212" t="s">
        <v>1031</v>
      </c>
      <c r="W2716" s="17" t="s">
        <v>69</v>
      </c>
      <c r="Y2716" s="68">
        <v>45008</v>
      </c>
      <c r="Z2716" s="17" t="s">
        <v>191</v>
      </c>
      <c r="AA2716" s="17" t="s">
        <v>46</v>
      </c>
      <c r="AB2716" s="17" t="s">
        <v>1019</v>
      </c>
      <c r="AC2716" s="102" t="s">
        <v>1020</v>
      </c>
      <c r="AD2716" s="65">
        <v>1408</v>
      </c>
      <c r="AE2716" s="17" t="s">
        <v>48</v>
      </c>
      <c r="AF2716" s="17" t="s">
        <v>560</v>
      </c>
      <c r="AI2716" s="17">
        <v>2190</v>
      </c>
    </row>
    <row r="2717" s="17" customFormat="1" hidden="1" spans="1:35">
      <c r="A2717" s="17" t="s">
        <v>34</v>
      </c>
      <c r="B2717" s="19">
        <v>884</v>
      </c>
      <c r="C2717" s="239" t="s">
        <v>1032</v>
      </c>
      <c r="D2717" s="17" t="s">
        <v>52</v>
      </c>
      <c r="E2717" s="17" t="s">
        <v>187</v>
      </c>
      <c r="F2717" s="17" t="s">
        <v>54</v>
      </c>
      <c r="H2717" s="19">
        <v>1.2311</v>
      </c>
      <c r="I2717" s="19"/>
      <c r="J2717" s="17" t="s">
        <v>49</v>
      </c>
      <c r="K2717" s="19">
        <v>2200</v>
      </c>
      <c r="L2717" s="91">
        <v>130</v>
      </c>
      <c r="M2717" s="19">
        <v>4000</v>
      </c>
      <c r="N2717" s="19" t="s">
        <v>66</v>
      </c>
      <c r="O2717" s="19" t="s">
        <v>141</v>
      </c>
      <c r="P2717" s="19">
        <v>8980</v>
      </c>
      <c r="Q2717" s="19">
        <v>8390</v>
      </c>
      <c r="R2717" s="19">
        <f t="shared" si="139"/>
        <v>590</v>
      </c>
      <c r="S2717" s="19">
        <v>1140</v>
      </c>
      <c r="T2717" s="19" t="s">
        <v>42</v>
      </c>
      <c r="U2717" s="102" t="s">
        <v>1033</v>
      </c>
      <c r="V2717" s="212" t="s">
        <v>1034</v>
      </c>
      <c r="W2717" s="17" t="s">
        <v>69</v>
      </c>
      <c r="Y2717" s="68">
        <v>45008</v>
      </c>
      <c r="Z2717" s="17" t="s">
        <v>191</v>
      </c>
      <c r="AA2717" s="17" t="s">
        <v>46</v>
      </c>
      <c r="AB2717" s="17" t="s">
        <v>987</v>
      </c>
      <c r="AC2717" s="102" t="s">
        <v>988</v>
      </c>
      <c r="AD2717" s="65">
        <v>1412</v>
      </c>
      <c r="AE2717" s="17" t="s">
        <v>48</v>
      </c>
      <c r="AF2717" s="17" t="s">
        <v>560</v>
      </c>
      <c r="AI2717" s="17">
        <v>1150</v>
      </c>
    </row>
    <row r="2718" s="17" customFormat="1" hidden="1" spans="1:35">
      <c r="A2718" s="17" t="s">
        <v>34</v>
      </c>
      <c r="B2718" s="19">
        <v>884</v>
      </c>
      <c r="C2718" s="239" t="s">
        <v>1032</v>
      </c>
      <c r="D2718" s="17" t="s">
        <v>52</v>
      </c>
      <c r="E2718" s="17" t="s">
        <v>187</v>
      </c>
      <c r="F2718" s="17" t="s">
        <v>54</v>
      </c>
      <c r="H2718" s="19">
        <v>1.2311</v>
      </c>
      <c r="I2718" s="19"/>
      <c r="J2718" s="17" t="s">
        <v>49</v>
      </c>
      <c r="K2718" s="19">
        <v>2200</v>
      </c>
      <c r="L2718" s="91">
        <v>155</v>
      </c>
      <c r="M2718" s="19">
        <v>4000</v>
      </c>
      <c r="N2718" s="19" t="s">
        <v>66</v>
      </c>
      <c r="O2718" s="19" t="s">
        <v>141</v>
      </c>
      <c r="P2718" s="19">
        <v>10707</v>
      </c>
      <c r="Q2718" s="19">
        <v>14830</v>
      </c>
      <c r="R2718" s="19">
        <f t="shared" si="139"/>
        <v>-4123</v>
      </c>
      <c r="S2718" s="19">
        <v>1160</v>
      </c>
      <c r="T2718" s="19" t="s">
        <v>42</v>
      </c>
      <c r="U2718" s="102" t="s">
        <v>1033</v>
      </c>
      <c r="V2718" s="212" t="s">
        <v>1034</v>
      </c>
      <c r="W2718" s="17" t="s">
        <v>69</v>
      </c>
      <c r="Y2718" s="68">
        <v>45008</v>
      </c>
      <c r="Z2718" s="17" t="s">
        <v>191</v>
      </c>
      <c r="AA2718" s="17" t="s">
        <v>46</v>
      </c>
      <c r="AB2718" s="17" t="s">
        <v>1035</v>
      </c>
      <c r="AC2718" s="102" t="s">
        <v>1036</v>
      </c>
      <c r="AD2718" s="65">
        <v>1406</v>
      </c>
      <c r="AE2718" s="17" t="s">
        <v>48</v>
      </c>
      <c r="AF2718" s="17" t="s">
        <v>560</v>
      </c>
      <c r="AI2718" s="17">
        <v>1170</v>
      </c>
    </row>
    <row r="2719" s="17" customFormat="1" hidden="1" spans="1:35">
      <c r="A2719" s="17" t="s">
        <v>34</v>
      </c>
      <c r="B2719" s="19">
        <v>884</v>
      </c>
      <c r="C2719" s="239" t="s">
        <v>1032</v>
      </c>
      <c r="D2719" s="17" t="s">
        <v>52</v>
      </c>
      <c r="E2719" s="17" t="s">
        <v>187</v>
      </c>
      <c r="F2719" s="17" t="s">
        <v>54</v>
      </c>
      <c r="H2719" s="19">
        <v>1.2311</v>
      </c>
      <c r="I2719" s="19"/>
      <c r="J2719" s="17" t="s">
        <v>49</v>
      </c>
      <c r="K2719" s="19">
        <v>2200</v>
      </c>
      <c r="L2719" s="91">
        <v>170</v>
      </c>
      <c r="M2719" s="19">
        <v>4000</v>
      </c>
      <c r="N2719" s="19" t="s">
        <v>66</v>
      </c>
      <c r="O2719" s="19" t="s">
        <v>141</v>
      </c>
      <c r="P2719" s="19">
        <v>11744</v>
      </c>
      <c r="Q2719" s="19">
        <v>16150</v>
      </c>
      <c r="R2719" s="19">
        <f t="shared" si="139"/>
        <v>-4406</v>
      </c>
      <c r="S2719" s="19">
        <v>1160</v>
      </c>
      <c r="T2719" s="19" t="s">
        <v>42</v>
      </c>
      <c r="U2719" s="102" t="s">
        <v>1033</v>
      </c>
      <c r="V2719" s="212" t="s">
        <v>1034</v>
      </c>
      <c r="W2719" s="17" t="s">
        <v>69</v>
      </c>
      <c r="Y2719" s="68">
        <v>45008</v>
      </c>
      <c r="Z2719" s="17" t="s">
        <v>191</v>
      </c>
      <c r="AA2719" s="17" t="s">
        <v>46</v>
      </c>
      <c r="AB2719" s="17" t="s">
        <v>1035</v>
      </c>
      <c r="AC2719" s="102" t="s">
        <v>1036</v>
      </c>
      <c r="AD2719" s="65">
        <v>1406</v>
      </c>
      <c r="AE2719" s="17" t="s">
        <v>48</v>
      </c>
      <c r="AF2719" s="17" t="s">
        <v>560</v>
      </c>
      <c r="AI2719" s="17">
        <v>1170</v>
      </c>
    </row>
    <row r="2720" s="17" customFormat="1" hidden="1" spans="1:35">
      <c r="A2720" s="17" t="s">
        <v>34</v>
      </c>
      <c r="B2720" s="19">
        <v>884</v>
      </c>
      <c r="C2720" s="239" t="s">
        <v>1032</v>
      </c>
      <c r="D2720" s="17" t="s">
        <v>52</v>
      </c>
      <c r="E2720" s="17" t="s">
        <v>187</v>
      </c>
      <c r="F2720" s="17" t="s">
        <v>54</v>
      </c>
      <c r="H2720" s="19">
        <v>1.2311</v>
      </c>
      <c r="I2720" s="19"/>
      <c r="J2720" s="17" t="s">
        <v>49</v>
      </c>
      <c r="K2720" s="19">
        <v>2200</v>
      </c>
      <c r="L2720" s="91">
        <v>180</v>
      </c>
      <c r="M2720" s="19">
        <v>5000</v>
      </c>
      <c r="N2720" s="19" t="s">
        <v>66</v>
      </c>
      <c r="O2720" s="19" t="s">
        <v>141</v>
      </c>
      <c r="P2720" s="19">
        <v>15543</v>
      </c>
      <c r="Q2720" s="19">
        <v>12670</v>
      </c>
      <c r="R2720" s="19">
        <f t="shared" si="139"/>
        <v>2873</v>
      </c>
      <c r="S2720" s="19">
        <v>1160</v>
      </c>
      <c r="T2720" s="19" t="s">
        <v>42</v>
      </c>
      <c r="U2720" s="102" t="s">
        <v>1033</v>
      </c>
      <c r="V2720" s="212" t="s">
        <v>1034</v>
      </c>
      <c r="W2720" s="17" t="s">
        <v>69</v>
      </c>
      <c r="Y2720" s="68">
        <v>45008</v>
      </c>
      <c r="Z2720" s="17" t="s">
        <v>191</v>
      </c>
      <c r="AA2720" s="17" t="s">
        <v>46</v>
      </c>
      <c r="AB2720" s="17" t="s">
        <v>1035</v>
      </c>
      <c r="AC2720" s="102" t="s">
        <v>1036</v>
      </c>
      <c r="AD2720" s="65">
        <v>1406</v>
      </c>
      <c r="AE2720" s="17" t="s">
        <v>48</v>
      </c>
      <c r="AF2720" s="17" t="s">
        <v>560</v>
      </c>
      <c r="AI2720" s="17">
        <v>1170</v>
      </c>
    </row>
    <row r="2721" s="17" customFormat="1" hidden="1" spans="1:36">
      <c r="A2721" s="17" t="s">
        <v>34</v>
      </c>
      <c r="B2721" s="19">
        <v>885</v>
      </c>
      <c r="C2721" s="239" t="s">
        <v>1037</v>
      </c>
      <c r="D2721" s="17" t="s">
        <v>52</v>
      </c>
      <c r="E2721" s="17" t="s">
        <v>187</v>
      </c>
      <c r="F2721" s="17" t="s">
        <v>54</v>
      </c>
      <c r="H2721" s="19">
        <v>1.2738</v>
      </c>
      <c r="I2721" s="19"/>
      <c r="J2721" s="17" t="s">
        <v>49</v>
      </c>
      <c r="K2721" s="19">
        <v>2200</v>
      </c>
      <c r="L2721" s="91">
        <v>125</v>
      </c>
      <c r="M2721" s="19">
        <v>5000</v>
      </c>
      <c r="N2721" s="19" t="s">
        <v>66</v>
      </c>
      <c r="O2721" s="19" t="s">
        <v>168</v>
      </c>
      <c r="P2721" s="19">
        <v>10794</v>
      </c>
      <c r="Q2721" s="19">
        <v>2375</v>
      </c>
      <c r="R2721" s="19">
        <f t="shared" si="139"/>
        <v>8419</v>
      </c>
      <c r="S2721" s="19">
        <v>1670</v>
      </c>
      <c r="T2721" s="19" t="s">
        <v>42</v>
      </c>
      <c r="U2721" s="102" t="s">
        <v>1038</v>
      </c>
      <c r="V2721" s="212" t="s">
        <v>1034</v>
      </c>
      <c r="W2721" s="17" t="s">
        <v>69</v>
      </c>
      <c r="Y2721" s="68">
        <v>45008</v>
      </c>
      <c r="Z2721" s="17" t="s">
        <v>191</v>
      </c>
      <c r="AA2721" s="17" t="s">
        <v>46</v>
      </c>
      <c r="AB2721" s="17" t="s">
        <v>1039</v>
      </c>
      <c r="AC2721" s="102" t="s">
        <v>1040</v>
      </c>
      <c r="AD2721" s="65">
        <v>1409</v>
      </c>
      <c r="AE2721" s="17" t="s">
        <v>48</v>
      </c>
      <c r="AF2721" s="17" t="s">
        <v>560</v>
      </c>
      <c r="AI2721" s="17">
        <v>1700</v>
      </c>
    </row>
    <row r="2722" s="17" customFormat="1" hidden="1" spans="1:36">
      <c r="A2722" s="17" t="s">
        <v>34</v>
      </c>
      <c r="B2722" s="19">
        <v>885</v>
      </c>
      <c r="C2722" s="239" t="s">
        <v>1037</v>
      </c>
      <c r="D2722" s="17" t="s">
        <v>52</v>
      </c>
      <c r="E2722" s="17" t="s">
        <v>187</v>
      </c>
      <c r="F2722" s="17" t="s">
        <v>54</v>
      </c>
      <c r="H2722" s="19">
        <v>1.2738</v>
      </c>
      <c r="I2722" s="19"/>
      <c r="J2722" s="17" t="s">
        <v>49</v>
      </c>
      <c r="K2722" s="19">
        <v>2200</v>
      </c>
      <c r="L2722" s="91">
        <v>130</v>
      </c>
      <c r="M2722" s="19">
        <v>5000</v>
      </c>
      <c r="N2722" s="19" t="s">
        <v>66</v>
      </c>
      <c r="O2722" s="19" t="s">
        <v>168</v>
      </c>
      <c r="P2722" s="19">
        <v>11226</v>
      </c>
      <c r="Q2722" s="19">
        <v>2596</v>
      </c>
      <c r="R2722" s="19">
        <f t="shared" si="139"/>
        <v>8630</v>
      </c>
      <c r="S2722" s="19">
        <v>1670</v>
      </c>
      <c r="T2722" s="19" t="s">
        <v>42</v>
      </c>
      <c r="U2722" s="102" t="s">
        <v>1038</v>
      </c>
      <c r="V2722" s="212" t="s">
        <v>1034</v>
      </c>
      <c r="W2722" s="17" t="s">
        <v>69</v>
      </c>
      <c r="Y2722" s="68">
        <v>45008</v>
      </c>
      <c r="Z2722" s="17" t="s">
        <v>191</v>
      </c>
      <c r="AA2722" s="17" t="s">
        <v>46</v>
      </c>
      <c r="AB2722" s="17" t="s">
        <v>1039</v>
      </c>
      <c r="AC2722" s="102" t="s">
        <v>1040</v>
      </c>
      <c r="AD2722" s="65">
        <v>1409</v>
      </c>
      <c r="AE2722" s="17" t="s">
        <v>48</v>
      </c>
      <c r="AF2722" s="17" t="s">
        <v>560</v>
      </c>
      <c r="AI2722" s="17">
        <v>1700</v>
      </c>
    </row>
    <row r="2723" s="17" customFormat="1" hidden="1" spans="1:36">
      <c r="A2723" s="17" t="s">
        <v>34</v>
      </c>
      <c r="B2723" s="19">
        <v>885</v>
      </c>
      <c r="C2723" s="239" t="s">
        <v>1037</v>
      </c>
      <c r="D2723" s="17" t="s">
        <v>52</v>
      </c>
      <c r="E2723" s="17" t="s">
        <v>187</v>
      </c>
      <c r="F2723" s="17" t="s">
        <v>54</v>
      </c>
      <c r="H2723" s="19">
        <v>1.2738</v>
      </c>
      <c r="I2723" s="19"/>
      <c r="J2723" s="17" t="s">
        <v>49</v>
      </c>
      <c r="K2723" s="19">
        <v>2200</v>
      </c>
      <c r="L2723" s="91">
        <v>140</v>
      </c>
      <c r="M2723" s="19">
        <v>5000</v>
      </c>
      <c r="N2723" s="19" t="s">
        <v>66</v>
      </c>
      <c r="O2723" s="19" t="s">
        <v>141</v>
      </c>
      <c r="P2723" s="19">
        <v>12089</v>
      </c>
      <c r="Q2723" s="19">
        <v>4900</v>
      </c>
      <c r="R2723" s="19">
        <f t="shared" si="139"/>
        <v>7189</v>
      </c>
      <c r="S2723" s="19">
        <v>1670</v>
      </c>
      <c r="T2723" s="19" t="s">
        <v>42</v>
      </c>
      <c r="U2723" s="102" t="s">
        <v>1038</v>
      </c>
      <c r="V2723" s="212" t="s">
        <v>1034</v>
      </c>
      <c r="W2723" s="17" t="s">
        <v>69</v>
      </c>
      <c r="Y2723" s="68">
        <v>45008</v>
      </c>
      <c r="Z2723" s="17" t="s">
        <v>191</v>
      </c>
      <c r="AA2723" s="17" t="s">
        <v>46</v>
      </c>
      <c r="AB2723" s="17" t="s">
        <v>975</v>
      </c>
      <c r="AC2723" s="102" t="s">
        <v>976</v>
      </c>
      <c r="AD2723" s="65">
        <v>1401</v>
      </c>
      <c r="AE2723" s="17" t="s">
        <v>48</v>
      </c>
      <c r="AF2723" s="17" t="s">
        <v>560</v>
      </c>
      <c r="AI2723" s="17">
        <v>1700</v>
      </c>
    </row>
    <row r="2724" s="17" customFormat="1" hidden="1" spans="1:36">
      <c r="B2724" s="19">
        <v>885</v>
      </c>
      <c r="C2724" s="239" t="s">
        <v>1037</v>
      </c>
      <c r="D2724" s="17" t="s">
        <v>52</v>
      </c>
      <c r="E2724" s="17" t="s">
        <v>187</v>
      </c>
      <c r="F2724" s="17" t="s">
        <v>54</v>
      </c>
      <c r="H2724" s="19">
        <v>1.2738</v>
      </c>
      <c r="I2724" s="19"/>
      <c r="J2724" s="17" t="s">
        <v>49</v>
      </c>
      <c r="K2724" s="19">
        <v>2200</v>
      </c>
      <c r="L2724" s="91">
        <v>150</v>
      </c>
      <c r="M2724" s="19">
        <v>5000</v>
      </c>
      <c r="N2724" s="19" t="s">
        <v>66</v>
      </c>
      <c r="O2724" s="19" t="s">
        <v>141</v>
      </c>
      <c r="P2724" s="19">
        <v>10362</v>
      </c>
      <c r="Q2724" s="19"/>
      <c r="R2724" s="19">
        <f t="shared" si="139"/>
        <v>10362</v>
      </c>
      <c r="S2724" s="19">
        <v>1670</v>
      </c>
      <c r="T2724" s="19" t="s">
        <v>42</v>
      </c>
      <c r="U2724" s="102" t="s">
        <v>1038</v>
      </c>
      <c r="V2724" s="212" t="s">
        <v>1034</v>
      </c>
      <c r="W2724" s="17" t="s">
        <v>69</v>
      </c>
      <c r="Y2724" s="68">
        <v>45008</v>
      </c>
      <c r="Z2724" s="17" t="s">
        <v>191</v>
      </c>
      <c r="AA2724" s="17" t="s">
        <v>46</v>
      </c>
      <c r="AC2724" s="102"/>
      <c r="AD2724" s="65"/>
      <c r="AE2724" s="17" t="s">
        <v>48</v>
      </c>
      <c r="AF2724" s="17" t="s">
        <v>560</v>
      </c>
      <c r="AI2724" s="17">
        <v>1700</v>
      </c>
      <c r="AJ2724" s="17" t="s">
        <v>985</v>
      </c>
    </row>
    <row r="2725" s="17" customFormat="1" hidden="1" spans="1:36">
      <c r="B2725" s="19">
        <v>885</v>
      </c>
      <c r="C2725" s="239" t="s">
        <v>1037</v>
      </c>
      <c r="D2725" s="17" t="s">
        <v>52</v>
      </c>
      <c r="E2725" s="17" t="s">
        <v>187</v>
      </c>
      <c r="F2725" s="17" t="s">
        <v>54</v>
      </c>
      <c r="H2725" s="19">
        <v>1.2738</v>
      </c>
      <c r="I2725" s="19"/>
      <c r="J2725" s="17" t="s">
        <v>49</v>
      </c>
      <c r="K2725" s="19">
        <v>2200</v>
      </c>
      <c r="L2725" s="91">
        <v>160</v>
      </c>
      <c r="M2725" s="19">
        <v>5000</v>
      </c>
      <c r="N2725" s="19" t="s">
        <v>66</v>
      </c>
      <c r="O2725" s="19" t="s">
        <v>141</v>
      </c>
      <c r="P2725" s="19">
        <v>11053</v>
      </c>
      <c r="Q2725" s="19"/>
      <c r="R2725" s="19">
        <f t="shared" si="139"/>
        <v>11053</v>
      </c>
      <c r="S2725" s="19">
        <v>1670</v>
      </c>
      <c r="T2725" s="19" t="s">
        <v>42</v>
      </c>
      <c r="U2725" s="102" t="s">
        <v>1038</v>
      </c>
      <c r="V2725" s="212" t="s">
        <v>1034</v>
      </c>
      <c r="W2725" s="17" t="s">
        <v>69</v>
      </c>
      <c r="Y2725" s="68">
        <v>45008</v>
      </c>
      <c r="Z2725" s="17" t="s">
        <v>191</v>
      </c>
      <c r="AA2725" s="17" t="s">
        <v>46</v>
      </c>
      <c r="AC2725" s="102"/>
      <c r="AD2725" s="65"/>
      <c r="AE2725" s="17" t="s">
        <v>48</v>
      </c>
      <c r="AF2725" s="17" t="s">
        <v>560</v>
      </c>
      <c r="AI2725" s="17">
        <v>1700</v>
      </c>
      <c r="AJ2725" s="17" t="s">
        <v>985</v>
      </c>
    </row>
    <row r="2726" s="17" customFormat="1" hidden="1" spans="1:36">
      <c r="A2726" s="17" t="s">
        <v>34</v>
      </c>
      <c r="B2726" s="19">
        <v>885</v>
      </c>
      <c r="C2726" s="239" t="s">
        <v>1037</v>
      </c>
      <c r="D2726" s="17" t="s">
        <v>52</v>
      </c>
      <c r="E2726" s="17" t="s">
        <v>187</v>
      </c>
      <c r="F2726" s="17" t="s">
        <v>54</v>
      </c>
      <c r="H2726" s="19">
        <v>1.2738</v>
      </c>
      <c r="I2726" s="19"/>
      <c r="J2726" s="17" t="s">
        <v>49</v>
      </c>
      <c r="K2726" s="19">
        <v>2200</v>
      </c>
      <c r="L2726" s="91">
        <v>180</v>
      </c>
      <c r="M2726" s="19">
        <v>5000</v>
      </c>
      <c r="N2726" s="19" t="s">
        <v>66</v>
      </c>
      <c r="O2726" s="19" t="s">
        <v>141</v>
      </c>
      <c r="P2726" s="19">
        <v>15543</v>
      </c>
      <c r="Q2726" s="19">
        <v>12480</v>
      </c>
      <c r="R2726" s="19">
        <f t="shared" si="139"/>
        <v>3063</v>
      </c>
      <c r="S2726" s="19">
        <v>1670</v>
      </c>
      <c r="T2726" s="19" t="s">
        <v>42</v>
      </c>
      <c r="U2726" s="102" t="s">
        <v>1038</v>
      </c>
      <c r="V2726" s="212" t="s">
        <v>1034</v>
      </c>
      <c r="W2726" s="17" t="s">
        <v>69</v>
      </c>
      <c r="Y2726" s="68">
        <v>45008</v>
      </c>
      <c r="Z2726" s="17" t="s">
        <v>191</v>
      </c>
      <c r="AA2726" s="17" t="s">
        <v>46</v>
      </c>
      <c r="AB2726" s="17" t="s">
        <v>1041</v>
      </c>
      <c r="AC2726" s="102" t="s">
        <v>1040</v>
      </c>
      <c r="AD2726" s="65">
        <v>1410</v>
      </c>
      <c r="AE2726" s="17" t="s">
        <v>48</v>
      </c>
      <c r="AF2726" s="17" t="s">
        <v>560</v>
      </c>
      <c r="AI2726" s="17">
        <v>1700</v>
      </c>
    </row>
    <row r="2727" s="17" customFormat="1" hidden="1" spans="1:36">
      <c r="A2727" s="17" t="s">
        <v>34</v>
      </c>
      <c r="B2727" s="19">
        <v>885</v>
      </c>
      <c r="C2727" s="239" t="s">
        <v>1037</v>
      </c>
      <c r="D2727" s="17" t="s">
        <v>52</v>
      </c>
      <c r="E2727" s="17" t="s">
        <v>187</v>
      </c>
      <c r="F2727" s="17" t="s">
        <v>54</v>
      </c>
      <c r="H2727" s="19">
        <v>1.2738</v>
      </c>
      <c r="I2727" s="19"/>
      <c r="J2727" s="17" t="s">
        <v>49</v>
      </c>
      <c r="K2727" s="19">
        <v>2200</v>
      </c>
      <c r="L2727" s="91">
        <v>200</v>
      </c>
      <c r="M2727" s="19">
        <v>5000</v>
      </c>
      <c r="N2727" s="19" t="s">
        <v>66</v>
      </c>
      <c r="O2727" s="19" t="s">
        <v>141</v>
      </c>
      <c r="P2727" s="19">
        <v>10362</v>
      </c>
      <c r="Q2727" s="19">
        <v>6498</v>
      </c>
      <c r="R2727" s="19">
        <f t="shared" si="139"/>
        <v>3864</v>
      </c>
      <c r="S2727" s="19">
        <v>1695</v>
      </c>
      <c r="T2727" s="19" t="s">
        <v>42</v>
      </c>
      <c r="U2727" s="102" t="s">
        <v>1038</v>
      </c>
      <c r="V2727" s="212" t="s">
        <v>1034</v>
      </c>
      <c r="W2727" s="17" t="s">
        <v>69</v>
      </c>
      <c r="Y2727" s="68">
        <v>45008</v>
      </c>
      <c r="Z2727" s="17" t="s">
        <v>191</v>
      </c>
      <c r="AA2727" s="17" t="s">
        <v>46</v>
      </c>
      <c r="AB2727" s="17" t="s">
        <v>1042</v>
      </c>
      <c r="AC2727" s="102" t="s">
        <v>976</v>
      </c>
      <c r="AD2727" s="65">
        <v>1400</v>
      </c>
      <c r="AE2727" s="17" t="s">
        <v>48</v>
      </c>
      <c r="AF2727" s="17" t="s">
        <v>560</v>
      </c>
      <c r="AI2727" s="17">
        <v>1725</v>
      </c>
    </row>
    <row r="2728" s="17" customFormat="1" hidden="1" spans="1:36">
      <c r="A2728" s="17" t="s">
        <v>34</v>
      </c>
      <c r="B2728" s="19">
        <v>885</v>
      </c>
      <c r="C2728" s="239" t="s">
        <v>1037</v>
      </c>
      <c r="D2728" s="17" t="s">
        <v>52</v>
      </c>
      <c r="E2728" s="17" t="s">
        <v>187</v>
      </c>
      <c r="F2728" s="17" t="s">
        <v>54</v>
      </c>
      <c r="H2728" s="19">
        <v>1.2738</v>
      </c>
      <c r="I2728" s="19"/>
      <c r="J2728" s="17" t="s">
        <v>49</v>
      </c>
      <c r="K2728" s="19">
        <v>2200</v>
      </c>
      <c r="L2728" s="91">
        <v>220</v>
      </c>
      <c r="M2728" s="19">
        <v>5000</v>
      </c>
      <c r="N2728" s="19" t="s">
        <v>66</v>
      </c>
      <c r="O2728" s="19" t="s">
        <v>141</v>
      </c>
      <c r="P2728" s="19">
        <v>11398</v>
      </c>
      <c r="Q2728" s="19">
        <v>6832</v>
      </c>
      <c r="R2728" s="19">
        <f t="shared" si="139"/>
        <v>4566</v>
      </c>
      <c r="S2728" s="19">
        <v>1695</v>
      </c>
      <c r="T2728" s="19" t="s">
        <v>42</v>
      </c>
      <c r="U2728" s="102" t="s">
        <v>1038</v>
      </c>
      <c r="V2728" s="212" t="s">
        <v>1034</v>
      </c>
      <c r="W2728" s="17" t="s">
        <v>69</v>
      </c>
      <c r="Y2728" s="68">
        <v>45008</v>
      </c>
      <c r="Z2728" s="17" t="s">
        <v>191</v>
      </c>
      <c r="AA2728" s="17" t="s">
        <v>46</v>
      </c>
      <c r="AB2728" s="17" t="s">
        <v>1042</v>
      </c>
      <c r="AC2728" s="102" t="s">
        <v>976</v>
      </c>
      <c r="AD2728" s="65">
        <v>1400</v>
      </c>
      <c r="AE2728" s="17" t="s">
        <v>48</v>
      </c>
      <c r="AF2728" s="17" t="s">
        <v>560</v>
      </c>
      <c r="AI2728" s="17">
        <v>1725</v>
      </c>
    </row>
    <row r="2729" s="17" customFormat="1" hidden="1" spans="1:36">
      <c r="A2729" s="17" t="s">
        <v>34</v>
      </c>
      <c r="B2729" s="19">
        <v>885</v>
      </c>
      <c r="C2729" s="239" t="s">
        <v>1037</v>
      </c>
      <c r="D2729" s="17" t="s">
        <v>52</v>
      </c>
      <c r="E2729" s="17" t="s">
        <v>187</v>
      </c>
      <c r="F2729" s="17" t="s">
        <v>54</v>
      </c>
      <c r="H2729" s="19">
        <v>1.2738</v>
      </c>
      <c r="I2729" s="19"/>
      <c r="J2729" s="17" t="s">
        <v>49</v>
      </c>
      <c r="K2729" s="19">
        <v>2200</v>
      </c>
      <c r="L2729" s="91">
        <v>230</v>
      </c>
      <c r="M2729" s="19">
        <v>5000</v>
      </c>
      <c r="N2729" s="19" t="s">
        <v>66</v>
      </c>
      <c r="O2729" s="19" t="s">
        <v>141</v>
      </c>
      <c r="P2729" s="19">
        <v>19861</v>
      </c>
      <c r="Q2729" s="19">
        <v>6902</v>
      </c>
      <c r="R2729" s="19">
        <f t="shared" si="139"/>
        <v>12959</v>
      </c>
      <c r="S2729" s="19">
        <v>1695</v>
      </c>
      <c r="T2729" s="19" t="s">
        <v>42</v>
      </c>
      <c r="U2729" s="102" t="s">
        <v>1038</v>
      </c>
      <c r="V2729" s="212" t="s">
        <v>1034</v>
      </c>
      <c r="W2729" s="17" t="s">
        <v>69</v>
      </c>
      <c r="Y2729" s="68">
        <v>45008</v>
      </c>
      <c r="Z2729" s="17" t="s">
        <v>191</v>
      </c>
      <c r="AA2729" s="17" t="s">
        <v>46</v>
      </c>
      <c r="AB2729" s="17" t="s">
        <v>983</v>
      </c>
      <c r="AC2729" s="102" t="s">
        <v>984</v>
      </c>
      <c r="AD2729" s="65">
        <v>1403</v>
      </c>
      <c r="AE2729" s="17" t="s">
        <v>48</v>
      </c>
      <c r="AF2729" s="17" t="s">
        <v>560</v>
      </c>
      <c r="AI2729" s="17">
        <v>1725</v>
      </c>
    </row>
    <row r="2730" s="17" customFormat="1" hidden="1" spans="1:36">
      <c r="A2730" s="17" t="s">
        <v>34</v>
      </c>
      <c r="B2730" s="19">
        <v>886</v>
      </c>
      <c r="C2730" s="239" t="s">
        <v>1037</v>
      </c>
      <c r="D2730" s="17" t="s">
        <v>52</v>
      </c>
      <c r="E2730" s="17" t="s">
        <v>187</v>
      </c>
      <c r="F2730" s="17" t="s">
        <v>54</v>
      </c>
      <c r="H2730" s="19">
        <v>1.2738</v>
      </c>
      <c r="I2730" s="19"/>
      <c r="J2730" s="17" t="s">
        <v>49</v>
      </c>
      <c r="K2730" s="19">
        <v>1328</v>
      </c>
      <c r="L2730" s="91">
        <v>309</v>
      </c>
      <c r="M2730" s="19">
        <v>3500</v>
      </c>
      <c r="N2730" s="19" t="s">
        <v>66</v>
      </c>
      <c r="O2730" s="19" t="s">
        <v>50</v>
      </c>
      <c r="P2730" s="19">
        <v>11274</v>
      </c>
      <c r="Q2730" s="19">
        <v>10714</v>
      </c>
      <c r="R2730" s="19">
        <f t="shared" si="139"/>
        <v>560</v>
      </c>
      <c r="S2730" s="19">
        <v>1725</v>
      </c>
      <c r="T2730" s="19" t="s">
        <v>42</v>
      </c>
      <c r="U2730" s="102" t="s">
        <v>1043</v>
      </c>
      <c r="V2730" s="212" t="s">
        <v>1034</v>
      </c>
      <c r="W2730" s="17" t="s">
        <v>69</v>
      </c>
      <c r="Y2730" s="68">
        <v>45008</v>
      </c>
      <c r="Z2730" s="17" t="s">
        <v>191</v>
      </c>
      <c r="AA2730" s="17" t="s">
        <v>46</v>
      </c>
      <c r="AB2730" s="17" t="s">
        <v>983</v>
      </c>
      <c r="AC2730" s="102" t="s">
        <v>984</v>
      </c>
      <c r="AD2730" s="65">
        <v>1403</v>
      </c>
      <c r="AE2730" s="17" t="s">
        <v>48</v>
      </c>
      <c r="AF2730" s="17" t="s">
        <v>560</v>
      </c>
      <c r="AI2730" s="17">
        <v>1755</v>
      </c>
    </row>
    <row r="2731" s="17" customFormat="1" hidden="1" spans="1:36">
      <c r="A2731" s="17" t="s">
        <v>34</v>
      </c>
      <c r="B2731" s="19">
        <v>886</v>
      </c>
      <c r="C2731" s="239" t="s">
        <v>1037</v>
      </c>
      <c r="D2731" s="17" t="s">
        <v>52</v>
      </c>
      <c r="E2731" s="17" t="s">
        <v>187</v>
      </c>
      <c r="F2731" s="17" t="s">
        <v>54</v>
      </c>
      <c r="H2731" s="19">
        <v>1.2738</v>
      </c>
      <c r="I2731" s="19"/>
      <c r="J2731" s="17" t="s">
        <v>49</v>
      </c>
      <c r="K2731" s="19">
        <v>1366</v>
      </c>
      <c r="L2731" s="91">
        <v>325</v>
      </c>
      <c r="M2731" s="19">
        <v>3500</v>
      </c>
      <c r="N2731" s="19" t="s">
        <v>66</v>
      </c>
      <c r="O2731" s="19" t="s">
        <v>50</v>
      </c>
      <c r="P2731" s="19">
        <v>12198</v>
      </c>
      <c r="Q2731" s="19">
        <v>9170</v>
      </c>
      <c r="R2731" s="19">
        <f t="shared" si="139"/>
        <v>3028</v>
      </c>
      <c r="S2731" s="19">
        <v>1725</v>
      </c>
      <c r="T2731" s="19" t="s">
        <v>42</v>
      </c>
      <c r="U2731" s="102" t="s">
        <v>1043</v>
      </c>
      <c r="V2731" s="212" t="s">
        <v>1034</v>
      </c>
      <c r="W2731" s="17" t="s">
        <v>69</v>
      </c>
      <c r="Y2731" s="68">
        <v>45008</v>
      </c>
      <c r="Z2731" s="17" t="s">
        <v>191</v>
      </c>
      <c r="AA2731" s="17" t="s">
        <v>46</v>
      </c>
      <c r="AB2731" s="17" t="s">
        <v>983</v>
      </c>
      <c r="AC2731" s="102" t="s">
        <v>984</v>
      </c>
      <c r="AD2731" s="65">
        <v>1403</v>
      </c>
      <c r="AE2731" s="17" t="s">
        <v>48</v>
      </c>
      <c r="AF2731" s="17" t="s">
        <v>560</v>
      </c>
      <c r="AI2731" s="17">
        <v>1755</v>
      </c>
    </row>
    <row r="2732" s="17" customFormat="1" hidden="1" spans="1:36">
      <c r="A2732" s="17" t="s">
        <v>34</v>
      </c>
      <c r="B2732" s="19">
        <v>886</v>
      </c>
      <c r="C2732" s="239" t="s">
        <v>1037</v>
      </c>
      <c r="D2732" s="17" t="s">
        <v>52</v>
      </c>
      <c r="E2732" s="17" t="s">
        <v>187</v>
      </c>
      <c r="F2732" s="17" t="s">
        <v>54</v>
      </c>
      <c r="H2732" s="19">
        <v>1.2738</v>
      </c>
      <c r="I2732" s="19"/>
      <c r="J2732" s="17" t="s">
        <v>49</v>
      </c>
      <c r="K2732" s="19">
        <v>1600</v>
      </c>
      <c r="L2732" s="91">
        <v>360</v>
      </c>
      <c r="M2732" s="19">
        <v>3500</v>
      </c>
      <c r="N2732" s="19" t="s">
        <v>66</v>
      </c>
      <c r="O2732" s="19" t="s">
        <v>168</v>
      </c>
      <c r="P2732" s="19">
        <v>15826</v>
      </c>
      <c r="Q2732" s="19">
        <v>14700</v>
      </c>
      <c r="R2732" s="19">
        <f t="shared" si="139"/>
        <v>1126</v>
      </c>
      <c r="S2732" s="19">
        <v>1695</v>
      </c>
      <c r="T2732" s="19" t="s">
        <v>42</v>
      </c>
      <c r="U2732" s="102" t="s">
        <v>1043</v>
      </c>
      <c r="V2732" s="212" t="s">
        <v>1034</v>
      </c>
      <c r="W2732" s="17" t="s">
        <v>69</v>
      </c>
      <c r="Y2732" s="68">
        <v>45008</v>
      </c>
      <c r="Z2732" s="17" t="s">
        <v>191</v>
      </c>
      <c r="AA2732" s="17" t="s">
        <v>46</v>
      </c>
      <c r="AB2732" s="17" t="s">
        <v>1044</v>
      </c>
      <c r="AC2732" s="217">
        <v>45233</v>
      </c>
      <c r="AD2732" s="65">
        <v>1394</v>
      </c>
      <c r="AE2732" s="17" t="s">
        <v>48</v>
      </c>
      <c r="AF2732" s="17" t="s">
        <v>560</v>
      </c>
      <c r="AI2732" s="17">
        <v>1725</v>
      </c>
    </row>
    <row r="2733" s="17" customFormat="1" hidden="1" spans="1:36">
      <c r="A2733" s="17" t="s">
        <v>34</v>
      </c>
      <c r="B2733" s="19">
        <v>886</v>
      </c>
      <c r="C2733" s="239" t="s">
        <v>1037</v>
      </c>
      <c r="D2733" s="17" t="s">
        <v>52</v>
      </c>
      <c r="E2733" s="17" t="s">
        <v>187</v>
      </c>
      <c r="F2733" s="17" t="s">
        <v>54</v>
      </c>
      <c r="H2733" s="19">
        <v>1.2311</v>
      </c>
      <c r="I2733" s="19"/>
      <c r="J2733" s="17" t="s">
        <v>49</v>
      </c>
      <c r="K2733" s="19">
        <v>1320</v>
      </c>
      <c r="L2733" s="91">
        <v>319</v>
      </c>
      <c r="M2733" s="19">
        <v>3500</v>
      </c>
      <c r="N2733" s="19" t="s">
        <v>66</v>
      </c>
      <c r="O2733" s="19" t="s">
        <v>50</v>
      </c>
      <c r="P2733" s="19">
        <v>11569</v>
      </c>
      <c r="Q2733" s="19">
        <v>11010</v>
      </c>
      <c r="R2733" s="19">
        <f t="shared" si="139"/>
        <v>559</v>
      </c>
      <c r="S2733" s="19">
        <v>1525</v>
      </c>
      <c r="T2733" s="19" t="s">
        <v>42</v>
      </c>
      <c r="U2733" s="102" t="s">
        <v>1043</v>
      </c>
      <c r="V2733" s="212" t="s">
        <v>1034</v>
      </c>
      <c r="W2733" s="17" t="s">
        <v>69</v>
      </c>
      <c r="Y2733" s="68">
        <v>45008</v>
      </c>
      <c r="Z2733" s="17" t="s">
        <v>191</v>
      </c>
      <c r="AA2733" s="17" t="s">
        <v>46</v>
      </c>
      <c r="AB2733" s="17" t="s">
        <v>983</v>
      </c>
      <c r="AC2733" s="102" t="s">
        <v>984</v>
      </c>
      <c r="AD2733" s="65">
        <v>1403</v>
      </c>
      <c r="AE2733" s="17" t="s">
        <v>48</v>
      </c>
      <c r="AF2733" s="17" t="s">
        <v>560</v>
      </c>
      <c r="AI2733" s="17">
        <v>1555</v>
      </c>
    </row>
    <row r="2734" s="17" customFormat="1" hidden="1" spans="1:36">
      <c r="A2734" s="17" t="s">
        <v>34</v>
      </c>
      <c r="B2734" s="19">
        <v>887</v>
      </c>
      <c r="C2734" s="239" t="s">
        <v>1037</v>
      </c>
      <c r="D2734" s="17" t="s">
        <v>52</v>
      </c>
      <c r="E2734" s="17" t="s">
        <v>187</v>
      </c>
      <c r="F2734" s="17" t="s">
        <v>54</v>
      </c>
      <c r="H2734" s="19">
        <v>1.2311</v>
      </c>
      <c r="I2734" s="19"/>
      <c r="J2734" s="17" t="s">
        <v>49</v>
      </c>
      <c r="K2734" s="19">
        <v>1500</v>
      </c>
      <c r="L2734" s="91">
        <v>210</v>
      </c>
      <c r="M2734" s="19">
        <v>5000</v>
      </c>
      <c r="N2734" s="19" t="s">
        <v>66</v>
      </c>
      <c r="O2734" s="19" t="s">
        <v>141</v>
      </c>
      <c r="P2734" s="19">
        <v>12364</v>
      </c>
      <c r="Q2734" s="19">
        <f>13672+15214</f>
        <v>28886</v>
      </c>
      <c r="R2734" s="19">
        <f t="shared" si="139"/>
        <v>-16522</v>
      </c>
      <c r="S2734" s="19">
        <v>1395</v>
      </c>
      <c r="T2734" s="19" t="s">
        <v>42</v>
      </c>
      <c r="U2734" s="102" t="s">
        <v>1045</v>
      </c>
      <c r="V2734" s="212" t="s">
        <v>1034</v>
      </c>
      <c r="W2734" s="17" t="s">
        <v>69</v>
      </c>
      <c r="Y2734" s="68">
        <v>45008</v>
      </c>
      <c r="Z2734" s="17" t="s">
        <v>191</v>
      </c>
      <c r="AA2734" s="17" t="s">
        <v>46</v>
      </c>
      <c r="AB2734" s="17" t="s">
        <v>1039</v>
      </c>
      <c r="AC2734" s="102" t="s">
        <v>1040</v>
      </c>
      <c r="AD2734" s="65">
        <v>1409</v>
      </c>
      <c r="AE2734" s="17" t="s">
        <v>48</v>
      </c>
      <c r="AF2734" s="17" t="s">
        <v>560</v>
      </c>
      <c r="AI2734" s="17">
        <v>1415</v>
      </c>
    </row>
    <row r="2735" s="17" customFormat="1" hidden="1" spans="1:36">
      <c r="A2735" s="17" t="s">
        <v>34</v>
      </c>
      <c r="B2735" s="19">
        <v>887</v>
      </c>
      <c r="C2735" s="239" t="s">
        <v>1037</v>
      </c>
      <c r="D2735" s="17" t="s">
        <v>52</v>
      </c>
      <c r="E2735" s="17" t="s">
        <v>187</v>
      </c>
      <c r="F2735" s="17" t="s">
        <v>54</v>
      </c>
      <c r="H2735" s="19">
        <v>1.2311</v>
      </c>
      <c r="I2735" s="19"/>
      <c r="J2735" s="17" t="s">
        <v>49</v>
      </c>
      <c r="K2735" s="19">
        <v>1500</v>
      </c>
      <c r="L2735" s="91">
        <v>255</v>
      </c>
      <c r="M2735" s="19">
        <v>5000</v>
      </c>
      <c r="N2735" s="19" t="s">
        <v>66</v>
      </c>
      <c r="O2735" s="19" t="s">
        <v>168</v>
      </c>
      <c r="P2735" s="19">
        <v>15013</v>
      </c>
      <c r="Q2735" s="19">
        <v>11605</v>
      </c>
      <c r="S2735" s="19">
        <v>1395</v>
      </c>
      <c r="T2735" s="19" t="s">
        <v>42</v>
      </c>
      <c r="U2735" s="102" t="s">
        <v>1045</v>
      </c>
      <c r="V2735" s="212" t="s">
        <v>1034</v>
      </c>
      <c r="W2735" s="17" t="s">
        <v>69</v>
      </c>
      <c r="Y2735" s="68">
        <v>45008</v>
      </c>
      <c r="Z2735" s="17" t="s">
        <v>191</v>
      </c>
      <c r="AA2735" s="17" t="s">
        <v>46</v>
      </c>
      <c r="AB2735" s="17" t="s">
        <v>1039</v>
      </c>
      <c r="AC2735" s="102" t="s">
        <v>1040</v>
      </c>
      <c r="AD2735" s="65">
        <v>1409</v>
      </c>
      <c r="AE2735" s="17" t="s">
        <v>48</v>
      </c>
      <c r="AF2735" s="17" t="s">
        <v>560</v>
      </c>
      <c r="AI2735" s="17">
        <v>1415</v>
      </c>
    </row>
    <row r="2736" s="17" customFormat="1" hidden="1" spans="1:36">
      <c r="A2736" s="17" t="s">
        <v>34</v>
      </c>
      <c r="B2736" s="19">
        <v>887</v>
      </c>
      <c r="C2736" s="239" t="s">
        <v>1037</v>
      </c>
      <c r="D2736" s="17" t="s">
        <v>52</v>
      </c>
      <c r="E2736" s="17" t="s">
        <v>187</v>
      </c>
      <c r="F2736" s="17" t="s">
        <v>54</v>
      </c>
      <c r="H2736" s="19">
        <v>1.2311</v>
      </c>
      <c r="I2736" s="19"/>
      <c r="J2736" s="17" t="s">
        <v>49</v>
      </c>
      <c r="K2736" s="19">
        <v>1600</v>
      </c>
      <c r="L2736" s="91">
        <v>255</v>
      </c>
      <c r="M2736" s="19">
        <v>3570</v>
      </c>
      <c r="N2736" s="19" t="s">
        <v>66</v>
      </c>
      <c r="O2736" s="19" t="s">
        <v>168</v>
      </c>
      <c r="P2736" s="19"/>
      <c r="Q2736" s="19">
        <v>11750</v>
      </c>
      <c r="R2736" s="19">
        <f>+P2735-Q2735-Q2736</f>
        <v>-8342</v>
      </c>
      <c r="S2736" s="19">
        <v>1395</v>
      </c>
      <c r="T2736" s="19" t="s">
        <v>42</v>
      </c>
      <c r="U2736" s="102" t="s">
        <v>1045</v>
      </c>
      <c r="V2736" s="212" t="s">
        <v>1034</v>
      </c>
      <c r="W2736" s="17" t="s">
        <v>69</v>
      </c>
      <c r="Y2736" s="68">
        <v>45008</v>
      </c>
      <c r="Z2736" s="17" t="s">
        <v>191</v>
      </c>
      <c r="AA2736" s="17" t="s">
        <v>46</v>
      </c>
      <c r="AB2736" s="17" t="s">
        <v>1046</v>
      </c>
      <c r="AC2736" s="102" t="s">
        <v>988</v>
      </c>
      <c r="AD2736" s="65">
        <v>1411</v>
      </c>
      <c r="AE2736" s="17" t="s">
        <v>48</v>
      </c>
    </row>
    <row r="2737" s="17" customFormat="1" hidden="1" spans="1:35">
      <c r="A2737" s="17" t="s">
        <v>34</v>
      </c>
      <c r="B2737" s="19">
        <v>887</v>
      </c>
      <c r="C2737" s="239" t="s">
        <v>1037</v>
      </c>
      <c r="D2737" s="17" t="s">
        <v>52</v>
      </c>
      <c r="E2737" s="17" t="s">
        <v>187</v>
      </c>
      <c r="F2737" s="17" t="s">
        <v>54</v>
      </c>
      <c r="H2737" s="19">
        <v>1.2311</v>
      </c>
      <c r="I2737" s="19"/>
      <c r="J2737" s="17" t="s">
        <v>49</v>
      </c>
      <c r="K2737" s="19">
        <v>1500</v>
      </c>
      <c r="L2737" s="91">
        <v>230</v>
      </c>
      <c r="M2737" s="19">
        <v>5000</v>
      </c>
      <c r="N2737" s="19" t="s">
        <v>66</v>
      </c>
      <c r="O2737" s="19" t="s">
        <v>168</v>
      </c>
      <c r="P2737" s="19">
        <v>13541</v>
      </c>
      <c r="Q2737" s="19">
        <v>9014</v>
      </c>
      <c r="S2737" s="19">
        <v>1395</v>
      </c>
      <c r="T2737" s="19" t="s">
        <v>42</v>
      </c>
      <c r="U2737" s="102" t="s">
        <v>1045</v>
      </c>
      <c r="V2737" s="212" t="s">
        <v>1034</v>
      </c>
      <c r="W2737" s="17" t="s">
        <v>69</v>
      </c>
      <c r="Y2737" s="68">
        <v>45008</v>
      </c>
      <c r="Z2737" s="17" t="s">
        <v>191</v>
      </c>
      <c r="AA2737" s="17" t="s">
        <v>46</v>
      </c>
      <c r="AB2737" s="17" t="s">
        <v>983</v>
      </c>
      <c r="AC2737" s="102" t="s">
        <v>984</v>
      </c>
      <c r="AD2737" s="65">
        <v>1403</v>
      </c>
      <c r="AE2737" s="17" t="s">
        <v>48</v>
      </c>
      <c r="AF2737" s="17" t="s">
        <v>560</v>
      </c>
      <c r="AI2737" s="17">
        <v>1415</v>
      </c>
    </row>
    <row r="2738" s="17" customFormat="1" hidden="1" spans="1:35">
      <c r="A2738" s="17" t="s">
        <v>34</v>
      </c>
      <c r="B2738" s="19">
        <v>887</v>
      </c>
      <c r="C2738" s="239" t="s">
        <v>1037</v>
      </c>
      <c r="D2738" s="17" t="s">
        <v>52</v>
      </c>
      <c r="E2738" s="17" t="s">
        <v>187</v>
      </c>
      <c r="F2738" s="17" t="s">
        <v>54</v>
      </c>
      <c r="H2738" s="19">
        <v>1.2311</v>
      </c>
      <c r="I2738" s="19"/>
      <c r="J2738" s="17" t="s">
        <v>49</v>
      </c>
      <c r="K2738" s="19">
        <v>1500</v>
      </c>
      <c r="L2738" s="91">
        <v>230</v>
      </c>
      <c r="M2738" s="19">
        <v>5000</v>
      </c>
      <c r="N2738" s="19" t="s">
        <v>66</v>
      </c>
      <c r="O2738" s="19" t="s">
        <v>141</v>
      </c>
      <c r="P2738" s="19"/>
      <c r="Q2738" s="19">
        <v>9306</v>
      </c>
      <c r="R2738" s="19">
        <f>+P2737-Q2737-Q2738</f>
        <v>-4779</v>
      </c>
      <c r="S2738" s="19">
        <v>1395</v>
      </c>
      <c r="T2738" s="19" t="s">
        <v>42</v>
      </c>
      <c r="U2738" s="102" t="s">
        <v>1045</v>
      </c>
      <c r="V2738" s="212" t="s">
        <v>1034</v>
      </c>
      <c r="W2738" s="17" t="s">
        <v>69</v>
      </c>
      <c r="Y2738" s="68">
        <v>45008</v>
      </c>
      <c r="Z2738" s="17" t="s">
        <v>191</v>
      </c>
      <c r="AA2738" s="17" t="s">
        <v>46</v>
      </c>
      <c r="AB2738" s="17" t="s">
        <v>1039</v>
      </c>
      <c r="AC2738" s="102" t="s">
        <v>1040</v>
      </c>
      <c r="AD2738" s="65">
        <v>1409</v>
      </c>
      <c r="AE2738" s="17" t="s">
        <v>48</v>
      </c>
    </row>
    <row r="2739" s="17" customFormat="1" hidden="1" spans="1:35">
      <c r="A2739" s="17" t="s">
        <v>34</v>
      </c>
      <c r="B2739" s="19">
        <v>887</v>
      </c>
      <c r="C2739" s="239" t="s">
        <v>1037</v>
      </c>
      <c r="D2739" s="17" t="s">
        <v>52</v>
      </c>
      <c r="E2739" s="17" t="s">
        <v>187</v>
      </c>
      <c r="F2739" s="17" t="s">
        <v>54</v>
      </c>
      <c r="H2739" s="19">
        <v>1.2311</v>
      </c>
      <c r="I2739" s="19"/>
      <c r="J2739" s="17" t="s">
        <v>49</v>
      </c>
      <c r="K2739" s="19">
        <v>1500</v>
      </c>
      <c r="L2739" s="91">
        <v>330</v>
      </c>
      <c r="M2739" s="19">
        <v>5000</v>
      </c>
      <c r="N2739" s="19" t="s">
        <v>66</v>
      </c>
      <c r="O2739" s="19" t="s">
        <v>168</v>
      </c>
      <c r="P2739" s="242">
        <v>19429</v>
      </c>
      <c r="Q2739" s="242">
        <f>15670+15670</f>
        <v>31340</v>
      </c>
      <c r="R2739" s="19">
        <f>+P2739-Q2739</f>
        <v>-11911</v>
      </c>
      <c r="S2739" s="19">
        <v>1395</v>
      </c>
      <c r="T2739" s="19" t="s">
        <v>42</v>
      </c>
      <c r="U2739" s="102" t="s">
        <v>1045</v>
      </c>
      <c r="V2739" s="212" t="s">
        <v>1034</v>
      </c>
      <c r="W2739" s="17" t="s">
        <v>69</v>
      </c>
      <c r="Y2739" s="68">
        <v>45008</v>
      </c>
      <c r="Z2739" s="17" t="s">
        <v>191</v>
      </c>
      <c r="AA2739" s="17" t="s">
        <v>46</v>
      </c>
      <c r="AB2739" s="17" t="s">
        <v>1047</v>
      </c>
      <c r="AC2739" s="217">
        <v>45233</v>
      </c>
      <c r="AD2739" s="65">
        <v>1393</v>
      </c>
      <c r="AE2739" s="17" t="s">
        <v>48</v>
      </c>
      <c r="AF2739" s="17" t="s">
        <v>560</v>
      </c>
      <c r="AI2739" s="17">
        <v>1415</v>
      </c>
    </row>
    <row r="2740" s="17" customFormat="1" hidden="1" spans="1:35">
      <c r="A2740" s="17" t="s">
        <v>34</v>
      </c>
      <c r="B2740" s="19">
        <v>887</v>
      </c>
      <c r="C2740" s="239" t="s">
        <v>1037</v>
      </c>
      <c r="D2740" s="17" t="s">
        <v>52</v>
      </c>
      <c r="E2740" s="17" t="s">
        <v>187</v>
      </c>
      <c r="F2740" s="17" t="s">
        <v>54</v>
      </c>
      <c r="H2740" s="19">
        <v>1.2311</v>
      </c>
      <c r="I2740" s="19"/>
      <c r="J2740" s="17" t="s">
        <v>49</v>
      </c>
      <c r="K2740" s="19">
        <v>1500</v>
      </c>
      <c r="L2740" s="91">
        <v>355</v>
      </c>
      <c r="M2740" s="19">
        <v>5000</v>
      </c>
      <c r="N2740" s="19" t="s">
        <v>66</v>
      </c>
      <c r="O2740" s="19" t="s">
        <v>168</v>
      </c>
      <c r="P2740" s="19">
        <v>20901</v>
      </c>
      <c r="Q2740" s="19">
        <v>14570</v>
      </c>
      <c r="S2740" s="19">
        <v>1395</v>
      </c>
      <c r="T2740" s="19" t="s">
        <v>42</v>
      </c>
      <c r="U2740" s="102" t="s">
        <v>1045</v>
      </c>
      <c r="V2740" s="212" t="s">
        <v>1034</v>
      </c>
      <c r="W2740" s="17" t="s">
        <v>69</v>
      </c>
      <c r="Y2740" s="68">
        <v>45008</v>
      </c>
      <c r="Z2740" s="17" t="s">
        <v>191</v>
      </c>
      <c r="AA2740" s="17" t="s">
        <v>46</v>
      </c>
      <c r="AB2740" s="17" t="s">
        <v>1047</v>
      </c>
      <c r="AC2740" s="217">
        <v>45233</v>
      </c>
      <c r="AD2740" s="65">
        <v>1393</v>
      </c>
      <c r="AE2740" s="17" t="s">
        <v>48</v>
      </c>
      <c r="AF2740" s="17" t="s">
        <v>560</v>
      </c>
      <c r="AI2740" s="17">
        <v>1415</v>
      </c>
    </row>
    <row r="2741" s="17" customFormat="1" hidden="1" spans="1:35">
      <c r="A2741" s="17" t="s">
        <v>34</v>
      </c>
      <c r="B2741" s="19">
        <v>887</v>
      </c>
      <c r="C2741" s="239" t="s">
        <v>1037</v>
      </c>
      <c r="D2741" s="17" t="s">
        <v>52</v>
      </c>
      <c r="E2741" s="17" t="s">
        <v>187</v>
      </c>
      <c r="F2741" s="17" t="s">
        <v>54</v>
      </c>
      <c r="H2741" s="19">
        <v>1.2311</v>
      </c>
      <c r="I2741" s="19"/>
      <c r="J2741" s="17" t="s">
        <v>49</v>
      </c>
      <c r="K2741" s="19">
        <v>1600</v>
      </c>
      <c r="L2741" s="91">
        <v>355</v>
      </c>
      <c r="M2741" s="19">
        <v>3230</v>
      </c>
      <c r="N2741" s="19" t="s">
        <v>66</v>
      </c>
      <c r="O2741" s="19" t="s">
        <v>168</v>
      </c>
      <c r="P2741" s="19"/>
      <c r="Q2741" s="19">
        <v>15330</v>
      </c>
      <c r="R2741" s="19">
        <f>+P2740-Q2740-Q2741</f>
        <v>-8999</v>
      </c>
      <c r="S2741" s="19">
        <v>1395</v>
      </c>
      <c r="T2741" s="19" t="s">
        <v>42</v>
      </c>
      <c r="U2741" s="102" t="s">
        <v>1045</v>
      </c>
      <c r="V2741" s="212" t="s">
        <v>1034</v>
      </c>
      <c r="W2741" s="17" t="s">
        <v>69</v>
      </c>
      <c r="Y2741" s="68">
        <v>45008</v>
      </c>
      <c r="Z2741" s="17" t="s">
        <v>191</v>
      </c>
      <c r="AA2741" s="17" t="s">
        <v>46</v>
      </c>
      <c r="AB2741" s="17" t="s">
        <v>987</v>
      </c>
      <c r="AC2741" s="102" t="s">
        <v>988</v>
      </c>
      <c r="AD2741" s="65">
        <v>1412</v>
      </c>
      <c r="AE2741" s="17" t="s">
        <v>48</v>
      </c>
      <c r="AF2741" s="17" t="s">
        <v>560</v>
      </c>
    </row>
    <row r="2742" s="17" customFormat="1" hidden="1" spans="1:35">
      <c r="A2742" s="17" t="s">
        <v>34</v>
      </c>
      <c r="B2742" s="19">
        <v>888</v>
      </c>
      <c r="C2742" s="239" t="s">
        <v>1037</v>
      </c>
      <c r="D2742" s="17" t="s">
        <v>52</v>
      </c>
      <c r="E2742" s="17" t="s">
        <v>187</v>
      </c>
      <c r="F2742" s="17" t="s">
        <v>54</v>
      </c>
      <c r="H2742" s="19">
        <v>1.2738</v>
      </c>
      <c r="I2742" s="19"/>
      <c r="J2742" s="17" t="s">
        <v>49</v>
      </c>
      <c r="K2742" s="19">
        <v>1385</v>
      </c>
      <c r="L2742" s="91">
        <v>265</v>
      </c>
      <c r="M2742" s="19">
        <v>3500</v>
      </c>
      <c r="N2742" s="19" t="s">
        <v>66</v>
      </c>
      <c r="O2742" s="19" t="s">
        <v>168</v>
      </c>
      <c r="P2742" s="19">
        <v>17287</v>
      </c>
      <c r="Q2742" s="19">
        <f>7480+8638</f>
        <v>16118</v>
      </c>
      <c r="R2742" s="19">
        <f>+P2742-Q2742</f>
        <v>1169</v>
      </c>
      <c r="S2742" s="19">
        <v>1670</v>
      </c>
      <c r="T2742" s="19" t="s">
        <v>42</v>
      </c>
      <c r="U2742" s="102" t="s">
        <v>1048</v>
      </c>
      <c r="V2742" s="212" t="s">
        <v>1034</v>
      </c>
      <c r="W2742" s="17" t="s">
        <v>69</v>
      </c>
      <c r="Y2742" s="68">
        <v>45008</v>
      </c>
      <c r="Z2742" s="17" t="s">
        <v>191</v>
      </c>
      <c r="AA2742" s="17" t="s">
        <v>46</v>
      </c>
      <c r="AB2742" s="17" t="s">
        <v>782</v>
      </c>
      <c r="AC2742" s="102" t="s">
        <v>984</v>
      </c>
      <c r="AD2742" s="65">
        <v>1405</v>
      </c>
      <c r="AE2742" s="17" t="s">
        <v>48</v>
      </c>
      <c r="AF2742" s="17" t="s">
        <v>560</v>
      </c>
      <c r="AI2742" s="17">
        <v>1700</v>
      </c>
    </row>
    <row r="2743" s="17" customFormat="1" hidden="1" spans="1:35">
      <c r="A2743" s="17" t="s">
        <v>34</v>
      </c>
      <c r="B2743" s="19">
        <v>888</v>
      </c>
      <c r="C2743" s="239" t="s">
        <v>1037</v>
      </c>
      <c r="D2743" s="17" t="s">
        <v>52</v>
      </c>
      <c r="E2743" s="17" t="s">
        <v>187</v>
      </c>
      <c r="F2743" s="17" t="s">
        <v>54</v>
      </c>
      <c r="H2743" s="19">
        <v>1.2738</v>
      </c>
      <c r="I2743" s="19"/>
      <c r="J2743" s="17" t="s">
        <v>49</v>
      </c>
      <c r="K2743" s="19">
        <v>1388</v>
      </c>
      <c r="L2743" s="91">
        <v>275</v>
      </c>
      <c r="M2743" s="19">
        <v>3500</v>
      </c>
      <c r="N2743" s="19" t="s">
        <v>66</v>
      </c>
      <c r="O2743" s="19" t="s">
        <v>168</v>
      </c>
      <c r="P2743" s="19">
        <v>17978</v>
      </c>
      <c r="Q2743" s="19">
        <f>10202+10580</f>
        <v>20782</v>
      </c>
      <c r="R2743" s="19">
        <f>+P2743-Q2743</f>
        <v>-2804</v>
      </c>
      <c r="S2743" s="19">
        <v>1670</v>
      </c>
      <c r="T2743" s="19" t="s">
        <v>42</v>
      </c>
      <c r="U2743" s="102" t="s">
        <v>1048</v>
      </c>
      <c r="V2743" s="212" t="s">
        <v>1034</v>
      </c>
      <c r="W2743" s="17" t="s">
        <v>69</v>
      </c>
      <c r="Y2743" s="68">
        <v>45008</v>
      </c>
      <c r="Z2743" s="17" t="s">
        <v>191</v>
      </c>
      <c r="AA2743" s="17" t="s">
        <v>46</v>
      </c>
      <c r="AB2743" s="17" t="s">
        <v>1042</v>
      </c>
      <c r="AC2743" s="102" t="s">
        <v>976</v>
      </c>
      <c r="AD2743" s="65">
        <v>1400</v>
      </c>
      <c r="AE2743" s="17" t="s">
        <v>48</v>
      </c>
      <c r="AF2743" s="17" t="s">
        <v>560</v>
      </c>
      <c r="AI2743" s="17">
        <v>1700</v>
      </c>
    </row>
    <row r="2744" s="17" customFormat="1" hidden="1" spans="1:35">
      <c r="A2744" s="17" t="s">
        <v>34</v>
      </c>
      <c r="B2744" s="19">
        <v>888</v>
      </c>
      <c r="C2744" s="239" t="s">
        <v>1037</v>
      </c>
      <c r="D2744" s="17" t="s">
        <v>52</v>
      </c>
      <c r="E2744" s="17" t="s">
        <v>187</v>
      </c>
      <c r="F2744" s="17" t="s">
        <v>54</v>
      </c>
      <c r="H2744" s="19">
        <v>1.2738</v>
      </c>
      <c r="I2744" s="19"/>
      <c r="J2744" s="17" t="s">
        <v>49</v>
      </c>
      <c r="K2744" s="19">
        <v>1615</v>
      </c>
      <c r="L2744" s="91">
        <v>310</v>
      </c>
      <c r="M2744" s="19">
        <v>3500</v>
      </c>
      <c r="N2744" s="19" t="s">
        <v>66</v>
      </c>
      <c r="O2744" s="19" t="s">
        <v>168</v>
      </c>
      <c r="P2744" s="19">
        <v>23362</v>
      </c>
      <c r="Q2744" s="19">
        <v>12016</v>
      </c>
      <c r="S2744" s="19">
        <v>1670</v>
      </c>
      <c r="T2744" s="19" t="s">
        <v>42</v>
      </c>
      <c r="U2744" s="102" t="s">
        <v>1048</v>
      </c>
      <c r="V2744" s="212" t="s">
        <v>1034</v>
      </c>
      <c r="W2744" s="17" t="s">
        <v>69</v>
      </c>
      <c r="Y2744" s="68">
        <v>45008</v>
      </c>
      <c r="Z2744" s="17" t="s">
        <v>191</v>
      </c>
      <c r="AA2744" s="17" t="s">
        <v>46</v>
      </c>
      <c r="AB2744" s="17" t="s">
        <v>1044</v>
      </c>
      <c r="AC2744" s="217">
        <v>45233</v>
      </c>
      <c r="AD2744" s="65">
        <v>1394</v>
      </c>
      <c r="AE2744" s="17" t="s">
        <v>48</v>
      </c>
      <c r="AF2744" s="17" t="s">
        <v>560</v>
      </c>
      <c r="AI2744" s="17">
        <v>1700</v>
      </c>
    </row>
    <row r="2745" s="17" customFormat="1" hidden="1" spans="1:35">
      <c r="A2745" s="17" t="s">
        <v>34</v>
      </c>
      <c r="B2745" s="19">
        <v>888</v>
      </c>
      <c r="C2745" s="239" t="s">
        <v>1037</v>
      </c>
      <c r="D2745" s="17" t="s">
        <v>52</v>
      </c>
      <c r="E2745" s="17" t="s">
        <v>187</v>
      </c>
      <c r="F2745" s="17" t="s">
        <v>54</v>
      </c>
      <c r="H2745" s="19">
        <v>1.2738</v>
      </c>
      <c r="I2745" s="19"/>
      <c r="J2745" s="17" t="s">
        <v>49</v>
      </c>
      <c r="K2745" s="19">
        <v>1610</v>
      </c>
      <c r="L2745" s="91">
        <v>310</v>
      </c>
      <c r="M2745" s="19">
        <v>3300</v>
      </c>
      <c r="N2745" s="19" t="s">
        <v>66</v>
      </c>
      <c r="O2745" s="19" t="s">
        <v>168</v>
      </c>
      <c r="P2745" s="19"/>
      <c r="Q2745" s="19">
        <v>13750</v>
      </c>
      <c r="R2745" s="19">
        <f>+P2744-Q2744-Q2745</f>
        <v>-2404</v>
      </c>
      <c r="S2745" s="19">
        <v>1670</v>
      </c>
      <c r="T2745" s="19" t="s">
        <v>42</v>
      </c>
      <c r="U2745" s="102" t="s">
        <v>1048</v>
      </c>
      <c r="V2745" s="212" t="s">
        <v>1034</v>
      </c>
      <c r="W2745" s="17" t="s">
        <v>69</v>
      </c>
      <c r="Y2745" s="68">
        <v>45008</v>
      </c>
      <c r="Z2745" s="17" t="s">
        <v>191</v>
      </c>
      <c r="AA2745" s="17" t="s">
        <v>46</v>
      </c>
      <c r="AB2745" s="17" t="s">
        <v>987</v>
      </c>
      <c r="AC2745" s="102" t="s">
        <v>988</v>
      </c>
      <c r="AD2745" s="65">
        <v>1412</v>
      </c>
      <c r="AE2745" s="17" t="s">
        <v>48</v>
      </c>
    </row>
    <row r="2746" s="17" customFormat="1" hidden="1" spans="1:35">
      <c r="A2746" s="17" t="s">
        <v>34</v>
      </c>
      <c r="B2746" s="19">
        <v>888</v>
      </c>
      <c r="C2746" s="239" t="s">
        <v>1037</v>
      </c>
      <c r="D2746" s="17" t="s">
        <v>52</v>
      </c>
      <c r="E2746" s="17" t="s">
        <v>187</v>
      </c>
      <c r="F2746" s="17" t="s">
        <v>54</v>
      </c>
      <c r="H2746" s="19">
        <v>1.2738</v>
      </c>
      <c r="I2746" s="19"/>
      <c r="J2746" s="17" t="s">
        <v>49</v>
      </c>
      <c r="K2746" s="19">
        <v>1590</v>
      </c>
      <c r="L2746" s="91">
        <v>405</v>
      </c>
      <c r="M2746" s="19">
        <v>3500</v>
      </c>
      <c r="N2746" s="19" t="s">
        <v>66</v>
      </c>
      <c r="O2746" s="19" t="s">
        <v>168</v>
      </c>
      <c r="P2746" s="19">
        <v>30330</v>
      </c>
      <c r="Q2746" s="19">
        <v>18554</v>
      </c>
      <c r="S2746" s="19">
        <v>1710</v>
      </c>
      <c r="T2746" s="19" t="s">
        <v>42</v>
      </c>
      <c r="U2746" s="102" t="s">
        <v>1048</v>
      </c>
      <c r="V2746" s="212" t="s">
        <v>1034</v>
      </c>
      <c r="W2746" s="17" t="s">
        <v>69</v>
      </c>
      <c r="Y2746" s="68">
        <v>45008</v>
      </c>
      <c r="Z2746" s="17" t="s">
        <v>191</v>
      </c>
      <c r="AA2746" s="17" t="s">
        <v>46</v>
      </c>
      <c r="AB2746" s="17" t="s">
        <v>1042</v>
      </c>
      <c r="AC2746" s="102" t="s">
        <v>976</v>
      </c>
      <c r="AD2746" s="65">
        <v>1400</v>
      </c>
      <c r="AE2746" s="17" t="s">
        <v>48</v>
      </c>
      <c r="AF2746" s="17" t="s">
        <v>560</v>
      </c>
      <c r="AI2746" s="17">
        <v>1740</v>
      </c>
    </row>
    <row r="2747" s="17" customFormat="1" hidden="1" spans="1:35">
      <c r="A2747" s="17" t="s">
        <v>34</v>
      </c>
      <c r="B2747" s="19">
        <v>888</v>
      </c>
      <c r="C2747" s="239" t="s">
        <v>1037</v>
      </c>
      <c r="D2747" s="17" t="s">
        <v>52</v>
      </c>
      <c r="E2747" s="17" t="s">
        <v>187</v>
      </c>
      <c r="F2747" s="17" t="s">
        <v>54</v>
      </c>
      <c r="H2747" s="19">
        <v>1.2738</v>
      </c>
      <c r="I2747" s="19"/>
      <c r="J2747" s="17" t="s">
        <v>49</v>
      </c>
      <c r="K2747" s="19">
        <v>1620</v>
      </c>
      <c r="L2747" s="91">
        <v>405</v>
      </c>
      <c r="M2747" s="19">
        <v>3325</v>
      </c>
      <c r="N2747" s="19" t="s">
        <v>66</v>
      </c>
      <c r="O2747" s="19" t="s">
        <v>168</v>
      </c>
      <c r="P2747" s="19"/>
      <c r="Q2747" s="19">
        <v>17260</v>
      </c>
      <c r="R2747" s="19">
        <f>+P2746-Q2746-Q2747</f>
        <v>-5484</v>
      </c>
      <c r="S2747" s="19">
        <v>1710</v>
      </c>
      <c r="T2747" s="19" t="s">
        <v>42</v>
      </c>
      <c r="U2747" s="102" t="s">
        <v>1048</v>
      </c>
      <c r="V2747" s="212" t="s">
        <v>1034</v>
      </c>
      <c r="W2747" s="17" t="s">
        <v>69</v>
      </c>
      <c r="Y2747" s="68">
        <v>45008</v>
      </c>
      <c r="Z2747" s="17" t="s">
        <v>191</v>
      </c>
      <c r="AA2747" s="17" t="s">
        <v>46</v>
      </c>
      <c r="AB2747" s="17" t="s">
        <v>782</v>
      </c>
      <c r="AC2747" s="102" t="s">
        <v>984</v>
      </c>
      <c r="AD2747" s="65">
        <v>1405</v>
      </c>
      <c r="AE2747" s="17" t="s">
        <v>48</v>
      </c>
    </row>
    <row r="2748" s="17" customFormat="1" hidden="1" spans="1:35">
      <c r="A2748" s="17" t="s">
        <v>34</v>
      </c>
      <c r="B2748" s="19">
        <v>888</v>
      </c>
      <c r="C2748" s="239" t="s">
        <v>1037</v>
      </c>
      <c r="D2748" s="17" t="s">
        <v>52</v>
      </c>
      <c r="E2748" s="17" t="s">
        <v>187</v>
      </c>
      <c r="F2748" s="17" t="s">
        <v>54</v>
      </c>
      <c r="H2748" s="19">
        <v>1.2738</v>
      </c>
      <c r="I2748" s="19"/>
      <c r="J2748" s="17" t="s">
        <v>49</v>
      </c>
      <c r="K2748" s="19">
        <v>1640</v>
      </c>
      <c r="L2748" s="91">
        <v>425</v>
      </c>
      <c r="M2748" s="19">
        <v>3500</v>
      </c>
      <c r="N2748" s="19" t="s">
        <v>66</v>
      </c>
      <c r="O2748" s="19" t="s">
        <v>168</v>
      </c>
      <c r="P2748" s="19">
        <v>32829</v>
      </c>
      <c r="Q2748" s="19">
        <v>12928</v>
      </c>
      <c r="S2748" s="19">
        <v>1710</v>
      </c>
      <c r="T2748" s="19" t="s">
        <v>42</v>
      </c>
      <c r="U2748" s="102" t="s">
        <v>1048</v>
      </c>
      <c r="V2748" s="212" t="s">
        <v>1034</v>
      </c>
      <c r="W2748" s="17" t="s">
        <v>69</v>
      </c>
      <c r="Y2748" s="68">
        <v>45008</v>
      </c>
      <c r="Z2748" s="17" t="s">
        <v>191</v>
      </c>
      <c r="AA2748" s="17" t="s">
        <v>46</v>
      </c>
      <c r="AB2748" s="17" t="s">
        <v>1044</v>
      </c>
      <c r="AC2748" s="217">
        <v>45233</v>
      </c>
      <c r="AD2748" s="65">
        <v>1394</v>
      </c>
      <c r="AE2748" s="17" t="s">
        <v>48</v>
      </c>
      <c r="AF2748" s="17" t="s">
        <v>560</v>
      </c>
      <c r="AI2748" s="17">
        <v>1740</v>
      </c>
    </row>
    <row r="2749" s="17" customFormat="1" hidden="1" spans="1:35">
      <c r="A2749" s="17" t="s">
        <v>34</v>
      </c>
      <c r="B2749" s="19">
        <v>888</v>
      </c>
      <c r="C2749" s="239" t="s">
        <v>1037</v>
      </c>
      <c r="D2749" s="17" t="s">
        <v>52</v>
      </c>
      <c r="E2749" s="17" t="s">
        <v>187</v>
      </c>
      <c r="F2749" s="17" t="s">
        <v>54</v>
      </c>
      <c r="H2749" s="19">
        <v>1.2738</v>
      </c>
      <c r="I2749" s="19"/>
      <c r="J2749" s="17" t="s">
        <v>49</v>
      </c>
      <c r="K2749" s="19">
        <v>1600</v>
      </c>
      <c r="L2749" s="91">
        <v>425</v>
      </c>
      <c r="M2749" s="19">
        <v>3350</v>
      </c>
      <c r="N2749" s="19" t="s">
        <v>66</v>
      </c>
      <c r="O2749" s="19" t="s">
        <v>168</v>
      </c>
      <c r="P2749" s="19"/>
      <c r="Q2749" s="19">
        <v>18140</v>
      </c>
      <c r="R2749" s="19">
        <f>+P2748-Q2748-Q2749</f>
        <v>1761</v>
      </c>
      <c r="S2749" s="19">
        <v>1710</v>
      </c>
      <c r="T2749" s="19" t="s">
        <v>42</v>
      </c>
      <c r="U2749" s="102" t="s">
        <v>1048</v>
      </c>
      <c r="V2749" s="212" t="s">
        <v>1034</v>
      </c>
      <c r="W2749" s="17" t="s">
        <v>69</v>
      </c>
      <c r="Y2749" s="68">
        <v>45008</v>
      </c>
      <c r="Z2749" s="17" t="s">
        <v>191</v>
      </c>
      <c r="AA2749" s="17" t="s">
        <v>46</v>
      </c>
      <c r="AB2749" s="17" t="s">
        <v>782</v>
      </c>
      <c r="AC2749" s="102" t="s">
        <v>984</v>
      </c>
      <c r="AD2749" s="65">
        <v>1405</v>
      </c>
      <c r="AE2749" s="17" t="s">
        <v>48</v>
      </c>
    </row>
    <row r="2750" s="17" customFormat="1" hidden="1" spans="1:35">
      <c r="A2750" s="17" t="s">
        <v>34</v>
      </c>
      <c r="B2750" s="19">
        <v>888</v>
      </c>
      <c r="C2750" s="239" t="s">
        <v>1037</v>
      </c>
      <c r="D2750" s="17" t="s">
        <v>52</v>
      </c>
      <c r="E2750" s="17" t="s">
        <v>187</v>
      </c>
      <c r="F2750" s="17" t="s">
        <v>54</v>
      </c>
      <c r="H2750" s="19">
        <v>1.2738</v>
      </c>
      <c r="I2750" s="19"/>
      <c r="J2750" s="17" t="s">
        <v>49</v>
      </c>
      <c r="K2750" s="19">
        <v>1630</v>
      </c>
      <c r="L2750" s="91">
        <v>427</v>
      </c>
      <c r="M2750" s="19">
        <v>3500</v>
      </c>
      <c r="N2750" s="19" t="s">
        <v>66</v>
      </c>
      <c r="O2750" s="19" t="s">
        <v>168</v>
      </c>
      <c r="P2750" s="19">
        <v>14933</v>
      </c>
      <c r="Q2750" s="19">
        <v>14626</v>
      </c>
      <c r="R2750" s="19">
        <f t="shared" ref="R2750:R2757" si="140">+P2750-Q2750</f>
        <v>307</v>
      </c>
      <c r="S2750" s="19">
        <v>1710</v>
      </c>
      <c r="T2750" s="19" t="s">
        <v>42</v>
      </c>
      <c r="U2750" s="102" t="s">
        <v>1048</v>
      </c>
      <c r="V2750" s="212" t="s">
        <v>1034</v>
      </c>
      <c r="W2750" s="17" t="s">
        <v>69</v>
      </c>
      <c r="Y2750" s="68">
        <v>45008</v>
      </c>
      <c r="Z2750" s="17" t="s">
        <v>191</v>
      </c>
      <c r="AA2750" s="17" t="s">
        <v>46</v>
      </c>
      <c r="AB2750" s="17" t="s">
        <v>1044</v>
      </c>
      <c r="AC2750" s="217">
        <v>45233</v>
      </c>
      <c r="AD2750" s="65">
        <v>1394</v>
      </c>
      <c r="AE2750" s="17" t="s">
        <v>74</v>
      </c>
      <c r="AF2750" s="17" t="s">
        <v>560</v>
      </c>
      <c r="AI2750" s="17">
        <v>1740</v>
      </c>
    </row>
    <row r="2751" s="17" customFormat="1" hidden="1" spans="1:35">
      <c r="A2751" s="17" t="s">
        <v>34</v>
      </c>
      <c r="B2751" s="19">
        <v>888</v>
      </c>
      <c r="C2751" s="239" t="s">
        <v>1037</v>
      </c>
      <c r="D2751" s="17" t="s">
        <v>52</v>
      </c>
      <c r="E2751" s="17" t="s">
        <v>187</v>
      </c>
      <c r="F2751" s="17" t="s">
        <v>54</v>
      </c>
      <c r="H2751" s="19">
        <v>1.2738</v>
      </c>
      <c r="I2751" s="19"/>
      <c r="J2751" s="17" t="s">
        <v>49</v>
      </c>
      <c r="K2751" s="19">
        <v>1620</v>
      </c>
      <c r="L2751" s="91">
        <v>520</v>
      </c>
      <c r="M2751" s="19">
        <v>3500</v>
      </c>
      <c r="N2751" s="19" t="s">
        <v>66</v>
      </c>
      <c r="O2751" s="19" t="s">
        <v>168</v>
      </c>
      <c r="P2751" s="19">
        <v>19839</v>
      </c>
      <c r="Q2751" s="19">
        <v>21652</v>
      </c>
      <c r="R2751" s="19">
        <f t="shared" si="140"/>
        <v>-1813</v>
      </c>
      <c r="S2751" s="19">
        <v>1710</v>
      </c>
      <c r="T2751" s="19" t="s">
        <v>42</v>
      </c>
      <c r="U2751" s="102" t="s">
        <v>1048</v>
      </c>
      <c r="V2751" s="212" t="s">
        <v>1034</v>
      </c>
      <c r="W2751" s="17" t="s">
        <v>69</v>
      </c>
      <c r="Y2751" s="68">
        <v>45008</v>
      </c>
      <c r="Z2751" s="17" t="s">
        <v>191</v>
      </c>
      <c r="AA2751" s="17" t="s">
        <v>46</v>
      </c>
      <c r="AB2751" s="17" t="s">
        <v>975</v>
      </c>
      <c r="AC2751" s="102" t="s">
        <v>976</v>
      </c>
      <c r="AD2751" s="65">
        <v>1401</v>
      </c>
      <c r="AE2751" s="17" t="s">
        <v>129</v>
      </c>
      <c r="AF2751" s="17" t="s">
        <v>560</v>
      </c>
      <c r="AI2751" s="17">
        <v>1740</v>
      </c>
    </row>
    <row r="2752" s="17" customFormat="1" hidden="1" spans="1:35">
      <c r="A2752" s="17" t="s">
        <v>34</v>
      </c>
      <c r="B2752" s="19">
        <v>889</v>
      </c>
      <c r="C2752" s="239" t="s">
        <v>1037</v>
      </c>
      <c r="D2752" s="17" t="s">
        <v>52</v>
      </c>
      <c r="E2752" s="17" t="s">
        <v>187</v>
      </c>
      <c r="F2752" s="17" t="s">
        <v>54</v>
      </c>
      <c r="H2752" s="19">
        <v>1.2311</v>
      </c>
      <c r="I2752" s="19"/>
      <c r="J2752" s="17" t="s">
        <v>49</v>
      </c>
      <c r="K2752" s="19">
        <v>1515</v>
      </c>
      <c r="L2752" s="91">
        <v>320</v>
      </c>
      <c r="M2752" s="19">
        <v>3630</v>
      </c>
      <c r="N2752" s="19" t="s">
        <v>66</v>
      </c>
      <c r="O2752" s="19" t="s">
        <v>168</v>
      </c>
      <c r="P2752" s="19">
        <v>13810</v>
      </c>
      <c r="Q2752" s="19">
        <v>11585</v>
      </c>
      <c r="R2752" s="19">
        <f t="shared" si="140"/>
        <v>2225</v>
      </c>
      <c r="S2752" s="19">
        <v>1395</v>
      </c>
      <c r="T2752" s="19" t="s">
        <v>42</v>
      </c>
      <c r="U2752" s="102" t="s">
        <v>1049</v>
      </c>
      <c r="V2752" s="212" t="s">
        <v>1034</v>
      </c>
      <c r="W2752" s="17" t="s">
        <v>69</v>
      </c>
      <c r="Y2752" s="68">
        <v>45008</v>
      </c>
      <c r="Z2752" s="17" t="s">
        <v>191</v>
      </c>
      <c r="AA2752" s="17" t="s">
        <v>46</v>
      </c>
      <c r="AB2752" s="17" t="s">
        <v>1047</v>
      </c>
      <c r="AC2752" s="217">
        <v>45233</v>
      </c>
      <c r="AD2752" s="65">
        <v>1393</v>
      </c>
      <c r="AE2752" s="17" t="s">
        <v>48</v>
      </c>
      <c r="AF2752" s="17" t="s">
        <v>560</v>
      </c>
      <c r="AI2752" s="17">
        <v>1425</v>
      </c>
    </row>
    <row r="2753" s="17" customFormat="1" hidden="1" spans="1:35">
      <c r="A2753" s="17" t="s">
        <v>34</v>
      </c>
      <c r="B2753" s="19">
        <v>889</v>
      </c>
      <c r="C2753" s="239" t="s">
        <v>1037</v>
      </c>
      <c r="D2753" s="17" t="s">
        <v>52</v>
      </c>
      <c r="E2753" s="17" t="s">
        <v>187</v>
      </c>
      <c r="F2753" s="17" t="s">
        <v>54</v>
      </c>
      <c r="H2753" s="19">
        <v>1.2311</v>
      </c>
      <c r="I2753" s="19"/>
      <c r="J2753" s="17" t="s">
        <v>49</v>
      </c>
      <c r="K2753" s="19">
        <v>1510</v>
      </c>
      <c r="L2753" s="91">
        <v>240</v>
      </c>
      <c r="M2753" s="19">
        <v>3510</v>
      </c>
      <c r="N2753" s="19" t="s">
        <v>66</v>
      </c>
      <c r="O2753" s="19" t="s">
        <v>168</v>
      </c>
      <c r="P2753" s="19">
        <v>10540</v>
      </c>
      <c r="Q2753" s="19">
        <v>11130</v>
      </c>
      <c r="R2753" s="19">
        <f t="shared" si="140"/>
        <v>-590</v>
      </c>
      <c r="S2753" s="19">
        <v>1395</v>
      </c>
      <c r="T2753" s="19" t="s">
        <v>42</v>
      </c>
      <c r="U2753" s="102" t="s">
        <v>1049</v>
      </c>
      <c r="V2753" s="212" t="s">
        <v>1034</v>
      </c>
      <c r="W2753" s="17" t="s">
        <v>69</v>
      </c>
      <c r="Y2753" s="68">
        <v>45008</v>
      </c>
      <c r="Z2753" s="17" t="s">
        <v>191</v>
      </c>
      <c r="AA2753" s="17" t="s">
        <v>46</v>
      </c>
      <c r="AB2753" s="17" t="s">
        <v>1047</v>
      </c>
      <c r="AC2753" s="217">
        <v>45233</v>
      </c>
      <c r="AD2753" s="65">
        <v>1393</v>
      </c>
      <c r="AE2753" s="17" t="s">
        <v>48</v>
      </c>
      <c r="AF2753" s="17" t="s">
        <v>560</v>
      </c>
      <c r="AI2753" s="17">
        <v>1425</v>
      </c>
    </row>
    <row r="2754" s="17" customFormat="1" hidden="1" spans="1:35">
      <c r="A2754" s="17" t="s">
        <v>34</v>
      </c>
      <c r="B2754" s="19">
        <v>889</v>
      </c>
      <c r="C2754" s="239" t="s">
        <v>1037</v>
      </c>
      <c r="D2754" s="17" t="s">
        <v>52</v>
      </c>
      <c r="E2754" s="17" t="s">
        <v>187</v>
      </c>
      <c r="F2754" s="17" t="s">
        <v>54</v>
      </c>
      <c r="H2754" s="19">
        <v>1.2311</v>
      </c>
      <c r="I2754" s="19"/>
      <c r="J2754" s="17" t="s">
        <v>49</v>
      </c>
      <c r="K2754" s="19">
        <v>1620</v>
      </c>
      <c r="L2754" s="91">
        <v>270</v>
      </c>
      <c r="M2754" s="19">
        <v>3270</v>
      </c>
      <c r="N2754" s="19" t="s">
        <v>66</v>
      </c>
      <c r="O2754" s="19" t="s">
        <v>168</v>
      </c>
      <c r="P2754" s="19">
        <v>11228</v>
      </c>
      <c r="Q2754" s="19">
        <v>12030</v>
      </c>
      <c r="R2754" s="19">
        <f t="shared" si="140"/>
        <v>-802</v>
      </c>
      <c r="S2754" s="19">
        <v>1395</v>
      </c>
      <c r="T2754" s="19" t="s">
        <v>42</v>
      </c>
      <c r="U2754" s="102" t="s">
        <v>1049</v>
      </c>
      <c r="V2754" s="212" t="s">
        <v>1034</v>
      </c>
      <c r="W2754" s="17" t="s">
        <v>69</v>
      </c>
      <c r="Y2754" s="68">
        <v>45008</v>
      </c>
      <c r="Z2754" s="17" t="s">
        <v>191</v>
      </c>
      <c r="AA2754" s="17" t="s">
        <v>46</v>
      </c>
      <c r="AB2754" s="17" t="s">
        <v>1047</v>
      </c>
      <c r="AC2754" s="217">
        <v>45233</v>
      </c>
      <c r="AD2754" s="65">
        <v>1393</v>
      </c>
      <c r="AE2754" s="17" t="s">
        <v>48</v>
      </c>
      <c r="AF2754" s="17" t="s">
        <v>560</v>
      </c>
      <c r="AI2754" s="17">
        <v>1425</v>
      </c>
    </row>
    <row r="2755" s="17" customFormat="1" hidden="1" spans="1:35">
      <c r="A2755" s="17" t="s">
        <v>34</v>
      </c>
      <c r="B2755" s="19">
        <v>889</v>
      </c>
      <c r="C2755" s="239" t="s">
        <v>1037</v>
      </c>
      <c r="D2755" s="17" t="s">
        <v>52</v>
      </c>
      <c r="E2755" s="17" t="s">
        <v>187</v>
      </c>
      <c r="F2755" s="17" t="s">
        <v>54</v>
      </c>
      <c r="H2755" s="19">
        <v>1.2311</v>
      </c>
      <c r="I2755" s="19"/>
      <c r="J2755" s="17" t="s">
        <v>49</v>
      </c>
      <c r="K2755" s="19">
        <v>1510</v>
      </c>
      <c r="L2755" s="91">
        <v>285</v>
      </c>
      <c r="M2755" s="19">
        <v>3260</v>
      </c>
      <c r="N2755" s="19" t="s">
        <v>66</v>
      </c>
      <c r="O2755" s="19" t="s">
        <v>168</v>
      </c>
      <c r="P2755" s="19">
        <v>11013</v>
      </c>
      <c r="Q2755" s="19">
        <v>12155</v>
      </c>
      <c r="R2755" s="19">
        <f t="shared" si="140"/>
        <v>-1142</v>
      </c>
      <c r="S2755" s="19">
        <v>1395</v>
      </c>
      <c r="T2755" s="19" t="s">
        <v>42</v>
      </c>
      <c r="U2755" s="102" t="s">
        <v>1049</v>
      </c>
      <c r="V2755" s="212" t="s">
        <v>1034</v>
      </c>
      <c r="W2755" s="17" t="s">
        <v>69</v>
      </c>
      <c r="Y2755" s="68">
        <v>45008</v>
      </c>
      <c r="Z2755" s="17" t="s">
        <v>191</v>
      </c>
      <c r="AA2755" s="17" t="s">
        <v>46</v>
      </c>
      <c r="AB2755" s="17" t="s">
        <v>1044</v>
      </c>
      <c r="AC2755" s="217">
        <v>45233</v>
      </c>
      <c r="AD2755" s="65">
        <v>1394</v>
      </c>
      <c r="AE2755" s="17" t="s">
        <v>48</v>
      </c>
      <c r="AF2755" s="17" t="s">
        <v>560</v>
      </c>
      <c r="AI2755" s="17">
        <v>1425</v>
      </c>
    </row>
    <row r="2756" s="17" customFormat="1" hidden="1" spans="1:35">
      <c r="A2756" s="17" t="s">
        <v>34</v>
      </c>
      <c r="B2756" s="19">
        <v>889</v>
      </c>
      <c r="C2756" s="239" t="s">
        <v>1037</v>
      </c>
      <c r="D2756" s="17" t="s">
        <v>52</v>
      </c>
      <c r="E2756" s="17" t="s">
        <v>187</v>
      </c>
      <c r="F2756" s="17" t="s">
        <v>54</v>
      </c>
      <c r="H2756" s="19">
        <v>1.2311</v>
      </c>
      <c r="I2756" s="19"/>
      <c r="J2756" s="17" t="s">
        <v>49</v>
      </c>
      <c r="K2756" s="19">
        <v>1620</v>
      </c>
      <c r="L2756" s="91">
        <v>360</v>
      </c>
      <c r="M2756" s="19">
        <v>3215</v>
      </c>
      <c r="N2756" s="19" t="s">
        <v>66</v>
      </c>
      <c r="O2756" s="19" t="s">
        <v>168</v>
      </c>
      <c r="P2756" s="19">
        <v>14719</v>
      </c>
      <c r="Q2756" s="19">
        <v>15325</v>
      </c>
      <c r="R2756" s="19">
        <f t="shared" si="140"/>
        <v>-606</v>
      </c>
      <c r="S2756" s="19">
        <v>1395</v>
      </c>
      <c r="T2756" s="19" t="s">
        <v>42</v>
      </c>
      <c r="U2756" s="102" t="s">
        <v>1049</v>
      </c>
      <c r="V2756" s="212" t="s">
        <v>1034</v>
      </c>
      <c r="W2756" s="17" t="s">
        <v>69</v>
      </c>
      <c r="Y2756" s="68">
        <v>45008</v>
      </c>
      <c r="Z2756" s="17" t="s">
        <v>191</v>
      </c>
      <c r="AA2756" s="17" t="s">
        <v>46</v>
      </c>
      <c r="AB2756" s="17" t="s">
        <v>1044</v>
      </c>
      <c r="AC2756" s="217">
        <v>45233</v>
      </c>
      <c r="AD2756" s="65">
        <v>1394</v>
      </c>
      <c r="AE2756" s="17" t="s">
        <v>48</v>
      </c>
      <c r="AF2756" s="17" t="s">
        <v>560</v>
      </c>
      <c r="AI2756" s="17">
        <v>1425</v>
      </c>
    </row>
    <row r="2757" s="17" customFormat="1" hidden="1" spans="1:35">
      <c r="A2757" s="17" t="s">
        <v>34</v>
      </c>
      <c r="B2757" s="19">
        <v>890</v>
      </c>
      <c r="C2757" s="239" t="s">
        <v>1037</v>
      </c>
      <c r="D2757" s="17" t="s">
        <v>52</v>
      </c>
      <c r="E2757" s="17" t="s">
        <v>187</v>
      </c>
      <c r="F2757" s="17" t="s">
        <v>54</v>
      </c>
      <c r="H2757" s="19">
        <v>1.2311</v>
      </c>
      <c r="I2757" s="19"/>
      <c r="J2757" s="17" t="s">
        <v>82</v>
      </c>
      <c r="K2757" s="147">
        <v>505</v>
      </c>
      <c r="L2757" s="243">
        <v>51</v>
      </c>
      <c r="M2757" s="19">
        <v>2500</v>
      </c>
      <c r="N2757" s="19" t="s">
        <v>66</v>
      </c>
      <c r="O2757" s="19" t="s">
        <v>141</v>
      </c>
      <c r="P2757" s="19">
        <v>10000</v>
      </c>
      <c r="Q2757" s="19">
        <f>468+466+464+462+464+462+462+462+460+466+464+466+468+462+466+466+466+470+468+472+470+464</f>
        <v>10238</v>
      </c>
      <c r="R2757" s="19">
        <f t="shared" si="140"/>
        <v>-238</v>
      </c>
      <c r="S2757" s="19">
        <v>1050</v>
      </c>
      <c r="T2757" s="19" t="s">
        <v>42</v>
      </c>
      <c r="U2757" s="102" t="s">
        <v>1050</v>
      </c>
      <c r="V2757" s="212" t="s">
        <v>172</v>
      </c>
      <c r="W2757" s="17" t="s">
        <v>69</v>
      </c>
      <c r="Y2757" s="68">
        <v>45008</v>
      </c>
      <c r="Z2757" s="17" t="s">
        <v>191</v>
      </c>
      <c r="AA2757" s="17" t="s">
        <v>46</v>
      </c>
      <c r="AB2757" s="17" t="s">
        <v>1026</v>
      </c>
      <c r="AC2757" s="217">
        <v>45142</v>
      </c>
      <c r="AD2757" s="65">
        <v>1417</v>
      </c>
      <c r="AE2757" s="17" t="s">
        <v>48</v>
      </c>
      <c r="AF2757" s="17" t="s">
        <v>560</v>
      </c>
      <c r="AI2757" s="17">
        <v>1070</v>
      </c>
    </row>
    <row r="2758" s="17" customFormat="1" hidden="1" spans="1:35">
      <c r="A2758" s="17" t="s">
        <v>34</v>
      </c>
      <c r="B2758" s="19">
        <v>891</v>
      </c>
      <c r="C2758" s="239" t="s">
        <v>1051</v>
      </c>
      <c r="D2758" s="17" t="s">
        <v>52</v>
      </c>
      <c r="E2758" s="17" t="s">
        <v>53</v>
      </c>
      <c r="F2758" s="17" t="s">
        <v>54</v>
      </c>
      <c r="H2758" s="19">
        <v>1.2379</v>
      </c>
      <c r="I2758" s="19"/>
      <c r="J2758" s="17" t="s">
        <v>82</v>
      </c>
      <c r="K2758" s="264">
        <v>210</v>
      </c>
      <c r="L2758" s="265">
        <v>16</v>
      </c>
      <c r="M2758" s="19"/>
      <c r="N2758" s="19"/>
      <c r="O2758" s="19" t="s">
        <v>141</v>
      </c>
      <c r="P2758" s="19">
        <v>139</v>
      </c>
      <c r="Q2758" s="19">
        <v>139</v>
      </c>
      <c r="R2758" s="19">
        <v>139</v>
      </c>
      <c r="S2758" s="19"/>
      <c r="T2758" s="19"/>
      <c r="U2758" s="102"/>
      <c r="V2758" s="212"/>
      <c r="Y2758" s="68"/>
      <c r="AB2758" s="17" t="s">
        <v>1052</v>
      </c>
      <c r="AC2758" s="102" t="s">
        <v>1025</v>
      </c>
      <c r="AD2758" s="65">
        <v>1396</v>
      </c>
    </row>
    <row r="2759" s="17" customFormat="1" hidden="1" spans="1:35">
      <c r="A2759" s="17" t="s">
        <v>34</v>
      </c>
      <c r="B2759" s="19">
        <v>891</v>
      </c>
      <c r="C2759" s="239" t="s">
        <v>1051</v>
      </c>
      <c r="D2759" s="17" t="s">
        <v>52</v>
      </c>
      <c r="E2759" s="17" t="s">
        <v>53</v>
      </c>
      <c r="F2759" s="17" t="s">
        <v>54</v>
      </c>
      <c r="H2759" s="19">
        <v>1.2379</v>
      </c>
      <c r="I2759" s="19"/>
      <c r="J2759" s="17" t="s">
        <v>82</v>
      </c>
      <c r="K2759" s="264">
        <v>440</v>
      </c>
      <c r="L2759" s="265">
        <v>16</v>
      </c>
      <c r="M2759" s="19"/>
      <c r="N2759" s="19"/>
      <c r="O2759" s="19" t="s">
        <v>141</v>
      </c>
      <c r="P2759" s="19">
        <v>154</v>
      </c>
      <c r="Q2759" s="19">
        <v>154</v>
      </c>
      <c r="R2759" s="19">
        <v>154</v>
      </c>
      <c r="S2759" s="19"/>
      <c r="T2759" s="19"/>
      <c r="U2759" s="102"/>
      <c r="V2759" s="212"/>
      <c r="Y2759" s="68"/>
      <c r="AB2759" s="17" t="s">
        <v>1052</v>
      </c>
      <c r="AC2759" s="102" t="s">
        <v>1025</v>
      </c>
      <c r="AD2759" s="65">
        <v>1396</v>
      </c>
    </row>
    <row r="2760" s="17" customFormat="1" ht="15.6" hidden="1" spans="1:35">
      <c r="A2760" s="17" t="s">
        <v>34</v>
      </c>
      <c r="B2760" s="19">
        <v>891</v>
      </c>
      <c r="C2760" s="239" t="s">
        <v>1051</v>
      </c>
      <c r="D2760" s="17" t="s">
        <v>52</v>
      </c>
      <c r="E2760" s="17" t="s">
        <v>53</v>
      </c>
      <c r="F2760" s="17" t="s">
        <v>54</v>
      </c>
      <c r="H2760" s="19">
        <v>1.2379</v>
      </c>
      <c r="I2760" s="19"/>
      <c r="J2760" s="17" t="s">
        <v>82</v>
      </c>
      <c r="K2760" s="245">
        <v>610</v>
      </c>
      <c r="L2760" s="245">
        <v>16</v>
      </c>
      <c r="M2760" s="19"/>
      <c r="N2760" s="19"/>
      <c r="O2760" s="19" t="s">
        <v>141</v>
      </c>
      <c r="P2760" s="266">
        <v>354</v>
      </c>
      <c r="Q2760" s="19">
        <v>354</v>
      </c>
      <c r="R2760" s="19">
        <f t="shared" ref="R2760:R2791" si="141">+P2760-Q2760</f>
        <v>0</v>
      </c>
      <c r="S2760" s="19">
        <v>2560</v>
      </c>
      <c r="T2760" s="19" t="s">
        <v>42</v>
      </c>
      <c r="U2760" s="102" t="s">
        <v>1053</v>
      </c>
      <c r="V2760" s="212" t="s">
        <v>1054</v>
      </c>
      <c r="W2760" s="17" t="s">
        <v>69</v>
      </c>
      <c r="Y2760" s="68">
        <v>45008</v>
      </c>
      <c r="Z2760" s="17" t="s">
        <v>191</v>
      </c>
      <c r="AA2760" s="17" t="s">
        <v>46</v>
      </c>
      <c r="AB2760" s="17" t="s">
        <v>1052</v>
      </c>
      <c r="AC2760" s="102" t="s">
        <v>1025</v>
      </c>
      <c r="AD2760" s="65">
        <v>1396</v>
      </c>
      <c r="AE2760" s="17" t="s">
        <v>48</v>
      </c>
      <c r="AF2760" s="17" t="s">
        <v>560</v>
      </c>
      <c r="AI2760" s="17">
        <v>2600</v>
      </c>
    </row>
    <row r="2761" s="17" customFormat="1" ht="15.6" hidden="1" spans="1:35">
      <c r="A2761" s="17" t="s">
        <v>34</v>
      </c>
      <c r="B2761" s="19">
        <v>891</v>
      </c>
      <c r="C2761" s="239" t="s">
        <v>1051</v>
      </c>
      <c r="D2761" s="17" t="s">
        <v>52</v>
      </c>
      <c r="E2761" s="17" t="s">
        <v>53</v>
      </c>
      <c r="F2761" s="17" t="s">
        <v>54</v>
      </c>
      <c r="H2761" s="19">
        <v>1.2379</v>
      </c>
      <c r="I2761" s="19"/>
      <c r="J2761" s="17" t="s">
        <v>82</v>
      </c>
      <c r="K2761" s="245">
        <v>610</v>
      </c>
      <c r="L2761" s="245">
        <v>16</v>
      </c>
      <c r="M2761" s="19"/>
      <c r="N2761" s="19"/>
      <c r="O2761" s="19" t="s">
        <v>141</v>
      </c>
      <c r="P2761" s="266">
        <v>320</v>
      </c>
      <c r="Q2761" s="19">
        <f>207+161</f>
        <v>368</v>
      </c>
      <c r="R2761" s="19">
        <f t="shared" si="141"/>
        <v>-48</v>
      </c>
      <c r="S2761" s="19">
        <v>2560</v>
      </c>
      <c r="T2761" s="19" t="s">
        <v>42</v>
      </c>
      <c r="U2761" s="102" t="s">
        <v>1053</v>
      </c>
      <c r="V2761" s="212" t="s">
        <v>1054</v>
      </c>
      <c r="W2761" s="17" t="s">
        <v>69</v>
      </c>
      <c r="Y2761" s="68">
        <v>45008</v>
      </c>
      <c r="Z2761" s="17" t="s">
        <v>191</v>
      </c>
      <c r="AA2761" s="17" t="s">
        <v>46</v>
      </c>
      <c r="AB2761" s="17" t="s">
        <v>1052</v>
      </c>
      <c r="AC2761" s="102" t="s">
        <v>1025</v>
      </c>
      <c r="AD2761" s="65">
        <v>1396</v>
      </c>
      <c r="AE2761" s="17" t="s">
        <v>48</v>
      </c>
      <c r="AF2761" s="17" t="s">
        <v>560</v>
      </c>
      <c r="AI2761" s="17">
        <v>2600</v>
      </c>
    </row>
    <row r="2762" s="17" customFormat="1" ht="15.6" hidden="1" spans="1:35">
      <c r="A2762" s="17" t="s">
        <v>34</v>
      </c>
      <c r="B2762" s="19">
        <v>891</v>
      </c>
      <c r="C2762" s="239" t="s">
        <v>1051</v>
      </c>
      <c r="D2762" s="17" t="s">
        <v>52</v>
      </c>
      <c r="E2762" s="17" t="s">
        <v>53</v>
      </c>
      <c r="F2762" s="17" t="s">
        <v>54</v>
      </c>
      <c r="H2762" s="19">
        <v>1.2379</v>
      </c>
      <c r="I2762" s="19"/>
      <c r="J2762" s="17" t="s">
        <v>82</v>
      </c>
      <c r="K2762" s="245">
        <v>610</v>
      </c>
      <c r="L2762" s="245">
        <v>18</v>
      </c>
      <c r="M2762" s="19"/>
      <c r="N2762" s="19"/>
      <c r="O2762" s="19" t="s">
        <v>141</v>
      </c>
      <c r="P2762" s="266">
        <v>479</v>
      </c>
      <c r="Q2762" s="19">
        <v>479</v>
      </c>
      <c r="R2762" s="19">
        <f t="shared" si="141"/>
        <v>0</v>
      </c>
      <c r="S2762" s="19">
        <v>2560</v>
      </c>
      <c r="T2762" s="19" t="s">
        <v>42</v>
      </c>
      <c r="U2762" s="102" t="s">
        <v>1053</v>
      </c>
      <c r="V2762" s="212" t="s">
        <v>1054</v>
      </c>
      <c r="W2762" s="17" t="s">
        <v>69</v>
      </c>
      <c r="Y2762" s="68">
        <v>45008</v>
      </c>
      <c r="Z2762" s="17" t="s">
        <v>191</v>
      </c>
      <c r="AA2762" s="17" t="s">
        <v>46</v>
      </c>
      <c r="AB2762" s="17" t="s">
        <v>1052</v>
      </c>
      <c r="AC2762" s="102" t="s">
        <v>1025</v>
      </c>
      <c r="AD2762" s="65">
        <v>1396</v>
      </c>
      <c r="AE2762" s="17" t="s">
        <v>48</v>
      </c>
      <c r="AF2762" s="17" t="s">
        <v>560</v>
      </c>
      <c r="AI2762" s="17">
        <v>2600</v>
      </c>
    </row>
    <row r="2763" s="17" customFormat="1" ht="15.6" hidden="1" spans="1:35">
      <c r="A2763" s="17" t="s">
        <v>34</v>
      </c>
      <c r="B2763" s="19">
        <v>891</v>
      </c>
      <c r="C2763" s="239" t="s">
        <v>1051</v>
      </c>
      <c r="D2763" s="17" t="s">
        <v>52</v>
      </c>
      <c r="E2763" s="17" t="s">
        <v>53</v>
      </c>
      <c r="F2763" s="17" t="s">
        <v>54</v>
      </c>
      <c r="H2763" s="19">
        <v>1.2379</v>
      </c>
      <c r="I2763" s="19"/>
      <c r="J2763" s="17" t="s">
        <v>82</v>
      </c>
      <c r="K2763" s="267">
        <v>610</v>
      </c>
      <c r="L2763" s="159">
        <v>18</v>
      </c>
      <c r="M2763" s="19"/>
      <c r="N2763" s="19"/>
      <c r="O2763" s="19" t="s">
        <v>141</v>
      </c>
      <c r="P2763" s="266">
        <v>487</v>
      </c>
      <c r="Q2763" s="19">
        <v>487</v>
      </c>
      <c r="R2763" s="19">
        <f t="shared" si="141"/>
        <v>0</v>
      </c>
      <c r="S2763" s="19">
        <v>2560</v>
      </c>
      <c r="T2763" s="19" t="s">
        <v>42</v>
      </c>
      <c r="U2763" s="102" t="s">
        <v>1053</v>
      </c>
      <c r="V2763" s="212" t="s">
        <v>1054</v>
      </c>
      <c r="W2763" s="17" t="s">
        <v>69</v>
      </c>
      <c r="Y2763" s="68">
        <v>45008</v>
      </c>
      <c r="Z2763" s="17" t="s">
        <v>191</v>
      </c>
      <c r="AA2763" s="17" t="s">
        <v>46</v>
      </c>
      <c r="AB2763" s="17" t="s">
        <v>1052</v>
      </c>
      <c r="AC2763" s="102" t="s">
        <v>1025</v>
      </c>
      <c r="AD2763" s="65">
        <v>1396</v>
      </c>
      <c r="AE2763" s="17" t="s">
        <v>48</v>
      </c>
      <c r="AF2763" s="17" t="s">
        <v>560</v>
      </c>
      <c r="AI2763" s="17">
        <v>2600</v>
      </c>
    </row>
    <row r="2764" s="17" customFormat="1" ht="15.6" hidden="1" spans="1:35">
      <c r="A2764" s="17" t="s">
        <v>34</v>
      </c>
      <c r="B2764" s="19">
        <v>891</v>
      </c>
      <c r="C2764" s="239" t="s">
        <v>1051</v>
      </c>
      <c r="D2764" s="17" t="s">
        <v>52</v>
      </c>
      <c r="E2764" s="17" t="s">
        <v>53</v>
      </c>
      <c r="F2764" s="17" t="s">
        <v>54</v>
      </c>
      <c r="H2764" s="19">
        <v>1.2379</v>
      </c>
      <c r="I2764" s="19"/>
      <c r="J2764" s="17" t="s">
        <v>82</v>
      </c>
      <c r="K2764" s="245">
        <v>360</v>
      </c>
      <c r="L2764" s="245">
        <v>20</v>
      </c>
      <c r="M2764" s="19"/>
      <c r="N2764" s="19"/>
      <c r="O2764" s="19" t="s">
        <v>141</v>
      </c>
      <c r="P2764" s="266">
        <v>214</v>
      </c>
      <c r="Q2764" s="19">
        <v>214</v>
      </c>
      <c r="R2764" s="19">
        <f t="shared" si="141"/>
        <v>0</v>
      </c>
      <c r="S2764" s="19">
        <v>2560</v>
      </c>
      <c r="T2764" s="19" t="s">
        <v>42</v>
      </c>
      <c r="U2764" s="102" t="s">
        <v>1053</v>
      </c>
      <c r="V2764" s="212" t="s">
        <v>1054</v>
      </c>
      <c r="W2764" s="17" t="s">
        <v>69</v>
      </c>
      <c r="Y2764" s="68">
        <v>45008</v>
      </c>
      <c r="Z2764" s="17" t="s">
        <v>191</v>
      </c>
      <c r="AA2764" s="17" t="s">
        <v>46</v>
      </c>
      <c r="AB2764" s="17" t="s">
        <v>1052</v>
      </c>
      <c r="AC2764" s="102" t="s">
        <v>1025</v>
      </c>
      <c r="AD2764" s="65">
        <v>1396</v>
      </c>
      <c r="AE2764" s="17" t="s">
        <v>48</v>
      </c>
      <c r="AF2764" s="17" t="s">
        <v>560</v>
      </c>
      <c r="AI2764" s="17">
        <v>2600</v>
      </c>
    </row>
    <row r="2765" s="17" customFormat="1" ht="15.6" hidden="1" spans="1:35">
      <c r="A2765" s="17" t="s">
        <v>34</v>
      </c>
      <c r="B2765" s="19">
        <v>891</v>
      </c>
      <c r="C2765" s="239" t="s">
        <v>1051</v>
      </c>
      <c r="D2765" s="17" t="s">
        <v>52</v>
      </c>
      <c r="E2765" s="17" t="s">
        <v>53</v>
      </c>
      <c r="F2765" s="17" t="s">
        <v>54</v>
      </c>
      <c r="H2765" s="19">
        <v>1.2379</v>
      </c>
      <c r="I2765" s="19"/>
      <c r="J2765" s="17" t="s">
        <v>82</v>
      </c>
      <c r="K2765" s="245">
        <v>360</v>
      </c>
      <c r="L2765" s="245">
        <v>20</v>
      </c>
      <c r="M2765" s="19"/>
      <c r="N2765" s="19"/>
      <c r="O2765" s="19" t="s">
        <v>141</v>
      </c>
      <c r="P2765" s="266">
        <v>155</v>
      </c>
      <c r="Q2765" s="19">
        <v>155</v>
      </c>
      <c r="R2765" s="19">
        <f t="shared" si="141"/>
        <v>0</v>
      </c>
      <c r="S2765" s="19">
        <v>2560</v>
      </c>
      <c r="T2765" s="19" t="s">
        <v>42</v>
      </c>
      <c r="U2765" s="102" t="s">
        <v>1053</v>
      </c>
      <c r="V2765" s="212" t="s">
        <v>1054</v>
      </c>
      <c r="W2765" s="17" t="s">
        <v>69</v>
      </c>
      <c r="Y2765" s="68">
        <v>45008</v>
      </c>
      <c r="Z2765" s="17" t="s">
        <v>191</v>
      </c>
      <c r="AA2765" s="17" t="s">
        <v>46</v>
      </c>
      <c r="AB2765" s="17" t="s">
        <v>1052</v>
      </c>
      <c r="AC2765" s="102" t="s">
        <v>1025</v>
      </c>
      <c r="AD2765" s="65">
        <v>1396</v>
      </c>
      <c r="AE2765" s="17" t="s">
        <v>48</v>
      </c>
      <c r="AF2765" s="17" t="s">
        <v>560</v>
      </c>
      <c r="AI2765" s="17">
        <v>2600</v>
      </c>
    </row>
    <row r="2766" s="17" customFormat="1" ht="15.6" hidden="1" spans="1:35">
      <c r="A2766" s="17" t="s">
        <v>34</v>
      </c>
      <c r="B2766" s="19">
        <v>891</v>
      </c>
      <c r="C2766" s="239" t="s">
        <v>1051</v>
      </c>
      <c r="D2766" s="17" t="s">
        <v>52</v>
      </c>
      <c r="E2766" s="17" t="s">
        <v>53</v>
      </c>
      <c r="F2766" s="17" t="s">
        <v>54</v>
      </c>
      <c r="H2766" s="19">
        <v>1.2379</v>
      </c>
      <c r="I2766" s="19"/>
      <c r="J2766" s="17" t="s">
        <v>82</v>
      </c>
      <c r="K2766" s="245">
        <v>410</v>
      </c>
      <c r="L2766" s="245">
        <v>20</v>
      </c>
      <c r="M2766" s="19"/>
      <c r="N2766" s="19"/>
      <c r="O2766" s="19" t="s">
        <v>141</v>
      </c>
      <c r="P2766" s="266">
        <v>375</v>
      </c>
      <c r="Q2766" s="19">
        <v>375</v>
      </c>
      <c r="R2766" s="19">
        <f t="shared" si="141"/>
        <v>0</v>
      </c>
      <c r="S2766" s="19">
        <v>2560</v>
      </c>
      <c r="T2766" s="19" t="s">
        <v>42</v>
      </c>
      <c r="U2766" s="102" t="s">
        <v>1053</v>
      </c>
      <c r="V2766" s="212" t="s">
        <v>1054</v>
      </c>
      <c r="W2766" s="17" t="s">
        <v>69</v>
      </c>
      <c r="Y2766" s="68">
        <v>45008</v>
      </c>
      <c r="Z2766" s="17" t="s">
        <v>191</v>
      </c>
      <c r="AA2766" s="17" t="s">
        <v>46</v>
      </c>
      <c r="AB2766" s="17" t="s">
        <v>1052</v>
      </c>
      <c r="AC2766" s="102" t="s">
        <v>1025</v>
      </c>
      <c r="AD2766" s="65">
        <v>1396</v>
      </c>
      <c r="AE2766" s="17" t="s">
        <v>48</v>
      </c>
      <c r="AF2766" s="17" t="s">
        <v>560</v>
      </c>
      <c r="AI2766" s="17">
        <v>2600</v>
      </c>
    </row>
    <row r="2767" s="17" customFormat="1" ht="15.6" hidden="1" spans="1:35">
      <c r="A2767" s="17" t="s">
        <v>34</v>
      </c>
      <c r="B2767" s="19">
        <v>891</v>
      </c>
      <c r="C2767" s="239" t="s">
        <v>1051</v>
      </c>
      <c r="D2767" s="17" t="s">
        <v>52</v>
      </c>
      <c r="E2767" s="17" t="s">
        <v>53</v>
      </c>
      <c r="F2767" s="17" t="s">
        <v>54</v>
      </c>
      <c r="H2767" s="19">
        <v>1.2379</v>
      </c>
      <c r="I2767" s="19"/>
      <c r="J2767" s="17" t="s">
        <v>82</v>
      </c>
      <c r="K2767" s="245">
        <v>410</v>
      </c>
      <c r="L2767" s="245">
        <v>20</v>
      </c>
      <c r="M2767" s="19"/>
      <c r="N2767" s="19"/>
      <c r="O2767" s="19" t="s">
        <v>141</v>
      </c>
      <c r="P2767" s="266">
        <v>226</v>
      </c>
      <c r="Q2767" s="19">
        <v>226</v>
      </c>
      <c r="R2767" s="19">
        <f t="shared" si="141"/>
        <v>0</v>
      </c>
      <c r="S2767" s="19">
        <v>2560</v>
      </c>
      <c r="T2767" s="19" t="s">
        <v>42</v>
      </c>
      <c r="U2767" s="102" t="s">
        <v>1053</v>
      </c>
      <c r="V2767" s="212" t="s">
        <v>1054</v>
      </c>
      <c r="W2767" s="17" t="s">
        <v>69</v>
      </c>
      <c r="Y2767" s="68">
        <v>45008</v>
      </c>
      <c r="Z2767" s="17" t="s">
        <v>191</v>
      </c>
      <c r="AA2767" s="17" t="s">
        <v>46</v>
      </c>
      <c r="AB2767" s="17" t="s">
        <v>1052</v>
      </c>
      <c r="AC2767" s="102" t="s">
        <v>1025</v>
      </c>
      <c r="AD2767" s="65">
        <v>1396</v>
      </c>
      <c r="AE2767" s="17" t="s">
        <v>48</v>
      </c>
      <c r="AF2767" s="17" t="s">
        <v>560</v>
      </c>
      <c r="AI2767" s="17">
        <v>2600</v>
      </c>
    </row>
    <row r="2768" s="17" customFormat="1" ht="15.6" hidden="1" spans="1:35">
      <c r="A2768" s="17" t="s">
        <v>34</v>
      </c>
      <c r="B2768" s="19">
        <v>891</v>
      </c>
      <c r="C2768" s="239" t="s">
        <v>1051</v>
      </c>
      <c r="D2768" s="17" t="s">
        <v>52</v>
      </c>
      <c r="E2768" s="17" t="s">
        <v>53</v>
      </c>
      <c r="F2768" s="17" t="s">
        <v>54</v>
      </c>
      <c r="H2768" s="19">
        <v>1.2379</v>
      </c>
      <c r="I2768" s="19"/>
      <c r="J2768" s="17" t="s">
        <v>82</v>
      </c>
      <c r="K2768" s="245">
        <v>410</v>
      </c>
      <c r="L2768" s="159">
        <v>20</v>
      </c>
      <c r="M2768" s="19"/>
      <c r="N2768" s="19"/>
      <c r="O2768" s="19" t="s">
        <v>141</v>
      </c>
      <c r="P2768" s="266">
        <v>183</v>
      </c>
      <c r="Q2768" s="19">
        <v>183</v>
      </c>
      <c r="R2768" s="19">
        <f t="shared" si="141"/>
        <v>0</v>
      </c>
      <c r="S2768" s="19">
        <v>2560</v>
      </c>
      <c r="T2768" s="19" t="s">
        <v>42</v>
      </c>
      <c r="U2768" s="102" t="s">
        <v>1053</v>
      </c>
      <c r="V2768" s="212" t="s">
        <v>1054</v>
      </c>
      <c r="W2768" s="17" t="s">
        <v>69</v>
      </c>
      <c r="Y2768" s="68">
        <v>45008</v>
      </c>
      <c r="Z2768" s="17" t="s">
        <v>191</v>
      </c>
      <c r="AA2768" s="17" t="s">
        <v>46</v>
      </c>
      <c r="AB2768" s="17" t="s">
        <v>1052</v>
      </c>
      <c r="AC2768" s="102" t="s">
        <v>1025</v>
      </c>
      <c r="AD2768" s="65">
        <v>1396</v>
      </c>
      <c r="AE2768" s="17" t="s">
        <v>48</v>
      </c>
      <c r="AF2768" s="17" t="s">
        <v>560</v>
      </c>
      <c r="AI2768" s="17">
        <v>2600</v>
      </c>
    </row>
    <row r="2769" s="17" customFormat="1" ht="15.6" hidden="1" spans="1:35">
      <c r="A2769" s="17" t="s">
        <v>34</v>
      </c>
      <c r="B2769" s="19">
        <v>891</v>
      </c>
      <c r="C2769" s="239" t="s">
        <v>1051</v>
      </c>
      <c r="D2769" s="17" t="s">
        <v>52</v>
      </c>
      <c r="E2769" s="17" t="s">
        <v>53</v>
      </c>
      <c r="F2769" s="17" t="s">
        <v>54</v>
      </c>
      <c r="H2769" s="19">
        <v>1.2379</v>
      </c>
      <c r="I2769" s="19"/>
      <c r="J2769" s="17" t="s">
        <v>82</v>
      </c>
      <c r="K2769" s="245">
        <v>510</v>
      </c>
      <c r="L2769" s="159">
        <v>20</v>
      </c>
      <c r="M2769" s="19"/>
      <c r="N2769" s="19"/>
      <c r="O2769" s="19" t="s">
        <v>141</v>
      </c>
      <c r="P2769" s="266">
        <v>149</v>
      </c>
      <c r="Q2769" s="19">
        <v>149</v>
      </c>
      <c r="R2769" s="19">
        <f t="shared" si="141"/>
        <v>0</v>
      </c>
      <c r="S2769" s="19">
        <v>2560</v>
      </c>
      <c r="T2769" s="19" t="s">
        <v>42</v>
      </c>
      <c r="U2769" s="102" t="s">
        <v>1053</v>
      </c>
      <c r="V2769" s="212" t="s">
        <v>1054</v>
      </c>
      <c r="W2769" s="17" t="s">
        <v>69</v>
      </c>
      <c r="Y2769" s="68">
        <v>45008</v>
      </c>
      <c r="Z2769" s="17" t="s">
        <v>191</v>
      </c>
      <c r="AA2769" s="17" t="s">
        <v>46</v>
      </c>
      <c r="AB2769" s="17" t="s">
        <v>1052</v>
      </c>
      <c r="AC2769" s="102" t="s">
        <v>1025</v>
      </c>
      <c r="AD2769" s="65">
        <v>1396</v>
      </c>
      <c r="AE2769" s="17" t="s">
        <v>48</v>
      </c>
      <c r="AF2769" s="17" t="s">
        <v>560</v>
      </c>
      <c r="AI2769" s="17">
        <v>2600</v>
      </c>
    </row>
    <row r="2770" s="17" customFormat="1" ht="15.6" hidden="1" spans="1:35">
      <c r="A2770" s="17" t="s">
        <v>34</v>
      </c>
      <c r="B2770" s="19">
        <v>891</v>
      </c>
      <c r="C2770" s="239" t="s">
        <v>1051</v>
      </c>
      <c r="D2770" s="17" t="s">
        <v>52</v>
      </c>
      <c r="E2770" s="17" t="s">
        <v>53</v>
      </c>
      <c r="F2770" s="17" t="s">
        <v>54</v>
      </c>
      <c r="H2770" s="19">
        <v>1.2379</v>
      </c>
      <c r="I2770" s="19"/>
      <c r="J2770" s="17" t="s">
        <v>82</v>
      </c>
      <c r="K2770" s="245">
        <v>610</v>
      </c>
      <c r="L2770" s="159">
        <v>20</v>
      </c>
      <c r="M2770" s="19"/>
      <c r="N2770" s="19"/>
      <c r="O2770" s="19" t="s">
        <v>141</v>
      </c>
      <c r="P2770" s="266">
        <v>162</v>
      </c>
      <c r="Q2770" s="19">
        <v>162</v>
      </c>
      <c r="R2770" s="19">
        <f t="shared" si="141"/>
        <v>0</v>
      </c>
      <c r="S2770" s="19">
        <v>2560</v>
      </c>
      <c r="T2770" s="19" t="s">
        <v>42</v>
      </c>
      <c r="U2770" s="102" t="s">
        <v>1053</v>
      </c>
      <c r="V2770" s="212" t="s">
        <v>1054</v>
      </c>
      <c r="W2770" s="17" t="s">
        <v>69</v>
      </c>
      <c r="Y2770" s="68">
        <v>45008</v>
      </c>
      <c r="Z2770" s="17" t="s">
        <v>191</v>
      </c>
      <c r="AA2770" s="17" t="s">
        <v>46</v>
      </c>
      <c r="AB2770" s="17" t="s">
        <v>1052</v>
      </c>
      <c r="AC2770" s="102" t="s">
        <v>1025</v>
      </c>
      <c r="AD2770" s="65">
        <v>1396</v>
      </c>
      <c r="AE2770" s="17" t="s">
        <v>48</v>
      </c>
      <c r="AF2770" s="17" t="s">
        <v>560</v>
      </c>
      <c r="AI2770" s="17">
        <v>2600</v>
      </c>
    </row>
    <row r="2771" s="17" customFormat="1" ht="15.6" hidden="1" spans="1:35">
      <c r="A2771" s="17" t="s">
        <v>34</v>
      </c>
      <c r="B2771" s="19">
        <v>891</v>
      </c>
      <c r="C2771" s="239" t="s">
        <v>1051</v>
      </c>
      <c r="D2771" s="17" t="s">
        <v>52</v>
      </c>
      <c r="E2771" s="17" t="s">
        <v>53</v>
      </c>
      <c r="F2771" s="17" t="s">
        <v>54</v>
      </c>
      <c r="H2771" s="19">
        <v>1.2379</v>
      </c>
      <c r="I2771" s="19"/>
      <c r="J2771" s="17" t="s">
        <v>82</v>
      </c>
      <c r="K2771" s="245">
        <v>610</v>
      </c>
      <c r="L2771" s="245">
        <v>20</v>
      </c>
      <c r="M2771" s="19"/>
      <c r="N2771" s="19"/>
      <c r="O2771" s="19" t="s">
        <v>141</v>
      </c>
      <c r="P2771" s="266">
        <v>184</v>
      </c>
      <c r="Q2771" s="19">
        <v>184</v>
      </c>
      <c r="R2771" s="19">
        <f t="shared" si="141"/>
        <v>0</v>
      </c>
      <c r="S2771" s="19">
        <v>2560</v>
      </c>
      <c r="T2771" s="19" t="s">
        <v>42</v>
      </c>
      <c r="U2771" s="102" t="s">
        <v>1053</v>
      </c>
      <c r="V2771" s="212" t="s">
        <v>1054</v>
      </c>
      <c r="W2771" s="17" t="s">
        <v>69</v>
      </c>
      <c r="Y2771" s="68">
        <v>45008</v>
      </c>
      <c r="Z2771" s="17" t="s">
        <v>191</v>
      </c>
      <c r="AA2771" s="17" t="s">
        <v>46</v>
      </c>
      <c r="AB2771" s="17" t="s">
        <v>1052</v>
      </c>
      <c r="AC2771" s="102" t="s">
        <v>1025</v>
      </c>
      <c r="AD2771" s="65">
        <v>1396</v>
      </c>
      <c r="AE2771" s="17" t="s">
        <v>48</v>
      </c>
      <c r="AF2771" s="17" t="s">
        <v>560</v>
      </c>
      <c r="AI2771" s="17">
        <v>2600</v>
      </c>
    </row>
    <row r="2772" s="17" customFormat="1" ht="15.6" hidden="1" spans="1:35">
      <c r="A2772" s="17" t="s">
        <v>34</v>
      </c>
      <c r="B2772" s="19">
        <v>891</v>
      </c>
      <c r="C2772" s="239" t="s">
        <v>1051</v>
      </c>
      <c r="D2772" s="17" t="s">
        <v>52</v>
      </c>
      <c r="E2772" s="17" t="s">
        <v>53</v>
      </c>
      <c r="F2772" s="17" t="s">
        <v>54</v>
      </c>
      <c r="H2772" s="19">
        <v>1.2379</v>
      </c>
      <c r="I2772" s="19"/>
      <c r="J2772" s="17" t="s">
        <v>82</v>
      </c>
      <c r="K2772" s="245">
        <v>410</v>
      </c>
      <c r="L2772" s="245">
        <v>25</v>
      </c>
      <c r="M2772" s="19"/>
      <c r="N2772" s="19"/>
      <c r="O2772" s="19" t="s">
        <v>141</v>
      </c>
      <c r="P2772" s="266">
        <v>189</v>
      </c>
      <c r="Q2772" s="19">
        <v>189</v>
      </c>
      <c r="R2772" s="19">
        <f t="shared" si="141"/>
        <v>0</v>
      </c>
      <c r="S2772" s="19">
        <v>2560</v>
      </c>
      <c r="T2772" s="19" t="s">
        <v>42</v>
      </c>
      <c r="U2772" s="102" t="s">
        <v>1053</v>
      </c>
      <c r="V2772" s="212" t="s">
        <v>1054</v>
      </c>
      <c r="W2772" s="17" t="s">
        <v>69</v>
      </c>
      <c r="Y2772" s="68">
        <v>45008</v>
      </c>
      <c r="Z2772" s="17" t="s">
        <v>191</v>
      </c>
      <c r="AA2772" s="17" t="s">
        <v>46</v>
      </c>
      <c r="AB2772" s="17" t="s">
        <v>1052</v>
      </c>
      <c r="AC2772" s="102" t="s">
        <v>1025</v>
      </c>
      <c r="AD2772" s="65">
        <v>1396</v>
      </c>
      <c r="AE2772" s="17" t="s">
        <v>48</v>
      </c>
      <c r="AF2772" s="17" t="s">
        <v>560</v>
      </c>
      <c r="AI2772" s="17">
        <v>2600</v>
      </c>
    </row>
    <row r="2773" s="17" customFormat="1" ht="15.6" hidden="1" spans="1:35">
      <c r="A2773" s="17" t="s">
        <v>34</v>
      </c>
      <c r="B2773" s="19">
        <v>891</v>
      </c>
      <c r="C2773" s="239" t="s">
        <v>1051</v>
      </c>
      <c r="D2773" s="17" t="s">
        <v>52</v>
      </c>
      <c r="E2773" s="17" t="s">
        <v>53</v>
      </c>
      <c r="F2773" s="17" t="s">
        <v>54</v>
      </c>
      <c r="H2773" s="19">
        <v>1.2379</v>
      </c>
      <c r="I2773" s="19"/>
      <c r="J2773" s="17" t="s">
        <v>82</v>
      </c>
      <c r="K2773" s="245">
        <v>410</v>
      </c>
      <c r="L2773" s="245">
        <v>25</v>
      </c>
      <c r="M2773" s="19"/>
      <c r="N2773" s="19"/>
      <c r="O2773" s="19" t="s">
        <v>141</v>
      </c>
      <c r="P2773" s="266">
        <v>164</v>
      </c>
      <c r="Q2773" s="19">
        <v>163</v>
      </c>
      <c r="R2773" s="19">
        <f t="shared" si="141"/>
        <v>1</v>
      </c>
      <c r="S2773" s="19">
        <v>2560</v>
      </c>
      <c r="T2773" s="19" t="s">
        <v>42</v>
      </c>
      <c r="U2773" s="102" t="s">
        <v>1053</v>
      </c>
      <c r="V2773" s="212" t="s">
        <v>1054</v>
      </c>
      <c r="W2773" s="17" t="s">
        <v>69</v>
      </c>
      <c r="Y2773" s="68">
        <v>45008</v>
      </c>
      <c r="Z2773" s="17" t="s">
        <v>191</v>
      </c>
      <c r="AA2773" s="17" t="s">
        <v>46</v>
      </c>
      <c r="AB2773" s="17" t="s">
        <v>1052</v>
      </c>
      <c r="AC2773" s="102" t="s">
        <v>1025</v>
      </c>
      <c r="AD2773" s="65">
        <v>1396</v>
      </c>
      <c r="AE2773" s="17" t="s">
        <v>48</v>
      </c>
      <c r="AF2773" s="17" t="s">
        <v>560</v>
      </c>
      <c r="AI2773" s="17">
        <v>2600</v>
      </c>
    </row>
    <row r="2774" s="17" customFormat="1" ht="15.6" hidden="1" spans="1:35">
      <c r="A2774" s="17" t="s">
        <v>34</v>
      </c>
      <c r="B2774" s="19">
        <v>891</v>
      </c>
      <c r="C2774" s="239" t="s">
        <v>1051</v>
      </c>
      <c r="D2774" s="17" t="s">
        <v>52</v>
      </c>
      <c r="E2774" s="17" t="s">
        <v>53</v>
      </c>
      <c r="F2774" s="17" t="s">
        <v>54</v>
      </c>
      <c r="H2774" s="19">
        <v>1.2379</v>
      </c>
      <c r="I2774" s="19"/>
      <c r="J2774" s="17" t="s">
        <v>82</v>
      </c>
      <c r="K2774" s="245">
        <v>430</v>
      </c>
      <c r="L2774" s="245">
        <v>20</v>
      </c>
      <c r="M2774" s="19"/>
      <c r="N2774" s="19"/>
      <c r="O2774" s="19" t="s">
        <v>141</v>
      </c>
      <c r="P2774" s="266">
        <v>429</v>
      </c>
      <c r="Q2774" s="19">
        <f>324+127</f>
        <v>451</v>
      </c>
      <c r="R2774" s="19">
        <f t="shared" si="141"/>
        <v>-22</v>
      </c>
      <c r="S2774" s="19">
        <v>2560</v>
      </c>
      <c r="T2774" s="19" t="s">
        <v>42</v>
      </c>
      <c r="U2774" s="102" t="s">
        <v>1053</v>
      </c>
      <c r="V2774" s="212" t="s">
        <v>1054</v>
      </c>
      <c r="W2774" s="17" t="s">
        <v>69</v>
      </c>
      <c r="Y2774" s="68">
        <v>45008</v>
      </c>
      <c r="Z2774" s="17" t="s">
        <v>191</v>
      </c>
      <c r="AA2774" s="17" t="s">
        <v>46</v>
      </c>
      <c r="AB2774" s="17" t="s">
        <v>1052</v>
      </c>
      <c r="AC2774" s="102" t="s">
        <v>1025</v>
      </c>
      <c r="AD2774" s="65">
        <v>1396</v>
      </c>
      <c r="AE2774" s="17" t="s">
        <v>48</v>
      </c>
      <c r="AF2774" s="17" t="s">
        <v>560</v>
      </c>
      <c r="AI2774" s="17">
        <v>2600</v>
      </c>
    </row>
    <row r="2775" s="17" customFormat="1" ht="15.6" hidden="1" spans="1:35">
      <c r="A2775" s="17" t="s">
        <v>34</v>
      </c>
      <c r="B2775" s="19">
        <v>891</v>
      </c>
      <c r="C2775" s="239" t="s">
        <v>1051</v>
      </c>
      <c r="D2775" s="17" t="s">
        <v>52</v>
      </c>
      <c r="E2775" s="17" t="s">
        <v>53</v>
      </c>
      <c r="F2775" s="17" t="s">
        <v>54</v>
      </c>
      <c r="H2775" s="19">
        <v>1.2379</v>
      </c>
      <c r="I2775" s="19"/>
      <c r="J2775" s="17" t="s">
        <v>82</v>
      </c>
      <c r="K2775" s="245">
        <v>460</v>
      </c>
      <c r="L2775" s="245">
        <v>20</v>
      </c>
      <c r="M2775" s="19"/>
      <c r="N2775" s="19"/>
      <c r="O2775" s="19" t="s">
        <v>141</v>
      </c>
      <c r="P2775" s="266">
        <v>144</v>
      </c>
      <c r="Q2775" s="19">
        <v>144</v>
      </c>
      <c r="R2775" s="19">
        <f t="shared" si="141"/>
        <v>0</v>
      </c>
      <c r="S2775" s="19">
        <v>2560</v>
      </c>
      <c r="T2775" s="19" t="s">
        <v>42</v>
      </c>
      <c r="U2775" s="102" t="s">
        <v>1053</v>
      </c>
      <c r="V2775" s="212" t="s">
        <v>1054</v>
      </c>
      <c r="W2775" s="17" t="s">
        <v>69</v>
      </c>
      <c r="Y2775" s="68">
        <v>45008</v>
      </c>
      <c r="Z2775" s="17" t="s">
        <v>191</v>
      </c>
      <c r="AA2775" s="17" t="s">
        <v>46</v>
      </c>
      <c r="AB2775" s="17" t="s">
        <v>1052</v>
      </c>
      <c r="AC2775" s="102" t="s">
        <v>1025</v>
      </c>
      <c r="AD2775" s="65">
        <v>1396</v>
      </c>
      <c r="AE2775" s="17" t="s">
        <v>48</v>
      </c>
      <c r="AF2775" s="17" t="s">
        <v>560</v>
      </c>
      <c r="AI2775" s="17">
        <v>2600</v>
      </c>
    </row>
    <row r="2776" s="17" customFormat="1" ht="15.6" hidden="1" spans="1:35">
      <c r="A2776" s="17" t="s">
        <v>34</v>
      </c>
      <c r="B2776" s="19">
        <v>891</v>
      </c>
      <c r="C2776" s="239" t="s">
        <v>1051</v>
      </c>
      <c r="D2776" s="17" t="s">
        <v>52</v>
      </c>
      <c r="E2776" s="17" t="s">
        <v>53</v>
      </c>
      <c r="F2776" s="17" t="s">
        <v>54</v>
      </c>
      <c r="H2776" s="19">
        <v>1.2379</v>
      </c>
      <c r="I2776" s="19"/>
      <c r="J2776" s="17" t="s">
        <v>82</v>
      </c>
      <c r="K2776" s="245">
        <v>460</v>
      </c>
      <c r="L2776" s="245">
        <v>25</v>
      </c>
      <c r="M2776" s="19"/>
      <c r="N2776" s="19"/>
      <c r="O2776" s="19" t="s">
        <v>141</v>
      </c>
      <c r="P2776" s="266">
        <v>505</v>
      </c>
      <c r="Q2776" s="19">
        <v>505</v>
      </c>
      <c r="R2776" s="19">
        <f t="shared" si="141"/>
        <v>0</v>
      </c>
      <c r="S2776" s="19">
        <v>2560</v>
      </c>
      <c r="T2776" s="19" t="s">
        <v>42</v>
      </c>
      <c r="U2776" s="102" t="s">
        <v>1053</v>
      </c>
      <c r="V2776" s="212" t="s">
        <v>1054</v>
      </c>
      <c r="W2776" s="17" t="s">
        <v>69</v>
      </c>
      <c r="Y2776" s="68">
        <v>45008</v>
      </c>
      <c r="Z2776" s="17" t="s">
        <v>191</v>
      </c>
      <c r="AA2776" s="17" t="s">
        <v>46</v>
      </c>
      <c r="AB2776" s="17" t="s">
        <v>1052</v>
      </c>
      <c r="AC2776" s="102" t="s">
        <v>1025</v>
      </c>
      <c r="AD2776" s="65">
        <v>1396</v>
      </c>
      <c r="AE2776" s="17" t="s">
        <v>48</v>
      </c>
      <c r="AF2776" s="17" t="s">
        <v>560</v>
      </c>
      <c r="AI2776" s="17">
        <v>2600</v>
      </c>
    </row>
    <row r="2777" s="17" customFormat="1" ht="15.6" hidden="1" spans="1:35">
      <c r="B2777" s="19">
        <v>891</v>
      </c>
      <c r="C2777" s="239" t="s">
        <v>1051</v>
      </c>
      <c r="D2777" s="17" t="s">
        <v>52</v>
      </c>
      <c r="E2777" s="17" t="s">
        <v>53</v>
      </c>
      <c r="F2777" s="17" t="s">
        <v>54</v>
      </c>
      <c r="H2777" s="19">
        <v>1.2379</v>
      </c>
      <c r="I2777" s="19"/>
      <c r="J2777" s="17" t="s">
        <v>82</v>
      </c>
      <c r="K2777" s="245">
        <v>610</v>
      </c>
      <c r="L2777" s="159">
        <v>35</v>
      </c>
      <c r="M2777" s="19"/>
      <c r="N2777" s="19"/>
      <c r="O2777" s="19" t="s">
        <v>141</v>
      </c>
      <c r="P2777" s="266">
        <v>1395</v>
      </c>
      <c r="Q2777" s="19">
        <v>0</v>
      </c>
      <c r="R2777" s="19">
        <f t="shared" si="141"/>
        <v>1395</v>
      </c>
      <c r="S2777" s="19">
        <v>2560</v>
      </c>
      <c r="T2777" s="19" t="s">
        <v>42</v>
      </c>
      <c r="U2777" s="102" t="s">
        <v>1053</v>
      </c>
      <c r="V2777" s="212" t="s">
        <v>1054</v>
      </c>
      <c r="W2777" s="17" t="s">
        <v>69</v>
      </c>
      <c r="Y2777" s="68">
        <v>45008</v>
      </c>
      <c r="Z2777" s="17" t="s">
        <v>191</v>
      </c>
      <c r="AA2777" s="17" t="s">
        <v>46</v>
      </c>
      <c r="AC2777" s="102"/>
      <c r="AD2777" s="65"/>
      <c r="AE2777" s="17" t="s">
        <v>48</v>
      </c>
      <c r="AF2777" s="17" t="s">
        <v>560</v>
      </c>
      <c r="AI2777" s="17">
        <v>2600</v>
      </c>
    </row>
    <row r="2778" s="17" customFormat="1" ht="15.6" hidden="1" spans="1:35">
      <c r="A2778" s="17" t="s">
        <v>34</v>
      </c>
      <c r="B2778" s="19">
        <v>891</v>
      </c>
      <c r="C2778" s="239" t="s">
        <v>1051</v>
      </c>
      <c r="D2778" s="17" t="s">
        <v>52</v>
      </c>
      <c r="E2778" s="17" t="s">
        <v>53</v>
      </c>
      <c r="F2778" s="17" t="s">
        <v>54</v>
      </c>
      <c r="H2778" s="19">
        <v>1.2379</v>
      </c>
      <c r="I2778" s="19"/>
      <c r="J2778" s="17" t="s">
        <v>82</v>
      </c>
      <c r="K2778" s="245">
        <v>610</v>
      </c>
      <c r="L2778" s="159">
        <v>36</v>
      </c>
      <c r="M2778" s="19"/>
      <c r="N2778" s="19"/>
      <c r="O2778" s="19" t="s">
        <v>141</v>
      </c>
      <c r="P2778" s="266">
        <v>503</v>
      </c>
      <c r="Q2778" s="19">
        <v>503</v>
      </c>
      <c r="R2778" s="19">
        <f t="shared" si="141"/>
        <v>0</v>
      </c>
      <c r="S2778" s="19">
        <v>2560</v>
      </c>
      <c r="T2778" s="19" t="s">
        <v>42</v>
      </c>
      <c r="U2778" s="102" t="s">
        <v>1053</v>
      </c>
      <c r="V2778" s="212" t="s">
        <v>1054</v>
      </c>
      <c r="W2778" s="17" t="s">
        <v>69</v>
      </c>
      <c r="Y2778" s="68">
        <v>45008</v>
      </c>
      <c r="Z2778" s="17" t="s">
        <v>191</v>
      </c>
      <c r="AA2778" s="17" t="s">
        <v>46</v>
      </c>
      <c r="AB2778" s="17" t="s">
        <v>1052</v>
      </c>
      <c r="AC2778" s="102" t="s">
        <v>1025</v>
      </c>
      <c r="AD2778" s="65">
        <v>1396</v>
      </c>
      <c r="AE2778" s="17" t="s">
        <v>48</v>
      </c>
      <c r="AF2778" s="17" t="s">
        <v>560</v>
      </c>
      <c r="AI2778" s="17">
        <v>2600</v>
      </c>
    </row>
    <row r="2779" s="17" customFormat="1" ht="15.6" hidden="1" spans="1:35">
      <c r="A2779" s="17" t="s">
        <v>34</v>
      </c>
      <c r="B2779" s="19">
        <v>891</v>
      </c>
      <c r="C2779" s="239" t="s">
        <v>1051</v>
      </c>
      <c r="D2779" s="17" t="s">
        <v>52</v>
      </c>
      <c r="E2779" s="17" t="s">
        <v>53</v>
      </c>
      <c r="F2779" s="17" t="s">
        <v>54</v>
      </c>
      <c r="H2779" s="19">
        <v>1.2379</v>
      </c>
      <c r="I2779" s="19"/>
      <c r="J2779" s="17" t="s">
        <v>82</v>
      </c>
      <c r="K2779" s="267">
        <v>360</v>
      </c>
      <c r="L2779" s="252">
        <v>21</v>
      </c>
      <c r="M2779" s="19"/>
      <c r="N2779" s="19"/>
      <c r="O2779" s="19" t="s">
        <v>141</v>
      </c>
      <c r="P2779" s="266">
        <v>372</v>
      </c>
      <c r="Q2779" s="19">
        <v>372</v>
      </c>
      <c r="R2779" s="19">
        <f t="shared" si="141"/>
        <v>0</v>
      </c>
      <c r="S2779" s="19">
        <v>2560</v>
      </c>
      <c r="T2779" s="19" t="s">
        <v>42</v>
      </c>
      <c r="U2779" s="102" t="s">
        <v>1053</v>
      </c>
      <c r="V2779" s="212" t="s">
        <v>1054</v>
      </c>
      <c r="W2779" s="17" t="s">
        <v>69</v>
      </c>
      <c r="Y2779" s="68">
        <v>45008</v>
      </c>
      <c r="Z2779" s="17" t="s">
        <v>191</v>
      </c>
      <c r="AA2779" s="17" t="s">
        <v>46</v>
      </c>
      <c r="AB2779" s="17" t="s">
        <v>1052</v>
      </c>
      <c r="AC2779" s="102" t="s">
        <v>1025</v>
      </c>
      <c r="AD2779" s="65">
        <v>1396</v>
      </c>
      <c r="AE2779" s="17" t="s">
        <v>48</v>
      </c>
      <c r="AF2779" s="17" t="s">
        <v>560</v>
      </c>
      <c r="AI2779" s="17">
        <v>2600</v>
      </c>
    </row>
    <row r="2780" s="17" customFormat="1" ht="15.6" hidden="1" spans="1:35">
      <c r="A2780" s="17" t="s">
        <v>34</v>
      </c>
      <c r="B2780" s="19">
        <v>891</v>
      </c>
      <c r="C2780" s="239" t="s">
        <v>1051</v>
      </c>
      <c r="D2780" s="17" t="s">
        <v>52</v>
      </c>
      <c r="E2780" s="17" t="s">
        <v>53</v>
      </c>
      <c r="F2780" s="17" t="s">
        <v>54</v>
      </c>
      <c r="H2780" s="19">
        <v>1.2379</v>
      </c>
      <c r="I2780" s="19"/>
      <c r="J2780" s="17" t="s">
        <v>82</v>
      </c>
      <c r="K2780" s="245">
        <v>260</v>
      </c>
      <c r="L2780" s="159">
        <v>22</v>
      </c>
      <c r="M2780" s="19"/>
      <c r="N2780" s="19"/>
      <c r="O2780" s="19" t="s">
        <v>141</v>
      </c>
      <c r="P2780" s="266">
        <v>78</v>
      </c>
      <c r="Q2780" s="19">
        <v>78</v>
      </c>
      <c r="R2780" s="19">
        <f t="shared" si="141"/>
        <v>0</v>
      </c>
      <c r="S2780" s="19">
        <v>2560</v>
      </c>
      <c r="T2780" s="19" t="s">
        <v>42</v>
      </c>
      <c r="U2780" s="102" t="s">
        <v>1053</v>
      </c>
      <c r="V2780" s="212" t="s">
        <v>1054</v>
      </c>
      <c r="W2780" s="17" t="s">
        <v>69</v>
      </c>
      <c r="Y2780" s="68">
        <v>45008</v>
      </c>
      <c r="Z2780" s="17" t="s">
        <v>191</v>
      </c>
      <c r="AA2780" s="17" t="s">
        <v>46</v>
      </c>
      <c r="AB2780" s="17" t="s">
        <v>1052</v>
      </c>
      <c r="AC2780" s="102" t="s">
        <v>1025</v>
      </c>
      <c r="AD2780" s="65">
        <v>1396</v>
      </c>
      <c r="AE2780" s="17" t="s">
        <v>48</v>
      </c>
      <c r="AF2780" s="17" t="s">
        <v>560</v>
      </c>
      <c r="AI2780" s="17">
        <v>2600</v>
      </c>
    </row>
    <row r="2781" s="17" customFormat="1" ht="15.6" hidden="1" spans="1:35">
      <c r="A2781" s="17" t="s">
        <v>34</v>
      </c>
      <c r="B2781" s="19">
        <v>891</v>
      </c>
      <c r="C2781" s="239" t="s">
        <v>1051</v>
      </c>
      <c r="D2781" s="17" t="s">
        <v>52</v>
      </c>
      <c r="E2781" s="17" t="s">
        <v>53</v>
      </c>
      <c r="F2781" s="17" t="s">
        <v>54</v>
      </c>
      <c r="H2781" s="19">
        <v>1.2379</v>
      </c>
      <c r="I2781" s="19"/>
      <c r="J2781" s="17" t="s">
        <v>82</v>
      </c>
      <c r="K2781" s="245">
        <v>310</v>
      </c>
      <c r="L2781" s="159">
        <v>22</v>
      </c>
      <c r="M2781" s="19"/>
      <c r="N2781" s="19"/>
      <c r="O2781" s="19" t="s">
        <v>141</v>
      </c>
      <c r="P2781" s="266">
        <v>673</v>
      </c>
      <c r="Q2781" s="19">
        <f>168+190+162+184</f>
        <v>704</v>
      </c>
      <c r="R2781" s="19">
        <f t="shared" si="141"/>
        <v>-31</v>
      </c>
      <c r="S2781" s="19">
        <v>2560</v>
      </c>
      <c r="T2781" s="19" t="s">
        <v>42</v>
      </c>
      <c r="U2781" s="102" t="s">
        <v>1053</v>
      </c>
      <c r="V2781" s="212" t="s">
        <v>1054</v>
      </c>
      <c r="W2781" s="17" t="s">
        <v>69</v>
      </c>
      <c r="Y2781" s="68">
        <v>45008</v>
      </c>
      <c r="Z2781" s="17" t="s">
        <v>191</v>
      </c>
      <c r="AA2781" s="17" t="s">
        <v>46</v>
      </c>
      <c r="AB2781" s="17" t="s">
        <v>1052</v>
      </c>
      <c r="AC2781" s="102" t="s">
        <v>1025</v>
      </c>
      <c r="AD2781" s="65">
        <v>1396</v>
      </c>
      <c r="AE2781" s="17" t="s">
        <v>48</v>
      </c>
      <c r="AF2781" s="17" t="s">
        <v>560</v>
      </c>
      <c r="AI2781" s="17">
        <v>2600</v>
      </c>
    </row>
    <row r="2782" s="17" customFormat="1" ht="15.6" hidden="1" spans="1:35">
      <c r="A2782" s="17" t="s">
        <v>34</v>
      </c>
      <c r="B2782" s="19">
        <v>891</v>
      </c>
      <c r="C2782" s="239" t="s">
        <v>1051</v>
      </c>
      <c r="D2782" s="17" t="s">
        <v>52</v>
      </c>
      <c r="E2782" s="17" t="s">
        <v>53</v>
      </c>
      <c r="F2782" s="17" t="s">
        <v>54</v>
      </c>
      <c r="H2782" s="19">
        <v>1.2379</v>
      </c>
      <c r="I2782" s="19"/>
      <c r="J2782" s="17" t="s">
        <v>82</v>
      </c>
      <c r="K2782" s="245">
        <v>360</v>
      </c>
      <c r="L2782" s="159">
        <v>22</v>
      </c>
      <c r="M2782" s="19"/>
      <c r="N2782" s="19"/>
      <c r="O2782" s="19" t="s">
        <v>141</v>
      </c>
      <c r="P2782" s="266">
        <v>124</v>
      </c>
      <c r="Q2782" s="19">
        <v>124</v>
      </c>
      <c r="R2782" s="19">
        <f t="shared" si="141"/>
        <v>0</v>
      </c>
      <c r="S2782" s="19">
        <v>2560</v>
      </c>
      <c r="T2782" s="19" t="s">
        <v>42</v>
      </c>
      <c r="U2782" s="102" t="s">
        <v>1053</v>
      </c>
      <c r="V2782" s="212" t="s">
        <v>1054</v>
      </c>
      <c r="W2782" s="17" t="s">
        <v>69</v>
      </c>
      <c r="Y2782" s="68">
        <v>45008</v>
      </c>
      <c r="Z2782" s="17" t="s">
        <v>191</v>
      </c>
      <c r="AA2782" s="17" t="s">
        <v>46</v>
      </c>
      <c r="AB2782" s="17" t="s">
        <v>1052</v>
      </c>
      <c r="AC2782" s="102" t="s">
        <v>1025</v>
      </c>
      <c r="AD2782" s="65">
        <v>1396</v>
      </c>
      <c r="AE2782" s="17" t="s">
        <v>48</v>
      </c>
      <c r="AF2782" s="17" t="s">
        <v>560</v>
      </c>
      <c r="AI2782" s="17">
        <v>2600</v>
      </c>
    </row>
    <row r="2783" s="17" customFormat="1" ht="15.6" hidden="1" spans="1:35">
      <c r="A2783" s="17" t="s">
        <v>34</v>
      </c>
      <c r="B2783" s="19">
        <v>891</v>
      </c>
      <c r="C2783" s="239" t="s">
        <v>1051</v>
      </c>
      <c r="D2783" s="17" t="s">
        <v>52</v>
      </c>
      <c r="E2783" s="17" t="s">
        <v>53</v>
      </c>
      <c r="F2783" s="17" t="s">
        <v>54</v>
      </c>
      <c r="H2783" s="19">
        <v>1.2379</v>
      </c>
      <c r="I2783" s="19"/>
      <c r="J2783" s="17" t="s">
        <v>82</v>
      </c>
      <c r="K2783" s="245">
        <v>460</v>
      </c>
      <c r="L2783" s="159">
        <v>22</v>
      </c>
      <c r="M2783" s="19"/>
      <c r="N2783" s="19"/>
      <c r="O2783" s="19" t="s">
        <v>141</v>
      </c>
      <c r="P2783" s="266">
        <v>428</v>
      </c>
      <c r="Q2783" s="19">
        <v>428</v>
      </c>
      <c r="R2783" s="19">
        <f t="shared" si="141"/>
        <v>0</v>
      </c>
      <c r="S2783" s="19">
        <v>2560</v>
      </c>
      <c r="T2783" s="19" t="s">
        <v>42</v>
      </c>
      <c r="U2783" s="102" t="s">
        <v>1053</v>
      </c>
      <c r="V2783" s="212" t="s">
        <v>1054</v>
      </c>
      <c r="W2783" s="17" t="s">
        <v>69</v>
      </c>
      <c r="Y2783" s="68">
        <v>45008</v>
      </c>
      <c r="Z2783" s="17" t="s">
        <v>191</v>
      </c>
      <c r="AA2783" s="17" t="s">
        <v>46</v>
      </c>
      <c r="AB2783" s="17" t="s">
        <v>1052</v>
      </c>
      <c r="AC2783" s="102" t="s">
        <v>1025</v>
      </c>
      <c r="AD2783" s="65">
        <v>1396</v>
      </c>
      <c r="AE2783" s="17" t="s">
        <v>48</v>
      </c>
      <c r="AF2783" s="17" t="s">
        <v>560</v>
      </c>
      <c r="AI2783" s="17">
        <v>2600</v>
      </c>
    </row>
    <row r="2784" s="17" customFormat="1" ht="15.6" hidden="1" spans="1:35">
      <c r="A2784" s="17" t="s">
        <v>34</v>
      </c>
      <c r="B2784" s="19">
        <v>891</v>
      </c>
      <c r="C2784" s="239" t="s">
        <v>1051</v>
      </c>
      <c r="D2784" s="17" t="s">
        <v>52</v>
      </c>
      <c r="E2784" s="17" t="s">
        <v>53</v>
      </c>
      <c r="F2784" s="17" t="s">
        <v>54</v>
      </c>
      <c r="H2784" s="19">
        <v>1.2379</v>
      </c>
      <c r="I2784" s="19"/>
      <c r="J2784" s="17" t="s">
        <v>82</v>
      </c>
      <c r="K2784" s="245">
        <v>460</v>
      </c>
      <c r="L2784" s="159">
        <v>22</v>
      </c>
      <c r="M2784" s="19"/>
      <c r="N2784" s="19"/>
      <c r="O2784" s="19" t="s">
        <v>141</v>
      </c>
      <c r="P2784" s="266">
        <v>273</v>
      </c>
      <c r="Q2784" s="19">
        <v>273</v>
      </c>
      <c r="R2784" s="19">
        <f t="shared" si="141"/>
        <v>0</v>
      </c>
      <c r="S2784" s="19">
        <v>2560</v>
      </c>
      <c r="T2784" s="19" t="s">
        <v>42</v>
      </c>
      <c r="U2784" s="102" t="s">
        <v>1053</v>
      </c>
      <c r="V2784" s="212" t="s">
        <v>1054</v>
      </c>
      <c r="W2784" s="17" t="s">
        <v>69</v>
      </c>
      <c r="Y2784" s="68">
        <v>45008</v>
      </c>
      <c r="Z2784" s="17" t="s">
        <v>191</v>
      </c>
      <c r="AA2784" s="17" t="s">
        <v>46</v>
      </c>
      <c r="AB2784" s="17" t="s">
        <v>1052</v>
      </c>
      <c r="AC2784" s="102" t="s">
        <v>1025</v>
      </c>
      <c r="AD2784" s="65">
        <v>1396</v>
      </c>
      <c r="AE2784" s="17" t="s">
        <v>48</v>
      </c>
      <c r="AF2784" s="17" t="s">
        <v>560</v>
      </c>
      <c r="AI2784" s="17">
        <v>2600</v>
      </c>
    </row>
    <row r="2785" s="17" customFormat="1" ht="15.6" hidden="1" spans="1:35">
      <c r="A2785" s="17" t="s">
        <v>34</v>
      </c>
      <c r="B2785" s="19">
        <v>891</v>
      </c>
      <c r="C2785" s="239" t="s">
        <v>1051</v>
      </c>
      <c r="D2785" s="17" t="s">
        <v>52</v>
      </c>
      <c r="E2785" s="17" t="s">
        <v>53</v>
      </c>
      <c r="F2785" s="17" t="s">
        <v>54</v>
      </c>
      <c r="H2785" s="19">
        <v>1.2379</v>
      </c>
      <c r="I2785" s="19"/>
      <c r="J2785" s="17" t="s">
        <v>82</v>
      </c>
      <c r="K2785" s="267">
        <v>510</v>
      </c>
      <c r="L2785" s="252">
        <v>22</v>
      </c>
      <c r="M2785" s="19"/>
      <c r="N2785" s="19"/>
      <c r="O2785" s="19" t="s">
        <v>141</v>
      </c>
      <c r="P2785" s="266">
        <v>478</v>
      </c>
      <c r="Q2785" s="19">
        <v>478</v>
      </c>
      <c r="R2785" s="19">
        <f t="shared" si="141"/>
        <v>0</v>
      </c>
      <c r="S2785" s="19">
        <v>2560</v>
      </c>
      <c r="T2785" s="19" t="s">
        <v>42</v>
      </c>
      <c r="U2785" s="102" t="s">
        <v>1053</v>
      </c>
      <c r="V2785" s="212" t="s">
        <v>1054</v>
      </c>
      <c r="W2785" s="17" t="s">
        <v>69</v>
      </c>
      <c r="Y2785" s="68">
        <v>45008</v>
      </c>
      <c r="Z2785" s="17" t="s">
        <v>191</v>
      </c>
      <c r="AA2785" s="17" t="s">
        <v>46</v>
      </c>
      <c r="AB2785" s="17" t="s">
        <v>1052</v>
      </c>
      <c r="AC2785" s="217">
        <v>45000</v>
      </c>
      <c r="AD2785" s="65">
        <v>1396</v>
      </c>
      <c r="AE2785" s="17" t="s">
        <v>48</v>
      </c>
      <c r="AF2785" s="17" t="s">
        <v>560</v>
      </c>
      <c r="AI2785" s="17">
        <v>2600</v>
      </c>
    </row>
    <row r="2786" s="17" customFormat="1" ht="15.6" hidden="1" spans="1:35">
      <c r="A2786" s="17" t="s">
        <v>34</v>
      </c>
      <c r="B2786" s="19">
        <v>891</v>
      </c>
      <c r="C2786" s="239" t="s">
        <v>1051</v>
      </c>
      <c r="D2786" s="17" t="s">
        <v>52</v>
      </c>
      <c r="E2786" s="17" t="s">
        <v>53</v>
      </c>
      <c r="F2786" s="17" t="s">
        <v>54</v>
      </c>
      <c r="H2786" s="19">
        <v>1.2379</v>
      </c>
      <c r="I2786" s="19"/>
      <c r="J2786" s="17" t="s">
        <v>82</v>
      </c>
      <c r="K2786" s="245">
        <v>610</v>
      </c>
      <c r="L2786" s="159">
        <v>22</v>
      </c>
      <c r="M2786" s="19"/>
      <c r="N2786" s="19"/>
      <c r="O2786" s="19" t="s">
        <v>141</v>
      </c>
      <c r="P2786" s="266">
        <v>202</v>
      </c>
      <c r="Q2786" s="19">
        <v>194</v>
      </c>
      <c r="R2786" s="19">
        <f t="shared" si="141"/>
        <v>8</v>
      </c>
      <c r="S2786" s="19">
        <v>2560</v>
      </c>
      <c r="T2786" s="19" t="s">
        <v>42</v>
      </c>
      <c r="U2786" s="102" t="s">
        <v>1053</v>
      </c>
      <c r="V2786" s="212" t="s">
        <v>1054</v>
      </c>
      <c r="W2786" s="17" t="s">
        <v>69</v>
      </c>
      <c r="Y2786" s="68">
        <v>45008</v>
      </c>
      <c r="Z2786" s="17" t="s">
        <v>191</v>
      </c>
      <c r="AA2786" s="17" t="s">
        <v>46</v>
      </c>
      <c r="AB2786" s="17" t="s">
        <v>1052</v>
      </c>
      <c r="AC2786" s="217">
        <v>45000</v>
      </c>
      <c r="AD2786" s="65">
        <v>1396</v>
      </c>
      <c r="AE2786" s="17" t="s">
        <v>48</v>
      </c>
      <c r="AF2786" s="17" t="s">
        <v>560</v>
      </c>
      <c r="AI2786" s="17">
        <v>2600</v>
      </c>
    </row>
    <row r="2787" s="17" customFormat="1" ht="15.6" hidden="1" spans="1:35">
      <c r="A2787" s="17" t="s">
        <v>34</v>
      </c>
      <c r="B2787" s="19">
        <v>891</v>
      </c>
      <c r="C2787" s="239" t="s">
        <v>1051</v>
      </c>
      <c r="D2787" s="17" t="s">
        <v>52</v>
      </c>
      <c r="E2787" s="17" t="s">
        <v>53</v>
      </c>
      <c r="F2787" s="17" t="s">
        <v>54</v>
      </c>
      <c r="H2787" s="19">
        <v>1.2379</v>
      </c>
      <c r="I2787" s="19"/>
      <c r="J2787" s="17" t="s">
        <v>82</v>
      </c>
      <c r="K2787" s="245">
        <v>610</v>
      </c>
      <c r="L2787" s="159">
        <v>22</v>
      </c>
      <c r="M2787" s="19"/>
      <c r="N2787" s="19"/>
      <c r="O2787" s="19" t="s">
        <v>141</v>
      </c>
      <c r="P2787" s="266">
        <v>707</v>
      </c>
      <c r="Q2787" s="19">
        <f>342+365</f>
        <v>707</v>
      </c>
      <c r="R2787" s="19">
        <f t="shared" si="141"/>
        <v>0</v>
      </c>
      <c r="S2787" s="19">
        <v>2560</v>
      </c>
      <c r="T2787" s="19" t="s">
        <v>42</v>
      </c>
      <c r="U2787" s="102" t="s">
        <v>1053</v>
      </c>
      <c r="V2787" s="212" t="s">
        <v>1054</v>
      </c>
      <c r="W2787" s="17" t="s">
        <v>69</v>
      </c>
      <c r="Y2787" s="68">
        <v>45008</v>
      </c>
      <c r="Z2787" s="17" t="s">
        <v>191</v>
      </c>
      <c r="AA2787" s="17" t="s">
        <v>46</v>
      </c>
      <c r="AB2787" s="17" t="s">
        <v>1052</v>
      </c>
      <c r="AC2787" s="217">
        <v>45000</v>
      </c>
      <c r="AD2787" s="65">
        <v>1396</v>
      </c>
      <c r="AE2787" s="17" t="s">
        <v>48</v>
      </c>
      <c r="AF2787" s="17" t="s">
        <v>560</v>
      </c>
      <c r="AI2787" s="17">
        <v>2600</v>
      </c>
    </row>
    <row r="2788" s="17" customFormat="1" ht="15.6" hidden="1" spans="1:35">
      <c r="A2788" s="17" t="s">
        <v>34</v>
      </c>
      <c r="B2788" s="19">
        <v>891</v>
      </c>
      <c r="C2788" s="239" t="s">
        <v>1051</v>
      </c>
      <c r="D2788" s="17" t="s">
        <v>52</v>
      </c>
      <c r="E2788" s="17" t="s">
        <v>53</v>
      </c>
      <c r="F2788" s="17" t="s">
        <v>54</v>
      </c>
      <c r="H2788" s="19">
        <v>1.2379</v>
      </c>
      <c r="I2788" s="19"/>
      <c r="J2788" s="17" t="s">
        <v>82</v>
      </c>
      <c r="K2788" s="245">
        <v>810</v>
      </c>
      <c r="L2788" s="159">
        <v>24</v>
      </c>
      <c r="M2788" s="19"/>
      <c r="N2788" s="19"/>
      <c r="O2788" s="19" t="s">
        <v>141</v>
      </c>
      <c r="P2788" s="266">
        <v>735</v>
      </c>
      <c r="Q2788" s="19">
        <v>735</v>
      </c>
      <c r="R2788" s="19">
        <f t="shared" si="141"/>
        <v>0</v>
      </c>
      <c r="S2788" s="19">
        <v>2560</v>
      </c>
      <c r="T2788" s="19" t="s">
        <v>42</v>
      </c>
      <c r="U2788" s="102" t="s">
        <v>1053</v>
      </c>
      <c r="V2788" s="212" t="s">
        <v>1054</v>
      </c>
      <c r="W2788" s="17" t="s">
        <v>69</v>
      </c>
      <c r="Y2788" s="68">
        <v>45008</v>
      </c>
      <c r="Z2788" s="17" t="s">
        <v>191</v>
      </c>
      <c r="AA2788" s="17" t="s">
        <v>46</v>
      </c>
      <c r="AB2788" s="17" t="s">
        <v>1052</v>
      </c>
      <c r="AC2788" s="217">
        <v>45000</v>
      </c>
      <c r="AD2788" s="65">
        <v>1396</v>
      </c>
      <c r="AE2788" s="17" t="s">
        <v>48</v>
      </c>
      <c r="AF2788" s="17" t="s">
        <v>560</v>
      </c>
      <c r="AI2788" s="17">
        <v>2600</v>
      </c>
    </row>
    <row r="2789" s="17" customFormat="1" ht="15.6" hidden="1" spans="1:35">
      <c r="A2789" s="17" t="s">
        <v>34</v>
      </c>
      <c r="B2789" s="19">
        <v>891</v>
      </c>
      <c r="C2789" s="239" t="s">
        <v>1051</v>
      </c>
      <c r="D2789" s="17" t="s">
        <v>52</v>
      </c>
      <c r="E2789" s="17" t="s">
        <v>53</v>
      </c>
      <c r="F2789" s="17" t="s">
        <v>54</v>
      </c>
      <c r="H2789" s="19">
        <v>1.2379</v>
      </c>
      <c r="I2789" s="19"/>
      <c r="J2789" s="17" t="s">
        <v>82</v>
      </c>
      <c r="K2789" s="245">
        <v>150</v>
      </c>
      <c r="L2789" s="159">
        <v>25</v>
      </c>
      <c r="M2789" s="19"/>
      <c r="N2789" s="19"/>
      <c r="O2789" s="19" t="s">
        <v>141</v>
      </c>
      <c r="P2789" s="266">
        <v>53</v>
      </c>
      <c r="Q2789" s="19">
        <v>53</v>
      </c>
      <c r="R2789" s="19">
        <f t="shared" si="141"/>
        <v>0</v>
      </c>
      <c r="S2789" s="19">
        <v>2560</v>
      </c>
      <c r="T2789" s="19" t="s">
        <v>42</v>
      </c>
      <c r="U2789" s="102" t="s">
        <v>1053</v>
      </c>
      <c r="V2789" s="212" t="s">
        <v>1054</v>
      </c>
      <c r="W2789" s="17" t="s">
        <v>69</v>
      </c>
      <c r="Y2789" s="68">
        <v>45008</v>
      </c>
      <c r="Z2789" s="17" t="s">
        <v>191</v>
      </c>
      <c r="AA2789" s="17" t="s">
        <v>46</v>
      </c>
      <c r="AB2789" s="17" t="s">
        <v>1052</v>
      </c>
      <c r="AC2789" s="217">
        <v>45000</v>
      </c>
      <c r="AD2789" s="65">
        <v>1396</v>
      </c>
      <c r="AE2789" s="17" t="s">
        <v>48</v>
      </c>
      <c r="AF2789" s="17" t="s">
        <v>560</v>
      </c>
      <c r="AI2789" s="17">
        <v>2600</v>
      </c>
    </row>
    <row r="2790" s="17" customFormat="1" ht="15.6" hidden="1" spans="1:35">
      <c r="A2790" s="17" t="s">
        <v>34</v>
      </c>
      <c r="B2790" s="19">
        <v>891</v>
      </c>
      <c r="C2790" s="239" t="s">
        <v>1051</v>
      </c>
      <c r="D2790" s="17" t="s">
        <v>52</v>
      </c>
      <c r="E2790" s="17" t="s">
        <v>53</v>
      </c>
      <c r="F2790" s="17" t="s">
        <v>54</v>
      </c>
      <c r="H2790" s="19">
        <v>1.2379</v>
      </c>
      <c r="I2790" s="19"/>
      <c r="J2790" s="17" t="s">
        <v>82</v>
      </c>
      <c r="K2790" s="245">
        <v>360</v>
      </c>
      <c r="L2790" s="159">
        <v>25</v>
      </c>
      <c r="M2790" s="19"/>
      <c r="N2790" s="19"/>
      <c r="O2790" s="19" t="s">
        <v>141</v>
      </c>
      <c r="P2790" s="266">
        <v>300</v>
      </c>
      <c r="Q2790" s="19">
        <f>157+143</f>
        <v>300</v>
      </c>
      <c r="R2790" s="19">
        <f t="shared" si="141"/>
        <v>0</v>
      </c>
      <c r="S2790" s="19">
        <v>2560</v>
      </c>
      <c r="T2790" s="19" t="s">
        <v>42</v>
      </c>
      <c r="U2790" s="102" t="s">
        <v>1053</v>
      </c>
      <c r="V2790" s="212" t="s">
        <v>1054</v>
      </c>
      <c r="W2790" s="17" t="s">
        <v>69</v>
      </c>
      <c r="Y2790" s="68">
        <v>45008</v>
      </c>
      <c r="Z2790" s="17" t="s">
        <v>191</v>
      </c>
      <c r="AA2790" s="17" t="s">
        <v>46</v>
      </c>
      <c r="AB2790" s="17" t="s">
        <v>1052</v>
      </c>
      <c r="AC2790" s="217">
        <v>45000</v>
      </c>
      <c r="AD2790" s="65">
        <v>1396</v>
      </c>
      <c r="AE2790" s="17" t="s">
        <v>48</v>
      </c>
      <c r="AF2790" s="17" t="s">
        <v>560</v>
      </c>
      <c r="AI2790" s="17">
        <v>2600</v>
      </c>
    </row>
    <row r="2791" s="17" customFormat="1" ht="15.6" hidden="1" spans="1:35">
      <c r="A2791" s="17" t="s">
        <v>34</v>
      </c>
      <c r="B2791" s="19">
        <v>891</v>
      </c>
      <c r="C2791" s="239" t="s">
        <v>1051</v>
      </c>
      <c r="D2791" s="17" t="s">
        <v>52</v>
      </c>
      <c r="E2791" s="17" t="s">
        <v>53</v>
      </c>
      <c r="F2791" s="17" t="s">
        <v>54</v>
      </c>
      <c r="H2791" s="19">
        <v>1.2379</v>
      </c>
      <c r="I2791" s="19"/>
      <c r="J2791" s="17" t="s">
        <v>82</v>
      </c>
      <c r="K2791" s="245">
        <v>360</v>
      </c>
      <c r="L2791" s="159">
        <v>25</v>
      </c>
      <c r="M2791" s="19"/>
      <c r="N2791" s="19"/>
      <c r="O2791" s="19" t="s">
        <v>141</v>
      </c>
      <c r="P2791" s="266">
        <v>196</v>
      </c>
      <c r="Q2791" s="19">
        <v>196</v>
      </c>
      <c r="R2791" s="19">
        <f t="shared" si="141"/>
        <v>0</v>
      </c>
      <c r="S2791" s="19">
        <v>2560</v>
      </c>
      <c r="T2791" s="19" t="s">
        <v>42</v>
      </c>
      <c r="U2791" s="102" t="s">
        <v>1053</v>
      </c>
      <c r="V2791" s="212" t="s">
        <v>1054</v>
      </c>
      <c r="W2791" s="17" t="s">
        <v>69</v>
      </c>
      <c r="Y2791" s="68">
        <v>45008</v>
      </c>
      <c r="Z2791" s="17" t="s">
        <v>191</v>
      </c>
      <c r="AA2791" s="17" t="s">
        <v>46</v>
      </c>
      <c r="AB2791" s="17" t="s">
        <v>1052</v>
      </c>
      <c r="AC2791" s="217">
        <v>45000</v>
      </c>
      <c r="AD2791" s="65">
        <v>1396</v>
      </c>
      <c r="AE2791" s="17" t="s">
        <v>48</v>
      </c>
      <c r="AF2791" s="17" t="s">
        <v>560</v>
      </c>
      <c r="AI2791" s="17">
        <v>2600</v>
      </c>
    </row>
    <row r="2792" s="17" customFormat="1" ht="15.6" hidden="1" spans="1:35">
      <c r="A2792" s="17" t="s">
        <v>34</v>
      </c>
      <c r="B2792" s="19">
        <v>891</v>
      </c>
      <c r="C2792" s="239" t="s">
        <v>1051</v>
      </c>
      <c r="D2792" s="17" t="s">
        <v>52</v>
      </c>
      <c r="E2792" s="17" t="s">
        <v>53</v>
      </c>
      <c r="F2792" s="17" t="s">
        <v>54</v>
      </c>
      <c r="H2792" s="19">
        <v>1.2379</v>
      </c>
      <c r="I2792" s="19"/>
      <c r="J2792" s="17" t="s">
        <v>82</v>
      </c>
      <c r="K2792" s="245">
        <v>410</v>
      </c>
      <c r="L2792" s="159">
        <v>25</v>
      </c>
      <c r="M2792" s="19"/>
      <c r="N2792" s="19"/>
      <c r="O2792" s="19" t="s">
        <v>141</v>
      </c>
      <c r="P2792" s="266">
        <v>164</v>
      </c>
      <c r="Q2792" s="19">
        <v>164</v>
      </c>
      <c r="R2792" s="19">
        <f t="shared" ref="R2792:R2823" si="142">+P2792-Q2792</f>
        <v>0</v>
      </c>
      <c r="S2792" s="19">
        <v>2560</v>
      </c>
      <c r="T2792" s="19" t="s">
        <v>42</v>
      </c>
      <c r="U2792" s="102" t="s">
        <v>1053</v>
      </c>
      <c r="V2792" s="212" t="s">
        <v>1054</v>
      </c>
      <c r="W2792" s="17" t="s">
        <v>69</v>
      </c>
      <c r="Y2792" s="68">
        <v>45008</v>
      </c>
      <c r="Z2792" s="17" t="s">
        <v>191</v>
      </c>
      <c r="AA2792" s="17" t="s">
        <v>46</v>
      </c>
      <c r="AB2792" s="17" t="s">
        <v>1052</v>
      </c>
      <c r="AC2792" s="217">
        <v>45000</v>
      </c>
      <c r="AD2792" s="65">
        <v>1396</v>
      </c>
      <c r="AE2792" s="17" t="s">
        <v>48</v>
      </c>
      <c r="AF2792" s="17" t="s">
        <v>560</v>
      </c>
      <c r="AI2792" s="17">
        <v>2600</v>
      </c>
    </row>
    <row r="2793" s="17" customFormat="1" ht="15.6" hidden="1" spans="1:35">
      <c r="A2793" s="17" t="s">
        <v>34</v>
      </c>
      <c r="B2793" s="19">
        <v>891</v>
      </c>
      <c r="C2793" s="239" t="s">
        <v>1051</v>
      </c>
      <c r="D2793" s="17" t="s">
        <v>52</v>
      </c>
      <c r="E2793" s="17" t="s">
        <v>53</v>
      </c>
      <c r="F2793" s="17" t="s">
        <v>54</v>
      </c>
      <c r="H2793" s="19">
        <v>1.2379</v>
      </c>
      <c r="I2793" s="19"/>
      <c r="J2793" s="17" t="s">
        <v>82</v>
      </c>
      <c r="K2793" s="245">
        <v>410</v>
      </c>
      <c r="L2793" s="159">
        <v>27</v>
      </c>
      <c r="M2793" s="19"/>
      <c r="N2793" s="19"/>
      <c r="O2793" s="19" t="s">
        <v>141</v>
      </c>
      <c r="P2793" s="266">
        <v>444</v>
      </c>
      <c r="Q2793" s="19">
        <v>444</v>
      </c>
      <c r="R2793" s="19">
        <f t="shared" si="142"/>
        <v>0</v>
      </c>
      <c r="S2793" s="19">
        <v>2560</v>
      </c>
      <c r="T2793" s="19" t="s">
        <v>42</v>
      </c>
      <c r="U2793" s="102" t="s">
        <v>1053</v>
      </c>
      <c r="V2793" s="212" t="s">
        <v>1054</v>
      </c>
      <c r="W2793" s="17" t="s">
        <v>69</v>
      </c>
      <c r="Y2793" s="68">
        <v>45008</v>
      </c>
      <c r="Z2793" s="17" t="s">
        <v>191</v>
      </c>
      <c r="AA2793" s="17" t="s">
        <v>46</v>
      </c>
      <c r="AB2793" s="17" t="s">
        <v>1052</v>
      </c>
      <c r="AC2793" s="217">
        <v>45000</v>
      </c>
      <c r="AD2793" s="65">
        <v>1396</v>
      </c>
      <c r="AE2793" s="17" t="s">
        <v>48</v>
      </c>
      <c r="AF2793" s="17" t="s">
        <v>560</v>
      </c>
      <c r="AI2793" s="17">
        <v>2600</v>
      </c>
    </row>
    <row r="2794" s="17" customFormat="1" ht="15.6" hidden="1" spans="1:35">
      <c r="A2794" s="17" t="s">
        <v>34</v>
      </c>
      <c r="B2794" s="19">
        <v>891</v>
      </c>
      <c r="C2794" s="239" t="s">
        <v>1051</v>
      </c>
      <c r="D2794" s="17" t="s">
        <v>52</v>
      </c>
      <c r="E2794" s="17" t="s">
        <v>53</v>
      </c>
      <c r="F2794" s="17" t="s">
        <v>54</v>
      </c>
      <c r="H2794" s="19">
        <v>1.2379</v>
      </c>
      <c r="I2794" s="19"/>
      <c r="J2794" s="17" t="s">
        <v>82</v>
      </c>
      <c r="K2794" s="245">
        <v>610</v>
      </c>
      <c r="L2794" s="159">
        <v>27</v>
      </c>
      <c r="M2794" s="19"/>
      <c r="N2794" s="19"/>
      <c r="O2794" s="19" t="s">
        <v>141</v>
      </c>
      <c r="P2794" s="266">
        <v>671</v>
      </c>
      <c r="Q2794" s="19">
        <v>671</v>
      </c>
      <c r="R2794" s="19">
        <f t="shared" si="142"/>
        <v>0</v>
      </c>
      <c r="S2794" s="19">
        <v>2560</v>
      </c>
      <c r="T2794" s="19" t="s">
        <v>42</v>
      </c>
      <c r="U2794" s="102" t="s">
        <v>1053</v>
      </c>
      <c r="V2794" s="212" t="s">
        <v>1054</v>
      </c>
      <c r="W2794" s="17" t="s">
        <v>69</v>
      </c>
      <c r="Y2794" s="68">
        <v>45008</v>
      </c>
      <c r="Z2794" s="17" t="s">
        <v>191</v>
      </c>
      <c r="AA2794" s="17" t="s">
        <v>46</v>
      </c>
      <c r="AB2794" s="17" t="s">
        <v>1052</v>
      </c>
      <c r="AC2794" s="217">
        <v>45000</v>
      </c>
      <c r="AD2794" s="65">
        <v>1396</v>
      </c>
      <c r="AE2794" s="17" t="s">
        <v>48</v>
      </c>
      <c r="AF2794" s="17" t="s">
        <v>560</v>
      </c>
      <c r="AI2794" s="17">
        <v>2600</v>
      </c>
    </row>
    <row r="2795" s="17" customFormat="1" ht="15.6" hidden="1" spans="1:35">
      <c r="A2795" s="17" t="s">
        <v>34</v>
      </c>
      <c r="B2795" s="19">
        <v>891</v>
      </c>
      <c r="C2795" s="239" t="s">
        <v>1051</v>
      </c>
      <c r="D2795" s="17" t="s">
        <v>52</v>
      </c>
      <c r="E2795" s="17" t="s">
        <v>53</v>
      </c>
      <c r="F2795" s="17" t="s">
        <v>54</v>
      </c>
      <c r="H2795" s="19">
        <v>1.2379</v>
      </c>
      <c r="I2795" s="19"/>
      <c r="J2795" s="17" t="s">
        <v>82</v>
      </c>
      <c r="K2795" s="245">
        <v>610</v>
      </c>
      <c r="L2795" s="159">
        <v>27</v>
      </c>
      <c r="M2795" s="19"/>
      <c r="N2795" s="19"/>
      <c r="O2795" s="19" t="s">
        <v>141</v>
      </c>
      <c r="P2795" s="266">
        <v>623</v>
      </c>
      <c r="Q2795" s="19">
        <v>623</v>
      </c>
      <c r="R2795" s="19">
        <f t="shared" si="142"/>
        <v>0</v>
      </c>
      <c r="S2795" s="19">
        <v>2560</v>
      </c>
      <c r="T2795" s="19" t="s">
        <v>42</v>
      </c>
      <c r="U2795" s="102" t="s">
        <v>1053</v>
      </c>
      <c r="V2795" s="212" t="s">
        <v>1054</v>
      </c>
      <c r="W2795" s="17" t="s">
        <v>69</v>
      </c>
      <c r="Y2795" s="68">
        <v>45008</v>
      </c>
      <c r="Z2795" s="17" t="s">
        <v>191</v>
      </c>
      <c r="AA2795" s="17" t="s">
        <v>46</v>
      </c>
      <c r="AB2795" s="17" t="s">
        <v>1052</v>
      </c>
      <c r="AC2795" s="217">
        <v>45000</v>
      </c>
      <c r="AD2795" s="65">
        <v>1396</v>
      </c>
      <c r="AE2795" s="17" t="s">
        <v>48</v>
      </c>
      <c r="AF2795" s="17" t="s">
        <v>560</v>
      </c>
      <c r="AI2795" s="17">
        <v>2600</v>
      </c>
    </row>
    <row r="2796" s="17" customFormat="1" ht="15.6" hidden="1" spans="1:35">
      <c r="A2796" s="17" t="s">
        <v>34</v>
      </c>
      <c r="B2796" s="19">
        <v>891</v>
      </c>
      <c r="C2796" s="239" t="s">
        <v>1051</v>
      </c>
      <c r="D2796" s="17" t="s">
        <v>52</v>
      </c>
      <c r="E2796" s="17" t="s">
        <v>53</v>
      </c>
      <c r="F2796" s="17" t="s">
        <v>54</v>
      </c>
      <c r="H2796" s="19">
        <v>1.2379</v>
      </c>
      <c r="I2796" s="19"/>
      <c r="J2796" s="17" t="s">
        <v>82</v>
      </c>
      <c r="K2796" s="245">
        <v>210</v>
      </c>
      <c r="L2796" s="159">
        <v>32</v>
      </c>
      <c r="M2796" s="19"/>
      <c r="N2796" s="19"/>
      <c r="O2796" s="19" t="s">
        <v>141</v>
      </c>
      <c r="P2796" s="266">
        <v>99</v>
      </c>
      <c r="Q2796" s="19">
        <v>99</v>
      </c>
      <c r="R2796" s="19">
        <f t="shared" si="142"/>
        <v>0</v>
      </c>
      <c r="S2796" s="19">
        <v>2560</v>
      </c>
      <c r="T2796" s="19" t="s">
        <v>42</v>
      </c>
      <c r="U2796" s="102" t="s">
        <v>1053</v>
      </c>
      <c r="V2796" s="212" t="s">
        <v>1054</v>
      </c>
      <c r="W2796" s="17" t="s">
        <v>69</v>
      </c>
      <c r="Y2796" s="68">
        <v>45008</v>
      </c>
      <c r="Z2796" s="17" t="s">
        <v>191</v>
      </c>
      <c r="AA2796" s="17" t="s">
        <v>46</v>
      </c>
      <c r="AB2796" s="17" t="s">
        <v>1052</v>
      </c>
      <c r="AC2796" s="217">
        <v>45000</v>
      </c>
      <c r="AD2796" s="65">
        <v>1396</v>
      </c>
      <c r="AE2796" s="17" t="s">
        <v>48</v>
      </c>
      <c r="AF2796" s="17" t="s">
        <v>560</v>
      </c>
      <c r="AI2796" s="17">
        <v>2600</v>
      </c>
    </row>
    <row r="2797" s="17" customFormat="1" ht="15.6" hidden="1" spans="1:35">
      <c r="A2797" s="17" t="s">
        <v>34</v>
      </c>
      <c r="B2797" s="19">
        <v>891</v>
      </c>
      <c r="C2797" s="239" t="s">
        <v>1051</v>
      </c>
      <c r="D2797" s="17" t="s">
        <v>52</v>
      </c>
      <c r="E2797" s="17" t="s">
        <v>53</v>
      </c>
      <c r="F2797" s="17" t="s">
        <v>54</v>
      </c>
      <c r="H2797" s="19">
        <v>1.2379</v>
      </c>
      <c r="I2797" s="19"/>
      <c r="J2797" s="17" t="s">
        <v>82</v>
      </c>
      <c r="K2797" s="245">
        <v>300</v>
      </c>
      <c r="L2797" s="159">
        <v>32</v>
      </c>
      <c r="M2797" s="19"/>
      <c r="N2797" s="19"/>
      <c r="O2797" s="19" t="s">
        <v>141</v>
      </c>
      <c r="P2797" s="266">
        <v>136</v>
      </c>
      <c r="Q2797" s="19">
        <v>136</v>
      </c>
      <c r="R2797" s="19">
        <f t="shared" si="142"/>
        <v>0</v>
      </c>
      <c r="S2797" s="19">
        <v>2560</v>
      </c>
      <c r="T2797" s="19" t="s">
        <v>42</v>
      </c>
      <c r="U2797" s="102" t="s">
        <v>1053</v>
      </c>
      <c r="V2797" s="212" t="s">
        <v>1054</v>
      </c>
      <c r="W2797" s="17" t="s">
        <v>69</v>
      </c>
      <c r="Y2797" s="68">
        <v>45008</v>
      </c>
      <c r="Z2797" s="17" t="s">
        <v>191</v>
      </c>
      <c r="AA2797" s="17" t="s">
        <v>46</v>
      </c>
      <c r="AB2797" s="17" t="s">
        <v>1052</v>
      </c>
      <c r="AC2797" s="217">
        <v>45000</v>
      </c>
      <c r="AD2797" s="65">
        <v>1396</v>
      </c>
      <c r="AE2797" s="17" t="s">
        <v>48</v>
      </c>
      <c r="AF2797" s="17" t="s">
        <v>560</v>
      </c>
      <c r="AI2797" s="17">
        <v>2600</v>
      </c>
    </row>
    <row r="2798" s="17" customFormat="1" ht="15.6" hidden="1" spans="1:35">
      <c r="A2798" s="17" t="s">
        <v>34</v>
      </c>
      <c r="B2798" s="19">
        <v>891</v>
      </c>
      <c r="C2798" s="239" t="s">
        <v>1051</v>
      </c>
      <c r="D2798" s="17" t="s">
        <v>52</v>
      </c>
      <c r="E2798" s="17" t="s">
        <v>53</v>
      </c>
      <c r="F2798" s="17" t="s">
        <v>54</v>
      </c>
      <c r="H2798" s="19">
        <v>1.2379</v>
      </c>
      <c r="I2798" s="19"/>
      <c r="J2798" s="17" t="s">
        <v>82</v>
      </c>
      <c r="K2798" s="245">
        <v>200</v>
      </c>
      <c r="L2798" s="159">
        <v>40</v>
      </c>
      <c r="M2798" s="19"/>
      <c r="N2798" s="19"/>
      <c r="O2798" s="19" t="s">
        <v>141</v>
      </c>
      <c r="P2798" s="266">
        <v>158</v>
      </c>
      <c r="Q2798" s="19">
        <v>158</v>
      </c>
      <c r="R2798" s="19">
        <f t="shared" si="142"/>
        <v>0</v>
      </c>
      <c r="S2798" s="19">
        <v>2560</v>
      </c>
      <c r="T2798" s="19" t="s">
        <v>42</v>
      </c>
      <c r="U2798" s="102" t="s">
        <v>1053</v>
      </c>
      <c r="V2798" s="212" t="s">
        <v>1054</v>
      </c>
      <c r="W2798" s="17" t="s">
        <v>69</v>
      </c>
      <c r="Y2798" s="68">
        <v>45008</v>
      </c>
      <c r="Z2798" s="17" t="s">
        <v>191</v>
      </c>
      <c r="AA2798" s="17" t="s">
        <v>46</v>
      </c>
      <c r="AB2798" s="17" t="s">
        <v>1052</v>
      </c>
      <c r="AC2798" s="217">
        <v>45000</v>
      </c>
      <c r="AD2798" s="65">
        <v>1396</v>
      </c>
      <c r="AE2798" s="17" t="s">
        <v>48</v>
      </c>
      <c r="AF2798" s="17" t="s">
        <v>560</v>
      </c>
      <c r="AI2798" s="17">
        <v>2600</v>
      </c>
    </row>
    <row r="2799" s="17" customFormat="1" ht="15.6" hidden="1" spans="1:35">
      <c r="A2799" s="17" t="s">
        <v>34</v>
      </c>
      <c r="B2799" s="19">
        <v>891</v>
      </c>
      <c r="C2799" s="239" t="s">
        <v>1051</v>
      </c>
      <c r="D2799" s="17" t="s">
        <v>52</v>
      </c>
      <c r="E2799" s="17" t="s">
        <v>53</v>
      </c>
      <c r="F2799" s="17" t="s">
        <v>54</v>
      </c>
      <c r="H2799" s="19">
        <v>1.2379</v>
      </c>
      <c r="I2799" s="19"/>
      <c r="J2799" s="17" t="s">
        <v>82</v>
      </c>
      <c r="K2799" s="245">
        <v>410</v>
      </c>
      <c r="L2799" s="159">
        <v>40</v>
      </c>
      <c r="M2799" s="19"/>
      <c r="N2799" s="19"/>
      <c r="O2799" s="19" t="s">
        <v>141</v>
      </c>
      <c r="P2799" s="266">
        <v>250</v>
      </c>
      <c r="Q2799" s="19">
        <v>250</v>
      </c>
      <c r="R2799" s="19">
        <f t="shared" si="142"/>
        <v>0</v>
      </c>
      <c r="S2799" s="19">
        <v>2560</v>
      </c>
      <c r="T2799" s="19" t="s">
        <v>42</v>
      </c>
      <c r="U2799" s="102" t="s">
        <v>1053</v>
      </c>
      <c r="V2799" s="212" t="s">
        <v>1054</v>
      </c>
      <c r="W2799" s="17" t="s">
        <v>69</v>
      </c>
      <c r="Y2799" s="68">
        <v>45008</v>
      </c>
      <c r="Z2799" s="17" t="s">
        <v>191</v>
      </c>
      <c r="AA2799" s="17" t="s">
        <v>46</v>
      </c>
      <c r="AB2799" s="17" t="s">
        <v>1052</v>
      </c>
      <c r="AC2799" s="217">
        <v>45000</v>
      </c>
      <c r="AD2799" s="65">
        <v>1396</v>
      </c>
      <c r="AE2799" s="17" t="s">
        <v>48</v>
      </c>
      <c r="AF2799" s="17" t="s">
        <v>560</v>
      </c>
    </row>
    <row r="2800" s="17" customFormat="1" ht="15.6" hidden="1" spans="1:35">
      <c r="A2800" s="17" t="s">
        <v>34</v>
      </c>
      <c r="B2800" s="19">
        <v>891</v>
      </c>
      <c r="C2800" s="239" t="s">
        <v>1051</v>
      </c>
      <c r="D2800" s="17" t="s">
        <v>52</v>
      </c>
      <c r="E2800" s="17" t="s">
        <v>53</v>
      </c>
      <c r="F2800" s="17" t="s">
        <v>54</v>
      </c>
      <c r="H2800" s="19">
        <v>1.2379</v>
      </c>
      <c r="I2800" s="19"/>
      <c r="J2800" s="17" t="s">
        <v>82</v>
      </c>
      <c r="K2800" s="245">
        <v>210</v>
      </c>
      <c r="L2800" s="159">
        <v>45</v>
      </c>
      <c r="M2800" s="19"/>
      <c r="N2800" s="19"/>
      <c r="O2800" s="19" t="s">
        <v>141</v>
      </c>
      <c r="P2800" s="266">
        <v>165</v>
      </c>
      <c r="Q2800" s="19">
        <v>165</v>
      </c>
      <c r="R2800" s="19">
        <f t="shared" si="142"/>
        <v>0</v>
      </c>
      <c r="S2800" s="19">
        <v>2560</v>
      </c>
      <c r="T2800" s="19" t="s">
        <v>42</v>
      </c>
      <c r="U2800" s="102" t="s">
        <v>1053</v>
      </c>
      <c r="V2800" s="212" t="s">
        <v>1054</v>
      </c>
      <c r="W2800" s="17" t="s">
        <v>69</v>
      </c>
      <c r="Y2800" s="68">
        <v>45008</v>
      </c>
      <c r="Z2800" s="17" t="s">
        <v>191</v>
      </c>
      <c r="AA2800" s="17" t="s">
        <v>46</v>
      </c>
      <c r="AB2800" s="17" t="s">
        <v>1052</v>
      </c>
      <c r="AC2800" s="217">
        <v>45000</v>
      </c>
      <c r="AD2800" s="65">
        <v>1396</v>
      </c>
      <c r="AE2800" s="17" t="s">
        <v>48</v>
      </c>
      <c r="AF2800" s="17" t="s">
        <v>560</v>
      </c>
      <c r="AI2800" s="17">
        <v>2600</v>
      </c>
    </row>
    <row r="2801" s="17" customFormat="1" ht="15.6" hidden="1" spans="1:35">
      <c r="A2801" s="17" t="s">
        <v>34</v>
      </c>
      <c r="B2801" s="19">
        <v>891</v>
      </c>
      <c r="C2801" s="239" t="s">
        <v>1051</v>
      </c>
      <c r="D2801" s="17" t="s">
        <v>52</v>
      </c>
      <c r="E2801" s="17" t="s">
        <v>53</v>
      </c>
      <c r="F2801" s="17" t="s">
        <v>54</v>
      </c>
      <c r="H2801" s="19">
        <v>1.2379</v>
      </c>
      <c r="I2801" s="19"/>
      <c r="J2801" s="17" t="s">
        <v>82</v>
      </c>
      <c r="K2801" s="245">
        <v>260</v>
      </c>
      <c r="L2801" s="159">
        <v>45</v>
      </c>
      <c r="M2801" s="19"/>
      <c r="N2801" s="19"/>
      <c r="O2801" s="19" t="s">
        <v>141</v>
      </c>
      <c r="P2801" s="266">
        <v>260</v>
      </c>
      <c r="Q2801" s="19">
        <v>171</v>
      </c>
      <c r="R2801" s="19">
        <f t="shared" si="142"/>
        <v>89</v>
      </c>
      <c r="S2801" s="19">
        <v>2560</v>
      </c>
      <c r="T2801" s="19" t="s">
        <v>42</v>
      </c>
      <c r="U2801" s="102" t="s">
        <v>1053</v>
      </c>
      <c r="V2801" s="212" t="s">
        <v>1054</v>
      </c>
      <c r="W2801" s="17" t="s">
        <v>69</v>
      </c>
      <c r="Y2801" s="68">
        <v>45008</v>
      </c>
      <c r="Z2801" s="17" t="s">
        <v>191</v>
      </c>
      <c r="AA2801" s="17" t="s">
        <v>46</v>
      </c>
      <c r="AB2801" s="17" t="s">
        <v>1052</v>
      </c>
      <c r="AC2801" s="217">
        <v>45000</v>
      </c>
      <c r="AD2801" s="65">
        <v>1396</v>
      </c>
      <c r="AE2801" s="17" t="s">
        <v>48</v>
      </c>
      <c r="AF2801" s="17" t="s">
        <v>560</v>
      </c>
      <c r="AI2801" s="17">
        <v>2600</v>
      </c>
    </row>
    <row r="2802" s="17" customFormat="1" ht="15.6" hidden="1" spans="1:35">
      <c r="A2802" s="17" t="s">
        <v>34</v>
      </c>
      <c r="B2802" s="19">
        <v>891</v>
      </c>
      <c r="C2802" s="239" t="s">
        <v>1051</v>
      </c>
      <c r="D2802" s="17" t="s">
        <v>52</v>
      </c>
      <c r="E2802" s="17" t="s">
        <v>53</v>
      </c>
      <c r="F2802" s="17" t="s">
        <v>54</v>
      </c>
      <c r="H2802" s="19">
        <v>1.2379</v>
      </c>
      <c r="I2802" s="19"/>
      <c r="J2802" s="17" t="s">
        <v>82</v>
      </c>
      <c r="K2802" s="245">
        <v>410</v>
      </c>
      <c r="L2802" s="159">
        <v>45</v>
      </c>
      <c r="M2802" s="19"/>
      <c r="N2802" s="19"/>
      <c r="O2802" s="19" t="s">
        <v>141</v>
      </c>
      <c r="P2802" s="266">
        <v>336</v>
      </c>
      <c r="Q2802" s="19">
        <v>336</v>
      </c>
      <c r="R2802" s="19">
        <f t="shared" si="142"/>
        <v>0</v>
      </c>
      <c r="S2802" s="19">
        <v>2560</v>
      </c>
      <c r="T2802" s="19" t="s">
        <v>42</v>
      </c>
      <c r="U2802" s="102" t="s">
        <v>1053</v>
      </c>
      <c r="V2802" s="212" t="s">
        <v>1054</v>
      </c>
      <c r="W2802" s="17" t="s">
        <v>69</v>
      </c>
      <c r="Y2802" s="68">
        <v>45008</v>
      </c>
      <c r="Z2802" s="17" t="s">
        <v>191</v>
      </c>
      <c r="AA2802" s="17" t="s">
        <v>46</v>
      </c>
      <c r="AB2802" s="17" t="s">
        <v>1052</v>
      </c>
      <c r="AC2802" s="217">
        <v>45000</v>
      </c>
      <c r="AD2802" s="65">
        <v>1396</v>
      </c>
      <c r="AE2802" s="17" t="s">
        <v>48</v>
      </c>
      <c r="AF2802" s="17" t="s">
        <v>560</v>
      </c>
      <c r="AI2802" s="17">
        <v>2600</v>
      </c>
    </row>
    <row r="2803" s="17" customFormat="1" ht="15.6" hidden="1" spans="1:35">
      <c r="A2803" s="17" t="s">
        <v>34</v>
      </c>
      <c r="B2803" s="19">
        <v>891</v>
      </c>
      <c r="C2803" s="239" t="s">
        <v>1051</v>
      </c>
      <c r="D2803" s="17" t="s">
        <v>52</v>
      </c>
      <c r="E2803" s="17" t="s">
        <v>53</v>
      </c>
      <c r="F2803" s="17" t="s">
        <v>54</v>
      </c>
      <c r="H2803" s="19">
        <v>1.2379</v>
      </c>
      <c r="I2803" s="19"/>
      <c r="J2803" s="17" t="s">
        <v>82</v>
      </c>
      <c r="K2803" s="245">
        <v>250</v>
      </c>
      <c r="L2803" s="159">
        <v>50</v>
      </c>
      <c r="M2803" s="19"/>
      <c r="N2803" s="19"/>
      <c r="O2803" s="19" t="s">
        <v>141</v>
      </c>
      <c r="P2803" s="266">
        <v>155</v>
      </c>
      <c r="Q2803" s="19">
        <v>155</v>
      </c>
      <c r="R2803" s="19">
        <f t="shared" si="142"/>
        <v>0</v>
      </c>
      <c r="S2803" s="19">
        <v>2560</v>
      </c>
      <c r="T2803" s="19" t="s">
        <v>42</v>
      </c>
      <c r="U2803" s="102" t="s">
        <v>1053</v>
      </c>
      <c r="V2803" s="212" t="s">
        <v>1054</v>
      </c>
      <c r="W2803" s="17" t="s">
        <v>69</v>
      </c>
      <c r="Y2803" s="68">
        <v>45008</v>
      </c>
      <c r="Z2803" s="17" t="s">
        <v>191</v>
      </c>
      <c r="AA2803" s="17" t="s">
        <v>46</v>
      </c>
      <c r="AB2803" s="17" t="s">
        <v>1052</v>
      </c>
      <c r="AC2803" s="217">
        <v>45000</v>
      </c>
      <c r="AD2803" s="65">
        <v>1396</v>
      </c>
      <c r="AE2803" s="17" t="s">
        <v>48</v>
      </c>
      <c r="AF2803" s="17" t="s">
        <v>560</v>
      </c>
      <c r="AI2803" s="17">
        <v>2600</v>
      </c>
    </row>
    <row r="2804" s="17" customFormat="1" ht="15.6" hidden="1" spans="1:35">
      <c r="A2804" s="17" t="s">
        <v>34</v>
      </c>
      <c r="B2804" s="19">
        <v>891</v>
      </c>
      <c r="C2804" s="239" t="s">
        <v>1051</v>
      </c>
      <c r="D2804" s="17" t="s">
        <v>52</v>
      </c>
      <c r="E2804" s="17" t="s">
        <v>53</v>
      </c>
      <c r="F2804" s="17" t="s">
        <v>54</v>
      </c>
      <c r="H2804" s="19">
        <v>1.2379</v>
      </c>
      <c r="I2804" s="19"/>
      <c r="J2804" s="17" t="s">
        <v>82</v>
      </c>
      <c r="K2804" s="245">
        <v>200</v>
      </c>
      <c r="L2804" s="159">
        <v>50</v>
      </c>
      <c r="M2804" s="19"/>
      <c r="N2804" s="19"/>
      <c r="O2804" s="19" t="s">
        <v>141</v>
      </c>
      <c r="P2804" s="266">
        <v>120</v>
      </c>
      <c r="Q2804" s="19">
        <v>120</v>
      </c>
      <c r="R2804" s="19">
        <f t="shared" si="142"/>
        <v>0</v>
      </c>
      <c r="S2804" s="19">
        <v>2560</v>
      </c>
      <c r="T2804" s="19" t="s">
        <v>42</v>
      </c>
      <c r="U2804" s="102" t="s">
        <v>1053</v>
      </c>
      <c r="V2804" s="212" t="s">
        <v>1054</v>
      </c>
      <c r="W2804" s="17" t="s">
        <v>69</v>
      </c>
      <c r="Y2804" s="68">
        <v>45008</v>
      </c>
      <c r="Z2804" s="17" t="s">
        <v>191</v>
      </c>
      <c r="AA2804" s="17" t="s">
        <v>46</v>
      </c>
      <c r="AB2804" s="17" t="s">
        <v>1052</v>
      </c>
      <c r="AC2804" s="217">
        <v>45000</v>
      </c>
      <c r="AD2804" s="65">
        <v>1396</v>
      </c>
      <c r="AE2804" s="17" t="s">
        <v>48</v>
      </c>
      <c r="AF2804" s="17" t="s">
        <v>560</v>
      </c>
      <c r="AI2804" s="17">
        <v>2600</v>
      </c>
    </row>
    <row r="2805" s="17" customFormat="1" ht="15.6" hidden="1" spans="1:35">
      <c r="A2805" s="17" t="s">
        <v>34</v>
      </c>
      <c r="B2805" s="19">
        <v>891</v>
      </c>
      <c r="C2805" s="239" t="s">
        <v>1051</v>
      </c>
      <c r="D2805" s="17" t="s">
        <v>52</v>
      </c>
      <c r="E2805" s="17" t="s">
        <v>53</v>
      </c>
      <c r="F2805" s="17" t="s">
        <v>54</v>
      </c>
      <c r="H2805" s="19">
        <v>1.2379</v>
      </c>
      <c r="I2805" s="19"/>
      <c r="J2805" s="17" t="s">
        <v>82</v>
      </c>
      <c r="K2805" s="245">
        <v>360</v>
      </c>
      <c r="L2805" s="159">
        <v>50</v>
      </c>
      <c r="M2805" s="19"/>
      <c r="N2805" s="19"/>
      <c r="O2805" s="19" t="s">
        <v>141</v>
      </c>
      <c r="P2805" s="266">
        <v>761</v>
      </c>
      <c r="Q2805" s="19">
        <v>761</v>
      </c>
      <c r="R2805" s="19">
        <f t="shared" si="142"/>
        <v>0</v>
      </c>
      <c r="S2805" s="19">
        <v>2560</v>
      </c>
      <c r="T2805" s="19" t="s">
        <v>42</v>
      </c>
      <c r="U2805" s="102" t="s">
        <v>1053</v>
      </c>
      <c r="V2805" s="212" t="s">
        <v>1054</v>
      </c>
      <c r="W2805" s="17" t="s">
        <v>69</v>
      </c>
      <c r="Y2805" s="68">
        <v>45008</v>
      </c>
      <c r="Z2805" s="17" t="s">
        <v>191</v>
      </c>
      <c r="AA2805" s="17" t="s">
        <v>46</v>
      </c>
      <c r="AB2805" s="17" t="s">
        <v>1052</v>
      </c>
      <c r="AC2805" s="217">
        <v>45000</v>
      </c>
      <c r="AD2805" s="65">
        <v>1396</v>
      </c>
      <c r="AE2805" s="17" t="s">
        <v>48</v>
      </c>
      <c r="AF2805" s="17" t="s">
        <v>560</v>
      </c>
      <c r="AI2805" s="17">
        <v>2600</v>
      </c>
    </row>
    <row r="2806" s="17" customFormat="1" ht="15.6" hidden="1" spans="1:35">
      <c r="A2806" s="17" t="s">
        <v>34</v>
      </c>
      <c r="B2806" s="19">
        <v>891</v>
      </c>
      <c r="C2806" s="239" t="s">
        <v>1051</v>
      </c>
      <c r="D2806" s="17" t="s">
        <v>52</v>
      </c>
      <c r="E2806" s="17" t="s">
        <v>53</v>
      </c>
      <c r="F2806" s="17" t="s">
        <v>54</v>
      </c>
      <c r="H2806" s="19">
        <v>1.2379</v>
      </c>
      <c r="I2806" s="19"/>
      <c r="J2806" s="17" t="s">
        <v>82</v>
      </c>
      <c r="K2806" s="245">
        <v>400</v>
      </c>
      <c r="L2806" s="159">
        <v>50</v>
      </c>
      <c r="M2806" s="19"/>
      <c r="N2806" s="19"/>
      <c r="O2806" s="19" t="s">
        <v>141</v>
      </c>
      <c r="P2806" s="266">
        <v>244</v>
      </c>
      <c r="Q2806" s="19">
        <v>244</v>
      </c>
      <c r="R2806" s="19">
        <f t="shared" si="142"/>
        <v>0</v>
      </c>
      <c r="S2806" s="19">
        <v>2560</v>
      </c>
      <c r="T2806" s="19" t="s">
        <v>42</v>
      </c>
      <c r="U2806" s="102" t="s">
        <v>1053</v>
      </c>
      <c r="V2806" s="212" t="s">
        <v>1054</v>
      </c>
      <c r="W2806" s="17" t="s">
        <v>69</v>
      </c>
      <c r="Y2806" s="68">
        <v>45008</v>
      </c>
      <c r="Z2806" s="17" t="s">
        <v>191</v>
      </c>
      <c r="AA2806" s="17" t="s">
        <v>46</v>
      </c>
      <c r="AB2806" s="17" t="s">
        <v>1052</v>
      </c>
      <c r="AC2806" s="217">
        <v>45000</v>
      </c>
      <c r="AD2806" s="65">
        <v>1396</v>
      </c>
      <c r="AE2806" s="17" t="s">
        <v>48</v>
      </c>
      <c r="AF2806" s="17" t="s">
        <v>560</v>
      </c>
      <c r="AI2806" s="17">
        <v>2600</v>
      </c>
    </row>
    <row r="2807" s="17" customFormat="1" ht="15.6" hidden="1" spans="1:35">
      <c r="A2807" s="17" t="s">
        <v>34</v>
      </c>
      <c r="B2807" s="19">
        <v>891</v>
      </c>
      <c r="C2807" s="239" t="s">
        <v>1051</v>
      </c>
      <c r="D2807" s="17" t="s">
        <v>52</v>
      </c>
      <c r="E2807" s="17" t="s">
        <v>53</v>
      </c>
      <c r="F2807" s="17" t="s">
        <v>54</v>
      </c>
      <c r="H2807" s="19">
        <v>1.2379</v>
      </c>
      <c r="I2807" s="19"/>
      <c r="J2807" s="17" t="s">
        <v>82</v>
      </c>
      <c r="K2807" s="245">
        <v>460</v>
      </c>
      <c r="L2807" s="159">
        <v>50</v>
      </c>
      <c r="M2807" s="19"/>
      <c r="N2807" s="19"/>
      <c r="O2807" s="19" t="s">
        <v>141</v>
      </c>
      <c r="P2807" s="266">
        <v>899</v>
      </c>
      <c r="Q2807" s="19">
        <v>899</v>
      </c>
      <c r="R2807" s="19">
        <f t="shared" si="142"/>
        <v>0</v>
      </c>
      <c r="S2807" s="19">
        <v>2560</v>
      </c>
      <c r="T2807" s="19" t="s">
        <v>42</v>
      </c>
      <c r="U2807" s="102" t="s">
        <v>1053</v>
      </c>
      <c r="V2807" s="212" t="s">
        <v>1054</v>
      </c>
      <c r="W2807" s="17" t="s">
        <v>69</v>
      </c>
      <c r="Y2807" s="68">
        <v>45008</v>
      </c>
      <c r="Z2807" s="17" t="s">
        <v>191</v>
      </c>
      <c r="AA2807" s="17" t="s">
        <v>46</v>
      </c>
      <c r="AB2807" s="17" t="s">
        <v>1052</v>
      </c>
      <c r="AC2807" s="217">
        <v>45000</v>
      </c>
      <c r="AD2807" s="65">
        <v>1396</v>
      </c>
      <c r="AE2807" s="17" t="s">
        <v>48</v>
      </c>
      <c r="AF2807" s="17" t="s">
        <v>560</v>
      </c>
      <c r="AI2807" s="17">
        <v>2600</v>
      </c>
    </row>
    <row r="2808" s="17" customFormat="1" ht="15.6" hidden="1" spans="1:35">
      <c r="A2808" s="17" t="s">
        <v>34</v>
      </c>
      <c r="B2808" s="19">
        <v>891</v>
      </c>
      <c r="C2808" s="239" t="s">
        <v>1051</v>
      </c>
      <c r="D2808" s="17" t="s">
        <v>52</v>
      </c>
      <c r="E2808" s="17" t="s">
        <v>53</v>
      </c>
      <c r="F2808" s="17" t="s">
        <v>54</v>
      </c>
      <c r="H2808" s="19">
        <v>1.2379</v>
      </c>
      <c r="I2808" s="19"/>
      <c r="J2808" s="17" t="s">
        <v>82</v>
      </c>
      <c r="K2808" s="245">
        <v>510</v>
      </c>
      <c r="L2808" s="159">
        <v>50</v>
      </c>
      <c r="M2808" s="19"/>
      <c r="N2808" s="19"/>
      <c r="O2808" s="19" t="s">
        <v>141</v>
      </c>
      <c r="P2808" s="266">
        <v>1265</v>
      </c>
      <c r="Q2808" s="19">
        <v>1164</v>
      </c>
      <c r="R2808" s="19">
        <f t="shared" si="142"/>
        <v>101</v>
      </c>
      <c r="S2808" s="19">
        <v>2560</v>
      </c>
      <c r="T2808" s="19" t="s">
        <v>42</v>
      </c>
      <c r="U2808" s="102" t="s">
        <v>1053</v>
      </c>
      <c r="V2808" s="212" t="s">
        <v>1054</v>
      </c>
      <c r="W2808" s="17" t="s">
        <v>69</v>
      </c>
      <c r="Y2808" s="68">
        <v>45008</v>
      </c>
      <c r="Z2808" s="17" t="s">
        <v>191</v>
      </c>
      <c r="AA2808" s="17" t="s">
        <v>46</v>
      </c>
      <c r="AB2808" s="17" t="s">
        <v>1052</v>
      </c>
      <c r="AC2808" s="217">
        <v>45000</v>
      </c>
      <c r="AD2808" s="65">
        <v>1396</v>
      </c>
      <c r="AE2808" s="17" t="s">
        <v>48</v>
      </c>
      <c r="AF2808" s="17" t="s">
        <v>560</v>
      </c>
      <c r="AI2808" s="17">
        <v>2600</v>
      </c>
    </row>
    <row r="2809" s="17" customFormat="1" ht="15.6" hidden="1" spans="1:35">
      <c r="A2809" s="17" t="s">
        <v>34</v>
      </c>
      <c r="B2809" s="19">
        <v>891</v>
      </c>
      <c r="C2809" s="239" t="s">
        <v>1051</v>
      </c>
      <c r="D2809" s="17" t="s">
        <v>52</v>
      </c>
      <c r="E2809" s="17" t="s">
        <v>53</v>
      </c>
      <c r="F2809" s="17" t="s">
        <v>54</v>
      </c>
      <c r="H2809" s="19">
        <v>1.2379</v>
      </c>
      <c r="I2809" s="19"/>
      <c r="J2809" s="17" t="s">
        <v>82</v>
      </c>
      <c r="K2809" s="245">
        <v>610</v>
      </c>
      <c r="L2809" s="159">
        <v>50</v>
      </c>
      <c r="M2809" s="19"/>
      <c r="N2809" s="19"/>
      <c r="O2809" s="19" t="s">
        <v>141</v>
      </c>
      <c r="P2809" s="266">
        <v>1320</v>
      </c>
      <c r="Q2809" s="19">
        <v>1320</v>
      </c>
      <c r="R2809" s="19">
        <f t="shared" si="142"/>
        <v>0</v>
      </c>
      <c r="S2809" s="19">
        <v>2560</v>
      </c>
      <c r="T2809" s="19" t="s">
        <v>42</v>
      </c>
      <c r="U2809" s="102" t="s">
        <v>1053</v>
      </c>
      <c r="V2809" s="212" t="s">
        <v>1054</v>
      </c>
      <c r="W2809" s="17" t="s">
        <v>69</v>
      </c>
      <c r="Y2809" s="68">
        <v>45008</v>
      </c>
      <c r="Z2809" s="17" t="s">
        <v>191</v>
      </c>
      <c r="AA2809" s="17" t="s">
        <v>46</v>
      </c>
      <c r="AB2809" s="17" t="s">
        <v>1052</v>
      </c>
      <c r="AC2809" s="217">
        <v>45000</v>
      </c>
      <c r="AD2809" s="65">
        <v>1396</v>
      </c>
      <c r="AE2809" s="17" t="s">
        <v>48</v>
      </c>
      <c r="AF2809" s="17" t="s">
        <v>560</v>
      </c>
      <c r="AI2809" s="17">
        <v>2600</v>
      </c>
    </row>
    <row r="2810" s="17" customFormat="1" ht="15.6" hidden="1" spans="1:35">
      <c r="A2810" s="17" t="s">
        <v>34</v>
      </c>
      <c r="B2810" s="19">
        <v>891</v>
      </c>
      <c r="C2810" s="239" t="s">
        <v>1051</v>
      </c>
      <c r="D2810" s="17" t="s">
        <v>52</v>
      </c>
      <c r="E2810" s="17" t="s">
        <v>53</v>
      </c>
      <c r="F2810" s="17" t="s">
        <v>54</v>
      </c>
      <c r="H2810" s="19">
        <v>1.2379</v>
      </c>
      <c r="I2810" s="19"/>
      <c r="J2810" s="17" t="s">
        <v>82</v>
      </c>
      <c r="K2810" s="245">
        <v>810</v>
      </c>
      <c r="L2810" s="159">
        <v>50</v>
      </c>
      <c r="M2810" s="19"/>
      <c r="N2810" s="19"/>
      <c r="O2810" s="19" t="s">
        <v>141</v>
      </c>
      <c r="P2810" s="266">
        <v>581</v>
      </c>
      <c r="Q2810" s="19">
        <v>581</v>
      </c>
      <c r="R2810" s="19">
        <f t="shared" si="142"/>
        <v>0</v>
      </c>
      <c r="S2810" s="19">
        <v>2560</v>
      </c>
      <c r="T2810" s="19" t="s">
        <v>42</v>
      </c>
      <c r="U2810" s="102" t="s">
        <v>1053</v>
      </c>
      <c r="V2810" s="212" t="s">
        <v>1054</v>
      </c>
      <c r="W2810" s="17" t="s">
        <v>69</v>
      </c>
      <c r="Y2810" s="68">
        <v>45008</v>
      </c>
      <c r="Z2810" s="17" t="s">
        <v>191</v>
      </c>
      <c r="AA2810" s="17" t="s">
        <v>46</v>
      </c>
      <c r="AB2810" s="17" t="s">
        <v>1052</v>
      </c>
      <c r="AC2810" s="217">
        <v>45000</v>
      </c>
      <c r="AD2810" s="65">
        <v>1396</v>
      </c>
      <c r="AE2810" s="17" t="s">
        <v>48</v>
      </c>
      <c r="AF2810" s="17" t="s">
        <v>560</v>
      </c>
      <c r="AI2810" s="17">
        <v>2600</v>
      </c>
    </row>
    <row r="2811" s="17" customFormat="1" ht="15.6" hidden="1" spans="1:35">
      <c r="A2811" s="17" t="s">
        <v>34</v>
      </c>
      <c r="B2811" s="19">
        <v>891</v>
      </c>
      <c r="C2811" s="239" t="s">
        <v>1051</v>
      </c>
      <c r="D2811" s="17" t="s">
        <v>52</v>
      </c>
      <c r="E2811" s="17" t="s">
        <v>53</v>
      </c>
      <c r="F2811" s="17" t="s">
        <v>54</v>
      </c>
      <c r="H2811" s="19">
        <v>1.2379</v>
      </c>
      <c r="I2811" s="19"/>
      <c r="J2811" s="17" t="s">
        <v>82</v>
      </c>
      <c r="K2811" s="245">
        <v>250</v>
      </c>
      <c r="L2811" s="159">
        <v>54</v>
      </c>
      <c r="M2811" s="19"/>
      <c r="N2811" s="19"/>
      <c r="O2811" s="19" t="s">
        <v>141</v>
      </c>
      <c r="P2811" s="266">
        <v>465</v>
      </c>
      <c r="Q2811" s="19">
        <f>232+233</f>
        <v>465</v>
      </c>
      <c r="R2811" s="19">
        <f t="shared" si="142"/>
        <v>0</v>
      </c>
      <c r="S2811" s="19">
        <v>2560</v>
      </c>
      <c r="T2811" s="19" t="s">
        <v>42</v>
      </c>
      <c r="U2811" s="102" t="s">
        <v>1053</v>
      </c>
      <c r="V2811" s="212" t="s">
        <v>1054</v>
      </c>
      <c r="W2811" s="17" t="s">
        <v>69</v>
      </c>
      <c r="Y2811" s="68">
        <v>45008</v>
      </c>
      <c r="Z2811" s="17" t="s">
        <v>191</v>
      </c>
      <c r="AA2811" s="17" t="s">
        <v>46</v>
      </c>
      <c r="AB2811" s="17" t="s">
        <v>1052</v>
      </c>
      <c r="AC2811" s="217">
        <v>45000</v>
      </c>
      <c r="AD2811" s="65">
        <v>1396</v>
      </c>
      <c r="AE2811" s="17" t="s">
        <v>48</v>
      </c>
      <c r="AF2811" s="17" t="s">
        <v>560</v>
      </c>
      <c r="AI2811" s="17">
        <v>2600</v>
      </c>
    </row>
    <row r="2812" s="17" customFormat="1" ht="15.6" hidden="1" spans="1:35">
      <c r="A2812" s="17" t="s">
        <v>34</v>
      </c>
      <c r="B2812" s="19">
        <v>891</v>
      </c>
      <c r="C2812" s="239" t="s">
        <v>1051</v>
      </c>
      <c r="D2812" s="17" t="s">
        <v>52</v>
      </c>
      <c r="E2812" s="17" t="s">
        <v>53</v>
      </c>
      <c r="F2812" s="17" t="s">
        <v>54</v>
      </c>
      <c r="H2812" s="19">
        <v>1.2379</v>
      </c>
      <c r="I2812" s="19"/>
      <c r="J2812" s="17" t="s">
        <v>82</v>
      </c>
      <c r="K2812" s="245">
        <v>295</v>
      </c>
      <c r="L2812" s="159">
        <v>54</v>
      </c>
      <c r="M2812" s="19"/>
      <c r="N2812" s="19"/>
      <c r="O2812" s="19" t="s">
        <v>141</v>
      </c>
      <c r="P2812" s="266">
        <v>323</v>
      </c>
      <c r="Q2812" s="19">
        <v>323</v>
      </c>
      <c r="R2812" s="19">
        <f t="shared" si="142"/>
        <v>0</v>
      </c>
      <c r="S2812" s="19">
        <v>2560</v>
      </c>
      <c r="T2812" s="19" t="s">
        <v>42</v>
      </c>
      <c r="U2812" s="102" t="s">
        <v>1053</v>
      </c>
      <c r="V2812" s="212" t="s">
        <v>1054</v>
      </c>
      <c r="W2812" s="17" t="s">
        <v>69</v>
      </c>
      <c r="Y2812" s="68">
        <v>45008</v>
      </c>
      <c r="Z2812" s="17" t="s">
        <v>191</v>
      </c>
      <c r="AA2812" s="17" t="s">
        <v>46</v>
      </c>
      <c r="AB2812" s="17" t="s">
        <v>1052</v>
      </c>
      <c r="AC2812" s="217">
        <v>45000</v>
      </c>
      <c r="AD2812" s="65">
        <v>1396</v>
      </c>
      <c r="AE2812" s="17" t="s">
        <v>48</v>
      </c>
      <c r="AF2812" s="17" t="s">
        <v>560</v>
      </c>
      <c r="AI2812" s="17">
        <v>2600</v>
      </c>
    </row>
    <row r="2813" s="17" customFormat="1" ht="15.6" hidden="1" spans="1:35">
      <c r="A2813" s="17" t="s">
        <v>34</v>
      </c>
      <c r="B2813" s="19">
        <v>891</v>
      </c>
      <c r="C2813" s="239" t="s">
        <v>1051</v>
      </c>
      <c r="D2813" s="17" t="s">
        <v>52</v>
      </c>
      <c r="E2813" s="17" t="s">
        <v>53</v>
      </c>
      <c r="F2813" s="17" t="s">
        <v>54</v>
      </c>
      <c r="H2813" s="19">
        <v>1.2379</v>
      </c>
      <c r="I2813" s="19"/>
      <c r="J2813" s="17" t="s">
        <v>82</v>
      </c>
      <c r="K2813" s="245">
        <v>310</v>
      </c>
      <c r="L2813" s="159">
        <v>55</v>
      </c>
      <c r="M2813" s="19"/>
      <c r="N2813" s="19"/>
      <c r="O2813" s="19" t="s">
        <v>141</v>
      </c>
      <c r="P2813" s="266">
        <v>259</v>
      </c>
      <c r="Q2813" s="19">
        <v>259</v>
      </c>
      <c r="R2813" s="19">
        <f t="shared" si="142"/>
        <v>0</v>
      </c>
      <c r="S2813" s="19">
        <v>2560</v>
      </c>
      <c r="T2813" s="19" t="s">
        <v>42</v>
      </c>
      <c r="U2813" s="102" t="s">
        <v>1053</v>
      </c>
      <c r="V2813" s="212" t="s">
        <v>1054</v>
      </c>
      <c r="W2813" s="17" t="s">
        <v>69</v>
      </c>
      <c r="Y2813" s="68">
        <v>45008</v>
      </c>
      <c r="Z2813" s="17" t="s">
        <v>191</v>
      </c>
      <c r="AA2813" s="17" t="s">
        <v>46</v>
      </c>
      <c r="AB2813" s="17" t="s">
        <v>1052</v>
      </c>
      <c r="AC2813" s="217">
        <v>45000</v>
      </c>
      <c r="AD2813" s="65">
        <v>1396</v>
      </c>
      <c r="AE2813" s="17" t="s">
        <v>48</v>
      </c>
      <c r="AF2813" s="17" t="s">
        <v>560</v>
      </c>
      <c r="AI2813" s="17">
        <v>2600</v>
      </c>
    </row>
    <row r="2814" s="17" customFormat="1" ht="15.6" hidden="1" spans="1:35">
      <c r="A2814" s="17" t="s">
        <v>34</v>
      </c>
      <c r="B2814" s="19">
        <v>891</v>
      </c>
      <c r="C2814" s="239" t="s">
        <v>1051</v>
      </c>
      <c r="D2814" s="17" t="s">
        <v>52</v>
      </c>
      <c r="E2814" s="17" t="s">
        <v>53</v>
      </c>
      <c r="F2814" s="17" t="s">
        <v>54</v>
      </c>
      <c r="H2814" s="19">
        <v>1.2379</v>
      </c>
      <c r="I2814" s="19"/>
      <c r="J2814" s="17" t="s">
        <v>82</v>
      </c>
      <c r="K2814" s="245">
        <v>360</v>
      </c>
      <c r="L2814" s="159">
        <v>55</v>
      </c>
      <c r="M2814" s="19"/>
      <c r="N2814" s="19"/>
      <c r="O2814" s="19" t="s">
        <v>141</v>
      </c>
      <c r="P2814" s="266">
        <v>1587</v>
      </c>
      <c r="Q2814" s="19">
        <f>793+794</f>
        <v>1587</v>
      </c>
      <c r="R2814" s="19">
        <f t="shared" si="142"/>
        <v>0</v>
      </c>
      <c r="S2814" s="19">
        <v>2560</v>
      </c>
      <c r="T2814" s="19" t="s">
        <v>42</v>
      </c>
      <c r="U2814" s="102" t="s">
        <v>1053</v>
      </c>
      <c r="V2814" s="212" t="s">
        <v>1054</v>
      </c>
      <c r="W2814" s="17" t="s">
        <v>69</v>
      </c>
      <c r="Y2814" s="68">
        <v>45008</v>
      </c>
      <c r="Z2814" s="17" t="s">
        <v>191</v>
      </c>
      <c r="AA2814" s="17" t="s">
        <v>46</v>
      </c>
      <c r="AB2814" s="17" t="s">
        <v>1052</v>
      </c>
      <c r="AC2814" s="217">
        <v>45000</v>
      </c>
      <c r="AD2814" s="65">
        <v>1396</v>
      </c>
      <c r="AE2814" s="17" t="s">
        <v>48</v>
      </c>
      <c r="AF2814" s="17" t="s">
        <v>560</v>
      </c>
      <c r="AI2814" s="17">
        <v>2600</v>
      </c>
    </row>
    <row r="2815" s="17" customFormat="1" ht="15.6" hidden="1" spans="1:35">
      <c r="A2815" s="17" t="s">
        <v>34</v>
      </c>
      <c r="B2815" s="19">
        <v>891</v>
      </c>
      <c r="C2815" s="239" t="s">
        <v>1051</v>
      </c>
      <c r="D2815" s="17" t="s">
        <v>52</v>
      </c>
      <c r="E2815" s="17" t="s">
        <v>53</v>
      </c>
      <c r="F2815" s="17" t="s">
        <v>54</v>
      </c>
      <c r="H2815" s="19">
        <v>1.2379</v>
      </c>
      <c r="I2815" s="19"/>
      <c r="J2815" s="17" t="s">
        <v>82</v>
      </c>
      <c r="K2815" s="245">
        <v>610</v>
      </c>
      <c r="L2815" s="159">
        <v>60</v>
      </c>
      <c r="M2815" s="19"/>
      <c r="N2815" s="19"/>
      <c r="O2815" s="19" t="s">
        <v>141</v>
      </c>
      <c r="P2815" s="266">
        <v>577</v>
      </c>
      <c r="Q2815" s="19">
        <v>577</v>
      </c>
      <c r="R2815" s="19">
        <f t="shared" si="142"/>
        <v>0</v>
      </c>
      <c r="S2815" s="19">
        <v>2560</v>
      </c>
      <c r="T2815" s="19" t="s">
        <v>42</v>
      </c>
      <c r="U2815" s="102" t="s">
        <v>1053</v>
      </c>
      <c r="V2815" s="212" t="s">
        <v>1054</v>
      </c>
      <c r="W2815" s="17" t="s">
        <v>69</v>
      </c>
      <c r="Y2815" s="68">
        <v>45008</v>
      </c>
      <c r="Z2815" s="17" t="s">
        <v>191</v>
      </c>
      <c r="AA2815" s="17" t="s">
        <v>46</v>
      </c>
      <c r="AB2815" s="17" t="s">
        <v>1052</v>
      </c>
      <c r="AC2815" s="217">
        <v>45000</v>
      </c>
      <c r="AD2815" s="65">
        <v>1396</v>
      </c>
      <c r="AE2815" s="17" t="s">
        <v>48</v>
      </c>
      <c r="AF2815" s="17" t="s">
        <v>560</v>
      </c>
      <c r="AI2815" s="17">
        <v>2600</v>
      </c>
    </row>
    <row r="2816" s="17" customFormat="1" ht="15.6" hidden="1" spans="1:35">
      <c r="A2816" s="17" t="s">
        <v>34</v>
      </c>
      <c r="B2816" s="19">
        <v>891</v>
      </c>
      <c r="C2816" s="239" t="s">
        <v>1051</v>
      </c>
      <c r="D2816" s="17" t="s">
        <v>52</v>
      </c>
      <c r="E2816" s="17" t="s">
        <v>53</v>
      </c>
      <c r="F2816" s="17" t="s">
        <v>54</v>
      </c>
      <c r="H2816" s="19">
        <v>1.2344</v>
      </c>
      <c r="I2816" s="19"/>
      <c r="J2816" s="17" t="s">
        <v>82</v>
      </c>
      <c r="K2816" s="245">
        <v>615</v>
      </c>
      <c r="L2816" s="159">
        <v>50</v>
      </c>
      <c r="M2816" s="19"/>
      <c r="N2816" s="19"/>
      <c r="O2816" s="19" t="s">
        <v>168</v>
      </c>
      <c r="P2816" s="266">
        <v>670</v>
      </c>
      <c r="Q2816" s="19">
        <v>670</v>
      </c>
      <c r="R2816" s="19">
        <f t="shared" si="142"/>
        <v>0</v>
      </c>
      <c r="S2816" s="19">
        <v>2480</v>
      </c>
      <c r="T2816" s="19" t="s">
        <v>42</v>
      </c>
      <c r="U2816" s="102" t="s">
        <v>1053</v>
      </c>
      <c r="V2816" s="212" t="s">
        <v>1054</v>
      </c>
      <c r="W2816" s="17" t="s">
        <v>69</v>
      </c>
      <c r="Y2816" s="68">
        <v>45008</v>
      </c>
      <c r="Z2816" s="17" t="s">
        <v>191</v>
      </c>
      <c r="AA2816" s="17" t="s">
        <v>46</v>
      </c>
      <c r="AB2816" s="17" t="s">
        <v>1052</v>
      </c>
      <c r="AC2816" s="217">
        <v>45000</v>
      </c>
      <c r="AD2816" s="65">
        <v>1396</v>
      </c>
      <c r="AE2816" s="17" t="s">
        <v>48</v>
      </c>
      <c r="AF2816" s="17" t="s">
        <v>560</v>
      </c>
      <c r="AI2816" s="17">
        <v>2520</v>
      </c>
    </row>
    <row r="2817" s="17" customFormat="1" ht="15.6" hidden="1" spans="1:35">
      <c r="A2817" s="17" t="s">
        <v>34</v>
      </c>
      <c r="B2817" s="19">
        <v>891</v>
      </c>
      <c r="C2817" s="239" t="s">
        <v>1051</v>
      </c>
      <c r="D2817" s="17" t="s">
        <v>52</v>
      </c>
      <c r="E2817" s="17" t="s">
        <v>53</v>
      </c>
      <c r="F2817" s="17" t="s">
        <v>54</v>
      </c>
      <c r="H2817" s="19">
        <v>1.2344</v>
      </c>
      <c r="I2817" s="19"/>
      <c r="J2817" s="17" t="s">
        <v>82</v>
      </c>
      <c r="K2817" s="245">
        <v>255</v>
      </c>
      <c r="L2817" s="159">
        <v>60</v>
      </c>
      <c r="M2817" s="19"/>
      <c r="N2817" s="19"/>
      <c r="O2817" s="19" t="s">
        <v>168</v>
      </c>
      <c r="P2817" s="266">
        <v>757</v>
      </c>
      <c r="Q2817" s="19">
        <f>386+371</f>
        <v>757</v>
      </c>
      <c r="R2817" s="19">
        <f t="shared" si="142"/>
        <v>0</v>
      </c>
      <c r="S2817" s="19">
        <v>2480</v>
      </c>
      <c r="T2817" s="19" t="s">
        <v>42</v>
      </c>
      <c r="U2817" s="102" t="s">
        <v>1053</v>
      </c>
      <c r="V2817" s="212" t="s">
        <v>1054</v>
      </c>
      <c r="W2817" s="17" t="s">
        <v>69</v>
      </c>
      <c r="Y2817" s="68">
        <v>45008</v>
      </c>
      <c r="Z2817" s="17" t="s">
        <v>191</v>
      </c>
      <c r="AA2817" s="17" t="s">
        <v>46</v>
      </c>
      <c r="AB2817" s="17" t="s">
        <v>1052</v>
      </c>
      <c r="AC2817" s="217">
        <v>45000</v>
      </c>
      <c r="AD2817" s="65">
        <v>1396</v>
      </c>
      <c r="AE2817" s="17" t="s">
        <v>48</v>
      </c>
      <c r="AF2817" s="17" t="s">
        <v>560</v>
      </c>
      <c r="AI2817" s="17">
        <v>2520</v>
      </c>
    </row>
    <row r="2818" s="17" customFormat="1" ht="15.6" hidden="1" spans="1:35">
      <c r="A2818" s="17" t="s">
        <v>34</v>
      </c>
      <c r="B2818" s="19">
        <v>891</v>
      </c>
      <c r="C2818" s="239" t="s">
        <v>1051</v>
      </c>
      <c r="D2818" s="17" t="s">
        <v>52</v>
      </c>
      <c r="E2818" s="17" t="s">
        <v>53</v>
      </c>
      <c r="F2818" s="17" t="s">
        <v>54</v>
      </c>
      <c r="H2818" s="19">
        <v>1.2344</v>
      </c>
      <c r="I2818" s="19"/>
      <c r="J2818" s="17" t="s">
        <v>82</v>
      </c>
      <c r="K2818" s="245">
        <v>305</v>
      </c>
      <c r="L2818" s="159">
        <v>60</v>
      </c>
      <c r="M2818" s="19"/>
      <c r="N2818" s="19"/>
      <c r="O2818" s="19" t="s">
        <v>168</v>
      </c>
      <c r="P2818" s="266">
        <v>1075</v>
      </c>
      <c r="Q2818" s="19">
        <f>525+550</f>
        <v>1075</v>
      </c>
      <c r="R2818" s="19">
        <f t="shared" si="142"/>
        <v>0</v>
      </c>
      <c r="S2818" s="19">
        <v>2480</v>
      </c>
      <c r="T2818" s="19" t="s">
        <v>42</v>
      </c>
      <c r="U2818" s="102" t="s">
        <v>1053</v>
      </c>
      <c r="V2818" s="212" t="s">
        <v>1054</v>
      </c>
      <c r="W2818" s="17" t="s">
        <v>69</v>
      </c>
      <c r="Y2818" s="68">
        <v>45008</v>
      </c>
      <c r="Z2818" s="17" t="s">
        <v>191</v>
      </c>
      <c r="AA2818" s="17" t="s">
        <v>46</v>
      </c>
      <c r="AB2818" s="17" t="s">
        <v>1052</v>
      </c>
      <c r="AC2818" s="217">
        <v>45000</v>
      </c>
      <c r="AD2818" s="65">
        <v>1396</v>
      </c>
      <c r="AE2818" s="17" t="s">
        <v>48</v>
      </c>
      <c r="AF2818" s="17" t="s">
        <v>560</v>
      </c>
      <c r="AI2818" s="17">
        <v>2520</v>
      </c>
    </row>
    <row r="2819" s="17" customFormat="1" ht="15.6" hidden="1" spans="1:35">
      <c r="A2819" s="17" t="s">
        <v>34</v>
      </c>
      <c r="B2819" s="19">
        <v>891</v>
      </c>
      <c r="C2819" s="239" t="s">
        <v>1051</v>
      </c>
      <c r="D2819" s="17" t="s">
        <v>52</v>
      </c>
      <c r="E2819" s="17" t="s">
        <v>53</v>
      </c>
      <c r="F2819" s="17" t="s">
        <v>54</v>
      </c>
      <c r="H2819" s="19">
        <v>1.2344</v>
      </c>
      <c r="I2819" s="19"/>
      <c r="J2819" s="17" t="s">
        <v>82</v>
      </c>
      <c r="K2819" s="245">
        <v>405</v>
      </c>
      <c r="L2819" s="159">
        <v>60</v>
      </c>
      <c r="M2819" s="19"/>
      <c r="N2819" s="19"/>
      <c r="O2819" s="19" t="s">
        <v>168</v>
      </c>
      <c r="P2819" s="266">
        <v>711</v>
      </c>
      <c r="Q2819" s="19">
        <v>711</v>
      </c>
      <c r="R2819" s="19">
        <f t="shared" si="142"/>
        <v>0</v>
      </c>
      <c r="S2819" s="19">
        <v>2480</v>
      </c>
      <c r="T2819" s="19" t="s">
        <v>42</v>
      </c>
      <c r="U2819" s="102" t="s">
        <v>1053</v>
      </c>
      <c r="V2819" s="212" t="s">
        <v>1054</v>
      </c>
      <c r="W2819" s="17" t="s">
        <v>69</v>
      </c>
      <c r="Y2819" s="68">
        <v>45008</v>
      </c>
      <c r="Z2819" s="17" t="s">
        <v>191</v>
      </c>
      <c r="AA2819" s="17" t="s">
        <v>46</v>
      </c>
      <c r="AB2819" s="17" t="s">
        <v>1052</v>
      </c>
      <c r="AC2819" s="217">
        <v>45000</v>
      </c>
      <c r="AD2819" s="65">
        <v>1396</v>
      </c>
      <c r="AE2819" s="17" t="s">
        <v>48</v>
      </c>
      <c r="AF2819" s="17" t="s">
        <v>560</v>
      </c>
      <c r="AI2819" s="17">
        <v>2520</v>
      </c>
    </row>
    <row r="2820" s="17" customFormat="1" ht="15.6" hidden="1" spans="1:35">
      <c r="A2820" s="17" t="s">
        <v>34</v>
      </c>
      <c r="B2820" s="19">
        <v>891</v>
      </c>
      <c r="C2820" s="239" t="s">
        <v>1051</v>
      </c>
      <c r="D2820" s="17" t="s">
        <v>52</v>
      </c>
      <c r="E2820" s="17" t="s">
        <v>53</v>
      </c>
      <c r="F2820" s="17" t="s">
        <v>54</v>
      </c>
      <c r="H2820" s="19">
        <v>1.2344</v>
      </c>
      <c r="I2820" s="19"/>
      <c r="J2820" s="17" t="s">
        <v>82</v>
      </c>
      <c r="K2820" s="245">
        <v>455</v>
      </c>
      <c r="L2820" s="159">
        <v>60</v>
      </c>
      <c r="M2820" s="19"/>
      <c r="N2820" s="19"/>
      <c r="O2820" s="19" t="s">
        <v>168</v>
      </c>
      <c r="P2820" s="266">
        <v>689</v>
      </c>
      <c r="Q2820" s="19">
        <v>689</v>
      </c>
      <c r="R2820" s="19">
        <f t="shared" si="142"/>
        <v>0</v>
      </c>
      <c r="S2820" s="19">
        <v>2480</v>
      </c>
      <c r="T2820" s="19" t="s">
        <v>42</v>
      </c>
      <c r="U2820" s="102" t="s">
        <v>1053</v>
      </c>
      <c r="V2820" s="212" t="s">
        <v>1054</v>
      </c>
      <c r="W2820" s="17" t="s">
        <v>69</v>
      </c>
      <c r="Y2820" s="68">
        <v>45008</v>
      </c>
      <c r="Z2820" s="17" t="s">
        <v>191</v>
      </c>
      <c r="AA2820" s="17" t="s">
        <v>46</v>
      </c>
      <c r="AB2820" s="17" t="s">
        <v>1052</v>
      </c>
      <c r="AC2820" s="217">
        <v>45000</v>
      </c>
      <c r="AD2820" s="65">
        <v>1396</v>
      </c>
      <c r="AE2820" s="17" t="s">
        <v>48</v>
      </c>
      <c r="AF2820" s="17" t="s">
        <v>560</v>
      </c>
      <c r="AI2820" s="17">
        <v>2520</v>
      </c>
    </row>
    <row r="2821" s="17" customFormat="1" ht="15.6" hidden="1" spans="1:35">
      <c r="A2821" s="17" t="s">
        <v>34</v>
      </c>
      <c r="B2821" s="19">
        <v>891</v>
      </c>
      <c r="C2821" s="239" t="s">
        <v>1051</v>
      </c>
      <c r="D2821" s="17" t="s">
        <v>52</v>
      </c>
      <c r="E2821" s="17" t="s">
        <v>53</v>
      </c>
      <c r="F2821" s="17" t="s">
        <v>54</v>
      </c>
      <c r="H2821" s="19">
        <v>1.2344</v>
      </c>
      <c r="I2821" s="19"/>
      <c r="J2821" s="17" t="s">
        <v>82</v>
      </c>
      <c r="K2821" s="245">
        <v>355</v>
      </c>
      <c r="L2821" s="159">
        <v>60</v>
      </c>
      <c r="M2821" s="19"/>
      <c r="N2821" s="19"/>
      <c r="O2821" s="19" t="s">
        <v>168</v>
      </c>
      <c r="P2821" s="266">
        <v>540</v>
      </c>
      <c r="Q2821" s="19">
        <v>540</v>
      </c>
      <c r="R2821" s="19">
        <f t="shared" si="142"/>
        <v>0</v>
      </c>
      <c r="S2821" s="19">
        <v>2480</v>
      </c>
      <c r="T2821" s="19" t="s">
        <v>42</v>
      </c>
      <c r="U2821" s="102" t="s">
        <v>1053</v>
      </c>
      <c r="V2821" s="212" t="s">
        <v>1054</v>
      </c>
      <c r="W2821" s="17" t="s">
        <v>69</v>
      </c>
      <c r="Y2821" s="68">
        <v>45008</v>
      </c>
      <c r="Z2821" s="17" t="s">
        <v>191</v>
      </c>
      <c r="AA2821" s="17" t="s">
        <v>46</v>
      </c>
      <c r="AB2821" s="17" t="s">
        <v>1052</v>
      </c>
      <c r="AC2821" s="217">
        <v>45000</v>
      </c>
      <c r="AD2821" s="65">
        <v>1396</v>
      </c>
      <c r="AE2821" s="17" t="s">
        <v>48</v>
      </c>
      <c r="AF2821" s="17" t="s">
        <v>560</v>
      </c>
      <c r="AI2821" s="17">
        <v>2520</v>
      </c>
    </row>
    <row r="2822" s="17" customFormat="1" ht="15.6" hidden="1" spans="1:35">
      <c r="A2822" s="17" t="s">
        <v>34</v>
      </c>
      <c r="B2822" s="19">
        <v>892</v>
      </c>
      <c r="C2822" s="239" t="s">
        <v>1055</v>
      </c>
      <c r="D2822" s="17" t="s">
        <v>52</v>
      </c>
      <c r="E2822" s="17" t="s">
        <v>187</v>
      </c>
      <c r="F2822" s="17" t="s">
        <v>54</v>
      </c>
      <c r="H2822" s="19">
        <v>1.2311</v>
      </c>
      <c r="I2822" s="19"/>
      <c r="J2822" s="17" t="s">
        <v>49</v>
      </c>
      <c r="K2822" s="245">
        <v>2000</v>
      </c>
      <c r="L2822" s="159">
        <v>130</v>
      </c>
      <c r="M2822" s="19"/>
      <c r="N2822" s="19" t="s">
        <v>66</v>
      </c>
      <c r="O2822" s="19" t="s">
        <v>141</v>
      </c>
      <c r="P2822" s="266">
        <v>10205</v>
      </c>
      <c r="Q2822" s="19">
        <v>11280</v>
      </c>
      <c r="R2822" s="19">
        <f t="shared" si="142"/>
        <v>-1075</v>
      </c>
      <c r="S2822" s="19">
        <v>1110</v>
      </c>
      <c r="T2822" s="19" t="s">
        <v>42</v>
      </c>
      <c r="U2822" s="102" t="s">
        <v>1056</v>
      </c>
      <c r="V2822" s="212">
        <v>44929</v>
      </c>
      <c r="W2822" s="17" t="s">
        <v>69</v>
      </c>
      <c r="Y2822" s="68">
        <v>45008</v>
      </c>
      <c r="Z2822" s="17" t="s">
        <v>191</v>
      </c>
      <c r="AA2822" s="17" t="s">
        <v>46</v>
      </c>
      <c r="AB2822" s="17" t="s">
        <v>1041</v>
      </c>
      <c r="AC2822" s="102" t="s">
        <v>1040</v>
      </c>
      <c r="AD2822" s="65">
        <v>1410</v>
      </c>
      <c r="AE2822" s="17" t="s">
        <v>48</v>
      </c>
      <c r="AF2822" s="17" t="s">
        <v>560</v>
      </c>
      <c r="AI2822" s="17">
        <v>1130</v>
      </c>
    </row>
    <row r="2823" s="17" customFormat="1" ht="15.6" hidden="1" spans="1:35">
      <c r="A2823" s="17" t="s">
        <v>34</v>
      </c>
      <c r="B2823" s="19">
        <v>892</v>
      </c>
      <c r="C2823" s="239" t="s">
        <v>1055</v>
      </c>
      <c r="D2823" s="17" t="s">
        <v>52</v>
      </c>
      <c r="E2823" s="17" t="s">
        <v>187</v>
      </c>
      <c r="F2823" s="17" t="s">
        <v>54</v>
      </c>
      <c r="H2823" s="19">
        <v>1.2311</v>
      </c>
      <c r="I2823" s="19"/>
      <c r="J2823" s="17" t="s">
        <v>49</v>
      </c>
      <c r="K2823" s="245">
        <v>2000</v>
      </c>
      <c r="L2823" s="159">
        <v>155</v>
      </c>
      <c r="M2823" s="19"/>
      <c r="N2823" s="19" t="s">
        <v>66</v>
      </c>
      <c r="O2823" s="19" t="s">
        <v>141</v>
      </c>
      <c r="P2823" s="266">
        <v>12168</v>
      </c>
      <c r="Q2823" s="19">
        <v>12470</v>
      </c>
      <c r="R2823" s="19">
        <f t="shared" si="142"/>
        <v>-302</v>
      </c>
      <c r="S2823" s="19">
        <v>1130</v>
      </c>
      <c r="T2823" s="19" t="s">
        <v>42</v>
      </c>
      <c r="U2823" s="102" t="s">
        <v>1056</v>
      </c>
      <c r="V2823" s="212">
        <v>44929</v>
      </c>
      <c r="W2823" s="17" t="s">
        <v>69</v>
      </c>
      <c r="Y2823" s="68">
        <v>45008</v>
      </c>
      <c r="Z2823" s="17" t="s">
        <v>191</v>
      </c>
      <c r="AA2823" s="17" t="s">
        <v>46</v>
      </c>
      <c r="AB2823" s="17" t="s">
        <v>987</v>
      </c>
      <c r="AC2823" s="102" t="s">
        <v>988</v>
      </c>
      <c r="AD2823" s="65">
        <v>1412</v>
      </c>
      <c r="AE2823" s="17" t="s">
        <v>48</v>
      </c>
      <c r="AF2823" s="17" t="s">
        <v>560</v>
      </c>
      <c r="AI2823" s="17">
        <v>1150</v>
      </c>
    </row>
    <row r="2824" s="17" customFormat="1" ht="15.6" hidden="1" spans="1:35">
      <c r="A2824" s="17" t="s">
        <v>34</v>
      </c>
      <c r="B2824" s="19">
        <v>892</v>
      </c>
      <c r="C2824" s="239" t="s">
        <v>1055</v>
      </c>
      <c r="D2824" s="17" t="s">
        <v>52</v>
      </c>
      <c r="E2824" s="17" t="s">
        <v>187</v>
      </c>
      <c r="F2824" s="17" t="s">
        <v>54</v>
      </c>
      <c r="H2824" s="19">
        <v>1.2311</v>
      </c>
      <c r="I2824" s="19"/>
      <c r="J2824" s="17" t="s">
        <v>49</v>
      </c>
      <c r="K2824" s="245">
        <v>2000</v>
      </c>
      <c r="L2824" s="159">
        <v>180</v>
      </c>
      <c r="M2824" s="19"/>
      <c r="N2824" s="19" t="s">
        <v>66</v>
      </c>
      <c r="O2824" s="19" t="s">
        <v>141</v>
      </c>
      <c r="P2824" s="266">
        <v>11000</v>
      </c>
      <c r="Q2824" s="19">
        <v>11140</v>
      </c>
      <c r="R2824" s="19">
        <f t="shared" ref="R2824:R2830" si="143">+P2824-Q2824</f>
        <v>-140</v>
      </c>
      <c r="S2824" s="19">
        <v>1130</v>
      </c>
      <c r="T2824" s="19" t="s">
        <v>42</v>
      </c>
      <c r="U2824" s="102" t="s">
        <v>1056</v>
      </c>
      <c r="V2824" s="212">
        <v>44929</v>
      </c>
      <c r="W2824" s="17" t="s">
        <v>69</v>
      </c>
      <c r="Y2824" s="68">
        <v>45008</v>
      </c>
      <c r="Z2824" s="17" t="s">
        <v>191</v>
      </c>
      <c r="AA2824" s="17" t="s">
        <v>46</v>
      </c>
      <c r="AB2824" s="17" t="s">
        <v>1035</v>
      </c>
      <c r="AC2824" s="102" t="s">
        <v>1036</v>
      </c>
      <c r="AD2824" s="65">
        <v>1406</v>
      </c>
      <c r="AE2824" s="17" t="s">
        <v>48</v>
      </c>
    </row>
    <row r="2825" s="17" customFormat="1" ht="15.6" hidden="1" spans="1:35">
      <c r="A2825" s="17" t="s">
        <v>34</v>
      </c>
      <c r="B2825" s="19">
        <v>893</v>
      </c>
      <c r="C2825" s="239" t="s">
        <v>1057</v>
      </c>
      <c r="D2825" s="17" t="s">
        <v>52</v>
      </c>
      <c r="E2825" s="17" t="s">
        <v>220</v>
      </c>
      <c r="F2825" s="17" t="s">
        <v>54</v>
      </c>
      <c r="H2825" s="19">
        <v>1.2379</v>
      </c>
      <c r="I2825" s="19"/>
      <c r="J2825" s="17" t="s">
        <v>39</v>
      </c>
      <c r="K2825" s="19">
        <v>100</v>
      </c>
      <c r="L2825" s="91"/>
      <c r="M2825" s="19">
        <v>4000</v>
      </c>
      <c r="N2825" s="19" t="s">
        <v>40</v>
      </c>
      <c r="O2825" s="19" t="s">
        <v>1017</v>
      </c>
      <c r="P2825" s="256">
        <v>1200</v>
      </c>
      <c r="Q2825" s="19">
        <v>1366</v>
      </c>
      <c r="R2825" s="19">
        <f t="shared" si="143"/>
        <v>-166</v>
      </c>
      <c r="S2825" s="19">
        <v>2370</v>
      </c>
      <c r="T2825" s="19" t="s">
        <v>42</v>
      </c>
      <c r="U2825" s="102" t="s">
        <v>1058</v>
      </c>
      <c r="V2825" s="110" t="s">
        <v>1059</v>
      </c>
      <c r="W2825" s="17" t="s">
        <v>69</v>
      </c>
      <c r="Y2825" s="68">
        <v>45039</v>
      </c>
      <c r="Z2825" s="17" t="s">
        <v>191</v>
      </c>
      <c r="AA2825" s="17" t="s">
        <v>46</v>
      </c>
      <c r="AB2825" s="17" t="s">
        <v>1013</v>
      </c>
      <c r="AC2825" s="217">
        <v>45234</v>
      </c>
      <c r="AD2825" s="65">
        <v>1419</v>
      </c>
      <c r="AF2825" s="17" t="s">
        <v>560</v>
      </c>
      <c r="AI2825" s="17">
        <v>2400</v>
      </c>
    </row>
    <row r="2826" s="17" customFormat="1" ht="15.6" hidden="1" spans="1:35">
      <c r="A2826" s="17" t="s">
        <v>34</v>
      </c>
      <c r="B2826" s="19">
        <v>893</v>
      </c>
      <c r="C2826" s="239" t="s">
        <v>1057</v>
      </c>
      <c r="D2826" s="17" t="s">
        <v>52</v>
      </c>
      <c r="E2826" s="17" t="s">
        <v>220</v>
      </c>
      <c r="F2826" s="17" t="s">
        <v>54</v>
      </c>
      <c r="H2826" s="19">
        <v>1.2379</v>
      </c>
      <c r="I2826" s="19"/>
      <c r="J2826" s="17" t="s">
        <v>39</v>
      </c>
      <c r="K2826" s="19">
        <v>105</v>
      </c>
      <c r="L2826" s="91"/>
      <c r="M2826" s="19">
        <v>4000</v>
      </c>
      <c r="N2826" s="19" t="s">
        <v>40</v>
      </c>
      <c r="O2826" s="19" t="s">
        <v>1017</v>
      </c>
      <c r="P2826" s="256">
        <v>1400</v>
      </c>
      <c r="Q2826" s="19">
        <v>1525</v>
      </c>
      <c r="R2826" s="19">
        <f t="shared" si="143"/>
        <v>-125</v>
      </c>
      <c r="S2826" s="19">
        <v>2370</v>
      </c>
      <c r="T2826" s="19" t="s">
        <v>42</v>
      </c>
      <c r="U2826" s="102" t="s">
        <v>1058</v>
      </c>
      <c r="V2826" s="110" t="s">
        <v>1059</v>
      </c>
      <c r="W2826" s="17" t="s">
        <v>69</v>
      </c>
      <c r="Y2826" s="68">
        <v>45039</v>
      </c>
      <c r="Z2826" s="17" t="s">
        <v>191</v>
      </c>
      <c r="AA2826" s="17" t="s">
        <v>46</v>
      </c>
      <c r="AB2826" s="17" t="s">
        <v>1013</v>
      </c>
      <c r="AC2826" s="217">
        <v>45234</v>
      </c>
      <c r="AD2826" s="65">
        <v>1419</v>
      </c>
      <c r="AF2826" s="17" t="s">
        <v>560</v>
      </c>
      <c r="AI2826" s="17">
        <v>2400</v>
      </c>
    </row>
    <row r="2827" s="17" customFormat="1" ht="15.6" hidden="1" spans="1:35">
      <c r="A2827" s="17" t="s">
        <v>34</v>
      </c>
      <c r="B2827" s="19">
        <v>893</v>
      </c>
      <c r="C2827" s="239" t="s">
        <v>1057</v>
      </c>
      <c r="D2827" s="17" t="s">
        <v>52</v>
      </c>
      <c r="E2827" s="17" t="s">
        <v>220</v>
      </c>
      <c r="F2827" s="17" t="s">
        <v>54</v>
      </c>
      <c r="H2827" s="19">
        <v>1.2379</v>
      </c>
      <c r="I2827" s="19"/>
      <c r="J2827" s="17" t="s">
        <v>39</v>
      </c>
      <c r="K2827" s="19">
        <v>115</v>
      </c>
      <c r="L2827" s="91"/>
      <c r="M2827" s="19">
        <v>4000</v>
      </c>
      <c r="N2827" s="19" t="s">
        <v>40</v>
      </c>
      <c r="O2827" s="19" t="s">
        <v>1017</v>
      </c>
      <c r="P2827" s="256">
        <v>1600</v>
      </c>
      <c r="Q2827" s="19">
        <v>2526</v>
      </c>
      <c r="R2827" s="19">
        <f t="shared" si="143"/>
        <v>-926</v>
      </c>
      <c r="S2827" s="19">
        <v>2370</v>
      </c>
      <c r="T2827" s="19" t="s">
        <v>42</v>
      </c>
      <c r="U2827" s="102" t="s">
        <v>1058</v>
      </c>
      <c r="V2827" s="110" t="s">
        <v>1059</v>
      </c>
      <c r="W2827" s="17" t="s">
        <v>69</v>
      </c>
      <c r="Y2827" s="68">
        <v>45039</v>
      </c>
      <c r="Z2827" s="17" t="s">
        <v>191</v>
      </c>
      <c r="AA2827" s="17" t="s">
        <v>46</v>
      </c>
      <c r="AB2827" s="17" t="s">
        <v>1013</v>
      </c>
      <c r="AC2827" s="217">
        <v>45234</v>
      </c>
      <c r="AD2827" s="65">
        <v>1419</v>
      </c>
      <c r="AF2827" s="17" t="s">
        <v>560</v>
      </c>
      <c r="AI2827" s="17">
        <v>2400</v>
      </c>
    </row>
    <row r="2828" s="17" customFormat="1" ht="15.6" hidden="1" spans="1:35">
      <c r="A2828" s="17" t="s">
        <v>34</v>
      </c>
      <c r="B2828" s="19">
        <v>893</v>
      </c>
      <c r="C2828" s="239" t="s">
        <v>1057</v>
      </c>
      <c r="D2828" s="17" t="s">
        <v>52</v>
      </c>
      <c r="E2828" s="17" t="s">
        <v>220</v>
      </c>
      <c r="F2828" s="17" t="s">
        <v>54</v>
      </c>
      <c r="H2828" s="19">
        <v>1.2379</v>
      </c>
      <c r="I2828" s="19"/>
      <c r="J2828" s="17" t="s">
        <v>39</v>
      </c>
      <c r="K2828" s="19">
        <v>130</v>
      </c>
      <c r="L2828" s="91"/>
      <c r="M2828" s="19">
        <v>4000</v>
      </c>
      <c r="N2828" s="19" t="s">
        <v>40</v>
      </c>
      <c r="O2828" s="19" t="s">
        <v>1017</v>
      </c>
      <c r="P2828" s="256">
        <v>2100</v>
      </c>
      <c r="Q2828" s="19">
        <v>2559</v>
      </c>
      <c r="R2828" s="19">
        <f t="shared" si="143"/>
        <v>-459</v>
      </c>
      <c r="S2828" s="19">
        <v>2370</v>
      </c>
      <c r="T2828" s="19" t="s">
        <v>42</v>
      </c>
      <c r="U2828" s="102" t="s">
        <v>1058</v>
      </c>
      <c r="V2828" s="110" t="s">
        <v>1059</v>
      </c>
      <c r="W2828" s="17" t="s">
        <v>69</v>
      </c>
      <c r="Y2828" s="68">
        <v>45039</v>
      </c>
      <c r="Z2828" s="17" t="s">
        <v>191</v>
      </c>
      <c r="AA2828" s="17" t="s">
        <v>46</v>
      </c>
      <c r="AB2828" s="17" t="s">
        <v>1011</v>
      </c>
      <c r="AC2828" s="102" t="s">
        <v>1012</v>
      </c>
      <c r="AD2828" s="65">
        <v>1416</v>
      </c>
      <c r="AF2828" s="17" t="s">
        <v>560</v>
      </c>
      <c r="AI2828" s="17">
        <v>2400</v>
      </c>
    </row>
    <row r="2829" s="17" customFormat="1" ht="15.6" hidden="1" spans="1:35">
      <c r="A2829" s="17" t="s">
        <v>34</v>
      </c>
      <c r="B2829" s="19">
        <v>893</v>
      </c>
      <c r="C2829" s="239">
        <v>44960</v>
      </c>
      <c r="D2829" s="17" t="s">
        <v>52</v>
      </c>
      <c r="E2829" s="17" t="s">
        <v>220</v>
      </c>
      <c r="F2829" s="17" t="s">
        <v>54</v>
      </c>
      <c r="H2829" s="19">
        <v>1.2379</v>
      </c>
      <c r="I2829" s="19"/>
      <c r="J2829" s="17" t="s">
        <v>82</v>
      </c>
      <c r="K2829" s="19">
        <v>305</v>
      </c>
      <c r="L2829" s="91">
        <v>50</v>
      </c>
      <c r="M2829" s="19">
        <v>5000</v>
      </c>
      <c r="N2829" s="19" t="s">
        <v>40</v>
      </c>
      <c r="O2829" s="19" t="s">
        <v>168</v>
      </c>
      <c r="P2829" s="256">
        <v>1000</v>
      </c>
      <c r="Q2829" s="19">
        <v>459</v>
      </c>
      <c r="R2829" s="19">
        <f t="shared" si="143"/>
        <v>541</v>
      </c>
      <c r="S2829" s="19">
        <v>2370</v>
      </c>
      <c r="T2829" s="19" t="s">
        <v>42</v>
      </c>
      <c r="U2829" s="102" t="s">
        <v>1058</v>
      </c>
      <c r="V2829" s="110" t="s">
        <v>1059</v>
      </c>
      <c r="W2829" s="17" t="s">
        <v>69</v>
      </c>
      <c r="Y2829" s="68">
        <v>45039</v>
      </c>
      <c r="Z2829" s="17" t="s">
        <v>191</v>
      </c>
      <c r="AA2829" s="17" t="s">
        <v>46</v>
      </c>
      <c r="AB2829" s="17" t="s">
        <v>1011</v>
      </c>
      <c r="AC2829" s="102" t="s">
        <v>1012</v>
      </c>
      <c r="AD2829" s="65">
        <v>1416</v>
      </c>
      <c r="AE2829" s="17" t="s">
        <v>74</v>
      </c>
      <c r="AF2829" s="17" t="s">
        <v>560</v>
      </c>
      <c r="AI2829" s="17">
        <v>2400</v>
      </c>
    </row>
    <row r="2830" s="17" customFormat="1" ht="15.6" hidden="1" spans="1:35">
      <c r="B2830" s="19">
        <v>893</v>
      </c>
      <c r="C2830" s="239">
        <v>44960</v>
      </c>
      <c r="D2830" s="17" t="s">
        <v>52</v>
      </c>
      <c r="E2830" s="17" t="s">
        <v>220</v>
      </c>
      <c r="F2830" s="17" t="s">
        <v>54</v>
      </c>
      <c r="H2830" s="19">
        <v>1.2379</v>
      </c>
      <c r="I2830" s="19"/>
      <c r="J2830" s="17" t="s">
        <v>82</v>
      </c>
      <c r="K2830" s="19">
        <v>355</v>
      </c>
      <c r="L2830" s="91">
        <v>50</v>
      </c>
      <c r="M2830" s="19">
        <v>5000</v>
      </c>
      <c r="N2830" s="19" t="s">
        <v>40</v>
      </c>
      <c r="O2830" s="19" t="s">
        <v>168</v>
      </c>
      <c r="P2830" s="256">
        <v>1000</v>
      </c>
      <c r="Q2830" s="19">
        <v>0</v>
      </c>
      <c r="R2830" s="19">
        <f t="shared" si="143"/>
        <v>1000</v>
      </c>
      <c r="S2830" s="19">
        <v>2370</v>
      </c>
      <c r="T2830" s="19" t="s">
        <v>42</v>
      </c>
      <c r="U2830" s="102" t="s">
        <v>1058</v>
      </c>
      <c r="V2830" s="110" t="s">
        <v>1059</v>
      </c>
      <c r="W2830" s="17" t="s">
        <v>69</v>
      </c>
      <c r="Y2830" s="68">
        <v>45039</v>
      </c>
      <c r="Z2830" s="17" t="s">
        <v>191</v>
      </c>
      <c r="AA2830" s="17" t="s">
        <v>46</v>
      </c>
      <c r="AC2830" s="102"/>
      <c r="AD2830" s="65"/>
      <c r="AE2830" s="17" t="s">
        <v>74</v>
      </c>
      <c r="AF2830" s="17" t="s">
        <v>560</v>
      </c>
      <c r="AI2830" s="17">
        <v>2400</v>
      </c>
    </row>
    <row r="2831" s="17" customFormat="1" ht="15.6" hidden="1" spans="1:35">
      <c r="A2831" s="17" t="s">
        <v>34</v>
      </c>
      <c r="B2831" s="19">
        <v>893</v>
      </c>
      <c r="C2831" s="239">
        <v>44960</v>
      </c>
      <c r="D2831" s="17" t="s">
        <v>52</v>
      </c>
      <c r="E2831" s="17" t="s">
        <v>220</v>
      </c>
      <c r="F2831" s="17" t="s">
        <v>54</v>
      </c>
      <c r="H2831" s="19">
        <v>1.2379</v>
      </c>
      <c r="I2831" s="19"/>
      <c r="J2831" s="17" t="s">
        <v>82</v>
      </c>
      <c r="K2831" s="19">
        <v>405</v>
      </c>
      <c r="L2831" s="91">
        <v>50</v>
      </c>
      <c r="M2831" s="19">
        <v>5000</v>
      </c>
      <c r="N2831" s="19" t="s">
        <v>40</v>
      </c>
      <c r="O2831" s="19" t="s">
        <v>168</v>
      </c>
      <c r="P2831" s="256">
        <v>1000</v>
      </c>
      <c r="Q2831" s="19">
        <v>1151</v>
      </c>
      <c r="S2831" s="19">
        <v>2370</v>
      </c>
      <c r="T2831" s="19" t="s">
        <v>42</v>
      </c>
      <c r="U2831" s="102" t="s">
        <v>1058</v>
      </c>
      <c r="V2831" s="110" t="s">
        <v>1059</v>
      </c>
      <c r="W2831" s="17" t="s">
        <v>69</v>
      </c>
      <c r="Y2831" s="68">
        <v>45039</v>
      </c>
      <c r="Z2831" s="17" t="s">
        <v>191</v>
      </c>
      <c r="AA2831" s="17" t="s">
        <v>46</v>
      </c>
      <c r="AB2831" s="17" t="s">
        <v>1021</v>
      </c>
      <c r="AC2831" s="217">
        <v>44989</v>
      </c>
      <c r="AD2831" s="65">
        <v>1413</v>
      </c>
      <c r="AE2831" s="17" t="s">
        <v>74</v>
      </c>
      <c r="AF2831" s="17" t="s">
        <v>560</v>
      </c>
      <c r="AI2831" s="17">
        <v>2400</v>
      </c>
    </row>
    <row r="2832" s="17" customFormat="1" ht="15.6" hidden="1" spans="1:35">
      <c r="A2832" s="17" t="s">
        <v>34</v>
      </c>
      <c r="B2832" s="19">
        <v>893</v>
      </c>
      <c r="C2832" s="239">
        <v>44960</v>
      </c>
      <c r="D2832" s="17" t="s">
        <v>52</v>
      </c>
      <c r="E2832" s="17" t="s">
        <v>220</v>
      </c>
      <c r="F2832" s="17" t="s">
        <v>54</v>
      </c>
      <c r="H2832" s="19">
        <v>1.2379</v>
      </c>
      <c r="I2832" s="19"/>
      <c r="J2832" s="17" t="s">
        <v>82</v>
      </c>
      <c r="K2832" s="19">
        <v>405</v>
      </c>
      <c r="L2832" s="91">
        <v>50</v>
      </c>
      <c r="M2832" s="19">
        <v>5000</v>
      </c>
      <c r="N2832" s="19" t="s">
        <v>40</v>
      </c>
      <c r="O2832" s="19" t="s">
        <v>168</v>
      </c>
      <c r="P2832" s="256"/>
      <c r="Q2832" s="19">
        <v>472</v>
      </c>
      <c r="R2832" s="19">
        <f>+P2831-Q2831-Q2832</f>
        <v>-623</v>
      </c>
      <c r="S2832" s="19">
        <v>2370</v>
      </c>
      <c r="T2832" s="19" t="s">
        <v>42</v>
      </c>
      <c r="U2832" s="102" t="s">
        <v>1058</v>
      </c>
      <c r="V2832" s="110" t="s">
        <v>1059</v>
      </c>
      <c r="W2832" s="17" t="s">
        <v>69</v>
      </c>
      <c r="Y2832" s="68">
        <v>45039</v>
      </c>
      <c r="Z2832" s="17" t="s">
        <v>191</v>
      </c>
      <c r="AA2832" s="17" t="s">
        <v>46</v>
      </c>
      <c r="AB2832" s="17" t="s">
        <v>1013</v>
      </c>
      <c r="AC2832" s="217">
        <v>45234</v>
      </c>
      <c r="AD2832" s="65">
        <v>1419</v>
      </c>
      <c r="AE2832" s="17" t="s">
        <v>74</v>
      </c>
      <c r="AF2832" s="17" t="s">
        <v>560</v>
      </c>
    </row>
    <row r="2833" s="17" customFormat="1" ht="15.6" hidden="1" spans="1:35">
      <c r="A2833" s="17" t="s">
        <v>34</v>
      </c>
      <c r="B2833" s="19">
        <v>893</v>
      </c>
      <c r="C2833" s="239">
        <v>44960</v>
      </c>
      <c r="D2833" s="17" t="s">
        <v>52</v>
      </c>
      <c r="E2833" s="17" t="s">
        <v>220</v>
      </c>
      <c r="F2833" s="17" t="s">
        <v>54</v>
      </c>
      <c r="H2833" s="19">
        <v>1.2379</v>
      </c>
      <c r="I2833" s="19"/>
      <c r="J2833" s="17" t="s">
        <v>82</v>
      </c>
      <c r="K2833" s="19">
        <v>455</v>
      </c>
      <c r="L2833" s="91">
        <v>50</v>
      </c>
      <c r="M2833" s="19">
        <v>5000</v>
      </c>
      <c r="N2833" s="19" t="s">
        <v>40</v>
      </c>
      <c r="O2833" s="19" t="s">
        <v>168</v>
      </c>
      <c r="P2833" s="256">
        <v>1000</v>
      </c>
      <c r="Q2833" s="19">
        <v>1867</v>
      </c>
      <c r="R2833" s="19">
        <f t="shared" ref="R2833:R2845" si="144">+P2833-Q2833</f>
        <v>-867</v>
      </c>
      <c r="S2833" s="19">
        <v>2370</v>
      </c>
      <c r="T2833" s="19" t="s">
        <v>42</v>
      </c>
      <c r="U2833" s="102" t="s">
        <v>1058</v>
      </c>
      <c r="V2833" s="110" t="s">
        <v>1059</v>
      </c>
      <c r="W2833" s="17" t="s">
        <v>69</v>
      </c>
      <c r="Y2833" s="68">
        <v>45039</v>
      </c>
      <c r="Z2833" s="17" t="s">
        <v>191</v>
      </c>
      <c r="AA2833" s="17" t="s">
        <v>46</v>
      </c>
      <c r="AB2833" s="17" t="s">
        <v>1011</v>
      </c>
      <c r="AC2833" s="102" t="s">
        <v>1012</v>
      </c>
      <c r="AD2833" s="65">
        <v>1416</v>
      </c>
      <c r="AE2833" s="17" t="s">
        <v>74</v>
      </c>
      <c r="AF2833" s="17" t="s">
        <v>560</v>
      </c>
      <c r="AI2833" s="17">
        <v>2400</v>
      </c>
    </row>
    <row r="2834" s="17" customFormat="1" ht="15.6" hidden="1" spans="1:35">
      <c r="B2834" s="19">
        <v>893</v>
      </c>
      <c r="C2834" s="239">
        <v>44960</v>
      </c>
      <c r="D2834" s="17" t="s">
        <v>52</v>
      </c>
      <c r="E2834" s="17" t="s">
        <v>220</v>
      </c>
      <c r="F2834" s="17" t="s">
        <v>54</v>
      </c>
      <c r="H2834" s="19">
        <v>1.2379</v>
      </c>
      <c r="I2834" s="19"/>
      <c r="J2834" s="17" t="s">
        <v>82</v>
      </c>
      <c r="K2834" s="19">
        <v>505</v>
      </c>
      <c r="L2834" s="91">
        <v>50</v>
      </c>
      <c r="M2834" s="19">
        <v>5000</v>
      </c>
      <c r="N2834" s="19" t="s">
        <v>40</v>
      </c>
      <c r="O2834" s="19" t="s">
        <v>168</v>
      </c>
      <c r="P2834" s="256">
        <v>1000</v>
      </c>
      <c r="Q2834" s="19">
        <v>0</v>
      </c>
      <c r="R2834" s="19">
        <f t="shared" si="144"/>
        <v>1000</v>
      </c>
      <c r="S2834" s="19">
        <v>2370</v>
      </c>
      <c r="T2834" s="19" t="s">
        <v>42</v>
      </c>
      <c r="U2834" s="102" t="s">
        <v>1058</v>
      </c>
      <c r="V2834" s="110" t="s">
        <v>1059</v>
      </c>
      <c r="W2834" s="17" t="s">
        <v>69</v>
      </c>
      <c r="Y2834" s="68">
        <v>45039</v>
      </c>
      <c r="Z2834" s="17" t="s">
        <v>191</v>
      </c>
      <c r="AA2834" s="17" t="s">
        <v>46</v>
      </c>
      <c r="AC2834" s="102"/>
      <c r="AD2834" s="65"/>
      <c r="AE2834" s="17" t="s">
        <v>74</v>
      </c>
      <c r="AF2834" s="17" t="s">
        <v>560</v>
      </c>
      <c r="AI2834" s="17">
        <v>2400</v>
      </c>
    </row>
    <row r="2835" s="17" customFormat="1" ht="15.6" hidden="1" spans="1:35">
      <c r="B2835" s="19">
        <v>893</v>
      </c>
      <c r="C2835" s="239">
        <v>44960</v>
      </c>
      <c r="D2835" s="17" t="s">
        <v>52</v>
      </c>
      <c r="E2835" s="17" t="s">
        <v>220</v>
      </c>
      <c r="F2835" s="17" t="s">
        <v>54</v>
      </c>
      <c r="H2835" s="19">
        <v>1.2379</v>
      </c>
      <c r="I2835" s="19"/>
      <c r="J2835" s="17" t="s">
        <v>82</v>
      </c>
      <c r="K2835" s="19">
        <v>205</v>
      </c>
      <c r="L2835" s="91">
        <v>65</v>
      </c>
      <c r="M2835" s="19"/>
      <c r="N2835" s="19" t="s">
        <v>40</v>
      </c>
      <c r="O2835" s="19" t="s">
        <v>168</v>
      </c>
      <c r="P2835" s="256">
        <v>1000</v>
      </c>
      <c r="Q2835" s="19">
        <v>0</v>
      </c>
      <c r="R2835" s="19">
        <f t="shared" si="144"/>
        <v>1000</v>
      </c>
      <c r="S2835" s="99"/>
      <c r="T2835" s="19" t="s">
        <v>42</v>
      </c>
      <c r="U2835" s="102"/>
      <c r="V2835" s="110"/>
      <c r="Y2835" s="68"/>
      <c r="AA2835" s="17" t="s">
        <v>46</v>
      </c>
      <c r="AC2835" s="102"/>
      <c r="AD2835" s="65"/>
      <c r="AE2835" s="17" t="s">
        <v>74</v>
      </c>
      <c r="AF2835" s="17" t="s">
        <v>560</v>
      </c>
    </row>
    <row r="2836" s="17" customFormat="1" ht="15.6" hidden="1" spans="1:35">
      <c r="B2836" s="19">
        <v>893</v>
      </c>
      <c r="C2836" s="239">
        <v>44960</v>
      </c>
      <c r="D2836" s="17" t="s">
        <v>52</v>
      </c>
      <c r="E2836" s="17" t="s">
        <v>220</v>
      </c>
      <c r="F2836" s="17" t="s">
        <v>54</v>
      </c>
      <c r="H2836" s="19">
        <v>1.2379</v>
      </c>
      <c r="I2836" s="19"/>
      <c r="J2836" s="17" t="s">
        <v>82</v>
      </c>
      <c r="K2836" s="19">
        <v>255</v>
      </c>
      <c r="L2836" s="91">
        <v>65</v>
      </c>
      <c r="M2836" s="19"/>
      <c r="N2836" s="19" t="s">
        <v>40</v>
      </c>
      <c r="O2836" s="19" t="s">
        <v>168</v>
      </c>
      <c r="P2836" s="256">
        <v>1000</v>
      </c>
      <c r="Q2836" s="19">
        <v>0</v>
      </c>
      <c r="R2836" s="19">
        <f t="shared" si="144"/>
        <v>1000</v>
      </c>
      <c r="S2836" s="99"/>
      <c r="T2836" s="19" t="s">
        <v>42</v>
      </c>
      <c r="U2836" s="102"/>
      <c r="V2836" s="110"/>
      <c r="Y2836" s="68"/>
      <c r="AA2836" s="17" t="s">
        <v>46</v>
      </c>
      <c r="AC2836" s="102"/>
      <c r="AD2836" s="65"/>
      <c r="AE2836" s="17" t="s">
        <v>74</v>
      </c>
      <c r="AF2836" s="17" t="s">
        <v>560</v>
      </c>
    </row>
    <row r="2837" s="17" customFormat="1" ht="15.6" hidden="1" spans="1:35">
      <c r="A2837" s="17" t="s">
        <v>34</v>
      </c>
      <c r="B2837" s="19">
        <v>893</v>
      </c>
      <c r="C2837" s="239">
        <v>44960</v>
      </c>
      <c r="D2837" s="17" t="s">
        <v>52</v>
      </c>
      <c r="E2837" s="17" t="s">
        <v>220</v>
      </c>
      <c r="F2837" s="17" t="s">
        <v>54</v>
      </c>
      <c r="H2837" s="19">
        <v>1.2379</v>
      </c>
      <c r="I2837" s="19"/>
      <c r="J2837" s="17" t="s">
        <v>82</v>
      </c>
      <c r="K2837" s="19">
        <v>305</v>
      </c>
      <c r="L2837" s="91">
        <v>65</v>
      </c>
      <c r="M2837" s="19">
        <v>5000</v>
      </c>
      <c r="N2837" s="19" t="s">
        <v>40</v>
      </c>
      <c r="O2837" s="19" t="s">
        <v>168</v>
      </c>
      <c r="P2837" s="256">
        <v>1000</v>
      </c>
      <c r="Q2837" s="19">
        <v>1047</v>
      </c>
      <c r="R2837" s="19">
        <f t="shared" si="144"/>
        <v>-47</v>
      </c>
      <c r="S2837" s="99">
        <v>2370</v>
      </c>
      <c r="T2837" s="19" t="s">
        <v>42</v>
      </c>
      <c r="U2837" s="102" t="s">
        <v>1058</v>
      </c>
      <c r="V2837" s="110" t="s">
        <v>1059</v>
      </c>
      <c r="W2837" s="17" t="s">
        <v>69</v>
      </c>
      <c r="Y2837" s="68">
        <v>45039</v>
      </c>
      <c r="Z2837" s="17" t="s">
        <v>191</v>
      </c>
      <c r="AA2837" s="17" t="s">
        <v>46</v>
      </c>
      <c r="AB2837" s="17" t="s">
        <v>1011</v>
      </c>
      <c r="AC2837" s="102" t="s">
        <v>1012</v>
      </c>
      <c r="AD2837" s="65">
        <v>1416</v>
      </c>
      <c r="AE2837" s="17" t="s">
        <v>74</v>
      </c>
      <c r="AF2837" s="17" t="s">
        <v>560</v>
      </c>
      <c r="AI2837" s="17">
        <v>2400</v>
      </c>
    </row>
    <row r="2838" s="17" customFormat="1" ht="15.6" hidden="1" spans="1:35">
      <c r="A2838" s="17" t="s">
        <v>34</v>
      </c>
      <c r="B2838" s="19">
        <v>893</v>
      </c>
      <c r="C2838" s="239">
        <v>44960</v>
      </c>
      <c r="D2838" s="17" t="s">
        <v>52</v>
      </c>
      <c r="E2838" s="17" t="s">
        <v>220</v>
      </c>
      <c r="F2838" s="17" t="s">
        <v>54</v>
      </c>
      <c r="H2838" s="19">
        <v>1.2379</v>
      </c>
      <c r="I2838" s="19"/>
      <c r="J2838" s="17" t="s">
        <v>82</v>
      </c>
      <c r="K2838" s="19">
        <v>355</v>
      </c>
      <c r="L2838" s="91">
        <v>65</v>
      </c>
      <c r="M2838" s="19">
        <v>5000</v>
      </c>
      <c r="N2838" s="19" t="s">
        <v>40</v>
      </c>
      <c r="O2838" s="19" t="s">
        <v>168</v>
      </c>
      <c r="P2838" s="256">
        <v>1000</v>
      </c>
      <c r="Q2838" s="19">
        <v>1367</v>
      </c>
      <c r="R2838" s="19">
        <f t="shared" si="144"/>
        <v>-367</v>
      </c>
      <c r="S2838" s="99">
        <v>2370</v>
      </c>
      <c r="T2838" s="19" t="s">
        <v>42</v>
      </c>
      <c r="U2838" s="102" t="s">
        <v>1058</v>
      </c>
      <c r="V2838" s="110" t="s">
        <v>1059</v>
      </c>
      <c r="W2838" s="17" t="s">
        <v>69</v>
      </c>
      <c r="Y2838" s="68">
        <v>45039</v>
      </c>
      <c r="Z2838" s="17" t="s">
        <v>191</v>
      </c>
      <c r="AA2838" s="17" t="s">
        <v>46</v>
      </c>
      <c r="AB2838" s="17" t="s">
        <v>1011</v>
      </c>
      <c r="AC2838" s="102" t="s">
        <v>1012</v>
      </c>
      <c r="AD2838" s="65">
        <v>1416</v>
      </c>
      <c r="AE2838" s="17" t="s">
        <v>74</v>
      </c>
      <c r="AF2838" s="17" t="s">
        <v>560</v>
      </c>
      <c r="AI2838" s="17">
        <v>2400</v>
      </c>
    </row>
    <row r="2839" s="17" customFormat="1" ht="15.6" hidden="1" spans="1:35">
      <c r="A2839" s="17" t="s">
        <v>34</v>
      </c>
      <c r="B2839" s="19">
        <v>893</v>
      </c>
      <c r="C2839" s="239">
        <v>44960</v>
      </c>
      <c r="D2839" s="17" t="s">
        <v>52</v>
      </c>
      <c r="E2839" s="17" t="s">
        <v>220</v>
      </c>
      <c r="F2839" s="17" t="s">
        <v>54</v>
      </c>
      <c r="H2839" s="19">
        <v>1.2379</v>
      </c>
      <c r="I2839" s="19"/>
      <c r="J2839" s="17" t="s">
        <v>82</v>
      </c>
      <c r="K2839" s="19">
        <v>405</v>
      </c>
      <c r="L2839" s="91">
        <v>65</v>
      </c>
      <c r="M2839" s="19">
        <v>5000</v>
      </c>
      <c r="N2839" s="19" t="s">
        <v>40</v>
      </c>
      <c r="O2839" s="19" t="s">
        <v>168</v>
      </c>
      <c r="P2839" s="256">
        <v>1000</v>
      </c>
      <c r="Q2839" s="19">
        <v>688</v>
      </c>
      <c r="R2839" s="19">
        <f t="shared" si="144"/>
        <v>312</v>
      </c>
      <c r="S2839" s="99">
        <v>2370</v>
      </c>
      <c r="T2839" s="19" t="s">
        <v>42</v>
      </c>
      <c r="U2839" s="102" t="s">
        <v>1058</v>
      </c>
      <c r="V2839" s="110" t="s">
        <v>1059</v>
      </c>
      <c r="W2839" s="17" t="s">
        <v>69</v>
      </c>
      <c r="Y2839" s="68">
        <v>45039</v>
      </c>
      <c r="Z2839" s="17" t="s">
        <v>191</v>
      </c>
      <c r="AA2839" s="17" t="s">
        <v>46</v>
      </c>
      <c r="AB2839" s="17" t="s">
        <v>1011</v>
      </c>
      <c r="AC2839" s="102" t="s">
        <v>1012</v>
      </c>
      <c r="AD2839" s="65">
        <v>1416</v>
      </c>
      <c r="AE2839" s="17" t="s">
        <v>74</v>
      </c>
      <c r="AF2839" s="17" t="s">
        <v>560</v>
      </c>
      <c r="AI2839" s="17">
        <v>2400</v>
      </c>
    </row>
    <row r="2840" s="17" customFormat="1" ht="15.6" hidden="1" spans="1:35">
      <c r="A2840" s="17" t="s">
        <v>34</v>
      </c>
      <c r="B2840" s="19">
        <v>893</v>
      </c>
      <c r="C2840" s="239">
        <v>44960</v>
      </c>
      <c r="D2840" s="17" t="s">
        <v>52</v>
      </c>
      <c r="E2840" s="17" t="s">
        <v>220</v>
      </c>
      <c r="F2840" s="17" t="s">
        <v>54</v>
      </c>
      <c r="H2840" s="19">
        <v>1.2379</v>
      </c>
      <c r="I2840" s="19"/>
      <c r="J2840" s="17" t="s">
        <v>82</v>
      </c>
      <c r="K2840" s="19">
        <v>455</v>
      </c>
      <c r="L2840" s="91">
        <v>65</v>
      </c>
      <c r="M2840" s="19">
        <v>5000</v>
      </c>
      <c r="N2840" s="19" t="s">
        <v>40</v>
      </c>
      <c r="O2840" s="19" t="s">
        <v>168</v>
      </c>
      <c r="P2840" s="256">
        <v>1000</v>
      </c>
      <c r="Q2840" s="19">
        <v>980</v>
      </c>
      <c r="R2840" s="19">
        <f t="shared" si="144"/>
        <v>20</v>
      </c>
      <c r="S2840" s="99">
        <v>2370</v>
      </c>
      <c r="T2840" s="19" t="s">
        <v>42</v>
      </c>
      <c r="U2840" s="102" t="s">
        <v>1058</v>
      </c>
      <c r="V2840" s="110" t="s">
        <v>1059</v>
      </c>
      <c r="W2840" s="17" t="s">
        <v>69</v>
      </c>
      <c r="Y2840" s="68">
        <v>45039</v>
      </c>
      <c r="Z2840" s="17" t="s">
        <v>191</v>
      </c>
      <c r="AA2840" s="17" t="s">
        <v>46</v>
      </c>
      <c r="AB2840" s="17" t="s">
        <v>1019</v>
      </c>
      <c r="AC2840" s="102" t="s">
        <v>1020</v>
      </c>
      <c r="AD2840" s="65">
        <v>1408</v>
      </c>
      <c r="AE2840" s="17" t="s">
        <v>74</v>
      </c>
      <c r="AF2840" s="17" t="s">
        <v>560</v>
      </c>
      <c r="AI2840" s="17">
        <v>2400</v>
      </c>
    </row>
    <row r="2841" s="17" customFormat="1" ht="15.6" hidden="1" spans="1:35">
      <c r="A2841" s="17" t="s">
        <v>34</v>
      </c>
      <c r="B2841" s="19">
        <v>893</v>
      </c>
      <c r="C2841" s="239">
        <v>44960</v>
      </c>
      <c r="D2841" s="17" t="s">
        <v>52</v>
      </c>
      <c r="E2841" s="17" t="s">
        <v>220</v>
      </c>
      <c r="F2841" s="17" t="s">
        <v>54</v>
      </c>
      <c r="H2841" s="19">
        <v>1.2379</v>
      </c>
      <c r="I2841" s="19"/>
      <c r="J2841" s="17" t="s">
        <v>82</v>
      </c>
      <c r="K2841" s="19">
        <v>505</v>
      </c>
      <c r="L2841" s="91">
        <v>65</v>
      </c>
      <c r="M2841" s="19">
        <v>5000</v>
      </c>
      <c r="N2841" s="19" t="s">
        <v>40</v>
      </c>
      <c r="O2841" s="19" t="s">
        <v>168</v>
      </c>
      <c r="P2841" s="256">
        <v>1000</v>
      </c>
      <c r="Q2841" s="19">
        <v>845</v>
      </c>
      <c r="R2841" s="19">
        <f t="shared" si="144"/>
        <v>155</v>
      </c>
      <c r="S2841" s="99">
        <v>2370</v>
      </c>
      <c r="T2841" s="19" t="s">
        <v>42</v>
      </c>
      <c r="U2841" s="102" t="s">
        <v>1058</v>
      </c>
      <c r="V2841" s="110" t="s">
        <v>1059</v>
      </c>
      <c r="W2841" s="17" t="s">
        <v>69</v>
      </c>
      <c r="Y2841" s="68">
        <v>45039</v>
      </c>
      <c r="Z2841" s="17" t="s">
        <v>191</v>
      </c>
      <c r="AA2841" s="17" t="s">
        <v>46</v>
      </c>
      <c r="AB2841" s="17" t="s">
        <v>1021</v>
      </c>
      <c r="AC2841" s="217">
        <v>44989</v>
      </c>
      <c r="AD2841" s="65">
        <v>1413</v>
      </c>
      <c r="AE2841" s="17" t="s">
        <v>74</v>
      </c>
      <c r="AF2841" s="17" t="s">
        <v>560</v>
      </c>
      <c r="AI2841" s="17">
        <v>2400</v>
      </c>
    </row>
    <row r="2842" s="17" customFormat="1" ht="15.6" hidden="1" spans="1:35">
      <c r="A2842" s="17" t="s">
        <v>34</v>
      </c>
      <c r="B2842" s="19">
        <v>893</v>
      </c>
      <c r="C2842" s="239">
        <v>44960</v>
      </c>
      <c r="D2842" s="17" t="s">
        <v>52</v>
      </c>
      <c r="E2842" s="17" t="s">
        <v>220</v>
      </c>
      <c r="F2842" s="17" t="s">
        <v>54</v>
      </c>
      <c r="H2842" s="19">
        <v>1.2379</v>
      </c>
      <c r="I2842" s="19"/>
      <c r="J2842" s="17" t="s">
        <v>82</v>
      </c>
      <c r="K2842" s="19">
        <v>205</v>
      </c>
      <c r="L2842" s="91">
        <v>80</v>
      </c>
      <c r="M2842" s="19">
        <v>5000</v>
      </c>
      <c r="N2842" s="19" t="s">
        <v>40</v>
      </c>
      <c r="O2842" s="19" t="s">
        <v>168</v>
      </c>
      <c r="P2842" s="268">
        <v>580</v>
      </c>
      <c r="Q2842" s="19">
        <v>495</v>
      </c>
      <c r="R2842" s="19">
        <f t="shared" si="144"/>
        <v>85</v>
      </c>
      <c r="S2842" s="99">
        <v>2370</v>
      </c>
      <c r="T2842" s="19" t="s">
        <v>42</v>
      </c>
      <c r="U2842" s="102" t="s">
        <v>1058</v>
      </c>
      <c r="V2842" s="110" t="s">
        <v>1059</v>
      </c>
      <c r="W2842" s="17" t="s">
        <v>69</v>
      </c>
      <c r="Y2842" s="68">
        <v>45039</v>
      </c>
      <c r="Z2842" s="17" t="s">
        <v>191</v>
      </c>
      <c r="AA2842" s="17" t="s">
        <v>46</v>
      </c>
      <c r="AB2842" s="17" t="s">
        <v>1021</v>
      </c>
      <c r="AC2842" s="217">
        <v>44989</v>
      </c>
      <c r="AD2842" s="65">
        <v>1413</v>
      </c>
      <c r="AE2842" s="17" t="s">
        <v>74</v>
      </c>
      <c r="AF2842" s="17" t="s">
        <v>560</v>
      </c>
      <c r="AI2842" s="17">
        <v>2400</v>
      </c>
    </row>
    <row r="2843" s="17" customFormat="1" ht="15.6" hidden="1" spans="1:35">
      <c r="A2843" s="17" t="s">
        <v>34</v>
      </c>
      <c r="B2843" s="19">
        <v>893</v>
      </c>
      <c r="C2843" s="239">
        <v>44960</v>
      </c>
      <c r="D2843" s="17" t="s">
        <v>52</v>
      </c>
      <c r="E2843" s="17" t="s">
        <v>220</v>
      </c>
      <c r="F2843" s="17" t="s">
        <v>54</v>
      </c>
      <c r="H2843" s="19">
        <v>1.2379</v>
      </c>
      <c r="I2843" s="19"/>
      <c r="J2843" s="17" t="s">
        <v>82</v>
      </c>
      <c r="K2843" s="19">
        <v>255</v>
      </c>
      <c r="L2843" s="91">
        <v>80</v>
      </c>
      <c r="M2843" s="19">
        <v>5000</v>
      </c>
      <c r="N2843" s="19" t="s">
        <v>40</v>
      </c>
      <c r="O2843" s="19" t="s">
        <v>168</v>
      </c>
      <c r="P2843" s="268">
        <v>720</v>
      </c>
      <c r="Q2843" s="19">
        <v>681</v>
      </c>
      <c r="R2843" s="19">
        <f t="shared" si="144"/>
        <v>39</v>
      </c>
      <c r="S2843" s="99">
        <v>2370</v>
      </c>
      <c r="T2843" s="19" t="s">
        <v>42</v>
      </c>
      <c r="U2843" s="102" t="s">
        <v>1058</v>
      </c>
      <c r="V2843" s="110" t="s">
        <v>1059</v>
      </c>
      <c r="W2843" s="17" t="s">
        <v>69</v>
      </c>
      <c r="Y2843" s="68">
        <v>45039</v>
      </c>
      <c r="Z2843" s="17" t="s">
        <v>191</v>
      </c>
      <c r="AA2843" s="17" t="s">
        <v>46</v>
      </c>
      <c r="AB2843" s="17" t="s">
        <v>1011</v>
      </c>
      <c r="AC2843" s="102" t="s">
        <v>1012</v>
      </c>
      <c r="AD2843" s="65">
        <v>1416</v>
      </c>
      <c r="AE2843" s="17" t="s">
        <v>74</v>
      </c>
      <c r="AF2843" s="17" t="s">
        <v>560</v>
      </c>
      <c r="AI2843" s="17">
        <v>2400</v>
      </c>
    </row>
    <row r="2844" s="17" customFormat="1" ht="15.6" hidden="1" spans="1:35">
      <c r="A2844" s="17" t="s">
        <v>34</v>
      </c>
      <c r="B2844" s="19">
        <v>893</v>
      </c>
      <c r="C2844" s="239">
        <v>44960</v>
      </c>
      <c r="D2844" s="17" t="s">
        <v>52</v>
      </c>
      <c r="E2844" s="17" t="s">
        <v>220</v>
      </c>
      <c r="F2844" s="17" t="s">
        <v>54</v>
      </c>
      <c r="H2844" s="19">
        <v>1.2379</v>
      </c>
      <c r="I2844" s="19"/>
      <c r="J2844" s="17" t="s">
        <v>82</v>
      </c>
      <c r="K2844" s="19">
        <v>305</v>
      </c>
      <c r="L2844" s="91">
        <v>80</v>
      </c>
      <c r="M2844" s="19">
        <v>5000</v>
      </c>
      <c r="N2844" s="19" t="s">
        <v>40</v>
      </c>
      <c r="O2844" s="19" t="s">
        <v>168</v>
      </c>
      <c r="P2844" s="268">
        <v>860</v>
      </c>
      <c r="Q2844" s="19">
        <v>699</v>
      </c>
      <c r="R2844" s="19">
        <f t="shared" si="144"/>
        <v>161</v>
      </c>
      <c r="S2844" s="99">
        <v>2370</v>
      </c>
      <c r="T2844" s="19" t="s">
        <v>42</v>
      </c>
      <c r="U2844" s="102" t="s">
        <v>1058</v>
      </c>
      <c r="V2844" s="110" t="s">
        <v>1059</v>
      </c>
      <c r="W2844" s="17" t="s">
        <v>69</v>
      </c>
      <c r="Y2844" s="68">
        <v>45039</v>
      </c>
      <c r="Z2844" s="17" t="s">
        <v>191</v>
      </c>
      <c r="AA2844" s="17" t="s">
        <v>46</v>
      </c>
      <c r="AB2844" s="17" t="s">
        <v>1021</v>
      </c>
      <c r="AC2844" s="217">
        <v>44989</v>
      </c>
      <c r="AD2844" s="65">
        <v>1413</v>
      </c>
      <c r="AE2844" s="17" t="s">
        <v>74</v>
      </c>
      <c r="AF2844" s="17" t="s">
        <v>560</v>
      </c>
      <c r="AI2844" s="17">
        <v>2400</v>
      </c>
    </row>
    <row r="2845" s="17" customFormat="1" ht="15.6" hidden="1" spans="1:35">
      <c r="B2845" s="19">
        <v>893</v>
      </c>
      <c r="C2845" s="239">
        <v>44960</v>
      </c>
      <c r="D2845" s="17" t="s">
        <v>52</v>
      </c>
      <c r="E2845" s="17" t="s">
        <v>220</v>
      </c>
      <c r="F2845" s="17" t="s">
        <v>54</v>
      </c>
      <c r="H2845" s="19">
        <v>1.2379</v>
      </c>
      <c r="I2845" s="19"/>
      <c r="J2845" s="17" t="s">
        <v>82</v>
      </c>
      <c r="K2845" s="19">
        <v>355</v>
      </c>
      <c r="L2845" s="91">
        <v>80</v>
      </c>
      <c r="M2845" s="19">
        <v>5000</v>
      </c>
      <c r="N2845" s="19" t="s">
        <v>40</v>
      </c>
      <c r="O2845" s="19" t="s">
        <v>168</v>
      </c>
      <c r="P2845" s="268">
        <v>1000</v>
      </c>
      <c r="Q2845" s="19">
        <v>0</v>
      </c>
      <c r="R2845" s="19">
        <f t="shared" si="144"/>
        <v>1000</v>
      </c>
      <c r="S2845" s="99">
        <v>2370</v>
      </c>
      <c r="T2845" s="19" t="s">
        <v>42</v>
      </c>
      <c r="U2845" s="102" t="s">
        <v>1058</v>
      </c>
      <c r="V2845" s="110" t="s">
        <v>1059</v>
      </c>
      <c r="W2845" s="17" t="s">
        <v>69</v>
      </c>
      <c r="Y2845" s="68">
        <v>45039</v>
      </c>
      <c r="Z2845" s="17" t="s">
        <v>191</v>
      </c>
      <c r="AA2845" s="17" t="s">
        <v>46</v>
      </c>
      <c r="AC2845" s="102"/>
      <c r="AD2845" s="65"/>
      <c r="AE2845" s="17" t="s">
        <v>74</v>
      </c>
      <c r="AF2845" s="17" t="s">
        <v>560</v>
      </c>
      <c r="AI2845" s="17">
        <v>2400</v>
      </c>
    </row>
    <row r="2846" s="17" customFormat="1" ht="15.6" hidden="1" spans="1:35">
      <c r="A2846" s="17" t="s">
        <v>34</v>
      </c>
      <c r="B2846" s="19">
        <v>893</v>
      </c>
      <c r="C2846" s="239">
        <v>44960</v>
      </c>
      <c r="D2846" s="17" t="s">
        <v>52</v>
      </c>
      <c r="E2846" s="17" t="s">
        <v>220</v>
      </c>
      <c r="F2846" s="17" t="s">
        <v>54</v>
      </c>
      <c r="H2846" s="19">
        <v>1.2379</v>
      </c>
      <c r="I2846" s="19"/>
      <c r="J2846" s="17" t="s">
        <v>82</v>
      </c>
      <c r="K2846" s="19">
        <v>405</v>
      </c>
      <c r="L2846" s="91">
        <v>80</v>
      </c>
      <c r="M2846" s="19">
        <v>5000</v>
      </c>
      <c r="N2846" s="19" t="s">
        <v>40</v>
      </c>
      <c r="O2846" s="19" t="s">
        <v>168</v>
      </c>
      <c r="P2846" s="268">
        <v>1144.53</v>
      </c>
      <c r="Q2846" s="19">
        <v>1000</v>
      </c>
      <c r="S2846" s="99">
        <v>2370</v>
      </c>
      <c r="T2846" s="19" t="s">
        <v>42</v>
      </c>
      <c r="U2846" s="102" t="s">
        <v>1058</v>
      </c>
      <c r="V2846" s="110" t="s">
        <v>1059</v>
      </c>
      <c r="W2846" s="17" t="s">
        <v>69</v>
      </c>
      <c r="Y2846" s="68">
        <v>45039</v>
      </c>
      <c r="Z2846" s="17" t="s">
        <v>191</v>
      </c>
      <c r="AA2846" s="17" t="s">
        <v>46</v>
      </c>
      <c r="AB2846" s="17" t="s">
        <v>1019</v>
      </c>
      <c r="AC2846" s="102" t="s">
        <v>1020</v>
      </c>
      <c r="AD2846" s="65">
        <v>1408</v>
      </c>
      <c r="AE2846" s="17" t="s">
        <v>74</v>
      </c>
      <c r="AF2846" s="17" t="s">
        <v>560</v>
      </c>
      <c r="AI2846" s="17">
        <v>2400</v>
      </c>
    </row>
    <row r="2847" s="17" customFormat="1" ht="15.6" hidden="1" spans="1:35">
      <c r="A2847" s="17" t="s">
        <v>34</v>
      </c>
      <c r="B2847" s="19">
        <v>893</v>
      </c>
      <c r="C2847" s="239">
        <v>44960</v>
      </c>
      <c r="D2847" s="17" t="s">
        <v>52</v>
      </c>
      <c r="E2847" s="17" t="s">
        <v>220</v>
      </c>
      <c r="F2847" s="17" t="s">
        <v>54</v>
      </c>
      <c r="H2847" s="19">
        <v>1.2379</v>
      </c>
      <c r="I2847" s="19"/>
      <c r="J2847" s="17" t="s">
        <v>82</v>
      </c>
      <c r="K2847" s="19">
        <v>405</v>
      </c>
      <c r="L2847" s="91">
        <v>80</v>
      </c>
      <c r="M2847" s="19">
        <v>5000</v>
      </c>
      <c r="N2847" s="19" t="s">
        <v>40</v>
      </c>
      <c r="O2847" s="19" t="s">
        <v>168</v>
      </c>
      <c r="P2847" s="268"/>
      <c r="Q2847" s="19">
        <v>983</v>
      </c>
      <c r="R2847" s="99">
        <f>+P2846-Q2846-Q2847</f>
        <v>-838.47</v>
      </c>
      <c r="S2847" s="99">
        <v>2370</v>
      </c>
      <c r="T2847" s="19" t="s">
        <v>42</v>
      </c>
      <c r="U2847" s="102" t="s">
        <v>1058</v>
      </c>
      <c r="V2847" s="110" t="s">
        <v>1059</v>
      </c>
      <c r="W2847" s="17" t="s">
        <v>69</v>
      </c>
      <c r="Y2847" s="68">
        <v>45039</v>
      </c>
      <c r="Z2847" s="17" t="s">
        <v>191</v>
      </c>
      <c r="AA2847" s="17" t="s">
        <v>46</v>
      </c>
      <c r="AB2847" s="17" t="s">
        <v>1021</v>
      </c>
      <c r="AC2847" s="217">
        <v>44989</v>
      </c>
      <c r="AD2847" s="65">
        <v>1413</v>
      </c>
      <c r="AE2847" s="17" t="s">
        <v>74</v>
      </c>
      <c r="AF2847" s="17" t="s">
        <v>560</v>
      </c>
    </row>
    <row r="2848" s="17" customFormat="1" ht="15.6" hidden="1" spans="1:35">
      <c r="A2848" s="17" t="s">
        <v>34</v>
      </c>
      <c r="B2848" s="19">
        <v>893</v>
      </c>
      <c r="C2848" s="239">
        <v>44960</v>
      </c>
      <c r="D2848" s="17" t="s">
        <v>52</v>
      </c>
      <c r="E2848" s="17" t="s">
        <v>220</v>
      </c>
      <c r="F2848" s="17" t="s">
        <v>54</v>
      </c>
      <c r="H2848" s="19">
        <v>1.2379</v>
      </c>
      <c r="I2848" s="19"/>
      <c r="J2848" s="17" t="s">
        <v>82</v>
      </c>
      <c r="K2848" s="19">
        <v>455</v>
      </c>
      <c r="L2848" s="91">
        <v>80</v>
      </c>
      <c r="M2848" s="19">
        <v>5000</v>
      </c>
      <c r="N2848" s="19" t="s">
        <v>40</v>
      </c>
      <c r="O2848" s="19" t="s">
        <v>168</v>
      </c>
      <c r="P2848" s="268">
        <v>1285.83</v>
      </c>
      <c r="Q2848" s="19">
        <v>1294</v>
      </c>
      <c r="R2848" s="99">
        <f t="shared" ref="R2848:R2855" si="145">+P2848-Q2848</f>
        <v>-8.17000000000007</v>
      </c>
      <c r="S2848" s="99">
        <v>2370</v>
      </c>
      <c r="T2848" s="19" t="s">
        <v>42</v>
      </c>
      <c r="U2848" s="102" t="s">
        <v>1058</v>
      </c>
      <c r="V2848" s="110" t="s">
        <v>1059</v>
      </c>
      <c r="W2848" s="17" t="s">
        <v>69</v>
      </c>
      <c r="Y2848" s="68">
        <v>45039</v>
      </c>
      <c r="Z2848" s="17" t="s">
        <v>191</v>
      </c>
      <c r="AA2848" s="17" t="s">
        <v>46</v>
      </c>
      <c r="AB2848" s="17" t="s">
        <v>1021</v>
      </c>
      <c r="AC2848" s="217">
        <v>44989</v>
      </c>
      <c r="AD2848" s="65">
        <v>1413</v>
      </c>
      <c r="AE2848" s="17" t="s">
        <v>74</v>
      </c>
      <c r="AF2848" s="17" t="s">
        <v>560</v>
      </c>
      <c r="AI2848" s="17">
        <v>2400</v>
      </c>
    </row>
    <row r="2849" s="17" customFormat="1" ht="15.6" hidden="1" spans="1:35">
      <c r="A2849" s="17" t="s">
        <v>34</v>
      </c>
      <c r="B2849" s="19">
        <v>893</v>
      </c>
      <c r="C2849" s="239">
        <v>44960</v>
      </c>
      <c r="D2849" s="17" t="s">
        <v>52</v>
      </c>
      <c r="E2849" s="17" t="s">
        <v>220</v>
      </c>
      <c r="F2849" s="17" t="s">
        <v>54</v>
      </c>
      <c r="H2849" s="19">
        <v>1.2379</v>
      </c>
      <c r="I2849" s="19"/>
      <c r="J2849" s="17" t="s">
        <v>82</v>
      </c>
      <c r="K2849" s="19">
        <v>505</v>
      </c>
      <c r="L2849" s="91">
        <v>80</v>
      </c>
      <c r="M2849" s="19">
        <v>5000</v>
      </c>
      <c r="N2849" s="19" t="s">
        <v>40</v>
      </c>
      <c r="O2849" s="19" t="s">
        <v>168</v>
      </c>
      <c r="P2849" s="268">
        <v>1427.13</v>
      </c>
      <c r="Q2849" s="19">
        <v>1284</v>
      </c>
      <c r="R2849" s="99">
        <f t="shared" si="145"/>
        <v>143.13</v>
      </c>
      <c r="S2849" s="99">
        <v>2370</v>
      </c>
      <c r="T2849" s="19" t="s">
        <v>42</v>
      </c>
      <c r="U2849" s="102" t="s">
        <v>1058</v>
      </c>
      <c r="V2849" s="110" t="s">
        <v>1059</v>
      </c>
      <c r="W2849" s="17" t="s">
        <v>69</v>
      </c>
      <c r="Y2849" s="68">
        <v>45039</v>
      </c>
      <c r="Z2849" s="17" t="s">
        <v>191</v>
      </c>
      <c r="AA2849" s="17" t="s">
        <v>46</v>
      </c>
      <c r="AB2849" s="17" t="s">
        <v>1021</v>
      </c>
      <c r="AC2849" s="217">
        <v>44989</v>
      </c>
      <c r="AD2849" s="65">
        <v>1413</v>
      </c>
      <c r="AE2849" s="17" t="s">
        <v>74</v>
      </c>
      <c r="AF2849" s="17" t="s">
        <v>560</v>
      </c>
      <c r="AI2849" s="17">
        <v>2400</v>
      </c>
    </row>
    <row r="2850" s="17" customFormat="1" ht="15.6" hidden="1" spans="1:35">
      <c r="A2850" s="17" t="s">
        <v>34</v>
      </c>
      <c r="B2850" s="19">
        <v>893</v>
      </c>
      <c r="C2850" s="239">
        <v>44960</v>
      </c>
      <c r="D2850" s="17" t="s">
        <v>52</v>
      </c>
      <c r="E2850" s="17" t="s">
        <v>220</v>
      </c>
      <c r="F2850" s="17" t="s">
        <v>54</v>
      </c>
      <c r="H2850" s="19">
        <v>1.2379</v>
      </c>
      <c r="I2850" s="19"/>
      <c r="J2850" s="17" t="s">
        <v>82</v>
      </c>
      <c r="K2850" s="19">
        <v>205</v>
      </c>
      <c r="L2850" s="91">
        <v>105</v>
      </c>
      <c r="M2850" s="19">
        <v>5000</v>
      </c>
      <c r="N2850" s="19" t="s">
        <v>40</v>
      </c>
      <c r="O2850" s="19" t="s">
        <v>168</v>
      </c>
      <c r="P2850" s="268">
        <v>760.370625</v>
      </c>
      <c r="Q2850" s="19">
        <v>651</v>
      </c>
      <c r="R2850" s="99">
        <f t="shared" si="145"/>
        <v>109.370625</v>
      </c>
      <c r="S2850" s="99">
        <v>2370</v>
      </c>
      <c r="T2850" s="19" t="s">
        <v>42</v>
      </c>
      <c r="U2850" s="102" t="s">
        <v>1058</v>
      </c>
      <c r="V2850" s="110" t="s">
        <v>1059</v>
      </c>
      <c r="W2850" s="17" t="s">
        <v>69</v>
      </c>
      <c r="Y2850" s="68">
        <v>45039</v>
      </c>
      <c r="Z2850" s="17" t="s">
        <v>191</v>
      </c>
      <c r="AA2850" s="17" t="s">
        <v>46</v>
      </c>
      <c r="AB2850" s="17" t="s">
        <v>1011</v>
      </c>
      <c r="AC2850" s="102" t="s">
        <v>1012</v>
      </c>
      <c r="AD2850" s="65">
        <v>1416</v>
      </c>
      <c r="AE2850" s="17" t="s">
        <v>74</v>
      </c>
      <c r="AF2850" s="17" t="s">
        <v>560</v>
      </c>
      <c r="AI2850" s="17">
        <v>2400</v>
      </c>
    </row>
    <row r="2851" s="17" customFormat="1" ht="15.6" hidden="1" spans="1:35">
      <c r="A2851" s="17" t="s">
        <v>34</v>
      </c>
      <c r="B2851" s="19">
        <v>893</v>
      </c>
      <c r="C2851" s="239">
        <v>44960</v>
      </c>
      <c r="D2851" s="17" t="s">
        <v>52</v>
      </c>
      <c r="E2851" s="17" t="s">
        <v>220</v>
      </c>
      <c r="F2851" s="17" t="s">
        <v>54</v>
      </c>
      <c r="H2851" s="19">
        <v>1.2379</v>
      </c>
      <c r="I2851" s="19"/>
      <c r="J2851" s="17" t="s">
        <v>82</v>
      </c>
      <c r="K2851" s="19">
        <v>255</v>
      </c>
      <c r="L2851" s="91">
        <v>105</v>
      </c>
      <c r="M2851" s="19">
        <v>5000</v>
      </c>
      <c r="N2851" s="19" t="s">
        <v>40</v>
      </c>
      <c r="O2851" s="19" t="s">
        <v>168</v>
      </c>
      <c r="P2851" s="268">
        <v>945.826875</v>
      </c>
      <c r="Q2851" s="19">
        <v>856</v>
      </c>
      <c r="R2851" s="99">
        <f t="shared" si="145"/>
        <v>89.8268749999999</v>
      </c>
      <c r="S2851" s="99">
        <v>2370</v>
      </c>
      <c r="T2851" s="19" t="s">
        <v>42</v>
      </c>
      <c r="U2851" s="102" t="s">
        <v>1058</v>
      </c>
      <c r="V2851" s="110" t="s">
        <v>1059</v>
      </c>
      <c r="W2851" s="17" t="s">
        <v>69</v>
      </c>
      <c r="Y2851" s="68">
        <v>45039</v>
      </c>
      <c r="Z2851" s="17" t="s">
        <v>191</v>
      </c>
      <c r="AA2851" s="17" t="s">
        <v>46</v>
      </c>
      <c r="AB2851" s="17" t="s">
        <v>1011</v>
      </c>
      <c r="AC2851" s="102" t="s">
        <v>1012</v>
      </c>
      <c r="AD2851" s="65">
        <v>1416</v>
      </c>
      <c r="AE2851" s="17" t="s">
        <v>74</v>
      </c>
      <c r="AF2851" s="17" t="s">
        <v>560</v>
      </c>
      <c r="AI2851" s="17">
        <v>2400</v>
      </c>
    </row>
    <row r="2852" s="17" customFormat="1" ht="15.6" hidden="1" spans="1:35">
      <c r="A2852" s="17" t="s">
        <v>34</v>
      </c>
      <c r="B2852" s="19">
        <v>893</v>
      </c>
      <c r="C2852" s="239">
        <v>44960</v>
      </c>
      <c r="D2852" s="17" t="s">
        <v>52</v>
      </c>
      <c r="E2852" s="17" t="s">
        <v>220</v>
      </c>
      <c r="F2852" s="17" t="s">
        <v>54</v>
      </c>
      <c r="H2852" s="19">
        <v>1.2379</v>
      </c>
      <c r="I2852" s="19"/>
      <c r="J2852" s="17" t="s">
        <v>82</v>
      </c>
      <c r="K2852" s="19">
        <v>305</v>
      </c>
      <c r="L2852" s="91">
        <v>105</v>
      </c>
      <c r="M2852" s="19">
        <v>5000</v>
      </c>
      <c r="N2852" s="19" t="s">
        <v>40</v>
      </c>
      <c r="O2852" s="19" t="s">
        <v>168</v>
      </c>
      <c r="P2852" s="268">
        <v>1131.283125</v>
      </c>
      <c r="Q2852" s="19">
        <v>762</v>
      </c>
      <c r="R2852" s="99">
        <f t="shared" si="145"/>
        <v>369.283125</v>
      </c>
      <c r="S2852" s="99">
        <v>2370</v>
      </c>
      <c r="T2852" s="19" t="s">
        <v>42</v>
      </c>
      <c r="U2852" s="102" t="s">
        <v>1058</v>
      </c>
      <c r="V2852" s="110" t="s">
        <v>1059</v>
      </c>
      <c r="W2852" s="17" t="s">
        <v>69</v>
      </c>
      <c r="Y2852" s="68">
        <v>45039</v>
      </c>
      <c r="Z2852" s="17" t="s">
        <v>191</v>
      </c>
      <c r="AA2852" s="17" t="s">
        <v>46</v>
      </c>
      <c r="AB2852" s="17" t="s">
        <v>1011</v>
      </c>
      <c r="AC2852" s="102" t="s">
        <v>1012</v>
      </c>
      <c r="AD2852" s="65">
        <v>1416</v>
      </c>
      <c r="AE2852" s="17" t="s">
        <v>74</v>
      </c>
      <c r="AF2852" s="17" t="s">
        <v>560</v>
      </c>
      <c r="AI2852" s="17">
        <v>2400</v>
      </c>
    </row>
    <row r="2853" s="17" customFormat="1" ht="15.6" hidden="1" spans="1:35">
      <c r="A2853" s="17" t="s">
        <v>34</v>
      </c>
      <c r="B2853" s="19">
        <v>893</v>
      </c>
      <c r="C2853" s="239">
        <v>44960</v>
      </c>
      <c r="D2853" s="17" t="s">
        <v>52</v>
      </c>
      <c r="E2853" s="17" t="s">
        <v>220</v>
      </c>
      <c r="F2853" s="17" t="s">
        <v>54</v>
      </c>
      <c r="H2853" s="19">
        <v>1.2379</v>
      </c>
      <c r="I2853" s="19"/>
      <c r="J2853" s="17" t="s">
        <v>82</v>
      </c>
      <c r="K2853" s="19">
        <v>355</v>
      </c>
      <c r="L2853" s="91">
        <v>105</v>
      </c>
      <c r="M2853" s="19">
        <v>5000</v>
      </c>
      <c r="N2853" s="19" t="s">
        <v>40</v>
      </c>
      <c r="O2853" s="19" t="s">
        <v>168</v>
      </c>
      <c r="P2853" s="268">
        <v>1316.739375</v>
      </c>
      <c r="Q2853" s="19">
        <f>1219+1185</f>
        <v>2404</v>
      </c>
      <c r="R2853" s="99">
        <f t="shared" si="145"/>
        <v>-1087.260625</v>
      </c>
      <c r="S2853" s="99">
        <v>2370</v>
      </c>
      <c r="T2853" s="19" t="s">
        <v>42</v>
      </c>
      <c r="U2853" s="102" t="s">
        <v>1058</v>
      </c>
      <c r="V2853" s="110" t="s">
        <v>1059</v>
      </c>
      <c r="W2853" s="17" t="s">
        <v>69</v>
      </c>
      <c r="Y2853" s="68">
        <v>45039</v>
      </c>
      <c r="Z2853" s="17" t="s">
        <v>191</v>
      </c>
      <c r="AA2853" s="17" t="s">
        <v>46</v>
      </c>
      <c r="AB2853" s="17" t="s">
        <v>1013</v>
      </c>
      <c r="AC2853" s="217">
        <v>45234</v>
      </c>
      <c r="AD2853" s="65">
        <v>1419</v>
      </c>
      <c r="AE2853" s="17" t="s">
        <v>74</v>
      </c>
      <c r="AF2853" s="17" t="s">
        <v>560</v>
      </c>
      <c r="AI2853" s="17">
        <v>2400</v>
      </c>
    </row>
    <row r="2854" s="17" customFormat="1" ht="15.6" hidden="1" spans="1:35">
      <c r="A2854" s="17" t="s">
        <v>34</v>
      </c>
      <c r="B2854" s="19">
        <v>893</v>
      </c>
      <c r="C2854" s="239">
        <v>44960</v>
      </c>
      <c r="D2854" s="17" t="s">
        <v>52</v>
      </c>
      <c r="E2854" s="17" t="s">
        <v>220</v>
      </c>
      <c r="F2854" s="17" t="s">
        <v>54</v>
      </c>
      <c r="H2854" s="19">
        <v>1.2379</v>
      </c>
      <c r="I2854" s="19"/>
      <c r="J2854" s="17" t="s">
        <v>82</v>
      </c>
      <c r="K2854" s="19">
        <v>405</v>
      </c>
      <c r="L2854" s="91">
        <v>105</v>
      </c>
      <c r="M2854" s="19">
        <v>5000</v>
      </c>
      <c r="N2854" s="19" t="s">
        <v>40</v>
      </c>
      <c r="O2854" s="19" t="s">
        <v>168</v>
      </c>
      <c r="P2854" s="268">
        <v>1502.195625</v>
      </c>
      <c r="Q2854" s="19">
        <v>1684</v>
      </c>
      <c r="R2854" s="99">
        <f t="shared" si="145"/>
        <v>-181.804375</v>
      </c>
      <c r="S2854" s="99">
        <v>2370</v>
      </c>
      <c r="T2854" s="19" t="s">
        <v>42</v>
      </c>
      <c r="U2854" s="102" t="s">
        <v>1058</v>
      </c>
      <c r="V2854" s="110" t="s">
        <v>1059</v>
      </c>
      <c r="W2854" s="17" t="s">
        <v>69</v>
      </c>
      <c r="Y2854" s="68">
        <v>45039</v>
      </c>
      <c r="Z2854" s="17" t="s">
        <v>191</v>
      </c>
      <c r="AA2854" s="17" t="s">
        <v>46</v>
      </c>
      <c r="AB2854" s="17" t="s">
        <v>1021</v>
      </c>
      <c r="AC2854" s="217">
        <v>44989</v>
      </c>
      <c r="AD2854" s="65">
        <v>1413</v>
      </c>
      <c r="AE2854" s="17" t="s">
        <v>74</v>
      </c>
      <c r="AF2854" s="17" t="s">
        <v>560</v>
      </c>
      <c r="AI2854" s="17">
        <v>2400</v>
      </c>
    </row>
    <row r="2855" s="17" customFormat="1" ht="15.6" hidden="1" spans="1:35">
      <c r="A2855" s="17" t="s">
        <v>34</v>
      </c>
      <c r="B2855" s="19">
        <v>893</v>
      </c>
      <c r="C2855" s="239">
        <v>44960</v>
      </c>
      <c r="D2855" s="17" t="s">
        <v>52</v>
      </c>
      <c r="E2855" s="17" t="s">
        <v>220</v>
      </c>
      <c r="F2855" s="17" t="s">
        <v>54</v>
      </c>
      <c r="H2855" s="19">
        <v>1.2379</v>
      </c>
      <c r="I2855" s="19"/>
      <c r="J2855" s="17" t="s">
        <v>82</v>
      </c>
      <c r="K2855" s="19">
        <v>455</v>
      </c>
      <c r="L2855" s="91">
        <v>105</v>
      </c>
      <c r="M2855" s="19">
        <v>5000</v>
      </c>
      <c r="N2855" s="19" t="s">
        <v>40</v>
      </c>
      <c r="O2855" s="19" t="s">
        <v>168</v>
      </c>
      <c r="P2855" s="268">
        <v>1687.651875</v>
      </c>
      <c r="Q2855" s="19">
        <v>1726</v>
      </c>
      <c r="R2855" s="99">
        <f t="shared" si="145"/>
        <v>-38.3481250000002</v>
      </c>
      <c r="S2855" s="99">
        <v>2370</v>
      </c>
      <c r="T2855" s="19" t="s">
        <v>42</v>
      </c>
      <c r="U2855" s="102" t="s">
        <v>1058</v>
      </c>
      <c r="V2855" s="110" t="s">
        <v>1059</v>
      </c>
      <c r="W2855" s="17" t="s">
        <v>69</v>
      </c>
      <c r="Y2855" s="68">
        <v>45039</v>
      </c>
      <c r="Z2855" s="17" t="s">
        <v>191</v>
      </c>
      <c r="AA2855" s="17" t="s">
        <v>46</v>
      </c>
      <c r="AB2855" s="17" t="s">
        <v>1021</v>
      </c>
      <c r="AC2855" s="217">
        <v>44989</v>
      </c>
      <c r="AD2855" s="65">
        <v>1413</v>
      </c>
      <c r="AE2855" s="17" t="s">
        <v>74</v>
      </c>
      <c r="AF2855" s="17" t="s">
        <v>560</v>
      </c>
      <c r="AI2855" s="17">
        <v>2400</v>
      </c>
    </row>
    <row r="2856" s="17" customFormat="1" ht="15.6" hidden="1" spans="1:35">
      <c r="A2856" s="17" t="s">
        <v>34</v>
      </c>
      <c r="B2856" s="19">
        <v>893</v>
      </c>
      <c r="C2856" s="239">
        <v>44960</v>
      </c>
      <c r="D2856" s="17" t="s">
        <v>52</v>
      </c>
      <c r="E2856" s="17" t="s">
        <v>220</v>
      </c>
      <c r="F2856" s="17" t="s">
        <v>54</v>
      </c>
      <c r="H2856" s="19">
        <v>1.2379</v>
      </c>
      <c r="I2856" s="19"/>
      <c r="J2856" s="17" t="s">
        <v>82</v>
      </c>
      <c r="K2856" s="19">
        <v>505</v>
      </c>
      <c r="L2856" s="91">
        <v>105</v>
      </c>
      <c r="M2856" s="19">
        <v>5000</v>
      </c>
      <c r="N2856" s="19" t="s">
        <v>40</v>
      </c>
      <c r="O2856" s="19" t="s">
        <v>168</v>
      </c>
      <c r="P2856" s="268">
        <v>1873.108125</v>
      </c>
      <c r="Q2856" s="19">
        <v>1248</v>
      </c>
      <c r="S2856" s="99">
        <v>2370</v>
      </c>
      <c r="T2856" s="19" t="s">
        <v>42</v>
      </c>
      <c r="U2856" s="102" t="s">
        <v>1058</v>
      </c>
      <c r="V2856" s="110" t="s">
        <v>1059</v>
      </c>
      <c r="W2856" s="17" t="s">
        <v>69</v>
      </c>
      <c r="Y2856" s="68">
        <v>45039</v>
      </c>
      <c r="Z2856" s="17" t="s">
        <v>191</v>
      </c>
      <c r="AA2856" s="17" t="s">
        <v>46</v>
      </c>
      <c r="AB2856" s="17" t="s">
        <v>1021</v>
      </c>
      <c r="AC2856" s="217">
        <v>44989</v>
      </c>
      <c r="AD2856" s="65">
        <v>1413</v>
      </c>
      <c r="AE2856" s="17" t="s">
        <v>74</v>
      </c>
      <c r="AF2856" s="17" t="s">
        <v>560</v>
      </c>
      <c r="AI2856" s="17">
        <v>2400</v>
      </c>
    </row>
    <row r="2857" s="17" customFormat="1" ht="15.6" hidden="1" spans="1:35">
      <c r="A2857" s="17" t="s">
        <v>34</v>
      </c>
      <c r="B2857" s="19">
        <v>893</v>
      </c>
      <c r="C2857" s="239">
        <v>44960</v>
      </c>
      <c r="D2857" s="17" t="s">
        <v>52</v>
      </c>
      <c r="E2857" s="17" t="s">
        <v>220</v>
      </c>
      <c r="F2857" s="17" t="s">
        <v>54</v>
      </c>
      <c r="H2857" s="19">
        <v>1.2379</v>
      </c>
      <c r="I2857" s="19"/>
      <c r="J2857" s="17" t="s">
        <v>82</v>
      </c>
      <c r="K2857" s="19">
        <v>505</v>
      </c>
      <c r="L2857" s="91">
        <v>105</v>
      </c>
      <c r="M2857" s="19">
        <v>5000</v>
      </c>
      <c r="N2857" s="19" t="s">
        <v>40</v>
      </c>
      <c r="O2857" s="19" t="s">
        <v>168</v>
      </c>
      <c r="P2857" s="268"/>
      <c r="Q2857" s="19">
        <v>1834</v>
      </c>
      <c r="R2857" s="99">
        <f>+P2856-Q2856-Q2857</f>
        <v>-1208.891875</v>
      </c>
      <c r="S2857" s="99">
        <v>2370</v>
      </c>
      <c r="T2857" s="19" t="s">
        <v>42</v>
      </c>
      <c r="U2857" s="102" t="s">
        <v>1058</v>
      </c>
      <c r="V2857" s="110" t="s">
        <v>1059</v>
      </c>
      <c r="W2857" s="17" t="s">
        <v>69</v>
      </c>
      <c r="Y2857" s="68">
        <v>45039</v>
      </c>
      <c r="Z2857" s="17" t="s">
        <v>191</v>
      </c>
      <c r="AA2857" s="17" t="s">
        <v>46</v>
      </c>
      <c r="AB2857" s="17" t="s">
        <v>1011</v>
      </c>
      <c r="AC2857" s="102" t="s">
        <v>1012</v>
      </c>
      <c r="AD2857" s="65">
        <v>1416</v>
      </c>
      <c r="AE2857" s="17" t="s">
        <v>74</v>
      </c>
      <c r="AF2857" s="17" t="s">
        <v>560</v>
      </c>
    </row>
    <row r="2858" s="17" customFormat="1" ht="15.6" hidden="1" spans="1:35">
      <c r="A2858" s="17" t="s">
        <v>34</v>
      </c>
      <c r="B2858" s="19">
        <v>893</v>
      </c>
      <c r="C2858" s="239">
        <v>44960</v>
      </c>
      <c r="D2858" s="17" t="s">
        <v>52</v>
      </c>
      <c r="E2858" s="17" t="s">
        <v>220</v>
      </c>
      <c r="F2858" s="17" t="s">
        <v>54</v>
      </c>
      <c r="H2858" s="19">
        <v>1.2379</v>
      </c>
      <c r="I2858" s="19"/>
      <c r="J2858" s="17" t="s">
        <v>82</v>
      </c>
      <c r="K2858" s="19">
        <v>605</v>
      </c>
      <c r="L2858" s="91">
        <v>105</v>
      </c>
      <c r="M2858" s="19">
        <v>5000</v>
      </c>
      <c r="N2858" s="19" t="s">
        <v>40</v>
      </c>
      <c r="O2858" s="19" t="s">
        <v>168</v>
      </c>
      <c r="P2858" s="268">
        <v>2300</v>
      </c>
      <c r="Q2858" s="19">
        <v>2013</v>
      </c>
      <c r="R2858" s="99">
        <f t="shared" ref="R2858:R2889" si="146">+P2858-Q2858</f>
        <v>287</v>
      </c>
      <c r="S2858" s="99">
        <v>2370</v>
      </c>
      <c r="T2858" s="19" t="s">
        <v>42</v>
      </c>
      <c r="U2858" s="102" t="s">
        <v>1058</v>
      </c>
      <c r="V2858" s="110" t="s">
        <v>1059</v>
      </c>
      <c r="W2858" s="17" t="s">
        <v>69</v>
      </c>
      <c r="Y2858" s="68">
        <v>45039</v>
      </c>
      <c r="Z2858" s="17" t="s">
        <v>191</v>
      </c>
      <c r="AA2858" s="17" t="s">
        <v>46</v>
      </c>
      <c r="AB2858" s="17" t="s">
        <v>1021</v>
      </c>
      <c r="AC2858" s="217">
        <v>44989</v>
      </c>
      <c r="AD2858" s="65">
        <v>1413</v>
      </c>
      <c r="AE2858" s="17" t="s">
        <v>74</v>
      </c>
      <c r="AF2858" s="17" t="s">
        <v>560</v>
      </c>
      <c r="AI2858" s="17">
        <v>2400</v>
      </c>
    </row>
    <row r="2859" s="17" customFormat="1" ht="15.6" hidden="1" spans="1:35">
      <c r="A2859" s="17" t="s">
        <v>34</v>
      </c>
      <c r="B2859" s="19">
        <v>893</v>
      </c>
      <c r="C2859" s="239">
        <v>44960</v>
      </c>
      <c r="D2859" s="17" t="s">
        <v>52</v>
      </c>
      <c r="E2859" s="17" t="s">
        <v>220</v>
      </c>
      <c r="F2859" s="17" t="s">
        <v>54</v>
      </c>
      <c r="H2859" s="19">
        <v>1.2379</v>
      </c>
      <c r="I2859" s="19"/>
      <c r="J2859" s="17" t="s">
        <v>82</v>
      </c>
      <c r="K2859" s="19">
        <v>510</v>
      </c>
      <c r="L2859" s="91">
        <v>130</v>
      </c>
      <c r="M2859" s="19">
        <v>5000</v>
      </c>
      <c r="N2859" s="19" t="s">
        <v>40</v>
      </c>
      <c r="O2859" s="19" t="s">
        <v>168</v>
      </c>
      <c r="P2859" s="268">
        <v>2342.0475</v>
      </c>
      <c r="Q2859" s="19">
        <v>2402</v>
      </c>
      <c r="R2859" s="99">
        <f t="shared" si="146"/>
        <v>-59.9524999999999</v>
      </c>
      <c r="S2859" s="99">
        <v>2370</v>
      </c>
      <c r="T2859" s="19" t="s">
        <v>42</v>
      </c>
      <c r="U2859" s="102" t="s">
        <v>1058</v>
      </c>
      <c r="V2859" s="110" t="s">
        <v>1059</v>
      </c>
      <c r="W2859" s="17" t="s">
        <v>69</v>
      </c>
      <c r="Y2859" s="68">
        <v>45039</v>
      </c>
      <c r="Z2859" s="17" t="s">
        <v>191</v>
      </c>
      <c r="AA2859" s="17" t="s">
        <v>46</v>
      </c>
      <c r="AB2859" s="17" t="s">
        <v>1021</v>
      </c>
      <c r="AC2859" s="217">
        <v>44989</v>
      </c>
      <c r="AD2859" s="65">
        <v>1413</v>
      </c>
      <c r="AE2859" s="17" t="s">
        <v>74</v>
      </c>
      <c r="AF2859" s="17" t="s">
        <v>560</v>
      </c>
      <c r="AI2859" s="17">
        <v>2400</v>
      </c>
    </row>
    <row r="2860" s="17" customFormat="1" ht="15.6" hidden="1" spans="1:35">
      <c r="A2860" s="17" t="s">
        <v>34</v>
      </c>
      <c r="B2860" s="19">
        <v>893</v>
      </c>
      <c r="C2860" s="239">
        <v>44960</v>
      </c>
      <c r="D2860" s="17" t="s">
        <v>52</v>
      </c>
      <c r="E2860" s="17" t="s">
        <v>220</v>
      </c>
      <c r="F2860" s="17" t="s">
        <v>54</v>
      </c>
      <c r="H2860" s="19">
        <v>1.2379</v>
      </c>
      <c r="I2860" s="19"/>
      <c r="J2860" s="17" t="s">
        <v>82</v>
      </c>
      <c r="K2860" s="19">
        <v>510</v>
      </c>
      <c r="L2860" s="91">
        <v>155</v>
      </c>
      <c r="M2860" s="19">
        <v>5000</v>
      </c>
      <c r="N2860" s="19" t="s">
        <v>40</v>
      </c>
      <c r="O2860" s="19" t="s">
        <v>168</v>
      </c>
      <c r="P2860" s="268">
        <v>2792.44125</v>
      </c>
      <c r="Q2860" s="19">
        <v>5283</v>
      </c>
      <c r="R2860" s="99">
        <f t="shared" si="146"/>
        <v>-2490.55875</v>
      </c>
      <c r="S2860" s="99">
        <v>2370</v>
      </c>
      <c r="T2860" s="19" t="s">
        <v>42</v>
      </c>
      <c r="U2860" s="102" t="s">
        <v>1058</v>
      </c>
      <c r="V2860" s="110" t="s">
        <v>1059</v>
      </c>
      <c r="W2860" s="17" t="s">
        <v>69</v>
      </c>
      <c r="Y2860" s="68">
        <v>45039</v>
      </c>
      <c r="Z2860" s="17" t="s">
        <v>191</v>
      </c>
      <c r="AA2860" s="17" t="s">
        <v>46</v>
      </c>
      <c r="AB2860" s="17" t="s">
        <v>1011</v>
      </c>
      <c r="AC2860" s="102" t="s">
        <v>1012</v>
      </c>
      <c r="AD2860" s="65">
        <v>1416</v>
      </c>
      <c r="AE2860" s="17" t="s">
        <v>74</v>
      </c>
      <c r="AF2860" s="17" t="s">
        <v>560</v>
      </c>
      <c r="AI2860" s="17">
        <v>2400</v>
      </c>
    </row>
    <row r="2861" s="17" customFormat="1" ht="15.6" hidden="1" spans="1:35">
      <c r="A2861" s="17" t="s">
        <v>34</v>
      </c>
      <c r="B2861" s="19">
        <v>893</v>
      </c>
      <c r="C2861" s="239">
        <v>44960</v>
      </c>
      <c r="D2861" s="17" t="s">
        <v>52</v>
      </c>
      <c r="E2861" s="17" t="s">
        <v>220</v>
      </c>
      <c r="F2861" s="17" t="s">
        <v>54</v>
      </c>
      <c r="H2861" s="19">
        <v>1.2379</v>
      </c>
      <c r="I2861" s="19"/>
      <c r="J2861" s="17" t="s">
        <v>82</v>
      </c>
      <c r="K2861" s="19">
        <v>210</v>
      </c>
      <c r="L2861" s="91">
        <v>210</v>
      </c>
      <c r="M2861" s="19">
        <v>5000</v>
      </c>
      <c r="N2861" s="19" t="s">
        <v>40</v>
      </c>
      <c r="O2861" s="19" t="s">
        <v>168</v>
      </c>
      <c r="P2861" s="268">
        <v>1557.8325</v>
      </c>
      <c r="Q2861" s="19">
        <v>977</v>
      </c>
      <c r="R2861" s="99">
        <f t="shared" si="146"/>
        <v>580.8325</v>
      </c>
      <c r="S2861" s="99">
        <v>2370</v>
      </c>
      <c r="T2861" s="19" t="s">
        <v>42</v>
      </c>
      <c r="U2861" s="102" t="s">
        <v>1058</v>
      </c>
      <c r="V2861" s="110" t="s">
        <v>1059</v>
      </c>
      <c r="W2861" s="17" t="s">
        <v>69</v>
      </c>
      <c r="Y2861" s="68">
        <v>45039</v>
      </c>
      <c r="Z2861" s="17" t="s">
        <v>191</v>
      </c>
      <c r="AA2861" s="17" t="s">
        <v>46</v>
      </c>
      <c r="AB2861" s="17" t="s">
        <v>1021</v>
      </c>
      <c r="AC2861" s="217">
        <v>44989</v>
      </c>
      <c r="AD2861" s="65">
        <v>1413</v>
      </c>
      <c r="AE2861" s="17" t="s">
        <v>74</v>
      </c>
      <c r="AF2861" s="17" t="s">
        <v>560</v>
      </c>
      <c r="AI2861" s="17">
        <v>2400</v>
      </c>
    </row>
    <row r="2862" s="17" customFormat="1" hidden="1" spans="1:35">
      <c r="A2862" s="17" t="s">
        <v>34</v>
      </c>
      <c r="B2862" s="19">
        <v>893</v>
      </c>
      <c r="C2862" s="239">
        <v>44960</v>
      </c>
      <c r="D2862" s="17" t="s">
        <v>52</v>
      </c>
      <c r="E2862" s="17" t="s">
        <v>220</v>
      </c>
      <c r="F2862" s="17" t="s">
        <v>54</v>
      </c>
      <c r="H2862" s="19">
        <v>1.2379</v>
      </c>
      <c r="I2862" s="19"/>
      <c r="J2862" s="17" t="s">
        <v>82</v>
      </c>
      <c r="K2862" s="19">
        <v>605</v>
      </c>
      <c r="L2862" s="91">
        <v>210</v>
      </c>
      <c r="M2862" s="19">
        <v>5000</v>
      </c>
      <c r="N2862" s="19" t="s">
        <v>40</v>
      </c>
      <c r="O2862" s="19" t="s">
        <v>168</v>
      </c>
      <c r="P2862" s="19">
        <v>5000</v>
      </c>
      <c r="Q2862" s="19">
        <v>3304</v>
      </c>
      <c r="R2862" s="99">
        <f t="shared" si="146"/>
        <v>1696</v>
      </c>
      <c r="S2862" s="99">
        <v>2370</v>
      </c>
      <c r="T2862" s="19" t="s">
        <v>42</v>
      </c>
      <c r="U2862" s="102" t="s">
        <v>1058</v>
      </c>
      <c r="V2862" s="110" t="s">
        <v>1059</v>
      </c>
      <c r="W2862" s="17" t="s">
        <v>69</v>
      </c>
      <c r="Y2862" s="68">
        <v>45039</v>
      </c>
      <c r="Z2862" s="17" t="s">
        <v>191</v>
      </c>
      <c r="AA2862" s="17" t="s">
        <v>46</v>
      </c>
      <c r="AB2862" s="17" t="s">
        <v>1021</v>
      </c>
      <c r="AC2862" s="217">
        <v>44989</v>
      </c>
      <c r="AD2862" s="65">
        <v>1413</v>
      </c>
      <c r="AE2862" s="17" t="s">
        <v>74</v>
      </c>
      <c r="AF2862" s="17" t="s">
        <v>560</v>
      </c>
      <c r="AI2862" s="17">
        <v>2400</v>
      </c>
    </row>
    <row r="2863" s="17" customFormat="1" hidden="1" spans="1:35">
      <c r="A2863" s="17" t="s">
        <v>34</v>
      </c>
      <c r="B2863" s="19">
        <v>893</v>
      </c>
      <c r="C2863" s="239">
        <v>44960</v>
      </c>
      <c r="D2863" s="17" t="s">
        <v>52</v>
      </c>
      <c r="E2863" s="17" t="s">
        <v>220</v>
      </c>
      <c r="F2863" s="17" t="s">
        <v>54</v>
      </c>
      <c r="H2863" s="19">
        <v>1.2379</v>
      </c>
      <c r="I2863" s="19"/>
      <c r="J2863" s="17" t="s">
        <v>82</v>
      </c>
      <c r="K2863" s="19">
        <v>605</v>
      </c>
      <c r="L2863" s="91">
        <v>255</v>
      </c>
      <c r="M2863" s="19">
        <v>5000</v>
      </c>
      <c r="N2863" s="19" t="s">
        <v>40</v>
      </c>
      <c r="O2863" s="19" t="s">
        <v>168</v>
      </c>
      <c r="P2863" s="19">
        <v>6000</v>
      </c>
      <c r="Q2863" s="19">
        <v>3558</v>
      </c>
      <c r="R2863" s="99">
        <f t="shared" si="146"/>
        <v>2442</v>
      </c>
      <c r="S2863" s="99">
        <v>2370</v>
      </c>
      <c r="T2863" s="19" t="s">
        <v>42</v>
      </c>
      <c r="U2863" s="102" t="s">
        <v>1058</v>
      </c>
      <c r="V2863" s="110" t="s">
        <v>1059</v>
      </c>
      <c r="W2863" s="17" t="s">
        <v>69</v>
      </c>
      <c r="Y2863" s="68">
        <v>45039</v>
      </c>
      <c r="Z2863" s="17" t="s">
        <v>191</v>
      </c>
      <c r="AA2863" s="17" t="s">
        <v>46</v>
      </c>
      <c r="AB2863" s="17" t="s">
        <v>1013</v>
      </c>
      <c r="AC2863" s="217">
        <v>45234</v>
      </c>
      <c r="AD2863" s="65">
        <v>1419</v>
      </c>
      <c r="AE2863" s="17" t="s">
        <v>74</v>
      </c>
      <c r="AF2863" s="17" t="s">
        <v>560</v>
      </c>
      <c r="AI2863" s="17">
        <v>2400</v>
      </c>
    </row>
    <row r="2864" s="17" customFormat="1" hidden="1" spans="1:35">
      <c r="A2864" s="17" t="s">
        <v>34</v>
      </c>
      <c r="B2864" s="19">
        <v>894</v>
      </c>
      <c r="C2864" s="183" t="s">
        <v>1060</v>
      </c>
      <c r="D2864" s="17" t="s">
        <v>52</v>
      </c>
      <c r="E2864" s="17" t="s">
        <v>187</v>
      </c>
      <c r="F2864" s="17" t="s">
        <v>54</v>
      </c>
      <c r="H2864" s="19">
        <v>1.2311</v>
      </c>
      <c r="I2864" s="19"/>
      <c r="J2864" s="17" t="s">
        <v>82</v>
      </c>
      <c r="K2864" s="91">
        <v>400</v>
      </c>
      <c r="L2864" s="91">
        <v>20</v>
      </c>
      <c r="M2864" s="19">
        <v>2200</v>
      </c>
      <c r="N2864" s="19" t="s">
        <v>66</v>
      </c>
      <c r="O2864" s="19" t="s">
        <v>141</v>
      </c>
      <c r="P2864" s="91">
        <v>300</v>
      </c>
      <c r="Q2864" s="19">
        <v>306</v>
      </c>
      <c r="R2864" s="99">
        <f t="shared" si="146"/>
        <v>-6</v>
      </c>
      <c r="S2864" s="19">
        <v>1090</v>
      </c>
      <c r="T2864" s="19" t="s">
        <v>42</v>
      </c>
      <c r="U2864" s="102" t="s">
        <v>1061</v>
      </c>
      <c r="V2864" s="110" t="s">
        <v>1062</v>
      </c>
      <c r="W2864" s="17" t="s">
        <v>69</v>
      </c>
      <c r="Y2864" s="68">
        <v>45039</v>
      </c>
      <c r="Z2864" s="17" t="s">
        <v>191</v>
      </c>
      <c r="AA2864" s="17" t="s">
        <v>46</v>
      </c>
      <c r="AB2864" s="17" t="s">
        <v>1046</v>
      </c>
      <c r="AC2864" s="102" t="s">
        <v>988</v>
      </c>
      <c r="AD2864" s="65">
        <v>1411</v>
      </c>
      <c r="AE2864" s="17" t="s">
        <v>48</v>
      </c>
      <c r="AF2864" s="17" t="s">
        <v>560</v>
      </c>
      <c r="AI2864" s="17">
        <v>1100</v>
      </c>
    </row>
    <row r="2865" s="17" customFormat="1" hidden="1" spans="1:35">
      <c r="A2865" s="17" t="s">
        <v>34</v>
      </c>
      <c r="B2865" s="19">
        <v>894</v>
      </c>
      <c r="C2865" s="183" t="s">
        <v>1060</v>
      </c>
      <c r="D2865" s="17" t="s">
        <v>52</v>
      </c>
      <c r="E2865" s="17" t="s">
        <v>187</v>
      </c>
      <c r="F2865" s="17" t="s">
        <v>54</v>
      </c>
      <c r="H2865" s="19">
        <v>1.2311</v>
      </c>
      <c r="I2865" s="19"/>
      <c r="J2865" s="17" t="s">
        <v>82</v>
      </c>
      <c r="K2865" s="91">
        <v>205</v>
      </c>
      <c r="L2865" s="91">
        <v>26</v>
      </c>
      <c r="M2865" s="19">
        <v>2200</v>
      </c>
      <c r="N2865" s="19" t="s">
        <v>66</v>
      </c>
      <c r="O2865" s="19" t="s">
        <v>141</v>
      </c>
      <c r="P2865" s="91">
        <v>200</v>
      </c>
      <c r="Q2865" s="19">
        <v>193</v>
      </c>
      <c r="R2865" s="99">
        <f t="shared" si="146"/>
        <v>7</v>
      </c>
      <c r="S2865" s="19">
        <v>1090</v>
      </c>
      <c r="T2865" s="19" t="s">
        <v>42</v>
      </c>
      <c r="U2865" s="102" t="s">
        <v>1061</v>
      </c>
      <c r="V2865" s="110" t="s">
        <v>1062</v>
      </c>
      <c r="W2865" s="17" t="s">
        <v>69</v>
      </c>
      <c r="Y2865" s="68">
        <v>45039</v>
      </c>
      <c r="Z2865" s="17" t="s">
        <v>191</v>
      </c>
      <c r="AA2865" s="17" t="s">
        <v>46</v>
      </c>
      <c r="AB2865" s="17" t="s">
        <v>1046</v>
      </c>
      <c r="AC2865" s="102" t="s">
        <v>988</v>
      </c>
      <c r="AD2865" s="65">
        <v>1411</v>
      </c>
      <c r="AE2865" s="17" t="s">
        <v>48</v>
      </c>
      <c r="AF2865" s="17" t="s">
        <v>560</v>
      </c>
      <c r="AI2865" s="17">
        <v>1100</v>
      </c>
    </row>
    <row r="2866" s="17" customFormat="1" hidden="1" spans="1:35">
      <c r="A2866" s="17" t="s">
        <v>34</v>
      </c>
      <c r="B2866" s="19">
        <v>894</v>
      </c>
      <c r="C2866" s="183" t="s">
        <v>1060</v>
      </c>
      <c r="D2866" s="17" t="s">
        <v>52</v>
      </c>
      <c r="E2866" s="17" t="s">
        <v>187</v>
      </c>
      <c r="F2866" s="17" t="s">
        <v>54</v>
      </c>
      <c r="H2866" s="19">
        <v>1.2311</v>
      </c>
      <c r="I2866" s="19"/>
      <c r="J2866" s="17" t="s">
        <v>82</v>
      </c>
      <c r="K2866" s="91">
        <v>255</v>
      </c>
      <c r="L2866" s="91">
        <v>26</v>
      </c>
      <c r="M2866" s="19">
        <v>2200</v>
      </c>
      <c r="N2866" s="19" t="s">
        <v>66</v>
      </c>
      <c r="O2866" s="19" t="s">
        <v>141</v>
      </c>
      <c r="P2866" s="91">
        <v>200</v>
      </c>
      <c r="Q2866" s="19">
        <v>239</v>
      </c>
      <c r="R2866" s="99">
        <f t="shared" si="146"/>
        <v>-39</v>
      </c>
      <c r="S2866" s="19">
        <v>1090</v>
      </c>
      <c r="T2866" s="19" t="s">
        <v>42</v>
      </c>
      <c r="U2866" s="102" t="s">
        <v>1061</v>
      </c>
      <c r="V2866" s="110" t="s">
        <v>1062</v>
      </c>
      <c r="W2866" s="17" t="s">
        <v>69</v>
      </c>
      <c r="Y2866" s="68">
        <v>45039</v>
      </c>
      <c r="Z2866" s="17" t="s">
        <v>191</v>
      </c>
      <c r="AA2866" s="17" t="s">
        <v>46</v>
      </c>
      <c r="AB2866" s="17" t="s">
        <v>1046</v>
      </c>
      <c r="AC2866" s="102" t="s">
        <v>988</v>
      </c>
      <c r="AD2866" s="65">
        <v>1411</v>
      </c>
      <c r="AE2866" s="17" t="s">
        <v>48</v>
      </c>
      <c r="AF2866" s="17" t="s">
        <v>560</v>
      </c>
      <c r="AI2866" s="17">
        <v>1100</v>
      </c>
    </row>
    <row r="2867" s="17" customFormat="1" hidden="1" spans="1:35">
      <c r="A2867" s="17" t="s">
        <v>34</v>
      </c>
      <c r="B2867" s="19">
        <v>894</v>
      </c>
      <c r="C2867" s="183" t="s">
        <v>1060</v>
      </c>
      <c r="D2867" s="17" t="s">
        <v>52</v>
      </c>
      <c r="E2867" s="17" t="s">
        <v>187</v>
      </c>
      <c r="F2867" s="17" t="s">
        <v>54</v>
      </c>
      <c r="H2867" s="19">
        <v>1.2311</v>
      </c>
      <c r="I2867" s="19"/>
      <c r="J2867" s="17" t="s">
        <v>82</v>
      </c>
      <c r="K2867" s="91">
        <v>305</v>
      </c>
      <c r="L2867" s="91">
        <v>26</v>
      </c>
      <c r="M2867" s="19">
        <v>2200</v>
      </c>
      <c r="N2867" s="19" t="s">
        <v>66</v>
      </c>
      <c r="O2867" s="19" t="s">
        <v>141</v>
      </c>
      <c r="P2867" s="91">
        <v>200</v>
      </c>
      <c r="Q2867" s="19">
        <v>288</v>
      </c>
      <c r="R2867" s="99">
        <f t="shared" si="146"/>
        <v>-88</v>
      </c>
      <c r="S2867" s="19">
        <v>1090</v>
      </c>
      <c r="T2867" s="19" t="s">
        <v>42</v>
      </c>
      <c r="U2867" s="102" t="s">
        <v>1061</v>
      </c>
      <c r="V2867" s="110" t="s">
        <v>1062</v>
      </c>
      <c r="W2867" s="17" t="s">
        <v>69</v>
      </c>
      <c r="Y2867" s="68">
        <v>45039</v>
      </c>
      <c r="Z2867" s="17" t="s">
        <v>191</v>
      </c>
      <c r="AA2867" s="17" t="s">
        <v>46</v>
      </c>
      <c r="AB2867" s="17" t="s">
        <v>1046</v>
      </c>
      <c r="AC2867" s="102" t="s">
        <v>988</v>
      </c>
      <c r="AD2867" s="65">
        <v>1411</v>
      </c>
      <c r="AE2867" s="17" t="s">
        <v>48</v>
      </c>
      <c r="AF2867" s="17" t="s">
        <v>560</v>
      </c>
      <c r="AI2867" s="17">
        <v>1100</v>
      </c>
    </row>
    <row r="2868" s="17" customFormat="1" hidden="1" spans="1:35">
      <c r="A2868" s="17" t="s">
        <v>34</v>
      </c>
      <c r="B2868" s="19">
        <v>894</v>
      </c>
      <c r="C2868" s="183" t="s">
        <v>1060</v>
      </c>
      <c r="D2868" s="17" t="s">
        <v>52</v>
      </c>
      <c r="E2868" s="17" t="s">
        <v>187</v>
      </c>
      <c r="F2868" s="17" t="s">
        <v>54</v>
      </c>
      <c r="H2868" s="19">
        <v>1.2311</v>
      </c>
      <c r="I2868" s="19"/>
      <c r="J2868" s="17" t="s">
        <v>82</v>
      </c>
      <c r="K2868" s="91">
        <v>355</v>
      </c>
      <c r="L2868" s="91">
        <v>26</v>
      </c>
      <c r="M2868" s="19">
        <v>2200</v>
      </c>
      <c r="N2868" s="19" t="s">
        <v>66</v>
      </c>
      <c r="O2868" s="19" t="s">
        <v>141</v>
      </c>
      <c r="P2868" s="91">
        <v>200</v>
      </c>
      <c r="Q2868" s="19">
        <v>166</v>
      </c>
      <c r="R2868" s="99">
        <f t="shared" si="146"/>
        <v>34</v>
      </c>
      <c r="S2868" s="19">
        <v>1090</v>
      </c>
      <c r="T2868" s="19" t="s">
        <v>42</v>
      </c>
      <c r="U2868" s="102" t="s">
        <v>1061</v>
      </c>
      <c r="V2868" s="110" t="s">
        <v>1062</v>
      </c>
      <c r="W2868" s="17" t="s">
        <v>69</v>
      </c>
      <c r="Y2868" s="68">
        <v>45039</v>
      </c>
      <c r="Z2868" s="17" t="s">
        <v>191</v>
      </c>
      <c r="AA2868" s="17" t="s">
        <v>46</v>
      </c>
      <c r="AB2868" s="17" t="s">
        <v>1046</v>
      </c>
      <c r="AC2868" s="102" t="s">
        <v>988</v>
      </c>
      <c r="AD2868" s="65">
        <v>1411</v>
      </c>
      <c r="AE2868" s="17" t="s">
        <v>48</v>
      </c>
      <c r="AF2868" s="17" t="s">
        <v>560</v>
      </c>
      <c r="AI2868" s="17">
        <v>1100</v>
      </c>
    </row>
    <row r="2869" s="17" customFormat="1" hidden="1" spans="1:35">
      <c r="A2869" s="17" t="s">
        <v>34</v>
      </c>
      <c r="B2869" s="19">
        <v>894</v>
      </c>
      <c r="C2869" s="183" t="s">
        <v>1060</v>
      </c>
      <c r="D2869" s="17" t="s">
        <v>52</v>
      </c>
      <c r="E2869" s="17" t="s">
        <v>187</v>
      </c>
      <c r="F2869" s="17" t="s">
        <v>54</v>
      </c>
      <c r="H2869" s="19">
        <v>1.2311</v>
      </c>
      <c r="I2869" s="19"/>
      <c r="J2869" s="17" t="s">
        <v>82</v>
      </c>
      <c r="K2869" s="91">
        <v>400</v>
      </c>
      <c r="L2869" s="91">
        <v>26</v>
      </c>
      <c r="M2869" s="19">
        <v>2200</v>
      </c>
      <c r="N2869" s="19" t="s">
        <v>66</v>
      </c>
      <c r="O2869" s="19" t="s">
        <v>141</v>
      </c>
      <c r="P2869" s="91">
        <v>500</v>
      </c>
      <c r="Q2869" s="19">
        <v>562</v>
      </c>
      <c r="R2869" s="99">
        <f t="shared" si="146"/>
        <v>-62</v>
      </c>
      <c r="S2869" s="19">
        <v>1090</v>
      </c>
      <c r="T2869" s="19" t="s">
        <v>42</v>
      </c>
      <c r="U2869" s="102" t="s">
        <v>1061</v>
      </c>
      <c r="V2869" s="110" t="s">
        <v>1062</v>
      </c>
      <c r="W2869" s="17" t="s">
        <v>69</v>
      </c>
      <c r="Y2869" s="68">
        <v>45039</v>
      </c>
      <c r="Z2869" s="17" t="s">
        <v>191</v>
      </c>
      <c r="AA2869" s="17" t="s">
        <v>46</v>
      </c>
      <c r="AB2869" s="17" t="s">
        <v>1046</v>
      </c>
      <c r="AC2869" s="102" t="s">
        <v>988</v>
      </c>
      <c r="AD2869" s="65">
        <v>1411</v>
      </c>
      <c r="AE2869" s="17" t="s">
        <v>48</v>
      </c>
      <c r="AF2869" s="17" t="s">
        <v>560</v>
      </c>
      <c r="AI2869" s="17">
        <v>1100</v>
      </c>
    </row>
    <row r="2870" s="17" customFormat="1" hidden="1" spans="1:35">
      <c r="A2870" s="17" t="s">
        <v>34</v>
      </c>
      <c r="B2870" s="19">
        <v>894</v>
      </c>
      <c r="C2870" s="183" t="s">
        <v>1060</v>
      </c>
      <c r="D2870" s="17" t="s">
        <v>52</v>
      </c>
      <c r="E2870" s="17" t="s">
        <v>187</v>
      </c>
      <c r="F2870" s="17" t="s">
        <v>54</v>
      </c>
      <c r="H2870" s="19">
        <v>1.2311</v>
      </c>
      <c r="I2870" s="19"/>
      <c r="J2870" s="17" t="s">
        <v>82</v>
      </c>
      <c r="K2870" s="91">
        <v>205</v>
      </c>
      <c r="L2870" s="91">
        <v>32</v>
      </c>
      <c r="M2870" s="19">
        <v>2200</v>
      </c>
      <c r="N2870" s="19" t="s">
        <v>66</v>
      </c>
      <c r="O2870" s="19" t="s">
        <v>141</v>
      </c>
      <c r="P2870" s="91">
        <v>300</v>
      </c>
      <c r="Q2870" s="19">
        <v>228</v>
      </c>
      <c r="R2870" s="99">
        <f t="shared" si="146"/>
        <v>72</v>
      </c>
      <c r="S2870" s="19">
        <v>1090</v>
      </c>
      <c r="T2870" s="19" t="s">
        <v>42</v>
      </c>
      <c r="U2870" s="102" t="s">
        <v>1061</v>
      </c>
      <c r="V2870" s="110" t="s">
        <v>1062</v>
      </c>
      <c r="W2870" s="17" t="s">
        <v>69</v>
      </c>
      <c r="Y2870" s="68">
        <v>45039</v>
      </c>
      <c r="Z2870" s="17" t="s">
        <v>191</v>
      </c>
      <c r="AA2870" s="17" t="s">
        <v>46</v>
      </c>
      <c r="AB2870" s="17" t="s">
        <v>1046</v>
      </c>
      <c r="AC2870" s="102" t="s">
        <v>988</v>
      </c>
      <c r="AD2870" s="65">
        <v>1411</v>
      </c>
      <c r="AE2870" s="17" t="s">
        <v>48</v>
      </c>
      <c r="AF2870" s="17" t="s">
        <v>560</v>
      </c>
      <c r="AI2870" s="17">
        <v>1100</v>
      </c>
    </row>
    <row r="2871" s="17" customFormat="1" hidden="1" spans="1:35">
      <c r="A2871" s="17" t="s">
        <v>34</v>
      </c>
      <c r="B2871" s="19">
        <v>894</v>
      </c>
      <c r="C2871" s="183" t="s">
        <v>1060</v>
      </c>
      <c r="D2871" s="17" t="s">
        <v>52</v>
      </c>
      <c r="E2871" s="17" t="s">
        <v>187</v>
      </c>
      <c r="F2871" s="17" t="s">
        <v>54</v>
      </c>
      <c r="H2871" s="19">
        <v>1.2311</v>
      </c>
      <c r="I2871" s="19"/>
      <c r="J2871" s="17" t="s">
        <v>82</v>
      </c>
      <c r="K2871" s="91">
        <v>230</v>
      </c>
      <c r="L2871" s="91">
        <v>32</v>
      </c>
      <c r="M2871" s="19">
        <v>2200</v>
      </c>
      <c r="N2871" s="19" t="s">
        <v>66</v>
      </c>
      <c r="O2871" s="19" t="s">
        <v>141</v>
      </c>
      <c r="P2871" s="91">
        <v>200</v>
      </c>
      <c r="Q2871" s="19">
        <v>257</v>
      </c>
      <c r="R2871" s="99">
        <f t="shared" si="146"/>
        <v>-57</v>
      </c>
      <c r="S2871" s="19">
        <v>1090</v>
      </c>
      <c r="T2871" s="19" t="s">
        <v>42</v>
      </c>
      <c r="U2871" s="102" t="s">
        <v>1061</v>
      </c>
      <c r="V2871" s="110" t="s">
        <v>1062</v>
      </c>
      <c r="W2871" s="17" t="s">
        <v>69</v>
      </c>
      <c r="Y2871" s="68">
        <v>45039</v>
      </c>
      <c r="Z2871" s="17" t="s">
        <v>191</v>
      </c>
      <c r="AA2871" s="17" t="s">
        <v>46</v>
      </c>
      <c r="AB2871" s="17" t="s">
        <v>1046</v>
      </c>
      <c r="AC2871" s="102" t="s">
        <v>988</v>
      </c>
      <c r="AD2871" s="65">
        <v>1411</v>
      </c>
      <c r="AE2871" s="17" t="s">
        <v>48</v>
      </c>
      <c r="AF2871" s="17" t="s">
        <v>560</v>
      </c>
      <c r="AI2871" s="17">
        <v>1100</v>
      </c>
    </row>
    <row r="2872" s="17" customFormat="1" hidden="1" spans="1:35">
      <c r="A2872" s="17" t="s">
        <v>34</v>
      </c>
      <c r="B2872" s="19">
        <v>894</v>
      </c>
      <c r="C2872" s="183" t="s">
        <v>1060</v>
      </c>
      <c r="D2872" s="17" t="s">
        <v>52</v>
      </c>
      <c r="E2872" s="17" t="s">
        <v>187</v>
      </c>
      <c r="F2872" s="17" t="s">
        <v>54</v>
      </c>
      <c r="H2872" s="19">
        <v>1.2311</v>
      </c>
      <c r="I2872" s="19"/>
      <c r="J2872" s="17" t="s">
        <v>82</v>
      </c>
      <c r="K2872" s="91">
        <v>255</v>
      </c>
      <c r="L2872" s="91">
        <v>32</v>
      </c>
      <c r="M2872" s="19">
        <v>2200</v>
      </c>
      <c r="N2872" s="19" t="s">
        <v>66</v>
      </c>
      <c r="O2872" s="19" t="s">
        <v>141</v>
      </c>
      <c r="P2872" s="91">
        <v>300</v>
      </c>
      <c r="Q2872" s="19">
        <v>283</v>
      </c>
      <c r="R2872" s="99">
        <f t="shared" si="146"/>
        <v>17</v>
      </c>
      <c r="S2872" s="19">
        <v>1090</v>
      </c>
      <c r="T2872" s="19" t="s">
        <v>42</v>
      </c>
      <c r="U2872" s="102" t="s">
        <v>1061</v>
      </c>
      <c r="V2872" s="110" t="s">
        <v>1062</v>
      </c>
      <c r="W2872" s="17" t="s">
        <v>69</v>
      </c>
      <c r="Y2872" s="68">
        <v>45039</v>
      </c>
      <c r="Z2872" s="17" t="s">
        <v>191</v>
      </c>
      <c r="AA2872" s="17" t="s">
        <v>46</v>
      </c>
      <c r="AB2872" s="17" t="s">
        <v>1046</v>
      </c>
      <c r="AC2872" s="102" t="s">
        <v>988</v>
      </c>
      <c r="AD2872" s="65">
        <v>1411</v>
      </c>
      <c r="AE2872" s="17" t="s">
        <v>48</v>
      </c>
      <c r="AF2872" s="17" t="s">
        <v>560</v>
      </c>
      <c r="AI2872" s="17">
        <v>1100</v>
      </c>
    </row>
    <row r="2873" s="17" customFormat="1" hidden="1" spans="1:35">
      <c r="A2873" s="17" t="s">
        <v>34</v>
      </c>
      <c r="B2873" s="19">
        <v>894</v>
      </c>
      <c r="C2873" s="183" t="s">
        <v>1060</v>
      </c>
      <c r="D2873" s="17" t="s">
        <v>52</v>
      </c>
      <c r="E2873" s="17" t="s">
        <v>187</v>
      </c>
      <c r="F2873" s="17" t="s">
        <v>54</v>
      </c>
      <c r="H2873" s="19">
        <v>1.2311</v>
      </c>
      <c r="I2873" s="19"/>
      <c r="J2873" s="17" t="s">
        <v>82</v>
      </c>
      <c r="K2873" s="91">
        <v>280</v>
      </c>
      <c r="L2873" s="91">
        <v>32</v>
      </c>
      <c r="M2873" s="19">
        <v>2200</v>
      </c>
      <c r="N2873" s="19" t="s">
        <v>66</v>
      </c>
      <c r="O2873" s="19" t="s">
        <v>141</v>
      </c>
      <c r="P2873" s="91">
        <v>200</v>
      </c>
      <c r="Q2873" s="19">
        <v>313</v>
      </c>
      <c r="R2873" s="99">
        <f t="shared" si="146"/>
        <v>-113</v>
      </c>
      <c r="S2873" s="19">
        <v>1090</v>
      </c>
      <c r="T2873" s="19" t="s">
        <v>42</v>
      </c>
      <c r="U2873" s="102" t="s">
        <v>1061</v>
      </c>
      <c r="V2873" s="110" t="s">
        <v>1062</v>
      </c>
      <c r="W2873" s="17" t="s">
        <v>69</v>
      </c>
      <c r="Y2873" s="68">
        <v>45039</v>
      </c>
      <c r="Z2873" s="17" t="s">
        <v>191</v>
      </c>
      <c r="AA2873" s="17" t="s">
        <v>46</v>
      </c>
      <c r="AB2873" s="17" t="s">
        <v>1046</v>
      </c>
      <c r="AC2873" s="102" t="s">
        <v>988</v>
      </c>
      <c r="AD2873" s="65">
        <v>1411</v>
      </c>
      <c r="AE2873" s="17" t="s">
        <v>48</v>
      </c>
      <c r="AF2873" s="17" t="s">
        <v>560</v>
      </c>
      <c r="AI2873" s="17">
        <v>1100</v>
      </c>
    </row>
    <row r="2874" s="17" customFormat="1" hidden="1" spans="1:35">
      <c r="A2874" s="17" t="s">
        <v>34</v>
      </c>
      <c r="B2874" s="19">
        <v>894</v>
      </c>
      <c r="C2874" s="183" t="s">
        <v>1060</v>
      </c>
      <c r="D2874" s="17" t="s">
        <v>52</v>
      </c>
      <c r="E2874" s="17" t="s">
        <v>187</v>
      </c>
      <c r="F2874" s="17" t="s">
        <v>54</v>
      </c>
      <c r="H2874" s="19">
        <v>1.2311</v>
      </c>
      <c r="I2874" s="19"/>
      <c r="J2874" s="17" t="s">
        <v>82</v>
      </c>
      <c r="K2874" s="91">
        <v>305</v>
      </c>
      <c r="L2874" s="91">
        <v>32</v>
      </c>
      <c r="M2874" s="19">
        <v>2200</v>
      </c>
      <c r="N2874" s="19" t="s">
        <v>66</v>
      </c>
      <c r="O2874" s="19" t="s">
        <v>141</v>
      </c>
      <c r="P2874" s="91">
        <v>300</v>
      </c>
      <c r="Q2874" s="19">
        <v>337</v>
      </c>
      <c r="R2874" s="99">
        <f t="shared" si="146"/>
        <v>-37</v>
      </c>
      <c r="S2874" s="19">
        <v>1090</v>
      </c>
      <c r="T2874" s="19" t="s">
        <v>42</v>
      </c>
      <c r="U2874" s="102" t="s">
        <v>1061</v>
      </c>
      <c r="V2874" s="110" t="s">
        <v>1062</v>
      </c>
      <c r="W2874" s="17" t="s">
        <v>69</v>
      </c>
      <c r="Y2874" s="68">
        <v>45039</v>
      </c>
      <c r="Z2874" s="17" t="s">
        <v>191</v>
      </c>
      <c r="AA2874" s="17" t="s">
        <v>46</v>
      </c>
      <c r="AB2874" s="17" t="s">
        <v>1046</v>
      </c>
      <c r="AC2874" s="102" t="s">
        <v>988</v>
      </c>
      <c r="AD2874" s="65">
        <v>1411</v>
      </c>
      <c r="AE2874" s="17" t="s">
        <v>48</v>
      </c>
      <c r="AF2874" s="17" t="s">
        <v>560</v>
      </c>
      <c r="AI2874" s="17">
        <v>1100</v>
      </c>
    </row>
    <row r="2875" s="17" customFormat="1" hidden="1" spans="1:35">
      <c r="A2875" s="17" t="s">
        <v>34</v>
      </c>
      <c r="B2875" s="19">
        <v>894</v>
      </c>
      <c r="C2875" s="183" t="s">
        <v>1060</v>
      </c>
      <c r="D2875" s="17" t="s">
        <v>52</v>
      </c>
      <c r="E2875" s="17" t="s">
        <v>187</v>
      </c>
      <c r="F2875" s="17" t="s">
        <v>54</v>
      </c>
      <c r="H2875" s="19">
        <v>1.2311</v>
      </c>
      <c r="I2875" s="19"/>
      <c r="J2875" s="17" t="s">
        <v>82</v>
      </c>
      <c r="K2875" s="91">
        <v>330</v>
      </c>
      <c r="L2875" s="91">
        <v>32</v>
      </c>
      <c r="M2875" s="19">
        <v>2200</v>
      </c>
      <c r="N2875" s="19" t="s">
        <v>66</v>
      </c>
      <c r="O2875" s="19" t="s">
        <v>141</v>
      </c>
      <c r="P2875" s="91">
        <v>300</v>
      </c>
      <c r="Q2875" s="19">
        <v>367</v>
      </c>
      <c r="R2875" s="99">
        <f t="shared" si="146"/>
        <v>-67</v>
      </c>
      <c r="S2875" s="19">
        <v>1090</v>
      </c>
      <c r="T2875" s="19" t="s">
        <v>42</v>
      </c>
      <c r="U2875" s="102" t="s">
        <v>1061</v>
      </c>
      <c r="V2875" s="110" t="s">
        <v>1062</v>
      </c>
      <c r="W2875" s="17" t="s">
        <v>69</v>
      </c>
      <c r="Y2875" s="68">
        <v>45039</v>
      </c>
      <c r="Z2875" s="17" t="s">
        <v>191</v>
      </c>
      <c r="AA2875" s="17" t="s">
        <v>46</v>
      </c>
      <c r="AB2875" s="17" t="s">
        <v>1046</v>
      </c>
      <c r="AC2875" s="102" t="s">
        <v>988</v>
      </c>
      <c r="AD2875" s="65">
        <v>1411</v>
      </c>
      <c r="AE2875" s="17" t="s">
        <v>48</v>
      </c>
      <c r="AF2875" s="17" t="s">
        <v>560</v>
      </c>
      <c r="AI2875" s="17">
        <v>1100</v>
      </c>
    </row>
    <row r="2876" s="17" customFormat="1" hidden="1" spans="1:35">
      <c r="A2876" s="17" t="s">
        <v>34</v>
      </c>
      <c r="B2876" s="19">
        <v>894</v>
      </c>
      <c r="C2876" s="183" t="s">
        <v>1060</v>
      </c>
      <c r="D2876" s="17" t="s">
        <v>52</v>
      </c>
      <c r="E2876" s="17" t="s">
        <v>187</v>
      </c>
      <c r="F2876" s="17" t="s">
        <v>54</v>
      </c>
      <c r="H2876" s="19">
        <v>1.2311</v>
      </c>
      <c r="I2876" s="19"/>
      <c r="J2876" s="17" t="s">
        <v>82</v>
      </c>
      <c r="K2876" s="91">
        <v>355</v>
      </c>
      <c r="L2876" s="91">
        <v>32</v>
      </c>
      <c r="M2876" s="19">
        <v>2200</v>
      </c>
      <c r="N2876" s="19" t="s">
        <v>66</v>
      </c>
      <c r="O2876" s="19" t="s">
        <v>141</v>
      </c>
      <c r="P2876" s="91">
        <v>300</v>
      </c>
      <c r="Q2876" s="19">
        <v>401</v>
      </c>
      <c r="R2876" s="99">
        <f t="shared" si="146"/>
        <v>-101</v>
      </c>
      <c r="S2876" s="19">
        <v>1090</v>
      </c>
      <c r="T2876" s="19" t="s">
        <v>42</v>
      </c>
      <c r="U2876" s="102" t="s">
        <v>1061</v>
      </c>
      <c r="V2876" s="110" t="s">
        <v>1062</v>
      </c>
      <c r="W2876" s="17" t="s">
        <v>69</v>
      </c>
      <c r="Y2876" s="68">
        <v>45039</v>
      </c>
      <c r="Z2876" s="17" t="s">
        <v>191</v>
      </c>
      <c r="AA2876" s="17" t="s">
        <v>46</v>
      </c>
      <c r="AB2876" s="17" t="s">
        <v>1046</v>
      </c>
      <c r="AC2876" s="102" t="s">
        <v>988</v>
      </c>
      <c r="AD2876" s="65">
        <v>1411</v>
      </c>
      <c r="AE2876" s="17" t="s">
        <v>48</v>
      </c>
      <c r="AF2876" s="17" t="s">
        <v>560</v>
      </c>
      <c r="AI2876" s="17">
        <v>1100</v>
      </c>
    </row>
    <row r="2877" s="17" customFormat="1" hidden="1" spans="1:35">
      <c r="A2877" s="17" t="s">
        <v>34</v>
      </c>
      <c r="B2877" s="19">
        <v>894</v>
      </c>
      <c r="C2877" s="183" t="s">
        <v>1060</v>
      </c>
      <c r="D2877" s="17" t="s">
        <v>52</v>
      </c>
      <c r="E2877" s="17" t="s">
        <v>187</v>
      </c>
      <c r="F2877" s="17" t="s">
        <v>54</v>
      </c>
      <c r="H2877" s="19">
        <v>1.2311</v>
      </c>
      <c r="I2877" s="19"/>
      <c r="J2877" s="17" t="s">
        <v>82</v>
      </c>
      <c r="K2877" s="91">
        <v>380</v>
      </c>
      <c r="L2877" s="91">
        <v>32</v>
      </c>
      <c r="M2877" s="19">
        <v>2200</v>
      </c>
      <c r="N2877" s="19" t="s">
        <v>66</v>
      </c>
      <c r="O2877" s="19" t="s">
        <v>141</v>
      </c>
      <c r="P2877" s="91">
        <v>300</v>
      </c>
      <c r="Q2877" s="19">
        <v>422</v>
      </c>
      <c r="R2877" s="99">
        <f t="shared" si="146"/>
        <v>-122</v>
      </c>
      <c r="S2877" s="19">
        <v>1090</v>
      </c>
      <c r="T2877" s="19" t="s">
        <v>42</v>
      </c>
      <c r="U2877" s="102" t="s">
        <v>1061</v>
      </c>
      <c r="V2877" s="110" t="s">
        <v>1062</v>
      </c>
      <c r="W2877" s="17" t="s">
        <v>69</v>
      </c>
      <c r="Y2877" s="68">
        <v>45039</v>
      </c>
      <c r="Z2877" s="17" t="s">
        <v>191</v>
      </c>
      <c r="AA2877" s="17" t="s">
        <v>46</v>
      </c>
      <c r="AB2877" s="17" t="s">
        <v>1046</v>
      </c>
      <c r="AC2877" s="102" t="s">
        <v>988</v>
      </c>
      <c r="AD2877" s="65">
        <v>1411</v>
      </c>
      <c r="AE2877" s="17" t="s">
        <v>48</v>
      </c>
      <c r="AF2877" s="17" t="s">
        <v>560</v>
      </c>
      <c r="AI2877" s="17">
        <v>1100</v>
      </c>
    </row>
    <row r="2878" s="17" customFormat="1" hidden="1" spans="1:35">
      <c r="A2878" s="17" t="s">
        <v>34</v>
      </c>
      <c r="B2878" s="19">
        <v>894</v>
      </c>
      <c r="C2878" s="183" t="s">
        <v>1060</v>
      </c>
      <c r="D2878" s="17" t="s">
        <v>52</v>
      </c>
      <c r="E2878" s="17" t="s">
        <v>187</v>
      </c>
      <c r="F2878" s="17" t="s">
        <v>54</v>
      </c>
      <c r="H2878" s="19">
        <v>1.2311</v>
      </c>
      <c r="I2878" s="19"/>
      <c r="J2878" s="17" t="s">
        <v>82</v>
      </c>
      <c r="K2878" s="91">
        <v>400</v>
      </c>
      <c r="L2878" s="91">
        <v>32</v>
      </c>
      <c r="M2878" s="19">
        <v>2200</v>
      </c>
      <c r="N2878" s="19" t="s">
        <v>66</v>
      </c>
      <c r="O2878" s="19" t="s">
        <v>141</v>
      </c>
      <c r="P2878" s="91">
        <v>1000</v>
      </c>
      <c r="Q2878" s="19">
        <v>897</v>
      </c>
      <c r="R2878" s="99">
        <f t="shared" si="146"/>
        <v>103</v>
      </c>
      <c r="S2878" s="19">
        <v>1090</v>
      </c>
      <c r="T2878" s="19" t="s">
        <v>42</v>
      </c>
      <c r="U2878" s="102" t="s">
        <v>1061</v>
      </c>
      <c r="V2878" s="110" t="s">
        <v>1062</v>
      </c>
      <c r="W2878" s="17" t="s">
        <v>69</v>
      </c>
      <c r="Y2878" s="68">
        <v>45039</v>
      </c>
      <c r="Z2878" s="17" t="s">
        <v>191</v>
      </c>
      <c r="AA2878" s="17" t="s">
        <v>46</v>
      </c>
      <c r="AB2878" s="17" t="s">
        <v>1046</v>
      </c>
      <c r="AC2878" s="102" t="s">
        <v>988</v>
      </c>
      <c r="AD2878" s="65">
        <v>1411</v>
      </c>
      <c r="AE2878" s="17" t="s">
        <v>48</v>
      </c>
      <c r="AF2878" s="17" t="s">
        <v>560</v>
      </c>
      <c r="AI2878" s="17">
        <v>1100</v>
      </c>
    </row>
    <row r="2879" s="17" customFormat="1" hidden="1" spans="1:35">
      <c r="A2879" s="17" t="s">
        <v>34</v>
      </c>
      <c r="B2879" s="19">
        <v>894</v>
      </c>
      <c r="C2879" s="183" t="s">
        <v>1060</v>
      </c>
      <c r="D2879" s="17" t="s">
        <v>52</v>
      </c>
      <c r="E2879" s="17" t="s">
        <v>187</v>
      </c>
      <c r="F2879" s="17" t="s">
        <v>54</v>
      </c>
      <c r="H2879" s="19">
        <v>1.2311</v>
      </c>
      <c r="I2879" s="19"/>
      <c r="J2879" s="17" t="s">
        <v>82</v>
      </c>
      <c r="K2879" s="91">
        <v>400</v>
      </c>
      <c r="L2879" s="91">
        <v>36</v>
      </c>
      <c r="M2879" s="19">
        <v>2200</v>
      </c>
      <c r="N2879" s="19" t="s">
        <v>66</v>
      </c>
      <c r="O2879" s="19" t="s">
        <v>141</v>
      </c>
      <c r="P2879" s="91">
        <v>500</v>
      </c>
      <c r="Q2879" s="19">
        <v>524</v>
      </c>
      <c r="R2879" s="99">
        <f t="shared" si="146"/>
        <v>-24</v>
      </c>
      <c r="S2879" s="19">
        <v>1090</v>
      </c>
      <c r="T2879" s="19" t="s">
        <v>42</v>
      </c>
      <c r="U2879" s="102" t="s">
        <v>1061</v>
      </c>
      <c r="V2879" s="110" t="s">
        <v>1062</v>
      </c>
      <c r="W2879" s="17" t="s">
        <v>69</v>
      </c>
      <c r="Y2879" s="68">
        <v>45039</v>
      </c>
      <c r="Z2879" s="17" t="s">
        <v>191</v>
      </c>
      <c r="AA2879" s="17" t="s">
        <v>46</v>
      </c>
      <c r="AB2879" s="17" t="s">
        <v>1046</v>
      </c>
      <c r="AC2879" s="102" t="s">
        <v>988</v>
      </c>
      <c r="AD2879" s="65">
        <v>1411</v>
      </c>
      <c r="AE2879" s="17" t="s">
        <v>48</v>
      </c>
      <c r="AF2879" s="17" t="s">
        <v>560</v>
      </c>
      <c r="AI2879" s="17">
        <v>1100</v>
      </c>
    </row>
    <row r="2880" s="17" customFormat="1" hidden="1" spans="1:35">
      <c r="A2880" s="17" t="s">
        <v>34</v>
      </c>
      <c r="B2880" s="19">
        <v>894</v>
      </c>
      <c r="C2880" s="183" t="s">
        <v>1060</v>
      </c>
      <c r="D2880" s="17" t="s">
        <v>52</v>
      </c>
      <c r="E2880" s="17" t="s">
        <v>187</v>
      </c>
      <c r="F2880" s="17" t="s">
        <v>54</v>
      </c>
      <c r="H2880" s="19">
        <v>1.2311</v>
      </c>
      <c r="I2880" s="19"/>
      <c r="J2880" s="17" t="s">
        <v>82</v>
      </c>
      <c r="K2880" s="91">
        <v>205</v>
      </c>
      <c r="L2880" s="91">
        <v>40</v>
      </c>
      <c r="M2880" s="19">
        <v>2200</v>
      </c>
      <c r="N2880" s="19" t="s">
        <v>66</v>
      </c>
      <c r="O2880" s="19" t="s">
        <v>141</v>
      </c>
      <c r="P2880" s="91">
        <v>300</v>
      </c>
      <c r="Q2880" s="19">
        <v>300</v>
      </c>
      <c r="R2880" s="99">
        <f t="shared" si="146"/>
        <v>0</v>
      </c>
      <c r="S2880" s="19">
        <v>1090</v>
      </c>
      <c r="T2880" s="19" t="s">
        <v>42</v>
      </c>
      <c r="U2880" s="102" t="s">
        <v>1061</v>
      </c>
      <c r="V2880" s="110" t="s">
        <v>1062</v>
      </c>
      <c r="W2880" s="17" t="s">
        <v>69</v>
      </c>
      <c r="Y2880" s="68">
        <v>45039</v>
      </c>
      <c r="Z2880" s="17" t="s">
        <v>191</v>
      </c>
      <c r="AA2880" s="17" t="s">
        <v>46</v>
      </c>
      <c r="AB2880" s="17" t="s">
        <v>1046</v>
      </c>
      <c r="AC2880" s="102" t="s">
        <v>988</v>
      </c>
      <c r="AD2880" s="65">
        <v>1411</v>
      </c>
      <c r="AE2880" s="17" t="s">
        <v>48</v>
      </c>
      <c r="AF2880" s="17" t="s">
        <v>560</v>
      </c>
      <c r="AI2880" s="17">
        <v>1100</v>
      </c>
    </row>
    <row r="2881" s="17" customFormat="1" hidden="1" spans="1:35">
      <c r="A2881" s="17" t="s">
        <v>34</v>
      </c>
      <c r="B2881" s="19">
        <v>894</v>
      </c>
      <c r="C2881" s="183" t="s">
        <v>1060</v>
      </c>
      <c r="D2881" s="17" t="s">
        <v>52</v>
      </c>
      <c r="E2881" s="17" t="s">
        <v>187</v>
      </c>
      <c r="F2881" s="17" t="s">
        <v>54</v>
      </c>
      <c r="H2881" s="19">
        <v>1.2311</v>
      </c>
      <c r="I2881" s="19"/>
      <c r="J2881" s="17" t="s">
        <v>82</v>
      </c>
      <c r="K2881" s="91">
        <v>230</v>
      </c>
      <c r="L2881" s="91">
        <v>40</v>
      </c>
      <c r="M2881" s="19">
        <v>2200</v>
      </c>
      <c r="N2881" s="19" t="s">
        <v>66</v>
      </c>
      <c r="O2881" s="19" t="s">
        <v>141</v>
      </c>
      <c r="P2881" s="91">
        <v>200</v>
      </c>
      <c r="Q2881" s="19">
        <v>334</v>
      </c>
      <c r="R2881" s="99">
        <f t="shared" si="146"/>
        <v>-134</v>
      </c>
      <c r="S2881" s="19">
        <v>1090</v>
      </c>
      <c r="T2881" s="19" t="s">
        <v>42</v>
      </c>
      <c r="U2881" s="102" t="s">
        <v>1061</v>
      </c>
      <c r="V2881" s="110" t="s">
        <v>1062</v>
      </c>
      <c r="W2881" s="17" t="s">
        <v>69</v>
      </c>
      <c r="Y2881" s="68">
        <v>45039</v>
      </c>
      <c r="Z2881" s="17" t="s">
        <v>191</v>
      </c>
      <c r="AA2881" s="17" t="s">
        <v>46</v>
      </c>
      <c r="AB2881" s="17" t="s">
        <v>1046</v>
      </c>
      <c r="AC2881" s="102" t="s">
        <v>988</v>
      </c>
      <c r="AD2881" s="65">
        <v>1411</v>
      </c>
      <c r="AE2881" s="17" t="s">
        <v>48</v>
      </c>
      <c r="AF2881" s="17" t="s">
        <v>560</v>
      </c>
      <c r="AI2881" s="17">
        <v>1100</v>
      </c>
    </row>
    <row r="2882" s="17" customFormat="1" hidden="1" spans="1:35">
      <c r="A2882" s="17" t="s">
        <v>34</v>
      </c>
      <c r="B2882" s="19">
        <v>894</v>
      </c>
      <c r="C2882" s="183" t="s">
        <v>1060</v>
      </c>
      <c r="D2882" s="17" t="s">
        <v>52</v>
      </c>
      <c r="E2882" s="17" t="s">
        <v>187</v>
      </c>
      <c r="F2882" s="17" t="s">
        <v>54</v>
      </c>
      <c r="H2882" s="19">
        <v>1.2311</v>
      </c>
      <c r="I2882" s="19"/>
      <c r="J2882" s="17" t="s">
        <v>82</v>
      </c>
      <c r="K2882" s="91">
        <v>255</v>
      </c>
      <c r="L2882" s="91">
        <v>40</v>
      </c>
      <c r="M2882" s="19">
        <v>2200</v>
      </c>
      <c r="N2882" s="19" t="s">
        <v>66</v>
      </c>
      <c r="O2882" s="19" t="s">
        <v>141</v>
      </c>
      <c r="P2882" s="91">
        <v>300</v>
      </c>
      <c r="Q2882" s="19">
        <v>370</v>
      </c>
      <c r="R2882" s="99">
        <f t="shared" si="146"/>
        <v>-70</v>
      </c>
      <c r="S2882" s="19">
        <v>1090</v>
      </c>
      <c r="T2882" s="19" t="s">
        <v>42</v>
      </c>
      <c r="U2882" s="102" t="s">
        <v>1061</v>
      </c>
      <c r="V2882" s="110" t="s">
        <v>1062</v>
      </c>
      <c r="W2882" s="17" t="s">
        <v>69</v>
      </c>
      <c r="Y2882" s="68">
        <v>45039</v>
      </c>
      <c r="Z2882" s="17" t="s">
        <v>191</v>
      </c>
      <c r="AA2882" s="17" t="s">
        <v>46</v>
      </c>
      <c r="AB2882" s="17" t="s">
        <v>1046</v>
      </c>
      <c r="AC2882" s="102" t="s">
        <v>988</v>
      </c>
      <c r="AD2882" s="65">
        <v>1411</v>
      </c>
      <c r="AE2882" s="17" t="s">
        <v>48</v>
      </c>
      <c r="AF2882" s="17" t="s">
        <v>560</v>
      </c>
      <c r="AI2882" s="17">
        <v>1100</v>
      </c>
    </row>
    <row r="2883" s="17" customFormat="1" hidden="1" spans="1:35">
      <c r="A2883" s="17" t="s">
        <v>34</v>
      </c>
      <c r="B2883" s="19">
        <v>894</v>
      </c>
      <c r="C2883" s="183" t="s">
        <v>1060</v>
      </c>
      <c r="D2883" s="17" t="s">
        <v>52</v>
      </c>
      <c r="E2883" s="17" t="s">
        <v>187</v>
      </c>
      <c r="F2883" s="17" t="s">
        <v>54</v>
      </c>
      <c r="H2883" s="19">
        <v>1.2311</v>
      </c>
      <c r="I2883" s="19"/>
      <c r="J2883" s="17" t="s">
        <v>82</v>
      </c>
      <c r="K2883" s="91">
        <v>280</v>
      </c>
      <c r="L2883" s="91">
        <v>40</v>
      </c>
      <c r="M2883" s="19">
        <v>2200</v>
      </c>
      <c r="N2883" s="19" t="s">
        <v>66</v>
      </c>
      <c r="O2883" s="19" t="s">
        <v>141</v>
      </c>
      <c r="P2883" s="91">
        <v>200</v>
      </c>
      <c r="Q2883" s="19">
        <v>204</v>
      </c>
      <c r="R2883" s="99">
        <f t="shared" si="146"/>
        <v>-4</v>
      </c>
      <c r="S2883" s="19">
        <v>1090</v>
      </c>
      <c r="T2883" s="19" t="s">
        <v>42</v>
      </c>
      <c r="U2883" s="102" t="s">
        <v>1061</v>
      </c>
      <c r="V2883" s="110" t="s">
        <v>1062</v>
      </c>
      <c r="W2883" s="17" t="s">
        <v>69</v>
      </c>
      <c r="Y2883" s="68">
        <v>45039</v>
      </c>
      <c r="Z2883" s="17" t="s">
        <v>191</v>
      </c>
      <c r="AA2883" s="17" t="s">
        <v>46</v>
      </c>
      <c r="AB2883" s="17" t="s">
        <v>1046</v>
      </c>
      <c r="AC2883" s="102" t="s">
        <v>988</v>
      </c>
      <c r="AD2883" s="65">
        <v>1411</v>
      </c>
      <c r="AE2883" s="17" t="s">
        <v>48</v>
      </c>
      <c r="AF2883" s="17" t="s">
        <v>560</v>
      </c>
      <c r="AI2883" s="17">
        <v>1100</v>
      </c>
    </row>
    <row r="2884" s="17" customFormat="1" hidden="1" spans="1:35">
      <c r="A2884" s="17" t="s">
        <v>34</v>
      </c>
      <c r="B2884" s="19">
        <v>894</v>
      </c>
      <c r="C2884" s="183" t="s">
        <v>1060</v>
      </c>
      <c r="D2884" s="17" t="s">
        <v>52</v>
      </c>
      <c r="E2884" s="17" t="s">
        <v>187</v>
      </c>
      <c r="F2884" s="17" t="s">
        <v>54</v>
      </c>
      <c r="H2884" s="19">
        <v>1.2311</v>
      </c>
      <c r="I2884" s="19"/>
      <c r="J2884" s="17" t="s">
        <v>82</v>
      </c>
      <c r="K2884" s="91">
        <v>305</v>
      </c>
      <c r="L2884" s="91">
        <v>40</v>
      </c>
      <c r="M2884" s="19">
        <v>2200</v>
      </c>
      <c r="N2884" s="19" t="s">
        <v>66</v>
      </c>
      <c r="O2884" s="19" t="s">
        <v>141</v>
      </c>
      <c r="P2884" s="91">
        <v>300</v>
      </c>
      <c r="Q2884" s="19">
        <v>223</v>
      </c>
      <c r="R2884" s="99">
        <f t="shared" si="146"/>
        <v>77</v>
      </c>
      <c r="S2884" s="19">
        <v>1090</v>
      </c>
      <c r="T2884" s="19" t="s">
        <v>42</v>
      </c>
      <c r="U2884" s="102" t="s">
        <v>1061</v>
      </c>
      <c r="V2884" s="110" t="s">
        <v>1062</v>
      </c>
      <c r="W2884" s="17" t="s">
        <v>69</v>
      </c>
      <c r="Y2884" s="68">
        <v>45039</v>
      </c>
      <c r="Z2884" s="17" t="s">
        <v>191</v>
      </c>
      <c r="AA2884" s="17" t="s">
        <v>46</v>
      </c>
      <c r="AB2884" s="17" t="s">
        <v>1046</v>
      </c>
      <c r="AC2884" s="102" t="s">
        <v>988</v>
      </c>
      <c r="AD2884" s="65">
        <v>1411</v>
      </c>
      <c r="AE2884" s="17" t="s">
        <v>48</v>
      </c>
      <c r="AF2884" s="17" t="s">
        <v>560</v>
      </c>
      <c r="AI2884" s="17">
        <v>1100</v>
      </c>
    </row>
    <row r="2885" s="17" customFormat="1" hidden="1" spans="1:35">
      <c r="A2885" s="17" t="s">
        <v>34</v>
      </c>
      <c r="B2885" s="19">
        <v>894</v>
      </c>
      <c r="C2885" s="183" t="s">
        <v>1060</v>
      </c>
      <c r="D2885" s="17" t="s">
        <v>52</v>
      </c>
      <c r="E2885" s="17" t="s">
        <v>187</v>
      </c>
      <c r="F2885" s="17" t="s">
        <v>54</v>
      </c>
      <c r="H2885" s="19">
        <v>1.2311</v>
      </c>
      <c r="I2885" s="19"/>
      <c r="J2885" s="17" t="s">
        <v>82</v>
      </c>
      <c r="K2885" s="91">
        <v>330</v>
      </c>
      <c r="L2885" s="91">
        <v>40</v>
      </c>
      <c r="M2885" s="19">
        <v>2200</v>
      </c>
      <c r="N2885" s="19" t="s">
        <v>66</v>
      </c>
      <c r="O2885" s="19" t="s">
        <v>141</v>
      </c>
      <c r="P2885" s="91">
        <v>300</v>
      </c>
      <c r="Q2885" s="19">
        <v>248</v>
      </c>
      <c r="R2885" s="99">
        <f t="shared" si="146"/>
        <v>52</v>
      </c>
      <c r="S2885" s="19">
        <v>1090</v>
      </c>
      <c r="T2885" s="19" t="s">
        <v>42</v>
      </c>
      <c r="U2885" s="102" t="s">
        <v>1061</v>
      </c>
      <c r="V2885" s="110" t="s">
        <v>1062</v>
      </c>
      <c r="W2885" s="17" t="s">
        <v>69</v>
      </c>
      <c r="Y2885" s="68">
        <v>45039</v>
      </c>
      <c r="Z2885" s="17" t="s">
        <v>191</v>
      </c>
      <c r="AA2885" s="17" t="s">
        <v>46</v>
      </c>
      <c r="AB2885" s="17" t="s">
        <v>1046</v>
      </c>
      <c r="AC2885" s="102" t="s">
        <v>988</v>
      </c>
      <c r="AD2885" s="65">
        <v>1411</v>
      </c>
      <c r="AE2885" s="17" t="s">
        <v>48</v>
      </c>
      <c r="AF2885" s="17" t="s">
        <v>560</v>
      </c>
      <c r="AI2885" s="17">
        <v>1100</v>
      </c>
    </row>
    <row r="2886" s="17" customFormat="1" hidden="1" spans="1:35">
      <c r="A2886" s="17" t="s">
        <v>34</v>
      </c>
      <c r="B2886" s="19">
        <v>894</v>
      </c>
      <c r="C2886" s="183" t="s">
        <v>1060</v>
      </c>
      <c r="D2886" s="17" t="s">
        <v>52</v>
      </c>
      <c r="E2886" s="17" t="s">
        <v>187</v>
      </c>
      <c r="F2886" s="17" t="s">
        <v>54</v>
      </c>
      <c r="H2886" s="19">
        <v>1.2311</v>
      </c>
      <c r="I2886" s="19"/>
      <c r="J2886" s="17" t="s">
        <v>82</v>
      </c>
      <c r="K2886" s="91">
        <v>355</v>
      </c>
      <c r="L2886" s="91">
        <v>40</v>
      </c>
      <c r="M2886" s="19">
        <v>2200</v>
      </c>
      <c r="N2886" s="19" t="s">
        <v>66</v>
      </c>
      <c r="O2886" s="19" t="s">
        <v>141</v>
      </c>
      <c r="P2886" s="91">
        <v>300</v>
      </c>
      <c r="Q2886" s="19">
        <v>256</v>
      </c>
      <c r="R2886" s="99">
        <f t="shared" si="146"/>
        <v>44</v>
      </c>
      <c r="S2886" s="19">
        <v>1090</v>
      </c>
      <c r="T2886" s="19" t="s">
        <v>42</v>
      </c>
      <c r="U2886" s="102" t="s">
        <v>1061</v>
      </c>
      <c r="V2886" s="110" t="s">
        <v>1062</v>
      </c>
      <c r="W2886" s="17" t="s">
        <v>69</v>
      </c>
      <c r="Y2886" s="68">
        <v>45039</v>
      </c>
      <c r="Z2886" s="17" t="s">
        <v>191</v>
      </c>
      <c r="AA2886" s="17" t="s">
        <v>46</v>
      </c>
      <c r="AB2886" s="17" t="s">
        <v>1046</v>
      </c>
      <c r="AC2886" s="102" t="s">
        <v>988</v>
      </c>
      <c r="AD2886" s="65">
        <v>1411</v>
      </c>
      <c r="AE2886" s="17" t="s">
        <v>48</v>
      </c>
      <c r="AF2886" s="17" t="s">
        <v>560</v>
      </c>
      <c r="AI2886" s="17">
        <v>1100</v>
      </c>
    </row>
    <row r="2887" s="17" customFormat="1" hidden="1" spans="1:35">
      <c r="A2887" s="17" t="s">
        <v>34</v>
      </c>
      <c r="B2887" s="19">
        <v>894</v>
      </c>
      <c r="C2887" s="183" t="s">
        <v>1060</v>
      </c>
      <c r="D2887" s="17" t="s">
        <v>52</v>
      </c>
      <c r="E2887" s="17" t="s">
        <v>187</v>
      </c>
      <c r="F2887" s="17" t="s">
        <v>54</v>
      </c>
      <c r="H2887" s="19">
        <v>1.2311</v>
      </c>
      <c r="I2887" s="19"/>
      <c r="J2887" s="17" t="s">
        <v>82</v>
      </c>
      <c r="K2887" s="91">
        <v>380</v>
      </c>
      <c r="L2887" s="91">
        <v>40</v>
      </c>
      <c r="M2887" s="19">
        <v>2200</v>
      </c>
      <c r="N2887" s="19" t="s">
        <v>66</v>
      </c>
      <c r="O2887" s="19" t="s">
        <v>141</v>
      </c>
      <c r="P2887" s="91">
        <v>300</v>
      </c>
      <c r="Q2887" s="19">
        <v>278</v>
      </c>
      <c r="R2887" s="99">
        <f t="shared" si="146"/>
        <v>22</v>
      </c>
      <c r="S2887" s="19">
        <v>1090</v>
      </c>
      <c r="T2887" s="19" t="s">
        <v>42</v>
      </c>
      <c r="U2887" s="102" t="s">
        <v>1061</v>
      </c>
      <c r="V2887" s="110" t="s">
        <v>1062</v>
      </c>
      <c r="W2887" s="17" t="s">
        <v>69</v>
      </c>
      <c r="Y2887" s="68">
        <v>45039</v>
      </c>
      <c r="Z2887" s="17" t="s">
        <v>191</v>
      </c>
      <c r="AA2887" s="17" t="s">
        <v>46</v>
      </c>
      <c r="AB2887" s="17" t="s">
        <v>1046</v>
      </c>
      <c r="AC2887" s="102" t="s">
        <v>988</v>
      </c>
      <c r="AD2887" s="65">
        <v>1411</v>
      </c>
      <c r="AE2887" s="17" t="s">
        <v>48</v>
      </c>
      <c r="AF2887" s="17" t="s">
        <v>560</v>
      </c>
      <c r="AI2887" s="17">
        <v>1100</v>
      </c>
    </row>
    <row r="2888" s="17" customFormat="1" hidden="1" spans="1:35">
      <c r="A2888" s="17" t="s">
        <v>34</v>
      </c>
      <c r="B2888" s="19">
        <v>894</v>
      </c>
      <c r="C2888" s="183" t="s">
        <v>1060</v>
      </c>
      <c r="D2888" s="17" t="s">
        <v>52</v>
      </c>
      <c r="E2888" s="17" t="s">
        <v>187</v>
      </c>
      <c r="F2888" s="17" t="s">
        <v>54</v>
      </c>
      <c r="H2888" s="19">
        <v>1.2311</v>
      </c>
      <c r="I2888" s="19"/>
      <c r="J2888" s="17" t="s">
        <v>82</v>
      </c>
      <c r="K2888" s="91">
        <v>400</v>
      </c>
      <c r="L2888" s="91">
        <v>40</v>
      </c>
      <c r="M2888" s="19">
        <v>2200</v>
      </c>
      <c r="N2888" s="19" t="s">
        <v>66</v>
      </c>
      <c r="O2888" s="19" t="s">
        <v>141</v>
      </c>
      <c r="P2888" s="91">
        <v>1000</v>
      </c>
      <c r="Q2888" s="19">
        <v>1154</v>
      </c>
      <c r="R2888" s="99">
        <f t="shared" si="146"/>
        <v>-154</v>
      </c>
      <c r="S2888" s="19">
        <v>1090</v>
      </c>
      <c r="T2888" s="19" t="s">
        <v>42</v>
      </c>
      <c r="U2888" s="102" t="s">
        <v>1061</v>
      </c>
      <c r="V2888" s="110" t="s">
        <v>1062</v>
      </c>
      <c r="W2888" s="17" t="s">
        <v>69</v>
      </c>
      <c r="Y2888" s="68">
        <v>45039</v>
      </c>
      <c r="Z2888" s="17" t="s">
        <v>191</v>
      </c>
      <c r="AA2888" s="17" t="s">
        <v>46</v>
      </c>
      <c r="AB2888" s="17" t="s">
        <v>1046</v>
      </c>
      <c r="AC2888" s="102" t="s">
        <v>988</v>
      </c>
      <c r="AD2888" s="65">
        <v>1411</v>
      </c>
      <c r="AE2888" s="17" t="s">
        <v>48</v>
      </c>
      <c r="AF2888" s="17" t="s">
        <v>560</v>
      </c>
      <c r="AI2888" s="17">
        <v>1100</v>
      </c>
    </row>
    <row r="2889" s="17" customFormat="1" hidden="1" spans="1:35">
      <c r="A2889" s="17" t="s">
        <v>34</v>
      </c>
      <c r="B2889" s="19">
        <v>894</v>
      </c>
      <c r="C2889" s="183" t="s">
        <v>1060</v>
      </c>
      <c r="D2889" s="17" t="s">
        <v>52</v>
      </c>
      <c r="E2889" s="17" t="s">
        <v>187</v>
      </c>
      <c r="F2889" s="17" t="s">
        <v>54</v>
      </c>
      <c r="H2889" s="19">
        <v>1.2311</v>
      </c>
      <c r="I2889" s="19"/>
      <c r="J2889" s="17" t="s">
        <v>82</v>
      </c>
      <c r="K2889" s="91">
        <v>205</v>
      </c>
      <c r="L2889" s="91">
        <v>45</v>
      </c>
      <c r="M2889" s="19">
        <v>2200</v>
      </c>
      <c r="N2889" s="19" t="s">
        <v>66</v>
      </c>
      <c r="O2889" s="19" t="s">
        <v>141</v>
      </c>
      <c r="P2889" s="91">
        <v>200</v>
      </c>
      <c r="Q2889" s="19">
        <v>165</v>
      </c>
      <c r="R2889" s="99">
        <f t="shared" si="146"/>
        <v>35</v>
      </c>
      <c r="S2889" s="19">
        <v>1090</v>
      </c>
      <c r="T2889" s="19" t="s">
        <v>42</v>
      </c>
      <c r="U2889" s="102" t="s">
        <v>1061</v>
      </c>
      <c r="V2889" s="110" t="s">
        <v>1062</v>
      </c>
      <c r="W2889" s="17" t="s">
        <v>69</v>
      </c>
      <c r="Y2889" s="68">
        <v>45039</v>
      </c>
      <c r="Z2889" s="17" t="s">
        <v>191</v>
      </c>
      <c r="AA2889" s="17" t="s">
        <v>46</v>
      </c>
      <c r="AB2889" s="17" t="s">
        <v>1046</v>
      </c>
      <c r="AC2889" s="102" t="s">
        <v>988</v>
      </c>
      <c r="AD2889" s="65">
        <v>1411</v>
      </c>
      <c r="AE2889" s="17" t="s">
        <v>48</v>
      </c>
      <c r="AF2889" s="17" t="s">
        <v>560</v>
      </c>
      <c r="AI2889" s="17">
        <v>1100</v>
      </c>
    </row>
    <row r="2890" s="17" customFormat="1" hidden="1" spans="1:35">
      <c r="A2890" s="17" t="s">
        <v>34</v>
      </c>
      <c r="B2890" s="19">
        <v>894</v>
      </c>
      <c r="C2890" s="183" t="s">
        <v>1060</v>
      </c>
      <c r="D2890" s="17" t="s">
        <v>52</v>
      </c>
      <c r="E2890" s="17" t="s">
        <v>187</v>
      </c>
      <c r="F2890" s="17" t="s">
        <v>54</v>
      </c>
      <c r="H2890" s="19">
        <v>1.2311</v>
      </c>
      <c r="I2890" s="19"/>
      <c r="J2890" s="17" t="s">
        <v>82</v>
      </c>
      <c r="K2890" s="91">
        <v>255</v>
      </c>
      <c r="L2890" s="91">
        <v>45</v>
      </c>
      <c r="M2890" s="19">
        <v>2200</v>
      </c>
      <c r="N2890" s="19" t="s">
        <v>66</v>
      </c>
      <c r="O2890" s="19" t="s">
        <v>141</v>
      </c>
      <c r="P2890" s="91">
        <v>200</v>
      </c>
      <c r="Q2890" s="19">
        <v>208</v>
      </c>
      <c r="R2890" s="99">
        <f t="shared" ref="R2890:R2921" si="147">+P2890-Q2890</f>
        <v>-8</v>
      </c>
      <c r="S2890" s="19">
        <v>1090</v>
      </c>
      <c r="T2890" s="19" t="s">
        <v>42</v>
      </c>
      <c r="U2890" s="102" t="s">
        <v>1061</v>
      </c>
      <c r="V2890" s="110" t="s">
        <v>1062</v>
      </c>
      <c r="W2890" s="17" t="s">
        <v>69</v>
      </c>
      <c r="Y2890" s="68">
        <v>45039</v>
      </c>
      <c r="Z2890" s="17" t="s">
        <v>191</v>
      </c>
      <c r="AA2890" s="17" t="s">
        <v>46</v>
      </c>
      <c r="AB2890" s="17" t="s">
        <v>1046</v>
      </c>
      <c r="AC2890" s="102" t="s">
        <v>988</v>
      </c>
      <c r="AD2890" s="65">
        <v>1411</v>
      </c>
      <c r="AE2890" s="17" t="s">
        <v>48</v>
      </c>
      <c r="AF2890" s="17" t="s">
        <v>560</v>
      </c>
      <c r="AI2890" s="17">
        <v>1100</v>
      </c>
    </row>
    <row r="2891" s="17" customFormat="1" hidden="1" spans="1:35">
      <c r="A2891" s="17" t="s">
        <v>34</v>
      </c>
      <c r="B2891" s="19">
        <v>894</v>
      </c>
      <c r="C2891" s="183" t="s">
        <v>1060</v>
      </c>
      <c r="D2891" s="17" t="s">
        <v>52</v>
      </c>
      <c r="E2891" s="17" t="s">
        <v>187</v>
      </c>
      <c r="F2891" s="17" t="s">
        <v>54</v>
      </c>
      <c r="H2891" s="19">
        <v>1.2311</v>
      </c>
      <c r="I2891" s="19"/>
      <c r="J2891" s="17" t="s">
        <v>82</v>
      </c>
      <c r="K2891" s="91">
        <v>305</v>
      </c>
      <c r="L2891" s="91">
        <v>45</v>
      </c>
      <c r="M2891" s="19">
        <v>2200</v>
      </c>
      <c r="N2891" s="19" t="s">
        <v>66</v>
      </c>
      <c r="O2891" s="19" t="s">
        <v>141</v>
      </c>
      <c r="P2891" s="91">
        <v>200</v>
      </c>
      <c r="Q2891" s="19">
        <v>250</v>
      </c>
      <c r="R2891" s="99">
        <f t="shared" si="147"/>
        <v>-50</v>
      </c>
      <c r="S2891" s="19">
        <v>1090</v>
      </c>
      <c r="T2891" s="19" t="s">
        <v>42</v>
      </c>
      <c r="U2891" s="102" t="s">
        <v>1061</v>
      </c>
      <c r="V2891" s="110" t="s">
        <v>1062</v>
      </c>
      <c r="W2891" s="17" t="s">
        <v>69</v>
      </c>
      <c r="Y2891" s="68">
        <v>45039</v>
      </c>
      <c r="Z2891" s="17" t="s">
        <v>191</v>
      </c>
      <c r="AA2891" s="17" t="s">
        <v>46</v>
      </c>
      <c r="AB2891" s="17" t="s">
        <v>1046</v>
      </c>
      <c r="AC2891" s="102" t="s">
        <v>988</v>
      </c>
      <c r="AD2891" s="65">
        <v>1411</v>
      </c>
      <c r="AE2891" s="17" t="s">
        <v>48</v>
      </c>
      <c r="AF2891" s="17" t="s">
        <v>560</v>
      </c>
      <c r="AI2891" s="17">
        <v>1100</v>
      </c>
    </row>
    <row r="2892" s="17" customFormat="1" hidden="1" spans="1:35">
      <c r="A2892" s="17" t="s">
        <v>34</v>
      </c>
      <c r="B2892" s="19">
        <v>894</v>
      </c>
      <c r="C2892" s="183" t="s">
        <v>1060</v>
      </c>
      <c r="D2892" s="17" t="s">
        <v>52</v>
      </c>
      <c r="E2892" s="17" t="s">
        <v>187</v>
      </c>
      <c r="F2892" s="17" t="s">
        <v>54</v>
      </c>
      <c r="H2892" s="19">
        <v>1.2311</v>
      </c>
      <c r="I2892" s="19"/>
      <c r="J2892" s="17" t="s">
        <v>82</v>
      </c>
      <c r="K2892" s="91">
        <v>355</v>
      </c>
      <c r="L2892" s="91">
        <v>45</v>
      </c>
      <c r="M2892" s="19">
        <v>2200</v>
      </c>
      <c r="N2892" s="19" t="s">
        <v>66</v>
      </c>
      <c r="O2892" s="19" t="s">
        <v>141</v>
      </c>
      <c r="P2892" s="91">
        <v>300</v>
      </c>
      <c r="Q2892" s="19">
        <v>290</v>
      </c>
      <c r="R2892" s="99">
        <f t="shared" si="147"/>
        <v>10</v>
      </c>
      <c r="S2892" s="19">
        <v>1090</v>
      </c>
      <c r="T2892" s="19" t="s">
        <v>42</v>
      </c>
      <c r="U2892" s="102" t="s">
        <v>1061</v>
      </c>
      <c r="V2892" s="110" t="s">
        <v>1062</v>
      </c>
      <c r="W2892" s="17" t="s">
        <v>69</v>
      </c>
      <c r="Y2892" s="68">
        <v>45039</v>
      </c>
      <c r="Z2892" s="17" t="s">
        <v>191</v>
      </c>
      <c r="AA2892" s="17" t="s">
        <v>46</v>
      </c>
      <c r="AB2892" s="17" t="s">
        <v>1046</v>
      </c>
      <c r="AC2892" s="102" t="s">
        <v>988</v>
      </c>
      <c r="AD2892" s="65">
        <v>1411</v>
      </c>
      <c r="AE2892" s="17" t="s">
        <v>48</v>
      </c>
      <c r="AF2892" s="17" t="s">
        <v>560</v>
      </c>
      <c r="AI2892" s="17">
        <v>1100</v>
      </c>
    </row>
    <row r="2893" s="17" customFormat="1" hidden="1" spans="1:35">
      <c r="A2893" s="17" t="s">
        <v>34</v>
      </c>
      <c r="B2893" s="19">
        <v>894</v>
      </c>
      <c r="C2893" s="183" t="s">
        <v>1060</v>
      </c>
      <c r="D2893" s="17" t="s">
        <v>52</v>
      </c>
      <c r="E2893" s="17" t="s">
        <v>187</v>
      </c>
      <c r="F2893" s="17" t="s">
        <v>54</v>
      </c>
      <c r="H2893" s="19">
        <v>1.2311</v>
      </c>
      <c r="I2893" s="19"/>
      <c r="J2893" s="17" t="s">
        <v>82</v>
      </c>
      <c r="K2893" s="91">
        <v>400</v>
      </c>
      <c r="L2893" s="91">
        <v>45</v>
      </c>
      <c r="M2893" s="19">
        <v>2200</v>
      </c>
      <c r="N2893" s="19" t="s">
        <v>66</v>
      </c>
      <c r="O2893" s="19" t="s">
        <v>141</v>
      </c>
      <c r="P2893" s="91">
        <v>1000</v>
      </c>
      <c r="Q2893" s="19">
        <v>981</v>
      </c>
      <c r="R2893" s="99">
        <f t="shared" si="147"/>
        <v>19</v>
      </c>
      <c r="S2893" s="19">
        <v>1090</v>
      </c>
      <c r="T2893" s="19" t="s">
        <v>42</v>
      </c>
      <c r="U2893" s="102" t="s">
        <v>1061</v>
      </c>
      <c r="V2893" s="110" t="s">
        <v>1062</v>
      </c>
      <c r="W2893" s="17" t="s">
        <v>69</v>
      </c>
      <c r="Y2893" s="68">
        <v>45039</v>
      </c>
      <c r="Z2893" s="17" t="s">
        <v>191</v>
      </c>
      <c r="AA2893" s="17" t="s">
        <v>46</v>
      </c>
      <c r="AB2893" s="17" t="s">
        <v>1046</v>
      </c>
      <c r="AC2893" s="102" t="s">
        <v>988</v>
      </c>
      <c r="AD2893" s="65">
        <v>1411</v>
      </c>
      <c r="AE2893" s="17" t="s">
        <v>48</v>
      </c>
      <c r="AF2893" s="17" t="s">
        <v>560</v>
      </c>
      <c r="AI2893" s="17">
        <v>1100</v>
      </c>
    </row>
    <row r="2894" s="17" customFormat="1" hidden="1" spans="1:35">
      <c r="A2894" s="17" t="s">
        <v>34</v>
      </c>
      <c r="B2894" s="19">
        <v>894</v>
      </c>
      <c r="C2894" s="183" t="s">
        <v>1060</v>
      </c>
      <c r="D2894" s="17" t="s">
        <v>52</v>
      </c>
      <c r="E2894" s="17" t="s">
        <v>187</v>
      </c>
      <c r="F2894" s="17" t="s">
        <v>54</v>
      </c>
      <c r="H2894" s="19">
        <v>1.2311</v>
      </c>
      <c r="I2894" s="19"/>
      <c r="J2894" s="17" t="s">
        <v>82</v>
      </c>
      <c r="K2894" s="91">
        <v>610</v>
      </c>
      <c r="L2894" s="91">
        <v>45</v>
      </c>
      <c r="M2894" s="19">
        <v>2200</v>
      </c>
      <c r="N2894" s="19" t="s">
        <v>66</v>
      </c>
      <c r="O2894" s="19" t="s">
        <v>141</v>
      </c>
      <c r="P2894" s="91">
        <v>1000</v>
      </c>
      <c r="Q2894" s="19">
        <v>996</v>
      </c>
      <c r="R2894" s="99">
        <f t="shared" si="147"/>
        <v>4</v>
      </c>
      <c r="S2894" s="19">
        <v>1090</v>
      </c>
      <c r="T2894" s="19" t="s">
        <v>42</v>
      </c>
      <c r="U2894" s="102" t="s">
        <v>1061</v>
      </c>
      <c r="V2894" s="110" t="s">
        <v>1062</v>
      </c>
      <c r="W2894" s="17" t="s">
        <v>69</v>
      </c>
      <c r="Y2894" s="68">
        <v>45039</v>
      </c>
      <c r="Z2894" s="17" t="s">
        <v>191</v>
      </c>
      <c r="AA2894" s="17" t="s">
        <v>46</v>
      </c>
      <c r="AB2894" s="17" t="s">
        <v>1046</v>
      </c>
      <c r="AC2894" s="102" t="s">
        <v>988</v>
      </c>
      <c r="AD2894" s="65">
        <v>1411</v>
      </c>
      <c r="AE2894" s="17" t="s">
        <v>48</v>
      </c>
      <c r="AF2894" s="17" t="s">
        <v>560</v>
      </c>
      <c r="AI2894" s="17">
        <v>1100</v>
      </c>
    </row>
    <row r="2895" s="17" customFormat="1" hidden="1" spans="1:35">
      <c r="A2895" s="17" t="s">
        <v>34</v>
      </c>
      <c r="B2895" s="19">
        <v>894</v>
      </c>
      <c r="C2895" s="183" t="s">
        <v>1060</v>
      </c>
      <c r="D2895" s="17" t="s">
        <v>52</v>
      </c>
      <c r="E2895" s="17" t="s">
        <v>187</v>
      </c>
      <c r="F2895" s="17" t="s">
        <v>54</v>
      </c>
      <c r="H2895" s="19">
        <v>1.2311</v>
      </c>
      <c r="I2895" s="19"/>
      <c r="J2895" s="17" t="s">
        <v>82</v>
      </c>
      <c r="K2895" s="91">
        <v>205</v>
      </c>
      <c r="L2895" s="91">
        <v>50</v>
      </c>
      <c r="M2895" s="19">
        <v>2200</v>
      </c>
      <c r="N2895" s="19" t="s">
        <v>66</v>
      </c>
      <c r="O2895" s="19" t="s">
        <v>141</v>
      </c>
      <c r="P2895" s="91">
        <v>300</v>
      </c>
      <c r="Q2895" s="19">
        <v>371</v>
      </c>
      <c r="R2895" s="99">
        <f t="shared" si="147"/>
        <v>-71</v>
      </c>
      <c r="S2895" s="19">
        <v>1090</v>
      </c>
      <c r="T2895" s="19" t="s">
        <v>42</v>
      </c>
      <c r="U2895" s="102" t="s">
        <v>1061</v>
      </c>
      <c r="V2895" s="110" t="s">
        <v>1062</v>
      </c>
      <c r="W2895" s="17" t="s">
        <v>69</v>
      </c>
      <c r="Y2895" s="68">
        <v>45039</v>
      </c>
      <c r="Z2895" s="17" t="s">
        <v>191</v>
      </c>
      <c r="AA2895" s="17" t="s">
        <v>46</v>
      </c>
      <c r="AB2895" s="17" t="s">
        <v>1046</v>
      </c>
      <c r="AC2895" s="102" t="s">
        <v>988</v>
      </c>
      <c r="AD2895" s="65">
        <v>1411</v>
      </c>
      <c r="AE2895" s="17" t="s">
        <v>48</v>
      </c>
      <c r="AF2895" s="17" t="s">
        <v>560</v>
      </c>
      <c r="AI2895" s="17">
        <v>1100</v>
      </c>
    </row>
    <row r="2896" s="17" customFormat="1" hidden="1" spans="1:35">
      <c r="A2896" s="17" t="s">
        <v>34</v>
      </c>
      <c r="B2896" s="19">
        <v>894</v>
      </c>
      <c r="C2896" s="183" t="s">
        <v>1060</v>
      </c>
      <c r="D2896" s="17" t="s">
        <v>52</v>
      </c>
      <c r="E2896" s="17" t="s">
        <v>187</v>
      </c>
      <c r="F2896" s="17" t="s">
        <v>54</v>
      </c>
      <c r="H2896" s="19">
        <v>1.2311</v>
      </c>
      <c r="I2896" s="19"/>
      <c r="J2896" s="17" t="s">
        <v>82</v>
      </c>
      <c r="K2896" s="91">
        <v>230</v>
      </c>
      <c r="L2896" s="91">
        <v>50</v>
      </c>
      <c r="M2896" s="19">
        <v>2200</v>
      </c>
      <c r="N2896" s="19" t="s">
        <v>66</v>
      </c>
      <c r="O2896" s="19" t="s">
        <v>141</v>
      </c>
      <c r="P2896" s="91">
        <v>200</v>
      </c>
      <c r="Q2896" s="19">
        <v>207</v>
      </c>
      <c r="R2896" s="99">
        <f t="shared" si="147"/>
        <v>-7</v>
      </c>
      <c r="S2896" s="19">
        <v>1090</v>
      </c>
      <c r="T2896" s="19" t="s">
        <v>42</v>
      </c>
      <c r="U2896" s="102" t="s">
        <v>1061</v>
      </c>
      <c r="V2896" s="110" t="s">
        <v>1062</v>
      </c>
      <c r="W2896" s="17" t="s">
        <v>69</v>
      </c>
      <c r="Y2896" s="68">
        <v>45039</v>
      </c>
      <c r="Z2896" s="17" t="s">
        <v>191</v>
      </c>
      <c r="AA2896" s="17" t="s">
        <v>46</v>
      </c>
      <c r="AB2896" s="17" t="s">
        <v>1046</v>
      </c>
      <c r="AC2896" s="102" t="s">
        <v>988</v>
      </c>
      <c r="AD2896" s="65">
        <v>1411</v>
      </c>
      <c r="AE2896" s="17" t="s">
        <v>48</v>
      </c>
      <c r="AF2896" s="17" t="s">
        <v>560</v>
      </c>
      <c r="AI2896" s="17">
        <v>1100</v>
      </c>
    </row>
    <row r="2897" s="17" customFormat="1" hidden="1" spans="1:35">
      <c r="A2897" s="17" t="s">
        <v>34</v>
      </c>
      <c r="B2897" s="19">
        <v>894</v>
      </c>
      <c r="C2897" s="183" t="s">
        <v>1060</v>
      </c>
      <c r="D2897" s="17" t="s">
        <v>52</v>
      </c>
      <c r="E2897" s="17" t="s">
        <v>187</v>
      </c>
      <c r="F2897" s="17" t="s">
        <v>54</v>
      </c>
      <c r="H2897" s="19">
        <v>1.2311</v>
      </c>
      <c r="I2897" s="19"/>
      <c r="J2897" s="17" t="s">
        <v>82</v>
      </c>
      <c r="K2897" s="91">
        <v>255</v>
      </c>
      <c r="L2897" s="91">
        <v>50</v>
      </c>
      <c r="M2897" s="19">
        <v>2200</v>
      </c>
      <c r="N2897" s="19" t="s">
        <v>66</v>
      </c>
      <c r="O2897" s="19" t="s">
        <v>141</v>
      </c>
      <c r="P2897" s="91">
        <v>300</v>
      </c>
      <c r="Q2897" s="19">
        <v>231</v>
      </c>
      <c r="R2897" s="99">
        <f t="shared" si="147"/>
        <v>69</v>
      </c>
      <c r="S2897" s="19">
        <v>1090</v>
      </c>
      <c r="T2897" s="19" t="s">
        <v>42</v>
      </c>
      <c r="U2897" s="102" t="s">
        <v>1061</v>
      </c>
      <c r="V2897" s="110" t="s">
        <v>1062</v>
      </c>
      <c r="W2897" s="17" t="s">
        <v>69</v>
      </c>
      <c r="Y2897" s="68">
        <v>45039</v>
      </c>
      <c r="Z2897" s="17" t="s">
        <v>191</v>
      </c>
      <c r="AA2897" s="17" t="s">
        <v>46</v>
      </c>
      <c r="AB2897" s="17" t="s">
        <v>1046</v>
      </c>
      <c r="AC2897" s="102" t="s">
        <v>988</v>
      </c>
      <c r="AD2897" s="65">
        <v>1411</v>
      </c>
      <c r="AE2897" s="17" t="s">
        <v>48</v>
      </c>
      <c r="AF2897" s="17" t="s">
        <v>560</v>
      </c>
      <c r="AI2897" s="17">
        <v>1100</v>
      </c>
    </row>
    <row r="2898" s="17" customFormat="1" hidden="1" spans="1:35">
      <c r="A2898" s="17" t="s">
        <v>34</v>
      </c>
      <c r="B2898" s="19">
        <v>894</v>
      </c>
      <c r="C2898" s="183" t="s">
        <v>1060</v>
      </c>
      <c r="D2898" s="17" t="s">
        <v>52</v>
      </c>
      <c r="E2898" s="17" t="s">
        <v>187</v>
      </c>
      <c r="F2898" s="17" t="s">
        <v>54</v>
      </c>
      <c r="H2898" s="19">
        <v>1.2311</v>
      </c>
      <c r="I2898" s="19"/>
      <c r="J2898" s="17" t="s">
        <v>82</v>
      </c>
      <c r="K2898" s="91">
        <v>280</v>
      </c>
      <c r="L2898" s="91">
        <v>50</v>
      </c>
      <c r="M2898" s="19">
        <v>2200</v>
      </c>
      <c r="N2898" s="19" t="s">
        <v>66</v>
      </c>
      <c r="O2898" s="19" t="s">
        <v>141</v>
      </c>
      <c r="P2898" s="91">
        <v>200</v>
      </c>
      <c r="Q2898" s="19">
        <v>249</v>
      </c>
      <c r="R2898" s="99">
        <f t="shared" si="147"/>
        <v>-49</v>
      </c>
      <c r="S2898" s="19">
        <v>1090</v>
      </c>
      <c r="T2898" s="19" t="s">
        <v>42</v>
      </c>
      <c r="U2898" s="102" t="s">
        <v>1061</v>
      </c>
      <c r="V2898" s="110" t="s">
        <v>1062</v>
      </c>
      <c r="W2898" s="17" t="s">
        <v>69</v>
      </c>
      <c r="Y2898" s="68">
        <v>45039</v>
      </c>
      <c r="Z2898" s="17" t="s">
        <v>191</v>
      </c>
      <c r="AA2898" s="17" t="s">
        <v>46</v>
      </c>
      <c r="AB2898" s="17" t="s">
        <v>1046</v>
      </c>
      <c r="AC2898" s="102" t="s">
        <v>988</v>
      </c>
      <c r="AD2898" s="65">
        <v>1411</v>
      </c>
      <c r="AE2898" s="17" t="s">
        <v>48</v>
      </c>
      <c r="AF2898" s="17" t="s">
        <v>560</v>
      </c>
      <c r="AI2898" s="17">
        <v>1100</v>
      </c>
    </row>
    <row r="2899" s="17" customFormat="1" hidden="1" spans="1:35">
      <c r="A2899" s="17" t="s">
        <v>34</v>
      </c>
      <c r="B2899" s="19">
        <v>894</v>
      </c>
      <c r="C2899" s="183" t="s">
        <v>1060</v>
      </c>
      <c r="D2899" s="17" t="s">
        <v>52</v>
      </c>
      <c r="E2899" s="17" t="s">
        <v>187</v>
      </c>
      <c r="F2899" s="17" t="s">
        <v>54</v>
      </c>
      <c r="H2899" s="19">
        <v>1.2311</v>
      </c>
      <c r="I2899" s="19"/>
      <c r="J2899" s="17" t="s">
        <v>82</v>
      </c>
      <c r="K2899" s="91">
        <v>305</v>
      </c>
      <c r="L2899" s="91">
        <v>50</v>
      </c>
      <c r="M2899" s="19">
        <v>2200</v>
      </c>
      <c r="N2899" s="19" t="s">
        <v>66</v>
      </c>
      <c r="O2899" s="19" t="s">
        <v>141</v>
      </c>
      <c r="P2899" s="91">
        <v>300</v>
      </c>
      <c r="Q2899" s="19">
        <v>272</v>
      </c>
      <c r="R2899" s="99">
        <f t="shared" si="147"/>
        <v>28</v>
      </c>
      <c r="S2899" s="19">
        <v>1090</v>
      </c>
      <c r="T2899" s="19" t="s">
        <v>42</v>
      </c>
      <c r="U2899" s="102" t="s">
        <v>1061</v>
      </c>
      <c r="V2899" s="110" t="s">
        <v>1062</v>
      </c>
      <c r="W2899" s="17" t="s">
        <v>69</v>
      </c>
      <c r="Y2899" s="68">
        <v>45039</v>
      </c>
      <c r="Z2899" s="17" t="s">
        <v>191</v>
      </c>
      <c r="AA2899" s="17" t="s">
        <v>46</v>
      </c>
      <c r="AB2899" s="17" t="s">
        <v>1046</v>
      </c>
      <c r="AC2899" s="102" t="s">
        <v>988</v>
      </c>
      <c r="AD2899" s="65">
        <v>1411</v>
      </c>
      <c r="AE2899" s="17" t="s">
        <v>48</v>
      </c>
      <c r="AF2899" s="17" t="s">
        <v>560</v>
      </c>
      <c r="AI2899" s="17">
        <v>1100</v>
      </c>
    </row>
    <row r="2900" s="17" customFormat="1" hidden="1" spans="1:35">
      <c r="A2900" s="17" t="s">
        <v>34</v>
      </c>
      <c r="B2900" s="19">
        <v>894</v>
      </c>
      <c r="C2900" s="183" t="s">
        <v>1060</v>
      </c>
      <c r="D2900" s="17" t="s">
        <v>52</v>
      </c>
      <c r="E2900" s="17" t="s">
        <v>187</v>
      </c>
      <c r="F2900" s="17" t="s">
        <v>54</v>
      </c>
      <c r="H2900" s="19">
        <v>1.2311</v>
      </c>
      <c r="I2900" s="19"/>
      <c r="J2900" s="17" t="s">
        <v>82</v>
      </c>
      <c r="K2900" s="91">
        <v>330</v>
      </c>
      <c r="L2900" s="91">
        <v>50</v>
      </c>
      <c r="M2900" s="19">
        <v>2200</v>
      </c>
      <c r="N2900" s="19" t="s">
        <v>66</v>
      </c>
      <c r="O2900" s="19" t="s">
        <v>141</v>
      </c>
      <c r="P2900" s="91">
        <v>300</v>
      </c>
      <c r="Q2900" s="19">
        <v>295</v>
      </c>
      <c r="R2900" s="99">
        <f t="shared" si="147"/>
        <v>5</v>
      </c>
      <c r="S2900" s="19">
        <v>1090</v>
      </c>
      <c r="T2900" s="19" t="s">
        <v>42</v>
      </c>
      <c r="U2900" s="102" t="s">
        <v>1061</v>
      </c>
      <c r="V2900" s="110" t="s">
        <v>1062</v>
      </c>
      <c r="W2900" s="17" t="s">
        <v>69</v>
      </c>
      <c r="Y2900" s="68">
        <v>45039</v>
      </c>
      <c r="Z2900" s="17" t="s">
        <v>191</v>
      </c>
      <c r="AA2900" s="17" t="s">
        <v>46</v>
      </c>
      <c r="AB2900" s="17" t="s">
        <v>1046</v>
      </c>
      <c r="AC2900" s="102" t="s">
        <v>988</v>
      </c>
      <c r="AD2900" s="65">
        <v>1411</v>
      </c>
      <c r="AE2900" s="17" t="s">
        <v>48</v>
      </c>
      <c r="AF2900" s="17" t="s">
        <v>560</v>
      </c>
      <c r="AI2900" s="17">
        <v>1100</v>
      </c>
    </row>
    <row r="2901" s="17" customFormat="1" hidden="1" spans="1:35">
      <c r="A2901" s="17" t="s">
        <v>34</v>
      </c>
      <c r="B2901" s="19">
        <v>894</v>
      </c>
      <c r="C2901" s="183" t="s">
        <v>1060</v>
      </c>
      <c r="D2901" s="17" t="s">
        <v>52</v>
      </c>
      <c r="E2901" s="17" t="s">
        <v>187</v>
      </c>
      <c r="F2901" s="17" t="s">
        <v>54</v>
      </c>
      <c r="H2901" s="19">
        <v>1.2311</v>
      </c>
      <c r="I2901" s="19"/>
      <c r="J2901" s="17" t="s">
        <v>82</v>
      </c>
      <c r="K2901" s="91">
        <v>355</v>
      </c>
      <c r="L2901" s="91">
        <v>50</v>
      </c>
      <c r="M2901" s="19">
        <v>2200</v>
      </c>
      <c r="N2901" s="19" t="s">
        <v>66</v>
      </c>
      <c r="O2901" s="19" t="s">
        <v>141</v>
      </c>
      <c r="P2901" s="91">
        <v>300</v>
      </c>
      <c r="Q2901" s="19">
        <v>317</v>
      </c>
      <c r="R2901" s="99">
        <f t="shared" si="147"/>
        <v>-17</v>
      </c>
      <c r="S2901" s="19">
        <v>1090</v>
      </c>
      <c r="T2901" s="19" t="s">
        <v>42</v>
      </c>
      <c r="U2901" s="102" t="s">
        <v>1061</v>
      </c>
      <c r="V2901" s="110" t="s">
        <v>1062</v>
      </c>
      <c r="W2901" s="17" t="s">
        <v>69</v>
      </c>
      <c r="Y2901" s="68">
        <v>45039</v>
      </c>
      <c r="Z2901" s="17" t="s">
        <v>191</v>
      </c>
      <c r="AA2901" s="17" t="s">
        <v>46</v>
      </c>
      <c r="AB2901" s="17" t="s">
        <v>1046</v>
      </c>
      <c r="AC2901" s="102" t="s">
        <v>988</v>
      </c>
      <c r="AD2901" s="65">
        <v>1411</v>
      </c>
      <c r="AE2901" s="17" t="s">
        <v>48</v>
      </c>
      <c r="AF2901" s="17" t="s">
        <v>560</v>
      </c>
      <c r="AI2901" s="17">
        <v>1100</v>
      </c>
    </row>
    <row r="2902" s="17" customFormat="1" hidden="1" spans="1:35">
      <c r="A2902" s="17" t="s">
        <v>34</v>
      </c>
      <c r="B2902" s="19">
        <v>894</v>
      </c>
      <c r="C2902" s="183" t="s">
        <v>1060</v>
      </c>
      <c r="D2902" s="17" t="s">
        <v>52</v>
      </c>
      <c r="E2902" s="17" t="s">
        <v>187</v>
      </c>
      <c r="F2902" s="17" t="s">
        <v>54</v>
      </c>
      <c r="H2902" s="19">
        <v>1.2311</v>
      </c>
      <c r="I2902" s="19"/>
      <c r="J2902" s="17" t="s">
        <v>82</v>
      </c>
      <c r="K2902" s="91">
        <v>380</v>
      </c>
      <c r="L2902" s="91">
        <v>50</v>
      </c>
      <c r="M2902" s="19">
        <v>2200</v>
      </c>
      <c r="N2902" s="19" t="s">
        <v>66</v>
      </c>
      <c r="O2902" s="19" t="s">
        <v>141</v>
      </c>
      <c r="P2902" s="91">
        <v>300</v>
      </c>
      <c r="Q2902" s="19">
        <v>345</v>
      </c>
      <c r="R2902" s="99">
        <f t="shared" si="147"/>
        <v>-45</v>
      </c>
      <c r="S2902" s="19">
        <v>1090</v>
      </c>
      <c r="T2902" s="19" t="s">
        <v>42</v>
      </c>
      <c r="U2902" s="102" t="s">
        <v>1061</v>
      </c>
      <c r="V2902" s="110" t="s">
        <v>1062</v>
      </c>
      <c r="W2902" s="17" t="s">
        <v>69</v>
      </c>
      <c r="Y2902" s="68">
        <v>45039</v>
      </c>
      <c r="Z2902" s="17" t="s">
        <v>191</v>
      </c>
      <c r="AA2902" s="17" t="s">
        <v>46</v>
      </c>
      <c r="AB2902" s="17" t="s">
        <v>1046</v>
      </c>
      <c r="AC2902" s="102" t="s">
        <v>988</v>
      </c>
      <c r="AD2902" s="65">
        <v>1411</v>
      </c>
      <c r="AE2902" s="17" t="s">
        <v>48</v>
      </c>
      <c r="AF2902" s="17" t="s">
        <v>560</v>
      </c>
      <c r="AI2902" s="17">
        <v>1100</v>
      </c>
    </row>
    <row r="2903" s="17" customFormat="1" hidden="1" spans="1:35">
      <c r="A2903" s="17" t="s">
        <v>34</v>
      </c>
      <c r="B2903" s="19">
        <v>894</v>
      </c>
      <c r="C2903" s="183" t="s">
        <v>1060</v>
      </c>
      <c r="D2903" s="17" t="s">
        <v>52</v>
      </c>
      <c r="E2903" s="17" t="s">
        <v>187</v>
      </c>
      <c r="F2903" s="17" t="s">
        <v>54</v>
      </c>
      <c r="H2903" s="19">
        <v>1.2311</v>
      </c>
      <c r="I2903" s="19"/>
      <c r="J2903" s="17" t="s">
        <v>82</v>
      </c>
      <c r="K2903" s="91">
        <v>400</v>
      </c>
      <c r="L2903" s="91">
        <v>50</v>
      </c>
      <c r="M2903" s="19">
        <v>2200</v>
      </c>
      <c r="N2903" s="19" t="s">
        <v>66</v>
      </c>
      <c r="O2903" s="19" t="s">
        <v>141</v>
      </c>
      <c r="P2903" s="91">
        <v>1000</v>
      </c>
      <c r="Q2903" s="19">
        <v>1091</v>
      </c>
      <c r="R2903" s="99">
        <f t="shared" si="147"/>
        <v>-91</v>
      </c>
      <c r="S2903" s="19">
        <v>1090</v>
      </c>
      <c r="T2903" s="19" t="s">
        <v>42</v>
      </c>
      <c r="U2903" s="102" t="s">
        <v>1061</v>
      </c>
      <c r="V2903" s="110" t="s">
        <v>1062</v>
      </c>
      <c r="W2903" s="17" t="s">
        <v>69</v>
      </c>
      <c r="Y2903" s="68">
        <v>45039</v>
      </c>
      <c r="Z2903" s="17" t="s">
        <v>191</v>
      </c>
      <c r="AA2903" s="17" t="s">
        <v>46</v>
      </c>
      <c r="AB2903" s="17" t="s">
        <v>1046</v>
      </c>
      <c r="AC2903" s="102" t="s">
        <v>988</v>
      </c>
      <c r="AD2903" s="65">
        <v>1411</v>
      </c>
      <c r="AE2903" s="17" t="s">
        <v>48</v>
      </c>
      <c r="AF2903" s="17" t="s">
        <v>560</v>
      </c>
      <c r="AI2903" s="17">
        <v>1100</v>
      </c>
    </row>
    <row r="2904" s="17" customFormat="1" hidden="1" spans="1:35">
      <c r="A2904" s="17" t="s">
        <v>34</v>
      </c>
      <c r="B2904" s="19">
        <v>894</v>
      </c>
      <c r="C2904" s="183" t="s">
        <v>1060</v>
      </c>
      <c r="D2904" s="17" t="s">
        <v>52</v>
      </c>
      <c r="E2904" s="17" t="s">
        <v>187</v>
      </c>
      <c r="F2904" s="17" t="s">
        <v>54</v>
      </c>
      <c r="H2904" s="19">
        <v>1.2311</v>
      </c>
      <c r="I2904" s="19"/>
      <c r="J2904" s="17" t="s">
        <v>82</v>
      </c>
      <c r="K2904" s="91">
        <v>205</v>
      </c>
      <c r="L2904" s="91">
        <v>56</v>
      </c>
      <c r="M2904" s="19">
        <v>2200</v>
      </c>
      <c r="N2904" s="19" t="s">
        <v>66</v>
      </c>
      <c r="O2904" s="19" t="s">
        <v>141</v>
      </c>
      <c r="P2904" s="91">
        <v>200</v>
      </c>
      <c r="Q2904" s="19">
        <v>206</v>
      </c>
      <c r="R2904" s="99">
        <f t="shared" si="147"/>
        <v>-6</v>
      </c>
      <c r="S2904" s="19">
        <v>1090</v>
      </c>
      <c r="T2904" s="19" t="s">
        <v>42</v>
      </c>
      <c r="U2904" s="102" t="s">
        <v>1061</v>
      </c>
      <c r="V2904" s="110" t="s">
        <v>1062</v>
      </c>
      <c r="W2904" s="17" t="s">
        <v>69</v>
      </c>
      <c r="Y2904" s="68">
        <v>45039</v>
      </c>
      <c r="Z2904" s="17" t="s">
        <v>191</v>
      </c>
      <c r="AA2904" s="17" t="s">
        <v>46</v>
      </c>
      <c r="AB2904" s="17" t="s">
        <v>1046</v>
      </c>
      <c r="AC2904" s="102" t="s">
        <v>988</v>
      </c>
      <c r="AD2904" s="65">
        <v>1411</v>
      </c>
      <c r="AE2904" s="17" t="s">
        <v>48</v>
      </c>
      <c r="AF2904" s="17" t="s">
        <v>560</v>
      </c>
      <c r="AI2904" s="17">
        <v>1100</v>
      </c>
    </row>
    <row r="2905" s="17" customFormat="1" hidden="1" spans="1:35">
      <c r="A2905" s="17" t="s">
        <v>34</v>
      </c>
      <c r="B2905" s="19">
        <v>894</v>
      </c>
      <c r="C2905" s="183" t="s">
        <v>1060</v>
      </c>
      <c r="D2905" s="17" t="s">
        <v>52</v>
      </c>
      <c r="E2905" s="17" t="s">
        <v>187</v>
      </c>
      <c r="F2905" s="17" t="s">
        <v>54</v>
      </c>
      <c r="H2905" s="19">
        <v>1.2311</v>
      </c>
      <c r="I2905" s="19"/>
      <c r="J2905" s="17" t="s">
        <v>82</v>
      </c>
      <c r="K2905" s="91">
        <v>255</v>
      </c>
      <c r="L2905" s="91">
        <v>56</v>
      </c>
      <c r="M2905" s="19">
        <v>2200</v>
      </c>
      <c r="N2905" s="19" t="s">
        <v>66</v>
      </c>
      <c r="O2905" s="19" t="s">
        <v>141</v>
      </c>
      <c r="P2905" s="91">
        <v>200</v>
      </c>
      <c r="Q2905" s="19">
        <v>255</v>
      </c>
      <c r="R2905" s="99">
        <f t="shared" si="147"/>
        <v>-55</v>
      </c>
      <c r="S2905" s="19">
        <v>1090</v>
      </c>
      <c r="T2905" s="19" t="s">
        <v>42</v>
      </c>
      <c r="U2905" s="102" t="s">
        <v>1061</v>
      </c>
      <c r="V2905" s="110" t="s">
        <v>1062</v>
      </c>
      <c r="W2905" s="17" t="s">
        <v>69</v>
      </c>
      <c r="Y2905" s="68">
        <v>45039</v>
      </c>
      <c r="Z2905" s="17" t="s">
        <v>191</v>
      </c>
      <c r="AA2905" s="17" t="s">
        <v>46</v>
      </c>
      <c r="AB2905" s="17" t="s">
        <v>1046</v>
      </c>
      <c r="AC2905" s="102" t="s">
        <v>988</v>
      </c>
      <c r="AD2905" s="65">
        <v>1411</v>
      </c>
      <c r="AE2905" s="17" t="s">
        <v>48</v>
      </c>
      <c r="AF2905" s="17" t="s">
        <v>560</v>
      </c>
      <c r="AI2905" s="17">
        <v>1100</v>
      </c>
    </row>
    <row r="2906" s="17" customFormat="1" hidden="1" spans="1:35">
      <c r="A2906" s="17" t="s">
        <v>34</v>
      </c>
      <c r="B2906" s="19">
        <v>894</v>
      </c>
      <c r="C2906" s="183" t="s">
        <v>1060</v>
      </c>
      <c r="D2906" s="17" t="s">
        <v>52</v>
      </c>
      <c r="E2906" s="17" t="s">
        <v>187</v>
      </c>
      <c r="F2906" s="17" t="s">
        <v>54</v>
      </c>
      <c r="H2906" s="19">
        <v>1.2311</v>
      </c>
      <c r="I2906" s="19"/>
      <c r="J2906" s="17" t="s">
        <v>82</v>
      </c>
      <c r="K2906" s="91">
        <v>305</v>
      </c>
      <c r="L2906" s="91">
        <v>56</v>
      </c>
      <c r="M2906" s="19">
        <v>2200</v>
      </c>
      <c r="N2906" s="19" t="s">
        <v>66</v>
      </c>
      <c r="O2906" s="19" t="s">
        <v>141</v>
      </c>
      <c r="P2906" s="91">
        <v>200</v>
      </c>
      <c r="Q2906" s="19">
        <v>307</v>
      </c>
      <c r="R2906" s="99">
        <f t="shared" si="147"/>
        <v>-107</v>
      </c>
      <c r="S2906" s="19">
        <v>1090</v>
      </c>
      <c r="T2906" s="19" t="s">
        <v>42</v>
      </c>
      <c r="U2906" s="102" t="s">
        <v>1061</v>
      </c>
      <c r="V2906" s="110" t="s">
        <v>1062</v>
      </c>
      <c r="W2906" s="17" t="s">
        <v>69</v>
      </c>
      <c r="Y2906" s="68">
        <v>45039</v>
      </c>
      <c r="Z2906" s="17" t="s">
        <v>191</v>
      </c>
      <c r="AA2906" s="17" t="s">
        <v>46</v>
      </c>
      <c r="AB2906" s="17" t="s">
        <v>1046</v>
      </c>
      <c r="AC2906" s="102" t="s">
        <v>988</v>
      </c>
      <c r="AD2906" s="65">
        <v>1411</v>
      </c>
      <c r="AE2906" s="17" t="s">
        <v>48</v>
      </c>
      <c r="AF2906" s="17" t="s">
        <v>560</v>
      </c>
      <c r="AI2906" s="17">
        <v>1100</v>
      </c>
    </row>
    <row r="2907" s="17" customFormat="1" hidden="1" spans="1:35">
      <c r="A2907" s="17" t="s">
        <v>34</v>
      </c>
      <c r="B2907" s="19">
        <v>894</v>
      </c>
      <c r="C2907" s="183" t="s">
        <v>1060</v>
      </c>
      <c r="D2907" s="17" t="s">
        <v>52</v>
      </c>
      <c r="E2907" s="17" t="s">
        <v>187</v>
      </c>
      <c r="F2907" s="17" t="s">
        <v>54</v>
      </c>
      <c r="H2907" s="19">
        <v>1.2311</v>
      </c>
      <c r="I2907" s="19"/>
      <c r="J2907" s="17" t="s">
        <v>82</v>
      </c>
      <c r="K2907" s="91">
        <v>355</v>
      </c>
      <c r="L2907" s="91">
        <v>56</v>
      </c>
      <c r="M2907" s="19">
        <v>2200</v>
      </c>
      <c r="N2907" s="19" t="s">
        <v>66</v>
      </c>
      <c r="O2907" s="19" t="s">
        <v>141</v>
      </c>
      <c r="P2907" s="91">
        <v>300</v>
      </c>
      <c r="Q2907" s="19">
        <v>352</v>
      </c>
      <c r="R2907" s="99">
        <f t="shared" si="147"/>
        <v>-52</v>
      </c>
      <c r="S2907" s="19">
        <v>1090</v>
      </c>
      <c r="T2907" s="19" t="s">
        <v>42</v>
      </c>
      <c r="U2907" s="102" t="s">
        <v>1061</v>
      </c>
      <c r="V2907" s="110" t="s">
        <v>1062</v>
      </c>
      <c r="W2907" s="17" t="s">
        <v>69</v>
      </c>
      <c r="Y2907" s="68">
        <v>45039</v>
      </c>
      <c r="Z2907" s="17" t="s">
        <v>191</v>
      </c>
      <c r="AA2907" s="17" t="s">
        <v>46</v>
      </c>
      <c r="AB2907" s="17" t="s">
        <v>1046</v>
      </c>
      <c r="AC2907" s="102" t="s">
        <v>988</v>
      </c>
      <c r="AD2907" s="65">
        <v>1411</v>
      </c>
      <c r="AE2907" s="17" t="s">
        <v>48</v>
      </c>
      <c r="AF2907" s="17" t="s">
        <v>560</v>
      </c>
      <c r="AI2907" s="17">
        <v>1100</v>
      </c>
    </row>
    <row r="2908" s="17" customFormat="1" hidden="1" spans="1:35">
      <c r="A2908" s="17" t="s">
        <v>34</v>
      </c>
      <c r="B2908" s="19">
        <v>894</v>
      </c>
      <c r="C2908" s="183" t="s">
        <v>1060</v>
      </c>
      <c r="D2908" s="17" t="s">
        <v>52</v>
      </c>
      <c r="E2908" s="17" t="s">
        <v>187</v>
      </c>
      <c r="F2908" s="17" t="s">
        <v>54</v>
      </c>
      <c r="H2908" s="19">
        <v>1.2311</v>
      </c>
      <c r="I2908" s="19"/>
      <c r="J2908" s="17" t="s">
        <v>82</v>
      </c>
      <c r="K2908" s="91">
        <v>400</v>
      </c>
      <c r="L2908" s="91">
        <v>56</v>
      </c>
      <c r="M2908" s="19">
        <v>2200</v>
      </c>
      <c r="N2908" s="19" t="s">
        <v>66</v>
      </c>
      <c r="O2908" s="19" t="s">
        <v>141</v>
      </c>
      <c r="P2908" s="91">
        <v>1000</v>
      </c>
      <c r="Q2908" s="19">
        <v>1200</v>
      </c>
      <c r="R2908" s="99">
        <f t="shared" si="147"/>
        <v>-200</v>
      </c>
      <c r="S2908" s="19">
        <v>1090</v>
      </c>
      <c r="T2908" s="19" t="s">
        <v>42</v>
      </c>
      <c r="U2908" s="102" t="s">
        <v>1061</v>
      </c>
      <c r="V2908" s="110" t="s">
        <v>1062</v>
      </c>
      <c r="W2908" s="17" t="s">
        <v>69</v>
      </c>
      <c r="Y2908" s="68">
        <v>45039</v>
      </c>
      <c r="Z2908" s="17" t="s">
        <v>191</v>
      </c>
      <c r="AA2908" s="17" t="s">
        <v>46</v>
      </c>
      <c r="AB2908" s="17" t="s">
        <v>1046</v>
      </c>
      <c r="AC2908" s="102" t="s">
        <v>988</v>
      </c>
      <c r="AD2908" s="65">
        <v>1411</v>
      </c>
      <c r="AE2908" s="17" t="s">
        <v>48</v>
      </c>
      <c r="AF2908" s="17" t="s">
        <v>560</v>
      </c>
      <c r="AI2908" s="17">
        <v>1100</v>
      </c>
    </row>
    <row r="2909" s="17" customFormat="1" hidden="1" spans="1:35">
      <c r="A2909" s="17" t="s">
        <v>34</v>
      </c>
      <c r="B2909" s="19">
        <v>894</v>
      </c>
      <c r="C2909" s="183" t="s">
        <v>1060</v>
      </c>
      <c r="D2909" s="17" t="s">
        <v>52</v>
      </c>
      <c r="E2909" s="17" t="s">
        <v>187</v>
      </c>
      <c r="F2909" s="17" t="s">
        <v>54</v>
      </c>
      <c r="H2909" s="19">
        <v>1.2311</v>
      </c>
      <c r="I2909" s="19"/>
      <c r="J2909" s="17" t="s">
        <v>82</v>
      </c>
      <c r="K2909" s="91">
        <v>610</v>
      </c>
      <c r="L2909" s="91">
        <v>56</v>
      </c>
      <c r="M2909" s="19">
        <v>2200</v>
      </c>
      <c r="N2909" s="19" t="s">
        <v>66</v>
      </c>
      <c r="O2909" s="19" t="s">
        <v>141</v>
      </c>
      <c r="P2909" s="91">
        <v>1000</v>
      </c>
      <c r="Q2909" s="19">
        <v>1212</v>
      </c>
      <c r="R2909" s="99">
        <f t="shared" si="147"/>
        <v>-212</v>
      </c>
      <c r="S2909" s="19">
        <v>1090</v>
      </c>
      <c r="T2909" s="19" t="s">
        <v>42</v>
      </c>
      <c r="U2909" s="102" t="s">
        <v>1061</v>
      </c>
      <c r="V2909" s="110" t="s">
        <v>1062</v>
      </c>
      <c r="W2909" s="17" t="s">
        <v>69</v>
      </c>
      <c r="Y2909" s="68">
        <v>45039</v>
      </c>
      <c r="Z2909" s="17" t="s">
        <v>191</v>
      </c>
      <c r="AA2909" s="17" t="s">
        <v>46</v>
      </c>
      <c r="AB2909" s="17" t="s">
        <v>1046</v>
      </c>
      <c r="AC2909" s="102" t="s">
        <v>988</v>
      </c>
      <c r="AD2909" s="65">
        <v>1411</v>
      </c>
      <c r="AE2909" s="17" t="s">
        <v>48</v>
      </c>
      <c r="AF2909" s="17" t="s">
        <v>560</v>
      </c>
      <c r="AI2909" s="17">
        <v>1100</v>
      </c>
    </row>
    <row r="2910" s="17" customFormat="1" hidden="1" spans="1:35">
      <c r="A2910" s="17" t="s">
        <v>34</v>
      </c>
      <c r="B2910" s="19">
        <v>894</v>
      </c>
      <c r="C2910" s="183" t="s">
        <v>1060</v>
      </c>
      <c r="D2910" s="17" t="s">
        <v>52</v>
      </c>
      <c r="E2910" s="17" t="s">
        <v>187</v>
      </c>
      <c r="F2910" s="17" t="s">
        <v>54</v>
      </c>
      <c r="H2910" s="19">
        <v>1.2311</v>
      </c>
      <c r="I2910" s="19"/>
      <c r="J2910" s="17" t="s">
        <v>82</v>
      </c>
      <c r="K2910" s="91">
        <v>205</v>
      </c>
      <c r="L2910" s="91">
        <v>65</v>
      </c>
      <c r="M2910" s="19">
        <v>2200</v>
      </c>
      <c r="N2910" s="19" t="s">
        <v>66</v>
      </c>
      <c r="O2910" s="19" t="s">
        <v>141</v>
      </c>
      <c r="P2910" s="91">
        <v>300</v>
      </c>
      <c r="Q2910" s="19">
        <v>242</v>
      </c>
      <c r="R2910" s="99">
        <f t="shared" si="147"/>
        <v>58</v>
      </c>
      <c r="S2910" s="19">
        <v>1090</v>
      </c>
      <c r="T2910" s="19" t="s">
        <v>42</v>
      </c>
      <c r="U2910" s="102" t="s">
        <v>1061</v>
      </c>
      <c r="V2910" s="110" t="s">
        <v>1062</v>
      </c>
      <c r="W2910" s="17" t="s">
        <v>69</v>
      </c>
      <c r="Y2910" s="68">
        <v>45039</v>
      </c>
      <c r="Z2910" s="17" t="s">
        <v>191</v>
      </c>
      <c r="AA2910" s="17" t="s">
        <v>46</v>
      </c>
      <c r="AB2910" s="17" t="s">
        <v>1046</v>
      </c>
      <c r="AC2910" s="102" t="s">
        <v>988</v>
      </c>
      <c r="AD2910" s="65">
        <v>1411</v>
      </c>
      <c r="AE2910" s="17" t="s">
        <v>48</v>
      </c>
      <c r="AF2910" s="17" t="s">
        <v>560</v>
      </c>
      <c r="AI2910" s="17">
        <v>1100</v>
      </c>
    </row>
    <row r="2911" s="17" customFormat="1" hidden="1" spans="1:35">
      <c r="A2911" s="17" t="s">
        <v>34</v>
      </c>
      <c r="B2911" s="19">
        <v>894</v>
      </c>
      <c r="C2911" s="183" t="s">
        <v>1060</v>
      </c>
      <c r="D2911" s="17" t="s">
        <v>52</v>
      </c>
      <c r="E2911" s="17" t="s">
        <v>187</v>
      </c>
      <c r="F2911" s="17" t="s">
        <v>54</v>
      </c>
      <c r="H2911" s="19">
        <v>1.2311</v>
      </c>
      <c r="I2911" s="19"/>
      <c r="J2911" s="17" t="s">
        <v>82</v>
      </c>
      <c r="K2911" s="91">
        <v>230</v>
      </c>
      <c r="L2911" s="91">
        <v>65</v>
      </c>
      <c r="M2911" s="19">
        <v>2200</v>
      </c>
      <c r="N2911" s="19" t="s">
        <v>66</v>
      </c>
      <c r="O2911" s="19" t="s">
        <v>141</v>
      </c>
      <c r="P2911" s="91">
        <v>200</v>
      </c>
      <c r="Q2911" s="19">
        <v>268</v>
      </c>
      <c r="R2911" s="99">
        <f t="shared" si="147"/>
        <v>-68</v>
      </c>
      <c r="S2911" s="19">
        <v>1090</v>
      </c>
      <c r="T2911" s="19" t="s">
        <v>42</v>
      </c>
      <c r="U2911" s="102" t="s">
        <v>1061</v>
      </c>
      <c r="V2911" s="110" t="s">
        <v>1062</v>
      </c>
      <c r="W2911" s="17" t="s">
        <v>69</v>
      </c>
      <c r="Y2911" s="68">
        <v>45039</v>
      </c>
      <c r="Z2911" s="17" t="s">
        <v>191</v>
      </c>
      <c r="AA2911" s="17" t="s">
        <v>46</v>
      </c>
      <c r="AB2911" s="17" t="s">
        <v>1046</v>
      </c>
      <c r="AC2911" s="102" t="s">
        <v>988</v>
      </c>
      <c r="AD2911" s="65">
        <v>1411</v>
      </c>
      <c r="AE2911" s="17" t="s">
        <v>48</v>
      </c>
      <c r="AF2911" s="17" t="s">
        <v>560</v>
      </c>
      <c r="AI2911" s="17">
        <v>1100</v>
      </c>
    </row>
    <row r="2912" s="17" customFormat="1" hidden="1" spans="1:35">
      <c r="A2912" s="17" t="s">
        <v>34</v>
      </c>
      <c r="B2912" s="19">
        <v>894</v>
      </c>
      <c r="C2912" s="183" t="s">
        <v>1060</v>
      </c>
      <c r="D2912" s="17" t="s">
        <v>52</v>
      </c>
      <c r="E2912" s="17" t="s">
        <v>187</v>
      </c>
      <c r="F2912" s="17" t="s">
        <v>54</v>
      </c>
      <c r="H2912" s="19">
        <v>1.2311</v>
      </c>
      <c r="I2912" s="19"/>
      <c r="J2912" s="17" t="s">
        <v>82</v>
      </c>
      <c r="K2912" s="91">
        <v>255</v>
      </c>
      <c r="L2912" s="91">
        <v>65</v>
      </c>
      <c r="M2912" s="19">
        <v>2200</v>
      </c>
      <c r="N2912" s="19" t="s">
        <v>66</v>
      </c>
      <c r="O2912" s="19" t="s">
        <v>141</v>
      </c>
      <c r="P2912" s="91">
        <v>300</v>
      </c>
      <c r="Q2912" s="19">
        <v>302</v>
      </c>
      <c r="R2912" s="99">
        <f t="shared" si="147"/>
        <v>-2</v>
      </c>
      <c r="S2912" s="19">
        <v>1090</v>
      </c>
      <c r="T2912" s="19" t="s">
        <v>42</v>
      </c>
      <c r="U2912" s="102" t="s">
        <v>1061</v>
      </c>
      <c r="V2912" s="110" t="s">
        <v>1062</v>
      </c>
      <c r="W2912" s="17" t="s">
        <v>69</v>
      </c>
      <c r="Y2912" s="68">
        <v>45039</v>
      </c>
      <c r="Z2912" s="17" t="s">
        <v>191</v>
      </c>
      <c r="AA2912" s="17" t="s">
        <v>46</v>
      </c>
      <c r="AB2912" s="17" t="s">
        <v>1046</v>
      </c>
      <c r="AC2912" s="102" t="s">
        <v>988</v>
      </c>
      <c r="AD2912" s="65">
        <v>1411</v>
      </c>
      <c r="AE2912" s="17" t="s">
        <v>48</v>
      </c>
      <c r="AF2912" s="17" t="s">
        <v>560</v>
      </c>
      <c r="AI2912" s="17">
        <v>1100</v>
      </c>
    </row>
    <row r="2913" s="17" customFormat="1" hidden="1" spans="1:35">
      <c r="A2913" s="17" t="s">
        <v>34</v>
      </c>
      <c r="B2913" s="19">
        <v>894</v>
      </c>
      <c r="C2913" s="183" t="s">
        <v>1060</v>
      </c>
      <c r="D2913" s="17" t="s">
        <v>52</v>
      </c>
      <c r="E2913" s="17" t="s">
        <v>187</v>
      </c>
      <c r="F2913" s="17" t="s">
        <v>54</v>
      </c>
      <c r="H2913" s="19">
        <v>1.2311</v>
      </c>
      <c r="I2913" s="19"/>
      <c r="J2913" s="17" t="s">
        <v>82</v>
      </c>
      <c r="K2913" s="91">
        <v>280</v>
      </c>
      <c r="L2913" s="91">
        <v>65</v>
      </c>
      <c r="M2913" s="19">
        <v>2200</v>
      </c>
      <c r="N2913" s="19" t="s">
        <v>66</v>
      </c>
      <c r="O2913" s="19" t="s">
        <v>141</v>
      </c>
      <c r="P2913" s="91">
        <v>200</v>
      </c>
      <c r="Q2913" s="19">
        <v>329</v>
      </c>
      <c r="R2913" s="99">
        <f t="shared" si="147"/>
        <v>-129</v>
      </c>
      <c r="S2913" s="19">
        <v>1090</v>
      </c>
      <c r="T2913" s="19" t="s">
        <v>42</v>
      </c>
      <c r="U2913" s="102" t="s">
        <v>1061</v>
      </c>
      <c r="V2913" s="110" t="s">
        <v>1062</v>
      </c>
      <c r="W2913" s="17" t="s">
        <v>69</v>
      </c>
      <c r="Y2913" s="68">
        <v>45039</v>
      </c>
      <c r="Z2913" s="17" t="s">
        <v>191</v>
      </c>
      <c r="AA2913" s="17" t="s">
        <v>46</v>
      </c>
      <c r="AB2913" s="17" t="s">
        <v>1046</v>
      </c>
      <c r="AC2913" s="102" t="s">
        <v>988</v>
      </c>
      <c r="AD2913" s="65">
        <v>1411</v>
      </c>
      <c r="AE2913" s="17" t="s">
        <v>48</v>
      </c>
      <c r="AF2913" s="17" t="s">
        <v>560</v>
      </c>
      <c r="AI2913" s="17">
        <v>1100</v>
      </c>
    </row>
    <row r="2914" s="17" customFormat="1" hidden="1" spans="1:35">
      <c r="A2914" s="17" t="s">
        <v>34</v>
      </c>
      <c r="B2914" s="19">
        <v>894</v>
      </c>
      <c r="C2914" s="183" t="s">
        <v>1060</v>
      </c>
      <c r="D2914" s="17" t="s">
        <v>52</v>
      </c>
      <c r="E2914" s="17" t="s">
        <v>187</v>
      </c>
      <c r="F2914" s="17" t="s">
        <v>54</v>
      </c>
      <c r="H2914" s="19">
        <v>1.2311</v>
      </c>
      <c r="I2914" s="19"/>
      <c r="J2914" s="17" t="s">
        <v>82</v>
      </c>
      <c r="K2914" s="91">
        <v>305</v>
      </c>
      <c r="L2914" s="91">
        <v>65</v>
      </c>
      <c r="M2914" s="19">
        <v>2200</v>
      </c>
      <c r="N2914" s="19" t="s">
        <v>66</v>
      </c>
      <c r="O2914" s="19" t="s">
        <v>141</v>
      </c>
      <c r="P2914" s="91">
        <v>300</v>
      </c>
      <c r="Q2914" s="19">
        <v>357</v>
      </c>
      <c r="R2914" s="99">
        <f t="shared" si="147"/>
        <v>-57</v>
      </c>
      <c r="S2914" s="19">
        <v>1090</v>
      </c>
      <c r="T2914" s="19" t="s">
        <v>42</v>
      </c>
      <c r="U2914" s="102" t="s">
        <v>1061</v>
      </c>
      <c r="V2914" s="110" t="s">
        <v>1062</v>
      </c>
      <c r="W2914" s="17" t="s">
        <v>69</v>
      </c>
      <c r="Y2914" s="68">
        <v>45039</v>
      </c>
      <c r="Z2914" s="17" t="s">
        <v>191</v>
      </c>
      <c r="AA2914" s="17" t="s">
        <v>46</v>
      </c>
      <c r="AB2914" s="17" t="s">
        <v>1046</v>
      </c>
      <c r="AC2914" s="102" t="s">
        <v>988</v>
      </c>
      <c r="AD2914" s="65">
        <v>1411</v>
      </c>
      <c r="AE2914" s="17" t="s">
        <v>48</v>
      </c>
      <c r="AF2914" s="17" t="s">
        <v>560</v>
      </c>
      <c r="AI2914" s="17">
        <v>1100</v>
      </c>
    </row>
    <row r="2915" s="17" customFormat="1" hidden="1" spans="1:35">
      <c r="A2915" s="17" t="s">
        <v>34</v>
      </c>
      <c r="B2915" s="19">
        <v>894</v>
      </c>
      <c r="C2915" s="183" t="s">
        <v>1060</v>
      </c>
      <c r="D2915" s="17" t="s">
        <v>52</v>
      </c>
      <c r="E2915" s="17" t="s">
        <v>187</v>
      </c>
      <c r="F2915" s="17" t="s">
        <v>54</v>
      </c>
      <c r="H2915" s="19">
        <v>1.2311</v>
      </c>
      <c r="I2915" s="19"/>
      <c r="J2915" s="17" t="s">
        <v>82</v>
      </c>
      <c r="K2915" s="91">
        <v>330</v>
      </c>
      <c r="L2915" s="91">
        <v>65</v>
      </c>
      <c r="M2915" s="19">
        <v>2200</v>
      </c>
      <c r="N2915" s="19" t="s">
        <v>66</v>
      </c>
      <c r="O2915" s="19" t="s">
        <v>141</v>
      </c>
      <c r="P2915" s="91">
        <v>300</v>
      </c>
      <c r="Q2915" s="19">
        <v>387</v>
      </c>
      <c r="R2915" s="99">
        <f t="shared" si="147"/>
        <v>-87</v>
      </c>
      <c r="S2915" s="19">
        <v>1090</v>
      </c>
      <c r="T2915" s="19" t="s">
        <v>42</v>
      </c>
      <c r="U2915" s="102" t="s">
        <v>1061</v>
      </c>
      <c r="V2915" s="110" t="s">
        <v>1062</v>
      </c>
      <c r="W2915" s="17" t="s">
        <v>69</v>
      </c>
      <c r="Y2915" s="68">
        <v>45039</v>
      </c>
      <c r="Z2915" s="17" t="s">
        <v>191</v>
      </c>
      <c r="AA2915" s="17" t="s">
        <v>46</v>
      </c>
      <c r="AB2915" s="17" t="s">
        <v>1046</v>
      </c>
      <c r="AC2915" s="102" t="s">
        <v>988</v>
      </c>
      <c r="AD2915" s="65">
        <v>1411</v>
      </c>
      <c r="AE2915" s="17" t="s">
        <v>48</v>
      </c>
      <c r="AF2915" s="17" t="s">
        <v>560</v>
      </c>
      <c r="AI2915" s="17">
        <v>1100</v>
      </c>
    </row>
    <row r="2916" s="17" customFormat="1" hidden="1" spans="1:35">
      <c r="A2916" s="17" t="s">
        <v>34</v>
      </c>
      <c r="B2916" s="19">
        <v>894</v>
      </c>
      <c r="C2916" s="183" t="s">
        <v>1060</v>
      </c>
      <c r="D2916" s="17" t="s">
        <v>52</v>
      </c>
      <c r="E2916" s="17" t="s">
        <v>187</v>
      </c>
      <c r="F2916" s="17" t="s">
        <v>54</v>
      </c>
      <c r="H2916" s="19">
        <v>1.2311</v>
      </c>
      <c r="I2916" s="19"/>
      <c r="J2916" s="17" t="s">
        <v>82</v>
      </c>
      <c r="K2916" s="91">
        <v>355</v>
      </c>
      <c r="L2916" s="91">
        <v>65</v>
      </c>
      <c r="M2916" s="19">
        <v>2200</v>
      </c>
      <c r="N2916" s="19" t="s">
        <v>66</v>
      </c>
      <c r="O2916" s="19" t="s">
        <v>141</v>
      </c>
      <c r="P2916" s="91">
        <v>300</v>
      </c>
      <c r="Q2916" s="19">
        <v>419</v>
      </c>
      <c r="R2916" s="99">
        <f t="shared" si="147"/>
        <v>-119</v>
      </c>
      <c r="S2916" s="19">
        <v>1090</v>
      </c>
      <c r="T2916" s="19" t="s">
        <v>42</v>
      </c>
      <c r="U2916" s="102" t="s">
        <v>1061</v>
      </c>
      <c r="V2916" s="110" t="s">
        <v>1062</v>
      </c>
      <c r="W2916" s="17" t="s">
        <v>69</v>
      </c>
      <c r="Y2916" s="68">
        <v>45039</v>
      </c>
      <c r="Z2916" s="17" t="s">
        <v>191</v>
      </c>
      <c r="AA2916" s="17" t="s">
        <v>46</v>
      </c>
      <c r="AB2916" s="17" t="s">
        <v>1046</v>
      </c>
      <c r="AC2916" s="102" t="s">
        <v>988</v>
      </c>
      <c r="AD2916" s="65">
        <v>1411</v>
      </c>
      <c r="AE2916" s="17" t="s">
        <v>48</v>
      </c>
      <c r="AF2916" s="17" t="s">
        <v>560</v>
      </c>
      <c r="AI2916" s="17">
        <v>1100</v>
      </c>
    </row>
    <row r="2917" s="17" customFormat="1" hidden="1" spans="1:35">
      <c r="A2917" s="17" t="s">
        <v>34</v>
      </c>
      <c r="B2917" s="19">
        <v>894</v>
      </c>
      <c r="C2917" s="183" t="s">
        <v>1060</v>
      </c>
      <c r="D2917" s="17" t="s">
        <v>52</v>
      </c>
      <c r="E2917" s="17" t="s">
        <v>187</v>
      </c>
      <c r="F2917" s="17" t="s">
        <v>54</v>
      </c>
      <c r="H2917" s="19">
        <v>1.2311</v>
      </c>
      <c r="I2917" s="19"/>
      <c r="J2917" s="17" t="s">
        <v>82</v>
      </c>
      <c r="K2917" s="91">
        <v>380</v>
      </c>
      <c r="L2917" s="91">
        <v>65</v>
      </c>
      <c r="M2917" s="19">
        <v>2200</v>
      </c>
      <c r="N2917" s="19" t="s">
        <v>66</v>
      </c>
      <c r="O2917" s="19" t="s">
        <v>141</v>
      </c>
      <c r="P2917" s="91">
        <v>300</v>
      </c>
      <c r="Q2917" s="19">
        <v>454</v>
      </c>
      <c r="R2917" s="99">
        <f t="shared" si="147"/>
        <v>-154</v>
      </c>
      <c r="S2917" s="19">
        <v>1090</v>
      </c>
      <c r="T2917" s="19" t="s">
        <v>42</v>
      </c>
      <c r="U2917" s="102" t="s">
        <v>1061</v>
      </c>
      <c r="V2917" s="110" t="s">
        <v>1062</v>
      </c>
      <c r="W2917" s="17" t="s">
        <v>69</v>
      </c>
      <c r="Y2917" s="68">
        <v>45039</v>
      </c>
      <c r="Z2917" s="17" t="s">
        <v>191</v>
      </c>
      <c r="AA2917" s="17" t="s">
        <v>46</v>
      </c>
      <c r="AB2917" s="17" t="s">
        <v>1046</v>
      </c>
      <c r="AC2917" s="102" t="s">
        <v>988</v>
      </c>
      <c r="AD2917" s="65">
        <v>1411</v>
      </c>
      <c r="AE2917" s="17" t="s">
        <v>48</v>
      </c>
      <c r="AF2917" s="17" t="s">
        <v>560</v>
      </c>
      <c r="AI2917" s="17">
        <v>1100</v>
      </c>
    </row>
    <row r="2918" s="17" customFormat="1" hidden="1" spans="1:35">
      <c r="A2918" s="17" t="s">
        <v>34</v>
      </c>
      <c r="B2918" s="19">
        <v>894</v>
      </c>
      <c r="C2918" s="183" t="s">
        <v>1060</v>
      </c>
      <c r="D2918" s="17" t="s">
        <v>52</v>
      </c>
      <c r="E2918" s="17" t="s">
        <v>187</v>
      </c>
      <c r="F2918" s="17" t="s">
        <v>54</v>
      </c>
      <c r="H2918" s="19">
        <v>1.2311</v>
      </c>
      <c r="I2918" s="19"/>
      <c r="J2918" s="17" t="s">
        <v>82</v>
      </c>
      <c r="K2918" s="91">
        <v>400</v>
      </c>
      <c r="L2918" s="91">
        <v>65</v>
      </c>
      <c r="M2918" s="19">
        <v>2200</v>
      </c>
      <c r="N2918" s="19" t="s">
        <v>66</v>
      </c>
      <c r="O2918" s="19" t="s">
        <v>141</v>
      </c>
      <c r="P2918" s="91">
        <v>1000</v>
      </c>
      <c r="Q2918" s="19">
        <v>940</v>
      </c>
      <c r="R2918" s="99">
        <f t="shared" si="147"/>
        <v>60</v>
      </c>
      <c r="S2918" s="19">
        <v>1090</v>
      </c>
      <c r="T2918" s="19" t="s">
        <v>42</v>
      </c>
      <c r="U2918" s="102" t="s">
        <v>1061</v>
      </c>
      <c r="V2918" s="110" t="s">
        <v>1062</v>
      </c>
      <c r="W2918" s="17" t="s">
        <v>69</v>
      </c>
      <c r="Y2918" s="68">
        <v>45039</v>
      </c>
      <c r="Z2918" s="17" t="s">
        <v>191</v>
      </c>
      <c r="AA2918" s="17" t="s">
        <v>46</v>
      </c>
      <c r="AB2918" s="17" t="s">
        <v>1046</v>
      </c>
      <c r="AC2918" s="102" t="s">
        <v>988</v>
      </c>
      <c r="AD2918" s="65">
        <v>1411</v>
      </c>
      <c r="AE2918" s="17" t="s">
        <v>48</v>
      </c>
      <c r="AF2918" s="17" t="s">
        <v>560</v>
      </c>
      <c r="AI2918" s="17">
        <v>1100</v>
      </c>
    </row>
    <row r="2919" s="17" customFormat="1" hidden="1" spans="1:35">
      <c r="A2919" s="17" t="s">
        <v>34</v>
      </c>
      <c r="B2919" s="19">
        <v>894</v>
      </c>
      <c r="C2919" s="183" t="s">
        <v>1060</v>
      </c>
      <c r="D2919" s="17" t="s">
        <v>52</v>
      </c>
      <c r="E2919" s="17" t="s">
        <v>187</v>
      </c>
      <c r="F2919" s="17" t="s">
        <v>54</v>
      </c>
      <c r="H2919" s="19">
        <v>1.2311</v>
      </c>
      <c r="I2919" s="19"/>
      <c r="J2919" s="17" t="s">
        <v>82</v>
      </c>
      <c r="K2919" s="91">
        <v>400</v>
      </c>
      <c r="L2919" s="91">
        <v>70</v>
      </c>
      <c r="M2919" s="19">
        <v>2200</v>
      </c>
      <c r="N2919" s="19" t="s">
        <v>66</v>
      </c>
      <c r="O2919" s="19" t="s">
        <v>141</v>
      </c>
      <c r="P2919" s="91">
        <v>1000</v>
      </c>
      <c r="Q2919" s="19">
        <v>996</v>
      </c>
      <c r="R2919" s="99">
        <f t="shared" si="147"/>
        <v>4</v>
      </c>
      <c r="S2919" s="19">
        <v>1090</v>
      </c>
      <c r="T2919" s="19" t="s">
        <v>42</v>
      </c>
      <c r="U2919" s="102" t="s">
        <v>1061</v>
      </c>
      <c r="V2919" s="110" t="s">
        <v>1062</v>
      </c>
      <c r="W2919" s="17" t="s">
        <v>69</v>
      </c>
      <c r="Y2919" s="68">
        <v>45039</v>
      </c>
      <c r="Z2919" s="17" t="s">
        <v>191</v>
      </c>
      <c r="AA2919" s="17" t="s">
        <v>46</v>
      </c>
      <c r="AB2919" s="17" t="s">
        <v>1046</v>
      </c>
      <c r="AC2919" s="102" t="s">
        <v>988</v>
      </c>
      <c r="AD2919" s="65">
        <v>1411</v>
      </c>
      <c r="AE2919" s="17" t="s">
        <v>48</v>
      </c>
      <c r="AF2919" s="17" t="s">
        <v>560</v>
      </c>
      <c r="AI2919" s="17">
        <v>1100</v>
      </c>
    </row>
    <row r="2920" s="17" customFormat="1" hidden="1" spans="1:35">
      <c r="A2920" s="17" t="s">
        <v>34</v>
      </c>
      <c r="B2920" s="19">
        <v>894</v>
      </c>
      <c r="C2920" s="183" t="s">
        <v>1060</v>
      </c>
      <c r="D2920" s="17" t="s">
        <v>52</v>
      </c>
      <c r="E2920" s="17" t="s">
        <v>187</v>
      </c>
      <c r="F2920" s="17" t="s">
        <v>54</v>
      </c>
      <c r="H2920" s="19">
        <v>1.2311</v>
      </c>
      <c r="I2920" s="19"/>
      <c r="J2920" s="17" t="s">
        <v>82</v>
      </c>
      <c r="K2920" s="91">
        <v>400</v>
      </c>
      <c r="L2920" s="91">
        <v>75</v>
      </c>
      <c r="M2920" s="19">
        <v>2200</v>
      </c>
      <c r="N2920" s="19" t="s">
        <v>66</v>
      </c>
      <c r="O2920" s="19" t="s">
        <v>141</v>
      </c>
      <c r="P2920" s="91">
        <v>1000</v>
      </c>
      <c r="Q2920" s="19">
        <v>1080</v>
      </c>
      <c r="R2920" s="99">
        <f t="shared" si="147"/>
        <v>-80</v>
      </c>
      <c r="S2920" s="19">
        <v>1090</v>
      </c>
      <c r="T2920" s="19" t="s">
        <v>42</v>
      </c>
      <c r="U2920" s="102" t="s">
        <v>1061</v>
      </c>
      <c r="V2920" s="110" t="s">
        <v>1062</v>
      </c>
      <c r="W2920" s="17" t="s">
        <v>69</v>
      </c>
      <c r="Y2920" s="68">
        <v>45039</v>
      </c>
      <c r="Z2920" s="17" t="s">
        <v>191</v>
      </c>
      <c r="AA2920" s="17" t="s">
        <v>46</v>
      </c>
      <c r="AB2920" s="17" t="s">
        <v>1046</v>
      </c>
      <c r="AC2920" s="102" t="s">
        <v>988</v>
      </c>
      <c r="AD2920" s="65">
        <v>1411</v>
      </c>
      <c r="AE2920" s="17" t="s">
        <v>48</v>
      </c>
      <c r="AF2920" s="17" t="s">
        <v>560</v>
      </c>
      <c r="AI2920" s="17">
        <v>1100</v>
      </c>
    </row>
    <row r="2921" s="17" customFormat="1" hidden="1" spans="1:35">
      <c r="A2921" s="17" t="s">
        <v>34</v>
      </c>
      <c r="B2921" s="19">
        <v>894</v>
      </c>
      <c r="C2921" s="183" t="s">
        <v>1060</v>
      </c>
      <c r="D2921" s="17" t="s">
        <v>52</v>
      </c>
      <c r="E2921" s="17" t="s">
        <v>187</v>
      </c>
      <c r="F2921" s="17" t="s">
        <v>54</v>
      </c>
      <c r="H2921" s="19">
        <v>1.2311</v>
      </c>
      <c r="I2921" s="19"/>
      <c r="J2921" s="17" t="s">
        <v>82</v>
      </c>
      <c r="K2921" s="91">
        <v>205</v>
      </c>
      <c r="L2921" s="91">
        <v>80</v>
      </c>
      <c r="M2921" s="19">
        <v>2200</v>
      </c>
      <c r="N2921" s="19" t="s">
        <v>66</v>
      </c>
      <c r="O2921" s="19" t="s">
        <v>141</v>
      </c>
      <c r="P2921" s="91">
        <v>300</v>
      </c>
      <c r="Q2921" s="19">
        <v>300</v>
      </c>
      <c r="R2921" s="99">
        <f t="shared" si="147"/>
        <v>0</v>
      </c>
      <c r="S2921" s="19">
        <v>1090</v>
      </c>
      <c r="T2921" s="19" t="s">
        <v>42</v>
      </c>
      <c r="U2921" s="102" t="s">
        <v>1061</v>
      </c>
      <c r="V2921" s="110" t="s">
        <v>1062</v>
      </c>
      <c r="W2921" s="17" t="s">
        <v>69</v>
      </c>
      <c r="Y2921" s="68">
        <v>45039</v>
      </c>
      <c r="Z2921" s="17" t="s">
        <v>191</v>
      </c>
      <c r="AA2921" s="17" t="s">
        <v>46</v>
      </c>
      <c r="AB2921" s="17" t="s">
        <v>1046</v>
      </c>
      <c r="AC2921" s="102" t="s">
        <v>988</v>
      </c>
      <c r="AD2921" s="65">
        <v>1411</v>
      </c>
      <c r="AE2921" s="17" t="s">
        <v>48</v>
      </c>
      <c r="AF2921" s="17" t="s">
        <v>560</v>
      </c>
      <c r="AI2921" s="17">
        <v>1100</v>
      </c>
    </row>
    <row r="2922" s="17" customFormat="1" hidden="1" spans="1:35">
      <c r="A2922" s="17" t="s">
        <v>34</v>
      </c>
      <c r="B2922" s="19">
        <v>894</v>
      </c>
      <c r="C2922" s="183" t="s">
        <v>1060</v>
      </c>
      <c r="D2922" s="17" t="s">
        <v>52</v>
      </c>
      <c r="E2922" s="17" t="s">
        <v>187</v>
      </c>
      <c r="F2922" s="17" t="s">
        <v>54</v>
      </c>
      <c r="H2922" s="19">
        <v>1.2311</v>
      </c>
      <c r="I2922" s="19"/>
      <c r="J2922" s="17" t="s">
        <v>82</v>
      </c>
      <c r="K2922" s="91">
        <v>255</v>
      </c>
      <c r="L2922" s="91">
        <v>80</v>
      </c>
      <c r="M2922" s="19">
        <v>2200</v>
      </c>
      <c r="N2922" s="19" t="s">
        <v>66</v>
      </c>
      <c r="O2922" s="19" t="s">
        <v>141</v>
      </c>
      <c r="P2922" s="91">
        <v>300</v>
      </c>
      <c r="Q2922" s="19">
        <v>372</v>
      </c>
      <c r="R2922" s="99">
        <f t="shared" ref="R2922:R2929" si="148">+P2922-Q2922</f>
        <v>-72</v>
      </c>
      <c r="S2922" s="19">
        <v>1090</v>
      </c>
      <c r="T2922" s="19" t="s">
        <v>42</v>
      </c>
      <c r="U2922" s="102" t="s">
        <v>1061</v>
      </c>
      <c r="V2922" s="110" t="s">
        <v>1062</v>
      </c>
      <c r="W2922" s="17" t="s">
        <v>69</v>
      </c>
      <c r="Y2922" s="68">
        <v>45039</v>
      </c>
      <c r="Z2922" s="17" t="s">
        <v>191</v>
      </c>
      <c r="AA2922" s="17" t="s">
        <v>46</v>
      </c>
      <c r="AB2922" s="17" t="s">
        <v>1046</v>
      </c>
      <c r="AC2922" s="102" t="s">
        <v>988</v>
      </c>
      <c r="AD2922" s="65">
        <v>1411</v>
      </c>
      <c r="AE2922" s="17" t="s">
        <v>48</v>
      </c>
      <c r="AF2922" s="17" t="s">
        <v>560</v>
      </c>
      <c r="AI2922" s="17">
        <v>1100</v>
      </c>
    </row>
    <row r="2923" s="17" customFormat="1" hidden="1" spans="1:35">
      <c r="A2923" s="17" t="s">
        <v>34</v>
      </c>
      <c r="B2923" s="19">
        <v>894</v>
      </c>
      <c r="C2923" s="183" t="s">
        <v>1060</v>
      </c>
      <c r="D2923" s="17" t="s">
        <v>52</v>
      </c>
      <c r="E2923" s="17" t="s">
        <v>187</v>
      </c>
      <c r="F2923" s="17" t="s">
        <v>54</v>
      </c>
      <c r="H2923" s="19">
        <v>1.2311</v>
      </c>
      <c r="I2923" s="19"/>
      <c r="J2923" s="17" t="s">
        <v>82</v>
      </c>
      <c r="K2923" s="91">
        <v>305</v>
      </c>
      <c r="L2923" s="91">
        <v>80</v>
      </c>
      <c r="M2923" s="19">
        <v>2200</v>
      </c>
      <c r="N2923" s="19" t="s">
        <v>66</v>
      </c>
      <c r="O2923" s="19" t="s">
        <v>141</v>
      </c>
      <c r="P2923" s="91">
        <v>300</v>
      </c>
      <c r="Q2923" s="19">
        <v>435</v>
      </c>
      <c r="R2923" s="99">
        <f t="shared" si="148"/>
        <v>-135</v>
      </c>
      <c r="S2923" s="19">
        <v>1090</v>
      </c>
      <c r="T2923" s="19" t="s">
        <v>42</v>
      </c>
      <c r="U2923" s="102" t="s">
        <v>1061</v>
      </c>
      <c r="V2923" s="110" t="s">
        <v>1062</v>
      </c>
      <c r="W2923" s="17" t="s">
        <v>69</v>
      </c>
      <c r="Y2923" s="68">
        <v>45039</v>
      </c>
      <c r="Z2923" s="17" t="s">
        <v>191</v>
      </c>
      <c r="AA2923" s="17" t="s">
        <v>46</v>
      </c>
      <c r="AB2923" s="17" t="s">
        <v>1046</v>
      </c>
      <c r="AC2923" s="102" t="s">
        <v>988</v>
      </c>
      <c r="AD2923" s="65">
        <v>1411</v>
      </c>
      <c r="AE2923" s="17" t="s">
        <v>48</v>
      </c>
      <c r="AF2923" s="17" t="s">
        <v>560</v>
      </c>
      <c r="AI2923" s="17">
        <v>1100</v>
      </c>
    </row>
    <row r="2924" s="17" customFormat="1" hidden="1" spans="1:35">
      <c r="A2924" s="17" t="s">
        <v>34</v>
      </c>
      <c r="B2924" s="19">
        <v>894</v>
      </c>
      <c r="C2924" s="183" t="s">
        <v>1060</v>
      </c>
      <c r="D2924" s="17" t="s">
        <v>52</v>
      </c>
      <c r="E2924" s="17" t="s">
        <v>187</v>
      </c>
      <c r="F2924" s="17" t="s">
        <v>54</v>
      </c>
      <c r="H2924" s="19">
        <v>1.2311</v>
      </c>
      <c r="I2924" s="19"/>
      <c r="J2924" s="17" t="s">
        <v>82</v>
      </c>
      <c r="K2924" s="91">
        <v>355</v>
      </c>
      <c r="L2924" s="91">
        <v>80</v>
      </c>
      <c r="M2924" s="19">
        <v>2200</v>
      </c>
      <c r="N2924" s="19" t="s">
        <v>66</v>
      </c>
      <c r="O2924" s="19" t="s">
        <v>141</v>
      </c>
      <c r="P2924" s="91">
        <v>300</v>
      </c>
      <c r="Q2924" s="19">
        <v>520</v>
      </c>
      <c r="R2924" s="99">
        <f t="shared" si="148"/>
        <v>-220</v>
      </c>
      <c r="S2924" s="19">
        <v>1090</v>
      </c>
      <c r="T2924" s="19" t="s">
        <v>42</v>
      </c>
      <c r="U2924" s="102" t="s">
        <v>1061</v>
      </c>
      <c r="V2924" s="110" t="s">
        <v>1062</v>
      </c>
      <c r="W2924" s="17" t="s">
        <v>69</v>
      </c>
      <c r="Y2924" s="68">
        <v>45039</v>
      </c>
      <c r="Z2924" s="17" t="s">
        <v>191</v>
      </c>
      <c r="AA2924" s="17" t="s">
        <v>46</v>
      </c>
      <c r="AB2924" s="17" t="s">
        <v>1046</v>
      </c>
      <c r="AC2924" s="102" t="s">
        <v>988</v>
      </c>
      <c r="AD2924" s="65">
        <v>1411</v>
      </c>
      <c r="AE2924" s="17" t="s">
        <v>48</v>
      </c>
      <c r="AF2924" s="17" t="s">
        <v>560</v>
      </c>
      <c r="AI2924" s="17">
        <v>1100</v>
      </c>
    </row>
    <row r="2925" s="17" customFormat="1" hidden="1" spans="1:35">
      <c r="A2925" s="17" t="s">
        <v>34</v>
      </c>
      <c r="B2925" s="19">
        <v>894</v>
      </c>
      <c r="C2925" s="183" t="s">
        <v>1060</v>
      </c>
      <c r="D2925" s="17" t="s">
        <v>52</v>
      </c>
      <c r="E2925" s="17" t="s">
        <v>187</v>
      </c>
      <c r="F2925" s="17" t="s">
        <v>54</v>
      </c>
      <c r="H2925" s="19">
        <v>1.2311</v>
      </c>
      <c r="I2925" s="19"/>
      <c r="J2925" s="17" t="s">
        <v>82</v>
      </c>
      <c r="K2925" s="91">
        <v>400</v>
      </c>
      <c r="L2925" s="91">
        <v>80</v>
      </c>
      <c r="M2925" s="19">
        <v>2200</v>
      </c>
      <c r="N2925" s="19" t="s">
        <v>66</v>
      </c>
      <c r="O2925" s="19" t="s">
        <v>141</v>
      </c>
      <c r="P2925" s="91">
        <v>1000</v>
      </c>
      <c r="Q2925" s="19">
        <v>1164</v>
      </c>
      <c r="R2925" s="99">
        <f t="shared" si="148"/>
        <v>-164</v>
      </c>
      <c r="S2925" s="19">
        <v>1090</v>
      </c>
      <c r="T2925" s="19" t="s">
        <v>42</v>
      </c>
      <c r="U2925" s="102" t="s">
        <v>1061</v>
      </c>
      <c r="V2925" s="110" t="s">
        <v>1062</v>
      </c>
      <c r="W2925" s="17" t="s">
        <v>69</v>
      </c>
      <c r="Y2925" s="68">
        <v>45039</v>
      </c>
      <c r="Z2925" s="17" t="s">
        <v>191</v>
      </c>
      <c r="AA2925" s="17" t="s">
        <v>46</v>
      </c>
      <c r="AB2925" s="17" t="s">
        <v>1046</v>
      </c>
      <c r="AC2925" s="102" t="s">
        <v>988</v>
      </c>
      <c r="AD2925" s="65">
        <v>1411</v>
      </c>
      <c r="AE2925" s="17" t="s">
        <v>48</v>
      </c>
      <c r="AF2925" s="17" t="s">
        <v>560</v>
      </c>
      <c r="AI2925" s="17">
        <v>1100</v>
      </c>
    </row>
    <row r="2926" s="17" customFormat="1" hidden="1" spans="1:35">
      <c r="A2926" s="17" t="s">
        <v>34</v>
      </c>
      <c r="B2926" s="19">
        <v>895</v>
      </c>
      <c r="C2926" s="183" t="s">
        <v>1060</v>
      </c>
      <c r="D2926" s="17" t="s">
        <v>52</v>
      </c>
      <c r="E2926" s="17" t="s">
        <v>187</v>
      </c>
      <c r="F2926" s="17" t="s">
        <v>54</v>
      </c>
      <c r="H2926" s="19">
        <v>1.2311</v>
      </c>
      <c r="I2926" s="19"/>
      <c r="J2926" s="17" t="s">
        <v>49</v>
      </c>
      <c r="K2926" s="91">
        <v>2200</v>
      </c>
      <c r="L2926" s="91">
        <v>20</v>
      </c>
      <c r="M2926" s="91">
        <v>5000</v>
      </c>
      <c r="N2926" s="19" t="s">
        <v>66</v>
      </c>
      <c r="O2926" s="19" t="s">
        <v>141</v>
      </c>
      <c r="P2926" s="91">
        <v>1727</v>
      </c>
      <c r="Q2926" s="19">
        <v>1670</v>
      </c>
      <c r="R2926" s="99">
        <f t="shared" si="148"/>
        <v>57</v>
      </c>
      <c r="S2926" s="19">
        <v>1050</v>
      </c>
      <c r="T2926" s="19" t="s">
        <v>42</v>
      </c>
      <c r="U2926" s="102" t="s">
        <v>1063</v>
      </c>
      <c r="V2926" s="110" t="s">
        <v>1064</v>
      </c>
      <c r="W2926" s="17" t="s">
        <v>69</v>
      </c>
      <c r="Y2926" s="68">
        <v>45039</v>
      </c>
      <c r="Z2926" s="17" t="s">
        <v>191</v>
      </c>
      <c r="AA2926" s="17" t="s">
        <v>46</v>
      </c>
      <c r="AB2926" s="17" t="s">
        <v>1065</v>
      </c>
      <c r="AC2926" s="102" t="s">
        <v>1066</v>
      </c>
      <c r="AD2926" s="65">
        <v>1424</v>
      </c>
      <c r="AE2926" s="17" t="s">
        <v>48</v>
      </c>
      <c r="AF2926" s="17" t="s">
        <v>560</v>
      </c>
      <c r="AI2926" s="17">
        <v>1080</v>
      </c>
    </row>
    <row r="2927" s="17" customFormat="1" hidden="1" spans="1:35">
      <c r="A2927" s="17" t="s">
        <v>34</v>
      </c>
      <c r="B2927" s="19">
        <v>895</v>
      </c>
      <c r="C2927" s="183" t="s">
        <v>1060</v>
      </c>
      <c r="D2927" s="17" t="s">
        <v>52</v>
      </c>
      <c r="E2927" s="17" t="s">
        <v>187</v>
      </c>
      <c r="F2927" s="17" t="s">
        <v>54</v>
      </c>
      <c r="H2927" s="19">
        <v>1.2311</v>
      </c>
      <c r="I2927" s="19"/>
      <c r="J2927" s="17" t="s">
        <v>49</v>
      </c>
      <c r="K2927" s="91">
        <v>2200</v>
      </c>
      <c r="L2927" s="91">
        <v>32</v>
      </c>
      <c r="M2927" s="91">
        <v>5000</v>
      </c>
      <c r="N2927" s="19" t="s">
        <v>66</v>
      </c>
      <c r="O2927" s="19" t="s">
        <v>141</v>
      </c>
      <c r="P2927" s="91">
        <v>2763</v>
      </c>
      <c r="Q2927" s="19">
        <v>2530</v>
      </c>
      <c r="R2927" s="99">
        <f t="shared" si="148"/>
        <v>233</v>
      </c>
      <c r="S2927" s="19">
        <v>1070</v>
      </c>
      <c r="T2927" s="19" t="s">
        <v>42</v>
      </c>
      <c r="U2927" s="102" t="s">
        <v>1063</v>
      </c>
      <c r="V2927" s="110" t="s">
        <v>1064</v>
      </c>
      <c r="W2927" s="17" t="s">
        <v>69</v>
      </c>
      <c r="Y2927" s="68">
        <v>45039</v>
      </c>
      <c r="Z2927" s="17" t="s">
        <v>191</v>
      </c>
      <c r="AA2927" s="17" t="s">
        <v>46</v>
      </c>
      <c r="AB2927" s="17" t="s">
        <v>1067</v>
      </c>
      <c r="AC2927" s="102" t="s">
        <v>1068</v>
      </c>
      <c r="AD2927" s="65">
        <v>1415</v>
      </c>
      <c r="AE2927" s="17" t="s">
        <v>48</v>
      </c>
      <c r="AF2927" s="17" t="s">
        <v>560</v>
      </c>
      <c r="AI2927" s="17">
        <v>1080</v>
      </c>
    </row>
    <row r="2928" s="17" customFormat="1" hidden="1" spans="1:35">
      <c r="A2928" s="17" t="s">
        <v>34</v>
      </c>
      <c r="B2928" s="19">
        <v>895</v>
      </c>
      <c r="C2928" s="183" t="s">
        <v>1060</v>
      </c>
      <c r="D2928" s="17" t="s">
        <v>52</v>
      </c>
      <c r="E2928" s="17" t="s">
        <v>187</v>
      </c>
      <c r="F2928" s="17" t="s">
        <v>54</v>
      </c>
      <c r="H2928" s="19">
        <v>1.2311</v>
      </c>
      <c r="I2928" s="19"/>
      <c r="J2928" s="17" t="s">
        <v>49</v>
      </c>
      <c r="K2928" s="91">
        <v>2200</v>
      </c>
      <c r="L2928" s="91">
        <v>36</v>
      </c>
      <c r="M2928" s="91">
        <v>5000</v>
      </c>
      <c r="N2928" s="19" t="s">
        <v>66</v>
      </c>
      <c r="O2928" s="19" t="s">
        <v>141</v>
      </c>
      <c r="P2928" s="91">
        <v>3109</v>
      </c>
      <c r="Q2928" s="19">
        <v>2940</v>
      </c>
      <c r="R2928" s="99">
        <f t="shared" si="148"/>
        <v>169</v>
      </c>
      <c r="S2928" s="19">
        <v>1070</v>
      </c>
      <c r="T2928" s="19" t="s">
        <v>42</v>
      </c>
      <c r="U2928" s="102" t="s">
        <v>1063</v>
      </c>
      <c r="V2928" s="110" t="s">
        <v>1064</v>
      </c>
      <c r="W2928" s="17" t="s">
        <v>69</v>
      </c>
      <c r="Y2928" s="68">
        <v>45039</v>
      </c>
      <c r="Z2928" s="17" t="s">
        <v>191</v>
      </c>
      <c r="AA2928" s="17" t="s">
        <v>46</v>
      </c>
      <c r="AB2928" s="17" t="s">
        <v>1067</v>
      </c>
      <c r="AC2928" s="102" t="s">
        <v>1068</v>
      </c>
      <c r="AD2928" s="65">
        <v>1415</v>
      </c>
      <c r="AE2928" s="17" t="s">
        <v>48</v>
      </c>
      <c r="AF2928" s="17" t="s">
        <v>560</v>
      </c>
      <c r="AI2928" s="17">
        <v>1080</v>
      </c>
    </row>
    <row r="2929" s="17" customFormat="1" hidden="1" spans="1:35">
      <c r="A2929" s="17" t="s">
        <v>34</v>
      </c>
      <c r="B2929" s="19">
        <v>895</v>
      </c>
      <c r="C2929" s="183" t="s">
        <v>1060</v>
      </c>
      <c r="D2929" s="17" t="s">
        <v>52</v>
      </c>
      <c r="E2929" s="17" t="s">
        <v>187</v>
      </c>
      <c r="F2929" s="17" t="s">
        <v>54</v>
      </c>
      <c r="H2929" s="19">
        <v>1.2311</v>
      </c>
      <c r="I2929" s="19"/>
      <c r="J2929" s="17" t="s">
        <v>49</v>
      </c>
      <c r="K2929" s="91">
        <v>2200</v>
      </c>
      <c r="L2929" s="91">
        <v>40</v>
      </c>
      <c r="M2929" s="91">
        <v>5000</v>
      </c>
      <c r="N2929" s="19" t="s">
        <v>66</v>
      </c>
      <c r="O2929" s="19" t="s">
        <v>141</v>
      </c>
      <c r="P2929" s="91">
        <v>3454</v>
      </c>
      <c r="Q2929" s="19">
        <v>3340</v>
      </c>
      <c r="R2929" s="99">
        <f t="shared" si="148"/>
        <v>114</v>
      </c>
      <c r="S2929" s="19">
        <v>1050</v>
      </c>
      <c r="T2929" s="19" t="s">
        <v>42</v>
      </c>
      <c r="U2929" s="102" t="s">
        <v>1063</v>
      </c>
      <c r="V2929" s="110" t="s">
        <v>1064</v>
      </c>
      <c r="W2929" s="17" t="s">
        <v>69</v>
      </c>
      <c r="Y2929" s="68">
        <v>45039</v>
      </c>
      <c r="Z2929" s="17" t="s">
        <v>191</v>
      </c>
      <c r="AA2929" s="17" t="s">
        <v>46</v>
      </c>
      <c r="AB2929" s="17" t="s">
        <v>1065</v>
      </c>
      <c r="AC2929" s="102" t="s">
        <v>1066</v>
      </c>
      <c r="AD2929" s="65">
        <v>1424</v>
      </c>
      <c r="AE2929" s="17" t="s">
        <v>48</v>
      </c>
      <c r="AF2929" s="17" t="s">
        <v>560</v>
      </c>
      <c r="AI2929" s="17">
        <v>1080</v>
      </c>
    </row>
    <row r="2930" s="17" customFormat="1" hidden="1" spans="1:35">
      <c r="A2930" s="17" t="s">
        <v>34</v>
      </c>
      <c r="B2930" s="19">
        <v>895</v>
      </c>
      <c r="C2930" s="183" t="s">
        <v>1060</v>
      </c>
      <c r="D2930" s="17" t="s">
        <v>52</v>
      </c>
      <c r="E2930" s="17" t="s">
        <v>187</v>
      </c>
      <c r="F2930" s="17" t="s">
        <v>54</v>
      </c>
      <c r="H2930" s="19">
        <v>1.2311</v>
      </c>
      <c r="I2930" s="19"/>
      <c r="J2930" s="17" t="s">
        <v>49</v>
      </c>
      <c r="K2930" s="91">
        <v>2200</v>
      </c>
      <c r="L2930" s="91">
        <v>45</v>
      </c>
      <c r="M2930" s="91">
        <v>5000</v>
      </c>
      <c r="N2930" s="19" t="s">
        <v>66</v>
      </c>
      <c r="O2930" s="19" t="s">
        <v>141</v>
      </c>
      <c r="P2930" s="91"/>
      <c r="Q2930" s="19">
        <v>3780</v>
      </c>
      <c r="R2930" s="99"/>
      <c r="S2930" s="19">
        <v>1050</v>
      </c>
      <c r="T2930" s="19" t="s">
        <v>42</v>
      </c>
      <c r="U2930" s="102" t="s">
        <v>1063</v>
      </c>
      <c r="V2930" s="110" t="s">
        <v>1064</v>
      </c>
      <c r="W2930" s="17" t="s">
        <v>69</v>
      </c>
      <c r="Y2930" s="68">
        <v>45039</v>
      </c>
      <c r="Z2930" s="17" t="s">
        <v>191</v>
      </c>
      <c r="AA2930" s="17" t="s">
        <v>46</v>
      </c>
      <c r="AB2930" s="17" t="s">
        <v>1065</v>
      </c>
      <c r="AC2930" s="102" t="s">
        <v>1066</v>
      </c>
      <c r="AD2930" s="65">
        <v>1424</v>
      </c>
      <c r="AE2930" s="17" t="s">
        <v>48</v>
      </c>
      <c r="AF2930" s="17" t="s">
        <v>560</v>
      </c>
    </row>
    <row r="2931" s="17" customFormat="1" hidden="1" spans="1:35">
      <c r="A2931" s="17" t="s">
        <v>34</v>
      </c>
      <c r="B2931" s="19">
        <v>895</v>
      </c>
      <c r="C2931" s="183" t="s">
        <v>1060</v>
      </c>
      <c r="D2931" s="17" t="s">
        <v>52</v>
      </c>
      <c r="E2931" s="17" t="s">
        <v>187</v>
      </c>
      <c r="F2931" s="17" t="s">
        <v>54</v>
      </c>
      <c r="H2931" s="19">
        <v>1.2311</v>
      </c>
      <c r="I2931" s="19"/>
      <c r="J2931" s="17" t="s">
        <v>49</v>
      </c>
      <c r="K2931" s="91">
        <v>2200</v>
      </c>
      <c r="L2931" s="91">
        <v>50</v>
      </c>
      <c r="M2931" s="91">
        <v>5000</v>
      </c>
      <c r="N2931" s="19" t="s">
        <v>66</v>
      </c>
      <c r="O2931" s="19" t="s">
        <v>141</v>
      </c>
      <c r="P2931" s="91"/>
      <c r="Q2931" s="19">
        <v>4140</v>
      </c>
      <c r="R2931" s="99"/>
      <c r="S2931" s="19">
        <v>1050</v>
      </c>
      <c r="T2931" s="19" t="s">
        <v>42</v>
      </c>
      <c r="U2931" s="102" t="s">
        <v>1063</v>
      </c>
      <c r="V2931" s="110" t="s">
        <v>1064</v>
      </c>
      <c r="W2931" s="17" t="s">
        <v>69</v>
      </c>
      <c r="Y2931" s="68">
        <v>45039</v>
      </c>
      <c r="Z2931" s="17" t="s">
        <v>191</v>
      </c>
      <c r="AA2931" s="17" t="s">
        <v>46</v>
      </c>
      <c r="AB2931" s="17" t="s">
        <v>1065</v>
      </c>
      <c r="AC2931" s="102" t="s">
        <v>1066</v>
      </c>
      <c r="AD2931" s="65">
        <v>1424</v>
      </c>
      <c r="AE2931" s="17" t="s">
        <v>48</v>
      </c>
      <c r="AF2931" s="17" t="s">
        <v>560</v>
      </c>
    </row>
    <row r="2932" s="17" customFormat="1" hidden="1" spans="1:35">
      <c r="A2932" s="17" t="s">
        <v>34</v>
      </c>
      <c r="B2932" s="19">
        <v>895</v>
      </c>
      <c r="C2932" s="183" t="s">
        <v>1060</v>
      </c>
      <c r="D2932" s="17" t="s">
        <v>52</v>
      </c>
      <c r="E2932" s="17" t="s">
        <v>187</v>
      </c>
      <c r="F2932" s="17" t="s">
        <v>54</v>
      </c>
      <c r="H2932" s="19">
        <v>1.2311</v>
      </c>
      <c r="I2932" s="19"/>
      <c r="J2932" s="17" t="s">
        <v>49</v>
      </c>
      <c r="K2932" s="91">
        <v>2200</v>
      </c>
      <c r="L2932" s="91">
        <v>61</v>
      </c>
      <c r="M2932" s="91">
        <v>5000</v>
      </c>
      <c r="N2932" s="19" t="s">
        <v>66</v>
      </c>
      <c r="O2932" s="19" t="s">
        <v>141</v>
      </c>
      <c r="P2932" s="91"/>
      <c r="Q2932" s="19">
        <v>6260</v>
      </c>
      <c r="R2932" s="99"/>
      <c r="S2932" s="19">
        <v>1050</v>
      </c>
      <c r="T2932" s="19" t="s">
        <v>42</v>
      </c>
      <c r="U2932" s="102" t="s">
        <v>1063</v>
      </c>
      <c r="V2932" s="110" t="s">
        <v>1064</v>
      </c>
      <c r="W2932" s="17" t="s">
        <v>69</v>
      </c>
      <c r="Y2932" s="68">
        <v>45039</v>
      </c>
      <c r="Z2932" s="17" t="s">
        <v>191</v>
      </c>
      <c r="AA2932" s="17" t="s">
        <v>46</v>
      </c>
      <c r="AB2932" s="17" t="s">
        <v>1065</v>
      </c>
      <c r="AC2932" s="102" t="s">
        <v>1066</v>
      </c>
      <c r="AD2932" s="65">
        <v>1424</v>
      </c>
      <c r="AE2932" s="17" t="s">
        <v>48</v>
      </c>
      <c r="AF2932" s="17" t="s">
        <v>560</v>
      </c>
    </row>
    <row r="2933" s="17" customFormat="1" hidden="1" spans="1:35">
      <c r="A2933" s="17" t="s">
        <v>34</v>
      </c>
      <c r="B2933" s="19">
        <v>895</v>
      </c>
      <c r="C2933" s="183" t="s">
        <v>1060</v>
      </c>
      <c r="D2933" s="17" t="s">
        <v>52</v>
      </c>
      <c r="E2933" s="17" t="s">
        <v>187</v>
      </c>
      <c r="F2933" s="17" t="s">
        <v>54</v>
      </c>
      <c r="H2933" s="19">
        <v>1.2311</v>
      </c>
      <c r="I2933" s="19"/>
      <c r="J2933" s="17" t="s">
        <v>49</v>
      </c>
      <c r="K2933" s="91">
        <v>2200</v>
      </c>
      <c r="L2933" s="91">
        <v>80</v>
      </c>
      <c r="M2933" s="91">
        <v>5000</v>
      </c>
      <c r="N2933" s="19" t="s">
        <v>66</v>
      </c>
      <c r="O2933" s="19" t="s">
        <v>141</v>
      </c>
      <c r="P2933" s="91"/>
      <c r="Q2933" s="19">
        <v>8180</v>
      </c>
      <c r="R2933" s="99"/>
      <c r="S2933" s="19">
        <v>1050</v>
      </c>
      <c r="T2933" s="19" t="s">
        <v>42</v>
      </c>
      <c r="U2933" s="102" t="s">
        <v>1063</v>
      </c>
      <c r="V2933" s="110" t="s">
        <v>1064</v>
      </c>
      <c r="W2933" s="17" t="s">
        <v>69</v>
      </c>
      <c r="Y2933" s="68">
        <v>45039</v>
      </c>
      <c r="Z2933" s="17" t="s">
        <v>191</v>
      </c>
      <c r="AA2933" s="17" t="s">
        <v>46</v>
      </c>
      <c r="AB2933" s="17" t="s">
        <v>1065</v>
      </c>
      <c r="AC2933" s="102" t="s">
        <v>1066</v>
      </c>
      <c r="AD2933" s="65">
        <v>1424</v>
      </c>
      <c r="AE2933" s="17" t="s">
        <v>48</v>
      </c>
      <c r="AF2933" s="17" t="s">
        <v>560</v>
      </c>
    </row>
    <row r="2934" s="17" customFormat="1" hidden="1" spans="1:35">
      <c r="A2934" s="17" t="s">
        <v>34</v>
      </c>
      <c r="B2934" s="19">
        <v>896</v>
      </c>
      <c r="C2934" s="269" t="s">
        <v>1069</v>
      </c>
      <c r="D2934" s="17" t="s">
        <v>52</v>
      </c>
      <c r="E2934" s="17" t="s">
        <v>187</v>
      </c>
      <c r="F2934" s="17" t="s">
        <v>54</v>
      </c>
      <c r="H2934" s="19">
        <v>1.2311</v>
      </c>
      <c r="I2934" s="19"/>
      <c r="J2934" s="17" t="s">
        <v>82</v>
      </c>
      <c r="K2934" s="270">
        <v>205</v>
      </c>
      <c r="L2934" s="270">
        <v>25</v>
      </c>
      <c r="M2934" s="19">
        <v>2200</v>
      </c>
      <c r="N2934" s="19" t="s">
        <v>66</v>
      </c>
      <c r="O2934" s="19" t="s">
        <v>141</v>
      </c>
      <c r="P2934" s="270">
        <v>1500</v>
      </c>
      <c r="Q2934" s="19">
        <v>1559</v>
      </c>
      <c r="R2934" s="99">
        <f t="shared" ref="R2934:R2965" si="149">+P2934-Q2934</f>
        <v>-59</v>
      </c>
      <c r="S2934" s="19">
        <v>1090</v>
      </c>
      <c r="T2934" s="19" t="s">
        <v>42</v>
      </c>
      <c r="U2934" s="102" t="s">
        <v>1070</v>
      </c>
      <c r="V2934" s="110" t="s">
        <v>1071</v>
      </c>
      <c r="W2934" s="17" t="s">
        <v>69</v>
      </c>
      <c r="Y2934" s="68">
        <v>45039</v>
      </c>
      <c r="Z2934" s="17" t="s">
        <v>191</v>
      </c>
      <c r="AA2934" s="17" t="s">
        <v>46</v>
      </c>
      <c r="AB2934" s="17" t="s">
        <v>1026</v>
      </c>
      <c r="AC2934" s="217">
        <v>45142</v>
      </c>
      <c r="AD2934" s="65">
        <v>1417</v>
      </c>
      <c r="AE2934" s="17" t="s">
        <v>74</v>
      </c>
      <c r="AF2934" s="17" t="s">
        <v>560</v>
      </c>
      <c r="AI2934" s="17">
        <v>1100</v>
      </c>
    </row>
    <row r="2935" s="17" customFormat="1" hidden="1" spans="1:35">
      <c r="A2935" s="17" t="s">
        <v>34</v>
      </c>
      <c r="B2935" s="19">
        <v>896</v>
      </c>
      <c r="C2935" s="269" t="s">
        <v>1069</v>
      </c>
      <c r="D2935" s="17" t="s">
        <v>52</v>
      </c>
      <c r="E2935" s="17" t="s">
        <v>187</v>
      </c>
      <c r="F2935" s="17" t="s">
        <v>54</v>
      </c>
      <c r="H2935" s="19">
        <v>1.2311</v>
      </c>
      <c r="I2935" s="19"/>
      <c r="J2935" s="17" t="s">
        <v>82</v>
      </c>
      <c r="K2935" s="270">
        <v>255</v>
      </c>
      <c r="L2935" s="270">
        <v>25</v>
      </c>
      <c r="M2935" s="19">
        <v>2200</v>
      </c>
      <c r="N2935" s="19" t="s">
        <v>66</v>
      </c>
      <c r="O2935" s="19" t="s">
        <v>141</v>
      </c>
      <c r="P2935" s="270">
        <v>1500</v>
      </c>
      <c r="Q2935" s="19">
        <v>1566</v>
      </c>
      <c r="R2935" s="99">
        <f t="shared" si="149"/>
        <v>-66</v>
      </c>
      <c r="S2935" s="19">
        <v>1090</v>
      </c>
      <c r="T2935" s="19" t="s">
        <v>42</v>
      </c>
      <c r="U2935" s="102" t="s">
        <v>1070</v>
      </c>
      <c r="V2935" s="110" t="s">
        <v>1071</v>
      </c>
      <c r="W2935" s="17" t="s">
        <v>69</v>
      </c>
      <c r="Y2935" s="68">
        <v>45039</v>
      </c>
      <c r="Z2935" s="17" t="s">
        <v>191</v>
      </c>
      <c r="AA2935" s="17" t="s">
        <v>46</v>
      </c>
      <c r="AB2935" s="17" t="s">
        <v>1026</v>
      </c>
      <c r="AC2935" s="217">
        <v>45142</v>
      </c>
      <c r="AD2935" s="65">
        <v>1417</v>
      </c>
      <c r="AE2935" s="17" t="s">
        <v>74</v>
      </c>
      <c r="AF2935" s="17" t="s">
        <v>560</v>
      </c>
      <c r="AI2935" s="17">
        <v>1100</v>
      </c>
    </row>
    <row r="2936" s="17" customFormat="1" hidden="1" spans="1:35">
      <c r="A2936" s="17" t="s">
        <v>34</v>
      </c>
      <c r="B2936" s="19">
        <v>896</v>
      </c>
      <c r="C2936" s="269" t="s">
        <v>1069</v>
      </c>
      <c r="D2936" s="17" t="s">
        <v>52</v>
      </c>
      <c r="E2936" s="17" t="s">
        <v>187</v>
      </c>
      <c r="F2936" s="17" t="s">
        <v>54</v>
      </c>
      <c r="H2936" s="19">
        <v>1.2311</v>
      </c>
      <c r="I2936" s="19"/>
      <c r="J2936" s="17" t="s">
        <v>82</v>
      </c>
      <c r="K2936" s="270">
        <v>305</v>
      </c>
      <c r="L2936" s="270">
        <v>25</v>
      </c>
      <c r="M2936" s="19">
        <v>2200</v>
      </c>
      <c r="N2936" s="19" t="s">
        <v>66</v>
      </c>
      <c r="O2936" s="19" t="s">
        <v>141</v>
      </c>
      <c r="P2936" s="270">
        <v>1500</v>
      </c>
      <c r="Q2936" s="19">
        <v>1576</v>
      </c>
      <c r="R2936" s="99">
        <f t="shared" si="149"/>
        <v>-76</v>
      </c>
      <c r="S2936" s="19">
        <v>1090</v>
      </c>
      <c r="T2936" s="19" t="s">
        <v>42</v>
      </c>
      <c r="U2936" s="102" t="s">
        <v>1070</v>
      </c>
      <c r="V2936" s="110" t="s">
        <v>1071</v>
      </c>
      <c r="W2936" s="17" t="s">
        <v>69</v>
      </c>
      <c r="Y2936" s="68">
        <v>45039</v>
      </c>
      <c r="Z2936" s="17" t="s">
        <v>191</v>
      </c>
      <c r="AA2936" s="17" t="s">
        <v>46</v>
      </c>
      <c r="AB2936" s="17" t="s">
        <v>1026</v>
      </c>
      <c r="AC2936" s="217">
        <v>45142</v>
      </c>
      <c r="AD2936" s="65">
        <v>1417</v>
      </c>
      <c r="AE2936" s="17" t="s">
        <v>74</v>
      </c>
      <c r="AF2936" s="17" t="s">
        <v>560</v>
      </c>
      <c r="AI2936" s="17">
        <v>1100</v>
      </c>
    </row>
    <row r="2937" s="17" customFormat="1" hidden="1" spans="1:35">
      <c r="A2937" s="17" t="s">
        <v>34</v>
      </c>
      <c r="B2937" s="19">
        <v>896</v>
      </c>
      <c r="C2937" s="269" t="s">
        <v>1069</v>
      </c>
      <c r="D2937" s="17" t="s">
        <v>52</v>
      </c>
      <c r="E2937" s="17" t="s">
        <v>187</v>
      </c>
      <c r="F2937" s="17" t="s">
        <v>54</v>
      </c>
      <c r="H2937" s="19">
        <v>1.2311</v>
      </c>
      <c r="I2937" s="19"/>
      <c r="J2937" s="17" t="s">
        <v>82</v>
      </c>
      <c r="K2937" s="270">
        <v>355</v>
      </c>
      <c r="L2937" s="270">
        <v>25</v>
      </c>
      <c r="M2937" s="19">
        <v>2200</v>
      </c>
      <c r="N2937" s="19" t="s">
        <v>66</v>
      </c>
      <c r="O2937" s="19" t="s">
        <v>141</v>
      </c>
      <c r="P2937" s="270">
        <v>1500</v>
      </c>
      <c r="Q2937" s="19">
        <v>1500</v>
      </c>
      <c r="R2937" s="99">
        <f t="shared" si="149"/>
        <v>0</v>
      </c>
      <c r="S2937" s="19">
        <v>1090</v>
      </c>
      <c r="T2937" s="19" t="s">
        <v>42</v>
      </c>
      <c r="U2937" s="102" t="s">
        <v>1070</v>
      </c>
      <c r="V2937" s="110" t="s">
        <v>1071</v>
      </c>
      <c r="W2937" s="17" t="s">
        <v>69</v>
      </c>
      <c r="Y2937" s="68">
        <v>45039</v>
      </c>
      <c r="Z2937" s="17" t="s">
        <v>191</v>
      </c>
      <c r="AA2937" s="17" t="s">
        <v>46</v>
      </c>
      <c r="AB2937" s="17" t="s">
        <v>1026</v>
      </c>
      <c r="AC2937" s="217">
        <v>45142</v>
      </c>
      <c r="AD2937" s="65">
        <v>1417</v>
      </c>
      <c r="AE2937" s="17" t="s">
        <v>74</v>
      </c>
      <c r="AF2937" s="17" t="s">
        <v>560</v>
      </c>
      <c r="AI2937" s="17">
        <v>1100</v>
      </c>
    </row>
    <row r="2938" s="17" customFormat="1" hidden="1" spans="1:35">
      <c r="A2938" s="17" t="s">
        <v>34</v>
      </c>
      <c r="B2938" s="19">
        <v>896</v>
      </c>
      <c r="C2938" s="269" t="s">
        <v>1069</v>
      </c>
      <c r="D2938" s="17" t="s">
        <v>52</v>
      </c>
      <c r="E2938" s="17" t="s">
        <v>187</v>
      </c>
      <c r="F2938" s="17" t="s">
        <v>54</v>
      </c>
      <c r="H2938" s="19">
        <v>1.2311</v>
      </c>
      <c r="I2938" s="19"/>
      <c r="J2938" s="17" t="s">
        <v>82</v>
      </c>
      <c r="K2938" s="270">
        <v>405</v>
      </c>
      <c r="L2938" s="270">
        <v>25</v>
      </c>
      <c r="M2938" s="19">
        <v>2200</v>
      </c>
      <c r="N2938" s="19" t="s">
        <v>66</v>
      </c>
      <c r="O2938" s="19" t="s">
        <v>141</v>
      </c>
      <c r="P2938" s="270">
        <v>1000</v>
      </c>
      <c r="Q2938" s="19">
        <v>1142</v>
      </c>
      <c r="R2938" s="99">
        <f t="shared" si="149"/>
        <v>-142</v>
      </c>
      <c r="S2938" s="19">
        <v>1090</v>
      </c>
      <c r="T2938" s="19" t="s">
        <v>42</v>
      </c>
      <c r="U2938" s="102" t="s">
        <v>1070</v>
      </c>
      <c r="V2938" s="110" t="s">
        <v>1071</v>
      </c>
      <c r="W2938" s="17" t="s">
        <v>69</v>
      </c>
      <c r="Y2938" s="68">
        <v>45039</v>
      </c>
      <c r="Z2938" s="17" t="s">
        <v>191</v>
      </c>
      <c r="AA2938" s="17" t="s">
        <v>46</v>
      </c>
      <c r="AB2938" s="17" t="s">
        <v>1026</v>
      </c>
      <c r="AC2938" s="217">
        <v>45142</v>
      </c>
      <c r="AD2938" s="65">
        <v>1417</v>
      </c>
      <c r="AE2938" s="17" t="s">
        <v>74</v>
      </c>
      <c r="AF2938" s="17" t="s">
        <v>560</v>
      </c>
      <c r="AI2938" s="17">
        <v>1100</v>
      </c>
    </row>
    <row r="2939" s="17" customFormat="1" hidden="1" spans="1:35">
      <c r="A2939" s="17" t="s">
        <v>34</v>
      </c>
      <c r="B2939" s="19">
        <v>896</v>
      </c>
      <c r="C2939" s="269" t="s">
        <v>1069</v>
      </c>
      <c r="D2939" s="17" t="s">
        <v>52</v>
      </c>
      <c r="E2939" s="17" t="s">
        <v>187</v>
      </c>
      <c r="F2939" s="17" t="s">
        <v>54</v>
      </c>
      <c r="H2939" s="19">
        <v>1.2311</v>
      </c>
      <c r="I2939" s="19"/>
      <c r="J2939" s="17" t="s">
        <v>82</v>
      </c>
      <c r="K2939" s="270">
        <v>455</v>
      </c>
      <c r="L2939" s="270">
        <v>25</v>
      </c>
      <c r="M2939" s="19">
        <v>2200</v>
      </c>
      <c r="N2939" s="19" t="s">
        <v>66</v>
      </c>
      <c r="O2939" s="19" t="s">
        <v>141</v>
      </c>
      <c r="P2939" s="270">
        <v>1000</v>
      </c>
      <c r="Q2939" s="19">
        <v>1050</v>
      </c>
      <c r="R2939" s="99">
        <f t="shared" si="149"/>
        <v>-50</v>
      </c>
      <c r="S2939" s="19">
        <v>1090</v>
      </c>
      <c r="T2939" s="19" t="s">
        <v>42</v>
      </c>
      <c r="U2939" s="102" t="s">
        <v>1070</v>
      </c>
      <c r="V2939" s="110" t="s">
        <v>1071</v>
      </c>
      <c r="W2939" s="17" t="s">
        <v>69</v>
      </c>
      <c r="Y2939" s="68">
        <v>45039</v>
      </c>
      <c r="Z2939" s="17" t="s">
        <v>191</v>
      </c>
      <c r="AA2939" s="17" t="s">
        <v>46</v>
      </c>
      <c r="AB2939" s="17" t="s">
        <v>1026</v>
      </c>
      <c r="AC2939" s="217">
        <v>45142</v>
      </c>
      <c r="AD2939" s="65">
        <v>1417</v>
      </c>
      <c r="AE2939" s="17" t="s">
        <v>74</v>
      </c>
      <c r="AF2939" s="17" t="s">
        <v>560</v>
      </c>
      <c r="AI2939" s="17">
        <v>1100</v>
      </c>
    </row>
    <row r="2940" s="17" customFormat="1" hidden="1" spans="1:35">
      <c r="A2940" s="17" t="s">
        <v>34</v>
      </c>
      <c r="B2940" s="19">
        <v>896</v>
      </c>
      <c r="C2940" s="269" t="s">
        <v>1069</v>
      </c>
      <c r="D2940" s="17" t="s">
        <v>52</v>
      </c>
      <c r="E2940" s="17" t="s">
        <v>187</v>
      </c>
      <c r="F2940" s="17" t="s">
        <v>54</v>
      </c>
      <c r="H2940" s="19">
        <v>1.2311</v>
      </c>
      <c r="I2940" s="19"/>
      <c r="J2940" s="17" t="s">
        <v>82</v>
      </c>
      <c r="K2940" s="270">
        <v>505</v>
      </c>
      <c r="L2940" s="270">
        <v>25</v>
      </c>
      <c r="M2940" s="19">
        <v>2200</v>
      </c>
      <c r="N2940" s="19" t="s">
        <v>66</v>
      </c>
      <c r="O2940" s="19" t="s">
        <v>141</v>
      </c>
      <c r="P2940" s="270">
        <v>1000</v>
      </c>
      <c r="Q2940" s="19">
        <v>1200</v>
      </c>
      <c r="R2940" s="99">
        <f t="shared" si="149"/>
        <v>-200</v>
      </c>
      <c r="S2940" s="19">
        <v>1090</v>
      </c>
      <c r="T2940" s="19" t="s">
        <v>42</v>
      </c>
      <c r="U2940" s="102" t="s">
        <v>1070</v>
      </c>
      <c r="V2940" s="110" t="s">
        <v>1071</v>
      </c>
      <c r="W2940" s="17" t="s">
        <v>69</v>
      </c>
      <c r="Y2940" s="68">
        <v>45039</v>
      </c>
      <c r="Z2940" s="17" t="s">
        <v>191</v>
      </c>
      <c r="AA2940" s="17" t="s">
        <v>46</v>
      </c>
      <c r="AB2940" s="17" t="s">
        <v>1026</v>
      </c>
      <c r="AC2940" s="217">
        <v>45142</v>
      </c>
      <c r="AD2940" s="65">
        <v>1417</v>
      </c>
      <c r="AE2940" s="17" t="s">
        <v>74</v>
      </c>
      <c r="AF2940" s="17" t="s">
        <v>560</v>
      </c>
      <c r="AI2940" s="17">
        <v>1100</v>
      </c>
    </row>
    <row r="2941" s="17" customFormat="1" hidden="1" spans="1:35">
      <c r="A2941" s="17" t="s">
        <v>34</v>
      </c>
      <c r="B2941" s="19">
        <v>896</v>
      </c>
      <c r="C2941" s="269" t="s">
        <v>1069</v>
      </c>
      <c r="D2941" s="17" t="s">
        <v>52</v>
      </c>
      <c r="E2941" s="17" t="s">
        <v>187</v>
      </c>
      <c r="F2941" s="17" t="s">
        <v>54</v>
      </c>
      <c r="H2941" s="19">
        <v>1.2311</v>
      </c>
      <c r="I2941" s="19"/>
      <c r="J2941" s="17" t="s">
        <v>82</v>
      </c>
      <c r="K2941" s="270">
        <v>205</v>
      </c>
      <c r="L2941" s="270">
        <v>32</v>
      </c>
      <c r="M2941" s="19">
        <v>2200</v>
      </c>
      <c r="N2941" s="19" t="s">
        <v>66</v>
      </c>
      <c r="O2941" s="19" t="s">
        <v>141</v>
      </c>
      <c r="P2941" s="270">
        <v>1500</v>
      </c>
      <c r="Q2941" s="19">
        <v>1509</v>
      </c>
      <c r="R2941" s="99">
        <f t="shared" si="149"/>
        <v>-9</v>
      </c>
      <c r="S2941" s="19">
        <v>1090</v>
      </c>
      <c r="T2941" s="19" t="s">
        <v>42</v>
      </c>
      <c r="U2941" s="102" t="s">
        <v>1070</v>
      </c>
      <c r="V2941" s="110" t="s">
        <v>1071</v>
      </c>
      <c r="W2941" s="17" t="s">
        <v>69</v>
      </c>
      <c r="Y2941" s="68">
        <v>45039</v>
      </c>
      <c r="Z2941" s="17" t="s">
        <v>191</v>
      </c>
      <c r="AA2941" s="17" t="s">
        <v>46</v>
      </c>
      <c r="AB2941" s="17" t="s">
        <v>1026</v>
      </c>
      <c r="AC2941" s="217">
        <v>45142</v>
      </c>
      <c r="AD2941" s="65">
        <v>1417</v>
      </c>
      <c r="AE2941" s="17" t="s">
        <v>74</v>
      </c>
      <c r="AF2941" s="17" t="s">
        <v>560</v>
      </c>
      <c r="AI2941" s="17">
        <v>1100</v>
      </c>
    </row>
    <row r="2942" s="17" customFormat="1" hidden="1" spans="1:35">
      <c r="A2942" s="17" t="s">
        <v>34</v>
      </c>
      <c r="B2942" s="19">
        <v>896</v>
      </c>
      <c r="C2942" s="269" t="s">
        <v>1069</v>
      </c>
      <c r="D2942" s="17" t="s">
        <v>52</v>
      </c>
      <c r="E2942" s="17" t="s">
        <v>187</v>
      </c>
      <c r="F2942" s="17" t="s">
        <v>54</v>
      </c>
      <c r="H2942" s="19">
        <v>1.2311</v>
      </c>
      <c r="I2942" s="19"/>
      <c r="J2942" s="17" t="s">
        <v>82</v>
      </c>
      <c r="K2942" s="270">
        <v>255</v>
      </c>
      <c r="L2942" s="270">
        <v>32</v>
      </c>
      <c r="M2942" s="19">
        <v>2200</v>
      </c>
      <c r="N2942" s="19" t="s">
        <v>66</v>
      </c>
      <c r="O2942" s="19" t="s">
        <v>141</v>
      </c>
      <c r="P2942" s="270">
        <v>1500</v>
      </c>
      <c r="Q2942" s="19">
        <v>1400</v>
      </c>
      <c r="R2942" s="99">
        <f t="shared" si="149"/>
        <v>100</v>
      </c>
      <c r="S2942" s="19">
        <v>1090</v>
      </c>
      <c r="T2942" s="19" t="s">
        <v>42</v>
      </c>
      <c r="U2942" s="102" t="s">
        <v>1070</v>
      </c>
      <c r="V2942" s="110" t="s">
        <v>1071</v>
      </c>
      <c r="W2942" s="17" t="s">
        <v>69</v>
      </c>
      <c r="Y2942" s="68">
        <v>45039</v>
      </c>
      <c r="Z2942" s="17" t="s">
        <v>191</v>
      </c>
      <c r="AA2942" s="17" t="s">
        <v>46</v>
      </c>
      <c r="AB2942" s="17" t="s">
        <v>1026</v>
      </c>
      <c r="AC2942" s="217">
        <v>45142</v>
      </c>
      <c r="AD2942" s="65">
        <v>1417</v>
      </c>
      <c r="AE2942" s="17" t="s">
        <v>74</v>
      </c>
      <c r="AF2942" s="17" t="s">
        <v>560</v>
      </c>
      <c r="AI2942" s="17">
        <v>1100</v>
      </c>
    </row>
    <row r="2943" s="17" customFormat="1" hidden="1" spans="1:35">
      <c r="A2943" s="17" t="s">
        <v>34</v>
      </c>
      <c r="B2943" s="19">
        <v>896</v>
      </c>
      <c r="C2943" s="269" t="s">
        <v>1069</v>
      </c>
      <c r="D2943" s="17" t="s">
        <v>52</v>
      </c>
      <c r="E2943" s="17" t="s">
        <v>187</v>
      </c>
      <c r="F2943" s="17" t="s">
        <v>54</v>
      </c>
      <c r="H2943" s="19">
        <v>1.2311</v>
      </c>
      <c r="I2943" s="19"/>
      <c r="J2943" s="17" t="s">
        <v>82</v>
      </c>
      <c r="K2943" s="270">
        <v>305</v>
      </c>
      <c r="L2943" s="270">
        <v>32</v>
      </c>
      <c r="M2943" s="19">
        <v>2200</v>
      </c>
      <c r="N2943" s="19" t="s">
        <v>66</v>
      </c>
      <c r="O2943" s="19" t="s">
        <v>141</v>
      </c>
      <c r="P2943" s="270">
        <v>1500</v>
      </c>
      <c r="Q2943" s="19">
        <v>1561</v>
      </c>
      <c r="R2943" s="99">
        <f t="shared" si="149"/>
        <v>-61</v>
      </c>
      <c r="S2943" s="19">
        <v>1090</v>
      </c>
      <c r="T2943" s="19" t="s">
        <v>42</v>
      </c>
      <c r="U2943" s="102" t="s">
        <v>1070</v>
      </c>
      <c r="V2943" s="110" t="s">
        <v>1071</v>
      </c>
      <c r="W2943" s="17" t="s">
        <v>69</v>
      </c>
      <c r="Y2943" s="68">
        <v>45039</v>
      </c>
      <c r="Z2943" s="17" t="s">
        <v>191</v>
      </c>
      <c r="AA2943" s="17" t="s">
        <v>46</v>
      </c>
      <c r="AB2943" s="17" t="s">
        <v>1026</v>
      </c>
      <c r="AC2943" s="217">
        <v>45142</v>
      </c>
      <c r="AD2943" s="65">
        <v>1417</v>
      </c>
      <c r="AE2943" s="17" t="s">
        <v>74</v>
      </c>
      <c r="AF2943" s="17" t="s">
        <v>560</v>
      </c>
      <c r="AI2943" s="17">
        <v>1100</v>
      </c>
    </row>
    <row r="2944" s="17" customFormat="1" hidden="1" spans="1:35">
      <c r="A2944" s="17" t="s">
        <v>34</v>
      </c>
      <c r="B2944" s="19">
        <v>896</v>
      </c>
      <c r="C2944" s="269" t="s">
        <v>1069</v>
      </c>
      <c r="D2944" s="17" t="s">
        <v>52</v>
      </c>
      <c r="E2944" s="17" t="s">
        <v>187</v>
      </c>
      <c r="F2944" s="17" t="s">
        <v>54</v>
      </c>
      <c r="H2944" s="19">
        <v>1.2311</v>
      </c>
      <c r="I2944" s="19"/>
      <c r="J2944" s="17" t="s">
        <v>82</v>
      </c>
      <c r="K2944" s="270">
        <v>355</v>
      </c>
      <c r="L2944" s="270">
        <v>32</v>
      </c>
      <c r="M2944" s="19">
        <v>2200</v>
      </c>
      <c r="N2944" s="19" t="s">
        <v>66</v>
      </c>
      <c r="O2944" s="19" t="s">
        <v>141</v>
      </c>
      <c r="P2944" s="270">
        <v>1500</v>
      </c>
      <c r="Q2944" s="19">
        <v>1408</v>
      </c>
      <c r="R2944" s="99">
        <f t="shared" si="149"/>
        <v>92</v>
      </c>
      <c r="S2944" s="19">
        <v>1090</v>
      </c>
      <c r="T2944" s="19" t="s">
        <v>42</v>
      </c>
      <c r="U2944" s="102" t="s">
        <v>1070</v>
      </c>
      <c r="V2944" s="110" t="s">
        <v>1071</v>
      </c>
      <c r="W2944" s="17" t="s">
        <v>69</v>
      </c>
      <c r="Y2944" s="68">
        <v>45039</v>
      </c>
      <c r="Z2944" s="17" t="s">
        <v>191</v>
      </c>
      <c r="AA2944" s="17" t="s">
        <v>46</v>
      </c>
      <c r="AB2944" s="17" t="s">
        <v>1026</v>
      </c>
      <c r="AC2944" s="217">
        <v>45142</v>
      </c>
      <c r="AD2944" s="65">
        <v>1417</v>
      </c>
      <c r="AE2944" s="17" t="s">
        <v>74</v>
      </c>
      <c r="AF2944" s="17" t="s">
        <v>560</v>
      </c>
      <c r="AI2944" s="17">
        <v>1100</v>
      </c>
    </row>
    <row r="2945" s="17" customFormat="1" hidden="1" spans="1:36">
      <c r="A2945" s="17" t="s">
        <v>34</v>
      </c>
      <c r="B2945" s="19">
        <v>896</v>
      </c>
      <c r="C2945" s="269" t="s">
        <v>1069</v>
      </c>
      <c r="D2945" s="17" t="s">
        <v>52</v>
      </c>
      <c r="E2945" s="17" t="s">
        <v>187</v>
      </c>
      <c r="F2945" s="17" t="s">
        <v>54</v>
      </c>
      <c r="H2945" s="19">
        <v>1.2311</v>
      </c>
      <c r="I2945" s="19"/>
      <c r="J2945" s="17" t="s">
        <v>82</v>
      </c>
      <c r="K2945" s="270">
        <v>405</v>
      </c>
      <c r="L2945" s="270">
        <v>32</v>
      </c>
      <c r="M2945" s="19">
        <v>2200</v>
      </c>
      <c r="N2945" s="19" t="s">
        <v>66</v>
      </c>
      <c r="O2945" s="19" t="s">
        <v>141</v>
      </c>
      <c r="P2945" s="270">
        <v>1500</v>
      </c>
      <c r="Q2945" s="19">
        <v>905</v>
      </c>
      <c r="R2945" s="99">
        <f t="shared" si="149"/>
        <v>595</v>
      </c>
      <c r="S2945" s="19">
        <v>1090</v>
      </c>
      <c r="T2945" s="19" t="s">
        <v>42</v>
      </c>
      <c r="U2945" s="102" t="s">
        <v>1070</v>
      </c>
      <c r="V2945" s="110" t="s">
        <v>1071</v>
      </c>
      <c r="W2945" s="17" t="s">
        <v>69</v>
      </c>
      <c r="Y2945" s="68">
        <v>45039</v>
      </c>
      <c r="Z2945" s="17" t="s">
        <v>191</v>
      </c>
      <c r="AA2945" s="17" t="s">
        <v>46</v>
      </c>
      <c r="AB2945" s="17" t="s">
        <v>1026</v>
      </c>
      <c r="AC2945" s="217">
        <v>45142</v>
      </c>
      <c r="AD2945" s="65">
        <v>1417</v>
      </c>
      <c r="AE2945" s="17" t="s">
        <v>74</v>
      </c>
      <c r="AF2945" s="17" t="s">
        <v>560</v>
      </c>
      <c r="AI2945" s="17">
        <v>1100</v>
      </c>
    </row>
    <row r="2946" s="17" customFormat="1" hidden="1" spans="1:36">
      <c r="A2946" s="17" t="s">
        <v>34</v>
      </c>
      <c r="B2946" s="19">
        <v>896</v>
      </c>
      <c r="C2946" s="269" t="s">
        <v>1069</v>
      </c>
      <c r="D2946" s="17" t="s">
        <v>52</v>
      </c>
      <c r="E2946" s="17" t="s">
        <v>187</v>
      </c>
      <c r="F2946" s="17" t="s">
        <v>54</v>
      </c>
      <c r="H2946" s="19">
        <v>1.2311</v>
      </c>
      <c r="I2946" s="19"/>
      <c r="J2946" s="17" t="s">
        <v>82</v>
      </c>
      <c r="K2946" s="270">
        <v>455</v>
      </c>
      <c r="L2946" s="270">
        <v>32</v>
      </c>
      <c r="M2946" s="19">
        <v>2200</v>
      </c>
      <c r="N2946" s="19" t="s">
        <v>66</v>
      </c>
      <c r="O2946" s="19" t="s">
        <v>141</v>
      </c>
      <c r="P2946" s="270">
        <v>1000</v>
      </c>
      <c r="Q2946" s="19">
        <v>1000</v>
      </c>
      <c r="R2946" s="99">
        <f t="shared" si="149"/>
        <v>0</v>
      </c>
      <c r="S2946" s="19">
        <v>1090</v>
      </c>
      <c r="T2946" s="19" t="s">
        <v>42</v>
      </c>
      <c r="U2946" s="102" t="s">
        <v>1070</v>
      </c>
      <c r="V2946" s="110" t="s">
        <v>1071</v>
      </c>
      <c r="W2946" s="17" t="s">
        <v>69</v>
      </c>
      <c r="Y2946" s="68">
        <v>45039</v>
      </c>
      <c r="Z2946" s="17" t="s">
        <v>191</v>
      </c>
      <c r="AA2946" s="17" t="s">
        <v>46</v>
      </c>
      <c r="AB2946" s="17" t="s">
        <v>1026</v>
      </c>
      <c r="AC2946" s="217">
        <v>45142</v>
      </c>
      <c r="AD2946" s="65">
        <v>1417</v>
      </c>
      <c r="AE2946" s="17" t="s">
        <v>74</v>
      </c>
      <c r="AF2946" s="17" t="s">
        <v>560</v>
      </c>
      <c r="AI2946" s="17">
        <v>1100</v>
      </c>
    </row>
    <row r="2947" s="17" customFormat="1" hidden="1" spans="1:36">
      <c r="A2947" s="17" t="s">
        <v>34</v>
      </c>
      <c r="B2947" s="19">
        <v>896</v>
      </c>
      <c r="C2947" s="269" t="s">
        <v>1069</v>
      </c>
      <c r="D2947" s="17" t="s">
        <v>52</v>
      </c>
      <c r="E2947" s="17" t="s">
        <v>187</v>
      </c>
      <c r="F2947" s="17" t="s">
        <v>54</v>
      </c>
      <c r="H2947" s="19">
        <v>1.2311</v>
      </c>
      <c r="I2947" s="19"/>
      <c r="J2947" s="17" t="s">
        <v>82</v>
      </c>
      <c r="K2947" s="270">
        <v>505</v>
      </c>
      <c r="L2947" s="270">
        <v>32</v>
      </c>
      <c r="M2947" s="19">
        <v>2200</v>
      </c>
      <c r="N2947" s="19" t="s">
        <v>66</v>
      </c>
      <c r="O2947" s="19" t="s">
        <v>141</v>
      </c>
      <c r="P2947" s="270">
        <v>1000</v>
      </c>
      <c r="Q2947" s="19">
        <v>1126</v>
      </c>
      <c r="R2947" s="99">
        <f t="shared" si="149"/>
        <v>-126</v>
      </c>
      <c r="S2947" s="19">
        <v>1090</v>
      </c>
      <c r="T2947" s="19" t="s">
        <v>42</v>
      </c>
      <c r="U2947" s="102" t="s">
        <v>1070</v>
      </c>
      <c r="V2947" s="110" t="s">
        <v>1071</v>
      </c>
      <c r="W2947" s="17" t="s">
        <v>69</v>
      </c>
      <c r="Y2947" s="68">
        <v>45039</v>
      </c>
      <c r="Z2947" s="17" t="s">
        <v>191</v>
      </c>
      <c r="AA2947" s="17" t="s">
        <v>46</v>
      </c>
      <c r="AB2947" s="17" t="s">
        <v>1026</v>
      </c>
      <c r="AC2947" s="217">
        <v>45142</v>
      </c>
      <c r="AD2947" s="65">
        <v>1417</v>
      </c>
      <c r="AE2947" s="17" t="s">
        <v>74</v>
      </c>
      <c r="AF2947" s="17" t="s">
        <v>560</v>
      </c>
      <c r="AI2947" s="17">
        <v>1100</v>
      </c>
    </row>
    <row r="2948" s="17" customFormat="1" hidden="1" spans="1:36">
      <c r="A2948" s="17" t="s">
        <v>34</v>
      </c>
      <c r="B2948" s="19">
        <v>896</v>
      </c>
      <c r="C2948" s="269" t="s">
        <v>1069</v>
      </c>
      <c r="D2948" s="17" t="s">
        <v>52</v>
      </c>
      <c r="E2948" s="17" t="s">
        <v>187</v>
      </c>
      <c r="F2948" s="17" t="s">
        <v>54</v>
      </c>
      <c r="H2948" s="19">
        <v>1.2311</v>
      </c>
      <c r="I2948" s="19"/>
      <c r="J2948" s="17" t="s">
        <v>82</v>
      </c>
      <c r="K2948" s="270">
        <v>205</v>
      </c>
      <c r="L2948" s="270">
        <v>35</v>
      </c>
      <c r="M2948" s="19">
        <v>2200</v>
      </c>
      <c r="N2948" s="19" t="s">
        <v>66</v>
      </c>
      <c r="O2948" s="19" t="s">
        <v>141</v>
      </c>
      <c r="P2948" s="270">
        <v>1500</v>
      </c>
      <c r="Q2948" s="19">
        <v>1644</v>
      </c>
      <c r="R2948" s="99">
        <f t="shared" si="149"/>
        <v>-144</v>
      </c>
      <c r="S2948" s="19">
        <v>1090</v>
      </c>
      <c r="T2948" s="19" t="s">
        <v>42</v>
      </c>
      <c r="U2948" s="102" t="s">
        <v>1070</v>
      </c>
      <c r="V2948" s="110" t="s">
        <v>1071</v>
      </c>
      <c r="W2948" s="17" t="s">
        <v>69</v>
      </c>
      <c r="Y2948" s="68">
        <v>45039</v>
      </c>
      <c r="Z2948" s="17" t="s">
        <v>191</v>
      </c>
      <c r="AA2948" s="17" t="s">
        <v>46</v>
      </c>
      <c r="AB2948" s="17" t="s">
        <v>1026</v>
      </c>
      <c r="AC2948" s="217">
        <v>45142</v>
      </c>
      <c r="AD2948" s="65">
        <v>1417</v>
      </c>
      <c r="AE2948" s="17" t="s">
        <v>74</v>
      </c>
      <c r="AF2948" s="17" t="s">
        <v>560</v>
      </c>
      <c r="AI2948" s="17">
        <v>1100</v>
      </c>
    </row>
    <row r="2949" s="17" customFormat="1" hidden="1" spans="1:36">
      <c r="A2949" s="17" t="s">
        <v>34</v>
      </c>
      <c r="B2949" s="19">
        <v>896</v>
      </c>
      <c r="C2949" s="269" t="s">
        <v>1069</v>
      </c>
      <c r="D2949" s="17" t="s">
        <v>52</v>
      </c>
      <c r="E2949" s="17" t="s">
        <v>187</v>
      </c>
      <c r="F2949" s="17" t="s">
        <v>54</v>
      </c>
      <c r="H2949" s="19">
        <v>1.2311</v>
      </c>
      <c r="I2949" s="19"/>
      <c r="J2949" s="17" t="s">
        <v>82</v>
      </c>
      <c r="K2949" s="270">
        <v>255</v>
      </c>
      <c r="L2949" s="270">
        <v>35</v>
      </c>
      <c r="M2949" s="19">
        <v>2200</v>
      </c>
      <c r="N2949" s="19" t="s">
        <v>66</v>
      </c>
      <c r="O2949" s="19" t="s">
        <v>141</v>
      </c>
      <c r="P2949" s="270">
        <v>1500</v>
      </c>
      <c r="Q2949" s="19">
        <v>986</v>
      </c>
      <c r="R2949" s="99">
        <f t="shared" si="149"/>
        <v>514</v>
      </c>
      <c r="S2949" s="19">
        <v>1090</v>
      </c>
      <c r="T2949" s="19" t="s">
        <v>42</v>
      </c>
      <c r="U2949" s="102" t="s">
        <v>1070</v>
      </c>
      <c r="V2949" s="110" t="s">
        <v>1071</v>
      </c>
      <c r="W2949" s="17" t="s">
        <v>69</v>
      </c>
      <c r="Y2949" s="68">
        <v>45039</v>
      </c>
      <c r="Z2949" s="17" t="s">
        <v>191</v>
      </c>
      <c r="AA2949" s="17" t="s">
        <v>46</v>
      </c>
      <c r="AB2949" s="17" t="s">
        <v>1026</v>
      </c>
      <c r="AC2949" s="217">
        <v>45142</v>
      </c>
      <c r="AD2949" s="65">
        <v>1417</v>
      </c>
      <c r="AE2949" s="17" t="s">
        <v>74</v>
      </c>
      <c r="AF2949" s="17" t="s">
        <v>560</v>
      </c>
      <c r="AI2949" s="17">
        <v>1100</v>
      </c>
    </row>
    <row r="2950" s="17" customFormat="1" hidden="1" spans="1:36">
      <c r="A2950" s="17" t="s">
        <v>34</v>
      </c>
      <c r="B2950" s="19">
        <v>896</v>
      </c>
      <c r="C2950" s="269" t="s">
        <v>1069</v>
      </c>
      <c r="D2950" s="17" t="s">
        <v>52</v>
      </c>
      <c r="E2950" s="17" t="s">
        <v>187</v>
      </c>
      <c r="F2950" s="17" t="s">
        <v>54</v>
      </c>
      <c r="H2950" s="19">
        <v>1.2311</v>
      </c>
      <c r="I2950" s="19"/>
      <c r="J2950" s="17" t="s">
        <v>82</v>
      </c>
      <c r="K2950" s="270">
        <v>305</v>
      </c>
      <c r="L2950" s="270">
        <v>35</v>
      </c>
      <c r="M2950" s="19">
        <v>2200</v>
      </c>
      <c r="N2950" s="19" t="s">
        <v>66</v>
      </c>
      <c r="O2950" s="19" t="s">
        <v>141</v>
      </c>
      <c r="P2950" s="270">
        <v>1500</v>
      </c>
      <c r="Q2950" s="19">
        <v>1572</v>
      </c>
      <c r="R2950" s="99">
        <f t="shared" si="149"/>
        <v>-72</v>
      </c>
      <c r="S2950" s="19">
        <v>1090</v>
      </c>
      <c r="T2950" s="19" t="s">
        <v>42</v>
      </c>
      <c r="U2950" s="102" t="s">
        <v>1070</v>
      </c>
      <c r="V2950" s="110" t="s">
        <v>1071</v>
      </c>
      <c r="W2950" s="17" t="s">
        <v>69</v>
      </c>
      <c r="Y2950" s="68">
        <v>45039</v>
      </c>
      <c r="Z2950" s="17" t="s">
        <v>191</v>
      </c>
      <c r="AA2950" s="17" t="s">
        <v>46</v>
      </c>
      <c r="AB2950" s="17" t="s">
        <v>1026</v>
      </c>
      <c r="AC2950" s="217">
        <v>45142</v>
      </c>
      <c r="AD2950" s="65">
        <v>1417</v>
      </c>
      <c r="AE2950" s="17" t="s">
        <v>74</v>
      </c>
      <c r="AF2950" s="17" t="s">
        <v>560</v>
      </c>
      <c r="AI2950" s="17">
        <v>1100</v>
      </c>
    </row>
    <row r="2951" s="17" customFormat="1" hidden="1" spans="1:36">
      <c r="A2951" s="17" t="s">
        <v>34</v>
      </c>
      <c r="B2951" s="19">
        <v>896</v>
      </c>
      <c r="C2951" s="269" t="s">
        <v>1069</v>
      </c>
      <c r="D2951" s="17" t="s">
        <v>52</v>
      </c>
      <c r="E2951" s="17" t="s">
        <v>187</v>
      </c>
      <c r="F2951" s="17" t="s">
        <v>54</v>
      </c>
      <c r="H2951" s="19">
        <v>1.2311</v>
      </c>
      <c r="I2951" s="19"/>
      <c r="J2951" s="17" t="s">
        <v>82</v>
      </c>
      <c r="K2951" s="270">
        <v>355</v>
      </c>
      <c r="L2951" s="270">
        <v>35</v>
      </c>
      <c r="M2951" s="19">
        <v>2200</v>
      </c>
      <c r="N2951" s="19" t="s">
        <v>66</v>
      </c>
      <c r="O2951" s="19" t="s">
        <v>141</v>
      </c>
      <c r="P2951" s="270">
        <v>1500</v>
      </c>
      <c r="Q2951" s="19">
        <v>1613</v>
      </c>
      <c r="R2951" s="99">
        <f t="shared" si="149"/>
        <v>-113</v>
      </c>
      <c r="S2951" s="19">
        <v>1090</v>
      </c>
      <c r="T2951" s="19" t="s">
        <v>42</v>
      </c>
      <c r="U2951" s="102" t="s">
        <v>1070</v>
      </c>
      <c r="V2951" s="110" t="s">
        <v>1071</v>
      </c>
      <c r="W2951" s="17" t="s">
        <v>69</v>
      </c>
      <c r="Y2951" s="68">
        <v>45039</v>
      </c>
      <c r="Z2951" s="17" t="s">
        <v>191</v>
      </c>
      <c r="AA2951" s="17" t="s">
        <v>46</v>
      </c>
      <c r="AB2951" s="17" t="s">
        <v>1026</v>
      </c>
      <c r="AC2951" s="217">
        <v>45142</v>
      </c>
      <c r="AD2951" s="65">
        <v>1417</v>
      </c>
      <c r="AE2951" s="17" t="s">
        <v>74</v>
      </c>
      <c r="AF2951" s="17" t="s">
        <v>560</v>
      </c>
      <c r="AI2951" s="17">
        <v>1100</v>
      </c>
    </row>
    <row r="2952" s="17" customFormat="1" hidden="1" spans="1:36">
      <c r="A2952" s="17" t="s">
        <v>34</v>
      </c>
      <c r="B2952" s="19">
        <v>896</v>
      </c>
      <c r="C2952" s="269" t="s">
        <v>1069</v>
      </c>
      <c r="D2952" s="17" t="s">
        <v>52</v>
      </c>
      <c r="E2952" s="17" t="s">
        <v>187</v>
      </c>
      <c r="F2952" s="17" t="s">
        <v>54</v>
      </c>
      <c r="H2952" s="19">
        <v>1.2311</v>
      </c>
      <c r="I2952" s="19"/>
      <c r="J2952" s="17" t="s">
        <v>82</v>
      </c>
      <c r="K2952" s="270">
        <v>405</v>
      </c>
      <c r="L2952" s="270">
        <v>35</v>
      </c>
      <c r="M2952" s="19">
        <v>2200</v>
      </c>
      <c r="N2952" s="19" t="s">
        <v>66</v>
      </c>
      <c r="O2952" s="19" t="s">
        <v>141</v>
      </c>
      <c r="P2952" s="270">
        <v>1000</v>
      </c>
      <c r="Q2952" s="19">
        <v>1042</v>
      </c>
      <c r="R2952" s="99">
        <f t="shared" si="149"/>
        <v>-42</v>
      </c>
      <c r="S2952" s="19">
        <v>1090</v>
      </c>
      <c r="T2952" s="19" t="s">
        <v>42</v>
      </c>
      <c r="U2952" s="102" t="s">
        <v>1070</v>
      </c>
      <c r="V2952" s="110" t="s">
        <v>1071</v>
      </c>
      <c r="W2952" s="17" t="s">
        <v>69</v>
      </c>
      <c r="Y2952" s="68">
        <v>45039</v>
      </c>
      <c r="Z2952" s="17" t="s">
        <v>191</v>
      </c>
      <c r="AA2952" s="17" t="s">
        <v>46</v>
      </c>
      <c r="AB2952" s="17" t="s">
        <v>1026</v>
      </c>
      <c r="AC2952" s="217">
        <v>45142</v>
      </c>
      <c r="AD2952" s="65">
        <v>1417</v>
      </c>
      <c r="AE2952" s="17" t="s">
        <v>74</v>
      </c>
      <c r="AF2952" s="17" t="s">
        <v>560</v>
      </c>
      <c r="AI2952" s="17">
        <v>1100</v>
      </c>
    </row>
    <row r="2953" s="17" customFormat="1" hidden="1" spans="1:36">
      <c r="A2953" s="17" t="s">
        <v>34</v>
      </c>
      <c r="B2953" s="19">
        <v>896</v>
      </c>
      <c r="C2953" s="269" t="s">
        <v>1069</v>
      </c>
      <c r="D2953" s="17" t="s">
        <v>52</v>
      </c>
      <c r="E2953" s="17" t="s">
        <v>187</v>
      </c>
      <c r="F2953" s="17" t="s">
        <v>54</v>
      </c>
      <c r="H2953" s="19">
        <v>1.2311</v>
      </c>
      <c r="I2953" s="19"/>
      <c r="J2953" s="17" t="s">
        <v>82</v>
      </c>
      <c r="K2953" s="270">
        <v>455</v>
      </c>
      <c r="L2953" s="270">
        <v>35</v>
      </c>
      <c r="M2953" s="19">
        <v>2200</v>
      </c>
      <c r="N2953" s="19" t="s">
        <v>66</v>
      </c>
      <c r="O2953" s="19" t="s">
        <v>141</v>
      </c>
      <c r="P2953" s="270">
        <v>1000</v>
      </c>
      <c r="Q2953" s="19">
        <v>1801</v>
      </c>
      <c r="R2953" s="99">
        <f t="shared" si="149"/>
        <v>-801</v>
      </c>
      <c r="S2953" s="19">
        <v>1090</v>
      </c>
      <c r="T2953" s="19" t="s">
        <v>42</v>
      </c>
      <c r="U2953" s="102" t="s">
        <v>1070</v>
      </c>
      <c r="V2953" s="110" t="s">
        <v>1071</v>
      </c>
      <c r="W2953" s="17" t="s">
        <v>69</v>
      </c>
      <c r="Y2953" s="68">
        <v>45039</v>
      </c>
      <c r="Z2953" s="17" t="s">
        <v>191</v>
      </c>
      <c r="AA2953" s="17" t="s">
        <v>46</v>
      </c>
      <c r="AB2953" s="17" t="s">
        <v>1026</v>
      </c>
      <c r="AC2953" s="217">
        <v>45142</v>
      </c>
      <c r="AD2953" s="65">
        <v>1417</v>
      </c>
      <c r="AE2953" s="17" t="s">
        <v>74</v>
      </c>
      <c r="AF2953" s="17" t="s">
        <v>560</v>
      </c>
      <c r="AI2953" s="17">
        <v>1100</v>
      </c>
    </row>
    <row r="2954" s="17" customFormat="1" hidden="1" spans="1:36">
      <c r="B2954" s="19">
        <v>896</v>
      </c>
      <c r="C2954" s="269" t="s">
        <v>1069</v>
      </c>
      <c r="D2954" s="17" t="s">
        <v>52</v>
      </c>
      <c r="E2954" s="17" t="s">
        <v>187</v>
      </c>
      <c r="F2954" s="17" t="s">
        <v>54</v>
      </c>
      <c r="H2954" s="19">
        <v>1.2311</v>
      </c>
      <c r="I2954" s="19"/>
      <c r="J2954" s="17" t="s">
        <v>82</v>
      </c>
      <c r="K2954" s="270">
        <v>505</v>
      </c>
      <c r="L2954" s="270">
        <v>35</v>
      </c>
      <c r="M2954" s="19">
        <v>2200</v>
      </c>
      <c r="N2954" s="19" t="s">
        <v>66</v>
      </c>
      <c r="O2954" s="19" t="s">
        <v>141</v>
      </c>
      <c r="P2954" s="270">
        <v>1000</v>
      </c>
      <c r="Q2954" s="19">
        <v>0</v>
      </c>
      <c r="R2954" s="99">
        <f t="shared" si="149"/>
        <v>1000</v>
      </c>
      <c r="S2954" s="19">
        <v>1090</v>
      </c>
      <c r="T2954" s="19" t="s">
        <v>42</v>
      </c>
      <c r="U2954" s="102" t="s">
        <v>1070</v>
      </c>
      <c r="V2954" s="110" t="s">
        <v>1071</v>
      </c>
      <c r="W2954" s="17" t="s">
        <v>69</v>
      </c>
      <c r="Y2954" s="68">
        <v>45039</v>
      </c>
      <c r="Z2954" s="17" t="s">
        <v>191</v>
      </c>
      <c r="AA2954" s="17" t="s">
        <v>46</v>
      </c>
      <c r="AC2954" s="102"/>
      <c r="AD2954" s="65"/>
      <c r="AE2954" s="17" t="s">
        <v>74</v>
      </c>
      <c r="AF2954" s="17" t="s">
        <v>560</v>
      </c>
      <c r="AI2954" s="17">
        <v>1100</v>
      </c>
      <c r="AJ2954" s="17" t="s">
        <v>1072</v>
      </c>
    </row>
    <row r="2955" s="17" customFormat="1" hidden="1" spans="1:36">
      <c r="A2955" s="17" t="s">
        <v>34</v>
      </c>
      <c r="B2955" s="19">
        <v>897</v>
      </c>
      <c r="C2955" s="183" t="s">
        <v>1060</v>
      </c>
      <c r="D2955" s="17" t="s">
        <v>52</v>
      </c>
      <c r="E2955" s="17" t="s">
        <v>187</v>
      </c>
      <c r="F2955" s="17" t="s">
        <v>54</v>
      </c>
      <c r="H2955" s="19">
        <v>1.2311</v>
      </c>
      <c r="I2955" s="19"/>
      <c r="J2955" s="17" t="s">
        <v>49</v>
      </c>
      <c r="K2955" s="19">
        <v>2200</v>
      </c>
      <c r="L2955" s="91">
        <v>170</v>
      </c>
      <c r="M2955" s="19">
        <v>5000</v>
      </c>
      <c r="N2955" s="19" t="s">
        <v>66</v>
      </c>
      <c r="O2955" s="19" t="s">
        <v>141</v>
      </c>
      <c r="P2955" s="19">
        <v>14680</v>
      </c>
      <c r="Q2955" s="19">
        <v>15190</v>
      </c>
      <c r="R2955" s="19">
        <f t="shared" si="149"/>
        <v>-510</v>
      </c>
      <c r="S2955" s="19">
        <v>1135</v>
      </c>
      <c r="T2955" s="19" t="s">
        <v>42</v>
      </c>
      <c r="U2955" s="102" t="s">
        <v>1073</v>
      </c>
      <c r="V2955" s="110" t="s">
        <v>1064</v>
      </c>
      <c r="W2955" s="17" t="s">
        <v>69</v>
      </c>
      <c r="Y2955" s="68">
        <v>45039</v>
      </c>
      <c r="Z2955" s="17" t="s">
        <v>191</v>
      </c>
      <c r="AA2955" s="17" t="s">
        <v>46</v>
      </c>
      <c r="AB2955" s="17" t="s">
        <v>1041</v>
      </c>
      <c r="AC2955" s="102" t="s">
        <v>1040</v>
      </c>
      <c r="AD2955" s="65">
        <v>1410</v>
      </c>
      <c r="AE2955" s="17" t="s">
        <v>48</v>
      </c>
      <c r="AF2955" s="17" t="s">
        <v>560</v>
      </c>
      <c r="AI2955" s="17">
        <v>1165</v>
      </c>
    </row>
    <row r="2956" s="17" customFormat="1" ht="15.6" hidden="1" spans="1:36">
      <c r="A2956" s="17" t="s">
        <v>34</v>
      </c>
      <c r="B2956" s="19">
        <v>898</v>
      </c>
      <c r="C2956" s="239" t="s">
        <v>1057</v>
      </c>
      <c r="D2956" s="17" t="s">
        <v>52</v>
      </c>
      <c r="E2956" s="17" t="s">
        <v>220</v>
      </c>
      <c r="F2956" s="17" t="s">
        <v>54</v>
      </c>
      <c r="H2956" s="19">
        <v>1.2379</v>
      </c>
      <c r="I2956" s="19"/>
      <c r="J2956" s="17" t="s">
        <v>39</v>
      </c>
      <c r="K2956" s="19">
        <v>80</v>
      </c>
      <c r="L2956" s="91"/>
      <c r="M2956" s="19">
        <v>4000</v>
      </c>
      <c r="N2956" s="19" t="s">
        <v>40</v>
      </c>
      <c r="O2956" s="19" t="s">
        <v>1017</v>
      </c>
      <c r="P2956" s="271">
        <v>800</v>
      </c>
      <c r="Q2956" s="19">
        <v>450</v>
      </c>
      <c r="R2956" s="19">
        <f t="shared" si="149"/>
        <v>350</v>
      </c>
      <c r="S2956" s="19">
        <f t="shared" ref="S2956:S2977" si="150">2370-30</f>
        <v>2340</v>
      </c>
      <c r="T2956" s="19" t="s">
        <v>42</v>
      </c>
      <c r="U2956" s="102" t="s">
        <v>1074</v>
      </c>
      <c r="V2956" s="186" t="s">
        <v>1075</v>
      </c>
      <c r="W2956" s="17" t="s">
        <v>69</v>
      </c>
      <c r="Y2956" s="68">
        <v>45039</v>
      </c>
      <c r="Z2956" s="17" t="s">
        <v>191</v>
      </c>
      <c r="AA2956" s="17" t="s">
        <v>46</v>
      </c>
      <c r="AB2956" s="17" t="s">
        <v>1011</v>
      </c>
      <c r="AC2956" s="102" t="s">
        <v>1012</v>
      </c>
      <c r="AD2956" s="65">
        <v>1416</v>
      </c>
      <c r="AF2956" s="17" t="s">
        <v>560</v>
      </c>
      <c r="AI2956" s="17">
        <v>2400</v>
      </c>
    </row>
    <row r="2957" s="17" customFormat="1" ht="15.6" hidden="1" spans="1:36">
      <c r="A2957" s="17" t="s">
        <v>34</v>
      </c>
      <c r="B2957" s="19">
        <v>898</v>
      </c>
      <c r="C2957" s="239" t="s">
        <v>1057</v>
      </c>
      <c r="D2957" s="17" t="s">
        <v>52</v>
      </c>
      <c r="E2957" s="17" t="s">
        <v>220</v>
      </c>
      <c r="F2957" s="17" t="s">
        <v>54</v>
      </c>
      <c r="H2957" s="19">
        <v>1.2379</v>
      </c>
      <c r="I2957" s="19"/>
      <c r="J2957" s="17" t="s">
        <v>39</v>
      </c>
      <c r="K2957" s="19">
        <v>85</v>
      </c>
      <c r="L2957" s="91"/>
      <c r="M2957" s="19">
        <v>4000</v>
      </c>
      <c r="N2957" s="19" t="s">
        <v>40</v>
      </c>
      <c r="O2957" s="19" t="s">
        <v>1017</v>
      </c>
      <c r="P2957" s="271">
        <v>900</v>
      </c>
      <c r="Q2957" s="19">
        <v>519</v>
      </c>
      <c r="R2957" s="19">
        <f t="shared" si="149"/>
        <v>381</v>
      </c>
      <c r="S2957" s="19">
        <f t="shared" si="150"/>
        <v>2340</v>
      </c>
      <c r="T2957" s="19" t="s">
        <v>42</v>
      </c>
      <c r="U2957" s="102" t="s">
        <v>1074</v>
      </c>
      <c r="V2957" s="186" t="s">
        <v>1075</v>
      </c>
      <c r="W2957" s="17" t="s">
        <v>69</v>
      </c>
      <c r="Y2957" s="68">
        <v>45039</v>
      </c>
      <c r="Z2957" s="17" t="s">
        <v>191</v>
      </c>
      <c r="AA2957" s="17" t="s">
        <v>46</v>
      </c>
      <c r="AB2957" s="17" t="s">
        <v>1011</v>
      </c>
      <c r="AC2957" s="102" t="s">
        <v>1012</v>
      </c>
      <c r="AD2957" s="65">
        <v>1416</v>
      </c>
      <c r="AF2957" s="17" t="s">
        <v>560</v>
      </c>
      <c r="AI2957" s="17">
        <v>2400</v>
      </c>
    </row>
    <row r="2958" s="17" customFormat="1" ht="15.6" hidden="1" spans="1:36">
      <c r="B2958" s="19">
        <v>898</v>
      </c>
      <c r="C2958" s="239" t="s">
        <v>1057</v>
      </c>
      <c r="D2958" s="17" t="s">
        <v>52</v>
      </c>
      <c r="E2958" s="17" t="s">
        <v>220</v>
      </c>
      <c r="F2958" s="17" t="s">
        <v>54</v>
      </c>
      <c r="H2958" s="19">
        <v>1.2379</v>
      </c>
      <c r="I2958" s="19"/>
      <c r="J2958" s="17" t="s">
        <v>39</v>
      </c>
      <c r="K2958" s="19">
        <v>95</v>
      </c>
      <c r="L2958" s="91"/>
      <c r="M2958" s="19">
        <v>4000</v>
      </c>
      <c r="N2958" s="19" t="s">
        <v>40</v>
      </c>
      <c r="O2958" s="19" t="s">
        <v>1017</v>
      </c>
      <c r="P2958" s="271">
        <v>1100</v>
      </c>
      <c r="Q2958" s="19"/>
      <c r="R2958" s="19">
        <f t="shared" si="149"/>
        <v>1100</v>
      </c>
      <c r="S2958" s="19">
        <f t="shared" si="150"/>
        <v>2340</v>
      </c>
      <c r="T2958" s="19" t="s">
        <v>42</v>
      </c>
      <c r="U2958" s="102" t="s">
        <v>1074</v>
      </c>
      <c r="V2958" s="186" t="s">
        <v>1075</v>
      </c>
      <c r="W2958" s="17" t="s">
        <v>69</v>
      </c>
      <c r="Y2958" s="68">
        <v>45039</v>
      </c>
      <c r="Z2958" s="17" t="s">
        <v>191</v>
      </c>
      <c r="AA2958" s="17" t="s">
        <v>46</v>
      </c>
      <c r="AC2958" s="102"/>
      <c r="AD2958" s="65"/>
      <c r="AF2958" s="17" t="s">
        <v>560</v>
      </c>
      <c r="AI2958" s="17">
        <v>2400</v>
      </c>
      <c r="AJ2958" s="17" t="s">
        <v>1076</v>
      </c>
    </row>
    <row r="2959" s="17" customFormat="1" ht="15.6" hidden="1" spans="1:36">
      <c r="B2959" s="19">
        <v>898</v>
      </c>
      <c r="C2959" s="239" t="s">
        <v>1057</v>
      </c>
      <c r="D2959" s="17" t="s">
        <v>52</v>
      </c>
      <c r="E2959" s="17" t="s">
        <v>220</v>
      </c>
      <c r="F2959" s="17" t="s">
        <v>54</v>
      </c>
      <c r="H2959" s="19">
        <v>1.2379</v>
      </c>
      <c r="I2959" s="19"/>
      <c r="J2959" s="17" t="s">
        <v>82</v>
      </c>
      <c r="K2959" s="250">
        <v>205</v>
      </c>
      <c r="L2959" s="91">
        <v>26</v>
      </c>
      <c r="M2959" s="19"/>
      <c r="N2959" s="19" t="s">
        <v>40</v>
      </c>
      <c r="O2959" s="19" t="s">
        <v>168</v>
      </c>
      <c r="P2959" s="271">
        <v>500</v>
      </c>
      <c r="Q2959" s="19"/>
      <c r="R2959" s="19">
        <f t="shared" si="149"/>
        <v>500</v>
      </c>
      <c r="S2959" s="19">
        <f t="shared" si="150"/>
        <v>2340</v>
      </c>
      <c r="T2959" s="19" t="s">
        <v>42</v>
      </c>
      <c r="U2959" s="102" t="s">
        <v>1074</v>
      </c>
      <c r="V2959" s="186" t="s">
        <v>1075</v>
      </c>
      <c r="W2959" s="17" t="s">
        <v>69</v>
      </c>
      <c r="Y2959" s="68">
        <v>45039</v>
      </c>
      <c r="Z2959" s="17" t="s">
        <v>191</v>
      </c>
      <c r="AA2959" s="17" t="s">
        <v>46</v>
      </c>
      <c r="AC2959" s="102"/>
      <c r="AD2959" s="65"/>
      <c r="AE2959" s="17" t="s">
        <v>74</v>
      </c>
      <c r="AF2959" s="17" t="s">
        <v>560</v>
      </c>
      <c r="AI2959" s="17">
        <v>2400</v>
      </c>
      <c r="AJ2959" s="17" t="s">
        <v>1076</v>
      </c>
    </row>
    <row r="2960" s="17" customFormat="1" ht="15.6" hidden="1" spans="1:36">
      <c r="B2960" s="19">
        <v>898</v>
      </c>
      <c r="C2960" s="239" t="s">
        <v>1057</v>
      </c>
      <c r="D2960" s="17" t="s">
        <v>52</v>
      </c>
      <c r="E2960" s="17" t="s">
        <v>220</v>
      </c>
      <c r="F2960" s="17" t="s">
        <v>54</v>
      </c>
      <c r="H2960" s="19">
        <v>1.2379</v>
      </c>
      <c r="I2960" s="19"/>
      <c r="J2960" s="17" t="s">
        <v>82</v>
      </c>
      <c r="K2960" s="250">
        <v>255</v>
      </c>
      <c r="L2960" s="91">
        <v>26</v>
      </c>
      <c r="M2960" s="19"/>
      <c r="N2960" s="19" t="s">
        <v>40</v>
      </c>
      <c r="O2960" s="19" t="s">
        <v>168</v>
      </c>
      <c r="P2960" s="271">
        <v>500</v>
      </c>
      <c r="Q2960" s="19"/>
      <c r="R2960" s="19">
        <f t="shared" si="149"/>
        <v>500</v>
      </c>
      <c r="S2960" s="19">
        <f t="shared" si="150"/>
        <v>2340</v>
      </c>
      <c r="T2960" s="19" t="s">
        <v>42</v>
      </c>
      <c r="U2960" s="102" t="s">
        <v>1074</v>
      </c>
      <c r="V2960" s="186" t="s">
        <v>1075</v>
      </c>
      <c r="W2960" s="17" t="s">
        <v>69</v>
      </c>
      <c r="Y2960" s="68">
        <v>45039</v>
      </c>
      <c r="Z2960" s="17" t="s">
        <v>191</v>
      </c>
      <c r="AA2960" s="17" t="s">
        <v>46</v>
      </c>
      <c r="AC2960" s="102"/>
      <c r="AD2960" s="65"/>
      <c r="AE2960" s="17" t="s">
        <v>74</v>
      </c>
      <c r="AF2960" s="17" t="s">
        <v>560</v>
      </c>
      <c r="AI2960" s="17">
        <v>2400</v>
      </c>
      <c r="AJ2960" s="17" t="s">
        <v>1076</v>
      </c>
    </row>
    <row r="2961" s="17" customFormat="1" ht="15.6" hidden="1" spans="2:36">
      <c r="B2961" s="19">
        <v>898</v>
      </c>
      <c r="C2961" s="239" t="s">
        <v>1057</v>
      </c>
      <c r="D2961" s="17" t="s">
        <v>52</v>
      </c>
      <c r="E2961" s="17" t="s">
        <v>220</v>
      </c>
      <c r="F2961" s="17" t="s">
        <v>54</v>
      </c>
      <c r="H2961" s="19">
        <v>1.2379</v>
      </c>
      <c r="I2961" s="19"/>
      <c r="J2961" s="17" t="s">
        <v>82</v>
      </c>
      <c r="K2961" s="250">
        <v>155</v>
      </c>
      <c r="L2961" s="91">
        <v>32</v>
      </c>
      <c r="M2961" s="19"/>
      <c r="N2961" s="19" t="s">
        <v>40</v>
      </c>
      <c r="O2961" s="19" t="s">
        <v>168</v>
      </c>
      <c r="P2961" s="271">
        <v>1000</v>
      </c>
      <c r="Q2961" s="19"/>
      <c r="R2961" s="19">
        <f t="shared" si="149"/>
        <v>1000</v>
      </c>
      <c r="S2961" s="19">
        <f t="shared" si="150"/>
        <v>2340</v>
      </c>
      <c r="T2961" s="19" t="s">
        <v>42</v>
      </c>
      <c r="U2961" s="102" t="s">
        <v>1074</v>
      </c>
      <c r="V2961" s="186" t="s">
        <v>1075</v>
      </c>
      <c r="W2961" s="17" t="s">
        <v>69</v>
      </c>
      <c r="Y2961" s="68">
        <v>45039</v>
      </c>
      <c r="Z2961" s="17" t="s">
        <v>191</v>
      </c>
      <c r="AA2961" s="17" t="s">
        <v>46</v>
      </c>
      <c r="AC2961" s="102"/>
      <c r="AD2961" s="65"/>
      <c r="AE2961" s="17" t="s">
        <v>74</v>
      </c>
      <c r="AF2961" s="17" t="s">
        <v>560</v>
      </c>
      <c r="AI2961" s="17">
        <v>2400</v>
      </c>
      <c r="AJ2961" s="17" t="s">
        <v>1076</v>
      </c>
    </row>
    <row r="2962" s="17" customFormat="1" ht="15.6" hidden="1" spans="2:36">
      <c r="B2962" s="19">
        <v>898</v>
      </c>
      <c r="C2962" s="239" t="s">
        <v>1057</v>
      </c>
      <c r="D2962" s="17" t="s">
        <v>52</v>
      </c>
      <c r="E2962" s="17" t="s">
        <v>220</v>
      </c>
      <c r="F2962" s="17" t="s">
        <v>54</v>
      </c>
      <c r="H2962" s="19">
        <v>1.2379</v>
      </c>
      <c r="I2962" s="19"/>
      <c r="J2962" s="17" t="s">
        <v>82</v>
      </c>
      <c r="K2962" s="250">
        <v>205</v>
      </c>
      <c r="L2962" s="91">
        <v>32</v>
      </c>
      <c r="M2962" s="19"/>
      <c r="N2962" s="19" t="s">
        <v>40</v>
      </c>
      <c r="O2962" s="19" t="s">
        <v>168</v>
      </c>
      <c r="P2962" s="271">
        <v>1000</v>
      </c>
      <c r="Q2962" s="19"/>
      <c r="R2962" s="19">
        <f t="shared" si="149"/>
        <v>1000</v>
      </c>
      <c r="S2962" s="19">
        <f t="shared" si="150"/>
        <v>2340</v>
      </c>
      <c r="T2962" s="19" t="s">
        <v>42</v>
      </c>
      <c r="U2962" s="102" t="s">
        <v>1074</v>
      </c>
      <c r="V2962" s="186" t="s">
        <v>1075</v>
      </c>
      <c r="W2962" s="17" t="s">
        <v>69</v>
      </c>
      <c r="Y2962" s="68">
        <v>45039</v>
      </c>
      <c r="Z2962" s="17" t="s">
        <v>191</v>
      </c>
      <c r="AA2962" s="17" t="s">
        <v>46</v>
      </c>
      <c r="AC2962" s="102"/>
      <c r="AD2962" s="65"/>
      <c r="AE2962" s="17" t="s">
        <v>74</v>
      </c>
      <c r="AF2962" s="17" t="s">
        <v>560</v>
      </c>
      <c r="AI2962" s="17">
        <v>2400</v>
      </c>
      <c r="AJ2962" s="17" t="s">
        <v>1076</v>
      </c>
    </row>
    <row r="2963" s="17" customFormat="1" ht="15.6" hidden="1" spans="2:36">
      <c r="B2963" s="19">
        <v>898</v>
      </c>
      <c r="C2963" s="239" t="s">
        <v>1057</v>
      </c>
      <c r="D2963" s="17" t="s">
        <v>52</v>
      </c>
      <c r="E2963" s="17" t="s">
        <v>220</v>
      </c>
      <c r="F2963" s="17" t="s">
        <v>54</v>
      </c>
      <c r="H2963" s="19">
        <v>1.2379</v>
      </c>
      <c r="I2963" s="19"/>
      <c r="J2963" s="17" t="s">
        <v>82</v>
      </c>
      <c r="K2963" s="250">
        <v>255</v>
      </c>
      <c r="L2963" s="91">
        <v>32</v>
      </c>
      <c r="M2963" s="19"/>
      <c r="N2963" s="19" t="s">
        <v>40</v>
      </c>
      <c r="O2963" s="19" t="s">
        <v>168</v>
      </c>
      <c r="P2963" s="271">
        <v>1000</v>
      </c>
      <c r="Q2963" s="19"/>
      <c r="R2963" s="19">
        <f t="shared" si="149"/>
        <v>1000</v>
      </c>
      <c r="S2963" s="19">
        <f t="shared" si="150"/>
        <v>2340</v>
      </c>
      <c r="T2963" s="19" t="s">
        <v>42</v>
      </c>
      <c r="U2963" s="102" t="s">
        <v>1074</v>
      </c>
      <c r="V2963" s="186" t="s">
        <v>1075</v>
      </c>
      <c r="W2963" s="17" t="s">
        <v>69</v>
      </c>
      <c r="Y2963" s="68">
        <v>45039</v>
      </c>
      <c r="Z2963" s="17" t="s">
        <v>191</v>
      </c>
      <c r="AA2963" s="17" t="s">
        <v>46</v>
      </c>
      <c r="AC2963" s="102"/>
      <c r="AD2963" s="65"/>
      <c r="AE2963" s="17" t="s">
        <v>74</v>
      </c>
      <c r="AF2963" s="17" t="s">
        <v>560</v>
      </c>
      <c r="AI2963" s="17">
        <v>2400</v>
      </c>
      <c r="AJ2963" s="17" t="s">
        <v>1076</v>
      </c>
    </row>
    <row r="2964" s="17" customFormat="1" ht="15.6" hidden="1" spans="2:36">
      <c r="B2964" s="19">
        <v>898</v>
      </c>
      <c r="C2964" s="239" t="s">
        <v>1057</v>
      </c>
      <c r="D2964" s="17" t="s">
        <v>52</v>
      </c>
      <c r="E2964" s="17" t="s">
        <v>220</v>
      </c>
      <c r="F2964" s="17" t="s">
        <v>54</v>
      </c>
      <c r="H2964" s="19">
        <v>1.2379</v>
      </c>
      <c r="I2964" s="19"/>
      <c r="J2964" s="17" t="s">
        <v>82</v>
      </c>
      <c r="K2964" s="250">
        <v>305</v>
      </c>
      <c r="L2964" s="91">
        <v>32</v>
      </c>
      <c r="M2964" s="19"/>
      <c r="N2964" s="19" t="s">
        <v>40</v>
      </c>
      <c r="O2964" s="19" t="s">
        <v>168</v>
      </c>
      <c r="P2964" s="271">
        <v>1000</v>
      </c>
      <c r="Q2964" s="19"/>
      <c r="R2964" s="19">
        <f t="shared" si="149"/>
        <v>1000</v>
      </c>
      <c r="S2964" s="19">
        <f t="shared" si="150"/>
        <v>2340</v>
      </c>
      <c r="T2964" s="19" t="s">
        <v>42</v>
      </c>
      <c r="U2964" s="102" t="s">
        <v>1074</v>
      </c>
      <c r="V2964" s="186" t="s">
        <v>1075</v>
      </c>
      <c r="W2964" s="17" t="s">
        <v>69</v>
      </c>
      <c r="Y2964" s="68">
        <v>45039</v>
      </c>
      <c r="Z2964" s="17" t="s">
        <v>191</v>
      </c>
      <c r="AA2964" s="17" t="s">
        <v>46</v>
      </c>
      <c r="AC2964" s="102"/>
      <c r="AD2964" s="65"/>
      <c r="AE2964" s="17" t="s">
        <v>74</v>
      </c>
      <c r="AF2964" s="17" t="s">
        <v>560</v>
      </c>
      <c r="AI2964" s="17">
        <v>2400</v>
      </c>
      <c r="AJ2964" s="17" t="s">
        <v>1076</v>
      </c>
    </row>
    <row r="2965" s="17" customFormat="1" ht="15.6" hidden="1" spans="2:36">
      <c r="B2965" s="19">
        <v>898</v>
      </c>
      <c r="C2965" s="239" t="s">
        <v>1057</v>
      </c>
      <c r="D2965" s="17" t="s">
        <v>52</v>
      </c>
      <c r="E2965" s="17" t="s">
        <v>220</v>
      </c>
      <c r="F2965" s="17" t="s">
        <v>54</v>
      </c>
      <c r="H2965" s="19">
        <v>1.2379</v>
      </c>
      <c r="I2965" s="19"/>
      <c r="J2965" s="17" t="s">
        <v>82</v>
      </c>
      <c r="K2965" s="250">
        <v>355</v>
      </c>
      <c r="L2965" s="91">
        <v>32</v>
      </c>
      <c r="M2965" s="19"/>
      <c r="N2965" s="19" t="s">
        <v>40</v>
      </c>
      <c r="O2965" s="19" t="s">
        <v>168</v>
      </c>
      <c r="P2965" s="271">
        <v>1000</v>
      </c>
      <c r="Q2965" s="19"/>
      <c r="R2965" s="19">
        <f t="shared" si="149"/>
        <v>1000</v>
      </c>
      <c r="S2965" s="19">
        <f t="shared" si="150"/>
        <v>2340</v>
      </c>
      <c r="T2965" s="19" t="s">
        <v>42</v>
      </c>
      <c r="U2965" s="102" t="s">
        <v>1074</v>
      </c>
      <c r="V2965" s="186" t="s">
        <v>1075</v>
      </c>
      <c r="W2965" s="17" t="s">
        <v>69</v>
      </c>
      <c r="Y2965" s="68">
        <v>45039</v>
      </c>
      <c r="Z2965" s="17" t="s">
        <v>191</v>
      </c>
      <c r="AA2965" s="17" t="s">
        <v>46</v>
      </c>
      <c r="AC2965" s="102"/>
      <c r="AD2965" s="65"/>
      <c r="AE2965" s="17" t="s">
        <v>74</v>
      </c>
      <c r="AF2965" s="17" t="s">
        <v>560</v>
      </c>
      <c r="AI2965" s="17">
        <v>2400</v>
      </c>
      <c r="AJ2965" s="17" t="s">
        <v>1076</v>
      </c>
    </row>
    <row r="2966" s="17" customFormat="1" ht="15.6" hidden="1" spans="2:36">
      <c r="B2966" s="19">
        <v>898</v>
      </c>
      <c r="C2966" s="239" t="s">
        <v>1057</v>
      </c>
      <c r="D2966" s="17" t="s">
        <v>52</v>
      </c>
      <c r="E2966" s="17" t="s">
        <v>220</v>
      </c>
      <c r="F2966" s="17" t="s">
        <v>54</v>
      </c>
      <c r="H2966" s="19">
        <v>1.2379</v>
      </c>
      <c r="I2966" s="19"/>
      <c r="J2966" s="17" t="s">
        <v>82</v>
      </c>
      <c r="K2966" s="250">
        <v>155</v>
      </c>
      <c r="L2966" s="91">
        <v>40</v>
      </c>
      <c r="M2966" s="19"/>
      <c r="N2966" s="19" t="s">
        <v>40</v>
      </c>
      <c r="O2966" s="19" t="s">
        <v>168</v>
      </c>
      <c r="P2966" s="271">
        <v>1000</v>
      </c>
      <c r="Q2966" s="19"/>
      <c r="R2966" s="19">
        <f t="shared" ref="R2966:R2993" si="151">+P2966-Q2966</f>
        <v>1000</v>
      </c>
      <c r="S2966" s="19">
        <f t="shared" si="150"/>
        <v>2340</v>
      </c>
      <c r="T2966" s="19" t="s">
        <v>42</v>
      </c>
      <c r="U2966" s="102" t="s">
        <v>1074</v>
      </c>
      <c r="V2966" s="186" t="s">
        <v>1075</v>
      </c>
      <c r="W2966" s="17" t="s">
        <v>69</v>
      </c>
      <c r="Y2966" s="68">
        <v>45039</v>
      </c>
      <c r="Z2966" s="17" t="s">
        <v>191</v>
      </c>
      <c r="AA2966" s="17" t="s">
        <v>46</v>
      </c>
      <c r="AC2966" s="102"/>
      <c r="AD2966" s="65"/>
      <c r="AE2966" s="17" t="s">
        <v>74</v>
      </c>
      <c r="AF2966" s="17" t="s">
        <v>560</v>
      </c>
      <c r="AI2966" s="17">
        <v>2400</v>
      </c>
      <c r="AJ2966" s="17" t="s">
        <v>1076</v>
      </c>
    </row>
    <row r="2967" s="17" customFormat="1" ht="15.6" hidden="1" spans="2:36">
      <c r="B2967" s="19">
        <v>898</v>
      </c>
      <c r="C2967" s="239" t="s">
        <v>1057</v>
      </c>
      <c r="D2967" s="17" t="s">
        <v>52</v>
      </c>
      <c r="E2967" s="17" t="s">
        <v>220</v>
      </c>
      <c r="F2967" s="17" t="s">
        <v>54</v>
      </c>
      <c r="H2967" s="19">
        <v>1.2379</v>
      </c>
      <c r="I2967" s="19"/>
      <c r="J2967" s="17" t="s">
        <v>82</v>
      </c>
      <c r="K2967" s="250">
        <v>205</v>
      </c>
      <c r="L2967" s="91">
        <v>40</v>
      </c>
      <c r="M2967" s="19"/>
      <c r="N2967" s="19" t="s">
        <v>40</v>
      </c>
      <c r="O2967" s="19" t="s">
        <v>168</v>
      </c>
      <c r="P2967" s="271">
        <v>1000</v>
      </c>
      <c r="Q2967" s="19"/>
      <c r="R2967" s="19">
        <f t="shared" si="151"/>
        <v>1000</v>
      </c>
      <c r="S2967" s="19">
        <f t="shared" si="150"/>
        <v>2340</v>
      </c>
      <c r="T2967" s="19" t="s">
        <v>42</v>
      </c>
      <c r="U2967" s="102" t="s">
        <v>1074</v>
      </c>
      <c r="V2967" s="186" t="s">
        <v>1075</v>
      </c>
      <c r="W2967" s="17" t="s">
        <v>69</v>
      </c>
      <c r="Y2967" s="68">
        <v>45039</v>
      </c>
      <c r="Z2967" s="17" t="s">
        <v>191</v>
      </c>
      <c r="AA2967" s="17" t="s">
        <v>46</v>
      </c>
      <c r="AC2967" s="102"/>
      <c r="AD2967" s="65"/>
      <c r="AE2967" s="17" t="s">
        <v>74</v>
      </c>
      <c r="AF2967" s="17" t="s">
        <v>560</v>
      </c>
      <c r="AI2967" s="17">
        <v>2400</v>
      </c>
      <c r="AJ2967" s="17" t="s">
        <v>1076</v>
      </c>
    </row>
    <row r="2968" s="17" customFormat="1" ht="15.6" hidden="1" spans="2:36">
      <c r="B2968" s="19">
        <v>898</v>
      </c>
      <c r="C2968" s="239" t="s">
        <v>1057</v>
      </c>
      <c r="D2968" s="17" t="s">
        <v>52</v>
      </c>
      <c r="E2968" s="17" t="s">
        <v>220</v>
      </c>
      <c r="F2968" s="17" t="s">
        <v>54</v>
      </c>
      <c r="H2968" s="19">
        <v>1.2379</v>
      </c>
      <c r="I2968" s="19"/>
      <c r="J2968" s="17" t="s">
        <v>82</v>
      </c>
      <c r="K2968" s="250">
        <v>255</v>
      </c>
      <c r="L2968" s="91">
        <v>40</v>
      </c>
      <c r="M2968" s="19"/>
      <c r="N2968" s="19" t="s">
        <v>40</v>
      </c>
      <c r="O2968" s="19" t="s">
        <v>168</v>
      </c>
      <c r="P2968" s="271">
        <v>1000</v>
      </c>
      <c r="Q2968" s="19"/>
      <c r="R2968" s="19">
        <f t="shared" si="151"/>
        <v>1000</v>
      </c>
      <c r="S2968" s="19">
        <f t="shared" si="150"/>
        <v>2340</v>
      </c>
      <c r="T2968" s="19" t="s">
        <v>42</v>
      </c>
      <c r="U2968" s="102" t="s">
        <v>1074</v>
      </c>
      <c r="V2968" s="186" t="s">
        <v>1075</v>
      </c>
      <c r="W2968" s="17" t="s">
        <v>69</v>
      </c>
      <c r="Y2968" s="68">
        <v>45039</v>
      </c>
      <c r="Z2968" s="17" t="s">
        <v>191</v>
      </c>
      <c r="AA2968" s="17" t="s">
        <v>46</v>
      </c>
      <c r="AC2968" s="102"/>
      <c r="AD2968" s="65"/>
      <c r="AE2968" s="17" t="s">
        <v>74</v>
      </c>
      <c r="AF2968" s="17" t="s">
        <v>560</v>
      </c>
      <c r="AI2968" s="17">
        <v>2400</v>
      </c>
      <c r="AJ2968" s="17" t="s">
        <v>1076</v>
      </c>
    </row>
    <row r="2969" s="17" customFormat="1" ht="15.6" hidden="1" spans="2:36">
      <c r="B2969" s="19">
        <v>898</v>
      </c>
      <c r="C2969" s="239" t="s">
        <v>1057</v>
      </c>
      <c r="D2969" s="17" t="s">
        <v>52</v>
      </c>
      <c r="E2969" s="17" t="s">
        <v>220</v>
      </c>
      <c r="F2969" s="17" t="s">
        <v>54</v>
      </c>
      <c r="H2969" s="19">
        <v>1.2379</v>
      </c>
      <c r="I2969" s="19"/>
      <c r="J2969" s="17" t="s">
        <v>82</v>
      </c>
      <c r="K2969" s="250">
        <v>305</v>
      </c>
      <c r="L2969" s="91">
        <v>40</v>
      </c>
      <c r="M2969" s="19"/>
      <c r="N2969" s="19" t="s">
        <v>40</v>
      </c>
      <c r="O2969" s="19" t="s">
        <v>168</v>
      </c>
      <c r="P2969" s="271">
        <v>1000</v>
      </c>
      <c r="Q2969" s="19"/>
      <c r="R2969" s="19">
        <f t="shared" si="151"/>
        <v>1000</v>
      </c>
      <c r="S2969" s="19">
        <f t="shared" si="150"/>
        <v>2340</v>
      </c>
      <c r="T2969" s="19" t="s">
        <v>42</v>
      </c>
      <c r="U2969" s="102" t="s">
        <v>1074</v>
      </c>
      <c r="V2969" s="186" t="s">
        <v>1075</v>
      </c>
      <c r="W2969" s="17" t="s">
        <v>69</v>
      </c>
      <c r="Y2969" s="68">
        <v>45039</v>
      </c>
      <c r="Z2969" s="17" t="s">
        <v>191</v>
      </c>
      <c r="AA2969" s="17" t="s">
        <v>46</v>
      </c>
      <c r="AC2969" s="102"/>
      <c r="AD2969" s="65"/>
      <c r="AE2969" s="17" t="s">
        <v>74</v>
      </c>
      <c r="AF2969" s="17" t="s">
        <v>560</v>
      </c>
      <c r="AI2969" s="17">
        <v>2400</v>
      </c>
      <c r="AJ2969" s="17" t="s">
        <v>1076</v>
      </c>
    </row>
    <row r="2970" s="17" customFormat="1" ht="15.6" hidden="1" spans="2:36">
      <c r="B2970" s="19">
        <v>898</v>
      </c>
      <c r="C2970" s="239" t="s">
        <v>1057</v>
      </c>
      <c r="D2970" s="17" t="s">
        <v>52</v>
      </c>
      <c r="E2970" s="17" t="s">
        <v>220</v>
      </c>
      <c r="F2970" s="17" t="s">
        <v>54</v>
      </c>
      <c r="H2970" s="19">
        <v>1.2379</v>
      </c>
      <c r="I2970" s="19"/>
      <c r="J2970" s="17" t="s">
        <v>82</v>
      </c>
      <c r="K2970" s="250">
        <v>355</v>
      </c>
      <c r="L2970" s="91">
        <v>40</v>
      </c>
      <c r="M2970" s="19"/>
      <c r="N2970" s="19" t="s">
        <v>40</v>
      </c>
      <c r="O2970" s="19" t="s">
        <v>168</v>
      </c>
      <c r="P2970" s="271">
        <v>1000</v>
      </c>
      <c r="Q2970" s="19"/>
      <c r="R2970" s="19">
        <f t="shared" si="151"/>
        <v>1000</v>
      </c>
      <c r="S2970" s="19">
        <f t="shared" si="150"/>
        <v>2340</v>
      </c>
      <c r="T2970" s="19" t="s">
        <v>42</v>
      </c>
      <c r="U2970" s="102" t="s">
        <v>1074</v>
      </c>
      <c r="V2970" s="186" t="s">
        <v>1075</v>
      </c>
      <c r="W2970" s="17" t="s">
        <v>69</v>
      </c>
      <c r="Y2970" s="68">
        <v>45039</v>
      </c>
      <c r="Z2970" s="17" t="s">
        <v>191</v>
      </c>
      <c r="AA2970" s="17" t="s">
        <v>46</v>
      </c>
      <c r="AC2970" s="102"/>
      <c r="AD2970" s="65"/>
      <c r="AE2970" s="17" t="s">
        <v>74</v>
      </c>
      <c r="AF2970" s="17" t="s">
        <v>560</v>
      </c>
      <c r="AI2970" s="17">
        <v>2400</v>
      </c>
      <c r="AJ2970" s="17" t="s">
        <v>1076</v>
      </c>
    </row>
    <row r="2971" s="17" customFormat="1" ht="15.6" hidden="1" spans="2:36">
      <c r="B2971" s="19">
        <v>898</v>
      </c>
      <c r="C2971" s="239" t="s">
        <v>1057</v>
      </c>
      <c r="D2971" s="17" t="s">
        <v>52</v>
      </c>
      <c r="E2971" s="17" t="s">
        <v>220</v>
      </c>
      <c r="F2971" s="17" t="s">
        <v>54</v>
      </c>
      <c r="H2971" s="19">
        <v>1.2379</v>
      </c>
      <c r="I2971" s="19"/>
      <c r="J2971" s="17" t="s">
        <v>82</v>
      </c>
      <c r="K2971" s="250">
        <v>405</v>
      </c>
      <c r="L2971" s="91">
        <v>40</v>
      </c>
      <c r="M2971" s="19"/>
      <c r="N2971" s="19" t="s">
        <v>40</v>
      </c>
      <c r="O2971" s="19" t="s">
        <v>168</v>
      </c>
      <c r="P2971" s="271">
        <v>1000</v>
      </c>
      <c r="Q2971" s="19"/>
      <c r="R2971" s="19">
        <f t="shared" si="151"/>
        <v>1000</v>
      </c>
      <c r="S2971" s="19">
        <f t="shared" si="150"/>
        <v>2340</v>
      </c>
      <c r="T2971" s="19" t="s">
        <v>42</v>
      </c>
      <c r="U2971" s="102" t="s">
        <v>1074</v>
      </c>
      <c r="V2971" s="186" t="s">
        <v>1075</v>
      </c>
      <c r="W2971" s="17" t="s">
        <v>69</v>
      </c>
      <c r="Y2971" s="68">
        <v>45039</v>
      </c>
      <c r="Z2971" s="17" t="s">
        <v>191</v>
      </c>
      <c r="AA2971" s="17" t="s">
        <v>46</v>
      </c>
      <c r="AC2971" s="102"/>
      <c r="AD2971" s="65"/>
      <c r="AE2971" s="17" t="s">
        <v>74</v>
      </c>
      <c r="AF2971" s="17" t="s">
        <v>560</v>
      </c>
      <c r="AI2971" s="17">
        <v>2400</v>
      </c>
      <c r="AJ2971" s="17" t="s">
        <v>1076</v>
      </c>
    </row>
    <row r="2972" s="17" customFormat="1" ht="15.6" hidden="1" spans="2:36">
      <c r="B2972" s="19">
        <v>898</v>
      </c>
      <c r="C2972" s="239" t="s">
        <v>1057</v>
      </c>
      <c r="D2972" s="17" t="s">
        <v>52</v>
      </c>
      <c r="E2972" s="17" t="s">
        <v>220</v>
      </c>
      <c r="F2972" s="17" t="s">
        <v>54</v>
      </c>
      <c r="H2972" s="19">
        <v>1.2379</v>
      </c>
      <c r="I2972" s="19"/>
      <c r="J2972" s="17" t="s">
        <v>82</v>
      </c>
      <c r="K2972" s="250">
        <v>455</v>
      </c>
      <c r="L2972" s="91">
        <v>40</v>
      </c>
      <c r="M2972" s="19"/>
      <c r="N2972" s="19" t="s">
        <v>40</v>
      </c>
      <c r="O2972" s="19" t="s">
        <v>168</v>
      </c>
      <c r="P2972" s="271">
        <v>1000</v>
      </c>
      <c r="Q2972" s="19"/>
      <c r="R2972" s="19">
        <f t="shared" si="151"/>
        <v>1000</v>
      </c>
      <c r="S2972" s="19">
        <f t="shared" si="150"/>
        <v>2340</v>
      </c>
      <c r="T2972" s="19" t="s">
        <v>42</v>
      </c>
      <c r="U2972" s="102" t="s">
        <v>1074</v>
      </c>
      <c r="V2972" s="186" t="s">
        <v>1075</v>
      </c>
      <c r="W2972" s="17" t="s">
        <v>69</v>
      </c>
      <c r="Y2972" s="68">
        <v>45039</v>
      </c>
      <c r="Z2972" s="17" t="s">
        <v>191</v>
      </c>
      <c r="AA2972" s="17" t="s">
        <v>46</v>
      </c>
      <c r="AC2972" s="102"/>
      <c r="AD2972" s="65"/>
      <c r="AE2972" s="17" t="s">
        <v>74</v>
      </c>
      <c r="AF2972" s="17" t="s">
        <v>560</v>
      </c>
      <c r="AI2972" s="17">
        <v>2400</v>
      </c>
      <c r="AJ2972" s="17" t="s">
        <v>1076</v>
      </c>
    </row>
    <row r="2973" s="17" customFormat="1" ht="15.6" hidden="1" spans="2:36">
      <c r="B2973" s="19">
        <v>898</v>
      </c>
      <c r="C2973" s="239" t="s">
        <v>1057</v>
      </c>
      <c r="D2973" s="17" t="s">
        <v>52</v>
      </c>
      <c r="E2973" s="17" t="s">
        <v>220</v>
      </c>
      <c r="F2973" s="17" t="s">
        <v>54</v>
      </c>
      <c r="H2973" s="19">
        <v>1.2379</v>
      </c>
      <c r="I2973" s="19"/>
      <c r="J2973" s="17" t="s">
        <v>82</v>
      </c>
      <c r="K2973" s="250">
        <v>155</v>
      </c>
      <c r="L2973" s="91">
        <v>50</v>
      </c>
      <c r="M2973" s="19"/>
      <c r="N2973" s="19" t="s">
        <v>40</v>
      </c>
      <c r="O2973" s="19" t="s">
        <v>168</v>
      </c>
      <c r="P2973" s="271">
        <v>1000</v>
      </c>
      <c r="Q2973" s="19"/>
      <c r="R2973" s="19">
        <f t="shared" si="151"/>
        <v>1000</v>
      </c>
      <c r="S2973" s="19">
        <f t="shared" si="150"/>
        <v>2340</v>
      </c>
      <c r="T2973" s="19" t="s">
        <v>42</v>
      </c>
      <c r="U2973" s="102" t="s">
        <v>1074</v>
      </c>
      <c r="V2973" s="186" t="s">
        <v>1075</v>
      </c>
      <c r="W2973" s="17" t="s">
        <v>69</v>
      </c>
      <c r="Y2973" s="68">
        <v>45039</v>
      </c>
      <c r="Z2973" s="17" t="s">
        <v>191</v>
      </c>
      <c r="AA2973" s="17" t="s">
        <v>46</v>
      </c>
      <c r="AC2973" s="102"/>
      <c r="AD2973" s="65"/>
      <c r="AE2973" s="17" t="s">
        <v>74</v>
      </c>
      <c r="AF2973" s="17" t="s">
        <v>560</v>
      </c>
      <c r="AI2973" s="17">
        <v>2400</v>
      </c>
      <c r="AJ2973" s="17" t="s">
        <v>1076</v>
      </c>
    </row>
    <row r="2974" s="17" customFormat="1" ht="15.6" hidden="1" spans="2:36">
      <c r="B2974" s="19">
        <v>898</v>
      </c>
      <c r="C2974" s="239" t="s">
        <v>1057</v>
      </c>
      <c r="D2974" s="17" t="s">
        <v>52</v>
      </c>
      <c r="E2974" s="17" t="s">
        <v>220</v>
      </c>
      <c r="F2974" s="17" t="s">
        <v>54</v>
      </c>
      <c r="H2974" s="19">
        <v>1.2379</v>
      </c>
      <c r="I2974" s="19"/>
      <c r="J2974" s="17" t="s">
        <v>82</v>
      </c>
      <c r="K2974" s="184">
        <v>205</v>
      </c>
      <c r="L2974" s="91">
        <v>50</v>
      </c>
      <c r="M2974" s="19"/>
      <c r="N2974" s="19" t="s">
        <v>40</v>
      </c>
      <c r="O2974" s="19" t="s">
        <v>168</v>
      </c>
      <c r="P2974" s="271">
        <v>1000</v>
      </c>
      <c r="Q2974" s="19"/>
      <c r="R2974" s="19">
        <f t="shared" si="151"/>
        <v>1000</v>
      </c>
      <c r="S2974" s="19">
        <f t="shared" si="150"/>
        <v>2340</v>
      </c>
      <c r="T2974" s="19" t="s">
        <v>42</v>
      </c>
      <c r="U2974" s="102" t="s">
        <v>1074</v>
      </c>
      <c r="V2974" s="186" t="s">
        <v>1075</v>
      </c>
      <c r="W2974" s="17" t="s">
        <v>69</v>
      </c>
      <c r="Y2974" s="68">
        <v>45039</v>
      </c>
      <c r="Z2974" s="17" t="s">
        <v>191</v>
      </c>
      <c r="AA2974" s="17" t="s">
        <v>46</v>
      </c>
      <c r="AC2974" s="102"/>
      <c r="AD2974" s="65"/>
      <c r="AE2974" s="17" t="s">
        <v>74</v>
      </c>
      <c r="AF2974" s="17" t="s">
        <v>560</v>
      </c>
      <c r="AI2974" s="17">
        <v>2400</v>
      </c>
      <c r="AJ2974" s="17" t="s">
        <v>1076</v>
      </c>
    </row>
    <row r="2975" s="17" customFormat="1" ht="15.6" hidden="1" spans="2:36">
      <c r="B2975" s="19">
        <v>898</v>
      </c>
      <c r="C2975" s="239" t="s">
        <v>1057</v>
      </c>
      <c r="D2975" s="17" t="s">
        <v>52</v>
      </c>
      <c r="E2975" s="17" t="s">
        <v>220</v>
      </c>
      <c r="F2975" s="17" t="s">
        <v>54</v>
      </c>
      <c r="H2975" s="19">
        <v>1.2379</v>
      </c>
      <c r="I2975" s="19"/>
      <c r="J2975" s="17" t="s">
        <v>82</v>
      </c>
      <c r="K2975" s="184">
        <v>255</v>
      </c>
      <c r="L2975" s="91">
        <v>50</v>
      </c>
      <c r="M2975" s="19"/>
      <c r="N2975" s="19" t="s">
        <v>40</v>
      </c>
      <c r="O2975" s="19" t="s">
        <v>168</v>
      </c>
      <c r="P2975" s="271">
        <v>1000</v>
      </c>
      <c r="Q2975" s="19"/>
      <c r="R2975" s="19">
        <f t="shared" si="151"/>
        <v>1000</v>
      </c>
      <c r="S2975" s="19">
        <f t="shared" si="150"/>
        <v>2340</v>
      </c>
      <c r="T2975" s="19" t="s">
        <v>42</v>
      </c>
      <c r="U2975" s="102" t="s">
        <v>1074</v>
      </c>
      <c r="V2975" s="186" t="s">
        <v>1075</v>
      </c>
      <c r="W2975" s="17" t="s">
        <v>69</v>
      </c>
      <c r="Y2975" s="68">
        <v>45039</v>
      </c>
      <c r="Z2975" s="17" t="s">
        <v>191</v>
      </c>
      <c r="AA2975" s="17" t="s">
        <v>46</v>
      </c>
      <c r="AC2975" s="102"/>
      <c r="AD2975" s="65"/>
      <c r="AE2975" s="17" t="s">
        <v>74</v>
      </c>
      <c r="AF2975" s="17" t="s">
        <v>560</v>
      </c>
      <c r="AI2975" s="17">
        <v>2400</v>
      </c>
      <c r="AJ2975" s="17" t="s">
        <v>1076</v>
      </c>
    </row>
    <row r="2976" s="17" customFormat="1" hidden="1" spans="2:36">
      <c r="B2976" s="19">
        <v>898</v>
      </c>
      <c r="C2976" s="239" t="s">
        <v>1057</v>
      </c>
      <c r="D2976" s="17" t="s">
        <v>52</v>
      </c>
      <c r="E2976" s="17" t="s">
        <v>220</v>
      </c>
      <c r="F2976" s="17" t="s">
        <v>54</v>
      </c>
      <c r="H2976" s="19">
        <v>1.2379</v>
      </c>
      <c r="I2976" s="19"/>
      <c r="J2976" s="17" t="s">
        <v>82</v>
      </c>
      <c r="K2976" s="19">
        <v>205</v>
      </c>
      <c r="L2976" s="91">
        <v>65</v>
      </c>
      <c r="M2976" s="19"/>
      <c r="N2976" s="19" t="s">
        <v>40</v>
      </c>
      <c r="O2976" s="19" t="s">
        <v>168</v>
      </c>
      <c r="P2976" s="19">
        <v>1000</v>
      </c>
      <c r="Q2976" s="19"/>
      <c r="R2976" s="19">
        <f t="shared" si="151"/>
        <v>1000</v>
      </c>
      <c r="S2976" s="19">
        <f t="shared" si="150"/>
        <v>2340</v>
      </c>
      <c r="T2976" s="19" t="s">
        <v>42</v>
      </c>
      <c r="U2976" s="102" t="s">
        <v>1074</v>
      </c>
      <c r="V2976" s="186" t="s">
        <v>1075</v>
      </c>
      <c r="W2976" s="17" t="s">
        <v>69</v>
      </c>
      <c r="Y2976" s="68">
        <v>45039</v>
      </c>
      <c r="Z2976" s="17" t="s">
        <v>191</v>
      </c>
      <c r="AA2976" s="17" t="s">
        <v>46</v>
      </c>
      <c r="AC2976" s="102"/>
      <c r="AD2976" s="65"/>
      <c r="AE2976" s="17" t="s">
        <v>74</v>
      </c>
      <c r="AF2976" s="17" t="s">
        <v>560</v>
      </c>
      <c r="AI2976" s="17">
        <v>2400</v>
      </c>
      <c r="AJ2976" s="17" t="s">
        <v>1076</v>
      </c>
    </row>
    <row r="2977" s="17" customFormat="1" hidden="1" spans="1:44">
      <c r="B2977" s="19">
        <v>898</v>
      </c>
      <c r="C2977" s="239" t="s">
        <v>1057</v>
      </c>
      <c r="D2977" s="17" t="s">
        <v>52</v>
      </c>
      <c r="E2977" s="17" t="s">
        <v>220</v>
      </c>
      <c r="F2977" s="17" t="s">
        <v>54</v>
      </c>
      <c r="H2977" s="19">
        <v>1.2379</v>
      </c>
      <c r="I2977" s="19"/>
      <c r="J2977" s="17" t="s">
        <v>82</v>
      </c>
      <c r="K2977" s="19">
        <v>255</v>
      </c>
      <c r="L2977" s="91">
        <v>65</v>
      </c>
      <c r="M2977" s="19"/>
      <c r="N2977" s="19" t="s">
        <v>40</v>
      </c>
      <c r="O2977" s="19" t="s">
        <v>168</v>
      </c>
      <c r="P2977" s="19">
        <v>1000</v>
      </c>
      <c r="Q2977" s="19"/>
      <c r="R2977" s="19">
        <f t="shared" si="151"/>
        <v>1000</v>
      </c>
      <c r="S2977" s="19">
        <f t="shared" si="150"/>
        <v>2340</v>
      </c>
      <c r="T2977" s="19" t="s">
        <v>42</v>
      </c>
      <c r="U2977" s="102" t="s">
        <v>1074</v>
      </c>
      <c r="V2977" s="186" t="s">
        <v>1075</v>
      </c>
      <c r="W2977" s="17" t="s">
        <v>69</v>
      </c>
      <c r="Y2977" s="68">
        <v>45039</v>
      </c>
      <c r="Z2977" s="17" t="s">
        <v>191</v>
      </c>
      <c r="AA2977" s="17" t="s">
        <v>46</v>
      </c>
      <c r="AC2977" s="102"/>
      <c r="AD2977" s="65"/>
      <c r="AE2977" s="17" t="s">
        <v>74</v>
      </c>
      <c r="AF2977" s="17" t="s">
        <v>560</v>
      </c>
      <c r="AI2977" s="17">
        <v>2400</v>
      </c>
      <c r="AJ2977" s="17" t="s">
        <v>1076</v>
      </c>
    </row>
    <row r="2978" s="21" customFormat="1" hidden="1" spans="1:44">
      <c r="A2978" s="17" t="s">
        <v>34</v>
      </c>
      <c r="B2978" s="19">
        <v>899</v>
      </c>
      <c r="C2978" s="183">
        <v>45008</v>
      </c>
      <c r="D2978" s="17" t="s">
        <v>35</v>
      </c>
      <c r="E2978" s="17" t="s">
        <v>71</v>
      </c>
      <c r="F2978" s="17" t="s">
        <v>72</v>
      </c>
      <c r="G2978" s="17"/>
      <c r="H2978" s="19">
        <v>1.2316</v>
      </c>
      <c r="I2978" s="19"/>
      <c r="J2978" s="17" t="s">
        <v>39</v>
      </c>
      <c r="K2978" s="19">
        <v>26</v>
      </c>
      <c r="L2978" s="91"/>
      <c r="M2978" s="19">
        <v>5800</v>
      </c>
      <c r="N2978" s="19" t="s">
        <v>66</v>
      </c>
      <c r="O2978" s="19" t="s">
        <v>84</v>
      </c>
      <c r="P2978" s="19">
        <v>1200</v>
      </c>
      <c r="Q2978" s="19">
        <v>1082</v>
      </c>
      <c r="R2978" s="19">
        <f t="shared" si="151"/>
        <v>118</v>
      </c>
      <c r="S2978" s="19">
        <v>3650</v>
      </c>
      <c r="T2978" s="19" t="s">
        <v>42</v>
      </c>
      <c r="U2978" s="102" t="s">
        <v>1077</v>
      </c>
      <c r="V2978" s="186">
        <v>45013</v>
      </c>
      <c r="W2978" s="17" t="s">
        <v>69</v>
      </c>
      <c r="X2978" s="17"/>
      <c r="Y2978" s="144">
        <v>45130</v>
      </c>
      <c r="Z2978" s="17" t="s">
        <v>191</v>
      </c>
      <c r="AA2978" s="17" t="s">
        <v>46</v>
      </c>
      <c r="AB2978" s="17"/>
      <c r="AC2978" s="102"/>
      <c r="AD2978" s="65">
        <v>1544</v>
      </c>
      <c r="AE2978" s="17" t="s">
        <v>74</v>
      </c>
      <c r="AF2978" s="17" t="s">
        <v>560</v>
      </c>
      <c r="AG2978" s="17"/>
      <c r="AH2978" s="17"/>
      <c r="AI2978" s="17">
        <v>3750</v>
      </c>
      <c r="AJ2978" s="17"/>
      <c r="AK2978" s="17"/>
      <c r="AL2978" s="17"/>
      <c r="AM2978" s="17"/>
      <c r="AN2978" s="17"/>
      <c r="AO2978" s="17"/>
      <c r="AP2978" s="17"/>
      <c r="AQ2978" s="17"/>
      <c r="AR2978" s="17"/>
    </row>
    <row r="2979" s="21" customFormat="1" hidden="1" spans="1:44">
      <c r="A2979" s="17" t="s">
        <v>34</v>
      </c>
      <c r="B2979" s="19">
        <v>899</v>
      </c>
      <c r="C2979" s="183">
        <v>45008</v>
      </c>
      <c r="D2979" s="17" t="s">
        <v>35</v>
      </c>
      <c r="E2979" s="17" t="s">
        <v>71</v>
      </c>
      <c r="F2979" s="17" t="s">
        <v>72</v>
      </c>
      <c r="G2979" s="17"/>
      <c r="H2979" s="19">
        <v>1.2316</v>
      </c>
      <c r="I2979" s="19"/>
      <c r="J2979" s="17" t="s">
        <v>39</v>
      </c>
      <c r="K2979" s="19">
        <v>56</v>
      </c>
      <c r="L2979" s="91"/>
      <c r="M2979" s="19">
        <v>5800</v>
      </c>
      <c r="N2979" s="19" t="s">
        <v>66</v>
      </c>
      <c r="O2979" s="19" t="s">
        <v>84</v>
      </c>
      <c r="P2979" s="19">
        <v>2400</v>
      </c>
      <c r="Q2979" s="19">
        <f>1162+1094</f>
        <v>2256</v>
      </c>
      <c r="R2979" s="19">
        <f t="shared" si="151"/>
        <v>144</v>
      </c>
      <c r="S2979" s="19">
        <v>3450</v>
      </c>
      <c r="T2979" s="19" t="s">
        <v>42</v>
      </c>
      <c r="U2979" s="102" t="s">
        <v>1077</v>
      </c>
      <c r="V2979" s="186">
        <v>45013</v>
      </c>
      <c r="W2979" s="17" t="s">
        <v>69</v>
      </c>
      <c r="X2979" s="17"/>
      <c r="Y2979" s="144">
        <v>45130</v>
      </c>
      <c r="Z2979" s="17" t="s">
        <v>191</v>
      </c>
      <c r="AA2979" s="17" t="s">
        <v>46</v>
      </c>
      <c r="AB2979" s="17"/>
      <c r="AC2979" s="102"/>
      <c r="AD2979" s="65">
        <v>1544</v>
      </c>
      <c r="AE2979" s="17" t="s">
        <v>48</v>
      </c>
      <c r="AF2979" s="17" t="s">
        <v>560</v>
      </c>
      <c r="AG2979" s="17"/>
      <c r="AH2979" s="17"/>
      <c r="AI2979" s="17">
        <v>3550</v>
      </c>
      <c r="AJ2979" s="17"/>
      <c r="AK2979" s="17"/>
      <c r="AL2979" s="17"/>
      <c r="AM2979" s="17"/>
      <c r="AN2979" s="17"/>
      <c r="AO2979" s="17"/>
      <c r="AP2979" s="17"/>
      <c r="AQ2979" s="17"/>
      <c r="AR2979" s="17"/>
    </row>
    <row r="2980" s="21" customFormat="1" hidden="1" spans="1:44">
      <c r="A2980" s="17" t="s">
        <v>34</v>
      </c>
      <c r="B2980" s="19">
        <v>899</v>
      </c>
      <c r="C2980" s="183">
        <v>45008</v>
      </c>
      <c r="D2980" s="17" t="s">
        <v>35</v>
      </c>
      <c r="E2980" s="17" t="s">
        <v>71</v>
      </c>
      <c r="F2980" s="17" t="s">
        <v>72</v>
      </c>
      <c r="G2980" s="17"/>
      <c r="H2980" s="19">
        <v>1.2316</v>
      </c>
      <c r="I2980" s="19"/>
      <c r="J2980" s="17" t="s">
        <v>39</v>
      </c>
      <c r="K2980" s="19">
        <v>61</v>
      </c>
      <c r="L2980" s="91"/>
      <c r="M2980" s="19">
        <v>5800</v>
      </c>
      <c r="N2980" s="19" t="s">
        <v>66</v>
      </c>
      <c r="O2980" s="19" t="s">
        <v>84</v>
      </c>
      <c r="P2980" s="19">
        <v>1200</v>
      </c>
      <c r="Q2980" s="19">
        <v>1182</v>
      </c>
      <c r="R2980" s="19">
        <f t="shared" si="151"/>
        <v>18</v>
      </c>
      <c r="S2980" s="19">
        <v>3450</v>
      </c>
      <c r="T2980" s="19" t="s">
        <v>42</v>
      </c>
      <c r="U2980" s="102" t="s">
        <v>1077</v>
      </c>
      <c r="V2980" s="186">
        <v>45013</v>
      </c>
      <c r="W2980" s="17" t="s">
        <v>69</v>
      </c>
      <c r="X2980" s="17"/>
      <c r="Y2980" s="144">
        <v>45130</v>
      </c>
      <c r="Z2980" s="17" t="s">
        <v>191</v>
      </c>
      <c r="AA2980" s="17" t="s">
        <v>46</v>
      </c>
      <c r="AB2980" s="17"/>
      <c r="AC2980" s="102"/>
      <c r="AD2980" s="65">
        <v>1544</v>
      </c>
      <c r="AE2980" s="17" t="s">
        <v>48</v>
      </c>
      <c r="AF2980" s="17" t="s">
        <v>560</v>
      </c>
      <c r="AG2980" s="17"/>
      <c r="AH2980" s="17"/>
      <c r="AI2980" s="17">
        <v>3550</v>
      </c>
      <c r="AJ2980" s="17"/>
      <c r="AK2980" s="17"/>
      <c r="AL2980" s="17"/>
      <c r="AM2980" s="17"/>
      <c r="AN2980" s="17"/>
      <c r="AO2980" s="17"/>
      <c r="AP2980" s="17"/>
      <c r="AQ2980" s="17"/>
      <c r="AR2980" s="17"/>
    </row>
    <row r="2981" s="21" customFormat="1" hidden="1" spans="1:44">
      <c r="A2981" s="17" t="s">
        <v>34</v>
      </c>
      <c r="B2981" s="19">
        <v>899</v>
      </c>
      <c r="C2981" s="183">
        <v>45008</v>
      </c>
      <c r="D2981" s="17" t="s">
        <v>35</v>
      </c>
      <c r="E2981" s="17" t="s">
        <v>71</v>
      </c>
      <c r="F2981" s="17" t="s">
        <v>72</v>
      </c>
      <c r="G2981" s="17"/>
      <c r="H2981" s="19">
        <v>1.2316</v>
      </c>
      <c r="I2981" s="19"/>
      <c r="J2981" s="17" t="s">
        <v>39</v>
      </c>
      <c r="K2981" s="19">
        <v>71</v>
      </c>
      <c r="L2981" s="91"/>
      <c r="M2981" s="19">
        <v>5800</v>
      </c>
      <c r="N2981" s="19" t="s">
        <v>66</v>
      </c>
      <c r="O2981" s="19" t="s">
        <v>84</v>
      </c>
      <c r="P2981" s="19">
        <v>1200</v>
      </c>
      <c r="Q2981" s="19">
        <v>1886</v>
      </c>
      <c r="R2981" s="19">
        <f t="shared" si="151"/>
        <v>-686</v>
      </c>
      <c r="S2981" s="19">
        <v>3450</v>
      </c>
      <c r="T2981" s="19" t="s">
        <v>42</v>
      </c>
      <c r="U2981" s="102" t="s">
        <v>1077</v>
      </c>
      <c r="V2981" s="186">
        <v>45013</v>
      </c>
      <c r="W2981" s="17" t="s">
        <v>69</v>
      </c>
      <c r="X2981" s="17"/>
      <c r="Y2981" s="144">
        <v>45130</v>
      </c>
      <c r="Z2981" s="17" t="s">
        <v>191</v>
      </c>
      <c r="AA2981" s="17" t="s">
        <v>46</v>
      </c>
      <c r="AB2981" s="17"/>
      <c r="AC2981" s="102"/>
      <c r="AD2981" s="65">
        <v>1544</v>
      </c>
      <c r="AE2981" s="17" t="s">
        <v>48</v>
      </c>
      <c r="AF2981" s="17" t="s">
        <v>560</v>
      </c>
      <c r="AG2981" s="17"/>
      <c r="AH2981" s="17"/>
      <c r="AI2981" s="17">
        <v>3550</v>
      </c>
      <c r="AJ2981" s="17"/>
      <c r="AK2981" s="17"/>
      <c r="AL2981" s="17"/>
      <c r="AM2981" s="17"/>
      <c r="AN2981" s="17"/>
      <c r="AO2981" s="17"/>
      <c r="AP2981" s="17"/>
      <c r="AQ2981" s="17"/>
      <c r="AR2981" s="17"/>
    </row>
    <row r="2982" s="21" customFormat="1" hidden="1" spans="1:44">
      <c r="A2982" s="17" t="s">
        <v>34</v>
      </c>
      <c r="B2982" s="19">
        <v>899</v>
      </c>
      <c r="C2982" s="183">
        <v>45008</v>
      </c>
      <c r="D2982" s="17" t="s">
        <v>35</v>
      </c>
      <c r="E2982" s="17" t="s">
        <v>71</v>
      </c>
      <c r="F2982" s="17" t="s">
        <v>72</v>
      </c>
      <c r="G2982" s="17"/>
      <c r="H2982" s="19">
        <v>1.2316</v>
      </c>
      <c r="I2982" s="19"/>
      <c r="J2982" s="17" t="s">
        <v>39</v>
      </c>
      <c r="K2982" s="19">
        <v>76</v>
      </c>
      <c r="L2982" s="91"/>
      <c r="M2982" s="19">
        <v>5800</v>
      </c>
      <c r="N2982" s="19" t="s">
        <v>66</v>
      </c>
      <c r="O2982" s="19" t="s">
        <v>84</v>
      </c>
      <c r="P2982" s="19">
        <v>1200</v>
      </c>
      <c r="Q2982" s="19">
        <v>1228</v>
      </c>
      <c r="R2982" s="19">
        <f t="shared" si="151"/>
        <v>-28</v>
      </c>
      <c r="S2982" s="19">
        <v>3450</v>
      </c>
      <c r="T2982" s="19" t="s">
        <v>42</v>
      </c>
      <c r="U2982" s="102" t="s">
        <v>1077</v>
      </c>
      <c r="V2982" s="186">
        <v>45013</v>
      </c>
      <c r="W2982" s="17" t="s">
        <v>69</v>
      </c>
      <c r="X2982" s="17"/>
      <c r="Y2982" s="144">
        <v>45130</v>
      </c>
      <c r="Z2982" s="17" t="s">
        <v>191</v>
      </c>
      <c r="AA2982" s="17" t="s">
        <v>46</v>
      </c>
      <c r="AB2982" s="17"/>
      <c r="AC2982" s="102"/>
      <c r="AD2982" s="65">
        <v>1544</v>
      </c>
      <c r="AE2982" s="17" t="s">
        <v>48</v>
      </c>
      <c r="AF2982" s="17" t="s">
        <v>560</v>
      </c>
      <c r="AG2982" s="17"/>
      <c r="AH2982" s="17"/>
      <c r="AI2982" s="17">
        <v>3550</v>
      </c>
      <c r="AJ2982" s="17"/>
      <c r="AK2982" s="17"/>
      <c r="AL2982" s="17"/>
      <c r="AM2982" s="17"/>
      <c r="AN2982" s="17"/>
      <c r="AO2982" s="17"/>
      <c r="AP2982" s="17"/>
      <c r="AQ2982" s="17"/>
      <c r="AR2982" s="17"/>
    </row>
    <row r="2983" s="21" customFormat="1" hidden="1" spans="1:44">
      <c r="A2983" s="17" t="s">
        <v>34</v>
      </c>
      <c r="B2983" s="19">
        <v>899</v>
      </c>
      <c r="C2983" s="183">
        <v>45008</v>
      </c>
      <c r="D2983" s="17" t="s">
        <v>35</v>
      </c>
      <c r="E2983" s="17" t="s">
        <v>71</v>
      </c>
      <c r="F2983" s="17" t="s">
        <v>72</v>
      </c>
      <c r="G2983" s="17"/>
      <c r="H2983" s="19">
        <v>1.2316</v>
      </c>
      <c r="I2983" s="19"/>
      <c r="J2983" s="17" t="s">
        <v>39</v>
      </c>
      <c r="K2983" s="19">
        <v>81</v>
      </c>
      <c r="L2983" s="91"/>
      <c r="M2983" s="19">
        <v>5800</v>
      </c>
      <c r="N2983" s="19" t="s">
        <v>66</v>
      </c>
      <c r="O2983" s="19" t="s">
        <v>84</v>
      </c>
      <c r="P2983" s="19">
        <v>1200</v>
      </c>
      <c r="Q2983" s="19">
        <v>1062</v>
      </c>
      <c r="R2983" s="19">
        <f t="shared" si="151"/>
        <v>138</v>
      </c>
      <c r="S2983" s="19">
        <v>3450</v>
      </c>
      <c r="T2983" s="19" t="s">
        <v>42</v>
      </c>
      <c r="U2983" s="102" t="s">
        <v>1077</v>
      </c>
      <c r="V2983" s="186">
        <v>45013</v>
      </c>
      <c r="W2983" s="17" t="s">
        <v>69</v>
      </c>
      <c r="X2983" s="17"/>
      <c r="Y2983" s="144">
        <v>45130</v>
      </c>
      <c r="Z2983" s="17" t="s">
        <v>191</v>
      </c>
      <c r="AA2983" s="17" t="s">
        <v>46</v>
      </c>
      <c r="AB2983" s="17"/>
      <c r="AC2983" s="102"/>
      <c r="AD2983" s="65">
        <v>1544</v>
      </c>
      <c r="AE2983" s="17" t="s">
        <v>390</v>
      </c>
      <c r="AF2983" s="17" t="s">
        <v>560</v>
      </c>
      <c r="AG2983" s="17"/>
      <c r="AH2983" s="17"/>
      <c r="AI2983" s="17">
        <v>3550</v>
      </c>
      <c r="AJ2983" s="17"/>
      <c r="AK2983" s="17"/>
      <c r="AL2983" s="17"/>
      <c r="AM2983" s="17"/>
      <c r="AN2983" s="17"/>
      <c r="AO2983" s="17"/>
      <c r="AP2983" s="17"/>
      <c r="AQ2983" s="17"/>
      <c r="AR2983" s="17"/>
    </row>
    <row r="2984" s="21" customFormat="1" hidden="1" spans="1:44">
      <c r="A2984" s="17" t="s">
        <v>34</v>
      </c>
      <c r="B2984" s="19">
        <v>899</v>
      </c>
      <c r="C2984" s="183">
        <v>45008</v>
      </c>
      <c r="D2984" s="17" t="s">
        <v>35</v>
      </c>
      <c r="E2984" s="17" t="s">
        <v>71</v>
      </c>
      <c r="F2984" s="17" t="s">
        <v>72</v>
      </c>
      <c r="G2984" s="17"/>
      <c r="H2984" s="19">
        <v>1.2316</v>
      </c>
      <c r="I2984" s="19"/>
      <c r="J2984" s="17" t="s">
        <v>39</v>
      </c>
      <c r="K2984" s="19">
        <v>91</v>
      </c>
      <c r="L2984" s="91"/>
      <c r="M2984" s="19">
        <v>5800</v>
      </c>
      <c r="N2984" s="19" t="s">
        <v>66</v>
      </c>
      <c r="O2984" s="19" t="s">
        <v>84</v>
      </c>
      <c r="P2984" s="19">
        <v>1000</v>
      </c>
      <c r="Q2984" s="19">
        <v>1145</v>
      </c>
      <c r="R2984" s="19">
        <f t="shared" si="151"/>
        <v>-145</v>
      </c>
      <c r="S2984" s="19">
        <v>3450</v>
      </c>
      <c r="T2984" s="19" t="s">
        <v>42</v>
      </c>
      <c r="U2984" s="102" t="s">
        <v>1077</v>
      </c>
      <c r="V2984" s="186">
        <v>45013</v>
      </c>
      <c r="W2984" s="17" t="s">
        <v>69</v>
      </c>
      <c r="X2984" s="17"/>
      <c r="Y2984" s="144">
        <v>45130</v>
      </c>
      <c r="Z2984" s="17" t="s">
        <v>191</v>
      </c>
      <c r="AA2984" s="17" t="s">
        <v>46</v>
      </c>
      <c r="AB2984" s="17"/>
      <c r="AC2984" s="102"/>
      <c r="AD2984" s="65">
        <v>1544</v>
      </c>
      <c r="AE2984" s="17" t="s">
        <v>390</v>
      </c>
      <c r="AF2984" s="17" t="s">
        <v>560</v>
      </c>
      <c r="AG2984" s="17"/>
      <c r="AH2984" s="17"/>
      <c r="AI2984" s="17">
        <v>3550</v>
      </c>
      <c r="AJ2984" s="17"/>
      <c r="AK2984" s="17"/>
      <c r="AL2984" s="17"/>
      <c r="AM2984" s="17"/>
      <c r="AN2984" s="17"/>
      <c r="AO2984" s="17"/>
      <c r="AP2984" s="17"/>
      <c r="AQ2984" s="17"/>
      <c r="AR2984" s="17"/>
    </row>
    <row r="2985" s="21" customFormat="1" hidden="1" spans="1:44">
      <c r="A2985" s="17" t="s">
        <v>34</v>
      </c>
      <c r="B2985" s="19">
        <v>899</v>
      </c>
      <c r="C2985" s="183">
        <v>45008</v>
      </c>
      <c r="D2985" s="17" t="s">
        <v>35</v>
      </c>
      <c r="E2985" s="17" t="s">
        <v>71</v>
      </c>
      <c r="F2985" s="17" t="s">
        <v>72</v>
      </c>
      <c r="G2985" s="17"/>
      <c r="H2985" s="19">
        <v>1.2316</v>
      </c>
      <c r="I2985" s="19"/>
      <c r="J2985" s="17" t="s">
        <v>39</v>
      </c>
      <c r="K2985" s="19">
        <v>101</v>
      </c>
      <c r="L2985" s="91"/>
      <c r="M2985" s="19">
        <v>5800</v>
      </c>
      <c r="N2985" s="19" t="s">
        <v>66</v>
      </c>
      <c r="O2985" s="19" t="s">
        <v>84</v>
      </c>
      <c r="P2985" s="19">
        <v>1000</v>
      </c>
      <c r="Q2985" s="19">
        <v>1305</v>
      </c>
      <c r="R2985" s="19">
        <f t="shared" si="151"/>
        <v>-305</v>
      </c>
      <c r="S2985" s="19">
        <v>3450</v>
      </c>
      <c r="T2985" s="19" t="s">
        <v>42</v>
      </c>
      <c r="U2985" s="102" t="s">
        <v>1077</v>
      </c>
      <c r="V2985" s="186">
        <v>45013</v>
      </c>
      <c r="W2985" s="17" t="s">
        <v>69</v>
      </c>
      <c r="X2985" s="17"/>
      <c r="Y2985" s="144">
        <v>45130</v>
      </c>
      <c r="Z2985" s="17" t="s">
        <v>191</v>
      </c>
      <c r="AA2985" s="17" t="s">
        <v>46</v>
      </c>
      <c r="AB2985" s="17"/>
      <c r="AC2985" s="102"/>
      <c r="AD2985" s="65">
        <v>1544</v>
      </c>
      <c r="AE2985" s="17" t="s">
        <v>390</v>
      </c>
      <c r="AF2985" s="17" t="s">
        <v>560</v>
      </c>
      <c r="AG2985" s="17"/>
      <c r="AH2985" s="17"/>
      <c r="AI2985" s="17">
        <v>3550</v>
      </c>
      <c r="AJ2985" s="17"/>
      <c r="AK2985" s="17"/>
      <c r="AL2985" s="17"/>
      <c r="AM2985" s="17"/>
      <c r="AN2985" s="17"/>
      <c r="AO2985" s="17"/>
      <c r="AP2985" s="17"/>
      <c r="AQ2985" s="17"/>
      <c r="AR2985" s="17"/>
    </row>
    <row r="2986" s="21" customFormat="1" hidden="1" spans="1:44">
      <c r="A2986" s="17" t="s">
        <v>34</v>
      </c>
      <c r="B2986" s="19">
        <v>899</v>
      </c>
      <c r="C2986" s="183">
        <v>45008</v>
      </c>
      <c r="D2986" s="17" t="s">
        <v>35</v>
      </c>
      <c r="E2986" s="17" t="s">
        <v>71</v>
      </c>
      <c r="F2986" s="17" t="s">
        <v>72</v>
      </c>
      <c r="G2986" s="17"/>
      <c r="H2986" s="19">
        <v>1.2316</v>
      </c>
      <c r="I2986" s="19"/>
      <c r="J2986" s="17" t="s">
        <v>39</v>
      </c>
      <c r="K2986" s="19">
        <v>111</v>
      </c>
      <c r="L2986" s="91"/>
      <c r="M2986" s="19">
        <v>5800</v>
      </c>
      <c r="N2986" s="19" t="s">
        <v>66</v>
      </c>
      <c r="O2986" s="19" t="s">
        <v>84</v>
      </c>
      <c r="P2986" s="19">
        <v>1000</v>
      </c>
      <c r="Q2986" s="19">
        <v>1175</v>
      </c>
      <c r="R2986" s="19">
        <f t="shared" si="151"/>
        <v>-175</v>
      </c>
      <c r="S2986" s="19">
        <v>3450</v>
      </c>
      <c r="T2986" s="19" t="s">
        <v>42</v>
      </c>
      <c r="U2986" s="102" t="s">
        <v>1077</v>
      </c>
      <c r="V2986" s="186">
        <v>45013</v>
      </c>
      <c r="W2986" s="17" t="s">
        <v>69</v>
      </c>
      <c r="X2986" s="17"/>
      <c r="Y2986" s="144">
        <v>45130</v>
      </c>
      <c r="Z2986" s="17" t="s">
        <v>191</v>
      </c>
      <c r="AA2986" s="17" t="s">
        <v>46</v>
      </c>
      <c r="AB2986" s="17"/>
      <c r="AC2986" s="102"/>
      <c r="AD2986" s="65">
        <v>1544</v>
      </c>
      <c r="AE2986" s="17" t="s">
        <v>390</v>
      </c>
      <c r="AF2986" s="17" t="s">
        <v>560</v>
      </c>
      <c r="AG2986" s="17"/>
      <c r="AH2986" s="17"/>
      <c r="AI2986" s="17">
        <v>3550</v>
      </c>
      <c r="AJ2986" s="17"/>
      <c r="AK2986" s="17"/>
      <c r="AL2986" s="17"/>
      <c r="AM2986" s="17"/>
      <c r="AN2986" s="17"/>
      <c r="AO2986" s="17"/>
      <c r="AP2986" s="17"/>
      <c r="AQ2986" s="17"/>
      <c r="AR2986" s="17"/>
    </row>
    <row r="2987" s="21" customFormat="1" hidden="1" spans="1:44">
      <c r="A2987" s="17" t="s">
        <v>34</v>
      </c>
      <c r="B2987" s="19">
        <v>899</v>
      </c>
      <c r="C2987" s="183">
        <v>45008</v>
      </c>
      <c r="D2987" s="17" t="s">
        <v>35</v>
      </c>
      <c r="E2987" s="17" t="s">
        <v>71</v>
      </c>
      <c r="F2987" s="17" t="s">
        <v>72</v>
      </c>
      <c r="G2987" s="17"/>
      <c r="H2987" s="19">
        <v>1.2316</v>
      </c>
      <c r="I2987" s="19"/>
      <c r="J2987" s="17" t="s">
        <v>39</v>
      </c>
      <c r="K2987" s="19">
        <v>121</v>
      </c>
      <c r="L2987" s="91"/>
      <c r="M2987" s="19">
        <v>5800</v>
      </c>
      <c r="N2987" s="19" t="s">
        <v>66</v>
      </c>
      <c r="O2987" s="19" t="s">
        <v>84</v>
      </c>
      <c r="P2987" s="19">
        <v>1000</v>
      </c>
      <c r="Q2987" s="19">
        <v>1230</v>
      </c>
      <c r="R2987" s="19">
        <f t="shared" si="151"/>
        <v>-230</v>
      </c>
      <c r="S2987" s="19">
        <v>3450</v>
      </c>
      <c r="T2987" s="19" t="s">
        <v>42</v>
      </c>
      <c r="U2987" s="102" t="s">
        <v>1077</v>
      </c>
      <c r="V2987" s="186">
        <v>45013</v>
      </c>
      <c r="W2987" s="17" t="s">
        <v>69</v>
      </c>
      <c r="X2987" s="17"/>
      <c r="Y2987" s="144">
        <v>45130</v>
      </c>
      <c r="Z2987" s="17" t="s">
        <v>191</v>
      </c>
      <c r="AA2987" s="17" t="s">
        <v>46</v>
      </c>
      <c r="AB2987" s="17"/>
      <c r="AC2987" s="102"/>
      <c r="AD2987" s="65">
        <v>1544</v>
      </c>
      <c r="AE2987" s="17" t="s">
        <v>390</v>
      </c>
      <c r="AF2987" s="17" t="s">
        <v>560</v>
      </c>
      <c r="AG2987" s="17"/>
      <c r="AH2987" s="17"/>
      <c r="AI2987" s="17">
        <v>3550</v>
      </c>
      <c r="AJ2987" s="17"/>
      <c r="AK2987" s="17"/>
      <c r="AL2987" s="17"/>
      <c r="AM2987" s="17"/>
      <c r="AN2987" s="17"/>
      <c r="AO2987" s="17"/>
      <c r="AP2987" s="17"/>
      <c r="AQ2987" s="17"/>
      <c r="AR2987" s="17"/>
    </row>
    <row r="2988" s="21" customFormat="1" hidden="1" spans="1:44">
      <c r="A2988" s="17" t="s">
        <v>34</v>
      </c>
      <c r="B2988" s="19">
        <v>899</v>
      </c>
      <c r="C2988" s="183">
        <v>45008</v>
      </c>
      <c r="D2988" s="17" t="s">
        <v>35</v>
      </c>
      <c r="E2988" s="17" t="s">
        <v>71</v>
      </c>
      <c r="F2988" s="17" t="s">
        <v>72</v>
      </c>
      <c r="G2988" s="17"/>
      <c r="H2988" s="19">
        <v>1.2316</v>
      </c>
      <c r="I2988" s="19"/>
      <c r="J2988" s="17" t="s">
        <v>39</v>
      </c>
      <c r="K2988" s="19">
        <v>132</v>
      </c>
      <c r="L2988" s="91"/>
      <c r="M2988" s="19">
        <v>5800</v>
      </c>
      <c r="N2988" s="19" t="s">
        <v>66</v>
      </c>
      <c r="O2988" s="19" t="s">
        <v>84</v>
      </c>
      <c r="P2988" s="19">
        <v>1000</v>
      </c>
      <c r="Q2988" s="19">
        <v>1232</v>
      </c>
      <c r="R2988" s="19">
        <f t="shared" si="151"/>
        <v>-232</v>
      </c>
      <c r="S2988" s="19">
        <v>3615</v>
      </c>
      <c r="T2988" s="19" t="s">
        <v>42</v>
      </c>
      <c r="U2988" s="102" t="s">
        <v>1077</v>
      </c>
      <c r="V2988" s="186">
        <v>45013</v>
      </c>
      <c r="W2988" s="17" t="s">
        <v>69</v>
      </c>
      <c r="X2988" s="17"/>
      <c r="Y2988" s="144">
        <v>45130</v>
      </c>
      <c r="Z2988" s="17" t="s">
        <v>191</v>
      </c>
      <c r="AA2988" s="17" t="s">
        <v>46</v>
      </c>
      <c r="AB2988" s="17"/>
      <c r="AC2988" s="102"/>
      <c r="AD2988" s="65">
        <v>1544</v>
      </c>
      <c r="AE2988" s="17" t="s">
        <v>390</v>
      </c>
      <c r="AF2988" s="17" t="s">
        <v>560</v>
      </c>
      <c r="AG2988" s="17"/>
      <c r="AH2988" s="17"/>
      <c r="AI2988" s="17">
        <v>3715</v>
      </c>
      <c r="AJ2988" s="17"/>
      <c r="AK2988" s="17"/>
      <c r="AL2988" s="17"/>
      <c r="AM2988" s="17"/>
      <c r="AN2988" s="17"/>
      <c r="AO2988" s="17"/>
      <c r="AP2988" s="17"/>
      <c r="AQ2988" s="17"/>
      <c r="AR2988" s="17"/>
    </row>
    <row r="2989" s="21" customFormat="1" hidden="1" spans="1:44">
      <c r="A2989" s="17" t="s">
        <v>34</v>
      </c>
      <c r="B2989" s="19">
        <v>899</v>
      </c>
      <c r="C2989" s="183">
        <v>45008</v>
      </c>
      <c r="D2989" s="17" t="s">
        <v>35</v>
      </c>
      <c r="E2989" s="17" t="s">
        <v>71</v>
      </c>
      <c r="F2989" s="17" t="s">
        <v>72</v>
      </c>
      <c r="G2989" s="17"/>
      <c r="H2989" s="19">
        <v>1.2316</v>
      </c>
      <c r="I2989" s="19"/>
      <c r="J2989" s="17" t="s">
        <v>39</v>
      </c>
      <c r="K2989" s="19">
        <v>151</v>
      </c>
      <c r="L2989" s="91"/>
      <c r="M2989" s="19">
        <v>5800</v>
      </c>
      <c r="N2989" s="19" t="s">
        <v>66</v>
      </c>
      <c r="O2989" s="19" t="s">
        <v>84</v>
      </c>
      <c r="P2989" s="19">
        <v>1500</v>
      </c>
      <c r="Q2989" s="19">
        <v>1542</v>
      </c>
      <c r="R2989" s="19">
        <f t="shared" si="151"/>
        <v>-42</v>
      </c>
      <c r="S2989" s="19">
        <v>3615</v>
      </c>
      <c r="T2989" s="19" t="s">
        <v>42</v>
      </c>
      <c r="U2989" s="102" t="s">
        <v>1077</v>
      </c>
      <c r="V2989" s="186">
        <v>45013</v>
      </c>
      <c r="W2989" s="17" t="s">
        <v>69</v>
      </c>
      <c r="X2989" s="17"/>
      <c r="Y2989" s="144">
        <v>45130</v>
      </c>
      <c r="Z2989" s="17" t="s">
        <v>191</v>
      </c>
      <c r="AA2989" s="17" t="s">
        <v>46</v>
      </c>
      <c r="AB2989" s="17"/>
      <c r="AC2989" s="102"/>
      <c r="AD2989" s="65">
        <v>1544</v>
      </c>
      <c r="AE2989" s="17" t="s">
        <v>390</v>
      </c>
      <c r="AF2989" s="17" t="s">
        <v>560</v>
      </c>
      <c r="AG2989" s="17"/>
      <c r="AH2989" s="17"/>
      <c r="AI2989" s="17">
        <v>3715</v>
      </c>
      <c r="AJ2989" s="17"/>
      <c r="AK2989" s="17"/>
      <c r="AL2989" s="17"/>
      <c r="AM2989" s="17"/>
      <c r="AN2989" s="17"/>
      <c r="AO2989" s="17"/>
      <c r="AP2989" s="17"/>
      <c r="AQ2989" s="17"/>
      <c r="AR2989" s="17"/>
    </row>
    <row r="2990" s="21" customFormat="1" hidden="1" spans="1:44">
      <c r="A2990" s="17" t="s">
        <v>34</v>
      </c>
      <c r="B2990" s="19">
        <v>899</v>
      </c>
      <c r="C2990" s="183">
        <v>45008</v>
      </c>
      <c r="D2990" s="17" t="s">
        <v>35</v>
      </c>
      <c r="E2990" s="17" t="s">
        <v>71</v>
      </c>
      <c r="F2990" s="17" t="s">
        <v>72</v>
      </c>
      <c r="G2990" s="17"/>
      <c r="H2990" s="19">
        <v>1.2316</v>
      </c>
      <c r="I2990" s="19"/>
      <c r="J2990" s="17" t="s">
        <v>39</v>
      </c>
      <c r="K2990" s="19">
        <v>161</v>
      </c>
      <c r="L2990" s="91"/>
      <c r="M2990" s="19">
        <v>5800</v>
      </c>
      <c r="N2990" s="19" t="s">
        <v>66</v>
      </c>
      <c r="O2990" s="19" t="s">
        <v>84</v>
      </c>
      <c r="P2990" s="19">
        <v>1500</v>
      </c>
      <c r="Q2990" s="19">
        <v>1586</v>
      </c>
      <c r="R2990" s="19">
        <f t="shared" si="151"/>
        <v>-86</v>
      </c>
      <c r="S2990" s="19">
        <v>3615</v>
      </c>
      <c r="T2990" s="19" t="s">
        <v>42</v>
      </c>
      <c r="U2990" s="102" t="s">
        <v>1077</v>
      </c>
      <c r="V2990" s="186">
        <v>45013</v>
      </c>
      <c r="W2990" s="17" t="s">
        <v>69</v>
      </c>
      <c r="X2990" s="17"/>
      <c r="Y2990" s="144">
        <v>45130</v>
      </c>
      <c r="Z2990" s="17" t="s">
        <v>191</v>
      </c>
      <c r="AA2990" s="17" t="s">
        <v>46</v>
      </c>
      <c r="AB2990" s="17"/>
      <c r="AC2990" s="102"/>
      <c r="AD2990" s="65">
        <v>1544</v>
      </c>
      <c r="AE2990" s="17" t="s">
        <v>390</v>
      </c>
      <c r="AF2990" s="17" t="s">
        <v>560</v>
      </c>
      <c r="AG2990" s="17"/>
      <c r="AH2990" s="17"/>
      <c r="AI2990" s="17">
        <v>3715</v>
      </c>
      <c r="AJ2990" s="17"/>
      <c r="AK2990" s="17"/>
      <c r="AL2990" s="17"/>
      <c r="AM2990" s="17"/>
      <c r="AN2990" s="17"/>
      <c r="AO2990" s="17"/>
      <c r="AP2990" s="17"/>
      <c r="AQ2990" s="17"/>
      <c r="AR2990" s="17"/>
    </row>
    <row r="2991" s="21" customFormat="1" hidden="1" spans="1:44">
      <c r="A2991" s="17" t="s">
        <v>34</v>
      </c>
      <c r="B2991" s="19">
        <v>899</v>
      </c>
      <c r="C2991" s="183">
        <v>45008</v>
      </c>
      <c r="D2991" s="17" t="s">
        <v>35</v>
      </c>
      <c r="E2991" s="17" t="s">
        <v>71</v>
      </c>
      <c r="F2991" s="17" t="s">
        <v>72</v>
      </c>
      <c r="G2991" s="17"/>
      <c r="H2991" s="19">
        <v>1.2316</v>
      </c>
      <c r="I2991" s="19"/>
      <c r="J2991" s="17" t="s">
        <v>39</v>
      </c>
      <c r="K2991" s="19">
        <v>172</v>
      </c>
      <c r="L2991" s="91"/>
      <c r="M2991" s="19">
        <v>5800</v>
      </c>
      <c r="N2991" s="19" t="s">
        <v>66</v>
      </c>
      <c r="O2991" s="19" t="s">
        <v>84</v>
      </c>
      <c r="P2991" s="19">
        <v>1500</v>
      </c>
      <c r="Q2991" s="19">
        <v>1586</v>
      </c>
      <c r="R2991" s="19">
        <f t="shared" si="151"/>
        <v>-86</v>
      </c>
      <c r="S2991" s="19">
        <v>3615</v>
      </c>
      <c r="T2991" s="19" t="s">
        <v>42</v>
      </c>
      <c r="U2991" s="102" t="s">
        <v>1077</v>
      </c>
      <c r="V2991" s="186">
        <v>45013</v>
      </c>
      <c r="W2991" s="17" t="s">
        <v>69</v>
      </c>
      <c r="X2991" s="17"/>
      <c r="Y2991" s="144">
        <v>45130</v>
      </c>
      <c r="Z2991" s="17" t="s">
        <v>191</v>
      </c>
      <c r="AA2991" s="17" t="s">
        <v>46</v>
      </c>
      <c r="AB2991" s="17"/>
      <c r="AC2991" s="102"/>
      <c r="AD2991" s="65">
        <v>1544</v>
      </c>
      <c r="AE2991" s="17" t="s">
        <v>390</v>
      </c>
      <c r="AF2991" s="17" t="s">
        <v>560</v>
      </c>
      <c r="AG2991" s="17"/>
      <c r="AH2991" s="17"/>
      <c r="AI2991" s="17">
        <v>3715</v>
      </c>
      <c r="AJ2991" s="17"/>
      <c r="AK2991" s="17"/>
      <c r="AL2991" s="17"/>
      <c r="AM2991" s="17"/>
      <c r="AN2991" s="17"/>
      <c r="AO2991" s="17"/>
      <c r="AP2991" s="17"/>
      <c r="AQ2991" s="17"/>
      <c r="AR2991" s="17"/>
    </row>
    <row r="2992" s="21" customFormat="1" hidden="1" spans="1:44">
      <c r="A2992" s="17" t="s">
        <v>34</v>
      </c>
      <c r="B2992" s="19">
        <v>899</v>
      </c>
      <c r="C2992" s="183">
        <v>45008</v>
      </c>
      <c r="D2992" s="17" t="s">
        <v>35</v>
      </c>
      <c r="E2992" s="17" t="s">
        <v>71</v>
      </c>
      <c r="F2992" s="17" t="s">
        <v>72</v>
      </c>
      <c r="G2992" s="17"/>
      <c r="H2992" s="19">
        <v>1.2316</v>
      </c>
      <c r="I2992" s="19"/>
      <c r="J2992" s="17" t="s">
        <v>39</v>
      </c>
      <c r="K2992" s="19">
        <v>181</v>
      </c>
      <c r="L2992" s="91"/>
      <c r="M2992" s="19">
        <v>5800</v>
      </c>
      <c r="N2992" s="19" t="s">
        <v>66</v>
      </c>
      <c r="O2992" s="19" t="s">
        <v>84</v>
      </c>
      <c r="P2992" s="19">
        <v>2000</v>
      </c>
      <c r="Q2992" s="19">
        <f>734+684+706</f>
        <v>2124</v>
      </c>
      <c r="R2992" s="19">
        <f t="shared" si="151"/>
        <v>-124</v>
      </c>
      <c r="S2992" s="19">
        <v>3615</v>
      </c>
      <c r="T2992" s="19" t="s">
        <v>42</v>
      </c>
      <c r="U2992" s="102" t="s">
        <v>1077</v>
      </c>
      <c r="V2992" s="186">
        <v>45013</v>
      </c>
      <c r="W2992" s="17" t="s">
        <v>69</v>
      </c>
      <c r="X2992" s="17"/>
      <c r="Y2992" s="144">
        <v>45130</v>
      </c>
      <c r="Z2992" s="17" t="s">
        <v>191</v>
      </c>
      <c r="AA2992" s="17" t="s">
        <v>46</v>
      </c>
      <c r="AB2992" s="17"/>
      <c r="AC2992" s="102"/>
      <c r="AD2992" s="65">
        <v>1544</v>
      </c>
      <c r="AE2992" s="17" t="s">
        <v>390</v>
      </c>
      <c r="AF2992" s="17" t="s">
        <v>560</v>
      </c>
      <c r="AG2992" s="17"/>
      <c r="AH2992" s="17"/>
      <c r="AI2992" s="17">
        <v>3715</v>
      </c>
      <c r="AJ2992" s="17"/>
      <c r="AK2992" s="17"/>
      <c r="AL2992" s="17"/>
      <c r="AM2992" s="17"/>
      <c r="AN2992" s="17"/>
      <c r="AO2992" s="17"/>
      <c r="AP2992" s="17"/>
      <c r="AQ2992" s="17"/>
      <c r="AR2992" s="17"/>
    </row>
    <row r="2993" s="21" customFormat="1" hidden="1" spans="1:44">
      <c r="A2993" s="17" t="s">
        <v>34</v>
      </c>
      <c r="B2993" s="19">
        <v>899</v>
      </c>
      <c r="C2993" s="183">
        <v>45008</v>
      </c>
      <c r="D2993" s="17" t="s">
        <v>35</v>
      </c>
      <c r="E2993" s="17" t="s">
        <v>71</v>
      </c>
      <c r="F2993" s="17" t="s">
        <v>72</v>
      </c>
      <c r="G2993" s="17"/>
      <c r="H2993" s="19">
        <v>1.2316</v>
      </c>
      <c r="I2993" s="19"/>
      <c r="J2993" s="17" t="s">
        <v>39</v>
      </c>
      <c r="K2993" s="19">
        <v>191</v>
      </c>
      <c r="L2993" s="91"/>
      <c r="M2993" s="19">
        <v>5800</v>
      </c>
      <c r="N2993" s="19" t="s">
        <v>66</v>
      </c>
      <c r="O2993" s="19" t="s">
        <v>84</v>
      </c>
      <c r="P2993" s="19">
        <v>2000</v>
      </c>
      <c r="Q2993" s="19">
        <f>1028+994</f>
        <v>2022</v>
      </c>
      <c r="R2993" s="19">
        <f t="shared" si="151"/>
        <v>-22</v>
      </c>
      <c r="S2993" s="19">
        <v>3615</v>
      </c>
      <c r="T2993" s="19" t="s">
        <v>42</v>
      </c>
      <c r="U2993" s="102" t="s">
        <v>1077</v>
      </c>
      <c r="V2993" s="186">
        <v>45013</v>
      </c>
      <c r="W2993" s="17" t="s">
        <v>69</v>
      </c>
      <c r="X2993" s="17"/>
      <c r="Y2993" s="144">
        <v>45130</v>
      </c>
      <c r="Z2993" s="17" t="s">
        <v>191</v>
      </c>
      <c r="AA2993" s="17" t="s">
        <v>46</v>
      </c>
      <c r="AB2993" s="17"/>
      <c r="AC2993" s="102"/>
      <c r="AD2993" s="65">
        <v>1544</v>
      </c>
      <c r="AE2993" s="17" t="s">
        <v>390</v>
      </c>
      <c r="AF2993" s="17" t="s">
        <v>560</v>
      </c>
      <c r="AG2993" s="17"/>
      <c r="AH2993" s="17"/>
      <c r="AI2993" s="17">
        <v>3715</v>
      </c>
      <c r="AJ2993" s="17"/>
      <c r="AK2993" s="17"/>
      <c r="AL2993" s="17"/>
      <c r="AM2993" s="17"/>
      <c r="AN2993" s="17"/>
      <c r="AO2993" s="17"/>
      <c r="AP2993" s="17"/>
      <c r="AQ2993" s="17"/>
      <c r="AR2993" s="17"/>
    </row>
    <row r="2994" s="21" customFormat="1" hidden="1" spans="1:44">
      <c r="A2994" s="17" t="s">
        <v>34</v>
      </c>
      <c r="B2994" s="19">
        <v>899</v>
      </c>
      <c r="C2994" s="183">
        <v>45008</v>
      </c>
      <c r="D2994" s="17" t="s">
        <v>35</v>
      </c>
      <c r="E2994" s="17" t="s">
        <v>71</v>
      </c>
      <c r="F2994" s="17" t="s">
        <v>72</v>
      </c>
      <c r="G2994" s="17"/>
      <c r="H2994" s="19">
        <v>1.2083</v>
      </c>
      <c r="I2994" s="19"/>
      <c r="J2994" s="17" t="s">
        <v>39</v>
      </c>
      <c r="K2994" s="19">
        <v>130</v>
      </c>
      <c r="L2994" s="91"/>
      <c r="M2994" s="19">
        <v>5800</v>
      </c>
      <c r="N2994" s="19" t="s">
        <v>40</v>
      </c>
      <c r="O2994" s="19" t="s">
        <v>84</v>
      </c>
      <c r="P2994" s="19"/>
      <c r="Q2994" s="19">
        <v>998</v>
      </c>
      <c r="R2994" s="19"/>
      <c r="S2994" s="19">
        <v>2350</v>
      </c>
      <c r="T2994" s="19" t="s">
        <v>42</v>
      </c>
      <c r="U2994" s="102" t="s">
        <v>1077</v>
      </c>
      <c r="V2994" s="186">
        <v>45013</v>
      </c>
      <c r="W2994" s="17" t="s">
        <v>69</v>
      </c>
      <c r="X2994" s="17"/>
      <c r="Y2994" s="144">
        <v>45130</v>
      </c>
      <c r="Z2994" s="17" t="s">
        <v>191</v>
      </c>
      <c r="AA2994" s="17" t="s">
        <v>46</v>
      </c>
      <c r="AB2994" s="17"/>
      <c r="AC2994" s="102"/>
      <c r="AD2994" s="65">
        <v>1544</v>
      </c>
      <c r="AE2994" s="17" t="s">
        <v>48</v>
      </c>
      <c r="AF2994" s="17"/>
      <c r="AG2994" s="17"/>
      <c r="AH2994" s="17"/>
      <c r="AI2994" s="17"/>
      <c r="AJ2994" s="17"/>
      <c r="AK2994" s="17"/>
      <c r="AL2994" s="17"/>
      <c r="AM2994" s="17"/>
      <c r="AN2994" s="17"/>
      <c r="AO2994" s="17"/>
      <c r="AP2994" s="17"/>
      <c r="AQ2994" s="17"/>
      <c r="AR2994" s="17"/>
    </row>
    <row r="2995" s="17" customFormat="1" hidden="1" spans="1:44">
      <c r="A2995" s="17" t="s">
        <v>34</v>
      </c>
      <c r="B2995" s="19">
        <v>900</v>
      </c>
      <c r="C2995" s="183" t="s">
        <v>1078</v>
      </c>
      <c r="D2995" s="17" t="s">
        <v>109</v>
      </c>
      <c r="E2995" s="17" t="s">
        <v>110</v>
      </c>
      <c r="F2995" s="17" t="s">
        <v>72</v>
      </c>
      <c r="H2995" s="19">
        <v>1.2379</v>
      </c>
      <c r="I2995" s="19"/>
      <c r="J2995" s="17" t="s">
        <v>39</v>
      </c>
      <c r="K2995" s="19">
        <v>121</v>
      </c>
      <c r="L2995" s="91"/>
      <c r="M2995" s="19">
        <v>5800</v>
      </c>
      <c r="N2995" s="19" t="s">
        <v>40</v>
      </c>
      <c r="O2995" s="19" t="s">
        <v>50</v>
      </c>
      <c r="P2995" s="19">
        <v>5000</v>
      </c>
      <c r="Q2995" s="19">
        <f>2025+2070</f>
        <v>4095</v>
      </c>
      <c r="S2995" s="19">
        <v>2750</v>
      </c>
      <c r="T2995" s="19" t="s">
        <v>42</v>
      </c>
      <c r="U2995" s="102" t="s">
        <v>1079</v>
      </c>
      <c r="V2995" s="186" t="s">
        <v>1080</v>
      </c>
      <c r="W2995" s="17" t="s">
        <v>69</v>
      </c>
      <c r="Y2995" s="68">
        <v>45100</v>
      </c>
      <c r="Z2995" s="17" t="s">
        <v>1081</v>
      </c>
      <c r="AA2995" s="17" t="s">
        <v>46</v>
      </c>
      <c r="AB2995" s="17" t="s">
        <v>1082</v>
      </c>
      <c r="AC2995" s="102" t="s">
        <v>1083</v>
      </c>
      <c r="AD2995" s="65">
        <v>1462</v>
      </c>
      <c r="AE2995" s="17" t="s">
        <v>1084</v>
      </c>
    </row>
    <row r="2996" s="17" customFormat="1" hidden="1" spans="1:44">
      <c r="A2996" s="17" t="s">
        <v>34</v>
      </c>
      <c r="B2996" s="19">
        <v>900</v>
      </c>
      <c r="C2996" s="183" t="s">
        <v>1078</v>
      </c>
      <c r="D2996" s="17" t="s">
        <v>109</v>
      </c>
      <c r="E2996" s="17" t="s">
        <v>110</v>
      </c>
      <c r="F2996" s="17" t="s">
        <v>72</v>
      </c>
      <c r="H2996" s="19">
        <v>1.2379</v>
      </c>
      <c r="I2996" s="19"/>
      <c r="J2996" s="17" t="s">
        <v>39</v>
      </c>
      <c r="K2996" s="19">
        <v>121</v>
      </c>
      <c r="L2996" s="91"/>
      <c r="M2996" s="19">
        <v>5800</v>
      </c>
      <c r="N2996" s="19" t="s">
        <v>40</v>
      </c>
      <c r="O2996" s="19" t="s">
        <v>50</v>
      </c>
      <c r="P2996" s="19"/>
      <c r="Q2996" s="19">
        <v>2075</v>
      </c>
      <c r="R2996" s="19">
        <f>+P2995-Q2995-Q2996</f>
        <v>-1170</v>
      </c>
      <c r="S2996" s="19">
        <v>2750</v>
      </c>
      <c r="T2996" s="19" t="s">
        <v>42</v>
      </c>
      <c r="U2996" s="102" t="s">
        <v>1079</v>
      </c>
      <c r="V2996" s="186" t="s">
        <v>1080</v>
      </c>
      <c r="W2996" s="17" t="s">
        <v>69</v>
      </c>
      <c r="Y2996" s="68">
        <v>45100</v>
      </c>
      <c r="Z2996" s="17" t="s">
        <v>1081</v>
      </c>
      <c r="AA2996" s="17" t="s">
        <v>46</v>
      </c>
      <c r="AB2996" s="17" t="s">
        <v>1085</v>
      </c>
      <c r="AC2996" s="102" t="s">
        <v>1086</v>
      </c>
      <c r="AD2996" s="65">
        <v>1491</v>
      </c>
    </row>
    <row r="2997" s="17" customFormat="1" hidden="1" spans="1:44">
      <c r="A2997" s="17" t="s">
        <v>34</v>
      </c>
      <c r="B2997" s="19">
        <v>900</v>
      </c>
      <c r="C2997" s="183" t="s">
        <v>1078</v>
      </c>
      <c r="D2997" s="17" t="s">
        <v>109</v>
      </c>
      <c r="E2997" s="17" t="s">
        <v>110</v>
      </c>
      <c r="F2997" s="17" t="s">
        <v>72</v>
      </c>
      <c r="H2997" s="19">
        <v>1.2379</v>
      </c>
      <c r="I2997" s="19"/>
      <c r="J2997" s="17" t="s">
        <v>39</v>
      </c>
      <c r="K2997" s="19">
        <v>123</v>
      </c>
      <c r="L2997" s="91"/>
      <c r="M2997" s="19">
        <v>5800</v>
      </c>
      <c r="N2997" s="19" t="s">
        <v>40</v>
      </c>
      <c r="O2997" s="19" t="s">
        <v>50</v>
      </c>
      <c r="P2997" s="19">
        <v>2000</v>
      </c>
      <c r="Q2997" s="19">
        <v>2530</v>
      </c>
      <c r="R2997" s="19">
        <f t="shared" ref="R2997:R3003" si="152">+P2997-Q2997</f>
        <v>-530</v>
      </c>
      <c r="S2997" s="19">
        <v>2750</v>
      </c>
      <c r="T2997" s="19" t="s">
        <v>42</v>
      </c>
      <c r="U2997" s="102" t="s">
        <v>1079</v>
      </c>
      <c r="V2997" s="186" t="s">
        <v>1080</v>
      </c>
      <c r="W2997" s="17" t="s">
        <v>69</v>
      </c>
      <c r="Y2997" s="68">
        <v>45100</v>
      </c>
      <c r="Z2997" s="17" t="s">
        <v>1081</v>
      </c>
      <c r="AA2997" s="17" t="s">
        <v>46</v>
      </c>
      <c r="AB2997" s="17" t="s">
        <v>1085</v>
      </c>
      <c r="AC2997" s="102" t="s">
        <v>1086</v>
      </c>
      <c r="AD2997" s="65">
        <v>1491</v>
      </c>
      <c r="AE2997" s="17" t="s">
        <v>74</v>
      </c>
    </row>
    <row r="2998" s="17" customFormat="1" hidden="1" spans="1:44">
      <c r="A2998" s="17" t="s">
        <v>34</v>
      </c>
      <c r="B2998" s="19">
        <v>900</v>
      </c>
      <c r="C2998" s="183" t="s">
        <v>1078</v>
      </c>
      <c r="D2998" s="17" t="s">
        <v>109</v>
      </c>
      <c r="E2998" s="17" t="s">
        <v>110</v>
      </c>
      <c r="F2998" s="17" t="s">
        <v>72</v>
      </c>
      <c r="H2998" s="19">
        <v>1.2379</v>
      </c>
      <c r="I2998" s="19"/>
      <c r="J2998" s="17" t="s">
        <v>39</v>
      </c>
      <c r="K2998" s="19">
        <v>126</v>
      </c>
      <c r="L2998" s="91"/>
      <c r="M2998" s="19">
        <v>5800</v>
      </c>
      <c r="N2998" s="19" t="s">
        <v>40</v>
      </c>
      <c r="O2998" s="19" t="s">
        <v>50</v>
      </c>
      <c r="P2998" s="19">
        <v>1000</v>
      </c>
      <c r="Q2998" s="19">
        <v>1275</v>
      </c>
      <c r="R2998" s="19">
        <f t="shared" si="152"/>
        <v>-275</v>
      </c>
      <c r="S2998" s="19">
        <v>2750</v>
      </c>
      <c r="T2998" s="19" t="s">
        <v>42</v>
      </c>
      <c r="U2998" s="102" t="s">
        <v>1079</v>
      </c>
      <c r="V2998" s="186" t="s">
        <v>1080</v>
      </c>
      <c r="W2998" s="17" t="s">
        <v>69</v>
      </c>
      <c r="Y2998" s="68">
        <v>45100</v>
      </c>
      <c r="Z2998" s="17" t="s">
        <v>1081</v>
      </c>
      <c r="AA2998" s="17" t="s">
        <v>46</v>
      </c>
      <c r="AB2998" s="17" t="s">
        <v>1082</v>
      </c>
      <c r="AC2998" s="102" t="s">
        <v>1083</v>
      </c>
      <c r="AD2998" s="65">
        <v>1462</v>
      </c>
      <c r="AE2998" s="17" t="s">
        <v>631</v>
      </c>
    </row>
    <row r="2999" s="17" customFormat="1" hidden="1" spans="1:44">
      <c r="A2999" s="17" t="s">
        <v>34</v>
      </c>
      <c r="B2999" s="19">
        <v>900</v>
      </c>
      <c r="C2999" s="183" t="s">
        <v>1078</v>
      </c>
      <c r="D2999" s="17" t="s">
        <v>109</v>
      </c>
      <c r="E2999" s="17" t="s">
        <v>110</v>
      </c>
      <c r="F2999" s="17" t="s">
        <v>72</v>
      </c>
      <c r="H2999" s="19">
        <v>1.2379</v>
      </c>
      <c r="I2999" s="19"/>
      <c r="J2999" s="17" t="s">
        <v>39</v>
      </c>
      <c r="K2999" s="19">
        <v>132</v>
      </c>
      <c r="L2999" s="91"/>
      <c r="M2999" s="19">
        <v>5800</v>
      </c>
      <c r="N2999" s="19" t="s">
        <v>40</v>
      </c>
      <c r="O2999" s="19" t="s">
        <v>50</v>
      </c>
      <c r="P2999" s="19">
        <v>2000</v>
      </c>
      <c r="Q2999" s="19">
        <v>2305</v>
      </c>
      <c r="R2999" s="19">
        <f t="shared" si="152"/>
        <v>-305</v>
      </c>
      <c r="S2999" s="19">
        <v>2750</v>
      </c>
      <c r="T2999" s="19" t="s">
        <v>42</v>
      </c>
      <c r="U2999" s="102" t="s">
        <v>1079</v>
      </c>
      <c r="V2999" s="186" t="s">
        <v>1080</v>
      </c>
      <c r="W2999" s="17" t="s">
        <v>69</v>
      </c>
      <c r="Y2999" s="68">
        <v>45100</v>
      </c>
      <c r="Z2999" s="17" t="s">
        <v>1081</v>
      </c>
      <c r="AA2999" s="17" t="s">
        <v>46</v>
      </c>
      <c r="AB2999" s="17" t="s">
        <v>1085</v>
      </c>
      <c r="AC2999" s="102" t="s">
        <v>1086</v>
      </c>
      <c r="AD2999" s="65">
        <v>1491</v>
      </c>
      <c r="AE2999" s="17" t="s">
        <v>1087</v>
      </c>
    </row>
    <row r="3000" s="17" customFormat="1" hidden="1" spans="1:44">
      <c r="A3000" s="17" t="s">
        <v>34</v>
      </c>
      <c r="B3000" s="19">
        <v>900</v>
      </c>
      <c r="C3000" s="183" t="s">
        <v>1078</v>
      </c>
      <c r="D3000" s="17" t="s">
        <v>109</v>
      </c>
      <c r="E3000" s="17" t="s">
        <v>110</v>
      </c>
      <c r="F3000" s="17" t="s">
        <v>72</v>
      </c>
      <c r="H3000" s="19">
        <v>1.2379</v>
      </c>
      <c r="I3000" s="19"/>
      <c r="J3000" s="17" t="s">
        <v>39</v>
      </c>
      <c r="K3000" s="19">
        <v>141</v>
      </c>
      <c r="L3000" s="91"/>
      <c r="M3000" s="19">
        <v>5800</v>
      </c>
      <c r="N3000" s="19" t="s">
        <v>40</v>
      </c>
      <c r="O3000" s="19" t="s">
        <v>50</v>
      </c>
      <c r="P3000" s="19">
        <v>1000</v>
      </c>
      <c r="Q3000" s="19">
        <v>1210</v>
      </c>
      <c r="R3000" s="19">
        <f t="shared" si="152"/>
        <v>-210</v>
      </c>
      <c r="S3000" s="19">
        <v>2750</v>
      </c>
      <c r="T3000" s="19" t="s">
        <v>42</v>
      </c>
      <c r="U3000" s="102" t="s">
        <v>1079</v>
      </c>
      <c r="V3000" s="186" t="s">
        <v>1080</v>
      </c>
      <c r="W3000" s="17" t="s">
        <v>69</v>
      </c>
      <c r="Y3000" s="68">
        <v>45100</v>
      </c>
      <c r="Z3000" s="17" t="s">
        <v>1081</v>
      </c>
      <c r="AA3000" s="17" t="s">
        <v>46</v>
      </c>
      <c r="AB3000" s="17" t="s">
        <v>1085</v>
      </c>
      <c r="AC3000" s="102" t="s">
        <v>1086</v>
      </c>
      <c r="AD3000" s="65">
        <v>1491</v>
      </c>
      <c r="AE3000" s="17" t="s">
        <v>74</v>
      </c>
    </row>
    <row r="3001" s="17" customFormat="1" hidden="1" spans="1:44">
      <c r="A3001" s="17" t="s">
        <v>34</v>
      </c>
      <c r="B3001" s="19">
        <v>900</v>
      </c>
      <c r="C3001" s="183" t="s">
        <v>1078</v>
      </c>
      <c r="D3001" s="17" t="s">
        <v>109</v>
      </c>
      <c r="E3001" s="17" t="s">
        <v>110</v>
      </c>
      <c r="F3001" s="17" t="s">
        <v>72</v>
      </c>
      <c r="H3001" s="19">
        <v>1.2379</v>
      </c>
      <c r="I3001" s="19"/>
      <c r="J3001" s="17" t="s">
        <v>39</v>
      </c>
      <c r="K3001" s="19">
        <v>152</v>
      </c>
      <c r="L3001" s="91"/>
      <c r="M3001" s="19">
        <v>5800</v>
      </c>
      <c r="N3001" s="19" t="s">
        <v>40</v>
      </c>
      <c r="O3001" s="19" t="s">
        <v>50</v>
      </c>
      <c r="P3001" s="19">
        <v>2500</v>
      </c>
      <c r="Q3001" s="19">
        <v>2495</v>
      </c>
      <c r="R3001" s="19">
        <f t="shared" si="152"/>
        <v>5</v>
      </c>
      <c r="S3001" s="19">
        <v>2750</v>
      </c>
      <c r="T3001" s="19" t="s">
        <v>42</v>
      </c>
      <c r="U3001" s="102" t="s">
        <v>1079</v>
      </c>
      <c r="V3001" s="186" t="s">
        <v>1080</v>
      </c>
      <c r="W3001" s="17" t="s">
        <v>69</v>
      </c>
      <c r="Y3001" s="68">
        <v>45100</v>
      </c>
      <c r="Z3001" s="17" t="s">
        <v>1081</v>
      </c>
      <c r="AA3001" s="17" t="s">
        <v>46</v>
      </c>
      <c r="AB3001" s="17" t="s">
        <v>1085</v>
      </c>
      <c r="AC3001" s="102" t="s">
        <v>1086</v>
      </c>
      <c r="AD3001" s="65">
        <v>1491</v>
      </c>
      <c r="AE3001" s="17" t="s">
        <v>1088</v>
      </c>
    </row>
    <row r="3002" s="17" customFormat="1" hidden="1" spans="1:44">
      <c r="A3002" s="17" t="s">
        <v>34</v>
      </c>
      <c r="B3002" s="19">
        <v>900</v>
      </c>
      <c r="C3002" s="183" t="s">
        <v>1078</v>
      </c>
      <c r="D3002" s="17" t="s">
        <v>109</v>
      </c>
      <c r="E3002" s="17" t="s">
        <v>110</v>
      </c>
      <c r="F3002" s="17" t="s">
        <v>72</v>
      </c>
      <c r="H3002" s="19">
        <v>1.2379</v>
      </c>
      <c r="I3002" s="19"/>
      <c r="J3002" s="17" t="s">
        <v>39</v>
      </c>
      <c r="K3002" s="19">
        <v>162</v>
      </c>
      <c r="L3002" s="91"/>
      <c r="M3002" s="19">
        <v>5800</v>
      </c>
      <c r="N3002" s="19" t="s">
        <v>40</v>
      </c>
      <c r="O3002" s="19" t="s">
        <v>50</v>
      </c>
      <c r="P3002" s="19">
        <v>1000</v>
      </c>
      <c r="Q3002" s="19">
        <v>1580</v>
      </c>
      <c r="R3002" s="19">
        <f t="shared" si="152"/>
        <v>-580</v>
      </c>
      <c r="S3002" s="19">
        <v>2750</v>
      </c>
      <c r="T3002" s="19" t="s">
        <v>42</v>
      </c>
      <c r="U3002" s="102" t="s">
        <v>1079</v>
      </c>
      <c r="V3002" s="186" t="s">
        <v>1080</v>
      </c>
      <c r="W3002" s="17" t="s">
        <v>69</v>
      </c>
      <c r="Y3002" s="68">
        <v>45100</v>
      </c>
      <c r="Z3002" s="17" t="s">
        <v>1081</v>
      </c>
      <c r="AA3002" s="17" t="s">
        <v>46</v>
      </c>
      <c r="AB3002" s="17" t="s">
        <v>1082</v>
      </c>
      <c r="AC3002" s="102" t="s">
        <v>1083</v>
      </c>
      <c r="AD3002" s="65">
        <v>1462</v>
      </c>
      <c r="AE3002" s="17" t="s">
        <v>74</v>
      </c>
    </row>
    <row r="3003" s="17" customFormat="1" hidden="1" spans="1:44">
      <c r="A3003" s="17" t="s">
        <v>34</v>
      </c>
      <c r="B3003" s="19">
        <v>900</v>
      </c>
      <c r="C3003" s="183" t="s">
        <v>1078</v>
      </c>
      <c r="D3003" s="17" t="s">
        <v>109</v>
      </c>
      <c r="E3003" s="17" t="s">
        <v>110</v>
      </c>
      <c r="F3003" s="17" t="s">
        <v>72</v>
      </c>
      <c r="H3003" s="19">
        <v>1.2379</v>
      </c>
      <c r="I3003" s="19"/>
      <c r="J3003" s="17" t="s">
        <v>39</v>
      </c>
      <c r="K3003" s="19">
        <v>172</v>
      </c>
      <c r="L3003" s="91"/>
      <c r="M3003" s="19">
        <v>5800</v>
      </c>
      <c r="N3003" s="19" t="s">
        <v>40</v>
      </c>
      <c r="O3003" s="19" t="s">
        <v>50</v>
      </c>
      <c r="P3003" s="19">
        <v>1500</v>
      </c>
      <c r="Q3003" s="19">
        <v>1610</v>
      </c>
      <c r="R3003" s="19">
        <f t="shared" si="152"/>
        <v>-110</v>
      </c>
      <c r="S3003" s="19">
        <v>2750</v>
      </c>
      <c r="T3003" s="19" t="s">
        <v>42</v>
      </c>
      <c r="U3003" s="102" t="s">
        <v>1079</v>
      </c>
      <c r="V3003" s="186" t="s">
        <v>1080</v>
      </c>
      <c r="W3003" s="17" t="s">
        <v>69</v>
      </c>
      <c r="Y3003" s="68">
        <v>45100</v>
      </c>
      <c r="Z3003" s="17" t="s">
        <v>1081</v>
      </c>
      <c r="AA3003" s="17" t="s">
        <v>46</v>
      </c>
      <c r="AB3003" s="17" t="s">
        <v>1085</v>
      </c>
      <c r="AC3003" s="102" t="s">
        <v>1086</v>
      </c>
      <c r="AD3003" s="65">
        <v>1491</v>
      </c>
      <c r="AE3003" s="17" t="s">
        <v>74</v>
      </c>
    </row>
    <row r="3004" s="17" customFormat="1" hidden="1" spans="1:44">
      <c r="A3004" s="17" t="s">
        <v>34</v>
      </c>
      <c r="B3004" s="19">
        <v>900</v>
      </c>
      <c r="C3004" s="183" t="s">
        <v>1078</v>
      </c>
      <c r="D3004" s="17" t="s">
        <v>109</v>
      </c>
      <c r="E3004" s="17" t="s">
        <v>110</v>
      </c>
      <c r="F3004" s="17" t="s">
        <v>72</v>
      </c>
      <c r="H3004" s="19">
        <v>1.2379</v>
      </c>
      <c r="I3004" s="19"/>
      <c r="J3004" s="17" t="s">
        <v>39</v>
      </c>
      <c r="K3004" s="19">
        <v>182</v>
      </c>
      <c r="L3004" s="91"/>
      <c r="M3004" s="19">
        <v>5800</v>
      </c>
      <c r="N3004" s="19" t="s">
        <v>40</v>
      </c>
      <c r="O3004" s="19" t="s">
        <v>50</v>
      </c>
      <c r="P3004" s="19">
        <v>4500</v>
      </c>
      <c r="Q3004" s="19">
        <f>780+965+825</f>
        <v>2570</v>
      </c>
      <c r="S3004" s="19">
        <v>2750</v>
      </c>
      <c r="T3004" s="19" t="s">
        <v>42</v>
      </c>
      <c r="U3004" s="102" t="s">
        <v>1079</v>
      </c>
      <c r="V3004" s="186" t="s">
        <v>1080</v>
      </c>
      <c r="W3004" s="17" t="s">
        <v>69</v>
      </c>
      <c r="Y3004" s="68">
        <v>45100</v>
      </c>
      <c r="Z3004" s="17" t="s">
        <v>1081</v>
      </c>
      <c r="AA3004" s="17" t="s">
        <v>46</v>
      </c>
      <c r="AB3004" s="17" t="s">
        <v>1082</v>
      </c>
      <c r="AC3004" s="102" t="s">
        <v>1083</v>
      </c>
      <c r="AD3004" s="65">
        <v>1462</v>
      </c>
      <c r="AE3004" s="17" t="s">
        <v>1089</v>
      </c>
    </row>
    <row r="3005" s="17" customFormat="1" hidden="1" spans="1:44">
      <c r="A3005" s="17" t="s">
        <v>34</v>
      </c>
      <c r="B3005" s="19">
        <v>900</v>
      </c>
      <c r="C3005" s="183" t="s">
        <v>1078</v>
      </c>
      <c r="D3005" s="17" t="s">
        <v>109</v>
      </c>
      <c r="E3005" s="17" t="s">
        <v>110</v>
      </c>
      <c r="F3005" s="17" t="s">
        <v>72</v>
      </c>
      <c r="H3005" s="19">
        <v>1.2379</v>
      </c>
      <c r="I3005" s="19"/>
      <c r="J3005" s="17" t="s">
        <v>39</v>
      </c>
      <c r="K3005" s="19">
        <v>182</v>
      </c>
      <c r="L3005" s="91"/>
      <c r="M3005" s="19">
        <v>5800</v>
      </c>
      <c r="N3005" s="19" t="s">
        <v>40</v>
      </c>
      <c r="O3005" s="19" t="s">
        <v>50</v>
      </c>
      <c r="P3005" s="19"/>
      <c r="Q3005" s="19">
        <f>895+680+900</f>
        <v>2475</v>
      </c>
      <c r="R3005" s="19">
        <f>+P3004-Q3004-Q3005</f>
        <v>-545</v>
      </c>
      <c r="S3005" s="19">
        <v>2750</v>
      </c>
      <c r="T3005" s="19" t="s">
        <v>42</v>
      </c>
      <c r="U3005" s="102" t="s">
        <v>1079</v>
      </c>
      <c r="V3005" s="186" t="s">
        <v>1080</v>
      </c>
      <c r="W3005" s="17" t="s">
        <v>69</v>
      </c>
      <c r="Y3005" s="68">
        <v>45100</v>
      </c>
      <c r="Z3005" s="17" t="s">
        <v>1081</v>
      </c>
      <c r="AA3005" s="17" t="s">
        <v>46</v>
      </c>
      <c r="AB3005" s="17" t="s">
        <v>1085</v>
      </c>
      <c r="AC3005" s="102" t="s">
        <v>1086</v>
      </c>
      <c r="AD3005" s="65">
        <v>1491</v>
      </c>
    </row>
    <row r="3006" s="17" customFormat="1" hidden="1" spans="1:44">
      <c r="A3006" s="17" t="s">
        <v>34</v>
      </c>
      <c r="B3006" s="19">
        <v>900</v>
      </c>
      <c r="C3006" s="183" t="s">
        <v>1078</v>
      </c>
      <c r="D3006" s="17" t="s">
        <v>109</v>
      </c>
      <c r="E3006" s="17" t="s">
        <v>110</v>
      </c>
      <c r="F3006" s="17" t="s">
        <v>72</v>
      </c>
      <c r="H3006" s="19">
        <v>1.2379</v>
      </c>
      <c r="I3006" s="19"/>
      <c r="J3006" s="17" t="s">
        <v>39</v>
      </c>
      <c r="K3006" s="19">
        <v>192</v>
      </c>
      <c r="L3006" s="91"/>
      <c r="M3006" s="19">
        <v>5800</v>
      </c>
      <c r="N3006" s="19" t="s">
        <v>40</v>
      </c>
      <c r="O3006" s="19" t="s">
        <v>50</v>
      </c>
      <c r="P3006" s="19">
        <v>3000</v>
      </c>
      <c r="Q3006" s="19">
        <f>780+700+595+845</f>
        <v>2920</v>
      </c>
      <c r="R3006" s="19">
        <f t="shared" ref="R3006:R3011" si="153">+P3006-Q3006</f>
        <v>80</v>
      </c>
      <c r="S3006" s="19">
        <v>2750</v>
      </c>
      <c r="T3006" s="19" t="s">
        <v>42</v>
      </c>
      <c r="U3006" s="102" t="s">
        <v>1079</v>
      </c>
      <c r="V3006" s="186" t="s">
        <v>1080</v>
      </c>
      <c r="W3006" s="17" t="s">
        <v>69</v>
      </c>
      <c r="Y3006" s="68">
        <v>45100</v>
      </c>
      <c r="Z3006" s="17" t="s">
        <v>1081</v>
      </c>
      <c r="AA3006" s="17" t="s">
        <v>46</v>
      </c>
      <c r="AB3006" s="17" t="s">
        <v>1082</v>
      </c>
      <c r="AC3006" s="102" t="s">
        <v>1083</v>
      </c>
      <c r="AD3006" s="65">
        <v>1462</v>
      </c>
      <c r="AE3006" s="17" t="s">
        <v>1090</v>
      </c>
    </row>
    <row r="3007" s="17" customFormat="1" hidden="1" spans="1:44">
      <c r="A3007" s="17" t="s">
        <v>34</v>
      </c>
      <c r="B3007" s="19">
        <v>900</v>
      </c>
      <c r="C3007" s="183" t="s">
        <v>1078</v>
      </c>
      <c r="D3007" s="17" t="s">
        <v>109</v>
      </c>
      <c r="E3007" s="17" t="s">
        <v>110</v>
      </c>
      <c r="F3007" s="17" t="s">
        <v>72</v>
      </c>
      <c r="H3007" s="19">
        <v>1.2379</v>
      </c>
      <c r="I3007" s="19"/>
      <c r="J3007" s="17" t="s">
        <v>39</v>
      </c>
      <c r="K3007" s="19">
        <v>206</v>
      </c>
      <c r="L3007" s="91"/>
      <c r="M3007" s="19">
        <v>5800</v>
      </c>
      <c r="N3007" s="19" t="s">
        <v>40</v>
      </c>
      <c r="O3007" s="19" t="s">
        <v>50</v>
      </c>
      <c r="P3007" s="19">
        <v>1500</v>
      </c>
      <c r="Q3007" s="19">
        <v>1445</v>
      </c>
      <c r="R3007" s="19">
        <f t="shared" si="153"/>
        <v>55</v>
      </c>
      <c r="S3007" s="19">
        <v>2750</v>
      </c>
      <c r="T3007" s="19" t="s">
        <v>42</v>
      </c>
      <c r="U3007" s="102" t="s">
        <v>1079</v>
      </c>
      <c r="V3007" s="186" t="s">
        <v>1080</v>
      </c>
      <c r="W3007" s="17" t="s">
        <v>69</v>
      </c>
      <c r="Y3007" s="68">
        <v>45100</v>
      </c>
      <c r="Z3007" s="17" t="s">
        <v>1081</v>
      </c>
      <c r="AA3007" s="17" t="s">
        <v>46</v>
      </c>
      <c r="AB3007" s="17" t="s">
        <v>1082</v>
      </c>
      <c r="AC3007" s="102" t="s">
        <v>1083</v>
      </c>
      <c r="AD3007" s="65">
        <v>1462</v>
      </c>
      <c r="AE3007" s="17" t="s">
        <v>74</v>
      </c>
    </row>
    <row r="3008" s="17" customFormat="1" hidden="1" spans="1:44">
      <c r="A3008" s="17" t="s">
        <v>34</v>
      </c>
      <c r="B3008" s="19">
        <v>900</v>
      </c>
      <c r="C3008" s="183" t="s">
        <v>1078</v>
      </c>
      <c r="D3008" s="17" t="s">
        <v>109</v>
      </c>
      <c r="E3008" s="17" t="s">
        <v>110</v>
      </c>
      <c r="F3008" s="17" t="s">
        <v>72</v>
      </c>
      <c r="H3008" s="19">
        <v>1.2379</v>
      </c>
      <c r="I3008" s="19"/>
      <c r="J3008" s="17" t="s">
        <v>39</v>
      </c>
      <c r="K3008" s="19">
        <v>212</v>
      </c>
      <c r="L3008" s="91"/>
      <c r="M3008" s="19">
        <v>5800</v>
      </c>
      <c r="N3008" s="19" t="s">
        <v>40</v>
      </c>
      <c r="O3008" s="19" t="s">
        <v>50</v>
      </c>
      <c r="P3008" s="19">
        <v>1500</v>
      </c>
      <c r="Q3008" s="19">
        <v>1595</v>
      </c>
      <c r="R3008" s="19">
        <f t="shared" si="153"/>
        <v>-95</v>
      </c>
      <c r="S3008" s="19">
        <v>2750</v>
      </c>
      <c r="T3008" s="19" t="s">
        <v>42</v>
      </c>
      <c r="U3008" s="102" t="s">
        <v>1079</v>
      </c>
      <c r="V3008" s="186" t="s">
        <v>1080</v>
      </c>
      <c r="W3008" s="17" t="s">
        <v>69</v>
      </c>
      <c r="Y3008" s="68">
        <v>45100</v>
      </c>
      <c r="Z3008" s="17" t="s">
        <v>1081</v>
      </c>
      <c r="AA3008" s="17" t="s">
        <v>46</v>
      </c>
      <c r="AB3008" s="17" t="s">
        <v>1082</v>
      </c>
      <c r="AC3008" s="102" t="s">
        <v>1083</v>
      </c>
      <c r="AD3008" s="65">
        <v>1462</v>
      </c>
      <c r="AE3008" s="17" t="s">
        <v>74</v>
      </c>
    </row>
    <row r="3009" s="17" customFormat="1" hidden="1" spans="1:32">
      <c r="A3009" s="17" t="s">
        <v>34</v>
      </c>
      <c r="B3009" s="19">
        <v>900</v>
      </c>
      <c r="C3009" s="183" t="s">
        <v>1078</v>
      </c>
      <c r="D3009" s="17" t="s">
        <v>109</v>
      </c>
      <c r="E3009" s="17" t="s">
        <v>110</v>
      </c>
      <c r="F3009" s="17" t="s">
        <v>72</v>
      </c>
      <c r="H3009" s="19">
        <v>1.2379</v>
      </c>
      <c r="I3009" s="19"/>
      <c r="J3009" s="17" t="s">
        <v>39</v>
      </c>
      <c r="K3009" s="19">
        <v>222</v>
      </c>
      <c r="L3009" s="91"/>
      <c r="M3009" s="19">
        <v>5800</v>
      </c>
      <c r="N3009" s="19" t="s">
        <v>40</v>
      </c>
      <c r="O3009" s="19" t="s">
        <v>50</v>
      </c>
      <c r="P3009" s="19">
        <v>1500</v>
      </c>
      <c r="Q3009" s="19">
        <v>1465</v>
      </c>
      <c r="R3009" s="19">
        <f t="shared" si="153"/>
        <v>35</v>
      </c>
      <c r="S3009" s="19">
        <v>2750</v>
      </c>
      <c r="T3009" s="19" t="s">
        <v>42</v>
      </c>
      <c r="U3009" s="102" t="s">
        <v>1079</v>
      </c>
      <c r="V3009" s="186" t="s">
        <v>1080</v>
      </c>
      <c r="W3009" s="17" t="s">
        <v>69</v>
      </c>
      <c r="Y3009" s="68">
        <v>45100</v>
      </c>
      <c r="Z3009" s="17" t="s">
        <v>1081</v>
      </c>
      <c r="AA3009" s="17" t="s">
        <v>46</v>
      </c>
      <c r="AB3009" s="17" t="s">
        <v>1085</v>
      </c>
      <c r="AC3009" s="102" t="s">
        <v>1086</v>
      </c>
      <c r="AD3009" s="65">
        <v>1491</v>
      </c>
      <c r="AE3009" s="17" t="s">
        <v>74</v>
      </c>
    </row>
    <row r="3010" s="17" customFormat="1" hidden="1" spans="1:32">
      <c r="A3010" s="17" t="s">
        <v>34</v>
      </c>
      <c r="B3010" s="19">
        <v>900</v>
      </c>
      <c r="C3010" s="183" t="s">
        <v>1078</v>
      </c>
      <c r="D3010" s="17" t="s">
        <v>109</v>
      </c>
      <c r="E3010" s="17" t="s">
        <v>110</v>
      </c>
      <c r="F3010" s="17" t="s">
        <v>72</v>
      </c>
      <c r="H3010" s="19">
        <v>1.2379</v>
      </c>
      <c r="I3010" s="19"/>
      <c r="J3010" s="17" t="s">
        <v>39</v>
      </c>
      <c r="K3010" s="19">
        <v>252</v>
      </c>
      <c r="L3010" s="91"/>
      <c r="M3010" s="19">
        <v>5800</v>
      </c>
      <c r="N3010" s="19" t="s">
        <v>40</v>
      </c>
      <c r="O3010" s="19" t="s">
        <v>50</v>
      </c>
      <c r="P3010" s="19">
        <v>6000</v>
      </c>
      <c r="Q3010" s="19">
        <f>2155+2140</f>
        <v>4295</v>
      </c>
      <c r="R3010" s="19">
        <f t="shared" si="153"/>
        <v>1705</v>
      </c>
      <c r="S3010" s="19">
        <v>2750</v>
      </c>
      <c r="T3010" s="19" t="s">
        <v>42</v>
      </c>
      <c r="U3010" s="102" t="s">
        <v>1079</v>
      </c>
      <c r="V3010" s="186" t="s">
        <v>1080</v>
      </c>
      <c r="W3010" s="17" t="s">
        <v>69</v>
      </c>
      <c r="Y3010" s="68">
        <v>45100</v>
      </c>
      <c r="Z3010" s="17" t="s">
        <v>1081</v>
      </c>
      <c r="AA3010" s="17" t="s">
        <v>46</v>
      </c>
      <c r="AB3010" s="17" t="s">
        <v>1082</v>
      </c>
      <c r="AC3010" s="102" t="s">
        <v>1083</v>
      </c>
      <c r="AD3010" s="65">
        <v>1462</v>
      </c>
      <c r="AE3010" s="17" t="s">
        <v>1091</v>
      </c>
    </row>
    <row r="3011" s="17" customFormat="1" hidden="1" spans="1:32">
      <c r="A3011" s="17" t="s">
        <v>34</v>
      </c>
      <c r="B3011" s="19">
        <v>900</v>
      </c>
      <c r="C3011" s="183" t="s">
        <v>1078</v>
      </c>
      <c r="D3011" s="17" t="s">
        <v>109</v>
      </c>
      <c r="E3011" s="17" t="s">
        <v>110</v>
      </c>
      <c r="F3011" s="17" t="s">
        <v>72</v>
      </c>
      <c r="H3011" s="19">
        <v>1.2379</v>
      </c>
      <c r="I3011" s="19"/>
      <c r="J3011" s="17" t="s">
        <v>39</v>
      </c>
      <c r="K3011" s="19">
        <v>272</v>
      </c>
      <c r="L3011" s="91"/>
      <c r="M3011" s="19">
        <v>5800</v>
      </c>
      <c r="N3011" s="19" t="s">
        <v>40</v>
      </c>
      <c r="O3011" s="19" t="s">
        <v>50</v>
      </c>
      <c r="P3011" s="19">
        <v>3000</v>
      </c>
      <c r="Q3011" s="19">
        <f>2215+2255</f>
        <v>4470</v>
      </c>
      <c r="R3011" s="19">
        <f t="shared" si="153"/>
        <v>-1470</v>
      </c>
      <c r="S3011" s="19">
        <v>2750</v>
      </c>
      <c r="T3011" s="19" t="s">
        <v>42</v>
      </c>
      <c r="U3011" s="102" t="s">
        <v>1079</v>
      </c>
      <c r="V3011" s="186" t="s">
        <v>1080</v>
      </c>
      <c r="W3011" s="17" t="s">
        <v>69</v>
      </c>
      <c r="Y3011" s="68">
        <v>45100</v>
      </c>
      <c r="Z3011" s="17" t="s">
        <v>1081</v>
      </c>
      <c r="AA3011" s="17" t="s">
        <v>46</v>
      </c>
      <c r="AB3011" s="17" t="s">
        <v>1085</v>
      </c>
      <c r="AC3011" s="102" t="s">
        <v>1086</v>
      </c>
      <c r="AD3011" s="65">
        <v>1491</v>
      </c>
      <c r="AE3011" s="17" t="s">
        <v>74</v>
      </c>
    </row>
    <row r="3012" s="17" customFormat="1" hidden="1" spans="1:32">
      <c r="A3012" s="17" t="s">
        <v>34</v>
      </c>
      <c r="B3012" s="19">
        <v>900</v>
      </c>
      <c r="C3012" s="183" t="s">
        <v>1078</v>
      </c>
      <c r="D3012" s="17" t="s">
        <v>109</v>
      </c>
      <c r="E3012" s="17" t="s">
        <v>110</v>
      </c>
      <c r="F3012" s="17" t="s">
        <v>72</v>
      </c>
      <c r="H3012" s="19">
        <v>1.2379</v>
      </c>
      <c r="I3012" s="19"/>
      <c r="J3012" s="17" t="s">
        <v>39</v>
      </c>
      <c r="K3012" s="19">
        <v>282</v>
      </c>
      <c r="L3012" s="91"/>
      <c r="M3012" s="19">
        <v>5800</v>
      </c>
      <c r="N3012" s="19" t="s">
        <v>40</v>
      </c>
      <c r="O3012" s="19" t="s">
        <v>50</v>
      </c>
      <c r="P3012" s="19">
        <v>3000</v>
      </c>
      <c r="Q3012" s="19">
        <v>2170</v>
      </c>
      <c r="S3012" s="19">
        <v>2750</v>
      </c>
      <c r="T3012" s="19" t="s">
        <v>42</v>
      </c>
      <c r="U3012" s="102" t="s">
        <v>1079</v>
      </c>
      <c r="V3012" s="186" t="s">
        <v>1080</v>
      </c>
      <c r="W3012" s="17" t="s">
        <v>69</v>
      </c>
      <c r="Y3012" s="68">
        <v>45100</v>
      </c>
      <c r="Z3012" s="17" t="s">
        <v>1081</v>
      </c>
      <c r="AA3012" s="17" t="s">
        <v>46</v>
      </c>
      <c r="AB3012" s="17" t="s">
        <v>1082</v>
      </c>
      <c r="AC3012" s="102" t="s">
        <v>1083</v>
      </c>
      <c r="AD3012" s="65">
        <v>1462</v>
      </c>
      <c r="AE3012" s="17" t="s">
        <v>74</v>
      </c>
    </row>
    <row r="3013" s="17" customFormat="1" hidden="1" spans="1:32">
      <c r="A3013" s="17" t="s">
        <v>34</v>
      </c>
      <c r="B3013" s="19">
        <v>900</v>
      </c>
      <c r="C3013" s="183" t="s">
        <v>1078</v>
      </c>
      <c r="D3013" s="17" t="s">
        <v>109</v>
      </c>
      <c r="E3013" s="17" t="s">
        <v>110</v>
      </c>
      <c r="F3013" s="17" t="s">
        <v>72</v>
      </c>
      <c r="H3013" s="19">
        <v>1.2379</v>
      </c>
      <c r="I3013" s="19"/>
      <c r="J3013" s="17" t="s">
        <v>39</v>
      </c>
      <c r="K3013" s="19">
        <v>282</v>
      </c>
      <c r="L3013" s="91"/>
      <c r="M3013" s="19">
        <v>5800</v>
      </c>
      <c r="N3013" s="19" t="s">
        <v>40</v>
      </c>
      <c r="O3013" s="19" t="s">
        <v>50</v>
      </c>
      <c r="P3013" s="19"/>
      <c r="Q3013" s="19">
        <v>2160</v>
      </c>
      <c r="R3013" s="19">
        <f>+P3012-Q3012-Q3013</f>
        <v>-1330</v>
      </c>
      <c r="S3013" s="19">
        <v>2750</v>
      </c>
      <c r="T3013" s="19" t="s">
        <v>42</v>
      </c>
      <c r="U3013" s="102" t="s">
        <v>1079</v>
      </c>
      <c r="V3013" s="186" t="s">
        <v>1080</v>
      </c>
      <c r="W3013" s="17" t="s">
        <v>69</v>
      </c>
      <c r="Y3013" s="68">
        <v>45100</v>
      </c>
      <c r="Z3013" s="17" t="s">
        <v>1081</v>
      </c>
      <c r="AA3013" s="17" t="s">
        <v>46</v>
      </c>
      <c r="AB3013" s="17" t="s">
        <v>1085</v>
      </c>
      <c r="AC3013" s="102" t="s">
        <v>1086</v>
      </c>
      <c r="AD3013" s="65">
        <v>1491</v>
      </c>
    </row>
    <row r="3014" s="17" customFormat="1" hidden="1" spans="1:32">
      <c r="A3014" s="17" t="s">
        <v>34</v>
      </c>
      <c r="B3014" s="19">
        <v>900</v>
      </c>
      <c r="C3014" s="183" t="s">
        <v>1078</v>
      </c>
      <c r="D3014" s="17" t="s">
        <v>109</v>
      </c>
      <c r="E3014" s="17" t="s">
        <v>110</v>
      </c>
      <c r="F3014" s="17" t="s">
        <v>72</v>
      </c>
      <c r="H3014" s="19">
        <v>1.2379</v>
      </c>
      <c r="I3014" s="19"/>
      <c r="J3014" s="17" t="s">
        <v>39</v>
      </c>
      <c r="K3014" s="19">
        <v>292</v>
      </c>
      <c r="L3014" s="91"/>
      <c r="M3014" s="19">
        <v>5800</v>
      </c>
      <c r="N3014" s="19" t="s">
        <v>40</v>
      </c>
      <c r="O3014" s="19" t="s">
        <v>50</v>
      </c>
      <c r="P3014" s="19">
        <v>3000</v>
      </c>
      <c r="Q3014" s="19">
        <f>2105+2130</f>
        <v>4235</v>
      </c>
      <c r="R3014" s="19">
        <f>+P3014-Q3014</f>
        <v>-1235</v>
      </c>
      <c r="S3014" s="19">
        <v>2750</v>
      </c>
      <c r="T3014" s="19" t="s">
        <v>42</v>
      </c>
      <c r="U3014" s="102" t="s">
        <v>1079</v>
      </c>
      <c r="V3014" s="186" t="s">
        <v>1080</v>
      </c>
      <c r="W3014" s="17" t="s">
        <v>69</v>
      </c>
      <c r="Y3014" s="68">
        <v>45100</v>
      </c>
      <c r="Z3014" s="17" t="s">
        <v>1081</v>
      </c>
      <c r="AA3014" s="17" t="s">
        <v>46</v>
      </c>
      <c r="AB3014" s="17" t="s">
        <v>1085</v>
      </c>
      <c r="AC3014" s="102" t="s">
        <v>1086</v>
      </c>
      <c r="AD3014" s="65">
        <v>1491</v>
      </c>
      <c r="AE3014" s="17" t="s">
        <v>74</v>
      </c>
    </row>
    <row r="3015" s="17" customFormat="1" hidden="1" spans="1:32">
      <c r="A3015" s="17" t="s">
        <v>34</v>
      </c>
      <c r="B3015" s="19">
        <v>900</v>
      </c>
      <c r="C3015" s="183" t="s">
        <v>1078</v>
      </c>
      <c r="D3015" s="17" t="s">
        <v>109</v>
      </c>
      <c r="E3015" s="17" t="s">
        <v>110</v>
      </c>
      <c r="F3015" s="17" t="s">
        <v>72</v>
      </c>
      <c r="H3015" s="19">
        <v>1.2379</v>
      </c>
      <c r="I3015" s="19"/>
      <c r="J3015" s="17" t="s">
        <v>39</v>
      </c>
      <c r="K3015" s="19">
        <v>333</v>
      </c>
      <c r="L3015" s="91"/>
      <c r="M3015" s="19">
        <v>5800</v>
      </c>
      <c r="N3015" s="19" t="s">
        <v>40</v>
      </c>
      <c r="O3015" s="19" t="s">
        <v>50</v>
      </c>
      <c r="P3015" s="19">
        <v>6000</v>
      </c>
      <c r="Q3015" s="19">
        <v>3155</v>
      </c>
      <c r="S3015" s="19">
        <v>2750</v>
      </c>
      <c r="T3015" s="19" t="s">
        <v>42</v>
      </c>
      <c r="U3015" s="102" t="s">
        <v>1079</v>
      </c>
      <c r="V3015" s="186" t="s">
        <v>1080</v>
      </c>
      <c r="W3015" s="17" t="s">
        <v>69</v>
      </c>
      <c r="Y3015" s="68">
        <v>45100</v>
      </c>
      <c r="Z3015" s="17" t="s">
        <v>1081</v>
      </c>
      <c r="AA3015" s="17" t="s">
        <v>46</v>
      </c>
      <c r="AB3015" s="17" t="s">
        <v>1082</v>
      </c>
      <c r="AC3015" s="102" t="s">
        <v>1083</v>
      </c>
      <c r="AD3015" s="65">
        <v>1462</v>
      </c>
      <c r="AE3015" s="17" t="s">
        <v>1091</v>
      </c>
    </row>
    <row r="3016" s="17" customFormat="1" hidden="1" spans="1:32">
      <c r="A3016" s="17" t="s">
        <v>34</v>
      </c>
      <c r="B3016" s="19">
        <v>900</v>
      </c>
      <c r="C3016" s="183" t="s">
        <v>1078</v>
      </c>
      <c r="D3016" s="17" t="s">
        <v>109</v>
      </c>
      <c r="E3016" s="17" t="s">
        <v>110</v>
      </c>
      <c r="F3016" s="17" t="s">
        <v>72</v>
      </c>
      <c r="H3016" s="19">
        <v>1.2379</v>
      </c>
      <c r="I3016" s="19"/>
      <c r="J3016" s="17" t="s">
        <v>39</v>
      </c>
      <c r="K3016" s="19">
        <v>333</v>
      </c>
      <c r="L3016" s="91"/>
      <c r="M3016" s="19">
        <v>5800</v>
      </c>
      <c r="N3016" s="19" t="s">
        <v>40</v>
      </c>
      <c r="O3016" s="19" t="s">
        <v>50</v>
      </c>
      <c r="P3016" s="19"/>
      <c r="Q3016" s="19">
        <v>2755</v>
      </c>
      <c r="R3016" s="19">
        <f>+P3015-Q3015-Q3016</f>
        <v>90</v>
      </c>
      <c r="S3016" s="19">
        <v>2750</v>
      </c>
      <c r="T3016" s="19" t="s">
        <v>42</v>
      </c>
      <c r="U3016" s="102" t="s">
        <v>1079</v>
      </c>
      <c r="V3016" s="186" t="s">
        <v>1080</v>
      </c>
      <c r="W3016" s="17" t="s">
        <v>69</v>
      </c>
      <c r="Y3016" s="68">
        <v>45100</v>
      </c>
      <c r="Z3016" s="17" t="s">
        <v>1081</v>
      </c>
      <c r="AA3016" s="17" t="s">
        <v>46</v>
      </c>
      <c r="AB3016" s="17" t="s">
        <v>1085</v>
      </c>
      <c r="AC3016" s="102" t="s">
        <v>1086</v>
      </c>
      <c r="AD3016" s="65">
        <v>1491</v>
      </c>
    </row>
    <row r="3017" s="17" customFormat="1" hidden="1" spans="1:32">
      <c r="A3017" s="17" t="s">
        <v>34</v>
      </c>
      <c r="B3017" s="19">
        <v>900</v>
      </c>
      <c r="C3017" s="183" t="s">
        <v>1078</v>
      </c>
      <c r="D3017" s="17" t="s">
        <v>109</v>
      </c>
      <c r="E3017" s="17" t="s">
        <v>110</v>
      </c>
      <c r="F3017" s="17" t="s">
        <v>72</v>
      </c>
      <c r="H3017" s="19">
        <v>1.2379</v>
      </c>
      <c r="I3017" s="19"/>
      <c r="J3017" s="17" t="s">
        <v>39</v>
      </c>
      <c r="K3017" s="19">
        <v>352</v>
      </c>
      <c r="L3017" s="91"/>
      <c r="M3017" s="19">
        <v>5800</v>
      </c>
      <c r="N3017" s="19" t="s">
        <v>40</v>
      </c>
      <c r="O3017" s="19" t="s">
        <v>50</v>
      </c>
      <c r="P3017" s="19">
        <v>6000</v>
      </c>
      <c r="Q3017" s="19">
        <f>3060+3080</f>
        <v>6140</v>
      </c>
      <c r="R3017" s="19">
        <f t="shared" ref="R3017:R3025" si="154">+P3017-Q3017</f>
        <v>-140</v>
      </c>
      <c r="S3017" s="19">
        <v>2750</v>
      </c>
      <c r="T3017" s="19" t="s">
        <v>42</v>
      </c>
      <c r="U3017" s="102" t="s">
        <v>1079</v>
      </c>
      <c r="V3017" s="186" t="s">
        <v>1080</v>
      </c>
      <c r="W3017" s="17" t="s">
        <v>69</v>
      </c>
      <c r="Y3017" s="68">
        <v>45100</v>
      </c>
      <c r="Z3017" s="17" t="s">
        <v>1081</v>
      </c>
      <c r="AA3017" s="17" t="s">
        <v>46</v>
      </c>
      <c r="AB3017" s="17" t="s">
        <v>1085</v>
      </c>
      <c r="AC3017" s="102" t="s">
        <v>1086</v>
      </c>
      <c r="AD3017" s="65">
        <v>1491</v>
      </c>
      <c r="AE3017" s="17" t="s">
        <v>1091</v>
      </c>
    </row>
    <row r="3018" s="17" customFormat="1" hidden="1" spans="1:32">
      <c r="A3018" s="17" t="s">
        <v>34</v>
      </c>
      <c r="B3018" s="19">
        <v>900</v>
      </c>
      <c r="C3018" s="183" t="s">
        <v>1078</v>
      </c>
      <c r="D3018" s="17" t="s">
        <v>109</v>
      </c>
      <c r="E3018" s="17" t="s">
        <v>110</v>
      </c>
      <c r="F3018" s="17" t="s">
        <v>72</v>
      </c>
      <c r="H3018" s="19">
        <v>1.2379</v>
      </c>
      <c r="I3018" s="19"/>
      <c r="J3018" s="17" t="s">
        <v>39</v>
      </c>
      <c r="K3018" s="19">
        <v>362</v>
      </c>
      <c r="L3018" s="91"/>
      <c r="M3018" s="19">
        <v>5800</v>
      </c>
      <c r="N3018" s="19" t="s">
        <v>40</v>
      </c>
      <c r="O3018" s="19" t="s">
        <v>50</v>
      </c>
      <c r="P3018" s="19">
        <v>6000</v>
      </c>
      <c r="Q3018" s="19">
        <f>2870+2835</f>
        <v>5705</v>
      </c>
      <c r="R3018" s="19">
        <f t="shared" si="154"/>
        <v>295</v>
      </c>
      <c r="S3018" s="19">
        <v>2750</v>
      </c>
      <c r="T3018" s="19" t="s">
        <v>42</v>
      </c>
      <c r="U3018" s="102" t="s">
        <v>1079</v>
      </c>
      <c r="V3018" s="186" t="s">
        <v>1080</v>
      </c>
      <c r="W3018" s="17" t="s">
        <v>69</v>
      </c>
      <c r="Y3018" s="68">
        <v>45100</v>
      </c>
      <c r="Z3018" s="17" t="s">
        <v>1081</v>
      </c>
      <c r="AA3018" s="17" t="s">
        <v>46</v>
      </c>
      <c r="AB3018" s="17" t="s">
        <v>1085</v>
      </c>
      <c r="AC3018" s="102" t="s">
        <v>1086</v>
      </c>
      <c r="AD3018" s="65">
        <v>1491</v>
      </c>
      <c r="AE3018" s="17" t="s">
        <v>74</v>
      </c>
    </row>
    <row r="3019" s="17" customFormat="1" hidden="1" spans="1:32">
      <c r="A3019" s="17" t="s">
        <v>34</v>
      </c>
      <c r="B3019" s="19">
        <v>900</v>
      </c>
      <c r="C3019" s="183" t="s">
        <v>1078</v>
      </c>
      <c r="D3019" s="17" t="s">
        <v>109</v>
      </c>
      <c r="E3019" s="17" t="s">
        <v>110</v>
      </c>
      <c r="F3019" s="17" t="s">
        <v>72</v>
      </c>
      <c r="H3019" s="19">
        <v>1.2379</v>
      </c>
      <c r="I3019" s="19"/>
      <c r="J3019" s="17" t="s">
        <v>39</v>
      </c>
      <c r="K3019" s="19">
        <v>382</v>
      </c>
      <c r="L3019" s="91"/>
      <c r="M3019" s="19">
        <v>5800</v>
      </c>
      <c r="N3019" s="19" t="s">
        <v>40</v>
      </c>
      <c r="O3019" s="19" t="s">
        <v>50</v>
      </c>
      <c r="P3019" s="19">
        <v>6000</v>
      </c>
      <c r="Q3019" s="19">
        <f>3300+3295</f>
        <v>6595</v>
      </c>
      <c r="R3019" s="19">
        <f t="shared" si="154"/>
        <v>-595</v>
      </c>
      <c r="S3019" s="19">
        <v>2750</v>
      </c>
      <c r="T3019" s="19" t="s">
        <v>42</v>
      </c>
      <c r="U3019" s="102" t="s">
        <v>1079</v>
      </c>
      <c r="V3019" s="186" t="s">
        <v>1080</v>
      </c>
      <c r="W3019" s="17" t="s">
        <v>69</v>
      </c>
      <c r="Y3019" s="68">
        <v>45100</v>
      </c>
      <c r="Z3019" s="17" t="s">
        <v>1081</v>
      </c>
      <c r="AA3019" s="17" t="s">
        <v>46</v>
      </c>
      <c r="AB3019" s="17" t="s">
        <v>1082</v>
      </c>
      <c r="AC3019" s="102" t="s">
        <v>1083</v>
      </c>
      <c r="AD3019" s="65">
        <v>1462</v>
      </c>
      <c r="AE3019" s="17" t="s">
        <v>74</v>
      </c>
    </row>
    <row r="3020" s="17" customFormat="1" hidden="1" spans="1:32">
      <c r="A3020" s="17" t="s">
        <v>34</v>
      </c>
      <c r="B3020" s="19">
        <v>900</v>
      </c>
      <c r="C3020" s="183" t="s">
        <v>1078</v>
      </c>
      <c r="D3020" s="17" t="s">
        <v>109</v>
      </c>
      <c r="E3020" s="17" t="s">
        <v>110</v>
      </c>
      <c r="F3020" s="17" t="s">
        <v>72</v>
      </c>
      <c r="H3020" s="19">
        <v>1.2379</v>
      </c>
      <c r="I3020" s="19"/>
      <c r="J3020" s="17" t="s">
        <v>39</v>
      </c>
      <c r="K3020" s="19">
        <v>430</v>
      </c>
      <c r="L3020" s="91"/>
      <c r="M3020" s="19">
        <v>5800</v>
      </c>
      <c r="N3020" s="19" t="s">
        <v>40</v>
      </c>
      <c r="O3020" s="19" t="s">
        <v>50</v>
      </c>
      <c r="P3020" s="19">
        <v>6000</v>
      </c>
      <c r="Q3020" s="19">
        <f>3440+3455</f>
        <v>6895</v>
      </c>
      <c r="R3020" s="19">
        <f t="shared" si="154"/>
        <v>-895</v>
      </c>
      <c r="S3020" s="19">
        <v>2775</v>
      </c>
      <c r="T3020" s="19" t="s">
        <v>42</v>
      </c>
      <c r="U3020" s="102" t="s">
        <v>1079</v>
      </c>
      <c r="V3020" s="186" t="s">
        <v>1080</v>
      </c>
      <c r="W3020" s="17" t="s">
        <v>69</v>
      </c>
      <c r="Y3020" s="68">
        <v>45100</v>
      </c>
      <c r="Z3020" s="17" t="s">
        <v>1081</v>
      </c>
      <c r="AA3020" s="17" t="s">
        <v>46</v>
      </c>
      <c r="AB3020" s="17" t="s">
        <v>1082</v>
      </c>
      <c r="AC3020" s="102" t="s">
        <v>1083</v>
      </c>
      <c r="AD3020" s="65">
        <v>1462</v>
      </c>
      <c r="AE3020" s="17" t="s">
        <v>74</v>
      </c>
    </row>
    <row r="3021" s="17" customFormat="1" hidden="1" spans="1:32">
      <c r="A3021" s="17" t="s">
        <v>34</v>
      </c>
      <c r="B3021" s="19">
        <v>900</v>
      </c>
      <c r="C3021" s="183" t="s">
        <v>1078</v>
      </c>
      <c r="D3021" s="17" t="s">
        <v>109</v>
      </c>
      <c r="E3021" s="17" t="s">
        <v>110</v>
      </c>
      <c r="F3021" s="17" t="s">
        <v>72</v>
      </c>
      <c r="H3021" s="19">
        <v>1.2379</v>
      </c>
      <c r="I3021" s="19"/>
      <c r="J3021" s="17" t="s">
        <v>39</v>
      </c>
      <c r="K3021" s="19">
        <v>503</v>
      </c>
      <c r="L3021" s="91"/>
      <c r="M3021" s="19">
        <v>5800</v>
      </c>
      <c r="N3021" s="19" t="s">
        <v>40</v>
      </c>
      <c r="O3021" s="19" t="s">
        <v>50</v>
      </c>
      <c r="P3021" s="19">
        <v>7500</v>
      </c>
      <c r="Q3021" s="19">
        <v>6880</v>
      </c>
      <c r="R3021" s="19">
        <f t="shared" si="154"/>
        <v>620</v>
      </c>
      <c r="S3021" s="19">
        <v>2840</v>
      </c>
      <c r="T3021" s="19" t="s">
        <v>42</v>
      </c>
      <c r="U3021" s="102" t="s">
        <v>1079</v>
      </c>
      <c r="V3021" s="186" t="s">
        <v>1080</v>
      </c>
      <c r="W3021" s="17" t="s">
        <v>69</v>
      </c>
      <c r="Y3021" s="68">
        <v>45100</v>
      </c>
      <c r="Z3021" s="17" t="s">
        <v>1081</v>
      </c>
      <c r="AA3021" s="17" t="s">
        <v>46</v>
      </c>
      <c r="AB3021" s="17" t="s">
        <v>1082</v>
      </c>
      <c r="AC3021" s="102" t="s">
        <v>1083</v>
      </c>
      <c r="AD3021" s="65">
        <v>1462</v>
      </c>
      <c r="AE3021" s="17" t="s">
        <v>74</v>
      </c>
    </row>
    <row r="3022" s="17" customFormat="1" hidden="1" spans="1:32">
      <c r="A3022" s="17" t="s">
        <v>34</v>
      </c>
      <c r="B3022" s="19">
        <v>901</v>
      </c>
      <c r="C3022" s="183" t="s">
        <v>1092</v>
      </c>
      <c r="D3022" s="17" t="s">
        <v>52</v>
      </c>
      <c r="E3022" s="17" t="s">
        <v>187</v>
      </c>
      <c r="F3022" s="17" t="s">
        <v>54</v>
      </c>
      <c r="H3022" s="19">
        <v>1.2311</v>
      </c>
      <c r="I3022" s="19"/>
      <c r="J3022" s="17" t="s">
        <v>49</v>
      </c>
      <c r="K3022" s="19">
        <v>2200</v>
      </c>
      <c r="L3022" s="91">
        <v>130</v>
      </c>
      <c r="M3022" s="19">
        <v>4000</v>
      </c>
      <c r="N3022" s="19" t="s">
        <v>66</v>
      </c>
      <c r="O3022" s="19" t="s">
        <v>141</v>
      </c>
      <c r="P3022" s="19">
        <v>15000</v>
      </c>
      <c r="Q3022" s="19">
        <f>7240+7750</f>
        <v>14990</v>
      </c>
      <c r="R3022" s="19">
        <f t="shared" si="154"/>
        <v>10</v>
      </c>
      <c r="S3022" s="19">
        <f>1180-10</f>
        <v>1170</v>
      </c>
      <c r="T3022" s="19" t="s">
        <v>42</v>
      </c>
      <c r="U3022" s="102" t="s">
        <v>1093</v>
      </c>
      <c r="V3022" s="110" t="s">
        <v>1094</v>
      </c>
      <c r="W3022" s="17" t="s">
        <v>69</v>
      </c>
      <c r="Y3022" s="68">
        <v>45039</v>
      </c>
      <c r="Z3022" s="17" t="s">
        <v>191</v>
      </c>
      <c r="AA3022" s="17" t="s">
        <v>46</v>
      </c>
      <c r="AB3022" s="17" t="s">
        <v>1026</v>
      </c>
      <c r="AC3022" s="217">
        <v>45142</v>
      </c>
      <c r="AD3022" s="65">
        <v>1417</v>
      </c>
      <c r="AE3022" s="17" t="s">
        <v>48</v>
      </c>
    </row>
    <row r="3023" s="17" customFormat="1" hidden="1" spans="1:32">
      <c r="A3023" s="17" t="s">
        <v>34</v>
      </c>
      <c r="B3023" s="19">
        <v>901</v>
      </c>
      <c r="C3023" s="183" t="s">
        <v>1092</v>
      </c>
      <c r="D3023" s="17" t="s">
        <v>52</v>
      </c>
      <c r="E3023" s="17" t="s">
        <v>187</v>
      </c>
      <c r="F3023" s="17" t="s">
        <v>54</v>
      </c>
      <c r="H3023" s="19">
        <v>1.2311</v>
      </c>
      <c r="I3023" s="19"/>
      <c r="J3023" s="17" t="s">
        <v>49</v>
      </c>
      <c r="K3023" s="19">
        <v>2200</v>
      </c>
      <c r="L3023" s="91">
        <v>150</v>
      </c>
      <c r="M3023" s="19">
        <v>5800</v>
      </c>
      <c r="N3023" s="19" t="s">
        <v>66</v>
      </c>
      <c r="O3023" s="19" t="s">
        <v>141</v>
      </c>
      <c r="P3023" s="19">
        <v>14000</v>
      </c>
      <c r="Q3023" s="19">
        <v>14480</v>
      </c>
      <c r="R3023" s="19">
        <f t="shared" si="154"/>
        <v>-480</v>
      </c>
      <c r="S3023" s="19">
        <f>1180-10</f>
        <v>1170</v>
      </c>
      <c r="T3023" s="19" t="s">
        <v>42</v>
      </c>
      <c r="U3023" s="102" t="s">
        <v>1093</v>
      </c>
      <c r="V3023" s="110" t="s">
        <v>1094</v>
      </c>
      <c r="W3023" s="17" t="s">
        <v>69</v>
      </c>
      <c r="Y3023" s="68">
        <v>45039</v>
      </c>
      <c r="Z3023" s="17" t="s">
        <v>191</v>
      </c>
      <c r="AA3023" s="17" t="s">
        <v>46</v>
      </c>
      <c r="AB3023" s="17" t="s">
        <v>1046</v>
      </c>
      <c r="AC3023" s="102" t="s">
        <v>988</v>
      </c>
      <c r="AD3023" s="65">
        <v>1411</v>
      </c>
      <c r="AE3023" s="17" t="s">
        <v>48</v>
      </c>
      <c r="AF3023" s="17" t="s">
        <v>560</v>
      </c>
    </row>
    <row r="3024" s="17" customFormat="1" hidden="1" spans="1:32">
      <c r="A3024" s="17" t="s">
        <v>34</v>
      </c>
      <c r="B3024" s="19">
        <v>901</v>
      </c>
      <c r="C3024" s="183" t="s">
        <v>1092</v>
      </c>
      <c r="D3024" s="17" t="s">
        <v>52</v>
      </c>
      <c r="E3024" s="17" t="s">
        <v>187</v>
      </c>
      <c r="F3024" s="17" t="s">
        <v>54</v>
      </c>
      <c r="H3024" s="19">
        <v>1.2311</v>
      </c>
      <c r="I3024" s="19"/>
      <c r="J3024" s="17" t="s">
        <v>49</v>
      </c>
      <c r="K3024" s="19">
        <v>2200</v>
      </c>
      <c r="L3024" s="91">
        <v>180</v>
      </c>
      <c r="M3024" s="19">
        <v>5800</v>
      </c>
      <c r="N3024" s="19" t="s">
        <v>66</v>
      </c>
      <c r="O3024" s="19" t="s">
        <v>141</v>
      </c>
      <c r="P3024" s="19">
        <v>15000</v>
      </c>
      <c r="Q3024" s="19">
        <v>16010</v>
      </c>
      <c r="R3024" s="19">
        <f t="shared" si="154"/>
        <v>-1010</v>
      </c>
      <c r="S3024" s="19">
        <f>1200-10</f>
        <v>1190</v>
      </c>
      <c r="T3024" s="19" t="s">
        <v>42</v>
      </c>
      <c r="U3024" s="102" t="s">
        <v>1093</v>
      </c>
      <c r="V3024" s="110" t="s">
        <v>1094</v>
      </c>
      <c r="W3024" s="17" t="s">
        <v>69</v>
      </c>
      <c r="Y3024" s="68">
        <v>45039</v>
      </c>
      <c r="Z3024" s="17" t="s">
        <v>191</v>
      </c>
      <c r="AA3024" s="17" t="s">
        <v>46</v>
      </c>
      <c r="AB3024" s="17" t="s">
        <v>1041</v>
      </c>
      <c r="AC3024" s="102" t="s">
        <v>1040</v>
      </c>
      <c r="AD3024" s="65">
        <v>1410</v>
      </c>
      <c r="AE3024" s="17" t="s">
        <v>48</v>
      </c>
      <c r="AF3024" s="17" t="s">
        <v>560</v>
      </c>
    </row>
    <row r="3025" s="17" customFormat="1" hidden="1" spans="1:35">
      <c r="A3025" s="17" t="s">
        <v>34</v>
      </c>
      <c r="B3025" s="19">
        <v>902</v>
      </c>
      <c r="C3025" s="183">
        <v>45111</v>
      </c>
      <c r="D3025" s="17" t="s">
        <v>52</v>
      </c>
      <c r="E3025" s="17" t="s">
        <v>187</v>
      </c>
      <c r="F3025" s="17" t="s">
        <v>54</v>
      </c>
      <c r="H3025" s="19">
        <v>1.2311</v>
      </c>
      <c r="I3025" s="19"/>
      <c r="J3025" s="17" t="s">
        <v>49</v>
      </c>
      <c r="K3025" s="91">
        <v>2200</v>
      </c>
      <c r="L3025" s="91">
        <v>32</v>
      </c>
      <c r="M3025" s="91">
        <v>4000</v>
      </c>
      <c r="N3025" s="19" t="s">
        <v>66</v>
      </c>
      <c r="O3025" s="19" t="s">
        <v>141</v>
      </c>
      <c r="P3025" s="91">
        <v>5677</v>
      </c>
      <c r="Q3025" s="19">
        <f>2110+2820</f>
        <v>4930</v>
      </c>
      <c r="R3025" s="99">
        <f t="shared" si="154"/>
        <v>747</v>
      </c>
      <c r="S3025" s="19">
        <v>1085</v>
      </c>
      <c r="T3025" s="19" t="s">
        <v>42</v>
      </c>
      <c r="U3025" s="102" t="s">
        <v>1095</v>
      </c>
      <c r="V3025" s="110">
        <v>45111</v>
      </c>
      <c r="W3025" s="17" t="s">
        <v>44</v>
      </c>
      <c r="Y3025" s="68">
        <v>45039</v>
      </c>
      <c r="Z3025" s="17" t="s">
        <v>191</v>
      </c>
      <c r="AA3025" s="17" t="s">
        <v>46</v>
      </c>
      <c r="AB3025" s="17" t="s">
        <v>1096</v>
      </c>
      <c r="AC3025" s="102" t="s">
        <v>1066</v>
      </c>
      <c r="AD3025" s="65">
        <v>1425</v>
      </c>
      <c r="AE3025" s="272" t="s">
        <v>390</v>
      </c>
      <c r="AF3025" s="17" t="s">
        <v>560</v>
      </c>
      <c r="AI3025" s="17">
        <v>1080</v>
      </c>
    </row>
    <row r="3026" s="17" customFormat="1" hidden="1" spans="1:35">
      <c r="A3026" s="17" t="s">
        <v>34</v>
      </c>
      <c r="B3026" s="19">
        <v>902</v>
      </c>
      <c r="C3026" s="183">
        <v>45111</v>
      </c>
      <c r="D3026" s="17" t="s">
        <v>52</v>
      </c>
      <c r="E3026" s="17" t="s">
        <v>187</v>
      </c>
      <c r="F3026" s="17" t="s">
        <v>54</v>
      </c>
      <c r="H3026" s="19">
        <v>1.2311</v>
      </c>
      <c r="I3026" s="19"/>
      <c r="J3026" s="17" t="s">
        <v>49</v>
      </c>
      <c r="K3026" s="91">
        <v>2200</v>
      </c>
      <c r="L3026" s="91">
        <v>46</v>
      </c>
      <c r="M3026" s="91">
        <v>4000</v>
      </c>
      <c r="N3026" s="19" t="s">
        <v>66</v>
      </c>
      <c r="O3026" s="19" t="s">
        <v>141</v>
      </c>
      <c r="P3026" s="91">
        <v>12241</v>
      </c>
      <c r="Q3026" s="19">
        <v>3780</v>
      </c>
      <c r="S3026" s="19">
        <v>1085</v>
      </c>
      <c r="T3026" s="19" t="s">
        <v>42</v>
      </c>
      <c r="U3026" s="102" t="s">
        <v>1095</v>
      </c>
      <c r="V3026" s="110">
        <v>45111</v>
      </c>
      <c r="W3026" s="17" t="s">
        <v>44</v>
      </c>
      <c r="Y3026" s="68">
        <v>45039</v>
      </c>
      <c r="Z3026" s="17" t="s">
        <v>191</v>
      </c>
      <c r="AA3026" s="17" t="s">
        <v>46</v>
      </c>
      <c r="AB3026" s="17" t="s">
        <v>1067</v>
      </c>
      <c r="AC3026" s="102" t="s">
        <v>1068</v>
      </c>
      <c r="AD3026" s="65">
        <v>1415</v>
      </c>
      <c r="AE3026" s="272" t="s">
        <v>390</v>
      </c>
      <c r="AF3026" s="17" t="s">
        <v>560</v>
      </c>
      <c r="AI3026" s="17">
        <v>1080</v>
      </c>
    </row>
    <row r="3027" s="17" customFormat="1" hidden="1" spans="1:35">
      <c r="A3027" s="17" t="s">
        <v>34</v>
      </c>
      <c r="B3027" s="19">
        <v>902</v>
      </c>
      <c r="C3027" s="183">
        <v>45111</v>
      </c>
      <c r="D3027" s="17" t="s">
        <v>52</v>
      </c>
      <c r="E3027" s="17" t="s">
        <v>187</v>
      </c>
      <c r="F3027" s="17" t="s">
        <v>54</v>
      </c>
      <c r="H3027" s="19">
        <v>1.2311</v>
      </c>
      <c r="I3027" s="19"/>
      <c r="J3027" s="17" t="s">
        <v>49</v>
      </c>
      <c r="K3027" s="91">
        <v>2200</v>
      </c>
      <c r="L3027" s="91">
        <v>46</v>
      </c>
      <c r="M3027" s="91">
        <v>4000</v>
      </c>
      <c r="N3027" s="19" t="s">
        <v>66</v>
      </c>
      <c r="O3027" s="19" t="s">
        <v>141</v>
      </c>
      <c r="P3027" s="91"/>
      <c r="Q3027" s="19">
        <f>4160+3530+3665</f>
        <v>11355</v>
      </c>
      <c r="R3027" s="99">
        <f>+P3026-Q3026-Q3027</f>
        <v>-2894</v>
      </c>
      <c r="S3027" s="19">
        <v>1085</v>
      </c>
      <c r="T3027" s="19" t="s">
        <v>42</v>
      </c>
      <c r="U3027" s="102" t="s">
        <v>1095</v>
      </c>
      <c r="V3027" s="110">
        <v>45111</v>
      </c>
      <c r="W3027" s="17" t="s">
        <v>44</v>
      </c>
      <c r="Y3027" s="68">
        <v>45039</v>
      </c>
      <c r="Z3027" s="17" t="s">
        <v>191</v>
      </c>
      <c r="AA3027" s="17" t="s">
        <v>46</v>
      </c>
      <c r="AB3027" s="17" t="s">
        <v>1097</v>
      </c>
      <c r="AC3027" s="102" t="s">
        <v>1098</v>
      </c>
      <c r="AD3027" s="65">
        <v>1426</v>
      </c>
      <c r="AE3027" s="272" t="s">
        <v>390</v>
      </c>
      <c r="AF3027" s="17" t="s">
        <v>560</v>
      </c>
      <c r="AI3027" s="17">
        <v>1080</v>
      </c>
    </row>
    <row r="3028" s="17" customFormat="1" hidden="1" spans="1:35">
      <c r="A3028" s="17" t="s">
        <v>34</v>
      </c>
      <c r="B3028" s="19">
        <v>902</v>
      </c>
      <c r="C3028" s="183">
        <v>45111</v>
      </c>
      <c r="D3028" s="17" t="s">
        <v>52</v>
      </c>
      <c r="E3028" s="17" t="s">
        <v>187</v>
      </c>
      <c r="F3028" s="17" t="s">
        <v>54</v>
      </c>
      <c r="H3028" s="19">
        <v>1.2311</v>
      </c>
      <c r="I3028" s="19"/>
      <c r="J3028" s="17" t="s">
        <v>49</v>
      </c>
      <c r="K3028" s="91">
        <v>2200</v>
      </c>
      <c r="L3028" s="91">
        <v>50</v>
      </c>
      <c r="M3028" s="91">
        <v>5000</v>
      </c>
      <c r="N3028" s="19" t="s">
        <v>66</v>
      </c>
      <c r="O3028" s="19" t="s">
        <v>141</v>
      </c>
      <c r="P3028" s="91">
        <v>31047</v>
      </c>
      <c r="Q3028" s="19">
        <f>4470+4140</f>
        <v>8610</v>
      </c>
      <c r="S3028" s="19">
        <v>1085</v>
      </c>
      <c r="T3028" s="19" t="s">
        <v>42</v>
      </c>
      <c r="U3028" s="102" t="s">
        <v>1095</v>
      </c>
      <c r="V3028" s="110">
        <v>45111</v>
      </c>
      <c r="W3028" s="17" t="s">
        <v>44</v>
      </c>
      <c r="Y3028" s="68">
        <v>45039</v>
      </c>
      <c r="Z3028" s="17" t="s">
        <v>191</v>
      </c>
      <c r="AA3028" s="17" t="s">
        <v>46</v>
      </c>
      <c r="AB3028" s="17" t="s">
        <v>1067</v>
      </c>
      <c r="AC3028" s="102" t="s">
        <v>1068</v>
      </c>
      <c r="AD3028" s="65">
        <v>1415</v>
      </c>
      <c r="AE3028" s="272" t="s">
        <v>48</v>
      </c>
      <c r="AF3028" s="17" t="s">
        <v>560</v>
      </c>
      <c r="AI3028" s="17">
        <v>1080</v>
      </c>
    </row>
    <row r="3029" s="17" customFormat="1" hidden="1" spans="1:35">
      <c r="A3029" s="17" t="s">
        <v>34</v>
      </c>
      <c r="B3029" s="19">
        <v>902</v>
      </c>
      <c r="C3029" s="183">
        <v>45111</v>
      </c>
      <c r="D3029" s="17" t="s">
        <v>52</v>
      </c>
      <c r="E3029" s="17" t="s">
        <v>187</v>
      </c>
      <c r="F3029" s="17" t="s">
        <v>54</v>
      </c>
      <c r="H3029" s="19">
        <v>1.2311</v>
      </c>
      <c r="I3029" s="19"/>
      <c r="J3029" s="17" t="s">
        <v>49</v>
      </c>
      <c r="K3029" s="91">
        <v>2200</v>
      </c>
      <c r="L3029" s="91">
        <v>50</v>
      </c>
      <c r="M3029" s="91">
        <v>5000</v>
      </c>
      <c r="N3029" s="19" t="s">
        <v>66</v>
      </c>
      <c r="O3029" s="19" t="s">
        <v>141</v>
      </c>
      <c r="P3029" s="91"/>
      <c r="Q3029" s="19">
        <f>5445+4260+4490</f>
        <v>14195</v>
      </c>
      <c r="S3029" s="19">
        <v>1085</v>
      </c>
      <c r="T3029" s="19" t="s">
        <v>42</v>
      </c>
      <c r="U3029" s="102" t="s">
        <v>1095</v>
      </c>
      <c r="V3029" s="110">
        <v>45111</v>
      </c>
      <c r="W3029" s="17" t="s">
        <v>44</v>
      </c>
      <c r="Y3029" s="68">
        <v>45039</v>
      </c>
      <c r="Z3029" s="17" t="s">
        <v>191</v>
      </c>
      <c r="AA3029" s="17" t="s">
        <v>46</v>
      </c>
      <c r="AB3029" s="17" t="s">
        <v>1096</v>
      </c>
      <c r="AC3029" s="102" t="s">
        <v>1066</v>
      </c>
      <c r="AD3029" s="65">
        <v>1425</v>
      </c>
      <c r="AE3029" s="272" t="s">
        <v>48</v>
      </c>
      <c r="AF3029" s="17" t="s">
        <v>560</v>
      </c>
      <c r="AI3029" s="17">
        <v>1080</v>
      </c>
    </row>
    <row r="3030" s="17" customFormat="1" hidden="1" spans="1:35">
      <c r="A3030" s="17" t="s">
        <v>34</v>
      </c>
      <c r="B3030" s="19">
        <v>902</v>
      </c>
      <c r="C3030" s="183">
        <v>45111</v>
      </c>
      <c r="D3030" s="17" t="s">
        <v>52</v>
      </c>
      <c r="E3030" s="17" t="s">
        <v>187</v>
      </c>
      <c r="F3030" s="17" t="s">
        <v>54</v>
      </c>
      <c r="H3030" s="19">
        <v>1.2311</v>
      </c>
      <c r="I3030" s="19"/>
      <c r="J3030" s="17" t="s">
        <v>49</v>
      </c>
      <c r="K3030" s="91">
        <v>2200</v>
      </c>
      <c r="L3030" s="91">
        <v>50</v>
      </c>
      <c r="M3030" s="91">
        <v>5000</v>
      </c>
      <c r="N3030" s="19" t="s">
        <v>66</v>
      </c>
      <c r="O3030" s="19" t="s">
        <v>141</v>
      </c>
      <c r="P3030" s="91"/>
      <c r="Q3030" s="19">
        <f>5445+4740+4710</f>
        <v>14895</v>
      </c>
      <c r="R3030" s="99">
        <f>+P3028-Q3028-Q3029-Q3030</f>
        <v>-6653</v>
      </c>
      <c r="S3030" s="19">
        <v>1085</v>
      </c>
      <c r="T3030" s="19" t="s">
        <v>42</v>
      </c>
      <c r="U3030" s="102" t="s">
        <v>1095</v>
      </c>
      <c r="V3030" s="110">
        <v>45111</v>
      </c>
      <c r="W3030" s="17" t="s">
        <v>44</v>
      </c>
      <c r="Y3030" s="68">
        <v>45039</v>
      </c>
      <c r="Z3030" s="17" t="s">
        <v>191</v>
      </c>
      <c r="AA3030" s="17" t="s">
        <v>46</v>
      </c>
      <c r="AB3030" s="17" t="s">
        <v>1097</v>
      </c>
      <c r="AC3030" s="102" t="s">
        <v>1098</v>
      </c>
      <c r="AD3030" s="65">
        <v>1426</v>
      </c>
      <c r="AE3030" s="272" t="s">
        <v>48</v>
      </c>
      <c r="AF3030" s="17" t="s">
        <v>560</v>
      </c>
      <c r="AI3030" s="17">
        <v>1080</v>
      </c>
    </row>
    <row r="3031" s="17" customFormat="1" hidden="1" spans="1:35">
      <c r="A3031" s="17" t="s">
        <v>34</v>
      </c>
      <c r="B3031" s="19">
        <v>902</v>
      </c>
      <c r="C3031" s="183">
        <v>45111</v>
      </c>
      <c r="D3031" s="17" t="s">
        <v>52</v>
      </c>
      <c r="E3031" s="17" t="s">
        <v>187</v>
      </c>
      <c r="F3031" s="17" t="s">
        <v>54</v>
      </c>
      <c r="H3031" s="19">
        <v>1.2311</v>
      </c>
      <c r="I3031" s="19"/>
      <c r="J3031" s="17" t="s">
        <v>49</v>
      </c>
      <c r="K3031" s="91">
        <v>2200</v>
      </c>
      <c r="L3031" s="91">
        <v>56</v>
      </c>
      <c r="M3031" s="91">
        <v>5000</v>
      </c>
      <c r="N3031" s="19" t="s">
        <v>66</v>
      </c>
      <c r="O3031" s="19" t="s">
        <v>141</v>
      </c>
      <c r="P3031" s="91">
        <v>14902</v>
      </c>
      <c r="Q3031" s="19">
        <v>4550</v>
      </c>
      <c r="S3031" s="19">
        <v>1085</v>
      </c>
      <c r="T3031" s="19" t="s">
        <v>42</v>
      </c>
      <c r="U3031" s="102" t="s">
        <v>1095</v>
      </c>
      <c r="V3031" s="110">
        <v>45111</v>
      </c>
      <c r="W3031" s="17" t="s">
        <v>44</v>
      </c>
      <c r="Y3031" s="68">
        <v>45039</v>
      </c>
      <c r="Z3031" s="17" t="s">
        <v>191</v>
      </c>
      <c r="AA3031" s="17" t="s">
        <v>46</v>
      </c>
      <c r="AB3031" s="17" t="s">
        <v>1067</v>
      </c>
      <c r="AC3031" s="102" t="s">
        <v>1068</v>
      </c>
      <c r="AD3031" s="65">
        <v>1415</v>
      </c>
      <c r="AE3031" s="272" t="s">
        <v>48</v>
      </c>
      <c r="AF3031" s="17" t="s">
        <v>560</v>
      </c>
      <c r="AI3031" s="17">
        <v>1080</v>
      </c>
    </row>
    <row r="3032" s="17" customFormat="1" hidden="1" spans="1:35">
      <c r="A3032" s="17" t="s">
        <v>34</v>
      </c>
      <c r="B3032" s="19">
        <v>902</v>
      </c>
      <c r="C3032" s="183">
        <v>45111</v>
      </c>
      <c r="D3032" s="17" t="s">
        <v>52</v>
      </c>
      <c r="E3032" s="17" t="s">
        <v>187</v>
      </c>
      <c r="F3032" s="17" t="s">
        <v>54</v>
      </c>
      <c r="H3032" s="19">
        <v>1.2311</v>
      </c>
      <c r="I3032" s="19"/>
      <c r="J3032" s="17" t="s">
        <v>49</v>
      </c>
      <c r="K3032" s="91">
        <v>2200</v>
      </c>
      <c r="L3032" s="91">
        <v>56</v>
      </c>
      <c r="M3032" s="91">
        <v>5000</v>
      </c>
      <c r="N3032" s="19" t="s">
        <v>66</v>
      </c>
      <c r="O3032" s="19" t="s">
        <v>141</v>
      </c>
      <c r="P3032" s="91"/>
      <c r="Q3032" s="19">
        <f>5060+5060</f>
        <v>10120</v>
      </c>
      <c r="S3032" s="19">
        <v>1085</v>
      </c>
      <c r="T3032" s="19" t="s">
        <v>42</v>
      </c>
      <c r="U3032" s="102" t="s">
        <v>1095</v>
      </c>
      <c r="V3032" s="110">
        <v>45111</v>
      </c>
      <c r="W3032" s="17" t="s">
        <v>44</v>
      </c>
      <c r="Y3032" s="68">
        <v>45039</v>
      </c>
      <c r="Z3032" s="17" t="s">
        <v>191</v>
      </c>
      <c r="AA3032" s="17" t="s">
        <v>46</v>
      </c>
      <c r="AB3032" s="17" t="s">
        <v>1096</v>
      </c>
      <c r="AC3032" s="102" t="s">
        <v>1066</v>
      </c>
      <c r="AD3032" s="65">
        <v>1425</v>
      </c>
      <c r="AE3032" s="272" t="s">
        <v>48</v>
      </c>
      <c r="AF3032" s="17" t="s">
        <v>560</v>
      </c>
      <c r="AI3032" s="17">
        <v>1080</v>
      </c>
    </row>
    <row r="3033" s="17" customFormat="1" hidden="1" spans="1:35">
      <c r="A3033" s="17" t="s">
        <v>34</v>
      </c>
      <c r="B3033" s="19">
        <v>902</v>
      </c>
      <c r="C3033" s="183">
        <v>45111</v>
      </c>
      <c r="D3033" s="17" t="s">
        <v>52</v>
      </c>
      <c r="E3033" s="17" t="s">
        <v>187</v>
      </c>
      <c r="F3033" s="17" t="s">
        <v>54</v>
      </c>
      <c r="H3033" s="19">
        <v>1.2311</v>
      </c>
      <c r="I3033" s="19"/>
      <c r="J3033" s="17" t="s">
        <v>49</v>
      </c>
      <c r="K3033" s="91">
        <v>2200</v>
      </c>
      <c r="L3033" s="91">
        <v>56</v>
      </c>
      <c r="M3033" s="91">
        <v>5000</v>
      </c>
      <c r="N3033" s="19" t="s">
        <v>66</v>
      </c>
      <c r="O3033" s="19" t="s">
        <v>141</v>
      </c>
      <c r="P3033" s="91"/>
      <c r="Q3033" s="19">
        <v>5500</v>
      </c>
      <c r="R3033" s="99">
        <f>+P3031-Q3031-Q3032-Q3033</f>
        <v>-5268</v>
      </c>
      <c r="S3033" s="19">
        <v>1085</v>
      </c>
      <c r="T3033" s="19" t="s">
        <v>42</v>
      </c>
      <c r="U3033" s="102" t="s">
        <v>1095</v>
      </c>
      <c r="V3033" s="110">
        <v>45111</v>
      </c>
      <c r="W3033" s="17" t="s">
        <v>44</v>
      </c>
      <c r="Y3033" s="68">
        <v>45039</v>
      </c>
      <c r="Z3033" s="17" t="s">
        <v>191</v>
      </c>
      <c r="AA3033" s="17" t="s">
        <v>46</v>
      </c>
      <c r="AB3033" s="17" t="s">
        <v>1097</v>
      </c>
      <c r="AC3033" s="102" t="s">
        <v>1098</v>
      </c>
      <c r="AD3033" s="65">
        <v>1426</v>
      </c>
      <c r="AE3033" s="272" t="s">
        <v>48</v>
      </c>
      <c r="AF3033" s="17" t="s">
        <v>560</v>
      </c>
      <c r="AI3033" s="17">
        <v>1080</v>
      </c>
    </row>
    <row r="3034" s="17" customFormat="1" hidden="1" spans="1:35">
      <c r="A3034" s="17" t="s">
        <v>34</v>
      </c>
      <c r="B3034" s="19">
        <v>902</v>
      </c>
      <c r="C3034" s="183">
        <v>45111</v>
      </c>
      <c r="D3034" s="17" t="s">
        <v>52</v>
      </c>
      <c r="E3034" s="17" t="s">
        <v>187</v>
      </c>
      <c r="F3034" s="17" t="s">
        <v>54</v>
      </c>
      <c r="H3034" s="19">
        <v>1.2311</v>
      </c>
      <c r="I3034" s="19"/>
      <c r="J3034" s="17" t="s">
        <v>49</v>
      </c>
      <c r="K3034" s="91">
        <v>2200</v>
      </c>
      <c r="L3034" s="91">
        <v>60</v>
      </c>
      <c r="M3034" s="91">
        <v>5000</v>
      </c>
      <c r="N3034" s="19" t="s">
        <v>66</v>
      </c>
      <c r="O3034" s="19" t="s">
        <v>141</v>
      </c>
      <c r="P3034" s="91">
        <v>10645</v>
      </c>
      <c r="Q3034" s="19">
        <v>5775</v>
      </c>
      <c r="S3034" s="19">
        <v>1085</v>
      </c>
      <c r="T3034" s="19" t="s">
        <v>42</v>
      </c>
      <c r="U3034" s="102" t="s">
        <v>1095</v>
      </c>
      <c r="V3034" s="110">
        <v>45111</v>
      </c>
      <c r="W3034" s="17" t="s">
        <v>44</v>
      </c>
      <c r="Y3034" s="68">
        <v>45039</v>
      </c>
      <c r="Z3034" s="17" t="s">
        <v>191</v>
      </c>
      <c r="AA3034" s="17" t="s">
        <v>46</v>
      </c>
      <c r="AB3034" s="17" t="s">
        <v>1096</v>
      </c>
      <c r="AC3034" s="102" t="s">
        <v>1066</v>
      </c>
      <c r="AD3034" s="65">
        <v>1425</v>
      </c>
      <c r="AE3034" s="272" t="s">
        <v>48</v>
      </c>
      <c r="AF3034" s="17" t="s">
        <v>560</v>
      </c>
      <c r="AI3034" s="17">
        <v>1080</v>
      </c>
    </row>
    <row r="3035" s="17" customFormat="1" hidden="1" spans="1:35">
      <c r="A3035" s="17" t="s">
        <v>34</v>
      </c>
      <c r="B3035" s="19">
        <v>902</v>
      </c>
      <c r="C3035" s="183">
        <v>45111</v>
      </c>
      <c r="D3035" s="17" t="s">
        <v>52</v>
      </c>
      <c r="E3035" s="17" t="s">
        <v>187</v>
      </c>
      <c r="F3035" s="17" t="s">
        <v>54</v>
      </c>
      <c r="H3035" s="19">
        <v>1.2311</v>
      </c>
      <c r="I3035" s="19"/>
      <c r="J3035" s="17" t="s">
        <v>49</v>
      </c>
      <c r="K3035" s="91">
        <v>2200</v>
      </c>
      <c r="L3035" s="91">
        <v>60</v>
      </c>
      <c r="M3035" s="91">
        <v>5000</v>
      </c>
      <c r="N3035" s="19" t="s">
        <v>66</v>
      </c>
      <c r="O3035" s="19" t="s">
        <v>141</v>
      </c>
      <c r="P3035" s="91"/>
      <c r="Q3035" s="19">
        <v>5605</v>
      </c>
      <c r="R3035" s="99">
        <f>+P3034-Q3034-Q3035</f>
        <v>-735</v>
      </c>
      <c r="S3035" s="19">
        <v>1085</v>
      </c>
      <c r="T3035" s="19" t="s">
        <v>42</v>
      </c>
      <c r="U3035" s="102" t="s">
        <v>1095</v>
      </c>
      <c r="V3035" s="110">
        <v>45111</v>
      </c>
      <c r="W3035" s="17" t="s">
        <v>44</v>
      </c>
      <c r="Y3035" s="68">
        <v>45039</v>
      </c>
      <c r="Z3035" s="17" t="s">
        <v>191</v>
      </c>
      <c r="AA3035" s="17" t="s">
        <v>46</v>
      </c>
      <c r="AB3035" s="17" t="s">
        <v>1097</v>
      </c>
      <c r="AC3035" s="102" t="s">
        <v>1098</v>
      </c>
      <c r="AD3035" s="65">
        <v>1426</v>
      </c>
      <c r="AE3035" s="272" t="s">
        <v>48</v>
      </c>
      <c r="AF3035" s="17" t="s">
        <v>560</v>
      </c>
      <c r="AI3035" s="17">
        <v>1080</v>
      </c>
    </row>
    <row r="3036" s="17" customFormat="1" hidden="1" spans="1:35">
      <c r="A3036" s="17" t="s">
        <v>34</v>
      </c>
      <c r="B3036" s="19">
        <v>902</v>
      </c>
      <c r="C3036" s="183">
        <v>45111</v>
      </c>
      <c r="D3036" s="17" t="s">
        <v>52</v>
      </c>
      <c r="E3036" s="17" t="s">
        <v>187</v>
      </c>
      <c r="F3036" s="17" t="s">
        <v>54</v>
      </c>
      <c r="H3036" s="19">
        <v>1.2311</v>
      </c>
      <c r="I3036" s="19"/>
      <c r="J3036" s="17" t="s">
        <v>49</v>
      </c>
      <c r="K3036" s="91">
        <v>2200</v>
      </c>
      <c r="L3036" s="91">
        <v>66</v>
      </c>
      <c r="M3036" s="91">
        <v>5000</v>
      </c>
      <c r="N3036" s="19" t="s">
        <v>66</v>
      </c>
      <c r="O3036" s="19" t="s">
        <v>141</v>
      </c>
      <c r="P3036" s="91">
        <v>17564</v>
      </c>
      <c r="Q3036" s="19">
        <v>5240</v>
      </c>
      <c r="R3036" s="99">
        <f>+P3036-Q3036</f>
        <v>12324</v>
      </c>
      <c r="S3036" s="19">
        <v>1085</v>
      </c>
      <c r="T3036" s="19" t="s">
        <v>42</v>
      </c>
      <c r="U3036" s="102" t="s">
        <v>1095</v>
      </c>
      <c r="V3036" s="110">
        <v>45111</v>
      </c>
      <c r="W3036" s="17" t="s">
        <v>44</v>
      </c>
      <c r="Y3036" s="68">
        <v>45039</v>
      </c>
      <c r="Z3036" s="17" t="s">
        <v>191</v>
      </c>
      <c r="AA3036" s="17" t="s">
        <v>46</v>
      </c>
      <c r="AB3036" s="17" t="s">
        <v>1067</v>
      </c>
      <c r="AC3036" s="102" t="s">
        <v>1068</v>
      </c>
      <c r="AD3036" s="65">
        <v>1415</v>
      </c>
      <c r="AE3036" s="272" t="s">
        <v>48</v>
      </c>
      <c r="AF3036" s="17" t="s">
        <v>560</v>
      </c>
      <c r="AI3036" s="17">
        <v>1080</v>
      </c>
    </row>
    <row r="3037" s="17" customFormat="1" hidden="1" spans="1:35">
      <c r="A3037" s="17" t="s">
        <v>34</v>
      </c>
      <c r="B3037" s="19">
        <v>902</v>
      </c>
      <c r="C3037" s="183">
        <v>45111</v>
      </c>
      <c r="D3037" s="17" t="s">
        <v>52</v>
      </c>
      <c r="E3037" s="17" t="s">
        <v>187</v>
      </c>
      <c r="F3037" s="17" t="s">
        <v>54</v>
      </c>
      <c r="H3037" s="19">
        <v>1.2311</v>
      </c>
      <c r="I3037" s="19"/>
      <c r="J3037" s="17" t="s">
        <v>49</v>
      </c>
      <c r="K3037" s="91">
        <v>2200</v>
      </c>
      <c r="L3037" s="91">
        <v>66</v>
      </c>
      <c r="M3037" s="91">
        <v>5000</v>
      </c>
      <c r="N3037" s="19" t="s">
        <v>66</v>
      </c>
      <c r="O3037" s="19" t="s">
        <v>141</v>
      </c>
      <c r="P3037" s="91"/>
      <c r="Q3037" s="19">
        <f>5980+5970+5950</f>
        <v>17900</v>
      </c>
      <c r="R3037" s="99"/>
      <c r="S3037" s="19">
        <v>1085</v>
      </c>
      <c r="T3037" s="19" t="s">
        <v>42</v>
      </c>
      <c r="U3037" s="102" t="s">
        <v>1095</v>
      </c>
      <c r="V3037" s="110">
        <v>45111</v>
      </c>
      <c r="W3037" s="17" t="s">
        <v>44</v>
      </c>
      <c r="Y3037" s="68">
        <v>45039</v>
      </c>
      <c r="Z3037" s="17" t="s">
        <v>191</v>
      </c>
      <c r="AA3037" s="17" t="s">
        <v>46</v>
      </c>
      <c r="AB3037" s="17" t="s">
        <v>1097</v>
      </c>
      <c r="AC3037" s="102" t="s">
        <v>1098</v>
      </c>
      <c r="AD3037" s="65">
        <v>1426</v>
      </c>
      <c r="AE3037" s="272" t="s">
        <v>48</v>
      </c>
      <c r="AF3037" s="17" t="s">
        <v>560</v>
      </c>
      <c r="AI3037" s="17">
        <v>1080</v>
      </c>
    </row>
    <row r="3038" s="17" customFormat="1" hidden="1" spans="1:35">
      <c r="A3038" s="17" t="s">
        <v>34</v>
      </c>
      <c r="B3038" s="19">
        <v>902</v>
      </c>
      <c r="C3038" s="183">
        <v>45111</v>
      </c>
      <c r="D3038" s="17" t="s">
        <v>52</v>
      </c>
      <c r="E3038" s="17" t="s">
        <v>187</v>
      </c>
      <c r="F3038" s="17" t="s">
        <v>54</v>
      </c>
      <c r="H3038" s="19">
        <v>1.2311</v>
      </c>
      <c r="I3038" s="19"/>
      <c r="J3038" s="17" t="s">
        <v>49</v>
      </c>
      <c r="K3038" s="91">
        <v>2200</v>
      </c>
      <c r="L3038" s="91">
        <v>70</v>
      </c>
      <c r="M3038" s="91">
        <v>4000</v>
      </c>
      <c r="N3038" s="19" t="s">
        <v>66</v>
      </c>
      <c r="O3038" s="19" t="s">
        <v>141</v>
      </c>
      <c r="P3038" s="91">
        <v>12419</v>
      </c>
      <c r="Q3038" s="19">
        <v>6330</v>
      </c>
      <c r="S3038" s="19">
        <v>1085</v>
      </c>
      <c r="T3038" s="19" t="s">
        <v>42</v>
      </c>
      <c r="U3038" s="102" t="s">
        <v>1095</v>
      </c>
      <c r="V3038" s="110">
        <v>45111</v>
      </c>
      <c r="W3038" s="17" t="s">
        <v>44</v>
      </c>
      <c r="Y3038" s="68">
        <v>45039</v>
      </c>
      <c r="Z3038" s="17" t="s">
        <v>191</v>
      </c>
      <c r="AA3038" s="17" t="s">
        <v>46</v>
      </c>
      <c r="AB3038" s="17" t="s">
        <v>1067</v>
      </c>
      <c r="AC3038" s="102" t="s">
        <v>1068</v>
      </c>
      <c r="AD3038" s="65">
        <v>1415</v>
      </c>
      <c r="AE3038" s="272" t="s">
        <v>390</v>
      </c>
      <c r="AF3038" s="17" t="s">
        <v>560</v>
      </c>
      <c r="AI3038" s="17">
        <v>1080</v>
      </c>
    </row>
    <row r="3039" s="17" customFormat="1" hidden="1" spans="1:35">
      <c r="A3039" s="17" t="s">
        <v>34</v>
      </c>
      <c r="B3039" s="19">
        <v>902</v>
      </c>
      <c r="C3039" s="183">
        <v>45111</v>
      </c>
      <c r="D3039" s="17" t="s">
        <v>52</v>
      </c>
      <c r="E3039" s="17" t="s">
        <v>187</v>
      </c>
      <c r="F3039" s="17" t="s">
        <v>54</v>
      </c>
      <c r="H3039" s="19">
        <v>1.2311</v>
      </c>
      <c r="I3039" s="19"/>
      <c r="J3039" s="17" t="s">
        <v>49</v>
      </c>
      <c r="K3039" s="91">
        <v>2200</v>
      </c>
      <c r="L3039" s="91">
        <v>70</v>
      </c>
      <c r="M3039" s="91">
        <v>4000</v>
      </c>
      <c r="N3039" s="19" t="s">
        <v>66</v>
      </c>
      <c r="O3039" s="19" t="s">
        <v>141</v>
      </c>
      <c r="P3039" s="91"/>
      <c r="Q3039" s="19">
        <f>6440+6430</f>
        <v>12870</v>
      </c>
      <c r="R3039" s="99">
        <f>+P3038-Q3038-Q3039</f>
        <v>-6781</v>
      </c>
      <c r="S3039" s="19">
        <v>1085</v>
      </c>
      <c r="T3039" s="19" t="s">
        <v>42</v>
      </c>
      <c r="U3039" s="102" t="s">
        <v>1095</v>
      </c>
      <c r="V3039" s="110">
        <v>45111</v>
      </c>
      <c r="W3039" s="17" t="s">
        <v>44</v>
      </c>
      <c r="Y3039" s="68">
        <v>45039</v>
      </c>
      <c r="Z3039" s="17" t="s">
        <v>191</v>
      </c>
      <c r="AA3039" s="17" t="s">
        <v>46</v>
      </c>
      <c r="AB3039" s="17" t="s">
        <v>1096</v>
      </c>
      <c r="AC3039" s="102" t="s">
        <v>1066</v>
      </c>
      <c r="AD3039" s="65">
        <v>1425</v>
      </c>
      <c r="AE3039" s="272" t="s">
        <v>390</v>
      </c>
      <c r="AF3039" s="17" t="s">
        <v>560</v>
      </c>
      <c r="AI3039" s="17">
        <v>1080</v>
      </c>
    </row>
    <row r="3040" s="17" customFormat="1" hidden="1" spans="1:35">
      <c r="A3040" s="17" t="s">
        <v>34</v>
      </c>
      <c r="B3040" s="19">
        <v>902</v>
      </c>
      <c r="C3040" s="183">
        <v>45111</v>
      </c>
      <c r="D3040" s="17" t="s">
        <v>52</v>
      </c>
      <c r="E3040" s="17" t="s">
        <v>187</v>
      </c>
      <c r="F3040" s="17" t="s">
        <v>54</v>
      </c>
      <c r="H3040" s="19">
        <v>1.2311</v>
      </c>
      <c r="I3040" s="19"/>
      <c r="J3040" s="17" t="s">
        <v>49</v>
      </c>
      <c r="K3040" s="91">
        <v>2200</v>
      </c>
      <c r="L3040" s="91">
        <v>75</v>
      </c>
      <c r="M3040" s="91">
        <v>4000</v>
      </c>
      <c r="N3040" s="19" t="s">
        <v>66</v>
      </c>
      <c r="O3040" s="19" t="s">
        <v>141</v>
      </c>
      <c r="P3040" s="91">
        <v>6653</v>
      </c>
      <c r="Q3040" s="19">
        <f>6020+6180</f>
        <v>12200</v>
      </c>
      <c r="S3040" s="19">
        <v>1085</v>
      </c>
      <c r="T3040" s="19" t="s">
        <v>42</v>
      </c>
      <c r="U3040" s="102" t="s">
        <v>1095</v>
      </c>
      <c r="V3040" s="110">
        <v>45111</v>
      </c>
      <c r="W3040" s="17" t="s">
        <v>44</v>
      </c>
      <c r="Y3040" s="68">
        <v>45039</v>
      </c>
      <c r="Z3040" s="17" t="s">
        <v>191</v>
      </c>
      <c r="AA3040" s="17" t="s">
        <v>46</v>
      </c>
      <c r="AB3040" s="17" t="s">
        <v>1067</v>
      </c>
      <c r="AC3040" s="102" t="s">
        <v>1068</v>
      </c>
      <c r="AD3040" s="65">
        <v>1415</v>
      </c>
      <c r="AE3040" s="272" t="s">
        <v>390</v>
      </c>
      <c r="AF3040" s="17" t="s">
        <v>560</v>
      </c>
      <c r="AI3040" s="17">
        <v>1080</v>
      </c>
    </row>
    <row r="3041" s="17" customFormat="1" hidden="1" spans="1:35">
      <c r="A3041" s="17" t="s">
        <v>34</v>
      </c>
      <c r="B3041" s="19">
        <v>902</v>
      </c>
      <c r="C3041" s="183">
        <v>45111</v>
      </c>
      <c r="D3041" s="17" t="s">
        <v>52</v>
      </c>
      <c r="E3041" s="17" t="s">
        <v>187</v>
      </c>
      <c r="F3041" s="17" t="s">
        <v>54</v>
      </c>
      <c r="H3041" s="19">
        <v>1.2311</v>
      </c>
      <c r="I3041" s="19"/>
      <c r="J3041" s="17" t="s">
        <v>49</v>
      </c>
      <c r="K3041" s="91">
        <v>2200</v>
      </c>
      <c r="L3041" s="91">
        <v>75</v>
      </c>
      <c r="M3041" s="91">
        <v>4000</v>
      </c>
      <c r="N3041" s="19" t="s">
        <v>66</v>
      </c>
      <c r="O3041" s="19" t="s">
        <v>141</v>
      </c>
      <c r="P3041" s="91"/>
      <c r="Q3041" s="19">
        <v>6840</v>
      </c>
      <c r="R3041" s="99">
        <f>+P3040-Q3040-Q3041</f>
        <v>-12387</v>
      </c>
      <c r="S3041" s="19">
        <v>1085</v>
      </c>
      <c r="T3041" s="19" t="s">
        <v>42</v>
      </c>
      <c r="U3041" s="102" t="s">
        <v>1095</v>
      </c>
      <c r="V3041" s="110">
        <v>45111</v>
      </c>
      <c r="W3041" s="17" t="s">
        <v>44</v>
      </c>
      <c r="Y3041" s="68">
        <v>45039</v>
      </c>
      <c r="Z3041" s="17" t="s">
        <v>191</v>
      </c>
      <c r="AA3041" s="17" t="s">
        <v>46</v>
      </c>
      <c r="AB3041" s="17" t="s">
        <v>1096</v>
      </c>
      <c r="AC3041" s="102" t="s">
        <v>1066</v>
      </c>
      <c r="AD3041" s="65">
        <v>1425</v>
      </c>
      <c r="AE3041" s="272" t="s">
        <v>390</v>
      </c>
      <c r="AF3041" s="17" t="s">
        <v>560</v>
      </c>
      <c r="AI3041" s="17">
        <v>1080</v>
      </c>
    </row>
    <row r="3042" s="17" customFormat="1" hidden="1" spans="1:35">
      <c r="A3042" s="17" t="s">
        <v>34</v>
      </c>
      <c r="B3042" s="19">
        <v>902</v>
      </c>
      <c r="C3042" s="183">
        <v>45111</v>
      </c>
      <c r="D3042" s="17" t="s">
        <v>52</v>
      </c>
      <c r="E3042" s="17" t="s">
        <v>187</v>
      </c>
      <c r="F3042" s="17" t="s">
        <v>54</v>
      </c>
      <c r="H3042" s="19">
        <v>1.2311</v>
      </c>
      <c r="I3042" s="19"/>
      <c r="J3042" s="17" t="s">
        <v>49</v>
      </c>
      <c r="K3042" s="91">
        <v>2200</v>
      </c>
      <c r="L3042" s="91">
        <v>85</v>
      </c>
      <c r="M3042" s="91">
        <v>4000</v>
      </c>
      <c r="N3042" s="19" t="s">
        <v>66</v>
      </c>
      <c r="O3042" s="19" t="s">
        <v>141</v>
      </c>
      <c r="P3042" s="91">
        <v>15080</v>
      </c>
      <c r="Q3042" s="19">
        <f>8240+7945</f>
        <v>16185</v>
      </c>
      <c r="R3042" s="99">
        <f>+P3042-Q3042</f>
        <v>-1105</v>
      </c>
      <c r="S3042" s="19">
        <v>1085</v>
      </c>
      <c r="T3042" s="19" t="s">
        <v>42</v>
      </c>
      <c r="U3042" s="102" t="s">
        <v>1095</v>
      </c>
      <c r="V3042" s="110">
        <v>45111</v>
      </c>
      <c r="W3042" s="17" t="s">
        <v>44</v>
      </c>
      <c r="Y3042" s="68">
        <v>45039</v>
      </c>
      <c r="Z3042" s="17" t="s">
        <v>191</v>
      </c>
      <c r="AA3042" s="17" t="s">
        <v>46</v>
      </c>
      <c r="AB3042" s="17" t="s">
        <v>1065</v>
      </c>
      <c r="AC3042" s="102" t="s">
        <v>1066</v>
      </c>
      <c r="AD3042" s="65">
        <v>1424</v>
      </c>
      <c r="AE3042" s="272" t="s">
        <v>390</v>
      </c>
      <c r="AF3042" s="17" t="s">
        <v>560</v>
      </c>
      <c r="AI3042" s="17">
        <v>1080</v>
      </c>
    </row>
    <row r="3043" s="17" customFormat="1" hidden="1" spans="1:35">
      <c r="A3043" s="17" t="s">
        <v>34</v>
      </c>
      <c r="B3043" s="19">
        <v>902</v>
      </c>
      <c r="C3043" s="183">
        <v>45111</v>
      </c>
      <c r="D3043" s="17" t="s">
        <v>52</v>
      </c>
      <c r="E3043" s="17" t="s">
        <v>187</v>
      </c>
      <c r="F3043" s="17" t="s">
        <v>54</v>
      </c>
      <c r="H3043" s="19">
        <v>1.2311</v>
      </c>
      <c r="I3043" s="19"/>
      <c r="J3043" s="17" t="s">
        <v>49</v>
      </c>
      <c r="K3043" s="91">
        <v>2200</v>
      </c>
      <c r="L3043" s="91">
        <v>112</v>
      </c>
      <c r="M3043" s="91">
        <v>4000</v>
      </c>
      <c r="N3043" s="19" t="s">
        <v>66</v>
      </c>
      <c r="O3043" s="19" t="s">
        <v>141</v>
      </c>
      <c r="P3043" s="243">
        <v>9935</v>
      </c>
      <c r="Q3043" s="147">
        <v>8670</v>
      </c>
      <c r="S3043" s="19">
        <v>1085</v>
      </c>
      <c r="T3043" s="19" t="s">
        <v>42</v>
      </c>
      <c r="U3043" s="102" t="s">
        <v>1095</v>
      </c>
      <c r="V3043" s="110">
        <v>45111</v>
      </c>
      <c r="W3043" s="17" t="s">
        <v>44</v>
      </c>
      <c r="Y3043" s="68">
        <v>45039</v>
      </c>
      <c r="Z3043" s="17" t="s">
        <v>191</v>
      </c>
      <c r="AA3043" s="17" t="s">
        <v>46</v>
      </c>
      <c r="AB3043" s="17" t="s">
        <v>1067</v>
      </c>
      <c r="AC3043" s="102" t="s">
        <v>1068</v>
      </c>
      <c r="AD3043" s="65">
        <v>1415</v>
      </c>
      <c r="AE3043" s="17" t="s">
        <v>48</v>
      </c>
      <c r="AF3043" s="17" t="s">
        <v>560</v>
      </c>
    </row>
    <row r="3044" s="17" customFormat="1" hidden="1" spans="1:35">
      <c r="A3044" s="17" t="s">
        <v>34</v>
      </c>
      <c r="B3044" s="19">
        <v>902</v>
      </c>
      <c r="C3044" s="183">
        <v>45111</v>
      </c>
      <c r="D3044" s="17" t="s">
        <v>52</v>
      </c>
      <c r="E3044" s="17" t="s">
        <v>187</v>
      </c>
      <c r="F3044" s="17" t="s">
        <v>54</v>
      </c>
      <c r="H3044" s="19">
        <v>1.2311</v>
      </c>
      <c r="I3044" s="19"/>
      <c r="J3044" s="17" t="s">
        <v>49</v>
      </c>
      <c r="K3044" s="91">
        <v>2200</v>
      </c>
      <c r="L3044" s="91">
        <v>112</v>
      </c>
      <c r="M3044" s="91">
        <v>4000</v>
      </c>
      <c r="N3044" s="19" t="s">
        <v>66</v>
      </c>
      <c r="O3044" s="19" t="s">
        <v>141</v>
      </c>
      <c r="P3044" s="243"/>
      <c r="Q3044" s="147">
        <v>10450</v>
      </c>
      <c r="R3044" s="99">
        <f>+P3043-Q3043-Q3044</f>
        <v>-9185</v>
      </c>
      <c r="S3044" s="19"/>
      <c r="T3044" s="19" t="s">
        <v>42</v>
      </c>
      <c r="U3044" s="102" t="s">
        <v>1095</v>
      </c>
      <c r="V3044" s="110">
        <v>45111</v>
      </c>
      <c r="W3044" s="17" t="s">
        <v>44</v>
      </c>
      <c r="Y3044" s="68">
        <v>45039</v>
      </c>
      <c r="Z3044" s="17" t="s">
        <v>191</v>
      </c>
      <c r="AA3044" s="17" t="s">
        <v>46</v>
      </c>
      <c r="AB3044" s="17" t="s">
        <v>1065</v>
      </c>
      <c r="AC3044" s="102" t="s">
        <v>1066</v>
      </c>
      <c r="AD3044" s="65">
        <v>1424</v>
      </c>
      <c r="AE3044" s="17" t="s">
        <v>48</v>
      </c>
    </row>
    <row r="3045" s="17" customFormat="1" hidden="1" spans="1:35">
      <c r="A3045" s="17" t="s">
        <v>34</v>
      </c>
      <c r="B3045" s="19">
        <v>903</v>
      </c>
      <c r="C3045" s="222">
        <v>45111</v>
      </c>
      <c r="D3045" s="17" t="s">
        <v>109</v>
      </c>
      <c r="E3045" s="17" t="s">
        <v>110</v>
      </c>
      <c r="F3045" s="17" t="s">
        <v>72</v>
      </c>
      <c r="H3045" s="19">
        <v>1.2085</v>
      </c>
      <c r="I3045" s="19"/>
      <c r="J3045" s="17" t="s">
        <v>82</v>
      </c>
      <c r="K3045" s="19">
        <v>355</v>
      </c>
      <c r="L3045" s="19">
        <v>40</v>
      </c>
      <c r="M3045" s="91">
        <v>5800</v>
      </c>
      <c r="N3045" s="19" t="s">
        <v>66</v>
      </c>
      <c r="O3045" s="19" t="s">
        <v>141</v>
      </c>
      <c r="P3045" s="19">
        <v>2000</v>
      </c>
      <c r="Q3045" s="19">
        <v>2186</v>
      </c>
      <c r="R3045" s="99">
        <f t="shared" ref="R3045:R3076" si="155">+P3045-Q3045</f>
        <v>-186</v>
      </c>
      <c r="S3045" s="19">
        <v>2500</v>
      </c>
      <c r="T3045" s="19" t="s">
        <v>42</v>
      </c>
      <c r="U3045" s="102" t="s">
        <v>1099</v>
      </c>
      <c r="V3045" s="253">
        <v>44931</v>
      </c>
      <c r="W3045" s="17" t="s">
        <v>69</v>
      </c>
      <c r="Y3045" s="68">
        <v>45161</v>
      </c>
      <c r="Z3045" s="17" t="s">
        <v>1100</v>
      </c>
      <c r="AA3045" s="17" t="s">
        <v>46</v>
      </c>
      <c r="AB3045" s="17" t="s">
        <v>1101</v>
      </c>
      <c r="AC3045" s="102" t="s">
        <v>1102</v>
      </c>
      <c r="AD3045" s="65">
        <v>1474</v>
      </c>
      <c r="AE3045" s="17" t="s">
        <v>74</v>
      </c>
    </row>
    <row r="3046" s="17" customFormat="1" hidden="1" spans="1:35">
      <c r="A3046" s="17" t="s">
        <v>34</v>
      </c>
      <c r="B3046" s="19">
        <v>903</v>
      </c>
      <c r="C3046" s="222">
        <v>45111</v>
      </c>
      <c r="D3046" s="17" t="s">
        <v>109</v>
      </c>
      <c r="E3046" s="17" t="s">
        <v>110</v>
      </c>
      <c r="F3046" s="17" t="s">
        <v>72</v>
      </c>
      <c r="H3046" s="19">
        <v>1.2085</v>
      </c>
      <c r="I3046" s="19"/>
      <c r="J3046" s="17" t="s">
        <v>82</v>
      </c>
      <c r="K3046" s="19">
        <v>405</v>
      </c>
      <c r="L3046" s="19">
        <v>40</v>
      </c>
      <c r="M3046" s="91">
        <v>5800</v>
      </c>
      <c r="N3046" s="19" t="s">
        <v>66</v>
      </c>
      <c r="O3046" s="19" t="s">
        <v>141</v>
      </c>
      <c r="P3046" s="19">
        <v>2000</v>
      </c>
      <c r="Q3046" s="19">
        <v>2420</v>
      </c>
      <c r="R3046" s="99">
        <f t="shared" si="155"/>
        <v>-420</v>
      </c>
      <c r="S3046" s="19">
        <v>2500</v>
      </c>
      <c r="T3046" s="19" t="s">
        <v>42</v>
      </c>
      <c r="U3046" s="102" t="s">
        <v>1099</v>
      </c>
      <c r="V3046" s="253">
        <v>44931</v>
      </c>
      <c r="W3046" s="17" t="s">
        <v>69</v>
      </c>
      <c r="Y3046" s="68">
        <v>45161</v>
      </c>
      <c r="Z3046" s="17" t="s">
        <v>1100</v>
      </c>
      <c r="AA3046" s="17" t="s">
        <v>46</v>
      </c>
      <c r="AB3046" s="17" t="s">
        <v>1101</v>
      </c>
      <c r="AC3046" s="102" t="s">
        <v>1102</v>
      </c>
      <c r="AD3046" s="65">
        <v>1474</v>
      </c>
      <c r="AE3046" s="17" t="s">
        <v>74</v>
      </c>
    </row>
    <row r="3047" s="17" customFormat="1" hidden="1" spans="1:35">
      <c r="A3047" s="17" t="s">
        <v>34</v>
      </c>
      <c r="B3047" s="19">
        <v>903</v>
      </c>
      <c r="C3047" s="222">
        <v>45111</v>
      </c>
      <c r="D3047" s="17" t="s">
        <v>109</v>
      </c>
      <c r="E3047" s="17" t="s">
        <v>110</v>
      </c>
      <c r="F3047" s="17" t="s">
        <v>72</v>
      </c>
      <c r="H3047" s="19">
        <v>1.2085</v>
      </c>
      <c r="I3047" s="19"/>
      <c r="J3047" s="17" t="s">
        <v>82</v>
      </c>
      <c r="K3047" s="19">
        <v>455</v>
      </c>
      <c r="L3047" s="19">
        <v>40</v>
      </c>
      <c r="M3047" s="91">
        <v>5800</v>
      </c>
      <c r="N3047" s="19" t="s">
        <v>66</v>
      </c>
      <c r="O3047" s="19" t="s">
        <v>141</v>
      </c>
      <c r="P3047" s="19">
        <v>2000</v>
      </c>
      <c r="Q3047" s="19">
        <v>1980</v>
      </c>
      <c r="R3047" s="99">
        <f t="shared" si="155"/>
        <v>20</v>
      </c>
      <c r="S3047" s="19">
        <v>2500</v>
      </c>
      <c r="T3047" s="19" t="s">
        <v>42</v>
      </c>
      <c r="U3047" s="102" t="s">
        <v>1099</v>
      </c>
      <c r="V3047" s="253">
        <v>44931</v>
      </c>
      <c r="W3047" s="17" t="s">
        <v>69</v>
      </c>
      <c r="Y3047" s="68">
        <v>45161</v>
      </c>
      <c r="Z3047" s="17" t="s">
        <v>1100</v>
      </c>
      <c r="AA3047" s="17" t="s">
        <v>46</v>
      </c>
      <c r="AB3047" s="17" t="s">
        <v>1101</v>
      </c>
      <c r="AC3047" s="102" t="s">
        <v>1102</v>
      </c>
      <c r="AD3047" s="65">
        <v>1474</v>
      </c>
      <c r="AE3047" s="17" t="s">
        <v>74</v>
      </c>
    </row>
    <row r="3048" s="17" customFormat="1" hidden="1" spans="1:35">
      <c r="A3048" s="17" t="s">
        <v>34</v>
      </c>
      <c r="B3048" s="19">
        <v>903</v>
      </c>
      <c r="C3048" s="222">
        <v>45111</v>
      </c>
      <c r="D3048" s="17" t="s">
        <v>109</v>
      </c>
      <c r="E3048" s="17" t="s">
        <v>110</v>
      </c>
      <c r="F3048" s="17" t="s">
        <v>72</v>
      </c>
      <c r="H3048" s="19">
        <v>1.2085</v>
      </c>
      <c r="I3048" s="19"/>
      <c r="J3048" s="17" t="s">
        <v>82</v>
      </c>
      <c r="K3048" s="19">
        <v>505</v>
      </c>
      <c r="L3048" s="19">
        <v>40</v>
      </c>
      <c r="M3048" s="91">
        <v>5800</v>
      </c>
      <c r="N3048" s="19" t="s">
        <v>66</v>
      </c>
      <c r="O3048" s="19" t="s">
        <v>141</v>
      </c>
      <c r="P3048" s="19">
        <v>2000</v>
      </c>
      <c r="Q3048" s="19">
        <v>1910</v>
      </c>
      <c r="R3048" s="99">
        <f t="shared" si="155"/>
        <v>90</v>
      </c>
      <c r="S3048" s="19">
        <v>2500</v>
      </c>
      <c r="T3048" s="19" t="s">
        <v>42</v>
      </c>
      <c r="U3048" s="102" t="s">
        <v>1099</v>
      </c>
      <c r="V3048" s="253">
        <v>44931</v>
      </c>
      <c r="W3048" s="17" t="s">
        <v>69</v>
      </c>
      <c r="Y3048" s="68">
        <v>45161</v>
      </c>
      <c r="Z3048" s="17" t="s">
        <v>1100</v>
      </c>
      <c r="AA3048" s="17" t="s">
        <v>46</v>
      </c>
      <c r="AB3048" s="17" t="s">
        <v>1101</v>
      </c>
      <c r="AC3048" s="102" t="s">
        <v>1102</v>
      </c>
      <c r="AD3048" s="65">
        <v>1474</v>
      </c>
      <c r="AE3048" s="17" t="s">
        <v>74</v>
      </c>
    </row>
    <row r="3049" s="17" customFormat="1" hidden="1" spans="1:35">
      <c r="A3049" s="17" t="s">
        <v>34</v>
      </c>
      <c r="B3049" s="19">
        <v>903</v>
      </c>
      <c r="C3049" s="222">
        <v>45111</v>
      </c>
      <c r="D3049" s="17" t="s">
        <v>109</v>
      </c>
      <c r="E3049" s="17" t="s">
        <v>110</v>
      </c>
      <c r="F3049" s="17" t="s">
        <v>72</v>
      </c>
      <c r="H3049" s="19">
        <v>1.2085</v>
      </c>
      <c r="I3049" s="19"/>
      <c r="J3049" s="17" t="s">
        <v>82</v>
      </c>
      <c r="K3049" s="19">
        <v>355</v>
      </c>
      <c r="L3049" s="19">
        <v>50</v>
      </c>
      <c r="M3049" s="91">
        <v>5800</v>
      </c>
      <c r="N3049" s="19" t="s">
        <v>66</v>
      </c>
      <c r="O3049" s="19" t="s">
        <v>141</v>
      </c>
      <c r="P3049" s="19">
        <v>3000</v>
      </c>
      <c r="Q3049" s="19">
        <v>3044</v>
      </c>
      <c r="R3049" s="99">
        <f t="shared" si="155"/>
        <v>-44</v>
      </c>
      <c r="S3049" s="19">
        <v>2500</v>
      </c>
      <c r="T3049" s="19" t="s">
        <v>42</v>
      </c>
      <c r="U3049" s="102" t="s">
        <v>1099</v>
      </c>
      <c r="V3049" s="253">
        <v>44931</v>
      </c>
      <c r="W3049" s="17" t="s">
        <v>69</v>
      </c>
      <c r="Y3049" s="68">
        <v>45161</v>
      </c>
      <c r="Z3049" s="17" t="s">
        <v>1100</v>
      </c>
      <c r="AA3049" s="17" t="s">
        <v>46</v>
      </c>
      <c r="AB3049" s="17" t="s">
        <v>1101</v>
      </c>
      <c r="AC3049" s="102" t="s">
        <v>1102</v>
      </c>
      <c r="AD3049" s="65">
        <v>1474</v>
      </c>
      <c r="AE3049" s="17" t="s">
        <v>74</v>
      </c>
    </row>
    <row r="3050" s="17" customFormat="1" hidden="1" spans="1:35">
      <c r="A3050" s="17" t="s">
        <v>34</v>
      </c>
      <c r="B3050" s="19">
        <v>903</v>
      </c>
      <c r="C3050" s="222">
        <v>45111</v>
      </c>
      <c r="D3050" s="17" t="s">
        <v>109</v>
      </c>
      <c r="E3050" s="17" t="s">
        <v>110</v>
      </c>
      <c r="F3050" s="17" t="s">
        <v>72</v>
      </c>
      <c r="H3050" s="19">
        <v>1.2085</v>
      </c>
      <c r="I3050" s="19"/>
      <c r="J3050" s="17" t="s">
        <v>82</v>
      </c>
      <c r="K3050" s="19">
        <v>405</v>
      </c>
      <c r="L3050" s="19">
        <v>50</v>
      </c>
      <c r="M3050" s="91">
        <v>5800</v>
      </c>
      <c r="N3050" s="19" t="s">
        <v>66</v>
      </c>
      <c r="O3050" s="19" t="s">
        <v>141</v>
      </c>
      <c r="P3050" s="19">
        <v>3000</v>
      </c>
      <c r="Q3050" s="19">
        <v>2736</v>
      </c>
      <c r="R3050" s="99">
        <f t="shared" si="155"/>
        <v>264</v>
      </c>
      <c r="S3050" s="19">
        <v>2500</v>
      </c>
      <c r="T3050" s="19" t="s">
        <v>42</v>
      </c>
      <c r="U3050" s="102" t="s">
        <v>1099</v>
      </c>
      <c r="V3050" s="253">
        <v>44931</v>
      </c>
      <c r="W3050" s="17" t="s">
        <v>69</v>
      </c>
      <c r="Y3050" s="68">
        <v>45161</v>
      </c>
      <c r="Z3050" s="17" t="s">
        <v>1100</v>
      </c>
      <c r="AA3050" s="17" t="s">
        <v>46</v>
      </c>
      <c r="AB3050" s="17" t="s">
        <v>1101</v>
      </c>
      <c r="AC3050" s="102" t="s">
        <v>1102</v>
      </c>
      <c r="AD3050" s="65">
        <v>1474</v>
      </c>
      <c r="AE3050" s="17" t="s">
        <v>74</v>
      </c>
    </row>
    <row r="3051" s="17" customFormat="1" hidden="1" spans="1:35">
      <c r="A3051" s="17" t="s">
        <v>34</v>
      </c>
      <c r="B3051" s="19">
        <v>903</v>
      </c>
      <c r="C3051" s="222">
        <v>45111</v>
      </c>
      <c r="D3051" s="17" t="s">
        <v>109</v>
      </c>
      <c r="E3051" s="17" t="s">
        <v>110</v>
      </c>
      <c r="F3051" s="17" t="s">
        <v>72</v>
      </c>
      <c r="H3051" s="19">
        <v>1.2085</v>
      </c>
      <c r="I3051" s="19"/>
      <c r="J3051" s="17" t="s">
        <v>82</v>
      </c>
      <c r="K3051" s="19">
        <v>455</v>
      </c>
      <c r="L3051" s="19">
        <v>50</v>
      </c>
      <c r="M3051" s="91">
        <v>5800</v>
      </c>
      <c r="N3051" s="19" t="s">
        <v>66</v>
      </c>
      <c r="O3051" s="19" t="s">
        <v>141</v>
      </c>
      <c r="P3051" s="19">
        <v>3000</v>
      </c>
      <c r="Q3051" s="19">
        <v>3156</v>
      </c>
      <c r="R3051" s="99">
        <f t="shared" si="155"/>
        <v>-156</v>
      </c>
      <c r="S3051" s="19">
        <v>2500</v>
      </c>
      <c r="T3051" s="19" t="s">
        <v>42</v>
      </c>
      <c r="U3051" s="102" t="s">
        <v>1099</v>
      </c>
      <c r="V3051" s="253">
        <v>44931</v>
      </c>
      <c r="W3051" s="17" t="s">
        <v>69</v>
      </c>
      <c r="Y3051" s="68">
        <v>45161</v>
      </c>
      <c r="Z3051" s="17" t="s">
        <v>1100</v>
      </c>
      <c r="AA3051" s="17" t="s">
        <v>46</v>
      </c>
      <c r="AB3051" s="17" t="s">
        <v>1101</v>
      </c>
      <c r="AC3051" s="102" t="s">
        <v>1102</v>
      </c>
      <c r="AD3051" s="65">
        <v>1474</v>
      </c>
      <c r="AE3051" s="17" t="s">
        <v>74</v>
      </c>
    </row>
    <row r="3052" s="17" customFormat="1" hidden="1" spans="1:35">
      <c r="A3052" s="17" t="s">
        <v>34</v>
      </c>
      <c r="B3052" s="19">
        <v>903</v>
      </c>
      <c r="C3052" s="222">
        <v>45111</v>
      </c>
      <c r="D3052" s="17" t="s">
        <v>109</v>
      </c>
      <c r="E3052" s="17" t="s">
        <v>110</v>
      </c>
      <c r="F3052" s="17" t="s">
        <v>72</v>
      </c>
      <c r="H3052" s="19">
        <v>1.2085</v>
      </c>
      <c r="I3052" s="19"/>
      <c r="J3052" s="17" t="s">
        <v>82</v>
      </c>
      <c r="K3052" s="19">
        <v>505</v>
      </c>
      <c r="L3052" s="19">
        <v>50</v>
      </c>
      <c r="M3052" s="91">
        <v>5800</v>
      </c>
      <c r="N3052" s="19" t="s">
        <v>66</v>
      </c>
      <c r="O3052" s="19" t="s">
        <v>141</v>
      </c>
      <c r="P3052" s="19">
        <v>3000</v>
      </c>
      <c r="Q3052" s="19">
        <v>2926</v>
      </c>
      <c r="R3052" s="99">
        <f t="shared" si="155"/>
        <v>74</v>
      </c>
      <c r="S3052" s="19">
        <v>2500</v>
      </c>
      <c r="T3052" s="19" t="s">
        <v>42</v>
      </c>
      <c r="U3052" s="102" t="s">
        <v>1099</v>
      </c>
      <c r="V3052" s="253">
        <v>44931</v>
      </c>
      <c r="W3052" s="17" t="s">
        <v>69</v>
      </c>
      <c r="Y3052" s="68">
        <v>45161</v>
      </c>
      <c r="Z3052" s="17" t="s">
        <v>1100</v>
      </c>
      <c r="AA3052" s="17" t="s">
        <v>46</v>
      </c>
      <c r="AB3052" s="17" t="s">
        <v>1101</v>
      </c>
      <c r="AC3052" s="102" t="s">
        <v>1102</v>
      </c>
      <c r="AD3052" s="65">
        <v>1474</v>
      </c>
      <c r="AE3052" s="17" t="s">
        <v>74</v>
      </c>
    </row>
    <row r="3053" s="17" customFormat="1" hidden="1" spans="1:35">
      <c r="A3053" s="17" t="s">
        <v>34</v>
      </c>
      <c r="B3053" s="19">
        <v>903</v>
      </c>
      <c r="C3053" s="222">
        <v>45111</v>
      </c>
      <c r="D3053" s="17" t="s">
        <v>109</v>
      </c>
      <c r="E3053" s="17" t="s">
        <v>110</v>
      </c>
      <c r="F3053" s="17" t="s">
        <v>72</v>
      </c>
      <c r="H3053" s="19">
        <v>1.2085</v>
      </c>
      <c r="I3053" s="19"/>
      <c r="J3053" s="17" t="s">
        <v>82</v>
      </c>
      <c r="K3053" s="19">
        <v>505</v>
      </c>
      <c r="L3053" s="91">
        <v>71</v>
      </c>
      <c r="M3053" s="91">
        <v>5800</v>
      </c>
      <c r="N3053" s="19" t="s">
        <v>66</v>
      </c>
      <c r="O3053" s="19" t="s">
        <v>141</v>
      </c>
      <c r="P3053" s="19">
        <v>3000</v>
      </c>
      <c r="Q3053" s="19">
        <v>3044</v>
      </c>
      <c r="R3053" s="99">
        <f t="shared" si="155"/>
        <v>-44</v>
      </c>
      <c r="S3053" s="19">
        <v>2500</v>
      </c>
      <c r="T3053" s="19" t="s">
        <v>42</v>
      </c>
      <c r="U3053" s="102" t="s">
        <v>1099</v>
      </c>
      <c r="V3053" s="253">
        <v>44931</v>
      </c>
      <c r="W3053" s="17" t="s">
        <v>69</v>
      </c>
      <c r="Y3053" s="68">
        <v>45161</v>
      </c>
      <c r="Z3053" s="17" t="s">
        <v>1100</v>
      </c>
      <c r="AA3053" s="17" t="s">
        <v>46</v>
      </c>
      <c r="AB3053" s="17" t="s">
        <v>1101</v>
      </c>
      <c r="AC3053" s="102" t="s">
        <v>1102</v>
      </c>
      <c r="AD3053" s="65">
        <v>1474</v>
      </c>
      <c r="AE3053" s="17" t="s">
        <v>74</v>
      </c>
    </row>
    <row r="3054" s="17" customFormat="1" hidden="1" spans="1:35">
      <c r="A3054" s="17" t="s">
        <v>34</v>
      </c>
      <c r="B3054" s="19">
        <v>903</v>
      </c>
      <c r="C3054" s="222">
        <v>45111</v>
      </c>
      <c r="D3054" s="17" t="s">
        <v>109</v>
      </c>
      <c r="E3054" s="17" t="s">
        <v>110</v>
      </c>
      <c r="F3054" s="17" t="s">
        <v>72</v>
      </c>
      <c r="H3054" s="19">
        <v>1.2085</v>
      </c>
      <c r="I3054" s="19"/>
      <c r="J3054" s="17" t="s">
        <v>82</v>
      </c>
      <c r="K3054" s="19">
        <v>355</v>
      </c>
      <c r="L3054" s="91">
        <v>81</v>
      </c>
      <c r="M3054" s="91">
        <v>5800</v>
      </c>
      <c r="N3054" s="19" t="s">
        <v>66</v>
      </c>
      <c r="O3054" s="19" t="s">
        <v>141</v>
      </c>
      <c r="P3054" s="19">
        <v>3000</v>
      </c>
      <c r="Q3054" s="19">
        <v>3838</v>
      </c>
      <c r="R3054" s="99">
        <f t="shared" si="155"/>
        <v>-838</v>
      </c>
      <c r="S3054" s="19">
        <v>2500</v>
      </c>
      <c r="T3054" s="19" t="s">
        <v>42</v>
      </c>
      <c r="U3054" s="102" t="s">
        <v>1099</v>
      </c>
      <c r="V3054" s="253">
        <v>44931</v>
      </c>
      <c r="W3054" s="17" t="s">
        <v>69</v>
      </c>
      <c r="Y3054" s="68">
        <v>45161</v>
      </c>
      <c r="Z3054" s="17" t="s">
        <v>1100</v>
      </c>
      <c r="AA3054" s="17" t="s">
        <v>46</v>
      </c>
      <c r="AB3054" s="17" t="s">
        <v>1101</v>
      </c>
      <c r="AC3054" s="102" t="s">
        <v>1102</v>
      </c>
      <c r="AD3054" s="65">
        <v>1474</v>
      </c>
      <c r="AE3054" s="17" t="s">
        <v>74</v>
      </c>
    </row>
    <row r="3055" s="17" customFormat="1" hidden="1" spans="1:35">
      <c r="A3055" s="17" t="s">
        <v>34</v>
      </c>
      <c r="B3055" s="19">
        <v>903</v>
      </c>
      <c r="C3055" s="222">
        <v>45111</v>
      </c>
      <c r="D3055" s="17" t="s">
        <v>109</v>
      </c>
      <c r="E3055" s="17" t="s">
        <v>110</v>
      </c>
      <c r="F3055" s="17" t="s">
        <v>72</v>
      </c>
      <c r="H3055" s="19">
        <v>1.2085</v>
      </c>
      <c r="I3055" s="19"/>
      <c r="J3055" s="17" t="s">
        <v>82</v>
      </c>
      <c r="K3055" s="19">
        <v>405</v>
      </c>
      <c r="L3055" s="91">
        <v>81</v>
      </c>
      <c r="M3055" s="91">
        <v>5800</v>
      </c>
      <c r="N3055" s="19" t="s">
        <v>66</v>
      </c>
      <c r="O3055" s="19" t="s">
        <v>141</v>
      </c>
      <c r="P3055" s="19">
        <v>3000</v>
      </c>
      <c r="Q3055" s="19">
        <v>3006</v>
      </c>
      <c r="R3055" s="99">
        <f t="shared" si="155"/>
        <v>-6</v>
      </c>
      <c r="S3055" s="19">
        <v>2500</v>
      </c>
      <c r="T3055" s="19" t="s">
        <v>42</v>
      </c>
      <c r="U3055" s="102" t="s">
        <v>1099</v>
      </c>
      <c r="V3055" s="253">
        <v>44931</v>
      </c>
      <c r="W3055" s="17" t="s">
        <v>69</v>
      </c>
      <c r="Y3055" s="68">
        <v>45161</v>
      </c>
      <c r="Z3055" s="17" t="s">
        <v>1100</v>
      </c>
      <c r="AA3055" s="17" t="s">
        <v>46</v>
      </c>
      <c r="AB3055" s="17" t="s">
        <v>1101</v>
      </c>
      <c r="AC3055" s="102" t="s">
        <v>1102</v>
      </c>
      <c r="AD3055" s="65">
        <v>1474</v>
      </c>
      <c r="AE3055" s="17" t="s">
        <v>74</v>
      </c>
    </row>
    <row r="3056" s="17" customFormat="1" hidden="1" spans="1:35">
      <c r="A3056" s="17" t="s">
        <v>34</v>
      </c>
      <c r="B3056" s="19">
        <v>903</v>
      </c>
      <c r="C3056" s="222">
        <v>45111</v>
      </c>
      <c r="D3056" s="17" t="s">
        <v>109</v>
      </c>
      <c r="E3056" s="17" t="s">
        <v>110</v>
      </c>
      <c r="F3056" s="17" t="s">
        <v>72</v>
      </c>
      <c r="H3056" s="19">
        <v>1.2085</v>
      </c>
      <c r="I3056" s="19"/>
      <c r="J3056" s="17" t="s">
        <v>82</v>
      </c>
      <c r="K3056" s="19">
        <v>455</v>
      </c>
      <c r="L3056" s="91">
        <v>81</v>
      </c>
      <c r="M3056" s="91">
        <v>5800</v>
      </c>
      <c r="N3056" s="19" t="s">
        <v>66</v>
      </c>
      <c r="O3056" s="19" t="s">
        <v>141</v>
      </c>
      <c r="P3056" s="19">
        <v>3000</v>
      </c>
      <c r="Q3056" s="19">
        <v>3128</v>
      </c>
      <c r="R3056" s="99">
        <f t="shared" si="155"/>
        <v>-128</v>
      </c>
      <c r="S3056" s="19">
        <v>2500</v>
      </c>
      <c r="T3056" s="19" t="s">
        <v>42</v>
      </c>
      <c r="U3056" s="102" t="s">
        <v>1099</v>
      </c>
      <c r="V3056" s="253">
        <v>44931</v>
      </c>
      <c r="W3056" s="17" t="s">
        <v>69</v>
      </c>
      <c r="Y3056" s="68">
        <v>45161</v>
      </c>
      <c r="Z3056" s="17" t="s">
        <v>1100</v>
      </c>
      <c r="AA3056" s="17" t="s">
        <v>46</v>
      </c>
      <c r="AB3056" s="17" t="s">
        <v>1101</v>
      </c>
      <c r="AC3056" s="102" t="s">
        <v>1102</v>
      </c>
      <c r="AD3056" s="65">
        <v>1474</v>
      </c>
      <c r="AE3056" s="17" t="s">
        <v>74</v>
      </c>
    </row>
    <row r="3057" s="17" customFormat="1" hidden="1" spans="1:31">
      <c r="A3057" s="17" t="s">
        <v>34</v>
      </c>
      <c r="B3057" s="19">
        <v>903</v>
      </c>
      <c r="C3057" s="222">
        <v>45111</v>
      </c>
      <c r="D3057" s="17" t="s">
        <v>109</v>
      </c>
      <c r="E3057" s="17" t="s">
        <v>110</v>
      </c>
      <c r="F3057" s="17" t="s">
        <v>72</v>
      </c>
      <c r="H3057" s="19">
        <v>1.2085</v>
      </c>
      <c r="I3057" s="19"/>
      <c r="J3057" s="17" t="s">
        <v>82</v>
      </c>
      <c r="K3057" s="19">
        <v>505</v>
      </c>
      <c r="L3057" s="91">
        <v>81</v>
      </c>
      <c r="M3057" s="91">
        <v>5800</v>
      </c>
      <c r="N3057" s="19" t="s">
        <v>66</v>
      </c>
      <c r="O3057" s="19" t="s">
        <v>141</v>
      </c>
      <c r="P3057" s="19">
        <v>3000</v>
      </c>
      <c r="Q3057" s="19">
        <v>3096</v>
      </c>
      <c r="R3057" s="99">
        <f t="shared" si="155"/>
        <v>-96</v>
      </c>
      <c r="S3057" s="19">
        <v>2500</v>
      </c>
      <c r="T3057" s="19" t="s">
        <v>42</v>
      </c>
      <c r="U3057" s="102" t="s">
        <v>1099</v>
      </c>
      <c r="V3057" s="253">
        <v>44931</v>
      </c>
      <c r="W3057" s="17" t="s">
        <v>69</v>
      </c>
      <c r="Y3057" s="68">
        <v>45161</v>
      </c>
      <c r="Z3057" s="17" t="s">
        <v>1100</v>
      </c>
      <c r="AA3057" s="17" t="s">
        <v>46</v>
      </c>
      <c r="AB3057" s="17" t="s">
        <v>1101</v>
      </c>
      <c r="AC3057" s="102" t="s">
        <v>1102</v>
      </c>
      <c r="AD3057" s="65">
        <v>1474</v>
      </c>
      <c r="AE3057" s="17" t="s">
        <v>74</v>
      </c>
    </row>
    <row r="3058" s="17" customFormat="1" hidden="1" spans="1:31">
      <c r="A3058" s="17" t="s">
        <v>34</v>
      </c>
      <c r="B3058" s="19">
        <v>905</v>
      </c>
      <c r="C3058" s="183">
        <v>45111</v>
      </c>
      <c r="D3058" s="17" t="s">
        <v>109</v>
      </c>
      <c r="E3058" s="17" t="s">
        <v>110</v>
      </c>
      <c r="F3058" s="17" t="s">
        <v>72</v>
      </c>
      <c r="H3058" s="19">
        <v>1.2311</v>
      </c>
      <c r="I3058" s="19"/>
      <c r="J3058" s="17" t="s">
        <v>39</v>
      </c>
      <c r="K3058" s="91">
        <v>42</v>
      </c>
      <c r="L3058" s="91"/>
      <c r="M3058" s="91"/>
      <c r="N3058" s="19" t="s">
        <v>66</v>
      </c>
      <c r="O3058" s="19" t="s">
        <v>141</v>
      </c>
      <c r="P3058" s="91">
        <v>280</v>
      </c>
      <c r="Q3058" s="19">
        <v>262</v>
      </c>
      <c r="R3058" s="99">
        <f t="shared" si="155"/>
        <v>18</v>
      </c>
      <c r="S3058" s="19">
        <v>1388</v>
      </c>
      <c r="T3058" s="19" t="s">
        <v>42</v>
      </c>
      <c r="U3058" s="102" t="s">
        <v>1103</v>
      </c>
      <c r="V3058" s="110">
        <v>45142</v>
      </c>
      <c r="W3058" s="17" t="s">
        <v>69</v>
      </c>
      <c r="Y3058" s="68">
        <v>45039</v>
      </c>
      <c r="Z3058" s="17" t="s">
        <v>78</v>
      </c>
      <c r="AA3058" s="17" t="s">
        <v>46</v>
      </c>
      <c r="AB3058" s="17" t="s">
        <v>1104</v>
      </c>
      <c r="AC3058" s="102" t="s">
        <v>1105</v>
      </c>
      <c r="AD3058" s="65">
        <v>1418</v>
      </c>
      <c r="AE3058" s="17" t="s">
        <v>74</v>
      </c>
    </row>
    <row r="3059" s="17" customFormat="1" hidden="1" spans="1:31">
      <c r="A3059" s="17" t="s">
        <v>34</v>
      </c>
      <c r="B3059" s="19">
        <v>905</v>
      </c>
      <c r="C3059" s="183">
        <v>45111</v>
      </c>
      <c r="D3059" s="17" t="s">
        <v>109</v>
      </c>
      <c r="E3059" s="17" t="s">
        <v>110</v>
      </c>
      <c r="F3059" s="17" t="s">
        <v>72</v>
      </c>
      <c r="H3059" s="19">
        <v>1.2311</v>
      </c>
      <c r="I3059" s="19"/>
      <c r="J3059" s="17" t="s">
        <v>39</v>
      </c>
      <c r="K3059" s="91">
        <v>58</v>
      </c>
      <c r="L3059" s="91"/>
      <c r="M3059" s="91"/>
      <c r="N3059" s="19" t="s">
        <v>66</v>
      </c>
      <c r="O3059" s="19" t="s">
        <v>141</v>
      </c>
      <c r="P3059" s="91">
        <v>500</v>
      </c>
      <c r="Q3059" s="19">
        <v>498</v>
      </c>
      <c r="R3059" s="99">
        <f t="shared" si="155"/>
        <v>2</v>
      </c>
      <c r="S3059" s="19">
        <v>1388</v>
      </c>
      <c r="T3059" s="19" t="s">
        <v>42</v>
      </c>
      <c r="U3059" s="102" t="s">
        <v>1103</v>
      </c>
      <c r="V3059" s="110">
        <v>45142</v>
      </c>
      <c r="W3059" s="17" t="s">
        <v>69</v>
      </c>
      <c r="Y3059" s="68">
        <v>45039</v>
      </c>
      <c r="Z3059" s="17" t="s">
        <v>78</v>
      </c>
      <c r="AA3059" s="17" t="s">
        <v>46</v>
      </c>
      <c r="AB3059" s="17" t="s">
        <v>1104</v>
      </c>
      <c r="AC3059" s="102" t="s">
        <v>1105</v>
      </c>
      <c r="AD3059" s="65">
        <v>1418</v>
      </c>
      <c r="AE3059" s="17" t="s">
        <v>74</v>
      </c>
    </row>
    <row r="3060" s="17" customFormat="1" hidden="1" spans="1:31">
      <c r="A3060" s="17" t="s">
        <v>34</v>
      </c>
      <c r="B3060" s="19">
        <v>905</v>
      </c>
      <c r="C3060" s="183">
        <v>45111</v>
      </c>
      <c r="D3060" s="17" t="s">
        <v>109</v>
      </c>
      <c r="E3060" s="17" t="s">
        <v>110</v>
      </c>
      <c r="F3060" s="17" t="s">
        <v>72</v>
      </c>
      <c r="H3060" s="19">
        <v>1.2311</v>
      </c>
      <c r="I3060" s="19"/>
      <c r="J3060" s="17" t="s">
        <v>39</v>
      </c>
      <c r="K3060" s="91">
        <v>80</v>
      </c>
      <c r="L3060" s="91"/>
      <c r="M3060" s="91"/>
      <c r="N3060" s="19" t="s">
        <v>66</v>
      </c>
      <c r="O3060" s="19" t="s">
        <v>141</v>
      </c>
      <c r="P3060" s="91">
        <v>2000</v>
      </c>
      <c r="Q3060" s="19">
        <v>2112</v>
      </c>
      <c r="R3060" s="99">
        <f t="shared" si="155"/>
        <v>-112</v>
      </c>
      <c r="S3060" s="19">
        <v>1388</v>
      </c>
      <c r="T3060" s="19" t="s">
        <v>42</v>
      </c>
      <c r="U3060" s="102" t="s">
        <v>1103</v>
      </c>
      <c r="V3060" s="110">
        <v>45142</v>
      </c>
      <c r="W3060" s="17" t="s">
        <v>69</v>
      </c>
      <c r="Y3060" s="68">
        <v>45039</v>
      </c>
      <c r="Z3060" s="17" t="s">
        <v>78</v>
      </c>
      <c r="AA3060" s="17" t="s">
        <v>46</v>
      </c>
      <c r="AB3060" s="17" t="s">
        <v>1104</v>
      </c>
      <c r="AC3060" s="102" t="s">
        <v>1105</v>
      </c>
      <c r="AD3060" s="65">
        <v>1418</v>
      </c>
      <c r="AE3060" s="17" t="s">
        <v>74</v>
      </c>
    </row>
    <row r="3061" s="17" customFormat="1" hidden="1" spans="1:31">
      <c r="A3061" s="17" t="s">
        <v>34</v>
      </c>
      <c r="B3061" s="19">
        <v>905</v>
      </c>
      <c r="C3061" s="183">
        <v>45111</v>
      </c>
      <c r="D3061" s="17" t="s">
        <v>109</v>
      </c>
      <c r="E3061" s="17" t="s">
        <v>110</v>
      </c>
      <c r="F3061" s="17" t="s">
        <v>72</v>
      </c>
      <c r="H3061" s="19">
        <v>1.2311</v>
      </c>
      <c r="I3061" s="19"/>
      <c r="J3061" s="17" t="s">
        <v>39</v>
      </c>
      <c r="K3061" s="19">
        <v>85</v>
      </c>
      <c r="L3061" s="91"/>
      <c r="M3061" s="19"/>
      <c r="N3061" s="19" t="s">
        <v>66</v>
      </c>
      <c r="O3061" s="19" t="s">
        <v>141</v>
      </c>
      <c r="P3061" s="19">
        <v>1000</v>
      </c>
      <c r="Q3061" s="19">
        <v>1052</v>
      </c>
      <c r="R3061" s="19">
        <f t="shared" si="155"/>
        <v>-52</v>
      </c>
      <c r="S3061" s="19">
        <v>1388</v>
      </c>
      <c r="T3061" s="19" t="s">
        <v>42</v>
      </c>
      <c r="U3061" s="102" t="s">
        <v>1103</v>
      </c>
      <c r="V3061" s="110">
        <v>45142</v>
      </c>
      <c r="W3061" s="17" t="s">
        <v>69</v>
      </c>
      <c r="Y3061" s="68">
        <v>45039</v>
      </c>
      <c r="Z3061" s="17" t="s">
        <v>78</v>
      </c>
      <c r="AA3061" s="17" t="s">
        <v>46</v>
      </c>
      <c r="AB3061" s="17" t="s">
        <v>1104</v>
      </c>
      <c r="AC3061" s="102" t="s">
        <v>1105</v>
      </c>
      <c r="AD3061" s="65">
        <v>1418</v>
      </c>
      <c r="AE3061" s="17" t="s">
        <v>74</v>
      </c>
    </row>
    <row r="3062" s="17" customFormat="1" hidden="1" spans="1:31">
      <c r="A3062" s="17" t="s">
        <v>34</v>
      </c>
      <c r="B3062" s="19">
        <v>905</v>
      </c>
      <c r="C3062" s="183">
        <v>45111</v>
      </c>
      <c r="D3062" s="17" t="s">
        <v>109</v>
      </c>
      <c r="E3062" s="17" t="s">
        <v>110</v>
      </c>
      <c r="F3062" s="17" t="s">
        <v>72</v>
      </c>
      <c r="H3062" s="19">
        <v>1.2311</v>
      </c>
      <c r="I3062" s="19"/>
      <c r="J3062" s="17" t="s">
        <v>39</v>
      </c>
      <c r="K3062" s="19">
        <v>95</v>
      </c>
      <c r="L3062" s="91"/>
      <c r="M3062" s="19"/>
      <c r="N3062" s="19" t="s">
        <v>66</v>
      </c>
      <c r="O3062" s="19" t="s">
        <v>141</v>
      </c>
      <c r="P3062" s="19">
        <v>1000</v>
      </c>
      <c r="Q3062" s="19">
        <v>982</v>
      </c>
      <c r="R3062" s="19">
        <f t="shared" si="155"/>
        <v>18</v>
      </c>
      <c r="S3062" s="19">
        <v>1388</v>
      </c>
      <c r="T3062" s="19" t="s">
        <v>42</v>
      </c>
      <c r="U3062" s="102" t="s">
        <v>1103</v>
      </c>
      <c r="V3062" s="110">
        <v>45142</v>
      </c>
      <c r="W3062" s="17" t="s">
        <v>69</v>
      </c>
      <c r="Y3062" s="68">
        <v>45039</v>
      </c>
      <c r="Z3062" s="17" t="s">
        <v>78</v>
      </c>
      <c r="AA3062" s="17" t="s">
        <v>46</v>
      </c>
      <c r="AB3062" s="17" t="s">
        <v>1104</v>
      </c>
      <c r="AC3062" s="102" t="s">
        <v>1105</v>
      </c>
      <c r="AD3062" s="65">
        <v>1418</v>
      </c>
      <c r="AE3062" s="17" t="s">
        <v>74</v>
      </c>
    </row>
    <row r="3063" s="17" customFormat="1" hidden="1" spans="1:31">
      <c r="A3063" s="17" t="s">
        <v>34</v>
      </c>
      <c r="B3063" s="19">
        <v>905</v>
      </c>
      <c r="C3063" s="183">
        <v>45111</v>
      </c>
      <c r="D3063" s="17" t="s">
        <v>109</v>
      </c>
      <c r="E3063" s="17" t="s">
        <v>110</v>
      </c>
      <c r="F3063" s="17" t="s">
        <v>72</v>
      </c>
      <c r="H3063" s="19">
        <v>1.2311</v>
      </c>
      <c r="I3063" s="19"/>
      <c r="J3063" s="17" t="s">
        <v>39</v>
      </c>
      <c r="K3063" s="19">
        <v>100</v>
      </c>
      <c r="L3063" s="91"/>
      <c r="M3063" s="19"/>
      <c r="N3063" s="19" t="s">
        <v>66</v>
      </c>
      <c r="O3063" s="19" t="s">
        <v>141</v>
      </c>
      <c r="P3063" s="19">
        <v>1500</v>
      </c>
      <c r="Q3063" s="19">
        <v>1452</v>
      </c>
      <c r="R3063" s="19">
        <f t="shared" si="155"/>
        <v>48</v>
      </c>
      <c r="S3063" s="19">
        <v>1388</v>
      </c>
      <c r="T3063" s="19" t="s">
        <v>42</v>
      </c>
      <c r="U3063" s="102" t="s">
        <v>1103</v>
      </c>
      <c r="V3063" s="110">
        <v>45142</v>
      </c>
      <c r="W3063" s="17" t="s">
        <v>69</v>
      </c>
      <c r="Y3063" s="68">
        <v>45039</v>
      </c>
      <c r="Z3063" s="17" t="s">
        <v>78</v>
      </c>
      <c r="AA3063" s="17" t="s">
        <v>46</v>
      </c>
      <c r="AB3063" s="17" t="s">
        <v>1104</v>
      </c>
      <c r="AC3063" s="102" t="s">
        <v>1105</v>
      </c>
      <c r="AD3063" s="65">
        <v>1418</v>
      </c>
      <c r="AE3063" s="17" t="s">
        <v>74</v>
      </c>
    </row>
    <row r="3064" s="17" customFormat="1" hidden="1" spans="1:31">
      <c r="A3064" s="17" t="s">
        <v>34</v>
      </c>
      <c r="B3064" s="19">
        <v>905</v>
      </c>
      <c r="C3064" s="183">
        <v>45111</v>
      </c>
      <c r="D3064" s="17" t="s">
        <v>109</v>
      </c>
      <c r="E3064" s="17" t="s">
        <v>110</v>
      </c>
      <c r="F3064" s="17" t="s">
        <v>72</v>
      </c>
      <c r="H3064" s="19">
        <v>1.2311</v>
      </c>
      <c r="I3064" s="19"/>
      <c r="J3064" s="17" t="s">
        <v>39</v>
      </c>
      <c r="K3064" s="19">
        <v>115</v>
      </c>
      <c r="L3064" s="91"/>
      <c r="M3064" s="19"/>
      <c r="N3064" s="19" t="s">
        <v>66</v>
      </c>
      <c r="O3064" s="19" t="s">
        <v>141</v>
      </c>
      <c r="P3064" s="19">
        <v>245</v>
      </c>
      <c r="Q3064" s="19">
        <v>482</v>
      </c>
      <c r="R3064" s="19">
        <f t="shared" si="155"/>
        <v>-237</v>
      </c>
      <c r="S3064" s="19">
        <v>1388</v>
      </c>
      <c r="T3064" s="19" t="s">
        <v>42</v>
      </c>
      <c r="U3064" s="102" t="s">
        <v>1103</v>
      </c>
      <c r="V3064" s="110">
        <v>45142</v>
      </c>
      <c r="W3064" s="17" t="s">
        <v>69</v>
      </c>
      <c r="Y3064" s="68">
        <v>45039</v>
      </c>
      <c r="Z3064" s="17" t="s">
        <v>78</v>
      </c>
      <c r="AA3064" s="17" t="s">
        <v>46</v>
      </c>
      <c r="AB3064" s="17" t="s">
        <v>1104</v>
      </c>
      <c r="AC3064" s="102" t="s">
        <v>1105</v>
      </c>
      <c r="AD3064" s="65">
        <v>1418</v>
      </c>
      <c r="AE3064" s="17" t="s">
        <v>74</v>
      </c>
    </row>
    <row r="3065" s="17" customFormat="1" hidden="1" spans="1:31">
      <c r="A3065" s="17" t="s">
        <v>34</v>
      </c>
      <c r="B3065" s="19">
        <v>905</v>
      </c>
      <c r="C3065" s="183">
        <v>45111</v>
      </c>
      <c r="D3065" s="17" t="s">
        <v>109</v>
      </c>
      <c r="E3065" s="17" t="s">
        <v>110</v>
      </c>
      <c r="F3065" s="17" t="s">
        <v>72</v>
      </c>
      <c r="H3065" s="19">
        <v>1.2311</v>
      </c>
      <c r="I3065" s="19"/>
      <c r="J3065" s="17" t="s">
        <v>39</v>
      </c>
      <c r="K3065" s="19">
        <v>120</v>
      </c>
      <c r="L3065" s="91"/>
      <c r="M3065" s="19"/>
      <c r="N3065" s="19" t="s">
        <v>66</v>
      </c>
      <c r="O3065" s="19" t="s">
        <v>141</v>
      </c>
      <c r="P3065" s="19">
        <v>267</v>
      </c>
      <c r="Q3065" s="19">
        <v>252</v>
      </c>
      <c r="R3065" s="19">
        <f t="shared" si="155"/>
        <v>15</v>
      </c>
      <c r="S3065" s="19">
        <v>1388</v>
      </c>
      <c r="T3065" s="19" t="s">
        <v>42</v>
      </c>
      <c r="U3065" s="102" t="s">
        <v>1103</v>
      </c>
      <c r="V3065" s="110">
        <v>45142</v>
      </c>
      <c r="W3065" s="17" t="s">
        <v>69</v>
      </c>
      <c r="Y3065" s="68">
        <v>45039</v>
      </c>
      <c r="Z3065" s="17" t="s">
        <v>78</v>
      </c>
      <c r="AA3065" s="17" t="s">
        <v>46</v>
      </c>
      <c r="AB3065" s="17" t="s">
        <v>1104</v>
      </c>
      <c r="AC3065" s="102" t="s">
        <v>1105</v>
      </c>
      <c r="AD3065" s="65">
        <v>1418</v>
      </c>
      <c r="AE3065" s="17" t="s">
        <v>74</v>
      </c>
    </row>
    <row r="3066" s="17" customFormat="1" hidden="1" spans="1:31">
      <c r="A3066" s="17" t="s">
        <v>34</v>
      </c>
      <c r="B3066" s="19">
        <v>905</v>
      </c>
      <c r="C3066" s="183">
        <v>45111</v>
      </c>
      <c r="D3066" s="17" t="s">
        <v>109</v>
      </c>
      <c r="E3066" s="17" t="s">
        <v>110</v>
      </c>
      <c r="F3066" s="17" t="s">
        <v>72</v>
      </c>
      <c r="H3066" s="19">
        <v>1.2311</v>
      </c>
      <c r="I3066" s="19"/>
      <c r="J3066" s="17" t="s">
        <v>39</v>
      </c>
      <c r="K3066" s="19">
        <v>125</v>
      </c>
      <c r="L3066" s="91"/>
      <c r="M3066" s="19"/>
      <c r="N3066" s="19" t="s">
        <v>66</v>
      </c>
      <c r="O3066" s="19" t="s">
        <v>141</v>
      </c>
      <c r="P3066" s="19">
        <v>289</v>
      </c>
      <c r="Q3066" s="19">
        <v>568</v>
      </c>
      <c r="R3066" s="19">
        <f t="shared" si="155"/>
        <v>-279</v>
      </c>
      <c r="S3066" s="19">
        <v>1466</v>
      </c>
      <c r="T3066" s="19" t="s">
        <v>42</v>
      </c>
      <c r="U3066" s="102" t="s">
        <v>1103</v>
      </c>
      <c r="V3066" s="110">
        <v>45142</v>
      </c>
      <c r="W3066" s="17" t="s">
        <v>69</v>
      </c>
      <c r="Y3066" s="68">
        <v>45039</v>
      </c>
      <c r="Z3066" s="17" t="s">
        <v>78</v>
      </c>
      <c r="AA3066" s="17" t="s">
        <v>46</v>
      </c>
      <c r="AB3066" s="17" t="s">
        <v>1104</v>
      </c>
      <c r="AC3066" s="102" t="s">
        <v>1105</v>
      </c>
      <c r="AD3066" s="65">
        <v>1418</v>
      </c>
      <c r="AE3066" s="17" t="s">
        <v>74</v>
      </c>
    </row>
    <row r="3067" s="17" customFormat="1" hidden="1" spans="1:31">
      <c r="A3067" s="17" t="s">
        <v>34</v>
      </c>
      <c r="B3067" s="19">
        <v>905</v>
      </c>
      <c r="C3067" s="183">
        <v>45111</v>
      </c>
      <c r="D3067" s="17" t="s">
        <v>109</v>
      </c>
      <c r="E3067" s="17" t="s">
        <v>110</v>
      </c>
      <c r="F3067" s="17" t="s">
        <v>72</v>
      </c>
      <c r="H3067" s="19">
        <v>1.2311</v>
      </c>
      <c r="I3067" s="19"/>
      <c r="J3067" s="17" t="s">
        <v>39</v>
      </c>
      <c r="K3067" s="19">
        <v>130</v>
      </c>
      <c r="L3067" s="91"/>
      <c r="M3067" s="19"/>
      <c r="N3067" s="19" t="s">
        <v>66</v>
      </c>
      <c r="O3067" s="19" t="s">
        <v>141</v>
      </c>
      <c r="P3067" s="19">
        <v>622</v>
      </c>
      <c r="Q3067" s="19">
        <v>612</v>
      </c>
      <c r="R3067" s="19">
        <f t="shared" si="155"/>
        <v>10</v>
      </c>
      <c r="S3067" s="19">
        <v>1466</v>
      </c>
      <c r="T3067" s="19" t="s">
        <v>42</v>
      </c>
      <c r="U3067" s="102" t="s">
        <v>1103</v>
      </c>
      <c r="V3067" s="110">
        <v>45142</v>
      </c>
      <c r="W3067" s="17" t="s">
        <v>69</v>
      </c>
      <c r="Y3067" s="68">
        <v>45039</v>
      </c>
      <c r="Z3067" s="17" t="s">
        <v>78</v>
      </c>
      <c r="AA3067" s="17" t="s">
        <v>46</v>
      </c>
      <c r="AB3067" s="17" t="s">
        <v>1104</v>
      </c>
      <c r="AC3067" s="102" t="s">
        <v>1105</v>
      </c>
      <c r="AD3067" s="65">
        <v>1418</v>
      </c>
      <c r="AE3067" s="17" t="s">
        <v>74</v>
      </c>
    </row>
    <row r="3068" s="17" customFormat="1" hidden="1" spans="1:31">
      <c r="A3068" s="17" t="s">
        <v>34</v>
      </c>
      <c r="B3068" s="19">
        <v>905</v>
      </c>
      <c r="C3068" s="183">
        <v>45111</v>
      </c>
      <c r="D3068" s="17" t="s">
        <v>109</v>
      </c>
      <c r="E3068" s="17" t="s">
        <v>110</v>
      </c>
      <c r="F3068" s="17" t="s">
        <v>72</v>
      </c>
      <c r="H3068" s="19">
        <v>1.2311</v>
      </c>
      <c r="I3068" s="19"/>
      <c r="J3068" s="17" t="s">
        <v>39</v>
      </c>
      <c r="K3068" s="19">
        <v>135</v>
      </c>
      <c r="L3068" s="91"/>
      <c r="M3068" s="19"/>
      <c r="N3068" s="19" t="s">
        <v>66</v>
      </c>
      <c r="O3068" s="19" t="s">
        <v>141</v>
      </c>
      <c r="P3068" s="19">
        <v>337</v>
      </c>
      <c r="Q3068" s="19">
        <v>664</v>
      </c>
      <c r="R3068" s="19">
        <f t="shared" si="155"/>
        <v>-327</v>
      </c>
      <c r="S3068" s="19">
        <v>1466</v>
      </c>
      <c r="T3068" s="19" t="s">
        <v>42</v>
      </c>
      <c r="U3068" s="102" t="s">
        <v>1103</v>
      </c>
      <c r="V3068" s="110">
        <v>45142</v>
      </c>
      <c r="W3068" s="17" t="s">
        <v>69</v>
      </c>
      <c r="Y3068" s="68">
        <v>45039</v>
      </c>
      <c r="Z3068" s="17" t="s">
        <v>78</v>
      </c>
      <c r="AA3068" s="17" t="s">
        <v>46</v>
      </c>
      <c r="AB3068" s="17" t="s">
        <v>1104</v>
      </c>
      <c r="AC3068" s="102" t="s">
        <v>1105</v>
      </c>
      <c r="AD3068" s="65">
        <v>1418</v>
      </c>
      <c r="AE3068" s="17" t="s">
        <v>74</v>
      </c>
    </row>
    <row r="3069" s="17" customFormat="1" hidden="1" spans="1:31">
      <c r="A3069" s="17" t="s">
        <v>34</v>
      </c>
      <c r="B3069" s="19">
        <v>905</v>
      </c>
      <c r="C3069" s="183">
        <v>45111</v>
      </c>
      <c r="D3069" s="17" t="s">
        <v>109</v>
      </c>
      <c r="E3069" s="17" t="s">
        <v>110</v>
      </c>
      <c r="F3069" s="17" t="s">
        <v>72</v>
      </c>
      <c r="H3069" s="19">
        <v>1.2311</v>
      </c>
      <c r="I3069" s="19"/>
      <c r="J3069" s="17" t="s">
        <v>39</v>
      </c>
      <c r="K3069" s="19">
        <v>160</v>
      </c>
      <c r="L3069" s="91"/>
      <c r="M3069" s="19"/>
      <c r="N3069" s="19" t="s">
        <v>66</v>
      </c>
      <c r="O3069" s="19" t="s">
        <v>141</v>
      </c>
      <c r="P3069" s="19">
        <v>474</v>
      </c>
      <c r="Q3069" s="19">
        <v>926</v>
      </c>
      <c r="R3069" s="19">
        <f t="shared" si="155"/>
        <v>-452</v>
      </c>
      <c r="S3069" s="19">
        <v>1466</v>
      </c>
      <c r="T3069" s="19" t="s">
        <v>42</v>
      </c>
      <c r="U3069" s="102" t="s">
        <v>1103</v>
      </c>
      <c r="V3069" s="110">
        <v>45142</v>
      </c>
      <c r="W3069" s="17" t="s">
        <v>69</v>
      </c>
      <c r="Y3069" s="68">
        <v>45039</v>
      </c>
      <c r="Z3069" s="17" t="s">
        <v>78</v>
      </c>
      <c r="AA3069" s="17" t="s">
        <v>46</v>
      </c>
      <c r="AB3069" s="17" t="s">
        <v>1104</v>
      </c>
      <c r="AC3069" s="102" t="s">
        <v>1105</v>
      </c>
      <c r="AD3069" s="65">
        <v>1418</v>
      </c>
      <c r="AE3069" s="17" t="s">
        <v>74</v>
      </c>
    </row>
    <row r="3070" s="17" customFormat="1" hidden="1" spans="1:31">
      <c r="A3070" s="17" t="s">
        <v>34</v>
      </c>
      <c r="B3070" s="19">
        <v>905</v>
      </c>
      <c r="C3070" s="183">
        <v>45111</v>
      </c>
      <c r="D3070" s="17" t="s">
        <v>109</v>
      </c>
      <c r="E3070" s="17" t="s">
        <v>110</v>
      </c>
      <c r="F3070" s="17" t="s">
        <v>72</v>
      </c>
      <c r="H3070" s="19">
        <v>1.2311</v>
      </c>
      <c r="I3070" s="19"/>
      <c r="J3070" s="17" t="s">
        <v>39</v>
      </c>
      <c r="K3070" s="19">
        <v>190</v>
      </c>
      <c r="L3070" s="91"/>
      <c r="M3070" s="19"/>
      <c r="N3070" s="19" t="s">
        <v>66</v>
      </c>
      <c r="O3070" s="19" t="s">
        <v>141</v>
      </c>
      <c r="P3070" s="19">
        <v>668</v>
      </c>
      <c r="Q3070" s="19">
        <v>760</v>
      </c>
      <c r="R3070" s="19">
        <f t="shared" si="155"/>
        <v>-92</v>
      </c>
      <c r="S3070" s="19">
        <v>1466</v>
      </c>
      <c r="T3070" s="19" t="s">
        <v>42</v>
      </c>
      <c r="U3070" s="102" t="s">
        <v>1103</v>
      </c>
      <c r="V3070" s="110">
        <v>45142</v>
      </c>
      <c r="W3070" s="17" t="s">
        <v>69</v>
      </c>
      <c r="Y3070" s="68">
        <v>45039</v>
      </c>
      <c r="Z3070" s="17" t="s">
        <v>78</v>
      </c>
      <c r="AA3070" s="17" t="s">
        <v>46</v>
      </c>
      <c r="AB3070" s="17" t="s">
        <v>1104</v>
      </c>
      <c r="AC3070" s="102" t="s">
        <v>1105</v>
      </c>
      <c r="AD3070" s="65">
        <v>1418</v>
      </c>
      <c r="AE3070" s="17" t="s">
        <v>74</v>
      </c>
    </row>
    <row r="3071" s="17" customFormat="1" hidden="1" spans="1:31">
      <c r="A3071" s="17" t="s">
        <v>34</v>
      </c>
      <c r="B3071" s="19">
        <v>905</v>
      </c>
      <c r="C3071" s="183">
        <v>45111</v>
      </c>
      <c r="D3071" s="17" t="s">
        <v>109</v>
      </c>
      <c r="E3071" s="17" t="s">
        <v>110</v>
      </c>
      <c r="F3071" s="17" t="s">
        <v>72</v>
      </c>
      <c r="H3071" s="19">
        <v>1.2738</v>
      </c>
      <c r="I3071" s="19"/>
      <c r="J3071" s="17" t="s">
        <v>39</v>
      </c>
      <c r="K3071" s="19">
        <v>14</v>
      </c>
      <c r="L3071" s="91"/>
      <c r="M3071" s="19"/>
      <c r="N3071" s="19" t="s">
        <v>66</v>
      </c>
      <c r="O3071" s="19" t="s">
        <v>141</v>
      </c>
      <c r="P3071" s="19">
        <v>300</v>
      </c>
      <c r="Q3071" s="19">
        <v>296</v>
      </c>
      <c r="R3071" s="19">
        <f t="shared" si="155"/>
        <v>4</v>
      </c>
      <c r="S3071" s="19">
        <v>1778</v>
      </c>
      <c r="T3071" s="19" t="s">
        <v>42</v>
      </c>
      <c r="U3071" s="102" t="s">
        <v>1103</v>
      </c>
      <c r="V3071" s="110">
        <v>45142</v>
      </c>
      <c r="W3071" s="17" t="s">
        <v>69</v>
      </c>
      <c r="Y3071" s="68">
        <v>45039</v>
      </c>
      <c r="Z3071" s="17" t="s">
        <v>78</v>
      </c>
      <c r="AA3071" s="17" t="s">
        <v>46</v>
      </c>
      <c r="AB3071" s="17" t="s">
        <v>1104</v>
      </c>
      <c r="AC3071" s="102" t="s">
        <v>1105</v>
      </c>
      <c r="AD3071" s="65">
        <v>1418</v>
      </c>
      <c r="AE3071" s="17" t="s">
        <v>74</v>
      </c>
    </row>
    <row r="3072" s="17" customFormat="1" hidden="1" spans="1:31">
      <c r="A3072" s="17" t="s">
        <v>34</v>
      </c>
      <c r="B3072" s="19">
        <v>905</v>
      </c>
      <c r="C3072" s="183">
        <v>45111</v>
      </c>
      <c r="D3072" s="17" t="s">
        <v>109</v>
      </c>
      <c r="E3072" s="17" t="s">
        <v>110</v>
      </c>
      <c r="F3072" s="17" t="s">
        <v>72</v>
      </c>
      <c r="H3072" s="19">
        <v>1.2738</v>
      </c>
      <c r="I3072" s="19"/>
      <c r="J3072" s="17" t="s">
        <v>39</v>
      </c>
      <c r="K3072" s="19">
        <v>16</v>
      </c>
      <c r="L3072" s="91"/>
      <c r="M3072" s="19"/>
      <c r="N3072" s="19" t="s">
        <v>66</v>
      </c>
      <c r="O3072" s="19" t="s">
        <v>141</v>
      </c>
      <c r="P3072" s="19">
        <v>300</v>
      </c>
      <c r="Q3072" s="19">
        <v>292</v>
      </c>
      <c r="R3072" s="19">
        <f t="shared" si="155"/>
        <v>8</v>
      </c>
      <c r="S3072" s="19">
        <v>1778</v>
      </c>
      <c r="T3072" s="19" t="s">
        <v>42</v>
      </c>
      <c r="U3072" s="102" t="s">
        <v>1103</v>
      </c>
      <c r="V3072" s="110">
        <v>45142</v>
      </c>
      <c r="W3072" s="17" t="s">
        <v>69</v>
      </c>
      <c r="Y3072" s="68">
        <v>45039</v>
      </c>
      <c r="Z3072" s="17" t="s">
        <v>78</v>
      </c>
      <c r="AA3072" s="17" t="s">
        <v>46</v>
      </c>
      <c r="AB3072" s="17" t="s">
        <v>1104</v>
      </c>
      <c r="AC3072" s="102" t="s">
        <v>1105</v>
      </c>
      <c r="AD3072" s="65">
        <v>1418</v>
      </c>
      <c r="AE3072" s="17" t="s">
        <v>74</v>
      </c>
    </row>
    <row r="3073" s="17" customFormat="1" hidden="1" spans="1:31">
      <c r="A3073" s="17" t="s">
        <v>34</v>
      </c>
      <c r="B3073" s="19">
        <v>905</v>
      </c>
      <c r="C3073" s="183">
        <v>45111</v>
      </c>
      <c r="D3073" s="17" t="s">
        <v>109</v>
      </c>
      <c r="E3073" s="17" t="s">
        <v>110</v>
      </c>
      <c r="F3073" s="17" t="s">
        <v>72</v>
      </c>
      <c r="H3073" s="19">
        <v>1.2738</v>
      </c>
      <c r="I3073" s="19"/>
      <c r="J3073" s="17" t="s">
        <v>39</v>
      </c>
      <c r="K3073" s="19">
        <v>18</v>
      </c>
      <c r="L3073" s="91"/>
      <c r="M3073" s="19"/>
      <c r="N3073" s="19" t="s">
        <v>66</v>
      </c>
      <c r="O3073" s="19" t="s">
        <v>141</v>
      </c>
      <c r="P3073" s="19">
        <v>1000</v>
      </c>
      <c r="Q3073" s="19">
        <v>968</v>
      </c>
      <c r="R3073" s="19">
        <f t="shared" si="155"/>
        <v>32</v>
      </c>
      <c r="S3073" s="19">
        <v>1778</v>
      </c>
      <c r="T3073" s="19" t="s">
        <v>42</v>
      </c>
      <c r="U3073" s="102" t="s">
        <v>1103</v>
      </c>
      <c r="V3073" s="110">
        <v>45142</v>
      </c>
      <c r="W3073" s="17" t="s">
        <v>69</v>
      </c>
      <c r="Y3073" s="68">
        <v>45039</v>
      </c>
      <c r="Z3073" s="17" t="s">
        <v>78</v>
      </c>
      <c r="AA3073" s="17" t="s">
        <v>46</v>
      </c>
      <c r="AB3073" s="17" t="s">
        <v>1104</v>
      </c>
      <c r="AC3073" s="102" t="s">
        <v>1105</v>
      </c>
      <c r="AD3073" s="65">
        <v>1418</v>
      </c>
      <c r="AE3073" s="17" t="s">
        <v>74</v>
      </c>
    </row>
    <row r="3074" s="17" customFormat="1" hidden="1" spans="1:31">
      <c r="A3074" s="17" t="s">
        <v>34</v>
      </c>
      <c r="B3074" s="19">
        <v>905</v>
      </c>
      <c r="C3074" s="183">
        <v>45111</v>
      </c>
      <c r="D3074" s="17" t="s">
        <v>109</v>
      </c>
      <c r="E3074" s="17" t="s">
        <v>110</v>
      </c>
      <c r="F3074" s="17" t="s">
        <v>72</v>
      </c>
      <c r="H3074" s="19">
        <v>1.2738</v>
      </c>
      <c r="I3074" s="19"/>
      <c r="J3074" s="17" t="s">
        <v>39</v>
      </c>
      <c r="K3074" s="19">
        <v>20</v>
      </c>
      <c r="L3074" s="91"/>
      <c r="M3074" s="19"/>
      <c r="N3074" s="19" t="s">
        <v>66</v>
      </c>
      <c r="O3074" s="19" t="s">
        <v>141</v>
      </c>
      <c r="P3074" s="19">
        <v>1026</v>
      </c>
      <c r="Q3074" s="19">
        <v>1020</v>
      </c>
      <c r="R3074" s="19">
        <f t="shared" si="155"/>
        <v>6</v>
      </c>
      <c r="S3074" s="19">
        <v>1778</v>
      </c>
      <c r="T3074" s="19" t="s">
        <v>42</v>
      </c>
      <c r="U3074" s="102" t="s">
        <v>1103</v>
      </c>
      <c r="V3074" s="110">
        <v>45142</v>
      </c>
      <c r="W3074" s="17" t="s">
        <v>69</v>
      </c>
      <c r="Y3074" s="68">
        <v>45039</v>
      </c>
      <c r="Z3074" s="17" t="s">
        <v>78</v>
      </c>
      <c r="AA3074" s="17" t="s">
        <v>46</v>
      </c>
      <c r="AB3074" s="17" t="s">
        <v>1104</v>
      </c>
      <c r="AC3074" s="102" t="s">
        <v>1105</v>
      </c>
      <c r="AD3074" s="65">
        <v>1418</v>
      </c>
      <c r="AE3074" s="17" t="s">
        <v>74</v>
      </c>
    </row>
    <row r="3075" s="17" customFormat="1" hidden="1" spans="1:31">
      <c r="A3075" s="17" t="s">
        <v>34</v>
      </c>
      <c r="B3075" s="19">
        <v>905</v>
      </c>
      <c r="C3075" s="183">
        <v>45111</v>
      </c>
      <c r="D3075" s="17" t="s">
        <v>109</v>
      </c>
      <c r="E3075" s="17" t="s">
        <v>110</v>
      </c>
      <c r="F3075" s="17" t="s">
        <v>72</v>
      </c>
      <c r="H3075" s="19">
        <v>1.2738</v>
      </c>
      <c r="I3075" s="19"/>
      <c r="J3075" s="17" t="s">
        <v>39</v>
      </c>
      <c r="K3075" s="19">
        <v>28</v>
      </c>
      <c r="L3075" s="91"/>
      <c r="M3075" s="19"/>
      <c r="N3075" s="19" t="s">
        <v>66</v>
      </c>
      <c r="O3075" s="19" t="s">
        <v>141</v>
      </c>
      <c r="P3075" s="19">
        <v>500</v>
      </c>
      <c r="Q3075" s="19">
        <v>454</v>
      </c>
      <c r="R3075" s="19">
        <f t="shared" si="155"/>
        <v>46</v>
      </c>
      <c r="S3075" s="19">
        <v>1778</v>
      </c>
      <c r="T3075" s="19" t="s">
        <v>42</v>
      </c>
      <c r="U3075" s="102" t="s">
        <v>1103</v>
      </c>
      <c r="V3075" s="110">
        <v>45142</v>
      </c>
      <c r="W3075" s="17" t="s">
        <v>69</v>
      </c>
      <c r="Y3075" s="68">
        <v>45039</v>
      </c>
      <c r="Z3075" s="17" t="s">
        <v>78</v>
      </c>
      <c r="AA3075" s="17" t="s">
        <v>46</v>
      </c>
      <c r="AB3075" s="17" t="s">
        <v>1104</v>
      </c>
      <c r="AC3075" s="102" t="s">
        <v>1105</v>
      </c>
      <c r="AD3075" s="65">
        <v>1418</v>
      </c>
      <c r="AE3075" s="17" t="s">
        <v>74</v>
      </c>
    </row>
    <row r="3076" s="17" customFormat="1" hidden="1" spans="1:31">
      <c r="A3076" s="17" t="s">
        <v>34</v>
      </c>
      <c r="B3076" s="19">
        <v>905</v>
      </c>
      <c r="C3076" s="183">
        <v>45111</v>
      </c>
      <c r="D3076" s="17" t="s">
        <v>109</v>
      </c>
      <c r="E3076" s="17" t="s">
        <v>110</v>
      </c>
      <c r="F3076" s="17" t="s">
        <v>72</v>
      </c>
      <c r="H3076" s="19">
        <v>1.2738</v>
      </c>
      <c r="I3076" s="19"/>
      <c r="J3076" s="17" t="s">
        <v>39</v>
      </c>
      <c r="K3076" s="19">
        <v>32</v>
      </c>
      <c r="L3076" s="91"/>
      <c r="M3076" s="19"/>
      <c r="N3076" s="19" t="s">
        <v>66</v>
      </c>
      <c r="O3076" s="19" t="s">
        <v>141</v>
      </c>
      <c r="P3076" s="19">
        <v>600</v>
      </c>
      <c r="Q3076" s="19">
        <f>152+442</f>
        <v>594</v>
      </c>
      <c r="R3076" s="19">
        <f t="shared" si="155"/>
        <v>6</v>
      </c>
      <c r="S3076" s="19">
        <v>1700</v>
      </c>
      <c r="T3076" s="19" t="s">
        <v>42</v>
      </c>
      <c r="U3076" s="102" t="s">
        <v>1103</v>
      </c>
      <c r="V3076" s="110">
        <v>45142</v>
      </c>
      <c r="W3076" s="17" t="s">
        <v>69</v>
      </c>
      <c r="Y3076" s="68">
        <v>45039</v>
      </c>
      <c r="Z3076" s="17" t="s">
        <v>78</v>
      </c>
      <c r="AA3076" s="17" t="s">
        <v>46</v>
      </c>
      <c r="AB3076" s="17" t="s">
        <v>1104</v>
      </c>
      <c r="AC3076" s="102" t="s">
        <v>1105</v>
      </c>
      <c r="AD3076" s="65">
        <v>1418</v>
      </c>
      <c r="AE3076" s="17" t="s">
        <v>74</v>
      </c>
    </row>
    <row r="3077" s="17" customFormat="1" hidden="1" spans="1:31">
      <c r="A3077" s="17" t="s">
        <v>34</v>
      </c>
      <c r="B3077" s="19">
        <v>905</v>
      </c>
      <c r="C3077" s="183">
        <v>45111</v>
      </c>
      <c r="D3077" s="17" t="s">
        <v>109</v>
      </c>
      <c r="E3077" s="17" t="s">
        <v>110</v>
      </c>
      <c r="F3077" s="17" t="s">
        <v>72</v>
      </c>
      <c r="H3077" s="19">
        <v>1.2738</v>
      </c>
      <c r="I3077" s="19"/>
      <c r="J3077" s="17" t="s">
        <v>39</v>
      </c>
      <c r="K3077" s="19">
        <v>40</v>
      </c>
      <c r="L3077" s="91"/>
      <c r="M3077" s="19"/>
      <c r="N3077" s="19" t="s">
        <v>66</v>
      </c>
      <c r="O3077" s="19" t="s">
        <v>141</v>
      </c>
      <c r="P3077" s="19">
        <v>600</v>
      </c>
      <c r="Q3077" s="19">
        <v>638</v>
      </c>
      <c r="R3077" s="19">
        <f t="shared" ref="R3077:R3093" si="156">+P3077-Q3077</f>
        <v>-38</v>
      </c>
      <c r="S3077" s="19">
        <v>1700</v>
      </c>
      <c r="T3077" s="19" t="s">
        <v>42</v>
      </c>
      <c r="U3077" s="102" t="s">
        <v>1103</v>
      </c>
      <c r="V3077" s="110">
        <v>45142</v>
      </c>
      <c r="W3077" s="17" t="s">
        <v>69</v>
      </c>
      <c r="Y3077" s="68">
        <v>45039</v>
      </c>
      <c r="Z3077" s="17" t="s">
        <v>78</v>
      </c>
      <c r="AA3077" s="17" t="s">
        <v>46</v>
      </c>
      <c r="AB3077" s="17" t="s">
        <v>1104</v>
      </c>
      <c r="AC3077" s="102" t="s">
        <v>1105</v>
      </c>
      <c r="AD3077" s="65">
        <v>1418</v>
      </c>
      <c r="AE3077" s="17" t="s">
        <v>74</v>
      </c>
    </row>
    <row r="3078" s="17" customFormat="1" hidden="1" spans="1:31">
      <c r="A3078" s="17" t="s">
        <v>34</v>
      </c>
      <c r="B3078" s="19">
        <v>905</v>
      </c>
      <c r="C3078" s="183">
        <v>45111</v>
      </c>
      <c r="D3078" s="17" t="s">
        <v>109</v>
      </c>
      <c r="E3078" s="17" t="s">
        <v>110</v>
      </c>
      <c r="F3078" s="17" t="s">
        <v>72</v>
      </c>
      <c r="H3078" s="19">
        <v>1.2738</v>
      </c>
      <c r="I3078" s="19"/>
      <c r="J3078" s="17" t="s">
        <v>39</v>
      </c>
      <c r="K3078" s="19">
        <v>42</v>
      </c>
      <c r="L3078" s="91"/>
      <c r="M3078" s="19"/>
      <c r="N3078" s="19" t="s">
        <v>66</v>
      </c>
      <c r="O3078" s="19" t="s">
        <v>141</v>
      </c>
      <c r="P3078" s="19">
        <v>500</v>
      </c>
      <c r="Q3078" s="19">
        <v>524</v>
      </c>
      <c r="R3078" s="19">
        <f t="shared" si="156"/>
        <v>-24</v>
      </c>
      <c r="S3078" s="19">
        <v>1700</v>
      </c>
      <c r="T3078" s="19" t="s">
        <v>42</v>
      </c>
      <c r="U3078" s="102" t="s">
        <v>1103</v>
      </c>
      <c r="V3078" s="110">
        <v>45142</v>
      </c>
      <c r="W3078" s="17" t="s">
        <v>69</v>
      </c>
      <c r="Y3078" s="68">
        <v>45039</v>
      </c>
      <c r="Z3078" s="17" t="s">
        <v>78</v>
      </c>
      <c r="AA3078" s="17" t="s">
        <v>46</v>
      </c>
      <c r="AB3078" s="17" t="s">
        <v>1104</v>
      </c>
      <c r="AC3078" s="102" t="s">
        <v>1105</v>
      </c>
      <c r="AD3078" s="65">
        <v>1418</v>
      </c>
      <c r="AE3078" s="17" t="s">
        <v>48</v>
      </c>
    </row>
    <row r="3079" s="17" customFormat="1" hidden="1" spans="1:31">
      <c r="A3079" s="17" t="s">
        <v>34</v>
      </c>
      <c r="B3079" s="19">
        <v>905</v>
      </c>
      <c r="C3079" s="183">
        <v>45111</v>
      </c>
      <c r="D3079" s="17" t="s">
        <v>109</v>
      </c>
      <c r="E3079" s="17" t="s">
        <v>110</v>
      </c>
      <c r="F3079" s="17" t="s">
        <v>72</v>
      </c>
      <c r="H3079" s="19">
        <v>1.2738</v>
      </c>
      <c r="I3079" s="19"/>
      <c r="J3079" s="17" t="s">
        <v>39</v>
      </c>
      <c r="K3079" s="19">
        <v>48</v>
      </c>
      <c r="L3079" s="91"/>
      <c r="M3079" s="19"/>
      <c r="N3079" s="19" t="s">
        <v>66</v>
      </c>
      <c r="O3079" s="19" t="s">
        <v>141</v>
      </c>
      <c r="P3079" s="19">
        <v>500</v>
      </c>
      <c r="Q3079" s="19">
        <v>498</v>
      </c>
      <c r="R3079" s="19">
        <f t="shared" si="156"/>
        <v>2</v>
      </c>
      <c r="S3079" s="19">
        <v>1700</v>
      </c>
      <c r="T3079" s="19" t="s">
        <v>42</v>
      </c>
      <c r="U3079" s="102" t="s">
        <v>1103</v>
      </c>
      <c r="V3079" s="110">
        <v>45142</v>
      </c>
      <c r="W3079" s="17" t="s">
        <v>69</v>
      </c>
      <c r="Y3079" s="68">
        <v>45039</v>
      </c>
      <c r="Z3079" s="17" t="s">
        <v>78</v>
      </c>
      <c r="AA3079" s="17" t="s">
        <v>46</v>
      </c>
      <c r="AB3079" s="17" t="s">
        <v>1104</v>
      </c>
      <c r="AC3079" s="102" t="s">
        <v>1105</v>
      </c>
      <c r="AD3079" s="65">
        <v>1418</v>
      </c>
      <c r="AE3079" s="17" t="s">
        <v>48</v>
      </c>
    </row>
    <row r="3080" s="17" customFormat="1" hidden="1" spans="1:31">
      <c r="A3080" s="17" t="s">
        <v>34</v>
      </c>
      <c r="B3080" s="19">
        <v>905</v>
      </c>
      <c r="C3080" s="183">
        <v>45111</v>
      </c>
      <c r="D3080" s="17" t="s">
        <v>109</v>
      </c>
      <c r="E3080" s="17" t="s">
        <v>110</v>
      </c>
      <c r="F3080" s="17" t="s">
        <v>72</v>
      </c>
      <c r="H3080" s="19">
        <v>1.2738</v>
      </c>
      <c r="I3080" s="19"/>
      <c r="J3080" s="17" t="s">
        <v>39</v>
      </c>
      <c r="K3080" s="19">
        <v>52</v>
      </c>
      <c r="L3080" s="91"/>
      <c r="M3080" s="19"/>
      <c r="N3080" s="19" t="s">
        <v>66</v>
      </c>
      <c r="O3080" s="19" t="s">
        <v>141</v>
      </c>
      <c r="P3080" s="19">
        <v>1100</v>
      </c>
      <c r="Q3080" s="19">
        <v>1174</v>
      </c>
      <c r="R3080" s="19">
        <f t="shared" si="156"/>
        <v>-74</v>
      </c>
      <c r="S3080" s="19">
        <v>1700</v>
      </c>
      <c r="T3080" s="19" t="s">
        <v>42</v>
      </c>
      <c r="U3080" s="102" t="s">
        <v>1103</v>
      </c>
      <c r="V3080" s="110">
        <v>45142</v>
      </c>
      <c r="W3080" s="17" t="s">
        <v>69</v>
      </c>
      <c r="Y3080" s="68">
        <v>45039</v>
      </c>
      <c r="Z3080" s="17" t="s">
        <v>78</v>
      </c>
      <c r="AA3080" s="17" t="s">
        <v>46</v>
      </c>
      <c r="AB3080" s="17" t="s">
        <v>1104</v>
      </c>
      <c r="AC3080" s="102" t="s">
        <v>1105</v>
      </c>
      <c r="AD3080" s="65">
        <v>1418</v>
      </c>
      <c r="AE3080" s="17" t="s">
        <v>390</v>
      </c>
    </row>
    <row r="3081" s="17" customFormat="1" hidden="1" spans="1:31">
      <c r="A3081" s="17" t="s">
        <v>34</v>
      </c>
      <c r="B3081" s="19">
        <v>905</v>
      </c>
      <c r="C3081" s="183">
        <v>45111</v>
      </c>
      <c r="D3081" s="17" t="s">
        <v>109</v>
      </c>
      <c r="E3081" s="17" t="s">
        <v>110</v>
      </c>
      <c r="F3081" s="17" t="s">
        <v>72</v>
      </c>
      <c r="H3081" s="19">
        <v>1.2738</v>
      </c>
      <c r="I3081" s="19"/>
      <c r="J3081" s="17" t="s">
        <v>39</v>
      </c>
      <c r="K3081" s="19">
        <v>55</v>
      </c>
      <c r="L3081" s="91"/>
      <c r="M3081" s="19"/>
      <c r="N3081" s="19" t="s">
        <v>66</v>
      </c>
      <c r="O3081" s="19" t="s">
        <v>141</v>
      </c>
      <c r="P3081" s="19">
        <v>1100</v>
      </c>
      <c r="Q3081" s="19">
        <v>982</v>
      </c>
      <c r="R3081" s="19">
        <f t="shared" si="156"/>
        <v>118</v>
      </c>
      <c r="S3081" s="19">
        <v>1700</v>
      </c>
      <c r="T3081" s="19" t="s">
        <v>42</v>
      </c>
      <c r="U3081" s="102" t="s">
        <v>1103</v>
      </c>
      <c r="V3081" s="110">
        <v>45142</v>
      </c>
      <c r="W3081" s="17" t="s">
        <v>69</v>
      </c>
      <c r="Y3081" s="68">
        <v>45039</v>
      </c>
      <c r="Z3081" s="17" t="s">
        <v>78</v>
      </c>
      <c r="AA3081" s="17" t="s">
        <v>46</v>
      </c>
      <c r="AB3081" s="17" t="s">
        <v>1104</v>
      </c>
      <c r="AC3081" s="102" t="s">
        <v>1105</v>
      </c>
      <c r="AD3081" s="65">
        <v>1418</v>
      </c>
      <c r="AE3081" s="17" t="s">
        <v>390</v>
      </c>
    </row>
    <row r="3082" s="17" customFormat="1" hidden="1" spans="1:31">
      <c r="A3082" s="17" t="s">
        <v>34</v>
      </c>
      <c r="B3082" s="19">
        <v>905</v>
      </c>
      <c r="C3082" s="183">
        <v>45111</v>
      </c>
      <c r="D3082" s="17" t="s">
        <v>109</v>
      </c>
      <c r="E3082" s="17" t="s">
        <v>110</v>
      </c>
      <c r="F3082" s="17" t="s">
        <v>72</v>
      </c>
      <c r="H3082" s="19">
        <v>1.2738</v>
      </c>
      <c r="I3082" s="19"/>
      <c r="J3082" s="17" t="s">
        <v>39</v>
      </c>
      <c r="K3082" s="19">
        <v>75</v>
      </c>
      <c r="L3082" s="91"/>
      <c r="M3082" s="19"/>
      <c r="N3082" s="19" t="s">
        <v>66</v>
      </c>
      <c r="O3082" s="19" t="s">
        <v>141</v>
      </c>
      <c r="P3082" s="19">
        <v>1100</v>
      </c>
      <c r="Q3082" s="19">
        <v>1056</v>
      </c>
      <c r="R3082" s="19">
        <f t="shared" si="156"/>
        <v>44</v>
      </c>
      <c r="S3082" s="19">
        <v>1700</v>
      </c>
      <c r="T3082" s="19" t="s">
        <v>42</v>
      </c>
      <c r="U3082" s="102" t="s">
        <v>1103</v>
      </c>
      <c r="V3082" s="110">
        <v>45142</v>
      </c>
      <c r="W3082" s="17" t="s">
        <v>69</v>
      </c>
      <c r="Y3082" s="68">
        <v>45039</v>
      </c>
      <c r="Z3082" s="17" t="s">
        <v>78</v>
      </c>
      <c r="AA3082" s="17" t="s">
        <v>46</v>
      </c>
      <c r="AB3082" s="17" t="s">
        <v>1104</v>
      </c>
      <c r="AC3082" s="102" t="s">
        <v>1105</v>
      </c>
      <c r="AD3082" s="65">
        <v>1418</v>
      </c>
      <c r="AE3082" s="17" t="s">
        <v>390</v>
      </c>
    </row>
    <row r="3083" s="17" customFormat="1" hidden="1" spans="1:31">
      <c r="A3083" s="17" t="s">
        <v>34</v>
      </c>
      <c r="B3083" s="19">
        <v>905</v>
      </c>
      <c r="C3083" s="183">
        <v>45111</v>
      </c>
      <c r="D3083" s="17" t="s">
        <v>109</v>
      </c>
      <c r="E3083" s="17" t="s">
        <v>110</v>
      </c>
      <c r="F3083" s="17" t="s">
        <v>72</v>
      </c>
      <c r="H3083" s="19">
        <v>1.2738</v>
      </c>
      <c r="I3083" s="19"/>
      <c r="J3083" s="17" t="s">
        <v>39</v>
      </c>
      <c r="K3083" s="19">
        <v>105</v>
      </c>
      <c r="L3083" s="91"/>
      <c r="M3083" s="19"/>
      <c r="N3083" s="19" t="s">
        <v>66</v>
      </c>
      <c r="O3083" s="19" t="s">
        <v>141</v>
      </c>
      <c r="P3083" s="19">
        <v>500</v>
      </c>
      <c r="Q3083" s="19">
        <v>404</v>
      </c>
      <c r="R3083" s="19">
        <f t="shared" si="156"/>
        <v>96</v>
      </c>
      <c r="S3083" s="19">
        <v>1700</v>
      </c>
      <c r="T3083" s="19" t="s">
        <v>42</v>
      </c>
      <c r="U3083" s="102" t="s">
        <v>1103</v>
      </c>
      <c r="V3083" s="110">
        <v>45142</v>
      </c>
      <c r="W3083" s="17" t="s">
        <v>69</v>
      </c>
      <c r="Y3083" s="68">
        <v>45039</v>
      </c>
      <c r="Z3083" s="17" t="s">
        <v>78</v>
      </c>
      <c r="AA3083" s="17" t="s">
        <v>46</v>
      </c>
      <c r="AB3083" s="17" t="s">
        <v>1104</v>
      </c>
      <c r="AC3083" s="102" t="s">
        <v>1105</v>
      </c>
      <c r="AD3083" s="65">
        <v>1418</v>
      </c>
      <c r="AE3083" s="17" t="s">
        <v>48</v>
      </c>
    </row>
    <row r="3084" s="17" customFormat="1" hidden="1" spans="1:31">
      <c r="A3084" s="17" t="s">
        <v>34</v>
      </c>
      <c r="B3084" s="19">
        <v>905</v>
      </c>
      <c r="C3084" s="183">
        <v>45111</v>
      </c>
      <c r="D3084" s="17" t="s">
        <v>109</v>
      </c>
      <c r="E3084" s="17" t="s">
        <v>110</v>
      </c>
      <c r="F3084" s="17" t="s">
        <v>72</v>
      </c>
      <c r="H3084" s="19">
        <v>1.2738</v>
      </c>
      <c r="I3084" s="19"/>
      <c r="J3084" s="17" t="s">
        <v>39</v>
      </c>
      <c r="K3084" s="19">
        <v>125</v>
      </c>
      <c r="L3084" s="91"/>
      <c r="M3084" s="19"/>
      <c r="N3084" s="19" t="s">
        <v>66</v>
      </c>
      <c r="O3084" s="19" t="s">
        <v>141</v>
      </c>
      <c r="P3084" s="19">
        <v>789</v>
      </c>
      <c r="Q3084" s="19">
        <f>358+399</f>
        <v>757</v>
      </c>
      <c r="R3084" s="19">
        <f t="shared" si="156"/>
        <v>32</v>
      </c>
      <c r="S3084" s="19">
        <v>1778</v>
      </c>
      <c r="T3084" s="19" t="s">
        <v>42</v>
      </c>
      <c r="U3084" s="102" t="s">
        <v>1103</v>
      </c>
      <c r="V3084" s="110">
        <v>45142</v>
      </c>
      <c r="W3084" s="17" t="s">
        <v>69</v>
      </c>
      <c r="Y3084" s="68">
        <v>45039</v>
      </c>
      <c r="Z3084" s="17" t="s">
        <v>78</v>
      </c>
      <c r="AA3084" s="17" t="s">
        <v>46</v>
      </c>
      <c r="AB3084" s="17" t="s">
        <v>1104</v>
      </c>
      <c r="AC3084" s="102" t="s">
        <v>1105</v>
      </c>
      <c r="AD3084" s="65">
        <v>1418</v>
      </c>
      <c r="AE3084" s="17" t="s">
        <v>1106</v>
      </c>
    </row>
    <row r="3085" s="17" customFormat="1" hidden="1" spans="1:31">
      <c r="A3085" s="17" t="s">
        <v>34</v>
      </c>
      <c r="B3085" s="19">
        <v>905</v>
      </c>
      <c r="C3085" s="183">
        <v>45111</v>
      </c>
      <c r="D3085" s="17" t="s">
        <v>109</v>
      </c>
      <c r="E3085" s="17" t="s">
        <v>110</v>
      </c>
      <c r="F3085" s="17" t="s">
        <v>72</v>
      </c>
      <c r="H3085" s="19">
        <v>1.2738</v>
      </c>
      <c r="I3085" s="19"/>
      <c r="J3085" s="17" t="s">
        <v>39</v>
      </c>
      <c r="K3085" s="19">
        <v>150</v>
      </c>
      <c r="L3085" s="91"/>
      <c r="M3085" s="19"/>
      <c r="N3085" s="19" t="s">
        <v>66</v>
      </c>
      <c r="O3085" s="19" t="s">
        <v>141</v>
      </c>
      <c r="P3085" s="19">
        <v>916</v>
      </c>
      <c r="Q3085" s="19">
        <v>818</v>
      </c>
      <c r="R3085" s="19">
        <f t="shared" si="156"/>
        <v>98</v>
      </c>
      <c r="S3085" s="19">
        <v>1778</v>
      </c>
      <c r="T3085" s="19" t="s">
        <v>42</v>
      </c>
      <c r="U3085" s="102" t="s">
        <v>1103</v>
      </c>
      <c r="V3085" s="110">
        <v>45142</v>
      </c>
      <c r="W3085" s="17" t="s">
        <v>69</v>
      </c>
      <c r="Y3085" s="68">
        <v>45039</v>
      </c>
      <c r="Z3085" s="17" t="s">
        <v>78</v>
      </c>
      <c r="AA3085" s="17" t="s">
        <v>46</v>
      </c>
      <c r="AB3085" s="17" t="s">
        <v>1104</v>
      </c>
      <c r="AC3085" s="102" t="s">
        <v>1105</v>
      </c>
      <c r="AD3085" s="65">
        <v>1418</v>
      </c>
      <c r="AE3085" s="17" t="s">
        <v>1106</v>
      </c>
    </row>
    <row r="3086" s="17" customFormat="1" hidden="1" spans="1:31">
      <c r="A3086" s="17" t="s">
        <v>34</v>
      </c>
      <c r="B3086" s="19">
        <v>905</v>
      </c>
      <c r="C3086" s="183">
        <v>45111</v>
      </c>
      <c r="D3086" s="17" t="s">
        <v>109</v>
      </c>
      <c r="E3086" s="17" t="s">
        <v>110</v>
      </c>
      <c r="F3086" s="17" t="s">
        <v>72</v>
      </c>
      <c r="H3086" s="19">
        <v>1.2738</v>
      </c>
      <c r="I3086" s="19"/>
      <c r="J3086" s="17" t="s">
        <v>39</v>
      </c>
      <c r="K3086" s="19">
        <v>160</v>
      </c>
      <c r="L3086" s="91"/>
      <c r="M3086" s="19"/>
      <c r="N3086" s="19" t="s">
        <v>66</v>
      </c>
      <c r="O3086" s="19" t="s">
        <v>141</v>
      </c>
      <c r="P3086" s="19">
        <v>974</v>
      </c>
      <c r="Q3086" s="19">
        <v>934</v>
      </c>
      <c r="R3086" s="19">
        <f t="shared" si="156"/>
        <v>40</v>
      </c>
      <c r="S3086" s="19">
        <v>1778</v>
      </c>
      <c r="T3086" s="19" t="s">
        <v>42</v>
      </c>
      <c r="U3086" s="102" t="s">
        <v>1103</v>
      </c>
      <c r="V3086" s="110">
        <v>45142</v>
      </c>
      <c r="W3086" s="17" t="s">
        <v>69</v>
      </c>
      <c r="Y3086" s="68">
        <v>45039</v>
      </c>
      <c r="Z3086" s="17" t="s">
        <v>78</v>
      </c>
      <c r="AA3086" s="17" t="s">
        <v>46</v>
      </c>
      <c r="AB3086" s="17" t="s">
        <v>1104</v>
      </c>
      <c r="AC3086" s="102" t="s">
        <v>1105</v>
      </c>
      <c r="AD3086" s="65">
        <v>1418</v>
      </c>
      <c r="AE3086" s="17" t="s">
        <v>1106</v>
      </c>
    </row>
    <row r="3087" s="17" customFormat="1" hidden="1" spans="1:31">
      <c r="A3087" s="17" t="s">
        <v>34</v>
      </c>
      <c r="B3087" s="19">
        <v>905</v>
      </c>
      <c r="C3087" s="183">
        <v>45111</v>
      </c>
      <c r="D3087" s="17" t="s">
        <v>109</v>
      </c>
      <c r="E3087" s="17" t="s">
        <v>110</v>
      </c>
      <c r="F3087" s="17" t="s">
        <v>72</v>
      </c>
      <c r="H3087" s="19">
        <v>1.2738</v>
      </c>
      <c r="I3087" s="19"/>
      <c r="J3087" s="17" t="s">
        <v>39</v>
      </c>
      <c r="K3087" s="19">
        <v>170</v>
      </c>
      <c r="L3087" s="91"/>
      <c r="M3087" s="19"/>
      <c r="N3087" s="19" t="s">
        <v>66</v>
      </c>
      <c r="O3087" s="19" t="s">
        <v>141</v>
      </c>
      <c r="P3087" s="19">
        <v>535</v>
      </c>
      <c r="Q3087" s="19">
        <v>1045</v>
      </c>
      <c r="R3087" s="19">
        <f t="shared" si="156"/>
        <v>-510</v>
      </c>
      <c r="S3087" s="19">
        <v>1778</v>
      </c>
      <c r="T3087" s="19" t="s">
        <v>42</v>
      </c>
      <c r="U3087" s="102" t="s">
        <v>1103</v>
      </c>
      <c r="V3087" s="110">
        <v>45142</v>
      </c>
      <c r="W3087" s="17" t="s">
        <v>69</v>
      </c>
      <c r="Y3087" s="68">
        <v>45039</v>
      </c>
      <c r="Z3087" s="17" t="s">
        <v>78</v>
      </c>
      <c r="AA3087" s="17" t="s">
        <v>46</v>
      </c>
      <c r="AB3087" s="17" t="s">
        <v>1104</v>
      </c>
      <c r="AC3087" s="102" t="s">
        <v>1105</v>
      </c>
      <c r="AD3087" s="65">
        <v>1418</v>
      </c>
      <c r="AE3087" s="17" t="s">
        <v>74</v>
      </c>
    </row>
    <row r="3088" s="17" customFormat="1" hidden="1" spans="1:31">
      <c r="A3088" s="17" t="s">
        <v>34</v>
      </c>
      <c r="B3088" s="19">
        <v>905</v>
      </c>
      <c r="C3088" s="183">
        <v>45111</v>
      </c>
      <c r="D3088" s="17" t="s">
        <v>109</v>
      </c>
      <c r="E3088" s="17" t="s">
        <v>110</v>
      </c>
      <c r="F3088" s="17" t="s">
        <v>72</v>
      </c>
      <c r="H3088" s="19">
        <v>1.2738</v>
      </c>
      <c r="I3088" s="19"/>
      <c r="J3088" s="17" t="s">
        <v>39</v>
      </c>
      <c r="K3088" s="19">
        <v>180</v>
      </c>
      <c r="L3088" s="91"/>
      <c r="M3088" s="19"/>
      <c r="N3088" s="19" t="s">
        <v>66</v>
      </c>
      <c r="O3088" s="19" t="s">
        <v>141</v>
      </c>
      <c r="P3088" s="19">
        <v>1600</v>
      </c>
      <c r="Q3088" s="19">
        <v>1174</v>
      </c>
      <c r="R3088" s="19">
        <f t="shared" si="156"/>
        <v>426</v>
      </c>
      <c r="S3088" s="19">
        <v>1778</v>
      </c>
      <c r="T3088" s="19" t="s">
        <v>42</v>
      </c>
      <c r="U3088" s="102" t="s">
        <v>1103</v>
      </c>
      <c r="V3088" s="110">
        <v>45142</v>
      </c>
      <c r="W3088" s="17" t="s">
        <v>69</v>
      </c>
      <c r="Y3088" s="68">
        <v>45039</v>
      </c>
      <c r="Z3088" s="17" t="s">
        <v>78</v>
      </c>
      <c r="AA3088" s="17" t="s">
        <v>46</v>
      </c>
      <c r="AB3088" s="17" t="s">
        <v>1104</v>
      </c>
      <c r="AC3088" s="102" t="s">
        <v>1105</v>
      </c>
      <c r="AD3088" s="65">
        <v>1418</v>
      </c>
      <c r="AE3088" s="17" t="s">
        <v>1107</v>
      </c>
    </row>
    <row r="3089" s="17" customFormat="1" hidden="1" spans="1:31">
      <c r="A3089" s="17" t="s">
        <v>34</v>
      </c>
      <c r="B3089" s="19">
        <v>905</v>
      </c>
      <c r="C3089" s="183">
        <v>45111</v>
      </c>
      <c r="D3089" s="17" t="s">
        <v>109</v>
      </c>
      <c r="E3089" s="17" t="s">
        <v>110</v>
      </c>
      <c r="F3089" s="17" t="s">
        <v>72</v>
      </c>
      <c r="H3089" s="19">
        <v>1.2738</v>
      </c>
      <c r="I3089" s="19"/>
      <c r="J3089" s="17" t="s">
        <v>39</v>
      </c>
      <c r="K3089" s="19">
        <v>190</v>
      </c>
      <c r="L3089" s="91"/>
      <c r="M3089" s="19"/>
      <c r="N3089" s="19" t="s">
        <v>66</v>
      </c>
      <c r="O3089" s="19" t="s">
        <v>141</v>
      </c>
      <c r="P3089" s="19">
        <v>1668</v>
      </c>
      <c r="Q3089" s="19">
        <f>1300+688</f>
        <v>1988</v>
      </c>
      <c r="R3089" s="19">
        <f t="shared" si="156"/>
        <v>-320</v>
      </c>
      <c r="S3089" s="19">
        <v>1778</v>
      </c>
      <c r="T3089" s="19" t="s">
        <v>42</v>
      </c>
      <c r="U3089" s="102" t="s">
        <v>1103</v>
      </c>
      <c r="V3089" s="110">
        <v>45142</v>
      </c>
      <c r="W3089" s="17" t="s">
        <v>69</v>
      </c>
      <c r="Y3089" s="68">
        <v>45039</v>
      </c>
      <c r="Z3089" s="17" t="s">
        <v>78</v>
      </c>
      <c r="AA3089" s="17" t="s">
        <v>46</v>
      </c>
      <c r="AB3089" s="17" t="s">
        <v>1104</v>
      </c>
      <c r="AC3089" s="102" t="s">
        <v>1105</v>
      </c>
      <c r="AD3089" s="65">
        <v>1418</v>
      </c>
      <c r="AE3089" s="17" t="s">
        <v>1107</v>
      </c>
    </row>
    <row r="3090" s="17" customFormat="1" hidden="1" spans="1:31">
      <c r="A3090" s="17" t="s">
        <v>34</v>
      </c>
      <c r="B3090" s="19">
        <v>905</v>
      </c>
      <c r="C3090" s="183">
        <v>45111</v>
      </c>
      <c r="D3090" s="17" t="s">
        <v>109</v>
      </c>
      <c r="E3090" s="17" t="s">
        <v>110</v>
      </c>
      <c r="F3090" s="17" t="s">
        <v>72</v>
      </c>
      <c r="H3090" s="19">
        <v>1.2738</v>
      </c>
      <c r="I3090" s="19"/>
      <c r="J3090" s="17" t="s">
        <v>39</v>
      </c>
      <c r="K3090" s="19">
        <v>200</v>
      </c>
      <c r="L3090" s="91"/>
      <c r="M3090" s="19"/>
      <c r="N3090" s="19" t="s">
        <v>66</v>
      </c>
      <c r="O3090" s="19" t="s">
        <v>141</v>
      </c>
      <c r="P3090" s="19">
        <v>1000</v>
      </c>
      <c r="Q3090" s="19">
        <v>1232</v>
      </c>
      <c r="R3090" s="19">
        <f t="shared" si="156"/>
        <v>-232</v>
      </c>
      <c r="S3090" s="19">
        <v>1778</v>
      </c>
      <c r="T3090" s="19" t="s">
        <v>42</v>
      </c>
      <c r="U3090" s="102" t="s">
        <v>1103</v>
      </c>
      <c r="V3090" s="110">
        <v>45142</v>
      </c>
      <c r="W3090" s="17" t="s">
        <v>69</v>
      </c>
      <c r="Y3090" s="68">
        <v>45039</v>
      </c>
      <c r="Z3090" s="17" t="s">
        <v>78</v>
      </c>
      <c r="AA3090" s="17" t="s">
        <v>46</v>
      </c>
      <c r="AB3090" s="17" t="s">
        <v>1104</v>
      </c>
      <c r="AC3090" s="102" t="s">
        <v>1105</v>
      </c>
      <c r="AD3090" s="65">
        <v>1418</v>
      </c>
      <c r="AE3090" s="17" t="s">
        <v>48</v>
      </c>
    </row>
    <row r="3091" s="17" customFormat="1" hidden="1" spans="1:31">
      <c r="A3091" s="17" t="s">
        <v>34</v>
      </c>
      <c r="B3091" s="19">
        <v>907</v>
      </c>
      <c r="C3091" s="183" t="s">
        <v>1108</v>
      </c>
      <c r="D3091" s="17" t="s">
        <v>52</v>
      </c>
      <c r="E3091" s="17" t="s">
        <v>187</v>
      </c>
      <c r="F3091" s="17" t="s">
        <v>54</v>
      </c>
      <c r="H3091" s="19">
        <v>1.2311</v>
      </c>
      <c r="I3091" s="19"/>
      <c r="J3091" s="17" t="s">
        <v>49</v>
      </c>
      <c r="K3091" s="19">
        <v>2200</v>
      </c>
      <c r="L3091" s="91">
        <v>130</v>
      </c>
      <c r="M3091" s="19">
        <v>5800</v>
      </c>
      <c r="N3091" s="19" t="s">
        <v>66</v>
      </c>
      <c r="O3091" s="19" t="s">
        <v>141</v>
      </c>
      <c r="P3091" s="19">
        <v>27676</v>
      </c>
      <c r="Q3091" s="19">
        <f>7416+7422+12828</f>
        <v>27666</v>
      </c>
      <c r="R3091" s="19">
        <f t="shared" si="156"/>
        <v>10</v>
      </c>
      <c r="S3091" s="19">
        <v>1120</v>
      </c>
      <c r="T3091" s="19" t="s">
        <v>42</v>
      </c>
      <c r="U3091" s="102" t="s">
        <v>1109</v>
      </c>
      <c r="V3091" s="110" t="s">
        <v>1110</v>
      </c>
      <c r="W3091" s="17" t="s">
        <v>69</v>
      </c>
      <c r="Y3091" s="68">
        <v>45039</v>
      </c>
      <c r="Z3091" s="17" t="s">
        <v>191</v>
      </c>
      <c r="AA3091" s="17" t="s">
        <v>46</v>
      </c>
      <c r="AB3091" s="17" t="s">
        <v>1111</v>
      </c>
      <c r="AC3091" s="102" t="s">
        <v>1112</v>
      </c>
      <c r="AD3091" s="65">
        <v>1427</v>
      </c>
      <c r="AE3091" s="17" t="s">
        <v>48</v>
      </c>
    </row>
    <row r="3092" s="17" customFormat="1" hidden="1" spans="1:31">
      <c r="A3092" s="17" t="s">
        <v>34</v>
      </c>
      <c r="B3092" s="19">
        <v>907</v>
      </c>
      <c r="C3092" s="183" t="s">
        <v>1108</v>
      </c>
      <c r="D3092" s="17" t="s">
        <v>52</v>
      </c>
      <c r="E3092" s="17" t="s">
        <v>187</v>
      </c>
      <c r="F3092" s="17" t="s">
        <v>54</v>
      </c>
      <c r="H3092" s="19">
        <v>1.2311</v>
      </c>
      <c r="I3092" s="19"/>
      <c r="J3092" s="17" t="s">
        <v>49</v>
      </c>
      <c r="K3092" s="19">
        <v>2200</v>
      </c>
      <c r="L3092" s="91">
        <v>150</v>
      </c>
      <c r="M3092" s="19">
        <v>5800</v>
      </c>
      <c r="N3092" s="19" t="s">
        <v>66</v>
      </c>
      <c r="O3092" s="19" t="s">
        <v>141</v>
      </c>
      <c r="P3092" s="19">
        <v>18628</v>
      </c>
      <c r="Q3092" s="19">
        <f>10190+8090</f>
        <v>18280</v>
      </c>
      <c r="R3092" s="19">
        <f t="shared" si="156"/>
        <v>348</v>
      </c>
      <c r="S3092" s="19">
        <v>1120</v>
      </c>
      <c r="T3092" s="19" t="s">
        <v>42</v>
      </c>
      <c r="U3092" s="102" t="s">
        <v>1109</v>
      </c>
      <c r="V3092" s="110" t="s">
        <v>1110</v>
      </c>
      <c r="W3092" s="17" t="s">
        <v>69</v>
      </c>
      <c r="Y3092" s="68">
        <v>45039</v>
      </c>
      <c r="Z3092" s="17" t="s">
        <v>191</v>
      </c>
      <c r="AA3092" s="17" t="s">
        <v>46</v>
      </c>
      <c r="AB3092" s="17" t="s">
        <v>1111</v>
      </c>
      <c r="AC3092" s="102" t="s">
        <v>1112</v>
      </c>
      <c r="AD3092" s="65">
        <v>1427</v>
      </c>
      <c r="AE3092" s="17" t="s">
        <v>48</v>
      </c>
    </row>
    <row r="3093" s="17" customFormat="1" hidden="1" spans="1:31">
      <c r="A3093" s="17" t="s">
        <v>34</v>
      </c>
      <c r="B3093" s="19">
        <v>907</v>
      </c>
      <c r="C3093" s="183" t="s">
        <v>1108</v>
      </c>
      <c r="D3093" s="17" t="s">
        <v>52</v>
      </c>
      <c r="E3093" s="17" t="s">
        <v>187</v>
      </c>
      <c r="F3093" s="17" t="s">
        <v>54</v>
      </c>
      <c r="H3093" s="19">
        <v>1.2311</v>
      </c>
      <c r="I3093" s="19"/>
      <c r="J3093" s="17" t="s">
        <v>49</v>
      </c>
      <c r="K3093" s="147">
        <v>2200</v>
      </c>
      <c r="L3093" s="243">
        <v>155</v>
      </c>
      <c r="M3093" s="19">
        <v>5800</v>
      </c>
      <c r="N3093" s="19" t="s">
        <v>66</v>
      </c>
      <c r="O3093" s="19" t="s">
        <v>141</v>
      </c>
      <c r="P3093" s="19">
        <v>8800</v>
      </c>
      <c r="Q3093" s="19">
        <v>8830</v>
      </c>
      <c r="R3093" s="99">
        <f t="shared" si="156"/>
        <v>-30</v>
      </c>
      <c r="S3093" s="19">
        <v>1140</v>
      </c>
      <c r="T3093" s="19" t="s">
        <v>42</v>
      </c>
      <c r="U3093" s="102" t="s">
        <v>1109</v>
      </c>
      <c r="V3093" s="110" t="s">
        <v>1110</v>
      </c>
      <c r="W3093" s="17" t="s">
        <v>69</v>
      </c>
      <c r="Y3093" s="68">
        <v>45039</v>
      </c>
      <c r="Z3093" s="17" t="s">
        <v>191</v>
      </c>
      <c r="AA3093" s="17" t="s">
        <v>46</v>
      </c>
      <c r="AB3093" s="17" t="s">
        <v>1111</v>
      </c>
      <c r="AC3093" s="102" t="s">
        <v>1112</v>
      </c>
      <c r="AD3093" s="65">
        <v>1427</v>
      </c>
      <c r="AE3093" s="17" t="s">
        <v>48</v>
      </c>
    </row>
    <row r="3094" s="17" customFormat="1" hidden="1" spans="1:31">
      <c r="A3094" s="17" t="s">
        <v>34</v>
      </c>
      <c r="B3094" s="19">
        <v>908</v>
      </c>
      <c r="C3094" s="183" t="s">
        <v>1110</v>
      </c>
      <c r="D3094" s="17" t="s">
        <v>52</v>
      </c>
      <c r="E3094" s="17" t="s">
        <v>1113</v>
      </c>
      <c r="F3094" s="17" t="s">
        <v>54</v>
      </c>
      <c r="H3094" s="19" t="s">
        <v>1114</v>
      </c>
      <c r="I3094" s="19"/>
      <c r="J3094" s="17" t="s">
        <v>49</v>
      </c>
      <c r="K3094" s="19">
        <v>2200</v>
      </c>
      <c r="L3094" s="19">
        <v>25</v>
      </c>
      <c r="M3094" s="19">
        <v>5800</v>
      </c>
      <c r="N3094" s="19" t="s">
        <v>66</v>
      </c>
      <c r="O3094" s="19" t="s">
        <v>141</v>
      </c>
      <c r="P3094" s="99">
        <v>6653</v>
      </c>
      <c r="Q3094" s="98">
        <f>2006+2163</f>
        <v>4169</v>
      </c>
      <c r="S3094" s="19">
        <v>1100</v>
      </c>
      <c r="T3094" s="19" t="s">
        <v>42</v>
      </c>
      <c r="U3094" s="102" t="s">
        <v>1115</v>
      </c>
      <c r="V3094" s="186" t="s">
        <v>1110</v>
      </c>
      <c r="W3094" s="17" t="s">
        <v>69</v>
      </c>
      <c r="Y3094" s="68">
        <v>45130</v>
      </c>
      <c r="Z3094" s="17" t="s">
        <v>191</v>
      </c>
      <c r="AA3094" s="17" t="s">
        <v>46</v>
      </c>
      <c r="AB3094" s="17" t="s">
        <v>1116</v>
      </c>
      <c r="AC3094" s="102" t="s">
        <v>1117</v>
      </c>
      <c r="AD3094" s="65">
        <v>1443</v>
      </c>
      <c r="AE3094" s="17" t="s">
        <v>1118</v>
      </c>
    </row>
    <row r="3095" s="17" customFormat="1" hidden="1" spans="1:31">
      <c r="A3095" s="17" t="s">
        <v>34</v>
      </c>
      <c r="B3095" s="19">
        <v>908</v>
      </c>
      <c r="C3095" s="183" t="s">
        <v>1110</v>
      </c>
      <c r="D3095" s="17" t="s">
        <v>52</v>
      </c>
      <c r="E3095" s="17" t="s">
        <v>1113</v>
      </c>
      <c r="F3095" s="17" t="s">
        <v>54</v>
      </c>
      <c r="H3095" s="19" t="s">
        <v>1114</v>
      </c>
      <c r="I3095" s="19"/>
      <c r="J3095" s="17" t="s">
        <v>49</v>
      </c>
      <c r="K3095" s="19">
        <v>2200</v>
      </c>
      <c r="L3095" s="19">
        <v>25</v>
      </c>
      <c r="M3095" s="19">
        <v>5800</v>
      </c>
      <c r="N3095" s="19" t="s">
        <v>66</v>
      </c>
      <c r="O3095" s="19" t="s">
        <v>141</v>
      </c>
      <c r="P3095" s="99"/>
      <c r="Q3095" s="98">
        <f>2125+2145</f>
        <v>4270</v>
      </c>
      <c r="R3095" s="99">
        <f>+P3094-Q3094-Q3095</f>
        <v>-1786</v>
      </c>
      <c r="S3095" s="19">
        <v>1100</v>
      </c>
      <c r="T3095" s="19" t="s">
        <v>42</v>
      </c>
      <c r="U3095" s="102" t="s">
        <v>1115</v>
      </c>
      <c r="V3095" s="186" t="s">
        <v>1110</v>
      </c>
      <c r="W3095" s="17" t="s">
        <v>69</v>
      </c>
      <c r="Y3095" s="68">
        <v>45130</v>
      </c>
      <c r="Z3095" s="17" t="s">
        <v>191</v>
      </c>
      <c r="AA3095" s="17" t="s">
        <v>46</v>
      </c>
      <c r="AB3095" s="17" t="s">
        <v>1119</v>
      </c>
      <c r="AC3095" s="102" t="s">
        <v>1120</v>
      </c>
      <c r="AD3095" s="65">
        <v>1451</v>
      </c>
    </row>
    <row r="3096" s="17" customFormat="1" hidden="1" spans="1:31">
      <c r="A3096" s="17" t="s">
        <v>34</v>
      </c>
      <c r="B3096" s="19">
        <v>908</v>
      </c>
      <c r="C3096" s="183" t="s">
        <v>1110</v>
      </c>
      <c r="D3096" s="17" t="s">
        <v>52</v>
      </c>
      <c r="E3096" s="17" t="s">
        <v>1113</v>
      </c>
      <c r="F3096" s="17" t="s">
        <v>54</v>
      </c>
      <c r="H3096" s="19" t="s">
        <v>1114</v>
      </c>
      <c r="I3096" s="19"/>
      <c r="J3096" s="17" t="s">
        <v>49</v>
      </c>
      <c r="K3096" s="19">
        <v>2200</v>
      </c>
      <c r="L3096" s="19">
        <v>32</v>
      </c>
      <c r="M3096" s="19">
        <v>5800</v>
      </c>
      <c r="N3096" s="19" t="s">
        <v>66</v>
      </c>
      <c r="O3096" s="19" t="s">
        <v>141</v>
      </c>
      <c r="P3096" s="99">
        <v>17031</v>
      </c>
      <c r="Q3096" s="98">
        <f>3180+3182+3169+3157+3195</f>
        <v>15883</v>
      </c>
      <c r="S3096" s="19">
        <v>1100</v>
      </c>
      <c r="T3096" s="19" t="s">
        <v>42</v>
      </c>
      <c r="U3096" s="102" t="s">
        <v>1115</v>
      </c>
      <c r="V3096" s="186" t="s">
        <v>1110</v>
      </c>
      <c r="W3096" s="17" t="s">
        <v>69</v>
      </c>
      <c r="Y3096" s="68">
        <v>45130</v>
      </c>
      <c r="Z3096" s="17" t="s">
        <v>191</v>
      </c>
      <c r="AA3096" s="17" t="s">
        <v>46</v>
      </c>
      <c r="AB3096" s="17" t="s">
        <v>1116</v>
      </c>
      <c r="AC3096" s="102" t="s">
        <v>1117</v>
      </c>
      <c r="AD3096" s="65">
        <v>1443</v>
      </c>
      <c r="AE3096" s="17" t="s">
        <v>1121</v>
      </c>
    </row>
    <row r="3097" s="17" customFormat="1" hidden="1" spans="1:31">
      <c r="A3097" s="17" t="s">
        <v>34</v>
      </c>
      <c r="B3097" s="19">
        <v>908</v>
      </c>
      <c r="C3097" s="183" t="s">
        <v>1110</v>
      </c>
      <c r="D3097" s="17" t="s">
        <v>52</v>
      </c>
      <c r="E3097" s="17" t="s">
        <v>1113</v>
      </c>
      <c r="F3097" s="17" t="s">
        <v>54</v>
      </c>
      <c r="H3097" s="19" t="s">
        <v>1114</v>
      </c>
      <c r="I3097" s="19"/>
      <c r="J3097" s="17" t="s">
        <v>49</v>
      </c>
      <c r="K3097" s="19">
        <v>2200</v>
      </c>
      <c r="L3097" s="19">
        <v>32</v>
      </c>
      <c r="M3097" s="19">
        <v>5800</v>
      </c>
      <c r="N3097" s="19" t="s">
        <v>66</v>
      </c>
      <c r="O3097" s="19" t="s">
        <v>141</v>
      </c>
      <c r="P3097" s="99"/>
      <c r="Q3097" s="98">
        <v>3121</v>
      </c>
      <c r="R3097" s="99">
        <f>+P3096-Q3096-Q3097</f>
        <v>-1973</v>
      </c>
      <c r="S3097" s="19">
        <v>1100</v>
      </c>
      <c r="T3097" s="19" t="s">
        <v>42</v>
      </c>
      <c r="U3097" s="102" t="s">
        <v>1115</v>
      </c>
      <c r="V3097" s="186" t="s">
        <v>1110</v>
      </c>
      <c r="W3097" s="17" t="s">
        <v>69</v>
      </c>
      <c r="Y3097" s="68">
        <v>45130</v>
      </c>
      <c r="Z3097" s="17" t="s">
        <v>191</v>
      </c>
      <c r="AA3097" s="17" t="s">
        <v>46</v>
      </c>
      <c r="AB3097" s="17" t="s">
        <v>1119</v>
      </c>
      <c r="AC3097" s="102" t="s">
        <v>1120</v>
      </c>
      <c r="AD3097" s="65">
        <v>1451</v>
      </c>
    </row>
    <row r="3098" s="17" customFormat="1" hidden="1" spans="1:31">
      <c r="A3098" s="17" t="s">
        <v>34</v>
      </c>
      <c r="B3098" s="19">
        <v>908</v>
      </c>
      <c r="C3098" s="183" t="s">
        <v>1110</v>
      </c>
      <c r="D3098" s="17" t="s">
        <v>52</v>
      </c>
      <c r="E3098" s="17" t="s">
        <v>1113</v>
      </c>
      <c r="F3098" s="17" t="s">
        <v>54</v>
      </c>
      <c r="H3098" s="19" t="s">
        <v>1114</v>
      </c>
      <c r="I3098" s="19"/>
      <c r="J3098" s="17" t="s">
        <v>49</v>
      </c>
      <c r="K3098" s="19">
        <v>2200</v>
      </c>
      <c r="L3098" s="19">
        <v>36</v>
      </c>
      <c r="M3098" s="19">
        <v>5800</v>
      </c>
      <c r="N3098" s="19" t="s">
        <v>66</v>
      </c>
      <c r="O3098" s="19" t="s">
        <v>141</v>
      </c>
      <c r="P3098" s="99">
        <v>9580</v>
      </c>
      <c r="Q3098" s="98">
        <f>3804+3654</f>
        <v>7458</v>
      </c>
      <c r="S3098" s="19">
        <v>1100</v>
      </c>
      <c r="T3098" s="19" t="s">
        <v>42</v>
      </c>
      <c r="U3098" s="102" t="s">
        <v>1115</v>
      </c>
      <c r="V3098" s="186" t="s">
        <v>1110</v>
      </c>
      <c r="W3098" s="17" t="s">
        <v>69</v>
      </c>
      <c r="Y3098" s="68">
        <v>45130</v>
      </c>
      <c r="Z3098" s="17" t="s">
        <v>191</v>
      </c>
      <c r="AA3098" s="17" t="s">
        <v>46</v>
      </c>
      <c r="AB3098" s="17" t="s">
        <v>1116</v>
      </c>
      <c r="AC3098" s="102" t="s">
        <v>1117</v>
      </c>
      <c r="AD3098" s="65">
        <v>1443</v>
      </c>
      <c r="AE3098" s="17" t="s">
        <v>1118</v>
      </c>
    </row>
    <row r="3099" s="17" customFormat="1" hidden="1" spans="1:31">
      <c r="A3099" s="17" t="s">
        <v>34</v>
      </c>
      <c r="B3099" s="19">
        <v>908</v>
      </c>
      <c r="C3099" s="183" t="s">
        <v>1110</v>
      </c>
      <c r="D3099" s="17" t="s">
        <v>52</v>
      </c>
      <c r="E3099" s="17" t="s">
        <v>1113</v>
      </c>
      <c r="F3099" s="17" t="s">
        <v>54</v>
      </c>
      <c r="H3099" s="19" t="s">
        <v>1114</v>
      </c>
      <c r="I3099" s="19"/>
      <c r="J3099" s="17" t="s">
        <v>49</v>
      </c>
      <c r="K3099" s="19">
        <v>2200</v>
      </c>
      <c r="L3099" s="19">
        <v>36</v>
      </c>
      <c r="M3099" s="19">
        <v>5800</v>
      </c>
      <c r="N3099" s="19" t="s">
        <v>66</v>
      </c>
      <c r="O3099" s="19" t="s">
        <v>141</v>
      </c>
      <c r="P3099" s="99"/>
      <c r="Q3099" s="98">
        <v>3714</v>
      </c>
      <c r="R3099" s="99">
        <f>+P3098-Q3098-Q3099</f>
        <v>-1592</v>
      </c>
      <c r="S3099" s="19">
        <v>1100</v>
      </c>
      <c r="T3099" s="19" t="s">
        <v>42</v>
      </c>
      <c r="U3099" s="102" t="s">
        <v>1115</v>
      </c>
      <c r="V3099" s="186" t="s">
        <v>1110</v>
      </c>
      <c r="W3099" s="17" t="s">
        <v>69</v>
      </c>
      <c r="Y3099" s="68">
        <v>45130</v>
      </c>
      <c r="Z3099" s="17" t="s">
        <v>191</v>
      </c>
      <c r="AA3099" s="17" t="s">
        <v>46</v>
      </c>
      <c r="AB3099" s="17" t="s">
        <v>1122</v>
      </c>
      <c r="AC3099" s="217">
        <v>44965</v>
      </c>
      <c r="AD3099" s="65">
        <v>1450</v>
      </c>
    </row>
    <row r="3100" s="17" customFormat="1" hidden="1" spans="1:31">
      <c r="A3100" s="17" t="s">
        <v>34</v>
      </c>
      <c r="B3100" s="19">
        <v>908</v>
      </c>
      <c r="C3100" s="183" t="s">
        <v>1110</v>
      </c>
      <c r="D3100" s="17" t="s">
        <v>52</v>
      </c>
      <c r="E3100" s="17" t="s">
        <v>1113</v>
      </c>
      <c r="F3100" s="17" t="s">
        <v>54</v>
      </c>
      <c r="H3100" s="19" t="s">
        <v>1114</v>
      </c>
      <c r="I3100" s="19"/>
      <c r="J3100" s="17" t="s">
        <v>49</v>
      </c>
      <c r="K3100" s="19">
        <v>2200</v>
      </c>
      <c r="L3100" s="19">
        <v>40</v>
      </c>
      <c r="M3100" s="19">
        <v>5800</v>
      </c>
      <c r="N3100" s="19" t="s">
        <v>66</v>
      </c>
      <c r="O3100" s="19" t="s">
        <v>141</v>
      </c>
      <c r="P3100" s="99">
        <v>17741</v>
      </c>
      <c r="Q3100" s="19">
        <f>3570+3610</f>
        <v>7180</v>
      </c>
      <c r="S3100" s="19">
        <v>1100</v>
      </c>
      <c r="T3100" s="19" t="s">
        <v>42</v>
      </c>
      <c r="U3100" s="102" t="s">
        <v>1115</v>
      </c>
      <c r="V3100" s="186" t="s">
        <v>1110</v>
      </c>
      <c r="W3100" s="17" t="s">
        <v>69</v>
      </c>
      <c r="Y3100" s="68">
        <v>45130</v>
      </c>
      <c r="Z3100" s="17" t="s">
        <v>191</v>
      </c>
      <c r="AA3100" s="17" t="s">
        <v>46</v>
      </c>
      <c r="AB3100" s="17" t="s">
        <v>1123</v>
      </c>
      <c r="AC3100" s="102" t="s">
        <v>1124</v>
      </c>
      <c r="AD3100" s="65">
        <v>1445</v>
      </c>
      <c r="AE3100" s="17" t="s">
        <v>1125</v>
      </c>
    </row>
    <row r="3101" s="17" customFormat="1" hidden="1" spans="1:31">
      <c r="A3101" s="17" t="s">
        <v>34</v>
      </c>
      <c r="B3101" s="19">
        <v>908</v>
      </c>
      <c r="C3101" s="183" t="s">
        <v>1110</v>
      </c>
      <c r="D3101" s="17" t="s">
        <v>52</v>
      </c>
      <c r="E3101" s="17" t="s">
        <v>1113</v>
      </c>
      <c r="F3101" s="17" t="s">
        <v>54</v>
      </c>
      <c r="H3101" s="19" t="s">
        <v>1114</v>
      </c>
      <c r="I3101" s="19"/>
      <c r="J3101" s="17" t="s">
        <v>49</v>
      </c>
      <c r="K3101" s="19">
        <v>2200</v>
      </c>
      <c r="L3101" s="19">
        <v>40</v>
      </c>
      <c r="M3101" s="19">
        <v>5800</v>
      </c>
      <c r="N3101" s="19" t="s">
        <v>66</v>
      </c>
      <c r="O3101" s="19" t="s">
        <v>141</v>
      </c>
      <c r="P3101" s="99"/>
      <c r="Q3101" s="19">
        <v>3570</v>
      </c>
      <c r="S3101" s="19">
        <v>1100</v>
      </c>
      <c r="T3101" s="19" t="s">
        <v>42</v>
      </c>
      <c r="U3101" s="102" t="s">
        <v>1115</v>
      </c>
      <c r="V3101" s="186" t="s">
        <v>1110</v>
      </c>
      <c r="W3101" s="17" t="s">
        <v>69</v>
      </c>
      <c r="Y3101" s="68">
        <v>45130</v>
      </c>
      <c r="Z3101" s="17" t="s">
        <v>191</v>
      </c>
      <c r="AA3101" s="17" t="s">
        <v>46</v>
      </c>
      <c r="AB3101" s="17" t="s">
        <v>1126</v>
      </c>
      <c r="AC3101" s="102" t="s">
        <v>1127</v>
      </c>
      <c r="AD3101" s="65">
        <v>1447</v>
      </c>
    </row>
    <row r="3102" s="17" customFormat="1" hidden="1" spans="1:31">
      <c r="A3102" s="17" t="s">
        <v>34</v>
      </c>
      <c r="B3102" s="19">
        <v>908</v>
      </c>
      <c r="C3102" s="183" t="s">
        <v>1110</v>
      </c>
      <c r="D3102" s="17" t="s">
        <v>52</v>
      </c>
      <c r="E3102" s="17" t="s">
        <v>1113</v>
      </c>
      <c r="F3102" s="17" t="s">
        <v>54</v>
      </c>
      <c r="H3102" s="19" t="s">
        <v>1114</v>
      </c>
      <c r="I3102" s="19"/>
      <c r="J3102" s="17" t="s">
        <v>49</v>
      </c>
      <c r="K3102" s="19">
        <v>2200</v>
      </c>
      <c r="L3102" s="19">
        <v>40</v>
      </c>
      <c r="M3102" s="19">
        <v>5800</v>
      </c>
      <c r="N3102" s="19" t="s">
        <v>66</v>
      </c>
      <c r="O3102" s="19" t="s">
        <v>141</v>
      </c>
      <c r="P3102" s="99"/>
      <c r="Q3102" s="19">
        <v>3480</v>
      </c>
      <c r="S3102" s="19">
        <v>1100</v>
      </c>
      <c r="T3102" s="19" t="s">
        <v>42</v>
      </c>
      <c r="U3102" s="102" t="s">
        <v>1115</v>
      </c>
      <c r="V3102" s="186" t="s">
        <v>1110</v>
      </c>
      <c r="W3102" s="17" t="s">
        <v>69</v>
      </c>
      <c r="Y3102" s="68">
        <v>45130</v>
      </c>
      <c r="Z3102" s="17" t="s">
        <v>191</v>
      </c>
      <c r="AA3102" s="17" t="s">
        <v>46</v>
      </c>
      <c r="AB3102" s="17" t="s">
        <v>1128</v>
      </c>
      <c r="AC3102" s="102" t="s">
        <v>1124</v>
      </c>
      <c r="AD3102" s="65">
        <v>1448</v>
      </c>
    </row>
    <row r="3103" s="17" customFormat="1" hidden="1" spans="1:31">
      <c r="A3103" s="17" t="s">
        <v>34</v>
      </c>
      <c r="B3103" s="19">
        <v>908</v>
      </c>
      <c r="C3103" s="183" t="s">
        <v>1110</v>
      </c>
      <c r="D3103" s="17" t="s">
        <v>52</v>
      </c>
      <c r="E3103" s="17" t="s">
        <v>1113</v>
      </c>
      <c r="F3103" s="17" t="s">
        <v>54</v>
      </c>
      <c r="H3103" s="19" t="s">
        <v>1114</v>
      </c>
      <c r="I3103" s="19"/>
      <c r="J3103" s="17" t="s">
        <v>49</v>
      </c>
      <c r="K3103" s="19">
        <v>2200</v>
      </c>
      <c r="L3103" s="19">
        <v>40</v>
      </c>
      <c r="M3103" s="19">
        <v>5800</v>
      </c>
      <c r="N3103" s="19" t="s">
        <v>66</v>
      </c>
      <c r="O3103" s="19" t="s">
        <v>141</v>
      </c>
      <c r="P3103" s="99"/>
      <c r="Q3103" s="19">
        <f>3185+3009</f>
        <v>6194</v>
      </c>
      <c r="R3103" s="99">
        <f>+P3100-Q3100-Q3101-Q3102-Q3103</f>
        <v>-2683</v>
      </c>
      <c r="S3103" s="19">
        <v>1100</v>
      </c>
      <c r="T3103" s="19" t="s">
        <v>42</v>
      </c>
      <c r="U3103" s="102" t="s">
        <v>1115</v>
      </c>
      <c r="V3103" s="186" t="s">
        <v>1110</v>
      </c>
      <c r="W3103" s="17" t="s">
        <v>69</v>
      </c>
      <c r="Y3103" s="68">
        <v>45130</v>
      </c>
      <c r="Z3103" s="17" t="s">
        <v>191</v>
      </c>
      <c r="AA3103" s="17" t="s">
        <v>46</v>
      </c>
      <c r="AB3103" s="17" t="s">
        <v>1119</v>
      </c>
      <c r="AC3103" s="102" t="s">
        <v>1120</v>
      </c>
      <c r="AD3103" s="65">
        <v>1451</v>
      </c>
    </row>
    <row r="3104" s="17" customFormat="1" hidden="1" spans="1:31">
      <c r="A3104" s="17" t="s">
        <v>34</v>
      </c>
      <c r="B3104" s="19">
        <v>908</v>
      </c>
      <c r="C3104" s="183" t="s">
        <v>1110</v>
      </c>
      <c r="D3104" s="17" t="s">
        <v>52</v>
      </c>
      <c r="E3104" s="17" t="s">
        <v>1113</v>
      </c>
      <c r="F3104" s="17" t="s">
        <v>54</v>
      </c>
      <c r="H3104" s="19" t="s">
        <v>1114</v>
      </c>
      <c r="I3104" s="19"/>
      <c r="J3104" s="17" t="s">
        <v>49</v>
      </c>
      <c r="K3104" s="19">
        <v>2200</v>
      </c>
      <c r="L3104" s="19">
        <v>43</v>
      </c>
      <c r="M3104" s="19">
        <v>5800</v>
      </c>
      <c r="N3104" s="19" t="s">
        <v>66</v>
      </c>
      <c r="O3104" s="19" t="s">
        <v>141</v>
      </c>
      <c r="P3104" s="99">
        <v>15257</v>
      </c>
      <c r="Q3104" s="19">
        <f>3910+3940</f>
        <v>7850</v>
      </c>
      <c r="R3104" s="99">
        <f>+P3104-Q3104</f>
        <v>7407</v>
      </c>
      <c r="S3104" s="19">
        <v>1100</v>
      </c>
      <c r="T3104" s="19" t="s">
        <v>42</v>
      </c>
      <c r="U3104" s="102" t="s">
        <v>1115</v>
      </c>
      <c r="V3104" s="186" t="s">
        <v>1110</v>
      </c>
      <c r="W3104" s="17" t="s">
        <v>69</v>
      </c>
      <c r="Y3104" s="68">
        <v>45130</v>
      </c>
      <c r="Z3104" s="17" t="s">
        <v>191</v>
      </c>
      <c r="AA3104" s="17" t="s">
        <v>46</v>
      </c>
      <c r="AB3104" s="17" t="s">
        <v>1129</v>
      </c>
      <c r="AC3104" s="102" t="s">
        <v>1127</v>
      </c>
      <c r="AD3104" s="65">
        <v>1449</v>
      </c>
    </row>
    <row r="3105" s="17" customFormat="1" hidden="1" spans="1:31">
      <c r="A3105" s="17" t="s">
        <v>34</v>
      </c>
      <c r="B3105" s="19">
        <v>908</v>
      </c>
      <c r="C3105" s="183" t="s">
        <v>1110</v>
      </c>
      <c r="D3105" s="17" t="s">
        <v>52</v>
      </c>
      <c r="E3105" s="17" t="s">
        <v>1113</v>
      </c>
      <c r="F3105" s="17" t="s">
        <v>54</v>
      </c>
      <c r="H3105" s="19" t="s">
        <v>1114</v>
      </c>
      <c r="I3105" s="19"/>
      <c r="J3105" s="17" t="s">
        <v>49</v>
      </c>
      <c r="K3105" s="19">
        <v>2200</v>
      </c>
      <c r="L3105" s="19">
        <v>45</v>
      </c>
      <c r="M3105" s="19">
        <v>5800</v>
      </c>
      <c r="N3105" s="19" t="s">
        <v>66</v>
      </c>
      <c r="O3105" s="19" t="s">
        <v>141</v>
      </c>
      <c r="P3105" s="99">
        <v>15967</v>
      </c>
      <c r="Q3105" s="19">
        <v>3340</v>
      </c>
      <c r="S3105" s="19">
        <v>1100</v>
      </c>
      <c r="T3105" s="19" t="s">
        <v>42</v>
      </c>
      <c r="U3105" s="102" t="s">
        <v>1115</v>
      </c>
      <c r="V3105" s="186" t="s">
        <v>1110</v>
      </c>
      <c r="W3105" s="17" t="s">
        <v>69</v>
      </c>
      <c r="Y3105" s="68">
        <v>45130</v>
      </c>
      <c r="Z3105" s="17" t="s">
        <v>191</v>
      </c>
      <c r="AA3105" s="17" t="s">
        <v>46</v>
      </c>
      <c r="AB3105" s="17" t="s">
        <v>1123</v>
      </c>
      <c r="AC3105" s="102" t="s">
        <v>1124</v>
      </c>
      <c r="AD3105" s="65">
        <v>1445</v>
      </c>
      <c r="AE3105" s="17" t="s">
        <v>48</v>
      </c>
    </row>
    <row r="3106" s="17" customFormat="1" hidden="1" spans="1:31">
      <c r="A3106" s="17" t="s">
        <v>34</v>
      </c>
      <c r="B3106" s="19">
        <v>908</v>
      </c>
      <c r="C3106" s="183" t="s">
        <v>1110</v>
      </c>
      <c r="D3106" s="17" t="s">
        <v>52</v>
      </c>
      <c r="E3106" s="17" t="s">
        <v>1113</v>
      </c>
      <c r="F3106" s="17" t="s">
        <v>54</v>
      </c>
      <c r="H3106" s="19" t="s">
        <v>1114</v>
      </c>
      <c r="I3106" s="19"/>
      <c r="J3106" s="17" t="s">
        <v>49</v>
      </c>
      <c r="K3106" s="19">
        <v>2200</v>
      </c>
      <c r="L3106" s="19">
        <v>45</v>
      </c>
      <c r="M3106" s="19">
        <v>5800</v>
      </c>
      <c r="N3106" s="19" t="s">
        <v>66</v>
      </c>
      <c r="O3106" s="19" t="s">
        <v>141</v>
      </c>
      <c r="P3106" s="99"/>
      <c r="Q3106" s="19">
        <v>4272</v>
      </c>
      <c r="S3106" s="19">
        <v>1100</v>
      </c>
      <c r="T3106" s="19" t="s">
        <v>42</v>
      </c>
      <c r="U3106" s="102" t="s">
        <v>1115</v>
      </c>
      <c r="V3106" s="186" t="s">
        <v>1110</v>
      </c>
      <c r="W3106" s="17" t="s">
        <v>69</v>
      </c>
      <c r="Y3106" s="68">
        <v>45130</v>
      </c>
      <c r="Z3106" s="17" t="s">
        <v>191</v>
      </c>
      <c r="AA3106" s="17" t="s">
        <v>46</v>
      </c>
      <c r="AB3106" s="17" t="s">
        <v>1122</v>
      </c>
      <c r="AC3106" s="217">
        <v>44965</v>
      </c>
      <c r="AD3106" s="65">
        <v>1450</v>
      </c>
    </row>
    <row r="3107" s="17" customFormat="1" hidden="1" spans="1:31">
      <c r="A3107" s="17" t="s">
        <v>34</v>
      </c>
      <c r="B3107" s="19">
        <v>908</v>
      </c>
      <c r="C3107" s="183" t="s">
        <v>1110</v>
      </c>
      <c r="D3107" s="17" t="s">
        <v>52</v>
      </c>
      <c r="E3107" s="17" t="s">
        <v>1113</v>
      </c>
      <c r="F3107" s="17" t="s">
        <v>54</v>
      </c>
      <c r="H3107" s="19" t="s">
        <v>1114</v>
      </c>
      <c r="I3107" s="19"/>
      <c r="J3107" s="17" t="s">
        <v>49</v>
      </c>
      <c r="K3107" s="19">
        <v>2200</v>
      </c>
      <c r="L3107" s="19">
        <v>45</v>
      </c>
      <c r="M3107" s="19">
        <v>5800</v>
      </c>
      <c r="N3107" s="19" t="s">
        <v>66</v>
      </c>
      <c r="O3107" s="19" t="s">
        <v>141</v>
      </c>
      <c r="P3107" s="99"/>
      <c r="Q3107" s="19">
        <f>3395+3380</f>
        <v>6775</v>
      </c>
      <c r="R3107" s="99">
        <f>+P3105-Q3105-Q3106-Q3107</f>
        <v>1580</v>
      </c>
      <c r="S3107" s="19">
        <v>1100</v>
      </c>
      <c r="T3107" s="19" t="s">
        <v>42</v>
      </c>
      <c r="U3107" s="102" t="s">
        <v>1115</v>
      </c>
      <c r="V3107" s="186" t="s">
        <v>1110</v>
      </c>
      <c r="W3107" s="17" t="s">
        <v>69</v>
      </c>
      <c r="Y3107" s="68">
        <v>45130</v>
      </c>
      <c r="Z3107" s="17" t="s">
        <v>191</v>
      </c>
      <c r="AA3107" s="17" t="s">
        <v>46</v>
      </c>
      <c r="AB3107" s="17" t="s">
        <v>1119</v>
      </c>
      <c r="AC3107" s="102" t="s">
        <v>1120</v>
      </c>
      <c r="AD3107" s="65">
        <v>1451</v>
      </c>
    </row>
    <row r="3108" s="17" customFormat="1" hidden="1" spans="1:31">
      <c r="A3108" s="17" t="s">
        <v>34</v>
      </c>
      <c r="B3108" s="19">
        <v>908</v>
      </c>
      <c r="C3108" s="183" t="s">
        <v>1110</v>
      </c>
      <c r="D3108" s="17" t="s">
        <v>52</v>
      </c>
      <c r="E3108" s="17" t="s">
        <v>1113</v>
      </c>
      <c r="F3108" s="17" t="s">
        <v>54</v>
      </c>
      <c r="H3108" s="19" t="s">
        <v>1114</v>
      </c>
      <c r="I3108" s="19"/>
      <c r="J3108" s="17" t="s">
        <v>49</v>
      </c>
      <c r="K3108" s="19">
        <v>2200</v>
      </c>
      <c r="L3108" s="19">
        <v>48</v>
      </c>
      <c r="M3108" s="19">
        <v>5800</v>
      </c>
      <c r="N3108" s="19" t="s">
        <v>66</v>
      </c>
      <c r="O3108" s="19" t="s">
        <v>141</v>
      </c>
      <c r="P3108" s="99">
        <v>17031</v>
      </c>
      <c r="Q3108" s="19">
        <v>4480</v>
      </c>
      <c r="S3108" s="19">
        <v>1100</v>
      </c>
      <c r="T3108" s="19" t="s">
        <v>42</v>
      </c>
      <c r="U3108" s="102" t="s">
        <v>1115</v>
      </c>
      <c r="V3108" s="186" t="s">
        <v>1110</v>
      </c>
      <c r="W3108" s="17" t="s">
        <v>69</v>
      </c>
      <c r="Y3108" s="68">
        <v>45130</v>
      </c>
      <c r="Z3108" s="17" t="s">
        <v>191</v>
      </c>
      <c r="AA3108" s="17" t="s">
        <v>46</v>
      </c>
      <c r="AB3108" s="17" t="s">
        <v>1128</v>
      </c>
      <c r="AC3108" s="102" t="s">
        <v>1124</v>
      </c>
      <c r="AD3108" s="65">
        <v>1448</v>
      </c>
    </row>
    <row r="3109" s="17" customFormat="1" hidden="1" spans="1:31">
      <c r="A3109" s="17" t="s">
        <v>34</v>
      </c>
      <c r="B3109" s="19">
        <v>908</v>
      </c>
      <c r="C3109" s="183" t="s">
        <v>1110</v>
      </c>
      <c r="D3109" s="17" t="s">
        <v>52</v>
      </c>
      <c r="E3109" s="17" t="s">
        <v>1113</v>
      </c>
      <c r="F3109" s="17" t="s">
        <v>54</v>
      </c>
      <c r="H3109" s="19" t="s">
        <v>1114</v>
      </c>
      <c r="I3109" s="19"/>
      <c r="J3109" s="17" t="s">
        <v>49</v>
      </c>
      <c r="K3109" s="19">
        <v>2200</v>
      </c>
      <c r="L3109" s="19">
        <v>48</v>
      </c>
      <c r="M3109" s="19">
        <v>5800</v>
      </c>
      <c r="N3109" s="19" t="s">
        <v>66</v>
      </c>
      <c r="O3109" s="19" t="s">
        <v>141</v>
      </c>
      <c r="P3109" s="99"/>
      <c r="Q3109" s="19">
        <f>4610+4660+4510</f>
        <v>13780</v>
      </c>
      <c r="R3109" s="99">
        <f>+P3108-Q3108-Q3109</f>
        <v>-1229</v>
      </c>
      <c r="S3109" s="19">
        <v>1100</v>
      </c>
      <c r="T3109" s="19" t="s">
        <v>42</v>
      </c>
      <c r="U3109" s="102" t="s">
        <v>1115</v>
      </c>
      <c r="V3109" s="186" t="s">
        <v>1110</v>
      </c>
      <c r="W3109" s="17" t="s">
        <v>69</v>
      </c>
      <c r="Y3109" s="68">
        <v>45130</v>
      </c>
      <c r="Z3109" s="17" t="s">
        <v>191</v>
      </c>
      <c r="AA3109" s="17" t="s">
        <v>46</v>
      </c>
      <c r="AB3109" s="17" t="s">
        <v>1129</v>
      </c>
      <c r="AC3109" s="102" t="s">
        <v>1127</v>
      </c>
      <c r="AD3109" s="65">
        <v>1449</v>
      </c>
    </row>
    <row r="3110" s="17" customFormat="1" hidden="1" spans="1:31">
      <c r="A3110" s="17" t="s">
        <v>34</v>
      </c>
      <c r="B3110" s="19">
        <v>908</v>
      </c>
      <c r="C3110" s="183" t="s">
        <v>1110</v>
      </c>
      <c r="D3110" s="17" t="s">
        <v>52</v>
      </c>
      <c r="E3110" s="17" t="s">
        <v>1113</v>
      </c>
      <c r="F3110" s="17" t="s">
        <v>54</v>
      </c>
      <c r="H3110" s="19" t="s">
        <v>1114</v>
      </c>
      <c r="I3110" s="19"/>
      <c r="J3110" s="17" t="s">
        <v>49</v>
      </c>
      <c r="K3110" s="19">
        <v>2200</v>
      </c>
      <c r="L3110" s="19">
        <v>50</v>
      </c>
      <c r="M3110" s="19">
        <v>5800</v>
      </c>
      <c r="N3110" s="19" t="s">
        <v>66</v>
      </c>
      <c r="O3110" s="19" t="s">
        <v>141</v>
      </c>
      <c r="P3110" s="99">
        <v>53223</v>
      </c>
      <c r="Q3110" s="98">
        <f>5200+5070</f>
        <v>10270</v>
      </c>
      <c r="S3110" s="19">
        <v>1100</v>
      </c>
      <c r="T3110" s="19" t="s">
        <v>42</v>
      </c>
      <c r="U3110" s="102" t="s">
        <v>1115</v>
      </c>
      <c r="V3110" s="186" t="s">
        <v>1110</v>
      </c>
      <c r="W3110" s="17" t="s">
        <v>69</v>
      </c>
      <c r="Y3110" s="68">
        <v>45130</v>
      </c>
      <c r="Z3110" s="17" t="s">
        <v>191</v>
      </c>
      <c r="AA3110" s="17" t="s">
        <v>46</v>
      </c>
      <c r="AB3110" s="17" t="s">
        <v>1116</v>
      </c>
      <c r="AC3110" s="102" t="s">
        <v>1117</v>
      </c>
      <c r="AD3110" s="65">
        <v>1443</v>
      </c>
      <c r="AE3110" s="17" t="s">
        <v>1130</v>
      </c>
    </row>
    <row r="3111" s="17" customFormat="1" hidden="1" spans="1:31">
      <c r="A3111" s="17" t="s">
        <v>34</v>
      </c>
      <c r="B3111" s="19">
        <v>908</v>
      </c>
      <c r="C3111" s="183" t="s">
        <v>1110</v>
      </c>
      <c r="D3111" s="17" t="s">
        <v>52</v>
      </c>
      <c r="E3111" s="17" t="s">
        <v>1113</v>
      </c>
      <c r="F3111" s="17" t="s">
        <v>54</v>
      </c>
      <c r="H3111" s="19" t="s">
        <v>1114</v>
      </c>
      <c r="I3111" s="19"/>
      <c r="J3111" s="17" t="s">
        <v>49</v>
      </c>
      <c r="K3111" s="19">
        <v>2200</v>
      </c>
      <c r="L3111" s="19">
        <v>50</v>
      </c>
      <c r="M3111" s="19">
        <v>5800</v>
      </c>
      <c r="N3111" s="19" t="s">
        <v>66</v>
      </c>
      <c r="O3111" s="19" t="s">
        <v>141</v>
      </c>
      <c r="P3111" s="99"/>
      <c r="Q3111" s="98">
        <f>5210+5220</f>
        <v>10430</v>
      </c>
      <c r="S3111" s="19">
        <v>1100</v>
      </c>
      <c r="T3111" s="19" t="s">
        <v>42</v>
      </c>
      <c r="U3111" s="102" t="s">
        <v>1115</v>
      </c>
      <c r="V3111" s="186" t="s">
        <v>1110</v>
      </c>
      <c r="W3111" s="17" t="s">
        <v>69</v>
      </c>
      <c r="Y3111" s="68">
        <v>45130</v>
      </c>
      <c r="Z3111" s="17" t="s">
        <v>191</v>
      </c>
      <c r="AA3111" s="17" t="s">
        <v>46</v>
      </c>
      <c r="AB3111" s="17" t="s">
        <v>1131</v>
      </c>
      <c r="AC3111" s="102" t="s">
        <v>1132</v>
      </c>
      <c r="AD3111" s="65">
        <v>1444</v>
      </c>
    </row>
    <row r="3112" s="17" customFormat="1" hidden="1" spans="1:31">
      <c r="A3112" s="17" t="s">
        <v>34</v>
      </c>
      <c r="B3112" s="19">
        <v>908</v>
      </c>
      <c r="C3112" s="183" t="s">
        <v>1110</v>
      </c>
      <c r="D3112" s="17" t="s">
        <v>52</v>
      </c>
      <c r="E3112" s="17" t="s">
        <v>1113</v>
      </c>
      <c r="F3112" s="17" t="s">
        <v>54</v>
      </c>
      <c r="H3112" s="19" t="s">
        <v>1114</v>
      </c>
      <c r="I3112" s="19"/>
      <c r="J3112" s="17" t="s">
        <v>49</v>
      </c>
      <c r="K3112" s="19">
        <v>2200</v>
      </c>
      <c r="L3112" s="19">
        <v>50</v>
      </c>
      <c r="M3112" s="19">
        <v>5800</v>
      </c>
      <c r="N3112" s="19" t="s">
        <v>66</v>
      </c>
      <c r="O3112" s="19" t="s">
        <v>141</v>
      </c>
      <c r="P3112" s="99"/>
      <c r="Q3112" s="98">
        <v>5160</v>
      </c>
      <c r="S3112" s="19">
        <v>1100</v>
      </c>
      <c r="T3112" s="19" t="s">
        <v>42</v>
      </c>
      <c r="U3112" s="102" t="s">
        <v>1115</v>
      </c>
      <c r="V3112" s="186" t="s">
        <v>1110</v>
      </c>
      <c r="W3112" s="17" t="s">
        <v>69</v>
      </c>
      <c r="Y3112" s="68">
        <v>45130</v>
      </c>
      <c r="Z3112" s="17" t="s">
        <v>191</v>
      </c>
      <c r="AA3112" s="17" t="s">
        <v>46</v>
      </c>
      <c r="AB3112" s="17" t="s">
        <v>1123</v>
      </c>
      <c r="AC3112" s="102" t="s">
        <v>1124</v>
      </c>
      <c r="AD3112" s="65">
        <v>1445</v>
      </c>
    </row>
    <row r="3113" s="17" customFormat="1" hidden="1" spans="1:31">
      <c r="A3113" s="17" t="s">
        <v>34</v>
      </c>
      <c r="B3113" s="19">
        <v>908</v>
      </c>
      <c r="C3113" s="183" t="s">
        <v>1110</v>
      </c>
      <c r="D3113" s="17" t="s">
        <v>52</v>
      </c>
      <c r="E3113" s="17" t="s">
        <v>1113</v>
      </c>
      <c r="F3113" s="17" t="s">
        <v>54</v>
      </c>
      <c r="H3113" s="19" t="s">
        <v>1114</v>
      </c>
      <c r="I3113" s="19"/>
      <c r="J3113" s="17" t="s">
        <v>49</v>
      </c>
      <c r="K3113" s="19">
        <v>2200</v>
      </c>
      <c r="L3113" s="19">
        <v>50</v>
      </c>
      <c r="M3113" s="19">
        <v>5800</v>
      </c>
      <c r="N3113" s="19" t="s">
        <v>66</v>
      </c>
      <c r="O3113" s="19" t="s">
        <v>141</v>
      </c>
      <c r="P3113" s="99"/>
      <c r="Q3113" s="98">
        <f>5140+5140</f>
        <v>10280</v>
      </c>
      <c r="S3113" s="19">
        <v>1100</v>
      </c>
      <c r="T3113" s="19" t="s">
        <v>42</v>
      </c>
      <c r="U3113" s="102" t="s">
        <v>1115</v>
      </c>
      <c r="V3113" s="186" t="s">
        <v>1110</v>
      </c>
      <c r="W3113" s="17" t="s">
        <v>69</v>
      </c>
      <c r="Y3113" s="68">
        <v>45130</v>
      </c>
      <c r="Z3113" s="17" t="s">
        <v>191</v>
      </c>
      <c r="AA3113" s="17" t="s">
        <v>46</v>
      </c>
      <c r="AB3113" s="17" t="s">
        <v>1128</v>
      </c>
      <c r="AC3113" s="102" t="s">
        <v>1124</v>
      </c>
      <c r="AD3113" s="65">
        <v>1448</v>
      </c>
    </row>
    <row r="3114" s="17" customFormat="1" hidden="1" spans="1:31">
      <c r="A3114" s="17" t="s">
        <v>34</v>
      </c>
      <c r="B3114" s="19">
        <v>908</v>
      </c>
      <c r="C3114" s="183" t="s">
        <v>1110</v>
      </c>
      <c r="D3114" s="17" t="s">
        <v>52</v>
      </c>
      <c r="E3114" s="17" t="s">
        <v>1113</v>
      </c>
      <c r="F3114" s="17" t="s">
        <v>54</v>
      </c>
      <c r="H3114" s="19" t="s">
        <v>1114</v>
      </c>
      <c r="I3114" s="19"/>
      <c r="J3114" s="17" t="s">
        <v>49</v>
      </c>
      <c r="K3114" s="19">
        <v>2200</v>
      </c>
      <c r="L3114" s="19">
        <v>50</v>
      </c>
      <c r="M3114" s="19">
        <v>5800</v>
      </c>
      <c r="N3114" s="19" t="s">
        <v>66</v>
      </c>
      <c r="O3114" s="19" t="s">
        <v>141</v>
      </c>
      <c r="P3114" s="99"/>
      <c r="Q3114" s="98">
        <v>5100</v>
      </c>
      <c r="S3114" s="19">
        <v>1100</v>
      </c>
      <c r="T3114" s="19" t="s">
        <v>42</v>
      </c>
      <c r="U3114" s="102" t="s">
        <v>1115</v>
      </c>
      <c r="V3114" s="186" t="s">
        <v>1110</v>
      </c>
      <c r="W3114" s="17" t="s">
        <v>69</v>
      </c>
      <c r="Y3114" s="68">
        <v>45130</v>
      </c>
      <c r="Z3114" s="17" t="s">
        <v>191</v>
      </c>
      <c r="AA3114" s="17" t="s">
        <v>46</v>
      </c>
      <c r="AB3114" s="17" t="s">
        <v>1129</v>
      </c>
      <c r="AC3114" s="102" t="s">
        <v>1127</v>
      </c>
      <c r="AD3114" s="65">
        <v>1449</v>
      </c>
    </row>
    <row r="3115" s="17" customFormat="1" hidden="1" spans="1:31">
      <c r="A3115" s="17" t="s">
        <v>34</v>
      </c>
      <c r="B3115" s="19">
        <v>908</v>
      </c>
      <c r="C3115" s="183" t="s">
        <v>1110</v>
      </c>
      <c r="D3115" s="17" t="s">
        <v>52</v>
      </c>
      <c r="E3115" s="17" t="s">
        <v>1113</v>
      </c>
      <c r="F3115" s="17" t="s">
        <v>54</v>
      </c>
      <c r="H3115" s="19" t="s">
        <v>1114</v>
      </c>
      <c r="I3115" s="19"/>
      <c r="J3115" s="17" t="s">
        <v>49</v>
      </c>
      <c r="K3115" s="19">
        <v>2200</v>
      </c>
      <c r="L3115" s="19">
        <v>50</v>
      </c>
      <c r="M3115" s="19">
        <v>5800</v>
      </c>
      <c r="N3115" s="19" t="s">
        <v>66</v>
      </c>
      <c r="O3115" s="19" t="s">
        <v>141</v>
      </c>
      <c r="P3115" s="99"/>
      <c r="Q3115" s="98">
        <f>5102+5130</f>
        <v>10232</v>
      </c>
      <c r="S3115" s="19">
        <v>1100</v>
      </c>
      <c r="T3115" s="19" t="s">
        <v>42</v>
      </c>
      <c r="U3115" s="102" t="s">
        <v>1115</v>
      </c>
      <c r="V3115" s="186" t="s">
        <v>1110</v>
      </c>
      <c r="W3115" s="17" t="s">
        <v>69</v>
      </c>
      <c r="Y3115" s="68">
        <v>45130</v>
      </c>
      <c r="Z3115" s="17" t="s">
        <v>191</v>
      </c>
      <c r="AA3115" s="17" t="s">
        <v>46</v>
      </c>
      <c r="AB3115" s="17" t="s">
        <v>1122</v>
      </c>
      <c r="AC3115" s="217">
        <v>44965</v>
      </c>
      <c r="AD3115" s="65">
        <v>1450</v>
      </c>
    </row>
    <row r="3116" s="17" customFormat="1" hidden="1" spans="1:31">
      <c r="A3116" s="17" t="s">
        <v>34</v>
      </c>
      <c r="B3116" s="19">
        <v>908</v>
      </c>
      <c r="C3116" s="183" t="s">
        <v>1110</v>
      </c>
      <c r="D3116" s="17" t="s">
        <v>52</v>
      </c>
      <c r="E3116" s="17" t="s">
        <v>1113</v>
      </c>
      <c r="F3116" s="17" t="s">
        <v>54</v>
      </c>
      <c r="H3116" s="19" t="s">
        <v>1114</v>
      </c>
      <c r="I3116" s="19"/>
      <c r="J3116" s="17" t="s">
        <v>49</v>
      </c>
      <c r="K3116" s="19">
        <v>2200</v>
      </c>
      <c r="L3116" s="19">
        <v>50</v>
      </c>
      <c r="M3116" s="19">
        <v>5800</v>
      </c>
      <c r="N3116" s="19" t="s">
        <v>66</v>
      </c>
      <c r="O3116" s="19" t="s">
        <v>141</v>
      </c>
      <c r="P3116" s="99"/>
      <c r="Q3116" s="98">
        <f>4674+4710</f>
        <v>9384</v>
      </c>
      <c r="R3116" s="99">
        <f>+P3110-Q3110-Q3111-Q3112-Q3113-Q3114-Q3115-Q3116</f>
        <v>-7633</v>
      </c>
      <c r="S3116" s="19">
        <v>1100</v>
      </c>
      <c r="T3116" s="19" t="s">
        <v>42</v>
      </c>
      <c r="U3116" s="102" t="s">
        <v>1115</v>
      </c>
      <c r="V3116" s="186" t="s">
        <v>1110</v>
      </c>
      <c r="W3116" s="17" t="s">
        <v>69</v>
      </c>
      <c r="Y3116" s="68">
        <v>45130</v>
      </c>
      <c r="Z3116" s="17" t="s">
        <v>191</v>
      </c>
      <c r="AA3116" s="17" t="s">
        <v>46</v>
      </c>
      <c r="AB3116" s="17" t="s">
        <v>1119</v>
      </c>
      <c r="AC3116" s="102" t="s">
        <v>1120</v>
      </c>
      <c r="AD3116" s="65">
        <v>1451</v>
      </c>
    </row>
    <row r="3117" s="17" customFormat="1" hidden="1" spans="1:31">
      <c r="A3117" s="17" t="s">
        <v>34</v>
      </c>
      <c r="B3117" s="19">
        <v>908</v>
      </c>
      <c r="C3117" s="183" t="s">
        <v>1110</v>
      </c>
      <c r="D3117" s="17" t="s">
        <v>52</v>
      </c>
      <c r="E3117" s="17" t="s">
        <v>1113</v>
      </c>
      <c r="F3117" s="17" t="s">
        <v>54</v>
      </c>
      <c r="H3117" s="19" t="s">
        <v>1114</v>
      </c>
      <c r="I3117" s="19"/>
      <c r="J3117" s="17" t="s">
        <v>49</v>
      </c>
      <c r="K3117" s="19">
        <v>2200</v>
      </c>
      <c r="L3117" s="19">
        <v>53</v>
      </c>
      <c r="M3117" s="19">
        <v>5800</v>
      </c>
      <c r="N3117" s="19" t="s">
        <v>66</v>
      </c>
      <c r="O3117" s="19" t="s">
        <v>141</v>
      </c>
      <c r="P3117" s="99">
        <v>14104</v>
      </c>
      <c r="Q3117" s="98">
        <f>3975+3965</f>
        <v>7940</v>
      </c>
      <c r="S3117" s="19">
        <v>1100</v>
      </c>
      <c r="T3117" s="19" t="s">
        <v>42</v>
      </c>
      <c r="U3117" s="102" t="s">
        <v>1115</v>
      </c>
      <c r="V3117" s="186" t="s">
        <v>1110</v>
      </c>
      <c r="W3117" s="17" t="s">
        <v>69</v>
      </c>
      <c r="Y3117" s="68">
        <v>45130</v>
      </c>
      <c r="Z3117" s="17" t="s">
        <v>191</v>
      </c>
      <c r="AA3117" s="17" t="s">
        <v>46</v>
      </c>
      <c r="AB3117" s="17" t="s">
        <v>1116</v>
      </c>
      <c r="AC3117" s="102" t="s">
        <v>1117</v>
      </c>
      <c r="AD3117" s="65">
        <v>1443</v>
      </c>
    </row>
    <row r="3118" s="17" customFormat="1" hidden="1" spans="1:31">
      <c r="A3118" s="17" t="s">
        <v>34</v>
      </c>
      <c r="B3118" s="19">
        <v>908</v>
      </c>
      <c r="C3118" s="183" t="s">
        <v>1110</v>
      </c>
      <c r="D3118" s="17" t="s">
        <v>52</v>
      </c>
      <c r="E3118" s="17" t="s">
        <v>1113</v>
      </c>
      <c r="F3118" s="17" t="s">
        <v>54</v>
      </c>
      <c r="H3118" s="19" t="s">
        <v>1114</v>
      </c>
      <c r="I3118" s="19"/>
      <c r="J3118" s="17" t="s">
        <v>49</v>
      </c>
      <c r="K3118" s="19">
        <v>2200</v>
      </c>
      <c r="L3118" s="19">
        <v>53</v>
      </c>
      <c r="M3118" s="19">
        <v>5800</v>
      </c>
      <c r="N3118" s="19" t="s">
        <v>66</v>
      </c>
      <c r="O3118" s="19" t="s">
        <v>141</v>
      </c>
      <c r="P3118" s="99"/>
      <c r="Q3118" s="98">
        <f>4030+4020</f>
        <v>8050</v>
      </c>
      <c r="R3118" s="99">
        <f>+P3117-Q3117-Q3118</f>
        <v>-1886</v>
      </c>
      <c r="S3118" s="19">
        <v>1100</v>
      </c>
      <c r="T3118" s="19" t="s">
        <v>42</v>
      </c>
      <c r="U3118" s="102" t="s">
        <v>1115</v>
      </c>
      <c r="V3118" s="186" t="s">
        <v>1110</v>
      </c>
      <c r="W3118" s="17" t="s">
        <v>69</v>
      </c>
      <c r="Y3118" s="68">
        <v>45130</v>
      </c>
      <c r="Z3118" s="17" t="s">
        <v>191</v>
      </c>
      <c r="AA3118" s="17" t="s">
        <v>46</v>
      </c>
      <c r="AB3118" s="17" t="s">
        <v>1129</v>
      </c>
      <c r="AC3118" s="102" t="s">
        <v>1127</v>
      </c>
      <c r="AD3118" s="65">
        <v>1449</v>
      </c>
    </row>
    <row r="3119" s="17" customFormat="1" hidden="1" spans="1:31">
      <c r="A3119" s="17" t="s">
        <v>34</v>
      </c>
      <c r="B3119" s="19">
        <v>908</v>
      </c>
      <c r="C3119" s="183" t="s">
        <v>1110</v>
      </c>
      <c r="D3119" s="17" t="s">
        <v>52</v>
      </c>
      <c r="E3119" s="17" t="s">
        <v>1113</v>
      </c>
      <c r="F3119" s="17" t="s">
        <v>54</v>
      </c>
      <c r="H3119" s="19" t="s">
        <v>1114</v>
      </c>
      <c r="I3119" s="19"/>
      <c r="J3119" s="17" t="s">
        <v>49</v>
      </c>
      <c r="K3119" s="19">
        <v>2200</v>
      </c>
      <c r="L3119" s="19">
        <v>56</v>
      </c>
      <c r="M3119" s="19">
        <v>5800</v>
      </c>
      <c r="N3119" s="19" t="s">
        <v>66</v>
      </c>
      <c r="O3119" s="19" t="s">
        <v>141</v>
      </c>
      <c r="P3119" s="99">
        <v>29805</v>
      </c>
      <c r="Q3119" s="98">
        <v>5390</v>
      </c>
      <c r="S3119" s="19">
        <v>1100</v>
      </c>
      <c r="T3119" s="19" t="s">
        <v>42</v>
      </c>
      <c r="U3119" s="102" t="s">
        <v>1115</v>
      </c>
      <c r="V3119" s="186" t="s">
        <v>1110</v>
      </c>
      <c r="W3119" s="17" t="s">
        <v>69</v>
      </c>
      <c r="Y3119" s="68">
        <v>45130</v>
      </c>
      <c r="Z3119" s="17" t="s">
        <v>191</v>
      </c>
      <c r="AA3119" s="17" t="s">
        <v>46</v>
      </c>
      <c r="AB3119" s="17" t="s">
        <v>1131</v>
      </c>
      <c r="AC3119" s="102" t="s">
        <v>1132</v>
      </c>
      <c r="AD3119" s="65">
        <v>1444</v>
      </c>
      <c r="AE3119" s="17" t="s">
        <v>1121</v>
      </c>
    </row>
    <row r="3120" s="17" customFormat="1" hidden="1" spans="1:31">
      <c r="A3120" s="17" t="s">
        <v>34</v>
      </c>
      <c r="B3120" s="19">
        <v>908</v>
      </c>
      <c r="C3120" s="183" t="s">
        <v>1110</v>
      </c>
      <c r="D3120" s="17" t="s">
        <v>52</v>
      </c>
      <c r="E3120" s="17" t="s">
        <v>1113</v>
      </c>
      <c r="F3120" s="17" t="s">
        <v>54</v>
      </c>
      <c r="H3120" s="19" t="s">
        <v>1114</v>
      </c>
      <c r="I3120" s="19"/>
      <c r="J3120" s="17" t="s">
        <v>49</v>
      </c>
      <c r="K3120" s="19">
        <v>2200</v>
      </c>
      <c r="L3120" s="19">
        <v>56</v>
      </c>
      <c r="M3120" s="19">
        <v>5800</v>
      </c>
      <c r="N3120" s="19" t="s">
        <v>66</v>
      </c>
      <c r="O3120" s="19" t="s">
        <v>141</v>
      </c>
      <c r="P3120" s="99"/>
      <c r="Q3120" s="98">
        <f>5350+5360</f>
        <v>10710</v>
      </c>
      <c r="S3120" s="19">
        <v>1100</v>
      </c>
      <c r="T3120" s="19" t="s">
        <v>42</v>
      </c>
      <c r="U3120" s="102" t="s">
        <v>1115</v>
      </c>
      <c r="V3120" s="186" t="s">
        <v>1110</v>
      </c>
      <c r="W3120" s="17" t="s">
        <v>69</v>
      </c>
      <c r="Y3120" s="68">
        <v>45130</v>
      </c>
      <c r="Z3120" s="17" t="s">
        <v>191</v>
      </c>
      <c r="AA3120" s="17" t="s">
        <v>46</v>
      </c>
      <c r="AB3120" s="17" t="s">
        <v>1129</v>
      </c>
      <c r="AC3120" s="102" t="s">
        <v>1127</v>
      </c>
      <c r="AD3120" s="65">
        <v>1449</v>
      </c>
    </row>
    <row r="3121" s="17" customFormat="1" hidden="1" spans="1:31">
      <c r="A3121" s="17" t="s">
        <v>34</v>
      </c>
      <c r="B3121" s="19">
        <v>908</v>
      </c>
      <c r="C3121" s="183" t="s">
        <v>1110</v>
      </c>
      <c r="D3121" s="17" t="s">
        <v>52</v>
      </c>
      <c r="E3121" s="17" t="s">
        <v>1113</v>
      </c>
      <c r="F3121" s="17" t="s">
        <v>54</v>
      </c>
      <c r="H3121" s="19" t="s">
        <v>1114</v>
      </c>
      <c r="I3121" s="19"/>
      <c r="J3121" s="17" t="s">
        <v>49</v>
      </c>
      <c r="K3121" s="19">
        <v>2200</v>
      </c>
      <c r="L3121" s="19">
        <v>56</v>
      </c>
      <c r="M3121" s="19">
        <v>5800</v>
      </c>
      <c r="N3121" s="19" t="s">
        <v>66</v>
      </c>
      <c r="O3121" s="19" t="s">
        <v>141</v>
      </c>
      <c r="P3121" s="99"/>
      <c r="Q3121" s="98">
        <f>3864+3918</f>
        <v>7782</v>
      </c>
      <c r="S3121" s="19">
        <v>1100</v>
      </c>
      <c r="T3121" s="19" t="s">
        <v>42</v>
      </c>
      <c r="U3121" s="102" t="s">
        <v>1115</v>
      </c>
      <c r="V3121" s="186" t="s">
        <v>1110</v>
      </c>
      <c r="W3121" s="17" t="s">
        <v>69</v>
      </c>
      <c r="Y3121" s="68">
        <v>45130</v>
      </c>
      <c r="Z3121" s="17" t="s">
        <v>191</v>
      </c>
      <c r="AA3121" s="17" t="s">
        <v>46</v>
      </c>
      <c r="AB3121" s="17" t="s">
        <v>1122</v>
      </c>
      <c r="AC3121" s="217">
        <v>44965</v>
      </c>
      <c r="AD3121" s="65">
        <v>1450</v>
      </c>
    </row>
    <row r="3122" s="17" customFormat="1" hidden="1" spans="1:31">
      <c r="A3122" s="17" t="s">
        <v>34</v>
      </c>
      <c r="B3122" s="19">
        <v>908</v>
      </c>
      <c r="C3122" s="183" t="s">
        <v>1110</v>
      </c>
      <c r="D3122" s="17" t="s">
        <v>52</v>
      </c>
      <c r="E3122" s="17" t="s">
        <v>1113</v>
      </c>
      <c r="F3122" s="17" t="s">
        <v>54</v>
      </c>
      <c r="H3122" s="19" t="s">
        <v>1114</v>
      </c>
      <c r="I3122" s="19"/>
      <c r="J3122" s="17" t="s">
        <v>49</v>
      </c>
      <c r="K3122" s="19">
        <v>2200</v>
      </c>
      <c r="L3122" s="19">
        <v>56</v>
      </c>
      <c r="M3122" s="19">
        <v>5800</v>
      </c>
      <c r="N3122" s="19" t="s">
        <v>66</v>
      </c>
      <c r="O3122" s="19" t="s">
        <v>141</v>
      </c>
      <c r="P3122" s="99"/>
      <c r="Q3122" s="98">
        <v>5420</v>
      </c>
      <c r="R3122" s="99">
        <f>+P3119-Q3119-Q3120-Q3121-Q3122</f>
        <v>503</v>
      </c>
      <c r="S3122" s="19">
        <v>1100</v>
      </c>
      <c r="T3122" s="19" t="s">
        <v>42</v>
      </c>
      <c r="U3122" s="102" t="s">
        <v>1115</v>
      </c>
      <c r="V3122" s="186" t="s">
        <v>1110</v>
      </c>
      <c r="W3122" s="17" t="s">
        <v>69</v>
      </c>
      <c r="Y3122" s="68">
        <v>45130</v>
      </c>
      <c r="Z3122" s="17" t="s">
        <v>191</v>
      </c>
      <c r="AA3122" s="17" t="s">
        <v>46</v>
      </c>
      <c r="AB3122" s="17" t="s">
        <v>1119</v>
      </c>
      <c r="AC3122" s="102" t="s">
        <v>1120</v>
      </c>
      <c r="AD3122" s="65">
        <v>1451</v>
      </c>
    </row>
    <row r="3123" s="17" customFormat="1" hidden="1" spans="1:31">
      <c r="A3123" s="17" t="s">
        <v>34</v>
      </c>
      <c r="B3123" s="19">
        <v>908</v>
      </c>
      <c r="C3123" s="183" t="s">
        <v>1110</v>
      </c>
      <c r="D3123" s="17" t="s">
        <v>52</v>
      </c>
      <c r="E3123" s="17" t="s">
        <v>1113</v>
      </c>
      <c r="F3123" s="17" t="s">
        <v>54</v>
      </c>
      <c r="H3123" s="19" t="s">
        <v>1114</v>
      </c>
      <c r="I3123" s="19"/>
      <c r="J3123" s="17" t="s">
        <v>49</v>
      </c>
      <c r="K3123" s="19">
        <v>2200</v>
      </c>
      <c r="L3123" s="19">
        <v>58</v>
      </c>
      <c r="M3123" s="19">
        <v>5800</v>
      </c>
      <c r="N3123" s="19" t="s">
        <v>66</v>
      </c>
      <c r="O3123" s="19" t="s">
        <v>141</v>
      </c>
      <c r="P3123" s="99">
        <v>15435</v>
      </c>
      <c r="Q3123" s="98">
        <f>3890+3850+3840</f>
        <v>11580</v>
      </c>
      <c r="R3123" s="99">
        <f>+P3123-Q3123</f>
        <v>3855</v>
      </c>
      <c r="S3123" s="19">
        <v>1100</v>
      </c>
      <c r="T3123" s="19" t="s">
        <v>42</v>
      </c>
      <c r="U3123" s="102" t="s">
        <v>1115</v>
      </c>
      <c r="V3123" s="186" t="s">
        <v>1110</v>
      </c>
      <c r="W3123" s="17" t="s">
        <v>69</v>
      </c>
      <c r="Y3123" s="68">
        <v>45130</v>
      </c>
      <c r="Z3123" s="17" t="s">
        <v>191</v>
      </c>
      <c r="AA3123" s="17" t="s">
        <v>46</v>
      </c>
      <c r="AB3123" s="17" t="s">
        <v>1129</v>
      </c>
      <c r="AC3123" s="102" t="s">
        <v>1127</v>
      </c>
      <c r="AD3123" s="65">
        <v>1449</v>
      </c>
    </row>
    <row r="3124" s="17" customFormat="1" hidden="1" spans="1:31">
      <c r="A3124" s="17" t="s">
        <v>34</v>
      </c>
      <c r="B3124" s="19">
        <v>908</v>
      </c>
      <c r="C3124" s="183" t="s">
        <v>1110</v>
      </c>
      <c r="D3124" s="17" t="s">
        <v>52</v>
      </c>
      <c r="E3124" s="17" t="s">
        <v>1113</v>
      </c>
      <c r="F3124" s="17" t="s">
        <v>54</v>
      </c>
      <c r="H3124" s="19" t="s">
        <v>1114</v>
      </c>
      <c r="I3124" s="19"/>
      <c r="J3124" s="17" t="s">
        <v>49</v>
      </c>
      <c r="K3124" s="19">
        <v>2200</v>
      </c>
      <c r="L3124" s="19">
        <v>61</v>
      </c>
      <c r="M3124" s="19">
        <v>5800</v>
      </c>
      <c r="N3124" s="19" t="s">
        <v>66</v>
      </c>
      <c r="O3124" s="19" t="s">
        <v>141</v>
      </c>
      <c r="P3124" s="99">
        <v>32466</v>
      </c>
      <c r="Q3124" s="98">
        <f>5890+5900</f>
        <v>11790</v>
      </c>
      <c r="S3124" s="19">
        <v>1100</v>
      </c>
      <c r="T3124" s="19" t="s">
        <v>42</v>
      </c>
      <c r="U3124" s="102" t="s">
        <v>1115</v>
      </c>
      <c r="V3124" s="186" t="s">
        <v>1110</v>
      </c>
      <c r="W3124" s="17" t="s">
        <v>69</v>
      </c>
      <c r="Y3124" s="68">
        <v>45130</v>
      </c>
      <c r="Z3124" s="17" t="s">
        <v>191</v>
      </c>
      <c r="AA3124" s="17" t="s">
        <v>46</v>
      </c>
      <c r="AB3124" s="17" t="s">
        <v>1131</v>
      </c>
      <c r="AC3124" s="102" t="s">
        <v>1132</v>
      </c>
      <c r="AD3124" s="65">
        <v>1444</v>
      </c>
      <c r="AE3124" s="17" t="s">
        <v>1121</v>
      </c>
    </row>
    <row r="3125" s="17" customFormat="1" hidden="1" spans="1:31">
      <c r="A3125" s="17" t="s">
        <v>34</v>
      </c>
      <c r="B3125" s="19">
        <v>908</v>
      </c>
      <c r="C3125" s="183" t="s">
        <v>1110</v>
      </c>
      <c r="D3125" s="17" t="s">
        <v>52</v>
      </c>
      <c r="E3125" s="17" t="s">
        <v>1113</v>
      </c>
      <c r="F3125" s="17" t="s">
        <v>54</v>
      </c>
      <c r="H3125" s="19" t="s">
        <v>1114</v>
      </c>
      <c r="I3125" s="19"/>
      <c r="J3125" s="17" t="s">
        <v>49</v>
      </c>
      <c r="K3125" s="19">
        <v>2200</v>
      </c>
      <c r="L3125" s="19">
        <v>61</v>
      </c>
      <c r="M3125" s="19">
        <v>5800</v>
      </c>
      <c r="N3125" s="19" t="s">
        <v>66</v>
      </c>
      <c r="O3125" s="19" t="s">
        <v>141</v>
      </c>
      <c r="P3125" s="99"/>
      <c r="Q3125" s="98">
        <f>5270+5280</f>
        <v>10550</v>
      </c>
      <c r="S3125" s="19">
        <v>1100</v>
      </c>
      <c r="T3125" s="19" t="s">
        <v>42</v>
      </c>
      <c r="U3125" s="102" t="s">
        <v>1115</v>
      </c>
      <c r="V3125" s="186" t="s">
        <v>1110</v>
      </c>
      <c r="W3125" s="17" t="s">
        <v>69</v>
      </c>
      <c r="Y3125" s="68">
        <v>45130</v>
      </c>
      <c r="Z3125" s="17" t="s">
        <v>191</v>
      </c>
      <c r="AA3125" s="17" t="s">
        <v>46</v>
      </c>
      <c r="AB3125" s="17" t="s">
        <v>1123</v>
      </c>
      <c r="AC3125" s="102" t="s">
        <v>1124</v>
      </c>
      <c r="AD3125" s="65">
        <v>1445</v>
      </c>
    </row>
    <row r="3126" s="17" customFormat="1" hidden="1" spans="1:31">
      <c r="A3126" s="17" t="s">
        <v>34</v>
      </c>
      <c r="B3126" s="19">
        <v>908</v>
      </c>
      <c r="C3126" s="183" t="s">
        <v>1110</v>
      </c>
      <c r="D3126" s="17" t="s">
        <v>52</v>
      </c>
      <c r="E3126" s="17" t="s">
        <v>1113</v>
      </c>
      <c r="F3126" s="17" t="s">
        <v>54</v>
      </c>
      <c r="H3126" s="19" t="s">
        <v>1114</v>
      </c>
      <c r="I3126" s="19"/>
      <c r="J3126" s="17" t="s">
        <v>49</v>
      </c>
      <c r="K3126" s="19">
        <v>2200</v>
      </c>
      <c r="L3126" s="19">
        <v>61</v>
      </c>
      <c r="M3126" s="19">
        <v>5800</v>
      </c>
      <c r="N3126" s="19" t="s">
        <v>66</v>
      </c>
      <c r="O3126" s="19" t="s">
        <v>141</v>
      </c>
      <c r="P3126" s="99"/>
      <c r="Q3126" s="98">
        <f>4364+4188</f>
        <v>8552</v>
      </c>
      <c r="R3126" s="99">
        <f>+P3124-Q3124-Q3125-Q3126</f>
        <v>1574</v>
      </c>
      <c r="S3126" s="19">
        <v>1100</v>
      </c>
      <c r="T3126" s="19" t="s">
        <v>42</v>
      </c>
      <c r="U3126" s="102" t="s">
        <v>1115</v>
      </c>
      <c r="V3126" s="186" t="s">
        <v>1110</v>
      </c>
      <c r="W3126" s="17" t="s">
        <v>69</v>
      </c>
      <c r="Y3126" s="68">
        <v>45130</v>
      </c>
      <c r="Z3126" s="17" t="s">
        <v>191</v>
      </c>
      <c r="AA3126" s="17" t="s">
        <v>46</v>
      </c>
      <c r="AB3126" s="17" t="s">
        <v>1122</v>
      </c>
      <c r="AC3126" s="217">
        <v>44965</v>
      </c>
      <c r="AD3126" s="65">
        <v>1450</v>
      </c>
    </row>
    <row r="3127" s="17" customFormat="1" hidden="1" spans="1:31">
      <c r="A3127" s="17" t="s">
        <v>34</v>
      </c>
      <c r="B3127" s="19">
        <v>908</v>
      </c>
      <c r="C3127" s="183" t="s">
        <v>1110</v>
      </c>
      <c r="D3127" s="17" t="s">
        <v>52</v>
      </c>
      <c r="E3127" s="17" t="s">
        <v>1113</v>
      </c>
      <c r="F3127" s="17" t="s">
        <v>54</v>
      </c>
      <c r="H3127" s="19" t="s">
        <v>1114</v>
      </c>
      <c r="I3127" s="19"/>
      <c r="J3127" s="17" t="s">
        <v>49</v>
      </c>
      <c r="K3127" s="19">
        <v>2200</v>
      </c>
      <c r="L3127" s="19">
        <v>65</v>
      </c>
      <c r="M3127" s="19">
        <v>5800</v>
      </c>
      <c r="N3127" s="19" t="s">
        <v>66</v>
      </c>
      <c r="O3127" s="19" t="s">
        <v>141</v>
      </c>
      <c r="P3127" s="99">
        <v>34595</v>
      </c>
      <c r="Q3127" s="98">
        <v>6265</v>
      </c>
      <c r="S3127" s="19">
        <v>1100</v>
      </c>
      <c r="T3127" s="19" t="s">
        <v>42</v>
      </c>
      <c r="U3127" s="102" t="s">
        <v>1115</v>
      </c>
      <c r="V3127" s="186" t="s">
        <v>1110</v>
      </c>
      <c r="W3127" s="17" t="s">
        <v>69</v>
      </c>
      <c r="Y3127" s="68">
        <v>45130</v>
      </c>
      <c r="Z3127" s="17" t="s">
        <v>191</v>
      </c>
      <c r="AA3127" s="17" t="s">
        <v>46</v>
      </c>
      <c r="AB3127" s="17" t="s">
        <v>1116</v>
      </c>
      <c r="AC3127" s="102" t="s">
        <v>1117</v>
      </c>
      <c r="AD3127" s="65">
        <v>1443</v>
      </c>
      <c r="AE3127" s="17" t="s">
        <v>1121</v>
      </c>
    </row>
    <row r="3128" s="17" customFormat="1" ht="15.6" hidden="1" spans="1:31">
      <c r="A3128" s="17" t="s">
        <v>34</v>
      </c>
      <c r="B3128" s="19">
        <v>908</v>
      </c>
      <c r="C3128" s="183" t="s">
        <v>1110</v>
      </c>
      <c r="D3128" s="17" t="s">
        <v>52</v>
      </c>
      <c r="E3128" s="17" t="s">
        <v>1113</v>
      </c>
      <c r="F3128" s="17" t="s">
        <v>54</v>
      </c>
      <c r="H3128" s="19" t="s">
        <v>1114</v>
      </c>
      <c r="I3128" s="19"/>
      <c r="J3128" s="17" t="s">
        <v>49</v>
      </c>
      <c r="K3128" s="19">
        <v>2200</v>
      </c>
      <c r="L3128" s="19">
        <v>65</v>
      </c>
      <c r="M3128" s="19">
        <v>5800</v>
      </c>
      <c r="N3128" s="19" t="s">
        <v>66</v>
      </c>
      <c r="O3128" s="19" t="s">
        <v>141</v>
      </c>
      <c r="P3128" s="99"/>
      <c r="Q3128" s="273">
        <f>5250+5230</f>
        <v>10480</v>
      </c>
      <c r="S3128" s="19">
        <v>1100</v>
      </c>
      <c r="T3128" s="19" t="s">
        <v>42</v>
      </c>
      <c r="U3128" s="102" t="s">
        <v>1115</v>
      </c>
      <c r="V3128" s="186" t="s">
        <v>1110</v>
      </c>
      <c r="W3128" s="17" t="s">
        <v>69</v>
      </c>
      <c r="Y3128" s="68">
        <v>45130</v>
      </c>
      <c r="Z3128" s="17" t="s">
        <v>191</v>
      </c>
      <c r="AA3128" s="17" t="s">
        <v>46</v>
      </c>
      <c r="AB3128" s="17" t="s">
        <v>1123</v>
      </c>
      <c r="AC3128" s="102" t="s">
        <v>1124</v>
      </c>
      <c r="AD3128" s="65">
        <v>1445</v>
      </c>
    </row>
    <row r="3129" s="17" customFormat="1" hidden="1" spans="1:31">
      <c r="A3129" s="17" t="s">
        <v>34</v>
      </c>
      <c r="B3129" s="19">
        <v>908</v>
      </c>
      <c r="C3129" s="183" t="s">
        <v>1110</v>
      </c>
      <c r="D3129" s="17" t="s">
        <v>52</v>
      </c>
      <c r="E3129" s="17" t="s">
        <v>1113</v>
      </c>
      <c r="F3129" s="17" t="s">
        <v>54</v>
      </c>
      <c r="H3129" s="19" t="s">
        <v>1114</v>
      </c>
      <c r="I3129" s="19"/>
      <c r="J3129" s="17" t="s">
        <v>49</v>
      </c>
      <c r="K3129" s="19">
        <v>2200</v>
      </c>
      <c r="L3129" s="19">
        <v>65</v>
      </c>
      <c r="M3129" s="19">
        <v>5800</v>
      </c>
      <c r="N3129" s="19" t="s">
        <v>66</v>
      </c>
      <c r="O3129" s="19" t="s">
        <v>141</v>
      </c>
      <c r="P3129" s="99"/>
      <c r="Q3129" s="98">
        <v>5240</v>
      </c>
      <c r="S3129" s="19">
        <v>1100</v>
      </c>
      <c r="T3129" s="19" t="s">
        <v>42</v>
      </c>
      <c r="U3129" s="102" t="s">
        <v>1115</v>
      </c>
      <c r="V3129" s="186" t="s">
        <v>1110</v>
      </c>
      <c r="W3129" s="17" t="s">
        <v>69</v>
      </c>
      <c r="Y3129" s="68">
        <v>45130</v>
      </c>
      <c r="Z3129" s="17" t="s">
        <v>191</v>
      </c>
      <c r="AA3129" s="17" t="s">
        <v>46</v>
      </c>
      <c r="AB3129" s="17" t="s">
        <v>1128</v>
      </c>
      <c r="AC3129" s="102" t="s">
        <v>1124</v>
      </c>
      <c r="AD3129" s="65">
        <v>1448</v>
      </c>
    </row>
    <row r="3130" s="17" customFormat="1" hidden="1" spans="1:31">
      <c r="A3130" s="17" t="s">
        <v>34</v>
      </c>
      <c r="B3130" s="19">
        <v>908</v>
      </c>
      <c r="C3130" s="183" t="s">
        <v>1110</v>
      </c>
      <c r="D3130" s="17" t="s">
        <v>52</v>
      </c>
      <c r="E3130" s="17" t="s">
        <v>1113</v>
      </c>
      <c r="F3130" s="17" t="s">
        <v>54</v>
      </c>
      <c r="H3130" s="19" t="s">
        <v>1114</v>
      </c>
      <c r="I3130" s="19"/>
      <c r="J3130" s="17" t="s">
        <v>49</v>
      </c>
      <c r="K3130" s="19">
        <v>2200</v>
      </c>
      <c r="L3130" s="19">
        <v>65</v>
      </c>
      <c r="M3130" s="19">
        <v>5800</v>
      </c>
      <c r="N3130" s="19" t="s">
        <v>66</v>
      </c>
      <c r="O3130" s="19" t="s">
        <v>141</v>
      </c>
      <c r="P3130" s="99"/>
      <c r="Q3130" s="98">
        <v>5030</v>
      </c>
      <c r="R3130" s="99">
        <f>+P3127-Q3127-Q3128-Q3129-Q3130</f>
        <v>7580</v>
      </c>
      <c r="S3130" s="19">
        <v>1100</v>
      </c>
      <c r="T3130" s="19" t="s">
        <v>42</v>
      </c>
      <c r="U3130" s="102" t="s">
        <v>1115</v>
      </c>
      <c r="V3130" s="186" t="s">
        <v>1110</v>
      </c>
      <c r="W3130" s="17" t="s">
        <v>69</v>
      </c>
      <c r="Y3130" s="68">
        <v>45130</v>
      </c>
      <c r="Z3130" s="17" t="s">
        <v>191</v>
      </c>
      <c r="AA3130" s="17" t="s">
        <v>46</v>
      </c>
      <c r="AB3130" s="17" t="s">
        <v>1122</v>
      </c>
      <c r="AC3130" s="217">
        <v>44965</v>
      </c>
      <c r="AD3130" s="65">
        <v>1450</v>
      </c>
    </row>
    <row r="3131" s="17" customFormat="1" hidden="1" spans="1:31">
      <c r="A3131" s="17" t="s">
        <v>34</v>
      </c>
      <c r="B3131" s="19">
        <v>908</v>
      </c>
      <c r="C3131" s="183" t="s">
        <v>1110</v>
      </c>
      <c r="D3131" s="17" t="s">
        <v>52</v>
      </c>
      <c r="E3131" s="17" t="s">
        <v>1113</v>
      </c>
      <c r="F3131" s="17" t="s">
        <v>54</v>
      </c>
      <c r="H3131" s="19" t="s">
        <v>1114</v>
      </c>
      <c r="I3131" s="19"/>
      <c r="J3131" s="17" t="s">
        <v>49</v>
      </c>
      <c r="K3131" s="19">
        <v>2200</v>
      </c>
      <c r="L3131" s="19">
        <v>71</v>
      </c>
      <c r="M3131" s="19">
        <v>5800</v>
      </c>
      <c r="N3131" s="19" t="s">
        <v>66</v>
      </c>
      <c r="O3131" s="19" t="s">
        <v>141</v>
      </c>
      <c r="P3131" s="99">
        <v>31490</v>
      </c>
      <c r="Q3131" s="19">
        <v>5870</v>
      </c>
      <c r="S3131" s="19">
        <v>1100</v>
      </c>
      <c r="T3131" s="19" t="s">
        <v>42</v>
      </c>
      <c r="U3131" s="102" t="s">
        <v>1115</v>
      </c>
      <c r="V3131" s="186" t="s">
        <v>1110</v>
      </c>
      <c r="W3131" s="17" t="s">
        <v>69</v>
      </c>
      <c r="Y3131" s="68">
        <v>45130</v>
      </c>
      <c r="Z3131" s="17" t="s">
        <v>191</v>
      </c>
      <c r="AA3131" s="17" t="s">
        <v>46</v>
      </c>
      <c r="AB3131" s="17" t="s">
        <v>1123</v>
      </c>
      <c r="AC3131" s="102" t="s">
        <v>1124</v>
      </c>
      <c r="AD3131" s="65">
        <v>1445</v>
      </c>
      <c r="AE3131" s="17" t="s">
        <v>1125</v>
      </c>
    </row>
    <row r="3132" s="17" customFormat="1" hidden="1" spans="1:31">
      <c r="A3132" s="17" t="s">
        <v>34</v>
      </c>
      <c r="B3132" s="19">
        <v>908</v>
      </c>
      <c r="C3132" s="183" t="s">
        <v>1110</v>
      </c>
      <c r="D3132" s="17" t="s">
        <v>52</v>
      </c>
      <c r="E3132" s="17" t="s">
        <v>1113</v>
      </c>
      <c r="F3132" s="17" t="s">
        <v>54</v>
      </c>
      <c r="H3132" s="19" t="s">
        <v>1114</v>
      </c>
      <c r="I3132" s="19"/>
      <c r="J3132" s="17" t="s">
        <v>49</v>
      </c>
      <c r="K3132" s="19">
        <v>2200</v>
      </c>
      <c r="L3132" s="19">
        <v>71</v>
      </c>
      <c r="M3132" s="19">
        <v>5800</v>
      </c>
      <c r="N3132" s="19" t="s">
        <v>66</v>
      </c>
      <c r="O3132" s="19" t="s">
        <v>141</v>
      </c>
      <c r="P3132" s="99"/>
      <c r="Q3132" s="19">
        <f>5930+6070+5930+5900</f>
        <v>23830</v>
      </c>
      <c r="R3132" s="99">
        <f>+P3131-Q3131-Q3132</f>
        <v>1790</v>
      </c>
      <c r="S3132" s="19">
        <v>1100</v>
      </c>
      <c r="T3132" s="19" t="s">
        <v>42</v>
      </c>
      <c r="U3132" s="102" t="s">
        <v>1115</v>
      </c>
      <c r="V3132" s="186" t="s">
        <v>1110</v>
      </c>
      <c r="W3132" s="17" t="s">
        <v>69</v>
      </c>
      <c r="Y3132" s="68">
        <v>45130</v>
      </c>
      <c r="Z3132" s="17" t="s">
        <v>191</v>
      </c>
      <c r="AA3132" s="17" t="s">
        <v>46</v>
      </c>
      <c r="AB3132" s="17" t="s">
        <v>1128</v>
      </c>
      <c r="AC3132" s="102" t="s">
        <v>1124</v>
      </c>
      <c r="AD3132" s="65">
        <v>1448</v>
      </c>
    </row>
    <row r="3133" s="17" customFormat="1" hidden="1" spans="1:31">
      <c r="A3133" s="17" t="s">
        <v>34</v>
      </c>
      <c r="B3133" s="19">
        <v>908</v>
      </c>
      <c r="C3133" s="183" t="s">
        <v>1110</v>
      </c>
      <c r="D3133" s="17" t="s">
        <v>52</v>
      </c>
      <c r="E3133" s="17" t="s">
        <v>1113</v>
      </c>
      <c r="F3133" s="17" t="s">
        <v>54</v>
      </c>
      <c r="H3133" s="19" t="s">
        <v>1114</v>
      </c>
      <c r="I3133" s="19"/>
      <c r="J3133" s="17" t="s">
        <v>49</v>
      </c>
      <c r="K3133" s="19">
        <v>2200</v>
      </c>
      <c r="L3133" s="19">
        <v>75</v>
      </c>
      <c r="M3133" s="19">
        <v>5800</v>
      </c>
      <c r="N3133" s="19" t="s">
        <v>66</v>
      </c>
      <c r="O3133" s="19" t="s">
        <v>141</v>
      </c>
      <c r="P3133" s="99">
        <v>13306</v>
      </c>
      <c r="Q3133" s="19">
        <f>6550+6590</f>
        <v>13140</v>
      </c>
      <c r="R3133" s="99">
        <f>+P3133-Q3133</f>
        <v>166</v>
      </c>
      <c r="S3133" s="19">
        <v>1100</v>
      </c>
      <c r="T3133" s="19" t="s">
        <v>42</v>
      </c>
      <c r="U3133" s="102" t="s">
        <v>1115</v>
      </c>
      <c r="V3133" s="186" t="s">
        <v>1110</v>
      </c>
      <c r="W3133" s="17" t="s">
        <v>69</v>
      </c>
      <c r="Y3133" s="68">
        <v>45130</v>
      </c>
      <c r="Z3133" s="17" t="s">
        <v>191</v>
      </c>
      <c r="AA3133" s="17" t="s">
        <v>46</v>
      </c>
      <c r="AB3133" s="17" t="s">
        <v>1123</v>
      </c>
      <c r="AC3133" s="102" t="s">
        <v>1124</v>
      </c>
      <c r="AD3133" s="65">
        <v>1445</v>
      </c>
    </row>
    <row r="3134" s="17" customFormat="1" hidden="1" spans="1:31">
      <c r="A3134" s="17" t="s">
        <v>34</v>
      </c>
      <c r="B3134" s="19">
        <v>908</v>
      </c>
      <c r="C3134" s="183" t="s">
        <v>1110</v>
      </c>
      <c r="D3134" s="17" t="s">
        <v>52</v>
      </c>
      <c r="E3134" s="17" t="s">
        <v>1113</v>
      </c>
      <c r="F3134" s="17" t="s">
        <v>54</v>
      </c>
      <c r="H3134" s="19" t="s">
        <v>1114</v>
      </c>
      <c r="I3134" s="19"/>
      <c r="J3134" s="17" t="s">
        <v>49</v>
      </c>
      <c r="K3134" s="19">
        <v>2200</v>
      </c>
      <c r="L3134" s="19">
        <v>80</v>
      </c>
      <c r="M3134" s="19">
        <v>5800</v>
      </c>
      <c r="N3134" s="19" t="s">
        <v>66</v>
      </c>
      <c r="O3134" s="19" t="s">
        <v>141</v>
      </c>
      <c r="P3134" s="99">
        <v>21289</v>
      </c>
      <c r="Q3134" s="19">
        <v>6260</v>
      </c>
      <c r="S3134" s="19">
        <v>1100</v>
      </c>
      <c r="T3134" s="19" t="s">
        <v>42</v>
      </c>
      <c r="U3134" s="102" t="s">
        <v>1115</v>
      </c>
      <c r="V3134" s="186" t="s">
        <v>1110</v>
      </c>
      <c r="W3134" s="17" t="s">
        <v>69</v>
      </c>
      <c r="Y3134" s="68">
        <v>45130</v>
      </c>
      <c r="Z3134" s="17" t="s">
        <v>191</v>
      </c>
      <c r="AA3134" s="17" t="s">
        <v>46</v>
      </c>
      <c r="AB3134" s="17" t="s">
        <v>1123</v>
      </c>
      <c r="AC3134" s="102" t="s">
        <v>1124</v>
      </c>
      <c r="AD3134" s="65">
        <v>1445</v>
      </c>
      <c r="AE3134" s="17" t="s">
        <v>1118</v>
      </c>
    </row>
    <row r="3135" s="17" customFormat="1" hidden="1" spans="1:31">
      <c r="A3135" s="17" t="s">
        <v>34</v>
      </c>
      <c r="B3135" s="19">
        <v>908</v>
      </c>
      <c r="C3135" s="183" t="s">
        <v>1110</v>
      </c>
      <c r="D3135" s="17" t="s">
        <v>52</v>
      </c>
      <c r="E3135" s="17" t="s">
        <v>1113</v>
      </c>
      <c r="F3135" s="17" t="s">
        <v>54</v>
      </c>
      <c r="H3135" s="19" t="s">
        <v>1114</v>
      </c>
      <c r="I3135" s="19"/>
      <c r="J3135" s="17" t="s">
        <v>49</v>
      </c>
      <c r="K3135" s="19">
        <v>2200</v>
      </c>
      <c r="L3135" s="19">
        <v>80</v>
      </c>
      <c r="M3135" s="19">
        <v>5800</v>
      </c>
      <c r="N3135" s="19" t="s">
        <v>66</v>
      </c>
      <c r="O3135" s="19" t="s">
        <v>141</v>
      </c>
      <c r="P3135" s="99"/>
      <c r="Q3135" s="19">
        <v>6260</v>
      </c>
      <c r="S3135" s="19">
        <v>1100</v>
      </c>
      <c r="T3135" s="19" t="s">
        <v>42</v>
      </c>
      <c r="U3135" s="102" t="s">
        <v>1115</v>
      </c>
      <c r="V3135" s="186" t="s">
        <v>1110</v>
      </c>
      <c r="W3135" s="17" t="s">
        <v>69</v>
      </c>
      <c r="Y3135" s="68">
        <v>45130</v>
      </c>
      <c r="Z3135" s="17" t="s">
        <v>191</v>
      </c>
      <c r="AA3135" s="17" t="s">
        <v>46</v>
      </c>
      <c r="AB3135" s="17" t="s">
        <v>1126</v>
      </c>
      <c r="AC3135" s="102" t="s">
        <v>1127</v>
      </c>
      <c r="AD3135" s="65">
        <v>1447</v>
      </c>
    </row>
    <row r="3136" s="17" customFormat="1" hidden="1" spans="1:31">
      <c r="A3136" s="17" t="s">
        <v>34</v>
      </c>
      <c r="B3136" s="19">
        <v>908</v>
      </c>
      <c r="C3136" s="183" t="s">
        <v>1110</v>
      </c>
      <c r="D3136" s="17" t="s">
        <v>52</v>
      </c>
      <c r="E3136" s="17" t="s">
        <v>1113</v>
      </c>
      <c r="F3136" s="17" t="s">
        <v>54</v>
      </c>
      <c r="H3136" s="19" t="s">
        <v>1114</v>
      </c>
      <c r="I3136" s="19"/>
      <c r="J3136" s="17" t="s">
        <v>49</v>
      </c>
      <c r="K3136" s="19">
        <v>2200</v>
      </c>
      <c r="L3136" s="19">
        <v>80</v>
      </c>
      <c r="M3136" s="19">
        <v>5800</v>
      </c>
      <c r="N3136" s="19" t="s">
        <v>66</v>
      </c>
      <c r="O3136" s="19" t="s">
        <v>141</v>
      </c>
      <c r="P3136" s="99"/>
      <c r="Q3136" s="19">
        <v>6380</v>
      </c>
      <c r="R3136" s="99">
        <f>+P3134-Q3134-Q3135-Q3136</f>
        <v>2389</v>
      </c>
      <c r="S3136" s="19">
        <v>1100</v>
      </c>
      <c r="T3136" s="19" t="s">
        <v>42</v>
      </c>
      <c r="U3136" s="102" t="s">
        <v>1115</v>
      </c>
      <c r="V3136" s="186" t="s">
        <v>1110</v>
      </c>
      <c r="W3136" s="17" t="s">
        <v>69</v>
      </c>
      <c r="Y3136" s="68">
        <v>45130</v>
      </c>
      <c r="Z3136" s="17" t="s">
        <v>191</v>
      </c>
      <c r="AA3136" s="17" t="s">
        <v>46</v>
      </c>
      <c r="AB3136" s="17" t="s">
        <v>1128</v>
      </c>
      <c r="AC3136" s="102" t="s">
        <v>1124</v>
      </c>
      <c r="AD3136" s="65">
        <v>1448</v>
      </c>
    </row>
    <row r="3137" s="17" customFormat="1" hidden="1" spans="1:32">
      <c r="A3137" s="17" t="s">
        <v>34</v>
      </c>
      <c r="B3137" s="19">
        <v>908</v>
      </c>
      <c r="C3137" s="183" t="s">
        <v>1110</v>
      </c>
      <c r="D3137" s="17" t="s">
        <v>52</v>
      </c>
      <c r="E3137" s="17" t="s">
        <v>1113</v>
      </c>
      <c r="F3137" s="17" t="s">
        <v>54</v>
      </c>
      <c r="H3137" s="19" t="s">
        <v>1114</v>
      </c>
      <c r="I3137" s="19"/>
      <c r="J3137" s="17" t="s">
        <v>49</v>
      </c>
      <c r="K3137" s="19">
        <v>2200</v>
      </c>
      <c r="L3137" s="19">
        <v>85</v>
      </c>
      <c r="M3137" s="19">
        <v>5800</v>
      </c>
      <c r="N3137" s="19" t="s">
        <v>66</v>
      </c>
      <c r="O3137" s="19" t="s">
        <v>141</v>
      </c>
      <c r="P3137" s="99">
        <v>15080</v>
      </c>
      <c r="Q3137" s="19">
        <f>7690+7650</f>
        <v>15340</v>
      </c>
      <c r="R3137" s="99">
        <f>+P3137-Q3137</f>
        <v>-260</v>
      </c>
      <c r="S3137" s="19">
        <v>1100</v>
      </c>
      <c r="T3137" s="19" t="s">
        <v>42</v>
      </c>
      <c r="U3137" s="102" t="s">
        <v>1115</v>
      </c>
      <c r="V3137" s="186" t="s">
        <v>1110</v>
      </c>
      <c r="W3137" s="17" t="s">
        <v>69</v>
      </c>
      <c r="Y3137" s="68">
        <v>45130</v>
      </c>
      <c r="Z3137" s="17" t="s">
        <v>191</v>
      </c>
      <c r="AA3137" s="17" t="s">
        <v>46</v>
      </c>
      <c r="AB3137" s="17" t="s">
        <v>1126</v>
      </c>
      <c r="AC3137" s="102" t="s">
        <v>1127</v>
      </c>
      <c r="AD3137" s="65">
        <v>1447</v>
      </c>
      <c r="AE3137" s="17" t="s">
        <v>390</v>
      </c>
    </row>
    <row r="3138" s="17" customFormat="1" hidden="1" spans="1:32">
      <c r="A3138" s="17" t="s">
        <v>34</v>
      </c>
      <c r="B3138" s="19">
        <v>908</v>
      </c>
      <c r="C3138" s="183" t="s">
        <v>1110</v>
      </c>
      <c r="D3138" s="17" t="s">
        <v>52</v>
      </c>
      <c r="E3138" s="17" t="s">
        <v>1113</v>
      </c>
      <c r="F3138" s="17" t="s">
        <v>54</v>
      </c>
      <c r="H3138" s="19" t="s">
        <v>1114</v>
      </c>
      <c r="I3138" s="19"/>
      <c r="J3138" s="17" t="s">
        <v>49</v>
      </c>
      <c r="K3138" s="19">
        <v>2200</v>
      </c>
      <c r="L3138" s="19">
        <v>91</v>
      </c>
      <c r="M3138" s="19">
        <v>5800</v>
      </c>
      <c r="N3138" s="19" t="s">
        <v>66</v>
      </c>
      <c r="O3138" s="19" t="s">
        <v>141</v>
      </c>
      <c r="P3138" s="99">
        <v>32289</v>
      </c>
      <c r="Q3138" s="19">
        <f>6890+6960</f>
        <v>13850</v>
      </c>
      <c r="S3138" s="19">
        <v>1100</v>
      </c>
      <c r="T3138" s="19" t="s">
        <v>42</v>
      </c>
      <c r="U3138" s="102" t="s">
        <v>1115</v>
      </c>
      <c r="V3138" s="186" t="s">
        <v>1110</v>
      </c>
      <c r="W3138" s="17" t="s">
        <v>69</v>
      </c>
      <c r="Y3138" s="68">
        <v>45130</v>
      </c>
      <c r="Z3138" s="17" t="s">
        <v>191</v>
      </c>
      <c r="AA3138" s="17" t="s">
        <v>46</v>
      </c>
      <c r="AB3138" s="17" t="s">
        <v>1126</v>
      </c>
      <c r="AC3138" s="102" t="s">
        <v>1127</v>
      </c>
      <c r="AD3138" s="65">
        <v>1447</v>
      </c>
      <c r="AE3138" s="17" t="s">
        <v>1133</v>
      </c>
    </row>
    <row r="3139" s="17" customFormat="1" hidden="1" spans="1:32">
      <c r="A3139" s="17" t="s">
        <v>34</v>
      </c>
      <c r="B3139" s="19">
        <v>908</v>
      </c>
      <c r="C3139" s="183" t="s">
        <v>1110</v>
      </c>
      <c r="D3139" s="17" t="s">
        <v>52</v>
      </c>
      <c r="E3139" s="17" t="s">
        <v>1113</v>
      </c>
      <c r="F3139" s="17" t="s">
        <v>54</v>
      </c>
      <c r="H3139" s="19" t="s">
        <v>1114</v>
      </c>
      <c r="I3139" s="19"/>
      <c r="J3139" s="17" t="s">
        <v>49</v>
      </c>
      <c r="K3139" s="19">
        <v>2200</v>
      </c>
      <c r="L3139" s="19">
        <v>91</v>
      </c>
      <c r="M3139" s="19">
        <v>5800</v>
      </c>
      <c r="N3139" s="19" t="s">
        <v>66</v>
      </c>
      <c r="O3139" s="19" t="s">
        <v>141</v>
      </c>
      <c r="P3139" s="99"/>
      <c r="Q3139" s="19">
        <v>8450</v>
      </c>
      <c r="R3139" s="99">
        <f>+P3138-Q3138-Q3139</f>
        <v>9989</v>
      </c>
      <c r="S3139" s="19">
        <v>1100</v>
      </c>
      <c r="T3139" s="19" t="s">
        <v>42</v>
      </c>
      <c r="U3139" s="102" t="s">
        <v>1115</v>
      </c>
      <c r="V3139" s="186" t="s">
        <v>1110</v>
      </c>
      <c r="W3139" s="17" t="s">
        <v>69</v>
      </c>
      <c r="Y3139" s="68">
        <v>45130</v>
      </c>
      <c r="Z3139" s="17" t="s">
        <v>191</v>
      </c>
      <c r="AA3139" s="17" t="s">
        <v>46</v>
      </c>
      <c r="AB3139" s="17" t="s">
        <v>1129</v>
      </c>
      <c r="AC3139" s="102" t="s">
        <v>1127</v>
      </c>
      <c r="AD3139" s="65">
        <v>1449</v>
      </c>
    </row>
    <row r="3140" s="17" customFormat="1" hidden="1" spans="1:32">
      <c r="A3140" s="17" t="s">
        <v>34</v>
      </c>
      <c r="B3140" s="19">
        <v>908</v>
      </c>
      <c r="C3140" s="183" t="s">
        <v>1110</v>
      </c>
      <c r="D3140" s="17" t="s">
        <v>52</v>
      </c>
      <c r="E3140" s="17" t="s">
        <v>1113</v>
      </c>
      <c r="F3140" s="17" t="s">
        <v>54</v>
      </c>
      <c r="H3140" s="19" t="s">
        <v>1114</v>
      </c>
      <c r="I3140" s="19"/>
      <c r="J3140" s="17" t="s">
        <v>49</v>
      </c>
      <c r="K3140" s="19">
        <v>2200</v>
      </c>
      <c r="L3140" s="19">
        <v>95</v>
      </c>
      <c r="M3140" s="19">
        <v>5800</v>
      </c>
      <c r="N3140" s="19" t="s">
        <v>66</v>
      </c>
      <c r="O3140" s="19" t="s">
        <v>141</v>
      </c>
      <c r="P3140" s="99">
        <v>16854</v>
      </c>
      <c r="Q3140" s="19">
        <f>7820+7890</f>
        <v>15710</v>
      </c>
      <c r="R3140" s="99">
        <f>+P3140-Q3140</f>
        <v>1144</v>
      </c>
      <c r="S3140" s="19">
        <v>1100</v>
      </c>
      <c r="T3140" s="19" t="s">
        <v>42</v>
      </c>
      <c r="U3140" s="102" t="s">
        <v>1115</v>
      </c>
      <c r="V3140" s="186" t="s">
        <v>1110</v>
      </c>
      <c r="W3140" s="17" t="s">
        <v>69</v>
      </c>
      <c r="Y3140" s="68">
        <v>45130</v>
      </c>
      <c r="Z3140" s="17" t="s">
        <v>191</v>
      </c>
      <c r="AA3140" s="17" t="s">
        <v>46</v>
      </c>
      <c r="AB3140" s="17" t="s">
        <v>1123</v>
      </c>
      <c r="AC3140" s="102" t="s">
        <v>1124</v>
      </c>
      <c r="AD3140" s="65">
        <v>1445</v>
      </c>
      <c r="AE3140" s="17" t="s">
        <v>48</v>
      </c>
    </row>
    <row r="3141" s="18" customFormat="1" hidden="1" spans="1:32">
      <c r="B3141" s="75">
        <v>908</v>
      </c>
      <c r="C3141" s="213" t="s">
        <v>1110</v>
      </c>
      <c r="D3141" s="18" t="s">
        <v>52</v>
      </c>
      <c r="E3141" s="17" t="s">
        <v>1113</v>
      </c>
      <c r="F3141" s="18" t="s">
        <v>54</v>
      </c>
      <c r="H3141" s="75" t="s">
        <v>1114</v>
      </c>
      <c r="I3141" s="75"/>
      <c r="J3141" s="18" t="s">
        <v>49</v>
      </c>
      <c r="K3141" s="75">
        <v>2200</v>
      </c>
      <c r="L3141" s="75">
        <v>100</v>
      </c>
      <c r="M3141" s="75">
        <v>5800</v>
      </c>
      <c r="N3141" s="75" t="s">
        <v>66</v>
      </c>
      <c r="O3141" s="75" t="s">
        <v>141</v>
      </c>
      <c r="P3141" s="112">
        <v>26612</v>
      </c>
      <c r="Q3141" s="75"/>
      <c r="R3141" s="112">
        <f>+P3141-Q3141</f>
        <v>26612</v>
      </c>
      <c r="S3141" s="75">
        <v>1100</v>
      </c>
      <c r="T3141" s="75" t="s">
        <v>42</v>
      </c>
      <c r="U3141" s="137" t="s">
        <v>1115</v>
      </c>
      <c r="V3141" s="193" t="s">
        <v>1110</v>
      </c>
      <c r="W3141" s="18" t="s">
        <v>69</v>
      </c>
      <c r="Y3141" s="114">
        <v>45130</v>
      </c>
      <c r="Z3141" s="18" t="s">
        <v>191</v>
      </c>
      <c r="AA3141" s="18" t="s">
        <v>46</v>
      </c>
      <c r="AC3141" s="137"/>
      <c r="AD3141" s="77"/>
      <c r="AF3141" s="18" t="s">
        <v>1134</v>
      </c>
    </row>
    <row r="3142" s="17" customFormat="1" hidden="1" spans="1:32">
      <c r="A3142" s="17" t="s">
        <v>34</v>
      </c>
      <c r="B3142" s="19">
        <v>908</v>
      </c>
      <c r="C3142" s="183" t="s">
        <v>1110</v>
      </c>
      <c r="D3142" s="17" t="s">
        <v>52</v>
      </c>
      <c r="E3142" s="17" t="s">
        <v>1113</v>
      </c>
      <c r="F3142" s="17" t="s">
        <v>54</v>
      </c>
      <c r="H3142" s="19" t="s">
        <v>1114</v>
      </c>
      <c r="I3142" s="19"/>
      <c r="J3142" s="17" t="s">
        <v>49</v>
      </c>
      <c r="K3142" s="19">
        <v>2200</v>
      </c>
      <c r="L3142" s="19">
        <v>105</v>
      </c>
      <c r="M3142" s="19">
        <v>5800</v>
      </c>
      <c r="N3142" s="19" t="s">
        <v>66</v>
      </c>
      <c r="O3142" s="19" t="s">
        <v>141</v>
      </c>
      <c r="P3142" s="99">
        <v>18628</v>
      </c>
      <c r="Q3142" s="19">
        <v>7330</v>
      </c>
      <c r="S3142" s="19">
        <v>1100</v>
      </c>
      <c r="T3142" s="19" t="s">
        <v>42</v>
      </c>
      <c r="U3142" s="102" t="s">
        <v>1115</v>
      </c>
      <c r="V3142" s="186" t="s">
        <v>1110</v>
      </c>
      <c r="W3142" s="17" t="s">
        <v>69</v>
      </c>
      <c r="Y3142" s="68">
        <v>45130</v>
      </c>
      <c r="Z3142" s="17" t="s">
        <v>191</v>
      </c>
      <c r="AA3142" s="17" t="s">
        <v>46</v>
      </c>
      <c r="AB3142" s="17" t="s">
        <v>1129</v>
      </c>
      <c r="AC3142" s="102" t="s">
        <v>1127</v>
      </c>
      <c r="AD3142" s="65">
        <v>1449</v>
      </c>
      <c r="AE3142" s="17" t="s">
        <v>1135</v>
      </c>
    </row>
    <row r="3143" s="17" customFormat="1" hidden="1" spans="1:32">
      <c r="A3143" s="17" t="s">
        <v>34</v>
      </c>
      <c r="B3143" s="19">
        <v>908</v>
      </c>
      <c r="C3143" s="183" t="s">
        <v>1110</v>
      </c>
      <c r="D3143" s="17" t="s">
        <v>52</v>
      </c>
      <c r="E3143" s="17" t="s">
        <v>1113</v>
      </c>
      <c r="F3143" s="17" t="s">
        <v>54</v>
      </c>
      <c r="H3143" s="19" t="s">
        <v>1114</v>
      </c>
      <c r="I3143" s="19"/>
      <c r="J3143" s="17" t="s">
        <v>49</v>
      </c>
      <c r="K3143" s="19">
        <v>2200</v>
      </c>
      <c r="L3143" s="19">
        <v>105</v>
      </c>
      <c r="M3143" s="19">
        <v>5800</v>
      </c>
      <c r="N3143" s="19" t="s">
        <v>66</v>
      </c>
      <c r="O3143" s="19" t="s">
        <v>141</v>
      </c>
      <c r="P3143" s="99"/>
      <c r="Q3143" s="19">
        <v>9186</v>
      </c>
      <c r="R3143" s="99">
        <f>+P3142-Q3142-Q3143</f>
        <v>2112</v>
      </c>
      <c r="S3143" s="19">
        <v>1100</v>
      </c>
      <c r="T3143" s="19" t="s">
        <v>42</v>
      </c>
      <c r="U3143" s="102" t="s">
        <v>1115</v>
      </c>
      <c r="V3143" s="186" t="s">
        <v>1110</v>
      </c>
      <c r="W3143" s="17" t="s">
        <v>69</v>
      </c>
      <c r="Y3143" s="68">
        <v>45130</v>
      </c>
      <c r="Z3143" s="17" t="s">
        <v>191</v>
      </c>
      <c r="AA3143" s="17" t="s">
        <v>46</v>
      </c>
      <c r="AB3143" s="17" t="s">
        <v>1122</v>
      </c>
      <c r="AC3143" s="217">
        <v>44965</v>
      </c>
      <c r="AD3143" s="65">
        <v>1450</v>
      </c>
    </row>
    <row r="3144" s="17" customFormat="1" hidden="1" spans="1:32">
      <c r="A3144" s="17" t="s">
        <v>34</v>
      </c>
      <c r="B3144" s="19">
        <v>908</v>
      </c>
      <c r="C3144" s="183" t="s">
        <v>1110</v>
      </c>
      <c r="D3144" s="17" t="s">
        <v>52</v>
      </c>
      <c r="E3144" s="17" t="s">
        <v>1113</v>
      </c>
      <c r="F3144" s="17" t="s">
        <v>54</v>
      </c>
      <c r="H3144" s="19" t="s">
        <v>1114</v>
      </c>
      <c r="I3144" s="19"/>
      <c r="J3144" s="17" t="s">
        <v>49</v>
      </c>
      <c r="K3144" s="19">
        <v>2200</v>
      </c>
      <c r="L3144" s="19">
        <v>110</v>
      </c>
      <c r="M3144" s="19">
        <v>5800</v>
      </c>
      <c r="N3144" s="19" t="s">
        <v>66</v>
      </c>
      <c r="O3144" s="19" t="s">
        <v>141</v>
      </c>
      <c r="P3144" s="99">
        <v>15612</v>
      </c>
      <c r="Q3144" s="19">
        <v>7810</v>
      </c>
      <c r="R3144" s="99">
        <f>+P3144-Q3144</f>
        <v>7802</v>
      </c>
      <c r="S3144" s="19">
        <v>1100</v>
      </c>
      <c r="T3144" s="19" t="s">
        <v>42</v>
      </c>
      <c r="U3144" s="102" t="s">
        <v>1115</v>
      </c>
      <c r="V3144" s="186" t="s">
        <v>1110</v>
      </c>
      <c r="W3144" s="17" t="s">
        <v>69</v>
      </c>
      <c r="Y3144" s="68">
        <v>45130</v>
      </c>
      <c r="Z3144" s="17" t="s">
        <v>191</v>
      </c>
      <c r="AA3144" s="17" t="s">
        <v>46</v>
      </c>
      <c r="AB3144" s="17" t="s">
        <v>1126</v>
      </c>
      <c r="AC3144" s="102" t="s">
        <v>1127</v>
      </c>
      <c r="AD3144" s="65">
        <v>1447</v>
      </c>
      <c r="AE3144" s="17" t="s">
        <v>48</v>
      </c>
    </row>
    <row r="3145" s="17" customFormat="1" ht="15.6" hidden="1" spans="1:32">
      <c r="A3145" s="17" t="s">
        <v>34</v>
      </c>
      <c r="B3145" s="19">
        <v>908</v>
      </c>
      <c r="C3145" s="183" t="s">
        <v>1110</v>
      </c>
      <c r="D3145" s="17" t="s">
        <v>52</v>
      </c>
      <c r="E3145" s="17" t="s">
        <v>1113</v>
      </c>
      <c r="F3145" s="17" t="s">
        <v>54</v>
      </c>
      <c r="H3145" s="19" t="s">
        <v>1114</v>
      </c>
      <c r="I3145" s="19"/>
      <c r="J3145" s="17" t="s">
        <v>82</v>
      </c>
      <c r="K3145" s="19">
        <v>205</v>
      </c>
      <c r="L3145" s="19">
        <v>25</v>
      </c>
      <c r="M3145" s="19">
        <v>2300</v>
      </c>
      <c r="N3145" s="19" t="s">
        <v>66</v>
      </c>
      <c r="O3145" s="19" t="s">
        <v>141</v>
      </c>
      <c r="P3145" s="99">
        <v>1086</v>
      </c>
      <c r="Q3145" s="98">
        <f>91+91+91</f>
        <v>273</v>
      </c>
      <c r="S3145" s="274">
        <v>1120</v>
      </c>
      <c r="T3145" s="19" t="s">
        <v>42</v>
      </c>
      <c r="U3145" s="102" t="s">
        <v>1115</v>
      </c>
      <c r="V3145" s="186" t="s">
        <v>1110</v>
      </c>
      <c r="W3145" s="17" t="s">
        <v>69</v>
      </c>
      <c r="Y3145" s="68">
        <v>45130</v>
      </c>
      <c r="Z3145" s="17" t="s">
        <v>191</v>
      </c>
      <c r="AA3145" s="17" t="s">
        <v>46</v>
      </c>
      <c r="AB3145" s="17" t="s">
        <v>1116</v>
      </c>
      <c r="AC3145" s="102" t="s">
        <v>1117</v>
      </c>
      <c r="AD3145" s="65">
        <v>1443</v>
      </c>
      <c r="AE3145" s="17" t="s">
        <v>74</v>
      </c>
    </row>
    <row r="3146" s="17" customFormat="1" ht="15.6" hidden="1" spans="1:32">
      <c r="A3146" s="17" t="s">
        <v>34</v>
      </c>
      <c r="B3146" s="19">
        <v>908</v>
      </c>
      <c r="C3146" s="183" t="s">
        <v>1110</v>
      </c>
      <c r="D3146" s="17" t="s">
        <v>52</v>
      </c>
      <c r="E3146" s="17" t="s">
        <v>1113</v>
      </c>
      <c r="F3146" s="17" t="s">
        <v>54</v>
      </c>
      <c r="H3146" s="19" t="s">
        <v>1114</v>
      </c>
      <c r="I3146" s="19"/>
      <c r="J3146" s="17" t="s">
        <v>82</v>
      </c>
      <c r="K3146" s="19">
        <v>205</v>
      </c>
      <c r="L3146" s="19">
        <v>25</v>
      </c>
      <c r="M3146" s="19">
        <v>2300</v>
      </c>
      <c r="N3146" s="19" t="s">
        <v>66</v>
      </c>
      <c r="O3146" s="19" t="s">
        <v>141</v>
      </c>
      <c r="P3146" s="99"/>
      <c r="Q3146" s="98">
        <v>638</v>
      </c>
      <c r="R3146" s="99">
        <f>+P3145-Q3145-Q3146</f>
        <v>175</v>
      </c>
      <c r="S3146" s="274">
        <v>1120</v>
      </c>
      <c r="T3146" s="19" t="s">
        <v>42</v>
      </c>
      <c r="U3146" s="102" t="s">
        <v>1115</v>
      </c>
      <c r="V3146" s="186" t="s">
        <v>1110</v>
      </c>
      <c r="W3146" s="17" t="s">
        <v>69</v>
      </c>
      <c r="Y3146" s="68">
        <v>45130</v>
      </c>
      <c r="Z3146" s="17" t="s">
        <v>191</v>
      </c>
      <c r="AA3146" s="17" t="s">
        <v>46</v>
      </c>
      <c r="AB3146" s="17" t="s">
        <v>1119</v>
      </c>
      <c r="AC3146" s="102" t="s">
        <v>1120</v>
      </c>
      <c r="AD3146" s="65">
        <v>1451</v>
      </c>
      <c r="AE3146" s="17" t="s">
        <v>74</v>
      </c>
    </row>
    <row r="3147" s="17" customFormat="1" ht="15.6" hidden="1" spans="1:32">
      <c r="A3147" s="17" t="s">
        <v>34</v>
      </c>
      <c r="B3147" s="19">
        <v>908</v>
      </c>
      <c r="C3147" s="183" t="s">
        <v>1110</v>
      </c>
      <c r="D3147" s="17" t="s">
        <v>52</v>
      </c>
      <c r="E3147" s="17" t="s">
        <v>1113</v>
      </c>
      <c r="F3147" s="17" t="s">
        <v>54</v>
      </c>
      <c r="H3147" s="19" t="s">
        <v>1114</v>
      </c>
      <c r="I3147" s="19"/>
      <c r="J3147" s="17" t="s">
        <v>82</v>
      </c>
      <c r="K3147" s="19">
        <v>255</v>
      </c>
      <c r="L3147" s="19">
        <v>25</v>
      </c>
      <c r="M3147" s="19">
        <v>2300</v>
      </c>
      <c r="N3147" s="19" t="s">
        <v>66</v>
      </c>
      <c r="O3147" s="19" t="s">
        <v>141</v>
      </c>
      <c r="P3147" s="99">
        <v>563</v>
      </c>
      <c r="Q3147" s="98">
        <v>562</v>
      </c>
      <c r="R3147" s="99">
        <f t="shared" ref="R3147:R3153" si="157">+P3147-Q3147</f>
        <v>1</v>
      </c>
      <c r="S3147" s="274">
        <v>1120</v>
      </c>
      <c r="T3147" s="19" t="s">
        <v>42</v>
      </c>
      <c r="U3147" s="102" t="s">
        <v>1115</v>
      </c>
      <c r="V3147" s="186" t="s">
        <v>1110</v>
      </c>
      <c r="W3147" s="17" t="s">
        <v>69</v>
      </c>
      <c r="Y3147" s="68">
        <v>45130</v>
      </c>
      <c r="Z3147" s="17" t="s">
        <v>191</v>
      </c>
      <c r="AA3147" s="17" t="s">
        <v>46</v>
      </c>
      <c r="AB3147" s="17" t="s">
        <v>1119</v>
      </c>
      <c r="AC3147" s="102" t="s">
        <v>1120</v>
      </c>
      <c r="AD3147" s="65">
        <v>1451</v>
      </c>
      <c r="AE3147" s="17" t="s">
        <v>74</v>
      </c>
    </row>
    <row r="3148" s="17" customFormat="1" ht="15.6" hidden="1" spans="1:32">
      <c r="A3148" s="17" t="s">
        <v>34</v>
      </c>
      <c r="B3148" s="19">
        <v>908</v>
      </c>
      <c r="C3148" s="183" t="s">
        <v>1110</v>
      </c>
      <c r="D3148" s="17" t="s">
        <v>52</v>
      </c>
      <c r="E3148" s="17" t="s">
        <v>1113</v>
      </c>
      <c r="F3148" s="17" t="s">
        <v>54</v>
      </c>
      <c r="H3148" s="19" t="s">
        <v>1114</v>
      </c>
      <c r="I3148" s="19"/>
      <c r="J3148" s="17" t="s">
        <v>82</v>
      </c>
      <c r="K3148" s="19">
        <v>305</v>
      </c>
      <c r="L3148" s="19">
        <v>25</v>
      </c>
      <c r="M3148" s="19">
        <v>2300</v>
      </c>
      <c r="N3148" s="19" t="s">
        <v>66</v>
      </c>
      <c r="O3148" s="19" t="s">
        <v>141</v>
      </c>
      <c r="P3148" s="99">
        <v>539</v>
      </c>
      <c r="Q3148" s="98">
        <f>135+135+134</f>
        <v>404</v>
      </c>
      <c r="R3148" s="99">
        <f t="shared" si="157"/>
        <v>135</v>
      </c>
      <c r="S3148" s="274">
        <v>1120</v>
      </c>
      <c r="T3148" s="19" t="s">
        <v>42</v>
      </c>
      <c r="U3148" s="102" t="s">
        <v>1115</v>
      </c>
      <c r="V3148" s="186" t="s">
        <v>1110</v>
      </c>
      <c r="W3148" s="17" t="s">
        <v>69</v>
      </c>
      <c r="Y3148" s="68">
        <v>45130</v>
      </c>
      <c r="Z3148" s="17" t="s">
        <v>191</v>
      </c>
      <c r="AA3148" s="17" t="s">
        <v>46</v>
      </c>
      <c r="AB3148" s="17" t="s">
        <v>1116</v>
      </c>
      <c r="AC3148" s="102" t="s">
        <v>1117</v>
      </c>
      <c r="AD3148" s="65">
        <v>1443</v>
      </c>
      <c r="AE3148" s="17" t="s">
        <v>74</v>
      </c>
    </row>
    <row r="3149" s="17" customFormat="1" ht="15.6" hidden="1" spans="1:32">
      <c r="A3149" s="17" t="s">
        <v>34</v>
      </c>
      <c r="B3149" s="19">
        <v>908</v>
      </c>
      <c r="C3149" s="183" t="s">
        <v>1110</v>
      </c>
      <c r="D3149" s="17" t="s">
        <v>52</v>
      </c>
      <c r="E3149" s="17" t="s">
        <v>1113</v>
      </c>
      <c r="F3149" s="17" t="s">
        <v>54</v>
      </c>
      <c r="H3149" s="19" t="s">
        <v>1114</v>
      </c>
      <c r="I3149" s="19"/>
      <c r="J3149" s="17" t="s">
        <v>82</v>
      </c>
      <c r="K3149" s="19">
        <v>355</v>
      </c>
      <c r="L3149" s="19">
        <v>25</v>
      </c>
      <c r="M3149" s="19">
        <v>2300</v>
      </c>
      <c r="N3149" s="19" t="s">
        <v>66</v>
      </c>
      <c r="O3149" s="19" t="s">
        <v>141</v>
      </c>
      <c r="P3149" s="99">
        <v>470</v>
      </c>
      <c r="Q3149" s="98">
        <v>470</v>
      </c>
      <c r="R3149" s="99">
        <f t="shared" si="157"/>
        <v>0</v>
      </c>
      <c r="S3149" s="274">
        <v>1120</v>
      </c>
      <c r="T3149" s="19" t="s">
        <v>42</v>
      </c>
      <c r="U3149" s="102" t="s">
        <v>1115</v>
      </c>
      <c r="V3149" s="186" t="s">
        <v>1110</v>
      </c>
      <c r="W3149" s="17" t="s">
        <v>69</v>
      </c>
      <c r="Y3149" s="68">
        <v>45130</v>
      </c>
      <c r="Z3149" s="17" t="s">
        <v>191</v>
      </c>
      <c r="AA3149" s="17" t="s">
        <v>46</v>
      </c>
      <c r="AB3149" s="17" t="s">
        <v>1119</v>
      </c>
      <c r="AC3149" s="102" t="s">
        <v>1120</v>
      </c>
      <c r="AD3149" s="65">
        <v>1451</v>
      </c>
      <c r="AE3149" s="17" t="s">
        <v>74</v>
      </c>
    </row>
    <row r="3150" s="17" customFormat="1" ht="15.6" hidden="1" spans="1:32">
      <c r="A3150" s="17" t="s">
        <v>34</v>
      </c>
      <c r="B3150" s="19">
        <v>908</v>
      </c>
      <c r="C3150" s="183" t="s">
        <v>1110</v>
      </c>
      <c r="D3150" s="17" t="s">
        <v>52</v>
      </c>
      <c r="E3150" s="17" t="s">
        <v>1113</v>
      </c>
      <c r="F3150" s="17" t="s">
        <v>54</v>
      </c>
      <c r="H3150" s="19" t="s">
        <v>1114</v>
      </c>
      <c r="I3150" s="19"/>
      <c r="J3150" s="17" t="s">
        <v>82</v>
      </c>
      <c r="K3150" s="19">
        <v>405</v>
      </c>
      <c r="L3150" s="19">
        <v>25</v>
      </c>
      <c r="M3150" s="19">
        <v>2300</v>
      </c>
      <c r="N3150" s="19" t="s">
        <v>66</v>
      </c>
      <c r="O3150" s="19" t="s">
        <v>141</v>
      </c>
      <c r="P3150" s="99">
        <v>536</v>
      </c>
      <c r="Q3150" s="98">
        <v>533</v>
      </c>
      <c r="R3150" s="99">
        <f t="shared" si="157"/>
        <v>3</v>
      </c>
      <c r="S3150" s="274">
        <v>1120</v>
      </c>
      <c r="T3150" s="19" t="s">
        <v>42</v>
      </c>
      <c r="U3150" s="102" t="s">
        <v>1115</v>
      </c>
      <c r="V3150" s="186" t="s">
        <v>1110</v>
      </c>
      <c r="W3150" s="17" t="s">
        <v>69</v>
      </c>
      <c r="Y3150" s="68">
        <v>45130</v>
      </c>
      <c r="Z3150" s="17" t="s">
        <v>191</v>
      </c>
      <c r="AA3150" s="17" t="s">
        <v>46</v>
      </c>
      <c r="AB3150" s="17" t="s">
        <v>1119</v>
      </c>
      <c r="AC3150" s="102" t="s">
        <v>1120</v>
      </c>
      <c r="AD3150" s="65">
        <v>1451</v>
      </c>
      <c r="AE3150" s="17" t="s">
        <v>74</v>
      </c>
    </row>
    <row r="3151" s="17" customFormat="1" ht="15.6" hidden="1" spans="1:32">
      <c r="A3151" s="17" t="s">
        <v>34</v>
      </c>
      <c r="B3151" s="19">
        <v>908</v>
      </c>
      <c r="C3151" s="183" t="s">
        <v>1110</v>
      </c>
      <c r="D3151" s="17" t="s">
        <v>52</v>
      </c>
      <c r="E3151" s="17" t="s">
        <v>1113</v>
      </c>
      <c r="F3151" s="17" t="s">
        <v>54</v>
      </c>
      <c r="H3151" s="19" t="s">
        <v>1114</v>
      </c>
      <c r="I3151" s="19"/>
      <c r="J3151" s="17" t="s">
        <v>82</v>
      </c>
      <c r="K3151" s="19">
        <v>455</v>
      </c>
      <c r="L3151" s="19">
        <v>25</v>
      </c>
      <c r="M3151" s="19">
        <v>2300</v>
      </c>
      <c r="N3151" s="19" t="s">
        <v>66</v>
      </c>
      <c r="O3151" s="19" t="s">
        <v>141</v>
      </c>
      <c r="P3151" s="99">
        <v>603</v>
      </c>
      <c r="Q3151" s="98">
        <v>600</v>
      </c>
      <c r="R3151" s="99">
        <f t="shared" si="157"/>
        <v>3</v>
      </c>
      <c r="S3151" s="274">
        <v>1120</v>
      </c>
      <c r="T3151" s="19" t="s">
        <v>42</v>
      </c>
      <c r="U3151" s="102" t="s">
        <v>1115</v>
      </c>
      <c r="V3151" s="186" t="s">
        <v>1110</v>
      </c>
      <c r="W3151" s="17" t="s">
        <v>69</v>
      </c>
      <c r="Y3151" s="68">
        <v>45130</v>
      </c>
      <c r="Z3151" s="17" t="s">
        <v>191</v>
      </c>
      <c r="AA3151" s="17" t="s">
        <v>46</v>
      </c>
      <c r="AB3151" s="17" t="s">
        <v>1119</v>
      </c>
      <c r="AC3151" s="102" t="s">
        <v>1120</v>
      </c>
      <c r="AD3151" s="65">
        <v>1451</v>
      </c>
      <c r="AE3151" s="17" t="s">
        <v>74</v>
      </c>
    </row>
    <row r="3152" s="17" customFormat="1" ht="15.6" hidden="1" spans="1:32">
      <c r="A3152" s="17" t="s">
        <v>34</v>
      </c>
      <c r="B3152" s="19">
        <v>908</v>
      </c>
      <c r="C3152" s="183" t="s">
        <v>1110</v>
      </c>
      <c r="D3152" s="17" t="s">
        <v>52</v>
      </c>
      <c r="E3152" s="17" t="s">
        <v>1113</v>
      </c>
      <c r="F3152" s="17" t="s">
        <v>54</v>
      </c>
      <c r="H3152" s="19" t="s">
        <v>1114</v>
      </c>
      <c r="I3152" s="19"/>
      <c r="J3152" s="17" t="s">
        <v>82</v>
      </c>
      <c r="K3152" s="19">
        <v>505</v>
      </c>
      <c r="L3152" s="19">
        <v>25</v>
      </c>
      <c r="M3152" s="19">
        <v>2300</v>
      </c>
      <c r="N3152" s="19" t="s">
        <v>66</v>
      </c>
      <c r="O3152" s="19" t="s">
        <v>141</v>
      </c>
      <c r="P3152" s="99">
        <v>446</v>
      </c>
      <c r="Q3152" s="98">
        <f>221+223</f>
        <v>444</v>
      </c>
      <c r="R3152" s="99">
        <f t="shared" si="157"/>
        <v>2</v>
      </c>
      <c r="S3152" s="274">
        <v>1120</v>
      </c>
      <c r="T3152" s="19" t="s">
        <v>42</v>
      </c>
      <c r="U3152" s="102" t="s">
        <v>1115</v>
      </c>
      <c r="V3152" s="186" t="s">
        <v>1110</v>
      </c>
      <c r="W3152" s="17" t="s">
        <v>69</v>
      </c>
      <c r="Y3152" s="68">
        <v>45130</v>
      </c>
      <c r="Z3152" s="17" t="s">
        <v>191</v>
      </c>
      <c r="AA3152" s="17" t="s">
        <v>46</v>
      </c>
      <c r="AB3152" s="17" t="s">
        <v>1116</v>
      </c>
      <c r="AC3152" s="102" t="s">
        <v>1117</v>
      </c>
      <c r="AD3152" s="65">
        <v>1443</v>
      </c>
      <c r="AE3152" s="17" t="s">
        <v>74</v>
      </c>
    </row>
    <row r="3153" s="17" customFormat="1" ht="15.6" hidden="1" spans="1:31">
      <c r="A3153" s="17" t="s">
        <v>34</v>
      </c>
      <c r="B3153" s="19">
        <v>908</v>
      </c>
      <c r="C3153" s="183" t="s">
        <v>1110</v>
      </c>
      <c r="D3153" s="17" t="s">
        <v>52</v>
      </c>
      <c r="E3153" s="17" t="s">
        <v>1113</v>
      </c>
      <c r="F3153" s="17" t="s">
        <v>54</v>
      </c>
      <c r="H3153" s="19" t="s">
        <v>1114</v>
      </c>
      <c r="I3153" s="19"/>
      <c r="J3153" s="17" t="s">
        <v>82</v>
      </c>
      <c r="K3153" s="19">
        <v>205</v>
      </c>
      <c r="L3153" s="19">
        <v>32</v>
      </c>
      <c r="M3153" s="19">
        <v>2300</v>
      </c>
      <c r="N3153" s="19" t="s">
        <v>66</v>
      </c>
      <c r="O3153" s="19" t="s">
        <v>141</v>
      </c>
      <c r="P3153" s="99">
        <v>2086</v>
      </c>
      <c r="Q3153" s="98">
        <f>1633+1064</f>
        <v>2697</v>
      </c>
      <c r="R3153" s="99">
        <f t="shared" si="157"/>
        <v>-611</v>
      </c>
      <c r="S3153" s="274">
        <v>1120</v>
      </c>
      <c r="T3153" s="19" t="s">
        <v>42</v>
      </c>
      <c r="U3153" s="102" t="s">
        <v>1115</v>
      </c>
      <c r="V3153" s="186" t="s">
        <v>1110</v>
      </c>
      <c r="W3153" s="17" t="s">
        <v>69</v>
      </c>
      <c r="Y3153" s="68">
        <v>45130</v>
      </c>
      <c r="Z3153" s="17" t="s">
        <v>191</v>
      </c>
      <c r="AA3153" s="17" t="s">
        <v>46</v>
      </c>
      <c r="AB3153" s="17" t="s">
        <v>1119</v>
      </c>
      <c r="AC3153" s="102" t="s">
        <v>1120</v>
      </c>
      <c r="AD3153" s="65">
        <v>1451</v>
      </c>
      <c r="AE3153" s="17" t="s">
        <v>74</v>
      </c>
    </row>
    <row r="3154" s="17" customFormat="1" ht="15.6" hidden="1" spans="1:31">
      <c r="A3154" s="17" t="s">
        <v>34</v>
      </c>
      <c r="B3154" s="19">
        <v>908</v>
      </c>
      <c r="C3154" s="183" t="s">
        <v>1110</v>
      </c>
      <c r="D3154" s="17" t="s">
        <v>52</v>
      </c>
      <c r="E3154" s="17" t="s">
        <v>1113</v>
      </c>
      <c r="F3154" s="17" t="s">
        <v>54</v>
      </c>
      <c r="H3154" s="19" t="s">
        <v>1114</v>
      </c>
      <c r="I3154" s="19"/>
      <c r="J3154" s="17" t="s">
        <v>82</v>
      </c>
      <c r="K3154" s="19">
        <v>255</v>
      </c>
      <c r="L3154" s="19">
        <v>32</v>
      </c>
      <c r="M3154" s="19">
        <v>2300</v>
      </c>
      <c r="N3154" s="19" t="s">
        <v>66</v>
      </c>
      <c r="O3154" s="19" t="s">
        <v>141</v>
      </c>
      <c r="P3154" s="99">
        <v>2018</v>
      </c>
      <c r="Q3154" s="98">
        <v>144</v>
      </c>
      <c r="R3154" s="99"/>
      <c r="S3154" s="274">
        <v>1120</v>
      </c>
      <c r="T3154" s="19" t="s">
        <v>42</v>
      </c>
      <c r="U3154" s="102" t="s">
        <v>1115</v>
      </c>
      <c r="V3154" s="186" t="s">
        <v>1110</v>
      </c>
      <c r="W3154" s="17" t="s">
        <v>69</v>
      </c>
      <c r="Y3154" s="68">
        <v>45130</v>
      </c>
      <c r="Z3154" s="17" t="s">
        <v>191</v>
      </c>
      <c r="AA3154" s="17" t="s">
        <v>46</v>
      </c>
      <c r="AB3154" s="17" t="s">
        <v>1116</v>
      </c>
      <c r="AC3154" s="102" t="s">
        <v>1117</v>
      </c>
      <c r="AD3154" s="65">
        <v>1443</v>
      </c>
      <c r="AE3154" s="17" t="s">
        <v>74</v>
      </c>
    </row>
    <row r="3155" s="17" customFormat="1" ht="15.6" hidden="1" spans="1:31">
      <c r="A3155" s="17" t="s">
        <v>34</v>
      </c>
      <c r="B3155" s="19">
        <v>908</v>
      </c>
      <c r="C3155" s="183" t="s">
        <v>1110</v>
      </c>
      <c r="D3155" s="17" t="s">
        <v>52</v>
      </c>
      <c r="E3155" s="17" t="s">
        <v>1113</v>
      </c>
      <c r="F3155" s="17" t="s">
        <v>54</v>
      </c>
      <c r="H3155" s="19" t="s">
        <v>1114</v>
      </c>
      <c r="I3155" s="19"/>
      <c r="J3155" s="17" t="s">
        <v>82</v>
      </c>
      <c r="K3155" s="19">
        <v>255</v>
      </c>
      <c r="L3155" s="19">
        <v>32</v>
      </c>
      <c r="M3155" s="19">
        <v>2300</v>
      </c>
      <c r="N3155" s="19" t="s">
        <v>66</v>
      </c>
      <c r="O3155" s="19" t="s">
        <v>141</v>
      </c>
      <c r="P3155" s="99"/>
      <c r="Q3155" s="98">
        <f>1729+1285</f>
        <v>3014</v>
      </c>
      <c r="R3155" s="99">
        <f>+P3154-Q3154-Q3155</f>
        <v>-1140</v>
      </c>
      <c r="S3155" s="274">
        <v>1120</v>
      </c>
      <c r="T3155" s="19" t="s">
        <v>42</v>
      </c>
      <c r="U3155" s="102" t="s">
        <v>1115</v>
      </c>
      <c r="V3155" s="186" t="s">
        <v>1110</v>
      </c>
      <c r="W3155" s="17" t="s">
        <v>69</v>
      </c>
      <c r="Y3155" s="68">
        <v>45130</v>
      </c>
      <c r="Z3155" s="17" t="s">
        <v>191</v>
      </c>
      <c r="AA3155" s="17" t="s">
        <v>46</v>
      </c>
      <c r="AB3155" s="17" t="s">
        <v>1119</v>
      </c>
      <c r="AC3155" s="102" t="s">
        <v>1120</v>
      </c>
      <c r="AD3155" s="65">
        <v>1451</v>
      </c>
      <c r="AE3155" s="17" t="s">
        <v>74</v>
      </c>
    </row>
    <row r="3156" s="17" customFormat="1" ht="15.6" hidden="1" spans="1:31">
      <c r="A3156" s="17" t="s">
        <v>34</v>
      </c>
      <c r="B3156" s="19">
        <v>908</v>
      </c>
      <c r="C3156" s="183" t="s">
        <v>1110</v>
      </c>
      <c r="D3156" s="17" t="s">
        <v>52</v>
      </c>
      <c r="E3156" s="17" t="s">
        <v>1113</v>
      </c>
      <c r="F3156" s="17" t="s">
        <v>54</v>
      </c>
      <c r="H3156" s="19" t="s">
        <v>1114</v>
      </c>
      <c r="I3156" s="19"/>
      <c r="J3156" s="17" t="s">
        <v>82</v>
      </c>
      <c r="K3156" s="19">
        <v>305</v>
      </c>
      <c r="L3156" s="19">
        <v>32</v>
      </c>
      <c r="M3156" s="19">
        <v>2300</v>
      </c>
      <c r="N3156" s="19" t="s">
        <v>66</v>
      </c>
      <c r="O3156" s="19" t="s">
        <v>141</v>
      </c>
      <c r="P3156" s="99">
        <v>2069</v>
      </c>
      <c r="Q3156" s="98">
        <f>170+170+173+173</f>
        <v>686</v>
      </c>
      <c r="S3156" s="274">
        <v>1120</v>
      </c>
      <c r="T3156" s="19" t="s">
        <v>42</v>
      </c>
      <c r="U3156" s="102" t="s">
        <v>1115</v>
      </c>
      <c r="V3156" s="186" t="s">
        <v>1110</v>
      </c>
      <c r="W3156" s="17" t="s">
        <v>69</v>
      </c>
      <c r="Y3156" s="68">
        <v>45130</v>
      </c>
      <c r="Z3156" s="17" t="s">
        <v>191</v>
      </c>
      <c r="AA3156" s="17" t="s">
        <v>46</v>
      </c>
      <c r="AB3156" s="17" t="s">
        <v>1116</v>
      </c>
      <c r="AC3156" s="102" t="s">
        <v>1117</v>
      </c>
      <c r="AD3156" s="65">
        <v>1443</v>
      </c>
      <c r="AE3156" s="17" t="s">
        <v>74</v>
      </c>
    </row>
    <row r="3157" s="17" customFormat="1" ht="15.6" hidden="1" spans="1:31">
      <c r="A3157" s="17" t="s">
        <v>34</v>
      </c>
      <c r="B3157" s="19">
        <v>908</v>
      </c>
      <c r="C3157" s="183" t="s">
        <v>1110</v>
      </c>
      <c r="D3157" s="17" t="s">
        <v>52</v>
      </c>
      <c r="E3157" s="17" t="s">
        <v>1113</v>
      </c>
      <c r="F3157" s="17" t="s">
        <v>54</v>
      </c>
      <c r="H3157" s="19" t="s">
        <v>1114</v>
      </c>
      <c r="I3157" s="19"/>
      <c r="J3157" s="17" t="s">
        <v>82</v>
      </c>
      <c r="K3157" s="19">
        <v>305</v>
      </c>
      <c r="L3157" s="19">
        <v>32</v>
      </c>
      <c r="M3157" s="19">
        <v>2300</v>
      </c>
      <c r="N3157" s="19" t="s">
        <v>66</v>
      </c>
      <c r="O3157" s="19" t="s">
        <v>141</v>
      </c>
      <c r="P3157" s="99"/>
      <c r="Q3157" s="98">
        <f>514+854</f>
        <v>1368</v>
      </c>
      <c r="R3157" s="99">
        <f>+P3156-Q3156-Q3157</f>
        <v>15</v>
      </c>
      <c r="S3157" s="274">
        <v>1120</v>
      </c>
      <c r="T3157" s="19" t="s">
        <v>42</v>
      </c>
      <c r="U3157" s="102" t="s">
        <v>1115</v>
      </c>
      <c r="V3157" s="186" t="s">
        <v>1110</v>
      </c>
      <c r="W3157" s="17" t="s">
        <v>69</v>
      </c>
      <c r="Y3157" s="68">
        <v>45130</v>
      </c>
      <c r="Z3157" s="17" t="s">
        <v>191</v>
      </c>
      <c r="AA3157" s="17" t="s">
        <v>46</v>
      </c>
      <c r="AB3157" s="17" t="s">
        <v>1119</v>
      </c>
      <c r="AC3157" s="102" t="s">
        <v>1120</v>
      </c>
      <c r="AD3157" s="65">
        <v>1451</v>
      </c>
      <c r="AE3157" s="17" t="s">
        <v>74</v>
      </c>
    </row>
    <row r="3158" s="17" customFormat="1" ht="15.6" hidden="1" spans="1:31">
      <c r="A3158" s="17" t="s">
        <v>34</v>
      </c>
      <c r="B3158" s="19">
        <v>908</v>
      </c>
      <c r="C3158" s="183" t="s">
        <v>1110</v>
      </c>
      <c r="D3158" s="17" t="s">
        <v>52</v>
      </c>
      <c r="E3158" s="17" t="s">
        <v>1113</v>
      </c>
      <c r="F3158" s="17" t="s">
        <v>54</v>
      </c>
      <c r="H3158" s="19" t="s">
        <v>1114</v>
      </c>
      <c r="I3158" s="19"/>
      <c r="J3158" s="17" t="s">
        <v>82</v>
      </c>
      <c r="K3158" s="19">
        <v>355</v>
      </c>
      <c r="L3158" s="19">
        <v>32</v>
      </c>
      <c r="M3158" s="19">
        <v>2300</v>
      </c>
      <c r="N3158" s="19" t="s">
        <v>66</v>
      </c>
      <c r="O3158" s="19" t="s">
        <v>141</v>
      </c>
      <c r="P3158" s="99">
        <v>2006</v>
      </c>
      <c r="Q3158" s="98">
        <v>1392</v>
      </c>
      <c r="R3158" s="99">
        <f>+P3158-Q3158</f>
        <v>614</v>
      </c>
      <c r="S3158" s="274">
        <v>1120</v>
      </c>
      <c r="T3158" s="19" t="s">
        <v>42</v>
      </c>
      <c r="U3158" s="102" t="s">
        <v>1115</v>
      </c>
      <c r="V3158" s="186" t="s">
        <v>1110</v>
      </c>
      <c r="W3158" s="17" t="s">
        <v>69</v>
      </c>
      <c r="Y3158" s="68">
        <v>45130</v>
      </c>
      <c r="Z3158" s="17" t="s">
        <v>191</v>
      </c>
      <c r="AA3158" s="17" t="s">
        <v>46</v>
      </c>
      <c r="AB3158" s="17" t="s">
        <v>1119</v>
      </c>
      <c r="AC3158" s="102" t="s">
        <v>1120</v>
      </c>
      <c r="AD3158" s="65">
        <v>1451</v>
      </c>
      <c r="AE3158" s="17" t="s">
        <v>74</v>
      </c>
    </row>
    <row r="3159" s="17" customFormat="1" ht="15.6" hidden="1" spans="1:31">
      <c r="A3159" s="17" t="s">
        <v>34</v>
      </c>
      <c r="B3159" s="19">
        <v>908</v>
      </c>
      <c r="C3159" s="183" t="s">
        <v>1110</v>
      </c>
      <c r="D3159" s="17" t="s">
        <v>52</v>
      </c>
      <c r="E3159" s="17" t="s">
        <v>1113</v>
      </c>
      <c r="F3159" s="17" t="s">
        <v>54</v>
      </c>
      <c r="H3159" s="19" t="s">
        <v>1114</v>
      </c>
      <c r="I3159" s="19"/>
      <c r="J3159" s="17" t="s">
        <v>82</v>
      </c>
      <c r="K3159" s="19">
        <v>405</v>
      </c>
      <c r="L3159" s="19">
        <v>32</v>
      </c>
      <c r="M3159" s="19">
        <v>2300</v>
      </c>
      <c r="N3159" s="19" t="s">
        <v>66</v>
      </c>
      <c r="O3159" s="19" t="s">
        <v>141</v>
      </c>
      <c r="P3159" s="99">
        <v>2060</v>
      </c>
      <c r="Q3159" s="98">
        <f>228+229+228+228+226</f>
        <v>1139</v>
      </c>
      <c r="S3159" s="274">
        <v>1120</v>
      </c>
      <c r="T3159" s="19" t="s">
        <v>42</v>
      </c>
      <c r="U3159" s="102" t="s">
        <v>1115</v>
      </c>
      <c r="V3159" s="186" t="s">
        <v>1110</v>
      </c>
      <c r="W3159" s="17" t="s">
        <v>69</v>
      </c>
      <c r="Y3159" s="68">
        <v>45130</v>
      </c>
      <c r="Z3159" s="17" t="s">
        <v>191</v>
      </c>
      <c r="AA3159" s="17" t="s">
        <v>46</v>
      </c>
      <c r="AB3159" s="17" t="s">
        <v>1116</v>
      </c>
      <c r="AC3159" s="102" t="s">
        <v>1117</v>
      </c>
      <c r="AD3159" s="65">
        <v>1443</v>
      </c>
      <c r="AE3159" s="17" t="s">
        <v>74</v>
      </c>
    </row>
    <row r="3160" s="17" customFormat="1" ht="15.6" hidden="1" spans="1:31">
      <c r="A3160" s="17" t="s">
        <v>34</v>
      </c>
      <c r="B3160" s="19">
        <v>908</v>
      </c>
      <c r="C3160" s="183" t="s">
        <v>1110</v>
      </c>
      <c r="D3160" s="17" t="s">
        <v>52</v>
      </c>
      <c r="E3160" s="17" t="s">
        <v>1113</v>
      </c>
      <c r="F3160" s="17" t="s">
        <v>54</v>
      </c>
      <c r="H3160" s="19" t="s">
        <v>1114</v>
      </c>
      <c r="I3160" s="19"/>
      <c r="J3160" s="17" t="s">
        <v>82</v>
      </c>
      <c r="K3160" s="19">
        <v>405</v>
      </c>
      <c r="L3160" s="19">
        <v>32</v>
      </c>
      <c r="M3160" s="19">
        <v>2300</v>
      </c>
      <c r="N3160" s="19" t="s">
        <v>66</v>
      </c>
      <c r="O3160" s="19" t="s">
        <v>141</v>
      </c>
      <c r="P3160" s="99"/>
      <c r="Q3160" s="98">
        <v>685</v>
      </c>
      <c r="R3160" s="99">
        <f>+P3159-Q3159-Q3160</f>
        <v>236</v>
      </c>
      <c r="S3160" s="274">
        <v>1120</v>
      </c>
      <c r="T3160" s="19" t="s">
        <v>42</v>
      </c>
      <c r="U3160" s="102" t="s">
        <v>1115</v>
      </c>
      <c r="V3160" s="186" t="s">
        <v>1110</v>
      </c>
      <c r="W3160" s="17" t="s">
        <v>69</v>
      </c>
      <c r="Y3160" s="68">
        <v>45130</v>
      </c>
      <c r="Z3160" s="17" t="s">
        <v>191</v>
      </c>
      <c r="AA3160" s="17" t="s">
        <v>46</v>
      </c>
      <c r="AB3160" s="17" t="s">
        <v>1119</v>
      </c>
      <c r="AC3160" s="102" t="s">
        <v>1120</v>
      </c>
      <c r="AD3160" s="65">
        <v>1451</v>
      </c>
      <c r="AE3160" s="17" t="s">
        <v>74</v>
      </c>
    </row>
    <row r="3161" s="17" customFormat="1" ht="15.6" hidden="1" spans="1:31">
      <c r="A3161" s="17" t="s">
        <v>34</v>
      </c>
      <c r="B3161" s="19">
        <v>908</v>
      </c>
      <c r="C3161" s="183" t="s">
        <v>1110</v>
      </c>
      <c r="D3161" s="17" t="s">
        <v>52</v>
      </c>
      <c r="E3161" s="17" t="s">
        <v>1113</v>
      </c>
      <c r="F3161" s="17" t="s">
        <v>54</v>
      </c>
      <c r="H3161" s="19" t="s">
        <v>1114</v>
      </c>
      <c r="I3161" s="19"/>
      <c r="J3161" s="17" t="s">
        <v>82</v>
      </c>
      <c r="K3161" s="19">
        <v>455</v>
      </c>
      <c r="L3161" s="19">
        <v>32</v>
      </c>
      <c r="M3161" s="19">
        <v>2300</v>
      </c>
      <c r="N3161" s="19" t="s">
        <v>66</v>
      </c>
      <c r="O3161" s="19" t="s">
        <v>141</v>
      </c>
      <c r="P3161" s="99">
        <v>2057</v>
      </c>
      <c r="Q3161" s="98">
        <f>258+256+256</f>
        <v>770</v>
      </c>
      <c r="S3161" s="274">
        <v>1120</v>
      </c>
      <c r="T3161" s="19" t="s">
        <v>42</v>
      </c>
      <c r="U3161" s="102" t="s">
        <v>1115</v>
      </c>
      <c r="V3161" s="186" t="s">
        <v>1110</v>
      </c>
      <c r="W3161" s="17" t="s">
        <v>69</v>
      </c>
      <c r="Y3161" s="68">
        <v>45130</v>
      </c>
      <c r="Z3161" s="17" t="s">
        <v>191</v>
      </c>
      <c r="AA3161" s="17" t="s">
        <v>46</v>
      </c>
      <c r="AB3161" s="17" t="s">
        <v>1116</v>
      </c>
      <c r="AC3161" s="102" t="s">
        <v>1117</v>
      </c>
      <c r="AD3161" s="65">
        <v>1443</v>
      </c>
      <c r="AE3161" s="17" t="s">
        <v>74</v>
      </c>
    </row>
    <row r="3162" s="17" customFormat="1" ht="15.6" hidden="1" spans="1:31">
      <c r="A3162" s="17" t="s">
        <v>34</v>
      </c>
      <c r="B3162" s="19">
        <v>908</v>
      </c>
      <c r="C3162" s="183" t="s">
        <v>1110</v>
      </c>
      <c r="D3162" s="17" t="s">
        <v>52</v>
      </c>
      <c r="E3162" s="17" t="s">
        <v>1113</v>
      </c>
      <c r="F3162" s="17" t="s">
        <v>54</v>
      </c>
      <c r="H3162" s="19" t="s">
        <v>1114</v>
      </c>
      <c r="I3162" s="19"/>
      <c r="J3162" s="17" t="s">
        <v>82</v>
      </c>
      <c r="K3162" s="19">
        <v>455</v>
      </c>
      <c r="L3162" s="19">
        <v>32</v>
      </c>
      <c r="M3162" s="19">
        <v>2300</v>
      </c>
      <c r="N3162" s="19" t="s">
        <v>66</v>
      </c>
      <c r="O3162" s="19" t="s">
        <v>141</v>
      </c>
      <c r="P3162" s="99"/>
      <c r="Q3162" s="98">
        <v>1243</v>
      </c>
      <c r="R3162" s="99">
        <f>+P3161-Q3161-Q3162</f>
        <v>44</v>
      </c>
      <c r="S3162" s="274">
        <v>1120</v>
      </c>
      <c r="T3162" s="19" t="s">
        <v>42</v>
      </c>
      <c r="U3162" s="102" t="s">
        <v>1115</v>
      </c>
      <c r="V3162" s="186" t="s">
        <v>1110</v>
      </c>
      <c r="W3162" s="17" t="s">
        <v>69</v>
      </c>
      <c r="Y3162" s="68">
        <v>45130</v>
      </c>
      <c r="Z3162" s="17" t="s">
        <v>191</v>
      </c>
      <c r="AA3162" s="17" t="s">
        <v>46</v>
      </c>
      <c r="AB3162" s="17" t="s">
        <v>1119</v>
      </c>
      <c r="AC3162" s="102" t="s">
        <v>1120</v>
      </c>
      <c r="AD3162" s="65">
        <v>1451</v>
      </c>
      <c r="AE3162" s="17" t="s">
        <v>74</v>
      </c>
    </row>
    <row r="3163" s="17" customFormat="1" ht="15.6" hidden="1" spans="1:31">
      <c r="A3163" s="17" t="s">
        <v>34</v>
      </c>
      <c r="B3163" s="19">
        <v>908</v>
      </c>
      <c r="C3163" s="183" t="s">
        <v>1110</v>
      </c>
      <c r="D3163" s="17" t="s">
        <v>52</v>
      </c>
      <c r="E3163" s="17" t="s">
        <v>1113</v>
      </c>
      <c r="F3163" s="17" t="s">
        <v>54</v>
      </c>
      <c r="H3163" s="19" t="s">
        <v>1114</v>
      </c>
      <c r="I3163" s="19"/>
      <c r="J3163" s="17" t="s">
        <v>82</v>
      </c>
      <c r="K3163" s="19">
        <v>505</v>
      </c>
      <c r="L3163" s="19">
        <v>32</v>
      </c>
      <c r="M3163" s="19">
        <v>2300</v>
      </c>
      <c r="N3163" s="19" t="s">
        <v>66</v>
      </c>
      <c r="O3163" s="19" t="s">
        <v>141</v>
      </c>
      <c r="P3163" s="99">
        <v>1998</v>
      </c>
      <c r="Q3163" s="98">
        <f>282+283+283+280+280</f>
        <v>1408</v>
      </c>
      <c r="S3163" s="274">
        <v>1120</v>
      </c>
      <c r="T3163" s="19" t="s">
        <v>42</v>
      </c>
      <c r="U3163" s="102" t="s">
        <v>1115</v>
      </c>
      <c r="V3163" s="186" t="s">
        <v>1110</v>
      </c>
      <c r="W3163" s="17" t="s">
        <v>69</v>
      </c>
      <c r="Y3163" s="68">
        <v>45130</v>
      </c>
      <c r="Z3163" s="17" t="s">
        <v>191</v>
      </c>
      <c r="AA3163" s="17" t="s">
        <v>46</v>
      </c>
      <c r="AB3163" s="17" t="s">
        <v>1116</v>
      </c>
      <c r="AC3163" s="102" t="s">
        <v>1117</v>
      </c>
      <c r="AD3163" s="65">
        <v>1443</v>
      </c>
      <c r="AE3163" s="17" t="s">
        <v>74</v>
      </c>
    </row>
    <row r="3164" s="17" customFormat="1" ht="15.6" hidden="1" spans="1:31">
      <c r="A3164" s="17" t="s">
        <v>34</v>
      </c>
      <c r="B3164" s="19">
        <v>908</v>
      </c>
      <c r="C3164" s="183" t="s">
        <v>1110</v>
      </c>
      <c r="D3164" s="17" t="s">
        <v>52</v>
      </c>
      <c r="E3164" s="17" t="s">
        <v>1113</v>
      </c>
      <c r="F3164" s="17" t="s">
        <v>54</v>
      </c>
      <c r="H3164" s="19" t="s">
        <v>1114</v>
      </c>
      <c r="I3164" s="19"/>
      <c r="J3164" s="17" t="s">
        <v>82</v>
      </c>
      <c r="K3164" s="19">
        <v>505</v>
      </c>
      <c r="L3164" s="19">
        <v>32</v>
      </c>
      <c r="M3164" s="19">
        <v>2300</v>
      </c>
      <c r="N3164" s="19" t="s">
        <v>66</v>
      </c>
      <c r="O3164" s="19" t="s">
        <v>141</v>
      </c>
      <c r="P3164" s="99"/>
      <c r="Q3164" s="98">
        <v>564</v>
      </c>
      <c r="R3164" s="99">
        <f>+P3163-Q3163-Q3164</f>
        <v>26</v>
      </c>
      <c r="S3164" s="274">
        <v>1120</v>
      </c>
      <c r="T3164" s="19" t="s">
        <v>42</v>
      </c>
      <c r="U3164" s="102" t="s">
        <v>1115</v>
      </c>
      <c r="V3164" s="186" t="s">
        <v>1110</v>
      </c>
      <c r="W3164" s="17" t="s">
        <v>69</v>
      </c>
      <c r="Y3164" s="68">
        <v>45130</v>
      </c>
      <c r="Z3164" s="17" t="s">
        <v>191</v>
      </c>
      <c r="AA3164" s="17" t="s">
        <v>46</v>
      </c>
      <c r="AB3164" s="17" t="s">
        <v>1119</v>
      </c>
      <c r="AC3164" s="102" t="s">
        <v>1120</v>
      </c>
      <c r="AD3164" s="65">
        <v>1451</v>
      </c>
      <c r="AE3164" s="17" t="s">
        <v>74</v>
      </c>
    </row>
    <row r="3165" s="17" customFormat="1" ht="15.6" hidden="1" spans="1:31">
      <c r="A3165" s="17" t="s">
        <v>34</v>
      </c>
      <c r="B3165" s="19">
        <v>908</v>
      </c>
      <c r="C3165" s="183" t="s">
        <v>1110</v>
      </c>
      <c r="D3165" s="17" t="s">
        <v>52</v>
      </c>
      <c r="E3165" s="17" t="s">
        <v>1113</v>
      </c>
      <c r="F3165" s="17" t="s">
        <v>54</v>
      </c>
      <c r="H3165" s="19" t="s">
        <v>1114</v>
      </c>
      <c r="I3165" s="19"/>
      <c r="J3165" s="17" t="s">
        <v>82</v>
      </c>
      <c r="K3165" s="19">
        <v>205</v>
      </c>
      <c r="L3165" s="19">
        <v>35</v>
      </c>
      <c r="M3165" s="19">
        <v>2300</v>
      </c>
      <c r="N3165" s="19" t="s">
        <v>66</v>
      </c>
      <c r="O3165" s="19" t="s">
        <v>141</v>
      </c>
      <c r="P3165" s="99">
        <v>1014</v>
      </c>
      <c r="Q3165" s="98">
        <f>135+136+135+135+135+136+136+135</f>
        <v>1083</v>
      </c>
      <c r="R3165" s="99">
        <f>+P3165-Q3165</f>
        <v>-69</v>
      </c>
      <c r="S3165" s="274">
        <v>1120</v>
      </c>
      <c r="T3165" s="19" t="s">
        <v>42</v>
      </c>
      <c r="U3165" s="102" t="s">
        <v>1115</v>
      </c>
      <c r="V3165" s="186" t="s">
        <v>1110</v>
      </c>
      <c r="W3165" s="17" t="s">
        <v>69</v>
      </c>
      <c r="Y3165" s="68">
        <v>45130</v>
      </c>
      <c r="Z3165" s="17" t="s">
        <v>191</v>
      </c>
      <c r="AA3165" s="17" t="s">
        <v>46</v>
      </c>
      <c r="AB3165" s="17" t="s">
        <v>1116</v>
      </c>
      <c r="AC3165" s="102" t="s">
        <v>1117</v>
      </c>
      <c r="AD3165" s="65">
        <v>1443</v>
      </c>
      <c r="AE3165" s="17" t="s">
        <v>74</v>
      </c>
    </row>
    <row r="3166" s="17" customFormat="1" ht="15.6" hidden="1" spans="1:31">
      <c r="A3166" s="17" t="s">
        <v>34</v>
      </c>
      <c r="B3166" s="19">
        <v>908</v>
      </c>
      <c r="C3166" s="183" t="s">
        <v>1110</v>
      </c>
      <c r="D3166" s="17" t="s">
        <v>52</v>
      </c>
      <c r="E3166" s="17" t="s">
        <v>1113</v>
      </c>
      <c r="F3166" s="17" t="s">
        <v>54</v>
      </c>
      <c r="H3166" s="19" t="s">
        <v>1114</v>
      </c>
      <c r="I3166" s="19"/>
      <c r="J3166" s="17" t="s">
        <v>82</v>
      </c>
      <c r="K3166" s="19">
        <v>255</v>
      </c>
      <c r="L3166" s="19">
        <v>35</v>
      </c>
      <c r="M3166" s="19">
        <v>2300</v>
      </c>
      <c r="N3166" s="19" t="s">
        <v>66</v>
      </c>
      <c r="O3166" s="19" t="s">
        <v>141</v>
      </c>
      <c r="P3166" s="99">
        <v>946</v>
      </c>
      <c r="Q3166" s="98">
        <v>1008</v>
      </c>
      <c r="R3166" s="99">
        <f>+P3166-Q3166</f>
        <v>-62</v>
      </c>
      <c r="S3166" s="274">
        <v>1120</v>
      </c>
      <c r="T3166" s="19" t="s">
        <v>42</v>
      </c>
      <c r="U3166" s="102" t="s">
        <v>1115</v>
      </c>
      <c r="V3166" s="186" t="s">
        <v>1110</v>
      </c>
      <c r="W3166" s="17" t="s">
        <v>69</v>
      </c>
      <c r="Y3166" s="68">
        <v>45130</v>
      </c>
      <c r="Z3166" s="17" t="s">
        <v>191</v>
      </c>
      <c r="AA3166" s="17" t="s">
        <v>46</v>
      </c>
      <c r="AB3166" s="17" t="s">
        <v>1119</v>
      </c>
      <c r="AC3166" s="102" t="s">
        <v>1120</v>
      </c>
      <c r="AD3166" s="65">
        <v>1451</v>
      </c>
      <c r="AE3166" s="17" t="s">
        <v>74</v>
      </c>
    </row>
    <row r="3167" s="17" customFormat="1" ht="15.6" hidden="1" spans="1:31">
      <c r="A3167" s="17" t="s">
        <v>34</v>
      </c>
      <c r="B3167" s="19">
        <v>908</v>
      </c>
      <c r="C3167" s="183" t="s">
        <v>1110</v>
      </c>
      <c r="D3167" s="17" t="s">
        <v>52</v>
      </c>
      <c r="E3167" s="17" t="s">
        <v>1113</v>
      </c>
      <c r="F3167" s="17" t="s">
        <v>54</v>
      </c>
      <c r="H3167" s="19" t="s">
        <v>1114</v>
      </c>
      <c r="I3167" s="19"/>
      <c r="J3167" s="17" t="s">
        <v>82</v>
      </c>
      <c r="K3167" s="19">
        <v>305</v>
      </c>
      <c r="L3167" s="19">
        <v>35</v>
      </c>
      <c r="M3167" s="19">
        <v>2300</v>
      </c>
      <c r="N3167" s="19" t="s">
        <v>66</v>
      </c>
      <c r="O3167" s="19" t="s">
        <v>141</v>
      </c>
      <c r="P3167" s="99">
        <v>943</v>
      </c>
      <c r="Q3167" s="98">
        <f>199+201+203+203+203</f>
        <v>1009</v>
      </c>
      <c r="S3167" s="274">
        <v>1120</v>
      </c>
      <c r="T3167" s="19" t="s">
        <v>42</v>
      </c>
      <c r="U3167" s="102" t="s">
        <v>1115</v>
      </c>
      <c r="V3167" s="186" t="s">
        <v>1110</v>
      </c>
      <c r="W3167" s="17" t="s">
        <v>69</v>
      </c>
      <c r="Y3167" s="68">
        <v>45130</v>
      </c>
      <c r="Z3167" s="17" t="s">
        <v>191</v>
      </c>
      <c r="AA3167" s="17" t="s">
        <v>46</v>
      </c>
      <c r="AB3167" s="17" t="s">
        <v>1116</v>
      </c>
      <c r="AC3167" s="102" t="s">
        <v>1117</v>
      </c>
      <c r="AD3167" s="65">
        <v>1443</v>
      </c>
      <c r="AE3167" s="17" t="s">
        <v>74</v>
      </c>
    </row>
    <row r="3168" s="17" customFormat="1" ht="15.6" hidden="1" spans="1:31">
      <c r="A3168" s="17" t="s">
        <v>34</v>
      </c>
      <c r="B3168" s="19">
        <v>908</v>
      </c>
      <c r="C3168" s="183" t="s">
        <v>1110</v>
      </c>
      <c r="D3168" s="17" t="s">
        <v>52</v>
      </c>
      <c r="E3168" s="17" t="s">
        <v>1113</v>
      </c>
      <c r="F3168" s="17" t="s">
        <v>54</v>
      </c>
      <c r="H3168" s="19" t="s">
        <v>1114</v>
      </c>
      <c r="I3168" s="19"/>
      <c r="J3168" s="17" t="s">
        <v>82</v>
      </c>
      <c r="K3168" s="19">
        <v>305</v>
      </c>
      <c r="L3168" s="19">
        <v>35</v>
      </c>
      <c r="M3168" s="19">
        <v>2300</v>
      </c>
      <c r="N3168" s="19" t="s">
        <v>66</v>
      </c>
      <c r="O3168" s="19" t="s">
        <v>141</v>
      </c>
      <c r="P3168" s="99"/>
      <c r="Q3168" s="98">
        <f>802+400</f>
        <v>1202</v>
      </c>
      <c r="R3168" s="99">
        <f>+P3167-Q3167-Q3168</f>
        <v>-1268</v>
      </c>
      <c r="S3168" s="274">
        <v>1120</v>
      </c>
      <c r="T3168" s="19" t="s">
        <v>42</v>
      </c>
      <c r="U3168" s="102" t="s">
        <v>1115</v>
      </c>
      <c r="V3168" s="186" t="s">
        <v>1110</v>
      </c>
      <c r="W3168" s="17" t="s">
        <v>69</v>
      </c>
      <c r="Y3168" s="68">
        <v>45130</v>
      </c>
      <c r="Z3168" s="17" t="s">
        <v>191</v>
      </c>
      <c r="AA3168" s="17" t="s">
        <v>46</v>
      </c>
      <c r="AB3168" s="17" t="s">
        <v>1119</v>
      </c>
      <c r="AC3168" s="102" t="s">
        <v>1120</v>
      </c>
      <c r="AD3168" s="65">
        <v>1451</v>
      </c>
      <c r="AE3168" s="17" t="s">
        <v>74</v>
      </c>
    </row>
    <row r="3169" s="17" customFormat="1" ht="15.6" hidden="1" spans="1:31">
      <c r="A3169" s="17" t="s">
        <v>34</v>
      </c>
      <c r="B3169" s="19">
        <v>908</v>
      </c>
      <c r="C3169" s="183" t="s">
        <v>1110</v>
      </c>
      <c r="D3169" s="17" t="s">
        <v>52</v>
      </c>
      <c r="E3169" s="17" t="s">
        <v>1113</v>
      </c>
      <c r="F3169" s="17" t="s">
        <v>54</v>
      </c>
      <c r="H3169" s="19" t="s">
        <v>1114</v>
      </c>
      <c r="I3169" s="19"/>
      <c r="J3169" s="17" t="s">
        <v>82</v>
      </c>
      <c r="K3169" s="19">
        <v>355</v>
      </c>
      <c r="L3169" s="19">
        <v>35</v>
      </c>
      <c r="M3169" s="19">
        <v>2300</v>
      </c>
      <c r="N3169" s="19" t="s">
        <v>66</v>
      </c>
      <c r="O3169" s="19" t="s">
        <v>141</v>
      </c>
      <c r="P3169" s="99">
        <v>878</v>
      </c>
      <c r="Q3169" s="19">
        <f>234+697</f>
        <v>931</v>
      </c>
      <c r="R3169" s="99">
        <f t="shared" ref="R3169:R3174" si="158">+P3169-Q3169</f>
        <v>-53</v>
      </c>
      <c r="S3169" s="274">
        <v>1120</v>
      </c>
      <c r="T3169" s="19" t="s">
        <v>42</v>
      </c>
      <c r="U3169" s="102" t="s">
        <v>1115</v>
      </c>
      <c r="V3169" s="186" t="s">
        <v>1110</v>
      </c>
      <c r="W3169" s="17" t="s">
        <v>69</v>
      </c>
      <c r="Y3169" s="68">
        <v>45130</v>
      </c>
      <c r="Z3169" s="17" t="s">
        <v>191</v>
      </c>
      <c r="AA3169" s="17" t="s">
        <v>46</v>
      </c>
      <c r="AB3169" s="17" t="s">
        <v>1119</v>
      </c>
      <c r="AC3169" s="102" t="s">
        <v>1120</v>
      </c>
      <c r="AD3169" s="65">
        <v>1451</v>
      </c>
      <c r="AE3169" s="17" t="s">
        <v>74</v>
      </c>
    </row>
    <row r="3170" s="17" customFormat="1" ht="15.6" hidden="1" spans="1:31">
      <c r="A3170" s="17" t="s">
        <v>34</v>
      </c>
      <c r="B3170" s="19">
        <v>908</v>
      </c>
      <c r="C3170" s="183" t="s">
        <v>1110</v>
      </c>
      <c r="D3170" s="17" t="s">
        <v>52</v>
      </c>
      <c r="E3170" s="17" t="s">
        <v>1113</v>
      </c>
      <c r="F3170" s="17" t="s">
        <v>54</v>
      </c>
      <c r="H3170" s="19" t="s">
        <v>1114</v>
      </c>
      <c r="I3170" s="19"/>
      <c r="J3170" s="17" t="s">
        <v>82</v>
      </c>
      <c r="K3170" s="19">
        <v>405</v>
      </c>
      <c r="L3170" s="19">
        <v>35</v>
      </c>
      <c r="M3170" s="19">
        <v>2300</v>
      </c>
      <c r="N3170" s="19" t="s">
        <v>66</v>
      </c>
      <c r="O3170" s="19" t="s">
        <v>141</v>
      </c>
      <c r="P3170" s="99">
        <v>1001</v>
      </c>
      <c r="Q3170" s="19">
        <v>805</v>
      </c>
      <c r="R3170" s="99">
        <f t="shared" si="158"/>
        <v>196</v>
      </c>
      <c r="S3170" s="274">
        <v>1120</v>
      </c>
      <c r="T3170" s="19" t="s">
        <v>42</v>
      </c>
      <c r="U3170" s="102" t="s">
        <v>1115</v>
      </c>
      <c r="V3170" s="186" t="s">
        <v>1110</v>
      </c>
      <c r="W3170" s="17" t="s">
        <v>69</v>
      </c>
      <c r="Y3170" s="68">
        <v>45130</v>
      </c>
      <c r="Z3170" s="17" t="s">
        <v>191</v>
      </c>
      <c r="AA3170" s="17" t="s">
        <v>46</v>
      </c>
      <c r="AB3170" s="17" t="s">
        <v>1119</v>
      </c>
      <c r="AC3170" s="102" t="s">
        <v>1120</v>
      </c>
      <c r="AD3170" s="65">
        <v>1451</v>
      </c>
      <c r="AE3170" s="17" t="s">
        <v>74</v>
      </c>
    </row>
    <row r="3171" s="17" customFormat="1" ht="15.6" hidden="1" spans="1:31">
      <c r="A3171" s="17" t="s">
        <v>34</v>
      </c>
      <c r="B3171" s="19">
        <v>908</v>
      </c>
      <c r="C3171" s="183" t="s">
        <v>1110</v>
      </c>
      <c r="D3171" s="17" t="s">
        <v>52</v>
      </c>
      <c r="E3171" s="17" t="s">
        <v>1113</v>
      </c>
      <c r="F3171" s="17" t="s">
        <v>54</v>
      </c>
      <c r="H3171" s="19" t="s">
        <v>1114</v>
      </c>
      <c r="I3171" s="19"/>
      <c r="J3171" s="17" t="s">
        <v>82</v>
      </c>
      <c r="K3171" s="19">
        <v>455</v>
      </c>
      <c r="L3171" s="19">
        <v>35</v>
      </c>
      <c r="M3171" s="19">
        <v>2300</v>
      </c>
      <c r="N3171" s="19" t="s">
        <v>66</v>
      </c>
      <c r="O3171" s="19" t="s">
        <v>141</v>
      </c>
      <c r="P3171" s="99">
        <v>1125</v>
      </c>
      <c r="Q3171" s="19">
        <v>297</v>
      </c>
      <c r="R3171" s="99">
        <f t="shared" si="158"/>
        <v>828</v>
      </c>
      <c r="S3171" s="274">
        <v>1120</v>
      </c>
      <c r="T3171" s="19" t="s">
        <v>42</v>
      </c>
      <c r="U3171" s="102" t="s">
        <v>1115</v>
      </c>
      <c r="V3171" s="186" t="s">
        <v>1110</v>
      </c>
      <c r="W3171" s="17" t="s">
        <v>69</v>
      </c>
      <c r="Y3171" s="68">
        <v>45130</v>
      </c>
      <c r="Z3171" s="17" t="s">
        <v>191</v>
      </c>
      <c r="AA3171" s="17" t="s">
        <v>46</v>
      </c>
      <c r="AB3171" s="17" t="s">
        <v>1119</v>
      </c>
      <c r="AC3171" s="102" t="s">
        <v>1120</v>
      </c>
      <c r="AD3171" s="65">
        <v>1451</v>
      </c>
      <c r="AE3171" s="17" t="s">
        <v>74</v>
      </c>
    </row>
    <row r="3172" s="17" customFormat="1" ht="15.6" hidden="1" spans="1:31">
      <c r="A3172" s="17" t="s">
        <v>34</v>
      </c>
      <c r="B3172" s="19">
        <v>908</v>
      </c>
      <c r="C3172" s="183" t="s">
        <v>1110</v>
      </c>
      <c r="D3172" s="17" t="s">
        <v>52</v>
      </c>
      <c r="E3172" s="17" t="s">
        <v>1113</v>
      </c>
      <c r="F3172" s="17" t="s">
        <v>54</v>
      </c>
      <c r="H3172" s="19" t="s">
        <v>1114</v>
      </c>
      <c r="I3172" s="19"/>
      <c r="J3172" s="17" t="s">
        <v>82</v>
      </c>
      <c r="K3172" s="19">
        <v>505</v>
      </c>
      <c r="L3172" s="19">
        <v>35</v>
      </c>
      <c r="M3172" s="19">
        <v>2300</v>
      </c>
      <c r="N3172" s="19" t="s">
        <v>66</v>
      </c>
      <c r="O3172" s="19" t="s">
        <v>141</v>
      </c>
      <c r="P3172" s="99">
        <v>937</v>
      </c>
      <c r="Q3172" s="19">
        <v>992</v>
      </c>
      <c r="R3172" s="99">
        <f t="shared" si="158"/>
        <v>-55</v>
      </c>
      <c r="S3172" s="274">
        <v>1120</v>
      </c>
      <c r="T3172" s="19" t="s">
        <v>42</v>
      </c>
      <c r="U3172" s="102" t="s">
        <v>1115</v>
      </c>
      <c r="V3172" s="186" t="s">
        <v>1110</v>
      </c>
      <c r="W3172" s="17" t="s">
        <v>69</v>
      </c>
      <c r="Y3172" s="68">
        <v>45130</v>
      </c>
      <c r="Z3172" s="17" t="s">
        <v>191</v>
      </c>
      <c r="AA3172" s="17" t="s">
        <v>46</v>
      </c>
      <c r="AB3172" s="17" t="s">
        <v>1119</v>
      </c>
      <c r="AC3172" s="102" t="s">
        <v>1120</v>
      </c>
      <c r="AD3172" s="65">
        <v>1451</v>
      </c>
      <c r="AE3172" s="17" t="s">
        <v>74</v>
      </c>
    </row>
    <row r="3173" s="17" customFormat="1" ht="15.6" hidden="1" spans="1:31">
      <c r="A3173" s="17" t="s">
        <v>34</v>
      </c>
      <c r="B3173" s="19">
        <v>908</v>
      </c>
      <c r="C3173" s="183" t="s">
        <v>1110</v>
      </c>
      <c r="D3173" s="17" t="s">
        <v>52</v>
      </c>
      <c r="E3173" s="17" t="s">
        <v>1113</v>
      </c>
      <c r="F3173" s="17" t="s">
        <v>54</v>
      </c>
      <c r="H3173" s="19" t="s">
        <v>1114</v>
      </c>
      <c r="I3173" s="19"/>
      <c r="J3173" s="17" t="s">
        <v>82</v>
      </c>
      <c r="K3173" s="19">
        <v>205</v>
      </c>
      <c r="L3173" s="19">
        <v>40</v>
      </c>
      <c r="M3173" s="19">
        <v>2300</v>
      </c>
      <c r="N3173" s="19" t="s">
        <v>66</v>
      </c>
      <c r="O3173" s="19" t="s">
        <v>141</v>
      </c>
      <c r="P3173" s="99">
        <v>2028</v>
      </c>
      <c r="Q3173" s="19">
        <f>883+1026+148</f>
        <v>2057</v>
      </c>
      <c r="R3173" s="99">
        <f t="shared" si="158"/>
        <v>-29</v>
      </c>
      <c r="S3173" s="274">
        <v>1120</v>
      </c>
      <c r="T3173" s="19" t="s">
        <v>42</v>
      </c>
      <c r="U3173" s="102" t="s">
        <v>1115</v>
      </c>
      <c r="V3173" s="186" t="s">
        <v>1110</v>
      </c>
      <c r="W3173" s="17" t="s">
        <v>69</v>
      </c>
      <c r="Y3173" s="68">
        <v>45130</v>
      </c>
      <c r="Z3173" s="17" t="s">
        <v>191</v>
      </c>
      <c r="AA3173" s="17" t="s">
        <v>46</v>
      </c>
      <c r="AB3173" s="17" t="s">
        <v>1119</v>
      </c>
      <c r="AC3173" s="102" t="s">
        <v>1120</v>
      </c>
      <c r="AD3173" s="65">
        <v>1451</v>
      </c>
      <c r="AE3173" s="17" t="s">
        <v>74</v>
      </c>
    </row>
    <row r="3174" s="17" customFormat="1" ht="15.6" hidden="1" spans="1:31">
      <c r="A3174" s="17" t="s">
        <v>34</v>
      </c>
      <c r="B3174" s="19">
        <v>908</v>
      </c>
      <c r="C3174" s="183" t="s">
        <v>1110</v>
      </c>
      <c r="D3174" s="17" t="s">
        <v>52</v>
      </c>
      <c r="E3174" s="17" t="s">
        <v>1113</v>
      </c>
      <c r="F3174" s="17" t="s">
        <v>54</v>
      </c>
      <c r="H3174" s="19" t="s">
        <v>1114</v>
      </c>
      <c r="I3174" s="19"/>
      <c r="J3174" s="17" t="s">
        <v>82</v>
      </c>
      <c r="K3174" s="19">
        <v>255</v>
      </c>
      <c r="L3174" s="19">
        <v>40</v>
      </c>
      <c r="M3174" s="19">
        <v>2300</v>
      </c>
      <c r="N3174" s="19" t="s">
        <v>66</v>
      </c>
      <c r="O3174" s="19" t="s">
        <v>141</v>
      </c>
      <c r="P3174" s="99">
        <v>2162</v>
      </c>
      <c r="Q3174" s="19">
        <f>1455+730</f>
        <v>2185</v>
      </c>
      <c r="R3174" s="99">
        <f t="shared" si="158"/>
        <v>-23</v>
      </c>
      <c r="S3174" s="274">
        <v>1120</v>
      </c>
      <c r="T3174" s="19" t="s">
        <v>42</v>
      </c>
      <c r="U3174" s="102" t="s">
        <v>1115</v>
      </c>
      <c r="V3174" s="186" t="s">
        <v>1110</v>
      </c>
      <c r="W3174" s="17" t="s">
        <v>69</v>
      </c>
      <c r="Y3174" s="68">
        <v>45130</v>
      </c>
      <c r="Z3174" s="17" t="s">
        <v>191</v>
      </c>
      <c r="AA3174" s="17" t="s">
        <v>46</v>
      </c>
      <c r="AB3174" s="17" t="s">
        <v>1119</v>
      </c>
      <c r="AC3174" s="102" t="s">
        <v>1120</v>
      </c>
      <c r="AD3174" s="65">
        <v>1451</v>
      </c>
      <c r="AE3174" s="17" t="s">
        <v>74</v>
      </c>
    </row>
    <row r="3175" s="17" customFormat="1" ht="15.6" hidden="1" spans="1:31">
      <c r="A3175" s="17" t="s">
        <v>34</v>
      </c>
      <c r="B3175" s="19">
        <v>908</v>
      </c>
      <c r="C3175" s="183" t="s">
        <v>1110</v>
      </c>
      <c r="D3175" s="17" t="s">
        <v>52</v>
      </c>
      <c r="E3175" s="17" t="s">
        <v>1113</v>
      </c>
      <c r="F3175" s="17" t="s">
        <v>54</v>
      </c>
      <c r="H3175" s="19" t="s">
        <v>1114</v>
      </c>
      <c r="I3175" s="19"/>
      <c r="J3175" s="17" t="s">
        <v>82</v>
      </c>
      <c r="K3175" s="19">
        <v>305</v>
      </c>
      <c r="L3175" s="19">
        <v>40</v>
      </c>
      <c r="M3175" s="19">
        <v>2300</v>
      </c>
      <c r="N3175" s="19" t="s">
        <v>66</v>
      </c>
      <c r="O3175" s="19" t="s">
        <v>141</v>
      </c>
      <c r="P3175" s="99">
        <v>2155</v>
      </c>
      <c r="Q3175" s="19">
        <f>1959+219</f>
        <v>2178</v>
      </c>
      <c r="S3175" s="274">
        <v>1120</v>
      </c>
      <c r="T3175" s="19" t="s">
        <v>42</v>
      </c>
      <c r="U3175" s="102" t="s">
        <v>1115</v>
      </c>
      <c r="V3175" s="186" t="s">
        <v>1110</v>
      </c>
      <c r="W3175" s="17" t="s">
        <v>69</v>
      </c>
      <c r="Y3175" s="68">
        <v>45130</v>
      </c>
      <c r="Z3175" s="17" t="s">
        <v>191</v>
      </c>
      <c r="AA3175" s="17" t="s">
        <v>46</v>
      </c>
      <c r="AB3175" s="17" t="s">
        <v>1119</v>
      </c>
      <c r="AC3175" s="102" t="s">
        <v>1120</v>
      </c>
      <c r="AD3175" s="65">
        <v>1451</v>
      </c>
      <c r="AE3175" s="17" t="s">
        <v>74</v>
      </c>
    </row>
    <row r="3176" s="17" customFormat="1" ht="15.6" hidden="1" spans="1:31">
      <c r="A3176" s="17" t="s">
        <v>34</v>
      </c>
      <c r="B3176" s="19">
        <v>908</v>
      </c>
      <c r="C3176" s="183" t="s">
        <v>1110</v>
      </c>
      <c r="D3176" s="17" t="s">
        <v>52</v>
      </c>
      <c r="E3176" s="17" t="s">
        <v>1113</v>
      </c>
      <c r="F3176" s="17" t="s">
        <v>54</v>
      </c>
      <c r="H3176" s="19" t="s">
        <v>1114</v>
      </c>
      <c r="I3176" s="19"/>
      <c r="J3176" s="17" t="s">
        <v>82</v>
      </c>
      <c r="K3176" s="19">
        <v>305</v>
      </c>
      <c r="L3176" s="19">
        <v>43</v>
      </c>
      <c r="M3176" s="19">
        <v>2300</v>
      </c>
      <c r="N3176" s="19" t="s">
        <v>66</v>
      </c>
      <c r="O3176" s="19" t="s">
        <v>141</v>
      </c>
      <c r="P3176" s="99"/>
      <c r="Q3176" s="19">
        <f>236+235+234+232+235</f>
        <v>1172</v>
      </c>
      <c r="S3176" s="274">
        <f>1120-40</f>
        <v>1080</v>
      </c>
      <c r="T3176" s="19" t="s">
        <v>42</v>
      </c>
      <c r="U3176" s="102" t="s">
        <v>1115</v>
      </c>
      <c r="V3176" s="186" t="s">
        <v>1110</v>
      </c>
      <c r="W3176" s="17" t="s">
        <v>44</v>
      </c>
      <c r="Y3176" s="68">
        <v>45130</v>
      </c>
      <c r="Z3176" s="17" t="s">
        <v>191</v>
      </c>
      <c r="AA3176" s="17" t="s">
        <v>46</v>
      </c>
      <c r="AB3176" s="17" t="s">
        <v>1136</v>
      </c>
      <c r="AC3176" s="217">
        <v>44937</v>
      </c>
      <c r="AD3176" s="65">
        <v>1476</v>
      </c>
      <c r="AE3176" s="17" t="s">
        <v>74</v>
      </c>
    </row>
    <row r="3177" s="17" customFormat="1" ht="15.6" hidden="1" spans="1:31">
      <c r="A3177" s="17" t="s">
        <v>34</v>
      </c>
      <c r="B3177" s="19">
        <v>908</v>
      </c>
      <c r="C3177" s="183" t="s">
        <v>1110</v>
      </c>
      <c r="D3177" s="17" t="s">
        <v>52</v>
      </c>
      <c r="E3177" s="17" t="s">
        <v>1113</v>
      </c>
      <c r="F3177" s="17" t="s">
        <v>54</v>
      </c>
      <c r="H3177" s="19" t="s">
        <v>1114</v>
      </c>
      <c r="I3177" s="19"/>
      <c r="J3177" s="17" t="s">
        <v>82</v>
      </c>
      <c r="K3177" s="19">
        <v>305</v>
      </c>
      <c r="L3177" s="19">
        <v>43</v>
      </c>
      <c r="M3177" s="19">
        <v>2300</v>
      </c>
      <c r="N3177" s="19" t="s">
        <v>66</v>
      </c>
      <c r="O3177" s="19" t="s">
        <v>141</v>
      </c>
      <c r="P3177" s="99"/>
      <c r="Q3177" s="19">
        <f>232+233+233</f>
        <v>698</v>
      </c>
      <c r="R3177" s="99">
        <f>+P3175-Q3175-Q3176-Q3177</f>
        <v>-1893</v>
      </c>
      <c r="S3177" s="274">
        <v>1120</v>
      </c>
      <c r="T3177" s="19" t="s">
        <v>42</v>
      </c>
      <c r="U3177" s="102" t="s">
        <v>1115</v>
      </c>
      <c r="V3177" s="186" t="s">
        <v>1110</v>
      </c>
      <c r="W3177" s="17" t="s">
        <v>69</v>
      </c>
      <c r="Y3177" s="68">
        <v>45130</v>
      </c>
      <c r="Z3177" s="17" t="s">
        <v>191</v>
      </c>
      <c r="AA3177" s="17" t="s">
        <v>46</v>
      </c>
      <c r="AB3177" s="17" t="s">
        <v>1137</v>
      </c>
      <c r="AC3177" s="217">
        <v>45210</v>
      </c>
      <c r="AD3177" s="65">
        <v>1489</v>
      </c>
      <c r="AE3177" s="17" t="s">
        <v>74</v>
      </c>
    </row>
    <row r="3178" s="17" customFormat="1" ht="15.6" hidden="1" spans="1:31">
      <c r="A3178" s="17" t="s">
        <v>34</v>
      </c>
      <c r="B3178" s="19">
        <v>908</v>
      </c>
      <c r="C3178" s="183" t="s">
        <v>1110</v>
      </c>
      <c r="D3178" s="17" t="s">
        <v>52</v>
      </c>
      <c r="E3178" s="17" t="s">
        <v>1113</v>
      </c>
      <c r="F3178" s="17" t="s">
        <v>54</v>
      </c>
      <c r="H3178" s="19" t="s">
        <v>1114</v>
      </c>
      <c r="I3178" s="19"/>
      <c r="J3178" s="17" t="s">
        <v>82</v>
      </c>
      <c r="K3178" s="19">
        <v>355</v>
      </c>
      <c r="L3178" s="19">
        <v>40</v>
      </c>
      <c r="M3178" s="19">
        <v>2300</v>
      </c>
      <c r="N3178" s="19" t="s">
        <v>66</v>
      </c>
      <c r="O3178" s="19" t="s">
        <v>141</v>
      </c>
      <c r="P3178" s="99">
        <v>2006</v>
      </c>
      <c r="Q3178" s="19">
        <v>2021</v>
      </c>
      <c r="S3178" s="274">
        <v>1120</v>
      </c>
      <c r="T3178" s="19" t="s">
        <v>42</v>
      </c>
      <c r="U3178" s="102" t="s">
        <v>1115</v>
      </c>
      <c r="V3178" s="186" t="s">
        <v>1110</v>
      </c>
      <c r="W3178" s="17" t="s">
        <v>69</v>
      </c>
      <c r="Y3178" s="68">
        <v>45130</v>
      </c>
      <c r="Z3178" s="17" t="s">
        <v>191</v>
      </c>
      <c r="AA3178" s="17" t="s">
        <v>46</v>
      </c>
      <c r="AB3178" s="17" t="s">
        <v>1119</v>
      </c>
      <c r="AC3178" s="102" t="s">
        <v>1120</v>
      </c>
      <c r="AD3178" s="65">
        <v>1451</v>
      </c>
      <c r="AE3178" s="17" t="s">
        <v>74</v>
      </c>
    </row>
    <row r="3179" s="17" customFormat="1" ht="15.6" hidden="1" spans="1:31">
      <c r="A3179" s="17" t="s">
        <v>34</v>
      </c>
      <c r="B3179" s="19">
        <v>908</v>
      </c>
      <c r="C3179" s="183" t="s">
        <v>1110</v>
      </c>
      <c r="D3179" s="17" t="s">
        <v>52</v>
      </c>
      <c r="E3179" s="17" t="s">
        <v>1113</v>
      </c>
      <c r="F3179" s="17" t="s">
        <v>54</v>
      </c>
      <c r="H3179" s="19" t="s">
        <v>1114</v>
      </c>
      <c r="I3179" s="19"/>
      <c r="J3179" s="17" t="s">
        <v>82</v>
      </c>
      <c r="K3179" s="19">
        <v>355</v>
      </c>
      <c r="L3179" s="19">
        <v>43</v>
      </c>
      <c r="M3179" s="19">
        <v>2200</v>
      </c>
      <c r="N3179" s="19" t="s">
        <v>66</v>
      </c>
      <c r="O3179" s="19" t="s">
        <v>141</v>
      </c>
      <c r="P3179" s="99"/>
      <c r="Q3179" s="19">
        <f>271+271</f>
        <v>542</v>
      </c>
      <c r="S3179" s="274">
        <f>1120-40</f>
        <v>1080</v>
      </c>
      <c r="T3179" s="19" t="s">
        <v>42</v>
      </c>
      <c r="U3179" s="102" t="s">
        <v>1115</v>
      </c>
      <c r="V3179" s="186" t="s">
        <v>1110</v>
      </c>
      <c r="W3179" s="17" t="s">
        <v>44</v>
      </c>
      <c r="Y3179" s="68">
        <v>45130</v>
      </c>
      <c r="Z3179" s="17" t="s">
        <v>191</v>
      </c>
      <c r="AA3179" s="17" t="s">
        <v>46</v>
      </c>
      <c r="AB3179" s="17" t="s">
        <v>1138</v>
      </c>
      <c r="AC3179" s="102" t="s">
        <v>1139</v>
      </c>
      <c r="AD3179" s="65">
        <v>1473</v>
      </c>
      <c r="AE3179" s="17" t="s">
        <v>74</v>
      </c>
    </row>
    <row r="3180" s="17" customFormat="1" ht="15.6" hidden="1" spans="1:31">
      <c r="A3180" s="17" t="s">
        <v>34</v>
      </c>
      <c r="B3180" s="19">
        <v>908</v>
      </c>
      <c r="C3180" s="183" t="s">
        <v>1110</v>
      </c>
      <c r="D3180" s="17" t="s">
        <v>52</v>
      </c>
      <c r="E3180" s="17" t="s">
        <v>1113</v>
      </c>
      <c r="F3180" s="17" t="s">
        <v>54</v>
      </c>
      <c r="H3180" s="19" t="s">
        <v>1114</v>
      </c>
      <c r="I3180" s="19"/>
      <c r="J3180" s="17" t="s">
        <v>82</v>
      </c>
      <c r="K3180" s="19">
        <v>355</v>
      </c>
      <c r="L3180" s="19">
        <v>43</v>
      </c>
      <c r="M3180" s="19">
        <v>2200</v>
      </c>
      <c r="N3180" s="19" t="s">
        <v>66</v>
      </c>
      <c r="O3180" s="19" t="s">
        <v>141</v>
      </c>
      <c r="P3180" s="99"/>
      <c r="Q3180" s="19">
        <f>269+271+270+271</f>
        <v>1081</v>
      </c>
      <c r="R3180" s="99">
        <f>+P3178-Q3178-Q3179-Q3180</f>
        <v>-1638</v>
      </c>
      <c r="S3180" s="274">
        <v>1120</v>
      </c>
      <c r="T3180" s="19" t="s">
        <v>42</v>
      </c>
      <c r="U3180" s="102" t="s">
        <v>1115</v>
      </c>
      <c r="V3180" s="186" t="s">
        <v>1110</v>
      </c>
      <c r="W3180" s="17" t="s">
        <v>69</v>
      </c>
      <c r="Y3180" s="68">
        <v>45130</v>
      </c>
      <c r="Z3180" s="17" t="s">
        <v>191</v>
      </c>
      <c r="AA3180" s="17" t="s">
        <v>46</v>
      </c>
      <c r="AB3180" s="17" t="s">
        <v>1137</v>
      </c>
      <c r="AC3180" s="217">
        <v>45210</v>
      </c>
      <c r="AD3180" s="65">
        <v>1489</v>
      </c>
      <c r="AE3180" s="17" t="s">
        <v>74</v>
      </c>
    </row>
    <row r="3181" s="17" customFormat="1" ht="15.6" hidden="1" spans="1:31">
      <c r="A3181" s="17" t="s">
        <v>34</v>
      </c>
      <c r="B3181" s="19">
        <v>908</v>
      </c>
      <c r="C3181" s="183" t="s">
        <v>1110</v>
      </c>
      <c r="D3181" s="17" t="s">
        <v>52</v>
      </c>
      <c r="E3181" s="17" t="s">
        <v>1113</v>
      </c>
      <c r="F3181" s="17" t="s">
        <v>54</v>
      </c>
      <c r="H3181" s="19" t="s">
        <v>1114</v>
      </c>
      <c r="I3181" s="19"/>
      <c r="J3181" s="17" t="s">
        <v>82</v>
      </c>
      <c r="K3181" s="19">
        <v>405</v>
      </c>
      <c r="L3181" s="19">
        <v>40</v>
      </c>
      <c r="M3181" s="19">
        <v>2300</v>
      </c>
      <c r="N3181" s="19" t="s">
        <v>66</v>
      </c>
      <c r="O3181" s="19" t="s">
        <v>141</v>
      </c>
      <c r="P3181" s="99">
        <v>2003</v>
      </c>
      <c r="Q3181" s="19">
        <f>287+2095</f>
        <v>2382</v>
      </c>
      <c r="S3181" s="274">
        <v>1120</v>
      </c>
      <c r="T3181" s="19" t="s">
        <v>42</v>
      </c>
      <c r="U3181" s="102" t="s">
        <v>1115</v>
      </c>
      <c r="V3181" s="186" t="s">
        <v>1110</v>
      </c>
      <c r="W3181" s="17" t="s">
        <v>69</v>
      </c>
      <c r="Y3181" s="68">
        <v>45130</v>
      </c>
      <c r="Z3181" s="17" t="s">
        <v>191</v>
      </c>
      <c r="AA3181" s="17" t="s">
        <v>46</v>
      </c>
      <c r="AB3181" s="17" t="s">
        <v>1119</v>
      </c>
      <c r="AC3181" s="102" t="s">
        <v>1120</v>
      </c>
      <c r="AD3181" s="65">
        <v>1451</v>
      </c>
      <c r="AE3181" s="17" t="s">
        <v>74</v>
      </c>
    </row>
    <row r="3182" s="17" customFormat="1" ht="15.6" hidden="1" spans="1:31">
      <c r="A3182" s="17" t="s">
        <v>34</v>
      </c>
      <c r="B3182" s="19">
        <v>908</v>
      </c>
      <c r="C3182" s="183" t="s">
        <v>1110</v>
      </c>
      <c r="D3182" s="17" t="s">
        <v>52</v>
      </c>
      <c r="E3182" s="17" t="s">
        <v>1113</v>
      </c>
      <c r="F3182" s="17" t="s">
        <v>54</v>
      </c>
      <c r="H3182" s="19" t="s">
        <v>1114</v>
      </c>
      <c r="I3182" s="19"/>
      <c r="J3182" s="17" t="s">
        <v>82</v>
      </c>
      <c r="K3182" s="19">
        <v>405</v>
      </c>
      <c r="L3182" s="19">
        <v>43</v>
      </c>
      <c r="M3182" s="19">
        <v>2200</v>
      </c>
      <c r="N3182" s="19" t="s">
        <v>66</v>
      </c>
      <c r="O3182" s="19" t="s">
        <v>141</v>
      </c>
      <c r="P3182" s="99"/>
      <c r="Q3182" s="19">
        <f>308+308</f>
        <v>616</v>
      </c>
      <c r="S3182" s="274">
        <f>1120-40</f>
        <v>1080</v>
      </c>
      <c r="T3182" s="19" t="s">
        <v>42</v>
      </c>
      <c r="U3182" s="102" t="s">
        <v>1115</v>
      </c>
      <c r="V3182" s="186" t="s">
        <v>1110</v>
      </c>
      <c r="W3182" s="17" t="s">
        <v>44</v>
      </c>
      <c r="Y3182" s="68">
        <v>45130</v>
      </c>
      <c r="Z3182" s="17" t="s">
        <v>191</v>
      </c>
      <c r="AA3182" s="17" t="s">
        <v>46</v>
      </c>
      <c r="AB3182" s="17" t="s">
        <v>1138</v>
      </c>
      <c r="AC3182" s="102" t="s">
        <v>1139</v>
      </c>
      <c r="AD3182" s="65">
        <v>1473</v>
      </c>
    </row>
    <row r="3183" s="17" customFormat="1" ht="15.6" hidden="1" spans="1:31">
      <c r="A3183" s="17" t="s">
        <v>34</v>
      </c>
      <c r="B3183" s="19">
        <v>908</v>
      </c>
      <c r="C3183" s="183" t="s">
        <v>1110</v>
      </c>
      <c r="D3183" s="17" t="s">
        <v>52</v>
      </c>
      <c r="E3183" s="17" t="s">
        <v>1113</v>
      </c>
      <c r="F3183" s="17" t="s">
        <v>54</v>
      </c>
      <c r="H3183" s="19" t="s">
        <v>1114</v>
      </c>
      <c r="I3183" s="19"/>
      <c r="J3183" s="17" t="s">
        <v>82</v>
      </c>
      <c r="K3183" s="19">
        <v>405</v>
      </c>
      <c r="L3183" s="19">
        <v>43</v>
      </c>
      <c r="M3183" s="19">
        <v>2200</v>
      </c>
      <c r="N3183" s="19" t="s">
        <v>66</v>
      </c>
      <c r="O3183" s="19" t="s">
        <v>141</v>
      </c>
      <c r="P3183" s="99"/>
      <c r="Q3183" s="19">
        <f>307+308+306+312</f>
        <v>1233</v>
      </c>
      <c r="S3183" s="274">
        <v>1120</v>
      </c>
      <c r="T3183" s="19" t="s">
        <v>42</v>
      </c>
      <c r="U3183" s="102" t="s">
        <v>1115</v>
      </c>
      <c r="V3183" s="186" t="s">
        <v>1110</v>
      </c>
      <c r="W3183" s="17" t="s">
        <v>69</v>
      </c>
      <c r="Y3183" s="68">
        <v>45130</v>
      </c>
      <c r="Z3183" s="17" t="s">
        <v>191</v>
      </c>
      <c r="AA3183" s="17" t="s">
        <v>46</v>
      </c>
      <c r="AB3183" s="17" t="s">
        <v>1137</v>
      </c>
      <c r="AC3183" s="217">
        <v>45210</v>
      </c>
      <c r="AD3183" s="65">
        <v>1489</v>
      </c>
    </row>
    <row r="3184" s="17" customFormat="1" ht="15.6" hidden="1" spans="1:31">
      <c r="A3184" s="17" t="s">
        <v>34</v>
      </c>
      <c r="B3184" s="19">
        <v>908</v>
      </c>
      <c r="C3184" s="183" t="s">
        <v>1110</v>
      </c>
      <c r="D3184" s="17" t="s">
        <v>52</v>
      </c>
      <c r="E3184" s="17" t="s">
        <v>1113</v>
      </c>
      <c r="F3184" s="17" t="s">
        <v>54</v>
      </c>
      <c r="H3184" s="19" t="s">
        <v>1114</v>
      </c>
      <c r="I3184" s="19"/>
      <c r="J3184" s="17" t="s">
        <v>82</v>
      </c>
      <c r="K3184" s="19">
        <v>230</v>
      </c>
      <c r="L3184" s="19">
        <v>45</v>
      </c>
      <c r="M3184" s="19">
        <v>2200</v>
      </c>
      <c r="N3184" s="19" t="s">
        <v>66</v>
      </c>
      <c r="O3184" s="19" t="s">
        <v>141</v>
      </c>
      <c r="P3184" s="99"/>
      <c r="Q3184" s="19">
        <v>186</v>
      </c>
      <c r="S3184" s="274">
        <v>1120</v>
      </c>
      <c r="T3184" s="19" t="s">
        <v>42</v>
      </c>
      <c r="U3184" s="102" t="s">
        <v>1115</v>
      </c>
      <c r="V3184" s="186" t="s">
        <v>1110</v>
      </c>
      <c r="W3184" s="17" t="s">
        <v>69</v>
      </c>
      <c r="Y3184" s="68">
        <v>45130</v>
      </c>
      <c r="Z3184" s="17" t="s">
        <v>191</v>
      </c>
      <c r="AA3184" s="17" t="s">
        <v>46</v>
      </c>
      <c r="AB3184" s="17" t="s">
        <v>1137</v>
      </c>
      <c r="AC3184" s="217">
        <v>45210</v>
      </c>
      <c r="AD3184" s="65">
        <v>1489</v>
      </c>
    </row>
    <row r="3185" s="17" customFormat="1" ht="15.6" hidden="1" spans="1:31">
      <c r="A3185" s="17" t="s">
        <v>34</v>
      </c>
      <c r="B3185" s="19">
        <v>908</v>
      </c>
      <c r="C3185" s="183" t="s">
        <v>1110</v>
      </c>
      <c r="D3185" s="17" t="s">
        <v>52</v>
      </c>
      <c r="E3185" s="17" t="s">
        <v>1113</v>
      </c>
      <c r="F3185" s="17" t="s">
        <v>54</v>
      </c>
      <c r="H3185" s="19" t="s">
        <v>1114</v>
      </c>
      <c r="I3185" s="19"/>
      <c r="J3185" s="17" t="s">
        <v>82</v>
      </c>
      <c r="K3185" s="19">
        <v>405</v>
      </c>
      <c r="L3185" s="19">
        <v>45</v>
      </c>
      <c r="M3185" s="19">
        <v>2200</v>
      </c>
      <c r="N3185" s="19" t="s">
        <v>66</v>
      </c>
      <c r="O3185" s="19" t="s">
        <v>141</v>
      </c>
      <c r="P3185" s="99"/>
      <c r="Q3185" s="19">
        <v>321</v>
      </c>
      <c r="R3185" s="99">
        <f>+P3181-Q3181-Q3182-Q3183-Q3185</f>
        <v>-2549</v>
      </c>
      <c r="S3185" s="274">
        <f>1120-40</f>
        <v>1080</v>
      </c>
      <c r="T3185" s="19" t="s">
        <v>42</v>
      </c>
      <c r="U3185" s="102" t="s">
        <v>1115</v>
      </c>
      <c r="V3185" s="186" t="s">
        <v>1110</v>
      </c>
      <c r="W3185" s="17" t="s">
        <v>44</v>
      </c>
      <c r="Y3185" s="68">
        <v>45130</v>
      </c>
      <c r="Z3185" s="17" t="s">
        <v>191</v>
      </c>
      <c r="AA3185" s="17" t="s">
        <v>46</v>
      </c>
      <c r="AB3185" s="17" t="s">
        <v>1138</v>
      </c>
      <c r="AC3185" s="102" t="s">
        <v>1139</v>
      </c>
      <c r="AD3185" s="65">
        <v>1473</v>
      </c>
    </row>
    <row r="3186" s="17" customFormat="1" ht="15.6" hidden="1" spans="1:31">
      <c r="A3186" s="17" t="s">
        <v>34</v>
      </c>
      <c r="B3186" s="19">
        <v>908</v>
      </c>
      <c r="C3186" s="183" t="s">
        <v>1110</v>
      </c>
      <c r="D3186" s="17" t="s">
        <v>52</v>
      </c>
      <c r="E3186" s="17" t="s">
        <v>1113</v>
      </c>
      <c r="F3186" s="17" t="s">
        <v>54</v>
      </c>
      <c r="H3186" s="19" t="s">
        <v>1114</v>
      </c>
      <c r="I3186" s="19"/>
      <c r="J3186" s="17" t="s">
        <v>82</v>
      </c>
      <c r="K3186" s="19">
        <v>355</v>
      </c>
      <c r="L3186" s="19">
        <v>45</v>
      </c>
      <c r="M3186" s="19">
        <v>2200</v>
      </c>
      <c r="N3186" s="19" t="s">
        <v>66</v>
      </c>
      <c r="O3186" s="19" t="s">
        <v>141</v>
      </c>
      <c r="P3186" s="99"/>
      <c r="Q3186" s="19">
        <f>283+282</f>
        <v>565</v>
      </c>
      <c r="S3186" s="274">
        <f>1120-40</f>
        <v>1080</v>
      </c>
      <c r="T3186" s="19" t="s">
        <v>42</v>
      </c>
      <c r="U3186" s="102" t="s">
        <v>1115</v>
      </c>
      <c r="V3186" s="186" t="s">
        <v>1110</v>
      </c>
      <c r="W3186" s="17" t="s">
        <v>44</v>
      </c>
      <c r="Y3186" s="68">
        <v>45130</v>
      </c>
      <c r="Z3186" s="17" t="s">
        <v>191</v>
      </c>
      <c r="AA3186" s="17" t="s">
        <v>46</v>
      </c>
      <c r="AB3186" s="17" t="s">
        <v>1136</v>
      </c>
      <c r="AC3186" s="217">
        <v>44937</v>
      </c>
      <c r="AD3186" s="65">
        <v>1476</v>
      </c>
    </row>
    <row r="3187" s="17" customFormat="1" ht="15.6" hidden="1" spans="1:31">
      <c r="A3187" s="17" t="s">
        <v>34</v>
      </c>
      <c r="B3187" s="19">
        <v>908</v>
      </c>
      <c r="C3187" s="183" t="s">
        <v>1110</v>
      </c>
      <c r="D3187" s="17" t="s">
        <v>52</v>
      </c>
      <c r="E3187" s="17" t="s">
        <v>1113</v>
      </c>
      <c r="F3187" s="17" t="s">
        <v>54</v>
      </c>
      <c r="H3187" s="19" t="s">
        <v>1114</v>
      </c>
      <c r="I3187" s="19"/>
      <c r="J3187" s="17" t="s">
        <v>82</v>
      </c>
      <c r="K3187" s="19">
        <v>455</v>
      </c>
      <c r="L3187" s="19">
        <v>40</v>
      </c>
      <c r="M3187" s="19">
        <v>2300</v>
      </c>
      <c r="N3187" s="19" t="s">
        <v>66</v>
      </c>
      <c r="O3187" s="19" t="s">
        <v>141</v>
      </c>
      <c r="P3187" s="99">
        <v>1929</v>
      </c>
      <c r="Q3187" s="19">
        <v>1627</v>
      </c>
      <c r="S3187" s="274">
        <v>1120</v>
      </c>
      <c r="T3187" s="19" t="s">
        <v>42</v>
      </c>
      <c r="U3187" s="102" t="s">
        <v>1115</v>
      </c>
      <c r="V3187" s="186" t="s">
        <v>1110</v>
      </c>
      <c r="W3187" s="17" t="s">
        <v>69</v>
      </c>
      <c r="Y3187" s="68">
        <v>45130</v>
      </c>
      <c r="Z3187" s="17" t="s">
        <v>191</v>
      </c>
      <c r="AA3187" s="17" t="s">
        <v>46</v>
      </c>
      <c r="AB3187" s="17" t="s">
        <v>1119</v>
      </c>
      <c r="AC3187" s="102" t="s">
        <v>1120</v>
      </c>
      <c r="AD3187" s="65">
        <v>1451</v>
      </c>
      <c r="AE3187" s="17" t="s">
        <v>74</v>
      </c>
    </row>
    <row r="3188" s="17" customFormat="1" ht="15.6" hidden="1" spans="1:31">
      <c r="A3188" s="17" t="s">
        <v>34</v>
      </c>
      <c r="B3188" s="19">
        <v>908</v>
      </c>
      <c r="C3188" s="183" t="s">
        <v>1110</v>
      </c>
      <c r="D3188" s="17" t="s">
        <v>52</v>
      </c>
      <c r="E3188" s="17" t="s">
        <v>1113</v>
      </c>
      <c r="F3188" s="17" t="s">
        <v>54</v>
      </c>
      <c r="H3188" s="19" t="s">
        <v>1114</v>
      </c>
      <c r="I3188" s="19"/>
      <c r="J3188" s="17" t="s">
        <v>82</v>
      </c>
      <c r="K3188" s="19">
        <v>455</v>
      </c>
      <c r="L3188" s="19">
        <v>43</v>
      </c>
      <c r="M3188" s="19">
        <v>2300</v>
      </c>
      <c r="N3188" s="19" t="s">
        <v>66</v>
      </c>
      <c r="O3188" s="19" t="s">
        <v>141</v>
      </c>
      <c r="P3188" s="99"/>
      <c r="Q3188" s="19">
        <f>347+344</f>
        <v>691</v>
      </c>
      <c r="R3188" s="99"/>
      <c r="S3188" s="274">
        <f>1120-40</f>
        <v>1080</v>
      </c>
      <c r="T3188" s="19" t="s">
        <v>42</v>
      </c>
      <c r="U3188" s="102" t="s">
        <v>1115</v>
      </c>
      <c r="V3188" s="186" t="s">
        <v>1110</v>
      </c>
      <c r="W3188" s="17" t="s">
        <v>44</v>
      </c>
      <c r="Y3188" s="68">
        <v>45130</v>
      </c>
      <c r="Z3188" s="17" t="s">
        <v>191</v>
      </c>
      <c r="AA3188" s="17" t="s">
        <v>46</v>
      </c>
      <c r="AB3188" s="17" t="s">
        <v>1136</v>
      </c>
      <c r="AC3188" s="217">
        <v>44937</v>
      </c>
      <c r="AD3188" s="65">
        <v>1476</v>
      </c>
    </row>
    <row r="3189" s="17" customFormat="1" ht="15.6" hidden="1" spans="1:31">
      <c r="A3189" s="17" t="s">
        <v>34</v>
      </c>
      <c r="B3189" s="19">
        <v>908</v>
      </c>
      <c r="C3189" s="183" t="s">
        <v>1110</v>
      </c>
      <c r="D3189" s="17" t="s">
        <v>52</v>
      </c>
      <c r="E3189" s="17" t="s">
        <v>1113</v>
      </c>
      <c r="F3189" s="17" t="s">
        <v>54</v>
      </c>
      <c r="H3189" s="19" t="s">
        <v>1114</v>
      </c>
      <c r="I3189" s="19"/>
      <c r="J3189" s="17" t="s">
        <v>82</v>
      </c>
      <c r="K3189" s="19">
        <v>455</v>
      </c>
      <c r="L3189" s="19">
        <v>45</v>
      </c>
      <c r="M3189" s="19">
        <v>2200</v>
      </c>
      <c r="N3189" s="19" t="s">
        <v>66</v>
      </c>
      <c r="O3189" s="19" t="s">
        <v>141</v>
      </c>
      <c r="P3189" s="99"/>
      <c r="Q3189" s="19">
        <v>360</v>
      </c>
      <c r="R3189" s="99">
        <f>+P3187-Q3187-Q3188-Q3189</f>
        <v>-749</v>
      </c>
      <c r="S3189" s="274">
        <f>1120-40</f>
        <v>1080</v>
      </c>
      <c r="T3189" s="19" t="s">
        <v>42</v>
      </c>
      <c r="U3189" s="102" t="s">
        <v>1115</v>
      </c>
      <c r="V3189" s="186" t="s">
        <v>1110</v>
      </c>
      <c r="W3189" s="17" t="s">
        <v>44</v>
      </c>
      <c r="Y3189" s="68">
        <v>45130</v>
      </c>
      <c r="Z3189" s="17" t="s">
        <v>191</v>
      </c>
      <c r="AA3189" s="17" t="s">
        <v>46</v>
      </c>
      <c r="AB3189" s="17" t="s">
        <v>1136</v>
      </c>
      <c r="AC3189" s="217">
        <v>44937</v>
      </c>
      <c r="AD3189" s="65">
        <v>1476</v>
      </c>
    </row>
    <row r="3190" s="17" customFormat="1" ht="15.6" hidden="1" spans="1:31">
      <c r="A3190" s="17" t="s">
        <v>34</v>
      </c>
      <c r="B3190" s="19">
        <v>908</v>
      </c>
      <c r="C3190" s="183" t="s">
        <v>1110</v>
      </c>
      <c r="D3190" s="17" t="s">
        <v>52</v>
      </c>
      <c r="E3190" s="17" t="s">
        <v>1113</v>
      </c>
      <c r="F3190" s="17" t="s">
        <v>54</v>
      </c>
      <c r="H3190" s="19" t="s">
        <v>1114</v>
      </c>
      <c r="I3190" s="19"/>
      <c r="J3190" s="17" t="s">
        <v>82</v>
      </c>
      <c r="K3190" s="19">
        <v>505</v>
      </c>
      <c r="L3190" s="19">
        <v>40</v>
      </c>
      <c r="M3190" s="19">
        <v>2300</v>
      </c>
      <c r="N3190" s="19" t="s">
        <v>66</v>
      </c>
      <c r="O3190" s="19" t="s">
        <v>141</v>
      </c>
      <c r="P3190" s="99">
        <v>2141</v>
      </c>
      <c r="Q3190" s="19">
        <f>1076+1003</f>
        <v>2079</v>
      </c>
      <c r="S3190" s="274">
        <v>1120</v>
      </c>
      <c r="T3190" s="19" t="s">
        <v>42</v>
      </c>
      <c r="U3190" s="102" t="s">
        <v>1115</v>
      </c>
      <c r="V3190" s="186" t="s">
        <v>1110</v>
      </c>
      <c r="W3190" s="17" t="s">
        <v>69</v>
      </c>
      <c r="Y3190" s="68">
        <v>45130</v>
      </c>
      <c r="Z3190" s="17" t="s">
        <v>191</v>
      </c>
      <c r="AA3190" s="17" t="s">
        <v>46</v>
      </c>
      <c r="AB3190" s="17" t="s">
        <v>1119</v>
      </c>
      <c r="AC3190" s="102" t="s">
        <v>1120</v>
      </c>
      <c r="AD3190" s="65">
        <v>1451</v>
      </c>
      <c r="AE3190" s="17" t="s">
        <v>74</v>
      </c>
    </row>
    <row r="3191" s="17" customFormat="1" ht="15.6" hidden="1" spans="1:31">
      <c r="A3191" s="17" t="s">
        <v>34</v>
      </c>
      <c r="B3191" s="19">
        <v>908</v>
      </c>
      <c r="C3191" s="183" t="s">
        <v>1110</v>
      </c>
      <c r="D3191" s="17" t="s">
        <v>52</v>
      </c>
      <c r="E3191" s="17" t="s">
        <v>1113</v>
      </c>
      <c r="F3191" s="17" t="s">
        <v>54</v>
      </c>
      <c r="H3191" s="19" t="s">
        <v>1114</v>
      </c>
      <c r="I3191" s="19"/>
      <c r="J3191" s="17" t="s">
        <v>82</v>
      </c>
      <c r="K3191" s="19">
        <v>505</v>
      </c>
      <c r="L3191" s="19">
        <v>43</v>
      </c>
      <c r="M3191" s="19">
        <v>2300</v>
      </c>
      <c r="N3191" s="19" t="s">
        <v>66</v>
      </c>
      <c r="O3191" s="19" t="s">
        <v>141</v>
      </c>
      <c r="P3191" s="99"/>
      <c r="Q3191" s="19">
        <f>383+383+383+384</f>
        <v>1533</v>
      </c>
      <c r="R3191" s="99"/>
      <c r="S3191" s="274">
        <v>1120</v>
      </c>
      <c r="T3191" s="19" t="s">
        <v>42</v>
      </c>
      <c r="U3191" s="102" t="s">
        <v>1115</v>
      </c>
      <c r="V3191" s="186" t="s">
        <v>1110</v>
      </c>
      <c r="W3191" s="17" t="s">
        <v>69</v>
      </c>
      <c r="Y3191" s="68">
        <v>45130</v>
      </c>
      <c r="Z3191" s="17" t="s">
        <v>191</v>
      </c>
      <c r="AA3191" s="17" t="s">
        <v>46</v>
      </c>
      <c r="AB3191" s="17" t="s">
        <v>1137</v>
      </c>
      <c r="AC3191" s="217">
        <v>45210</v>
      </c>
      <c r="AD3191" s="65">
        <v>1489</v>
      </c>
    </row>
    <row r="3192" s="17" customFormat="1" ht="15.6" hidden="1" spans="1:31">
      <c r="A3192" s="17" t="s">
        <v>34</v>
      </c>
      <c r="B3192" s="19">
        <v>908</v>
      </c>
      <c r="C3192" s="183" t="s">
        <v>1110</v>
      </c>
      <c r="D3192" s="17" t="s">
        <v>52</v>
      </c>
      <c r="E3192" s="17" t="s">
        <v>1113</v>
      </c>
      <c r="F3192" s="17" t="s">
        <v>54</v>
      </c>
      <c r="H3192" s="19" t="s">
        <v>1114</v>
      </c>
      <c r="I3192" s="19"/>
      <c r="J3192" s="17" t="s">
        <v>82</v>
      </c>
      <c r="K3192" s="19">
        <v>505</v>
      </c>
      <c r="L3192" s="19">
        <v>45</v>
      </c>
      <c r="M3192" s="19">
        <v>2300</v>
      </c>
      <c r="N3192" s="19" t="s">
        <v>66</v>
      </c>
      <c r="O3192" s="19" t="s">
        <v>141</v>
      </c>
      <c r="P3192" s="99"/>
      <c r="Q3192" s="19">
        <v>398</v>
      </c>
      <c r="R3192" s="99">
        <f>+P3190-Q3190-Q3191-Q3192</f>
        <v>-1869</v>
      </c>
      <c r="S3192" s="274">
        <f>1120-40</f>
        <v>1080</v>
      </c>
      <c r="T3192" s="19" t="s">
        <v>42</v>
      </c>
      <c r="U3192" s="102" t="s">
        <v>1115</v>
      </c>
      <c r="V3192" s="186" t="s">
        <v>1110</v>
      </c>
      <c r="W3192" s="17" t="s">
        <v>44</v>
      </c>
      <c r="Y3192" s="68">
        <v>45130</v>
      </c>
      <c r="Z3192" s="17" t="s">
        <v>191</v>
      </c>
      <c r="AA3192" s="17" t="s">
        <v>46</v>
      </c>
      <c r="AB3192" s="17" t="s">
        <v>1136</v>
      </c>
      <c r="AC3192" s="217">
        <v>44937</v>
      </c>
      <c r="AD3192" s="65">
        <v>1476</v>
      </c>
    </row>
    <row r="3193" s="17" customFormat="1" ht="15.6" hidden="1" spans="1:31">
      <c r="A3193" s="17" t="s">
        <v>34</v>
      </c>
      <c r="B3193" s="19">
        <v>908</v>
      </c>
      <c r="C3193" s="183" t="s">
        <v>1110</v>
      </c>
      <c r="D3193" s="17" t="s">
        <v>52</v>
      </c>
      <c r="E3193" s="17" t="s">
        <v>1113</v>
      </c>
      <c r="F3193" s="17" t="s">
        <v>54</v>
      </c>
      <c r="H3193" s="19" t="s">
        <v>1114</v>
      </c>
      <c r="I3193" s="19"/>
      <c r="J3193" s="17" t="s">
        <v>82</v>
      </c>
      <c r="K3193" s="19">
        <v>205</v>
      </c>
      <c r="L3193" s="19">
        <v>50</v>
      </c>
      <c r="M3193" s="19">
        <v>2300</v>
      </c>
      <c r="N3193" s="19" t="s">
        <v>66</v>
      </c>
      <c r="O3193" s="19" t="s">
        <v>141</v>
      </c>
      <c r="P3193" s="99">
        <v>2535</v>
      </c>
      <c r="Q3193" s="98">
        <f>184+184+184+185+184+184+184+185+187+186+185</f>
        <v>2032</v>
      </c>
      <c r="S3193" s="274">
        <v>1120</v>
      </c>
      <c r="T3193" s="19" t="s">
        <v>42</v>
      </c>
      <c r="U3193" s="102" t="s">
        <v>1115</v>
      </c>
      <c r="V3193" s="186" t="s">
        <v>1110</v>
      </c>
      <c r="W3193" s="17" t="s">
        <v>69</v>
      </c>
      <c r="Y3193" s="68">
        <v>45130</v>
      </c>
      <c r="Z3193" s="17" t="s">
        <v>191</v>
      </c>
      <c r="AA3193" s="17" t="s">
        <v>46</v>
      </c>
      <c r="AB3193" s="17" t="s">
        <v>1116</v>
      </c>
      <c r="AC3193" s="102" t="s">
        <v>1117</v>
      </c>
      <c r="AD3193" s="65">
        <v>1443</v>
      </c>
      <c r="AE3193" s="17" t="s">
        <v>74</v>
      </c>
    </row>
    <row r="3194" s="17" customFormat="1" ht="15.6" hidden="1" spans="1:31">
      <c r="A3194" s="17" t="s">
        <v>34</v>
      </c>
      <c r="B3194" s="19">
        <v>908</v>
      </c>
      <c r="C3194" s="183" t="s">
        <v>1110</v>
      </c>
      <c r="D3194" s="17" t="s">
        <v>52</v>
      </c>
      <c r="E3194" s="17" t="s">
        <v>1113</v>
      </c>
      <c r="F3194" s="17" t="s">
        <v>54</v>
      </c>
      <c r="H3194" s="19" t="s">
        <v>1114</v>
      </c>
      <c r="I3194" s="19"/>
      <c r="J3194" s="17" t="s">
        <v>82</v>
      </c>
      <c r="K3194" s="19">
        <v>205</v>
      </c>
      <c r="L3194" s="19">
        <v>50</v>
      </c>
      <c r="M3194" s="19">
        <v>2300</v>
      </c>
      <c r="N3194" s="19" t="s">
        <v>66</v>
      </c>
      <c r="O3194" s="19" t="s">
        <v>141</v>
      </c>
      <c r="P3194" s="99"/>
      <c r="Q3194" s="98">
        <v>554</v>
      </c>
      <c r="R3194" s="99">
        <f>+P3193-Q3193-Q3194</f>
        <v>-51</v>
      </c>
      <c r="S3194" s="274">
        <v>1120</v>
      </c>
      <c r="T3194" s="19" t="s">
        <v>42</v>
      </c>
      <c r="U3194" s="102" t="s">
        <v>1115</v>
      </c>
      <c r="V3194" s="186" t="s">
        <v>1110</v>
      </c>
      <c r="W3194" s="17" t="s">
        <v>69</v>
      </c>
      <c r="Y3194" s="68">
        <v>45130</v>
      </c>
      <c r="Z3194" s="17" t="s">
        <v>191</v>
      </c>
      <c r="AA3194" s="17" t="s">
        <v>46</v>
      </c>
      <c r="AB3194" s="17" t="s">
        <v>1119</v>
      </c>
      <c r="AC3194" s="102" t="s">
        <v>1120</v>
      </c>
      <c r="AD3194" s="65">
        <v>1451</v>
      </c>
      <c r="AE3194" s="17" t="s">
        <v>74</v>
      </c>
    </row>
    <row r="3195" s="17" customFormat="1" ht="15.6" hidden="1" spans="1:31">
      <c r="A3195" s="17" t="s">
        <v>34</v>
      </c>
      <c r="B3195" s="19">
        <v>908</v>
      </c>
      <c r="C3195" s="183" t="s">
        <v>1110</v>
      </c>
      <c r="D3195" s="17" t="s">
        <v>52</v>
      </c>
      <c r="E3195" s="17" t="s">
        <v>1113</v>
      </c>
      <c r="F3195" s="17" t="s">
        <v>54</v>
      </c>
      <c r="H3195" s="19" t="s">
        <v>1114</v>
      </c>
      <c r="I3195" s="19"/>
      <c r="J3195" s="17" t="s">
        <v>82</v>
      </c>
      <c r="K3195" s="19">
        <v>255</v>
      </c>
      <c r="L3195" s="19">
        <v>50</v>
      </c>
      <c r="M3195" s="19">
        <v>2300</v>
      </c>
      <c r="N3195" s="19" t="s">
        <v>66</v>
      </c>
      <c r="O3195" s="19" t="s">
        <v>141</v>
      </c>
      <c r="P3195" s="99">
        <v>2477</v>
      </c>
      <c r="Q3195" s="98">
        <f>228+229+227+228+227+228+228+229+229</f>
        <v>2053</v>
      </c>
      <c r="S3195" s="274">
        <v>1120</v>
      </c>
      <c r="T3195" s="19" t="s">
        <v>42</v>
      </c>
      <c r="U3195" s="102" t="s">
        <v>1115</v>
      </c>
      <c r="V3195" s="186" t="s">
        <v>1110</v>
      </c>
      <c r="W3195" s="17" t="s">
        <v>69</v>
      </c>
      <c r="Y3195" s="68">
        <v>45130</v>
      </c>
      <c r="Z3195" s="17" t="s">
        <v>191</v>
      </c>
      <c r="AA3195" s="17" t="s">
        <v>46</v>
      </c>
      <c r="AB3195" s="17" t="s">
        <v>1116</v>
      </c>
      <c r="AC3195" s="102" t="s">
        <v>1117</v>
      </c>
      <c r="AD3195" s="65">
        <v>1443</v>
      </c>
      <c r="AE3195" s="17" t="s">
        <v>74</v>
      </c>
    </row>
    <row r="3196" s="17" customFormat="1" ht="15.6" hidden="1" spans="1:31">
      <c r="A3196" s="17" t="s">
        <v>34</v>
      </c>
      <c r="B3196" s="19">
        <v>908</v>
      </c>
      <c r="C3196" s="183" t="s">
        <v>1110</v>
      </c>
      <c r="D3196" s="17" t="s">
        <v>52</v>
      </c>
      <c r="E3196" s="17" t="s">
        <v>1113</v>
      </c>
      <c r="F3196" s="17" t="s">
        <v>54</v>
      </c>
      <c r="H3196" s="19" t="s">
        <v>1114</v>
      </c>
      <c r="I3196" s="19"/>
      <c r="J3196" s="17" t="s">
        <v>82</v>
      </c>
      <c r="K3196" s="19">
        <v>255</v>
      </c>
      <c r="L3196" s="19">
        <v>50</v>
      </c>
      <c r="M3196" s="19">
        <v>2300</v>
      </c>
      <c r="N3196" s="19" t="s">
        <v>66</v>
      </c>
      <c r="O3196" s="19" t="s">
        <v>141</v>
      </c>
      <c r="P3196" s="99"/>
      <c r="Q3196" s="98">
        <f>231+228</f>
        <v>459</v>
      </c>
      <c r="R3196" s="99">
        <f>+P3195-Q3195-Q3196</f>
        <v>-35</v>
      </c>
      <c r="S3196" s="274">
        <v>1120</v>
      </c>
      <c r="T3196" s="19" t="s">
        <v>42</v>
      </c>
      <c r="U3196" s="102" t="s">
        <v>1115</v>
      </c>
      <c r="V3196" s="186" t="s">
        <v>1110</v>
      </c>
      <c r="W3196" s="17" t="s">
        <v>69</v>
      </c>
      <c r="Y3196" s="68">
        <v>45130</v>
      </c>
      <c r="Z3196" s="17" t="s">
        <v>191</v>
      </c>
      <c r="AA3196" s="17" t="s">
        <v>46</v>
      </c>
      <c r="AB3196" s="17" t="s">
        <v>1119</v>
      </c>
      <c r="AC3196" s="102" t="s">
        <v>1120</v>
      </c>
      <c r="AD3196" s="65">
        <v>1451</v>
      </c>
      <c r="AE3196" s="17" t="s">
        <v>74</v>
      </c>
    </row>
    <row r="3197" s="17" customFormat="1" ht="15.6" hidden="1" spans="1:31">
      <c r="A3197" s="17" t="s">
        <v>34</v>
      </c>
      <c r="B3197" s="19">
        <v>908</v>
      </c>
      <c r="C3197" s="183" t="s">
        <v>1110</v>
      </c>
      <c r="D3197" s="17" t="s">
        <v>52</v>
      </c>
      <c r="E3197" s="17" t="s">
        <v>1113</v>
      </c>
      <c r="F3197" s="17" t="s">
        <v>54</v>
      </c>
      <c r="H3197" s="19" t="s">
        <v>1114</v>
      </c>
      <c r="I3197" s="19"/>
      <c r="J3197" s="17" t="s">
        <v>82</v>
      </c>
      <c r="K3197" s="19">
        <v>305</v>
      </c>
      <c r="L3197" s="19">
        <v>50</v>
      </c>
      <c r="M3197" s="19">
        <v>2300</v>
      </c>
      <c r="N3197" s="19" t="s">
        <v>66</v>
      </c>
      <c r="O3197" s="19" t="s">
        <v>141</v>
      </c>
      <c r="P3197" s="99">
        <v>2424</v>
      </c>
      <c r="Q3197" s="98">
        <v>273</v>
      </c>
      <c r="S3197" s="274">
        <v>1120</v>
      </c>
      <c r="T3197" s="19" t="s">
        <v>42</v>
      </c>
      <c r="U3197" s="102" t="s">
        <v>1115</v>
      </c>
      <c r="V3197" s="186" t="s">
        <v>1110</v>
      </c>
      <c r="W3197" s="17" t="s">
        <v>69</v>
      </c>
      <c r="Y3197" s="68">
        <v>45130</v>
      </c>
      <c r="Z3197" s="17" t="s">
        <v>191</v>
      </c>
      <c r="AA3197" s="17" t="s">
        <v>46</v>
      </c>
      <c r="AB3197" s="17" t="s">
        <v>1116</v>
      </c>
      <c r="AC3197" s="102" t="s">
        <v>1117</v>
      </c>
      <c r="AD3197" s="65">
        <v>1443</v>
      </c>
      <c r="AE3197" s="17" t="s">
        <v>74</v>
      </c>
    </row>
    <row r="3198" s="17" customFormat="1" ht="15.6" hidden="1" spans="1:31">
      <c r="A3198" s="17" t="s">
        <v>34</v>
      </c>
      <c r="B3198" s="19">
        <v>908</v>
      </c>
      <c r="C3198" s="183" t="s">
        <v>1110</v>
      </c>
      <c r="D3198" s="17" t="s">
        <v>52</v>
      </c>
      <c r="E3198" s="17" t="s">
        <v>1113</v>
      </c>
      <c r="F3198" s="17" t="s">
        <v>54</v>
      </c>
      <c r="H3198" s="19" t="s">
        <v>1114</v>
      </c>
      <c r="I3198" s="19"/>
      <c r="J3198" s="17" t="s">
        <v>82</v>
      </c>
      <c r="K3198" s="19">
        <v>305</v>
      </c>
      <c r="L3198" s="19">
        <v>50</v>
      </c>
      <c r="M3198" s="19">
        <v>2300</v>
      </c>
      <c r="N3198" s="19" t="s">
        <v>66</v>
      </c>
      <c r="O3198" s="19" t="s">
        <v>141</v>
      </c>
      <c r="P3198" s="99"/>
      <c r="Q3198" s="98">
        <v>2195</v>
      </c>
      <c r="R3198" s="99">
        <f>+P3197-Q3197-Q3198</f>
        <v>-44</v>
      </c>
      <c r="S3198" s="274">
        <v>1120</v>
      </c>
      <c r="T3198" s="19" t="s">
        <v>42</v>
      </c>
      <c r="U3198" s="102" t="s">
        <v>1115</v>
      </c>
      <c r="V3198" s="186" t="s">
        <v>1110</v>
      </c>
      <c r="W3198" s="17" t="s">
        <v>69</v>
      </c>
      <c r="Y3198" s="68">
        <v>45130</v>
      </c>
      <c r="Z3198" s="17" t="s">
        <v>191</v>
      </c>
      <c r="AA3198" s="17" t="s">
        <v>46</v>
      </c>
      <c r="AB3198" s="17" t="s">
        <v>1119</v>
      </c>
      <c r="AC3198" s="102" t="s">
        <v>1120</v>
      </c>
      <c r="AD3198" s="65">
        <v>1451</v>
      </c>
      <c r="AE3198" s="17" t="s">
        <v>74</v>
      </c>
    </row>
    <row r="3199" s="17" customFormat="1" ht="15.6" hidden="1" spans="1:31">
      <c r="A3199" s="17" t="s">
        <v>34</v>
      </c>
      <c r="B3199" s="19">
        <v>908</v>
      </c>
      <c r="C3199" s="183" t="s">
        <v>1110</v>
      </c>
      <c r="D3199" s="17" t="s">
        <v>52</v>
      </c>
      <c r="E3199" s="17" t="s">
        <v>1113</v>
      </c>
      <c r="F3199" s="17" t="s">
        <v>54</v>
      </c>
      <c r="H3199" s="19" t="s">
        <v>1114</v>
      </c>
      <c r="I3199" s="19"/>
      <c r="J3199" s="17" t="s">
        <v>82</v>
      </c>
      <c r="K3199" s="19">
        <v>355</v>
      </c>
      <c r="L3199" s="19">
        <v>50</v>
      </c>
      <c r="M3199" s="19">
        <v>2300</v>
      </c>
      <c r="N3199" s="19" t="s">
        <v>66</v>
      </c>
      <c r="O3199" s="19" t="s">
        <v>141</v>
      </c>
      <c r="P3199" s="99">
        <v>2508</v>
      </c>
      <c r="Q3199" s="98">
        <f>1266+1284</f>
        <v>2550</v>
      </c>
      <c r="R3199" s="99">
        <f>+P3199-Q3199</f>
        <v>-42</v>
      </c>
      <c r="S3199" s="274">
        <v>1120</v>
      </c>
      <c r="T3199" s="19" t="s">
        <v>42</v>
      </c>
      <c r="U3199" s="102" t="s">
        <v>1115</v>
      </c>
      <c r="V3199" s="186" t="s">
        <v>1110</v>
      </c>
      <c r="W3199" s="17" t="s">
        <v>69</v>
      </c>
      <c r="Y3199" s="68">
        <v>45130</v>
      </c>
      <c r="Z3199" s="17" t="s">
        <v>191</v>
      </c>
      <c r="AA3199" s="17" t="s">
        <v>46</v>
      </c>
      <c r="AB3199" s="17" t="s">
        <v>1119</v>
      </c>
      <c r="AC3199" s="102" t="s">
        <v>1120</v>
      </c>
      <c r="AD3199" s="65">
        <v>1451</v>
      </c>
      <c r="AE3199" s="17" t="s">
        <v>74</v>
      </c>
    </row>
    <row r="3200" s="17" customFormat="1" ht="15.6" hidden="1" spans="1:31">
      <c r="A3200" s="17" t="s">
        <v>34</v>
      </c>
      <c r="B3200" s="19">
        <v>908</v>
      </c>
      <c r="C3200" s="183" t="s">
        <v>1110</v>
      </c>
      <c r="D3200" s="17" t="s">
        <v>52</v>
      </c>
      <c r="E3200" s="17" t="s">
        <v>1113</v>
      </c>
      <c r="F3200" s="17" t="s">
        <v>54</v>
      </c>
      <c r="H3200" s="19" t="s">
        <v>1114</v>
      </c>
      <c r="I3200" s="19"/>
      <c r="J3200" s="17" t="s">
        <v>82</v>
      </c>
      <c r="K3200" s="19">
        <v>405</v>
      </c>
      <c r="L3200" s="19">
        <v>50</v>
      </c>
      <c r="M3200" s="19">
        <v>2300</v>
      </c>
      <c r="N3200" s="19" t="s">
        <v>66</v>
      </c>
      <c r="O3200" s="19" t="s">
        <v>141</v>
      </c>
      <c r="P3200" s="99">
        <v>2504</v>
      </c>
      <c r="Q3200" s="98">
        <v>1825</v>
      </c>
      <c r="R3200" s="99">
        <f>+P3200-Q3200</f>
        <v>679</v>
      </c>
      <c r="S3200" s="274">
        <v>1120</v>
      </c>
      <c r="T3200" s="19" t="s">
        <v>42</v>
      </c>
      <c r="U3200" s="102" t="s">
        <v>1115</v>
      </c>
      <c r="V3200" s="186" t="s">
        <v>1110</v>
      </c>
      <c r="W3200" s="17" t="s">
        <v>69</v>
      </c>
      <c r="Y3200" s="68">
        <v>45130</v>
      </c>
      <c r="Z3200" s="17" t="s">
        <v>191</v>
      </c>
      <c r="AA3200" s="17" t="s">
        <v>46</v>
      </c>
      <c r="AB3200" s="17" t="s">
        <v>1119</v>
      </c>
      <c r="AC3200" s="102" t="s">
        <v>1120</v>
      </c>
      <c r="AD3200" s="65">
        <v>1451</v>
      </c>
      <c r="AE3200" s="17" t="s">
        <v>74</v>
      </c>
    </row>
    <row r="3201" s="17" customFormat="1" ht="15.6" hidden="1" spans="1:31">
      <c r="A3201" s="17" t="s">
        <v>34</v>
      </c>
      <c r="B3201" s="19">
        <v>908</v>
      </c>
      <c r="C3201" s="183" t="s">
        <v>1110</v>
      </c>
      <c r="D3201" s="17" t="s">
        <v>52</v>
      </c>
      <c r="E3201" s="17" t="s">
        <v>1113</v>
      </c>
      <c r="F3201" s="17" t="s">
        <v>54</v>
      </c>
      <c r="H3201" s="19" t="s">
        <v>1114</v>
      </c>
      <c r="I3201" s="19"/>
      <c r="J3201" s="17" t="s">
        <v>82</v>
      </c>
      <c r="K3201" s="19">
        <v>455</v>
      </c>
      <c r="L3201" s="19">
        <v>50</v>
      </c>
      <c r="M3201" s="19">
        <v>2300</v>
      </c>
      <c r="N3201" s="19" t="s">
        <v>66</v>
      </c>
      <c r="O3201" s="19" t="s">
        <v>141</v>
      </c>
      <c r="P3201" s="99">
        <v>2411</v>
      </c>
      <c r="Q3201" s="98">
        <v>411</v>
      </c>
      <c r="S3201" s="274">
        <f>1120-40</f>
        <v>1080</v>
      </c>
      <c r="T3201" s="19" t="s">
        <v>42</v>
      </c>
      <c r="U3201" s="102" t="s">
        <v>1115</v>
      </c>
      <c r="V3201" s="186" t="s">
        <v>1110</v>
      </c>
      <c r="W3201" s="17" t="s">
        <v>44</v>
      </c>
      <c r="Y3201" s="68">
        <v>45130</v>
      </c>
      <c r="Z3201" s="17" t="s">
        <v>191</v>
      </c>
      <c r="AA3201" s="17" t="s">
        <v>46</v>
      </c>
      <c r="AB3201" s="17" t="s">
        <v>1140</v>
      </c>
      <c r="AC3201" s="102" t="s">
        <v>1141</v>
      </c>
      <c r="AD3201" s="65">
        <v>1468</v>
      </c>
      <c r="AE3201" s="17" t="s">
        <v>74</v>
      </c>
    </row>
    <row r="3202" s="17" customFormat="1" ht="15.6" hidden="1" spans="1:31">
      <c r="A3202" s="17" t="s">
        <v>34</v>
      </c>
      <c r="B3202" s="19">
        <v>908</v>
      </c>
      <c r="C3202" s="183" t="s">
        <v>1110</v>
      </c>
      <c r="D3202" s="17" t="s">
        <v>52</v>
      </c>
      <c r="E3202" s="17" t="s">
        <v>1113</v>
      </c>
      <c r="F3202" s="17" t="s">
        <v>54</v>
      </c>
      <c r="H3202" s="19" t="s">
        <v>1114</v>
      </c>
      <c r="I3202" s="19"/>
      <c r="J3202" s="17" t="s">
        <v>82</v>
      </c>
      <c r="K3202" s="19">
        <v>455</v>
      </c>
      <c r="L3202" s="19">
        <v>50</v>
      </c>
      <c r="M3202" s="19">
        <v>2300</v>
      </c>
      <c r="N3202" s="19" t="s">
        <v>66</v>
      </c>
      <c r="O3202" s="19" t="s">
        <v>141</v>
      </c>
      <c r="P3202" s="99"/>
      <c r="Q3202" s="19">
        <v>418</v>
      </c>
      <c r="R3202" s="99">
        <f>+P3201-Q3201-Q3202</f>
        <v>1582</v>
      </c>
      <c r="S3202" s="274">
        <f>1120-40</f>
        <v>1080</v>
      </c>
      <c r="T3202" s="19" t="s">
        <v>42</v>
      </c>
      <c r="U3202" s="102" t="s">
        <v>1115</v>
      </c>
      <c r="V3202" s="186" t="s">
        <v>1110</v>
      </c>
      <c r="W3202" s="17" t="s">
        <v>44</v>
      </c>
      <c r="Y3202" s="68">
        <v>45130</v>
      </c>
      <c r="Z3202" s="17" t="s">
        <v>191</v>
      </c>
      <c r="AA3202" s="17" t="s">
        <v>46</v>
      </c>
      <c r="AB3202" s="17" t="s">
        <v>1136</v>
      </c>
      <c r="AC3202" s="217">
        <v>44937</v>
      </c>
      <c r="AD3202" s="65">
        <v>1476</v>
      </c>
      <c r="AE3202" s="17" t="s">
        <v>74</v>
      </c>
    </row>
    <row r="3203" s="17" customFormat="1" ht="15.6" hidden="1" spans="1:31">
      <c r="A3203" s="17" t="s">
        <v>34</v>
      </c>
      <c r="B3203" s="19">
        <v>908</v>
      </c>
      <c r="C3203" s="183" t="s">
        <v>1110</v>
      </c>
      <c r="D3203" s="17" t="s">
        <v>52</v>
      </c>
      <c r="E3203" s="17" t="s">
        <v>1113</v>
      </c>
      <c r="F3203" s="17" t="s">
        <v>54</v>
      </c>
      <c r="H3203" s="19" t="s">
        <v>1114</v>
      </c>
      <c r="I3203" s="19"/>
      <c r="J3203" s="17" t="s">
        <v>82</v>
      </c>
      <c r="K3203" s="19">
        <v>505</v>
      </c>
      <c r="L3203" s="19">
        <v>50</v>
      </c>
      <c r="M3203" s="19">
        <v>2300</v>
      </c>
      <c r="N3203" s="19" t="s">
        <v>66</v>
      </c>
      <c r="O3203" s="19" t="s">
        <v>141</v>
      </c>
      <c r="P3203" s="99">
        <v>2676</v>
      </c>
      <c r="Q3203" s="98">
        <v>450</v>
      </c>
      <c r="S3203" s="274">
        <v>1120</v>
      </c>
      <c r="T3203" s="19" t="s">
        <v>42</v>
      </c>
      <c r="U3203" s="102" t="s">
        <v>1115</v>
      </c>
      <c r="V3203" s="186" t="s">
        <v>1110</v>
      </c>
      <c r="W3203" s="17" t="s">
        <v>69</v>
      </c>
      <c r="Y3203" s="68">
        <v>45130</v>
      </c>
      <c r="Z3203" s="17" t="s">
        <v>191</v>
      </c>
      <c r="AA3203" s="17" t="s">
        <v>46</v>
      </c>
      <c r="AB3203" s="17" t="s">
        <v>1116</v>
      </c>
      <c r="AC3203" s="102" t="s">
        <v>1117</v>
      </c>
      <c r="AD3203" s="65">
        <v>1443</v>
      </c>
      <c r="AE3203" s="17" t="s">
        <v>74</v>
      </c>
    </row>
    <row r="3204" s="17" customFormat="1" ht="15.6" hidden="1" spans="1:31">
      <c r="A3204" s="17" t="s">
        <v>34</v>
      </c>
      <c r="B3204" s="19">
        <v>908</v>
      </c>
      <c r="C3204" s="183" t="s">
        <v>1110</v>
      </c>
      <c r="D3204" s="17" t="s">
        <v>52</v>
      </c>
      <c r="E3204" s="17" t="s">
        <v>1113</v>
      </c>
      <c r="F3204" s="17" t="s">
        <v>54</v>
      </c>
      <c r="H3204" s="19" t="s">
        <v>1114</v>
      </c>
      <c r="I3204" s="19"/>
      <c r="J3204" s="17" t="s">
        <v>82</v>
      </c>
      <c r="K3204" s="19">
        <v>505</v>
      </c>
      <c r="L3204" s="19">
        <v>50</v>
      </c>
      <c r="M3204" s="19">
        <v>2300</v>
      </c>
      <c r="N3204" s="19" t="s">
        <v>66</v>
      </c>
      <c r="O3204" s="19" t="s">
        <v>141</v>
      </c>
      <c r="P3204" s="99"/>
      <c r="Q3204" s="19">
        <f>453+453+453+453+462</f>
        <v>2274</v>
      </c>
      <c r="S3204" s="274">
        <f>1120-40</f>
        <v>1080</v>
      </c>
      <c r="T3204" s="19" t="s">
        <v>42</v>
      </c>
      <c r="U3204" s="102" t="s">
        <v>1115</v>
      </c>
      <c r="V3204" s="186" t="s">
        <v>1110</v>
      </c>
      <c r="W3204" s="17" t="s">
        <v>44</v>
      </c>
      <c r="Y3204" s="68">
        <v>45130</v>
      </c>
      <c r="Z3204" s="17" t="s">
        <v>191</v>
      </c>
      <c r="AA3204" s="17" t="s">
        <v>46</v>
      </c>
      <c r="AB3204" s="17" t="s">
        <v>1138</v>
      </c>
      <c r="AC3204" s="102" t="s">
        <v>1139</v>
      </c>
      <c r="AD3204" s="65">
        <v>1473</v>
      </c>
      <c r="AE3204" s="17" t="s">
        <v>74</v>
      </c>
    </row>
    <row r="3205" s="17" customFormat="1" ht="15.6" hidden="1" spans="1:31">
      <c r="A3205" s="17" t="s">
        <v>34</v>
      </c>
      <c r="B3205" s="19">
        <v>908</v>
      </c>
      <c r="C3205" s="183" t="s">
        <v>1110</v>
      </c>
      <c r="D3205" s="17" t="s">
        <v>52</v>
      </c>
      <c r="E3205" s="17" t="s">
        <v>1113</v>
      </c>
      <c r="F3205" s="17" t="s">
        <v>54</v>
      </c>
      <c r="H3205" s="19" t="s">
        <v>1114</v>
      </c>
      <c r="I3205" s="19"/>
      <c r="J3205" s="17" t="s">
        <v>82</v>
      </c>
      <c r="K3205" s="19">
        <v>510</v>
      </c>
      <c r="L3205" s="19">
        <v>50</v>
      </c>
      <c r="M3205" s="19">
        <v>2300</v>
      </c>
      <c r="N3205" s="19" t="s">
        <v>66</v>
      </c>
      <c r="O3205" s="19" t="s">
        <v>141</v>
      </c>
      <c r="P3205" s="99">
        <v>4954</v>
      </c>
      <c r="Q3205" s="19">
        <f>457+456+456+457+457+456+458+457+456+457+459</f>
        <v>5026</v>
      </c>
      <c r="R3205" s="99">
        <f>+P3205-Q3205</f>
        <v>-72</v>
      </c>
      <c r="S3205" s="274">
        <f>1120-40</f>
        <v>1080</v>
      </c>
      <c r="T3205" s="19" t="s">
        <v>42</v>
      </c>
      <c r="U3205" s="102" t="s">
        <v>1115</v>
      </c>
      <c r="V3205" s="186" t="s">
        <v>1110</v>
      </c>
      <c r="W3205" s="17" t="s">
        <v>44</v>
      </c>
      <c r="Y3205" s="68">
        <v>45130</v>
      </c>
      <c r="Z3205" s="17" t="s">
        <v>191</v>
      </c>
      <c r="AA3205" s="17" t="s">
        <v>46</v>
      </c>
      <c r="AB3205" s="17" t="s">
        <v>1138</v>
      </c>
      <c r="AC3205" s="102" t="s">
        <v>1139</v>
      </c>
      <c r="AD3205" s="65">
        <v>1473</v>
      </c>
      <c r="AE3205" s="17" t="s">
        <v>48</v>
      </c>
    </row>
    <row r="3206" s="17" customFormat="1" ht="15.6" hidden="1" spans="1:31">
      <c r="A3206" s="17" t="s">
        <v>34</v>
      </c>
      <c r="B3206" s="19">
        <v>908</v>
      </c>
      <c r="C3206" s="183" t="s">
        <v>1110</v>
      </c>
      <c r="D3206" s="17" t="s">
        <v>52</v>
      </c>
      <c r="E3206" s="17" t="s">
        <v>1113</v>
      </c>
      <c r="F3206" s="17" t="s">
        <v>54</v>
      </c>
      <c r="H3206" s="19" t="s">
        <v>1114</v>
      </c>
      <c r="I3206" s="19"/>
      <c r="J3206" s="17" t="s">
        <v>82</v>
      </c>
      <c r="K3206" s="19">
        <v>205</v>
      </c>
      <c r="L3206" s="19">
        <v>65</v>
      </c>
      <c r="M3206" s="19">
        <v>2300</v>
      </c>
      <c r="N3206" s="19" t="s">
        <v>66</v>
      </c>
      <c r="O3206" s="19" t="s">
        <v>141</v>
      </c>
      <c r="P3206" s="99">
        <v>2118</v>
      </c>
      <c r="Q3206" s="98">
        <f>242+240+236+240</f>
        <v>958</v>
      </c>
      <c r="S3206" s="274">
        <v>1120</v>
      </c>
      <c r="T3206" s="19" t="s">
        <v>42</v>
      </c>
      <c r="U3206" s="102" t="s">
        <v>1115</v>
      </c>
      <c r="V3206" s="186" t="s">
        <v>1110</v>
      </c>
      <c r="W3206" s="17" t="s">
        <v>69</v>
      </c>
      <c r="Y3206" s="68">
        <v>45130</v>
      </c>
      <c r="Z3206" s="17" t="s">
        <v>191</v>
      </c>
      <c r="AA3206" s="17" t="s">
        <v>46</v>
      </c>
      <c r="AB3206" s="17" t="s">
        <v>1116</v>
      </c>
      <c r="AC3206" s="102" t="s">
        <v>1117</v>
      </c>
      <c r="AD3206" s="65">
        <v>1443</v>
      </c>
      <c r="AE3206" s="17" t="s">
        <v>74</v>
      </c>
    </row>
    <row r="3207" s="17" customFormat="1" ht="15.6" hidden="1" spans="1:31">
      <c r="A3207" s="17" t="s">
        <v>34</v>
      </c>
      <c r="B3207" s="19">
        <v>908</v>
      </c>
      <c r="C3207" s="183" t="s">
        <v>1110</v>
      </c>
      <c r="D3207" s="17" t="s">
        <v>52</v>
      </c>
      <c r="E3207" s="17" t="s">
        <v>1113</v>
      </c>
      <c r="F3207" s="17" t="s">
        <v>54</v>
      </c>
      <c r="H3207" s="19" t="s">
        <v>1114</v>
      </c>
      <c r="I3207" s="19"/>
      <c r="J3207" s="17" t="s">
        <v>82</v>
      </c>
      <c r="K3207" s="19">
        <v>205</v>
      </c>
      <c r="L3207" s="19">
        <v>65</v>
      </c>
      <c r="M3207" s="19">
        <v>2300</v>
      </c>
      <c r="N3207" s="19" t="s">
        <v>66</v>
      </c>
      <c r="O3207" s="19" t="s">
        <v>141</v>
      </c>
      <c r="P3207" s="99"/>
      <c r="Q3207" s="98">
        <v>1205</v>
      </c>
      <c r="R3207" s="99">
        <f>+P3206-Q3206-Q3207</f>
        <v>-45</v>
      </c>
      <c r="S3207" s="274">
        <v>1120</v>
      </c>
      <c r="T3207" s="19" t="s">
        <v>42</v>
      </c>
      <c r="U3207" s="102" t="s">
        <v>1115</v>
      </c>
      <c r="V3207" s="186" t="s">
        <v>1110</v>
      </c>
      <c r="W3207" s="17" t="s">
        <v>69</v>
      </c>
      <c r="Y3207" s="68">
        <v>45130</v>
      </c>
      <c r="Z3207" s="17" t="s">
        <v>191</v>
      </c>
      <c r="AA3207" s="17" t="s">
        <v>46</v>
      </c>
      <c r="AB3207" s="17" t="s">
        <v>1119</v>
      </c>
      <c r="AC3207" s="102" t="s">
        <v>1120</v>
      </c>
      <c r="AD3207" s="65">
        <v>1451</v>
      </c>
      <c r="AE3207" s="17" t="s">
        <v>74</v>
      </c>
    </row>
    <row r="3208" s="17" customFormat="1" ht="15.6" hidden="1" spans="1:31">
      <c r="A3208" s="17" t="s">
        <v>34</v>
      </c>
      <c r="B3208" s="242">
        <v>908</v>
      </c>
      <c r="C3208" s="275" t="s">
        <v>1110</v>
      </c>
      <c r="D3208" s="272" t="s">
        <v>52</v>
      </c>
      <c r="E3208" s="17" t="s">
        <v>1113</v>
      </c>
      <c r="F3208" s="272" t="s">
        <v>54</v>
      </c>
      <c r="G3208" s="272"/>
      <c r="H3208" s="19" t="s">
        <v>1114</v>
      </c>
      <c r="I3208" s="19"/>
      <c r="J3208" s="272" t="s">
        <v>82</v>
      </c>
      <c r="K3208" s="242">
        <v>230</v>
      </c>
      <c r="L3208" s="242">
        <v>65</v>
      </c>
      <c r="M3208" s="19">
        <v>2200</v>
      </c>
      <c r="N3208" s="19" t="s">
        <v>66</v>
      </c>
      <c r="O3208" s="19" t="s">
        <v>141</v>
      </c>
      <c r="P3208" s="99"/>
      <c r="Q3208" s="98">
        <f>270+269</f>
        <v>539</v>
      </c>
      <c r="R3208" s="99"/>
      <c r="S3208" s="274">
        <v>1080</v>
      </c>
      <c r="T3208" s="19" t="s">
        <v>42</v>
      </c>
      <c r="U3208" s="102" t="s">
        <v>1115</v>
      </c>
      <c r="V3208" s="186" t="s">
        <v>1110</v>
      </c>
      <c r="W3208" s="17" t="s">
        <v>69</v>
      </c>
      <c r="Y3208" s="68">
        <v>45130</v>
      </c>
      <c r="Z3208" s="17" t="s">
        <v>191</v>
      </c>
      <c r="AA3208" s="17" t="s">
        <v>46</v>
      </c>
      <c r="AB3208" s="17" t="s">
        <v>1140</v>
      </c>
      <c r="AC3208" s="102" t="s">
        <v>1141</v>
      </c>
      <c r="AD3208" s="65">
        <v>1468</v>
      </c>
    </row>
    <row r="3209" s="17" customFormat="1" ht="15.6" hidden="1" spans="1:31">
      <c r="A3209" s="17" t="s">
        <v>34</v>
      </c>
      <c r="B3209" s="19">
        <v>908</v>
      </c>
      <c r="C3209" s="183" t="s">
        <v>1110</v>
      </c>
      <c r="D3209" s="17" t="s">
        <v>52</v>
      </c>
      <c r="E3209" s="17" t="s">
        <v>1113</v>
      </c>
      <c r="F3209" s="17" t="s">
        <v>54</v>
      </c>
      <c r="H3209" s="19" t="s">
        <v>1114</v>
      </c>
      <c r="I3209" s="19"/>
      <c r="J3209" s="17" t="s">
        <v>82</v>
      </c>
      <c r="K3209" s="19">
        <v>255</v>
      </c>
      <c r="L3209" s="19">
        <v>65</v>
      </c>
      <c r="M3209" s="19">
        <v>2300</v>
      </c>
      <c r="N3209" s="19" t="s">
        <v>66</v>
      </c>
      <c r="O3209" s="19" t="s">
        <v>141</v>
      </c>
      <c r="P3209" s="99">
        <v>2049</v>
      </c>
      <c r="Q3209" s="98">
        <f>295+296+294</f>
        <v>885</v>
      </c>
      <c r="R3209" s="99">
        <f>+P3209-Q3209</f>
        <v>1164</v>
      </c>
      <c r="S3209" s="274">
        <f>1120-40</f>
        <v>1080</v>
      </c>
      <c r="T3209" s="19" t="s">
        <v>42</v>
      </c>
      <c r="U3209" s="102" t="s">
        <v>1115</v>
      </c>
      <c r="V3209" s="186" t="s">
        <v>1110</v>
      </c>
      <c r="W3209" s="17" t="s">
        <v>44</v>
      </c>
      <c r="Y3209" s="68">
        <v>45130</v>
      </c>
      <c r="Z3209" s="17" t="s">
        <v>191</v>
      </c>
      <c r="AA3209" s="17" t="s">
        <v>46</v>
      </c>
      <c r="AB3209" s="17" t="s">
        <v>1142</v>
      </c>
      <c r="AC3209" s="102" t="s">
        <v>1143</v>
      </c>
      <c r="AD3209" s="65">
        <v>1465</v>
      </c>
      <c r="AE3209" s="17" t="s">
        <v>74</v>
      </c>
    </row>
    <row r="3210" s="17" customFormat="1" ht="15.6" hidden="1" spans="1:31">
      <c r="A3210" s="17" t="s">
        <v>34</v>
      </c>
      <c r="B3210" s="19">
        <v>908</v>
      </c>
      <c r="C3210" s="183" t="s">
        <v>1110</v>
      </c>
      <c r="D3210" s="17" t="s">
        <v>52</v>
      </c>
      <c r="E3210" s="17" t="s">
        <v>1113</v>
      </c>
      <c r="F3210" s="17" t="s">
        <v>54</v>
      </c>
      <c r="H3210" s="19" t="s">
        <v>1114</v>
      </c>
      <c r="I3210" s="19"/>
      <c r="J3210" s="17" t="s">
        <v>82</v>
      </c>
      <c r="K3210" s="19">
        <v>305</v>
      </c>
      <c r="L3210" s="19">
        <v>65</v>
      </c>
      <c r="M3210" s="19">
        <v>2300</v>
      </c>
      <c r="N3210" s="19" t="s">
        <v>66</v>
      </c>
      <c r="O3210" s="19" t="s">
        <v>141</v>
      </c>
      <c r="P3210" s="99">
        <v>2101</v>
      </c>
      <c r="Q3210" s="98">
        <f>350+356</f>
        <v>706</v>
      </c>
      <c r="S3210" s="274">
        <v>1120</v>
      </c>
      <c r="T3210" s="19" t="s">
        <v>42</v>
      </c>
      <c r="U3210" s="102" t="s">
        <v>1115</v>
      </c>
      <c r="V3210" s="186" t="s">
        <v>1110</v>
      </c>
      <c r="W3210" s="17" t="s">
        <v>69</v>
      </c>
      <c r="Y3210" s="68">
        <v>45130</v>
      </c>
      <c r="Z3210" s="17" t="s">
        <v>191</v>
      </c>
      <c r="AA3210" s="17" t="s">
        <v>46</v>
      </c>
      <c r="AB3210" s="17" t="s">
        <v>1116</v>
      </c>
      <c r="AC3210" s="102" t="s">
        <v>1117</v>
      </c>
      <c r="AD3210" s="65">
        <v>1443</v>
      </c>
      <c r="AE3210" s="17" t="s">
        <v>74</v>
      </c>
    </row>
    <row r="3211" s="17" customFormat="1" ht="15.6" hidden="1" spans="1:31">
      <c r="A3211" s="17" t="s">
        <v>34</v>
      </c>
      <c r="B3211" s="19">
        <v>908</v>
      </c>
      <c r="C3211" s="183" t="s">
        <v>1110</v>
      </c>
      <c r="D3211" s="17" t="s">
        <v>52</v>
      </c>
      <c r="E3211" s="17" t="s">
        <v>1113</v>
      </c>
      <c r="F3211" s="17" t="s">
        <v>54</v>
      </c>
      <c r="H3211" s="19" t="s">
        <v>1114</v>
      </c>
      <c r="I3211" s="19"/>
      <c r="J3211" s="17" t="s">
        <v>82</v>
      </c>
      <c r="K3211" s="19">
        <v>305</v>
      </c>
      <c r="L3211" s="19">
        <v>65</v>
      </c>
      <c r="M3211" s="19">
        <v>2300</v>
      </c>
      <c r="N3211" s="19" t="s">
        <v>66</v>
      </c>
      <c r="O3211" s="19" t="s">
        <v>141</v>
      </c>
      <c r="P3211" s="99"/>
      <c r="Q3211" s="98">
        <v>1406</v>
      </c>
      <c r="S3211" s="274">
        <v>1120</v>
      </c>
      <c r="T3211" s="19" t="s">
        <v>42</v>
      </c>
      <c r="U3211" s="102" t="s">
        <v>1115</v>
      </c>
      <c r="V3211" s="186" t="s">
        <v>1110</v>
      </c>
      <c r="W3211" s="17" t="s">
        <v>69</v>
      </c>
      <c r="Y3211" s="68">
        <v>45130</v>
      </c>
      <c r="Z3211" s="17" t="s">
        <v>191</v>
      </c>
      <c r="AA3211" s="17" t="s">
        <v>46</v>
      </c>
      <c r="AB3211" s="17" t="s">
        <v>1119</v>
      </c>
      <c r="AC3211" s="102" t="s">
        <v>1120</v>
      </c>
      <c r="AD3211" s="65">
        <v>1451</v>
      </c>
      <c r="AE3211" s="17" t="s">
        <v>74</v>
      </c>
    </row>
    <row r="3212" s="17" customFormat="1" ht="15.6" hidden="1" spans="1:31">
      <c r="A3212" s="17" t="s">
        <v>34</v>
      </c>
      <c r="B3212" s="19">
        <v>908</v>
      </c>
      <c r="C3212" s="183" t="s">
        <v>1110</v>
      </c>
      <c r="D3212" s="17" t="s">
        <v>52</v>
      </c>
      <c r="E3212" s="17" t="s">
        <v>1113</v>
      </c>
      <c r="F3212" s="17" t="s">
        <v>54</v>
      </c>
      <c r="H3212" s="19" t="s">
        <v>1114</v>
      </c>
      <c r="I3212" s="19"/>
      <c r="J3212" s="17" t="s">
        <v>82</v>
      </c>
      <c r="K3212" s="19">
        <v>305</v>
      </c>
      <c r="L3212" s="19">
        <v>65</v>
      </c>
      <c r="M3212" s="19">
        <v>2200</v>
      </c>
      <c r="N3212" s="19" t="s">
        <v>66</v>
      </c>
      <c r="O3212" s="19" t="s">
        <v>141</v>
      </c>
      <c r="P3212" s="99"/>
      <c r="Q3212" s="98">
        <f>358+360</f>
        <v>718</v>
      </c>
      <c r="R3212" s="99">
        <f>+P3210-Q3210-Q3211-Q3212</f>
        <v>-729</v>
      </c>
      <c r="S3212" s="274">
        <f t="shared" ref="S3212:S3222" si="159">1120-40</f>
        <v>1080</v>
      </c>
      <c r="T3212" s="19" t="s">
        <v>42</v>
      </c>
      <c r="U3212" s="102" t="s">
        <v>1115</v>
      </c>
      <c r="V3212" s="186" t="s">
        <v>1110</v>
      </c>
      <c r="W3212" s="17" t="s">
        <v>44</v>
      </c>
      <c r="Y3212" s="68">
        <v>45130</v>
      </c>
      <c r="Z3212" s="17" t="s">
        <v>191</v>
      </c>
      <c r="AA3212" s="17" t="s">
        <v>46</v>
      </c>
      <c r="AB3212" s="17" t="s">
        <v>1140</v>
      </c>
      <c r="AC3212" s="102" t="s">
        <v>1141</v>
      </c>
      <c r="AD3212" s="65">
        <v>1468</v>
      </c>
    </row>
    <row r="3213" s="17" customFormat="1" ht="15.6" hidden="1" spans="1:31">
      <c r="A3213" s="17" t="s">
        <v>34</v>
      </c>
      <c r="B3213" s="19">
        <v>908</v>
      </c>
      <c r="C3213" s="183" t="s">
        <v>1110</v>
      </c>
      <c r="D3213" s="17" t="s">
        <v>52</v>
      </c>
      <c r="E3213" s="17" t="s">
        <v>1113</v>
      </c>
      <c r="F3213" s="17" t="s">
        <v>54</v>
      </c>
      <c r="H3213" s="19" t="s">
        <v>1114</v>
      </c>
      <c r="I3213" s="19"/>
      <c r="J3213" s="17" t="s">
        <v>82</v>
      </c>
      <c r="K3213" s="19">
        <v>355</v>
      </c>
      <c r="L3213" s="19">
        <v>65</v>
      </c>
      <c r="M3213" s="19">
        <v>2300</v>
      </c>
      <c r="N3213" s="19" t="s">
        <v>66</v>
      </c>
      <c r="O3213" s="19" t="s">
        <v>141</v>
      </c>
      <c r="P3213" s="99">
        <v>2038</v>
      </c>
      <c r="Q3213" s="98">
        <f>415+411+415+423+414+415+415</f>
        <v>2908</v>
      </c>
      <c r="R3213" s="99">
        <f>+P3213-Q3213</f>
        <v>-870</v>
      </c>
      <c r="S3213" s="274">
        <f t="shared" si="159"/>
        <v>1080</v>
      </c>
      <c r="T3213" s="19" t="s">
        <v>42</v>
      </c>
      <c r="U3213" s="102" t="s">
        <v>1115</v>
      </c>
      <c r="V3213" s="186" t="s">
        <v>1110</v>
      </c>
      <c r="W3213" s="17" t="s">
        <v>44</v>
      </c>
      <c r="Y3213" s="68">
        <v>45130</v>
      </c>
      <c r="Z3213" s="17" t="s">
        <v>191</v>
      </c>
      <c r="AA3213" s="17" t="s">
        <v>46</v>
      </c>
      <c r="AB3213" s="17" t="s">
        <v>1140</v>
      </c>
      <c r="AC3213" s="102" t="s">
        <v>1141</v>
      </c>
      <c r="AD3213" s="65">
        <v>1468</v>
      </c>
      <c r="AE3213" s="17" t="s">
        <v>74</v>
      </c>
    </row>
    <row r="3214" s="17" customFormat="1" ht="15.6" hidden="1" spans="1:31">
      <c r="A3214" s="17" t="s">
        <v>34</v>
      </c>
      <c r="B3214" s="19">
        <v>908</v>
      </c>
      <c r="C3214" s="183" t="s">
        <v>1110</v>
      </c>
      <c r="D3214" s="17" t="s">
        <v>52</v>
      </c>
      <c r="E3214" s="17" t="s">
        <v>1113</v>
      </c>
      <c r="F3214" s="17" t="s">
        <v>54</v>
      </c>
      <c r="H3214" s="19" t="s">
        <v>1114</v>
      </c>
      <c r="I3214" s="19"/>
      <c r="J3214" s="17" t="s">
        <v>82</v>
      </c>
      <c r="K3214" s="19">
        <v>405</v>
      </c>
      <c r="L3214" s="19">
        <v>65</v>
      </c>
      <c r="M3214" s="19">
        <v>2300</v>
      </c>
      <c r="N3214" s="19" t="s">
        <v>66</v>
      </c>
      <c r="O3214" s="19" t="s">
        <v>141</v>
      </c>
      <c r="P3214" s="99">
        <v>1860</v>
      </c>
      <c r="Q3214" s="19">
        <v>470</v>
      </c>
      <c r="S3214" s="274">
        <f t="shared" si="159"/>
        <v>1080</v>
      </c>
      <c r="T3214" s="19" t="s">
        <v>42</v>
      </c>
      <c r="U3214" s="102" t="s">
        <v>1115</v>
      </c>
      <c r="V3214" s="186" t="s">
        <v>1110</v>
      </c>
      <c r="W3214" s="17" t="s">
        <v>44</v>
      </c>
      <c r="Y3214" s="68">
        <v>45130</v>
      </c>
      <c r="Z3214" s="17" t="s">
        <v>191</v>
      </c>
      <c r="AA3214" s="17" t="s">
        <v>46</v>
      </c>
      <c r="AB3214" s="17" t="s">
        <v>1142</v>
      </c>
      <c r="AC3214" s="102" t="s">
        <v>1143</v>
      </c>
      <c r="AD3214" s="65">
        <v>1465</v>
      </c>
      <c r="AE3214" s="17" t="s">
        <v>74</v>
      </c>
    </row>
    <row r="3215" s="17" customFormat="1" ht="15.6" hidden="1" spans="1:31">
      <c r="A3215" s="17" t="s">
        <v>34</v>
      </c>
      <c r="B3215" s="19">
        <v>908</v>
      </c>
      <c r="C3215" s="183" t="s">
        <v>1110</v>
      </c>
      <c r="D3215" s="17" t="s">
        <v>52</v>
      </c>
      <c r="E3215" s="17" t="s">
        <v>1113</v>
      </c>
      <c r="F3215" s="17" t="s">
        <v>54</v>
      </c>
      <c r="H3215" s="19" t="s">
        <v>1114</v>
      </c>
      <c r="I3215" s="19"/>
      <c r="J3215" s="17" t="s">
        <v>82</v>
      </c>
      <c r="K3215" s="19">
        <v>405</v>
      </c>
      <c r="L3215" s="19">
        <v>65</v>
      </c>
      <c r="M3215" s="19">
        <v>2300</v>
      </c>
      <c r="N3215" s="19" t="s">
        <v>66</v>
      </c>
      <c r="O3215" s="19" t="s">
        <v>141</v>
      </c>
      <c r="P3215" s="99"/>
      <c r="Q3215" s="19">
        <f>465+466+466</f>
        <v>1397</v>
      </c>
      <c r="S3215" s="274">
        <f t="shared" si="159"/>
        <v>1080</v>
      </c>
      <c r="T3215" s="19" t="s">
        <v>42</v>
      </c>
      <c r="U3215" s="102" t="s">
        <v>1115</v>
      </c>
      <c r="V3215" s="186" t="s">
        <v>1110</v>
      </c>
      <c r="W3215" s="17" t="s">
        <v>44</v>
      </c>
      <c r="Y3215" s="68">
        <v>45130</v>
      </c>
      <c r="Z3215" s="17" t="s">
        <v>191</v>
      </c>
      <c r="AA3215" s="17" t="s">
        <v>46</v>
      </c>
      <c r="AB3215" s="17" t="s">
        <v>1138</v>
      </c>
      <c r="AC3215" s="102" t="s">
        <v>1139</v>
      </c>
      <c r="AD3215" s="65">
        <v>1473</v>
      </c>
      <c r="AE3215" s="17" t="s">
        <v>74</v>
      </c>
    </row>
    <row r="3216" s="17" customFormat="1" ht="15.6" hidden="1" spans="1:31">
      <c r="A3216" s="17" t="s">
        <v>34</v>
      </c>
      <c r="B3216" s="19">
        <v>908</v>
      </c>
      <c r="C3216" s="183" t="s">
        <v>1110</v>
      </c>
      <c r="D3216" s="17" t="s">
        <v>52</v>
      </c>
      <c r="E3216" s="17" t="s">
        <v>1113</v>
      </c>
      <c r="F3216" s="17" t="s">
        <v>54</v>
      </c>
      <c r="H3216" s="19" t="s">
        <v>1114</v>
      </c>
      <c r="I3216" s="19"/>
      <c r="J3216" s="17" t="s">
        <v>82</v>
      </c>
      <c r="K3216" s="19">
        <v>405</v>
      </c>
      <c r="L3216" s="19">
        <v>65</v>
      </c>
      <c r="M3216" s="19">
        <v>2200</v>
      </c>
      <c r="N3216" s="19" t="s">
        <v>66</v>
      </c>
      <c r="O3216" s="19" t="s">
        <v>141</v>
      </c>
      <c r="P3216" s="99"/>
      <c r="Q3216" s="19">
        <v>473</v>
      </c>
      <c r="R3216" s="99">
        <f>+P3214-Q3214-Q3215-Q3216</f>
        <v>-480</v>
      </c>
      <c r="S3216" s="274">
        <f t="shared" si="159"/>
        <v>1080</v>
      </c>
      <c r="T3216" s="19" t="s">
        <v>42</v>
      </c>
      <c r="U3216" s="102" t="s">
        <v>1115</v>
      </c>
      <c r="V3216" s="186" t="s">
        <v>1110</v>
      </c>
      <c r="W3216" s="17" t="s">
        <v>44</v>
      </c>
      <c r="Y3216" s="68">
        <v>45130</v>
      </c>
      <c r="Z3216" s="17" t="s">
        <v>191</v>
      </c>
      <c r="AA3216" s="17" t="s">
        <v>46</v>
      </c>
      <c r="AB3216" s="17" t="s">
        <v>1138</v>
      </c>
      <c r="AC3216" s="102" t="s">
        <v>1139</v>
      </c>
      <c r="AD3216" s="65">
        <v>1473</v>
      </c>
    </row>
    <row r="3217" s="17" customFormat="1" ht="15.6" hidden="1" spans="1:31">
      <c r="A3217" s="17" t="s">
        <v>34</v>
      </c>
      <c r="B3217" s="19">
        <v>908</v>
      </c>
      <c r="C3217" s="183" t="s">
        <v>1110</v>
      </c>
      <c r="D3217" s="17" t="s">
        <v>52</v>
      </c>
      <c r="E3217" s="17" t="s">
        <v>1113</v>
      </c>
      <c r="F3217" s="17" t="s">
        <v>54</v>
      </c>
      <c r="H3217" s="19" t="s">
        <v>1114</v>
      </c>
      <c r="I3217" s="19"/>
      <c r="J3217" s="17" t="s">
        <v>82</v>
      </c>
      <c r="K3217" s="19">
        <v>455</v>
      </c>
      <c r="L3217" s="19">
        <v>65</v>
      </c>
      <c r="M3217" s="19">
        <v>2300</v>
      </c>
      <c r="N3217" s="19" t="s">
        <v>66</v>
      </c>
      <c r="O3217" s="19" t="s">
        <v>141</v>
      </c>
      <c r="P3217" s="99">
        <v>2089</v>
      </c>
      <c r="Q3217" s="19">
        <v>529</v>
      </c>
      <c r="S3217" s="274">
        <f t="shared" si="159"/>
        <v>1080</v>
      </c>
      <c r="T3217" s="19" t="s">
        <v>42</v>
      </c>
      <c r="U3217" s="102" t="s">
        <v>1115</v>
      </c>
      <c r="V3217" s="186" t="s">
        <v>1110</v>
      </c>
      <c r="W3217" s="17" t="s">
        <v>44</v>
      </c>
      <c r="Y3217" s="68">
        <v>45130</v>
      </c>
      <c r="Z3217" s="17" t="s">
        <v>191</v>
      </c>
      <c r="AA3217" s="17" t="s">
        <v>46</v>
      </c>
      <c r="AB3217" s="17" t="s">
        <v>1140</v>
      </c>
      <c r="AC3217" s="102" t="s">
        <v>1141</v>
      </c>
      <c r="AD3217" s="65">
        <v>1468</v>
      </c>
      <c r="AE3217" s="17" t="s">
        <v>74</v>
      </c>
    </row>
    <row r="3218" s="17" customFormat="1" ht="15.6" hidden="1" spans="1:31">
      <c r="A3218" s="17" t="s">
        <v>34</v>
      </c>
      <c r="B3218" s="19">
        <v>908</v>
      </c>
      <c r="C3218" s="183" t="s">
        <v>1110</v>
      </c>
      <c r="D3218" s="17" t="s">
        <v>52</v>
      </c>
      <c r="E3218" s="17" t="s">
        <v>1113</v>
      </c>
      <c r="F3218" s="17" t="s">
        <v>54</v>
      </c>
      <c r="H3218" s="19" t="s">
        <v>1114</v>
      </c>
      <c r="I3218" s="19"/>
      <c r="J3218" s="17" t="s">
        <v>82</v>
      </c>
      <c r="K3218" s="19">
        <v>455</v>
      </c>
      <c r="L3218" s="19">
        <v>65</v>
      </c>
      <c r="M3218" s="19">
        <v>2300</v>
      </c>
      <c r="N3218" s="19" t="s">
        <v>66</v>
      </c>
      <c r="O3218" s="19" t="s">
        <v>141</v>
      </c>
      <c r="P3218" s="99"/>
      <c r="Q3218" s="19">
        <f>525+525</f>
        <v>1050</v>
      </c>
      <c r="S3218" s="274">
        <f t="shared" si="159"/>
        <v>1080</v>
      </c>
      <c r="T3218" s="19" t="s">
        <v>42</v>
      </c>
      <c r="U3218" s="102" t="s">
        <v>1115</v>
      </c>
      <c r="V3218" s="186" t="s">
        <v>1110</v>
      </c>
      <c r="W3218" s="17" t="s">
        <v>44</v>
      </c>
      <c r="Y3218" s="68">
        <v>45130</v>
      </c>
      <c r="Z3218" s="17" t="s">
        <v>191</v>
      </c>
      <c r="AA3218" s="17" t="s">
        <v>46</v>
      </c>
      <c r="AB3218" s="17" t="s">
        <v>1138</v>
      </c>
      <c r="AC3218" s="102" t="s">
        <v>1139</v>
      </c>
      <c r="AD3218" s="65">
        <v>1473</v>
      </c>
      <c r="AE3218" s="17" t="s">
        <v>74</v>
      </c>
    </row>
    <row r="3219" s="17" customFormat="1" ht="15.6" hidden="1" spans="1:31">
      <c r="A3219" s="17" t="s">
        <v>34</v>
      </c>
      <c r="B3219" s="19">
        <v>908</v>
      </c>
      <c r="C3219" s="183" t="s">
        <v>1110</v>
      </c>
      <c r="D3219" s="17" t="s">
        <v>52</v>
      </c>
      <c r="E3219" s="17" t="s">
        <v>1113</v>
      </c>
      <c r="F3219" s="17" t="s">
        <v>54</v>
      </c>
      <c r="H3219" s="19" t="s">
        <v>1114</v>
      </c>
      <c r="I3219" s="19"/>
      <c r="J3219" s="17" t="s">
        <v>82</v>
      </c>
      <c r="K3219" s="19">
        <v>455</v>
      </c>
      <c r="L3219" s="19">
        <v>65</v>
      </c>
      <c r="M3219" s="19">
        <v>2200</v>
      </c>
      <c r="N3219" s="19" t="s">
        <v>66</v>
      </c>
      <c r="O3219" s="19" t="s">
        <v>141</v>
      </c>
      <c r="P3219" s="99"/>
      <c r="Q3219" s="19">
        <v>531</v>
      </c>
      <c r="S3219" s="274">
        <f t="shared" si="159"/>
        <v>1080</v>
      </c>
      <c r="T3219" s="19" t="s">
        <v>42</v>
      </c>
      <c r="U3219" s="102" t="s">
        <v>1115</v>
      </c>
      <c r="V3219" s="186" t="s">
        <v>1110</v>
      </c>
      <c r="W3219" s="17" t="s">
        <v>44</v>
      </c>
      <c r="Y3219" s="68">
        <v>45130</v>
      </c>
      <c r="Z3219" s="17" t="s">
        <v>191</v>
      </c>
      <c r="AA3219" s="17" t="s">
        <v>46</v>
      </c>
      <c r="AB3219" s="17" t="s">
        <v>1138</v>
      </c>
      <c r="AC3219" s="102" t="s">
        <v>1139</v>
      </c>
      <c r="AD3219" s="65">
        <v>1473</v>
      </c>
    </row>
    <row r="3220" s="17" customFormat="1" ht="15.6" hidden="1" spans="1:31">
      <c r="A3220" s="17" t="s">
        <v>34</v>
      </c>
      <c r="B3220" s="19">
        <v>908</v>
      </c>
      <c r="C3220" s="183" t="s">
        <v>1110</v>
      </c>
      <c r="D3220" s="17" t="s">
        <v>52</v>
      </c>
      <c r="E3220" s="17" t="s">
        <v>1113</v>
      </c>
      <c r="F3220" s="17" t="s">
        <v>54</v>
      </c>
      <c r="H3220" s="19" t="s">
        <v>1114</v>
      </c>
      <c r="I3220" s="19"/>
      <c r="J3220" s="17" t="s">
        <v>82</v>
      </c>
      <c r="K3220" s="19">
        <v>455</v>
      </c>
      <c r="L3220" s="19">
        <v>65</v>
      </c>
      <c r="M3220" s="19">
        <v>2200</v>
      </c>
      <c r="N3220" s="19" t="s">
        <v>66</v>
      </c>
      <c r="O3220" s="19" t="s">
        <v>141</v>
      </c>
      <c r="P3220" s="99"/>
      <c r="Q3220" s="19">
        <v>534</v>
      </c>
      <c r="R3220" s="99">
        <f>+P3217-Q3217-Q3218-Q3219-Q3220</f>
        <v>-555</v>
      </c>
      <c r="S3220" s="274">
        <f t="shared" si="159"/>
        <v>1080</v>
      </c>
      <c r="T3220" s="19" t="s">
        <v>42</v>
      </c>
      <c r="U3220" s="102" t="s">
        <v>1115</v>
      </c>
      <c r="V3220" s="186" t="s">
        <v>1110</v>
      </c>
      <c r="W3220" s="17" t="s">
        <v>44</v>
      </c>
      <c r="Y3220" s="68">
        <v>45130</v>
      </c>
      <c r="Z3220" s="17" t="s">
        <v>191</v>
      </c>
      <c r="AA3220" s="17" t="s">
        <v>46</v>
      </c>
      <c r="AB3220" s="17" t="s">
        <v>1136</v>
      </c>
      <c r="AC3220" s="217">
        <v>44937</v>
      </c>
      <c r="AD3220" s="65">
        <v>1476</v>
      </c>
    </row>
    <row r="3221" s="17" customFormat="1" ht="15.6" hidden="1" spans="1:31">
      <c r="A3221" s="17" t="s">
        <v>34</v>
      </c>
      <c r="B3221" s="19">
        <v>908</v>
      </c>
      <c r="C3221" s="183" t="s">
        <v>1110</v>
      </c>
      <c r="D3221" s="17" t="s">
        <v>52</v>
      </c>
      <c r="E3221" s="17" t="s">
        <v>1113</v>
      </c>
      <c r="F3221" s="17" t="s">
        <v>54</v>
      </c>
      <c r="H3221" s="19" t="s">
        <v>1114</v>
      </c>
      <c r="I3221" s="19"/>
      <c r="J3221" s="17" t="s">
        <v>82</v>
      </c>
      <c r="K3221" s="19">
        <v>505</v>
      </c>
      <c r="L3221" s="19">
        <v>65</v>
      </c>
      <c r="M3221" s="19">
        <v>2300</v>
      </c>
      <c r="N3221" s="19" t="s">
        <v>66</v>
      </c>
      <c r="O3221" s="19" t="s">
        <v>141</v>
      </c>
      <c r="P3221" s="99">
        <v>2319</v>
      </c>
      <c r="Q3221" s="19">
        <v>586</v>
      </c>
      <c r="S3221" s="274">
        <f t="shared" si="159"/>
        <v>1080</v>
      </c>
      <c r="T3221" s="19" t="s">
        <v>42</v>
      </c>
      <c r="U3221" s="102" t="s">
        <v>1115</v>
      </c>
      <c r="V3221" s="186" t="s">
        <v>1110</v>
      </c>
      <c r="W3221" s="17" t="s">
        <v>44</v>
      </c>
      <c r="Y3221" s="68">
        <v>45130</v>
      </c>
      <c r="Z3221" s="17" t="s">
        <v>191</v>
      </c>
      <c r="AA3221" s="17" t="s">
        <v>46</v>
      </c>
      <c r="AB3221" s="17" t="s">
        <v>1138</v>
      </c>
      <c r="AC3221" s="102" t="s">
        <v>1139</v>
      </c>
      <c r="AD3221" s="65">
        <v>1473</v>
      </c>
      <c r="AE3221" s="17" t="s">
        <v>74</v>
      </c>
    </row>
    <row r="3222" s="17" customFormat="1" ht="15.6" hidden="1" spans="1:31">
      <c r="A3222" s="17" t="s">
        <v>34</v>
      </c>
      <c r="B3222" s="19">
        <v>908</v>
      </c>
      <c r="C3222" s="183" t="s">
        <v>1110</v>
      </c>
      <c r="D3222" s="17" t="s">
        <v>52</v>
      </c>
      <c r="E3222" s="17" t="s">
        <v>1113</v>
      </c>
      <c r="F3222" s="17" t="s">
        <v>54</v>
      </c>
      <c r="H3222" s="19" t="s">
        <v>1114</v>
      </c>
      <c r="I3222" s="19"/>
      <c r="J3222" s="17" t="s">
        <v>82</v>
      </c>
      <c r="K3222" s="19">
        <v>505</v>
      </c>
      <c r="L3222" s="19">
        <v>65</v>
      </c>
      <c r="M3222" s="19">
        <v>2300</v>
      </c>
      <c r="N3222" s="19" t="s">
        <v>66</v>
      </c>
      <c r="O3222" s="19" t="s">
        <v>141</v>
      </c>
      <c r="P3222" s="99"/>
      <c r="Q3222" s="19">
        <f>588+589+589+588</f>
        <v>2354</v>
      </c>
      <c r="S3222" s="274">
        <f t="shared" si="159"/>
        <v>1080</v>
      </c>
      <c r="T3222" s="19" t="s">
        <v>42</v>
      </c>
      <c r="U3222" s="102" t="s">
        <v>1115</v>
      </c>
      <c r="V3222" s="186" t="s">
        <v>1110</v>
      </c>
      <c r="W3222" s="17" t="s">
        <v>44</v>
      </c>
      <c r="Y3222" s="68">
        <v>45130</v>
      </c>
      <c r="Z3222" s="17" t="s">
        <v>191</v>
      </c>
      <c r="AA3222" s="17" t="s">
        <v>46</v>
      </c>
      <c r="AB3222" s="17" t="s">
        <v>1136</v>
      </c>
      <c r="AC3222" s="217">
        <v>44937</v>
      </c>
      <c r="AD3222" s="65">
        <v>1476</v>
      </c>
    </row>
    <row r="3223" s="17" customFormat="1" ht="15.6" hidden="1" spans="1:31">
      <c r="A3223" s="17" t="s">
        <v>34</v>
      </c>
      <c r="B3223" s="19">
        <v>908</v>
      </c>
      <c r="C3223" s="183" t="s">
        <v>1110</v>
      </c>
      <c r="D3223" s="17" t="s">
        <v>52</v>
      </c>
      <c r="E3223" s="17" t="s">
        <v>1113</v>
      </c>
      <c r="F3223" s="17" t="s">
        <v>54</v>
      </c>
      <c r="H3223" s="19" t="s">
        <v>1114</v>
      </c>
      <c r="I3223" s="19"/>
      <c r="J3223" s="17" t="s">
        <v>82</v>
      </c>
      <c r="K3223" s="19">
        <v>505</v>
      </c>
      <c r="L3223" s="19">
        <v>65</v>
      </c>
      <c r="M3223" s="19">
        <v>2300</v>
      </c>
      <c r="N3223" s="19" t="s">
        <v>66</v>
      </c>
      <c r="O3223" s="19" t="s">
        <v>141</v>
      </c>
      <c r="P3223" s="99"/>
      <c r="Q3223" s="19">
        <v>590</v>
      </c>
      <c r="R3223" s="99">
        <f>+P3221-Q3221-Q3222-Q3223</f>
        <v>-1211</v>
      </c>
      <c r="S3223" s="274">
        <v>1120</v>
      </c>
      <c r="T3223" s="19" t="s">
        <v>42</v>
      </c>
      <c r="U3223" s="102" t="s">
        <v>1115</v>
      </c>
      <c r="V3223" s="186" t="s">
        <v>1110</v>
      </c>
      <c r="W3223" s="17" t="s">
        <v>69</v>
      </c>
      <c r="Y3223" s="68">
        <v>45130</v>
      </c>
      <c r="Z3223" s="17" t="s">
        <v>191</v>
      </c>
      <c r="AA3223" s="17" t="s">
        <v>46</v>
      </c>
      <c r="AB3223" s="17" t="s">
        <v>1137</v>
      </c>
      <c r="AC3223" s="217">
        <v>45210</v>
      </c>
      <c r="AD3223" s="65">
        <v>1489</v>
      </c>
    </row>
    <row r="3224" s="17" customFormat="1" ht="15.6" hidden="1" spans="1:31">
      <c r="A3224" s="17" t="s">
        <v>34</v>
      </c>
      <c r="B3224" s="19">
        <v>908</v>
      </c>
      <c r="C3224" s="183" t="s">
        <v>1110</v>
      </c>
      <c r="D3224" s="17" t="s">
        <v>52</v>
      </c>
      <c r="E3224" s="17" t="s">
        <v>1113</v>
      </c>
      <c r="F3224" s="17" t="s">
        <v>54</v>
      </c>
      <c r="H3224" s="19" t="s">
        <v>1114</v>
      </c>
      <c r="I3224" s="19"/>
      <c r="J3224" s="17" t="s">
        <v>82</v>
      </c>
      <c r="K3224" s="19">
        <v>205</v>
      </c>
      <c r="L3224" s="19">
        <v>80</v>
      </c>
      <c r="M3224" s="19">
        <v>2300</v>
      </c>
      <c r="N3224" s="19" t="s">
        <v>66</v>
      </c>
      <c r="O3224" s="19" t="s">
        <v>141</v>
      </c>
      <c r="P3224" s="99">
        <v>1738</v>
      </c>
      <c r="Q3224" s="19">
        <f>292+297+294+296</f>
        <v>1179</v>
      </c>
      <c r="R3224" s="99">
        <f>+P3224-Q3224</f>
        <v>559</v>
      </c>
      <c r="S3224" s="274">
        <f t="shared" ref="S3224:S3233" si="160">1120-40</f>
        <v>1080</v>
      </c>
      <c r="T3224" s="19" t="s">
        <v>42</v>
      </c>
      <c r="U3224" s="102" t="s">
        <v>1115</v>
      </c>
      <c r="V3224" s="186" t="s">
        <v>1110</v>
      </c>
      <c r="W3224" s="17" t="s">
        <v>44</v>
      </c>
      <c r="Y3224" s="68">
        <v>45130</v>
      </c>
      <c r="Z3224" s="17" t="s">
        <v>191</v>
      </c>
      <c r="AA3224" s="17" t="s">
        <v>46</v>
      </c>
      <c r="AB3224" s="17" t="s">
        <v>1140</v>
      </c>
      <c r="AC3224" s="102" t="s">
        <v>1141</v>
      </c>
      <c r="AD3224" s="65">
        <v>1468</v>
      </c>
      <c r="AE3224" s="17" t="s">
        <v>74</v>
      </c>
    </row>
    <row r="3225" s="17" customFormat="1" ht="15.6" hidden="1" spans="1:31">
      <c r="A3225" s="17" t="s">
        <v>34</v>
      </c>
      <c r="B3225" s="19">
        <v>908</v>
      </c>
      <c r="C3225" s="183" t="s">
        <v>1110</v>
      </c>
      <c r="D3225" s="17" t="s">
        <v>52</v>
      </c>
      <c r="E3225" s="17" t="s">
        <v>1113</v>
      </c>
      <c r="F3225" s="17" t="s">
        <v>54</v>
      </c>
      <c r="H3225" s="19" t="s">
        <v>1114</v>
      </c>
      <c r="I3225" s="19"/>
      <c r="J3225" s="17" t="s">
        <v>82</v>
      </c>
      <c r="K3225" s="19">
        <v>255</v>
      </c>
      <c r="L3225" s="19">
        <v>80</v>
      </c>
      <c r="M3225" s="19">
        <v>2300</v>
      </c>
      <c r="N3225" s="19" t="s">
        <v>66</v>
      </c>
      <c r="O3225" s="19" t="s">
        <v>141</v>
      </c>
      <c r="P3225" s="99">
        <v>1802</v>
      </c>
      <c r="Q3225" s="19">
        <f>361+358</f>
        <v>719</v>
      </c>
      <c r="S3225" s="274">
        <f t="shared" si="160"/>
        <v>1080</v>
      </c>
      <c r="T3225" s="19" t="s">
        <v>42</v>
      </c>
      <c r="U3225" s="102" t="s">
        <v>1115</v>
      </c>
      <c r="V3225" s="186" t="s">
        <v>1110</v>
      </c>
      <c r="W3225" s="17" t="s">
        <v>44</v>
      </c>
      <c r="Y3225" s="68">
        <v>45130</v>
      </c>
      <c r="Z3225" s="17" t="s">
        <v>191</v>
      </c>
      <c r="AA3225" s="17" t="s">
        <v>46</v>
      </c>
      <c r="AB3225" s="17" t="s">
        <v>1142</v>
      </c>
      <c r="AC3225" s="102" t="s">
        <v>1143</v>
      </c>
      <c r="AD3225" s="65">
        <v>1465</v>
      </c>
      <c r="AE3225" s="17" t="s">
        <v>74</v>
      </c>
    </row>
    <row r="3226" s="17" customFormat="1" ht="15.6" hidden="1" spans="1:31">
      <c r="A3226" s="17" t="s">
        <v>34</v>
      </c>
      <c r="B3226" s="19">
        <v>908</v>
      </c>
      <c r="C3226" s="183" t="s">
        <v>1110</v>
      </c>
      <c r="D3226" s="17" t="s">
        <v>52</v>
      </c>
      <c r="E3226" s="17" t="s">
        <v>1113</v>
      </c>
      <c r="F3226" s="17" t="s">
        <v>54</v>
      </c>
      <c r="H3226" s="19" t="s">
        <v>1114</v>
      </c>
      <c r="I3226" s="19"/>
      <c r="J3226" s="17" t="s">
        <v>82</v>
      </c>
      <c r="K3226" s="19">
        <v>255</v>
      </c>
      <c r="L3226" s="19">
        <v>80</v>
      </c>
      <c r="M3226" s="19">
        <v>2300</v>
      </c>
      <c r="N3226" s="19" t="s">
        <v>66</v>
      </c>
      <c r="O3226" s="19" t="s">
        <v>141</v>
      </c>
      <c r="P3226" s="99"/>
      <c r="Q3226" s="19">
        <v>358</v>
      </c>
      <c r="R3226" s="99">
        <f>+P3225-Q3225-Q3226</f>
        <v>725</v>
      </c>
      <c r="S3226" s="274">
        <f t="shared" si="160"/>
        <v>1080</v>
      </c>
      <c r="T3226" s="19" t="s">
        <v>42</v>
      </c>
      <c r="U3226" s="102" t="s">
        <v>1115</v>
      </c>
      <c r="V3226" s="186" t="s">
        <v>1110</v>
      </c>
      <c r="W3226" s="17" t="s">
        <v>44</v>
      </c>
      <c r="Y3226" s="68">
        <v>45130</v>
      </c>
      <c r="Z3226" s="17" t="s">
        <v>191</v>
      </c>
      <c r="AA3226" s="17" t="s">
        <v>46</v>
      </c>
      <c r="AB3226" s="17" t="s">
        <v>1140</v>
      </c>
      <c r="AC3226" s="102" t="s">
        <v>1141</v>
      </c>
      <c r="AD3226" s="65">
        <v>1468</v>
      </c>
    </row>
    <row r="3227" s="17" customFormat="1" ht="15.6" hidden="1" spans="1:31">
      <c r="A3227" s="17" t="s">
        <v>34</v>
      </c>
      <c r="B3227" s="19">
        <v>908</v>
      </c>
      <c r="C3227" s="183" t="s">
        <v>1110</v>
      </c>
      <c r="D3227" s="17" t="s">
        <v>52</v>
      </c>
      <c r="E3227" s="17" t="s">
        <v>1113</v>
      </c>
      <c r="F3227" s="17" t="s">
        <v>54</v>
      </c>
      <c r="H3227" s="19" t="s">
        <v>1114</v>
      </c>
      <c r="I3227" s="19"/>
      <c r="J3227" s="17" t="s">
        <v>82</v>
      </c>
      <c r="K3227" s="19">
        <v>305</v>
      </c>
      <c r="L3227" s="19">
        <v>80</v>
      </c>
      <c r="M3227" s="19">
        <v>2300</v>
      </c>
      <c r="N3227" s="19" t="s">
        <v>66</v>
      </c>
      <c r="O3227" s="19" t="s">
        <v>141</v>
      </c>
      <c r="P3227" s="99">
        <v>1724</v>
      </c>
      <c r="Q3227" s="19">
        <f>432+429+431</f>
        <v>1292</v>
      </c>
      <c r="R3227" s="99">
        <f>+P3227-Q3227</f>
        <v>432</v>
      </c>
      <c r="S3227" s="274">
        <f t="shared" si="160"/>
        <v>1080</v>
      </c>
      <c r="T3227" s="19" t="s">
        <v>42</v>
      </c>
      <c r="U3227" s="102" t="s">
        <v>1115</v>
      </c>
      <c r="V3227" s="186" t="s">
        <v>1110</v>
      </c>
      <c r="W3227" s="17" t="s">
        <v>44</v>
      </c>
      <c r="Y3227" s="68">
        <v>45130</v>
      </c>
      <c r="Z3227" s="17" t="s">
        <v>191</v>
      </c>
      <c r="AA3227" s="17" t="s">
        <v>46</v>
      </c>
      <c r="AB3227" s="17" t="s">
        <v>1140</v>
      </c>
      <c r="AC3227" s="102" t="s">
        <v>1141</v>
      </c>
      <c r="AD3227" s="65">
        <v>1468</v>
      </c>
      <c r="AE3227" s="17" t="s">
        <v>74</v>
      </c>
    </row>
    <row r="3228" s="17" customFormat="1" ht="15.6" hidden="1" spans="1:31">
      <c r="A3228" s="17" t="s">
        <v>34</v>
      </c>
      <c r="B3228" s="19">
        <v>908</v>
      </c>
      <c r="C3228" s="183" t="s">
        <v>1110</v>
      </c>
      <c r="D3228" s="17" t="s">
        <v>52</v>
      </c>
      <c r="E3228" s="17" t="s">
        <v>1113</v>
      </c>
      <c r="F3228" s="17" t="s">
        <v>54</v>
      </c>
      <c r="H3228" s="19" t="s">
        <v>1114</v>
      </c>
      <c r="I3228" s="19"/>
      <c r="J3228" s="17" t="s">
        <v>82</v>
      </c>
      <c r="K3228" s="19">
        <v>355</v>
      </c>
      <c r="L3228" s="19">
        <v>80</v>
      </c>
      <c r="M3228" s="19">
        <v>2300</v>
      </c>
      <c r="N3228" s="19" t="s">
        <v>66</v>
      </c>
      <c r="O3228" s="19" t="s">
        <v>141</v>
      </c>
      <c r="P3228" s="99">
        <v>1505</v>
      </c>
      <c r="Q3228" s="19">
        <v>502</v>
      </c>
      <c r="S3228" s="274">
        <f t="shared" si="160"/>
        <v>1080</v>
      </c>
      <c r="T3228" s="19" t="s">
        <v>42</v>
      </c>
      <c r="U3228" s="102" t="s">
        <v>1115</v>
      </c>
      <c r="V3228" s="186" t="s">
        <v>1110</v>
      </c>
      <c r="W3228" s="17" t="s">
        <v>44</v>
      </c>
      <c r="Y3228" s="68">
        <v>45130</v>
      </c>
      <c r="Z3228" s="17" t="s">
        <v>191</v>
      </c>
      <c r="AA3228" s="17" t="s">
        <v>46</v>
      </c>
      <c r="AB3228" s="17" t="s">
        <v>1142</v>
      </c>
      <c r="AC3228" s="102" t="s">
        <v>1143</v>
      </c>
      <c r="AD3228" s="65">
        <v>1465</v>
      </c>
      <c r="AE3228" s="17" t="s">
        <v>74</v>
      </c>
    </row>
    <row r="3229" s="17" customFormat="1" ht="15.6" hidden="1" spans="1:31">
      <c r="A3229" s="17" t="s">
        <v>34</v>
      </c>
      <c r="B3229" s="19">
        <v>908</v>
      </c>
      <c r="C3229" s="183" t="s">
        <v>1110</v>
      </c>
      <c r="D3229" s="17" t="s">
        <v>52</v>
      </c>
      <c r="E3229" s="17" t="s">
        <v>1113</v>
      </c>
      <c r="F3229" s="17" t="s">
        <v>54</v>
      </c>
      <c r="H3229" s="19" t="s">
        <v>1114</v>
      </c>
      <c r="I3229" s="19"/>
      <c r="J3229" s="17" t="s">
        <v>82</v>
      </c>
      <c r="K3229" s="19">
        <v>355</v>
      </c>
      <c r="L3229" s="19">
        <v>80</v>
      </c>
      <c r="M3229" s="19">
        <v>2300</v>
      </c>
      <c r="N3229" s="19" t="s">
        <v>66</v>
      </c>
      <c r="O3229" s="19" t="s">
        <v>141</v>
      </c>
      <c r="P3229" s="99"/>
      <c r="Q3229" s="19">
        <f>502+498</f>
        <v>1000</v>
      </c>
      <c r="R3229" s="99">
        <f>+P3228-Q3228-Q3229</f>
        <v>3</v>
      </c>
      <c r="S3229" s="274">
        <f t="shared" si="160"/>
        <v>1080</v>
      </c>
      <c r="T3229" s="19" t="s">
        <v>42</v>
      </c>
      <c r="U3229" s="102" t="s">
        <v>1115</v>
      </c>
      <c r="V3229" s="186" t="s">
        <v>1110</v>
      </c>
      <c r="W3229" s="17" t="s">
        <v>44</v>
      </c>
      <c r="Y3229" s="68">
        <v>45130</v>
      </c>
      <c r="Z3229" s="17" t="s">
        <v>191</v>
      </c>
      <c r="AA3229" s="17" t="s">
        <v>46</v>
      </c>
      <c r="AB3229" s="17" t="s">
        <v>1140</v>
      </c>
      <c r="AC3229" s="102" t="s">
        <v>1141</v>
      </c>
      <c r="AD3229" s="65">
        <v>1468</v>
      </c>
    </row>
    <row r="3230" s="17" customFormat="1" ht="15.6" hidden="1" spans="1:31">
      <c r="A3230" s="17" t="s">
        <v>34</v>
      </c>
      <c r="B3230" s="19">
        <v>908</v>
      </c>
      <c r="C3230" s="183" t="s">
        <v>1110</v>
      </c>
      <c r="D3230" s="17" t="s">
        <v>52</v>
      </c>
      <c r="E3230" s="17" t="s">
        <v>1113</v>
      </c>
      <c r="F3230" s="17" t="s">
        <v>54</v>
      </c>
      <c r="H3230" s="19" t="s">
        <v>1114</v>
      </c>
      <c r="I3230" s="19"/>
      <c r="J3230" s="17" t="s">
        <v>82</v>
      </c>
      <c r="K3230" s="19">
        <v>405</v>
      </c>
      <c r="L3230" s="19">
        <v>80</v>
      </c>
      <c r="M3230" s="19">
        <v>2300</v>
      </c>
      <c r="N3230" s="19" t="s">
        <v>66</v>
      </c>
      <c r="O3230" s="19" t="s">
        <v>141</v>
      </c>
      <c r="P3230" s="99">
        <v>1717</v>
      </c>
      <c r="Q3230" s="19">
        <v>572</v>
      </c>
      <c r="S3230" s="274">
        <f t="shared" si="160"/>
        <v>1080</v>
      </c>
      <c r="T3230" s="19" t="s">
        <v>42</v>
      </c>
      <c r="U3230" s="102" t="s">
        <v>1115</v>
      </c>
      <c r="V3230" s="186" t="s">
        <v>1110</v>
      </c>
      <c r="W3230" s="17" t="s">
        <v>44</v>
      </c>
      <c r="Y3230" s="68">
        <v>45130</v>
      </c>
      <c r="Z3230" s="17" t="s">
        <v>191</v>
      </c>
      <c r="AA3230" s="17" t="s">
        <v>46</v>
      </c>
      <c r="AB3230" s="17" t="s">
        <v>1142</v>
      </c>
      <c r="AC3230" s="102" t="s">
        <v>1143</v>
      </c>
      <c r="AD3230" s="65">
        <v>1465</v>
      </c>
      <c r="AE3230" s="17" t="s">
        <v>74</v>
      </c>
    </row>
    <row r="3231" s="17" customFormat="1" ht="15.6" hidden="1" spans="1:31">
      <c r="A3231" s="17" t="s">
        <v>34</v>
      </c>
      <c r="B3231" s="19">
        <v>908</v>
      </c>
      <c r="C3231" s="183" t="s">
        <v>1110</v>
      </c>
      <c r="D3231" s="17" t="s">
        <v>52</v>
      </c>
      <c r="E3231" s="17" t="s">
        <v>1113</v>
      </c>
      <c r="F3231" s="17" t="s">
        <v>54</v>
      </c>
      <c r="H3231" s="19" t="s">
        <v>1114</v>
      </c>
      <c r="I3231" s="19"/>
      <c r="J3231" s="17" t="s">
        <v>82</v>
      </c>
      <c r="K3231" s="19">
        <v>405</v>
      </c>
      <c r="L3231" s="19">
        <v>80</v>
      </c>
      <c r="M3231" s="19">
        <v>2300</v>
      </c>
      <c r="N3231" s="19" t="s">
        <v>66</v>
      </c>
      <c r="O3231" s="19" t="s">
        <v>141</v>
      </c>
      <c r="P3231" s="99"/>
      <c r="Q3231" s="19">
        <f>569+567</f>
        <v>1136</v>
      </c>
      <c r="R3231" s="99">
        <f>+P3230-Q3230-Q3231</f>
        <v>9</v>
      </c>
      <c r="S3231" s="274">
        <f t="shared" si="160"/>
        <v>1080</v>
      </c>
      <c r="T3231" s="19" t="s">
        <v>42</v>
      </c>
      <c r="U3231" s="102" t="s">
        <v>1115</v>
      </c>
      <c r="V3231" s="186" t="s">
        <v>1110</v>
      </c>
      <c r="W3231" s="17" t="s">
        <v>44</v>
      </c>
      <c r="Y3231" s="68">
        <v>45130</v>
      </c>
      <c r="Z3231" s="17" t="s">
        <v>191</v>
      </c>
      <c r="AA3231" s="17" t="s">
        <v>46</v>
      </c>
      <c r="AB3231" s="17" t="s">
        <v>1138</v>
      </c>
      <c r="AC3231" s="102" t="s">
        <v>1139</v>
      </c>
      <c r="AD3231" s="65">
        <v>1473</v>
      </c>
      <c r="AE3231" s="17" t="s">
        <v>74</v>
      </c>
    </row>
    <row r="3232" s="17" customFormat="1" ht="15.6" hidden="1" spans="1:31">
      <c r="A3232" s="17" t="s">
        <v>34</v>
      </c>
      <c r="B3232" s="19">
        <v>908</v>
      </c>
      <c r="C3232" s="183" t="s">
        <v>1110</v>
      </c>
      <c r="D3232" s="17" t="s">
        <v>52</v>
      </c>
      <c r="E3232" s="17" t="s">
        <v>1113</v>
      </c>
      <c r="F3232" s="17" t="s">
        <v>54</v>
      </c>
      <c r="H3232" s="19" t="s">
        <v>1114</v>
      </c>
      <c r="I3232" s="19"/>
      <c r="J3232" s="17" t="s">
        <v>82</v>
      </c>
      <c r="K3232" s="19">
        <v>455</v>
      </c>
      <c r="L3232" s="19">
        <v>80</v>
      </c>
      <c r="M3232" s="19">
        <v>2300</v>
      </c>
      <c r="N3232" s="19" t="s">
        <v>66</v>
      </c>
      <c r="O3232" s="19" t="s">
        <v>141</v>
      </c>
      <c r="P3232" s="99">
        <v>1929</v>
      </c>
      <c r="Q3232" s="19">
        <f>649+641+641</f>
        <v>1931</v>
      </c>
      <c r="R3232" s="99">
        <f>+P3232-Q3232</f>
        <v>-2</v>
      </c>
      <c r="S3232" s="274">
        <f t="shared" si="160"/>
        <v>1080</v>
      </c>
      <c r="T3232" s="19" t="s">
        <v>42</v>
      </c>
      <c r="U3232" s="102" t="s">
        <v>1115</v>
      </c>
      <c r="V3232" s="186" t="s">
        <v>1110</v>
      </c>
      <c r="W3232" s="17" t="s">
        <v>44</v>
      </c>
      <c r="Y3232" s="68">
        <v>45130</v>
      </c>
      <c r="Z3232" s="17" t="s">
        <v>191</v>
      </c>
      <c r="AA3232" s="17" t="s">
        <v>46</v>
      </c>
      <c r="AB3232" s="17" t="s">
        <v>1140</v>
      </c>
      <c r="AC3232" s="102" t="s">
        <v>1141</v>
      </c>
      <c r="AD3232" s="65">
        <v>1468</v>
      </c>
      <c r="AE3232" s="17" t="s">
        <v>74</v>
      </c>
    </row>
    <row r="3233" s="17" customFormat="1" ht="15.6" hidden="1" spans="1:32">
      <c r="A3233" s="17" t="s">
        <v>34</v>
      </c>
      <c r="B3233" s="19">
        <v>908</v>
      </c>
      <c r="C3233" s="183" t="s">
        <v>1110</v>
      </c>
      <c r="D3233" s="17" t="s">
        <v>52</v>
      </c>
      <c r="E3233" s="17" t="s">
        <v>1113</v>
      </c>
      <c r="F3233" s="17" t="s">
        <v>54</v>
      </c>
      <c r="H3233" s="19" t="s">
        <v>1114</v>
      </c>
      <c r="I3233" s="19"/>
      <c r="J3233" s="17" t="s">
        <v>82</v>
      </c>
      <c r="K3233" s="19">
        <v>505</v>
      </c>
      <c r="L3233" s="19">
        <v>80</v>
      </c>
      <c r="M3233" s="19">
        <v>2300</v>
      </c>
      <c r="N3233" s="19" t="s">
        <v>66</v>
      </c>
      <c r="O3233" s="19" t="s">
        <v>141</v>
      </c>
      <c r="P3233" s="99">
        <v>1427</v>
      </c>
      <c r="Q3233" s="19">
        <v>712</v>
      </c>
      <c r="R3233" s="99">
        <f>+P3233-Q3233</f>
        <v>715</v>
      </c>
      <c r="S3233" s="274">
        <f t="shared" si="160"/>
        <v>1080</v>
      </c>
      <c r="T3233" s="19" t="s">
        <v>42</v>
      </c>
      <c r="U3233" s="102" t="s">
        <v>1115</v>
      </c>
      <c r="V3233" s="186" t="s">
        <v>1110</v>
      </c>
      <c r="W3233" s="17" t="s">
        <v>44</v>
      </c>
      <c r="Y3233" s="68">
        <v>45130</v>
      </c>
      <c r="Z3233" s="17" t="s">
        <v>191</v>
      </c>
      <c r="AA3233" s="17" t="s">
        <v>46</v>
      </c>
      <c r="AB3233" s="17" t="s">
        <v>1138</v>
      </c>
      <c r="AC3233" s="102" t="s">
        <v>1139</v>
      </c>
      <c r="AD3233" s="65">
        <v>1473</v>
      </c>
      <c r="AE3233" s="17" t="s">
        <v>74</v>
      </c>
    </row>
    <row r="3234" s="18" customFormat="1" ht="15.6" hidden="1" spans="1:32">
      <c r="B3234" s="75">
        <v>908</v>
      </c>
      <c r="C3234" s="213" t="s">
        <v>1110</v>
      </c>
      <c r="D3234" s="18" t="s">
        <v>52</v>
      </c>
      <c r="E3234" s="17" t="s">
        <v>1113</v>
      </c>
      <c r="F3234" s="18" t="s">
        <v>54</v>
      </c>
      <c r="H3234" s="75" t="s">
        <v>1114</v>
      </c>
      <c r="I3234" s="75"/>
      <c r="J3234" s="18" t="s">
        <v>82</v>
      </c>
      <c r="K3234" s="75">
        <v>205</v>
      </c>
      <c r="L3234" s="75">
        <v>105</v>
      </c>
      <c r="M3234" s="75">
        <v>2300</v>
      </c>
      <c r="N3234" s="75" t="s">
        <v>66</v>
      </c>
      <c r="O3234" s="75" t="s">
        <v>141</v>
      </c>
      <c r="P3234" s="112">
        <v>1521</v>
      </c>
      <c r="Q3234" s="75"/>
      <c r="R3234" s="112">
        <f>+P3234-Q3234</f>
        <v>1521</v>
      </c>
      <c r="S3234" s="276">
        <v>1120</v>
      </c>
      <c r="T3234" s="75" t="s">
        <v>42</v>
      </c>
      <c r="U3234" s="137" t="s">
        <v>1115</v>
      </c>
      <c r="V3234" s="193" t="s">
        <v>1110</v>
      </c>
      <c r="W3234" s="18" t="s">
        <v>69</v>
      </c>
      <c r="Y3234" s="114">
        <v>45130</v>
      </c>
      <c r="Z3234" s="18" t="s">
        <v>191</v>
      </c>
      <c r="AA3234" s="18" t="s">
        <v>46</v>
      </c>
      <c r="AC3234" s="137"/>
      <c r="AD3234" s="77"/>
      <c r="AE3234" s="18" t="s">
        <v>74</v>
      </c>
      <c r="AF3234" s="18" t="s">
        <v>1134</v>
      </c>
    </row>
    <row r="3235" s="18" customFormat="1" ht="15.6" hidden="1" spans="1:32">
      <c r="B3235" s="75">
        <v>908</v>
      </c>
      <c r="C3235" s="213" t="s">
        <v>1110</v>
      </c>
      <c r="D3235" s="18" t="s">
        <v>52</v>
      </c>
      <c r="E3235" s="17" t="s">
        <v>1113</v>
      </c>
      <c r="F3235" s="18" t="s">
        <v>54</v>
      </c>
      <c r="H3235" s="75" t="s">
        <v>1114</v>
      </c>
      <c r="I3235" s="75"/>
      <c r="J3235" s="18" t="s">
        <v>82</v>
      </c>
      <c r="K3235" s="75">
        <v>255</v>
      </c>
      <c r="L3235" s="75">
        <v>105</v>
      </c>
      <c r="M3235" s="75">
        <v>2300</v>
      </c>
      <c r="N3235" s="75" t="s">
        <v>66</v>
      </c>
      <c r="O3235" s="75" t="s">
        <v>141</v>
      </c>
      <c r="P3235" s="112">
        <v>1419</v>
      </c>
      <c r="Q3235" s="75"/>
      <c r="R3235" s="112">
        <f>+P3235-Q3235</f>
        <v>1419</v>
      </c>
      <c r="S3235" s="276">
        <v>1120</v>
      </c>
      <c r="T3235" s="75" t="s">
        <v>42</v>
      </c>
      <c r="U3235" s="137" t="s">
        <v>1115</v>
      </c>
      <c r="V3235" s="193" t="s">
        <v>1110</v>
      </c>
      <c r="W3235" s="18" t="s">
        <v>69</v>
      </c>
      <c r="Y3235" s="114">
        <v>45130</v>
      </c>
      <c r="Z3235" s="18" t="s">
        <v>191</v>
      </c>
      <c r="AA3235" s="18" t="s">
        <v>46</v>
      </c>
      <c r="AC3235" s="137"/>
      <c r="AD3235" s="77"/>
      <c r="AE3235" s="18" t="s">
        <v>74</v>
      </c>
      <c r="AF3235" s="18" t="s">
        <v>1134</v>
      </c>
    </row>
    <row r="3236" s="17" customFormat="1" ht="15.6" hidden="1" spans="1:32">
      <c r="A3236" s="17" t="s">
        <v>34</v>
      </c>
      <c r="B3236" s="19">
        <v>908</v>
      </c>
      <c r="C3236" s="183" t="s">
        <v>1110</v>
      </c>
      <c r="D3236" s="17" t="s">
        <v>52</v>
      </c>
      <c r="E3236" s="17" t="s">
        <v>1113</v>
      </c>
      <c r="F3236" s="17" t="s">
        <v>54</v>
      </c>
      <c r="H3236" s="19" t="s">
        <v>1114</v>
      </c>
      <c r="I3236" s="19"/>
      <c r="J3236" s="17" t="s">
        <v>82</v>
      </c>
      <c r="K3236" s="19">
        <v>305</v>
      </c>
      <c r="L3236" s="19">
        <v>105</v>
      </c>
      <c r="M3236" s="19">
        <v>2300</v>
      </c>
      <c r="N3236" s="19" t="s">
        <v>66</v>
      </c>
      <c r="O3236" s="19" t="s">
        <v>141</v>
      </c>
      <c r="P3236" s="99">
        <v>1697</v>
      </c>
      <c r="Q3236" s="19">
        <f>546+546+546+547+546+596+599</f>
        <v>3926</v>
      </c>
      <c r="S3236" s="274">
        <f>1120-40</f>
        <v>1080</v>
      </c>
      <c r="T3236" s="19" t="s">
        <v>42</v>
      </c>
      <c r="U3236" s="102" t="s">
        <v>1115</v>
      </c>
      <c r="V3236" s="186" t="s">
        <v>1110</v>
      </c>
      <c r="W3236" s="17" t="s">
        <v>44</v>
      </c>
      <c r="Y3236" s="68">
        <v>45130</v>
      </c>
      <c r="Z3236" s="17" t="s">
        <v>191</v>
      </c>
      <c r="AA3236" s="17" t="s">
        <v>46</v>
      </c>
      <c r="AB3236" s="17" t="s">
        <v>1136</v>
      </c>
      <c r="AC3236" s="217">
        <v>44937</v>
      </c>
      <c r="AD3236" s="65">
        <v>1476</v>
      </c>
      <c r="AE3236" s="17" t="s">
        <v>74</v>
      </c>
    </row>
    <row r="3237" s="17" customFormat="1" ht="15.6" hidden="1" spans="1:32">
      <c r="A3237" s="17" t="s">
        <v>34</v>
      </c>
      <c r="B3237" s="19">
        <v>908</v>
      </c>
      <c r="C3237" s="183" t="s">
        <v>1110</v>
      </c>
      <c r="D3237" s="17" t="s">
        <v>52</v>
      </c>
      <c r="E3237" s="17" t="s">
        <v>1113</v>
      </c>
      <c r="F3237" s="17" t="s">
        <v>54</v>
      </c>
      <c r="H3237" s="19" t="s">
        <v>1114</v>
      </c>
      <c r="I3237" s="19"/>
      <c r="J3237" s="17" t="s">
        <v>82</v>
      </c>
      <c r="K3237" s="19">
        <v>305</v>
      </c>
      <c r="L3237" s="19">
        <v>105</v>
      </c>
      <c r="M3237" s="19">
        <v>2300</v>
      </c>
      <c r="N3237" s="19" t="s">
        <v>66</v>
      </c>
      <c r="O3237" s="19" t="s">
        <v>141</v>
      </c>
      <c r="P3237" s="99"/>
      <c r="Q3237" s="19">
        <f>540+543</f>
        <v>1083</v>
      </c>
      <c r="R3237" s="99">
        <f>+P3236-Q3236-Q3237</f>
        <v>-3312</v>
      </c>
      <c r="S3237" s="274">
        <v>1120</v>
      </c>
      <c r="T3237" s="19" t="s">
        <v>42</v>
      </c>
      <c r="U3237" s="102" t="s">
        <v>1115</v>
      </c>
      <c r="V3237" s="186" t="s">
        <v>1110</v>
      </c>
      <c r="W3237" s="17" t="s">
        <v>69</v>
      </c>
      <c r="Y3237" s="68">
        <v>45130</v>
      </c>
      <c r="Z3237" s="17" t="s">
        <v>191</v>
      </c>
      <c r="AA3237" s="17" t="s">
        <v>46</v>
      </c>
      <c r="AB3237" s="17" t="s">
        <v>1137</v>
      </c>
      <c r="AC3237" s="217">
        <v>45210</v>
      </c>
      <c r="AD3237" s="65">
        <v>1489</v>
      </c>
    </row>
    <row r="3238" s="17" customFormat="1" ht="15.6" hidden="1" spans="1:32">
      <c r="A3238" s="17" t="s">
        <v>34</v>
      </c>
      <c r="B3238" s="19">
        <v>908</v>
      </c>
      <c r="C3238" s="183" t="s">
        <v>1110</v>
      </c>
      <c r="D3238" s="17" t="s">
        <v>52</v>
      </c>
      <c r="E3238" s="17" t="s">
        <v>1113</v>
      </c>
      <c r="F3238" s="17" t="s">
        <v>54</v>
      </c>
      <c r="H3238" s="19" t="s">
        <v>1114</v>
      </c>
      <c r="I3238" s="19"/>
      <c r="J3238" s="17" t="s">
        <v>82</v>
      </c>
      <c r="K3238" s="19">
        <v>355</v>
      </c>
      <c r="L3238" s="19">
        <v>105</v>
      </c>
      <c r="M3238" s="19">
        <v>2300</v>
      </c>
      <c r="N3238" s="19" t="s">
        <v>66</v>
      </c>
      <c r="O3238" s="19" t="s">
        <v>141</v>
      </c>
      <c r="P3238" s="99">
        <v>1317</v>
      </c>
      <c r="Q3238" s="19">
        <f>631+630+632</f>
        <v>1893</v>
      </c>
      <c r="S3238" s="274">
        <f>1120-40</f>
        <v>1080</v>
      </c>
      <c r="T3238" s="19" t="s">
        <v>42</v>
      </c>
      <c r="U3238" s="102" t="s">
        <v>1115</v>
      </c>
      <c r="V3238" s="186" t="s">
        <v>1110</v>
      </c>
      <c r="W3238" s="17" t="s">
        <v>44</v>
      </c>
      <c r="Y3238" s="68">
        <v>45130</v>
      </c>
      <c r="Z3238" s="17" t="s">
        <v>191</v>
      </c>
      <c r="AA3238" s="17" t="s">
        <v>46</v>
      </c>
      <c r="AB3238" s="17" t="s">
        <v>1138</v>
      </c>
      <c r="AC3238" s="102" t="s">
        <v>1139</v>
      </c>
      <c r="AD3238" s="65">
        <v>1473</v>
      </c>
      <c r="AE3238" s="17" t="s">
        <v>74</v>
      </c>
    </row>
    <row r="3239" s="17" customFormat="1" ht="15.6" hidden="1" spans="1:32">
      <c r="A3239" s="17" t="s">
        <v>34</v>
      </c>
      <c r="B3239" s="19">
        <v>908</v>
      </c>
      <c r="C3239" s="183" t="s">
        <v>1110</v>
      </c>
      <c r="D3239" s="17" t="s">
        <v>52</v>
      </c>
      <c r="E3239" s="17" t="s">
        <v>1113</v>
      </c>
      <c r="F3239" s="17" t="s">
        <v>54</v>
      </c>
      <c r="H3239" s="19" t="s">
        <v>1114</v>
      </c>
      <c r="I3239" s="19"/>
      <c r="J3239" s="17" t="s">
        <v>82</v>
      </c>
      <c r="K3239" s="19">
        <v>355</v>
      </c>
      <c r="L3239" s="19">
        <v>105</v>
      </c>
      <c r="M3239" s="19">
        <v>2300</v>
      </c>
      <c r="N3239" s="19" t="s">
        <v>66</v>
      </c>
      <c r="O3239" s="19" t="s">
        <v>141</v>
      </c>
      <c r="P3239" s="99"/>
      <c r="Q3239" s="19">
        <f>631+627</f>
        <v>1258</v>
      </c>
      <c r="S3239" s="274">
        <f>1120-40</f>
        <v>1080</v>
      </c>
      <c r="T3239" s="19" t="s">
        <v>42</v>
      </c>
      <c r="U3239" s="102" t="s">
        <v>1115</v>
      </c>
      <c r="V3239" s="186" t="s">
        <v>1110</v>
      </c>
      <c r="W3239" s="17" t="s">
        <v>44</v>
      </c>
      <c r="Y3239" s="68">
        <v>45130</v>
      </c>
      <c r="Z3239" s="17" t="s">
        <v>191</v>
      </c>
      <c r="AA3239" s="17" t="s">
        <v>46</v>
      </c>
      <c r="AB3239" s="17" t="s">
        <v>1136</v>
      </c>
      <c r="AC3239" s="217">
        <v>44937</v>
      </c>
      <c r="AD3239" s="65">
        <v>1476</v>
      </c>
    </row>
    <row r="3240" s="17" customFormat="1" ht="15.6" hidden="1" spans="1:32">
      <c r="A3240" s="17" t="s">
        <v>34</v>
      </c>
      <c r="B3240" s="19">
        <v>908</v>
      </c>
      <c r="C3240" s="183" t="s">
        <v>1110</v>
      </c>
      <c r="D3240" s="17" t="s">
        <v>52</v>
      </c>
      <c r="E3240" s="17" t="s">
        <v>1113</v>
      </c>
      <c r="F3240" s="17" t="s">
        <v>54</v>
      </c>
      <c r="H3240" s="19" t="s">
        <v>1114</v>
      </c>
      <c r="I3240" s="19"/>
      <c r="J3240" s="17" t="s">
        <v>82</v>
      </c>
      <c r="K3240" s="19">
        <v>355</v>
      </c>
      <c r="L3240" s="19">
        <v>105</v>
      </c>
      <c r="M3240" s="19">
        <v>2300</v>
      </c>
      <c r="N3240" s="19" t="s">
        <v>66</v>
      </c>
      <c r="O3240" s="19" t="s">
        <v>141</v>
      </c>
      <c r="P3240" s="99"/>
      <c r="Q3240" s="19">
        <v>627</v>
      </c>
      <c r="R3240" s="99">
        <f>+P3238-Q3238-Q3239-Q3240</f>
        <v>-2461</v>
      </c>
      <c r="S3240" s="274">
        <v>1120</v>
      </c>
      <c r="T3240" s="19" t="s">
        <v>42</v>
      </c>
      <c r="U3240" s="102" t="s">
        <v>1115</v>
      </c>
      <c r="V3240" s="186" t="s">
        <v>1110</v>
      </c>
      <c r="W3240" s="17" t="s">
        <v>69</v>
      </c>
      <c r="Y3240" s="68">
        <v>45130</v>
      </c>
      <c r="Z3240" s="17" t="s">
        <v>191</v>
      </c>
      <c r="AA3240" s="17" t="s">
        <v>46</v>
      </c>
      <c r="AB3240" s="17" t="s">
        <v>1137</v>
      </c>
      <c r="AC3240" s="217">
        <v>45210</v>
      </c>
      <c r="AD3240" s="65">
        <v>1489</v>
      </c>
    </row>
    <row r="3241" s="17" customFormat="1" ht="15.6" hidden="1" spans="1:32">
      <c r="A3241" s="17" t="s">
        <v>34</v>
      </c>
      <c r="B3241" s="19">
        <v>908</v>
      </c>
      <c r="C3241" s="183" t="s">
        <v>1110</v>
      </c>
      <c r="D3241" s="17" t="s">
        <v>52</v>
      </c>
      <c r="E3241" s="17" t="s">
        <v>1113</v>
      </c>
      <c r="F3241" s="17" t="s">
        <v>54</v>
      </c>
      <c r="H3241" s="19" t="s">
        <v>1114</v>
      </c>
      <c r="I3241" s="19"/>
      <c r="J3241" s="17" t="s">
        <v>82</v>
      </c>
      <c r="K3241" s="19">
        <v>405</v>
      </c>
      <c r="L3241" s="19">
        <v>105</v>
      </c>
      <c r="M3241" s="19">
        <v>2300</v>
      </c>
      <c r="N3241" s="19" t="s">
        <v>66</v>
      </c>
      <c r="O3241" s="19" t="s">
        <v>141</v>
      </c>
      <c r="P3241" s="99">
        <v>1502</v>
      </c>
      <c r="Q3241" s="19">
        <f>751+748</f>
        <v>1499</v>
      </c>
      <c r="S3241" s="274">
        <f>1120-40</f>
        <v>1080</v>
      </c>
      <c r="T3241" s="19" t="s">
        <v>42</v>
      </c>
      <c r="U3241" s="102" t="s">
        <v>1115</v>
      </c>
      <c r="V3241" s="186" t="s">
        <v>1110</v>
      </c>
      <c r="W3241" s="17" t="s">
        <v>44</v>
      </c>
      <c r="Y3241" s="68">
        <v>45130</v>
      </c>
      <c r="Z3241" s="17" t="s">
        <v>191</v>
      </c>
      <c r="AA3241" s="17" t="s">
        <v>46</v>
      </c>
      <c r="AB3241" s="17" t="s">
        <v>1142</v>
      </c>
      <c r="AC3241" s="102" t="s">
        <v>1143</v>
      </c>
      <c r="AD3241" s="65">
        <v>1465</v>
      </c>
      <c r="AE3241" s="17" t="s">
        <v>74</v>
      </c>
    </row>
    <row r="3242" s="17" customFormat="1" ht="15.6" hidden="1" spans="1:32">
      <c r="A3242" s="17" t="s">
        <v>34</v>
      </c>
      <c r="B3242" s="19">
        <v>908</v>
      </c>
      <c r="C3242" s="183" t="s">
        <v>1110</v>
      </c>
      <c r="D3242" s="17" t="s">
        <v>52</v>
      </c>
      <c r="E3242" s="17" t="s">
        <v>1113</v>
      </c>
      <c r="F3242" s="17" t="s">
        <v>54</v>
      </c>
      <c r="H3242" s="19" t="s">
        <v>1114</v>
      </c>
      <c r="I3242" s="19"/>
      <c r="J3242" s="17" t="s">
        <v>82</v>
      </c>
      <c r="K3242" s="19">
        <v>405</v>
      </c>
      <c r="L3242" s="19">
        <v>100</v>
      </c>
      <c r="M3242" s="19">
        <v>2300</v>
      </c>
      <c r="N3242" s="19" t="s">
        <v>66</v>
      </c>
      <c r="O3242" s="19" t="s">
        <v>141</v>
      </c>
      <c r="P3242" s="99"/>
      <c r="Q3242" s="19">
        <f>721+718</f>
        <v>1439</v>
      </c>
      <c r="S3242" s="274">
        <f>1120-40</f>
        <v>1080</v>
      </c>
      <c r="T3242" s="19" t="s">
        <v>42</v>
      </c>
      <c r="U3242" s="102" t="s">
        <v>1115</v>
      </c>
      <c r="V3242" s="186" t="s">
        <v>1110</v>
      </c>
      <c r="W3242" s="17" t="s">
        <v>44</v>
      </c>
      <c r="Y3242" s="68">
        <v>45130</v>
      </c>
      <c r="Z3242" s="17" t="s">
        <v>191</v>
      </c>
      <c r="AA3242" s="17" t="s">
        <v>46</v>
      </c>
      <c r="AB3242" s="17" t="s">
        <v>1138</v>
      </c>
      <c r="AC3242" s="102" t="s">
        <v>1139</v>
      </c>
      <c r="AD3242" s="65">
        <v>1473</v>
      </c>
    </row>
    <row r="3243" s="17" customFormat="1" ht="15.6" hidden="1" spans="1:32">
      <c r="A3243" s="17" t="s">
        <v>34</v>
      </c>
      <c r="B3243" s="19">
        <v>908</v>
      </c>
      <c r="C3243" s="183" t="s">
        <v>1110</v>
      </c>
      <c r="D3243" s="17" t="s">
        <v>52</v>
      </c>
      <c r="E3243" s="17" t="s">
        <v>1113</v>
      </c>
      <c r="F3243" s="17" t="s">
        <v>54</v>
      </c>
      <c r="H3243" s="19" t="s">
        <v>1114</v>
      </c>
      <c r="I3243" s="19"/>
      <c r="J3243" s="17" t="s">
        <v>82</v>
      </c>
      <c r="K3243" s="19">
        <v>405</v>
      </c>
      <c r="L3243" s="19">
        <v>100</v>
      </c>
      <c r="M3243" s="19">
        <v>2300</v>
      </c>
      <c r="N3243" s="19" t="s">
        <v>66</v>
      </c>
      <c r="O3243" s="19" t="s">
        <v>141</v>
      </c>
      <c r="P3243" s="99"/>
      <c r="Q3243" s="19">
        <v>720</v>
      </c>
      <c r="S3243" s="274">
        <f>1120-40</f>
        <v>1080</v>
      </c>
      <c r="T3243" s="19" t="s">
        <v>42</v>
      </c>
      <c r="U3243" s="102" t="s">
        <v>1115</v>
      </c>
      <c r="V3243" s="186" t="s">
        <v>1110</v>
      </c>
      <c r="W3243" s="17" t="s">
        <v>44</v>
      </c>
      <c r="Y3243" s="68">
        <v>45130</v>
      </c>
      <c r="Z3243" s="17" t="s">
        <v>191</v>
      </c>
      <c r="AA3243" s="17" t="s">
        <v>46</v>
      </c>
      <c r="AB3243" s="17" t="s">
        <v>1136</v>
      </c>
      <c r="AC3243" s="217">
        <v>44937</v>
      </c>
      <c r="AD3243" s="65">
        <v>1476</v>
      </c>
    </row>
    <row r="3244" s="17" customFormat="1" ht="15.6" hidden="1" spans="1:32">
      <c r="A3244" s="17" t="s">
        <v>34</v>
      </c>
      <c r="B3244" s="19">
        <v>908</v>
      </c>
      <c r="C3244" s="183" t="s">
        <v>1110</v>
      </c>
      <c r="D3244" s="17" t="s">
        <v>52</v>
      </c>
      <c r="E3244" s="17" t="s">
        <v>1113</v>
      </c>
      <c r="F3244" s="17" t="s">
        <v>54</v>
      </c>
      <c r="H3244" s="19" t="s">
        <v>1114</v>
      </c>
      <c r="I3244" s="19"/>
      <c r="J3244" s="17" t="s">
        <v>82</v>
      </c>
      <c r="K3244" s="19">
        <v>405</v>
      </c>
      <c r="L3244" s="19">
        <v>100</v>
      </c>
      <c r="M3244" s="19">
        <v>2300</v>
      </c>
      <c r="N3244" s="19" t="s">
        <v>66</v>
      </c>
      <c r="O3244" s="19" t="s">
        <v>141</v>
      </c>
      <c r="P3244" s="99"/>
      <c r="Q3244" s="19">
        <f>714+714</f>
        <v>1428</v>
      </c>
      <c r="R3244" s="95">
        <f>+P3241-Q3241-Q3242-Q3243-Q3244</f>
        <v>-3584</v>
      </c>
      <c r="S3244" s="274">
        <v>1120</v>
      </c>
      <c r="T3244" s="19" t="s">
        <v>42</v>
      </c>
      <c r="U3244" s="102" t="s">
        <v>1115</v>
      </c>
      <c r="V3244" s="186" t="s">
        <v>1110</v>
      </c>
      <c r="W3244" s="17" t="s">
        <v>69</v>
      </c>
      <c r="Y3244" s="68">
        <v>45130</v>
      </c>
      <c r="Z3244" s="17" t="s">
        <v>191</v>
      </c>
      <c r="AA3244" s="17" t="s">
        <v>46</v>
      </c>
      <c r="AB3244" s="17" t="s">
        <v>1137</v>
      </c>
      <c r="AC3244" s="217">
        <v>45210</v>
      </c>
      <c r="AD3244" s="65">
        <v>1489</v>
      </c>
    </row>
    <row r="3245" s="17" customFormat="1" ht="15.6" hidden="1" spans="1:32">
      <c r="A3245" s="17" t="s">
        <v>34</v>
      </c>
      <c r="B3245" s="19">
        <v>908</v>
      </c>
      <c r="C3245" s="183" t="s">
        <v>1110</v>
      </c>
      <c r="D3245" s="17" t="s">
        <v>52</v>
      </c>
      <c r="E3245" s="17" t="s">
        <v>1113</v>
      </c>
      <c r="F3245" s="17" t="s">
        <v>54</v>
      </c>
      <c r="H3245" s="19" t="s">
        <v>1114</v>
      </c>
      <c r="I3245" s="19"/>
      <c r="J3245" s="17" t="s">
        <v>82</v>
      </c>
      <c r="K3245" s="19">
        <v>355</v>
      </c>
      <c r="L3245" s="19">
        <v>110</v>
      </c>
      <c r="M3245" s="19">
        <v>2200</v>
      </c>
      <c r="N3245" s="19" t="s">
        <v>66</v>
      </c>
      <c r="O3245" s="19" t="s">
        <v>141</v>
      </c>
      <c r="P3245" s="99"/>
      <c r="Q3245" s="19">
        <v>694</v>
      </c>
      <c r="S3245" s="274">
        <f t="shared" ref="S3245:S3252" si="161">1120-40</f>
        <v>1080</v>
      </c>
      <c r="T3245" s="19" t="s">
        <v>42</v>
      </c>
      <c r="U3245" s="102" t="s">
        <v>1115</v>
      </c>
      <c r="V3245" s="186" t="s">
        <v>1110</v>
      </c>
      <c r="W3245" s="17" t="s">
        <v>44</v>
      </c>
      <c r="Y3245" s="68">
        <v>45130</v>
      </c>
      <c r="Z3245" s="17" t="s">
        <v>191</v>
      </c>
      <c r="AA3245" s="17" t="s">
        <v>46</v>
      </c>
      <c r="AB3245" s="17" t="s">
        <v>1138</v>
      </c>
      <c r="AC3245" s="102" t="s">
        <v>1139</v>
      </c>
      <c r="AD3245" s="65">
        <v>1473</v>
      </c>
    </row>
    <row r="3246" s="17" customFormat="1" ht="15.6" hidden="1" spans="1:32">
      <c r="A3246" s="17" t="s">
        <v>34</v>
      </c>
      <c r="B3246" s="19">
        <v>908</v>
      </c>
      <c r="C3246" s="183" t="s">
        <v>1110</v>
      </c>
      <c r="D3246" s="17" t="s">
        <v>52</v>
      </c>
      <c r="E3246" s="17" t="s">
        <v>1113</v>
      </c>
      <c r="F3246" s="17" t="s">
        <v>54</v>
      </c>
      <c r="H3246" s="19" t="s">
        <v>1114</v>
      </c>
      <c r="I3246" s="19"/>
      <c r="J3246" s="17" t="s">
        <v>82</v>
      </c>
      <c r="K3246" s="19">
        <v>355</v>
      </c>
      <c r="L3246" s="19">
        <v>110</v>
      </c>
      <c r="M3246" s="19">
        <v>2200</v>
      </c>
      <c r="N3246" s="19" t="s">
        <v>66</v>
      </c>
      <c r="O3246" s="19" t="s">
        <v>141</v>
      </c>
      <c r="P3246" s="99"/>
      <c r="Q3246" s="19">
        <v>699</v>
      </c>
      <c r="S3246" s="274">
        <f t="shared" si="161"/>
        <v>1080</v>
      </c>
      <c r="T3246" s="19" t="s">
        <v>42</v>
      </c>
      <c r="U3246" s="102" t="s">
        <v>1115</v>
      </c>
      <c r="V3246" s="186" t="s">
        <v>1110</v>
      </c>
      <c r="W3246" s="17" t="s">
        <v>44</v>
      </c>
      <c r="Y3246" s="68">
        <v>45130</v>
      </c>
      <c r="Z3246" s="17" t="s">
        <v>191</v>
      </c>
      <c r="AA3246" s="17" t="s">
        <v>46</v>
      </c>
      <c r="AB3246" s="17" t="s">
        <v>1136</v>
      </c>
      <c r="AC3246" s="217">
        <v>44937</v>
      </c>
      <c r="AD3246" s="65">
        <v>1476</v>
      </c>
    </row>
    <row r="3247" s="17" customFormat="1" ht="15.6" hidden="1" spans="1:32">
      <c r="A3247" s="17" t="s">
        <v>34</v>
      </c>
      <c r="B3247" s="19">
        <v>908</v>
      </c>
      <c r="C3247" s="183" t="s">
        <v>1110</v>
      </c>
      <c r="D3247" s="17" t="s">
        <v>52</v>
      </c>
      <c r="E3247" s="17" t="s">
        <v>1113</v>
      </c>
      <c r="F3247" s="17" t="s">
        <v>54</v>
      </c>
      <c r="H3247" s="19" t="s">
        <v>1114</v>
      </c>
      <c r="I3247" s="19"/>
      <c r="J3247" s="17" t="s">
        <v>82</v>
      </c>
      <c r="K3247" s="19">
        <v>405</v>
      </c>
      <c r="L3247" s="19">
        <v>110</v>
      </c>
      <c r="M3247" s="19">
        <v>2200</v>
      </c>
      <c r="N3247" s="19" t="s">
        <v>66</v>
      </c>
      <c r="O3247" s="19" t="s">
        <v>141</v>
      </c>
      <c r="P3247" s="99"/>
      <c r="Q3247" s="19">
        <f>791+795</f>
        <v>1586</v>
      </c>
      <c r="R3247" s="99">
        <f>+P3241-Q3241-Q3247</f>
        <v>-1583</v>
      </c>
      <c r="S3247" s="274">
        <f t="shared" si="161"/>
        <v>1080</v>
      </c>
      <c r="T3247" s="19" t="s">
        <v>42</v>
      </c>
      <c r="U3247" s="102" t="s">
        <v>1115</v>
      </c>
      <c r="V3247" s="186" t="s">
        <v>1110</v>
      </c>
      <c r="W3247" s="17" t="s">
        <v>44</v>
      </c>
      <c r="Y3247" s="68">
        <v>45130</v>
      </c>
      <c r="Z3247" s="17" t="s">
        <v>191</v>
      </c>
      <c r="AA3247" s="17" t="s">
        <v>46</v>
      </c>
      <c r="AB3247" s="17" t="s">
        <v>1138</v>
      </c>
      <c r="AC3247" s="102" t="s">
        <v>1139</v>
      </c>
      <c r="AD3247" s="65">
        <v>1473</v>
      </c>
    </row>
    <row r="3248" s="17" customFormat="1" ht="15.6" hidden="1" spans="1:32">
      <c r="A3248" s="17" t="s">
        <v>34</v>
      </c>
      <c r="B3248" s="19">
        <v>908</v>
      </c>
      <c r="C3248" s="183" t="s">
        <v>1110</v>
      </c>
      <c r="D3248" s="17" t="s">
        <v>52</v>
      </c>
      <c r="E3248" s="17" t="s">
        <v>1113</v>
      </c>
      <c r="F3248" s="17" t="s">
        <v>54</v>
      </c>
      <c r="H3248" s="19" t="s">
        <v>1114</v>
      </c>
      <c r="I3248" s="19"/>
      <c r="J3248" s="17" t="s">
        <v>82</v>
      </c>
      <c r="K3248" s="19">
        <v>455</v>
      </c>
      <c r="L3248" s="19">
        <v>105</v>
      </c>
      <c r="M3248" s="19">
        <v>2300</v>
      </c>
      <c r="N3248" s="19" t="s">
        <v>66</v>
      </c>
      <c r="O3248" s="19" t="s">
        <v>141</v>
      </c>
      <c r="P3248" s="99">
        <v>1688</v>
      </c>
      <c r="Q3248" s="19">
        <f>844</f>
        <v>844</v>
      </c>
      <c r="S3248" s="274">
        <f t="shared" si="161"/>
        <v>1080</v>
      </c>
      <c r="T3248" s="19" t="s">
        <v>42</v>
      </c>
      <c r="U3248" s="102" t="s">
        <v>1115</v>
      </c>
      <c r="V3248" s="186" t="s">
        <v>1110</v>
      </c>
      <c r="W3248" s="17" t="s">
        <v>44</v>
      </c>
      <c r="Y3248" s="68">
        <v>45130</v>
      </c>
      <c r="Z3248" s="17" t="s">
        <v>191</v>
      </c>
      <c r="AA3248" s="17" t="s">
        <v>46</v>
      </c>
      <c r="AB3248" s="17" t="s">
        <v>1140</v>
      </c>
      <c r="AC3248" s="102" t="s">
        <v>1141</v>
      </c>
      <c r="AD3248" s="65">
        <v>1468</v>
      </c>
      <c r="AE3248" s="17" t="s">
        <v>74</v>
      </c>
    </row>
    <row r="3249" s="17" customFormat="1" ht="15.6" hidden="1" spans="1:31">
      <c r="A3249" s="17" t="s">
        <v>34</v>
      </c>
      <c r="B3249" s="19">
        <v>908</v>
      </c>
      <c r="C3249" s="183" t="s">
        <v>1110</v>
      </c>
      <c r="D3249" s="17" t="s">
        <v>52</v>
      </c>
      <c r="E3249" s="17" t="s">
        <v>1113</v>
      </c>
      <c r="F3249" s="17" t="s">
        <v>54</v>
      </c>
      <c r="H3249" s="19" t="s">
        <v>1114</v>
      </c>
      <c r="I3249" s="19"/>
      <c r="J3249" s="17" t="s">
        <v>82</v>
      </c>
      <c r="K3249" s="19">
        <v>455</v>
      </c>
      <c r="L3249" s="19">
        <v>105</v>
      </c>
      <c r="M3249" s="19">
        <v>2300</v>
      </c>
      <c r="N3249" s="19" t="s">
        <v>66</v>
      </c>
      <c r="O3249" s="19" t="s">
        <v>141</v>
      </c>
      <c r="P3249" s="99"/>
      <c r="Q3249" s="19">
        <v>813</v>
      </c>
      <c r="S3249" s="274">
        <f t="shared" si="161"/>
        <v>1080</v>
      </c>
      <c r="T3249" s="19" t="s">
        <v>42</v>
      </c>
      <c r="U3249" s="102" t="s">
        <v>1115</v>
      </c>
      <c r="V3249" s="186" t="s">
        <v>1110</v>
      </c>
      <c r="W3249" s="17" t="s">
        <v>44</v>
      </c>
      <c r="Y3249" s="68">
        <v>45130</v>
      </c>
      <c r="Z3249" s="17" t="s">
        <v>191</v>
      </c>
      <c r="AA3249" s="17" t="s">
        <v>46</v>
      </c>
      <c r="AB3249" s="17" t="s">
        <v>1138</v>
      </c>
      <c r="AC3249" s="102" t="s">
        <v>1139</v>
      </c>
      <c r="AD3249" s="65">
        <v>1473</v>
      </c>
    </row>
    <row r="3250" s="17" customFormat="1" ht="15.6" hidden="1" spans="1:31">
      <c r="A3250" s="17" t="s">
        <v>34</v>
      </c>
      <c r="B3250" s="19">
        <v>908</v>
      </c>
      <c r="C3250" s="183" t="s">
        <v>1110</v>
      </c>
      <c r="D3250" s="17" t="s">
        <v>52</v>
      </c>
      <c r="E3250" s="17" t="s">
        <v>1113</v>
      </c>
      <c r="F3250" s="17" t="s">
        <v>54</v>
      </c>
      <c r="H3250" s="19" t="s">
        <v>1114</v>
      </c>
      <c r="I3250" s="19"/>
      <c r="J3250" s="17" t="s">
        <v>82</v>
      </c>
      <c r="K3250" s="19">
        <v>455</v>
      </c>
      <c r="L3250" s="19">
        <v>105</v>
      </c>
      <c r="M3250" s="19">
        <v>2300</v>
      </c>
      <c r="N3250" s="19" t="s">
        <v>66</v>
      </c>
      <c r="O3250" s="19" t="s">
        <v>141</v>
      </c>
      <c r="P3250" s="99"/>
      <c r="Q3250" s="19">
        <f>814+799+804+800+805+801+811+842+842</f>
        <v>7318</v>
      </c>
      <c r="S3250" s="274">
        <f t="shared" si="161"/>
        <v>1080</v>
      </c>
      <c r="T3250" s="19" t="s">
        <v>42</v>
      </c>
      <c r="U3250" s="102" t="s">
        <v>1115</v>
      </c>
      <c r="V3250" s="186" t="s">
        <v>1110</v>
      </c>
      <c r="W3250" s="17" t="s">
        <v>44</v>
      </c>
      <c r="Y3250" s="68">
        <v>45130</v>
      </c>
      <c r="Z3250" s="17" t="s">
        <v>191</v>
      </c>
      <c r="AA3250" s="17" t="s">
        <v>46</v>
      </c>
      <c r="AB3250" s="17" t="s">
        <v>1136</v>
      </c>
      <c r="AC3250" s="217">
        <v>44937</v>
      </c>
      <c r="AD3250" s="65">
        <v>1476</v>
      </c>
    </row>
    <row r="3251" s="17" customFormat="1" ht="15.6" hidden="1" spans="1:31">
      <c r="A3251" s="17" t="s">
        <v>34</v>
      </c>
      <c r="B3251" s="19">
        <v>908</v>
      </c>
      <c r="C3251" s="183" t="s">
        <v>1110</v>
      </c>
      <c r="D3251" s="17" t="s">
        <v>52</v>
      </c>
      <c r="E3251" s="17" t="s">
        <v>1113</v>
      </c>
      <c r="F3251" s="17" t="s">
        <v>54</v>
      </c>
      <c r="H3251" s="19" t="s">
        <v>1114</v>
      </c>
      <c r="I3251" s="19"/>
      <c r="J3251" s="17" t="s">
        <v>82</v>
      </c>
      <c r="K3251" s="19">
        <v>455</v>
      </c>
      <c r="L3251" s="19">
        <v>110</v>
      </c>
      <c r="M3251" s="19">
        <v>2300</v>
      </c>
      <c r="N3251" s="19" t="s">
        <v>66</v>
      </c>
      <c r="O3251" s="19" t="s">
        <v>141</v>
      </c>
      <c r="P3251" s="99"/>
      <c r="Q3251" s="19">
        <f>886+889</f>
        <v>1775</v>
      </c>
      <c r="R3251" s="99">
        <f>+P3248-Q3248-Q3249-Q3250-Q3251</f>
        <v>-9062</v>
      </c>
      <c r="S3251" s="274">
        <f t="shared" si="161"/>
        <v>1080</v>
      </c>
      <c r="T3251" s="19" t="s">
        <v>42</v>
      </c>
      <c r="U3251" s="102" t="s">
        <v>1115</v>
      </c>
      <c r="V3251" s="186" t="s">
        <v>1110</v>
      </c>
      <c r="W3251" s="17" t="s">
        <v>44</v>
      </c>
      <c r="Y3251" s="68">
        <v>45130</v>
      </c>
      <c r="Z3251" s="17" t="s">
        <v>191</v>
      </c>
      <c r="AA3251" s="17" t="s">
        <v>46</v>
      </c>
      <c r="AB3251" s="17" t="s">
        <v>1136</v>
      </c>
      <c r="AC3251" s="217">
        <v>44937</v>
      </c>
      <c r="AD3251" s="65">
        <v>1476</v>
      </c>
    </row>
    <row r="3252" s="17" customFormat="1" ht="15.6" hidden="1" spans="1:31">
      <c r="A3252" s="17" t="s">
        <v>34</v>
      </c>
      <c r="B3252" s="19">
        <v>908</v>
      </c>
      <c r="C3252" s="183" t="s">
        <v>1110</v>
      </c>
      <c r="D3252" s="17" t="s">
        <v>52</v>
      </c>
      <c r="E3252" s="17" t="s">
        <v>1113</v>
      </c>
      <c r="F3252" s="17" t="s">
        <v>54</v>
      </c>
      <c r="H3252" s="19" t="s">
        <v>1114</v>
      </c>
      <c r="I3252" s="19"/>
      <c r="J3252" s="17" t="s">
        <v>82</v>
      </c>
      <c r="K3252" s="19">
        <v>505</v>
      </c>
      <c r="L3252" s="19">
        <v>105</v>
      </c>
      <c r="M3252" s="19">
        <v>2300</v>
      </c>
      <c r="N3252" s="19" t="s">
        <v>66</v>
      </c>
      <c r="O3252" s="19" t="s">
        <v>141</v>
      </c>
      <c r="P3252" s="99">
        <v>1873</v>
      </c>
      <c r="Q3252" s="19">
        <f>896+901+901+886</f>
        <v>3584</v>
      </c>
      <c r="S3252" s="274">
        <f t="shared" si="161"/>
        <v>1080</v>
      </c>
      <c r="T3252" s="19" t="s">
        <v>42</v>
      </c>
      <c r="U3252" s="102" t="s">
        <v>1115</v>
      </c>
      <c r="V3252" s="186" t="s">
        <v>1110</v>
      </c>
      <c r="W3252" s="17" t="s">
        <v>44</v>
      </c>
      <c r="Y3252" s="68">
        <v>45130</v>
      </c>
      <c r="Z3252" s="17" t="s">
        <v>191</v>
      </c>
      <c r="AA3252" s="17" t="s">
        <v>46</v>
      </c>
      <c r="AB3252" s="17" t="s">
        <v>1136</v>
      </c>
      <c r="AC3252" s="217">
        <v>44937</v>
      </c>
      <c r="AD3252" s="65">
        <v>1476</v>
      </c>
      <c r="AE3252" s="17" t="s">
        <v>74</v>
      </c>
    </row>
    <row r="3253" s="17" customFormat="1" ht="15.6" hidden="1" spans="1:31">
      <c r="A3253" s="17" t="s">
        <v>34</v>
      </c>
      <c r="B3253" s="19">
        <v>908</v>
      </c>
      <c r="C3253" s="183" t="s">
        <v>1110</v>
      </c>
      <c r="D3253" s="17" t="s">
        <v>52</v>
      </c>
      <c r="E3253" s="17" t="s">
        <v>1113</v>
      </c>
      <c r="F3253" s="17" t="s">
        <v>54</v>
      </c>
      <c r="H3253" s="19" t="s">
        <v>1114</v>
      </c>
      <c r="I3253" s="19"/>
      <c r="J3253" s="17" t="s">
        <v>82</v>
      </c>
      <c r="K3253" s="19">
        <v>505</v>
      </c>
      <c r="L3253" s="19">
        <v>100</v>
      </c>
      <c r="M3253" s="19">
        <v>2300</v>
      </c>
      <c r="N3253" s="19" t="s">
        <v>66</v>
      </c>
      <c r="O3253" s="19" t="s">
        <v>141</v>
      </c>
      <c r="P3253" s="99"/>
      <c r="Q3253" s="19">
        <f>887+896+881+879+898+973</f>
        <v>5414</v>
      </c>
      <c r="R3253" s="99"/>
      <c r="S3253" s="274">
        <v>1120</v>
      </c>
      <c r="T3253" s="19" t="s">
        <v>42</v>
      </c>
      <c r="U3253" s="102" t="s">
        <v>1115</v>
      </c>
      <c r="V3253" s="186" t="s">
        <v>1110</v>
      </c>
      <c r="W3253" s="17" t="s">
        <v>69</v>
      </c>
      <c r="Y3253" s="68">
        <v>45130</v>
      </c>
      <c r="Z3253" s="17" t="s">
        <v>191</v>
      </c>
      <c r="AA3253" s="17" t="s">
        <v>46</v>
      </c>
      <c r="AB3253" s="17" t="s">
        <v>1137</v>
      </c>
      <c r="AC3253" s="217">
        <v>45210</v>
      </c>
      <c r="AD3253" s="65">
        <v>1489</v>
      </c>
    </row>
    <row r="3254" s="17" customFormat="1" ht="15.6" hidden="1" spans="1:31">
      <c r="A3254" s="17" t="s">
        <v>34</v>
      </c>
      <c r="B3254" s="19">
        <v>908</v>
      </c>
      <c r="C3254" s="183" t="s">
        <v>1110</v>
      </c>
      <c r="D3254" s="17" t="s">
        <v>52</v>
      </c>
      <c r="E3254" s="17" t="s">
        <v>1113</v>
      </c>
      <c r="F3254" s="17" t="s">
        <v>54</v>
      </c>
      <c r="H3254" s="19" t="s">
        <v>1114</v>
      </c>
      <c r="I3254" s="19"/>
      <c r="J3254" s="17" t="s">
        <v>82</v>
      </c>
      <c r="K3254" s="19">
        <v>505</v>
      </c>
      <c r="L3254" s="19">
        <v>110</v>
      </c>
      <c r="M3254" s="19">
        <v>2300</v>
      </c>
      <c r="N3254" s="19" t="s">
        <v>66</v>
      </c>
      <c r="O3254" s="19" t="s">
        <v>141</v>
      </c>
      <c r="P3254" s="99"/>
      <c r="Q3254" s="19">
        <f>993+987</f>
        <v>1980</v>
      </c>
      <c r="R3254" s="99">
        <f>+P3252-Q3252-Q3253-Q3254</f>
        <v>-9105</v>
      </c>
      <c r="S3254" s="274">
        <f>1120-40</f>
        <v>1080</v>
      </c>
      <c r="T3254" s="19" t="s">
        <v>42</v>
      </c>
      <c r="U3254" s="102" t="s">
        <v>1115</v>
      </c>
      <c r="V3254" s="186" t="s">
        <v>1110</v>
      </c>
      <c r="W3254" s="17" t="s">
        <v>44</v>
      </c>
      <c r="Y3254" s="68">
        <v>45130</v>
      </c>
      <c r="Z3254" s="17" t="s">
        <v>191</v>
      </c>
      <c r="AA3254" s="17" t="s">
        <v>46</v>
      </c>
      <c r="AB3254" s="17" t="s">
        <v>1136</v>
      </c>
      <c r="AC3254" s="217">
        <v>44937</v>
      </c>
      <c r="AD3254" s="65">
        <v>1476</v>
      </c>
    </row>
    <row r="3255" s="17" customFormat="1" hidden="1" spans="1:31">
      <c r="A3255" s="17" t="s">
        <v>34</v>
      </c>
      <c r="B3255" s="19">
        <v>909</v>
      </c>
      <c r="C3255" s="183" t="s">
        <v>1110</v>
      </c>
      <c r="D3255" s="17" t="s">
        <v>35</v>
      </c>
      <c r="E3255" s="17" t="s">
        <v>718</v>
      </c>
      <c r="F3255" s="17" t="s">
        <v>236</v>
      </c>
      <c r="H3255" s="19" t="s">
        <v>97</v>
      </c>
      <c r="I3255" s="19"/>
      <c r="J3255" s="17" t="s">
        <v>82</v>
      </c>
      <c r="K3255" s="232">
        <v>250</v>
      </c>
      <c r="L3255" s="232">
        <v>45</v>
      </c>
      <c r="M3255" s="19">
        <v>3000</v>
      </c>
      <c r="N3255" s="19" t="s">
        <v>40</v>
      </c>
      <c r="O3255" s="19" t="s">
        <v>168</v>
      </c>
      <c r="P3255" s="19">
        <v>388</v>
      </c>
      <c r="Q3255" s="19">
        <v>380</v>
      </c>
      <c r="R3255" s="19">
        <f t="shared" ref="R3255:R3292" si="162">+P3255-Q3255</f>
        <v>8</v>
      </c>
      <c r="S3255" s="277">
        <v>391</v>
      </c>
      <c r="T3255" s="19" t="s">
        <v>99</v>
      </c>
      <c r="U3255" s="102" t="s">
        <v>1144</v>
      </c>
      <c r="V3255" s="186" t="s">
        <v>1112</v>
      </c>
      <c r="W3255" s="17" t="s">
        <v>44</v>
      </c>
      <c r="Y3255" s="68">
        <v>45130</v>
      </c>
      <c r="Z3255" s="17" t="s">
        <v>78</v>
      </c>
      <c r="AA3255" s="17" t="s">
        <v>46</v>
      </c>
      <c r="AB3255" s="17" t="s">
        <v>1145</v>
      </c>
      <c r="AC3255" s="217">
        <v>45237</v>
      </c>
      <c r="AD3255" s="65">
        <v>1429</v>
      </c>
      <c r="AE3255" s="17" t="s">
        <v>48</v>
      </c>
    </row>
    <row r="3256" s="17" customFormat="1" hidden="1" spans="1:31">
      <c r="A3256" s="17" t="s">
        <v>34</v>
      </c>
      <c r="B3256" s="19">
        <v>909</v>
      </c>
      <c r="C3256" s="183" t="s">
        <v>1110</v>
      </c>
      <c r="D3256" s="17" t="s">
        <v>35</v>
      </c>
      <c r="E3256" s="17" t="s">
        <v>718</v>
      </c>
      <c r="F3256" s="17" t="s">
        <v>236</v>
      </c>
      <c r="H3256" s="19" t="s">
        <v>97</v>
      </c>
      <c r="I3256" s="19"/>
      <c r="J3256" s="17" t="s">
        <v>82</v>
      </c>
      <c r="K3256" s="232">
        <v>160</v>
      </c>
      <c r="L3256" s="232">
        <v>50</v>
      </c>
      <c r="M3256" s="19">
        <v>3000</v>
      </c>
      <c r="N3256" s="19" t="s">
        <v>40</v>
      </c>
      <c r="O3256" s="19" t="s">
        <v>168</v>
      </c>
      <c r="P3256" s="19">
        <v>266</v>
      </c>
      <c r="Q3256" s="19">
        <v>265</v>
      </c>
      <c r="R3256" s="19">
        <f t="shared" si="162"/>
        <v>1</v>
      </c>
      <c r="S3256" s="277">
        <v>391</v>
      </c>
      <c r="T3256" s="19" t="s">
        <v>99</v>
      </c>
      <c r="U3256" s="102" t="s">
        <v>1144</v>
      </c>
      <c r="V3256" s="186" t="s">
        <v>1112</v>
      </c>
      <c r="W3256" s="17" t="s">
        <v>44</v>
      </c>
      <c r="Y3256" s="68">
        <v>45130</v>
      </c>
      <c r="Z3256" s="17" t="s">
        <v>78</v>
      </c>
      <c r="AA3256" s="17" t="s">
        <v>46</v>
      </c>
      <c r="AB3256" s="17" t="s">
        <v>1145</v>
      </c>
      <c r="AC3256" s="217">
        <v>45237</v>
      </c>
      <c r="AD3256" s="65">
        <v>1429</v>
      </c>
      <c r="AE3256" s="17" t="s">
        <v>48</v>
      </c>
    </row>
    <row r="3257" s="17" customFormat="1" hidden="1" spans="1:31">
      <c r="A3257" s="17" t="s">
        <v>34</v>
      </c>
      <c r="B3257" s="19">
        <v>909</v>
      </c>
      <c r="C3257" s="183" t="s">
        <v>1110</v>
      </c>
      <c r="D3257" s="17" t="s">
        <v>35</v>
      </c>
      <c r="E3257" s="17" t="s">
        <v>718</v>
      </c>
      <c r="F3257" s="17" t="s">
        <v>236</v>
      </c>
      <c r="H3257" s="19" t="s">
        <v>97</v>
      </c>
      <c r="I3257" s="19"/>
      <c r="J3257" s="17" t="s">
        <v>82</v>
      </c>
      <c r="K3257" s="232">
        <v>185</v>
      </c>
      <c r="L3257" s="232">
        <v>50</v>
      </c>
      <c r="M3257" s="19">
        <v>3000</v>
      </c>
      <c r="N3257" s="19" t="s">
        <v>40</v>
      </c>
      <c r="O3257" s="19" t="s">
        <v>168</v>
      </c>
      <c r="P3257" s="19">
        <v>318</v>
      </c>
      <c r="Q3257" s="19">
        <v>317</v>
      </c>
      <c r="R3257" s="19">
        <f t="shared" si="162"/>
        <v>1</v>
      </c>
      <c r="S3257" s="277">
        <v>391</v>
      </c>
      <c r="T3257" s="19" t="s">
        <v>99</v>
      </c>
      <c r="U3257" s="102" t="s">
        <v>1144</v>
      </c>
      <c r="V3257" s="186" t="s">
        <v>1112</v>
      </c>
      <c r="W3257" s="17" t="s">
        <v>44</v>
      </c>
      <c r="Y3257" s="68">
        <v>45130</v>
      </c>
      <c r="Z3257" s="17" t="s">
        <v>78</v>
      </c>
      <c r="AA3257" s="17" t="s">
        <v>46</v>
      </c>
      <c r="AB3257" s="17" t="s">
        <v>1145</v>
      </c>
      <c r="AC3257" s="217">
        <v>45237</v>
      </c>
      <c r="AD3257" s="65">
        <v>1429</v>
      </c>
      <c r="AE3257" s="17" t="s">
        <v>48</v>
      </c>
    </row>
    <row r="3258" s="17" customFormat="1" hidden="1" spans="1:31">
      <c r="A3258" s="17" t="s">
        <v>34</v>
      </c>
      <c r="B3258" s="19">
        <v>909</v>
      </c>
      <c r="C3258" s="183" t="s">
        <v>1110</v>
      </c>
      <c r="D3258" s="17" t="s">
        <v>35</v>
      </c>
      <c r="E3258" s="17" t="s">
        <v>718</v>
      </c>
      <c r="F3258" s="17" t="s">
        <v>236</v>
      </c>
      <c r="H3258" s="19" t="s">
        <v>97</v>
      </c>
      <c r="I3258" s="19"/>
      <c r="J3258" s="17" t="s">
        <v>82</v>
      </c>
      <c r="K3258" s="232">
        <v>210</v>
      </c>
      <c r="L3258" s="232">
        <v>50</v>
      </c>
      <c r="M3258" s="19">
        <v>3000</v>
      </c>
      <c r="N3258" s="19" t="s">
        <v>40</v>
      </c>
      <c r="O3258" s="19" t="s">
        <v>168</v>
      </c>
      <c r="P3258" s="19">
        <v>316</v>
      </c>
      <c r="Q3258" s="19">
        <v>314</v>
      </c>
      <c r="R3258" s="19">
        <f t="shared" si="162"/>
        <v>2</v>
      </c>
      <c r="S3258" s="277">
        <v>391</v>
      </c>
      <c r="T3258" s="19" t="s">
        <v>99</v>
      </c>
      <c r="U3258" s="102" t="s">
        <v>1144</v>
      </c>
      <c r="V3258" s="186" t="s">
        <v>1112</v>
      </c>
      <c r="W3258" s="17" t="s">
        <v>44</v>
      </c>
      <c r="Y3258" s="68">
        <v>45130</v>
      </c>
      <c r="Z3258" s="17" t="s">
        <v>78</v>
      </c>
      <c r="AA3258" s="17" t="s">
        <v>46</v>
      </c>
      <c r="AB3258" s="17" t="s">
        <v>1145</v>
      </c>
      <c r="AC3258" s="217">
        <v>45237</v>
      </c>
      <c r="AD3258" s="65">
        <v>1429</v>
      </c>
      <c r="AE3258" s="17" t="s">
        <v>48</v>
      </c>
    </row>
    <row r="3259" s="17" customFormat="1" hidden="1" spans="1:31">
      <c r="A3259" s="17" t="s">
        <v>34</v>
      </c>
      <c r="B3259" s="19">
        <v>909</v>
      </c>
      <c r="C3259" s="183" t="s">
        <v>1110</v>
      </c>
      <c r="D3259" s="17" t="s">
        <v>35</v>
      </c>
      <c r="E3259" s="17" t="s">
        <v>718</v>
      </c>
      <c r="F3259" s="17" t="s">
        <v>236</v>
      </c>
      <c r="H3259" s="19" t="s">
        <v>97</v>
      </c>
      <c r="I3259" s="19"/>
      <c r="J3259" s="17" t="s">
        <v>82</v>
      </c>
      <c r="K3259" s="232">
        <v>310</v>
      </c>
      <c r="L3259" s="232">
        <v>50</v>
      </c>
      <c r="M3259" s="19">
        <v>3000</v>
      </c>
      <c r="N3259" s="19" t="s">
        <v>40</v>
      </c>
      <c r="O3259" s="19" t="s">
        <v>168</v>
      </c>
      <c r="P3259" s="19">
        <v>402</v>
      </c>
      <c r="Q3259" s="19">
        <v>420</v>
      </c>
      <c r="R3259" s="19">
        <f t="shared" si="162"/>
        <v>-18</v>
      </c>
      <c r="S3259" s="277">
        <v>391</v>
      </c>
      <c r="T3259" s="19" t="s">
        <v>99</v>
      </c>
      <c r="U3259" s="102" t="s">
        <v>1144</v>
      </c>
      <c r="V3259" s="186" t="s">
        <v>1112</v>
      </c>
      <c r="W3259" s="17" t="s">
        <v>44</v>
      </c>
      <c r="Y3259" s="68">
        <v>45130</v>
      </c>
      <c r="Z3259" s="17" t="s">
        <v>78</v>
      </c>
      <c r="AA3259" s="17" t="s">
        <v>46</v>
      </c>
      <c r="AB3259" s="17" t="s">
        <v>1146</v>
      </c>
      <c r="AC3259" s="102" t="s">
        <v>1147</v>
      </c>
      <c r="AD3259" s="65">
        <v>1440</v>
      </c>
      <c r="AE3259" s="17" t="s">
        <v>48</v>
      </c>
    </row>
    <row r="3260" s="17" customFormat="1" hidden="1" spans="1:31">
      <c r="A3260" s="17" t="s">
        <v>34</v>
      </c>
      <c r="B3260" s="19">
        <v>909</v>
      </c>
      <c r="C3260" s="183" t="s">
        <v>1110</v>
      </c>
      <c r="D3260" s="17" t="s">
        <v>35</v>
      </c>
      <c r="E3260" s="17" t="s">
        <v>718</v>
      </c>
      <c r="F3260" s="17" t="s">
        <v>236</v>
      </c>
      <c r="H3260" s="19" t="s">
        <v>97</v>
      </c>
      <c r="I3260" s="19"/>
      <c r="J3260" s="17" t="s">
        <v>82</v>
      </c>
      <c r="K3260" s="232">
        <v>160</v>
      </c>
      <c r="L3260" s="232">
        <v>55</v>
      </c>
      <c r="M3260" s="19">
        <v>3000</v>
      </c>
      <c r="N3260" s="19" t="s">
        <v>40</v>
      </c>
      <c r="O3260" s="19" t="s">
        <v>168</v>
      </c>
      <c r="P3260" s="19">
        <v>513</v>
      </c>
      <c r="Q3260" s="19">
        <v>507</v>
      </c>
      <c r="R3260" s="19">
        <f t="shared" si="162"/>
        <v>6</v>
      </c>
      <c r="S3260" s="277">
        <v>391</v>
      </c>
      <c r="T3260" s="19" t="s">
        <v>99</v>
      </c>
      <c r="U3260" s="102" t="s">
        <v>1144</v>
      </c>
      <c r="V3260" s="186" t="s">
        <v>1112</v>
      </c>
      <c r="W3260" s="17" t="s">
        <v>44</v>
      </c>
      <c r="Y3260" s="68">
        <v>45130</v>
      </c>
      <c r="Z3260" s="17" t="s">
        <v>78</v>
      </c>
      <c r="AA3260" s="17" t="s">
        <v>46</v>
      </c>
      <c r="AB3260" s="17" t="s">
        <v>1146</v>
      </c>
      <c r="AC3260" s="102" t="s">
        <v>1147</v>
      </c>
      <c r="AD3260" s="65">
        <v>1440</v>
      </c>
      <c r="AE3260" s="17" t="s">
        <v>48</v>
      </c>
    </row>
    <row r="3261" s="17" customFormat="1" hidden="1" spans="1:31">
      <c r="A3261" s="17" t="s">
        <v>34</v>
      </c>
      <c r="B3261" s="19">
        <v>909</v>
      </c>
      <c r="C3261" s="183" t="s">
        <v>1110</v>
      </c>
      <c r="D3261" s="17" t="s">
        <v>35</v>
      </c>
      <c r="E3261" s="17" t="s">
        <v>718</v>
      </c>
      <c r="F3261" s="17" t="s">
        <v>236</v>
      </c>
      <c r="H3261" s="19" t="s">
        <v>97</v>
      </c>
      <c r="I3261" s="19"/>
      <c r="J3261" s="17" t="s">
        <v>82</v>
      </c>
      <c r="K3261" s="232">
        <v>185</v>
      </c>
      <c r="L3261" s="232">
        <v>55</v>
      </c>
      <c r="M3261" s="19">
        <v>3000</v>
      </c>
      <c r="N3261" s="19" t="s">
        <v>40</v>
      </c>
      <c r="O3261" s="19" t="s">
        <v>168</v>
      </c>
      <c r="P3261" s="19">
        <v>271</v>
      </c>
      <c r="Q3261" s="19">
        <v>266</v>
      </c>
      <c r="R3261" s="19">
        <f t="shared" si="162"/>
        <v>5</v>
      </c>
      <c r="S3261" s="277">
        <v>391</v>
      </c>
      <c r="T3261" s="19" t="s">
        <v>99</v>
      </c>
      <c r="U3261" s="102" t="s">
        <v>1144</v>
      </c>
      <c r="V3261" s="186" t="s">
        <v>1112</v>
      </c>
      <c r="W3261" s="17" t="s">
        <v>44</v>
      </c>
      <c r="Y3261" s="68">
        <v>45130</v>
      </c>
      <c r="Z3261" s="17" t="s">
        <v>78</v>
      </c>
      <c r="AA3261" s="17" t="s">
        <v>46</v>
      </c>
      <c r="AB3261" s="17" t="s">
        <v>1146</v>
      </c>
      <c r="AC3261" s="102" t="s">
        <v>1147</v>
      </c>
      <c r="AD3261" s="65">
        <v>1440</v>
      </c>
      <c r="AE3261" s="17" t="s">
        <v>48</v>
      </c>
    </row>
    <row r="3262" s="17" customFormat="1" hidden="1" spans="1:31">
      <c r="A3262" s="17" t="s">
        <v>34</v>
      </c>
      <c r="B3262" s="19">
        <v>909</v>
      </c>
      <c r="C3262" s="183" t="s">
        <v>1110</v>
      </c>
      <c r="D3262" s="17" t="s">
        <v>35</v>
      </c>
      <c r="E3262" s="17" t="s">
        <v>718</v>
      </c>
      <c r="F3262" s="17" t="s">
        <v>236</v>
      </c>
      <c r="H3262" s="19" t="s">
        <v>97</v>
      </c>
      <c r="I3262" s="19"/>
      <c r="J3262" s="17" t="s">
        <v>82</v>
      </c>
      <c r="K3262" s="232">
        <v>410</v>
      </c>
      <c r="L3262" s="232">
        <v>55</v>
      </c>
      <c r="M3262" s="19">
        <v>3000</v>
      </c>
      <c r="N3262" s="19" t="s">
        <v>40</v>
      </c>
      <c r="O3262" s="19" t="s">
        <v>168</v>
      </c>
      <c r="P3262" s="19">
        <v>538</v>
      </c>
      <c r="Q3262" s="19">
        <v>553</v>
      </c>
      <c r="R3262" s="19">
        <f t="shared" si="162"/>
        <v>-15</v>
      </c>
      <c r="S3262" s="277">
        <v>391</v>
      </c>
      <c r="T3262" s="19" t="s">
        <v>99</v>
      </c>
      <c r="U3262" s="102" t="s">
        <v>1144</v>
      </c>
      <c r="V3262" s="186" t="s">
        <v>1112</v>
      </c>
      <c r="W3262" s="17" t="s">
        <v>44</v>
      </c>
      <c r="Y3262" s="68">
        <v>45130</v>
      </c>
      <c r="Z3262" s="17" t="s">
        <v>78</v>
      </c>
      <c r="AA3262" s="17" t="s">
        <v>46</v>
      </c>
      <c r="AB3262" s="17" t="s">
        <v>1145</v>
      </c>
      <c r="AC3262" s="217">
        <v>45237</v>
      </c>
      <c r="AD3262" s="65">
        <v>1429</v>
      </c>
      <c r="AE3262" s="17" t="s">
        <v>48</v>
      </c>
    </row>
    <row r="3263" s="17" customFormat="1" hidden="1" spans="1:31">
      <c r="A3263" s="17" t="s">
        <v>34</v>
      </c>
      <c r="B3263" s="19">
        <v>909</v>
      </c>
      <c r="C3263" s="183" t="s">
        <v>1110</v>
      </c>
      <c r="D3263" s="17" t="s">
        <v>35</v>
      </c>
      <c r="E3263" s="17" t="s">
        <v>718</v>
      </c>
      <c r="F3263" s="17" t="s">
        <v>236</v>
      </c>
      <c r="H3263" s="19" t="s">
        <v>97</v>
      </c>
      <c r="I3263" s="19"/>
      <c r="J3263" s="17" t="s">
        <v>82</v>
      </c>
      <c r="K3263" s="232">
        <v>160</v>
      </c>
      <c r="L3263" s="232">
        <v>60</v>
      </c>
      <c r="M3263" s="19">
        <v>3000</v>
      </c>
      <c r="N3263" s="19" t="s">
        <v>40</v>
      </c>
      <c r="O3263" s="19" t="s">
        <v>168</v>
      </c>
      <c r="P3263" s="19">
        <v>337</v>
      </c>
      <c r="Q3263" s="19">
        <v>334</v>
      </c>
      <c r="R3263" s="19">
        <f t="shared" si="162"/>
        <v>3</v>
      </c>
      <c r="S3263" s="277">
        <v>391</v>
      </c>
      <c r="T3263" s="19" t="s">
        <v>99</v>
      </c>
      <c r="U3263" s="102" t="s">
        <v>1144</v>
      </c>
      <c r="V3263" s="186" t="s">
        <v>1112</v>
      </c>
      <c r="W3263" s="17" t="s">
        <v>44</v>
      </c>
      <c r="Y3263" s="68">
        <v>45130</v>
      </c>
      <c r="Z3263" s="17" t="s">
        <v>78</v>
      </c>
      <c r="AA3263" s="17" t="s">
        <v>46</v>
      </c>
      <c r="AB3263" s="17" t="s">
        <v>1146</v>
      </c>
      <c r="AC3263" s="102" t="s">
        <v>1147</v>
      </c>
      <c r="AD3263" s="65">
        <v>1440</v>
      </c>
      <c r="AE3263" s="17" t="s">
        <v>48</v>
      </c>
    </row>
    <row r="3264" s="17" customFormat="1" hidden="1" spans="1:31">
      <c r="A3264" s="17" t="s">
        <v>34</v>
      </c>
      <c r="B3264" s="19">
        <v>909</v>
      </c>
      <c r="C3264" s="183" t="s">
        <v>1110</v>
      </c>
      <c r="D3264" s="17" t="s">
        <v>35</v>
      </c>
      <c r="E3264" s="17" t="s">
        <v>718</v>
      </c>
      <c r="F3264" s="17" t="s">
        <v>236</v>
      </c>
      <c r="H3264" s="19" t="s">
        <v>97</v>
      </c>
      <c r="I3264" s="19"/>
      <c r="J3264" s="17" t="s">
        <v>82</v>
      </c>
      <c r="K3264" s="232">
        <v>410</v>
      </c>
      <c r="L3264" s="232">
        <v>60</v>
      </c>
      <c r="M3264" s="19">
        <v>3000</v>
      </c>
      <c r="N3264" s="19" t="s">
        <v>40</v>
      </c>
      <c r="O3264" s="19" t="s">
        <v>168</v>
      </c>
      <c r="P3264" s="19">
        <v>733</v>
      </c>
      <c r="Q3264" s="19">
        <v>764</v>
      </c>
      <c r="R3264" s="19">
        <f t="shared" si="162"/>
        <v>-31</v>
      </c>
      <c r="S3264" s="277">
        <v>391</v>
      </c>
      <c r="T3264" s="19" t="s">
        <v>99</v>
      </c>
      <c r="U3264" s="102" t="s">
        <v>1144</v>
      </c>
      <c r="V3264" s="186" t="s">
        <v>1112</v>
      </c>
      <c r="W3264" s="17" t="s">
        <v>44</v>
      </c>
      <c r="Y3264" s="68">
        <v>45130</v>
      </c>
      <c r="Z3264" s="17" t="s">
        <v>78</v>
      </c>
      <c r="AA3264" s="17" t="s">
        <v>46</v>
      </c>
      <c r="AB3264" s="17" t="s">
        <v>1145</v>
      </c>
      <c r="AC3264" s="217">
        <v>45237</v>
      </c>
      <c r="AD3264" s="65">
        <v>1429</v>
      </c>
      <c r="AE3264" s="17" t="s">
        <v>48</v>
      </c>
    </row>
    <row r="3265" s="17" customFormat="1" hidden="1" spans="1:31">
      <c r="A3265" s="17" t="s">
        <v>34</v>
      </c>
      <c r="B3265" s="19">
        <v>909</v>
      </c>
      <c r="C3265" s="183" t="s">
        <v>1110</v>
      </c>
      <c r="D3265" s="17" t="s">
        <v>35</v>
      </c>
      <c r="E3265" s="17" t="s">
        <v>718</v>
      </c>
      <c r="F3265" s="17" t="s">
        <v>236</v>
      </c>
      <c r="H3265" s="19" t="s">
        <v>97</v>
      </c>
      <c r="I3265" s="19"/>
      <c r="J3265" s="17" t="s">
        <v>82</v>
      </c>
      <c r="K3265" s="232">
        <v>410</v>
      </c>
      <c r="L3265" s="232">
        <v>65</v>
      </c>
      <c r="M3265" s="19">
        <v>3000</v>
      </c>
      <c r="N3265" s="19" t="s">
        <v>40</v>
      </c>
      <c r="O3265" s="19" t="s">
        <v>168</v>
      </c>
      <c r="P3265" s="19">
        <v>679</v>
      </c>
      <c r="Q3265" s="19">
        <v>706</v>
      </c>
      <c r="R3265" s="19">
        <f t="shared" si="162"/>
        <v>-27</v>
      </c>
      <c r="S3265" s="277">
        <v>391</v>
      </c>
      <c r="T3265" s="19" t="s">
        <v>99</v>
      </c>
      <c r="U3265" s="102" t="s">
        <v>1144</v>
      </c>
      <c r="V3265" s="186" t="s">
        <v>1112</v>
      </c>
      <c r="W3265" s="17" t="s">
        <v>44</v>
      </c>
      <c r="Y3265" s="68">
        <v>45130</v>
      </c>
      <c r="Z3265" s="17" t="s">
        <v>78</v>
      </c>
      <c r="AA3265" s="17" t="s">
        <v>46</v>
      </c>
      <c r="AB3265" s="17" t="s">
        <v>1145</v>
      </c>
      <c r="AC3265" s="217">
        <v>45237</v>
      </c>
      <c r="AD3265" s="65">
        <v>1429</v>
      </c>
      <c r="AE3265" s="17" t="s">
        <v>48</v>
      </c>
    </row>
    <row r="3266" s="17" customFormat="1" hidden="1" spans="1:31">
      <c r="A3266" s="17" t="s">
        <v>34</v>
      </c>
      <c r="B3266" s="19">
        <v>909</v>
      </c>
      <c r="C3266" s="183" t="s">
        <v>1110</v>
      </c>
      <c r="D3266" s="17" t="s">
        <v>35</v>
      </c>
      <c r="E3266" s="17" t="s">
        <v>718</v>
      </c>
      <c r="F3266" s="17" t="s">
        <v>236</v>
      </c>
      <c r="H3266" s="19" t="s">
        <v>97</v>
      </c>
      <c r="I3266" s="19"/>
      <c r="J3266" s="17" t="s">
        <v>82</v>
      </c>
      <c r="K3266" s="232">
        <v>130</v>
      </c>
      <c r="L3266" s="232">
        <v>75</v>
      </c>
      <c r="M3266" s="19">
        <v>3000</v>
      </c>
      <c r="N3266" s="19" t="s">
        <v>40</v>
      </c>
      <c r="O3266" s="19" t="s">
        <v>168</v>
      </c>
      <c r="P3266" s="19">
        <v>333</v>
      </c>
      <c r="Q3266" s="19">
        <v>329</v>
      </c>
      <c r="R3266" s="19">
        <f t="shared" si="162"/>
        <v>4</v>
      </c>
      <c r="S3266" s="277">
        <v>391</v>
      </c>
      <c r="T3266" s="19" t="s">
        <v>99</v>
      </c>
      <c r="U3266" s="102" t="s">
        <v>1144</v>
      </c>
      <c r="V3266" s="186" t="s">
        <v>1112</v>
      </c>
      <c r="W3266" s="17" t="s">
        <v>44</v>
      </c>
      <c r="Y3266" s="68">
        <v>45130</v>
      </c>
      <c r="Z3266" s="17" t="s">
        <v>78</v>
      </c>
      <c r="AA3266" s="17" t="s">
        <v>46</v>
      </c>
      <c r="AB3266" s="17" t="s">
        <v>1146</v>
      </c>
      <c r="AC3266" s="102" t="s">
        <v>1147</v>
      </c>
      <c r="AD3266" s="65">
        <v>1440</v>
      </c>
      <c r="AE3266" s="17" t="s">
        <v>48</v>
      </c>
    </row>
    <row r="3267" s="17" customFormat="1" hidden="1" spans="1:31">
      <c r="A3267" s="17" t="s">
        <v>34</v>
      </c>
      <c r="B3267" s="19">
        <v>909</v>
      </c>
      <c r="C3267" s="183" t="s">
        <v>1110</v>
      </c>
      <c r="D3267" s="17" t="s">
        <v>35</v>
      </c>
      <c r="E3267" s="17" t="s">
        <v>718</v>
      </c>
      <c r="F3267" s="17" t="s">
        <v>236</v>
      </c>
      <c r="H3267" s="19" t="s">
        <v>97</v>
      </c>
      <c r="I3267" s="19"/>
      <c r="J3267" s="17" t="s">
        <v>82</v>
      </c>
      <c r="K3267" s="232">
        <v>520</v>
      </c>
      <c r="L3267" s="232">
        <v>75</v>
      </c>
      <c r="M3267" s="19">
        <v>3000</v>
      </c>
      <c r="N3267" s="19" t="s">
        <v>40</v>
      </c>
      <c r="O3267" s="19" t="s">
        <v>168</v>
      </c>
      <c r="P3267" s="19">
        <v>1071</v>
      </c>
      <c r="Q3267" s="19">
        <v>1103</v>
      </c>
      <c r="R3267" s="19">
        <f t="shared" si="162"/>
        <v>-32</v>
      </c>
      <c r="S3267" s="232">
        <v>410</v>
      </c>
      <c r="T3267" s="19" t="s">
        <v>99</v>
      </c>
      <c r="U3267" s="102" t="s">
        <v>1144</v>
      </c>
      <c r="V3267" s="186" t="s">
        <v>1112</v>
      </c>
      <c r="W3267" s="17" t="s">
        <v>44</v>
      </c>
      <c r="Y3267" s="68">
        <v>45130</v>
      </c>
      <c r="Z3267" s="17" t="s">
        <v>78</v>
      </c>
      <c r="AA3267" s="17" t="s">
        <v>46</v>
      </c>
      <c r="AB3267" s="17" t="s">
        <v>1145</v>
      </c>
      <c r="AC3267" s="217">
        <v>45237</v>
      </c>
      <c r="AD3267" s="65">
        <v>1429</v>
      </c>
      <c r="AE3267" s="17" t="s">
        <v>48</v>
      </c>
    </row>
    <row r="3268" s="17" customFormat="1" hidden="1" spans="1:31">
      <c r="A3268" s="17" t="s">
        <v>34</v>
      </c>
      <c r="B3268" s="19">
        <v>909</v>
      </c>
      <c r="C3268" s="183" t="s">
        <v>1110</v>
      </c>
      <c r="D3268" s="17" t="s">
        <v>35</v>
      </c>
      <c r="E3268" s="17" t="s">
        <v>718</v>
      </c>
      <c r="F3268" s="17" t="s">
        <v>236</v>
      </c>
      <c r="H3268" s="19" t="s">
        <v>97</v>
      </c>
      <c r="I3268" s="19"/>
      <c r="J3268" s="17" t="s">
        <v>82</v>
      </c>
      <c r="K3268" s="232">
        <v>160</v>
      </c>
      <c r="L3268" s="232">
        <v>85</v>
      </c>
      <c r="M3268" s="19">
        <v>3000</v>
      </c>
      <c r="N3268" s="19" t="s">
        <v>40</v>
      </c>
      <c r="O3268" s="19" t="s">
        <v>168</v>
      </c>
      <c r="P3268" s="19">
        <v>418</v>
      </c>
      <c r="Q3268" s="19">
        <v>412</v>
      </c>
      <c r="R3268" s="19">
        <f t="shared" si="162"/>
        <v>6</v>
      </c>
      <c r="S3268" s="232">
        <v>391</v>
      </c>
      <c r="T3268" s="19" t="s">
        <v>99</v>
      </c>
      <c r="U3268" s="102" t="s">
        <v>1144</v>
      </c>
      <c r="V3268" s="186" t="s">
        <v>1112</v>
      </c>
      <c r="W3268" s="17" t="s">
        <v>44</v>
      </c>
      <c r="Y3268" s="68">
        <v>45130</v>
      </c>
      <c r="Z3268" s="17" t="s">
        <v>78</v>
      </c>
      <c r="AA3268" s="17" t="s">
        <v>46</v>
      </c>
      <c r="AB3268" s="17" t="s">
        <v>1146</v>
      </c>
      <c r="AC3268" s="102" t="s">
        <v>1147</v>
      </c>
      <c r="AD3268" s="65">
        <v>1440</v>
      </c>
      <c r="AE3268" s="17" t="s">
        <v>48</v>
      </c>
    </row>
    <row r="3269" s="17" customFormat="1" hidden="1" spans="1:31">
      <c r="A3269" s="17" t="s">
        <v>34</v>
      </c>
      <c r="B3269" s="19">
        <v>909</v>
      </c>
      <c r="C3269" s="183" t="s">
        <v>1110</v>
      </c>
      <c r="D3269" s="17" t="s">
        <v>35</v>
      </c>
      <c r="E3269" s="17" t="s">
        <v>718</v>
      </c>
      <c r="F3269" s="17" t="s">
        <v>236</v>
      </c>
      <c r="H3269" s="19" t="s">
        <v>97</v>
      </c>
      <c r="I3269" s="19"/>
      <c r="J3269" s="17" t="s">
        <v>82</v>
      </c>
      <c r="K3269" s="232">
        <v>160</v>
      </c>
      <c r="L3269" s="232">
        <v>90</v>
      </c>
      <c r="M3269" s="19">
        <v>3000</v>
      </c>
      <c r="N3269" s="19" t="s">
        <v>40</v>
      </c>
      <c r="O3269" s="19" t="s">
        <v>168</v>
      </c>
      <c r="P3269" s="19">
        <v>428</v>
      </c>
      <c r="Q3269" s="19">
        <v>420</v>
      </c>
      <c r="R3269" s="19">
        <f t="shared" si="162"/>
        <v>8</v>
      </c>
      <c r="S3269" s="232">
        <v>391</v>
      </c>
      <c r="T3269" s="19" t="s">
        <v>99</v>
      </c>
      <c r="U3269" s="102" t="s">
        <v>1144</v>
      </c>
      <c r="V3269" s="186" t="s">
        <v>1112</v>
      </c>
      <c r="W3269" s="17" t="s">
        <v>44</v>
      </c>
      <c r="Y3269" s="68">
        <v>45130</v>
      </c>
      <c r="Z3269" s="17" t="s">
        <v>78</v>
      </c>
      <c r="AA3269" s="17" t="s">
        <v>46</v>
      </c>
      <c r="AB3269" s="17" t="s">
        <v>1146</v>
      </c>
      <c r="AC3269" s="102" t="s">
        <v>1147</v>
      </c>
      <c r="AD3269" s="65">
        <v>1440</v>
      </c>
      <c r="AE3269" s="17" t="s">
        <v>48</v>
      </c>
    </row>
    <row r="3270" s="17" customFormat="1" hidden="1" spans="1:31">
      <c r="A3270" s="17" t="s">
        <v>34</v>
      </c>
      <c r="B3270" s="19">
        <v>909</v>
      </c>
      <c r="C3270" s="183" t="s">
        <v>1110</v>
      </c>
      <c r="D3270" s="17" t="s">
        <v>35</v>
      </c>
      <c r="E3270" s="17" t="s">
        <v>718</v>
      </c>
      <c r="F3270" s="17" t="s">
        <v>236</v>
      </c>
      <c r="H3270" s="19" t="s">
        <v>97</v>
      </c>
      <c r="I3270" s="19"/>
      <c r="J3270" s="17" t="s">
        <v>82</v>
      </c>
      <c r="K3270" s="232">
        <v>310</v>
      </c>
      <c r="L3270" s="232">
        <v>90</v>
      </c>
      <c r="M3270" s="19">
        <v>3000</v>
      </c>
      <c r="N3270" s="19" t="s">
        <v>40</v>
      </c>
      <c r="O3270" s="19" t="s">
        <v>168</v>
      </c>
      <c r="P3270" s="19">
        <v>733</v>
      </c>
      <c r="Q3270" s="19">
        <v>759</v>
      </c>
      <c r="R3270" s="19">
        <f t="shared" si="162"/>
        <v>-26</v>
      </c>
      <c r="S3270" s="232">
        <v>391</v>
      </c>
      <c r="T3270" s="19" t="s">
        <v>99</v>
      </c>
      <c r="U3270" s="102" t="s">
        <v>1144</v>
      </c>
      <c r="V3270" s="186" t="s">
        <v>1112</v>
      </c>
      <c r="W3270" s="17" t="s">
        <v>44</v>
      </c>
      <c r="Y3270" s="68">
        <v>45130</v>
      </c>
      <c r="Z3270" s="17" t="s">
        <v>78</v>
      </c>
      <c r="AA3270" s="17" t="s">
        <v>46</v>
      </c>
      <c r="AB3270" s="17" t="s">
        <v>1145</v>
      </c>
      <c r="AC3270" s="217">
        <v>45237</v>
      </c>
      <c r="AD3270" s="65">
        <v>1429</v>
      </c>
      <c r="AE3270" s="17" t="s">
        <v>48</v>
      </c>
    </row>
    <row r="3271" s="17" customFormat="1" hidden="1" spans="1:31">
      <c r="A3271" s="17" t="s">
        <v>34</v>
      </c>
      <c r="B3271" s="19">
        <v>909</v>
      </c>
      <c r="C3271" s="183" t="s">
        <v>1110</v>
      </c>
      <c r="D3271" s="17" t="s">
        <v>35</v>
      </c>
      <c r="E3271" s="17" t="s">
        <v>718</v>
      </c>
      <c r="F3271" s="17" t="s">
        <v>236</v>
      </c>
      <c r="H3271" s="19" t="s">
        <v>97</v>
      </c>
      <c r="I3271" s="19"/>
      <c r="J3271" s="17" t="s">
        <v>82</v>
      </c>
      <c r="K3271" s="232">
        <v>105</v>
      </c>
      <c r="L3271" s="232">
        <v>95</v>
      </c>
      <c r="M3271" s="19">
        <v>3000</v>
      </c>
      <c r="N3271" s="19" t="s">
        <v>40</v>
      </c>
      <c r="O3271" s="19" t="s">
        <v>168</v>
      </c>
      <c r="P3271" s="19">
        <v>287</v>
      </c>
      <c r="Q3271" s="19">
        <v>287</v>
      </c>
      <c r="R3271" s="19">
        <f t="shared" si="162"/>
        <v>0</v>
      </c>
      <c r="S3271" s="232">
        <v>391</v>
      </c>
      <c r="T3271" s="19" t="s">
        <v>99</v>
      </c>
      <c r="U3271" s="102" t="s">
        <v>1144</v>
      </c>
      <c r="V3271" s="186" t="s">
        <v>1112</v>
      </c>
      <c r="W3271" s="17" t="s">
        <v>44</v>
      </c>
      <c r="Y3271" s="68">
        <v>45130</v>
      </c>
      <c r="Z3271" s="17" t="s">
        <v>78</v>
      </c>
      <c r="AA3271" s="17" t="s">
        <v>46</v>
      </c>
      <c r="AB3271" s="17" t="s">
        <v>1146</v>
      </c>
      <c r="AC3271" s="102" t="s">
        <v>1147</v>
      </c>
      <c r="AD3271" s="65">
        <v>1440</v>
      </c>
      <c r="AE3271" s="17" t="s">
        <v>48</v>
      </c>
    </row>
    <row r="3272" s="17" customFormat="1" hidden="1" spans="1:31">
      <c r="A3272" s="17" t="s">
        <v>34</v>
      </c>
      <c r="B3272" s="19">
        <v>909</v>
      </c>
      <c r="C3272" s="183" t="s">
        <v>1110</v>
      </c>
      <c r="D3272" s="17" t="s">
        <v>35</v>
      </c>
      <c r="E3272" s="17" t="s">
        <v>718</v>
      </c>
      <c r="F3272" s="17" t="s">
        <v>236</v>
      </c>
      <c r="H3272" s="19" t="s">
        <v>97</v>
      </c>
      <c r="I3272" s="19"/>
      <c r="J3272" s="17" t="s">
        <v>82</v>
      </c>
      <c r="K3272" s="232">
        <v>520</v>
      </c>
      <c r="L3272" s="232">
        <v>95</v>
      </c>
      <c r="M3272" s="19">
        <v>3000</v>
      </c>
      <c r="N3272" s="19" t="s">
        <v>40</v>
      </c>
      <c r="O3272" s="19" t="s">
        <v>168</v>
      </c>
      <c r="P3272" s="19">
        <v>1303</v>
      </c>
      <c r="Q3272" s="19">
        <v>1313</v>
      </c>
      <c r="R3272" s="19">
        <f t="shared" si="162"/>
        <v>-10</v>
      </c>
      <c r="S3272" s="232">
        <v>391</v>
      </c>
      <c r="T3272" s="19" t="s">
        <v>99</v>
      </c>
      <c r="U3272" s="102" t="s">
        <v>1144</v>
      </c>
      <c r="V3272" s="186" t="s">
        <v>1112</v>
      </c>
      <c r="W3272" s="17" t="s">
        <v>44</v>
      </c>
      <c r="Y3272" s="68">
        <v>45130</v>
      </c>
      <c r="Z3272" s="17" t="s">
        <v>78</v>
      </c>
      <c r="AA3272" s="17" t="s">
        <v>46</v>
      </c>
      <c r="AB3272" s="17" t="s">
        <v>1145</v>
      </c>
      <c r="AC3272" s="217">
        <v>45237</v>
      </c>
      <c r="AD3272" s="65">
        <v>1429</v>
      </c>
      <c r="AE3272" s="17" t="s">
        <v>48</v>
      </c>
    </row>
    <row r="3273" s="17" customFormat="1" hidden="1" spans="1:31">
      <c r="A3273" s="17" t="s">
        <v>34</v>
      </c>
      <c r="B3273" s="19">
        <v>909</v>
      </c>
      <c r="C3273" s="183" t="s">
        <v>1110</v>
      </c>
      <c r="D3273" s="17" t="s">
        <v>35</v>
      </c>
      <c r="E3273" s="17" t="s">
        <v>718</v>
      </c>
      <c r="F3273" s="17" t="s">
        <v>236</v>
      </c>
      <c r="H3273" s="19" t="s">
        <v>97</v>
      </c>
      <c r="I3273" s="19"/>
      <c r="J3273" s="17" t="s">
        <v>82</v>
      </c>
      <c r="K3273" s="232">
        <v>410</v>
      </c>
      <c r="L3273" s="232">
        <v>105</v>
      </c>
      <c r="M3273" s="19">
        <v>3000</v>
      </c>
      <c r="N3273" s="19" t="s">
        <v>40</v>
      </c>
      <c r="O3273" s="19" t="s">
        <v>168</v>
      </c>
      <c r="P3273" s="19">
        <v>1208</v>
      </c>
      <c r="Q3273" s="19">
        <v>1205</v>
      </c>
      <c r="R3273" s="19">
        <f t="shared" si="162"/>
        <v>3</v>
      </c>
      <c r="S3273" s="232">
        <v>391</v>
      </c>
      <c r="T3273" s="19" t="s">
        <v>99</v>
      </c>
      <c r="U3273" s="102" t="s">
        <v>1144</v>
      </c>
      <c r="V3273" s="186" t="s">
        <v>1112</v>
      </c>
      <c r="W3273" s="17" t="s">
        <v>44</v>
      </c>
      <c r="Y3273" s="68">
        <v>45130</v>
      </c>
      <c r="Z3273" s="17" t="s">
        <v>78</v>
      </c>
      <c r="AA3273" s="17" t="s">
        <v>46</v>
      </c>
      <c r="AB3273" s="17" t="s">
        <v>1145</v>
      </c>
      <c r="AC3273" s="217">
        <v>45237</v>
      </c>
      <c r="AD3273" s="65">
        <v>1429</v>
      </c>
      <c r="AE3273" s="17" t="s">
        <v>48</v>
      </c>
    </row>
    <row r="3274" s="17" customFormat="1" hidden="1" spans="1:31">
      <c r="A3274" s="17" t="s">
        <v>34</v>
      </c>
      <c r="B3274" s="19">
        <v>909</v>
      </c>
      <c r="C3274" s="183" t="s">
        <v>1110</v>
      </c>
      <c r="D3274" s="17" t="s">
        <v>35</v>
      </c>
      <c r="E3274" s="17" t="s">
        <v>718</v>
      </c>
      <c r="F3274" s="17" t="s">
        <v>236</v>
      </c>
      <c r="H3274" s="19" t="s">
        <v>97</v>
      </c>
      <c r="I3274" s="19"/>
      <c r="J3274" s="17" t="s">
        <v>82</v>
      </c>
      <c r="K3274" s="232">
        <v>310</v>
      </c>
      <c r="L3274" s="232">
        <v>110</v>
      </c>
      <c r="M3274" s="19">
        <v>3000</v>
      </c>
      <c r="N3274" s="19" t="s">
        <v>40</v>
      </c>
      <c r="O3274" s="19" t="s">
        <v>168</v>
      </c>
      <c r="P3274" s="19">
        <v>805</v>
      </c>
      <c r="Q3274" s="19">
        <v>921</v>
      </c>
      <c r="R3274" s="19">
        <f t="shared" si="162"/>
        <v>-116</v>
      </c>
      <c r="S3274" s="232">
        <v>391</v>
      </c>
      <c r="T3274" s="19" t="s">
        <v>99</v>
      </c>
      <c r="U3274" s="102" t="s">
        <v>1144</v>
      </c>
      <c r="V3274" s="186" t="s">
        <v>1112</v>
      </c>
      <c r="W3274" s="17" t="s">
        <v>44</v>
      </c>
      <c r="Y3274" s="68">
        <v>45130</v>
      </c>
      <c r="Z3274" s="17" t="s">
        <v>78</v>
      </c>
      <c r="AA3274" s="17" t="s">
        <v>46</v>
      </c>
      <c r="AB3274" s="17" t="s">
        <v>1145</v>
      </c>
      <c r="AC3274" s="217">
        <v>45237</v>
      </c>
      <c r="AD3274" s="65">
        <v>1429</v>
      </c>
      <c r="AE3274" s="17" t="s">
        <v>48</v>
      </c>
    </row>
    <row r="3275" s="17" customFormat="1" hidden="1" spans="1:31">
      <c r="A3275" s="17" t="s">
        <v>34</v>
      </c>
      <c r="B3275" s="19">
        <v>909</v>
      </c>
      <c r="C3275" s="183" t="s">
        <v>1110</v>
      </c>
      <c r="D3275" s="17" t="s">
        <v>35</v>
      </c>
      <c r="E3275" s="17" t="s">
        <v>718</v>
      </c>
      <c r="F3275" s="17" t="s">
        <v>236</v>
      </c>
      <c r="H3275" s="19" t="s">
        <v>97</v>
      </c>
      <c r="I3275" s="19"/>
      <c r="J3275" s="17" t="s">
        <v>82</v>
      </c>
      <c r="K3275" s="232">
        <v>520</v>
      </c>
      <c r="L3275" s="232">
        <v>120</v>
      </c>
      <c r="M3275" s="19">
        <v>3000</v>
      </c>
      <c r="N3275" s="19" t="s">
        <v>40</v>
      </c>
      <c r="O3275" s="19" t="s">
        <v>168</v>
      </c>
      <c r="P3275" s="19">
        <v>1698</v>
      </c>
      <c r="Q3275" s="19">
        <v>1390</v>
      </c>
      <c r="R3275" s="19">
        <f t="shared" si="162"/>
        <v>308</v>
      </c>
      <c r="S3275" s="232">
        <v>410</v>
      </c>
      <c r="T3275" s="19" t="s">
        <v>99</v>
      </c>
      <c r="U3275" s="102" t="s">
        <v>1144</v>
      </c>
      <c r="V3275" s="186" t="s">
        <v>1112</v>
      </c>
      <c r="W3275" s="17" t="s">
        <v>44</v>
      </c>
      <c r="Y3275" s="68">
        <v>45130</v>
      </c>
      <c r="Z3275" s="17" t="s">
        <v>78</v>
      </c>
      <c r="AA3275" s="17" t="s">
        <v>46</v>
      </c>
      <c r="AB3275" s="17" t="s">
        <v>1145</v>
      </c>
      <c r="AC3275" s="217">
        <v>45237</v>
      </c>
      <c r="AD3275" s="65">
        <v>1429</v>
      </c>
      <c r="AE3275" s="17" t="s">
        <v>48</v>
      </c>
    </row>
    <row r="3276" s="17" customFormat="1" hidden="1" spans="1:31">
      <c r="A3276" s="17" t="s">
        <v>34</v>
      </c>
      <c r="B3276" s="19">
        <v>909</v>
      </c>
      <c r="C3276" s="183" t="s">
        <v>1110</v>
      </c>
      <c r="D3276" s="17" t="s">
        <v>35</v>
      </c>
      <c r="E3276" s="17" t="s">
        <v>718</v>
      </c>
      <c r="F3276" s="17" t="s">
        <v>236</v>
      </c>
      <c r="H3276" s="19" t="s">
        <v>97</v>
      </c>
      <c r="I3276" s="19"/>
      <c r="J3276" s="17" t="s">
        <v>82</v>
      </c>
      <c r="K3276" s="232">
        <v>410</v>
      </c>
      <c r="L3276" s="232">
        <v>160</v>
      </c>
      <c r="M3276" s="19">
        <v>3000</v>
      </c>
      <c r="N3276" s="19" t="s">
        <v>40</v>
      </c>
      <c r="O3276" s="19" t="s">
        <v>168</v>
      </c>
      <c r="P3276" s="19">
        <v>1829</v>
      </c>
      <c r="Q3276" s="19">
        <v>1815</v>
      </c>
      <c r="R3276" s="19">
        <f t="shared" si="162"/>
        <v>14</v>
      </c>
      <c r="S3276" s="232">
        <v>410</v>
      </c>
      <c r="T3276" s="19" t="s">
        <v>99</v>
      </c>
      <c r="U3276" s="102" t="s">
        <v>1144</v>
      </c>
      <c r="V3276" s="186" t="s">
        <v>1112</v>
      </c>
      <c r="W3276" s="17" t="s">
        <v>44</v>
      </c>
      <c r="Y3276" s="68">
        <v>45130</v>
      </c>
      <c r="Z3276" s="17" t="s">
        <v>78</v>
      </c>
      <c r="AA3276" s="17" t="s">
        <v>46</v>
      </c>
      <c r="AB3276" s="17" t="s">
        <v>1145</v>
      </c>
      <c r="AC3276" s="217">
        <v>45237</v>
      </c>
      <c r="AD3276" s="65">
        <v>1429</v>
      </c>
      <c r="AE3276" s="17" t="s">
        <v>48</v>
      </c>
    </row>
    <row r="3277" s="17" customFormat="1" hidden="1" spans="1:31">
      <c r="A3277" s="17" t="s">
        <v>34</v>
      </c>
      <c r="B3277" s="19">
        <v>909</v>
      </c>
      <c r="C3277" s="183" t="s">
        <v>1110</v>
      </c>
      <c r="D3277" s="17" t="s">
        <v>35</v>
      </c>
      <c r="E3277" s="17" t="s">
        <v>718</v>
      </c>
      <c r="F3277" s="17" t="s">
        <v>236</v>
      </c>
      <c r="H3277" s="19" t="s">
        <v>97</v>
      </c>
      <c r="I3277" s="19"/>
      <c r="J3277" s="17" t="s">
        <v>82</v>
      </c>
      <c r="K3277" s="232">
        <v>310</v>
      </c>
      <c r="L3277" s="232">
        <v>170</v>
      </c>
      <c r="M3277" s="19">
        <v>3000</v>
      </c>
      <c r="N3277" s="19" t="s">
        <v>40</v>
      </c>
      <c r="O3277" s="19" t="s">
        <v>168</v>
      </c>
      <c r="P3277" s="19">
        <v>1464</v>
      </c>
      <c r="Q3277" s="19">
        <v>1498</v>
      </c>
      <c r="R3277" s="19">
        <f t="shared" si="162"/>
        <v>-34</v>
      </c>
      <c r="S3277" s="232">
        <v>410</v>
      </c>
      <c r="T3277" s="19" t="s">
        <v>99</v>
      </c>
      <c r="U3277" s="102" t="s">
        <v>1144</v>
      </c>
      <c r="V3277" s="186" t="s">
        <v>1112</v>
      </c>
      <c r="W3277" s="17" t="s">
        <v>44</v>
      </c>
      <c r="Y3277" s="68">
        <v>45130</v>
      </c>
      <c r="Z3277" s="17" t="s">
        <v>78</v>
      </c>
      <c r="AA3277" s="17" t="s">
        <v>46</v>
      </c>
      <c r="AB3277" s="17" t="s">
        <v>1146</v>
      </c>
      <c r="AC3277" s="102" t="s">
        <v>1147</v>
      </c>
      <c r="AD3277" s="65">
        <v>1440</v>
      </c>
      <c r="AE3277" s="17" t="s">
        <v>48</v>
      </c>
    </row>
    <row r="3278" s="17" customFormat="1" hidden="1" spans="1:31">
      <c r="A3278" s="17" t="s">
        <v>34</v>
      </c>
      <c r="B3278" s="19">
        <v>909</v>
      </c>
      <c r="C3278" s="183" t="s">
        <v>1110</v>
      </c>
      <c r="D3278" s="17" t="s">
        <v>35</v>
      </c>
      <c r="E3278" s="17" t="s">
        <v>718</v>
      </c>
      <c r="F3278" s="17" t="s">
        <v>236</v>
      </c>
      <c r="H3278" s="19" t="s">
        <v>97</v>
      </c>
      <c r="I3278" s="19"/>
      <c r="J3278" s="17" t="s">
        <v>82</v>
      </c>
      <c r="K3278" s="232">
        <v>410</v>
      </c>
      <c r="L3278" s="232">
        <v>180</v>
      </c>
      <c r="M3278" s="19">
        <v>3000</v>
      </c>
      <c r="N3278" s="19" t="s">
        <v>40</v>
      </c>
      <c r="O3278" s="19" t="s">
        <v>168</v>
      </c>
      <c r="P3278" s="19">
        <v>1905</v>
      </c>
      <c r="Q3278" s="19">
        <v>1916</v>
      </c>
      <c r="R3278" s="19">
        <f t="shared" si="162"/>
        <v>-11</v>
      </c>
      <c r="S3278" s="232">
        <v>410</v>
      </c>
      <c r="T3278" s="19" t="s">
        <v>99</v>
      </c>
      <c r="U3278" s="102" t="s">
        <v>1144</v>
      </c>
      <c r="V3278" s="186" t="s">
        <v>1112</v>
      </c>
      <c r="W3278" s="17" t="s">
        <v>44</v>
      </c>
      <c r="Y3278" s="68">
        <v>45130</v>
      </c>
      <c r="Z3278" s="17" t="s">
        <v>78</v>
      </c>
      <c r="AA3278" s="17" t="s">
        <v>46</v>
      </c>
      <c r="AB3278" s="17" t="s">
        <v>1146</v>
      </c>
      <c r="AC3278" s="102" t="s">
        <v>1147</v>
      </c>
      <c r="AD3278" s="65">
        <v>1440</v>
      </c>
      <c r="AE3278" s="17" t="s">
        <v>48</v>
      </c>
    </row>
    <row r="3279" s="17" customFormat="1" hidden="1" spans="1:31">
      <c r="A3279" s="17" t="s">
        <v>34</v>
      </c>
      <c r="B3279" s="19">
        <v>909</v>
      </c>
      <c r="C3279" s="183" t="s">
        <v>1110</v>
      </c>
      <c r="D3279" s="17" t="s">
        <v>35</v>
      </c>
      <c r="E3279" s="17" t="s">
        <v>718</v>
      </c>
      <c r="F3279" s="17" t="s">
        <v>236</v>
      </c>
      <c r="H3279" s="19" t="s">
        <v>97</v>
      </c>
      <c r="I3279" s="19"/>
      <c r="J3279" s="17" t="s">
        <v>82</v>
      </c>
      <c r="K3279" s="232">
        <v>550</v>
      </c>
      <c r="L3279" s="232">
        <v>180</v>
      </c>
      <c r="M3279" s="19">
        <v>3000</v>
      </c>
      <c r="N3279" s="19" t="s">
        <v>40</v>
      </c>
      <c r="O3279" s="19" t="s">
        <v>168</v>
      </c>
      <c r="P3279" s="19">
        <v>2796</v>
      </c>
      <c r="Q3279" s="19">
        <v>2810</v>
      </c>
      <c r="R3279" s="19">
        <f t="shared" si="162"/>
        <v>-14</v>
      </c>
      <c r="S3279" s="232">
        <v>410</v>
      </c>
      <c r="T3279" s="19" t="s">
        <v>99</v>
      </c>
      <c r="U3279" s="102" t="s">
        <v>1144</v>
      </c>
      <c r="V3279" s="186" t="s">
        <v>1112</v>
      </c>
      <c r="W3279" s="17" t="s">
        <v>44</v>
      </c>
      <c r="Y3279" s="68">
        <v>45130</v>
      </c>
      <c r="Z3279" s="17" t="s">
        <v>78</v>
      </c>
      <c r="AA3279" s="17" t="s">
        <v>46</v>
      </c>
      <c r="AB3279" s="17" t="s">
        <v>1146</v>
      </c>
      <c r="AC3279" s="102" t="s">
        <v>1147</v>
      </c>
      <c r="AD3279" s="65">
        <v>1440</v>
      </c>
      <c r="AE3279" s="17" t="s">
        <v>48</v>
      </c>
    </row>
    <row r="3280" s="17" customFormat="1" hidden="1" spans="1:31">
      <c r="A3280" s="17" t="s">
        <v>34</v>
      </c>
      <c r="B3280" s="19">
        <v>909</v>
      </c>
      <c r="C3280" s="183" t="s">
        <v>1110</v>
      </c>
      <c r="D3280" s="17" t="s">
        <v>35</v>
      </c>
      <c r="E3280" s="17" t="s">
        <v>718</v>
      </c>
      <c r="F3280" s="17" t="s">
        <v>236</v>
      </c>
      <c r="H3280" s="19" t="s">
        <v>97</v>
      </c>
      <c r="I3280" s="19"/>
      <c r="J3280" s="17" t="s">
        <v>82</v>
      </c>
      <c r="K3280" s="232">
        <v>520</v>
      </c>
      <c r="L3280" s="232">
        <v>200</v>
      </c>
      <c r="M3280" s="19">
        <v>3000</v>
      </c>
      <c r="N3280" s="19" t="s">
        <v>40</v>
      </c>
      <c r="O3280" s="19" t="s">
        <v>168</v>
      </c>
      <c r="P3280" s="19">
        <v>2515</v>
      </c>
      <c r="Q3280" s="19">
        <v>2546</v>
      </c>
      <c r="R3280" s="19">
        <f t="shared" si="162"/>
        <v>-31</v>
      </c>
      <c r="S3280" s="232">
        <v>410</v>
      </c>
      <c r="T3280" s="19" t="s">
        <v>99</v>
      </c>
      <c r="U3280" s="102" t="s">
        <v>1144</v>
      </c>
      <c r="V3280" s="186" t="s">
        <v>1112</v>
      </c>
      <c r="W3280" s="17" t="s">
        <v>44</v>
      </c>
      <c r="Y3280" s="68">
        <v>45130</v>
      </c>
      <c r="Z3280" s="17" t="s">
        <v>78</v>
      </c>
      <c r="AA3280" s="17" t="s">
        <v>46</v>
      </c>
      <c r="AB3280" s="17" t="s">
        <v>1146</v>
      </c>
      <c r="AC3280" s="102" t="s">
        <v>1147</v>
      </c>
      <c r="AD3280" s="65">
        <v>1440</v>
      </c>
      <c r="AE3280" s="17" t="s">
        <v>48</v>
      </c>
    </row>
    <row r="3281" s="17" customFormat="1" hidden="1" spans="1:31">
      <c r="A3281" s="17" t="s">
        <v>34</v>
      </c>
      <c r="B3281" s="19">
        <v>909</v>
      </c>
      <c r="C3281" s="183" t="s">
        <v>1110</v>
      </c>
      <c r="D3281" s="17" t="s">
        <v>35</v>
      </c>
      <c r="E3281" s="17" t="s">
        <v>718</v>
      </c>
      <c r="F3281" s="17" t="s">
        <v>236</v>
      </c>
      <c r="H3281" s="19" t="s">
        <v>97</v>
      </c>
      <c r="I3281" s="19"/>
      <c r="J3281" s="17" t="s">
        <v>82</v>
      </c>
      <c r="K3281" s="232">
        <v>310</v>
      </c>
      <c r="L3281" s="232">
        <v>210</v>
      </c>
      <c r="M3281" s="19">
        <v>3000</v>
      </c>
      <c r="N3281" s="19" t="s">
        <v>40</v>
      </c>
      <c r="O3281" s="19" t="s">
        <v>168</v>
      </c>
      <c r="P3281" s="19">
        <v>1502</v>
      </c>
      <c r="Q3281" s="19">
        <v>1512</v>
      </c>
      <c r="R3281" s="19">
        <f t="shared" si="162"/>
        <v>-10</v>
      </c>
      <c r="S3281" s="232">
        <v>410</v>
      </c>
      <c r="T3281" s="19" t="s">
        <v>99</v>
      </c>
      <c r="U3281" s="102" t="s">
        <v>1144</v>
      </c>
      <c r="V3281" s="186" t="s">
        <v>1112</v>
      </c>
      <c r="W3281" s="17" t="s">
        <v>44</v>
      </c>
      <c r="Y3281" s="68">
        <v>45130</v>
      </c>
      <c r="Z3281" s="17" t="s">
        <v>78</v>
      </c>
      <c r="AA3281" s="17" t="s">
        <v>46</v>
      </c>
      <c r="AB3281" s="17" t="s">
        <v>1146</v>
      </c>
      <c r="AC3281" s="102" t="s">
        <v>1147</v>
      </c>
      <c r="AD3281" s="65">
        <v>1440</v>
      </c>
      <c r="AE3281" s="17" t="s">
        <v>48</v>
      </c>
    </row>
    <row r="3282" s="17" customFormat="1" hidden="1" spans="1:31">
      <c r="A3282" s="17" t="s">
        <v>34</v>
      </c>
      <c r="B3282" s="19">
        <v>909</v>
      </c>
      <c r="C3282" s="183" t="s">
        <v>1110</v>
      </c>
      <c r="D3282" s="17" t="s">
        <v>35</v>
      </c>
      <c r="E3282" s="17" t="s">
        <v>718</v>
      </c>
      <c r="F3282" s="17" t="s">
        <v>236</v>
      </c>
      <c r="H3282" s="19" t="s">
        <v>97</v>
      </c>
      <c r="I3282" s="19"/>
      <c r="J3282" s="17" t="s">
        <v>82</v>
      </c>
      <c r="K3282" s="232">
        <v>520</v>
      </c>
      <c r="L3282" s="232">
        <v>250</v>
      </c>
      <c r="M3282" s="19">
        <v>3000</v>
      </c>
      <c r="N3282" s="19" t="s">
        <v>40</v>
      </c>
      <c r="O3282" s="19" t="s">
        <v>168</v>
      </c>
      <c r="P3282" s="19">
        <v>2797</v>
      </c>
      <c r="Q3282" s="19">
        <v>2810</v>
      </c>
      <c r="R3282" s="19">
        <f t="shared" si="162"/>
        <v>-13</v>
      </c>
      <c r="S3282" s="232">
        <v>410</v>
      </c>
      <c r="T3282" s="19" t="s">
        <v>99</v>
      </c>
      <c r="U3282" s="102" t="s">
        <v>1144</v>
      </c>
      <c r="V3282" s="186" t="s">
        <v>1112</v>
      </c>
      <c r="W3282" s="17" t="s">
        <v>44</v>
      </c>
      <c r="Y3282" s="68">
        <v>45130</v>
      </c>
      <c r="Z3282" s="17" t="s">
        <v>78</v>
      </c>
      <c r="AA3282" s="17" t="s">
        <v>46</v>
      </c>
      <c r="AB3282" s="17" t="s">
        <v>1145</v>
      </c>
      <c r="AC3282" s="217">
        <v>45237</v>
      </c>
      <c r="AD3282" s="65">
        <v>1429</v>
      </c>
      <c r="AE3282" s="17" t="s">
        <v>48</v>
      </c>
    </row>
    <row r="3283" s="17" customFormat="1" hidden="1" spans="1:31">
      <c r="A3283" s="17" t="s">
        <v>34</v>
      </c>
      <c r="B3283" s="19">
        <v>909</v>
      </c>
      <c r="C3283" s="183" t="s">
        <v>1110</v>
      </c>
      <c r="D3283" s="17" t="s">
        <v>35</v>
      </c>
      <c r="E3283" s="17" t="s">
        <v>718</v>
      </c>
      <c r="F3283" s="17" t="s">
        <v>236</v>
      </c>
      <c r="H3283" s="19" t="s">
        <v>97</v>
      </c>
      <c r="I3283" s="19"/>
      <c r="J3283" s="17" t="s">
        <v>82</v>
      </c>
      <c r="K3283" s="232">
        <v>360</v>
      </c>
      <c r="L3283" s="232">
        <v>280</v>
      </c>
      <c r="M3283" s="19">
        <v>3000</v>
      </c>
      <c r="N3283" s="19" t="s">
        <v>40</v>
      </c>
      <c r="O3283" s="19" t="s">
        <v>168</v>
      </c>
      <c r="P3283" s="19">
        <v>2432</v>
      </c>
      <c r="Q3283" s="19">
        <v>2421</v>
      </c>
      <c r="R3283" s="19">
        <f t="shared" si="162"/>
        <v>11</v>
      </c>
      <c r="S3283" s="232">
        <v>410</v>
      </c>
      <c r="T3283" s="19" t="s">
        <v>99</v>
      </c>
      <c r="U3283" s="102" t="s">
        <v>1144</v>
      </c>
      <c r="V3283" s="186" t="s">
        <v>1112</v>
      </c>
      <c r="W3283" s="17" t="s">
        <v>44</v>
      </c>
      <c r="Y3283" s="68">
        <v>45130</v>
      </c>
      <c r="Z3283" s="17" t="s">
        <v>78</v>
      </c>
      <c r="AA3283" s="17" t="s">
        <v>46</v>
      </c>
      <c r="AB3283" s="17" t="s">
        <v>1146</v>
      </c>
      <c r="AC3283" s="102" t="s">
        <v>1147</v>
      </c>
      <c r="AD3283" s="65">
        <v>1440</v>
      </c>
      <c r="AE3283" s="17" t="s">
        <v>48</v>
      </c>
    </row>
    <row r="3284" s="17" customFormat="1" hidden="1" spans="1:31">
      <c r="A3284" s="17" t="s">
        <v>34</v>
      </c>
      <c r="B3284" s="19">
        <v>909</v>
      </c>
      <c r="C3284" s="183" t="s">
        <v>1110</v>
      </c>
      <c r="D3284" s="17" t="s">
        <v>35</v>
      </c>
      <c r="E3284" s="17" t="s">
        <v>718</v>
      </c>
      <c r="F3284" s="17" t="s">
        <v>236</v>
      </c>
      <c r="H3284" s="19" t="s">
        <v>97</v>
      </c>
      <c r="I3284" s="19"/>
      <c r="J3284" s="17" t="s">
        <v>82</v>
      </c>
      <c r="K3284" s="232">
        <v>410</v>
      </c>
      <c r="L3284" s="232">
        <v>280</v>
      </c>
      <c r="M3284" s="19">
        <v>3000</v>
      </c>
      <c r="N3284" s="19" t="s">
        <v>40</v>
      </c>
      <c r="O3284" s="19" t="s">
        <v>168</v>
      </c>
      <c r="P3284" s="19">
        <v>2794</v>
      </c>
      <c r="Q3284" s="19">
        <v>2800</v>
      </c>
      <c r="R3284" s="19">
        <f t="shared" si="162"/>
        <v>-6</v>
      </c>
      <c r="S3284" s="232">
        <v>410</v>
      </c>
      <c r="T3284" s="19" t="s">
        <v>99</v>
      </c>
      <c r="U3284" s="102" t="s">
        <v>1144</v>
      </c>
      <c r="V3284" s="186" t="s">
        <v>1112</v>
      </c>
      <c r="W3284" s="17" t="s">
        <v>44</v>
      </c>
      <c r="Y3284" s="68">
        <v>45130</v>
      </c>
      <c r="Z3284" s="17" t="s">
        <v>78</v>
      </c>
      <c r="AA3284" s="17" t="s">
        <v>46</v>
      </c>
      <c r="AB3284" s="17" t="s">
        <v>1145</v>
      </c>
      <c r="AC3284" s="217">
        <v>45237</v>
      </c>
      <c r="AD3284" s="65">
        <v>1429</v>
      </c>
      <c r="AE3284" s="17" t="s">
        <v>48</v>
      </c>
    </row>
    <row r="3285" s="17" customFormat="1" hidden="1" spans="1:31">
      <c r="A3285" s="17" t="s">
        <v>34</v>
      </c>
      <c r="B3285" s="19">
        <v>909</v>
      </c>
      <c r="C3285" s="183" t="s">
        <v>1110</v>
      </c>
      <c r="D3285" s="17" t="s">
        <v>35</v>
      </c>
      <c r="E3285" s="17" t="s">
        <v>718</v>
      </c>
      <c r="F3285" s="17" t="s">
        <v>236</v>
      </c>
      <c r="H3285" s="19" t="s">
        <v>97</v>
      </c>
      <c r="I3285" s="19"/>
      <c r="J3285" s="17" t="s">
        <v>82</v>
      </c>
      <c r="K3285" s="232">
        <v>410</v>
      </c>
      <c r="L3285" s="232">
        <v>305</v>
      </c>
      <c r="M3285" s="19">
        <v>3000</v>
      </c>
      <c r="N3285" s="19" t="s">
        <v>40</v>
      </c>
      <c r="O3285" s="19" t="s">
        <v>168</v>
      </c>
      <c r="P3285" s="19">
        <v>2798</v>
      </c>
      <c r="Q3285" s="19">
        <v>2827</v>
      </c>
      <c r="R3285" s="19">
        <f t="shared" si="162"/>
        <v>-29</v>
      </c>
      <c r="S3285" s="232">
        <v>410</v>
      </c>
      <c r="T3285" s="19" t="s">
        <v>99</v>
      </c>
      <c r="U3285" s="102" t="s">
        <v>1144</v>
      </c>
      <c r="V3285" s="186" t="s">
        <v>1112</v>
      </c>
      <c r="W3285" s="17" t="s">
        <v>44</v>
      </c>
      <c r="Y3285" s="68">
        <v>45130</v>
      </c>
      <c r="Z3285" s="17" t="s">
        <v>78</v>
      </c>
      <c r="AA3285" s="17" t="s">
        <v>46</v>
      </c>
      <c r="AB3285" s="17" t="s">
        <v>1146</v>
      </c>
      <c r="AC3285" s="102" t="s">
        <v>1147</v>
      </c>
      <c r="AD3285" s="65">
        <v>1440</v>
      </c>
      <c r="AE3285" s="17" t="s">
        <v>48</v>
      </c>
    </row>
    <row r="3286" s="17" customFormat="1" hidden="1" spans="1:31">
      <c r="A3286" s="17" t="s">
        <v>34</v>
      </c>
      <c r="B3286" s="19">
        <v>909</v>
      </c>
      <c r="C3286" s="183" t="s">
        <v>1110</v>
      </c>
      <c r="D3286" s="17" t="s">
        <v>35</v>
      </c>
      <c r="E3286" s="17" t="s">
        <v>718</v>
      </c>
      <c r="F3286" s="17" t="s">
        <v>236</v>
      </c>
      <c r="H3286" s="19" t="s">
        <v>97</v>
      </c>
      <c r="I3286" s="19"/>
      <c r="J3286" s="17" t="s">
        <v>82</v>
      </c>
      <c r="K3286" s="232">
        <v>610</v>
      </c>
      <c r="L3286" s="232">
        <v>305</v>
      </c>
      <c r="M3286" s="19">
        <v>3000</v>
      </c>
      <c r="N3286" s="19" t="s">
        <v>40</v>
      </c>
      <c r="O3286" s="19" t="s">
        <v>168</v>
      </c>
      <c r="P3286" s="19">
        <v>2789</v>
      </c>
      <c r="Q3286" s="19">
        <v>2797</v>
      </c>
      <c r="R3286" s="19">
        <f t="shared" si="162"/>
        <v>-8</v>
      </c>
      <c r="S3286" s="232">
        <v>410</v>
      </c>
      <c r="T3286" s="19" t="s">
        <v>99</v>
      </c>
      <c r="U3286" s="102" t="s">
        <v>1144</v>
      </c>
      <c r="V3286" s="186" t="s">
        <v>1112</v>
      </c>
      <c r="W3286" s="17" t="s">
        <v>44</v>
      </c>
      <c r="Y3286" s="68">
        <v>45130</v>
      </c>
      <c r="Z3286" s="17" t="s">
        <v>78</v>
      </c>
      <c r="AA3286" s="17" t="s">
        <v>46</v>
      </c>
      <c r="AB3286" s="17" t="s">
        <v>1145</v>
      </c>
      <c r="AC3286" s="217">
        <v>45237</v>
      </c>
      <c r="AD3286" s="65">
        <v>1429</v>
      </c>
      <c r="AE3286" s="17" t="s">
        <v>48</v>
      </c>
    </row>
    <row r="3287" s="17" customFormat="1" hidden="1" spans="1:31">
      <c r="A3287" s="17" t="s">
        <v>34</v>
      </c>
      <c r="B3287" s="19">
        <v>909</v>
      </c>
      <c r="C3287" s="183" t="s">
        <v>1110</v>
      </c>
      <c r="D3287" s="17" t="s">
        <v>35</v>
      </c>
      <c r="E3287" s="17" t="s">
        <v>718</v>
      </c>
      <c r="F3287" s="17" t="s">
        <v>236</v>
      </c>
      <c r="H3287" s="19" t="s">
        <v>97</v>
      </c>
      <c r="I3287" s="19"/>
      <c r="J3287" s="17" t="s">
        <v>82</v>
      </c>
      <c r="K3287" s="232">
        <v>410</v>
      </c>
      <c r="L3287" s="232">
        <v>310</v>
      </c>
      <c r="M3287" s="19">
        <v>3000</v>
      </c>
      <c r="N3287" s="19" t="s">
        <v>40</v>
      </c>
      <c r="O3287" s="19" t="s">
        <v>168</v>
      </c>
      <c r="P3287" s="19">
        <v>2792</v>
      </c>
      <c r="Q3287" s="19">
        <v>2817</v>
      </c>
      <c r="R3287" s="19">
        <f t="shared" si="162"/>
        <v>-25</v>
      </c>
      <c r="S3287" s="232">
        <v>410</v>
      </c>
      <c r="T3287" s="19" t="s">
        <v>99</v>
      </c>
      <c r="U3287" s="102" t="s">
        <v>1144</v>
      </c>
      <c r="V3287" s="186" t="s">
        <v>1112</v>
      </c>
      <c r="W3287" s="17" t="s">
        <v>44</v>
      </c>
      <c r="Y3287" s="68">
        <v>45130</v>
      </c>
      <c r="Z3287" s="17" t="s">
        <v>78</v>
      </c>
      <c r="AA3287" s="17" t="s">
        <v>46</v>
      </c>
      <c r="AB3287" s="17" t="s">
        <v>1146</v>
      </c>
      <c r="AC3287" s="102" t="s">
        <v>1147</v>
      </c>
      <c r="AD3287" s="65">
        <v>1440</v>
      </c>
      <c r="AE3287" s="17" t="s">
        <v>48</v>
      </c>
    </row>
    <row r="3288" s="17" customFormat="1" hidden="1" spans="1:31">
      <c r="A3288" s="17" t="s">
        <v>34</v>
      </c>
      <c r="B3288" s="19">
        <v>910</v>
      </c>
      <c r="C3288" s="222">
        <v>44962</v>
      </c>
      <c r="D3288" s="17" t="s">
        <v>52</v>
      </c>
      <c r="E3288" s="17" t="s">
        <v>187</v>
      </c>
      <c r="F3288" s="17" t="s">
        <v>54</v>
      </c>
      <c r="H3288" s="19">
        <v>1.2311</v>
      </c>
      <c r="I3288" s="19"/>
      <c r="J3288" s="17" t="s">
        <v>49</v>
      </c>
      <c r="K3288" s="19">
        <v>1600</v>
      </c>
      <c r="L3288" s="91">
        <v>280</v>
      </c>
      <c r="M3288" s="19">
        <v>3500</v>
      </c>
      <c r="N3288" s="19" t="s">
        <v>66</v>
      </c>
      <c r="O3288" s="19" t="s">
        <v>50</v>
      </c>
      <c r="P3288" s="19">
        <v>10550</v>
      </c>
      <c r="Q3288" s="19">
        <v>11880</v>
      </c>
      <c r="R3288" s="19">
        <f t="shared" si="162"/>
        <v>-1330</v>
      </c>
      <c r="S3288" s="19">
        <v>1480</v>
      </c>
      <c r="T3288" s="19" t="s">
        <v>42</v>
      </c>
      <c r="U3288" s="102" t="s">
        <v>1148</v>
      </c>
      <c r="V3288" s="253">
        <v>45143</v>
      </c>
      <c r="W3288" s="17" t="s">
        <v>69</v>
      </c>
      <c r="Y3288" s="68">
        <v>45130</v>
      </c>
      <c r="Z3288" s="17" t="s">
        <v>191</v>
      </c>
      <c r="AA3288" s="17" t="s">
        <v>46</v>
      </c>
      <c r="AB3288" s="17" t="s">
        <v>1149</v>
      </c>
      <c r="AC3288" s="217">
        <v>45084</v>
      </c>
      <c r="AD3288" s="65">
        <v>1436</v>
      </c>
      <c r="AE3288" s="17" t="s">
        <v>48</v>
      </c>
    </row>
    <row r="3289" s="17" customFormat="1" hidden="1" spans="1:31">
      <c r="A3289" s="17" t="s">
        <v>34</v>
      </c>
      <c r="B3289" s="19">
        <v>910</v>
      </c>
      <c r="C3289" s="222">
        <v>44962</v>
      </c>
      <c r="D3289" s="17" t="s">
        <v>52</v>
      </c>
      <c r="E3289" s="17" t="s">
        <v>187</v>
      </c>
      <c r="F3289" s="17" t="s">
        <v>54</v>
      </c>
      <c r="H3289" s="19">
        <v>1.2311</v>
      </c>
      <c r="I3289" s="19"/>
      <c r="J3289" s="17" t="s">
        <v>49</v>
      </c>
      <c r="K3289" s="19">
        <v>1600</v>
      </c>
      <c r="L3289" s="91">
        <v>330</v>
      </c>
      <c r="M3289" s="19">
        <v>3500</v>
      </c>
      <c r="N3289" s="19" t="s">
        <v>66</v>
      </c>
      <c r="O3289" s="19" t="s">
        <v>50</v>
      </c>
      <c r="P3289" s="19">
        <v>12434</v>
      </c>
      <c r="Q3289" s="19">
        <v>11880</v>
      </c>
      <c r="R3289" s="19">
        <f t="shared" si="162"/>
        <v>554</v>
      </c>
      <c r="S3289" s="19">
        <v>1480</v>
      </c>
      <c r="T3289" s="19" t="s">
        <v>42</v>
      </c>
      <c r="U3289" s="102" t="s">
        <v>1148</v>
      </c>
      <c r="V3289" s="253">
        <v>45143</v>
      </c>
      <c r="W3289" s="17" t="s">
        <v>69</v>
      </c>
      <c r="Y3289" s="68">
        <v>45130</v>
      </c>
      <c r="Z3289" s="17" t="s">
        <v>191</v>
      </c>
      <c r="AA3289" s="17" t="s">
        <v>46</v>
      </c>
      <c r="AB3289" s="17" t="s">
        <v>1149</v>
      </c>
      <c r="AC3289" s="217">
        <v>45084</v>
      </c>
      <c r="AD3289" s="65">
        <v>1436</v>
      </c>
      <c r="AE3289" s="17" t="s">
        <v>48</v>
      </c>
    </row>
    <row r="3290" s="17" customFormat="1" hidden="1" spans="1:31">
      <c r="A3290" s="17" t="s">
        <v>34</v>
      </c>
      <c r="B3290" s="19">
        <v>910</v>
      </c>
      <c r="C3290" s="222">
        <v>44962</v>
      </c>
      <c r="D3290" s="17" t="s">
        <v>52</v>
      </c>
      <c r="E3290" s="17" t="s">
        <v>187</v>
      </c>
      <c r="F3290" s="17" t="s">
        <v>54</v>
      </c>
      <c r="H3290" s="19">
        <v>1.2311</v>
      </c>
      <c r="I3290" s="19"/>
      <c r="J3290" s="17" t="s">
        <v>49</v>
      </c>
      <c r="K3290" s="19">
        <v>1600</v>
      </c>
      <c r="L3290" s="91">
        <v>355</v>
      </c>
      <c r="M3290" s="19">
        <v>3500</v>
      </c>
      <c r="N3290" s="19" t="s">
        <v>66</v>
      </c>
      <c r="O3290" s="19" t="s">
        <v>50</v>
      </c>
      <c r="P3290" s="19">
        <v>13376</v>
      </c>
      <c r="Q3290" s="19">
        <v>13330</v>
      </c>
      <c r="R3290" s="19">
        <f t="shared" si="162"/>
        <v>46</v>
      </c>
      <c r="S3290" s="19">
        <v>1480</v>
      </c>
      <c r="T3290" s="19" t="s">
        <v>42</v>
      </c>
      <c r="U3290" s="102" t="s">
        <v>1148</v>
      </c>
      <c r="V3290" s="253">
        <v>45143</v>
      </c>
      <c r="W3290" s="17" t="s">
        <v>69</v>
      </c>
      <c r="Y3290" s="68">
        <v>45130</v>
      </c>
      <c r="Z3290" s="17" t="s">
        <v>191</v>
      </c>
      <c r="AA3290" s="17" t="s">
        <v>46</v>
      </c>
      <c r="AB3290" s="17" t="s">
        <v>1149</v>
      </c>
      <c r="AC3290" s="217">
        <v>45084</v>
      </c>
      <c r="AD3290" s="65">
        <v>1436</v>
      </c>
      <c r="AE3290" s="17" t="s">
        <v>48</v>
      </c>
    </row>
    <row r="3291" s="17" customFormat="1" hidden="1" spans="1:31">
      <c r="A3291" s="17" t="s">
        <v>34</v>
      </c>
      <c r="B3291" s="19">
        <v>910</v>
      </c>
      <c r="C3291" s="222">
        <v>44962</v>
      </c>
      <c r="D3291" s="17" t="s">
        <v>52</v>
      </c>
      <c r="E3291" s="17" t="s">
        <v>187</v>
      </c>
      <c r="F3291" s="17" t="s">
        <v>54</v>
      </c>
      <c r="H3291" s="19">
        <v>1.2311</v>
      </c>
      <c r="I3291" s="19"/>
      <c r="J3291" s="17" t="s">
        <v>49</v>
      </c>
      <c r="K3291" s="19">
        <v>1600</v>
      </c>
      <c r="L3291" s="91">
        <v>405</v>
      </c>
      <c r="M3291" s="19">
        <v>3500</v>
      </c>
      <c r="N3291" s="19" t="s">
        <v>66</v>
      </c>
      <c r="O3291" s="19" t="s">
        <v>50</v>
      </c>
      <c r="P3291" s="19">
        <v>15260</v>
      </c>
      <c r="Q3291" s="19">
        <v>13210</v>
      </c>
      <c r="R3291" s="19">
        <f t="shared" si="162"/>
        <v>2050</v>
      </c>
      <c r="S3291" s="19">
        <v>1480</v>
      </c>
      <c r="T3291" s="19" t="s">
        <v>42</v>
      </c>
      <c r="U3291" s="102" t="s">
        <v>1148</v>
      </c>
      <c r="V3291" s="253">
        <v>45143</v>
      </c>
      <c r="W3291" s="17" t="s">
        <v>69</v>
      </c>
      <c r="Y3291" s="68">
        <v>45130</v>
      </c>
      <c r="Z3291" s="17" t="s">
        <v>191</v>
      </c>
      <c r="AA3291" s="17" t="s">
        <v>46</v>
      </c>
      <c r="AB3291" s="17" t="s">
        <v>1150</v>
      </c>
      <c r="AC3291" s="102" t="s">
        <v>1151</v>
      </c>
      <c r="AD3291" s="65">
        <v>1455</v>
      </c>
      <c r="AE3291" s="17" t="s">
        <v>48</v>
      </c>
    </row>
    <row r="3292" s="17" customFormat="1" hidden="1" spans="1:31">
      <c r="A3292" s="17" t="s">
        <v>34</v>
      </c>
      <c r="B3292" s="19">
        <v>910</v>
      </c>
      <c r="C3292" s="222">
        <v>44962</v>
      </c>
      <c r="D3292" s="17" t="s">
        <v>52</v>
      </c>
      <c r="E3292" s="17" t="s">
        <v>187</v>
      </c>
      <c r="F3292" s="17" t="s">
        <v>54</v>
      </c>
      <c r="H3292" s="19">
        <v>1.2738</v>
      </c>
      <c r="I3292" s="19"/>
      <c r="J3292" s="17" t="s">
        <v>49</v>
      </c>
      <c r="K3292" s="19">
        <v>1300</v>
      </c>
      <c r="L3292" s="91">
        <v>230</v>
      </c>
      <c r="M3292" s="19">
        <v>4500</v>
      </c>
      <c r="N3292" s="19" t="s">
        <v>66</v>
      </c>
      <c r="O3292" s="19" t="s">
        <v>50</v>
      </c>
      <c r="P3292" s="19">
        <v>11736</v>
      </c>
      <c r="Q3292" s="19">
        <f>8350+8690</f>
        <v>17040</v>
      </c>
      <c r="R3292" s="19">
        <f t="shared" si="162"/>
        <v>-5304</v>
      </c>
      <c r="S3292" s="19">
        <v>1675</v>
      </c>
      <c r="T3292" s="19" t="s">
        <v>42</v>
      </c>
      <c r="U3292" s="102" t="s">
        <v>1148</v>
      </c>
      <c r="V3292" s="253">
        <v>45143</v>
      </c>
      <c r="W3292" s="17" t="s">
        <v>69</v>
      </c>
      <c r="Y3292" s="68">
        <v>45130</v>
      </c>
      <c r="Z3292" s="17" t="s">
        <v>191</v>
      </c>
      <c r="AA3292" s="17" t="s">
        <v>46</v>
      </c>
      <c r="AB3292" s="17" t="s">
        <v>1149</v>
      </c>
      <c r="AC3292" s="217">
        <v>45084</v>
      </c>
      <c r="AD3292" s="65">
        <v>1436</v>
      </c>
      <c r="AE3292" s="17" t="s">
        <v>48</v>
      </c>
    </row>
    <row r="3293" s="17" customFormat="1" hidden="1" spans="1:31">
      <c r="A3293" s="17" t="s">
        <v>34</v>
      </c>
      <c r="B3293" s="19">
        <v>910</v>
      </c>
      <c r="C3293" s="222">
        <v>44962</v>
      </c>
      <c r="D3293" s="17" t="s">
        <v>52</v>
      </c>
      <c r="E3293" s="17" t="s">
        <v>187</v>
      </c>
      <c r="F3293" s="17" t="s">
        <v>54</v>
      </c>
      <c r="H3293" s="19">
        <v>1.2738</v>
      </c>
      <c r="I3293" s="19"/>
      <c r="J3293" s="17" t="s">
        <v>49</v>
      </c>
      <c r="K3293" s="19">
        <v>1600</v>
      </c>
      <c r="L3293" s="91">
        <v>255</v>
      </c>
      <c r="M3293" s="19">
        <v>4500</v>
      </c>
      <c r="N3293" s="19" t="s">
        <v>66</v>
      </c>
      <c r="O3293" s="19" t="s">
        <v>50</v>
      </c>
      <c r="P3293" s="19">
        <v>16014</v>
      </c>
      <c r="Q3293" s="19">
        <v>8590</v>
      </c>
      <c r="S3293" s="19">
        <v>1675</v>
      </c>
      <c r="T3293" s="19" t="s">
        <v>42</v>
      </c>
      <c r="U3293" s="102" t="s">
        <v>1148</v>
      </c>
      <c r="V3293" s="253">
        <v>45143</v>
      </c>
      <c r="W3293" s="17" t="s">
        <v>69</v>
      </c>
      <c r="Y3293" s="68">
        <v>45130</v>
      </c>
      <c r="Z3293" s="17" t="s">
        <v>191</v>
      </c>
      <c r="AA3293" s="17" t="s">
        <v>46</v>
      </c>
      <c r="AB3293" s="17" t="s">
        <v>1149</v>
      </c>
      <c r="AC3293" s="217">
        <v>45084</v>
      </c>
      <c r="AD3293" s="65">
        <v>1436</v>
      </c>
      <c r="AE3293" s="17" t="s">
        <v>48</v>
      </c>
    </row>
    <row r="3294" s="17" customFormat="1" hidden="1" spans="1:31">
      <c r="A3294" s="17" t="s">
        <v>34</v>
      </c>
      <c r="B3294" s="19">
        <v>910</v>
      </c>
      <c r="C3294" s="222">
        <v>44962</v>
      </c>
      <c r="D3294" s="17" t="s">
        <v>52</v>
      </c>
      <c r="E3294" s="17" t="s">
        <v>187</v>
      </c>
      <c r="F3294" s="17" t="s">
        <v>54</v>
      </c>
      <c r="H3294" s="19">
        <v>1.2738</v>
      </c>
      <c r="I3294" s="19"/>
      <c r="J3294" s="17" t="s">
        <v>49</v>
      </c>
      <c r="K3294" s="19">
        <v>1600</v>
      </c>
      <c r="L3294" s="91">
        <v>255</v>
      </c>
      <c r="M3294" s="19">
        <v>4500</v>
      </c>
      <c r="N3294" s="19" t="s">
        <v>66</v>
      </c>
      <c r="O3294" s="19" t="s">
        <v>50</v>
      </c>
      <c r="P3294" s="19"/>
      <c r="Q3294" s="19">
        <v>8660</v>
      </c>
      <c r="R3294" s="19">
        <f>+P3293-Q3293-Q3294</f>
        <v>-1236</v>
      </c>
      <c r="S3294" s="19">
        <v>1675</v>
      </c>
      <c r="T3294" s="19" t="s">
        <v>42</v>
      </c>
      <c r="U3294" s="102" t="s">
        <v>1148</v>
      </c>
      <c r="V3294" s="253">
        <v>45143</v>
      </c>
      <c r="W3294" s="17" t="s">
        <v>69</v>
      </c>
      <c r="Y3294" s="68">
        <v>45130</v>
      </c>
      <c r="Z3294" s="17" t="s">
        <v>191</v>
      </c>
      <c r="AA3294" s="17" t="s">
        <v>46</v>
      </c>
      <c r="AB3294" s="17" t="s">
        <v>1150</v>
      </c>
      <c r="AC3294" s="102" t="s">
        <v>1151</v>
      </c>
      <c r="AD3294" s="65">
        <v>1455</v>
      </c>
      <c r="AE3294" s="17" t="s">
        <v>48</v>
      </c>
    </row>
    <row r="3295" s="17" customFormat="1" hidden="1" spans="1:31">
      <c r="A3295" s="17" t="s">
        <v>34</v>
      </c>
      <c r="B3295" s="19">
        <v>910</v>
      </c>
      <c r="C3295" s="222">
        <v>44962</v>
      </c>
      <c r="D3295" s="17" t="s">
        <v>52</v>
      </c>
      <c r="E3295" s="17" t="s">
        <v>187</v>
      </c>
      <c r="F3295" s="17" t="s">
        <v>54</v>
      </c>
      <c r="H3295" s="19">
        <v>1.2738</v>
      </c>
      <c r="I3295" s="19"/>
      <c r="J3295" s="17" t="s">
        <v>49</v>
      </c>
      <c r="K3295" s="19">
        <v>1600</v>
      </c>
      <c r="L3295" s="91">
        <v>305</v>
      </c>
      <c r="M3295" s="19">
        <v>4500</v>
      </c>
      <c r="N3295" s="19" t="s">
        <v>66</v>
      </c>
      <c r="O3295" s="19" t="s">
        <v>50</v>
      </c>
      <c r="P3295" s="19">
        <v>19154</v>
      </c>
      <c r="Q3295" s="19">
        <v>33790</v>
      </c>
      <c r="R3295" s="19">
        <f t="shared" ref="R3295:R3311" si="163">+P3295-Q3295</f>
        <v>-14636</v>
      </c>
      <c r="S3295" s="19">
        <v>1675</v>
      </c>
      <c r="T3295" s="19" t="s">
        <v>42</v>
      </c>
      <c r="U3295" s="102" t="s">
        <v>1148</v>
      </c>
      <c r="V3295" s="253">
        <v>45143</v>
      </c>
      <c r="W3295" s="17" t="s">
        <v>69</v>
      </c>
      <c r="Y3295" s="68">
        <v>45130</v>
      </c>
      <c r="Z3295" s="17" t="s">
        <v>191</v>
      </c>
      <c r="AA3295" s="17" t="s">
        <v>46</v>
      </c>
      <c r="AB3295" s="17" t="s">
        <v>1152</v>
      </c>
      <c r="AC3295" s="217">
        <v>45084</v>
      </c>
      <c r="AD3295" s="65">
        <v>1437</v>
      </c>
      <c r="AE3295" s="17" t="s">
        <v>48</v>
      </c>
    </row>
    <row r="3296" s="17" customFormat="1" hidden="1" spans="1:31">
      <c r="A3296" s="17" t="s">
        <v>34</v>
      </c>
      <c r="B3296" s="19">
        <v>910</v>
      </c>
      <c r="C3296" s="222">
        <v>44962</v>
      </c>
      <c r="D3296" s="17" t="s">
        <v>52</v>
      </c>
      <c r="E3296" s="17" t="s">
        <v>187</v>
      </c>
      <c r="F3296" s="17" t="s">
        <v>54</v>
      </c>
      <c r="H3296" s="19">
        <v>1.2738</v>
      </c>
      <c r="I3296" s="19"/>
      <c r="J3296" s="17" t="s">
        <v>49</v>
      </c>
      <c r="K3296" s="19">
        <v>1600</v>
      </c>
      <c r="L3296" s="91">
        <v>355</v>
      </c>
      <c r="M3296" s="19">
        <v>4500</v>
      </c>
      <c r="N3296" s="19" t="s">
        <v>66</v>
      </c>
      <c r="O3296" s="19" t="s">
        <v>50</v>
      </c>
      <c r="P3296" s="19">
        <v>22294</v>
      </c>
      <c r="Q3296" s="19">
        <v>11720</v>
      </c>
      <c r="R3296" s="19">
        <f t="shared" si="163"/>
        <v>10574</v>
      </c>
      <c r="S3296" s="19">
        <v>1710</v>
      </c>
      <c r="T3296" s="19" t="s">
        <v>42</v>
      </c>
      <c r="U3296" s="102" t="s">
        <v>1148</v>
      </c>
      <c r="V3296" s="253">
        <v>45143</v>
      </c>
      <c r="W3296" s="17" t="s">
        <v>69</v>
      </c>
      <c r="Y3296" s="68">
        <v>45130</v>
      </c>
      <c r="Z3296" s="17" t="s">
        <v>191</v>
      </c>
      <c r="AA3296" s="17" t="s">
        <v>46</v>
      </c>
      <c r="AB3296" s="17" t="s">
        <v>1152</v>
      </c>
      <c r="AC3296" s="217">
        <v>45084</v>
      </c>
      <c r="AD3296" s="65">
        <v>1437</v>
      </c>
      <c r="AE3296" s="17" t="s">
        <v>48</v>
      </c>
    </row>
    <row r="3297" s="17" customFormat="1" hidden="1" spans="1:44">
      <c r="A3297" s="17" t="s">
        <v>34</v>
      </c>
      <c r="B3297" s="19">
        <v>911</v>
      </c>
      <c r="C3297" s="222">
        <v>44990</v>
      </c>
      <c r="D3297" s="17" t="s">
        <v>52</v>
      </c>
      <c r="E3297" s="17" t="s">
        <v>322</v>
      </c>
      <c r="F3297" s="17" t="s">
        <v>54</v>
      </c>
      <c r="H3297" s="19">
        <v>1.2714</v>
      </c>
      <c r="I3297" s="19"/>
      <c r="J3297" s="17" t="s">
        <v>39</v>
      </c>
      <c r="K3297" s="19">
        <v>633</v>
      </c>
      <c r="L3297" s="91"/>
      <c r="M3297" s="19">
        <v>5800</v>
      </c>
      <c r="N3297" s="19" t="s">
        <v>66</v>
      </c>
      <c r="O3297" s="19" t="s">
        <v>50</v>
      </c>
      <c r="P3297" s="19">
        <v>23000</v>
      </c>
      <c r="Q3297" s="19">
        <f>11832+10948</f>
        <v>22780</v>
      </c>
      <c r="R3297" s="19">
        <f t="shared" si="163"/>
        <v>220</v>
      </c>
      <c r="S3297" s="19">
        <v>2080</v>
      </c>
      <c r="T3297" s="19" t="s">
        <v>94</v>
      </c>
      <c r="U3297" s="102" t="s">
        <v>1153</v>
      </c>
      <c r="V3297" s="253">
        <v>45143</v>
      </c>
      <c r="W3297" s="17" t="s">
        <v>69</v>
      </c>
      <c r="Y3297" s="68">
        <v>45161</v>
      </c>
      <c r="Z3297" s="17" t="s">
        <v>207</v>
      </c>
      <c r="AA3297" s="17" t="s">
        <v>46</v>
      </c>
      <c r="AB3297" s="17" t="s">
        <v>1154</v>
      </c>
      <c r="AC3297" s="102" t="s">
        <v>1155</v>
      </c>
      <c r="AD3297" s="65">
        <v>1453</v>
      </c>
      <c r="AE3297" s="17" t="s">
        <v>1156</v>
      </c>
      <c r="AF3297" s="17" t="s">
        <v>1157</v>
      </c>
    </row>
    <row r="3298" s="17" customFormat="1" hidden="1" spans="1:44">
      <c r="A3298" s="17" t="s">
        <v>34</v>
      </c>
      <c r="B3298" s="19">
        <v>912</v>
      </c>
      <c r="C3298" s="222">
        <v>45204</v>
      </c>
      <c r="D3298" s="17" t="s">
        <v>52</v>
      </c>
      <c r="E3298" s="17" t="s">
        <v>322</v>
      </c>
      <c r="F3298" s="17" t="s">
        <v>54</v>
      </c>
      <c r="H3298" s="19">
        <v>1.2714</v>
      </c>
      <c r="I3298" s="19"/>
      <c r="J3298" s="17" t="s">
        <v>39</v>
      </c>
      <c r="K3298" s="19">
        <v>305</v>
      </c>
      <c r="L3298" s="91"/>
      <c r="M3298" s="19">
        <v>5800</v>
      </c>
      <c r="N3298" s="19" t="s">
        <v>66</v>
      </c>
      <c r="O3298" s="19" t="s">
        <v>50</v>
      </c>
      <c r="P3298" s="19">
        <v>4000</v>
      </c>
      <c r="Q3298" s="19">
        <v>3190</v>
      </c>
      <c r="R3298" s="19">
        <f t="shared" si="163"/>
        <v>810</v>
      </c>
      <c r="S3298" s="19">
        <v>1935</v>
      </c>
      <c r="T3298" s="19" t="s">
        <v>42</v>
      </c>
      <c r="U3298" s="102" t="s">
        <v>1158</v>
      </c>
      <c r="V3298" s="253" t="s">
        <v>1159</v>
      </c>
      <c r="W3298" s="17" t="s">
        <v>69</v>
      </c>
      <c r="Y3298" s="68">
        <v>45161</v>
      </c>
      <c r="Z3298" s="17" t="s">
        <v>191</v>
      </c>
      <c r="AA3298" s="17" t="s">
        <v>46</v>
      </c>
      <c r="AB3298" s="17" t="s">
        <v>1160</v>
      </c>
      <c r="AC3298" s="102" t="s">
        <v>1161</v>
      </c>
      <c r="AD3298" s="65">
        <v>1490</v>
      </c>
      <c r="AE3298" s="17" t="s">
        <v>48</v>
      </c>
    </row>
    <row r="3299" s="17" customFormat="1" hidden="1" spans="1:44">
      <c r="A3299" s="17" t="s">
        <v>34</v>
      </c>
      <c r="B3299" s="19">
        <v>912</v>
      </c>
      <c r="C3299" s="222">
        <v>45204</v>
      </c>
      <c r="D3299" s="17" t="s">
        <v>52</v>
      </c>
      <c r="E3299" s="17" t="s">
        <v>322</v>
      </c>
      <c r="F3299" s="17" t="s">
        <v>54</v>
      </c>
      <c r="H3299" s="19">
        <v>1.2714</v>
      </c>
      <c r="I3299" s="19"/>
      <c r="J3299" s="17" t="s">
        <v>39</v>
      </c>
      <c r="K3299" s="19">
        <v>355</v>
      </c>
      <c r="L3299" s="91"/>
      <c r="M3299" s="19">
        <v>5800</v>
      </c>
      <c r="N3299" s="19" t="s">
        <v>66</v>
      </c>
      <c r="O3299" s="19" t="s">
        <v>50</v>
      </c>
      <c r="P3299" s="19">
        <v>4000</v>
      </c>
      <c r="Q3299" s="19">
        <v>3865</v>
      </c>
      <c r="R3299" s="19">
        <f t="shared" si="163"/>
        <v>135</v>
      </c>
      <c r="S3299" s="19">
        <v>1935</v>
      </c>
      <c r="T3299" s="19" t="s">
        <v>42</v>
      </c>
      <c r="U3299" s="102" t="s">
        <v>1158</v>
      </c>
      <c r="V3299" s="253" t="s">
        <v>1159</v>
      </c>
      <c r="W3299" s="17" t="s">
        <v>69</v>
      </c>
      <c r="Y3299" s="68">
        <v>45161</v>
      </c>
      <c r="Z3299" s="17" t="s">
        <v>191</v>
      </c>
      <c r="AA3299" s="17" t="s">
        <v>46</v>
      </c>
      <c r="AB3299" s="17" t="s">
        <v>1160</v>
      </c>
      <c r="AC3299" s="102" t="s">
        <v>1161</v>
      </c>
      <c r="AD3299" s="65">
        <v>1490</v>
      </c>
      <c r="AE3299" s="17" t="s">
        <v>48</v>
      </c>
    </row>
    <row r="3300" s="17" customFormat="1" hidden="1" spans="1:44">
      <c r="A3300" s="17" t="s">
        <v>34</v>
      </c>
      <c r="B3300" s="19">
        <v>912</v>
      </c>
      <c r="C3300" s="222">
        <v>45204</v>
      </c>
      <c r="D3300" s="17" t="s">
        <v>52</v>
      </c>
      <c r="E3300" s="17" t="s">
        <v>322</v>
      </c>
      <c r="F3300" s="17" t="s">
        <v>54</v>
      </c>
      <c r="H3300" s="19">
        <v>1.2714</v>
      </c>
      <c r="I3300" s="19"/>
      <c r="J3300" s="17" t="s">
        <v>82</v>
      </c>
      <c r="K3300" s="19">
        <v>305</v>
      </c>
      <c r="L3300" s="91">
        <v>305</v>
      </c>
      <c r="M3300" s="19">
        <v>5800</v>
      </c>
      <c r="N3300" s="19" t="s">
        <v>66</v>
      </c>
      <c r="O3300" s="19" t="s">
        <v>50</v>
      </c>
      <c r="P3300" s="19">
        <v>4000</v>
      </c>
      <c r="Q3300" s="19">
        <v>3200</v>
      </c>
      <c r="R3300" s="19">
        <f t="shared" si="163"/>
        <v>800</v>
      </c>
      <c r="S3300" s="19">
        <v>1995</v>
      </c>
      <c r="T3300" s="19" t="s">
        <v>42</v>
      </c>
      <c r="U3300" s="102" t="s">
        <v>1158</v>
      </c>
      <c r="V3300" s="253" t="s">
        <v>1159</v>
      </c>
      <c r="W3300" s="17" t="s">
        <v>69</v>
      </c>
      <c r="Y3300" s="68">
        <v>45161</v>
      </c>
      <c r="Z3300" s="17" t="s">
        <v>191</v>
      </c>
      <c r="AA3300" s="17" t="s">
        <v>46</v>
      </c>
      <c r="AB3300" s="17" t="s">
        <v>1160</v>
      </c>
      <c r="AC3300" s="102" t="s">
        <v>1161</v>
      </c>
      <c r="AD3300" s="65">
        <v>1490</v>
      </c>
      <c r="AE3300" s="17" t="s">
        <v>48</v>
      </c>
    </row>
    <row r="3301" s="17" customFormat="1" hidden="1" spans="1:44">
      <c r="A3301" s="17" t="s">
        <v>34</v>
      </c>
      <c r="B3301" s="19">
        <v>912</v>
      </c>
      <c r="C3301" s="222">
        <v>45204</v>
      </c>
      <c r="D3301" s="17" t="s">
        <v>52</v>
      </c>
      <c r="E3301" s="17" t="s">
        <v>322</v>
      </c>
      <c r="F3301" s="17" t="s">
        <v>54</v>
      </c>
      <c r="H3301" s="19">
        <v>1.2714</v>
      </c>
      <c r="I3301" s="19"/>
      <c r="J3301" s="17" t="s">
        <v>82</v>
      </c>
      <c r="K3301" s="19">
        <v>355</v>
      </c>
      <c r="L3301" s="91">
        <v>305</v>
      </c>
      <c r="M3301" s="19">
        <v>5800</v>
      </c>
      <c r="N3301" s="19" t="s">
        <v>66</v>
      </c>
      <c r="O3301" s="19" t="s">
        <v>50</v>
      </c>
      <c r="P3301" s="19">
        <v>4000</v>
      </c>
      <c r="Q3301" s="19">
        <v>5040</v>
      </c>
      <c r="R3301" s="19">
        <f t="shared" si="163"/>
        <v>-1040</v>
      </c>
      <c r="S3301" s="19">
        <v>1995</v>
      </c>
      <c r="T3301" s="19" t="s">
        <v>42</v>
      </c>
      <c r="U3301" s="102" t="s">
        <v>1158</v>
      </c>
      <c r="V3301" s="253" t="s">
        <v>1159</v>
      </c>
      <c r="W3301" s="17" t="s">
        <v>69</v>
      </c>
      <c r="Y3301" s="68">
        <v>45161</v>
      </c>
      <c r="Z3301" s="17" t="s">
        <v>191</v>
      </c>
      <c r="AA3301" s="17" t="s">
        <v>46</v>
      </c>
      <c r="AB3301" s="17" t="s">
        <v>1160</v>
      </c>
      <c r="AC3301" s="102" t="s">
        <v>1161</v>
      </c>
      <c r="AD3301" s="65">
        <v>1490</v>
      </c>
      <c r="AE3301" s="17" t="s">
        <v>48</v>
      </c>
    </row>
    <row r="3302" s="17" customFormat="1" hidden="1" spans="1:44">
      <c r="A3302" s="17" t="s">
        <v>34</v>
      </c>
      <c r="B3302" s="19">
        <v>912</v>
      </c>
      <c r="C3302" s="222">
        <v>45204</v>
      </c>
      <c r="D3302" s="17" t="s">
        <v>52</v>
      </c>
      <c r="E3302" s="17" t="s">
        <v>322</v>
      </c>
      <c r="F3302" s="17" t="s">
        <v>54</v>
      </c>
      <c r="H3302" s="19">
        <v>1.2714</v>
      </c>
      <c r="I3302" s="19"/>
      <c r="J3302" s="17" t="s">
        <v>82</v>
      </c>
      <c r="K3302" s="19">
        <v>410</v>
      </c>
      <c r="L3302" s="91">
        <v>305</v>
      </c>
      <c r="M3302" s="19">
        <v>5800</v>
      </c>
      <c r="N3302" s="19" t="s">
        <v>66</v>
      </c>
      <c r="O3302" s="19" t="s">
        <v>50</v>
      </c>
      <c r="P3302" s="19">
        <v>4000</v>
      </c>
      <c r="Q3302" s="19">
        <v>2950</v>
      </c>
      <c r="R3302" s="19">
        <f t="shared" si="163"/>
        <v>1050</v>
      </c>
      <c r="S3302" s="19">
        <v>1995</v>
      </c>
      <c r="T3302" s="19" t="s">
        <v>42</v>
      </c>
      <c r="U3302" s="102" t="s">
        <v>1158</v>
      </c>
      <c r="V3302" s="253" t="s">
        <v>1159</v>
      </c>
      <c r="W3302" s="17" t="s">
        <v>69</v>
      </c>
      <c r="Y3302" s="68">
        <v>45161</v>
      </c>
      <c r="Z3302" s="17" t="s">
        <v>191</v>
      </c>
      <c r="AA3302" s="17" t="s">
        <v>46</v>
      </c>
      <c r="AB3302" s="17" t="s">
        <v>1160</v>
      </c>
      <c r="AC3302" s="102" t="s">
        <v>1161</v>
      </c>
      <c r="AD3302" s="65">
        <v>1490</v>
      </c>
      <c r="AE3302" s="17" t="s">
        <v>48</v>
      </c>
    </row>
    <row r="3303" s="17" customFormat="1" hidden="1" spans="1:44">
      <c r="A3303" s="17" t="s">
        <v>34</v>
      </c>
      <c r="B3303" s="19">
        <v>912</v>
      </c>
      <c r="C3303" s="222">
        <v>45204</v>
      </c>
      <c r="D3303" s="17" t="s">
        <v>52</v>
      </c>
      <c r="E3303" s="17" t="s">
        <v>322</v>
      </c>
      <c r="F3303" s="17" t="s">
        <v>54</v>
      </c>
      <c r="H3303" s="19">
        <v>1.2714</v>
      </c>
      <c r="I3303" s="19"/>
      <c r="J3303" s="17" t="s">
        <v>82</v>
      </c>
      <c r="K3303" s="19">
        <v>305</v>
      </c>
      <c r="L3303" s="91">
        <v>255</v>
      </c>
      <c r="M3303" s="19">
        <v>5800</v>
      </c>
      <c r="N3303" s="19" t="s">
        <v>66</v>
      </c>
      <c r="O3303" s="19" t="s">
        <v>50</v>
      </c>
      <c r="P3303" s="19">
        <v>4000</v>
      </c>
      <c r="Q3303" s="19">
        <v>1520</v>
      </c>
      <c r="R3303" s="19">
        <f t="shared" si="163"/>
        <v>2480</v>
      </c>
      <c r="S3303" s="19">
        <v>1995</v>
      </c>
      <c r="T3303" s="19" t="s">
        <v>42</v>
      </c>
      <c r="U3303" s="102" t="s">
        <v>1158</v>
      </c>
      <c r="V3303" s="253" t="s">
        <v>1159</v>
      </c>
      <c r="W3303" s="17" t="s">
        <v>69</v>
      </c>
      <c r="Y3303" s="68">
        <v>45161</v>
      </c>
      <c r="Z3303" s="17" t="s">
        <v>191</v>
      </c>
      <c r="AA3303" s="17" t="s">
        <v>46</v>
      </c>
      <c r="AB3303" s="17" t="s">
        <v>1160</v>
      </c>
      <c r="AC3303" s="102" t="s">
        <v>1161</v>
      </c>
      <c r="AD3303" s="65">
        <v>1490</v>
      </c>
      <c r="AE3303" s="17" t="s">
        <v>48</v>
      </c>
    </row>
    <row r="3304" s="17" customFormat="1" hidden="1" spans="1:44">
      <c r="A3304" s="17" t="s">
        <v>34</v>
      </c>
      <c r="B3304" s="19">
        <v>913</v>
      </c>
      <c r="C3304" s="222" t="s">
        <v>1162</v>
      </c>
      <c r="D3304" s="17" t="s">
        <v>35</v>
      </c>
      <c r="E3304" s="17" t="s">
        <v>718</v>
      </c>
      <c r="F3304" s="17" t="s">
        <v>37</v>
      </c>
      <c r="H3304" s="19" t="s">
        <v>197</v>
      </c>
      <c r="I3304" s="19"/>
      <c r="J3304" s="17" t="s">
        <v>39</v>
      </c>
      <c r="K3304" s="19">
        <v>25</v>
      </c>
      <c r="L3304" s="91"/>
      <c r="M3304" s="19"/>
      <c r="N3304" s="19" t="s">
        <v>40</v>
      </c>
      <c r="O3304" s="19" t="s">
        <v>141</v>
      </c>
      <c r="P3304" s="19">
        <v>22</v>
      </c>
      <c r="Q3304" s="19">
        <v>22</v>
      </c>
      <c r="R3304" s="19">
        <f t="shared" si="163"/>
        <v>0</v>
      </c>
      <c r="S3304" s="19">
        <v>6055</v>
      </c>
      <c r="T3304" s="19" t="s">
        <v>42</v>
      </c>
      <c r="U3304" s="102" t="s">
        <v>1163</v>
      </c>
      <c r="V3304" s="253" t="s">
        <v>1164</v>
      </c>
      <c r="W3304" s="17" t="s">
        <v>44</v>
      </c>
      <c r="Y3304" s="68">
        <v>45161</v>
      </c>
      <c r="Z3304" s="17" t="s">
        <v>78</v>
      </c>
      <c r="AA3304" s="17" t="s">
        <v>46</v>
      </c>
      <c r="AB3304" s="17" t="s">
        <v>753</v>
      </c>
      <c r="AC3304" s="102" t="s">
        <v>754</v>
      </c>
      <c r="AD3304" s="65">
        <v>1439</v>
      </c>
      <c r="AE3304" s="17" t="s">
        <v>1165</v>
      </c>
    </row>
    <row r="3305" s="17" customFormat="1" hidden="1" spans="1:44">
      <c r="A3305" s="17" t="s">
        <v>34</v>
      </c>
      <c r="B3305" s="19">
        <v>913</v>
      </c>
      <c r="C3305" s="222" t="s">
        <v>1162</v>
      </c>
      <c r="D3305" s="17" t="s">
        <v>35</v>
      </c>
      <c r="E3305" s="17" t="s">
        <v>718</v>
      </c>
      <c r="F3305" s="17" t="s">
        <v>37</v>
      </c>
      <c r="H3305" s="19" t="s">
        <v>197</v>
      </c>
      <c r="I3305" s="19"/>
      <c r="J3305" s="17" t="s">
        <v>39</v>
      </c>
      <c r="K3305" s="19">
        <v>55</v>
      </c>
      <c r="L3305" s="91"/>
      <c r="M3305" s="19"/>
      <c r="N3305" s="19" t="s">
        <v>40</v>
      </c>
      <c r="O3305" s="19" t="s">
        <v>141</v>
      </c>
      <c r="P3305" s="19">
        <v>109</v>
      </c>
      <c r="Q3305" s="19">
        <v>109</v>
      </c>
      <c r="R3305" s="19">
        <f t="shared" si="163"/>
        <v>0</v>
      </c>
      <c r="S3305" s="19">
        <v>6055</v>
      </c>
      <c r="T3305" s="19" t="s">
        <v>42</v>
      </c>
      <c r="U3305" s="102" t="s">
        <v>1163</v>
      </c>
      <c r="V3305" s="253" t="s">
        <v>1164</v>
      </c>
      <c r="W3305" s="17" t="s">
        <v>44</v>
      </c>
      <c r="Y3305" s="68">
        <v>45161</v>
      </c>
      <c r="Z3305" s="17" t="s">
        <v>78</v>
      </c>
      <c r="AA3305" s="17" t="s">
        <v>46</v>
      </c>
      <c r="AB3305" s="17" t="s">
        <v>753</v>
      </c>
      <c r="AC3305" s="102" t="s">
        <v>754</v>
      </c>
      <c r="AD3305" s="65">
        <v>1439</v>
      </c>
      <c r="AE3305" s="17" t="s">
        <v>1165</v>
      </c>
    </row>
    <row r="3306" s="17" customFormat="1" hidden="1" spans="1:44">
      <c r="A3306" s="17" t="s">
        <v>34</v>
      </c>
      <c r="B3306" s="19">
        <v>913</v>
      </c>
      <c r="C3306" s="222" t="s">
        <v>1162</v>
      </c>
      <c r="D3306" s="17" t="s">
        <v>35</v>
      </c>
      <c r="E3306" s="17" t="s">
        <v>718</v>
      </c>
      <c r="F3306" s="17" t="s">
        <v>37</v>
      </c>
      <c r="H3306" s="19" t="s">
        <v>197</v>
      </c>
      <c r="I3306" s="19"/>
      <c r="J3306" s="17" t="s">
        <v>39</v>
      </c>
      <c r="K3306" s="19">
        <v>70</v>
      </c>
      <c r="L3306" s="91"/>
      <c r="M3306" s="19"/>
      <c r="N3306" s="19" t="s">
        <v>40</v>
      </c>
      <c r="O3306" s="19" t="s">
        <v>141</v>
      </c>
      <c r="P3306" s="19">
        <v>492</v>
      </c>
      <c r="Q3306" s="19">
        <v>492</v>
      </c>
      <c r="R3306" s="19">
        <f t="shared" si="163"/>
        <v>0</v>
      </c>
      <c r="S3306" s="19">
        <v>6055</v>
      </c>
      <c r="T3306" s="19" t="s">
        <v>42</v>
      </c>
      <c r="U3306" s="102" t="s">
        <v>1163</v>
      </c>
      <c r="V3306" s="253" t="s">
        <v>1164</v>
      </c>
      <c r="W3306" s="17" t="s">
        <v>44</v>
      </c>
      <c r="Y3306" s="68">
        <v>45161</v>
      </c>
      <c r="Z3306" s="17" t="s">
        <v>78</v>
      </c>
      <c r="AA3306" s="17" t="s">
        <v>46</v>
      </c>
      <c r="AB3306" s="17" t="s">
        <v>753</v>
      </c>
      <c r="AC3306" s="102" t="s">
        <v>754</v>
      </c>
      <c r="AD3306" s="65">
        <v>1439</v>
      </c>
      <c r="AE3306" s="17" t="s">
        <v>1165</v>
      </c>
    </row>
    <row r="3307" s="17" customFormat="1" hidden="1" spans="1:44">
      <c r="A3307" s="17" t="s">
        <v>34</v>
      </c>
      <c r="B3307" s="19">
        <v>913</v>
      </c>
      <c r="C3307" s="222" t="s">
        <v>1162</v>
      </c>
      <c r="D3307" s="17" t="s">
        <v>35</v>
      </c>
      <c r="E3307" s="17" t="s">
        <v>718</v>
      </c>
      <c r="F3307" s="17" t="s">
        <v>37</v>
      </c>
      <c r="H3307" s="19" t="s">
        <v>197</v>
      </c>
      <c r="I3307" s="19"/>
      <c r="J3307" s="17" t="s">
        <v>39</v>
      </c>
      <c r="K3307" s="19">
        <v>95</v>
      </c>
      <c r="L3307" s="91"/>
      <c r="M3307" s="19"/>
      <c r="N3307" s="19" t="s">
        <v>40</v>
      </c>
      <c r="O3307" s="19" t="s">
        <v>141</v>
      </c>
      <c r="P3307" s="19">
        <v>806</v>
      </c>
      <c r="Q3307" s="19">
        <v>806</v>
      </c>
      <c r="R3307" s="19">
        <f t="shared" si="163"/>
        <v>0</v>
      </c>
      <c r="S3307" s="19">
        <v>6055</v>
      </c>
      <c r="T3307" s="19" t="s">
        <v>42</v>
      </c>
      <c r="U3307" s="102" t="s">
        <v>1163</v>
      </c>
      <c r="V3307" s="253" t="s">
        <v>1164</v>
      </c>
      <c r="W3307" s="17" t="s">
        <v>44</v>
      </c>
      <c r="Y3307" s="68">
        <v>45161</v>
      </c>
      <c r="Z3307" s="17" t="s">
        <v>78</v>
      </c>
      <c r="AA3307" s="17" t="s">
        <v>46</v>
      </c>
      <c r="AB3307" s="17" t="s">
        <v>753</v>
      </c>
      <c r="AC3307" s="102" t="s">
        <v>754</v>
      </c>
      <c r="AD3307" s="65">
        <v>1439</v>
      </c>
      <c r="AE3307" s="17" t="s">
        <v>1165</v>
      </c>
    </row>
    <row r="3308" s="17" customFormat="1" hidden="1" spans="1:44">
      <c r="A3308" s="17" t="s">
        <v>34</v>
      </c>
      <c r="B3308" s="19">
        <v>913</v>
      </c>
      <c r="C3308" s="222" t="s">
        <v>1162</v>
      </c>
      <c r="D3308" s="17" t="s">
        <v>35</v>
      </c>
      <c r="E3308" s="17" t="s">
        <v>718</v>
      </c>
      <c r="F3308" s="17" t="s">
        <v>37</v>
      </c>
      <c r="H3308" s="19" t="s">
        <v>197</v>
      </c>
      <c r="I3308" s="19"/>
      <c r="J3308" s="17" t="s">
        <v>39</v>
      </c>
      <c r="K3308" s="19">
        <v>130</v>
      </c>
      <c r="L3308" s="91"/>
      <c r="M3308" s="19"/>
      <c r="N3308" s="19" t="s">
        <v>40</v>
      </c>
      <c r="O3308" s="19" t="s">
        <v>84</v>
      </c>
      <c r="P3308" s="19">
        <v>454</v>
      </c>
      <c r="Q3308" s="19">
        <v>454</v>
      </c>
      <c r="R3308" s="19">
        <f t="shared" si="163"/>
        <v>0</v>
      </c>
      <c r="S3308" s="19">
        <v>6055</v>
      </c>
      <c r="T3308" s="19" t="s">
        <v>42</v>
      </c>
      <c r="U3308" s="102" t="s">
        <v>1163</v>
      </c>
      <c r="V3308" s="253" t="s">
        <v>1164</v>
      </c>
      <c r="W3308" s="17" t="s">
        <v>44</v>
      </c>
      <c r="Y3308" s="68">
        <v>45161</v>
      </c>
      <c r="Z3308" s="17" t="s">
        <v>78</v>
      </c>
      <c r="AA3308" s="17" t="s">
        <v>46</v>
      </c>
      <c r="AB3308" s="17" t="s">
        <v>753</v>
      </c>
      <c r="AC3308" s="102" t="s">
        <v>754</v>
      </c>
      <c r="AD3308" s="65">
        <v>1439</v>
      </c>
      <c r="AE3308" s="17" t="s">
        <v>1165</v>
      </c>
    </row>
    <row r="3309" s="17" customFormat="1" hidden="1" spans="1:44">
      <c r="A3309" s="17" t="s">
        <v>34</v>
      </c>
      <c r="B3309" s="19">
        <v>913</v>
      </c>
      <c r="C3309" s="222" t="s">
        <v>1162</v>
      </c>
      <c r="D3309" s="17" t="s">
        <v>35</v>
      </c>
      <c r="E3309" s="17" t="s">
        <v>718</v>
      </c>
      <c r="F3309" s="17" t="s">
        <v>37</v>
      </c>
      <c r="H3309" s="19" t="s">
        <v>197</v>
      </c>
      <c r="I3309" s="19"/>
      <c r="J3309" s="17" t="s">
        <v>39</v>
      </c>
      <c r="K3309" s="19">
        <v>150</v>
      </c>
      <c r="L3309" s="91"/>
      <c r="M3309" s="19"/>
      <c r="N3309" s="19" t="s">
        <v>40</v>
      </c>
      <c r="O3309" s="19" t="s">
        <v>50</v>
      </c>
      <c r="P3309" s="19">
        <v>649</v>
      </c>
      <c r="Q3309" s="19">
        <v>649</v>
      </c>
      <c r="R3309" s="19">
        <f t="shared" si="163"/>
        <v>0</v>
      </c>
      <c r="S3309" s="19">
        <v>6055</v>
      </c>
      <c r="T3309" s="19" t="s">
        <v>42</v>
      </c>
      <c r="U3309" s="102" t="s">
        <v>1163</v>
      </c>
      <c r="V3309" s="253" t="s">
        <v>1164</v>
      </c>
      <c r="W3309" s="17" t="s">
        <v>44</v>
      </c>
      <c r="Y3309" s="68">
        <v>45161</v>
      </c>
      <c r="Z3309" s="17" t="s">
        <v>78</v>
      </c>
      <c r="AA3309" s="17" t="s">
        <v>46</v>
      </c>
      <c r="AB3309" s="17" t="s">
        <v>753</v>
      </c>
      <c r="AC3309" s="102" t="s">
        <v>754</v>
      </c>
      <c r="AD3309" s="65">
        <v>1439</v>
      </c>
      <c r="AE3309" s="17" t="s">
        <v>1165</v>
      </c>
    </row>
    <row r="3310" s="17" customFormat="1" hidden="1" spans="1:44">
      <c r="A3310" s="17" t="s">
        <v>34</v>
      </c>
      <c r="B3310" s="19">
        <v>913</v>
      </c>
      <c r="C3310" s="222" t="s">
        <v>1162</v>
      </c>
      <c r="D3310" s="17" t="s">
        <v>35</v>
      </c>
      <c r="E3310" s="17" t="s">
        <v>718</v>
      </c>
      <c r="F3310" s="17" t="s">
        <v>37</v>
      </c>
      <c r="H3310" s="19" t="s">
        <v>197</v>
      </c>
      <c r="I3310" s="19"/>
      <c r="J3310" s="17" t="s">
        <v>39</v>
      </c>
      <c r="K3310" s="19">
        <v>172</v>
      </c>
      <c r="L3310" s="91"/>
      <c r="M3310" s="19"/>
      <c r="N3310" s="19" t="s">
        <v>40</v>
      </c>
      <c r="O3310" s="19" t="s">
        <v>50</v>
      </c>
      <c r="P3310" s="19">
        <v>572</v>
      </c>
      <c r="Q3310" s="19">
        <v>572</v>
      </c>
      <c r="R3310" s="19">
        <f t="shared" si="163"/>
        <v>0</v>
      </c>
      <c r="S3310" s="19">
        <v>6055</v>
      </c>
      <c r="T3310" s="19" t="s">
        <v>42</v>
      </c>
      <c r="U3310" s="102" t="s">
        <v>1163</v>
      </c>
      <c r="V3310" s="253" t="s">
        <v>1164</v>
      </c>
      <c r="W3310" s="17" t="s">
        <v>44</v>
      </c>
      <c r="Y3310" s="68">
        <v>45161</v>
      </c>
      <c r="Z3310" s="17" t="s">
        <v>78</v>
      </c>
      <c r="AA3310" s="17" t="s">
        <v>46</v>
      </c>
      <c r="AB3310" s="17" t="s">
        <v>753</v>
      </c>
      <c r="AC3310" s="102" t="s">
        <v>754</v>
      </c>
      <c r="AD3310" s="65">
        <v>1439</v>
      </c>
      <c r="AE3310" s="17" t="s">
        <v>1165</v>
      </c>
    </row>
    <row r="3311" s="17" customFormat="1" hidden="1" spans="1:44">
      <c r="A3311" s="17" t="s">
        <v>34</v>
      </c>
      <c r="B3311" s="19">
        <v>913</v>
      </c>
      <c r="C3311" s="222" t="s">
        <v>1162</v>
      </c>
      <c r="D3311" s="17" t="s">
        <v>35</v>
      </c>
      <c r="E3311" s="17" t="s">
        <v>718</v>
      </c>
      <c r="F3311" s="17" t="s">
        <v>37</v>
      </c>
      <c r="H3311" s="19" t="s">
        <v>1166</v>
      </c>
      <c r="I3311" s="19"/>
      <c r="J3311" s="17" t="s">
        <v>39</v>
      </c>
      <c r="K3311" s="19">
        <v>60</v>
      </c>
      <c r="L3311" s="91"/>
      <c r="M3311" s="19"/>
      <c r="N3311" s="19" t="s">
        <v>40</v>
      </c>
      <c r="O3311" s="19" t="s">
        <v>141</v>
      </c>
      <c r="P3311" s="19">
        <v>117</v>
      </c>
      <c r="Q3311" s="19">
        <v>117</v>
      </c>
      <c r="R3311" s="19">
        <f t="shared" si="163"/>
        <v>0</v>
      </c>
      <c r="S3311" s="19">
        <v>4990</v>
      </c>
      <c r="T3311" s="19" t="s">
        <v>42</v>
      </c>
      <c r="U3311" s="102" t="s">
        <v>1163</v>
      </c>
      <c r="V3311" s="253" t="s">
        <v>1164</v>
      </c>
      <c r="W3311" s="17" t="s">
        <v>44</v>
      </c>
      <c r="Y3311" s="68">
        <v>45161</v>
      </c>
      <c r="Z3311" s="17" t="s">
        <v>78</v>
      </c>
      <c r="AA3311" s="17" t="s">
        <v>46</v>
      </c>
      <c r="AB3311" s="17" t="s">
        <v>753</v>
      </c>
      <c r="AC3311" s="102" t="s">
        <v>754</v>
      </c>
      <c r="AD3311" s="65">
        <v>1439</v>
      </c>
      <c r="AE3311" s="17" t="s">
        <v>1165</v>
      </c>
    </row>
    <row r="3312" s="20" customFormat="1" hidden="1" spans="1:44">
      <c r="A3312" s="17" t="s">
        <v>34</v>
      </c>
      <c r="B3312" s="19">
        <v>914</v>
      </c>
      <c r="C3312" s="183">
        <v>45066</v>
      </c>
      <c r="D3312" s="17" t="s">
        <v>137</v>
      </c>
      <c r="E3312" s="17" t="s">
        <v>138</v>
      </c>
      <c r="F3312" s="17" t="s">
        <v>139</v>
      </c>
      <c r="G3312" s="17"/>
      <c r="H3312" s="19">
        <v>1.2738</v>
      </c>
      <c r="I3312" s="19"/>
      <c r="J3312" s="17" t="s">
        <v>49</v>
      </c>
      <c r="K3312" s="19">
        <v>2000</v>
      </c>
      <c r="L3312" s="91">
        <v>260</v>
      </c>
      <c r="M3312" s="19">
        <v>6100</v>
      </c>
      <c r="N3312" s="19" t="s">
        <v>66</v>
      </c>
      <c r="O3312" s="19" t="s">
        <v>1167</v>
      </c>
      <c r="P3312" s="19">
        <v>24900</v>
      </c>
      <c r="Q3312" s="19">
        <v>11991</v>
      </c>
      <c r="R3312" s="21"/>
      <c r="S3312" s="19">
        <v>2135</v>
      </c>
      <c r="T3312" s="19" t="s">
        <v>94</v>
      </c>
      <c r="U3312" s="102">
        <v>58914</v>
      </c>
      <c r="V3312" s="101">
        <v>45069</v>
      </c>
      <c r="W3312" s="17" t="s">
        <v>44</v>
      </c>
      <c r="X3312" s="17"/>
      <c r="Y3312" s="68">
        <v>45130</v>
      </c>
      <c r="Z3312" s="17" t="s">
        <v>998</v>
      </c>
      <c r="AA3312" s="17" t="s">
        <v>999</v>
      </c>
      <c r="AB3312" s="17">
        <v>4001380047</v>
      </c>
      <c r="AC3312" s="217">
        <v>45707</v>
      </c>
      <c r="AD3312" s="65">
        <v>1589</v>
      </c>
      <c r="AE3312" s="17" t="s">
        <v>129</v>
      </c>
      <c r="AF3312" s="17"/>
      <c r="AG3312" s="17" t="s">
        <v>1168</v>
      </c>
      <c r="AH3312" s="17"/>
      <c r="AI3312" s="17"/>
      <c r="AJ3312" s="17"/>
      <c r="AK3312" s="17"/>
      <c r="AL3312" s="17"/>
      <c r="AM3312" s="17"/>
      <c r="AN3312" s="17"/>
      <c r="AO3312" s="17"/>
      <c r="AP3312" s="17"/>
      <c r="AQ3312" s="17"/>
      <c r="AR3312" s="17"/>
    </row>
    <row r="3313" s="20" customFormat="1" hidden="1" spans="1:44">
      <c r="A3313" s="17" t="s">
        <v>34</v>
      </c>
      <c r="B3313" s="19">
        <v>914</v>
      </c>
      <c r="C3313" s="183">
        <v>45066</v>
      </c>
      <c r="D3313" s="17" t="s">
        <v>137</v>
      </c>
      <c r="E3313" s="17" t="s">
        <v>138</v>
      </c>
      <c r="F3313" s="17" t="s">
        <v>139</v>
      </c>
      <c r="G3313" s="17"/>
      <c r="H3313" s="19">
        <v>1.2738</v>
      </c>
      <c r="I3313" s="19"/>
      <c r="J3313" s="17" t="s">
        <v>49</v>
      </c>
      <c r="K3313" s="19">
        <v>2000</v>
      </c>
      <c r="L3313" s="91">
        <v>260</v>
      </c>
      <c r="M3313" s="19">
        <v>6100</v>
      </c>
      <c r="N3313" s="19" t="s">
        <v>66</v>
      </c>
      <c r="O3313" s="19" t="s">
        <v>1167</v>
      </c>
      <c r="P3313" s="19"/>
      <c r="Q3313" s="19">
        <v>12012</v>
      </c>
      <c r="R3313" s="19">
        <f>+P3312-Q3312-Q3313</f>
        <v>897</v>
      </c>
      <c r="S3313" s="19">
        <v>2135</v>
      </c>
      <c r="T3313" s="19" t="s">
        <v>94</v>
      </c>
      <c r="U3313" s="102">
        <v>58914</v>
      </c>
      <c r="V3313" s="101">
        <v>45069</v>
      </c>
      <c r="W3313" s="17" t="s">
        <v>44</v>
      </c>
      <c r="X3313" s="17"/>
      <c r="Y3313" s="68">
        <v>45130</v>
      </c>
      <c r="Z3313" s="17" t="s">
        <v>998</v>
      </c>
      <c r="AA3313" s="17" t="s">
        <v>46</v>
      </c>
      <c r="AB3313" s="17">
        <v>4001380050</v>
      </c>
      <c r="AC3313" s="217">
        <v>45708</v>
      </c>
      <c r="AD3313" s="65">
        <v>1590</v>
      </c>
      <c r="AE3313" s="17" t="s">
        <v>129</v>
      </c>
      <c r="AF3313" s="17"/>
      <c r="AG3313" s="17" t="s">
        <v>1168</v>
      </c>
      <c r="AH3313" s="17"/>
      <c r="AI3313" s="17"/>
      <c r="AJ3313" s="17"/>
      <c r="AK3313" s="17"/>
      <c r="AL3313" s="17"/>
      <c r="AM3313" s="17"/>
      <c r="AN3313" s="17"/>
      <c r="AO3313" s="17"/>
      <c r="AP3313" s="17"/>
      <c r="AQ3313" s="17"/>
      <c r="AR3313" s="17"/>
    </row>
    <row r="3314" s="20" customFormat="1" hidden="1" spans="1:44">
      <c r="A3314" s="17" t="s">
        <v>34</v>
      </c>
      <c r="B3314" s="19">
        <v>914</v>
      </c>
      <c r="C3314" s="183">
        <v>45066</v>
      </c>
      <c r="D3314" s="17" t="s">
        <v>137</v>
      </c>
      <c r="E3314" s="17" t="s">
        <v>138</v>
      </c>
      <c r="F3314" s="17" t="s">
        <v>139</v>
      </c>
      <c r="G3314" s="17"/>
      <c r="H3314" s="19">
        <v>1.2738</v>
      </c>
      <c r="I3314" s="19"/>
      <c r="J3314" s="17" t="s">
        <v>49</v>
      </c>
      <c r="K3314" s="19">
        <v>2000</v>
      </c>
      <c r="L3314" s="91">
        <v>405</v>
      </c>
      <c r="M3314" s="19">
        <v>3800</v>
      </c>
      <c r="N3314" s="19" t="s">
        <v>66</v>
      </c>
      <c r="O3314" s="19" t="s">
        <v>1167</v>
      </c>
      <c r="P3314" s="19">
        <v>24162</v>
      </c>
      <c r="Q3314" s="19">
        <v>22880</v>
      </c>
      <c r="R3314" s="19">
        <f t="shared" ref="R3314:R3331" si="164">+P3314-Q3314</f>
        <v>1282</v>
      </c>
      <c r="S3314" s="19">
        <f>2135-50</f>
        <v>2085</v>
      </c>
      <c r="T3314" s="19" t="s">
        <v>94</v>
      </c>
      <c r="U3314" s="102">
        <v>58914</v>
      </c>
      <c r="V3314" s="101">
        <v>45069</v>
      </c>
      <c r="W3314" s="17" t="s">
        <v>44</v>
      </c>
      <c r="X3314" s="17"/>
      <c r="Y3314" s="68">
        <v>45130</v>
      </c>
      <c r="Z3314" s="17" t="s">
        <v>998</v>
      </c>
      <c r="AA3314" s="17" t="s">
        <v>46</v>
      </c>
      <c r="AB3314" s="17">
        <v>4001380049</v>
      </c>
      <c r="AC3314" s="217">
        <v>45707</v>
      </c>
      <c r="AD3314" s="65">
        <v>1592</v>
      </c>
      <c r="AE3314" s="17" t="s">
        <v>48</v>
      </c>
      <c r="AF3314" s="17"/>
      <c r="AG3314" s="17" t="s">
        <v>1168</v>
      </c>
      <c r="AH3314" s="17"/>
      <c r="AI3314" s="17"/>
      <c r="AJ3314" s="17"/>
      <c r="AK3314" s="17"/>
      <c r="AL3314" s="17"/>
      <c r="AM3314" s="17"/>
      <c r="AN3314" s="17"/>
      <c r="AO3314" s="17"/>
      <c r="AP3314" s="17"/>
      <c r="AQ3314" s="17"/>
      <c r="AR3314" s="17"/>
    </row>
    <row r="3315" s="20" customFormat="1" hidden="1" spans="1:44">
      <c r="A3315" s="17" t="s">
        <v>34</v>
      </c>
      <c r="B3315" s="19">
        <v>914</v>
      </c>
      <c r="C3315" s="183">
        <v>45066</v>
      </c>
      <c r="D3315" s="17" t="s">
        <v>137</v>
      </c>
      <c r="E3315" s="17" t="s">
        <v>138</v>
      </c>
      <c r="F3315" s="17" t="s">
        <v>139</v>
      </c>
      <c r="G3315" s="17"/>
      <c r="H3315" s="19">
        <v>1.2738</v>
      </c>
      <c r="I3315" s="19"/>
      <c r="J3315" s="17" t="s">
        <v>49</v>
      </c>
      <c r="K3315" s="19">
        <v>2000</v>
      </c>
      <c r="L3315" s="91">
        <v>455</v>
      </c>
      <c r="M3315" s="19">
        <v>3295</v>
      </c>
      <c r="N3315" s="19" t="s">
        <v>66</v>
      </c>
      <c r="O3315" s="19" t="s">
        <v>1167</v>
      </c>
      <c r="P3315" s="19">
        <v>24288</v>
      </c>
      <c r="Q3315" s="19">
        <v>23680</v>
      </c>
      <c r="R3315" s="19">
        <f t="shared" si="164"/>
        <v>608</v>
      </c>
      <c r="S3315" s="19">
        <v>2135</v>
      </c>
      <c r="T3315" s="19" t="s">
        <v>94</v>
      </c>
      <c r="U3315" s="102">
        <v>58914</v>
      </c>
      <c r="V3315" s="101">
        <v>45069</v>
      </c>
      <c r="W3315" s="17" t="s">
        <v>44</v>
      </c>
      <c r="X3315" s="17"/>
      <c r="Y3315" s="68">
        <v>45130</v>
      </c>
      <c r="Z3315" s="17" t="s">
        <v>191</v>
      </c>
      <c r="AA3315" s="17" t="s">
        <v>1169</v>
      </c>
      <c r="AB3315" s="17">
        <v>4001380035</v>
      </c>
      <c r="AC3315" s="217">
        <v>45362</v>
      </c>
      <c r="AD3315" s="65">
        <v>1486</v>
      </c>
      <c r="AE3315" s="17" t="s">
        <v>48</v>
      </c>
      <c r="AF3315" s="17"/>
      <c r="AG3315" s="17" t="s">
        <v>1168</v>
      </c>
      <c r="AH3315" s="17"/>
      <c r="AI3315" s="17"/>
      <c r="AJ3315" s="17"/>
      <c r="AK3315" s="17"/>
      <c r="AL3315" s="17"/>
      <c r="AM3315" s="17"/>
      <c r="AN3315" s="17"/>
      <c r="AO3315" s="17"/>
      <c r="AP3315" s="17"/>
      <c r="AQ3315" s="17"/>
      <c r="AR3315" s="17"/>
    </row>
    <row r="3316" s="20" customFormat="1" hidden="1" spans="1:44">
      <c r="A3316" s="17" t="s">
        <v>34</v>
      </c>
      <c r="B3316" s="19">
        <v>914</v>
      </c>
      <c r="C3316" s="183">
        <v>45066</v>
      </c>
      <c r="D3316" s="17" t="s">
        <v>137</v>
      </c>
      <c r="E3316" s="17" t="s">
        <v>138</v>
      </c>
      <c r="F3316" s="17" t="s">
        <v>139</v>
      </c>
      <c r="G3316" s="17"/>
      <c r="H3316" s="19">
        <v>1.2738</v>
      </c>
      <c r="I3316" s="19"/>
      <c r="J3316" s="17" t="s">
        <v>49</v>
      </c>
      <c r="K3316" s="19">
        <v>1850</v>
      </c>
      <c r="L3316" s="91">
        <v>510</v>
      </c>
      <c r="M3316" s="19">
        <v>2985</v>
      </c>
      <c r="N3316" s="19" t="s">
        <v>66</v>
      </c>
      <c r="O3316" s="19" t="s">
        <v>1167</v>
      </c>
      <c r="P3316" s="19">
        <v>24071</v>
      </c>
      <c r="Q3316" s="19">
        <v>22550</v>
      </c>
      <c r="R3316" s="19">
        <f t="shared" si="164"/>
        <v>1521</v>
      </c>
      <c r="S3316" s="19">
        <v>2135</v>
      </c>
      <c r="T3316" s="19" t="s">
        <v>94</v>
      </c>
      <c r="U3316" s="102">
        <v>58914</v>
      </c>
      <c r="V3316" s="101">
        <v>45069</v>
      </c>
      <c r="W3316" s="17" t="s">
        <v>44</v>
      </c>
      <c r="X3316" s="17"/>
      <c r="Y3316" s="68">
        <v>45130</v>
      </c>
      <c r="Z3316" s="17" t="s">
        <v>191</v>
      </c>
      <c r="AA3316" s="17" t="s">
        <v>1169</v>
      </c>
      <c r="AB3316" s="17">
        <v>4001380035</v>
      </c>
      <c r="AC3316" s="217">
        <v>45362</v>
      </c>
      <c r="AD3316" s="65">
        <v>1486</v>
      </c>
      <c r="AE3316" s="17" t="s">
        <v>48</v>
      </c>
      <c r="AF3316" s="17"/>
      <c r="AG3316" s="17" t="s">
        <v>1168</v>
      </c>
      <c r="AH3316" s="17"/>
      <c r="AI3316" s="17"/>
      <c r="AJ3316" s="17"/>
      <c r="AK3316" s="17"/>
      <c r="AL3316" s="17"/>
      <c r="AM3316" s="17"/>
      <c r="AN3316" s="17"/>
      <c r="AO3316" s="17"/>
      <c r="AP3316" s="17"/>
      <c r="AQ3316" s="17"/>
      <c r="AR3316" s="17"/>
    </row>
    <row r="3317" s="20" customFormat="1" hidden="1" spans="1:44">
      <c r="A3317" s="17"/>
      <c r="B3317" s="19">
        <v>914</v>
      </c>
      <c r="C3317" s="183">
        <v>45066</v>
      </c>
      <c r="D3317" s="17" t="s">
        <v>137</v>
      </c>
      <c r="E3317" s="17" t="s">
        <v>138</v>
      </c>
      <c r="F3317" s="17" t="s">
        <v>139</v>
      </c>
      <c r="G3317" s="17"/>
      <c r="H3317" s="19">
        <v>1.2311</v>
      </c>
      <c r="I3317" s="19"/>
      <c r="J3317" s="17" t="s">
        <v>49</v>
      </c>
      <c r="K3317" s="19">
        <v>2000</v>
      </c>
      <c r="L3317" s="91">
        <v>255</v>
      </c>
      <c r="M3317" s="19">
        <v>6200</v>
      </c>
      <c r="N3317" s="19" t="s">
        <v>66</v>
      </c>
      <c r="O3317" s="19" t="s">
        <v>1167</v>
      </c>
      <c r="P3317" s="19">
        <v>24822</v>
      </c>
      <c r="Q3317" s="19">
        <v>21993</v>
      </c>
      <c r="R3317" s="19">
        <f t="shared" si="164"/>
        <v>2829</v>
      </c>
      <c r="S3317" s="19">
        <v>1875</v>
      </c>
      <c r="T3317" s="19" t="s">
        <v>94</v>
      </c>
      <c r="U3317" s="102">
        <v>58914</v>
      </c>
      <c r="V3317" s="101">
        <v>45069</v>
      </c>
      <c r="W3317" s="17" t="s">
        <v>44</v>
      </c>
      <c r="X3317" s="17"/>
      <c r="Y3317" s="68">
        <v>45130</v>
      </c>
      <c r="Z3317" s="17" t="s">
        <v>998</v>
      </c>
      <c r="AA3317" s="17" t="s">
        <v>46</v>
      </c>
      <c r="AB3317" s="17"/>
      <c r="AC3317" s="102"/>
      <c r="AD3317" s="65">
        <v>1594</v>
      </c>
      <c r="AE3317" s="17" t="s">
        <v>48</v>
      </c>
      <c r="AF3317" s="17" t="s">
        <v>737</v>
      </c>
      <c r="AG3317" s="17" t="s">
        <v>1168</v>
      </c>
      <c r="AH3317" s="17"/>
      <c r="AI3317" s="17"/>
      <c r="AJ3317" s="17"/>
      <c r="AK3317" s="17"/>
      <c r="AL3317" s="17"/>
      <c r="AM3317" s="17"/>
      <c r="AN3317" s="17"/>
      <c r="AO3317" s="17"/>
      <c r="AP3317" s="17"/>
      <c r="AQ3317" s="17"/>
      <c r="AR3317" s="17"/>
    </row>
    <row r="3318" s="20" customFormat="1" hidden="1" spans="1:44">
      <c r="A3318" s="17"/>
      <c r="B3318" s="19">
        <v>914</v>
      </c>
      <c r="C3318" s="183">
        <v>45066</v>
      </c>
      <c r="D3318" s="17" t="s">
        <v>137</v>
      </c>
      <c r="E3318" s="17" t="s">
        <v>138</v>
      </c>
      <c r="F3318" s="17" t="s">
        <v>139</v>
      </c>
      <c r="G3318" s="17"/>
      <c r="H3318" s="19">
        <v>1.2311</v>
      </c>
      <c r="I3318" s="19"/>
      <c r="J3318" s="17" t="s">
        <v>49</v>
      </c>
      <c r="K3318" s="19">
        <v>2000</v>
      </c>
      <c r="L3318" s="91">
        <v>355</v>
      </c>
      <c r="M3318" s="19">
        <v>4400</v>
      </c>
      <c r="N3318" s="19" t="s">
        <v>66</v>
      </c>
      <c r="O3318" s="19" t="s">
        <v>1167</v>
      </c>
      <c r="P3318" s="19">
        <v>24523</v>
      </c>
      <c r="Q3318" s="19">
        <v>21112</v>
      </c>
      <c r="R3318" s="19">
        <f t="shared" si="164"/>
        <v>3411</v>
      </c>
      <c r="S3318" s="19">
        <v>1875</v>
      </c>
      <c r="T3318" s="19" t="s">
        <v>94</v>
      </c>
      <c r="U3318" s="102">
        <v>58914</v>
      </c>
      <c r="V3318" s="101">
        <v>45069</v>
      </c>
      <c r="W3318" s="17" t="s">
        <v>44</v>
      </c>
      <c r="X3318" s="17"/>
      <c r="Y3318" s="68">
        <v>45130</v>
      </c>
      <c r="Z3318" s="17" t="s">
        <v>998</v>
      </c>
      <c r="AA3318" s="17" t="s">
        <v>46</v>
      </c>
      <c r="AB3318" s="17"/>
      <c r="AC3318" s="102"/>
      <c r="AD3318" s="65">
        <v>1594</v>
      </c>
      <c r="AE3318" s="17" t="s">
        <v>48</v>
      </c>
      <c r="AF3318" s="17" t="s">
        <v>737</v>
      </c>
      <c r="AG3318" s="17" t="s">
        <v>1168</v>
      </c>
      <c r="AH3318" s="17"/>
      <c r="AI3318" s="17"/>
      <c r="AJ3318" s="17"/>
      <c r="AK3318" s="17"/>
      <c r="AL3318" s="17"/>
      <c r="AM3318" s="17"/>
      <c r="AN3318" s="17"/>
      <c r="AO3318" s="17"/>
      <c r="AP3318" s="17"/>
      <c r="AQ3318" s="17"/>
      <c r="AR3318" s="17"/>
    </row>
    <row r="3319" s="17" customFormat="1" hidden="1" spans="1:44">
      <c r="A3319" s="17" t="s">
        <v>34</v>
      </c>
      <c r="B3319" s="19">
        <v>915</v>
      </c>
      <c r="C3319" s="222" t="s">
        <v>1170</v>
      </c>
      <c r="D3319" s="17" t="s">
        <v>52</v>
      </c>
      <c r="E3319" s="17" t="s">
        <v>322</v>
      </c>
      <c r="F3319" s="17" t="s">
        <v>54</v>
      </c>
      <c r="H3319" s="19">
        <v>1.2714</v>
      </c>
      <c r="I3319" s="19"/>
      <c r="J3319" s="17" t="s">
        <v>39</v>
      </c>
      <c r="K3319" s="19">
        <v>205</v>
      </c>
      <c r="L3319" s="91"/>
      <c r="M3319" s="19">
        <v>5800</v>
      </c>
      <c r="N3319" s="19" t="s">
        <v>66</v>
      </c>
      <c r="O3319" s="19" t="s">
        <v>50</v>
      </c>
      <c r="P3319" s="19">
        <v>3000</v>
      </c>
      <c r="Q3319" s="19">
        <f>1500+1400</f>
        <v>2900</v>
      </c>
      <c r="R3319" s="19">
        <f t="shared" si="164"/>
        <v>100</v>
      </c>
      <c r="S3319" s="19">
        <f>1935-30</f>
        <v>1905</v>
      </c>
      <c r="T3319" s="19" t="s">
        <v>42</v>
      </c>
      <c r="U3319" s="102" t="s">
        <v>1171</v>
      </c>
      <c r="V3319" s="253" t="s">
        <v>1172</v>
      </c>
      <c r="W3319" s="17" t="s">
        <v>69</v>
      </c>
      <c r="Y3319" s="68">
        <v>45192</v>
      </c>
      <c r="Z3319" s="17" t="s">
        <v>191</v>
      </c>
      <c r="AA3319" s="17" t="s">
        <v>46</v>
      </c>
      <c r="AB3319" s="17" t="s">
        <v>1160</v>
      </c>
      <c r="AC3319" s="102" t="s">
        <v>1161</v>
      </c>
      <c r="AD3319" s="65">
        <v>1490</v>
      </c>
      <c r="AE3319" s="17" t="s">
        <v>48</v>
      </c>
    </row>
    <row r="3320" s="17" customFormat="1" hidden="1" spans="1:44">
      <c r="A3320" s="17" t="s">
        <v>34</v>
      </c>
      <c r="B3320" s="19">
        <v>915</v>
      </c>
      <c r="C3320" s="222" t="s">
        <v>1170</v>
      </c>
      <c r="D3320" s="17" t="s">
        <v>52</v>
      </c>
      <c r="E3320" s="17" t="s">
        <v>322</v>
      </c>
      <c r="F3320" s="17" t="s">
        <v>54</v>
      </c>
      <c r="H3320" s="19">
        <v>1.2714</v>
      </c>
      <c r="I3320" s="19"/>
      <c r="J3320" s="17" t="s">
        <v>39</v>
      </c>
      <c r="K3320" s="19">
        <v>255</v>
      </c>
      <c r="L3320" s="91"/>
      <c r="M3320" s="19">
        <v>5800</v>
      </c>
      <c r="N3320" s="19" t="s">
        <v>66</v>
      </c>
      <c r="O3320" s="19" t="s">
        <v>50</v>
      </c>
      <c r="P3320" s="19">
        <v>3000</v>
      </c>
      <c r="Q3320" s="19">
        <f>2360+2366</f>
        <v>4726</v>
      </c>
      <c r="R3320" s="19">
        <f t="shared" si="164"/>
        <v>-1726</v>
      </c>
      <c r="S3320" s="19">
        <f>1935-30</f>
        <v>1905</v>
      </c>
      <c r="T3320" s="19" t="s">
        <v>42</v>
      </c>
      <c r="U3320" s="102" t="s">
        <v>1171</v>
      </c>
      <c r="V3320" s="253" t="s">
        <v>1172</v>
      </c>
      <c r="W3320" s="17" t="s">
        <v>69</v>
      </c>
      <c r="Y3320" s="68">
        <v>45192</v>
      </c>
      <c r="Z3320" s="17" t="s">
        <v>191</v>
      </c>
      <c r="AA3320" s="17" t="s">
        <v>46</v>
      </c>
      <c r="AB3320" s="17" t="s">
        <v>1160</v>
      </c>
      <c r="AC3320" s="102" t="s">
        <v>1161</v>
      </c>
      <c r="AD3320" s="65">
        <v>1490</v>
      </c>
      <c r="AE3320" s="17" t="s">
        <v>48</v>
      </c>
    </row>
    <row r="3321" s="17" customFormat="1" hidden="1" spans="1:44">
      <c r="A3321" s="17" t="s">
        <v>34</v>
      </c>
      <c r="B3321" s="19">
        <v>915</v>
      </c>
      <c r="C3321" s="222" t="s">
        <v>1170</v>
      </c>
      <c r="D3321" s="17" t="s">
        <v>52</v>
      </c>
      <c r="E3321" s="17" t="s">
        <v>322</v>
      </c>
      <c r="F3321" s="17" t="s">
        <v>54</v>
      </c>
      <c r="H3321" s="19">
        <v>1.2714</v>
      </c>
      <c r="I3321" s="19"/>
      <c r="J3321" s="17" t="s">
        <v>39</v>
      </c>
      <c r="K3321" s="19">
        <v>405</v>
      </c>
      <c r="L3321" s="91"/>
      <c r="M3321" s="19">
        <v>5800</v>
      </c>
      <c r="N3321" s="19" t="s">
        <v>66</v>
      </c>
      <c r="O3321" s="19" t="s">
        <v>50</v>
      </c>
      <c r="P3321" s="19">
        <v>4000</v>
      </c>
      <c r="Q3321" s="19">
        <v>5380</v>
      </c>
      <c r="R3321" s="19">
        <f t="shared" si="164"/>
        <v>-1380</v>
      </c>
      <c r="S3321" s="19">
        <f>1935-30</f>
        <v>1905</v>
      </c>
      <c r="T3321" s="19" t="s">
        <v>42</v>
      </c>
      <c r="U3321" s="102" t="s">
        <v>1171</v>
      </c>
      <c r="V3321" s="253" t="s">
        <v>1172</v>
      </c>
      <c r="W3321" s="17" t="s">
        <v>69</v>
      </c>
      <c r="Y3321" s="68">
        <v>45192</v>
      </c>
      <c r="Z3321" s="17" t="s">
        <v>191</v>
      </c>
      <c r="AA3321" s="17" t="s">
        <v>46</v>
      </c>
      <c r="AB3321" s="17" t="s">
        <v>1160</v>
      </c>
      <c r="AC3321" s="102" t="s">
        <v>1161</v>
      </c>
      <c r="AD3321" s="65">
        <v>1490</v>
      </c>
      <c r="AE3321" s="17" t="s">
        <v>48</v>
      </c>
    </row>
    <row r="3322" s="17" customFormat="1" hidden="1" spans="1:44">
      <c r="A3322" s="17" t="s">
        <v>34</v>
      </c>
      <c r="B3322" s="19">
        <v>915</v>
      </c>
      <c r="C3322" s="222" t="s">
        <v>1170</v>
      </c>
      <c r="D3322" s="17" t="s">
        <v>52</v>
      </c>
      <c r="E3322" s="17" t="s">
        <v>322</v>
      </c>
      <c r="F3322" s="17" t="s">
        <v>54</v>
      </c>
      <c r="H3322" s="19">
        <v>1.2714</v>
      </c>
      <c r="I3322" s="19"/>
      <c r="J3322" s="17" t="s">
        <v>39</v>
      </c>
      <c r="K3322" s="19">
        <v>455</v>
      </c>
      <c r="L3322" s="91"/>
      <c r="M3322" s="19">
        <v>5800</v>
      </c>
      <c r="N3322" s="19" t="s">
        <v>66</v>
      </c>
      <c r="O3322" s="19" t="s">
        <v>50</v>
      </c>
      <c r="P3322" s="19">
        <v>5000</v>
      </c>
      <c r="Q3322" s="19">
        <v>4730</v>
      </c>
      <c r="R3322" s="19">
        <f t="shared" si="164"/>
        <v>270</v>
      </c>
      <c r="S3322" s="19">
        <f>1935-30</f>
        <v>1905</v>
      </c>
      <c r="T3322" s="19" t="s">
        <v>42</v>
      </c>
      <c r="U3322" s="102" t="s">
        <v>1171</v>
      </c>
      <c r="V3322" s="253" t="s">
        <v>1172</v>
      </c>
      <c r="W3322" s="17" t="s">
        <v>69</v>
      </c>
      <c r="Y3322" s="68">
        <v>45192</v>
      </c>
      <c r="Z3322" s="17" t="s">
        <v>191</v>
      </c>
      <c r="AA3322" s="17" t="s">
        <v>46</v>
      </c>
      <c r="AB3322" s="17" t="s">
        <v>1160</v>
      </c>
      <c r="AC3322" s="102" t="s">
        <v>1161</v>
      </c>
      <c r="AD3322" s="65">
        <v>1490</v>
      </c>
      <c r="AE3322" s="17" t="s">
        <v>48</v>
      </c>
    </row>
    <row r="3323" s="17" customFormat="1" hidden="1" spans="1:44">
      <c r="A3323" s="17" t="s">
        <v>34</v>
      </c>
      <c r="B3323" s="19">
        <v>915</v>
      </c>
      <c r="C3323" s="222" t="s">
        <v>1170</v>
      </c>
      <c r="D3323" s="17" t="s">
        <v>52</v>
      </c>
      <c r="E3323" s="17" t="s">
        <v>322</v>
      </c>
      <c r="F3323" s="17" t="s">
        <v>54</v>
      </c>
      <c r="H3323" s="19">
        <v>1.2714</v>
      </c>
      <c r="I3323" s="19"/>
      <c r="J3323" s="17" t="s">
        <v>82</v>
      </c>
      <c r="K3323" s="19">
        <v>355</v>
      </c>
      <c r="L3323" s="91">
        <v>355</v>
      </c>
      <c r="M3323" s="19">
        <v>5800</v>
      </c>
      <c r="N3323" s="19" t="s">
        <v>66</v>
      </c>
      <c r="O3323" s="19" t="s">
        <v>50</v>
      </c>
      <c r="P3323" s="19">
        <v>4000</v>
      </c>
      <c r="Q3323" s="19">
        <v>4080</v>
      </c>
      <c r="R3323" s="19">
        <f t="shared" si="164"/>
        <v>-80</v>
      </c>
      <c r="S3323" s="19">
        <f t="shared" ref="S3323:S3331" si="165">1995-30</f>
        <v>1965</v>
      </c>
      <c r="T3323" s="19" t="s">
        <v>42</v>
      </c>
      <c r="U3323" s="102" t="s">
        <v>1171</v>
      </c>
      <c r="V3323" s="253" t="s">
        <v>1172</v>
      </c>
      <c r="W3323" s="17" t="s">
        <v>69</v>
      </c>
      <c r="Y3323" s="68">
        <v>45192</v>
      </c>
      <c r="Z3323" s="17" t="s">
        <v>191</v>
      </c>
      <c r="AA3323" s="17" t="s">
        <v>46</v>
      </c>
      <c r="AB3323" s="17" t="s">
        <v>1160</v>
      </c>
      <c r="AC3323" s="102" t="s">
        <v>1161</v>
      </c>
      <c r="AD3323" s="65">
        <v>1490</v>
      </c>
      <c r="AE3323" s="17" t="s">
        <v>48</v>
      </c>
    </row>
    <row r="3324" s="17" customFormat="1" hidden="1" spans="1:44">
      <c r="A3324" s="17" t="s">
        <v>34</v>
      </c>
      <c r="B3324" s="19">
        <v>915</v>
      </c>
      <c r="C3324" s="222" t="s">
        <v>1170</v>
      </c>
      <c r="D3324" s="17" t="s">
        <v>52</v>
      </c>
      <c r="E3324" s="17" t="s">
        <v>322</v>
      </c>
      <c r="F3324" s="17" t="s">
        <v>54</v>
      </c>
      <c r="H3324" s="19">
        <v>1.2714</v>
      </c>
      <c r="I3324" s="19"/>
      <c r="J3324" s="17" t="s">
        <v>82</v>
      </c>
      <c r="K3324" s="19">
        <v>410</v>
      </c>
      <c r="L3324" s="91">
        <v>355</v>
      </c>
      <c r="M3324" s="19">
        <v>5800</v>
      </c>
      <c r="N3324" s="19" t="s">
        <v>66</v>
      </c>
      <c r="O3324" s="19" t="s">
        <v>50</v>
      </c>
      <c r="P3324" s="19">
        <v>5000</v>
      </c>
      <c r="Q3324" s="19">
        <v>5040</v>
      </c>
      <c r="R3324" s="19">
        <f t="shared" si="164"/>
        <v>-40</v>
      </c>
      <c r="S3324" s="19">
        <f t="shared" si="165"/>
        <v>1965</v>
      </c>
      <c r="T3324" s="19" t="s">
        <v>42</v>
      </c>
      <c r="U3324" s="102" t="s">
        <v>1171</v>
      </c>
      <c r="V3324" s="253" t="s">
        <v>1172</v>
      </c>
      <c r="W3324" s="17" t="s">
        <v>69</v>
      </c>
      <c r="Y3324" s="68">
        <v>45192</v>
      </c>
      <c r="Z3324" s="17" t="s">
        <v>191</v>
      </c>
      <c r="AA3324" s="17" t="s">
        <v>46</v>
      </c>
      <c r="AB3324" s="17" t="s">
        <v>1160</v>
      </c>
      <c r="AC3324" s="102" t="s">
        <v>1161</v>
      </c>
      <c r="AD3324" s="65">
        <v>1490</v>
      </c>
      <c r="AE3324" s="17" t="s">
        <v>48</v>
      </c>
    </row>
    <row r="3325" s="17" customFormat="1" hidden="1" spans="1:44">
      <c r="A3325" s="17" t="s">
        <v>34</v>
      </c>
      <c r="B3325" s="19">
        <v>915</v>
      </c>
      <c r="C3325" s="222" t="s">
        <v>1170</v>
      </c>
      <c r="D3325" s="17" t="s">
        <v>52</v>
      </c>
      <c r="E3325" s="17" t="s">
        <v>322</v>
      </c>
      <c r="F3325" s="17" t="s">
        <v>54</v>
      </c>
      <c r="H3325" s="19">
        <v>1.2714</v>
      </c>
      <c r="I3325" s="19"/>
      <c r="J3325" s="17" t="s">
        <v>82</v>
      </c>
      <c r="K3325" s="19">
        <v>810</v>
      </c>
      <c r="L3325" s="91">
        <v>205</v>
      </c>
      <c r="M3325" s="19">
        <v>5800</v>
      </c>
      <c r="N3325" s="19" t="s">
        <v>66</v>
      </c>
      <c r="O3325" s="19" t="s">
        <v>50</v>
      </c>
      <c r="P3325" s="19">
        <v>5000</v>
      </c>
      <c r="Q3325" s="19">
        <v>5550</v>
      </c>
      <c r="R3325" s="19">
        <f t="shared" si="164"/>
        <v>-550</v>
      </c>
      <c r="S3325" s="19">
        <f t="shared" si="165"/>
        <v>1965</v>
      </c>
      <c r="T3325" s="19" t="s">
        <v>42</v>
      </c>
      <c r="U3325" s="102" t="s">
        <v>1171</v>
      </c>
      <c r="V3325" s="253" t="s">
        <v>1172</v>
      </c>
      <c r="W3325" s="17" t="s">
        <v>69</v>
      </c>
      <c r="Y3325" s="68">
        <v>45192</v>
      </c>
      <c r="Z3325" s="17" t="s">
        <v>191</v>
      </c>
      <c r="AA3325" s="17" t="s">
        <v>46</v>
      </c>
      <c r="AB3325" s="17" t="s">
        <v>1160</v>
      </c>
      <c r="AC3325" s="102" t="s">
        <v>1161</v>
      </c>
      <c r="AD3325" s="65">
        <v>1490</v>
      </c>
      <c r="AE3325" s="17" t="s">
        <v>48</v>
      </c>
    </row>
    <row r="3326" s="17" customFormat="1" hidden="1" spans="1:44">
      <c r="A3326" s="17" t="s">
        <v>34</v>
      </c>
      <c r="B3326" s="19">
        <v>915</v>
      </c>
      <c r="C3326" s="222" t="s">
        <v>1170</v>
      </c>
      <c r="D3326" s="17" t="s">
        <v>52</v>
      </c>
      <c r="E3326" s="17" t="s">
        <v>322</v>
      </c>
      <c r="F3326" s="17" t="s">
        <v>54</v>
      </c>
      <c r="H3326" s="19">
        <v>1.2714</v>
      </c>
      <c r="I3326" s="19"/>
      <c r="J3326" s="17" t="s">
        <v>82</v>
      </c>
      <c r="K3326" s="19">
        <v>610</v>
      </c>
      <c r="L3326" s="91">
        <v>255</v>
      </c>
      <c r="M3326" s="19">
        <v>5800</v>
      </c>
      <c r="N3326" s="19" t="s">
        <v>66</v>
      </c>
      <c r="O3326" s="19" t="s">
        <v>50</v>
      </c>
      <c r="P3326" s="19">
        <v>5000</v>
      </c>
      <c r="Q3326" s="19">
        <v>5680</v>
      </c>
      <c r="R3326" s="19">
        <f t="shared" si="164"/>
        <v>-680</v>
      </c>
      <c r="S3326" s="19">
        <f t="shared" si="165"/>
        <v>1965</v>
      </c>
      <c r="T3326" s="19" t="s">
        <v>42</v>
      </c>
      <c r="U3326" s="102" t="s">
        <v>1171</v>
      </c>
      <c r="V3326" s="253" t="s">
        <v>1172</v>
      </c>
      <c r="W3326" s="17" t="s">
        <v>69</v>
      </c>
      <c r="Y3326" s="68">
        <v>45192</v>
      </c>
      <c r="Z3326" s="17" t="s">
        <v>191</v>
      </c>
      <c r="AA3326" s="17" t="s">
        <v>46</v>
      </c>
      <c r="AB3326" s="17" t="s">
        <v>1160</v>
      </c>
      <c r="AC3326" s="102" t="s">
        <v>1161</v>
      </c>
      <c r="AD3326" s="65">
        <v>1490</v>
      </c>
      <c r="AE3326" s="17" t="s">
        <v>48</v>
      </c>
    </row>
    <row r="3327" s="17" customFormat="1" hidden="1" spans="1:44">
      <c r="A3327" s="17" t="s">
        <v>34</v>
      </c>
      <c r="B3327" s="19">
        <v>915</v>
      </c>
      <c r="C3327" s="222" t="s">
        <v>1170</v>
      </c>
      <c r="D3327" s="17" t="s">
        <v>52</v>
      </c>
      <c r="E3327" s="17" t="s">
        <v>322</v>
      </c>
      <c r="F3327" s="17" t="s">
        <v>54</v>
      </c>
      <c r="H3327" s="19">
        <v>1.2714</v>
      </c>
      <c r="I3327" s="19"/>
      <c r="J3327" s="17" t="s">
        <v>82</v>
      </c>
      <c r="K3327" s="19">
        <v>405</v>
      </c>
      <c r="L3327" s="91">
        <v>405</v>
      </c>
      <c r="M3327" s="19">
        <v>5800</v>
      </c>
      <c r="N3327" s="19" t="s">
        <v>66</v>
      </c>
      <c r="O3327" s="19" t="s">
        <v>50</v>
      </c>
      <c r="P3327" s="19">
        <v>5000</v>
      </c>
      <c r="Q3327" s="19">
        <v>5210</v>
      </c>
      <c r="R3327" s="19">
        <f t="shared" si="164"/>
        <v>-210</v>
      </c>
      <c r="S3327" s="19">
        <f t="shared" si="165"/>
        <v>1965</v>
      </c>
      <c r="T3327" s="19" t="s">
        <v>42</v>
      </c>
      <c r="U3327" s="102" t="s">
        <v>1171</v>
      </c>
      <c r="V3327" s="253" t="s">
        <v>1172</v>
      </c>
      <c r="W3327" s="17" t="s">
        <v>69</v>
      </c>
      <c r="Y3327" s="68">
        <v>45192</v>
      </c>
      <c r="Z3327" s="17" t="s">
        <v>191</v>
      </c>
      <c r="AA3327" s="17" t="s">
        <v>46</v>
      </c>
      <c r="AB3327" s="17" t="s">
        <v>1160</v>
      </c>
      <c r="AC3327" s="102" t="s">
        <v>1161</v>
      </c>
      <c r="AD3327" s="65">
        <v>1490</v>
      </c>
      <c r="AE3327" s="17" t="s">
        <v>48</v>
      </c>
    </row>
    <row r="3328" s="17" customFormat="1" hidden="1" spans="1:44">
      <c r="A3328" s="17" t="s">
        <v>34</v>
      </c>
      <c r="B3328" s="19">
        <v>915</v>
      </c>
      <c r="C3328" s="222" t="s">
        <v>1170</v>
      </c>
      <c r="D3328" s="17" t="s">
        <v>52</v>
      </c>
      <c r="E3328" s="17" t="s">
        <v>322</v>
      </c>
      <c r="F3328" s="17" t="s">
        <v>54</v>
      </c>
      <c r="H3328" s="19">
        <v>1.2714</v>
      </c>
      <c r="I3328" s="19"/>
      <c r="J3328" s="17" t="s">
        <v>82</v>
      </c>
      <c r="K3328" s="19">
        <v>710</v>
      </c>
      <c r="L3328" s="91">
        <v>355</v>
      </c>
      <c r="M3328" s="19">
        <v>5800</v>
      </c>
      <c r="N3328" s="19" t="s">
        <v>66</v>
      </c>
      <c r="O3328" s="19" t="s">
        <v>50</v>
      </c>
      <c r="P3328" s="19">
        <v>8000</v>
      </c>
      <c r="Q3328" s="19">
        <v>9770</v>
      </c>
      <c r="R3328" s="19">
        <f t="shared" si="164"/>
        <v>-1770</v>
      </c>
      <c r="S3328" s="19">
        <f t="shared" si="165"/>
        <v>1965</v>
      </c>
      <c r="T3328" s="19" t="s">
        <v>42</v>
      </c>
      <c r="U3328" s="102" t="s">
        <v>1171</v>
      </c>
      <c r="V3328" s="253" t="s">
        <v>1172</v>
      </c>
      <c r="W3328" s="17" t="s">
        <v>69</v>
      </c>
      <c r="Y3328" s="68">
        <v>45192</v>
      </c>
      <c r="Z3328" s="17" t="s">
        <v>191</v>
      </c>
      <c r="AA3328" s="17" t="s">
        <v>46</v>
      </c>
      <c r="AB3328" s="17" t="s">
        <v>1160</v>
      </c>
      <c r="AC3328" s="102" t="s">
        <v>1161</v>
      </c>
      <c r="AD3328" s="65">
        <v>1490</v>
      </c>
      <c r="AE3328" s="17" t="s">
        <v>48</v>
      </c>
    </row>
    <row r="3329" s="17" customFormat="1" hidden="1" spans="1:32">
      <c r="A3329" s="17" t="s">
        <v>34</v>
      </c>
      <c r="B3329" s="19">
        <v>915</v>
      </c>
      <c r="C3329" s="222" t="s">
        <v>1170</v>
      </c>
      <c r="D3329" s="17" t="s">
        <v>52</v>
      </c>
      <c r="E3329" s="17" t="s">
        <v>322</v>
      </c>
      <c r="F3329" s="17" t="s">
        <v>54</v>
      </c>
      <c r="H3329" s="19">
        <v>1.2714</v>
      </c>
      <c r="I3329" s="19"/>
      <c r="J3329" s="17" t="s">
        <v>82</v>
      </c>
      <c r="K3329" s="19">
        <v>810</v>
      </c>
      <c r="L3329" s="91">
        <v>405</v>
      </c>
      <c r="M3329" s="19">
        <v>5800</v>
      </c>
      <c r="N3329" s="19" t="s">
        <v>66</v>
      </c>
      <c r="O3329" s="19" t="s">
        <v>50</v>
      </c>
      <c r="P3329" s="19">
        <v>11000</v>
      </c>
      <c r="Q3329" s="19">
        <v>9350</v>
      </c>
      <c r="R3329" s="19">
        <f t="shared" si="164"/>
        <v>1650</v>
      </c>
      <c r="S3329" s="19">
        <f t="shared" si="165"/>
        <v>1965</v>
      </c>
      <c r="T3329" s="19" t="s">
        <v>42</v>
      </c>
      <c r="U3329" s="102" t="s">
        <v>1171</v>
      </c>
      <c r="V3329" s="253" t="s">
        <v>1172</v>
      </c>
      <c r="W3329" s="17" t="s">
        <v>69</v>
      </c>
      <c r="Y3329" s="68">
        <v>45192</v>
      </c>
      <c r="Z3329" s="17" t="s">
        <v>191</v>
      </c>
      <c r="AA3329" s="17" t="s">
        <v>46</v>
      </c>
      <c r="AB3329" s="17" t="s">
        <v>1160</v>
      </c>
      <c r="AC3329" s="102" t="s">
        <v>1161</v>
      </c>
      <c r="AD3329" s="65">
        <v>1490</v>
      </c>
      <c r="AE3329" s="17" t="s">
        <v>48</v>
      </c>
    </row>
    <row r="3330" s="17" customFormat="1" hidden="1" spans="1:32">
      <c r="A3330" s="17" t="s">
        <v>34</v>
      </c>
      <c r="B3330" s="19">
        <v>915</v>
      </c>
      <c r="C3330" s="222" t="s">
        <v>1170</v>
      </c>
      <c r="D3330" s="17" t="s">
        <v>52</v>
      </c>
      <c r="E3330" s="17" t="s">
        <v>322</v>
      </c>
      <c r="F3330" s="17" t="s">
        <v>54</v>
      </c>
      <c r="H3330" s="19">
        <v>1.2714</v>
      </c>
      <c r="I3330" s="19"/>
      <c r="J3330" s="17" t="s">
        <v>49</v>
      </c>
      <c r="K3330" s="19">
        <v>1050</v>
      </c>
      <c r="L3330" s="91">
        <v>305</v>
      </c>
      <c r="M3330" s="19">
        <v>5800</v>
      </c>
      <c r="N3330" s="19" t="s">
        <v>66</v>
      </c>
      <c r="O3330" s="19" t="s">
        <v>50</v>
      </c>
      <c r="P3330" s="19">
        <v>10000</v>
      </c>
      <c r="Q3330" s="19">
        <v>9180</v>
      </c>
      <c r="R3330" s="19">
        <f t="shared" si="164"/>
        <v>820</v>
      </c>
      <c r="S3330" s="19">
        <f t="shared" si="165"/>
        <v>1965</v>
      </c>
      <c r="T3330" s="19" t="s">
        <v>42</v>
      </c>
      <c r="U3330" s="102" t="s">
        <v>1171</v>
      </c>
      <c r="V3330" s="253" t="s">
        <v>1172</v>
      </c>
      <c r="W3330" s="17" t="s">
        <v>69</v>
      </c>
      <c r="Y3330" s="68">
        <v>45192</v>
      </c>
      <c r="Z3330" s="17" t="s">
        <v>191</v>
      </c>
      <c r="AA3330" s="17" t="s">
        <v>46</v>
      </c>
      <c r="AB3330" s="17" t="s">
        <v>1160</v>
      </c>
      <c r="AC3330" s="102" t="s">
        <v>1161</v>
      </c>
      <c r="AD3330" s="65">
        <v>1490</v>
      </c>
      <c r="AE3330" s="17" t="s">
        <v>48</v>
      </c>
    </row>
    <row r="3331" s="17" customFormat="1" hidden="1" spans="1:32">
      <c r="A3331" s="17" t="s">
        <v>34</v>
      </c>
      <c r="B3331" s="19">
        <v>915</v>
      </c>
      <c r="C3331" s="222" t="s">
        <v>1170</v>
      </c>
      <c r="D3331" s="17" t="s">
        <v>52</v>
      </c>
      <c r="E3331" s="17" t="s">
        <v>322</v>
      </c>
      <c r="F3331" s="17" t="s">
        <v>54</v>
      </c>
      <c r="H3331" s="19">
        <v>1.2714</v>
      </c>
      <c r="I3331" s="19"/>
      <c r="J3331" s="17" t="s">
        <v>49</v>
      </c>
      <c r="K3331" s="19">
        <v>1050</v>
      </c>
      <c r="L3331" s="91">
        <v>255</v>
      </c>
      <c r="M3331" s="19">
        <v>5800</v>
      </c>
      <c r="N3331" s="19" t="s">
        <v>66</v>
      </c>
      <c r="O3331" s="19" t="s">
        <v>50</v>
      </c>
      <c r="P3331" s="19">
        <v>8000</v>
      </c>
      <c r="Q3331" s="19">
        <v>8710</v>
      </c>
      <c r="R3331" s="19">
        <f t="shared" si="164"/>
        <v>-710</v>
      </c>
      <c r="S3331" s="19">
        <f t="shared" si="165"/>
        <v>1965</v>
      </c>
      <c r="T3331" s="19" t="s">
        <v>42</v>
      </c>
      <c r="U3331" s="102" t="s">
        <v>1171</v>
      </c>
      <c r="V3331" s="253" t="s">
        <v>1172</v>
      </c>
      <c r="W3331" s="17" t="s">
        <v>69</v>
      </c>
      <c r="Y3331" s="68">
        <v>45192</v>
      </c>
      <c r="Z3331" s="17" t="s">
        <v>191</v>
      </c>
      <c r="AA3331" s="17" t="s">
        <v>46</v>
      </c>
      <c r="AB3331" s="17" t="s">
        <v>1160</v>
      </c>
      <c r="AC3331" s="102" t="s">
        <v>1161</v>
      </c>
      <c r="AD3331" s="65">
        <v>1490</v>
      </c>
      <c r="AE3331" s="17" t="s">
        <v>48</v>
      </c>
    </row>
    <row r="3332" s="17" customFormat="1" ht="15.6" hidden="1" spans="1:32">
      <c r="A3332" s="17" t="s">
        <v>34</v>
      </c>
      <c r="B3332" s="19">
        <v>916</v>
      </c>
      <c r="C3332" s="183" t="s">
        <v>1173</v>
      </c>
      <c r="D3332" s="17" t="s">
        <v>52</v>
      </c>
      <c r="E3332" s="17" t="s">
        <v>1113</v>
      </c>
      <c r="F3332" s="17" t="s">
        <v>54</v>
      </c>
      <c r="H3332" s="19" t="s">
        <v>1114</v>
      </c>
      <c r="I3332" s="19"/>
      <c r="J3332" s="17" t="s">
        <v>49</v>
      </c>
      <c r="K3332" s="19">
        <v>2200</v>
      </c>
      <c r="L3332" s="19">
        <v>25</v>
      </c>
      <c r="M3332" s="19">
        <v>5500</v>
      </c>
      <c r="N3332" s="19" t="s">
        <v>66</v>
      </c>
      <c r="O3332" s="19" t="s">
        <v>141</v>
      </c>
      <c r="P3332" s="99">
        <v>7318</v>
      </c>
      <c r="Q3332" s="98">
        <v>2151</v>
      </c>
      <c r="S3332" s="274">
        <v>1050</v>
      </c>
      <c r="T3332" s="19" t="s">
        <v>42</v>
      </c>
      <c r="U3332" s="102" t="s">
        <v>1174</v>
      </c>
      <c r="V3332" s="186" t="s">
        <v>1175</v>
      </c>
      <c r="W3332" s="17" t="s">
        <v>69</v>
      </c>
      <c r="Y3332" s="68">
        <v>45161</v>
      </c>
      <c r="Z3332" s="17" t="s">
        <v>191</v>
      </c>
      <c r="AA3332" s="17" t="s">
        <v>46</v>
      </c>
      <c r="AB3332" s="17" t="s">
        <v>1116</v>
      </c>
      <c r="AC3332" s="102" t="s">
        <v>1117</v>
      </c>
      <c r="AD3332" s="65">
        <v>1443</v>
      </c>
      <c r="AE3332" s="17" t="s">
        <v>48</v>
      </c>
    </row>
    <row r="3333" s="17" customFormat="1" ht="15.6" hidden="1" spans="1:32">
      <c r="A3333" s="17" t="s">
        <v>34</v>
      </c>
      <c r="B3333" s="19">
        <v>916</v>
      </c>
      <c r="C3333" s="183" t="s">
        <v>1173</v>
      </c>
      <c r="D3333" s="17" t="s">
        <v>52</v>
      </c>
      <c r="E3333" s="17" t="s">
        <v>1113</v>
      </c>
      <c r="F3333" s="17" t="s">
        <v>54</v>
      </c>
      <c r="H3333" s="19" t="s">
        <v>1114</v>
      </c>
      <c r="I3333" s="19"/>
      <c r="J3333" s="17" t="s">
        <v>49</v>
      </c>
      <c r="K3333" s="19">
        <v>2200</v>
      </c>
      <c r="L3333" s="19">
        <v>25</v>
      </c>
      <c r="M3333" s="19">
        <v>5500</v>
      </c>
      <c r="N3333" s="19" t="s">
        <v>66</v>
      </c>
      <c r="O3333" s="19" t="s">
        <v>141</v>
      </c>
      <c r="P3333" s="278"/>
      <c r="Q3333" s="98">
        <f>1920+1960</f>
        <v>3880</v>
      </c>
      <c r="R3333" s="99">
        <f>+P3332-Q3332-Q3333</f>
        <v>1287</v>
      </c>
      <c r="S3333" s="274">
        <v>1050</v>
      </c>
      <c r="T3333" s="19" t="s">
        <v>42</v>
      </c>
      <c r="U3333" s="102" t="s">
        <v>1174</v>
      </c>
      <c r="V3333" s="186" t="s">
        <v>1175</v>
      </c>
      <c r="W3333" s="17" t="s">
        <v>69</v>
      </c>
      <c r="Y3333" s="68">
        <v>45161</v>
      </c>
      <c r="Z3333" s="17" t="s">
        <v>191</v>
      </c>
      <c r="AA3333" s="17" t="s">
        <v>46</v>
      </c>
      <c r="AB3333" s="17" t="s">
        <v>1126</v>
      </c>
      <c r="AC3333" s="102" t="s">
        <v>1127</v>
      </c>
      <c r="AD3333" s="65">
        <v>1447</v>
      </c>
      <c r="AE3333" s="17" t="s">
        <v>48</v>
      </c>
    </row>
    <row r="3334" s="17" customFormat="1" ht="15.6" hidden="1" spans="1:32">
      <c r="A3334" s="17" t="s">
        <v>34</v>
      </c>
      <c r="B3334" s="19">
        <v>916</v>
      </c>
      <c r="C3334" s="183" t="s">
        <v>1173</v>
      </c>
      <c r="D3334" s="17" t="s">
        <v>52</v>
      </c>
      <c r="E3334" s="17" t="s">
        <v>1113</v>
      </c>
      <c r="F3334" s="17" t="s">
        <v>54</v>
      </c>
      <c r="H3334" s="19" t="s">
        <v>1114</v>
      </c>
      <c r="I3334" s="19"/>
      <c r="J3334" s="17" t="s">
        <v>49</v>
      </c>
      <c r="K3334" s="19">
        <v>2200</v>
      </c>
      <c r="L3334" s="19">
        <v>32</v>
      </c>
      <c r="M3334" s="19">
        <v>5500</v>
      </c>
      <c r="N3334" s="19" t="s">
        <v>66</v>
      </c>
      <c r="O3334" s="19" t="s">
        <v>141</v>
      </c>
      <c r="P3334" s="99">
        <v>3122</v>
      </c>
      <c r="Q3334" s="19">
        <v>2936</v>
      </c>
      <c r="S3334" s="274">
        <v>1050</v>
      </c>
      <c r="T3334" s="19" t="s">
        <v>42</v>
      </c>
      <c r="U3334" s="102" t="s">
        <v>1174</v>
      </c>
      <c r="V3334" s="186" t="s">
        <v>1175</v>
      </c>
      <c r="W3334" s="17" t="s">
        <v>69</v>
      </c>
      <c r="Y3334" s="68">
        <v>45161</v>
      </c>
      <c r="Z3334" s="17" t="s">
        <v>191</v>
      </c>
      <c r="AA3334" s="17" t="s">
        <v>46</v>
      </c>
      <c r="AB3334" s="17" t="s">
        <v>1131</v>
      </c>
      <c r="AC3334" s="102" t="s">
        <v>1132</v>
      </c>
      <c r="AD3334" s="65">
        <v>1444</v>
      </c>
      <c r="AE3334" s="17" t="s">
        <v>48</v>
      </c>
    </row>
    <row r="3335" s="17" customFormat="1" ht="15.6" hidden="1" spans="1:32">
      <c r="A3335" s="17" t="s">
        <v>34</v>
      </c>
      <c r="B3335" s="19">
        <v>916</v>
      </c>
      <c r="C3335" s="183" t="s">
        <v>1173</v>
      </c>
      <c r="D3335" s="17" t="s">
        <v>52</v>
      </c>
      <c r="E3335" s="17" t="s">
        <v>1113</v>
      </c>
      <c r="F3335" s="17" t="s">
        <v>54</v>
      </c>
      <c r="H3335" s="19" t="s">
        <v>1114</v>
      </c>
      <c r="I3335" s="19"/>
      <c r="J3335" s="17" t="s">
        <v>49</v>
      </c>
      <c r="K3335" s="19">
        <v>2200</v>
      </c>
      <c r="L3335" s="19">
        <v>32</v>
      </c>
      <c r="M3335" s="19">
        <v>5500</v>
      </c>
      <c r="N3335" s="19" t="s">
        <v>66</v>
      </c>
      <c r="O3335" s="19" t="s">
        <v>141</v>
      </c>
      <c r="P3335" s="99"/>
      <c r="Q3335" s="19">
        <v>3200</v>
      </c>
      <c r="R3335" s="99">
        <f>+P3334-Q3334-Q3335</f>
        <v>-3014</v>
      </c>
      <c r="S3335" s="274">
        <v>1050</v>
      </c>
      <c r="T3335" s="19" t="s">
        <v>42</v>
      </c>
      <c r="U3335" s="102" t="s">
        <v>1174</v>
      </c>
      <c r="V3335" s="186" t="s">
        <v>1175</v>
      </c>
      <c r="W3335" s="17" t="s">
        <v>69</v>
      </c>
      <c r="Y3335" s="68">
        <v>45161</v>
      </c>
      <c r="Z3335" s="17" t="s">
        <v>191</v>
      </c>
      <c r="AA3335" s="17" t="s">
        <v>46</v>
      </c>
      <c r="AB3335" s="17" t="s">
        <v>1126</v>
      </c>
      <c r="AC3335" s="102" t="s">
        <v>1127</v>
      </c>
      <c r="AD3335" s="65">
        <v>1447</v>
      </c>
      <c r="AE3335" s="17" t="s">
        <v>48</v>
      </c>
    </row>
    <row r="3336" s="18" customFormat="1" ht="15.6" hidden="1" spans="1:32">
      <c r="B3336" s="75">
        <v>916</v>
      </c>
      <c r="C3336" s="213" t="s">
        <v>1173</v>
      </c>
      <c r="D3336" s="18" t="s">
        <v>52</v>
      </c>
      <c r="E3336" s="17" t="s">
        <v>1113</v>
      </c>
      <c r="F3336" s="18" t="s">
        <v>54</v>
      </c>
      <c r="H3336" s="75" t="s">
        <v>1114</v>
      </c>
      <c r="I3336" s="75"/>
      <c r="J3336" s="18" t="s">
        <v>49</v>
      </c>
      <c r="K3336" s="75">
        <v>2200</v>
      </c>
      <c r="L3336" s="75">
        <v>36</v>
      </c>
      <c r="M3336" s="75">
        <v>5500</v>
      </c>
      <c r="N3336" s="75" t="s">
        <v>66</v>
      </c>
      <c r="O3336" s="75" t="s">
        <v>141</v>
      </c>
      <c r="P3336" s="112">
        <v>3513</v>
      </c>
      <c r="Q3336" s="75"/>
      <c r="R3336" s="75">
        <f>+P3336-Q3336</f>
        <v>3513</v>
      </c>
      <c r="S3336" s="276">
        <v>1050</v>
      </c>
      <c r="T3336" s="75" t="s">
        <v>42</v>
      </c>
      <c r="U3336" s="137" t="s">
        <v>1174</v>
      </c>
      <c r="V3336" s="193" t="s">
        <v>1175</v>
      </c>
      <c r="W3336" s="18" t="s">
        <v>69</v>
      </c>
      <c r="Y3336" s="114">
        <v>45161</v>
      </c>
      <c r="Z3336" s="18" t="s">
        <v>191</v>
      </c>
      <c r="AA3336" s="18" t="s">
        <v>46</v>
      </c>
      <c r="AC3336" s="137"/>
      <c r="AD3336" s="77"/>
      <c r="AE3336" s="18" t="s">
        <v>48</v>
      </c>
      <c r="AF3336" s="18" t="s">
        <v>1134</v>
      </c>
    </row>
    <row r="3337" s="17" customFormat="1" ht="15.6" hidden="1" spans="1:32">
      <c r="A3337" s="17" t="s">
        <v>34</v>
      </c>
      <c r="B3337" s="19">
        <v>916</v>
      </c>
      <c r="C3337" s="183" t="s">
        <v>1173</v>
      </c>
      <c r="D3337" s="17" t="s">
        <v>52</v>
      </c>
      <c r="E3337" s="17" t="s">
        <v>1113</v>
      </c>
      <c r="F3337" s="17" t="s">
        <v>54</v>
      </c>
      <c r="H3337" s="19" t="s">
        <v>1114</v>
      </c>
      <c r="I3337" s="19"/>
      <c r="J3337" s="17" t="s">
        <v>49</v>
      </c>
      <c r="K3337" s="19">
        <v>2200</v>
      </c>
      <c r="L3337" s="19">
        <v>38</v>
      </c>
      <c r="M3337" s="19">
        <v>5500</v>
      </c>
      <c r="N3337" s="19" t="s">
        <v>66</v>
      </c>
      <c r="O3337" s="19" t="s">
        <v>141</v>
      </c>
      <c r="P3337" s="99">
        <v>14831</v>
      </c>
      <c r="Q3337" s="98">
        <f>3319+3359+3352+3412</f>
        <v>13442</v>
      </c>
      <c r="R3337" s="19">
        <f>+P3337-Q3337</f>
        <v>1389</v>
      </c>
      <c r="S3337" s="274">
        <v>1050</v>
      </c>
      <c r="T3337" s="19" t="s">
        <v>42</v>
      </c>
      <c r="U3337" s="102" t="s">
        <v>1174</v>
      </c>
      <c r="V3337" s="186" t="s">
        <v>1175</v>
      </c>
      <c r="W3337" s="17" t="s">
        <v>69</v>
      </c>
      <c r="Y3337" s="68">
        <v>45161</v>
      </c>
      <c r="Z3337" s="17" t="s">
        <v>191</v>
      </c>
      <c r="AA3337" s="17" t="s">
        <v>46</v>
      </c>
      <c r="AB3337" s="17" t="s">
        <v>1116</v>
      </c>
      <c r="AC3337" s="102" t="s">
        <v>1117</v>
      </c>
      <c r="AD3337" s="65">
        <v>1443</v>
      </c>
      <c r="AE3337" s="17" t="s">
        <v>48</v>
      </c>
    </row>
    <row r="3338" s="17" customFormat="1" ht="15.6" hidden="1" spans="1:32">
      <c r="A3338" s="17" t="s">
        <v>34</v>
      </c>
      <c r="B3338" s="19">
        <v>916</v>
      </c>
      <c r="C3338" s="183" t="s">
        <v>1173</v>
      </c>
      <c r="D3338" s="17" t="s">
        <v>52</v>
      </c>
      <c r="E3338" s="17" t="s">
        <v>1113</v>
      </c>
      <c r="F3338" s="17" t="s">
        <v>54</v>
      </c>
      <c r="H3338" s="19" t="s">
        <v>1114</v>
      </c>
      <c r="I3338" s="19"/>
      <c r="J3338" s="17" t="s">
        <v>49</v>
      </c>
      <c r="K3338" s="19">
        <v>2200</v>
      </c>
      <c r="L3338" s="19">
        <v>40</v>
      </c>
      <c r="M3338" s="19">
        <v>5500</v>
      </c>
      <c r="N3338" s="19" t="s">
        <v>66</v>
      </c>
      <c r="O3338" s="19" t="s">
        <v>141</v>
      </c>
      <c r="P3338" s="99">
        <v>19515</v>
      </c>
      <c r="Q3338" s="19">
        <v>3580</v>
      </c>
      <c r="R3338" s="19">
        <f>+P3338-Q3338</f>
        <v>15935</v>
      </c>
      <c r="S3338" s="274">
        <v>1050</v>
      </c>
      <c r="T3338" s="19" t="s">
        <v>42</v>
      </c>
      <c r="U3338" s="102" t="s">
        <v>1174</v>
      </c>
      <c r="V3338" s="186" t="s">
        <v>1175</v>
      </c>
      <c r="W3338" s="17" t="s">
        <v>69</v>
      </c>
      <c r="Y3338" s="68">
        <v>45161</v>
      </c>
      <c r="Z3338" s="17" t="s">
        <v>191</v>
      </c>
      <c r="AA3338" s="17" t="s">
        <v>46</v>
      </c>
      <c r="AB3338" s="17" t="s">
        <v>1126</v>
      </c>
      <c r="AC3338" s="102" t="s">
        <v>1127</v>
      </c>
      <c r="AD3338" s="65">
        <v>1447</v>
      </c>
      <c r="AE3338" s="17" t="s">
        <v>48</v>
      </c>
    </row>
    <row r="3339" s="18" customFormat="1" ht="15.6" hidden="1" spans="1:32">
      <c r="B3339" s="75">
        <v>916</v>
      </c>
      <c r="C3339" s="213" t="s">
        <v>1173</v>
      </c>
      <c r="D3339" s="18" t="s">
        <v>52</v>
      </c>
      <c r="E3339" s="17" t="s">
        <v>1113</v>
      </c>
      <c r="F3339" s="18" t="s">
        <v>54</v>
      </c>
      <c r="H3339" s="75" t="s">
        <v>1114</v>
      </c>
      <c r="I3339" s="75"/>
      <c r="J3339" s="18" t="s">
        <v>49</v>
      </c>
      <c r="K3339" s="75">
        <v>2200</v>
      </c>
      <c r="L3339" s="75">
        <v>51</v>
      </c>
      <c r="M3339" s="75">
        <v>5500</v>
      </c>
      <c r="N3339" s="75" t="s">
        <v>66</v>
      </c>
      <c r="O3339" s="75" t="s">
        <v>141</v>
      </c>
      <c r="P3339" s="112">
        <v>14929</v>
      </c>
      <c r="Q3339" s="75"/>
      <c r="R3339" s="75">
        <f>+P3339-Q3339</f>
        <v>14929</v>
      </c>
      <c r="S3339" s="276">
        <v>1050</v>
      </c>
      <c r="T3339" s="75" t="s">
        <v>42</v>
      </c>
      <c r="U3339" s="137" t="s">
        <v>1174</v>
      </c>
      <c r="V3339" s="193" t="s">
        <v>1175</v>
      </c>
      <c r="W3339" s="18" t="s">
        <v>69</v>
      </c>
      <c r="Y3339" s="114">
        <v>45161</v>
      </c>
      <c r="Z3339" s="18" t="s">
        <v>191</v>
      </c>
      <c r="AA3339" s="18" t="s">
        <v>46</v>
      </c>
      <c r="AC3339" s="137"/>
      <c r="AD3339" s="77"/>
      <c r="AE3339" s="18" t="s">
        <v>48</v>
      </c>
      <c r="AF3339" s="18" t="s">
        <v>1134</v>
      </c>
    </row>
    <row r="3340" s="17" customFormat="1" ht="15.6" hidden="1" spans="1:32">
      <c r="A3340" s="17" t="s">
        <v>34</v>
      </c>
      <c r="B3340" s="19">
        <v>916</v>
      </c>
      <c r="C3340" s="183" t="s">
        <v>1173</v>
      </c>
      <c r="D3340" s="17" t="s">
        <v>52</v>
      </c>
      <c r="E3340" s="17" t="s">
        <v>1113</v>
      </c>
      <c r="F3340" s="17" t="s">
        <v>54</v>
      </c>
      <c r="H3340" s="19" t="s">
        <v>1114</v>
      </c>
      <c r="I3340" s="19"/>
      <c r="J3340" s="17" t="s">
        <v>49</v>
      </c>
      <c r="K3340" s="19">
        <v>2200</v>
      </c>
      <c r="L3340" s="19">
        <v>56</v>
      </c>
      <c r="M3340" s="19">
        <v>5500</v>
      </c>
      <c r="N3340" s="19" t="s">
        <v>66</v>
      </c>
      <c r="O3340" s="19" t="s">
        <v>141</v>
      </c>
      <c r="P3340" s="99">
        <v>10928</v>
      </c>
      <c r="Q3340" s="19">
        <v>5488</v>
      </c>
      <c r="S3340" s="274">
        <v>1050</v>
      </c>
      <c r="T3340" s="19" t="s">
        <v>42</v>
      </c>
      <c r="U3340" s="102" t="s">
        <v>1174</v>
      </c>
      <c r="V3340" s="186" t="s">
        <v>1175</v>
      </c>
      <c r="W3340" s="17" t="s">
        <v>69</v>
      </c>
      <c r="Y3340" s="68">
        <v>45161</v>
      </c>
      <c r="Z3340" s="17" t="s">
        <v>191</v>
      </c>
      <c r="AA3340" s="17" t="s">
        <v>46</v>
      </c>
      <c r="AB3340" s="17" t="s">
        <v>1176</v>
      </c>
      <c r="AC3340" s="102" t="s">
        <v>1117</v>
      </c>
      <c r="AD3340" s="65">
        <v>1442</v>
      </c>
      <c r="AE3340" s="17" t="s">
        <v>48</v>
      </c>
    </row>
    <row r="3341" s="17" customFormat="1" ht="15.6" hidden="1" spans="1:32">
      <c r="A3341" s="17" t="s">
        <v>34</v>
      </c>
      <c r="B3341" s="19">
        <v>916</v>
      </c>
      <c r="C3341" s="183" t="s">
        <v>1173</v>
      </c>
      <c r="D3341" s="17" t="s">
        <v>52</v>
      </c>
      <c r="E3341" s="17" t="s">
        <v>1113</v>
      </c>
      <c r="F3341" s="17" t="s">
        <v>54</v>
      </c>
      <c r="H3341" s="19" t="s">
        <v>1114</v>
      </c>
      <c r="I3341" s="19"/>
      <c r="J3341" s="17" t="s">
        <v>49</v>
      </c>
      <c r="K3341" s="19">
        <v>2200</v>
      </c>
      <c r="L3341" s="19">
        <v>56</v>
      </c>
      <c r="M3341" s="19">
        <v>5500</v>
      </c>
      <c r="N3341" s="19" t="s">
        <v>66</v>
      </c>
      <c r="O3341" s="19" t="s">
        <v>141</v>
      </c>
      <c r="P3341" s="99"/>
      <c r="Q3341" s="19">
        <v>5470</v>
      </c>
      <c r="R3341" s="99">
        <f>+P3340-Q3340-Q3341</f>
        <v>-30</v>
      </c>
      <c r="S3341" s="274">
        <v>1050</v>
      </c>
      <c r="T3341" s="19" t="s">
        <v>42</v>
      </c>
      <c r="U3341" s="102" t="s">
        <v>1174</v>
      </c>
      <c r="V3341" s="186" t="s">
        <v>1175</v>
      </c>
      <c r="W3341" s="17" t="s">
        <v>69</v>
      </c>
      <c r="Y3341" s="68">
        <v>45161</v>
      </c>
      <c r="Z3341" s="17" t="s">
        <v>191</v>
      </c>
      <c r="AA3341" s="17" t="s">
        <v>46</v>
      </c>
      <c r="AB3341" s="17" t="s">
        <v>1131</v>
      </c>
      <c r="AC3341" s="102" t="s">
        <v>1132</v>
      </c>
      <c r="AD3341" s="65">
        <v>1444</v>
      </c>
      <c r="AE3341" s="17" t="s">
        <v>48</v>
      </c>
    </row>
    <row r="3342" s="17" customFormat="1" ht="15.6" hidden="1" spans="1:32">
      <c r="A3342" s="17" t="s">
        <v>34</v>
      </c>
      <c r="B3342" s="19">
        <v>916</v>
      </c>
      <c r="C3342" s="183" t="s">
        <v>1173</v>
      </c>
      <c r="D3342" s="17" t="s">
        <v>52</v>
      </c>
      <c r="E3342" s="17" t="s">
        <v>1113</v>
      </c>
      <c r="F3342" s="17" t="s">
        <v>54</v>
      </c>
      <c r="H3342" s="19" t="s">
        <v>1114</v>
      </c>
      <c r="I3342" s="19"/>
      <c r="J3342" s="17" t="s">
        <v>49</v>
      </c>
      <c r="K3342" s="19">
        <v>2200</v>
      </c>
      <c r="L3342" s="19">
        <v>61</v>
      </c>
      <c r="M3342" s="19">
        <v>5500</v>
      </c>
      <c r="N3342" s="19" t="s">
        <v>66</v>
      </c>
      <c r="O3342" s="19" t="s">
        <v>141</v>
      </c>
      <c r="P3342" s="99">
        <v>11904</v>
      </c>
      <c r="Q3342" s="19">
        <f>5984+5978</f>
        <v>11962</v>
      </c>
      <c r="R3342" s="19">
        <f>+P3342-Q3342</f>
        <v>-58</v>
      </c>
      <c r="S3342" s="274">
        <v>1050</v>
      </c>
      <c r="T3342" s="19" t="s">
        <v>42</v>
      </c>
      <c r="U3342" s="102" t="s">
        <v>1174</v>
      </c>
      <c r="V3342" s="186" t="s">
        <v>1175</v>
      </c>
      <c r="W3342" s="17" t="s">
        <v>69</v>
      </c>
      <c r="Y3342" s="68">
        <v>45161</v>
      </c>
      <c r="Z3342" s="17" t="s">
        <v>191</v>
      </c>
      <c r="AA3342" s="17" t="s">
        <v>46</v>
      </c>
      <c r="AB3342" s="17" t="s">
        <v>1131</v>
      </c>
      <c r="AC3342" s="102" t="s">
        <v>1132</v>
      </c>
      <c r="AD3342" s="65">
        <v>1444</v>
      </c>
      <c r="AE3342" s="17" t="s">
        <v>48</v>
      </c>
    </row>
    <row r="3343" s="17" customFormat="1" ht="15.6" hidden="1" spans="1:32">
      <c r="A3343" s="17" t="s">
        <v>34</v>
      </c>
      <c r="B3343" s="19">
        <v>916</v>
      </c>
      <c r="C3343" s="183" t="s">
        <v>1173</v>
      </c>
      <c r="D3343" s="17" t="s">
        <v>52</v>
      </c>
      <c r="E3343" s="17" t="s">
        <v>1113</v>
      </c>
      <c r="F3343" s="17" t="s">
        <v>54</v>
      </c>
      <c r="H3343" s="19" t="s">
        <v>1114</v>
      </c>
      <c r="I3343" s="19"/>
      <c r="J3343" s="17" t="s">
        <v>49</v>
      </c>
      <c r="K3343" s="19">
        <v>2200</v>
      </c>
      <c r="L3343" s="19">
        <v>65</v>
      </c>
      <c r="M3343" s="19">
        <v>5500</v>
      </c>
      <c r="N3343" s="19" t="s">
        <v>66</v>
      </c>
      <c r="O3343" s="19" t="s">
        <v>141</v>
      </c>
      <c r="P3343" s="99">
        <v>6342</v>
      </c>
      <c r="Q3343" s="19">
        <v>5208</v>
      </c>
      <c r="S3343" s="274">
        <v>1050</v>
      </c>
      <c r="T3343" s="19" t="s">
        <v>42</v>
      </c>
      <c r="U3343" s="102" t="s">
        <v>1174</v>
      </c>
      <c r="V3343" s="186" t="s">
        <v>1175</v>
      </c>
      <c r="W3343" s="17" t="s">
        <v>69</v>
      </c>
      <c r="Y3343" s="68">
        <v>45161</v>
      </c>
      <c r="Z3343" s="17" t="s">
        <v>191</v>
      </c>
      <c r="AA3343" s="17" t="s">
        <v>46</v>
      </c>
      <c r="AB3343" s="17" t="s">
        <v>1131</v>
      </c>
      <c r="AC3343" s="102" t="s">
        <v>1132</v>
      </c>
      <c r="AD3343" s="65">
        <v>1444</v>
      </c>
      <c r="AE3343" s="17" t="s">
        <v>48</v>
      </c>
    </row>
    <row r="3344" s="17" customFormat="1" ht="15.6" hidden="1" spans="1:32">
      <c r="A3344" s="17" t="s">
        <v>34</v>
      </c>
      <c r="B3344" s="19">
        <v>916</v>
      </c>
      <c r="C3344" s="183" t="s">
        <v>1173</v>
      </c>
      <c r="D3344" s="17" t="s">
        <v>52</v>
      </c>
      <c r="E3344" s="17" t="s">
        <v>1113</v>
      </c>
      <c r="F3344" s="17" t="s">
        <v>54</v>
      </c>
      <c r="H3344" s="19" t="s">
        <v>1114</v>
      </c>
      <c r="I3344" s="19"/>
      <c r="J3344" s="17" t="s">
        <v>49</v>
      </c>
      <c r="K3344" s="19">
        <v>2200</v>
      </c>
      <c r="L3344" s="19">
        <v>65</v>
      </c>
      <c r="M3344" s="19">
        <v>5500</v>
      </c>
      <c r="N3344" s="19" t="s">
        <v>66</v>
      </c>
      <c r="O3344" s="19" t="s">
        <v>141</v>
      </c>
      <c r="P3344" s="99"/>
      <c r="Q3344" s="19">
        <v>5250</v>
      </c>
      <c r="R3344" s="99">
        <f>+P3343-Q3343-Q3344</f>
        <v>-4116</v>
      </c>
      <c r="S3344" s="274">
        <v>1050</v>
      </c>
      <c r="T3344" s="19" t="s">
        <v>42</v>
      </c>
      <c r="U3344" s="102" t="s">
        <v>1174</v>
      </c>
      <c r="V3344" s="186" t="s">
        <v>1175</v>
      </c>
      <c r="W3344" s="17" t="s">
        <v>69</v>
      </c>
      <c r="Y3344" s="68">
        <v>45161</v>
      </c>
      <c r="Z3344" s="17" t="s">
        <v>191</v>
      </c>
      <c r="AA3344" s="17" t="s">
        <v>46</v>
      </c>
      <c r="AB3344" s="17" t="s">
        <v>1123</v>
      </c>
      <c r="AC3344" s="102" t="s">
        <v>1124</v>
      </c>
      <c r="AD3344" s="65">
        <v>1445</v>
      </c>
      <c r="AE3344" s="17" t="s">
        <v>48</v>
      </c>
    </row>
    <row r="3345" s="17" customFormat="1" ht="15.6" hidden="1" spans="1:31">
      <c r="A3345" s="17" t="s">
        <v>34</v>
      </c>
      <c r="B3345" s="19">
        <v>916</v>
      </c>
      <c r="C3345" s="183" t="s">
        <v>1173</v>
      </c>
      <c r="D3345" s="17" t="s">
        <v>52</v>
      </c>
      <c r="E3345" s="17" t="s">
        <v>1113</v>
      </c>
      <c r="F3345" s="17" t="s">
        <v>54</v>
      </c>
      <c r="H3345" s="19" t="s">
        <v>1114</v>
      </c>
      <c r="I3345" s="19"/>
      <c r="J3345" s="17" t="s">
        <v>49</v>
      </c>
      <c r="K3345" s="19">
        <v>2200</v>
      </c>
      <c r="L3345" s="19">
        <v>71</v>
      </c>
      <c r="M3345" s="19">
        <v>5500</v>
      </c>
      <c r="N3345" s="19" t="s">
        <v>66</v>
      </c>
      <c r="O3345" s="19" t="s">
        <v>141</v>
      </c>
      <c r="P3345" s="99">
        <v>13856</v>
      </c>
      <c r="Q3345" s="19">
        <f>6144+6144</f>
        <v>12288</v>
      </c>
      <c r="R3345" s="19">
        <f>+P3345-Q3345</f>
        <v>1568</v>
      </c>
      <c r="S3345" s="274">
        <v>1050</v>
      </c>
      <c r="T3345" s="19" t="s">
        <v>42</v>
      </c>
      <c r="U3345" s="102" t="s">
        <v>1174</v>
      </c>
      <c r="V3345" s="186" t="s">
        <v>1175</v>
      </c>
      <c r="W3345" s="17" t="s">
        <v>69</v>
      </c>
      <c r="Y3345" s="68">
        <v>45161</v>
      </c>
      <c r="Z3345" s="17" t="s">
        <v>191</v>
      </c>
      <c r="AA3345" s="17" t="s">
        <v>46</v>
      </c>
      <c r="AB3345" s="17" t="s">
        <v>1176</v>
      </c>
      <c r="AC3345" s="102" t="s">
        <v>1117</v>
      </c>
      <c r="AD3345" s="65">
        <v>1442</v>
      </c>
      <c r="AE3345" s="17" t="s">
        <v>48</v>
      </c>
    </row>
    <row r="3346" s="17" customFormat="1" ht="15.6" hidden="1" spans="1:31">
      <c r="A3346" s="17" t="s">
        <v>34</v>
      </c>
      <c r="B3346" s="19">
        <v>916</v>
      </c>
      <c r="C3346" s="183" t="s">
        <v>1173</v>
      </c>
      <c r="D3346" s="17" t="s">
        <v>52</v>
      </c>
      <c r="E3346" s="17" t="s">
        <v>1113</v>
      </c>
      <c r="F3346" s="17" t="s">
        <v>54</v>
      </c>
      <c r="H3346" s="19" t="s">
        <v>1114</v>
      </c>
      <c r="I3346" s="19"/>
      <c r="J3346" s="17" t="s">
        <v>49</v>
      </c>
      <c r="K3346" s="19">
        <v>2200</v>
      </c>
      <c r="L3346" s="19">
        <v>91</v>
      </c>
      <c r="M3346" s="19">
        <v>5500</v>
      </c>
      <c r="N3346" s="19" t="s">
        <v>66</v>
      </c>
      <c r="O3346" s="19" t="s">
        <v>141</v>
      </c>
      <c r="P3346" s="99">
        <v>17759</v>
      </c>
      <c r="Q3346" s="19">
        <f>7810+8050+9240</f>
        <v>25100</v>
      </c>
      <c r="R3346" s="19">
        <f>+P3346-Q3346</f>
        <v>-7341</v>
      </c>
      <c r="S3346" s="274">
        <v>1050</v>
      </c>
      <c r="T3346" s="19" t="s">
        <v>42</v>
      </c>
      <c r="U3346" s="102" t="s">
        <v>1174</v>
      </c>
      <c r="V3346" s="186" t="s">
        <v>1175</v>
      </c>
      <c r="W3346" s="17" t="s">
        <v>69</v>
      </c>
      <c r="Y3346" s="68">
        <v>45161</v>
      </c>
      <c r="Z3346" s="17" t="s">
        <v>191</v>
      </c>
      <c r="AA3346" s="17" t="s">
        <v>46</v>
      </c>
      <c r="AB3346" s="17" t="s">
        <v>1126</v>
      </c>
      <c r="AC3346" s="102" t="s">
        <v>1127</v>
      </c>
      <c r="AD3346" s="65">
        <v>1447</v>
      </c>
      <c r="AE3346" s="17" t="s">
        <v>48</v>
      </c>
    </row>
    <row r="3347" s="17" customFormat="1" ht="15.6" hidden="1" spans="1:31">
      <c r="A3347" s="17" t="s">
        <v>34</v>
      </c>
      <c r="B3347" s="19">
        <v>916</v>
      </c>
      <c r="C3347" s="183" t="s">
        <v>1173</v>
      </c>
      <c r="D3347" s="17" t="s">
        <v>52</v>
      </c>
      <c r="E3347" s="17" t="s">
        <v>1113</v>
      </c>
      <c r="F3347" s="17" t="s">
        <v>54</v>
      </c>
      <c r="H3347" s="19" t="s">
        <v>1114</v>
      </c>
      <c r="I3347" s="19"/>
      <c r="J3347" s="17" t="s">
        <v>49</v>
      </c>
      <c r="K3347" s="19">
        <v>2200</v>
      </c>
      <c r="L3347" s="19">
        <v>101</v>
      </c>
      <c r="M3347" s="19">
        <v>5500</v>
      </c>
      <c r="N3347" s="19" t="s">
        <v>66</v>
      </c>
      <c r="O3347" s="19" t="s">
        <v>141</v>
      </c>
      <c r="P3347" s="99">
        <v>9855</v>
      </c>
      <c r="Q3347" s="19">
        <v>10020</v>
      </c>
      <c r="R3347" s="19">
        <f>+P3347-Q3347</f>
        <v>-165</v>
      </c>
      <c r="S3347" s="274">
        <v>1050</v>
      </c>
      <c r="T3347" s="19" t="s">
        <v>42</v>
      </c>
      <c r="U3347" s="102" t="s">
        <v>1174</v>
      </c>
      <c r="V3347" s="186" t="s">
        <v>1175</v>
      </c>
      <c r="W3347" s="17" t="s">
        <v>69</v>
      </c>
      <c r="Y3347" s="68">
        <v>45161</v>
      </c>
      <c r="Z3347" s="17" t="s">
        <v>191</v>
      </c>
      <c r="AA3347" s="17" t="s">
        <v>46</v>
      </c>
      <c r="AB3347" s="17" t="s">
        <v>1129</v>
      </c>
      <c r="AC3347" s="102" t="s">
        <v>1127</v>
      </c>
      <c r="AD3347" s="65">
        <v>1449</v>
      </c>
      <c r="AE3347" s="17" t="s">
        <v>48</v>
      </c>
    </row>
    <row r="3348" s="17" customFormat="1" ht="15.6" hidden="1" spans="1:31">
      <c r="A3348" s="17" t="s">
        <v>34</v>
      </c>
      <c r="B3348" s="19">
        <v>916</v>
      </c>
      <c r="C3348" s="183" t="s">
        <v>1173</v>
      </c>
      <c r="D3348" s="17" t="s">
        <v>52</v>
      </c>
      <c r="E3348" s="17" t="s">
        <v>1113</v>
      </c>
      <c r="F3348" s="17" t="s">
        <v>54</v>
      </c>
      <c r="H3348" s="19" t="s">
        <v>1114</v>
      </c>
      <c r="I3348" s="19"/>
      <c r="J3348" s="17" t="s">
        <v>49</v>
      </c>
      <c r="K3348" s="19">
        <v>2200</v>
      </c>
      <c r="L3348" s="19">
        <v>105</v>
      </c>
      <c r="M3348" s="19">
        <v>5500</v>
      </c>
      <c r="N3348" s="19" t="s">
        <v>66</v>
      </c>
      <c r="O3348" s="19" t="s">
        <v>141</v>
      </c>
      <c r="P3348" s="99">
        <v>20491</v>
      </c>
      <c r="Q3348" s="19">
        <v>9728</v>
      </c>
      <c r="R3348" s="19">
        <f>+P3348-Q3348</f>
        <v>10763</v>
      </c>
      <c r="S3348" s="274">
        <v>1050</v>
      </c>
      <c r="T3348" s="19" t="s">
        <v>42</v>
      </c>
      <c r="U3348" s="102" t="s">
        <v>1174</v>
      </c>
      <c r="V3348" s="186" t="s">
        <v>1175</v>
      </c>
      <c r="W3348" s="17" t="s">
        <v>69</v>
      </c>
      <c r="Y3348" s="68">
        <v>45161</v>
      </c>
      <c r="Z3348" s="17" t="s">
        <v>191</v>
      </c>
      <c r="AA3348" s="17" t="s">
        <v>46</v>
      </c>
      <c r="AB3348" s="17" t="s">
        <v>1176</v>
      </c>
      <c r="AC3348" s="102" t="s">
        <v>1117</v>
      </c>
      <c r="AD3348" s="65">
        <v>1442</v>
      </c>
      <c r="AE3348" s="17" t="s">
        <v>48</v>
      </c>
    </row>
    <row r="3349" s="17" customFormat="1" ht="15.6" hidden="1" spans="1:31">
      <c r="A3349" s="17" t="s">
        <v>34</v>
      </c>
      <c r="B3349" s="19">
        <v>916</v>
      </c>
      <c r="C3349" s="183" t="s">
        <v>1173</v>
      </c>
      <c r="D3349" s="17" t="s">
        <v>52</v>
      </c>
      <c r="E3349" s="17" t="s">
        <v>1113</v>
      </c>
      <c r="F3349" s="17" t="s">
        <v>54</v>
      </c>
      <c r="H3349" s="19" t="s">
        <v>1114</v>
      </c>
      <c r="I3349" s="19"/>
      <c r="J3349" s="17" t="s">
        <v>82</v>
      </c>
      <c r="K3349" s="19">
        <v>205</v>
      </c>
      <c r="L3349" s="19">
        <v>25</v>
      </c>
      <c r="M3349" s="19">
        <v>2200</v>
      </c>
      <c r="N3349" s="19" t="s">
        <v>66</v>
      </c>
      <c r="O3349" s="19" t="s">
        <v>141</v>
      </c>
      <c r="P3349" s="99">
        <v>1091</v>
      </c>
      <c r="Q3349" s="19">
        <f>547+181</f>
        <v>728</v>
      </c>
      <c r="S3349" s="274">
        <v>1070</v>
      </c>
      <c r="T3349" s="19" t="s">
        <v>42</v>
      </c>
      <c r="U3349" s="102" t="s">
        <v>1174</v>
      </c>
      <c r="V3349" s="186" t="s">
        <v>1175</v>
      </c>
      <c r="W3349" s="17" t="s">
        <v>69</v>
      </c>
      <c r="Y3349" s="68">
        <v>45161</v>
      </c>
      <c r="Z3349" s="17" t="s">
        <v>191</v>
      </c>
      <c r="AA3349" s="17" t="s">
        <v>46</v>
      </c>
      <c r="AB3349" s="17" t="s">
        <v>1128</v>
      </c>
      <c r="AC3349" s="102" t="s">
        <v>1124</v>
      </c>
      <c r="AD3349" s="65">
        <v>1448</v>
      </c>
      <c r="AE3349" s="17" t="s">
        <v>74</v>
      </c>
    </row>
    <row r="3350" s="17" customFormat="1" ht="15.6" hidden="1" spans="1:31">
      <c r="B3350" s="19">
        <v>916</v>
      </c>
      <c r="C3350" s="183" t="s">
        <v>1173</v>
      </c>
      <c r="D3350" s="17" t="s">
        <v>52</v>
      </c>
      <c r="E3350" s="17" t="s">
        <v>1113</v>
      </c>
      <c r="F3350" s="17" t="s">
        <v>54</v>
      </c>
      <c r="H3350" s="19" t="s">
        <v>1114</v>
      </c>
      <c r="I3350" s="19"/>
      <c r="J3350" s="17" t="s">
        <v>82</v>
      </c>
      <c r="K3350" s="19">
        <v>205</v>
      </c>
      <c r="L3350" s="19">
        <v>25</v>
      </c>
      <c r="M3350" s="19">
        <v>2200</v>
      </c>
      <c r="N3350" s="19" t="s">
        <v>66</v>
      </c>
      <c r="O3350" s="19" t="s">
        <v>141</v>
      </c>
      <c r="P3350" s="99"/>
      <c r="Q3350" s="19">
        <f>93+93+89+90+90</f>
        <v>455</v>
      </c>
      <c r="R3350" s="99">
        <f>+P3349-Q3349-Q3350</f>
        <v>-92</v>
      </c>
      <c r="S3350" s="274">
        <f>1070-40</f>
        <v>1030</v>
      </c>
      <c r="T3350" s="19" t="s">
        <v>42</v>
      </c>
      <c r="U3350" s="102" t="s">
        <v>1174</v>
      </c>
      <c r="V3350" s="186" t="s">
        <v>1175</v>
      </c>
      <c r="W3350" s="17" t="s">
        <v>44</v>
      </c>
      <c r="Y3350" s="68">
        <v>45161</v>
      </c>
      <c r="Z3350" s="17" t="s">
        <v>191</v>
      </c>
      <c r="AA3350" s="17" t="s">
        <v>46</v>
      </c>
      <c r="AB3350" s="17" t="s">
        <v>1142</v>
      </c>
      <c r="AC3350" s="102" t="s">
        <v>1143</v>
      </c>
      <c r="AD3350" s="65">
        <v>1465</v>
      </c>
      <c r="AE3350" s="17" t="s">
        <v>74</v>
      </c>
    </row>
    <row r="3351" s="17" customFormat="1" ht="15.6" hidden="1" spans="1:31">
      <c r="A3351" s="17" t="s">
        <v>34</v>
      </c>
      <c r="B3351" s="19">
        <v>916</v>
      </c>
      <c r="C3351" s="183" t="s">
        <v>1173</v>
      </c>
      <c r="D3351" s="17" t="s">
        <v>52</v>
      </c>
      <c r="E3351" s="17" t="s">
        <v>1113</v>
      </c>
      <c r="F3351" s="17" t="s">
        <v>54</v>
      </c>
      <c r="H3351" s="19" t="s">
        <v>1114</v>
      </c>
      <c r="I3351" s="19"/>
      <c r="J3351" s="17" t="s">
        <v>82</v>
      </c>
      <c r="K3351" s="19">
        <v>255</v>
      </c>
      <c r="L3351" s="19">
        <v>25</v>
      </c>
      <c r="M3351" s="19">
        <v>2200</v>
      </c>
      <c r="N3351" s="19" t="s">
        <v>66</v>
      </c>
      <c r="O3351" s="19" t="s">
        <v>141</v>
      </c>
      <c r="P3351" s="99">
        <v>1018</v>
      </c>
      <c r="Q3351" s="98">
        <f>113+113+112+113+112+113+113</f>
        <v>789</v>
      </c>
      <c r="S3351" s="274">
        <v>1070</v>
      </c>
      <c r="T3351" s="19" t="s">
        <v>42</v>
      </c>
      <c r="U3351" s="102" t="s">
        <v>1174</v>
      </c>
      <c r="V3351" s="186" t="s">
        <v>1175</v>
      </c>
      <c r="W3351" s="17" t="s">
        <v>69</v>
      </c>
      <c r="Y3351" s="68">
        <v>45161</v>
      </c>
      <c r="Z3351" s="17" t="s">
        <v>191</v>
      </c>
      <c r="AA3351" s="17" t="s">
        <v>46</v>
      </c>
      <c r="AB3351" s="17" t="s">
        <v>1116</v>
      </c>
      <c r="AC3351" s="102" t="s">
        <v>1117</v>
      </c>
      <c r="AD3351" s="65">
        <v>1443</v>
      </c>
      <c r="AE3351" s="17" t="s">
        <v>74</v>
      </c>
    </row>
    <row r="3352" s="17" customFormat="1" ht="15.6" hidden="1" spans="1:31">
      <c r="A3352" s="17" t="s">
        <v>34</v>
      </c>
      <c r="B3352" s="19">
        <v>916</v>
      </c>
      <c r="C3352" s="183" t="s">
        <v>1110</v>
      </c>
      <c r="D3352" s="17" t="s">
        <v>52</v>
      </c>
      <c r="E3352" s="17" t="s">
        <v>1113</v>
      </c>
      <c r="F3352" s="17" t="s">
        <v>54</v>
      </c>
      <c r="H3352" s="19" t="s">
        <v>1114</v>
      </c>
      <c r="I3352" s="19"/>
      <c r="J3352" s="17" t="s">
        <v>82</v>
      </c>
      <c r="K3352" s="19">
        <v>255</v>
      </c>
      <c r="L3352" s="19">
        <v>25</v>
      </c>
      <c r="M3352" s="19">
        <v>2200</v>
      </c>
      <c r="N3352" s="19" t="s">
        <v>66</v>
      </c>
      <c r="O3352" s="19" t="s">
        <v>141</v>
      </c>
      <c r="P3352" s="99"/>
      <c r="Q3352" s="98">
        <f>112+113</f>
        <v>225</v>
      </c>
      <c r="R3352" s="99">
        <f>+P3351-Q3351-Q3352</f>
        <v>4</v>
      </c>
      <c r="S3352" s="274">
        <v>1070</v>
      </c>
      <c r="T3352" s="19" t="s">
        <v>42</v>
      </c>
      <c r="U3352" s="102" t="s">
        <v>1174</v>
      </c>
      <c r="V3352" s="186" t="s">
        <v>1175</v>
      </c>
      <c r="W3352" s="17" t="s">
        <v>69</v>
      </c>
      <c r="Y3352" s="68">
        <v>45161</v>
      </c>
      <c r="Z3352" s="17" t="s">
        <v>191</v>
      </c>
      <c r="AA3352" s="17" t="s">
        <v>46</v>
      </c>
      <c r="AB3352" s="17" t="s">
        <v>1119</v>
      </c>
      <c r="AC3352" s="102" t="s">
        <v>1120</v>
      </c>
      <c r="AD3352" s="65">
        <v>1451</v>
      </c>
      <c r="AE3352" s="17" t="s">
        <v>74</v>
      </c>
    </row>
    <row r="3353" s="17" customFormat="1" ht="15.6" hidden="1" spans="1:31">
      <c r="A3353" s="17" t="s">
        <v>34</v>
      </c>
      <c r="B3353" s="19">
        <v>916</v>
      </c>
      <c r="C3353" s="183" t="s">
        <v>1173</v>
      </c>
      <c r="D3353" s="17" t="s">
        <v>52</v>
      </c>
      <c r="E3353" s="17" t="s">
        <v>1113</v>
      </c>
      <c r="F3353" s="17" t="s">
        <v>54</v>
      </c>
      <c r="H3353" s="19" t="s">
        <v>1114</v>
      </c>
      <c r="I3353" s="19"/>
      <c r="J3353" s="17" t="s">
        <v>82</v>
      </c>
      <c r="K3353" s="19">
        <v>305</v>
      </c>
      <c r="L3353" s="19">
        <v>25</v>
      </c>
      <c r="M3353" s="19">
        <v>2200</v>
      </c>
      <c r="N3353" s="19" t="s">
        <v>66</v>
      </c>
      <c r="O3353" s="19" t="s">
        <v>141</v>
      </c>
      <c r="P3353" s="99">
        <v>1082</v>
      </c>
      <c r="Q3353" s="98">
        <v>272</v>
      </c>
      <c r="R3353" s="19">
        <f>+P3353-Q3353</f>
        <v>810</v>
      </c>
      <c r="S3353" s="274">
        <v>1070</v>
      </c>
      <c r="T3353" s="19" t="s">
        <v>42</v>
      </c>
      <c r="U3353" s="102" t="s">
        <v>1174</v>
      </c>
      <c r="V3353" s="186" t="s">
        <v>1175</v>
      </c>
      <c r="W3353" s="17" t="s">
        <v>69</v>
      </c>
      <c r="Y3353" s="68">
        <v>45161</v>
      </c>
      <c r="Z3353" s="17" t="s">
        <v>191</v>
      </c>
      <c r="AA3353" s="17" t="s">
        <v>46</v>
      </c>
      <c r="AB3353" s="17" t="s">
        <v>1128</v>
      </c>
      <c r="AC3353" s="102" t="s">
        <v>1124</v>
      </c>
      <c r="AD3353" s="65">
        <v>1448</v>
      </c>
      <c r="AE3353" s="17" t="s">
        <v>74</v>
      </c>
    </row>
    <row r="3354" s="17" customFormat="1" ht="15.6" hidden="1" spans="1:31">
      <c r="A3354" s="17" t="s">
        <v>34</v>
      </c>
      <c r="B3354" s="19">
        <v>916</v>
      </c>
      <c r="C3354" s="183" t="s">
        <v>1173</v>
      </c>
      <c r="D3354" s="17" t="s">
        <v>52</v>
      </c>
      <c r="E3354" s="17" t="s">
        <v>1113</v>
      </c>
      <c r="F3354" s="17" t="s">
        <v>54</v>
      </c>
      <c r="H3354" s="19" t="s">
        <v>1114</v>
      </c>
      <c r="I3354" s="19"/>
      <c r="J3354" s="17" t="s">
        <v>82</v>
      </c>
      <c r="K3354" s="19">
        <v>355</v>
      </c>
      <c r="L3354" s="19">
        <v>25</v>
      </c>
      <c r="M3354" s="19">
        <v>2200</v>
      </c>
      <c r="N3354" s="19" t="s">
        <v>66</v>
      </c>
      <c r="O3354" s="19" t="s">
        <v>141</v>
      </c>
      <c r="P3354" s="99">
        <v>945</v>
      </c>
      <c r="Q3354" s="98">
        <f>155+156+156</f>
        <v>467</v>
      </c>
      <c r="S3354" s="274">
        <v>1070</v>
      </c>
      <c r="T3354" s="19" t="s">
        <v>42</v>
      </c>
      <c r="U3354" s="102" t="s">
        <v>1174</v>
      </c>
      <c r="V3354" s="186" t="s">
        <v>1175</v>
      </c>
      <c r="W3354" s="17" t="s">
        <v>69</v>
      </c>
      <c r="Y3354" s="68">
        <v>45161</v>
      </c>
      <c r="Z3354" s="17" t="s">
        <v>191</v>
      </c>
      <c r="AA3354" s="17" t="s">
        <v>46</v>
      </c>
      <c r="AB3354" s="17" t="s">
        <v>1116</v>
      </c>
      <c r="AC3354" s="102" t="s">
        <v>1117</v>
      </c>
      <c r="AD3354" s="65">
        <v>1443</v>
      </c>
      <c r="AE3354" s="17" t="s">
        <v>74</v>
      </c>
    </row>
    <row r="3355" s="17" customFormat="1" ht="15.6" hidden="1" spans="1:31">
      <c r="A3355" s="17" t="s">
        <v>34</v>
      </c>
      <c r="B3355" s="19">
        <v>916</v>
      </c>
      <c r="C3355" s="183" t="s">
        <v>1173</v>
      </c>
      <c r="D3355" s="17" t="s">
        <v>52</v>
      </c>
      <c r="E3355" s="17" t="s">
        <v>1113</v>
      </c>
      <c r="F3355" s="17" t="s">
        <v>54</v>
      </c>
      <c r="H3355" s="19" t="s">
        <v>1114</v>
      </c>
      <c r="I3355" s="19"/>
      <c r="J3355" s="17" t="s">
        <v>82</v>
      </c>
      <c r="K3355" s="19">
        <v>355</v>
      </c>
      <c r="L3355" s="19">
        <v>25</v>
      </c>
      <c r="M3355" s="19">
        <v>2200</v>
      </c>
      <c r="N3355" s="19" t="s">
        <v>66</v>
      </c>
      <c r="O3355" s="19" t="s">
        <v>141</v>
      </c>
      <c r="P3355" s="99"/>
      <c r="Q3355" s="98">
        <v>468</v>
      </c>
      <c r="R3355" s="99">
        <f>+P3354-Q3354-Q3355</f>
        <v>10</v>
      </c>
      <c r="S3355" s="274">
        <v>1070</v>
      </c>
      <c r="T3355" s="19" t="s">
        <v>42</v>
      </c>
      <c r="U3355" s="102" t="s">
        <v>1174</v>
      </c>
      <c r="V3355" s="186" t="s">
        <v>1175</v>
      </c>
      <c r="W3355" s="17" t="s">
        <v>69</v>
      </c>
      <c r="Y3355" s="68">
        <v>45161</v>
      </c>
      <c r="Z3355" s="17" t="s">
        <v>191</v>
      </c>
      <c r="AA3355" s="17" t="s">
        <v>46</v>
      </c>
      <c r="AB3355" s="17" t="s">
        <v>1119</v>
      </c>
      <c r="AC3355" s="102" t="s">
        <v>1120</v>
      </c>
      <c r="AD3355" s="65">
        <v>1451</v>
      </c>
      <c r="AE3355" s="17" t="s">
        <v>74</v>
      </c>
    </row>
    <row r="3356" s="17" customFormat="1" ht="15.6" hidden="1" spans="1:31">
      <c r="A3356" s="17" t="s">
        <v>34</v>
      </c>
      <c r="B3356" s="19">
        <v>916</v>
      </c>
      <c r="C3356" s="183" t="s">
        <v>1173</v>
      </c>
      <c r="D3356" s="17" t="s">
        <v>52</v>
      </c>
      <c r="E3356" s="17" t="s">
        <v>1113</v>
      </c>
      <c r="F3356" s="17" t="s">
        <v>54</v>
      </c>
      <c r="H3356" s="19" t="s">
        <v>1114</v>
      </c>
      <c r="I3356" s="19"/>
      <c r="J3356" s="17" t="s">
        <v>82</v>
      </c>
      <c r="K3356" s="19">
        <v>405</v>
      </c>
      <c r="L3356" s="19">
        <v>25</v>
      </c>
      <c r="M3356" s="19">
        <v>2200</v>
      </c>
      <c r="N3356" s="19" t="s">
        <v>66</v>
      </c>
      <c r="O3356" s="19" t="s">
        <v>141</v>
      </c>
      <c r="P3356" s="99">
        <v>1078</v>
      </c>
      <c r="Q3356" s="98">
        <v>716</v>
      </c>
      <c r="S3356" s="274">
        <v>1070</v>
      </c>
      <c r="T3356" s="19" t="s">
        <v>42</v>
      </c>
      <c r="U3356" s="102" t="s">
        <v>1174</v>
      </c>
      <c r="V3356" s="186" t="s">
        <v>1175</v>
      </c>
      <c r="W3356" s="17" t="s">
        <v>69</v>
      </c>
      <c r="Y3356" s="68">
        <v>45161</v>
      </c>
      <c r="Z3356" s="17" t="s">
        <v>191</v>
      </c>
      <c r="AA3356" s="17" t="s">
        <v>46</v>
      </c>
      <c r="AB3356" s="17" t="s">
        <v>1128</v>
      </c>
      <c r="AC3356" s="102" t="s">
        <v>1124</v>
      </c>
      <c r="AD3356" s="65">
        <v>1448</v>
      </c>
      <c r="AE3356" s="17" t="s">
        <v>74</v>
      </c>
    </row>
    <row r="3357" s="17" customFormat="1" ht="15.6" hidden="1" spans="1:31">
      <c r="A3357" s="17" t="s">
        <v>34</v>
      </c>
      <c r="B3357" s="19">
        <v>916</v>
      </c>
      <c r="C3357" s="183" t="s">
        <v>1173</v>
      </c>
      <c r="D3357" s="17" t="s">
        <v>52</v>
      </c>
      <c r="E3357" s="17" t="s">
        <v>1113</v>
      </c>
      <c r="F3357" s="17" t="s">
        <v>54</v>
      </c>
      <c r="H3357" s="19" t="s">
        <v>1114</v>
      </c>
      <c r="I3357" s="19"/>
      <c r="J3357" s="17" t="s">
        <v>82</v>
      </c>
      <c r="K3357" s="19">
        <v>405</v>
      </c>
      <c r="L3357" s="19">
        <v>25</v>
      </c>
      <c r="M3357" s="19">
        <v>2200</v>
      </c>
      <c r="N3357" s="19" t="s">
        <v>66</v>
      </c>
      <c r="O3357" s="19" t="s">
        <v>141</v>
      </c>
      <c r="P3357" s="99"/>
      <c r="Q3357" s="98">
        <v>178</v>
      </c>
      <c r="R3357" s="99">
        <f>+P3356-Q3356-Q3357</f>
        <v>184</v>
      </c>
      <c r="S3357" s="274">
        <v>1070</v>
      </c>
      <c r="T3357" s="19" t="s">
        <v>42</v>
      </c>
      <c r="U3357" s="102" t="s">
        <v>1174</v>
      </c>
      <c r="V3357" s="186" t="s">
        <v>1175</v>
      </c>
      <c r="W3357" s="17" t="s">
        <v>69</v>
      </c>
      <c r="Y3357" s="68">
        <v>45161</v>
      </c>
      <c r="Z3357" s="17" t="s">
        <v>191</v>
      </c>
      <c r="AA3357" s="17" t="s">
        <v>46</v>
      </c>
      <c r="AB3357" s="17" t="s">
        <v>1150</v>
      </c>
      <c r="AC3357" s="102" t="s">
        <v>1151</v>
      </c>
      <c r="AD3357" s="65">
        <v>1455</v>
      </c>
      <c r="AE3357" s="17" t="s">
        <v>74</v>
      </c>
    </row>
    <row r="3358" s="17" customFormat="1" ht="15.6" hidden="1" spans="1:31">
      <c r="A3358" s="17" t="s">
        <v>34</v>
      </c>
      <c r="B3358" s="19">
        <v>916</v>
      </c>
      <c r="C3358" s="183" t="s">
        <v>1173</v>
      </c>
      <c r="D3358" s="17" t="s">
        <v>52</v>
      </c>
      <c r="E3358" s="17" t="s">
        <v>1113</v>
      </c>
      <c r="F3358" s="17" t="s">
        <v>54</v>
      </c>
      <c r="H3358" s="19" t="s">
        <v>1114</v>
      </c>
      <c r="I3358" s="19"/>
      <c r="J3358" s="17" t="s">
        <v>82</v>
      </c>
      <c r="K3358" s="19">
        <v>455</v>
      </c>
      <c r="L3358" s="19">
        <v>25</v>
      </c>
      <c r="M3358" s="19">
        <v>2200</v>
      </c>
      <c r="N3358" s="19" t="s">
        <v>66</v>
      </c>
      <c r="O3358" s="19" t="s">
        <v>141</v>
      </c>
      <c r="P3358" s="99">
        <v>1009</v>
      </c>
      <c r="Q3358" s="98">
        <v>1000</v>
      </c>
      <c r="R3358" s="19">
        <f>+P3358-Q3358</f>
        <v>9</v>
      </c>
      <c r="S3358" s="274">
        <v>1070</v>
      </c>
      <c r="T3358" s="19" t="s">
        <v>42</v>
      </c>
      <c r="U3358" s="102" t="s">
        <v>1174</v>
      </c>
      <c r="V3358" s="186" t="s">
        <v>1175</v>
      </c>
      <c r="W3358" s="17" t="s">
        <v>69</v>
      </c>
      <c r="Y3358" s="68">
        <v>45161</v>
      </c>
      <c r="Z3358" s="17" t="s">
        <v>191</v>
      </c>
      <c r="AA3358" s="17" t="s">
        <v>46</v>
      </c>
      <c r="AB3358" s="17" t="s">
        <v>1128</v>
      </c>
      <c r="AC3358" s="102" t="s">
        <v>1124</v>
      </c>
      <c r="AD3358" s="65">
        <v>1448</v>
      </c>
      <c r="AE3358" s="17" t="s">
        <v>74</v>
      </c>
    </row>
    <row r="3359" s="17" customFormat="1" ht="15.6" hidden="1" spans="1:31">
      <c r="A3359" s="17" t="s">
        <v>34</v>
      </c>
      <c r="B3359" s="19">
        <v>916</v>
      </c>
      <c r="C3359" s="183" t="s">
        <v>1173</v>
      </c>
      <c r="D3359" s="17" t="s">
        <v>52</v>
      </c>
      <c r="E3359" s="17" t="s">
        <v>1113</v>
      </c>
      <c r="F3359" s="17" t="s">
        <v>54</v>
      </c>
      <c r="H3359" s="19" t="s">
        <v>1114</v>
      </c>
      <c r="I3359" s="19"/>
      <c r="J3359" s="17" t="s">
        <v>82</v>
      </c>
      <c r="K3359" s="19">
        <v>505</v>
      </c>
      <c r="L3359" s="19">
        <v>25</v>
      </c>
      <c r="M3359" s="19">
        <v>2200</v>
      </c>
      <c r="N3359" s="19" t="s">
        <v>66</v>
      </c>
      <c r="O3359" s="19" t="s">
        <v>141</v>
      </c>
      <c r="P3359" s="99">
        <v>896</v>
      </c>
      <c r="Q3359" s="98">
        <v>884</v>
      </c>
      <c r="R3359" s="19">
        <f>+P3359-Q3359</f>
        <v>12</v>
      </c>
      <c r="S3359" s="274">
        <v>1070</v>
      </c>
      <c r="T3359" s="19" t="s">
        <v>42</v>
      </c>
      <c r="U3359" s="102" t="s">
        <v>1174</v>
      </c>
      <c r="V3359" s="186" t="s">
        <v>1175</v>
      </c>
      <c r="W3359" s="17" t="s">
        <v>69</v>
      </c>
      <c r="Y3359" s="68">
        <v>45161</v>
      </c>
      <c r="Z3359" s="17" t="s">
        <v>191</v>
      </c>
      <c r="AA3359" s="17" t="s">
        <v>46</v>
      </c>
      <c r="AB3359" s="17" t="s">
        <v>1128</v>
      </c>
      <c r="AC3359" s="102" t="s">
        <v>1124</v>
      </c>
      <c r="AD3359" s="65">
        <v>1448</v>
      </c>
      <c r="AE3359" s="17" t="s">
        <v>74</v>
      </c>
    </row>
    <row r="3360" s="17" customFormat="1" ht="15.6" hidden="1" spans="1:31">
      <c r="A3360" s="17" t="s">
        <v>34</v>
      </c>
      <c r="B3360" s="19">
        <v>916</v>
      </c>
      <c r="C3360" s="183" t="s">
        <v>1173</v>
      </c>
      <c r="D3360" s="17" t="s">
        <v>52</v>
      </c>
      <c r="E3360" s="17" t="s">
        <v>1113</v>
      </c>
      <c r="F3360" s="17" t="s">
        <v>54</v>
      </c>
      <c r="H3360" s="19" t="s">
        <v>1114</v>
      </c>
      <c r="I3360" s="19"/>
      <c r="J3360" s="17" t="s">
        <v>82</v>
      </c>
      <c r="K3360" s="19">
        <v>180</v>
      </c>
      <c r="L3360" s="19">
        <v>32</v>
      </c>
      <c r="M3360" s="19">
        <v>2200</v>
      </c>
      <c r="N3360" s="19" t="s">
        <v>66</v>
      </c>
      <c r="O3360" s="19" t="s">
        <v>141</v>
      </c>
      <c r="P3360" s="99">
        <v>511</v>
      </c>
      <c r="Q3360" s="98">
        <f>102+101+101+104+101</f>
        <v>509</v>
      </c>
      <c r="R3360" s="19">
        <f>+P3360-Q3360</f>
        <v>2</v>
      </c>
      <c r="S3360" s="274">
        <f t="shared" ref="S3360:S3367" si="166">1070-40</f>
        <v>1030</v>
      </c>
      <c r="T3360" s="19" t="s">
        <v>42</v>
      </c>
      <c r="U3360" s="102" t="s">
        <v>1174</v>
      </c>
      <c r="V3360" s="186" t="s">
        <v>1175</v>
      </c>
      <c r="W3360" s="17" t="s">
        <v>44</v>
      </c>
      <c r="Y3360" s="68">
        <v>45161</v>
      </c>
      <c r="Z3360" s="17" t="s">
        <v>191</v>
      </c>
      <c r="AA3360" s="17" t="s">
        <v>46</v>
      </c>
      <c r="AB3360" s="17" t="s">
        <v>1140</v>
      </c>
      <c r="AC3360" s="102" t="s">
        <v>1141</v>
      </c>
      <c r="AD3360" s="65">
        <v>1468</v>
      </c>
      <c r="AE3360" s="17" t="s">
        <v>48</v>
      </c>
    </row>
    <row r="3361" s="17" customFormat="1" ht="15.6" hidden="1" spans="1:32">
      <c r="A3361" s="17" t="s">
        <v>34</v>
      </c>
      <c r="B3361" s="19">
        <v>916</v>
      </c>
      <c r="C3361" s="183" t="s">
        <v>1173</v>
      </c>
      <c r="D3361" s="17" t="s">
        <v>52</v>
      </c>
      <c r="E3361" s="17" t="s">
        <v>1113</v>
      </c>
      <c r="F3361" s="17" t="s">
        <v>54</v>
      </c>
      <c r="H3361" s="19" t="s">
        <v>1114</v>
      </c>
      <c r="I3361" s="19"/>
      <c r="J3361" s="17" t="s">
        <v>82</v>
      </c>
      <c r="K3361" s="19">
        <v>205</v>
      </c>
      <c r="L3361" s="19">
        <v>32</v>
      </c>
      <c r="M3361" s="19">
        <v>2200</v>
      </c>
      <c r="N3361" s="19" t="s">
        <v>66</v>
      </c>
      <c r="O3361" s="19" t="s">
        <v>141</v>
      </c>
      <c r="P3361" s="19">
        <v>1513</v>
      </c>
      <c r="Q3361" s="98">
        <f>117+116+117+115</f>
        <v>465</v>
      </c>
      <c r="R3361" s="19">
        <f>+P3361-Q3361</f>
        <v>1048</v>
      </c>
      <c r="S3361" s="274">
        <f t="shared" si="166"/>
        <v>1030</v>
      </c>
      <c r="T3361" s="19" t="s">
        <v>42</v>
      </c>
      <c r="U3361" s="102" t="s">
        <v>1174</v>
      </c>
      <c r="V3361" s="186" t="s">
        <v>1175</v>
      </c>
      <c r="W3361" s="17" t="s">
        <v>44</v>
      </c>
      <c r="Y3361" s="68">
        <v>45161</v>
      </c>
      <c r="Z3361" s="17" t="s">
        <v>191</v>
      </c>
      <c r="AA3361" s="17" t="s">
        <v>46</v>
      </c>
      <c r="AB3361" s="17" t="s">
        <v>1140</v>
      </c>
      <c r="AC3361" s="102" t="s">
        <v>1141</v>
      </c>
      <c r="AD3361" s="65">
        <v>1468</v>
      </c>
      <c r="AE3361" s="17" t="s">
        <v>1177</v>
      </c>
    </row>
    <row r="3362" s="17" customFormat="1" ht="15.6" hidden="1" spans="1:32">
      <c r="B3362" s="19">
        <v>916</v>
      </c>
      <c r="C3362" s="183" t="s">
        <v>1173</v>
      </c>
      <c r="D3362" s="17" t="s">
        <v>52</v>
      </c>
      <c r="E3362" s="17" t="s">
        <v>1113</v>
      </c>
      <c r="F3362" s="17" t="s">
        <v>54</v>
      </c>
      <c r="H3362" s="19" t="s">
        <v>1114</v>
      </c>
      <c r="I3362" s="19"/>
      <c r="J3362" s="17" t="s">
        <v>82</v>
      </c>
      <c r="K3362" s="19">
        <v>230</v>
      </c>
      <c r="L3362" s="19">
        <v>32</v>
      </c>
      <c r="M3362" s="19">
        <v>2200</v>
      </c>
      <c r="N3362" s="19" t="s">
        <v>66</v>
      </c>
      <c r="O3362" s="19" t="s">
        <v>141</v>
      </c>
      <c r="P3362" s="19">
        <v>522</v>
      </c>
      <c r="Q3362" s="98">
        <v>131</v>
      </c>
      <c r="S3362" s="274">
        <f t="shared" si="166"/>
        <v>1030</v>
      </c>
      <c r="T3362" s="19" t="s">
        <v>42</v>
      </c>
      <c r="U3362" s="102" t="s">
        <v>1174</v>
      </c>
      <c r="V3362" s="186" t="s">
        <v>1175</v>
      </c>
      <c r="W3362" s="17" t="s">
        <v>44</v>
      </c>
      <c r="Y3362" s="68">
        <v>45161</v>
      </c>
      <c r="Z3362" s="17" t="s">
        <v>191</v>
      </c>
      <c r="AA3362" s="17" t="s">
        <v>46</v>
      </c>
      <c r="AB3362" s="17" t="s">
        <v>1142</v>
      </c>
      <c r="AC3362" s="102" t="s">
        <v>1143</v>
      </c>
      <c r="AD3362" s="65">
        <v>1465</v>
      </c>
      <c r="AE3362" s="17" t="s">
        <v>48</v>
      </c>
    </row>
    <row r="3363" s="17" customFormat="1" ht="15.6" hidden="1" spans="1:32">
      <c r="A3363" s="17" t="s">
        <v>34</v>
      </c>
      <c r="B3363" s="19">
        <v>916</v>
      </c>
      <c r="C3363" s="183" t="s">
        <v>1173</v>
      </c>
      <c r="D3363" s="17" t="s">
        <v>52</v>
      </c>
      <c r="E3363" s="17" t="s">
        <v>1113</v>
      </c>
      <c r="F3363" s="17" t="s">
        <v>54</v>
      </c>
      <c r="H3363" s="19" t="s">
        <v>1114</v>
      </c>
      <c r="I3363" s="19"/>
      <c r="J3363" s="17" t="s">
        <v>82</v>
      </c>
      <c r="K3363" s="19">
        <v>230</v>
      </c>
      <c r="L3363" s="19">
        <v>32</v>
      </c>
      <c r="M3363" s="19">
        <v>2200</v>
      </c>
      <c r="N3363" s="19" t="s">
        <v>66</v>
      </c>
      <c r="O3363" s="19" t="s">
        <v>141</v>
      </c>
      <c r="P3363" s="19"/>
      <c r="Q3363" s="98">
        <f>129+129</f>
        <v>258</v>
      </c>
      <c r="R3363" s="19">
        <f>+P3362-Q3362-Q3363</f>
        <v>133</v>
      </c>
      <c r="S3363" s="274">
        <f t="shared" si="166"/>
        <v>1030</v>
      </c>
      <c r="T3363" s="19" t="s">
        <v>42</v>
      </c>
      <c r="U3363" s="102" t="s">
        <v>1174</v>
      </c>
      <c r="V3363" s="186" t="s">
        <v>1175</v>
      </c>
      <c r="W3363" s="17" t="s">
        <v>44</v>
      </c>
      <c r="Y3363" s="68">
        <v>45161</v>
      </c>
      <c r="Z3363" s="17" t="s">
        <v>191</v>
      </c>
      <c r="AA3363" s="17" t="s">
        <v>46</v>
      </c>
      <c r="AB3363" s="17" t="s">
        <v>1140</v>
      </c>
      <c r="AC3363" s="102" t="s">
        <v>1141</v>
      </c>
      <c r="AD3363" s="65">
        <v>1468</v>
      </c>
      <c r="AE3363" s="17" t="s">
        <v>48</v>
      </c>
    </row>
    <row r="3364" s="17" customFormat="1" ht="15.6" hidden="1" spans="1:32">
      <c r="B3364" s="19">
        <v>916</v>
      </c>
      <c r="C3364" s="183" t="s">
        <v>1173</v>
      </c>
      <c r="D3364" s="17" t="s">
        <v>52</v>
      </c>
      <c r="E3364" s="17" t="s">
        <v>1113</v>
      </c>
      <c r="F3364" s="17" t="s">
        <v>54</v>
      </c>
      <c r="H3364" s="19" t="s">
        <v>1114</v>
      </c>
      <c r="I3364" s="19"/>
      <c r="J3364" s="17" t="s">
        <v>82</v>
      </c>
      <c r="K3364" s="19">
        <v>255</v>
      </c>
      <c r="L3364" s="19">
        <v>32</v>
      </c>
      <c r="M3364" s="19">
        <v>2200</v>
      </c>
      <c r="N3364" s="19" t="s">
        <v>66</v>
      </c>
      <c r="O3364" s="19" t="s">
        <v>141</v>
      </c>
      <c r="P3364" s="19">
        <v>1448</v>
      </c>
      <c r="Q3364" s="98">
        <f>142+144+144+143+141+141+141</f>
        <v>996</v>
      </c>
      <c r="S3364" s="274">
        <f t="shared" si="166"/>
        <v>1030</v>
      </c>
      <c r="T3364" s="19" t="s">
        <v>42</v>
      </c>
      <c r="U3364" s="102" t="s">
        <v>1174</v>
      </c>
      <c r="V3364" s="186" t="s">
        <v>1175</v>
      </c>
      <c r="W3364" s="17" t="s">
        <v>44</v>
      </c>
      <c r="Y3364" s="68">
        <v>45161</v>
      </c>
      <c r="Z3364" s="17" t="s">
        <v>191</v>
      </c>
      <c r="AA3364" s="17" t="s">
        <v>46</v>
      </c>
      <c r="AB3364" s="17" t="s">
        <v>1142</v>
      </c>
      <c r="AC3364" s="102" t="s">
        <v>1143</v>
      </c>
      <c r="AD3364" s="65">
        <v>1465</v>
      </c>
      <c r="AE3364" s="17" t="s">
        <v>1177</v>
      </c>
    </row>
    <row r="3365" s="17" customFormat="1" ht="15.6" hidden="1" spans="1:32">
      <c r="A3365" s="17" t="s">
        <v>34</v>
      </c>
      <c r="B3365" s="19">
        <v>916</v>
      </c>
      <c r="C3365" s="183" t="s">
        <v>1173</v>
      </c>
      <c r="D3365" s="17" t="s">
        <v>52</v>
      </c>
      <c r="E3365" s="17" t="s">
        <v>1113</v>
      </c>
      <c r="F3365" s="17" t="s">
        <v>54</v>
      </c>
      <c r="H3365" s="19" t="s">
        <v>1114</v>
      </c>
      <c r="I3365" s="19"/>
      <c r="J3365" s="17" t="s">
        <v>82</v>
      </c>
      <c r="K3365" s="19">
        <v>255</v>
      </c>
      <c r="L3365" s="19">
        <v>32</v>
      </c>
      <c r="M3365" s="19">
        <v>2200</v>
      </c>
      <c r="N3365" s="19" t="s">
        <v>66</v>
      </c>
      <c r="O3365" s="19" t="s">
        <v>141</v>
      </c>
      <c r="P3365" s="19"/>
      <c r="Q3365" s="98">
        <f>146+145+142</f>
        <v>433</v>
      </c>
      <c r="R3365" s="19">
        <f>+P3364-Q3364-Q3365</f>
        <v>19</v>
      </c>
      <c r="S3365" s="274">
        <f t="shared" si="166"/>
        <v>1030</v>
      </c>
      <c r="T3365" s="19" t="s">
        <v>42</v>
      </c>
      <c r="U3365" s="102" t="s">
        <v>1174</v>
      </c>
      <c r="V3365" s="186" t="s">
        <v>1175</v>
      </c>
      <c r="W3365" s="17" t="s">
        <v>44</v>
      </c>
      <c r="Y3365" s="68">
        <v>45161</v>
      </c>
      <c r="Z3365" s="17" t="s">
        <v>191</v>
      </c>
      <c r="AA3365" s="17" t="s">
        <v>46</v>
      </c>
      <c r="AB3365" s="17" t="s">
        <v>1140</v>
      </c>
      <c r="AC3365" s="102" t="s">
        <v>1141</v>
      </c>
      <c r="AD3365" s="65">
        <v>1468</v>
      </c>
    </row>
    <row r="3366" s="17" customFormat="1" ht="15.6" hidden="1" spans="1:32">
      <c r="A3366" s="17" t="s">
        <v>34</v>
      </c>
      <c r="B3366" s="19">
        <v>916</v>
      </c>
      <c r="C3366" s="183" t="s">
        <v>1173</v>
      </c>
      <c r="D3366" s="17" t="s">
        <v>52</v>
      </c>
      <c r="E3366" s="17" t="s">
        <v>1113</v>
      </c>
      <c r="F3366" s="17" t="s">
        <v>54</v>
      </c>
      <c r="H3366" s="19" t="s">
        <v>1114</v>
      </c>
      <c r="I3366" s="19"/>
      <c r="J3366" s="17" t="s">
        <v>82</v>
      </c>
      <c r="K3366" s="19">
        <v>305</v>
      </c>
      <c r="L3366" s="19">
        <v>32</v>
      </c>
      <c r="M3366" s="19">
        <v>2200</v>
      </c>
      <c r="N3366" s="19" t="s">
        <v>66</v>
      </c>
      <c r="O3366" s="19" t="s">
        <v>141</v>
      </c>
      <c r="P3366" s="19">
        <v>1039</v>
      </c>
      <c r="Q3366" s="98">
        <v>179</v>
      </c>
      <c r="S3366" s="274">
        <f t="shared" si="166"/>
        <v>1030</v>
      </c>
      <c r="T3366" s="19" t="s">
        <v>42</v>
      </c>
      <c r="U3366" s="102" t="s">
        <v>1174</v>
      </c>
      <c r="V3366" s="186" t="s">
        <v>1175</v>
      </c>
      <c r="W3366" s="17" t="s">
        <v>44</v>
      </c>
      <c r="Y3366" s="68">
        <v>45161</v>
      </c>
      <c r="Z3366" s="17" t="s">
        <v>191</v>
      </c>
      <c r="AA3366" s="17" t="s">
        <v>46</v>
      </c>
      <c r="AB3366" s="17" t="s">
        <v>1140</v>
      </c>
      <c r="AC3366" s="102" t="s">
        <v>1141</v>
      </c>
      <c r="AD3366" s="65">
        <v>1468</v>
      </c>
      <c r="AE3366" s="17" t="s">
        <v>74</v>
      </c>
    </row>
    <row r="3367" s="17" customFormat="1" ht="15.6" hidden="1" spans="1:32">
      <c r="A3367" s="17" t="s">
        <v>34</v>
      </c>
      <c r="B3367" s="19">
        <v>916</v>
      </c>
      <c r="C3367" s="183" t="s">
        <v>1173</v>
      </c>
      <c r="D3367" s="17" t="s">
        <v>52</v>
      </c>
      <c r="E3367" s="17" t="s">
        <v>1113</v>
      </c>
      <c r="F3367" s="17" t="s">
        <v>54</v>
      </c>
      <c r="H3367" s="19" t="s">
        <v>1114</v>
      </c>
      <c r="I3367" s="19"/>
      <c r="J3367" s="17" t="s">
        <v>82</v>
      </c>
      <c r="K3367" s="19">
        <v>305</v>
      </c>
      <c r="L3367" s="19">
        <v>32</v>
      </c>
      <c r="M3367" s="19">
        <v>2200</v>
      </c>
      <c r="N3367" s="19" t="s">
        <v>66</v>
      </c>
      <c r="O3367" s="19" t="s">
        <v>141</v>
      </c>
      <c r="P3367" s="19"/>
      <c r="Q3367" s="98">
        <v>172</v>
      </c>
      <c r="R3367" s="19">
        <f>+P3366-Q3366-Q3367</f>
        <v>688</v>
      </c>
      <c r="S3367" s="274">
        <f t="shared" si="166"/>
        <v>1030</v>
      </c>
      <c r="T3367" s="19" t="s">
        <v>42</v>
      </c>
      <c r="U3367" s="102" t="s">
        <v>1174</v>
      </c>
      <c r="V3367" s="186" t="s">
        <v>1175</v>
      </c>
      <c r="W3367" s="17" t="s">
        <v>44</v>
      </c>
      <c r="Y3367" s="68">
        <v>45161</v>
      </c>
      <c r="Z3367" s="17" t="s">
        <v>191</v>
      </c>
      <c r="AA3367" s="17" t="s">
        <v>46</v>
      </c>
      <c r="AB3367" s="17" t="s">
        <v>1138</v>
      </c>
      <c r="AC3367" s="102" t="s">
        <v>1139</v>
      </c>
      <c r="AD3367" s="65">
        <v>1473</v>
      </c>
    </row>
    <row r="3368" s="17" customFormat="1" ht="15.6" hidden="1" spans="1:32">
      <c r="A3368" s="17" t="s">
        <v>34</v>
      </c>
      <c r="B3368" s="19">
        <v>916</v>
      </c>
      <c r="C3368" s="183" t="s">
        <v>1173</v>
      </c>
      <c r="D3368" s="17" t="s">
        <v>52</v>
      </c>
      <c r="E3368" s="17" t="s">
        <v>1113</v>
      </c>
      <c r="F3368" s="17" t="s">
        <v>54</v>
      </c>
      <c r="H3368" s="19" t="s">
        <v>1114</v>
      </c>
      <c r="I3368" s="19"/>
      <c r="J3368" s="17" t="s">
        <v>82</v>
      </c>
      <c r="K3368" s="19">
        <v>310</v>
      </c>
      <c r="L3368" s="19">
        <v>32</v>
      </c>
      <c r="M3368" s="19">
        <v>2200</v>
      </c>
      <c r="N3368" s="19" t="s">
        <v>66</v>
      </c>
      <c r="O3368" s="19" t="s">
        <v>141</v>
      </c>
      <c r="P3368" s="19">
        <v>528</v>
      </c>
      <c r="Q3368" s="98">
        <f>174+176+176</f>
        <v>526</v>
      </c>
      <c r="R3368" s="19">
        <f t="shared" ref="R3368:R3379" si="167">+P3368-Q3368</f>
        <v>2</v>
      </c>
      <c r="S3368" s="274">
        <v>1070</v>
      </c>
      <c r="T3368" s="19" t="s">
        <v>42</v>
      </c>
      <c r="U3368" s="102" t="s">
        <v>1174</v>
      </c>
      <c r="V3368" s="186" t="s">
        <v>1175</v>
      </c>
      <c r="W3368" s="17" t="s">
        <v>69</v>
      </c>
      <c r="Y3368" s="68">
        <v>45161</v>
      </c>
      <c r="Z3368" s="17" t="s">
        <v>191</v>
      </c>
      <c r="AA3368" s="17" t="s">
        <v>46</v>
      </c>
      <c r="AB3368" s="17" t="s">
        <v>1176</v>
      </c>
      <c r="AC3368" s="102" t="s">
        <v>1117</v>
      </c>
      <c r="AD3368" s="65">
        <v>1442</v>
      </c>
      <c r="AE3368" s="17" t="s">
        <v>48</v>
      </c>
    </row>
    <row r="3369" s="17" customFormat="1" ht="15.6" hidden="1" spans="1:32">
      <c r="A3369" s="17" t="s">
        <v>34</v>
      </c>
      <c r="B3369" s="19">
        <v>916</v>
      </c>
      <c r="C3369" s="183" t="s">
        <v>1173</v>
      </c>
      <c r="D3369" s="17" t="s">
        <v>52</v>
      </c>
      <c r="E3369" s="17" t="s">
        <v>1113</v>
      </c>
      <c r="F3369" s="17" t="s">
        <v>54</v>
      </c>
      <c r="H3369" s="19" t="s">
        <v>1114</v>
      </c>
      <c r="I3369" s="19"/>
      <c r="J3369" s="17" t="s">
        <v>82</v>
      </c>
      <c r="K3369" s="19">
        <v>330</v>
      </c>
      <c r="L3369" s="19">
        <v>32</v>
      </c>
      <c r="M3369" s="19">
        <v>2200</v>
      </c>
      <c r="N3369" s="19" t="s">
        <v>66</v>
      </c>
      <c r="O3369" s="19" t="s">
        <v>141</v>
      </c>
      <c r="P3369" s="19">
        <v>562</v>
      </c>
      <c r="Q3369" s="98">
        <f>187+187+187</f>
        <v>561</v>
      </c>
      <c r="R3369" s="19">
        <f t="shared" si="167"/>
        <v>1</v>
      </c>
      <c r="S3369" s="274">
        <v>1070</v>
      </c>
      <c r="T3369" s="19" t="s">
        <v>42</v>
      </c>
      <c r="U3369" s="102" t="s">
        <v>1174</v>
      </c>
      <c r="V3369" s="186" t="s">
        <v>1175</v>
      </c>
      <c r="W3369" s="17" t="s">
        <v>69</v>
      </c>
      <c r="Y3369" s="68">
        <v>45161</v>
      </c>
      <c r="Z3369" s="17" t="s">
        <v>191</v>
      </c>
      <c r="AA3369" s="17" t="s">
        <v>46</v>
      </c>
      <c r="AB3369" s="17" t="s">
        <v>1176</v>
      </c>
      <c r="AC3369" s="102" t="s">
        <v>1117</v>
      </c>
      <c r="AD3369" s="65">
        <v>1442</v>
      </c>
      <c r="AE3369" s="17" t="s">
        <v>48</v>
      </c>
    </row>
    <row r="3370" s="17" customFormat="1" ht="15.6" hidden="1" spans="1:32">
      <c r="A3370" s="17" t="s">
        <v>34</v>
      </c>
      <c r="B3370" s="19">
        <v>916</v>
      </c>
      <c r="C3370" s="183" t="s">
        <v>1173</v>
      </c>
      <c r="D3370" s="17" t="s">
        <v>52</v>
      </c>
      <c r="E3370" s="17" t="s">
        <v>1113</v>
      </c>
      <c r="F3370" s="17" t="s">
        <v>54</v>
      </c>
      <c r="H3370" s="19" t="s">
        <v>1114</v>
      </c>
      <c r="I3370" s="19"/>
      <c r="J3370" s="17" t="s">
        <v>82</v>
      </c>
      <c r="K3370" s="19">
        <v>355</v>
      </c>
      <c r="L3370" s="19">
        <v>32</v>
      </c>
      <c r="M3370" s="19">
        <v>2200</v>
      </c>
      <c r="N3370" s="19" t="s">
        <v>66</v>
      </c>
      <c r="O3370" s="19" t="s">
        <v>141</v>
      </c>
      <c r="P3370" s="19">
        <v>1008</v>
      </c>
      <c r="Q3370" s="98">
        <f>201+201+201+201+201</f>
        <v>1005</v>
      </c>
      <c r="R3370" s="19">
        <f t="shared" si="167"/>
        <v>3</v>
      </c>
      <c r="S3370" s="274">
        <v>1070</v>
      </c>
      <c r="T3370" s="19" t="s">
        <v>42</v>
      </c>
      <c r="U3370" s="102" t="s">
        <v>1174</v>
      </c>
      <c r="V3370" s="186" t="s">
        <v>1175</v>
      </c>
      <c r="W3370" s="17" t="s">
        <v>69</v>
      </c>
      <c r="Y3370" s="68">
        <v>45161</v>
      </c>
      <c r="Z3370" s="17" t="s">
        <v>191</v>
      </c>
      <c r="AA3370" s="17" t="s">
        <v>46</v>
      </c>
      <c r="AB3370" s="17" t="s">
        <v>1176</v>
      </c>
      <c r="AC3370" s="102" t="s">
        <v>1117</v>
      </c>
      <c r="AD3370" s="65">
        <v>1442</v>
      </c>
      <c r="AE3370" s="17" t="s">
        <v>74</v>
      </c>
    </row>
    <row r="3371" s="17" customFormat="1" ht="15.6" hidden="1" spans="1:32">
      <c r="A3371" s="17" t="s">
        <v>34</v>
      </c>
      <c r="B3371" s="19">
        <v>916</v>
      </c>
      <c r="C3371" s="183" t="s">
        <v>1173</v>
      </c>
      <c r="D3371" s="17" t="s">
        <v>52</v>
      </c>
      <c r="E3371" s="17" t="s">
        <v>1113</v>
      </c>
      <c r="F3371" s="17" t="s">
        <v>54</v>
      </c>
      <c r="H3371" s="19" t="s">
        <v>1114</v>
      </c>
      <c r="I3371" s="19"/>
      <c r="J3371" s="17" t="s">
        <v>82</v>
      </c>
      <c r="K3371" s="19">
        <v>405</v>
      </c>
      <c r="L3371" s="19">
        <v>32</v>
      </c>
      <c r="M3371" s="19">
        <v>2200</v>
      </c>
      <c r="N3371" s="19" t="s">
        <v>66</v>
      </c>
      <c r="O3371" s="19" t="s">
        <v>141</v>
      </c>
      <c r="P3371" s="19">
        <v>920</v>
      </c>
      <c r="Q3371" s="98">
        <f>229+229+229+230</f>
        <v>917</v>
      </c>
      <c r="R3371" s="19">
        <f t="shared" si="167"/>
        <v>3</v>
      </c>
      <c r="S3371" s="274">
        <v>1070</v>
      </c>
      <c r="T3371" s="19" t="s">
        <v>42</v>
      </c>
      <c r="U3371" s="102" t="s">
        <v>1174</v>
      </c>
      <c r="V3371" s="186" t="s">
        <v>1175</v>
      </c>
      <c r="W3371" s="17" t="s">
        <v>69</v>
      </c>
      <c r="Y3371" s="68">
        <v>45161</v>
      </c>
      <c r="Z3371" s="17" t="s">
        <v>191</v>
      </c>
      <c r="AA3371" s="17" t="s">
        <v>46</v>
      </c>
      <c r="AB3371" s="17" t="s">
        <v>1176</v>
      </c>
      <c r="AC3371" s="102" t="s">
        <v>1117</v>
      </c>
      <c r="AD3371" s="65">
        <v>1442</v>
      </c>
      <c r="AE3371" s="17" t="s">
        <v>74</v>
      </c>
    </row>
    <row r="3372" s="17" customFormat="1" ht="15.6" hidden="1" spans="1:32">
      <c r="A3372" s="17" t="s">
        <v>34</v>
      </c>
      <c r="B3372" s="19">
        <v>916</v>
      </c>
      <c r="C3372" s="183" t="s">
        <v>1173</v>
      </c>
      <c r="D3372" s="17" t="s">
        <v>52</v>
      </c>
      <c r="E3372" s="17" t="s">
        <v>1113</v>
      </c>
      <c r="F3372" s="17" t="s">
        <v>54</v>
      </c>
      <c r="H3372" s="19" t="s">
        <v>1114</v>
      </c>
      <c r="I3372" s="19"/>
      <c r="J3372" s="17" t="s">
        <v>82</v>
      </c>
      <c r="K3372" s="19">
        <v>410</v>
      </c>
      <c r="L3372" s="19">
        <v>32</v>
      </c>
      <c r="M3372" s="19">
        <v>2200</v>
      </c>
      <c r="N3372" s="19" t="s">
        <v>66</v>
      </c>
      <c r="O3372" s="19" t="s">
        <v>141</v>
      </c>
      <c r="P3372" s="19">
        <v>466</v>
      </c>
      <c r="Q3372" s="98">
        <f>232+232</f>
        <v>464</v>
      </c>
      <c r="R3372" s="19">
        <f t="shared" si="167"/>
        <v>2</v>
      </c>
      <c r="S3372" s="274">
        <v>1070</v>
      </c>
      <c r="T3372" s="19" t="s">
        <v>42</v>
      </c>
      <c r="U3372" s="102" t="s">
        <v>1174</v>
      </c>
      <c r="V3372" s="186" t="s">
        <v>1175</v>
      </c>
      <c r="W3372" s="17" t="s">
        <v>69</v>
      </c>
      <c r="Y3372" s="68">
        <v>45161</v>
      </c>
      <c r="Z3372" s="17" t="s">
        <v>191</v>
      </c>
      <c r="AA3372" s="17" t="s">
        <v>46</v>
      </c>
      <c r="AB3372" s="17" t="s">
        <v>1176</v>
      </c>
      <c r="AC3372" s="102" t="s">
        <v>1117</v>
      </c>
      <c r="AD3372" s="65">
        <v>1442</v>
      </c>
      <c r="AE3372" s="17" t="s">
        <v>48</v>
      </c>
    </row>
    <row r="3373" s="17" customFormat="1" ht="15.6" hidden="1" spans="1:32">
      <c r="A3373" s="17" t="s">
        <v>34</v>
      </c>
      <c r="B3373" s="19">
        <v>916</v>
      </c>
      <c r="C3373" s="183" t="s">
        <v>1173</v>
      </c>
      <c r="D3373" s="17" t="s">
        <v>52</v>
      </c>
      <c r="E3373" s="17" t="s">
        <v>1113</v>
      </c>
      <c r="F3373" s="17" t="s">
        <v>54</v>
      </c>
      <c r="H3373" s="19" t="s">
        <v>1114</v>
      </c>
      <c r="I3373" s="19"/>
      <c r="J3373" s="17" t="s">
        <v>82</v>
      </c>
      <c r="K3373" s="19">
        <v>455</v>
      </c>
      <c r="L3373" s="19">
        <v>32</v>
      </c>
      <c r="M3373" s="19">
        <v>2200</v>
      </c>
      <c r="N3373" s="19" t="s">
        <v>66</v>
      </c>
      <c r="O3373" s="19" t="s">
        <v>141</v>
      </c>
      <c r="P3373" s="19">
        <v>1033</v>
      </c>
      <c r="Q3373" s="98">
        <f>257+258+258+258</f>
        <v>1031</v>
      </c>
      <c r="R3373" s="19">
        <f t="shared" si="167"/>
        <v>2</v>
      </c>
      <c r="S3373" s="274">
        <v>1070</v>
      </c>
      <c r="T3373" s="19" t="s">
        <v>42</v>
      </c>
      <c r="U3373" s="102" t="s">
        <v>1174</v>
      </c>
      <c r="V3373" s="186" t="s">
        <v>1175</v>
      </c>
      <c r="W3373" s="17" t="s">
        <v>69</v>
      </c>
      <c r="Y3373" s="68">
        <v>45161</v>
      </c>
      <c r="Z3373" s="17" t="s">
        <v>191</v>
      </c>
      <c r="AA3373" s="17" t="s">
        <v>46</v>
      </c>
      <c r="AB3373" s="17" t="s">
        <v>1176</v>
      </c>
      <c r="AC3373" s="102" t="s">
        <v>1117</v>
      </c>
      <c r="AD3373" s="65">
        <v>1442</v>
      </c>
      <c r="AE3373" s="17" t="s">
        <v>74</v>
      </c>
    </row>
    <row r="3374" s="17" customFormat="1" ht="15.6" hidden="1" spans="1:32">
      <c r="A3374" s="17" t="s">
        <v>34</v>
      </c>
      <c r="B3374" s="19">
        <v>916</v>
      </c>
      <c r="C3374" s="183" t="s">
        <v>1173</v>
      </c>
      <c r="D3374" s="17" t="s">
        <v>52</v>
      </c>
      <c r="E3374" s="17" t="s">
        <v>1113</v>
      </c>
      <c r="F3374" s="17" t="s">
        <v>54</v>
      </c>
      <c r="H3374" s="19" t="s">
        <v>1114</v>
      </c>
      <c r="I3374" s="19"/>
      <c r="J3374" s="17" t="s">
        <v>82</v>
      </c>
      <c r="K3374" s="19">
        <v>505</v>
      </c>
      <c r="L3374" s="19">
        <v>32</v>
      </c>
      <c r="M3374" s="19">
        <v>2200</v>
      </c>
      <c r="N3374" s="19" t="s">
        <v>66</v>
      </c>
      <c r="O3374" s="19" t="s">
        <v>141</v>
      </c>
      <c r="P3374" s="19">
        <v>860</v>
      </c>
      <c r="Q3374" s="98">
        <f>285+285+285</f>
        <v>855</v>
      </c>
      <c r="R3374" s="19">
        <f t="shared" si="167"/>
        <v>5</v>
      </c>
      <c r="S3374" s="274">
        <v>1070</v>
      </c>
      <c r="T3374" s="19" t="s">
        <v>42</v>
      </c>
      <c r="U3374" s="102" t="s">
        <v>1174</v>
      </c>
      <c r="V3374" s="186" t="s">
        <v>1175</v>
      </c>
      <c r="W3374" s="17" t="s">
        <v>69</v>
      </c>
      <c r="Y3374" s="68">
        <v>45161</v>
      </c>
      <c r="Z3374" s="17" t="s">
        <v>191</v>
      </c>
      <c r="AA3374" s="17" t="s">
        <v>46</v>
      </c>
      <c r="AB3374" s="17" t="s">
        <v>1176</v>
      </c>
      <c r="AC3374" s="102" t="s">
        <v>1117</v>
      </c>
      <c r="AD3374" s="65">
        <v>1442</v>
      </c>
      <c r="AE3374" s="17" t="s">
        <v>74</v>
      </c>
    </row>
    <row r="3375" s="17" customFormat="1" ht="15.6" hidden="1" spans="1:32">
      <c r="A3375" s="17" t="s">
        <v>34</v>
      </c>
      <c r="B3375" s="19">
        <v>916</v>
      </c>
      <c r="C3375" s="183" t="s">
        <v>1173</v>
      </c>
      <c r="D3375" s="17" t="s">
        <v>52</v>
      </c>
      <c r="E3375" s="17" t="s">
        <v>1113</v>
      </c>
      <c r="F3375" s="17" t="s">
        <v>54</v>
      </c>
      <c r="H3375" s="19" t="s">
        <v>1114</v>
      </c>
      <c r="I3375" s="19"/>
      <c r="J3375" s="17" t="s">
        <v>82</v>
      </c>
      <c r="K3375" s="19">
        <v>180</v>
      </c>
      <c r="L3375" s="19">
        <v>36</v>
      </c>
      <c r="M3375" s="19">
        <v>2200</v>
      </c>
      <c r="N3375" s="19" t="s">
        <v>66</v>
      </c>
      <c r="O3375" s="19" t="s">
        <v>141</v>
      </c>
      <c r="P3375" s="19">
        <v>575</v>
      </c>
      <c r="Q3375" s="98">
        <f>359+242</f>
        <v>601</v>
      </c>
      <c r="R3375" s="19">
        <f t="shared" si="167"/>
        <v>-26</v>
      </c>
      <c r="S3375" s="274">
        <v>1070</v>
      </c>
      <c r="T3375" s="19" t="s">
        <v>42</v>
      </c>
      <c r="U3375" s="102" t="s">
        <v>1174</v>
      </c>
      <c r="V3375" s="186" t="s">
        <v>1175</v>
      </c>
      <c r="W3375" s="17" t="s">
        <v>69</v>
      </c>
      <c r="Y3375" s="68">
        <v>45161</v>
      </c>
      <c r="Z3375" s="17" t="s">
        <v>191</v>
      </c>
      <c r="AA3375" s="17" t="s">
        <v>46</v>
      </c>
      <c r="AB3375" s="17" t="s">
        <v>1128</v>
      </c>
      <c r="AC3375" s="102" t="s">
        <v>1124</v>
      </c>
      <c r="AD3375" s="65">
        <v>1448</v>
      </c>
      <c r="AE3375" s="17" t="s">
        <v>48</v>
      </c>
    </row>
    <row r="3376" s="18" customFormat="1" ht="15.6" hidden="1" spans="1:32">
      <c r="B3376" s="75">
        <v>916</v>
      </c>
      <c r="C3376" s="213" t="s">
        <v>1173</v>
      </c>
      <c r="D3376" s="18" t="s">
        <v>52</v>
      </c>
      <c r="E3376" s="17" t="s">
        <v>1113</v>
      </c>
      <c r="F3376" s="18" t="s">
        <v>54</v>
      </c>
      <c r="H3376" s="75" t="s">
        <v>1114</v>
      </c>
      <c r="I3376" s="75"/>
      <c r="J3376" s="18" t="s">
        <v>82</v>
      </c>
      <c r="K3376" s="75">
        <v>205</v>
      </c>
      <c r="L3376" s="75">
        <v>36</v>
      </c>
      <c r="M3376" s="75">
        <v>2200</v>
      </c>
      <c r="N3376" s="75" t="s">
        <v>66</v>
      </c>
      <c r="O3376" s="75" t="s">
        <v>141</v>
      </c>
      <c r="P3376" s="75">
        <v>524</v>
      </c>
      <c r="Q3376" s="279"/>
      <c r="R3376" s="75">
        <f t="shared" si="167"/>
        <v>524</v>
      </c>
      <c r="S3376" s="276">
        <v>1070</v>
      </c>
      <c r="T3376" s="75" t="s">
        <v>42</v>
      </c>
      <c r="U3376" s="137" t="s">
        <v>1174</v>
      </c>
      <c r="V3376" s="193" t="s">
        <v>1175</v>
      </c>
      <c r="W3376" s="18" t="s">
        <v>69</v>
      </c>
      <c r="Y3376" s="114">
        <v>45161</v>
      </c>
      <c r="Z3376" s="18" t="s">
        <v>191</v>
      </c>
      <c r="AA3376" s="18" t="s">
        <v>46</v>
      </c>
      <c r="AC3376" s="137"/>
      <c r="AD3376" s="77"/>
      <c r="AE3376" s="18" t="s">
        <v>48</v>
      </c>
      <c r="AF3376" s="18" t="s">
        <v>1134</v>
      </c>
    </row>
    <row r="3377" s="18" customFormat="1" ht="15.6" hidden="1" spans="1:32">
      <c r="B3377" s="75">
        <v>916</v>
      </c>
      <c r="C3377" s="213" t="s">
        <v>1173</v>
      </c>
      <c r="D3377" s="18" t="s">
        <v>52</v>
      </c>
      <c r="E3377" s="17" t="s">
        <v>1113</v>
      </c>
      <c r="F3377" s="18" t="s">
        <v>54</v>
      </c>
      <c r="H3377" s="75" t="s">
        <v>1114</v>
      </c>
      <c r="I3377" s="75"/>
      <c r="J3377" s="18" t="s">
        <v>82</v>
      </c>
      <c r="K3377" s="75">
        <v>230</v>
      </c>
      <c r="L3377" s="75">
        <v>36</v>
      </c>
      <c r="M3377" s="75">
        <v>2200</v>
      </c>
      <c r="N3377" s="75" t="s">
        <v>66</v>
      </c>
      <c r="O3377" s="75" t="s">
        <v>141</v>
      </c>
      <c r="P3377" s="75">
        <v>441</v>
      </c>
      <c r="Q3377" s="279"/>
      <c r="R3377" s="75">
        <f t="shared" si="167"/>
        <v>441</v>
      </c>
      <c r="S3377" s="276">
        <v>1070</v>
      </c>
      <c r="T3377" s="75" t="s">
        <v>42</v>
      </c>
      <c r="U3377" s="137" t="s">
        <v>1174</v>
      </c>
      <c r="V3377" s="193" t="s">
        <v>1175</v>
      </c>
      <c r="W3377" s="18" t="s">
        <v>69</v>
      </c>
      <c r="Y3377" s="114">
        <v>45161</v>
      </c>
      <c r="Z3377" s="18" t="s">
        <v>191</v>
      </c>
      <c r="AA3377" s="18" t="s">
        <v>46</v>
      </c>
      <c r="AC3377" s="137"/>
      <c r="AD3377" s="77"/>
      <c r="AE3377" s="18" t="s">
        <v>48</v>
      </c>
      <c r="AF3377" s="18" t="s">
        <v>1134</v>
      </c>
    </row>
    <row r="3378" s="17" customFormat="1" ht="15.6" hidden="1" spans="1:32">
      <c r="A3378" s="17" t="s">
        <v>34</v>
      </c>
      <c r="B3378" s="19">
        <v>916</v>
      </c>
      <c r="C3378" s="183" t="s">
        <v>1173</v>
      </c>
      <c r="D3378" s="17" t="s">
        <v>52</v>
      </c>
      <c r="E3378" s="17" t="s">
        <v>1113</v>
      </c>
      <c r="F3378" s="17" t="s">
        <v>54</v>
      </c>
      <c r="H3378" s="19" t="s">
        <v>1114</v>
      </c>
      <c r="I3378" s="19"/>
      <c r="J3378" s="17" t="s">
        <v>82</v>
      </c>
      <c r="K3378" s="19">
        <v>255</v>
      </c>
      <c r="L3378" s="19">
        <v>36</v>
      </c>
      <c r="M3378" s="19">
        <v>2200</v>
      </c>
      <c r="N3378" s="19" t="s">
        <v>66</v>
      </c>
      <c r="O3378" s="19" t="s">
        <v>141</v>
      </c>
      <c r="P3378" s="19">
        <v>489</v>
      </c>
      <c r="Q3378" s="98">
        <f>168+168</f>
        <v>336</v>
      </c>
      <c r="R3378" s="19">
        <f t="shared" si="167"/>
        <v>153</v>
      </c>
      <c r="S3378" s="274">
        <v>1070</v>
      </c>
      <c r="T3378" s="19" t="s">
        <v>42</v>
      </c>
      <c r="U3378" s="102" t="s">
        <v>1174</v>
      </c>
      <c r="V3378" s="186" t="s">
        <v>1175</v>
      </c>
      <c r="W3378" s="17" t="s">
        <v>69</v>
      </c>
      <c r="Y3378" s="68">
        <v>45161</v>
      </c>
      <c r="Z3378" s="17" t="s">
        <v>191</v>
      </c>
      <c r="AA3378" s="17" t="s">
        <v>46</v>
      </c>
      <c r="AB3378" s="17" t="s">
        <v>1116</v>
      </c>
      <c r="AC3378" s="102" t="s">
        <v>1117</v>
      </c>
      <c r="AD3378" s="65">
        <v>1443</v>
      </c>
      <c r="AE3378" s="17" t="s">
        <v>48</v>
      </c>
    </row>
    <row r="3379" s="17" customFormat="1" ht="15.6" hidden="1" spans="1:32">
      <c r="A3379" s="17" t="s">
        <v>34</v>
      </c>
      <c r="B3379" s="19">
        <v>916</v>
      </c>
      <c r="C3379" s="183" t="s">
        <v>1173</v>
      </c>
      <c r="D3379" s="17" t="s">
        <v>52</v>
      </c>
      <c r="E3379" s="17" t="s">
        <v>1113</v>
      </c>
      <c r="F3379" s="17" t="s">
        <v>54</v>
      </c>
      <c r="H3379" s="19" t="s">
        <v>1114</v>
      </c>
      <c r="I3379" s="19"/>
      <c r="J3379" s="17" t="s">
        <v>82</v>
      </c>
      <c r="K3379" s="19">
        <v>310</v>
      </c>
      <c r="L3379" s="19">
        <v>36</v>
      </c>
      <c r="M3379" s="19">
        <v>2200</v>
      </c>
      <c r="N3379" s="19" t="s">
        <v>66</v>
      </c>
      <c r="O3379" s="19" t="s">
        <v>141</v>
      </c>
      <c r="P3379" s="19">
        <v>594</v>
      </c>
      <c r="Q3379" s="98">
        <f>200+202</f>
        <v>402</v>
      </c>
      <c r="R3379" s="19">
        <f t="shared" si="167"/>
        <v>192</v>
      </c>
      <c r="S3379" s="274">
        <v>1070</v>
      </c>
      <c r="T3379" s="19" t="s">
        <v>42</v>
      </c>
      <c r="U3379" s="102" t="s">
        <v>1174</v>
      </c>
      <c r="V3379" s="186" t="s">
        <v>1175</v>
      </c>
      <c r="W3379" s="17" t="s">
        <v>69</v>
      </c>
      <c r="Y3379" s="68">
        <v>45161</v>
      </c>
      <c r="Z3379" s="17" t="s">
        <v>191</v>
      </c>
      <c r="AA3379" s="17" t="s">
        <v>46</v>
      </c>
      <c r="AB3379" s="17" t="s">
        <v>1119</v>
      </c>
      <c r="AC3379" s="102" t="s">
        <v>1120</v>
      </c>
      <c r="AD3379" s="65">
        <v>1451</v>
      </c>
      <c r="AE3379" s="17" t="s">
        <v>48</v>
      </c>
    </row>
    <row r="3380" s="17" customFormat="1" ht="15.6" hidden="1" spans="1:32">
      <c r="A3380" s="17" t="s">
        <v>34</v>
      </c>
      <c r="B3380" s="19">
        <v>916</v>
      </c>
      <c r="C3380" s="183" t="s">
        <v>1173</v>
      </c>
      <c r="D3380" s="17" t="s">
        <v>52</v>
      </c>
      <c r="E3380" s="17" t="s">
        <v>1113</v>
      </c>
      <c r="F3380" s="17" t="s">
        <v>54</v>
      </c>
      <c r="H3380" s="19" t="s">
        <v>1114</v>
      </c>
      <c r="I3380" s="19"/>
      <c r="J3380" s="17" t="s">
        <v>82</v>
      </c>
      <c r="K3380" s="19">
        <v>355</v>
      </c>
      <c r="L3380" s="19">
        <v>36</v>
      </c>
      <c r="M3380" s="19">
        <v>2200</v>
      </c>
      <c r="N3380" s="19" t="s">
        <v>66</v>
      </c>
      <c r="O3380" s="19" t="s">
        <v>141</v>
      </c>
      <c r="P3380" s="19"/>
      <c r="Q3380" s="98">
        <v>235</v>
      </c>
      <c r="R3380" s="19"/>
      <c r="S3380" s="274">
        <f>1070-40</f>
        <v>1030</v>
      </c>
      <c r="T3380" s="19" t="s">
        <v>42</v>
      </c>
      <c r="U3380" s="102" t="s">
        <v>1174</v>
      </c>
      <c r="V3380" s="186" t="s">
        <v>1175</v>
      </c>
      <c r="W3380" s="17" t="s">
        <v>44</v>
      </c>
      <c r="Y3380" s="68">
        <v>45161</v>
      </c>
      <c r="Z3380" s="17" t="s">
        <v>191</v>
      </c>
      <c r="AA3380" s="17" t="s">
        <v>46</v>
      </c>
      <c r="AB3380" s="17" t="s">
        <v>1138</v>
      </c>
      <c r="AC3380" s="102" t="s">
        <v>1139</v>
      </c>
      <c r="AD3380" s="65">
        <v>1473</v>
      </c>
    </row>
    <row r="3381" s="17" customFormat="1" ht="15.6" hidden="1" spans="1:32">
      <c r="A3381" s="17" t="s">
        <v>34</v>
      </c>
      <c r="B3381" s="19">
        <v>916</v>
      </c>
      <c r="C3381" s="183" t="s">
        <v>1173</v>
      </c>
      <c r="D3381" s="17" t="s">
        <v>52</v>
      </c>
      <c r="E3381" s="17" t="s">
        <v>1113</v>
      </c>
      <c r="F3381" s="17" t="s">
        <v>54</v>
      </c>
      <c r="H3381" s="19" t="s">
        <v>1114</v>
      </c>
      <c r="I3381" s="19"/>
      <c r="J3381" s="17" t="s">
        <v>82</v>
      </c>
      <c r="K3381" s="19">
        <v>410</v>
      </c>
      <c r="L3381" s="19">
        <v>36</v>
      </c>
      <c r="M3381" s="19">
        <v>2200</v>
      </c>
      <c r="N3381" s="19" t="s">
        <v>66</v>
      </c>
      <c r="O3381" s="19" t="s">
        <v>141</v>
      </c>
      <c r="P3381" s="19">
        <v>524</v>
      </c>
      <c r="Q3381" s="98">
        <v>535</v>
      </c>
      <c r="R3381" s="19">
        <f>+P3381-Q3381</f>
        <v>-11</v>
      </c>
      <c r="S3381" s="274">
        <v>1070</v>
      </c>
      <c r="T3381" s="19" t="s">
        <v>42</v>
      </c>
      <c r="U3381" s="102" t="s">
        <v>1174</v>
      </c>
      <c r="V3381" s="186" t="s">
        <v>1175</v>
      </c>
      <c r="W3381" s="17" t="s">
        <v>69</v>
      </c>
      <c r="Y3381" s="68">
        <v>45161</v>
      </c>
      <c r="Z3381" s="17" t="s">
        <v>191</v>
      </c>
      <c r="AA3381" s="17" t="s">
        <v>46</v>
      </c>
      <c r="AB3381" s="17" t="s">
        <v>1119</v>
      </c>
      <c r="AC3381" s="102" t="s">
        <v>1120</v>
      </c>
      <c r="AD3381" s="65">
        <v>1451</v>
      </c>
      <c r="AE3381" s="17" t="s">
        <v>48</v>
      </c>
    </row>
    <row r="3382" s="17" customFormat="1" ht="15.6" hidden="1" spans="1:32">
      <c r="A3382" s="17" t="s">
        <v>34</v>
      </c>
      <c r="B3382" s="19">
        <v>916</v>
      </c>
      <c r="C3382" s="183" t="s">
        <v>1173</v>
      </c>
      <c r="D3382" s="17" t="s">
        <v>52</v>
      </c>
      <c r="E3382" s="17" t="s">
        <v>1113</v>
      </c>
      <c r="F3382" s="17" t="s">
        <v>54</v>
      </c>
      <c r="H3382" s="19" t="s">
        <v>1114</v>
      </c>
      <c r="I3382" s="19"/>
      <c r="J3382" s="17" t="s">
        <v>82</v>
      </c>
      <c r="K3382" s="19">
        <v>205</v>
      </c>
      <c r="L3382" s="19">
        <v>35</v>
      </c>
      <c r="M3382" s="19">
        <v>2200</v>
      </c>
      <c r="N3382" s="19" t="s">
        <v>66</v>
      </c>
      <c r="O3382" s="19" t="s">
        <v>141</v>
      </c>
      <c r="P3382" s="19">
        <v>1018</v>
      </c>
      <c r="Q3382" s="98">
        <v>945</v>
      </c>
      <c r="R3382" s="19">
        <f>+P3382-Q3382</f>
        <v>73</v>
      </c>
      <c r="S3382" s="274">
        <v>1070</v>
      </c>
      <c r="T3382" s="19" t="s">
        <v>42</v>
      </c>
      <c r="U3382" s="102" t="s">
        <v>1174</v>
      </c>
      <c r="V3382" s="186" t="s">
        <v>1175</v>
      </c>
      <c r="W3382" s="17" t="s">
        <v>69</v>
      </c>
      <c r="Y3382" s="68">
        <v>45161</v>
      </c>
      <c r="Z3382" s="17" t="s">
        <v>191</v>
      </c>
      <c r="AA3382" s="17" t="s">
        <v>46</v>
      </c>
      <c r="AB3382" s="17" t="s">
        <v>1119</v>
      </c>
      <c r="AC3382" s="102" t="s">
        <v>1120</v>
      </c>
      <c r="AD3382" s="65">
        <v>1451</v>
      </c>
      <c r="AE3382" s="17" t="s">
        <v>74</v>
      </c>
    </row>
    <row r="3383" s="17" customFormat="1" ht="15.6" hidden="1" spans="1:32">
      <c r="A3383" s="17" t="s">
        <v>34</v>
      </c>
      <c r="B3383" s="19">
        <v>916</v>
      </c>
      <c r="C3383" s="183" t="s">
        <v>1173</v>
      </c>
      <c r="D3383" s="17" t="s">
        <v>52</v>
      </c>
      <c r="E3383" s="17" t="s">
        <v>1113</v>
      </c>
      <c r="F3383" s="17" t="s">
        <v>54</v>
      </c>
      <c r="H3383" s="19" t="s">
        <v>1114</v>
      </c>
      <c r="I3383" s="19"/>
      <c r="J3383" s="17" t="s">
        <v>82</v>
      </c>
      <c r="K3383" s="19">
        <v>255</v>
      </c>
      <c r="L3383" s="19">
        <v>35</v>
      </c>
      <c r="M3383" s="19">
        <v>2200</v>
      </c>
      <c r="N3383" s="19" t="s">
        <v>66</v>
      </c>
      <c r="O3383" s="19" t="s">
        <v>141</v>
      </c>
      <c r="P3383" s="19">
        <v>950</v>
      </c>
      <c r="Q3383" s="98">
        <f>168+168+168+168+337+169</f>
        <v>1178</v>
      </c>
      <c r="R3383" s="19">
        <f>+P3383-Q3383</f>
        <v>-228</v>
      </c>
      <c r="S3383" s="274">
        <v>1070</v>
      </c>
      <c r="T3383" s="19" t="s">
        <v>42</v>
      </c>
      <c r="U3383" s="102" t="s">
        <v>1174</v>
      </c>
      <c r="V3383" s="186" t="s">
        <v>1175</v>
      </c>
      <c r="W3383" s="17" t="s">
        <v>69</v>
      </c>
      <c r="Y3383" s="68">
        <v>45161</v>
      </c>
      <c r="Z3383" s="17" t="s">
        <v>191</v>
      </c>
      <c r="AA3383" s="17" t="s">
        <v>46</v>
      </c>
      <c r="AB3383" s="17" t="s">
        <v>1119</v>
      </c>
      <c r="AC3383" s="102" t="s">
        <v>1120</v>
      </c>
      <c r="AD3383" s="65">
        <v>1451</v>
      </c>
      <c r="AE3383" s="17" t="s">
        <v>74</v>
      </c>
    </row>
    <row r="3384" s="17" customFormat="1" ht="15.6" hidden="1" spans="1:32">
      <c r="A3384" s="17" t="s">
        <v>34</v>
      </c>
      <c r="B3384" s="19">
        <v>916</v>
      </c>
      <c r="C3384" s="183" t="s">
        <v>1173</v>
      </c>
      <c r="D3384" s="17" t="s">
        <v>52</v>
      </c>
      <c r="E3384" s="17" t="s">
        <v>1113</v>
      </c>
      <c r="F3384" s="17" t="s">
        <v>54</v>
      </c>
      <c r="H3384" s="19" t="s">
        <v>1114</v>
      </c>
      <c r="I3384" s="19"/>
      <c r="J3384" s="17" t="s">
        <v>82</v>
      </c>
      <c r="K3384" s="19">
        <v>305</v>
      </c>
      <c r="L3384" s="19">
        <v>35</v>
      </c>
      <c r="M3384" s="19">
        <v>2200</v>
      </c>
      <c r="N3384" s="19" t="s">
        <v>66</v>
      </c>
      <c r="O3384" s="19" t="s">
        <v>141</v>
      </c>
      <c r="P3384" s="19">
        <v>947</v>
      </c>
      <c r="Q3384" s="98">
        <v>199</v>
      </c>
      <c r="S3384" s="274">
        <v>1070</v>
      </c>
      <c r="T3384" s="19" t="s">
        <v>42</v>
      </c>
      <c r="U3384" s="102" t="s">
        <v>1174</v>
      </c>
      <c r="V3384" s="186" t="s">
        <v>1175</v>
      </c>
      <c r="W3384" s="17" t="s">
        <v>69</v>
      </c>
      <c r="Y3384" s="68">
        <v>45161</v>
      </c>
      <c r="Z3384" s="17" t="s">
        <v>191</v>
      </c>
      <c r="AA3384" s="17" t="s">
        <v>46</v>
      </c>
      <c r="AB3384" s="17" t="s">
        <v>1116</v>
      </c>
      <c r="AC3384" s="102" t="s">
        <v>1117</v>
      </c>
      <c r="AD3384" s="65">
        <v>1443</v>
      </c>
      <c r="AE3384" s="17" t="s">
        <v>74</v>
      </c>
    </row>
    <row r="3385" s="17" customFormat="1" ht="15.6" hidden="1" spans="1:32">
      <c r="A3385" s="17" t="s">
        <v>34</v>
      </c>
      <c r="B3385" s="19">
        <v>916</v>
      </c>
      <c r="C3385" s="183" t="s">
        <v>1173</v>
      </c>
      <c r="D3385" s="17" t="s">
        <v>52</v>
      </c>
      <c r="E3385" s="17" t="s">
        <v>1113</v>
      </c>
      <c r="F3385" s="17" t="s">
        <v>54</v>
      </c>
      <c r="H3385" s="19" t="s">
        <v>1114</v>
      </c>
      <c r="I3385" s="19"/>
      <c r="J3385" s="17" t="s">
        <v>82</v>
      </c>
      <c r="K3385" s="19">
        <v>305</v>
      </c>
      <c r="L3385" s="19">
        <v>35</v>
      </c>
      <c r="M3385" s="19">
        <v>2200</v>
      </c>
      <c r="N3385" s="19" t="s">
        <v>66</v>
      </c>
      <c r="O3385" s="19" t="s">
        <v>141</v>
      </c>
      <c r="P3385" s="19"/>
      <c r="Q3385" s="98">
        <v>203</v>
      </c>
      <c r="R3385" s="19">
        <f>+P3384-Q3384-Q3385</f>
        <v>545</v>
      </c>
      <c r="S3385" s="274">
        <f>1070-40</f>
        <v>1030</v>
      </c>
      <c r="T3385" s="19" t="s">
        <v>42</v>
      </c>
      <c r="U3385" s="102" t="s">
        <v>1174</v>
      </c>
      <c r="V3385" s="186" t="s">
        <v>1175</v>
      </c>
      <c r="W3385" s="17" t="s">
        <v>44</v>
      </c>
      <c r="Y3385" s="68">
        <v>45161</v>
      </c>
      <c r="Z3385" s="17" t="s">
        <v>191</v>
      </c>
      <c r="AA3385" s="17" t="s">
        <v>46</v>
      </c>
      <c r="AB3385" s="17" t="s">
        <v>1136</v>
      </c>
      <c r="AC3385" s="217">
        <v>44937</v>
      </c>
      <c r="AD3385" s="65">
        <v>1476</v>
      </c>
      <c r="AE3385" s="17" t="s">
        <v>74</v>
      </c>
    </row>
    <row r="3386" s="18" customFormat="1" ht="15.6" hidden="1" spans="1:32">
      <c r="B3386" s="75">
        <v>916</v>
      </c>
      <c r="C3386" s="213" t="s">
        <v>1173</v>
      </c>
      <c r="D3386" s="18" t="s">
        <v>52</v>
      </c>
      <c r="E3386" s="17" t="s">
        <v>1113</v>
      </c>
      <c r="F3386" s="18" t="s">
        <v>54</v>
      </c>
      <c r="H3386" s="75" t="s">
        <v>1114</v>
      </c>
      <c r="I3386" s="75"/>
      <c r="J3386" s="18" t="s">
        <v>82</v>
      </c>
      <c r="K3386" s="75">
        <v>355</v>
      </c>
      <c r="L3386" s="75">
        <v>35</v>
      </c>
      <c r="M3386" s="75">
        <v>2200</v>
      </c>
      <c r="N3386" s="75" t="s">
        <v>66</v>
      </c>
      <c r="O3386" s="75" t="s">
        <v>141</v>
      </c>
      <c r="P3386" s="75">
        <v>882</v>
      </c>
      <c r="Q3386" s="75"/>
      <c r="R3386" s="75">
        <f>+P3386-Q3386</f>
        <v>882</v>
      </c>
      <c r="S3386" s="276">
        <v>1070</v>
      </c>
      <c r="T3386" s="75" t="s">
        <v>42</v>
      </c>
      <c r="U3386" s="137" t="s">
        <v>1174</v>
      </c>
      <c r="V3386" s="193" t="s">
        <v>1175</v>
      </c>
      <c r="W3386" s="18" t="s">
        <v>69</v>
      </c>
      <c r="Y3386" s="114">
        <v>45161</v>
      </c>
      <c r="Z3386" s="18" t="s">
        <v>191</v>
      </c>
      <c r="AA3386" s="18" t="s">
        <v>46</v>
      </c>
      <c r="AC3386" s="137"/>
      <c r="AD3386" s="77"/>
      <c r="AE3386" s="18" t="s">
        <v>74</v>
      </c>
      <c r="AF3386" s="18" t="s">
        <v>1134</v>
      </c>
    </row>
    <row r="3387" s="17" customFormat="1" ht="15.6" hidden="1" spans="1:32">
      <c r="A3387" s="17" t="s">
        <v>34</v>
      </c>
      <c r="B3387" s="19">
        <v>916</v>
      </c>
      <c r="C3387" s="183" t="s">
        <v>1173</v>
      </c>
      <c r="D3387" s="17" t="s">
        <v>52</v>
      </c>
      <c r="E3387" s="17" t="s">
        <v>1113</v>
      </c>
      <c r="F3387" s="17" t="s">
        <v>54</v>
      </c>
      <c r="H3387" s="19" t="s">
        <v>1114</v>
      </c>
      <c r="I3387" s="19"/>
      <c r="J3387" s="17" t="s">
        <v>82</v>
      </c>
      <c r="K3387" s="19">
        <v>405</v>
      </c>
      <c r="L3387" s="19">
        <v>35</v>
      </c>
      <c r="M3387" s="19">
        <v>2200</v>
      </c>
      <c r="N3387" s="19" t="s">
        <v>66</v>
      </c>
      <c r="O3387" s="19" t="s">
        <v>141</v>
      </c>
      <c r="P3387" s="19">
        <v>1006</v>
      </c>
      <c r="Q3387" s="19">
        <v>566</v>
      </c>
      <c r="R3387" s="19">
        <f>+P3387-Q3387</f>
        <v>440</v>
      </c>
      <c r="S3387" s="274">
        <v>1070</v>
      </c>
      <c r="T3387" s="19" t="s">
        <v>42</v>
      </c>
      <c r="U3387" s="102" t="s">
        <v>1174</v>
      </c>
      <c r="V3387" s="186" t="s">
        <v>1175</v>
      </c>
      <c r="W3387" s="17" t="s">
        <v>69</v>
      </c>
      <c r="Y3387" s="68">
        <v>45161</v>
      </c>
      <c r="Z3387" s="17" t="s">
        <v>191</v>
      </c>
      <c r="AA3387" s="17" t="s">
        <v>46</v>
      </c>
      <c r="AB3387" s="17" t="s">
        <v>1128</v>
      </c>
      <c r="AC3387" s="102" t="s">
        <v>1124</v>
      </c>
      <c r="AD3387" s="65">
        <v>1448</v>
      </c>
      <c r="AE3387" s="17" t="s">
        <v>74</v>
      </c>
    </row>
    <row r="3388" s="17" customFormat="1" ht="15.6" hidden="1" spans="1:32">
      <c r="A3388" s="17" t="s">
        <v>34</v>
      </c>
      <c r="B3388" s="19">
        <v>916</v>
      </c>
      <c r="C3388" s="183" t="s">
        <v>1173</v>
      </c>
      <c r="D3388" s="17" t="s">
        <v>52</v>
      </c>
      <c r="E3388" s="17" t="s">
        <v>1113</v>
      </c>
      <c r="F3388" s="17" t="s">
        <v>54</v>
      </c>
      <c r="H3388" s="19" t="s">
        <v>1114</v>
      </c>
      <c r="I3388" s="19"/>
      <c r="J3388" s="17" t="s">
        <v>82</v>
      </c>
      <c r="K3388" s="19">
        <v>455</v>
      </c>
      <c r="L3388" s="19">
        <v>35</v>
      </c>
      <c r="M3388" s="19">
        <v>2200</v>
      </c>
      <c r="N3388" s="19" t="s">
        <v>66</v>
      </c>
      <c r="O3388" s="19" t="s">
        <v>141</v>
      </c>
      <c r="P3388" s="19">
        <v>848</v>
      </c>
      <c r="Q3388" s="19">
        <v>599</v>
      </c>
      <c r="S3388" s="274">
        <v>1070</v>
      </c>
      <c r="T3388" s="19" t="s">
        <v>42</v>
      </c>
      <c r="U3388" s="102" t="s">
        <v>1174</v>
      </c>
      <c r="V3388" s="186" t="s">
        <v>1175</v>
      </c>
      <c r="W3388" s="17" t="s">
        <v>69</v>
      </c>
      <c r="Y3388" s="68">
        <v>45161</v>
      </c>
      <c r="Z3388" s="17" t="s">
        <v>191</v>
      </c>
      <c r="AA3388" s="17" t="s">
        <v>46</v>
      </c>
      <c r="AB3388" s="17" t="s">
        <v>1128</v>
      </c>
      <c r="AC3388" s="102" t="s">
        <v>1124</v>
      </c>
      <c r="AD3388" s="65">
        <v>1448</v>
      </c>
      <c r="AE3388" s="17" t="s">
        <v>74</v>
      </c>
    </row>
    <row r="3389" s="17" customFormat="1" ht="15.6" hidden="1" spans="1:32">
      <c r="A3389" s="17" t="s">
        <v>34</v>
      </c>
      <c r="B3389" s="19">
        <v>916</v>
      </c>
      <c r="C3389" s="183" t="s">
        <v>1173</v>
      </c>
      <c r="D3389" s="17" t="s">
        <v>52</v>
      </c>
      <c r="E3389" s="17" t="s">
        <v>1113</v>
      </c>
      <c r="F3389" s="17" t="s">
        <v>54</v>
      </c>
      <c r="H3389" s="19" t="s">
        <v>1114</v>
      </c>
      <c r="I3389" s="19"/>
      <c r="J3389" s="17" t="s">
        <v>82</v>
      </c>
      <c r="K3389" s="19">
        <v>455</v>
      </c>
      <c r="L3389" s="19">
        <v>35</v>
      </c>
      <c r="M3389" s="19">
        <v>2200</v>
      </c>
      <c r="N3389" s="19" t="s">
        <v>66</v>
      </c>
      <c r="O3389" s="19" t="s">
        <v>141</v>
      </c>
      <c r="P3389" s="19"/>
      <c r="Q3389" s="19">
        <f>298+299+299</f>
        <v>896</v>
      </c>
      <c r="R3389" s="19">
        <f>+P3388-Q3388-Q3389</f>
        <v>-647</v>
      </c>
      <c r="S3389" s="274">
        <v>1070</v>
      </c>
      <c r="T3389" s="19" t="s">
        <v>42</v>
      </c>
      <c r="U3389" s="102" t="s">
        <v>1174</v>
      </c>
      <c r="V3389" s="186" t="s">
        <v>1175</v>
      </c>
      <c r="W3389" s="17" t="s">
        <v>69</v>
      </c>
      <c r="Y3389" s="68">
        <v>45161</v>
      </c>
      <c r="Z3389" s="17" t="s">
        <v>191</v>
      </c>
      <c r="AA3389" s="17" t="s">
        <v>46</v>
      </c>
      <c r="AB3389" s="17" t="s">
        <v>1122</v>
      </c>
      <c r="AC3389" s="217">
        <v>44965</v>
      </c>
      <c r="AD3389" s="65">
        <v>1450</v>
      </c>
      <c r="AE3389" s="17" t="s">
        <v>74</v>
      </c>
    </row>
    <row r="3390" s="17" customFormat="1" ht="15.6" hidden="1" spans="1:32">
      <c r="A3390" s="17" t="s">
        <v>34</v>
      </c>
      <c r="B3390" s="19">
        <v>916</v>
      </c>
      <c r="C3390" s="183" t="s">
        <v>1173</v>
      </c>
      <c r="D3390" s="17" t="s">
        <v>52</v>
      </c>
      <c r="E3390" s="17" t="s">
        <v>1113</v>
      </c>
      <c r="F3390" s="17" t="s">
        <v>54</v>
      </c>
      <c r="H3390" s="19" t="s">
        <v>1114</v>
      </c>
      <c r="I3390" s="19"/>
      <c r="J3390" s="17" t="s">
        <v>82</v>
      </c>
      <c r="K3390" s="19">
        <v>505</v>
      </c>
      <c r="L3390" s="19">
        <v>35</v>
      </c>
      <c r="M3390" s="19">
        <v>2200</v>
      </c>
      <c r="N3390" s="19" t="s">
        <v>66</v>
      </c>
      <c r="O3390" s="19" t="s">
        <v>141</v>
      </c>
      <c r="P3390" s="19">
        <v>941</v>
      </c>
      <c r="Q3390" s="19">
        <v>999</v>
      </c>
      <c r="R3390" s="19">
        <f>+P3390-Q3390</f>
        <v>-58</v>
      </c>
      <c r="S3390" s="274">
        <v>1070</v>
      </c>
      <c r="T3390" s="19" t="s">
        <v>42</v>
      </c>
      <c r="U3390" s="102" t="s">
        <v>1174</v>
      </c>
      <c r="V3390" s="186" t="s">
        <v>1175</v>
      </c>
      <c r="W3390" s="17" t="s">
        <v>69</v>
      </c>
      <c r="Y3390" s="68">
        <v>45161</v>
      </c>
      <c r="Z3390" s="17" t="s">
        <v>191</v>
      </c>
      <c r="AA3390" s="17" t="s">
        <v>46</v>
      </c>
      <c r="AB3390" s="17" t="s">
        <v>1128</v>
      </c>
      <c r="AC3390" s="102" t="s">
        <v>1124</v>
      </c>
      <c r="AD3390" s="65">
        <v>1448</v>
      </c>
      <c r="AE3390" s="17" t="s">
        <v>74</v>
      </c>
    </row>
    <row r="3391" s="17" customFormat="1" ht="15.6" hidden="1" spans="1:32">
      <c r="A3391" s="17" t="s">
        <v>34</v>
      </c>
      <c r="B3391" s="19">
        <v>916</v>
      </c>
      <c r="C3391" s="183" t="s">
        <v>1173</v>
      </c>
      <c r="D3391" s="17" t="s">
        <v>52</v>
      </c>
      <c r="E3391" s="17" t="s">
        <v>1113</v>
      </c>
      <c r="F3391" s="17" t="s">
        <v>54</v>
      </c>
      <c r="H3391" s="19" t="s">
        <v>1114</v>
      </c>
      <c r="I3391" s="19"/>
      <c r="J3391" s="17" t="s">
        <v>82</v>
      </c>
      <c r="K3391" s="19">
        <v>180</v>
      </c>
      <c r="L3391" s="19">
        <v>40</v>
      </c>
      <c r="M3391" s="19">
        <v>2200</v>
      </c>
      <c r="N3391" s="19" t="s">
        <v>66</v>
      </c>
      <c r="O3391" s="19" t="s">
        <v>141</v>
      </c>
      <c r="P3391" s="19">
        <v>511</v>
      </c>
      <c r="Q3391" s="19">
        <f>391+131</f>
        <v>522</v>
      </c>
      <c r="R3391" s="19">
        <f>+P3391-Q3391</f>
        <v>-11</v>
      </c>
      <c r="S3391" s="274">
        <v>1070</v>
      </c>
      <c r="T3391" s="19" t="s">
        <v>42</v>
      </c>
      <c r="U3391" s="102" t="s">
        <v>1174</v>
      </c>
      <c r="V3391" s="186" t="s">
        <v>1175</v>
      </c>
      <c r="W3391" s="17" t="s">
        <v>69</v>
      </c>
      <c r="Y3391" s="68">
        <v>45161</v>
      </c>
      <c r="Z3391" s="17" t="s">
        <v>191</v>
      </c>
      <c r="AA3391" s="17" t="s">
        <v>46</v>
      </c>
      <c r="AB3391" s="17" t="s">
        <v>1128</v>
      </c>
      <c r="AC3391" s="102" t="s">
        <v>1124</v>
      </c>
      <c r="AD3391" s="65">
        <v>1448</v>
      </c>
      <c r="AE3391" s="17" t="s">
        <v>48</v>
      </c>
    </row>
    <row r="3392" s="17" customFormat="1" ht="15.6" hidden="1" spans="1:32">
      <c r="A3392" s="17" t="s">
        <v>34</v>
      </c>
      <c r="B3392" s="19">
        <v>916</v>
      </c>
      <c r="C3392" s="183" t="s">
        <v>1173</v>
      </c>
      <c r="D3392" s="17" t="s">
        <v>52</v>
      </c>
      <c r="E3392" s="17" t="s">
        <v>1113</v>
      </c>
      <c r="F3392" s="17" t="s">
        <v>54</v>
      </c>
      <c r="H3392" s="19" t="s">
        <v>1114</v>
      </c>
      <c r="I3392" s="19"/>
      <c r="J3392" s="17" t="s">
        <v>82</v>
      </c>
      <c r="K3392" s="19">
        <v>205</v>
      </c>
      <c r="L3392" s="19">
        <v>40</v>
      </c>
      <c r="M3392" s="19">
        <v>2200</v>
      </c>
      <c r="N3392" s="19" t="s">
        <v>66</v>
      </c>
      <c r="O3392" s="19" t="s">
        <v>141</v>
      </c>
      <c r="P3392" s="19">
        <v>2473</v>
      </c>
      <c r="Q3392" s="19">
        <f>1764+146</f>
        <v>1910</v>
      </c>
      <c r="S3392" s="274">
        <v>1070</v>
      </c>
      <c r="T3392" s="19" t="s">
        <v>42</v>
      </c>
      <c r="U3392" s="102" t="s">
        <v>1174</v>
      </c>
      <c r="V3392" s="186" t="s">
        <v>1175</v>
      </c>
      <c r="W3392" s="17" t="s">
        <v>69</v>
      </c>
      <c r="Y3392" s="68">
        <v>45161</v>
      </c>
      <c r="Z3392" s="17" t="s">
        <v>191</v>
      </c>
      <c r="AA3392" s="17" t="s">
        <v>46</v>
      </c>
      <c r="AB3392" s="17" t="s">
        <v>1128</v>
      </c>
      <c r="AC3392" s="102" t="s">
        <v>1124</v>
      </c>
      <c r="AD3392" s="65">
        <v>1448</v>
      </c>
      <c r="AE3392" s="17" t="s">
        <v>1178</v>
      </c>
    </row>
    <row r="3393" s="17" customFormat="1" ht="15.6" hidden="1" spans="1:31">
      <c r="B3393" s="19">
        <v>916</v>
      </c>
      <c r="C3393" s="183" t="s">
        <v>1173</v>
      </c>
      <c r="D3393" s="17" t="s">
        <v>52</v>
      </c>
      <c r="E3393" s="17" t="s">
        <v>1113</v>
      </c>
      <c r="F3393" s="17" t="s">
        <v>54</v>
      </c>
      <c r="H3393" s="19" t="s">
        <v>1114</v>
      </c>
      <c r="I3393" s="19"/>
      <c r="J3393" s="17" t="s">
        <v>82</v>
      </c>
      <c r="K3393" s="19">
        <v>205</v>
      </c>
      <c r="L3393" s="19">
        <v>40</v>
      </c>
      <c r="M3393" s="19">
        <v>2200</v>
      </c>
      <c r="N3393" s="19" t="s">
        <v>66</v>
      </c>
      <c r="O3393" s="19" t="s">
        <v>141</v>
      </c>
      <c r="P3393" s="19"/>
      <c r="Q3393" s="19">
        <f>148+148+144+145+145</f>
        <v>730</v>
      </c>
      <c r="R3393" s="19">
        <f>+P3392-Q3392-Q3393</f>
        <v>-167</v>
      </c>
      <c r="S3393" s="274">
        <f>1070-40</f>
        <v>1030</v>
      </c>
      <c r="T3393" s="19" t="s">
        <v>42</v>
      </c>
      <c r="U3393" s="102" t="s">
        <v>1174</v>
      </c>
      <c r="V3393" s="186" t="s">
        <v>1175</v>
      </c>
      <c r="W3393" s="17" t="s">
        <v>44</v>
      </c>
      <c r="Y3393" s="68">
        <v>45161</v>
      </c>
      <c r="Z3393" s="17" t="s">
        <v>191</v>
      </c>
      <c r="AA3393" s="17" t="s">
        <v>46</v>
      </c>
      <c r="AB3393" s="17" t="s">
        <v>1142</v>
      </c>
      <c r="AC3393" s="102" t="s">
        <v>1143</v>
      </c>
      <c r="AD3393" s="65">
        <v>1465</v>
      </c>
    </row>
    <row r="3394" s="17" customFormat="1" ht="15.6" hidden="1" spans="1:31">
      <c r="B3394" s="19">
        <v>916</v>
      </c>
      <c r="C3394" s="183" t="s">
        <v>1173</v>
      </c>
      <c r="D3394" s="17" t="s">
        <v>52</v>
      </c>
      <c r="E3394" s="17" t="s">
        <v>1113</v>
      </c>
      <c r="F3394" s="17" t="s">
        <v>54</v>
      </c>
      <c r="H3394" s="19" t="s">
        <v>1114</v>
      </c>
      <c r="I3394" s="19"/>
      <c r="J3394" s="17" t="s">
        <v>82</v>
      </c>
      <c r="K3394" s="19">
        <v>230</v>
      </c>
      <c r="L3394" s="19">
        <v>40</v>
      </c>
      <c r="M3394" s="19">
        <v>2200</v>
      </c>
      <c r="N3394" s="19" t="s">
        <v>66</v>
      </c>
      <c r="O3394" s="19" t="s">
        <v>141</v>
      </c>
      <c r="P3394" s="19">
        <v>490</v>
      </c>
      <c r="Q3394" s="19">
        <f>166+166+165</f>
        <v>497</v>
      </c>
      <c r="R3394" s="19">
        <f>+P3394-Q3394</f>
        <v>-7</v>
      </c>
      <c r="S3394" s="274">
        <f>1070-40</f>
        <v>1030</v>
      </c>
      <c r="T3394" s="19" t="s">
        <v>42</v>
      </c>
      <c r="U3394" s="102" t="s">
        <v>1174</v>
      </c>
      <c r="V3394" s="186" t="s">
        <v>1175</v>
      </c>
      <c r="W3394" s="17" t="s">
        <v>44</v>
      </c>
      <c r="Y3394" s="68">
        <v>45161</v>
      </c>
      <c r="Z3394" s="17" t="s">
        <v>191</v>
      </c>
      <c r="AA3394" s="17" t="s">
        <v>46</v>
      </c>
      <c r="AB3394" s="17" t="s">
        <v>1142</v>
      </c>
      <c r="AC3394" s="102" t="s">
        <v>1143</v>
      </c>
      <c r="AD3394" s="65">
        <v>1465</v>
      </c>
      <c r="AE3394" s="17" t="s">
        <v>48</v>
      </c>
    </row>
    <row r="3395" s="17" customFormat="1" ht="15.6" hidden="1" spans="1:31">
      <c r="A3395" s="17" t="s">
        <v>34</v>
      </c>
      <c r="B3395" s="19">
        <v>916</v>
      </c>
      <c r="C3395" s="183" t="s">
        <v>1173</v>
      </c>
      <c r="D3395" s="17" t="s">
        <v>52</v>
      </c>
      <c r="E3395" s="17" t="s">
        <v>1113</v>
      </c>
      <c r="F3395" s="17" t="s">
        <v>54</v>
      </c>
      <c r="H3395" s="19" t="s">
        <v>1114</v>
      </c>
      <c r="I3395" s="19"/>
      <c r="J3395" s="17" t="s">
        <v>82</v>
      </c>
      <c r="K3395" s="19">
        <v>255</v>
      </c>
      <c r="L3395" s="19">
        <v>40</v>
      </c>
      <c r="M3395" s="19">
        <v>2200</v>
      </c>
      <c r="N3395" s="19" t="s">
        <v>66</v>
      </c>
      <c r="O3395" s="19" t="s">
        <v>141</v>
      </c>
      <c r="P3395" s="19">
        <v>4524</v>
      </c>
      <c r="Q3395" s="19">
        <v>908</v>
      </c>
      <c r="S3395" s="274">
        <v>1070</v>
      </c>
      <c r="T3395" s="19" t="s">
        <v>42</v>
      </c>
      <c r="U3395" s="102" t="s">
        <v>1174</v>
      </c>
      <c r="V3395" s="186" t="s">
        <v>1175</v>
      </c>
      <c r="W3395" s="17" t="s">
        <v>69</v>
      </c>
      <c r="Y3395" s="68">
        <v>45161</v>
      </c>
      <c r="Z3395" s="17" t="s">
        <v>191</v>
      </c>
      <c r="AA3395" s="17" t="s">
        <v>46</v>
      </c>
      <c r="AB3395" s="17" t="s">
        <v>1128</v>
      </c>
      <c r="AC3395" s="102" t="s">
        <v>1124</v>
      </c>
      <c r="AD3395" s="65">
        <v>1448</v>
      </c>
      <c r="AE3395" s="17" t="s">
        <v>1179</v>
      </c>
    </row>
    <row r="3396" s="17" customFormat="1" ht="15.6" hidden="1" spans="1:31">
      <c r="A3396" s="17" t="s">
        <v>34</v>
      </c>
      <c r="B3396" s="19">
        <v>916</v>
      </c>
      <c r="C3396" s="183" t="s">
        <v>1173</v>
      </c>
      <c r="D3396" s="17" t="s">
        <v>52</v>
      </c>
      <c r="E3396" s="17" t="s">
        <v>1113</v>
      </c>
      <c r="F3396" s="17" t="s">
        <v>54</v>
      </c>
      <c r="H3396" s="19" t="s">
        <v>1114</v>
      </c>
      <c r="I3396" s="19"/>
      <c r="J3396" s="17" t="s">
        <v>82</v>
      </c>
      <c r="K3396" s="19">
        <v>255</v>
      </c>
      <c r="L3396" s="19">
        <v>40</v>
      </c>
      <c r="M3396" s="19">
        <v>2200</v>
      </c>
      <c r="N3396" s="19" t="s">
        <v>66</v>
      </c>
      <c r="O3396" s="19" t="s">
        <v>141</v>
      </c>
      <c r="P3396" s="19"/>
      <c r="Q3396" s="19">
        <v>182</v>
      </c>
      <c r="S3396" s="274">
        <v>1070</v>
      </c>
      <c r="T3396" s="19" t="s">
        <v>42</v>
      </c>
      <c r="U3396" s="102" t="s">
        <v>1174</v>
      </c>
      <c r="V3396" s="186" t="s">
        <v>1175</v>
      </c>
      <c r="W3396" s="17" t="s">
        <v>69</v>
      </c>
      <c r="Y3396" s="68">
        <v>45161</v>
      </c>
      <c r="Z3396" s="17" t="s">
        <v>191</v>
      </c>
      <c r="AA3396" s="17" t="s">
        <v>46</v>
      </c>
      <c r="AB3396" s="17" t="s">
        <v>1150</v>
      </c>
      <c r="AC3396" s="102" t="s">
        <v>1151</v>
      </c>
      <c r="AD3396" s="65">
        <v>1455</v>
      </c>
      <c r="AE3396" s="17" t="s">
        <v>74</v>
      </c>
    </row>
    <row r="3397" s="17" customFormat="1" ht="15.6" hidden="1" spans="1:31">
      <c r="B3397" s="19">
        <v>916</v>
      </c>
      <c r="C3397" s="183" t="s">
        <v>1173</v>
      </c>
      <c r="D3397" s="17" t="s">
        <v>52</v>
      </c>
      <c r="E3397" s="17" t="s">
        <v>1113</v>
      </c>
      <c r="F3397" s="17" t="s">
        <v>54</v>
      </c>
      <c r="H3397" s="19" t="s">
        <v>1114</v>
      </c>
      <c r="I3397" s="19"/>
      <c r="J3397" s="17" t="s">
        <v>82</v>
      </c>
      <c r="K3397" s="19">
        <v>255</v>
      </c>
      <c r="L3397" s="19">
        <v>40</v>
      </c>
      <c r="M3397" s="19">
        <v>2200</v>
      </c>
      <c r="N3397" s="19" t="s">
        <v>66</v>
      </c>
      <c r="O3397" s="19" t="s">
        <v>141</v>
      </c>
      <c r="P3397" s="19"/>
      <c r="Q3397" s="19">
        <f>188+183+183+185+184+182+184+182+184+185</f>
        <v>1840</v>
      </c>
      <c r="S3397" s="274">
        <f>1070-40</f>
        <v>1030</v>
      </c>
      <c r="T3397" s="19" t="s">
        <v>42</v>
      </c>
      <c r="U3397" s="102" t="s">
        <v>1174</v>
      </c>
      <c r="V3397" s="186" t="s">
        <v>1175</v>
      </c>
      <c r="W3397" s="17" t="s">
        <v>44</v>
      </c>
      <c r="Y3397" s="68">
        <v>45161</v>
      </c>
      <c r="Z3397" s="17" t="s">
        <v>191</v>
      </c>
      <c r="AA3397" s="17" t="s">
        <v>46</v>
      </c>
      <c r="AB3397" s="17" t="s">
        <v>1142</v>
      </c>
      <c r="AC3397" s="102" t="s">
        <v>1143</v>
      </c>
      <c r="AD3397" s="65">
        <v>1465</v>
      </c>
      <c r="AE3397" s="17" t="s">
        <v>74</v>
      </c>
    </row>
    <row r="3398" s="17" customFormat="1" ht="15.6" hidden="1" spans="1:31">
      <c r="A3398" s="17" t="s">
        <v>34</v>
      </c>
      <c r="B3398" s="19">
        <v>916</v>
      </c>
      <c r="C3398" s="183" t="s">
        <v>1173</v>
      </c>
      <c r="D3398" s="17" t="s">
        <v>52</v>
      </c>
      <c r="E3398" s="17" t="s">
        <v>1113</v>
      </c>
      <c r="F3398" s="17" t="s">
        <v>54</v>
      </c>
      <c r="H3398" s="19" t="s">
        <v>1114</v>
      </c>
      <c r="I3398" s="19"/>
      <c r="J3398" s="17" t="s">
        <v>82</v>
      </c>
      <c r="K3398" s="19">
        <v>255</v>
      </c>
      <c r="L3398" s="19">
        <v>40</v>
      </c>
      <c r="M3398" s="19">
        <v>2200</v>
      </c>
      <c r="N3398" s="19" t="s">
        <v>66</v>
      </c>
      <c r="O3398" s="19" t="s">
        <v>141</v>
      </c>
      <c r="P3398" s="19"/>
      <c r="Q3398" s="19">
        <f>184+184+184+185+180+181+179+187+187</f>
        <v>1651</v>
      </c>
      <c r="R3398" s="19">
        <f>+P3395-Q3395-Q3396-Q3397-Q3398</f>
        <v>-57</v>
      </c>
      <c r="S3398" s="274">
        <f>1070-40</f>
        <v>1030</v>
      </c>
      <c r="T3398" s="19" t="s">
        <v>42</v>
      </c>
      <c r="U3398" s="102" t="s">
        <v>1174</v>
      </c>
      <c r="V3398" s="186" t="s">
        <v>1175</v>
      </c>
      <c r="W3398" s="17" t="s">
        <v>44</v>
      </c>
      <c r="Y3398" s="68">
        <v>45161</v>
      </c>
      <c r="Z3398" s="17" t="s">
        <v>191</v>
      </c>
      <c r="AA3398" s="17" t="s">
        <v>46</v>
      </c>
      <c r="AB3398" s="17" t="s">
        <v>1140</v>
      </c>
      <c r="AC3398" s="102" t="s">
        <v>1141</v>
      </c>
      <c r="AD3398" s="65">
        <v>1468</v>
      </c>
      <c r="AE3398" s="17" t="s">
        <v>74</v>
      </c>
    </row>
    <row r="3399" s="17" customFormat="1" ht="15.6" hidden="1" spans="1:31">
      <c r="A3399" s="17" t="s">
        <v>34</v>
      </c>
      <c r="B3399" s="19">
        <v>916</v>
      </c>
      <c r="C3399" s="183" t="s">
        <v>1173</v>
      </c>
      <c r="D3399" s="17" t="s">
        <v>52</v>
      </c>
      <c r="E3399" s="17" t="s">
        <v>1113</v>
      </c>
      <c r="F3399" s="17" t="s">
        <v>54</v>
      </c>
      <c r="H3399" s="19" t="s">
        <v>1114</v>
      </c>
      <c r="I3399" s="19"/>
      <c r="J3399" s="17" t="s">
        <v>82</v>
      </c>
      <c r="K3399" s="19">
        <v>305</v>
      </c>
      <c r="L3399" s="98">
        <v>40</v>
      </c>
      <c r="M3399" s="19">
        <v>2200</v>
      </c>
      <c r="N3399" s="19" t="s">
        <v>66</v>
      </c>
      <c r="O3399" s="19" t="s">
        <v>141</v>
      </c>
      <c r="P3399" s="19">
        <v>3896</v>
      </c>
      <c r="Q3399" s="19">
        <f>220+220+218+219+219+220+214+218+217+220+220+216+218</f>
        <v>2839</v>
      </c>
      <c r="S3399" s="274">
        <f>1070-40</f>
        <v>1030</v>
      </c>
      <c r="T3399" s="19" t="s">
        <v>42</v>
      </c>
      <c r="U3399" s="102" t="s">
        <v>1174</v>
      </c>
      <c r="V3399" s="186" t="s">
        <v>1175</v>
      </c>
      <c r="W3399" s="17" t="s">
        <v>44</v>
      </c>
      <c r="Y3399" s="68">
        <v>45161</v>
      </c>
      <c r="Z3399" s="17" t="s">
        <v>191</v>
      </c>
      <c r="AA3399" s="17" t="s">
        <v>46</v>
      </c>
      <c r="AB3399" s="17" t="s">
        <v>1140</v>
      </c>
      <c r="AC3399" s="102" t="s">
        <v>1141</v>
      </c>
      <c r="AD3399" s="65">
        <v>1468</v>
      </c>
      <c r="AE3399" s="17" t="s">
        <v>74</v>
      </c>
    </row>
    <row r="3400" s="17" customFormat="1" ht="15.6" hidden="1" spans="1:31">
      <c r="A3400" s="17" t="s">
        <v>34</v>
      </c>
      <c r="B3400" s="19">
        <v>916</v>
      </c>
      <c r="C3400" s="183" t="s">
        <v>1173</v>
      </c>
      <c r="D3400" s="17" t="s">
        <v>52</v>
      </c>
      <c r="E3400" s="17" t="s">
        <v>1113</v>
      </c>
      <c r="F3400" s="17" t="s">
        <v>54</v>
      </c>
      <c r="H3400" s="19" t="s">
        <v>1114</v>
      </c>
      <c r="I3400" s="19"/>
      <c r="J3400" s="17" t="s">
        <v>82</v>
      </c>
      <c r="K3400" s="19">
        <v>305</v>
      </c>
      <c r="L3400" s="98">
        <v>40</v>
      </c>
      <c r="M3400" s="19">
        <v>2200</v>
      </c>
      <c r="N3400" s="19" t="s">
        <v>66</v>
      </c>
      <c r="O3400" s="19" t="s">
        <v>141</v>
      </c>
      <c r="P3400" s="19"/>
      <c r="Q3400" s="19">
        <f>215+222+221+220+219+219+223+221</f>
        <v>1760</v>
      </c>
      <c r="R3400" s="19">
        <f>+P3399-Q3399-Q3400</f>
        <v>-703</v>
      </c>
      <c r="S3400" s="274">
        <f>1070-40</f>
        <v>1030</v>
      </c>
      <c r="T3400" s="19" t="s">
        <v>42</v>
      </c>
      <c r="U3400" s="102" t="s">
        <v>1174</v>
      </c>
      <c r="V3400" s="186" t="s">
        <v>1175</v>
      </c>
      <c r="W3400" s="17" t="s">
        <v>44</v>
      </c>
      <c r="Y3400" s="68">
        <v>45161</v>
      </c>
      <c r="Z3400" s="17" t="s">
        <v>191</v>
      </c>
      <c r="AA3400" s="17" t="s">
        <v>46</v>
      </c>
      <c r="AB3400" s="17" t="s">
        <v>1138</v>
      </c>
      <c r="AC3400" s="102" t="s">
        <v>1139</v>
      </c>
      <c r="AD3400" s="65">
        <v>1473</v>
      </c>
    </row>
    <row r="3401" s="17" customFormat="1" ht="15.6" hidden="1" spans="1:31">
      <c r="A3401" s="17" t="s">
        <v>34</v>
      </c>
      <c r="B3401" s="19">
        <v>916</v>
      </c>
      <c r="C3401" s="183" t="s">
        <v>1173</v>
      </c>
      <c r="D3401" s="17" t="s">
        <v>52</v>
      </c>
      <c r="E3401" s="17" t="s">
        <v>1113</v>
      </c>
      <c r="F3401" s="17" t="s">
        <v>54</v>
      </c>
      <c r="H3401" s="19" t="s">
        <v>1114</v>
      </c>
      <c r="I3401" s="19"/>
      <c r="J3401" s="17" t="s">
        <v>82</v>
      </c>
      <c r="K3401" s="19">
        <v>305</v>
      </c>
      <c r="L3401" s="98">
        <v>40</v>
      </c>
      <c r="M3401" s="19">
        <v>2200</v>
      </c>
      <c r="N3401" s="19" t="s">
        <v>66</v>
      </c>
      <c r="O3401" s="19" t="s">
        <v>141</v>
      </c>
      <c r="P3401" s="19"/>
      <c r="Q3401" s="19">
        <f>218+217+217+217+219+217+217+219+219</f>
        <v>1960</v>
      </c>
      <c r="R3401" s="19"/>
      <c r="S3401" s="274">
        <v>1070</v>
      </c>
      <c r="T3401" s="19" t="s">
        <v>42</v>
      </c>
      <c r="U3401" s="102" t="s">
        <v>1174</v>
      </c>
      <c r="V3401" s="186" t="s">
        <v>1175</v>
      </c>
      <c r="W3401" s="17" t="s">
        <v>69</v>
      </c>
      <c r="Y3401" s="68">
        <v>45161</v>
      </c>
      <c r="Z3401" s="17" t="s">
        <v>191</v>
      </c>
      <c r="AA3401" s="17" t="s">
        <v>46</v>
      </c>
      <c r="AB3401" s="17" t="s">
        <v>1137</v>
      </c>
      <c r="AC3401" s="217">
        <v>45210</v>
      </c>
      <c r="AD3401" s="65">
        <v>1489</v>
      </c>
    </row>
    <row r="3402" s="17" customFormat="1" ht="15.6" hidden="1" spans="1:31">
      <c r="A3402" s="17" t="s">
        <v>34</v>
      </c>
      <c r="B3402" s="19">
        <v>916</v>
      </c>
      <c r="C3402" s="183" t="s">
        <v>1173</v>
      </c>
      <c r="D3402" s="17" t="s">
        <v>52</v>
      </c>
      <c r="E3402" s="17" t="s">
        <v>1113</v>
      </c>
      <c r="F3402" s="17" t="s">
        <v>54</v>
      </c>
      <c r="H3402" s="19" t="s">
        <v>1114</v>
      </c>
      <c r="I3402" s="19"/>
      <c r="J3402" s="17" t="s">
        <v>82</v>
      </c>
      <c r="K3402" s="19">
        <v>310</v>
      </c>
      <c r="L3402" s="19">
        <v>40</v>
      </c>
      <c r="M3402" s="19">
        <v>2200</v>
      </c>
      <c r="N3402" s="19" t="s">
        <v>66</v>
      </c>
      <c r="O3402" s="19" t="s">
        <v>141</v>
      </c>
      <c r="P3402" s="19">
        <v>440</v>
      </c>
      <c r="Q3402" s="19">
        <f>218+219+216</f>
        <v>653</v>
      </c>
      <c r="R3402" s="19">
        <f>+P3402-Q3402</f>
        <v>-213</v>
      </c>
      <c r="S3402" s="274">
        <f>1070-40</f>
        <v>1030</v>
      </c>
      <c r="T3402" s="19" t="s">
        <v>42</v>
      </c>
      <c r="U3402" s="102" t="s">
        <v>1174</v>
      </c>
      <c r="V3402" s="186" t="s">
        <v>1175</v>
      </c>
      <c r="W3402" s="17" t="s">
        <v>44</v>
      </c>
      <c r="Y3402" s="68">
        <v>45161</v>
      </c>
      <c r="Z3402" s="17" t="s">
        <v>191</v>
      </c>
      <c r="AA3402" s="17" t="s">
        <v>46</v>
      </c>
      <c r="AB3402" s="17" t="s">
        <v>1136</v>
      </c>
      <c r="AC3402" s="217">
        <v>44937</v>
      </c>
      <c r="AD3402" s="65">
        <v>1476</v>
      </c>
      <c r="AE3402" s="17" t="s">
        <v>48</v>
      </c>
    </row>
    <row r="3403" s="17" customFormat="1" ht="15.6" hidden="1" spans="1:31">
      <c r="A3403" s="17" t="s">
        <v>34</v>
      </c>
      <c r="B3403" s="19">
        <v>916</v>
      </c>
      <c r="C3403" s="183" t="s">
        <v>1173</v>
      </c>
      <c r="D3403" s="17" t="s">
        <v>52</v>
      </c>
      <c r="E3403" s="17" t="s">
        <v>1113</v>
      </c>
      <c r="F3403" s="17" t="s">
        <v>54</v>
      </c>
      <c r="H3403" s="19" t="s">
        <v>1114</v>
      </c>
      <c r="I3403" s="19"/>
      <c r="J3403" s="17" t="s">
        <v>82</v>
      </c>
      <c r="K3403" s="19">
        <v>330</v>
      </c>
      <c r="L3403" s="19">
        <v>40</v>
      </c>
      <c r="M3403" s="19">
        <v>2200</v>
      </c>
      <c r="N3403" s="19" t="s">
        <v>66</v>
      </c>
      <c r="O3403" s="19" t="s">
        <v>141</v>
      </c>
      <c r="P3403" s="19">
        <v>468</v>
      </c>
      <c r="Q3403" s="19">
        <f>234+234</f>
        <v>468</v>
      </c>
      <c r="R3403" s="19">
        <f>+P3403-Q3403</f>
        <v>0</v>
      </c>
      <c r="S3403" s="274">
        <f>1070-40</f>
        <v>1030</v>
      </c>
      <c r="T3403" s="19" t="s">
        <v>42</v>
      </c>
      <c r="U3403" s="102" t="s">
        <v>1174</v>
      </c>
      <c r="V3403" s="186" t="s">
        <v>1175</v>
      </c>
      <c r="W3403" s="17" t="s">
        <v>44</v>
      </c>
      <c r="Y3403" s="68">
        <v>45161</v>
      </c>
      <c r="Z3403" s="17" t="s">
        <v>191</v>
      </c>
      <c r="AA3403" s="17" t="s">
        <v>46</v>
      </c>
      <c r="AB3403" s="17" t="s">
        <v>1138</v>
      </c>
      <c r="AC3403" s="102" t="s">
        <v>1139</v>
      </c>
      <c r="AD3403" s="65">
        <v>1473</v>
      </c>
      <c r="AE3403" s="17" t="s">
        <v>48</v>
      </c>
    </row>
    <row r="3404" s="17" customFormat="1" ht="15.6" hidden="1" spans="1:31">
      <c r="A3404" s="17" t="s">
        <v>34</v>
      </c>
      <c r="B3404" s="19">
        <v>916</v>
      </c>
      <c r="C3404" s="183" t="s">
        <v>1173</v>
      </c>
      <c r="D3404" s="17" t="s">
        <v>52</v>
      </c>
      <c r="E3404" s="17" t="s">
        <v>1113</v>
      </c>
      <c r="F3404" s="17" t="s">
        <v>54</v>
      </c>
      <c r="H3404" s="19" t="s">
        <v>1114</v>
      </c>
      <c r="I3404" s="19"/>
      <c r="J3404" s="17" t="s">
        <v>82</v>
      </c>
      <c r="K3404" s="19">
        <v>355</v>
      </c>
      <c r="L3404" s="19">
        <v>40</v>
      </c>
      <c r="M3404" s="19">
        <v>2200</v>
      </c>
      <c r="N3404" s="19" t="s">
        <v>66</v>
      </c>
      <c r="O3404" s="19" t="s">
        <v>141</v>
      </c>
      <c r="P3404" s="19">
        <v>4031</v>
      </c>
      <c r="Q3404" s="19">
        <f>251+251+251+251+251+252+252+252+251+252+257+256+255+253+253+253</f>
        <v>4041</v>
      </c>
      <c r="S3404" s="274">
        <v>1070</v>
      </c>
      <c r="T3404" s="19" t="s">
        <v>42</v>
      </c>
      <c r="U3404" s="102" t="s">
        <v>1174</v>
      </c>
      <c r="V3404" s="186" t="s">
        <v>1175</v>
      </c>
      <c r="W3404" s="17" t="s">
        <v>69</v>
      </c>
      <c r="Y3404" s="68">
        <v>45161</v>
      </c>
      <c r="Z3404" s="17" t="s">
        <v>191</v>
      </c>
      <c r="AA3404" s="17" t="s">
        <v>46</v>
      </c>
      <c r="AB3404" s="17" t="s">
        <v>1176</v>
      </c>
      <c r="AC3404" s="102" t="s">
        <v>1117</v>
      </c>
      <c r="AD3404" s="65">
        <v>1442</v>
      </c>
      <c r="AE3404" s="17" t="s">
        <v>74</v>
      </c>
    </row>
    <row r="3405" s="17" customFormat="1" ht="15.6" hidden="1" spans="1:31">
      <c r="A3405" s="17" t="s">
        <v>34</v>
      </c>
      <c r="B3405" s="19">
        <v>916</v>
      </c>
      <c r="C3405" s="183" t="s">
        <v>1173</v>
      </c>
      <c r="D3405" s="17" t="s">
        <v>52</v>
      </c>
      <c r="E3405" s="17" t="s">
        <v>1113</v>
      </c>
      <c r="F3405" s="17" t="s">
        <v>54</v>
      </c>
      <c r="H3405" s="19" t="s">
        <v>1114</v>
      </c>
      <c r="I3405" s="19"/>
      <c r="J3405" s="17" t="s">
        <v>82</v>
      </c>
      <c r="K3405" s="19">
        <v>355</v>
      </c>
      <c r="L3405" s="19">
        <v>40</v>
      </c>
      <c r="M3405" s="19">
        <v>2200</v>
      </c>
      <c r="N3405" s="19" t="s">
        <v>66</v>
      </c>
      <c r="O3405" s="19" t="s">
        <v>141</v>
      </c>
      <c r="P3405" s="19"/>
      <c r="Q3405" s="19">
        <f>254+256+256+251</f>
        <v>1017</v>
      </c>
      <c r="S3405" s="274">
        <f>1070-40</f>
        <v>1030</v>
      </c>
      <c r="T3405" s="19" t="s">
        <v>42</v>
      </c>
      <c r="U3405" s="102" t="s">
        <v>1174</v>
      </c>
      <c r="V3405" s="186" t="s">
        <v>1175</v>
      </c>
      <c r="W3405" s="17" t="s">
        <v>44</v>
      </c>
      <c r="Y3405" s="68">
        <v>45161</v>
      </c>
      <c r="Z3405" s="17" t="s">
        <v>191</v>
      </c>
      <c r="AA3405" s="17" t="s">
        <v>46</v>
      </c>
      <c r="AB3405" s="17" t="s">
        <v>1138</v>
      </c>
      <c r="AC3405" s="102" t="s">
        <v>1139</v>
      </c>
      <c r="AD3405" s="65">
        <v>1473</v>
      </c>
    </row>
    <row r="3406" s="17" customFormat="1" ht="15.6" hidden="1" spans="1:31">
      <c r="A3406" s="17" t="s">
        <v>34</v>
      </c>
      <c r="B3406" s="19">
        <v>916</v>
      </c>
      <c r="C3406" s="183" t="s">
        <v>1173</v>
      </c>
      <c r="D3406" s="17" t="s">
        <v>52</v>
      </c>
      <c r="E3406" s="17" t="s">
        <v>1113</v>
      </c>
      <c r="F3406" s="17" t="s">
        <v>54</v>
      </c>
      <c r="H3406" s="19" t="s">
        <v>1114</v>
      </c>
      <c r="I3406" s="19"/>
      <c r="J3406" s="17" t="s">
        <v>82</v>
      </c>
      <c r="K3406" s="19">
        <v>355</v>
      </c>
      <c r="L3406" s="19">
        <v>40</v>
      </c>
      <c r="M3406" s="19">
        <v>2200</v>
      </c>
      <c r="N3406" s="19" t="s">
        <v>66</v>
      </c>
      <c r="O3406" s="19" t="s">
        <v>141</v>
      </c>
      <c r="P3406" s="19"/>
      <c r="Q3406" s="19">
        <f>252+253+251+255+253+254+256</f>
        <v>1774</v>
      </c>
      <c r="R3406" s="19">
        <f>+P3404-Q3404-Q3405-Q3406</f>
        <v>-2801</v>
      </c>
      <c r="S3406" s="274">
        <v>1070</v>
      </c>
      <c r="T3406" s="19" t="s">
        <v>42</v>
      </c>
      <c r="U3406" s="102" t="s">
        <v>1174</v>
      </c>
      <c r="V3406" s="186" t="s">
        <v>1175</v>
      </c>
      <c r="W3406" s="17" t="s">
        <v>69</v>
      </c>
      <c r="Y3406" s="68">
        <v>45161</v>
      </c>
      <c r="Z3406" s="17" t="s">
        <v>191</v>
      </c>
      <c r="AA3406" s="17" t="s">
        <v>46</v>
      </c>
      <c r="AB3406" s="17" t="s">
        <v>1137</v>
      </c>
      <c r="AC3406" s="217">
        <v>45210</v>
      </c>
      <c r="AD3406" s="65">
        <v>1489</v>
      </c>
    </row>
    <row r="3407" s="17" customFormat="1" ht="15.6" hidden="1" spans="1:31">
      <c r="A3407" s="17" t="s">
        <v>34</v>
      </c>
      <c r="B3407" s="19">
        <v>916</v>
      </c>
      <c r="C3407" s="183" t="s">
        <v>1173</v>
      </c>
      <c r="D3407" s="17" t="s">
        <v>52</v>
      </c>
      <c r="E3407" s="17" t="s">
        <v>1113</v>
      </c>
      <c r="F3407" s="17" t="s">
        <v>54</v>
      </c>
      <c r="H3407" s="19" t="s">
        <v>1114</v>
      </c>
      <c r="I3407" s="19"/>
      <c r="J3407" s="17" t="s">
        <v>82</v>
      </c>
      <c r="K3407" s="19">
        <v>405</v>
      </c>
      <c r="L3407" s="19">
        <v>40</v>
      </c>
      <c r="M3407" s="19">
        <v>2200</v>
      </c>
      <c r="N3407" s="19" t="s">
        <v>66</v>
      </c>
      <c r="O3407" s="19" t="s">
        <v>141</v>
      </c>
      <c r="P3407" s="19">
        <v>2012</v>
      </c>
      <c r="Q3407" s="19">
        <v>1724</v>
      </c>
      <c r="S3407" s="274">
        <v>1070</v>
      </c>
      <c r="T3407" s="19" t="s">
        <v>42</v>
      </c>
      <c r="U3407" s="102" t="s">
        <v>1174</v>
      </c>
      <c r="V3407" s="186" t="s">
        <v>1175</v>
      </c>
      <c r="W3407" s="17" t="s">
        <v>69</v>
      </c>
      <c r="Y3407" s="68">
        <v>45161</v>
      </c>
      <c r="Z3407" s="17" t="s">
        <v>191</v>
      </c>
      <c r="AA3407" s="17" t="s">
        <v>46</v>
      </c>
      <c r="AB3407" s="17" t="s">
        <v>1128</v>
      </c>
      <c r="AC3407" s="102" t="s">
        <v>1124</v>
      </c>
      <c r="AD3407" s="65">
        <v>1448</v>
      </c>
      <c r="AE3407" s="17" t="s">
        <v>74</v>
      </c>
    </row>
    <row r="3408" s="17" customFormat="1" ht="15.6" hidden="1" spans="1:31">
      <c r="A3408" s="17" t="s">
        <v>34</v>
      </c>
      <c r="B3408" s="19">
        <v>916</v>
      </c>
      <c r="C3408" s="183" t="s">
        <v>1173</v>
      </c>
      <c r="D3408" s="17" t="s">
        <v>52</v>
      </c>
      <c r="E3408" s="17" t="s">
        <v>1113</v>
      </c>
      <c r="F3408" s="17" t="s">
        <v>54</v>
      </c>
      <c r="H3408" s="19" t="s">
        <v>1114</v>
      </c>
      <c r="I3408" s="19"/>
      <c r="J3408" s="17" t="s">
        <v>82</v>
      </c>
      <c r="K3408" s="19">
        <v>405</v>
      </c>
      <c r="L3408" s="19">
        <v>40</v>
      </c>
      <c r="M3408" s="19">
        <v>2200</v>
      </c>
      <c r="N3408" s="19" t="s">
        <v>66</v>
      </c>
      <c r="O3408" s="19" t="s">
        <v>141</v>
      </c>
      <c r="P3408" s="19"/>
      <c r="Q3408" s="19">
        <v>289</v>
      </c>
      <c r="S3408" s="274">
        <v>1070</v>
      </c>
      <c r="T3408" s="19" t="s">
        <v>42</v>
      </c>
      <c r="U3408" s="102" t="s">
        <v>1174</v>
      </c>
      <c r="V3408" s="186" t="s">
        <v>1175</v>
      </c>
      <c r="W3408" s="17" t="s">
        <v>69</v>
      </c>
      <c r="Y3408" s="68">
        <v>45161</v>
      </c>
      <c r="Z3408" s="17" t="s">
        <v>191</v>
      </c>
      <c r="AA3408" s="17" t="s">
        <v>46</v>
      </c>
      <c r="AB3408" s="17" t="s">
        <v>1150</v>
      </c>
      <c r="AC3408" s="102" t="s">
        <v>1151</v>
      </c>
      <c r="AD3408" s="65">
        <v>1455</v>
      </c>
      <c r="AE3408" s="17" t="s">
        <v>74</v>
      </c>
    </row>
    <row r="3409" s="17" customFormat="1" ht="15.6" hidden="1" spans="1:31">
      <c r="A3409" s="17" t="s">
        <v>34</v>
      </c>
      <c r="B3409" s="19">
        <v>916</v>
      </c>
      <c r="C3409" s="183" t="s">
        <v>1173</v>
      </c>
      <c r="D3409" s="17" t="s">
        <v>52</v>
      </c>
      <c r="E3409" s="17" t="s">
        <v>1113</v>
      </c>
      <c r="F3409" s="17" t="s">
        <v>54</v>
      </c>
      <c r="H3409" s="19" t="s">
        <v>1114</v>
      </c>
      <c r="I3409" s="19"/>
      <c r="J3409" s="17" t="s">
        <v>82</v>
      </c>
      <c r="K3409" s="19">
        <v>405</v>
      </c>
      <c r="L3409" s="19">
        <v>40</v>
      </c>
      <c r="M3409" s="19">
        <v>2200</v>
      </c>
      <c r="N3409" s="19" t="s">
        <v>66</v>
      </c>
      <c r="O3409" s="19" t="s">
        <v>141</v>
      </c>
      <c r="P3409" s="19"/>
      <c r="Q3409" s="19">
        <f>290+289</f>
        <v>579</v>
      </c>
      <c r="R3409" s="19">
        <f>+P3407-Q3407-Q3408-Q3409</f>
        <v>-580</v>
      </c>
      <c r="S3409" s="274">
        <f>1070-40</f>
        <v>1030</v>
      </c>
      <c r="T3409" s="19" t="s">
        <v>42</v>
      </c>
      <c r="U3409" s="102" t="s">
        <v>1174</v>
      </c>
      <c r="V3409" s="186" t="s">
        <v>1175</v>
      </c>
      <c r="W3409" s="17" t="s">
        <v>44</v>
      </c>
      <c r="Y3409" s="68">
        <v>45161</v>
      </c>
      <c r="Z3409" s="17" t="s">
        <v>191</v>
      </c>
      <c r="AA3409" s="17" t="s">
        <v>46</v>
      </c>
      <c r="AB3409" s="17" t="s">
        <v>1138</v>
      </c>
      <c r="AC3409" s="102" t="s">
        <v>1139</v>
      </c>
      <c r="AD3409" s="65">
        <v>1473</v>
      </c>
    </row>
    <row r="3410" s="17" customFormat="1" ht="15.6" hidden="1" spans="1:31">
      <c r="A3410" s="17" t="s">
        <v>34</v>
      </c>
      <c r="B3410" s="19">
        <v>916</v>
      </c>
      <c r="C3410" s="183" t="s">
        <v>1173</v>
      </c>
      <c r="D3410" s="17" t="s">
        <v>52</v>
      </c>
      <c r="E3410" s="17" t="s">
        <v>1113</v>
      </c>
      <c r="F3410" s="17" t="s">
        <v>54</v>
      </c>
      <c r="H3410" s="19" t="s">
        <v>1114</v>
      </c>
      <c r="I3410" s="19"/>
      <c r="J3410" s="17" t="s">
        <v>82</v>
      </c>
      <c r="K3410" s="19">
        <v>405</v>
      </c>
      <c r="L3410" s="19">
        <v>40</v>
      </c>
      <c r="M3410" s="19">
        <v>2200</v>
      </c>
      <c r="N3410" s="19" t="s">
        <v>66</v>
      </c>
      <c r="O3410" s="19" t="s">
        <v>141</v>
      </c>
      <c r="P3410" s="19"/>
      <c r="Q3410" s="19">
        <f>286+287+285+287+284+284+289</f>
        <v>2002</v>
      </c>
      <c r="R3410" s="19"/>
      <c r="S3410" s="274">
        <v>1070</v>
      </c>
      <c r="T3410" s="19" t="s">
        <v>42</v>
      </c>
      <c r="U3410" s="102" t="s">
        <v>1174</v>
      </c>
      <c r="V3410" s="186" t="s">
        <v>1175</v>
      </c>
      <c r="W3410" s="17" t="s">
        <v>69</v>
      </c>
      <c r="Y3410" s="68">
        <v>45161</v>
      </c>
      <c r="Z3410" s="17" t="s">
        <v>191</v>
      </c>
      <c r="AA3410" s="17" t="s">
        <v>46</v>
      </c>
      <c r="AB3410" s="17" t="s">
        <v>1137</v>
      </c>
      <c r="AC3410" s="217">
        <v>45210</v>
      </c>
      <c r="AD3410" s="65">
        <v>1489</v>
      </c>
    </row>
    <row r="3411" s="17" customFormat="1" ht="15.6" hidden="1" spans="1:31">
      <c r="A3411" s="17" t="s">
        <v>34</v>
      </c>
      <c r="B3411" s="19">
        <v>916</v>
      </c>
      <c r="C3411" s="183" t="s">
        <v>1173</v>
      </c>
      <c r="D3411" s="17" t="s">
        <v>52</v>
      </c>
      <c r="E3411" s="17" t="s">
        <v>1113</v>
      </c>
      <c r="F3411" s="17" t="s">
        <v>54</v>
      </c>
      <c r="H3411" s="19" t="s">
        <v>1114</v>
      </c>
      <c r="I3411" s="19"/>
      <c r="J3411" s="17" t="s">
        <v>82</v>
      </c>
      <c r="K3411" s="19">
        <v>410</v>
      </c>
      <c r="L3411" s="19">
        <v>40</v>
      </c>
      <c r="M3411" s="19">
        <v>2200</v>
      </c>
      <c r="N3411" s="19" t="s">
        <v>66</v>
      </c>
      <c r="O3411" s="19" t="s">
        <v>141</v>
      </c>
      <c r="P3411" s="19">
        <v>582</v>
      </c>
      <c r="Q3411" s="19">
        <v>291</v>
      </c>
      <c r="S3411" s="274">
        <v>1070</v>
      </c>
      <c r="T3411" s="19" t="s">
        <v>42</v>
      </c>
      <c r="U3411" s="102" t="s">
        <v>1174</v>
      </c>
      <c r="V3411" s="186" t="s">
        <v>1175</v>
      </c>
      <c r="W3411" s="17" t="s">
        <v>69</v>
      </c>
      <c r="Y3411" s="68">
        <v>45161</v>
      </c>
      <c r="Z3411" s="17" t="s">
        <v>191</v>
      </c>
      <c r="AA3411" s="17" t="s">
        <v>46</v>
      </c>
      <c r="AB3411" s="17" t="s">
        <v>1176</v>
      </c>
      <c r="AC3411" s="102" t="s">
        <v>1117</v>
      </c>
      <c r="AD3411" s="65">
        <v>1442</v>
      </c>
      <c r="AE3411" s="17" t="s">
        <v>48</v>
      </c>
    </row>
    <row r="3412" s="17" customFormat="1" ht="15.6" hidden="1" spans="1:31">
      <c r="A3412" s="17" t="s">
        <v>34</v>
      </c>
      <c r="B3412" s="19">
        <v>916</v>
      </c>
      <c r="C3412" s="183" t="s">
        <v>1173</v>
      </c>
      <c r="D3412" s="17" t="s">
        <v>52</v>
      </c>
      <c r="E3412" s="17" t="s">
        <v>1113</v>
      </c>
      <c r="F3412" s="17" t="s">
        <v>54</v>
      </c>
      <c r="H3412" s="19" t="s">
        <v>1114</v>
      </c>
      <c r="I3412" s="19"/>
      <c r="J3412" s="17" t="s">
        <v>82</v>
      </c>
      <c r="K3412" s="19">
        <v>410</v>
      </c>
      <c r="L3412" s="19">
        <v>40</v>
      </c>
      <c r="M3412" s="19">
        <v>2200</v>
      </c>
      <c r="N3412" s="19" t="s">
        <v>66</v>
      </c>
      <c r="O3412" s="19" t="s">
        <v>141</v>
      </c>
      <c r="P3412" s="19"/>
      <c r="Q3412" s="19">
        <v>292</v>
      </c>
      <c r="R3412" s="19">
        <f>+P3411-Q3411-Q3412</f>
        <v>-1</v>
      </c>
      <c r="S3412" s="274">
        <f>1070-40</f>
        <v>1030</v>
      </c>
      <c r="T3412" s="19" t="s">
        <v>42</v>
      </c>
      <c r="U3412" s="102" t="s">
        <v>1174</v>
      </c>
      <c r="V3412" s="186" t="s">
        <v>1175</v>
      </c>
      <c r="W3412" s="17" t="s">
        <v>44</v>
      </c>
      <c r="Y3412" s="68">
        <v>45161</v>
      </c>
      <c r="Z3412" s="17" t="s">
        <v>191</v>
      </c>
      <c r="AA3412" s="17" t="s">
        <v>46</v>
      </c>
      <c r="AB3412" s="17" t="s">
        <v>1138</v>
      </c>
      <c r="AC3412" s="102" t="s">
        <v>1139</v>
      </c>
      <c r="AD3412" s="65">
        <v>1473</v>
      </c>
      <c r="AE3412" s="17" t="s">
        <v>48</v>
      </c>
    </row>
    <row r="3413" s="17" customFormat="1" ht="15.6" hidden="1" spans="1:31">
      <c r="A3413" s="17" t="s">
        <v>34</v>
      </c>
      <c r="B3413" s="19">
        <v>916</v>
      </c>
      <c r="C3413" s="183" t="s">
        <v>1173</v>
      </c>
      <c r="D3413" s="17" t="s">
        <v>52</v>
      </c>
      <c r="E3413" s="17" t="s">
        <v>1113</v>
      </c>
      <c r="F3413" s="17" t="s">
        <v>54</v>
      </c>
      <c r="H3413" s="19" t="s">
        <v>1114</v>
      </c>
      <c r="I3413" s="19"/>
      <c r="J3413" s="17" t="s">
        <v>82</v>
      </c>
      <c r="K3413" s="19">
        <v>455</v>
      </c>
      <c r="L3413" s="19">
        <v>40</v>
      </c>
      <c r="M3413" s="19">
        <v>2200</v>
      </c>
      <c r="N3413" s="19" t="s">
        <v>66</v>
      </c>
      <c r="O3413" s="19" t="s">
        <v>141</v>
      </c>
      <c r="P3413" s="19">
        <v>1937</v>
      </c>
      <c r="Q3413" s="19">
        <f>321+321+321+321+321+321</f>
        <v>1926</v>
      </c>
      <c r="S3413" s="274">
        <v>1070</v>
      </c>
      <c r="T3413" s="19" t="s">
        <v>42</v>
      </c>
      <c r="U3413" s="102" t="s">
        <v>1174</v>
      </c>
      <c r="V3413" s="186" t="s">
        <v>1175</v>
      </c>
      <c r="W3413" s="17" t="s">
        <v>69</v>
      </c>
      <c r="Y3413" s="68">
        <v>45161</v>
      </c>
      <c r="Z3413" s="17" t="s">
        <v>191</v>
      </c>
      <c r="AA3413" s="17" t="s">
        <v>46</v>
      </c>
      <c r="AB3413" s="17" t="s">
        <v>1176</v>
      </c>
      <c r="AC3413" s="102" t="s">
        <v>1117</v>
      </c>
      <c r="AD3413" s="65">
        <v>1442</v>
      </c>
      <c r="AE3413" s="17" t="s">
        <v>74</v>
      </c>
    </row>
    <row r="3414" s="17" customFormat="1" ht="15.6" hidden="1" spans="1:31">
      <c r="A3414" s="17" t="s">
        <v>34</v>
      </c>
      <c r="B3414" s="19">
        <v>916</v>
      </c>
      <c r="C3414" s="183" t="s">
        <v>1173</v>
      </c>
      <c r="D3414" s="17" t="s">
        <v>52</v>
      </c>
      <c r="E3414" s="17" t="s">
        <v>1113</v>
      </c>
      <c r="F3414" s="17" t="s">
        <v>54</v>
      </c>
      <c r="H3414" s="19" t="s">
        <v>1114</v>
      </c>
      <c r="I3414" s="19"/>
      <c r="J3414" s="17" t="s">
        <v>82</v>
      </c>
      <c r="K3414" s="19">
        <v>455</v>
      </c>
      <c r="L3414" s="19">
        <v>40</v>
      </c>
      <c r="M3414" s="19">
        <v>2200</v>
      </c>
      <c r="N3414" s="19" t="s">
        <v>66</v>
      </c>
      <c r="O3414" s="19" t="s">
        <v>141</v>
      </c>
      <c r="P3414" s="19"/>
      <c r="Q3414" s="19">
        <f>321+324+322+325+321</f>
        <v>1613</v>
      </c>
      <c r="R3414" s="19">
        <f>+P3413-Q3413-Q3414</f>
        <v>-1602</v>
      </c>
      <c r="S3414" s="274">
        <f>1070-40</f>
        <v>1030</v>
      </c>
      <c r="T3414" s="19" t="s">
        <v>42</v>
      </c>
      <c r="U3414" s="102" t="s">
        <v>1174</v>
      </c>
      <c r="V3414" s="186" t="s">
        <v>1175</v>
      </c>
      <c r="W3414" s="17" t="s">
        <v>44</v>
      </c>
      <c r="Y3414" s="68">
        <v>45161</v>
      </c>
      <c r="Z3414" s="17" t="s">
        <v>191</v>
      </c>
      <c r="AA3414" s="17" t="s">
        <v>46</v>
      </c>
      <c r="AB3414" s="17" t="s">
        <v>1136</v>
      </c>
      <c r="AC3414" s="217">
        <v>44937</v>
      </c>
      <c r="AD3414" s="65">
        <v>1476</v>
      </c>
      <c r="AE3414" s="17" t="s">
        <v>74</v>
      </c>
    </row>
    <row r="3415" s="17" customFormat="1" ht="15.6" hidden="1" spans="1:31">
      <c r="B3415" s="19">
        <v>916</v>
      </c>
      <c r="C3415" s="183" t="s">
        <v>1173</v>
      </c>
      <c r="D3415" s="17" t="s">
        <v>52</v>
      </c>
      <c r="E3415" s="17" t="s">
        <v>1113</v>
      </c>
      <c r="F3415" s="17" t="s">
        <v>54</v>
      </c>
      <c r="H3415" s="19" t="s">
        <v>1114</v>
      </c>
      <c r="I3415" s="19"/>
      <c r="J3415" s="17" t="s">
        <v>82</v>
      </c>
      <c r="K3415" s="19">
        <v>505</v>
      </c>
      <c r="L3415" s="19">
        <v>40</v>
      </c>
      <c r="M3415" s="19">
        <v>2200</v>
      </c>
      <c r="N3415" s="19" t="s">
        <v>66</v>
      </c>
      <c r="O3415" s="19" t="s">
        <v>141</v>
      </c>
      <c r="P3415" s="19">
        <v>1792</v>
      </c>
      <c r="Q3415" s="19">
        <v>717</v>
      </c>
      <c r="S3415" s="274">
        <v>1070</v>
      </c>
      <c r="T3415" s="19" t="s">
        <v>42</v>
      </c>
      <c r="U3415" s="102" t="s">
        <v>1174</v>
      </c>
      <c r="V3415" s="186" t="s">
        <v>1175</v>
      </c>
      <c r="W3415" s="17" t="s">
        <v>69</v>
      </c>
      <c r="Y3415" s="68">
        <v>45161</v>
      </c>
      <c r="Z3415" s="17" t="s">
        <v>191</v>
      </c>
      <c r="AA3415" s="17" t="s">
        <v>46</v>
      </c>
      <c r="AC3415" s="102"/>
      <c r="AD3415" s="65">
        <v>1448</v>
      </c>
      <c r="AE3415" s="17" t="s">
        <v>74</v>
      </c>
    </row>
    <row r="3416" s="17" customFormat="1" ht="15.6" hidden="1" spans="1:31">
      <c r="A3416" s="17" t="s">
        <v>34</v>
      </c>
      <c r="B3416" s="19">
        <v>916</v>
      </c>
      <c r="C3416" s="183" t="s">
        <v>1173</v>
      </c>
      <c r="D3416" s="17" t="s">
        <v>52</v>
      </c>
      <c r="E3416" s="17" t="s">
        <v>1113</v>
      </c>
      <c r="F3416" s="17" t="s">
        <v>54</v>
      </c>
      <c r="H3416" s="19" t="s">
        <v>1114</v>
      </c>
      <c r="I3416" s="19"/>
      <c r="J3416" s="17" t="s">
        <v>82</v>
      </c>
      <c r="K3416" s="19">
        <v>505</v>
      </c>
      <c r="L3416" s="19">
        <v>40</v>
      </c>
      <c r="M3416" s="19">
        <v>2200</v>
      </c>
      <c r="N3416" s="19" t="s">
        <v>66</v>
      </c>
      <c r="O3416" s="19" t="s">
        <v>141</v>
      </c>
      <c r="P3416" s="19"/>
      <c r="Q3416" s="19">
        <f>358+359+358</f>
        <v>1075</v>
      </c>
      <c r="S3416" s="274">
        <f>1070-40</f>
        <v>1030</v>
      </c>
      <c r="T3416" s="19" t="s">
        <v>42</v>
      </c>
      <c r="U3416" s="102" t="s">
        <v>1174</v>
      </c>
      <c r="V3416" s="186" t="s">
        <v>1175</v>
      </c>
      <c r="W3416" s="17" t="s">
        <v>44</v>
      </c>
      <c r="Y3416" s="68">
        <v>45161</v>
      </c>
      <c r="Z3416" s="17" t="s">
        <v>191</v>
      </c>
      <c r="AA3416" s="17" t="s">
        <v>46</v>
      </c>
      <c r="AB3416" s="17" t="s">
        <v>1138</v>
      </c>
      <c r="AC3416" s="102" t="s">
        <v>1139</v>
      </c>
      <c r="AD3416" s="65">
        <v>1473</v>
      </c>
      <c r="AE3416" s="17" t="s">
        <v>74</v>
      </c>
    </row>
    <row r="3417" s="17" customFormat="1" ht="15.6" hidden="1" spans="1:31">
      <c r="A3417" s="17" t="s">
        <v>34</v>
      </c>
      <c r="B3417" s="19">
        <v>916</v>
      </c>
      <c r="C3417" s="183" t="s">
        <v>1173</v>
      </c>
      <c r="D3417" s="17" t="s">
        <v>52</v>
      </c>
      <c r="E3417" s="17" t="s">
        <v>1113</v>
      </c>
      <c r="F3417" s="17" t="s">
        <v>54</v>
      </c>
      <c r="H3417" s="19" t="s">
        <v>1114</v>
      </c>
      <c r="I3417" s="19"/>
      <c r="J3417" s="17" t="s">
        <v>82</v>
      </c>
      <c r="K3417" s="19">
        <v>505</v>
      </c>
      <c r="L3417" s="19">
        <v>40</v>
      </c>
      <c r="M3417" s="19">
        <v>2200</v>
      </c>
      <c r="N3417" s="19" t="s">
        <v>66</v>
      </c>
      <c r="O3417" s="19" t="s">
        <v>141</v>
      </c>
      <c r="P3417" s="19"/>
      <c r="Q3417" s="98">
        <f>365+358+358+361+361+362</f>
        <v>2165</v>
      </c>
      <c r="R3417" s="19">
        <f>+P3415-Q3415-Q3416-Q3417</f>
        <v>-2165</v>
      </c>
      <c r="S3417" s="274">
        <v>1070</v>
      </c>
      <c r="T3417" s="19" t="s">
        <v>42</v>
      </c>
      <c r="U3417" s="102" t="s">
        <v>1174</v>
      </c>
      <c r="V3417" s="186" t="s">
        <v>1175</v>
      </c>
      <c r="W3417" s="17" t="s">
        <v>69</v>
      </c>
      <c r="Y3417" s="68">
        <v>45161</v>
      </c>
      <c r="Z3417" s="17" t="s">
        <v>191</v>
      </c>
      <c r="AA3417" s="17" t="s">
        <v>46</v>
      </c>
      <c r="AB3417" s="17" t="s">
        <v>1137</v>
      </c>
      <c r="AC3417" s="217">
        <v>45210</v>
      </c>
      <c r="AD3417" s="65">
        <v>1489</v>
      </c>
    </row>
    <row r="3418" s="17" customFormat="1" ht="15.6" hidden="1" spans="1:31">
      <c r="A3418" s="17" t="s">
        <v>34</v>
      </c>
      <c r="B3418" s="19">
        <v>916</v>
      </c>
      <c r="C3418" s="183" t="s">
        <v>1173</v>
      </c>
      <c r="D3418" s="17" t="s">
        <v>52</v>
      </c>
      <c r="E3418" s="17" t="s">
        <v>1113</v>
      </c>
      <c r="F3418" s="17" t="s">
        <v>54</v>
      </c>
      <c r="H3418" s="19" t="s">
        <v>1114</v>
      </c>
      <c r="I3418" s="19"/>
      <c r="J3418" s="17" t="s">
        <v>82</v>
      </c>
      <c r="K3418" s="19">
        <v>180</v>
      </c>
      <c r="L3418" s="19">
        <v>45</v>
      </c>
      <c r="M3418" s="19">
        <v>2200</v>
      </c>
      <c r="N3418" s="19" t="s">
        <v>66</v>
      </c>
      <c r="O3418" s="19" t="s">
        <v>141</v>
      </c>
      <c r="P3418" s="19">
        <v>575</v>
      </c>
      <c r="Q3418" s="19">
        <f>141+144+142+144</f>
        <v>571</v>
      </c>
      <c r="R3418" s="19">
        <f>+P3418-Q3418</f>
        <v>4</v>
      </c>
      <c r="S3418" s="274">
        <f>1070-40</f>
        <v>1030</v>
      </c>
      <c r="T3418" s="19" t="s">
        <v>42</v>
      </c>
      <c r="U3418" s="102" t="s">
        <v>1174</v>
      </c>
      <c r="V3418" s="186" t="s">
        <v>1175</v>
      </c>
      <c r="W3418" s="17" t="s">
        <v>44</v>
      </c>
      <c r="Y3418" s="68">
        <v>45161</v>
      </c>
      <c r="Z3418" s="17" t="s">
        <v>191</v>
      </c>
      <c r="AA3418" s="17" t="s">
        <v>46</v>
      </c>
      <c r="AB3418" s="17" t="s">
        <v>1140</v>
      </c>
      <c r="AC3418" s="102" t="s">
        <v>1141</v>
      </c>
      <c r="AD3418" s="65">
        <v>1468</v>
      </c>
      <c r="AE3418" s="17" t="s">
        <v>48</v>
      </c>
    </row>
    <row r="3419" s="17" customFormat="1" ht="15.6" hidden="1" spans="1:31">
      <c r="A3419" s="17" t="s">
        <v>34</v>
      </c>
      <c r="B3419" s="19">
        <v>916</v>
      </c>
      <c r="C3419" s="183" t="s">
        <v>1173</v>
      </c>
      <c r="D3419" s="17" t="s">
        <v>52</v>
      </c>
      <c r="E3419" s="17" t="s">
        <v>1113</v>
      </c>
      <c r="F3419" s="17" t="s">
        <v>54</v>
      </c>
      <c r="H3419" s="19" t="s">
        <v>1114</v>
      </c>
      <c r="I3419" s="19"/>
      <c r="J3419" s="17" t="s">
        <v>82</v>
      </c>
      <c r="K3419" s="19">
        <v>205</v>
      </c>
      <c r="L3419" s="19">
        <v>45</v>
      </c>
      <c r="M3419" s="19">
        <v>2200</v>
      </c>
      <c r="N3419" s="19" t="s">
        <v>66</v>
      </c>
      <c r="O3419" s="19" t="s">
        <v>141</v>
      </c>
      <c r="P3419" s="19">
        <v>491</v>
      </c>
      <c r="Q3419" s="19">
        <f>163+162+162</f>
        <v>487</v>
      </c>
      <c r="R3419" s="19">
        <f>+P3419-Q3419</f>
        <v>4</v>
      </c>
      <c r="S3419" s="274">
        <f>1070-40</f>
        <v>1030</v>
      </c>
      <c r="T3419" s="19" t="s">
        <v>42</v>
      </c>
      <c r="U3419" s="102" t="s">
        <v>1174</v>
      </c>
      <c r="V3419" s="186" t="s">
        <v>1175</v>
      </c>
      <c r="W3419" s="17" t="s">
        <v>44</v>
      </c>
      <c r="Y3419" s="68">
        <v>45161</v>
      </c>
      <c r="Z3419" s="17" t="s">
        <v>191</v>
      </c>
      <c r="AA3419" s="17" t="s">
        <v>46</v>
      </c>
      <c r="AB3419" s="17" t="s">
        <v>1140</v>
      </c>
      <c r="AC3419" s="102" t="s">
        <v>1141</v>
      </c>
      <c r="AD3419" s="65">
        <v>1468</v>
      </c>
      <c r="AE3419" s="17" t="s">
        <v>48</v>
      </c>
    </row>
    <row r="3420" s="17" customFormat="1" ht="15.6" hidden="1" spans="1:31">
      <c r="A3420" s="17" t="s">
        <v>34</v>
      </c>
      <c r="B3420" s="19">
        <v>916</v>
      </c>
      <c r="C3420" s="183" t="s">
        <v>1173</v>
      </c>
      <c r="D3420" s="17" t="s">
        <v>52</v>
      </c>
      <c r="E3420" s="17" t="s">
        <v>1113</v>
      </c>
      <c r="F3420" s="17" t="s">
        <v>54</v>
      </c>
      <c r="H3420" s="19" t="s">
        <v>1114</v>
      </c>
      <c r="I3420" s="19"/>
      <c r="J3420" s="17" t="s">
        <v>82</v>
      </c>
      <c r="K3420" s="19">
        <v>230</v>
      </c>
      <c r="L3420" s="19">
        <v>45</v>
      </c>
      <c r="M3420" s="19">
        <v>2200</v>
      </c>
      <c r="N3420" s="19" t="s">
        <v>66</v>
      </c>
      <c r="O3420" s="19" t="s">
        <v>141</v>
      </c>
      <c r="P3420" s="19">
        <v>551</v>
      </c>
      <c r="Q3420" s="19">
        <f>185+186</f>
        <v>371</v>
      </c>
      <c r="S3420" s="274">
        <v>1070</v>
      </c>
      <c r="T3420" s="19" t="s">
        <v>42</v>
      </c>
      <c r="U3420" s="102" t="s">
        <v>1174</v>
      </c>
      <c r="V3420" s="186" t="s">
        <v>1175</v>
      </c>
      <c r="W3420" s="17" t="s">
        <v>69</v>
      </c>
      <c r="Y3420" s="68">
        <v>45161</v>
      </c>
      <c r="Z3420" s="17" t="s">
        <v>191</v>
      </c>
      <c r="AA3420" s="17" t="s">
        <v>46</v>
      </c>
      <c r="AB3420" s="17" t="s">
        <v>1122</v>
      </c>
      <c r="AC3420" s="217">
        <v>44965</v>
      </c>
      <c r="AD3420" s="65">
        <v>1450</v>
      </c>
      <c r="AE3420" s="17" t="s">
        <v>48</v>
      </c>
    </row>
    <row r="3421" s="17" customFormat="1" ht="15.6" hidden="1" spans="1:31">
      <c r="B3421" s="19">
        <v>916</v>
      </c>
      <c r="C3421" s="183" t="s">
        <v>1173</v>
      </c>
      <c r="D3421" s="17" t="s">
        <v>52</v>
      </c>
      <c r="E3421" s="17" t="s">
        <v>1113</v>
      </c>
      <c r="F3421" s="17" t="s">
        <v>54</v>
      </c>
      <c r="H3421" s="19" t="s">
        <v>1114</v>
      </c>
      <c r="I3421" s="19"/>
      <c r="J3421" s="17" t="s">
        <v>82</v>
      </c>
      <c r="K3421" s="19">
        <v>230</v>
      </c>
      <c r="L3421" s="19">
        <v>45</v>
      </c>
      <c r="M3421" s="19">
        <v>2200</v>
      </c>
      <c r="N3421" s="19" t="s">
        <v>66</v>
      </c>
      <c r="O3421" s="19" t="s">
        <v>141</v>
      </c>
      <c r="P3421" s="19"/>
      <c r="Q3421" s="19">
        <v>184</v>
      </c>
      <c r="R3421" s="19">
        <f>+P3420-Q3420-Q3421</f>
        <v>-4</v>
      </c>
      <c r="S3421" s="274">
        <f>1070-40</f>
        <v>1030</v>
      </c>
      <c r="T3421" s="19" t="s">
        <v>42</v>
      </c>
      <c r="U3421" s="102" t="s">
        <v>1174</v>
      </c>
      <c r="V3421" s="186" t="s">
        <v>1175</v>
      </c>
      <c r="W3421" s="17" t="s">
        <v>44</v>
      </c>
      <c r="Y3421" s="68">
        <v>45161</v>
      </c>
      <c r="Z3421" s="17" t="s">
        <v>191</v>
      </c>
      <c r="AA3421" s="17" t="s">
        <v>46</v>
      </c>
      <c r="AB3421" s="17" t="s">
        <v>1142</v>
      </c>
      <c r="AC3421" s="102" t="s">
        <v>1143</v>
      </c>
      <c r="AD3421" s="65">
        <v>1465</v>
      </c>
      <c r="AE3421" s="17" t="s">
        <v>48</v>
      </c>
    </row>
    <row r="3422" s="17" customFormat="1" ht="15.6" hidden="1" spans="1:31">
      <c r="B3422" s="19">
        <v>916</v>
      </c>
      <c r="C3422" s="183" t="s">
        <v>1173</v>
      </c>
      <c r="D3422" s="17" t="s">
        <v>52</v>
      </c>
      <c r="E3422" s="17" t="s">
        <v>1113</v>
      </c>
      <c r="F3422" s="17" t="s">
        <v>54</v>
      </c>
      <c r="H3422" s="19" t="s">
        <v>1114</v>
      </c>
      <c r="I3422" s="19"/>
      <c r="J3422" s="17" t="s">
        <v>82</v>
      </c>
      <c r="K3422" s="19">
        <v>255</v>
      </c>
      <c r="L3422" s="19">
        <v>45</v>
      </c>
      <c r="M3422" s="19">
        <v>2200</v>
      </c>
      <c r="N3422" s="19" t="s">
        <v>66</v>
      </c>
      <c r="O3422" s="19" t="s">
        <v>141</v>
      </c>
      <c r="P3422" s="19">
        <v>407</v>
      </c>
      <c r="Q3422" s="19">
        <f>204+204</f>
        <v>408</v>
      </c>
      <c r="R3422" s="19">
        <f>+P3422-Q3422</f>
        <v>-1</v>
      </c>
      <c r="S3422" s="274">
        <f>1070-40</f>
        <v>1030</v>
      </c>
      <c r="T3422" s="19" t="s">
        <v>42</v>
      </c>
      <c r="U3422" s="102" t="s">
        <v>1174</v>
      </c>
      <c r="V3422" s="186" t="s">
        <v>1175</v>
      </c>
      <c r="W3422" s="17" t="s">
        <v>44</v>
      </c>
      <c r="Y3422" s="68">
        <v>45161</v>
      </c>
      <c r="Z3422" s="17" t="s">
        <v>191</v>
      </c>
      <c r="AA3422" s="17" t="s">
        <v>46</v>
      </c>
      <c r="AB3422" s="17" t="s">
        <v>1142</v>
      </c>
      <c r="AC3422" s="102" t="s">
        <v>1143</v>
      </c>
      <c r="AD3422" s="65">
        <v>1465</v>
      </c>
      <c r="AE3422" s="17" t="s">
        <v>48</v>
      </c>
    </row>
    <row r="3423" s="17" customFormat="1" ht="15.6" hidden="1" spans="1:31">
      <c r="A3423" s="17" t="s">
        <v>34</v>
      </c>
      <c r="B3423" s="19">
        <v>916</v>
      </c>
      <c r="C3423" s="183" t="s">
        <v>1173</v>
      </c>
      <c r="D3423" s="17" t="s">
        <v>52</v>
      </c>
      <c r="E3423" s="17" t="s">
        <v>1113</v>
      </c>
      <c r="F3423" s="17" t="s">
        <v>54</v>
      </c>
      <c r="H3423" s="19" t="s">
        <v>1114</v>
      </c>
      <c r="I3423" s="19"/>
      <c r="J3423" s="17" t="s">
        <v>82</v>
      </c>
      <c r="K3423" s="19">
        <v>310</v>
      </c>
      <c r="L3423" s="19">
        <v>45</v>
      </c>
      <c r="M3423" s="19">
        <v>2200</v>
      </c>
      <c r="N3423" s="19" t="s">
        <v>66</v>
      </c>
      <c r="O3423" s="19" t="s">
        <v>141</v>
      </c>
      <c r="P3423" s="19">
        <v>495</v>
      </c>
      <c r="Q3423" s="19">
        <f>248+249</f>
        <v>497</v>
      </c>
      <c r="R3423" s="19">
        <f>+P3423-Q3423</f>
        <v>-2</v>
      </c>
      <c r="S3423" s="274">
        <v>1070</v>
      </c>
      <c r="T3423" s="19" t="s">
        <v>42</v>
      </c>
      <c r="U3423" s="102" t="s">
        <v>1174</v>
      </c>
      <c r="V3423" s="186" t="s">
        <v>1175</v>
      </c>
      <c r="W3423" s="17" t="s">
        <v>69</v>
      </c>
      <c r="Y3423" s="68">
        <v>45161</v>
      </c>
      <c r="Z3423" s="17" t="s">
        <v>191</v>
      </c>
      <c r="AA3423" s="17" t="s">
        <v>46</v>
      </c>
      <c r="AB3423" s="17" t="s">
        <v>1176</v>
      </c>
      <c r="AC3423" s="102" t="s">
        <v>1117</v>
      </c>
      <c r="AD3423" s="65">
        <v>1442</v>
      </c>
      <c r="AE3423" s="17" t="s">
        <v>48</v>
      </c>
    </row>
    <row r="3424" s="17" customFormat="1" ht="15.6" hidden="1" spans="1:31">
      <c r="A3424" s="17" t="s">
        <v>34</v>
      </c>
      <c r="B3424" s="19">
        <v>916</v>
      </c>
      <c r="C3424" s="183" t="s">
        <v>1173</v>
      </c>
      <c r="D3424" s="17" t="s">
        <v>52</v>
      </c>
      <c r="E3424" s="17" t="s">
        <v>1113</v>
      </c>
      <c r="F3424" s="17" t="s">
        <v>54</v>
      </c>
      <c r="H3424" s="19" t="s">
        <v>1114</v>
      </c>
      <c r="I3424" s="19"/>
      <c r="J3424" s="17" t="s">
        <v>82</v>
      </c>
      <c r="K3424" s="19">
        <v>410</v>
      </c>
      <c r="L3424" s="19">
        <v>45</v>
      </c>
      <c r="M3424" s="19">
        <v>2200</v>
      </c>
      <c r="N3424" s="19" t="s">
        <v>66</v>
      </c>
      <c r="O3424" s="19" t="s">
        <v>141</v>
      </c>
      <c r="P3424" s="19">
        <v>655</v>
      </c>
      <c r="Q3424" s="19">
        <f>329+327</f>
        <v>656</v>
      </c>
      <c r="R3424" s="19">
        <f>+P3424-Q3424</f>
        <v>-1</v>
      </c>
      <c r="S3424" s="274">
        <v>1070</v>
      </c>
      <c r="T3424" s="19" t="s">
        <v>42</v>
      </c>
      <c r="U3424" s="102" t="s">
        <v>1174</v>
      </c>
      <c r="V3424" s="186" t="s">
        <v>1175</v>
      </c>
      <c r="W3424" s="17" t="s">
        <v>69</v>
      </c>
      <c r="Y3424" s="68">
        <v>45161</v>
      </c>
      <c r="Z3424" s="17" t="s">
        <v>191</v>
      </c>
      <c r="AA3424" s="17" t="s">
        <v>46</v>
      </c>
      <c r="AB3424" s="17" t="s">
        <v>1176</v>
      </c>
      <c r="AC3424" s="102" t="s">
        <v>1117</v>
      </c>
      <c r="AD3424" s="65">
        <v>1442</v>
      </c>
      <c r="AE3424" s="17" t="s">
        <v>48</v>
      </c>
    </row>
    <row r="3425" s="17" customFormat="1" ht="15.6" hidden="1" spans="1:31">
      <c r="A3425" s="17" t="s">
        <v>34</v>
      </c>
      <c r="B3425" s="19">
        <v>916</v>
      </c>
      <c r="C3425" s="183" t="s">
        <v>1173</v>
      </c>
      <c r="D3425" s="17" t="s">
        <v>52</v>
      </c>
      <c r="E3425" s="17" t="s">
        <v>1113</v>
      </c>
      <c r="F3425" s="17" t="s">
        <v>54</v>
      </c>
      <c r="H3425" s="19" t="s">
        <v>1114</v>
      </c>
      <c r="I3425" s="19"/>
      <c r="J3425" s="17" t="s">
        <v>82</v>
      </c>
      <c r="K3425" s="19">
        <v>205</v>
      </c>
      <c r="L3425" s="19">
        <v>50</v>
      </c>
      <c r="M3425" s="19">
        <v>2200</v>
      </c>
      <c r="N3425" s="19" t="s">
        <v>66</v>
      </c>
      <c r="O3425" s="19" t="s">
        <v>141</v>
      </c>
      <c r="P3425" s="19">
        <v>2182</v>
      </c>
      <c r="Q3425" s="19">
        <f>1114+374</f>
        <v>1488</v>
      </c>
      <c r="S3425" s="274">
        <v>1070</v>
      </c>
      <c r="T3425" s="19" t="s">
        <v>42</v>
      </c>
      <c r="U3425" s="102" t="s">
        <v>1174</v>
      </c>
      <c r="V3425" s="186" t="s">
        <v>1175</v>
      </c>
      <c r="W3425" s="17" t="s">
        <v>69</v>
      </c>
      <c r="Y3425" s="68">
        <v>45161</v>
      </c>
      <c r="Z3425" s="17" t="s">
        <v>191</v>
      </c>
      <c r="AA3425" s="17" t="s">
        <v>46</v>
      </c>
      <c r="AB3425" s="17" t="s">
        <v>1128</v>
      </c>
      <c r="AC3425" s="102" t="s">
        <v>1124</v>
      </c>
      <c r="AD3425" s="65">
        <v>1448</v>
      </c>
      <c r="AE3425" s="17" t="s">
        <v>74</v>
      </c>
    </row>
    <row r="3426" s="17" customFormat="1" ht="15.6" hidden="1" spans="1:31">
      <c r="B3426" s="19">
        <v>916</v>
      </c>
      <c r="C3426" s="183" t="s">
        <v>1173</v>
      </c>
      <c r="D3426" s="17" t="s">
        <v>52</v>
      </c>
      <c r="E3426" s="17" t="s">
        <v>1113</v>
      </c>
      <c r="F3426" s="17" t="s">
        <v>54</v>
      </c>
      <c r="H3426" s="19" t="s">
        <v>1114</v>
      </c>
      <c r="I3426" s="19"/>
      <c r="J3426" s="17" t="s">
        <v>82</v>
      </c>
      <c r="K3426" s="19">
        <v>205</v>
      </c>
      <c r="L3426" s="19">
        <v>50</v>
      </c>
      <c r="M3426" s="19">
        <v>2200</v>
      </c>
      <c r="N3426" s="19" t="s">
        <v>66</v>
      </c>
      <c r="O3426" s="19" t="s">
        <v>141</v>
      </c>
      <c r="P3426" s="19"/>
      <c r="Q3426" s="19">
        <f>188+186+188+182+184+184</f>
        <v>1112</v>
      </c>
      <c r="R3426" s="19">
        <f>+P3425-Q3425-Q3426</f>
        <v>-418</v>
      </c>
      <c r="S3426" s="274">
        <f>1070-40</f>
        <v>1030</v>
      </c>
      <c r="T3426" s="19" t="s">
        <v>42</v>
      </c>
      <c r="U3426" s="102" t="s">
        <v>1174</v>
      </c>
      <c r="V3426" s="186" t="s">
        <v>1175</v>
      </c>
      <c r="W3426" s="17" t="s">
        <v>44</v>
      </c>
      <c r="Y3426" s="68">
        <v>45161</v>
      </c>
      <c r="Z3426" s="17" t="s">
        <v>191</v>
      </c>
      <c r="AA3426" s="17" t="s">
        <v>46</v>
      </c>
      <c r="AB3426" s="17" t="s">
        <v>1142</v>
      </c>
      <c r="AC3426" s="102" t="s">
        <v>1143</v>
      </c>
      <c r="AD3426" s="65">
        <v>1465</v>
      </c>
      <c r="AE3426" s="17" t="s">
        <v>74</v>
      </c>
    </row>
    <row r="3427" s="17" customFormat="1" ht="15.6" hidden="1" spans="1:31">
      <c r="A3427" s="17" t="s">
        <v>34</v>
      </c>
      <c r="B3427" s="19">
        <v>916</v>
      </c>
      <c r="C3427" s="183" t="s">
        <v>1173</v>
      </c>
      <c r="D3427" s="17" t="s">
        <v>52</v>
      </c>
      <c r="E3427" s="17" t="s">
        <v>1113</v>
      </c>
      <c r="F3427" s="17" t="s">
        <v>54</v>
      </c>
      <c r="H3427" s="19" t="s">
        <v>1114</v>
      </c>
      <c r="I3427" s="19"/>
      <c r="J3427" s="17" t="s">
        <v>82</v>
      </c>
      <c r="K3427" s="19">
        <v>255</v>
      </c>
      <c r="L3427" s="19">
        <v>50</v>
      </c>
      <c r="M3427" s="19">
        <v>2200</v>
      </c>
      <c r="N3427" s="19" t="s">
        <v>66</v>
      </c>
      <c r="O3427" s="19" t="s">
        <v>141</v>
      </c>
      <c r="P3427" s="19">
        <v>4072</v>
      </c>
      <c r="Q3427" s="19">
        <v>927</v>
      </c>
      <c r="S3427" s="274">
        <v>1070</v>
      </c>
      <c r="T3427" s="19" t="s">
        <v>42</v>
      </c>
      <c r="U3427" s="102" t="s">
        <v>1174</v>
      </c>
      <c r="V3427" s="186" t="s">
        <v>1175</v>
      </c>
      <c r="W3427" s="17" t="s">
        <v>69</v>
      </c>
      <c r="Y3427" s="68">
        <v>45161</v>
      </c>
      <c r="Z3427" s="17" t="s">
        <v>191</v>
      </c>
      <c r="AA3427" s="17" t="s">
        <v>46</v>
      </c>
      <c r="AB3427" s="17" t="s">
        <v>1128</v>
      </c>
      <c r="AC3427" s="102" t="s">
        <v>1124</v>
      </c>
      <c r="AD3427" s="65">
        <v>1448</v>
      </c>
      <c r="AE3427" s="17" t="s">
        <v>74</v>
      </c>
    </row>
    <row r="3428" s="17" customFormat="1" ht="15.6" hidden="1" spans="1:31">
      <c r="A3428" s="17" t="s">
        <v>34</v>
      </c>
      <c r="B3428" s="19">
        <v>916</v>
      </c>
      <c r="C3428" s="183" t="s">
        <v>1173</v>
      </c>
      <c r="D3428" s="17" t="s">
        <v>52</v>
      </c>
      <c r="E3428" s="17" t="s">
        <v>1113</v>
      </c>
      <c r="F3428" s="17" t="s">
        <v>54</v>
      </c>
      <c r="H3428" s="19" t="s">
        <v>1114</v>
      </c>
      <c r="I3428" s="19"/>
      <c r="J3428" s="17" t="s">
        <v>82</v>
      </c>
      <c r="K3428" s="19">
        <v>255</v>
      </c>
      <c r="L3428" s="19">
        <v>50</v>
      </c>
      <c r="M3428" s="19">
        <v>2200</v>
      </c>
      <c r="N3428" s="19" t="s">
        <v>66</v>
      </c>
      <c r="O3428" s="19" t="s">
        <v>141</v>
      </c>
      <c r="P3428" s="19"/>
      <c r="Q3428" s="19">
        <f>230+230+230+231+232+232+232+232+231</f>
        <v>2080</v>
      </c>
      <c r="S3428" s="274">
        <v>1070</v>
      </c>
      <c r="T3428" s="19" t="s">
        <v>42</v>
      </c>
      <c r="U3428" s="102" t="s">
        <v>1174</v>
      </c>
      <c r="V3428" s="186" t="s">
        <v>1175</v>
      </c>
      <c r="W3428" s="17" t="s">
        <v>69</v>
      </c>
      <c r="Y3428" s="68">
        <v>45161</v>
      </c>
      <c r="Z3428" s="17" t="s">
        <v>191</v>
      </c>
      <c r="AA3428" s="17" t="s">
        <v>46</v>
      </c>
      <c r="AB3428" s="17" t="s">
        <v>1150</v>
      </c>
      <c r="AC3428" s="102" t="s">
        <v>1151</v>
      </c>
      <c r="AD3428" s="65">
        <v>1455</v>
      </c>
      <c r="AE3428" s="17" t="s">
        <v>74</v>
      </c>
    </row>
    <row r="3429" s="17" customFormat="1" ht="15.6" hidden="1" spans="1:31">
      <c r="B3429" s="19">
        <v>916</v>
      </c>
      <c r="C3429" s="183" t="s">
        <v>1173</v>
      </c>
      <c r="D3429" s="17" t="s">
        <v>52</v>
      </c>
      <c r="E3429" s="17" t="s">
        <v>1113</v>
      </c>
      <c r="F3429" s="17" t="s">
        <v>54</v>
      </c>
      <c r="H3429" s="19" t="s">
        <v>1114</v>
      </c>
      <c r="I3429" s="19"/>
      <c r="J3429" s="17" t="s">
        <v>82</v>
      </c>
      <c r="K3429" s="19">
        <v>255</v>
      </c>
      <c r="L3429" s="19">
        <v>50</v>
      </c>
      <c r="M3429" s="19">
        <v>2200</v>
      </c>
      <c r="N3429" s="19" t="s">
        <v>66</v>
      </c>
      <c r="O3429" s="19" t="s">
        <v>141</v>
      </c>
      <c r="P3429" s="19"/>
      <c r="Q3429" s="19">
        <f>231+232+232+232+232+234+231</f>
        <v>1624</v>
      </c>
      <c r="R3429" s="19">
        <f>+P3427-Q3427-Q3428-Q3429</f>
        <v>-559</v>
      </c>
      <c r="S3429" s="274">
        <f>1070-40</f>
        <v>1030</v>
      </c>
      <c r="T3429" s="19" t="s">
        <v>42</v>
      </c>
      <c r="U3429" s="102" t="s">
        <v>1174</v>
      </c>
      <c r="V3429" s="186" t="s">
        <v>1175</v>
      </c>
      <c r="W3429" s="17" t="s">
        <v>44</v>
      </c>
      <c r="Y3429" s="68">
        <v>45161</v>
      </c>
      <c r="Z3429" s="17" t="s">
        <v>191</v>
      </c>
      <c r="AA3429" s="17" t="s">
        <v>46</v>
      </c>
      <c r="AB3429" s="17" t="s">
        <v>1142</v>
      </c>
      <c r="AC3429" s="102" t="s">
        <v>1143</v>
      </c>
      <c r="AD3429" s="65">
        <v>1465</v>
      </c>
      <c r="AE3429" s="17" t="s">
        <v>74</v>
      </c>
    </row>
    <row r="3430" s="17" customFormat="1" ht="15.6" hidden="1" spans="1:31">
      <c r="A3430" s="17" t="s">
        <v>34</v>
      </c>
      <c r="B3430" s="19">
        <v>916</v>
      </c>
      <c r="C3430" s="183" t="s">
        <v>1173</v>
      </c>
      <c r="D3430" s="17" t="s">
        <v>52</v>
      </c>
      <c r="E3430" s="17" t="s">
        <v>1113</v>
      </c>
      <c r="F3430" s="17" t="s">
        <v>54</v>
      </c>
      <c r="H3430" s="19" t="s">
        <v>1114</v>
      </c>
      <c r="I3430" s="19"/>
      <c r="J3430" s="17" t="s">
        <v>82</v>
      </c>
      <c r="K3430" s="19">
        <v>305</v>
      </c>
      <c r="L3430" s="19">
        <v>50</v>
      </c>
      <c r="M3430" s="19">
        <v>2200</v>
      </c>
      <c r="N3430" s="19" t="s">
        <v>66</v>
      </c>
      <c r="O3430" s="19" t="s">
        <v>141</v>
      </c>
      <c r="P3430" s="19">
        <v>4329</v>
      </c>
      <c r="Q3430" s="19">
        <f>274+273+274+274+274+273+273+274+274+274+273+273+274+274+275+273</f>
        <v>4379</v>
      </c>
      <c r="S3430" s="274">
        <v>1070</v>
      </c>
      <c r="T3430" s="19" t="s">
        <v>42</v>
      </c>
      <c r="U3430" s="102" t="s">
        <v>1174</v>
      </c>
      <c r="V3430" s="186" t="s">
        <v>1175</v>
      </c>
      <c r="W3430" s="17" t="s">
        <v>69</v>
      </c>
      <c r="Y3430" s="68">
        <v>45161</v>
      </c>
      <c r="Z3430" s="17" t="s">
        <v>191</v>
      </c>
      <c r="AA3430" s="17" t="s">
        <v>46</v>
      </c>
      <c r="AB3430" s="17" t="s">
        <v>1131</v>
      </c>
      <c r="AC3430" s="102" t="s">
        <v>1132</v>
      </c>
      <c r="AD3430" s="65">
        <v>1444</v>
      </c>
      <c r="AE3430" s="17" t="s">
        <v>74</v>
      </c>
    </row>
    <row r="3431" s="17" customFormat="1" ht="15.6" hidden="1" spans="1:31">
      <c r="A3431" s="17" t="s">
        <v>34</v>
      </c>
      <c r="B3431" s="19">
        <v>916</v>
      </c>
      <c r="C3431" s="183" t="s">
        <v>1173</v>
      </c>
      <c r="D3431" s="17" t="s">
        <v>52</v>
      </c>
      <c r="E3431" s="17" t="s">
        <v>1113</v>
      </c>
      <c r="F3431" s="17" t="s">
        <v>54</v>
      </c>
      <c r="H3431" s="19" t="s">
        <v>1114</v>
      </c>
      <c r="I3431" s="19"/>
      <c r="J3431" s="17" t="s">
        <v>82</v>
      </c>
      <c r="K3431" s="19">
        <v>305</v>
      </c>
      <c r="L3431" s="19">
        <v>50</v>
      </c>
      <c r="M3431" s="19">
        <v>2200</v>
      </c>
      <c r="N3431" s="19" t="s">
        <v>66</v>
      </c>
      <c r="O3431" s="19" t="s">
        <v>141</v>
      </c>
      <c r="P3431" s="19"/>
      <c r="Q3431" s="19">
        <f>273+280</f>
        <v>553</v>
      </c>
      <c r="R3431" s="19">
        <f>+P3430-Q3430-Q3431</f>
        <v>-603</v>
      </c>
      <c r="S3431" s="274">
        <f>1070-40</f>
        <v>1030</v>
      </c>
      <c r="T3431" s="19" t="s">
        <v>42</v>
      </c>
      <c r="U3431" s="102" t="s">
        <v>1174</v>
      </c>
      <c r="V3431" s="186" t="s">
        <v>1175</v>
      </c>
      <c r="W3431" s="17" t="s">
        <v>44</v>
      </c>
      <c r="Y3431" s="68">
        <v>45161</v>
      </c>
      <c r="Z3431" s="17" t="s">
        <v>191</v>
      </c>
      <c r="AA3431" s="17" t="s">
        <v>46</v>
      </c>
      <c r="AB3431" s="17" t="s">
        <v>1140</v>
      </c>
      <c r="AC3431" s="102" t="s">
        <v>1141</v>
      </c>
      <c r="AD3431" s="65">
        <v>1468</v>
      </c>
      <c r="AE3431" s="17" t="s">
        <v>74</v>
      </c>
    </row>
    <row r="3432" s="17" customFormat="1" ht="15.6" hidden="1" spans="1:31">
      <c r="A3432" s="17" t="s">
        <v>34</v>
      </c>
      <c r="B3432" s="19">
        <v>916</v>
      </c>
      <c r="C3432" s="183" t="s">
        <v>1173</v>
      </c>
      <c r="D3432" s="17" t="s">
        <v>52</v>
      </c>
      <c r="E3432" s="17" t="s">
        <v>1113</v>
      </c>
      <c r="F3432" s="17" t="s">
        <v>54</v>
      </c>
      <c r="H3432" s="19" t="s">
        <v>1114</v>
      </c>
      <c r="I3432" s="19"/>
      <c r="J3432" s="17" t="s">
        <v>82</v>
      </c>
      <c r="K3432" s="19">
        <v>355</v>
      </c>
      <c r="L3432" s="19">
        <v>50</v>
      </c>
      <c r="M3432" s="19">
        <v>2200</v>
      </c>
      <c r="N3432" s="19" t="s">
        <v>66</v>
      </c>
      <c r="O3432" s="19" t="s">
        <v>141</v>
      </c>
      <c r="P3432" s="19">
        <v>4409</v>
      </c>
      <c r="Q3432" s="19">
        <f>320+320+319+318+320+318+315+318+318+318+318+318+318+317</f>
        <v>4455</v>
      </c>
      <c r="S3432" s="274">
        <v>1070</v>
      </c>
      <c r="T3432" s="19" t="s">
        <v>42</v>
      </c>
      <c r="U3432" s="102" t="s">
        <v>1174</v>
      </c>
      <c r="V3432" s="186" t="s">
        <v>1175</v>
      </c>
      <c r="W3432" s="17" t="s">
        <v>69</v>
      </c>
      <c r="Y3432" s="68">
        <v>45161</v>
      </c>
      <c r="Z3432" s="17" t="s">
        <v>191</v>
      </c>
      <c r="AA3432" s="17" t="s">
        <v>46</v>
      </c>
      <c r="AB3432" s="17" t="s">
        <v>1131</v>
      </c>
      <c r="AC3432" s="102" t="s">
        <v>1132</v>
      </c>
      <c r="AD3432" s="65">
        <v>1444</v>
      </c>
      <c r="AE3432" s="17" t="s">
        <v>74</v>
      </c>
    </row>
    <row r="3433" s="17" customFormat="1" ht="15.6" hidden="1" spans="1:31">
      <c r="A3433" s="17" t="s">
        <v>34</v>
      </c>
      <c r="B3433" s="19">
        <v>916</v>
      </c>
      <c r="C3433" s="183" t="s">
        <v>1173</v>
      </c>
      <c r="D3433" s="17" t="s">
        <v>52</v>
      </c>
      <c r="E3433" s="17" t="s">
        <v>1113</v>
      </c>
      <c r="F3433" s="17" t="s">
        <v>54</v>
      </c>
      <c r="H3433" s="19" t="s">
        <v>1114</v>
      </c>
      <c r="I3433" s="19"/>
      <c r="J3433" s="17" t="s">
        <v>82</v>
      </c>
      <c r="K3433" s="19">
        <v>355</v>
      </c>
      <c r="L3433" s="19">
        <v>50</v>
      </c>
      <c r="M3433" s="19">
        <v>2200</v>
      </c>
      <c r="N3433" s="19" t="s">
        <v>66</v>
      </c>
      <c r="O3433" s="19" t="s">
        <v>141</v>
      </c>
      <c r="P3433" s="19"/>
      <c r="Q3433" s="19">
        <v>320</v>
      </c>
      <c r="R3433" s="19">
        <f>+P3432-Q3432-Q3433</f>
        <v>-366</v>
      </c>
      <c r="S3433" s="274">
        <f>1070-40</f>
        <v>1030</v>
      </c>
      <c r="T3433" s="19" t="s">
        <v>42</v>
      </c>
      <c r="U3433" s="102" t="s">
        <v>1174</v>
      </c>
      <c r="V3433" s="186" t="s">
        <v>1175</v>
      </c>
      <c r="W3433" s="17" t="s">
        <v>44</v>
      </c>
      <c r="Y3433" s="68">
        <v>45161</v>
      </c>
      <c r="Z3433" s="17" t="s">
        <v>191</v>
      </c>
      <c r="AA3433" s="17" t="s">
        <v>46</v>
      </c>
      <c r="AB3433" s="17" t="s">
        <v>1140</v>
      </c>
      <c r="AC3433" s="102" t="s">
        <v>1141</v>
      </c>
      <c r="AD3433" s="65">
        <v>1468</v>
      </c>
      <c r="AE3433" s="17" t="s">
        <v>74</v>
      </c>
    </row>
    <row r="3434" s="17" customFormat="1" ht="15.6" hidden="1" spans="1:31">
      <c r="A3434" s="17" t="s">
        <v>34</v>
      </c>
      <c r="B3434" s="19">
        <v>916</v>
      </c>
      <c r="C3434" s="183" t="s">
        <v>1173</v>
      </c>
      <c r="D3434" s="17" t="s">
        <v>52</v>
      </c>
      <c r="E3434" s="17" t="s">
        <v>1113</v>
      </c>
      <c r="F3434" s="17" t="s">
        <v>54</v>
      </c>
      <c r="H3434" s="19" t="s">
        <v>1114</v>
      </c>
      <c r="I3434" s="19"/>
      <c r="J3434" s="17" t="s">
        <v>82</v>
      </c>
      <c r="K3434" s="19">
        <v>405</v>
      </c>
      <c r="L3434" s="19">
        <v>50</v>
      </c>
      <c r="M3434" s="19">
        <v>2200</v>
      </c>
      <c r="N3434" s="19" t="s">
        <v>66</v>
      </c>
      <c r="O3434" s="19" t="s">
        <v>141</v>
      </c>
      <c r="P3434" s="19">
        <v>2874</v>
      </c>
      <c r="Q3434" s="19">
        <v>1456</v>
      </c>
      <c r="S3434" s="274">
        <v>1070</v>
      </c>
      <c r="T3434" s="19" t="s">
        <v>42</v>
      </c>
      <c r="U3434" s="102" t="s">
        <v>1174</v>
      </c>
      <c r="V3434" s="186" t="s">
        <v>1175</v>
      </c>
      <c r="W3434" s="17" t="s">
        <v>69</v>
      </c>
      <c r="Y3434" s="68">
        <v>45161</v>
      </c>
      <c r="Z3434" s="17" t="s">
        <v>191</v>
      </c>
      <c r="AA3434" s="17" t="s">
        <v>46</v>
      </c>
      <c r="AB3434" s="17" t="s">
        <v>1128</v>
      </c>
      <c r="AC3434" s="102" t="s">
        <v>1124</v>
      </c>
      <c r="AD3434" s="65">
        <v>1448</v>
      </c>
      <c r="AE3434" s="17" t="s">
        <v>74</v>
      </c>
    </row>
    <row r="3435" s="17" customFormat="1" ht="15.6" hidden="1" spans="1:31">
      <c r="A3435" s="17" t="s">
        <v>34</v>
      </c>
      <c r="B3435" s="19">
        <v>916</v>
      </c>
      <c r="C3435" s="183" t="s">
        <v>1173</v>
      </c>
      <c r="D3435" s="17" t="s">
        <v>52</v>
      </c>
      <c r="E3435" s="17" t="s">
        <v>1113</v>
      </c>
      <c r="F3435" s="17" t="s">
        <v>54</v>
      </c>
      <c r="H3435" s="19" t="s">
        <v>1114</v>
      </c>
      <c r="I3435" s="19"/>
      <c r="J3435" s="17" t="s">
        <v>82</v>
      </c>
      <c r="K3435" s="19">
        <v>405</v>
      </c>
      <c r="L3435" s="19">
        <v>50</v>
      </c>
      <c r="M3435" s="19">
        <v>2200</v>
      </c>
      <c r="N3435" s="19" t="s">
        <v>66</v>
      </c>
      <c r="O3435" s="19" t="s">
        <v>141</v>
      </c>
      <c r="P3435" s="19"/>
      <c r="Q3435" s="19">
        <f>368+363+367+362+363+364</f>
        <v>2187</v>
      </c>
      <c r="R3435" s="19">
        <f>+P3434-Q3434-Q3435</f>
        <v>-769</v>
      </c>
      <c r="S3435" s="274">
        <v>1070</v>
      </c>
      <c r="T3435" s="19" t="s">
        <v>42</v>
      </c>
      <c r="U3435" s="102" t="s">
        <v>1174</v>
      </c>
      <c r="V3435" s="186" t="s">
        <v>1175</v>
      </c>
      <c r="W3435" s="17" t="s">
        <v>69</v>
      </c>
      <c r="Y3435" s="68">
        <v>45161</v>
      </c>
      <c r="Z3435" s="17" t="s">
        <v>191</v>
      </c>
      <c r="AA3435" s="17" t="s">
        <v>46</v>
      </c>
      <c r="AB3435" s="17" t="s">
        <v>1150</v>
      </c>
      <c r="AC3435" s="102" t="s">
        <v>1151</v>
      </c>
      <c r="AD3435" s="65">
        <v>1455</v>
      </c>
      <c r="AE3435" s="17" t="s">
        <v>74</v>
      </c>
    </row>
    <row r="3436" s="17" customFormat="1" ht="15.6" hidden="1" spans="1:31">
      <c r="A3436" s="17" t="s">
        <v>34</v>
      </c>
      <c r="B3436" s="19">
        <v>916</v>
      </c>
      <c r="C3436" s="183" t="s">
        <v>1173</v>
      </c>
      <c r="D3436" s="17" t="s">
        <v>52</v>
      </c>
      <c r="E3436" s="17" t="s">
        <v>1113</v>
      </c>
      <c r="F3436" s="17" t="s">
        <v>54</v>
      </c>
      <c r="H3436" s="19" t="s">
        <v>1114</v>
      </c>
      <c r="I3436" s="19"/>
      <c r="J3436" s="17" t="s">
        <v>82</v>
      </c>
      <c r="K3436" s="19">
        <v>455</v>
      </c>
      <c r="L3436" s="19">
        <v>50</v>
      </c>
      <c r="M3436" s="19">
        <v>2200</v>
      </c>
      <c r="N3436" s="19" t="s">
        <v>66</v>
      </c>
      <c r="O3436" s="19" t="s">
        <v>141</v>
      </c>
      <c r="P3436" s="19">
        <v>2018</v>
      </c>
      <c r="Q3436" s="19">
        <v>2037</v>
      </c>
      <c r="S3436" s="274">
        <v>1070</v>
      </c>
      <c r="T3436" s="19" t="s">
        <v>42</v>
      </c>
      <c r="U3436" s="102" t="s">
        <v>1174</v>
      </c>
      <c r="V3436" s="186" t="s">
        <v>1175</v>
      </c>
      <c r="W3436" s="17" t="s">
        <v>69</v>
      </c>
      <c r="Y3436" s="68">
        <v>45161</v>
      </c>
      <c r="Z3436" s="17" t="s">
        <v>191</v>
      </c>
      <c r="AA3436" s="17" t="s">
        <v>46</v>
      </c>
      <c r="AB3436" s="17" t="s">
        <v>1128</v>
      </c>
      <c r="AC3436" s="102" t="s">
        <v>1124</v>
      </c>
      <c r="AD3436" s="65">
        <v>1448</v>
      </c>
      <c r="AE3436" s="17" t="s">
        <v>74</v>
      </c>
    </row>
    <row r="3437" s="17" customFormat="1" ht="15.6" hidden="1" spans="1:31">
      <c r="A3437" s="17" t="s">
        <v>34</v>
      </c>
      <c r="B3437" s="19">
        <v>916</v>
      </c>
      <c r="C3437" s="183" t="s">
        <v>1173</v>
      </c>
      <c r="D3437" s="17" t="s">
        <v>52</v>
      </c>
      <c r="E3437" s="17" t="s">
        <v>1113</v>
      </c>
      <c r="F3437" s="17" t="s">
        <v>54</v>
      </c>
      <c r="H3437" s="19" t="s">
        <v>1114</v>
      </c>
      <c r="I3437" s="19"/>
      <c r="J3437" s="17" t="s">
        <v>82</v>
      </c>
      <c r="K3437" s="19">
        <v>455</v>
      </c>
      <c r="L3437" s="19">
        <v>50</v>
      </c>
      <c r="M3437" s="19">
        <v>2200</v>
      </c>
      <c r="N3437" s="19" t="s">
        <v>66</v>
      </c>
      <c r="O3437" s="19" t="s">
        <v>141</v>
      </c>
      <c r="P3437" s="19"/>
      <c r="Q3437" s="19">
        <f>409+408</f>
        <v>817</v>
      </c>
      <c r="R3437" s="19">
        <f>+P3436-Q3436-Q3437</f>
        <v>-836</v>
      </c>
      <c r="S3437" s="274">
        <f>1070-40</f>
        <v>1030</v>
      </c>
      <c r="T3437" s="19" t="s">
        <v>42</v>
      </c>
      <c r="U3437" s="102" t="s">
        <v>1174</v>
      </c>
      <c r="V3437" s="186" t="s">
        <v>1175</v>
      </c>
      <c r="W3437" s="17" t="s">
        <v>44</v>
      </c>
      <c r="Y3437" s="68">
        <v>45161</v>
      </c>
      <c r="Z3437" s="17" t="s">
        <v>191</v>
      </c>
      <c r="AA3437" s="17" t="s">
        <v>46</v>
      </c>
      <c r="AB3437" s="17" t="s">
        <v>1140</v>
      </c>
      <c r="AC3437" s="102" t="s">
        <v>1141</v>
      </c>
      <c r="AD3437" s="65">
        <v>1468</v>
      </c>
      <c r="AE3437" s="17" t="s">
        <v>74</v>
      </c>
    </row>
    <row r="3438" s="17" customFormat="1" ht="15.6" hidden="1" spans="1:31">
      <c r="A3438" s="17" t="s">
        <v>34</v>
      </c>
      <c r="B3438" s="19">
        <v>916</v>
      </c>
      <c r="C3438" s="183" t="s">
        <v>1173</v>
      </c>
      <c r="D3438" s="17" t="s">
        <v>52</v>
      </c>
      <c r="E3438" s="17" t="s">
        <v>1113</v>
      </c>
      <c r="F3438" s="17" t="s">
        <v>54</v>
      </c>
      <c r="H3438" s="19" t="s">
        <v>1114</v>
      </c>
      <c r="I3438" s="19"/>
      <c r="J3438" s="17" t="s">
        <v>82</v>
      </c>
      <c r="K3438" s="19">
        <v>505</v>
      </c>
      <c r="L3438" s="19">
        <v>50</v>
      </c>
      <c r="M3438" s="19">
        <v>2200</v>
      </c>
      <c r="N3438" s="19" t="s">
        <v>66</v>
      </c>
      <c r="O3438" s="19" t="s">
        <v>141</v>
      </c>
      <c r="P3438" s="19">
        <v>1792</v>
      </c>
      <c r="Q3438" s="19">
        <v>1806</v>
      </c>
      <c r="S3438" s="274">
        <v>1070</v>
      </c>
      <c r="T3438" s="19" t="s">
        <v>42</v>
      </c>
      <c r="U3438" s="102" t="s">
        <v>1174</v>
      </c>
      <c r="V3438" s="186" t="s">
        <v>1175</v>
      </c>
      <c r="W3438" s="17" t="s">
        <v>69</v>
      </c>
      <c r="Y3438" s="68">
        <v>45161</v>
      </c>
      <c r="Z3438" s="17" t="s">
        <v>191</v>
      </c>
      <c r="AA3438" s="17" t="s">
        <v>46</v>
      </c>
      <c r="AB3438" s="17" t="s">
        <v>1128</v>
      </c>
      <c r="AC3438" s="102" t="s">
        <v>1124</v>
      </c>
      <c r="AD3438" s="65">
        <v>1448</v>
      </c>
      <c r="AE3438" s="17" t="s">
        <v>74</v>
      </c>
    </row>
    <row r="3439" s="17" customFormat="1" ht="15.6" hidden="1" spans="1:31">
      <c r="A3439" s="17" t="s">
        <v>34</v>
      </c>
      <c r="B3439" s="19">
        <v>916</v>
      </c>
      <c r="C3439" s="183" t="s">
        <v>1173</v>
      </c>
      <c r="D3439" s="17" t="s">
        <v>52</v>
      </c>
      <c r="E3439" s="17" t="s">
        <v>1113</v>
      </c>
      <c r="F3439" s="17" t="s">
        <v>54</v>
      </c>
      <c r="H3439" s="19" t="s">
        <v>1114</v>
      </c>
      <c r="I3439" s="19"/>
      <c r="J3439" s="17" t="s">
        <v>82</v>
      </c>
      <c r="K3439" s="19">
        <v>505</v>
      </c>
      <c r="L3439" s="19">
        <v>51</v>
      </c>
      <c r="M3439" s="19">
        <v>2200</v>
      </c>
      <c r="N3439" s="19" t="s">
        <v>66</v>
      </c>
      <c r="O3439" s="19" t="s">
        <v>141</v>
      </c>
      <c r="P3439" s="19"/>
      <c r="Q3439" s="19">
        <v>457</v>
      </c>
      <c r="R3439" s="19">
        <f>+P3438-Q3438-Q3439</f>
        <v>-471</v>
      </c>
      <c r="S3439" s="274">
        <f>1070-40</f>
        <v>1030</v>
      </c>
      <c r="T3439" s="19" t="s">
        <v>42</v>
      </c>
      <c r="U3439" s="102" t="s">
        <v>1174</v>
      </c>
      <c r="V3439" s="186" t="s">
        <v>1175</v>
      </c>
      <c r="W3439" s="17" t="s">
        <v>44</v>
      </c>
      <c r="Y3439" s="68">
        <v>45161</v>
      </c>
      <c r="Z3439" s="17" t="s">
        <v>191</v>
      </c>
      <c r="AA3439" s="17" t="s">
        <v>46</v>
      </c>
      <c r="AB3439" s="17" t="s">
        <v>1136</v>
      </c>
      <c r="AC3439" s="217">
        <v>44937</v>
      </c>
      <c r="AD3439" s="65">
        <v>1476</v>
      </c>
    </row>
    <row r="3440" s="17" customFormat="1" ht="15.6" hidden="1" spans="1:31">
      <c r="A3440" s="17" t="s">
        <v>34</v>
      </c>
      <c r="B3440" s="19">
        <v>916</v>
      </c>
      <c r="C3440" s="183" t="s">
        <v>1173</v>
      </c>
      <c r="D3440" s="17" t="s">
        <v>52</v>
      </c>
      <c r="E3440" s="17" t="s">
        <v>1113</v>
      </c>
      <c r="F3440" s="17" t="s">
        <v>54</v>
      </c>
      <c r="H3440" s="19" t="s">
        <v>1114</v>
      </c>
      <c r="I3440" s="19"/>
      <c r="J3440" s="17" t="s">
        <v>82</v>
      </c>
      <c r="K3440" s="19">
        <v>505</v>
      </c>
      <c r="L3440" s="19">
        <v>51</v>
      </c>
      <c r="M3440" s="19">
        <v>2200</v>
      </c>
      <c r="N3440" s="19" t="s">
        <v>66</v>
      </c>
      <c r="O3440" s="19" t="s">
        <v>141</v>
      </c>
      <c r="P3440" s="19"/>
      <c r="Q3440" s="19">
        <v>453</v>
      </c>
      <c r="R3440" s="19"/>
      <c r="S3440" s="274">
        <v>1070</v>
      </c>
      <c r="T3440" s="19" t="s">
        <v>42</v>
      </c>
      <c r="U3440" s="102" t="s">
        <v>1174</v>
      </c>
      <c r="V3440" s="186" t="s">
        <v>1175</v>
      </c>
      <c r="W3440" s="17" t="s">
        <v>69</v>
      </c>
      <c r="Y3440" s="68">
        <v>45161</v>
      </c>
      <c r="Z3440" s="17" t="s">
        <v>191</v>
      </c>
      <c r="AA3440" s="17" t="s">
        <v>46</v>
      </c>
      <c r="AB3440" s="17" t="s">
        <v>1137</v>
      </c>
      <c r="AC3440" s="217">
        <v>45210</v>
      </c>
      <c r="AD3440" s="65">
        <v>1489</v>
      </c>
    </row>
    <row r="3441" s="17" customFormat="1" ht="15.6" hidden="1" spans="1:32">
      <c r="A3441" s="17" t="s">
        <v>34</v>
      </c>
      <c r="B3441" s="19">
        <v>916</v>
      </c>
      <c r="C3441" s="183" t="s">
        <v>1173</v>
      </c>
      <c r="D3441" s="17" t="s">
        <v>52</v>
      </c>
      <c r="E3441" s="17" t="s">
        <v>1113</v>
      </c>
      <c r="F3441" s="17" t="s">
        <v>54</v>
      </c>
      <c r="H3441" s="19" t="s">
        <v>1114</v>
      </c>
      <c r="I3441" s="19"/>
      <c r="J3441" s="17" t="s">
        <v>82</v>
      </c>
      <c r="K3441" s="19">
        <v>180</v>
      </c>
      <c r="L3441" s="19">
        <v>51</v>
      </c>
      <c r="M3441" s="19">
        <v>2200</v>
      </c>
      <c r="N3441" s="19" t="s">
        <v>66</v>
      </c>
      <c r="O3441" s="19" t="s">
        <v>141</v>
      </c>
      <c r="P3441" s="19">
        <v>489</v>
      </c>
      <c r="Q3441" s="19">
        <f>164+165+160+166</f>
        <v>655</v>
      </c>
      <c r="R3441" s="19">
        <f>+P3441-Q3441</f>
        <v>-166</v>
      </c>
      <c r="S3441" s="274">
        <f>1070-40</f>
        <v>1030</v>
      </c>
      <c r="T3441" s="19" t="s">
        <v>42</v>
      </c>
      <c r="U3441" s="102" t="s">
        <v>1174</v>
      </c>
      <c r="V3441" s="186" t="s">
        <v>1175</v>
      </c>
      <c r="W3441" s="17" t="s">
        <v>44</v>
      </c>
      <c r="Y3441" s="68">
        <v>45161</v>
      </c>
      <c r="Z3441" s="17" t="s">
        <v>191</v>
      </c>
      <c r="AA3441" s="17" t="s">
        <v>46</v>
      </c>
      <c r="AB3441" s="17" t="s">
        <v>1140</v>
      </c>
      <c r="AC3441" s="102" t="s">
        <v>1141</v>
      </c>
      <c r="AD3441" s="65">
        <v>1468</v>
      </c>
      <c r="AE3441" s="17" t="s">
        <v>48</v>
      </c>
    </row>
    <row r="3442" s="17" customFormat="1" ht="15.6" hidden="1" spans="1:32">
      <c r="A3442" s="17" t="s">
        <v>34</v>
      </c>
      <c r="B3442" s="19">
        <v>916</v>
      </c>
      <c r="C3442" s="183" t="s">
        <v>1173</v>
      </c>
      <c r="D3442" s="17" t="s">
        <v>52</v>
      </c>
      <c r="E3442" s="17" t="s">
        <v>1113</v>
      </c>
      <c r="F3442" s="17" t="s">
        <v>54</v>
      </c>
      <c r="H3442" s="19" t="s">
        <v>1114</v>
      </c>
      <c r="I3442" s="19"/>
      <c r="J3442" s="17" t="s">
        <v>82</v>
      </c>
      <c r="K3442" s="19">
        <v>205</v>
      </c>
      <c r="L3442" s="19">
        <v>51</v>
      </c>
      <c r="M3442" s="19">
        <v>2200</v>
      </c>
      <c r="N3442" s="19" t="s">
        <v>66</v>
      </c>
      <c r="O3442" s="19" t="s">
        <v>141</v>
      </c>
      <c r="P3442" s="19">
        <v>556</v>
      </c>
      <c r="Q3442" s="19">
        <f>186+186</f>
        <v>372</v>
      </c>
      <c r="R3442" s="19">
        <f>+P3442-Q3442</f>
        <v>184</v>
      </c>
      <c r="S3442" s="274">
        <f>1070-40</f>
        <v>1030</v>
      </c>
      <c r="T3442" s="19" t="s">
        <v>42</v>
      </c>
      <c r="U3442" s="102" t="s">
        <v>1174</v>
      </c>
      <c r="V3442" s="186" t="s">
        <v>1175</v>
      </c>
      <c r="W3442" s="17" t="s">
        <v>44</v>
      </c>
      <c r="Y3442" s="68">
        <v>45161</v>
      </c>
      <c r="Z3442" s="17" t="s">
        <v>191</v>
      </c>
      <c r="AA3442" s="17" t="s">
        <v>46</v>
      </c>
      <c r="AB3442" s="17" t="s">
        <v>1140</v>
      </c>
      <c r="AC3442" s="102" t="s">
        <v>1141</v>
      </c>
      <c r="AD3442" s="65">
        <v>1468</v>
      </c>
      <c r="AE3442" s="17" t="s">
        <v>48</v>
      </c>
    </row>
    <row r="3443" s="17" customFormat="1" ht="15.6" hidden="1" spans="1:32">
      <c r="B3443" s="19">
        <v>916</v>
      </c>
      <c r="C3443" s="183" t="s">
        <v>1173</v>
      </c>
      <c r="D3443" s="17" t="s">
        <v>52</v>
      </c>
      <c r="E3443" s="17" t="s">
        <v>1113</v>
      </c>
      <c r="F3443" s="17" t="s">
        <v>54</v>
      </c>
      <c r="H3443" s="19" t="s">
        <v>1114</v>
      </c>
      <c r="I3443" s="19"/>
      <c r="J3443" s="17" t="s">
        <v>82</v>
      </c>
      <c r="K3443" s="19">
        <v>230</v>
      </c>
      <c r="L3443" s="19">
        <v>51</v>
      </c>
      <c r="M3443" s="19">
        <v>2200</v>
      </c>
      <c r="N3443" s="19" t="s">
        <v>66</v>
      </c>
      <c r="O3443" s="19" t="s">
        <v>141</v>
      </c>
      <c r="P3443" s="19">
        <v>416</v>
      </c>
      <c r="Q3443" s="19">
        <f>210+210</f>
        <v>420</v>
      </c>
      <c r="R3443" s="19">
        <f>+P3443-Q3443</f>
        <v>-4</v>
      </c>
      <c r="S3443" s="274">
        <f>1070-40</f>
        <v>1030</v>
      </c>
      <c r="T3443" s="19" t="s">
        <v>42</v>
      </c>
      <c r="U3443" s="102" t="s">
        <v>1174</v>
      </c>
      <c r="V3443" s="186" t="s">
        <v>1175</v>
      </c>
      <c r="W3443" s="17" t="s">
        <v>44</v>
      </c>
      <c r="Y3443" s="68">
        <v>45161</v>
      </c>
      <c r="Z3443" s="17" t="s">
        <v>191</v>
      </c>
      <c r="AA3443" s="17" t="s">
        <v>46</v>
      </c>
      <c r="AB3443" s="17" t="s">
        <v>1142</v>
      </c>
      <c r="AC3443" s="102" t="s">
        <v>1143</v>
      </c>
      <c r="AD3443" s="65">
        <v>1465</v>
      </c>
      <c r="AE3443" s="17" t="s">
        <v>48</v>
      </c>
    </row>
    <row r="3444" s="18" customFormat="1" ht="15.6" hidden="1" spans="1:32">
      <c r="B3444" s="75">
        <v>916</v>
      </c>
      <c r="C3444" s="213" t="s">
        <v>1173</v>
      </c>
      <c r="D3444" s="18" t="s">
        <v>52</v>
      </c>
      <c r="E3444" s="17" t="s">
        <v>1113</v>
      </c>
      <c r="F3444" s="18" t="s">
        <v>54</v>
      </c>
      <c r="H3444" s="75" t="s">
        <v>1114</v>
      </c>
      <c r="I3444" s="75"/>
      <c r="J3444" s="18" t="s">
        <v>82</v>
      </c>
      <c r="K3444" s="75">
        <v>255</v>
      </c>
      <c r="L3444" s="75">
        <v>51</v>
      </c>
      <c r="M3444" s="75">
        <v>2200</v>
      </c>
      <c r="N3444" s="75" t="s">
        <v>66</v>
      </c>
      <c r="O3444" s="75" t="s">
        <v>141</v>
      </c>
      <c r="P3444" s="75">
        <v>461</v>
      </c>
      <c r="Q3444" s="75"/>
      <c r="R3444" s="75">
        <f>+P3444-Q3444</f>
        <v>461</v>
      </c>
      <c r="S3444" s="276">
        <v>1070</v>
      </c>
      <c r="T3444" s="75" t="s">
        <v>42</v>
      </c>
      <c r="U3444" s="137" t="s">
        <v>1174</v>
      </c>
      <c r="V3444" s="193" t="s">
        <v>1175</v>
      </c>
      <c r="W3444" s="18" t="s">
        <v>69</v>
      </c>
      <c r="Y3444" s="114">
        <v>45161</v>
      </c>
      <c r="Z3444" s="18" t="s">
        <v>191</v>
      </c>
      <c r="AA3444" s="18" t="s">
        <v>46</v>
      </c>
      <c r="AC3444" s="137"/>
      <c r="AD3444" s="77"/>
      <c r="AE3444" s="18" t="s">
        <v>48</v>
      </c>
      <c r="AF3444" s="18" t="s">
        <v>1134</v>
      </c>
    </row>
    <row r="3445" s="17" customFormat="1" ht="15.6" hidden="1" spans="1:32">
      <c r="A3445" s="17" t="s">
        <v>34</v>
      </c>
      <c r="B3445" s="19">
        <v>916</v>
      </c>
      <c r="C3445" s="183" t="s">
        <v>1173</v>
      </c>
      <c r="D3445" s="17" t="s">
        <v>52</v>
      </c>
      <c r="E3445" s="17" t="s">
        <v>1113</v>
      </c>
      <c r="F3445" s="17" t="s">
        <v>54</v>
      </c>
      <c r="H3445" s="19" t="s">
        <v>1114</v>
      </c>
      <c r="I3445" s="19"/>
      <c r="J3445" s="17" t="s">
        <v>82</v>
      </c>
      <c r="K3445" s="19">
        <v>310</v>
      </c>
      <c r="L3445" s="19">
        <v>51</v>
      </c>
      <c r="M3445" s="19">
        <v>2200</v>
      </c>
      <c r="N3445" s="19" t="s">
        <v>66</v>
      </c>
      <c r="O3445" s="19" t="s">
        <v>141</v>
      </c>
      <c r="P3445" s="19">
        <v>561</v>
      </c>
      <c r="Q3445" s="19">
        <f>280+282</f>
        <v>562</v>
      </c>
      <c r="S3445" s="274">
        <v>1070</v>
      </c>
      <c r="T3445" s="19" t="s">
        <v>42</v>
      </c>
      <c r="U3445" s="102" t="s">
        <v>1174</v>
      </c>
      <c r="V3445" s="186" t="s">
        <v>1175</v>
      </c>
      <c r="W3445" s="17" t="s">
        <v>69</v>
      </c>
      <c r="Y3445" s="68">
        <v>45161</v>
      </c>
      <c r="Z3445" s="17" t="s">
        <v>191</v>
      </c>
      <c r="AA3445" s="17" t="s">
        <v>46</v>
      </c>
      <c r="AB3445" s="17" t="s">
        <v>1131</v>
      </c>
      <c r="AC3445" s="102" t="s">
        <v>1132</v>
      </c>
      <c r="AD3445" s="65">
        <v>1444</v>
      </c>
      <c r="AE3445" s="17" t="s">
        <v>48</v>
      </c>
    </row>
    <row r="3446" s="17" customFormat="1" ht="15.6" hidden="1" spans="1:32">
      <c r="A3446" s="17" t="s">
        <v>34</v>
      </c>
      <c r="B3446" s="19">
        <v>916</v>
      </c>
      <c r="C3446" s="183" t="s">
        <v>1173</v>
      </c>
      <c r="D3446" s="17" t="s">
        <v>52</v>
      </c>
      <c r="E3446" s="17" t="s">
        <v>1113</v>
      </c>
      <c r="F3446" s="17" t="s">
        <v>54</v>
      </c>
      <c r="H3446" s="19" t="s">
        <v>1114</v>
      </c>
      <c r="I3446" s="19"/>
      <c r="J3446" s="17" t="s">
        <v>82</v>
      </c>
      <c r="K3446" s="19">
        <v>305</v>
      </c>
      <c r="L3446" s="19">
        <v>51</v>
      </c>
      <c r="M3446" s="19">
        <v>2200</v>
      </c>
      <c r="N3446" s="19" t="s">
        <v>66</v>
      </c>
      <c r="O3446" s="19" t="s">
        <v>141</v>
      </c>
      <c r="P3446" s="19"/>
      <c r="Q3446" s="19">
        <v>276</v>
      </c>
      <c r="S3446" s="274">
        <f>1070-40</f>
        <v>1030</v>
      </c>
      <c r="T3446" s="19" t="s">
        <v>42</v>
      </c>
      <c r="U3446" s="102" t="s">
        <v>1174</v>
      </c>
      <c r="V3446" s="186" t="s">
        <v>1175</v>
      </c>
      <c r="W3446" s="17" t="s">
        <v>44</v>
      </c>
      <c r="Y3446" s="68">
        <v>45161</v>
      </c>
      <c r="Z3446" s="17" t="s">
        <v>191</v>
      </c>
      <c r="AA3446" s="17" t="s">
        <v>46</v>
      </c>
      <c r="AB3446" s="17" t="s">
        <v>1136</v>
      </c>
      <c r="AC3446" s="217">
        <v>44937</v>
      </c>
      <c r="AD3446" s="65">
        <v>1476</v>
      </c>
    </row>
    <row r="3447" s="17" customFormat="1" ht="15.6" hidden="1" spans="1:32">
      <c r="A3447" s="17" t="s">
        <v>34</v>
      </c>
      <c r="B3447" s="19">
        <v>916</v>
      </c>
      <c r="C3447" s="183" t="s">
        <v>1173</v>
      </c>
      <c r="D3447" s="17" t="s">
        <v>52</v>
      </c>
      <c r="E3447" s="17" t="s">
        <v>1113</v>
      </c>
      <c r="F3447" s="17" t="s">
        <v>54</v>
      </c>
      <c r="H3447" s="19" t="s">
        <v>1114</v>
      </c>
      <c r="I3447" s="19"/>
      <c r="J3447" s="17" t="s">
        <v>82</v>
      </c>
      <c r="K3447" s="19">
        <v>305</v>
      </c>
      <c r="L3447" s="19">
        <v>51</v>
      </c>
      <c r="M3447" s="19">
        <v>2200</v>
      </c>
      <c r="N3447" s="19" t="s">
        <v>66</v>
      </c>
      <c r="O3447" s="19" t="s">
        <v>141</v>
      </c>
      <c r="P3447" s="19"/>
      <c r="Q3447" s="19">
        <f>275+276+276</f>
        <v>827</v>
      </c>
      <c r="R3447" s="19">
        <f>+P3445-Q3445-Q3446-Q3447</f>
        <v>-1104</v>
      </c>
      <c r="S3447" s="274">
        <v>1070</v>
      </c>
      <c r="T3447" s="19" t="s">
        <v>42</v>
      </c>
      <c r="U3447" s="102" t="s">
        <v>1174</v>
      </c>
      <c r="V3447" s="186" t="s">
        <v>1175</v>
      </c>
      <c r="W3447" s="17" t="s">
        <v>69</v>
      </c>
      <c r="Y3447" s="68">
        <v>45161</v>
      </c>
      <c r="Z3447" s="17" t="s">
        <v>191</v>
      </c>
      <c r="AA3447" s="17" t="s">
        <v>46</v>
      </c>
      <c r="AB3447" s="17" t="s">
        <v>1137</v>
      </c>
      <c r="AC3447" s="217">
        <v>45210</v>
      </c>
      <c r="AD3447" s="65">
        <v>1489</v>
      </c>
    </row>
    <row r="3448" s="17" customFormat="1" ht="15.6" hidden="1" spans="1:32">
      <c r="A3448" s="17" t="s">
        <v>34</v>
      </c>
      <c r="B3448" s="19">
        <v>916</v>
      </c>
      <c r="C3448" s="183" t="s">
        <v>1173</v>
      </c>
      <c r="D3448" s="17" t="s">
        <v>52</v>
      </c>
      <c r="E3448" s="17" t="s">
        <v>1113</v>
      </c>
      <c r="F3448" s="17" t="s">
        <v>54</v>
      </c>
      <c r="H3448" s="19" t="s">
        <v>1114</v>
      </c>
      <c r="I3448" s="19"/>
      <c r="J3448" s="17" t="s">
        <v>82</v>
      </c>
      <c r="K3448" s="19">
        <v>330</v>
      </c>
      <c r="L3448" s="19">
        <v>51</v>
      </c>
      <c r="M3448" s="19">
        <v>2200</v>
      </c>
      <c r="N3448" s="19" t="s">
        <v>66</v>
      </c>
      <c r="O3448" s="19" t="s">
        <v>141</v>
      </c>
      <c r="P3448" s="19">
        <v>597</v>
      </c>
      <c r="Q3448" s="19">
        <f>300+299</f>
        <v>599</v>
      </c>
      <c r="R3448" s="19">
        <f>+P3448-Q3448</f>
        <v>-2</v>
      </c>
      <c r="S3448" s="274">
        <v>1070</v>
      </c>
      <c r="T3448" s="19" t="s">
        <v>42</v>
      </c>
      <c r="U3448" s="102" t="s">
        <v>1174</v>
      </c>
      <c r="V3448" s="186" t="s">
        <v>1175</v>
      </c>
      <c r="W3448" s="17" t="s">
        <v>69</v>
      </c>
      <c r="Y3448" s="68">
        <v>45161</v>
      </c>
      <c r="Z3448" s="17" t="s">
        <v>191</v>
      </c>
      <c r="AA3448" s="17" t="s">
        <v>46</v>
      </c>
      <c r="AB3448" s="17" t="s">
        <v>1131</v>
      </c>
      <c r="AC3448" s="102" t="s">
        <v>1132</v>
      </c>
      <c r="AD3448" s="65">
        <v>1444</v>
      </c>
      <c r="AE3448" s="17" t="s">
        <v>48</v>
      </c>
    </row>
    <row r="3449" s="17" customFormat="1" ht="15.6" hidden="1" spans="1:32">
      <c r="A3449" s="17" t="s">
        <v>34</v>
      </c>
      <c r="B3449" s="19">
        <v>916</v>
      </c>
      <c r="C3449" s="183" t="s">
        <v>1173</v>
      </c>
      <c r="D3449" s="17" t="s">
        <v>52</v>
      </c>
      <c r="E3449" s="17" t="s">
        <v>1113</v>
      </c>
      <c r="F3449" s="17" t="s">
        <v>54</v>
      </c>
      <c r="H3449" s="19" t="s">
        <v>1114</v>
      </c>
      <c r="I3449" s="19"/>
      <c r="J3449" s="17" t="s">
        <v>82</v>
      </c>
      <c r="K3449" s="19">
        <v>355</v>
      </c>
      <c r="L3449" s="19">
        <v>51</v>
      </c>
      <c r="M3449" s="19">
        <v>2200</v>
      </c>
      <c r="N3449" s="19" t="s">
        <v>66</v>
      </c>
      <c r="O3449" s="19" t="s">
        <v>141</v>
      </c>
      <c r="P3449" s="19"/>
      <c r="Q3449" s="19">
        <v>319</v>
      </c>
      <c r="R3449" s="19"/>
      <c r="S3449" s="274">
        <f>1070-40</f>
        <v>1030</v>
      </c>
      <c r="T3449" s="19" t="s">
        <v>42</v>
      </c>
      <c r="U3449" s="102" t="s">
        <v>1174</v>
      </c>
      <c r="V3449" s="186" t="s">
        <v>1175</v>
      </c>
      <c r="W3449" s="17" t="s">
        <v>44</v>
      </c>
      <c r="Y3449" s="68">
        <v>45161</v>
      </c>
      <c r="Z3449" s="17" t="s">
        <v>191</v>
      </c>
      <c r="AA3449" s="17" t="s">
        <v>46</v>
      </c>
      <c r="AB3449" s="17" t="s">
        <v>1138</v>
      </c>
      <c r="AC3449" s="102" t="s">
        <v>1139</v>
      </c>
      <c r="AD3449" s="65">
        <v>1473</v>
      </c>
    </row>
    <row r="3450" s="17" customFormat="1" ht="15.6" hidden="1" spans="1:32">
      <c r="A3450" s="17" t="s">
        <v>34</v>
      </c>
      <c r="B3450" s="19">
        <v>916</v>
      </c>
      <c r="C3450" s="183" t="s">
        <v>1173</v>
      </c>
      <c r="D3450" s="17" t="s">
        <v>52</v>
      </c>
      <c r="E3450" s="17" t="s">
        <v>1113</v>
      </c>
      <c r="F3450" s="17" t="s">
        <v>54</v>
      </c>
      <c r="H3450" s="19" t="s">
        <v>1114</v>
      </c>
      <c r="I3450" s="19"/>
      <c r="J3450" s="17" t="s">
        <v>82</v>
      </c>
      <c r="K3450" s="19">
        <v>355</v>
      </c>
      <c r="L3450" s="19">
        <v>51</v>
      </c>
      <c r="M3450" s="19">
        <v>2200</v>
      </c>
      <c r="N3450" s="19" t="s">
        <v>66</v>
      </c>
      <c r="O3450" s="19" t="s">
        <v>141</v>
      </c>
      <c r="P3450" s="19"/>
      <c r="Q3450" s="19">
        <v>320</v>
      </c>
      <c r="R3450" s="19"/>
      <c r="S3450" s="274">
        <v>1070</v>
      </c>
      <c r="T3450" s="19" t="s">
        <v>42</v>
      </c>
      <c r="U3450" s="102" t="s">
        <v>1174</v>
      </c>
      <c r="V3450" s="186" t="s">
        <v>1175</v>
      </c>
      <c r="W3450" s="17" t="s">
        <v>69</v>
      </c>
      <c r="Y3450" s="68">
        <v>45161</v>
      </c>
      <c r="Z3450" s="17" t="s">
        <v>191</v>
      </c>
      <c r="AA3450" s="17" t="s">
        <v>46</v>
      </c>
      <c r="AB3450" s="17" t="s">
        <v>1137</v>
      </c>
      <c r="AC3450" s="217">
        <v>45210</v>
      </c>
      <c r="AD3450" s="65">
        <v>1489</v>
      </c>
    </row>
    <row r="3451" s="17" customFormat="1" ht="15.6" hidden="1" spans="1:32">
      <c r="A3451" s="17" t="s">
        <v>34</v>
      </c>
      <c r="B3451" s="19">
        <v>916</v>
      </c>
      <c r="C3451" s="183" t="s">
        <v>1173</v>
      </c>
      <c r="D3451" s="17" t="s">
        <v>52</v>
      </c>
      <c r="E3451" s="17" t="s">
        <v>1113</v>
      </c>
      <c r="F3451" s="17" t="s">
        <v>54</v>
      </c>
      <c r="H3451" s="19" t="s">
        <v>1114</v>
      </c>
      <c r="I3451" s="19"/>
      <c r="J3451" s="17" t="s">
        <v>82</v>
      </c>
      <c r="K3451" s="19">
        <v>405</v>
      </c>
      <c r="L3451" s="19">
        <v>51</v>
      </c>
      <c r="M3451" s="19">
        <v>2200</v>
      </c>
      <c r="N3451" s="19" t="s">
        <v>66</v>
      </c>
      <c r="O3451" s="19" t="s">
        <v>141</v>
      </c>
      <c r="P3451" s="19"/>
      <c r="Q3451" s="19">
        <v>369</v>
      </c>
      <c r="R3451" s="19"/>
      <c r="S3451" s="274">
        <f>1070-40</f>
        <v>1030</v>
      </c>
      <c r="T3451" s="19" t="s">
        <v>42</v>
      </c>
      <c r="U3451" s="102" t="s">
        <v>1174</v>
      </c>
      <c r="V3451" s="186" t="s">
        <v>1175</v>
      </c>
      <c r="W3451" s="17" t="s">
        <v>44</v>
      </c>
      <c r="Y3451" s="68">
        <v>45161</v>
      </c>
      <c r="Z3451" s="17" t="s">
        <v>191</v>
      </c>
      <c r="AA3451" s="17" t="s">
        <v>46</v>
      </c>
      <c r="AB3451" s="17" t="s">
        <v>1138</v>
      </c>
      <c r="AC3451" s="102" t="s">
        <v>1139</v>
      </c>
      <c r="AD3451" s="65">
        <v>1473</v>
      </c>
    </row>
    <row r="3452" s="17" customFormat="1" ht="15.6" hidden="1" spans="1:32">
      <c r="A3452" s="17" t="s">
        <v>34</v>
      </c>
      <c r="B3452" s="19">
        <v>916</v>
      </c>
      <c r="C3452" s="183" t="s">
        <v>1173</v>
      </c>
      <c r="D3452" s="17" t="s">
        <v>52</v>
      </c>
      <c r="E3452" s="17" t="s">
        <v>1113</v>
      </c>
      <c r="F3452" s="17" t="s">
        <v>54</v>
      </c>
      <c r="H3452" s="19" t="s">
        <v>1114</v>
      </c>
      <c r="I3452" s="19"/>
      <c r="J3452" s="17" t="s">
        <v>82</v>
      </c>
      <c r="K3452" s="19">
        <v>405</v>
      </c>
      <c r="L3452" s="19">
        <v>51</v>
      </c>
      <c r="M3452" s="19">
        <v>2200</v>
      </c>
      <c r="N3452" s="19" t="s">
        <v>66</v>
      </c>
      <c r="O3452" s="19" t="s">
        <v>141</v>
      </c>
      <c r="P3452" s="19"/>
      <c r="Q3452" s="19">
        <f>363+362</f>
        <v>725</v>
      </c>
      <c r="R3452" s="19"/>
      <c r="S3452" s="274">
        <v>1070</v>
      </c>
      <c r="T3452" s="19" t="s">
        <v>42</v>
      </c>
      <c r="U3452" s="102" t="s">
        <v>1174</v>
      </c>
      <c r="V3452" s="186" t="s">
        <v>1175</v>
      </c>
      <c r="W3452" s="17" t="s">
        <v>69</v>
      </c>
      <c r="Y3452" s="68">
        <v>45161</v>
      </c>
      <c r="Z3452" s="17" t="s">
        <v>191</v>
      </c>
      <c r="AA3452" s="17" t="s">
        <v>46</v>
      </c>
      <c r="AB3452" s="17" t="s">
        <v>1137</v>
      </c>
      <c r="AC3452" s="217">
        <v>45210</v>
      </c>
      <c r="AD3452" s="65">
        <v>1489</v>
      </c>
    </row>
    <row r="3453" s="17" customFormat="1" ht="15.6" hidden="1" spans="1:32">
      <c r="B3453" s="19">
        <v>916</v>
      </c>
      <c r="C3453" s="183" t="s">
        <v>1173</v>
      </c>
      <c r="D3453" s="17" t="s">
        <v>52</v>
      </c>
      <c r="E3453" s="17" t="s">
        <v>1113</v>
      </c>
      <c r="F3453" s="17" t="s">
        <v>54</v>
      </c>
      <c r="H3453" s="19" t="s">
        <v>1114</v>
      </c>
      <c r="I3453" s="19"/>
      <c r="J3453" s="17" t="s">
        <v>82</v>
      </c>
      <c r="K3453" s="19">
        <v>410</v>
      </c>
      <c r="L3453" s="19">
        <v>51</v>
      </c>
      <c r="M3453" s="19">
        <v>2200</v>
      </c>
      <c r="N3453" s="19" t="s">
        <v>66</v>
      </c>
      <c r="O3453" s="19" t="s">
        <v>141</v>
      </c>
      <c r="P3453" s="19">
        <v>742</v>
      </c>
      <c r="Q3453" s="19">
        <v>366</v>
      </c>
      <c r="S3453" s="274">
        <f>1070-40</f>
        <v>1030</v>
      </c>
      <c r="T3453" s="19" t="s">
        <v>42</v>
      </c>
      <c r="U3453" s="102" t="s">
        <v>1174</v>
      </c>
      <c r="V3453" s="186" t="s">
        <v>1175</v>
      </c>
      <c r="W3453" s="17" t="s">
        <v>44</v>
      </c>
      <c r="Y3453" s="68">
        <v>45161</v>
      </c>
      <c r="Z3453" s="17" t="s">
        <v>191</v>
      </c>
      <c r="AA3453" s="17" t="s">
        <v>46</v>
      </c>
      <c r="AB3453" s="17" t="s">
        <v>1142</v>
      </c>
      <c r="AC3453" s="102" t="s">
        <v>1143</v>
      </c>
      <c r="AD3453" s="65">
        <v>1465</v>
      </c>
      <c r="AE3453" s="17" t="s">
        <v>48</v>
      </c>
    </row>
    <row r="3454" s="17" customFormat="1" ht="15.6" hidden="1" spans="1:32">
      <c r="A3454" s="17" t="s">
        <v>34</v>
      </c>
      <c r="B3454" s="19">
        <v>916</v>
      </c>
      <c r="C3454" s="183" t="s">
        <v>1173</v>
      </c>
      <c r="D3454" s="17" t="s">
        <v>52</v>
      </c>
      <c r="E3454" s="17" t="s">
        <v>1113</v>
      </c>
      <c r="F3454" s="17" t="s">
        <v>54</v>
      </c>
      <c r="H3454" s="19" t="s">
        <v>1114</v>
      </c>
      <c r="I3454" s="19"/>
      <c r="J3454" s="17" t="s">
        <v>82</v>
      </c>
      <c r="K3454" s="19">
        <v>410</v>
      </c>
      <c r="L3454" s="19">
        <v>51</v>
      </c>
      <c r="M3454" s="19">
        <v>2200</v>
      </c>
      <c r="N3454" s="19" t="s">
        <v>66</v>
      </c>
      <c r="O3454" s="19" t="s">
        <v>141</v>
      </c>
      <c r="P3454" s="19"/>
      <c r="Q3454" s="19">
        <v>370</v>
      </c>
      <c r="R3454" s="19">
        <f>+P3453-Q3453-Q3454</f>
        <v>6</v>
      </c>
      <c r="S3454" s="274">
        <f>1070-40</f>
        <v>1030</v>
      </c>
      <c r="T3454" s="19" t="s">
        <v>42</v>
      </c>
      <c r="U3454" s="102" t="s">
        <v>1174</v>
      </c>
      <c r="V3454" s="186" t="s">
        <v>1175</v>
      </c>
      <c r="W3454" s="17" t="s">
        <v>44</v>
      </c>
      <c r="Y3454" s="68">
        <v>45161</v>
      </c>
      <c r="Z3454" s="17" t="s">
        <v>191</v>
      </c>
      <c r="AA3454" s="17" t="s">
        <v>46</v>
      </c>
      <c r="AB3454" s="17" t="s">
        <v>1138</v>
      </c>
      <c r="AC3454" s="102" t="s">
        <v>1139</v>
      </c>
      <c r="AD3454" s="65">
        <v>1473</v>
      </c>
      <c r="AE3454" s="17" t="s">
        <v>48</v>
      </c>
    </row>
    <row r="3455" s="17" customFormat="1" ht="15.6" hidden="1" spans="1:32">
      <c r="A3455" s="17" t="s">
        <v>34</v>
      </c>
      <c r="B3455" s="19">
        <v>916</v>
      </c>
      <c r="C3455" s="183" t="s">
        <v>1173</v>
      </c>
      <c r="D3455" s="17" t="s">
        <v>52</v>
      </c>
      <c r="E3455" s="17" t="s">
        <v>1113</v>
      </c>
      <c r="F3455" s="17" t="s">
        <v>54</v>
      </c>
      <c r="H3455" s="19" t="s">
        <v>1114</v>
      </c>
      <c r="I3455" s="19"/>
      <c r="J3455" s="17" t="s">
        <v>82</v>
      </c>
      <c r="K3455" s="19">
        <v>455</v>
      </c>
      <c r="L3455" s="19">
        <v>51</v>
      </c>
      <c r="M3455" s="19">
        <v>2200</v>
      </c>
      <c r="N3455" s="19" t="s">
        <v>66</v>
      </c>
      <c r="O3455" s="19" t="s">
        <v>141</v>
      </c>
      <c r="P3455" s="19"/>
      <c r="Q3455" s="19">
        <f>426+411+410+409+410</f>
        <v>2066</v>
      </c>
      <c r="R3455" s="19"/>
      <c r="S3455" s="274">
        <f>1070-40</f>
        <v>1030</v>
      </c>
      <c r="T3455" s="19" t="s">
        <v>42</v>
      </c>
      <c r="U3455" s="102" t="s">
        <v>1174</v>
      </c>
      <c r="V3455" s="186" t="s">
        <v>1175</v>
      </c>
      <c r="W3455" s="17" t="s">
        <v>44</v>
      </c>
      <c r="Y3455" s="68">
        <v>45161</v>
      </c>
      <c r="Z3455" s="17" t="s">
        <v>191</v>
      </c>
      <c r="AA3455" s="17" t="s">
        <v>46</v>
      </c>
      <c r="AB3455" s="17" t="s">
        <v>1138</v>
      </c>
      <c r="AC3455" s="102" t="s">
        <v>1139</v>
      </c>
      <c r="AD3455" s="65">
        <v>1473</v>
      </c>
    </row>
    <row r="3456" s="17" customFormat="1" ht="15.6" hidden="1" spans="1:32">
      <c r="A3456" s="17" t="s">
        <v>34</v>
      </c>
      <c r="B3456" s="19">
        <v>916</v>
      </c>
      <c r="C3456" s="183" t="s">
        <v>1173</v>
      </c>
      <c r="D3456" s="17" t="s">
        <v>52</v>
      </c>
      <c r="E3456" s="17" t="s">
        <v>1113</v>
      </c>
      <c r="F3456" s="17" t="s">
        <v>54</v>
      </c>
      <c r="H3456" s="19" t="s">
        <v>1114</v>
      </c>
      <c r="I3456" s="19"/>
      <c r="J3456" s="17" t="s">
        <v>82</v>
      </c>
      <c r="K3456" s="19">
        <v>455</v>
      </c>
      <c r="L3456" s="19">
        <v>51</v>
      </c>
      <c r="M3456" s="19">
        <v>2200</v>
      </c>
      <c r="N3456" s="19" t="s">
        <v>66</v>
      </c>
      <c r="O3456" s="19" t="s">
        <v>141</v>
      </c>
      <c r="P3456" s="19"/>
      <c r="Q3456" s="19">
        <f>460+408+409</f>
        <v>1277</v>
      </c>
      <c r="R3456" s="19"/>
      <c r="S3456" s="274">
        <f>1070-40</f>
        <v>1030</v>
      </c>
      <c r="T3456" s="19" t="s">
        <v>42</v>
      </c>
      <c r="U3456" s="102" t="s">
        <v>1174</v>
      </c>
      <c r="V3456" s="186" t="s">
        <v>1175</v>
      </c>
      <c r="W3456" s="17" t="s">
        <v>44</v>
      </c>
      <c r="Y3456" s="68">
        <v>45161</v>
      </c>
      <c r="Z3456" s="17" t="s">
        <v>191</v>
      </c>
      <c r="AA3456" s="17" t="s">
        <v>46</v>
      </c>
      <c r="AB3456" s="17" t="s">
        <v>1136</v>
      </c>
      <c r="AC3456" s="217">
        <v>44937</v>
      </c>
      <c r="AD3456" s="65">
        <v>1476</v>
      </c>
    </row>
    <row r="3457" s="17" customFormat="1" ht="15.6" hidden="1" spans="1:32">
      <c r="A3457" s="17" t="s">
        <v>34</v>
      </c>
      <c r="B3457" s="19">
        <v>916</v>
      </c>
      <c r="C3457" s="183" t="s">
        <v>1173</v>
      </c>
      <c r="D3457" s="17" t="s">
        <v>52</v>
      </c>
      <c r="E3457" s="17" t="s">
        <v>1113</v>
      </c>
      <c r="F3457" s="17" t="s">
        <v>54</v>
      </c>
      <c r="H3457" s="19" t="s">
        <v>1114</v>
      </c>
      <c r="I3457" s="19"/>
      <c r="J3457" s="17" t="s">
        <v>82</v>
      </c>
      <c r="K3457" s="19">
        <v>510</v>
      </c>
      <c r="L3457" s="19">
        <v>51</v>
      </c>
      <c r="M3457" s="19">
        <v>2200</v>
      </c>
      <c r="N3457" s="19" t="s">
        <v>66</v>
      </c>
      <c r="O3457" s="19" t="s">
        <v>141</v>
      </c>
      <c r="P3457" s="19">
        <v>5076</v>
      </c>
      <c r="Q3457" s="19">
        <f>457+457+456+456+459+457+456+456+457+457+457</f>
        <v>5025</v>
      </c>
      <c r="R3457" s="19">
        <f t="shared" ref="R3457:R3469" si="168">+P3457-Q3457</f>
        <v>51</v>
      </c>
      <c r="S3457" s="274">
        <f>1070-40</f>
        <v>1030</v>
      </c>
      <c r="T3457" s="19" t="s">
        <v>42</v>
      </c>
      <c r="U3457" s="102" t="s">
        <v>1174</v>
      </c>
      <c r="V3457" s="186" t="s">
        <v>1175</v>
      </c>
      <c r="W3457" s="17" t="s">
        <v>44</v>
      </c>
      <c r="Y3457" s="68">
        <v>45161</v>
      </c>
      <c r="Z3457" s="17" t="s">
        <v>191</v>
      </c>
      <c r="AA3457" s="17" t="s">
        <v>46</v>
      </c>
      <c r="AB3457" s="17" t="s">
        <v>1138</v>
      </c>
      <c r="AC3457" s="102" t="s">
        <v>1139</v>
      </c>
      <c r="AD3457" s="65">
        <v>1473</v>
      </c>
      <c r="AE3457" s="17" t="s">
        <v>48</v>
      </c>
    </row>
    <row r="3458" s="18" customFormat="1" ht="15.6" hidden="1" spans="1:32">
      <c r="B3458" s="75">
        <v>916</v>
      </c>
      <c r="C3458" s="213" t="s">
        <v>1173</v>
      </c>
      <c r="D3458" s="18" t="s">
        <v>52</v>
      </c>
      <c r="E3458" s="17" t="s">
        <v>1113</v>
      </c>
      <c r="F3458" s="18" t="s">
        <v>54</v>
      </c>
      <c r="H3458" s="75" t="s">
        <v>1114</v>
      </c>
      <c r="I3458" s="75"/>
      <c r="J3458" s="18" t="s">
        <v>82</v>
      </c>
      <c r="K3458" s="75">
        <v>180</v>
      </c>
      <c r="L3458" s="75">
        <v>56</v>
      </c>
      <c r="M3458" s="75">
        <v>2200</v>
      </c>
      <c r="N3458" s="75" t="s">
        <v>66</v>
      </c>
      <c r="O3458" s="75" t="s">
        <v>141</v>
      </c>
      <c r="P3458" s="75">
        <v>536</v>
      </c>
      <c r="Q3458" s="75"/>
      <c r="R3458" s="75">
        <f t="shared" si="168"/>
        <v>536</v>
      </c>
      <c r="S3458" s="276">
        <v>1070</v>
      </c>
      <c r="T3458" s="75" t="s">
        <v>42</v>
      </c>
      <c r="U3458" s="137" t="s">
        <v>1174</v>
      </c>
      <c r="V3458" s="193" t="s">
        <v>1175</v>
      </c>
      <c r="W3458" s="18" t="s">
        <v>69</v>
      </c>
      <c r="Y3458" s="114">
        <v>45161</v>
      </c>
      <c r="Z3458" s="18" t="s">
        <v>191</v>
      </c>
      <c r="AA3458" s="18" t="s">
        <v>46</v>
      </c>
      <c r="AC3458" s="137"/>
      <c r="AD3458" s="77"/>
      <c r="AE3458" s="18" t="s">
        <v>48</v>
      </c>
      <c r="AF3458" s="18" t="s">
        <v>1134</v>
      </c>
    </row>
    <row r="3459" s="18" customFormat="1" ht="15.6" hidden="1" spans="1:32">
      <c r="B3459" s="75">
        <v>916</v>
      </c>
      <c r="C3459" s="213" t="s">
        <v>1173</v>
      </c>
      <c r="D3459" s="18" t="s">
        <v>52</v>
      </c>
      <c r="E3459" s="17" t="s">
        <v>1113</v>
      </c>
      <c r="F3459" s="18" t="s">
        <v>54</v>
      </c>
      <c r="H3459" s="75" t="s">
        <v>1114</v>
      </c>
      <c r="I3459" s="75"/>
      <c r="J3459" s="18" t="s">
        <v>82</v>
      </c>
      <c r="K3459" s="75">
        <v>205</v>
      </c>
      <c r="L3459" s="75">
        <v>56</v>
      </c>
      <c r="M3459" s="75">
        <v>2200</v>
      </c>
      <c r="N3459" s="75" t="s">
        <v>66</v>
      </c>
      <c r="O3459" s="75" t="s">
        <v>141</v>
      </c>
      <c r="P3459" s="75">
        <v>407</v>
      </c>
      <c r="Q3459" s="75"/>
      <c r="R3459" s="75">
        <f t="shared" si="168"/>
        <v>407</v>
      </c>
      <c r="S3459" s="276">
        <v>1070</v>
      </c>
      <c r="T3459" s="75" t="s">
        <v>42</v>
      </c>
      <c r="U3459" s="137" t="s">
        <v>1174</v>
      </c>
      <c r="V3459" s="193" t="s">
        <v>1175</v>
      </c>
      <c r="W3459" s="18" t="s">
        <v>69</v>
      </c>
      <c r="Y3459" s="114">
        <v>45161</v>
      </c>
      <c r="Z3459" s="18" t="s">
        <v>191</v>
      </c>
      <c r="AA3459" s="18" t="s">
        <v>46</v>
      </c>
      <c r="AC3459" s="137"/>
      <c r="AD3459" s="77"/>
      <c r="AE3459" s="18" t="s">
        <v>48</v>
      </c>
      <c r="AF3459" s="18" t="s">
        <v>1134</v>
      </c>
    </row>
    <row r="3460" s="18" customFormat="1" ht="15.6" hidden="1" spans="1:32">
      <c r="B3460" s="75">
        <v>916</v>
      </c>
      <c r="C3460" s="213" t="s">
        <v>1173</v>
      </c>
      <c r="D3460" s="18" t="s">
        <v>52</v>
      </c>
      <c r="E3460" s="17" t="s">
        <v>1113</v>
      </c>
      <c r="F3460" s="18" t="s">
        <v>54</v>
      </c>
      <c r="H3460" s="75" t="s">
        <v>1114</v>
      </c>
      <c r="I3460" s="75"/>
      <c r="J3460" s="18" t="s">
        <v>82</v>
      </c>
      <c r="K3460" s="75">
        <v>230</v>
      </c>
      <c r="L3460" s="75">
        <v>56</v>
      </c>
      <c r="M3460" s="75">
        <v>2200</v>
      </c>
      <c r="N3460" s="75" t="s">
        <v>66</v>
      </c>
      <c r="O3460" s="75" t="s">
        <v>141</v>
      </c>
      <c r="P3460" s="75">
        <v>457</v>
      </c>
      <c r="Q3460" s="75"/>
      <c r="R3460" s="75">
        <f t="shared" si="168"/>
        <v>457</v>
      </c>
      <c r="S3460" s="276">
        <v>1070</v>
      </c>
      <c r="T3460" s="75" t="s">
        <v>42</v>
      </c>
      <c r="U3460" s="137" t="s">
        <v>1174</v>
      </c>
      <c r="V3460" s="193" t="s">
        <v>1175</v>
      </c>
      <c r="W3460" s="18" t="s">
        <v>69</v>
      </c>
      <c r="Y3460" s="114">
        <v>45161</v>
      </c>
      <c r="Z3460" s="18" t="s">
        <v>191</v>
      </c>
      <c r="AA3460" s="18" t="s">
        <v>46</v>
      </c>
      <c r="AC3460" s="137"/>
      <c r="AD3460" s="77"/>
      <c r="AE3460" s="18" t="s">
        <v>48</v>
      </c>
      <c r="AF3460" s="18" t="s">
        <v>1134</v>
      </c>
    </row>
    <row r="3461" s="18" customFormat="1" ht="15.6" hidden="1" spans="1:32">
      <c r="B3461" s="75">
        <v>916</v>
      </c>
      <c r="C3461" s="213" t="s">
        <v>1173</v>
      </c>
      <c r="D3461" s="18" t="s">
        <v>52</v>
      </c>
      <c r="E3461" s="17" t="s">
        <v>1113</v>
      </c>
      <c r="F3461" s="18" t="s">
        <v>54</v>
      </c>
      <c r="H3461" s="75" t="s">
        <v>1114</v>
      </c>
      <c r="I3461" s="75"/>
      <c r="J3461" s="18" t="s">
        <v>82</v>
      </c>
      <c r="K3461" s="75">
        <v>255</v>
      </c>
      <c r="L3461" s="75">
        <v>56</v>
      </c>
      <c r="M3461" s="75">
        <v>2200</v>
      </c>
      <c r="N3461" s="75" t="s">
        <v>66</v>
      </c>
      <c r="O3461" s="75" t="s">
        <v>141</v>
      </c>
      <c r="P3461" s="75">
        <v>507</v>
      </c>
      <c r="Q3461" s="75"/>
      <c r="R3461" s="75">
        <f t="shared" si="168"/>
        <v>507</v>
      </c>
      <c r="S3461" s="276">
        <v>1070</v>
      </c>
      <c r="T3461" s="75" t="s">
        <v>42</v>
      </c>
      <c r="U3461" s="137" t="s">
        <v>1174</v>
      </c>
      <c r="V3461" s="193" t="s">
        <v>1175</v>
      </c>
      <c r="W3461" s="18" t="s">
        <v>69</v>
      </c>
      <c r="Y3461" s="114">
        <v>45161</v>
      </c>
      <c r="Z3461" s="18" t="s">
        <v>191</v>
      </c>
      <c r="AA3461" s="18" t="s">
        <v>46</v>
      </c>
      <c r="AC3461" s="137"/>
      <c r="AD3461" s="77"/>
      <c r="AE3461" s="18" t="s">
        <v>48</v>
      </c>
      <c r="AF3461" s="18" t="s">
        <v>1134</v>
      </c>
    </row>
    <row r="3462" s="17" customFormat="1" ht="15.6" hidden="1" spans="1:32">
      <c r="A3462" s="17" t="s">
        <v>34</v>
      </c>
      <c r="B3462" s="19">
        <v>916</v>
      </c>
      <c r="C3462" s="183" t="s">
        <v>1173</v>
      </c>
      <c r="D3462" s="17" t="s">
        <v>52</v>
      </c>
      <c r="E3462" s="17" t="s">
        <v>1113</v>
      </c>
      <c r="F3462" s="17" t="s">
        <v>54</v>
      </c>
      <c r="H3462" s="19" t="s">
        <v>1114</v>
      </c>
      <c r="I3462" s="19"/>
      <c r="J3462" s="17" t="s">
        <v>82</v>
      </c>
      <c r="K3462" s="19">
        <v>310</v>
      </c>
      <c r="L3462" s="19">
        <v>56</v>
      </c>
      <c r="M3462" s="19">
        <v>2200</v>
      </c>
      <c r="N3462" s="19" t="s">
        <v>66</v>
      </c>
      <c r="O3462" s="19" t="s">
        <v>141</v>
      </c>
      <c r="P3462" s="19">
        <v>616</v>
      </c>
      <c r="Q3462" s="19">
        <f>306+311</f>
        <v>617</v>
      </c>
      <c r="R3462" s="19">
        <f t="shared" si="168"/>
        <v>-1</v>
      </c>
      <c r="S3462" s="274">
        <v>1070</v>
      </c>
      <c r="T3462" s="19" t="s">
        <v>42</v>
      </c>
      <c r="U3462" s="102" t="s">
        <v>1174</v>
      </c>
      <c r="V3462" s="186" t="s">
        <v>1175</v>
      </c>
      <c r="W3462" s="17" t="s">
        <v>69</v>
      </c>
      <c r="Y3462" s="68">
        <v>45161</v>
      </c>
      <c r="Z3462" s="17" t="s">
        <v>191</v>
      </c>
      <c r="AA3462" s="17" t="s">
        <v>46</v>
      </c>
      <c r="AB3462" s="17" t="s">
        <v>1176</v>
      </c>
      <c r="AC3462" s="102" t="s">
        <v>1117</v>
      </c>
      <c r="AD3462" s="65">
        <v>1442</v>
      </c>
      <c r="AE3462" s="17" t="s">
        <v>48</v>
      </c>
    </row>
    <row r="3463" s="17" customFormat="1" ht="15.6" hidden="1" spans="1:32">
      <c r="A3463" s="17" t="s">
        <v>34</v>
      </c>
      <c r="B3463" s="19">
        <v>916</v>
      </c>
      <c r="C3463" s="183" t="s">
        <v>1173</v>
      </c>
      <c r="D3463" s="17" t="s">
        <v>52</v>
      </c>
      <c r="E3463" s="17" t="s">
        <v>1113</v>
      </c>
      <c r="F3463" s="17" t="s">
        <v>54</v>
      </c>
      <c r="H3463" s="19" t="s">
        <v>1114</v>
      </c>
      <c r="I3463" s="19"/>
      <c r="J3463" s="17" t="s">
        <v>82</v>
      </c>
      <c r="K3463" s="19">
        <v>410</v>
      </c>
      <c r="L3463" s="19">
        <v>56</v>
      </c>
      <c r="M3463" s="19">
        <v>2200</v>
      </c>
      <c r="N3463" s="19" t="s">
        <v>66</v>
      </c>
      <c r="O3463" s="19" t="s">
        <v>141</v>
      </c>
      <c r="P3463" s="19">
        <v>407</v>
      </c>
      <c r="Q3463" s="19">
        <v>402</v>
      </c>
      <c r="R3463" s="19">
        <f t="shared" si="168"/>
        <v>5</v>
      </c>
      <c r="S3463" s="274">
        <v>1070</v>
      </c>
      <c r="T3463" s="19" t="s">
        <v>42</v>
      </c>
      <c r="U3463" s="102" t="s">
        <v>1174</v>
      </c>
      <c r="V3463" s="186" t="s">
        <v>1175</v>
      </c>
      <c r="W3463" s="17" t="s">
        <v>69</v>
      </c>
      <c r="Y3463" s="68">
        <v>45161</v>
      </c>
      <c r="Z3463" s="17" t="s">
        <v>191</v>
      </c>
      <c r="AA3463" s="17" t="s">
        <v>46</v>
      </c>
      <c r="AB3463" s="17" t="s">
        <v>1122</v>
      </c>
      <c r="AC3463" s="217">
        <v>44965</v>
      </c>
      <c r="AD3463" s="65">
        <v>1450</v>
      </c>
      <c r="AE3463" s="17" t="s">
        <v>48</v>
      </c>
    </row>
    <row r="3464" s="18" customFormat="1" ht="15.6" hidden="1" spans="1:32">
      <c r="B3464" s="75">
        <v>916</v>
      </c>
      <c r="C3464" s="213" t="s">
        <v>1173</v>
      </c>
      <c r="D3464" s="18" t="s">
        <v>52</v>
      </c>
      <c r="E3464" s="17" t="s">
        <v>1113</v>
      </c>
      <c r="F3464" s="18" t="s">
        <v>54</v>
      </c>
      <c r="H3464" s="75" t="s">
        <v>1114</v>
      </c>
      <c r="I3464" s="75"/>
      <c r="J3464" s="18" t="s">
        <v>82</v>
      </c>
      <c r="K3464" s="75">
        <v>180</v>
      </c>
      <c r="L3464" s="75">
        <v>61</v>
      </c>
      <c r="M3464" s="75">
        <v>2200</v>
      </c>
      <c r="N3464" s="75" t="s">
        <v>66</v>
      </c>
      <c r="O3464" s="75" t="s">
        <v>141</v>
      </c>
      <c r="P3464" s="75">
        <v>584</v>
      </c>
      <c r="Q3464" s="75"/>
      <c r="R3464" s="75">
        <f t="shared" si="168"/>
        <v>584</v>
      </c>
      <c r="S3464" s="276">
        <v>1070</v>
      </c>
      <c r="T3464" s="75" t="s">
        <v>42</v>
      </c>
      <c r="U3464" s="137" t="s">
        <v>1174</v>
      </c>
      <c r="V3464" s="193" t="s">
        <v>1175</v>
      </c>
      <c r="W3464" s="18" t="s">
        <v>69</v>
      </c>
      <c r="Y3464" s="114">
        <v>45161</v>
      </c>
      <c r="Z3464" s="18" t="s">
        <v>191</v>
      </c>
      <c r="AA3464" s="18" t="s">
        <v>46</v>
      </c>
      <c r="AC3464" s="137"/>
      <c r="AD3464" s="77"/>
      <c r="AE3464" s="18" t="s">
        <v>48</v>
      </c>
      <c r="AF3464" s="18" t="s">
        <v>1134</v>
      </c>
    </row>
    <row r="3465" s="18" customFormat="1" ht="15.6" hidden="1" spans="1:32">
      <c r="B3465" s="75">
        <v>916</v>
      </c>
      <c r="C3465" s="213" t="s">
        <v>1173</v>
      </c>
      <c r="D3465" s="18" t="s">
        <v>52</v>
      </c>
      <c r="E3465" s="17" t="s">
        <v>1113</v>
      </c>
      <c r="F3465" s="18" t="s">
        <v>54</v>
      </c>
      <c r="H3465" s="75" t="s">
        <v>1114</v>
      </c>
      <c r="I3465" s="75"/>
      <c r="J3465" s="18" t="s">
        <v>82</v>
      </c>
      <c r="K3465" s="75">
        <v>205</v>
      </c>
      <c r="L3465" s="75">
        <v>61</v>
      </c>
      <c r="M3465" s="75">
        <v>2200</v>
      </c>
      <c r="N3465" s="75" t="s">
        <v>66</v>
      </c>
      <c r="O3465" s="75" t="s">
        <v>141</v>
      </c>
      <c r="P3465" s="75">
        <v>444</v>
      </c>
      <c r="Q3465" s="75"/>
      <c r="R3465" s="75">
        <f t="shared" si="168"/>
        <v>444</v>
      </c>
      <c r="S3465" s="276">
        <v>1070</v>
      </c>
      <c r="T3465" s="75" t="s">
        <v>42</v>
      </c>
      <c r="U3465" s="137" t="s">
        <v>1174</v>
      </c>
      <c r="V3465" s="193" t="s">
        <v>1175</v>
      </c>
      <c r="W3465" s="18" t="s">
        <v>69</v>
      </c>
      <c r="Y3465" s="114">
        <v>45161</v>
      </c>
      <c r="Z3465" s="18" t="s">
        <v>191</v>
      </c>
      <c r="AA3465" s="18" t="s">
        <v>46</v>
      </c>
      <c r="AC3465" s="137"/>
      <c r="AD3465" s="77"/>
      <c r="AE3465" s="18" t="s">
        <v>48</v>
      </c>
      <c r="AF3465" s="18" t="s">
        <v>1134</v>
      </c>
    </row>
    <row r="3466" s="18" customFormat="1" ht="15.6" hidden="1" spans="1:32">
      <c r="B3466" s="75">
        <v>916</v>
      </c>
      <c r="C3466" s="213" t="s">
        <v>1173</v>
      </c>
      <c r="D3466" s="18" t="s">
        <v>52</v>
      </c>
      <c r="E3466" s="17" t="s">
        <v>1113</v>
      </c>
      <c r="F3466" s="18" t="s">
        <v>54</v>
      </c>
      <c r="H3466" s="75" t="s">
        <v>1114</v>
      </c>
      <c r="I3466" s="75"/>
      <c r="J3466" s="18" t="s">
        <v>82</v>
      </c>
      <c r="K3466" s="75">
        <v>230</v>
      </c>
      <c r="L3466" s="75">
        <v>61</v>
      </c>
      <c r="M3466" s="75">
        <v>2200</v>
      </c>
      <c r="N3466" s="75" t="s">
        <v>66</v>
      </c>
      <c r="O3466" s="75" t="s">
        <v>141</v>
      </c>
      <c r="P3466" s="75">
        <v>498</v>
      </c>
      <c r="Q3466" s="75"/>
      <c r="R3466" s="75">
        <f t="shared" si="168"/>
        <v>498</v>
      </c>
      <c r="S3466" s="276">
        <v>1070</v>
      </c>
      <c r="T3466" s="75" t="s">
        <v>42</v>
      </c>
      <c r="U3466" s="137" t="s">
        <v>1174</v>
      </c>
      <c r="V3466" s="193" t="s">
        <v>1175</v>
      </c>
      <c r="W3466" s="18" t="s">
        <v>69</v>
      </c>
      <c r="Y3466" s="114">
        <v>45161</v>
      </c>
      <c r="Z3466" s="18" t="s">
        <v>191</v>
      </c>
      <c r="AA3466" s="18" t="s">
        <v>46</v>
      </c>
      <c r="AC3466" s="137"/>
      <c r="AD3466" s="77"/>
      <c r="AE3466" s="18" t="s">
        <v>48</v>
      </c>
      <c r="AF3466" s="18" t="s">
        <v>1134</v>
      </c>
    </row>
    <row r="3467" s="18" customFormat="1" ht="15.6" hidden="1" spans="1:32">
      <c r="B3467" s="75">
        <v>916</v>
      </c>
      <c r="C3467" s="213" t="s">
        <v>1173</v>
      </c>
      <c r="D3467" s="18" t="s">
        <v>52</v>
      </c>
      <c r="E3467" s="17" t="s">
        <v>1113</v>
      </c>
      <c r="F3467" s="18" t="s">
        <v>54</v>
      </c>
      <c r="H3467" s="75" t="s">
        <v>1114</v>
      </c>
      <c r="I3467" s="75"/>
      <c r="J3467" s="18" t="s">
        <v>82</v>
      </c>
      <c r="K3467" s="75">
        <v>255</v>
      </c>
      <c r="L3467" s="75">
        <v>61</v>
      </c>
      <c r="M3467" s="75">
        <v>2200</v>
      </c>
      <c r="N3467" s="75" t="s">
        <v>66</v>
      </c>
      <c r="O3467" s="75" t="s">
        <v>141</v>
      </c>
      <c r="P3467" s="75">
        <v>552</v>
      </c>
      <c r="Q3467" s="75"/>
      <c r="R3467" s="75">
        <f t="shared" si="168"/>
        <v>552</v>
      </c>
      <c r="S3467" s="276">
        <v>1070</v>
      </c>
      <c r="T3467" s="75" t="s">
        <v>42</v>
      </c>
      <c r="U3467" s="137" t="s">
        <v>1174</v>
      </c>
      <c r="V3467" s="193" t="s">
        <v>1175</v>
      </c>
      <c r="W3467" s="18" t="s">
        <v>69</v>
      </c>
      <c r="Y3467" s="114">
        <v>45161</v>
      </c>
      <c r="Z3467" s="18" t="s">
        <v>191</v>
      </c>
      <c r="AA3467" s="18" t="s">
        <v>46</v>
      </c>
      <c r="AC3467" s="137"/>
      <c r="AD3467" s="77"/>
      <c r="AE3467" s="18" t="s">
        <v>48</v>
      </c>
      <c r="AF3467" s="18" t="s">
        <v>1134</v>
      </c>
    </row>
    <row r="3468" s="17" customFormat="1" ht="15.6" hidden="1" spans="1:32">
      <c r="A3468" s="17" t="s">
        <v>34</v>
      </c>
      <c r="B3468" s="19">
        <v>916</v>
      </c>
      <c r="C3468" s="183" t="s">
        <v>1173</v>
      </c>
      <c r="D3468" s="17" t="s">
        <v>52</v>
      </c>
      <c r="E3468" s="17" t="s">
        <v>1113</v>
      </c>
      <c r="F3468" s="17" t="s">
        <v>54</v>
      </c>
      <c r="H3468" s="19" t="s">
        <v>1114</v>
      </c>
      <c r="I3468" s="19"/>
      <c r="J3468" s="17" t="s">
        <v>82</v>
      </c>
      <c r="K3468" s="19">
        <v>310</v>
      </c>
      <c r="L3468" s="19">
        <v>61</v>
      </c>
      <c r="M3468" s="19">
        <v>2200</v>
      </c>
      <c r="N3468" s="19" t="s">
        <v>66</v>
      </c>
      <c r="O3468" s="19" t="s">
        <v>141</v>
      </c>
      <c r="P3468" s="19">
        <v>671</v>
      </c>
      <c r="Q3468" s="19">
        <f>332+332</f>
        <v>664</v>
      </c>
      <c r="R3468" s="19">
        <f t="shared" si="168"/>
        <v>7</v>
      </c>
      <c r="S3468" s="274">
        <v>1070</v>
      </c>
      <c r="T3468" s="19" t="s">
        <v>42</v>
      </c>
      <c r="U3468" s="102" t="s">
        <v>1174</v>
      </c>
      <c r="V3468" s="186" t="s">
        <v>1175</v>
      </c>
      <c r="W3468" s="17" t="s">
        <v>69</v>
      </c>
      <c r="Y3468" s="68">
        <v>45161</v>
      </c>
      <c r="Z3468" s="17" t="s">
        <v>191</v>
      </c>
      <c r="AA3468" s="17" t="s">
        <v>46</v>
      </c>
      <c r="AB3468" s="17" t="s">
        <v>1176</v>
      </c>
      <c r="AC3468" s="102" t="s">
        <v>1117</v>
      </c>
      <c r="AD3468" s="65">
        <v>1442</v>
      </c>
      <c r="AE3468" s="17" t="s">
        <v>48</v>
      </c>
    </row>
    <row r="3469" s="17" customFormat="1" ht="15.6" hidden="1" spans="1:32">
      <c r="A3469" s="17" t="s">
        <v>34</v>
      </c>
      <c r="B3469" s="19">
        <v>916</v>
      </c>
      <c r="C3469" s="183" t="s">
        <v>1173</v>
      </c>
      <c r="D3469" s="17" t="s">
        <v>52</v>
      </c>
      <c r="E3469" s="17" t="s">
        <v>1113</v>
      </c>
      <c r="F3469" s="17" t="s">
        <v>54</v>
      </c>
      <c r="H3469" s="19" t="s">
        <v>1114</v>
      </c>
      <c r="I3469" s="19"/>
      <c r="J3469" s="17" t="s">
        <v>82</v>
      </c>
      <c r="K3469" s="19">
        <v>410</v>
      </c>
      <c r="L3469" s="19">
        <v>61</v>
      </c>
      <c r="M3469" s="19">
        <v>2200</v>
      </c>
      <c r="N3469" s="19" t="s">
        <v>66</v>
      </c>
      <c r="O3469" s="19" t="s">
        <v>141</v>
      </c>
      <c r="P3469" s="19">
        <v>444</v>
      </c>
      <c r="Q3469" s="19">
        <v>435</v>
      </c>
      <c r="R3469" s="19">
        <f t="shared" si="168"/>
        <v>9</v>
      </c>
      <c r="S3469" s="274">
        <v>1070</v>
      </c>
      <c r="T3469" s="19" t="s">
        <v>42</v>
      </c>
      <c r="U3469" s="102" t="s">
        <v>1174</v>
      </c>
      <c r="V3469" s="186" t="s">
        <v>1175</v>
      </c>
      <c r="W3469" s="17" t="s">
        <v>69</v>
      </c>
      <c r="Y3469" s="68">
        <v>45161</v>
      </c>
      <c r="Z3469" s="17" t="s">
        <v>191</v>
      </c>
      <c r="AA3469" s="17" t="s">
        <v>46</v>
      </c>
      <c r="AB3469" s="17" t="s">
        <v>1122</v>
      </c>
      <c r="AC3469" s="217">
        <v>44965</v>
      </c>
      <c r="AD3469" s="65">
        <v>1450</v>
      </c>
      <c r="AE3469" s="17" t="s">
        <v>48</v>
      </c>
    </row>
    <row r="3470" s="17" customFormat="1" ht="15.6" hidden="1" spans="1:32">
      <c r="A3470" s="17" t="s">
        <v>34</v>
      </c>
      <c r="B3470" s="19">
        <v>916</v>
      </c>
      <c r="C3470" s="183" t="s">
        <v>1173</v>
      </c>
      <c r="D3470" s="17" t="s">
        <v>52</v>
      </c>
      <c r="E3470" s="17" t="s">
        <v>1113</v>
      </c>
      <c r="F3470" s="17" t="s">
        <v>54</v>
      </c>
      <c r="H3470" s="19" t="s">
        <v>1114</v>
      </c>
      <c r="I3470" s="19"/>
      <c r="J3470" s="17" t="s">
        <v>82</v>
      </c>
      <c r="K3470" s="19">
        <v>180</v>
      </c>
      <c r="L3470" s="19">
        <v>65</v>
      </c>
      <c r="M3470" s="19">
        <v>2200</v>
      </c>
      <c r="N3470" s="19" t="s">
        <v>66</v>
      </c>
      <c r="O3470" s="19" t="s">
        <v>141</v>
      </c>
      <c r="P3470" s="19">
        <v>2491</v>
      </c>
      <c r="Q3470" s="19">
        <v>212</v>
      </c>
      <c r="S3470" s="274">
        <v>1070</v>
      </c>
      <c r="T3470" s="19" t="s">
        <v>42</v>
      </c>
      <c r="U3470" s="102" t="s">
        <v>1174</v>
      </c>
      <c r="V3470" s="186" t="s">
        <v>1175</v>
      </c>
      <c r="W3470" s="17" t="s">
        <v>69</v>
      </c>
      <c r="Y3470" s="68">
        <v>45161</v>
      </c>
      <c r="Z3470" s="17" t="s">
        <v>191</v>
      </c>
      <c r="AA3470" s="17" t="s">
        <v>46</v>
      </c>
      <c r="AB3470" s="17" t="s">
        <v>1128</v>
      </c>
      <c r="AC3470" s="102" t="s">
        <v>1124</v>
      </c>
      <c r="AD3470" s="65">
        <v>1448</v>
      </c>
      <c r="AE3470" s="17" t="s">
        <v>48</v>
      </c>
    </row>
    <row r="3471" s="17" customFormat="1" ht="15.6" hidden="1" spans="1:32">
      <c r="A3471" s="17" t="s">
        <v>34</v>
      </c>
      <c r="B3471" s="19">
        <v>916</v>
      </c>
      <c r="C3471" s="183" t="s">
        <v>1173</v>
      </c>
      <c r="D3471" s="17" t="s">
        <v>52</v>
      </c>
      <c r="E3471" s="17" t="s">
        <v>1113</v>
      </c>
      <c r="F3471" s="17" t="s">
        <v>54</v>
      </c>
      <c r="H3471" s="19" t="s">
        <v>1114</v>
      </c>
      <c r="I3471" s="19"/>
      <c r="J3471" s="17" t="s">
        <v>82</v>
      </c>
      <c r="K3471" s="19">
        <v>180</v>
      </c>
      <c r="L3471" s="19">
        <v>65</v>
      </c>
      <c r="M3471" s="19">
        <v>2200</v>
      </c>
      <c r="N3471" s="19" t="s">
        <v>66</v>
      </c>
      <c r="O3471" s="19" t="s">
        <v>141</v>
      </c>
      <c r="P3471" s="19"/>
      <c r="Q3471" s="19">
        <f>212+211+214+213+214+214+211+210+210+210+209</f>
        <v>2328</v>
      </c>
      <c r="S3471" s="274">
        <v>1070</v>
      </c>
      <c r="T3471" s="19" t="s">
        <v>42</v>
      </c>
      <c r="U3471" s="102" t="s">
        <v>1174</v>
      </c>
      <c r="V3471" s="186" t="s">
        <v>1175</v>
      </c>
      <c r="W3471" s="17" t="s">
        <v>69</v>
      </c>
      <c r="Y3471" s="68">
        <v>45161</v>
      </c>
      <c r="Z3471" s="17" t="s">
        <v>191</v>
      </c>
      <c r="AA3471" s="17" t="s">
        <v>46</v>
      </c>
      <c r="AB3471" s="17" t="s">
        <v>1150</v>
      </c>
      <c r="AC3471" s="102" t="s">
        <v>1151</v>
      </c>
      <c r="AD3471" s="65">
        <v>1455</v>
      </c>
      <c r="AE3471" s="17" t="s">
        <v>48</v>
      </c>
    </row>
    <row r="3472" s="17" customFormat="1" ht="15.6" hidden="1" spans="1:32">
      <c r="B3472" s="19">
        <v>916</v>
      </c>
      <c r="C3472" s="183" t="s">
        <v>1173</v>
      </c>
      <c r="D3472" s="17" t="s">
        <v>52</v>
      </c>
      <c r="E3472" s="17" t="s">
        <v>1113</v>
      </c>
      <c r="F3472" s="17" t="s">
        <v>54</v>
      </c>
      <c r="H3472" s="19" t="s">
        <v>1114</v>
      </c>
      <c r="I3472" s="19"/>
      <c r="J3472" s="17" t="s">
        <v>82</v>
      </c>
      <c r="K3472" s="19">
        <v>180</v>
      </c>
      <c r="L3472" s="19">
        <v>65</v>
      </c>
      <c r="M3472" s="19">
        <v>2200</v>
      </c>
      <c r="N3472" s="19" t="s">
        <v>66</v>
      </c>
      <c r="O3472" s="19" t="s">
        <v>141</v>
      </c>
      <c r="P3472" s="19"/>
      <c r="Q3472" s="19">
        <v>210</v>
      </c>
      <c r="R3472" s="19">
        <f>+P3470-Q3470-Q3471-Q3472</f>
        <v>-259</v>
      </c>
      <c r="S3472" s="274">
        <f>1070-40</f>
        <v>1030</v>
      </c>
      <c r="T3472" s="19" t="s">
        <v>42</v>
      </c>
      <c r="U3472" s="102" t="s">
        <v>1174</v>
      </c>
      <c r="V3472" s="186" t="s">
        <v>1175</v>
      </c>
      <c r="W3472" s="17" t="s">
        <v>44</v>
      </c>
      <c r="Y3472" s="68">
        <v>45161</v>
      </c>
      <c r="Z3472" s="17" t="s">
        <v>191</v>
      </c>
      <c r="AA3472" s="17" t="s">
        <v>46</v>
      </c>
      <c r="AB3472" s="17" t="s">
        <v>1142</v>
      </c>
      <c r="AC3472" s="102" t="s">
        <v>1143</v>
      </c>
      <c r="AD3472" s="65">
        <v>1465</v>
      </c>
      <c r="AE3472" s="17" t="s">
        <v>48</v>
      </c>
    </row>
    <row r="3473" s="17" customFormat="1" ht="15.6" hidden="1" spans="1:32">
      <c r="A3473" s="17" t="s">
        <v>34</v>
      </c>
      <c r="B3473" s="19">
        <v>916</v>
      </c>
      <c r="C3473" s="183" t="s">
        <v>1173</v>
      </c>
      <c r="D3473" s="17" t="s">
        <v>52</v>
      </c>
      <c r="E3473" s="17" t="s">
        <v>1113</v>
      </c>
      <c r="F3473" s="17" t="s">
        <v>54</v>
      </c>
      <c r="H3473" s="19" t="s">
        <v>1114</v>
      </c>
      <c r="I3473" s="19"/>
      <c r="J3473" s="17" t="s">
        <v>82</v>
      </c>
      <c r="K3473" s="19">
        <v>205</v>
      </c>
      <c r="L3473" s="19">
        <v>65</v>
      </c>
      <c r="M3473" s="19">
        <v>2200</v>
      </c>
      <c r="N3473" s="19" t="s">
        <v>66</v>
      </c>
      <c r="O3473" s="19" t="s">
        <v>141</v>
      </c>
      <c r="P3473" s="19">
        <v>2364</v>
      </c>
      <c r="Q3473" s="19">
        <f>1453+238</f>
        <v>1691</v>
      </c>
      <c r="S3473" s="274">
        <v>1070</v>
      </c>
      <c r="T3473" s="19" t="s">
        <v>42</v>
      </c>
      <c r="U3473" s="102" t="s">
        <v>1174</v>
      </c>
      <c r="V3473" s="186" t="s">
        <v>1175</v>
      </c>
      <c r="W3473" s="17" t="s">
        <v>69</v>
      </c>
      <c r="Y3473" s="68">
        <v>45161</v>
      </c>
      <c r="Z3473" s="17" t="s">
        <v>191</v>
      </c>
      <c r="AA3473" s="17" t="s">
        <v>46</v>
      </c>
      <c r="AB3473" s="17" t="s">
        <v>1128</v>
      </c>
      <c r="AC3473" s="102" t="s">
        <v>1124</v>
      </c>
      <c r="AD3473" s="65">
        <v>1448</v>
      </c>
      <c r="AE3473" s="17" t="s">
        <v>1178</v>
      </c>
    </row>
    <row r="3474" s="17" customFormat="1" ht="15.6" hidden="1" spans="1:32">
      <c r="B3474" s="19">
        <v>916</v>
      </c>
      <c r="C3474" s="183" t="s">
        <v>1173</v>
      </c>
      <c r="D3474" s="17" t="s">
        <v>52</v>
      </c>
      <c r="E3474" s="17" t="s">
        <v>1113</v>
      </c>
      <c r="F3474" s="17" t="s">
        <v>54</v>
      </c>
      <c r="H3474" s="19" t="s">
        <v>1114</v>
      </c>
      <c r="I3474" s="19"/>
      <c r="J3474" s="17" t="s">
        <v>82</v>
      </c>
      <c r="K3474" s="19">
        <v>205</v>
      </c>
      <c r="L3474" s="19">
        <v>65</v>
      </c>
      <c r="M3474" s="19">
        <v>2200</v>
      </c>
      <c r="N3474" s="19" t="s">
        <v>66</v>
      </c>
      <c r="O3474" s="19" t="s">
        <v>141</v>
      </c>
      <c r="P3474" s="19"/>
      <c r="Q3474" s="19">
        <f>243+243+236+240</f>
        <v>962</v>
      </c>
      <c r="R3474" s="19">
        <f>+P3473-Q3473-Q3474</f>
        <v>-289</v>
      </c>
      <c r="S3474" s="274">
        <f>1070-40</f>
        <v>1030</v>
      </c>
      <c r="T3474" s="19" t="s">
        <v>42</v>
      </c>
      <c r="U3474" s="102" t="s">
        <v>1174</v>
      </c>
      <c r="V3474" s="186" t="s">
        <v>1175</v>
      </c>
      <c r="W3474" s="17" t="s">
        <v>44</v>
      </c>
      <c r="Y3474" s="68">
        <v>45161</v>
      </c>
      <c r="Z3474" s="17" t="s">
        <v>191</v>
      </c>
      <c r="AA3474" s="17" t="s">
        <v>46</v>
      </c>
      <c r="AB3474" s="17" t="s">
        <v>1142</v>
      </c>
      <c r="AC3474" s="102" t="s">
        <v>1143</v>
      </c>
      <c r="AD3474" s="65">
        <v>1465</v>
      </c>
    </row>
    <row r="3475" s="18" customFormat="1" ht="15.6" hidden="1" spans="1:32">
      <c r="B3475" s="75">
        <v>916</v>
      </c>
      <c r="C3475" s="213" t="s">
        <v>1173</v>
      </c>
      <c r="D3475" s="18" t="s">
        <v>52</v>
      </c>
      <c r="E3475" s="17" t="s">
        <v>1113</v>
      </c>
      <c r="F3475" s="18" t="s">
        <v>54</v>
      </c>
      <c r="H3475" s="75" t="s">
        <v>1114</v>
      </c>
      <c r="I3475" s="75"/>
      <c r="J3475" s="18" t="s">
        <v>82</v>
      </c>
      <c r="K3475" s="75">
        <v>230</v>
      </c>
      <c r="L3475" s="75">
        <v>65</v>
      </c>
      <c r="M3475" s="75">
        <v>2200</v>
      </c>
      <c r="N3475" s="75" t="s">
        <v>66</v>
      </c>
      <c r="O3475" s="75" t="s">
        <v>141</v>
      </c>
      <c r="P3475" s="75">
        <v>530</v>
      </c>
      <c r="Q3475" s="75"/>
      <c r="R3475" s="75">
        <f>+P3475-Q3475</f>
        <v>530</v>
      </c>
      <c r="S3475" s="276">
        <v>1070</v>
      </c>
      <c r="T3475" s="75" t="s">
        <v>42</v>
      </c>
      <c r="U3475" s="137" t="s">
        <v>1174</v>
      </c>
      <c r="V3475" s="193" t="s">
        <v>1175</v>
      </c>
      <c r="W3475" s="18" t="s">
        <v>69</v>
      </c>
      <c r="Y3475" s="114">
        <v>45161</v>
      </c>
      <c r="Z3475" s="18" t="s">
        <v>191</v>
      </c>
      <c r="AA3475" s="18" t="s">
        <v>46</v>
      </c>
      <c r="AC3475" s="137"/>
      <c r="AD3475" s="77"/>
      <c r="AE3475" s="18" t="s">
        <v>48</v>
      </c>
      <c r="AF3475" s="18" t="s">
        <v>1134</v>
      </c>
    </row>
    <row r="3476" s="17" customFormat="1" ht="15.6" hidden="1" spans="1:32">
      <c r="A3476" s="17" t="s">
        <v>34</v>
      </c>
      <c r="B3476" s="19">
        <v>916</v>
      </c>
      <c r="C3476" s="183" t="s">
        <v>1173</v>
      </c>
      <c r="D3476" s="17" t="s">
        <v>52</v>
      </c>
      <c r="E3476" s="17" t="s">
        <v>1113</v>
      </c>
      <c r="F3476" s="17" t="s">
        <v>54</v>
      </c>
      <c r="H3476" s="19" t="s">
        <v>1114</v>
      </c>
      <c r="I3476" s="19"/>
      <c r="J3476" s="17" t="s">
        <v>82</v>
      </c>
      <c r="K3476" s="19">
        <v>255</v>
      </c>
      <c r="L3476" s="19">
        <v>65</v>
      </c>
      <c r="M3476" s="19">
        <v>2200</v>
      </c>
      <c r="N3476" s="19" t="s">
        <v>66</v>
      </c>
      <c r="O3476" s="19" t="s">
        <v>141</v>
      </c>
      <c r="P3476" s="19">
        <v>2352</v>
      </c>
      <c r="Q3476" s="19">
        <v>272</v>
      </c>
      <c r="S3476" s="274">
        <v>1070</v>
      </c>
      <c r="T3476" s="19" t="s">
        <v>42</v>
      </c>
      <c r="U3476" s="102" t="s">
        <v>1174</v>
      </c>
      <c r="V3476" s="186" t="s">
        <v>1175</v>
      </c>
      <c r="W3476" s="17" t="s">
        <v>69</v>
      </c>
      <c r="Y3476" s="68">
        <v>45161</v>
      </c>
      <c r="Z3476" s="17" t="s">
        <v>191</v>
      </c>
      <c r="AA3476" s="17" t="s">
        <v>46</v>
      </c>
      <c r="AB3476" s="17" t="s">
        <v>1128</v>
      </c>
      <c r="AC3476" s="102" t="s">
        <v>1124</v>
      </c>
      <c r="AD3476" s="65">
        <v>1448</v>
      </c>
      <c r="AE3476" s="17" t="s">
        <v>1178</v>
      </c>
    </row>
    <row r="3477" s="17" customFormat="1" ht="15.6" hidden="1" spans="1:32">
      <c r="A3477" s="17" t="s">
        <v>34</v>
      </c>
      <c r="B3477" s="19">
        <v>916</v>
      </c>
      <c r="C3477" s="183" t="s">
        <v>1173</v>
      </c>
      <c r="D3477" s="17" t="s">
        <v>52</v>
      </c>
      <c r="E3477" s="17" t="s">
        <v>1113</v>
      </c>
      <c r="F3477" s="17" t="s">
        <v>54</v>
      </c>
      <c r="H3477" s="19" t="s">
        <v>1114</v>
      </c>
      <c r="I3477" s="19"/>
      <c r="J3477" s="17" t="s">
        <v>82</v>
      </c>
      <c r="K3477" s="19">
        <v>255</v>
      </c>
      <c r="L3477" s="19">
        <v>65</v>
      </c>
      <c r="M3477" s="19">
        <v>2200</v>
      </c>
      <c r="N3477" s="19" t="s">
        <v>66</v>
      </c>
      <c r="O3477" s="19" t="s">
        <v>141</v>
      </c>
      <c r="P3477" s="19"/>
      <c r="Q3477" s="19">
        <f>299+299+296+292</f>
        <v>1186</v>
      </c>
      <c r="S3477" s="274">
        <v>1070</v>
      </c>
      <c r="T3477" s="19" t="s">
        <v>42</v>
      </c>
      <c r="U3477" s="102" t="s">
        <v>1174</v>
      </c>
      <c r="V3477" s="186" t="s">
        <v>1175</v>
      </c>
      <c r="W3477" s="17" t="s">
        <v>69</v>
      </c>
      <c r="Y3477" s="68">
        <v>45161</v>
      </c>
      <c r="Z3477" s="17" t="s">
        <v>191</v>
      </c>
      <c r="AA3477" s="17" t="s">
        <v>46</v>
      </c>
      <c r="AB3477" s="17" t="s">
        <v>1150</v>
      </c>
      <c r="AC3477" s="102" t="s">
        <v>1151</v>
      </c>
      <c r="AD3477" s="65">
        <v>1455</v>
      </c>
      <c r="AE3477" s="17" t="s">
        <v>74</v>
      </c>
    </row>
    <row r="3478" s="17" customFormat="1" ht="15.6" hidden="1" spans="1:32">
      <c r="B3478" s="19">
        <v>916</v>
      </c>
      <c r="C3478" s="183" t="s">
        <v>1173</v>
      </c>
      <c r="D3478" s="17" t="s">
        <v>52</v>
      </c>
      <c r="E3478" s="17" t="s">
        <v>1113</v>
      </c>
      <c r="F3478" s="17" t="s">
        <v>54</v>
      </c>
      <c r="H3478" s="19" t="s">
        <v>1114</v>
      </c>
      <c r="I3478" s="19"/>
      <c r="J3478" s="17" t="s">
        <v>82</v>
      </c>
      <c r="K3478" s="19">
        <v>255</v>
      </c>
      <c r="L3478" s="19">
        <v>65</v>
      </c>
      <c r="M3478" s="19">
        <v>2200</v>
      </c>
      <c r="N3478" s="19" t="s">
        <v>66</v>
      </c>
      <c r="O3478" s="19" t="s">
        <v>141</v>
      </c>
      <c r="P3478" s="19"/>
      <c r="Q3478" s="19">
        <f>293+296+300+299+295+295+295</f>
        <v>2073</v>
      </c>
      <c r="R3478" s="19">
        <f>+P3476-Q3476-Q3477-Q3478</f>
        <v>-1179</v>
      </c>
      <c r="S3478" s="274">
        <f>1070-40</f>
        <v>1030</v>
      </c>
      <c r="T3478" s="19" t="s">
        <v>42</v>
      </c>
      <c r="U3478" s="102" t="s">
        <v>1174</v>
      </c>
      <c r="V3478" s="186" t="s">
        <v>1175</v>
      </c>
      <c r="W3478" s="17" t="s">
        <v>44</v>
      </c>
      <c r="Y3478" s="68">
        <v>45161</v>
      </c>
      <c r="Z3478" s="17" t="s">
        <v>191</v>
      </c>
      <c r="AA3478" s="17" t="s">
        <v>46</v>
      </c>
      <c r="AB3478" s="17" t="s">
        <v>1142</v>
      </c>
      <c r="AC3478" s="102" t="s">
        <v>1143</v>
      </c>
      <c r="AD3478" s="65">
        <v>1465</v>
      </c>
      <c r="AE3478" s="17" t="s">
        <v>74</v>
      </c>
    </row>
    <row r="3479" s="17" customFormat="1" ht="15.6" hidden="1" spans="1:32">
      <c r="A3479" s="17" t="s">
        <v>34</v>
      </c>
      <c r="B3479" s="19">
        <v>916</v>
      </c>
      <c r="C3479" s="183" t="s">
        <v>1173</v>
      </c>
      <c r="D3479" s="17" t="s">
        <v>52</v>
      </c>
      <c r="E3479" s="17" t="s">
        <v>1113</v>
      </c>
      <c r="F3479" s="17" t="s">
        <v>54</v>
      </c>
      <c r="H3479" s="19" t="s">
        <v>1114</v>
      </c>
      <c r="I3479" s="19"/>
      <c r="J3479" s="17" t="s">
        <v>82</v>
      </c>
      <c r="K3479" s="19">
        <v>305</v>
      </c>
      <c r="L3479" s="19">
        <v>65</v>
      </c>
      <c r="M3479" s="19">
        <v>2200</v>
      </c>
      <c r="N3479" s="19" t="s">
        <v>66</v>
      </c>
      <c r="O3479" s="19" t="s">
        <v>141</v>
      </c>
      <c r="P3479" s="19">
        <v>2462</v>
      </c>
      <c r="Q3479" s="19">
        <f>353+355+357+354+356+356</f>
        <v>2131</v>
      </c>
      <c r="S3479" s="274">
        <v>1070</v>
      </c>
      <c r="T3479" s="19" t="s">
        <v>42</v>
      </c>
      <c r="U3479" s="102" t="s">
        <v>1174</v>
      </c>
      <c r="V3479" s="186" t="s">
        <v>1175</v>
      </c>
      <c r="W3479" s="17" t="s">
        <v>69</v>
      </c>
      <c r="Y3479" s="68">
        <v>45161</v>
      </c>
      <c r="Z3479" s="17" t="s">
        <v>191</v>
      </c>
      <c r="AA3479" s="17" t="s">
        <v>46</v>
      </c>
      <c r="AB3479" s="17" t="s">
        <v>1131</v>
      </c>
      <c r="AC3479" s="102" t="s">
        <v>1132</v>
      </c>
      <c r="AD3479" s="65">
        <v>1444</v>
      </c>
      <c r="AE3479" s="17" t="s">
        <v>74</v>
      </c>
    </row>
    <row r="3480" s="17" customFormat="1" ht="15.6" hidden="1" spans="1:32">
      <c r="A3480" s="17" t="s">
        <v>34</v>
      </c>
      <c r="B3480" s="19">
        <v>916</v>
      </c>
      <c r="C3480" s="183" t="s">
        <v>1173</v>
      </c>
      <c r="D3480" s="17" t="s">
        <v>52</v>
      </c>
      <c r="E3480" s="17" t="s">
        <v>1113</v>
      </c>
      <c r="F3480" s="17" t="s">
        <v>54</v>
      </c>
      <c r="H3480" s="19" t="s">
        <v>1114</v>
      </c>
      <c r="I3480" s="19"/>
      <c r="J3480" s="17" t="s">
        <v>82</v>
      </c>
      <c r="K3480" s="19">
        <v>305</v>
      </c>
      <c r="L3480" s="19">
        <v>65</v>
      </c>
      <c r="M3480" s="19">
        <v>2200</v>
      </c>
      <c r="N3480" s="19" t="s">
        <v>66</v>
      </c>
      <c r="O3480" s="19" t="s">
        <v>141</v>
      </c>
      <c r="P3480" s="19"/>
      <c r="Q3480" s="19">
        <v>355</v>
      </c>
      <c r="R3480" s="19">
        <f>+P3479-Q3479-Q3480</f>
        <v>-24</v>
      </c>
      <c r="S3480" s="274">
        <f>1070-40</f>
        <v>1030</v>
      </c>
      <c r="T3480" s="19" t="s">
        <v>42</v>
      </c>
      <c r="U3480" s="102" t="s">
        <v>1174</v>
      </c>
      <c r="V3480" s="186" t="s">
        <v>1175</v>
      </c>
      <c r="W3480" s="17" t="s">
        <v>44</v>
      </c>
      <c r="Y3480" s="68">
        <v>45161</v>
      </c>
      <c r="Z3480" s="17" t="s">
        <v>191</v>
      </c>
      <c r="AA3480" s="17" t="s">
        <v>46</v>
      </c>
      <c r="AB3480" s="17" t="s">
        <v>1138</v>
      </c>
      <c r="AC3480" s="102" t="s">
        <v>1139</v>
      </c>
      <c r="AD3480" s="65">
        <v>1473</v>
      </c>
      <c r="AE3480" s="17" t="s">
        <v>74</v>
      </c>
    </row>
    <row r="3481" s="17" customFormat="1" ht="15.6" hidden="1" spans="1:32">
      <c r="A3481" s="17" t="s">
        <v>34</v>
      </c>
      <c r="B3481" s="19">
        <v>916</v>
      </c>
      <c r="C3481" s="183" t="s">
        <v>1173</v>
      </c>
      <c r="D3481" s="17" t="s">
        <v>52</v>
      </c>
      <c r="E3481" s="17" t="s">
        <v>1113</v>
      </c>
      <c r="F3481" s="17" t="s">
        <v>54</v>
      </c>
      <c r="H3481" s="19" t="s">
        <v>1114</v>
      </c>
      <c r="I3481" s="19"/>
      <c r="J3481" s="17" t="s">
        <v>82</v>
      </c>
      <c r="K3481" s="19">
        <v>310</v>
      </c>
      <c r="L3481" s="19">
        <v>65</v>
      </c>
      <c r="M3481" s="19">
        <v>2200</v>
      </c>
      <c r="N3481" s="19" t="s">
        <v>66</v>
      </c>
      <c r="O3481" s="19" t="s">
        <v>141</v>
      </c>
      <c r="P3481" s="19">
        <v>715</v>
      </c>
      <c r="Q3481" s="19">
        <f>360+361</f>
        <v>721</v>
      </c>
      <c r="R3481" s="19">
        <f>+P3481-Q3481</f>
        <v>-6</v>
      </c>
      <c r="S3481" s="274">
        <v>1070</v>
      </c>
      <c r="T3481" s="19" t="s">
        <v>42</v>
      </c>
      <c r="U3481" s="102" t="s">
        <v>1174</v>
      </c>
      <c r="V3481" s="186" t="s">
        <v>1175</v>
      </c>
      <c r="W3481" s="17" t="s">
        <v>69</v>
      </c>
      <c r="Y3481" s="68">
        <v>45161</v>
      </c>
      <c r="Z3481" s="17" t="s">
        <v>191</v>
      </c>
      <c r="AA3481" s="17" t="s">
        <v>46</v>
      </c>
      <c r="AB3481" s="17" t="s">
        <v>1131</v>
      </c>
      <c r="AC3481" s="102" t="s">
        <v>1132</v>
      </c>
      <c r="AD3481" s="65">
        <v>1444</v>
      </c>
      <c r="AE3481" s="17" t="s">
        <v>48</v>
      </c>
    </row>
    <row r="3482" s="17" customFormat="1" ht="15.6" hidden="1" spans="1:32">
      <c r="A3482" s="17" t="s">
        <v>34</v>
      </c>
      <c r="B3482" s="19">
        <v>916</v>
      </c>
      <c r="C3482" s="183" t="s">
        <v>1173</v>
      </c>
      <c r="D3482" s="17" t="s">
        <v>52</v>
      </c>
      <c r="E3482" s="17" t="s">
        <v>1113</v>
      </c>
      <c r="F3482" s="17" t="s">
        <v>54</v>
      </c>
      <c r="H3482" s="19" t="s">
        <v>1114</v>
      </c>
      <c r="I3482" s="19"/>
      <c r="J3482" s="17" t="s">
        <v>82</v>
      </c>
      <c r="K3482" s="19">
        <v>330</v>
      </c>
      <c r="L3482" s="19">
        <v>65</v>
      </c>
      <c r="M3482" s="19">
        <v>2200</v>
      </c>
      <c r="N3482" s="19" t="s">
        <v>66</v>
      </c>
      <c r="O3482" s="19" t="s">
        <v>141</v>
      </c>
      <c r="P3482" s="19">
        <v>761</v>
      </c>
      <c r="Q3482" s="19">
        <f>385+385</f>
        <v>770</v>
      </c>
      <c r="R3482" s="19">
        <f>+P3482-Q3482</f>
        <v>-9</v>
      </c>
      <c r="S3482" s="274">
        <v>1070</v>
      </c>
      <c r="T3482" s="19" t="s">
        <v>42</v>
      </c>
      <c r="U3482" s="102" t="s">
        <v>1174</v>
      </c>
      <c r="V3482" s="186" t="s">
        <v>1175</v>
      </c>
      <c r="W3482" s="17" t="s">
        <v>69</v>
      </c>
      <c r="Y3482" s="68">
        <v>45161</v>
      </c>
      <c r="Z3482" s="17" t="s">
        <v>191</v>
      </c>
      <c r="AA3482" s="17" t="s">
        <v>46</v>
      </c>
      <c r="AB3482" s="17" t="s">
        <v>1131</v>
      </c>
      <c r="AC3482" s="102" t="s">
        <v>1132</v>
      </c>
      <c r="AD3482" s="65">
        <v>1444</v>
      </c>
      <c r="AE3482" s="17" t="s">
        <v>48</v>
      </c>
    </row>
    <row r="3483" s="17" customFormat="1" ht="15.6" hidden="1" spans="1:32">
      <c r="A3483" s="17" t="s">
        <v>34</v>
      </c>
      <c r="B3483" s="19">
        <v>916</v>
      </c>
      <c r="C3483" s="183" t="s">
        <v>1173</v>
      </c>
      <c r="D3483" s="17" t="s">
        <v>52</v>
      </c>
      <c r="E3483" s="17" t="s">
        <v>1113</v>
      </c>
      <c r="F3483" s="17" t="s">
        <v>54</v>
      </c>
      <c r="H3483" s="19" t="s">
        <v>1114</v>
      </c>
      <c r="I3483" s="19"/>
      <c r="J3483" s="17" t="s">
        <v>82</v>
      </c>
      <c r="K3483" s="19">
        <v>355</v>
      </c>
      <c r="L3483" s="19">
        <v>65</v>
      </c>
      <c r="M3483" s="19">
        <v>2200</v>
      </c>
      <c r="N3483" s="19" t="s">
        <v>66</v>
      </c>
      <c r="O3483" s="19" t="s">
        <v>141</v>
      </c>
      <c r="P3483" s="19">
        <v>2456</v>
      </c>
      <c r="Q3483" s="19">
        <f>413+413+413+413+413+413</f>
        <v>2478</v>
      </c>
      <c r="R3483" s="19">
        <f>+P3483-Q3483</f>
        <v>-22</v>
      </c>
      <c r="S3483" s="274">
        <v>1070</v>
      </c>
      <c r="T3483" s="19" t="s">
        <v>42</v>
      </c>
      <c r="U3483" s="102" t="s">
        <v>1174</v>
      </c>
      <c r="V3483" s="186" t="s">
        <v>1175</v>
      </c>
      <c r="W3483" s="17" t="s">
        <v>69</v>
      </c>
      <c r="Y3483" s="68">
        <v>45161</v>
      </c>
      <c r="Z3483" s="17" t="s">
        <v>191</v>
      </c>
      <c r="AA3483" s="17" t="s">
        <v>46</v>
      </c>
      <c r="AB3483" s="17" t="s">
        <v>1131</v>
      </c>
      <c r="AC3483" s="102" t="s">
        <v>1132</v>
      </c>
      <c r="AD3483" s="65">
        <v>1444</v>
      </c>
      <c r="AE3483" s="17" t="s">
        <v>74</v>
      </c>
    </row>
    <row r="3484" s="17" customFormat="1" ht="15.6" hidden="1" spans="1:32">
      <c r="A3484" s="17" t="s">
        <v>34</v>
      </c>
      <c r="B3484" s="19">
        <v>916</v>
      </c>
      <c r="C3484" s="183" t="s">
        <v>1173</v>
      </c>
      <c r="D3484" s="17" t="s">
        <v>52</v>
      </c>
      <c r="E3484" s="17" t="s">
        <v>1113</v>
      </c>
      <c r="F3484" s="17" t="s">
        <v>54</v>
      </c>
      <c r="H3484" s="19" t="s">
        <v>1114</v>
      </c>
      <c r="I3484" s="19"/>
      <c r="J3484" s="17" t="s">
        <v>82</v>
      </c>
      <c r="K3484" s="19">
        <v>405</v>
      </c>
      <c r="L3484" s="19">
        <v>65</v>
      </c>
      <c r="M3484" s="19">
        <v>2200</v>
      </c>
      <c r="N3484" s="19" t="s">
        <v>66</v>
      </c>
      <c r="O3484" s="19" t="s">
        <v>141</v>
      </c>
      <c r="P3484" s="19">
        <v>2335</v>
      </c>
      <c r="Q3484" s="19">
        <v>2360</v>
      </c>
      <c r="S3484" s="274">
        <v>1070</v>
      </c>
      <c r="T3484" s="19" t="s">
        <v>42</v>
      </c>
      <c r="U3484" s="102" t="s">
        <v>1174</v>
      </c>
      <c r="V3484" s="186" t="s">
        <v>1175</v>
      </c>
      <c r="W3484" s="17" t="s">
        <v>69</v>
      </c>
      <c r="Y3484" s="68">
        <v>45161</v>
      </c>
      <c r="Z3484" s="17" t="s">
        <v>191</v>
      </c>
      <c r="AA3484" s="17" t="s">
        <v>46</v>
      </c>
      <c r="AB3484" s="17" t="s">
        <v>1128</v>
      </c>
      <c r="AC3484" s="102" t="s">
        <v>1124</v>
      </c>
      <c r="AD3484" s="65">
        <v>1448</v>
      </c>
      <c r="AE3484" s="17" t="s">
        <v>74</v>
      </c>
    </row>
    <row r="3485" s="17" customFormat="1" ht="15.6" hidden="1" spans="1:32">
      <c r="A3485" s="17" t="s">
        <v>34</v>
      </c>
      <c r="B3485" s="19">
        <v>916</v>
      </c>
      <c r="C3485" s="183" t="s">
        <v>1173</v>
      </c>
      <c r="D3485" s="17" t="s">
        <v>52</v>
      </c>
      <c r="E3485" s="17" t="s">
        <v>1113</v>
      </c>
      <c r="F3485" s="17" t="s">
        <v>54</v>
      </c>
      <c r="H3485" s="19" t="s">
        <v>1114</v>
      </c>
      <c r="I3485" s="19"/>
      <c r="J3485" s="17" t="s">
        <v>82</v>
      </c>
      <c r="K3485" s="19">
        <v>405</v>
      </c>
      <c r="L3485" s="19">
        <v>65</v>
      </c>
      <c r="M3485" s="19">
        <v>2200</v>
      </c>
      <c r="N3485" s="19" t="s">
        <v>66</v>
      </c>
      <c r="O3485" s="19" t="s">
        <v>141</v>
      </c>
      <c r="P3485" s="19"/>
      <c r="Q3485" s="19">
        <v>471</v>
      </c>
      <c r="R3485" s="19">
        <f>+P3484-Q3484-Q3485</f>
        <v>-496</v>
      </c>
      <c r="S3485" s="274">
        <v>1070</v>
      </c>
      <c r="T3485" s="19" t="s">
        <v>42</v>
      </c>
      <c r="U3485" s="102" t="s">
        <v>1174</v>
      </c>
      <c r="V3485" s="186" t="s">
        <v>1175</v>
      </c>
      <c r="W3485" s="17" t="s">
        <v>69</v>
      </c>
      <c r="Y3485" s="68">
        <v>45161</v>
      </c>
      <c r="Z3485" s="17" t="s">
        <v>191</v>
      </c>
      <c r="AA3485" s="17" t="s">
        <v>46</v>
      </c>
      <c r="AB3485" s="17" t="s">
        <v>1150</v>
      </c>
      <c r="AC3485" s="102" t="s">
        <v>1151</v>
      </c>
      <c r="AD3485" s="65">
        <v>1455</v>
      </c>
      <c r="AE3485" s="17" t="s">
        <v>74</v>
      </c>
    </row>
    <row r="3486" s="17" customFormat="1" ht="15.6" hidden="1" spans="1:32">
      <c r="A3486" s="17" t="s">
        <v>34</v>
      </c>
      <c r="B3486" s="19">
        <v>916</v>
      </c>
      <c r="C3486" s="183" t="s">
        <v>1173</v>
      </c>
      <c r="D3486" s="17" t="s">
        <v>52</v>
      </c>
      <c r="E3486" s="17" t="s">
        <v>1113</v>
      </c>
      <c r="F3486" s="17" t="s">
        <v>54</v>
      </c>
      <c r="H3486" s="19" t="s">
        <v>1114</v>
      </c>
      <c r="I3486" s="19"/>
      <c r="J3486" s="17" t="s">
        <v>82</v>
      </c>
      <c r="K3486" s="19">
        <v>410</v>
      </c>
      <c r="L3486" s="19">
        <v>65</v>
      </c>
      <c r="M3486" s="19">
        <v>2200</v>
      </c>
      <c r="N3486" s="19" t="s">
        <v>66</v>
      </c>
      <c r="O3486" s="19" t="s">
        <v>141</v>
      </c>
      <c r="P3486" s="19">
        <v>473</v>
      </c>
      <c r="Q3486" s="19">
        <v>479</v>
      </c>
      <c r="R3486" s="19">
        <f>+P3486-Q3486</f>
        <v>-6</v>
      </c>
      <c r="S3486" s="274">
        <v>1070</v>
      </c>
      <c r="T3486" s="19" t="s">
        <v>42</v>
      </c>
      <c r="U3486" s="102" t="s">
        <v>1174</v>
      </c>
      <c r="V3486" s="186" t="s">
        <v>1175</v>
      </c>
      <c r="W3486" s="17" t="s">
        <v>69</v>
      </c>
      <c r="Y3486" s="68">
        <v>45161</v>
      </c>
      <c r="Z3486" s="17" t="s">
        <v>191</v>
      </c>
      <c r="AA3486" s="17" t="s">
        <v>46</v>
      </c>
      <c r="AB3486" s="17" t="s">
        <v>1150</v>
      </c>
      <c r="AC3486" s="102" t="s">
        <v>1151</v>
      </c>
      <c r="AD3486" s="65">
        <v>1455</v>
      </c>
      <c r="AE3486" s="17" t="s">
        <v>48</v>
      </c>
    </row>
    <row r="3487" s="17" customFormat="1" ht="15.6" hidden="1" spans="1:32">
      <c r="A3487" s="17" t="s">
        <v>34</v>
      </c>
      <c r="B3487" s="19">
        <v>916</v>
      </c>
      <c r="C3487" s="183" t="s">
        <v>1173</v>
      </c>
      <c r="D3487" s="17" t="s">
        <v>52</v>
      </c>
      <c r="E3487" s="17" t="s">
        <v>1113</v>
      </c>
      <c r="F3487" s="17" t="s">
        <v>54</v>
      </c>
      <c r="H3487" s="19" t="s">
        <v>1114</v>
      </c>
      <c r="I3487" s="19"/>
      <c r="J3487" s="17" t="s">
        <v>82</v>
      </c>
      <c r="K3487" s="19">
        <v>455</v>
      </c>
      <c r="L3487" s="19">
        <v>65</v>
      </c>
      <c r="M3487" s="19">
        <v>2200</v>
      </c>
      <c r="N3487" s="19" t="s">
        <v>66</v>
      </c>
      <c r="O3487" s="19" t="s">
        <v>141</v>
      </c>
      <c r="P3487" s="19">
        <v>2099</v>
      </c>
      <c r="Q3487" s="19">
        <v>2114</v>
      </c>
      <c r="S3487" s="274">
        <v>1070</v>
      </c>
      <c r="T3487" s="19" t="s">
        <v>42</v>
      </c>
      <c r="U3487" s="102" t="s">
        <v>1174</v>
      </c>
      <c r="V3487" s="186" t="s">
        <v>1175</v>
      </c>
      <c r="W3487" s="17" t="s">
        <v>69</v>
      </c>
      <c r="Y3487" s="68">
        <v>45161</v>
      </c>
      <c r="Z3487" s="17" t="s">
        <v>191</v>
      </c>
      <c r="AA3487" s="17" t="s">
        <v>46</v>
      </c>
      <c r="AB3487" s="17" t="s">
        <v>1128</v>
      </c>
      <c r="AC3487" s="102" t="s">
        <v>1124</v>
      </c>
      <c r="AD3487" s="65">
        <v>1448</v>
      </c>
      <c r="AE3487" s="17" t="s">
        <v>74</v>
      </c>
    </row>
    <row r="3488" s="17" customFormat="1" ht="15.6" hidden="1" spans="1:32">
      <c r="A3488" s="17" t="s">
        <v>34</v>
      </c>
      <c r="B3488" s="19">
        <v>916</v>
      </c>
      <c r="C3488" s="183" t="s">
        <v>1173</v>
      </c>
      <c r="D3488" s="17" t="s">
        <v>52</v>
      </c>
      <c r="E3488" s="17" t="s">
        <v>1113</v>
      </c>
      <c r="F3488" s="17" t="s">
        <v>54</v>
      </c>
      <c r="H3488" s="19" t="s">
        <v>1114</v>
      </c>
      <c r="I3488" s="19"/>
      <c r="J3488" s="17" t="s">
        <v>82</v>
      </c>
      <c r="K3488" s="19">
        <v>455</v>
      </c>
      <c r="L3488" s="19">
        <v>65</v>
      </c>
      <c r="M3488" s="19">
        <v>2200</v>
      </c>
      <c r="N3488" s="19" t="s">
        <v>66</v>
      </c>
      <c r="O3488" s="19" t="s">
        <v>141</v>
      </c>
      <c r="P3488" s="19"/>
      <c r="Q3488" s="19">
        <v>525</v>
      </c>
      <c r="R3488" s="19">
        <f>+P3487-Q3487-Q3488</f>
        <v>-540</v>
      </c>
      <c r="S3488" s="274">
        <v>1070</v>
      </c>
      <c r="T3488" s="19" t="s">
        <v>42</v>
      </c>
      <c r="U3488" s="102" t="s">
        <v>1174</v>
      </c>
      <c r="V3488" s="186" t="s">
        <v>1175</v>
      </c>
      <c r="W3488" s="17" t="s">
        <v>69</v>
      </c>
      <c r="Y3488" s="68">
        <v>45161</v>
      </c>
      <c r="Z3488" s="17" t="s">
        <v>191</v>
      </c>
      <c r="AA3488" s="17" t="s">
        <v>46</v>
      </c>
      <c r="AB3488" s="17" t="s">
        <v>1150</v>
      </c>
      <c r="AC3488" s="102" t="s">
        <v>1151</v>
      </c>
      <c r="AD3488" s="65">
        <v>1455</v>
      </c>
      <c r="AE3488" s="17" t="s">
        <v>74</v>
      </c>
    </row>
    <row r="3489" s="17" customFormat="1" ht="15.6" hidden="1" spans="1:31">
      <c r="A3489" s="17" t="s">
        <v>34</v>
      </c>
      <c r="B3489" s="19">
        <v>916</v>
      </c>
      <c r="C3489" s="183" t="s">
        <v>1173</v>
      </c>
      <c r="D3489" s="17" t="s">
        <v>52</v>
      </c>
      <c r="E3489" s="17" t="s">
        <v>1113</v>
      </c>
      <c r="F3489" s="17" t="s">
        <v>54</v>
      </c>
      <c r="H3489" s="19" t="s">
        <v>1114</v>
      </c>
      <c r="I3489" s="19"/>
      <c r="J3489" s="17" t="s">
        <v>82</v>
      </c>
      <c r="K3489" s="19">
        <v>505</v>
      </c>
      <c r="L3489" s="19">
        <v>65</v>
      </c>
      <c r="M3489" s="19">
        <v>2200</v>
      </c>
      <c r="N3489" s="19" t="s">
        <v>66</v>
      </c>
      <c r="O3489" s="19" t="s">
        <v>141</v>
      </c>
      <c r="P3489" s="19">
        <v>2329</v>
      </c>
      <c r="Q3489" s="19">
        <v>2337</v>
      </c>
      <c r="R3489" s="19">
        <f>+P3489-Q3489</f>
        <v>-8</v>
      </c>
      <c r="S3489" s="274">
        <v>1070</v>
      </c>
      <c r="T3489" s="19" t="s">
        <v>42</v>
      </c>
      <c r="U3489" s="102" t="s">
        <v>1174</v>
      </c>
      <c r="V3489" s="186" t="s">
        <v>1175</v>
      </c>
      <c r="W3489" s="17" t="s">
        <v>69</v>
      </c>
      <c r="Y3489" s="68">
        <v>45161</v>
      </c>
      <c r="Z3489" s="17" t="s">
        <v>191</v>
      </c>
      <c r="AA3489" s="17" t="s">
        <v>46</v>
      </c>
      <c r="AB3489" s="17" t="s">
        <v>1128</v>
      </c>
      <c r="AC3489" s="102" t="s">
        <v>1124</v>
      </c>
      <c r="AD3489" s="65">
        <v>1448</v>
      </c>
      <c r="AE3489" s="17" t="s">
        <v>74</v>
      </c>
    </row>
    <row r="3490" s="17" customFormat="1" ht="15.6" hidden="1" spans="1:31">
      <c r="A3490" s="17" t="s">
        <v>34</v>
      </c>
      <c r="B3490" s="19">
        <v>916</v>
      </c>
      <c r="C3490" s="183" t="s">
        <v>1173</v>
      </c>
      <c r="D3490" s="17" t="s">
        <v>52</v>
      </c>
      <c r="E3490" s="17" t="s">
        <v>1113</v>
      </c>
      <c r="F3490" s="17" t="s">
        <v>54</v>
      </c>
      <c r="H3490" s="19" t="s">
        <v>1114</v>
      </c>
      <c r="I3490" s="19"/>
      <c r="J3490" s="17" t="s">
        <v>82</v>
      </c>
      <c r="K3490" s="19">
        <v>255</v>
      </c>
      <c r="L3490" s="19">
        <v>80</v>
      </c>
      <c r="M3490" s="19">
        <v>2200</v>
      </c>
      <c r="N3490" s="19" t="s">
        <v>66</v>
      </c>
      <c r="O3490" s="19" t="s">
        <v>141</v>
      </c>
      <c r="P3490" s="19">
        <v>2171</v>
      </c>
      <c r="Q3490" s="19">
        <f>363+365+363</f>
        <v>1091</v>
      </c>
      <c r="S3490" s="274">
        <v>1070</v>
      </c>
      <c r="T3490" s="19" t="s">
        <v>42</v>
      </c>
      <c r="U3490" s="102" t="s">
        <v>1174</v>
      </c>
      <c r="V3490" s="186" t="s">
        <v>1175</v>
      </c>
      <c r="W3490" s="17" t="s">
        <v>69</v>
      </c>
      <c r="Y3490" s="68">
        <v>45161</v>
      </c>
      <c r="Z3490" s="17" t="s">
        <v>191</v>
      </c>
      <c r="AA3490" s="17" t="s">
        <v>46</v>
      </c>
      <c r="AB3490" s="17" t="s">
        <v>1150</v>
      </c>
      <c r="AC3490" s="102" t="s">
        <v>1151</v>
      </c>
      <c r="AD3490" s="65">
        <v>1455</v>
      </c>
      <c r="AE3490" s="17" t="s">
        <v>74</v>
      </c>
    </row>
    <row r="3491" s="17" customFormat="1" ht="15.6" hidden="1" spans="1:31">
      <c r="B3491" s="19">
        <v>916</v>
      </c>
      <c r="C3491" s="183" t="s">
        <v>1173</v>
      </c>
      <c r="D3491" s="17" t="s">
        <v>52</v>
      </c>
      <c r="E3491" s="17" t="s">
        <v>1113</v>
      </c>
      <c r="F3491" s="17" t="s">
        <v>54</v>
      </c>
      <c r="H3491" s="19" t="s">
        <v>1114</v>
      </c>
      <c r="I3491" s="19"/>
      <c r="J3491" s="17" t="s">
        <v>82</v>
      </c>
      <c r="K3491" s="19">
        <v>255</v>
      </c>
      <c r="L3491" s="19">
        <v>80</v>
      </c>
      <c r="M3491" s="19">
        <v>2200</v>
      </c>
      <c r="N3491" s="19" t="s">
        <v>66</v>
      </c>
      <c r="O3491" s="19" t="s">
        <v>141</v>
      </c>
      <c r="P3491" s="19"/>
      <c r="Q3491" s="19">
        <f>360+364+364+359+359+358</f>
        <v>2164</v>
      </c>
      <c r="R3491" s="19">
        <f>+P3490-Q3490-Q3491</f>
        <v>-1084</v>
      </c>
      <c r="S3491" s="274">
        <f>1070-40</f>
        <v>1030</v>
      </c>
      <c r="T3491" s="19" t="s">
        <v>42</v>
      </c>
      <c r="U3491" s="102" t="s">
        <v>1174</v>
      </c>
      <c r="V3491" s="186" t="s">
        <v>1175</v>
      </c>
      <c r="W3491" s="17" t="s">
        <v>44</v>
      </c>
      <c r="Y3491" s="68">
        <v>45161</v>
      </c>
      <c r="Z3491" s="17" t="s">
        <v>191</v>
      </c>
      <c r="AA3491" s="17" t="s">
        <v>46</v>
      </c>
      <c r="AB3491" s="17" t="s">
        <v>1142</v>
      </c>
      <c r="AC3491" s="102" t="s">
        <v>1143</v>
      </c>
      <c r="AD3491" s="65">
        <v>1465</v>
      </c>
      <c r="AE3491" s="17" t="s">
        <v>74</v>
      </c>
    </row>
    <row r="3492" s="17" customFormat="1" ht="15.6" hidden="1" spans="1:31">
      <c r="A3492" s="17" t="s">
        <v>34</v>
      </c>
      <c r="B3492" s="19">
        <v>916</v>
      </c>
      <c r="C3492" s="183" t="s">
        <v>1173</v>
      </c>
      <c r="D3492" s="17" t="s">
        <v>52</v>
      </c>
      <c r="E3492" s="17" t="s">
        <v>1113</v>
      </c>
      <c r="F3492" s="17" t="s">
        <v>54</v>
      </c>
      <c r="H3492" s="19" t="s">
        <v>1114</v>
      </c>
      <c r="I3492" s="19"/>
      <c r="J3492" s="17" t="s">
        <v>82</v>
      </c>
      <c r="K3492" s="19">
        <v>305</v>
      </c>
      <c r="L3492" s="19">
        <v>80</v>
      </c>
      <c r="M3492" s="19">
        <v>2200</v>
      </c>
      <c r="N3492" s="19" t="s">
        <v>66</v>
      </c>
      <c r="O3492" s="19" t="s">
        <v>141</v>
      </c>
      <c r="P3492" s="19">
        <v>2164</v>
      </c>
      <c r="Q3492" s="19">
        <f>430+434+433+435+433</f>
        <v>2165</v>
      </c>
      <c r="R3492" s="19">
        <f>+P3492-Q3492</f>
        <v>-1</v>
      </c>
      <c r="S3492" s="274">
        <v>1070</v>
      </c>
      <c r="T3492" s="19" t="s">
        <v>42</v>
      </c>
      <c r="U3492" s="102" t="s">
        <v>1174</v>
      </c>
      <c r="V3492" s="186" t="s">
        <v>1175</v>
      </c>
      <c r="W3492" s="17" t="s">
        <v>69</v>
      </c>
      <c r="Y3492" s="68">
        <v>45161</v>
      </c>
      <c r="Z3492" s="17" t="s">
        <v>191</v>
      </c>
      <c r="AA3492" s="17" t="s">
        <v>46</v>
      </c>
      <c r="AB3492" s="17" t="s">
        <v>1150</v>
      </c>
      <c r="AC3492" s="102" t="s">
        <v>1151</v>
      </c>
      <c r="AD3492" s="65">
        <v>1455</v>
      </c>
      <c r="AE3492" s="17" t="s">
        <v>74</v>
      </c>
    </row>
    <row r="3493" s="17" customFormat="1" ht="15.6" hidden="1" spans="1:31">
      <c r="A3493" s="17" t="s">
        <v>34</v>
      </c>
      <c r="B3493" s="19">
        <v>916</v>
      </c>
      <c r="C3493" s="183" t="s">
        <v>1173</v>
      </c>
      <c r="D3493" s="17" t="s">
        <v>52</v>
      </c>
      <c r="E3493" s="17" t="s">
        <v>1113</v>
      </c>
      <c r="F3493" s="17" t="s">
        <v>54</v>
      </c>
      <c r="H3493" s="19" t="s">
        <v>1114</v>
      </c>
      <c r="I3493" s="19"/>
      <c r="J3493" s="17" t="s">
        <v>82</v>
      </c>
      <c r="K3493" s="19">
        <v>355</v>
      </c>
      <c r="L3493" s="19">
        <v>80</v>
      </c>
      <c r="M3493" s="19">
        <v>2200</v>
      </c>
      <c r="N3493" s="19" t="s">
        <v>66</v>
      </c>
      <c r="O3493" s="19" t="s">
        <v>141</v>
      </c>
      <c r="P3493" s="19">
        <v>2015</v>
      </c>
      <c r="Q3493" s="19">
        <f>498+500</f>
        <v>998</v>
      </c>
      <c r="S3493" s="274">
        <v>1070</v>
      </c>
      <c r="T3493" s="19" t="s">
        <v>42</v>
      </c>
      <c r="U3493" s="102" t="s">
        <v>1174</v>
      </c>
      <c r="V3493" s="186" t="s">
        <v>1175</v>
      </c>
      <c r="W3493" s="17" t="s">
        <v>69</v>
      </c>
      <c r="Y3493" s="68">
        <v>45161</v>
      </c>
      <c r="Z3493" s="17" t="s">
        <v>191</v>
      </c>
      <c r="AA3493" s="17" t="s">
        <v>46</v>
      </c>
      <c r="AB3493" s="17" t="s">
        <v>1176</v>
      </c>
      <c r="AC3493" s="102" t="s">
        <v>1117</v>
      </c>
      <c r="AD3493" s="65">
        <v>1442</v>
      </c>
      <c r="AE3493" s="17" t="s">
        <v>74</v>
      </c>
    </row>
    <row r="3494" s="17" customFormat="1" ht="15.6" hidden="1" spans="1:31">
      <c r="A3494" s="17" t="s">
        <v>34</v>
      </c>
      <c r="B3494" s="19">
        <v>916</v>
      </c>
      <c r="C3494" s="183" t="s">
        <v>1173</v>
      </c>
      <c r="D3494" s="17" t="s">
        <v>52</v>
      </c>
      <c r="E3494" s="17" t="s">
        <v>1113</v>
      </c>
      <c r="F3494" s="17" t="s">
        <v>54</v>
      </c>
      <c r="H3494" s="19" t="s">
        <v>1114</v>
      </c>
      <c r="I3494" s="19"/>
      <c r="J3494" s="17" t="s">
        <v>82</v>
      </c>
      <c r="K3494" s="19">
        <v>355</v>
      </c>
      <c r="L3494" s="19">
        <v>80</v>
      </c>
      <c r="M3494" s="19">
        <v>2200</v>
      </c>
      <c r="N3494" s="19" t="s">
        <v>66</v>
      </c>
      <c r="O3494" s="19" t="s">
        <v>141</v>
      </c>
      <c r="P3494" s="19"/>
      <c r="Q3494" s="19">
        <f>500+500</f>
        <v>1000</v>
      </c>
      <c r="S3494" s="274">
        <v>1070</v>
      </c>
      <c r="T3494" s="19" t="s">
        <v>42</v>
      </c>
      <c r="U3494" s="102" t="s">
        <v>1174</v>
      </c>
      <c r="V3494" s="186" t="s">
        <v>1175</v>
      </c>
      <c r="W3494" s="17" t="s">
        <v>69</v>
      </c>
      <c r="Y3494" s="68">
        <v>45161</v>
      </c>
      <c r="Z3494" s="17" t="s">
        <v>191</v>
      </c>
      <c r="AA3494" s="17" t="s">
        <v>46</v>
      </c>
      <c r="AB3494" s="17" t="s">
        <v>1131</v>
      </c>
      <c r="AC3494" s="102" t="s">
        <v>1132</v>
      </c>
      <c r="AD3494" s="65">
        <v>1444</v>
      </c>
      <c r="AE3494" s="17" t="s">
        <v>74</v>
      </c>
    </row>
    <row r="3495" s="17" customFormat="1" ht="15.6" hidden="1" spans="1:31">
      <c r="A3495" s="17" t="s">
        <v>34</v>
      </c>
      <c r="B3495" s="19">
        <v>916</v>
      </c>
      <c r="C3495" s="183" t="s">
        <v>1173</v>
      </c>
      <c r="D3495" s="17" t="s">
        <v>52</v>
      </c>
      <c r="E3495" s="17" t="s">
        <v>1113</v>
      </c>
      <c r="F3495" s="17" t="s">
        <v>54</v>
      </c>
      <c r="H3495" s="19" t="s">
        <v>1114</v>
      </c>
      <c r="I3495" s="19"/>
      <c r="J3495" s="17" t="s">
        <v>82</v>
      </c>
      <c r="K3495" s="19">
        <v>355</v>
      </c>
      <c r="L3495" s="19">
        <v>80</v>
      </c>
      <c r="M3495" s="19">
        <v>2200</v>
      </c>
      <c r="N3495" s="19" t="s">
        <v>66</v>
      </c>
      <c r="O3495" s="19" t="s">
        <v>141</v>
      </c>
      <c r="P3495" s="19"/>
      <c r="Q3495" s="19">
        <f>503+502</f>
        <v>1005</v>
      </c>
      <c r="R3495" s="19">
        <f>+P3493-Q3493-Q3494-Q3495</f>
        <v>-988</v>
      </c>
      <c r="S3495" s="274">
        <f>1070-40</f>
        <v>1030</v>
      </c>
      <c r="T3495" s="19" t="s">
        <v>42</v>
      </c>
      <c r="U3495" s="102" t="s">
        <v>1174</v>
      </c>
      <c r="V3495" s="186" t="s">
        <v>1175</v>
      </c>
      <c r="W3495" s="17" t="s">
        <v>44</v>
      </c>
      <c r="Y3495" s="68">
        <v>45161</v>
      </c>
      <c r="Z3495" s="17" t="s">
        <v>191</v>
      </c>
      <c r="AA3495" s="17" t="s">
        <v>46</v>
      </c>
      <c r="AB3495" s="17" t="s">
        <v>1140</v>
      </c>
      <c r="AC3495" s="102" t="s">
        <v>1141</v>
      </c>
      <c r="AD3495" s="65">
        <v>1468</v>
      </c>
      <c r="AE3495" s="17" t="s">
        <v>74</v>
      </c>
    </row>
    <row r="3496" s="17" customFormat="1" ht="15.6" hidden="1" spans="1:31">
      <c r="A3496" s="17" t="s">
        <v>34</v>
      </c>
      <c r="B3496" s="19">
        <v>916</v>
      </c>
      <c r="C3496" s="183" t="s">
        <v>1173</v>
      </c>
      <c r="D3496" s="17" t="s">
        <v>52</v>
      </c>
      <c r="E3496" s="17" t="s">
        <v>1113</v>
      </c>
      <c r="F3496" s="17" t="s">
        <v>54</v>
      </c>
      <c r="H3496" s="19" t="s">
        <v>1114</v>
      </c>
      <c r="I3496" s="19"/>
      <c r="J3496" s="17" t="s">
        <v>82</v>
      </c>
      <c r="K3496" s="19">
        <v>405</v>
      </c>
      <c r="L3496" s="19">
        <v>80</v>
      </c>
      <c r="M3496" s="19">
        <v>2200</v>
      </c>
      <c r="N3496" s="19" t="s">
        <v>66</v>
      </c>
      <c r="O3496" s="19" t="s">
        <v>141</v>
      </c>
      <c r="P3496" s="19">
        <v>2299</v>
      </c>
      <c r="Q3496" s="19">
        <f>564+570+570+566</f>
        <v>2270</v>
      </c>
      <c r="R3496" s="19">
        <f>+P3496-Q3496</f>
        <v>29</v>
      </c>
      <c r="S3496" s="274">
        <v>1070</v>
      </c>
      <c r="T3496" s="19" t="s">
        <v>42</v>
      </c>
      <c r="U3496" s="102" t="s">
        <v>1174</v>
      </c>
      <c r="V3496" s="186" t="s">
        <v>1175</v>
      </c>
      <c r="W3496" s="17" t="s">
        <v>69</v>
      </c>
      <c r="Y3496" s="68">
        <v>45161</v>
      </c>
      <c r="Z3496" s="17" t="s">
        <v>191</v>
      </c>
      <c r="AA3496" s="17" t="s">
        <v>46</v>
      </c>
      <c r="AB3496" s="17" t="s">
        <v>1122</v>
      </c>
      <c r="AC3496" s="217">
        <v>44965</v>
      </c>
      <c r="AD3496" s="65">
        <v>1450</v>
      </c>
      <c r="AE3496" s="17" t="s">
        <v>74</v>
      </c>
    </row>
    <row r="3497" s="17" customFormat="1" ht="15.6" hidden="1" spans="1:31">
      <c r="A3497" s="17" t="s">
        <v>34</v>
      </c>
      <c r="B3497" s="19">
        <v>916</v>
      </c>
      <c r="C3497" s="183" t="s">
        <v>1173</v>
      </c>
      <c r="D3497" s="17" t="s">
        <v>52</v>
      </c>
      <c r="E3497" s="17" t="s">
        <v>1113</v>
      </c>
      <c r="F3497" s="17" t="s">
        <v>54</v>
      </c>
      <c r="H3497" s="19" t="s">
        <v>1114</v>
      </c>
      <c r="I3497" s="19"/>
      <c r="J3497" s="17" t="s">
        <v>82</v>
      </c>
      <c r="K3497" s="19">
        <v>455</v>
      </c>
      <c r="L3497" s="19">
        <v>80</v>
      </c>
      <c r="M3497" s="19">
        <v>2200</v>
      </c>
      <c r="N3497" s="19" t="s">
        <v>66</v>
      </c>
      <c r="O3497" s="19" t="s">
        <v>141</v>
      </c>
      <c r="P3497" s="19">
        <v>1937</v>
      </c>
      <c r="Q3497" s="19">
        <f>635+635+635</f>
        <v>1905</v>
      </c>
      <c r="S3497" s="274">
        <v>1070</v>
      </c>
      <c r="T3497" s="19" t="s">
        <v>42</v>
      </c>
      <c r="U3497" s="102" t="s">
        <v>1174</v>
      </c>
      <c r="V3497" s="186" t="s">
        <v>1175</v>
      </c>
      <c r="W3497" s="17" t="s">
        <v>69</v>
      </c>
      <c r="Y3497" s="68">
        <v>45161</v>
      </c>
      <c r="Z3497" s="17" t="s">
        <v>191</v>
      </c>
      <c r="AA3497" s="17" t="s">
        <v>46</v>
      </c>
      <c r="AB3497" s="17" t="s">
        <v>1131</v>
      </c>
      <c r="AC3497" s="102" t="s">
        <v>1132</v>
      </c>
      <c r="AD3497" s="65">
        <v>1444</v>
      </c>
      <c r="AE3497" s="17" t="s">
        <v>74</v>
      </c>
    </row>
    <row r="3498" s="17" customFormat="1" ht="15.6" hidden="1" spans="1:31">
      <c r="A3498" s="17" t="s">
        <v>34</v>
      </c>
      <c r="B3498" s="19">
        <v>916</v>
      </c>
      <c r="C3498" s="183" t="s">
        <v>1173</v>
      </c>
      <c r="D3498" s="17" t="s">
        <v>52</v>
      </c>
      <c r="E3498" s="17" t="s">
        <v>1113</v>
      </c>
      <c r="F3498" s="17" t="s">
        <v>54</v>
      </c>
      <c r="H3498" s="19" t="s">
        <v>1114</v>
      </c>
      <c r="I3498" s="19"/>
      <c r="J3498" s="17" t="s">
        <v>82</v>
      </c>
      <c r="K3498" s="19">
        <v>455</v>
      </c>
      <c r="L3498" s="19">
        <v>80</v>
      </c>
      <c r="M3498" s="19">
        <v>2200</v>
      </c>
      <c r="N3498" s="19" t="s">
        <v>66</v>
      </c>
      <c r="O3498" s="19" t="s">
        <v>141</v>
      </c>
      <c r="P3498" s="19"/>
      <c r="Q3498" s="19">
        <v>639</v>
      </c>
      <c r="R3498" s="19">
        <f>+P3497-Q3497-Q3498</f>
        <v>-607</v>
      </c>
      <c r="S3498" s="274">
        <v>1070</v>
      </c>
      <c r="T3498" s="19" t="s">
        <v>42</v>
      </c>
      <c r="U3498" s="102" t="s">
        <v>1174</v>
      </c>
      <c r="V3498" s="186" t="s">
        <v>1175</v>
      </c>
      <c r="W3498" s="17" t="s">
        <v>69</v>
      </c>
      <c r="Y3498" s="68">
        <v>45161</v>
      </c>
      <c r="Z3498" s="17" t="s">
        <v>191</v>
      </c>
      <c r="AA3498" s="17" t="s">
        <v>46</v>
      </c>
      <c r="AB3498" s="17" t="s">
        <v>1122</v>
      </c>
      <c r="AC3498" s="217">
        <v>44965</v>
      </c>
      <c r="AD3498" s="65">
        <v>1450</v>
      </c>
      <c r="AE3498" s="17" t="s">
        <v>74</v>
      </c>
    </row>
    <row r="3499" s="17" customFormat="1" ht="15.6" hidden="1" spans="1:31">
      <c r="A3499" s="17" t="s">
        <v>34</v>
      </c>
      <c r="B3499" s="19">
        <v>916</v>
      </c>
      <c r="C3499" s="183" t="s">
        <v>1173</v>
      </c>
      <c r="D3499" s="17" t="s">
        <v>52</v>
      </c>
      <c r="E3499" s="17" t="s">
        <v>1113</v>
      </c>
      <c r="F3499" s="17" t="s">
        <v>54</v>
      </c>
      <c r="H3499" s="19" t="s">
        <v>1114</v>
      </c>
      <c r="I3499" s="19"/>
      <c r="J3499" s="17" t="s">
        <v>82</v>
      </c>
      <c r="K3499" s="19">
        <v>505</v>
      </c>
      <c r="L3499" s="19">
        <v>80</v>
      </c>
      <c r="M3499" s="19">
        <v>2200</v>
      </c>
      <c r="N3499" s="19" t="s">
        <v>66</v>
      </c>
      <c r="O3499" s="19" t="s">
        <v>141</v>
      </c>
      <c r="P3499" s="19">
        <v>2150</v>
      </c>
      <c r="Q3499" s="19">
        <f>709+709+709</f>
        <v>2127</v>
      </c>
      <c r="S3499" s="274">
        <v>1070</v>
      </c>
      <c r="T3499" s="19" t="s">
        <v>42</v>
      </c>
      <c r="U3499" s="102" t="s">
        <v>1174</v>
      </c>
      <c r="V3499" s="186" t="s">
        <v>1175</v>
      </c>
      <c r="W3499" s="17" t="s">
        <v>69</v>
      </c>
      <c r="Y3499" s="68">
        <v>45161</v>
      </c>
      <c r="Z3499" s="17" t="s">
        <v>191</v>
      </c>
      <c r="AA3499" s="17" t="s">
        <v>46</v>
      </c>
      <c r="AB3499" s="17" t="s">
        <v>1131</v>
      </c>
      <c r="AC3499" s="102" t="s">
        <v>1132</v>
      </c>
      <c r="AD3499" s="65">
        <v>1444</v>
      </c>
      <c r="AE3499" s="17" t="s">
        <v>74</v>
      </c>
    </row>
    <row r="3500" s="17" customFormat="1" ht="15.6" hidden="1" spans="1:31">
      <c r="A3500" s="17" t="s">
        <v>34</v>
      </c>
      <c r="B3500" s="19">
        <v>916</v>
      </c>
      <c r="C3500" s="183" t="s">
        <v>1173</v>
      </c>
      <c r="D3500" s="17" t="s">
        <v>52</v>
      </c>
      <c r="E3500" s="17" t="s">
        <v>1113</v>
      </c>
      <c r="F3500" s="17" t="s">
        <v>54</v>
      </c>
      <c r="H3500" s="19" t="s">
        <v>1114</v>
      </c>
      <c r="I3500" s="19"/>
      <c r="J3500" s="17" t="s">
        <v>82</v>
      </c>
      <c r="K3500" s="19">
        <v>505</v>
      </c>
      <c r="L3500" s="19">
        <v>80</v>
      </c>
      <c r="M3500" s="19">
        <v>2200</v>
      </c>
      <c r="N3500" s="19" t="s">
        <v>66</v>
      </c>
      <c r="O3500" s="19" t="s">
        <v>141</v>
      </c>
      <c r="P3500" s="19"/>
      <c r="Q3500" s="19">
        <v>711</v>
      </c>
      <c r="S3500" s="274">
        <v>1070</v>
      </c>
      <c r="T3500" s="19" t="s">
        <v>42</v>
      </c>
      <c r="U3500" s="102" t="s">
        <v>1174</v>
      </c>
      <c r="V3500" s="186" t="s">
        <v>1175</v>
      </c>
      <c r="W3500" s="17" t="s">
        <v>69</v>
      </c>
      <c r="Y3500" s="68">
        <v>45161</v>
      </c>
      <c r="Z3500" s="17" t="s">
        <v>191</v>
      </c>
      <c r="AA3500" s="17" t="s">
        <v>46</v>
      </c>
      <c r="AB3500" s="17" t="s">
        <v>1122</v>
      </c>
      <c r="AC3500" s="217">
        <v>44965</v>
      </c>
      <c r="AD3500" s="65">
        <v>1450</v>
      </c>
      <c r="AE3500" s="17" t="s">
        <v>74</v>
      </c>
    </row>
    <row r="3501" s="17" customFormat="1" ht="15.6" hidden="1" spans="1:31">
      <c r="A3501" s="17" t="s">
        <v>34</v>
      </c>
      <c r="B3501" s="19">
        <v>916</v>
      </c>
      <c r="C3501" s="183" t="s">
        <v>1173</v>
      </c>
      <c r="D3501" s="17" t="s">
        <v>52</v>
      </c>
      <c r="E3501" s="17" t="s">
        <v>1113</v>
      </c>
      <c r="F3501" s="17" t="s">
        <v>54</v>
      </c>
      <c r="H3501" s="19" t="s">
        <v>1114</v>
      </c>
      <c r="I3501" s="19"/>
      <c r="J3501" s="17" t="s">
        <v>82</v>
      </c>
      <c r="K3501" s="19">
        <v>505</v>
      </c>
      <c r="L3501" s="19">
        <v>80</v>
      </c>
      <c r="M3501" s="19">
        <v>2200</v>
      </c>
      <c r="N3501" s="19" t="s">
        <v>66</v>
      </c>
      <c r="O3501" s="19" t="s">
        <v>141</v>
      </c>
      <c r="P3501" s="19"/>
      <c r="Q3501" s="19">
        <v>713</v>
      </c>
      <c r="R3501" s="19">
        <f>+P3499-Q3499-Q3500-Q3501</f>
        <v>-1401</v>
      </c>
      <c r="S3501" s="274">
        <v>1070</v>
      </c>
      <c r="T3501" s="19" t="s">
        <v>42</v>
      </c>
      <c r="U3501" s="102" t="s">
        <v>1174</v>
      </c>
      <c r="V3501" s="186" t="s">
        <v>1175</v>
      </c>
      <c r="W3501" s="17" t="s">
        <v>69</v>
      </c>
      <c r="Y3501" s="68">
        <v>45161</v>
      </c>
      <c r="Z3501" s="17" t="s">
        <v>191</v>
      </c>
      <c r="AA3501" s="17" t="s">
        <v>46</v>
      </c>
      <c r="AB3501" s="17" t="s">
        <v>1150</v>
      </c>
      <c r="AC3501" s="102" t="s">
        <v>1151</v>
      </c>
      <c r="AD3501" s="65">
        <v>1455</v>
      </c>
      <c r="AE3501" s="17" t="s">
        <v>74</v>
      </c>
    </row>
    <row r="3502" s="17" customFormat="1" ht="15.6" hidden="1" spans="1:31">
      <c r="A3502" s="17" t="s">
        <v>34</v>
      </c>
      <c r="B3502" s="19">
        <v>916</v>
      </c>
      <c r="C3502" s="183" t="s">
        <v>1173</v>
      </c>
      <c r="D3502" s="17" t="s">
        <v>52</v>
      </c>
      <c r="E3502" s="17" t="s">
        <v>1113</v>
      </c>
      <c r="F3502" s="17" t="s">
        <v>54</v>
      </c>
      <c r="H3502" s="19" t="s">
        <v>1114</v>
      </c>
      <c r="I3502" s="19"/>
      <c r="J3502" s="17" t="s">
        <v>82</v>
      </c>
      <c r="K3502" s="19">
        <v>205</v>
      </c>
      <c r="L3502" s="19">
        <v>105</v>
      </c>
      <c r="M3502" s="19">
        <v>2200</v>
      </c>
      <c r="N3502" s="19" t="s">
        <v>66</v>
      </c>
      <c r="O3502" s="19" t="s">
        <v>141</v>
      </c>
      <c r="P3502" s="19">
        <v>1146</v>
      </c>
      <c r="Q3502" s="19">
        <f>386+381+383+382+382+388+383+387</f>
        <v>3072</v>
      </c>
      <c r="R3502" s="19">
        <f>+P3502-Q3502</f>
        <v>-1926</v>
      </c>
      <c r="S3502" s="274">
        <v>1070</v>
      </c>
      <c r="T3502" s="19" t="s">
        <v>42</v>
      </c>
      <c r="U3502" s="102" t="s">
        <v>1174</v>
      </c>
      <c r="V3502" s="186" t="s">
        <v>1175</v>
      </c>
      <c r="W3502" s="17" t="s">
        <v>69</v>
      </c>
      <c r="Y3502" s="68">
        <v>45161</v>
      </c>
      <c r="Z3502" s="17" t="s">
        <v>191</v>
      </c>
      <c r="AA3502" s="17" t="s">
        <v>46</v>
      </c>
      <c r="AB3502" s="17" t="s">
        <v>1150</v>
      </c>
      <c r="AC3502" s="102" t="s">
        <v>1151</v>
      </c>
      <c r="AD3502" s="65">
        <v>1455</v>
      </c>
      <c r="AE3502" s="17" t="s">
        <v>74</v>
      </c>
    </row>
    <row r="3503" s="17" customFormat="1" ht="15.6" hidden="1" spans="1:31">
      <c r="A3503" s="17" t="s">
        <v>34</v>
      </c>
      <c r="B3503" s="19">
        <v>916</v>
      </c>
      <c r="C3503" s="183" t="s">
        <v>1173</v>
      </c>
      <c r="D3503" s="17" t="s">
        <v>52</v>
      </c>
      <c r="E3503" s="17" t="s">
        <v>1113</v>
      </c>
      <c r="F3503" s="17" t="s">
        <v>54</v>
      </c>
      <c r="H3503" s="19" t="s">
        <v>1114</v>
      </c>
      <c r="I3503" s="19"/>
      <c r="J3503" s="17" t="s">
        <v>82</v>
      </c>
      <c r="K3503" s="19">
        <v>255</v>
      </c>
      <c r="L3503" s="19">
        <v>105</v>
      </c>
      <c r="M3503" s="19">
        <v>2200</v>
      </c>
      <c r="N3503" s="19" t="s">
        <v>66</v>
      </c>
      <c r="O3503" s="19" t="s">
        <v>141</v>
      </c>
      <c r="P3503" s="19">
        <v>950</v>
      </c>
      <c r="Q3503" s="19">
        <f>476+479+473+473+473</f>
        <v>2374</v>
      </c>
      <c r="R3503" s="19">
        <f>+P3503-Q3503</f>
        <v>-1424</v>
      </c>
      <c r="S3503" s="274">
        <v>1070</v>
      </c>
      <c r="T3503" s="19" t="s">
        <v>42</v>
      </c>
      <c r="U3503" s="102" t="s">
        <v>1174</v>
      </c>
      <c r="V3503" s="186" t="s">
        <v>1175</v>
      </c>
      <c r="W3503" s="17" t="s">
        <v>69</v>
      </c>
      <c r="Y3503" s="68">
        <v>45161</v>
      </c>
      <c r="Z3503" s="17" t="s">
        <v>191</v>
      </c>
      <c r="AA3503" s="17" t="s">
        <v>46</v>
      </c>
      <c r="AB3503" s="17" t="s">
        <v>1150</v>
      </c>
      <c r="AC3503" s="102" t="s">
        <v>1151</v>
      </c>
      <c r="AD3503" s="65">
        <v>1455</v>
      </c>
      <c r="AE3503" s="17" t="s">
        <v>74</v>
      </c>
    </row>
    <row r="3504" s="17" customFormat="1" ht="15.6" hidden="1" spans="1:31">
      <c r="A3504" s="17" t="s">
        <v>34</v>
      </c>
      <c r="B3504" s="19">
        <v>916</v>
      </c>
      <c r="C3504" s="183" t="s">
        <v>1173</v>
      </c>
      <c r="D3504" s="17" t="s">
        <v>52</v>
      </c>
      <c r="E3504" s="17" t="s">
        <v>1113</v>
      </c>
      <c r="F3504" s="17" t="s">
        <v>54</v>
      </c>
      <c r="H3504" s="19" t="s">
        <v>1114</v>
      </c>
      <c r="I3504" s="19"/>
      <c r="J3504" s="17" t="s">
        <v>82</v>
      </c>
      <c r="K3504" s="19">
        <v>305</v>
      </c>
      <c r="L3504" s="19">
        <v>105</v>
      </c>
      <c r="M3504" s="19">
        <v>2200</v>
      </c>
      <c r="N3504" s="19" t="s">
        <v>66</v>
      </c>
      <c r="O3504" s="19" t="s">
        <v>141</v>
      </c>
      <c r="P3504" s="19">
        <v>1704</v>
      </c>
      <c r="Q3504" s="19">
        <f>564+567</f>
        <v>1131</v>
      </c>
      <c r="S3504" s="274">
        <v>1070</v>
      </c>
      <c r="T3504" s="19" t="s">
        <v>42</v>
      </c>
      <c r="U3504" s="102" t="s">
        <v>1174</v>
      </c>
      <c r="V3504" s="186" t="s">
        <v>1175</v>
      </c>
      <c r="W3504" s="17" t="s">
        <v>69</v>
      </c>
      <c r="Y3504" s="68">
        <v>45161</v>
      </c>
      <c r="Z3504" s="17" t="s">
        <v>191</v>
      </c>
      <c r="AA3504" s="17" t="s">
        <v>46</v>
      </c>
      <c r="AB3504" s="17" t="s">
        <v>1176</v>
      </c>
      <c r="AC3504" s="102" t="s">
        <v>1117</v>
      </c>
      <c r="AD3504" s="65">
        <v>1442</v>
      </c>
      <c r="AE3504" s="17" t="s">
        <v>74</v>
      </c>
    </row>
    <row r="3505" s="17" customFormat="1" ht="15.6" hidden="1" spans="1:31">
      <c r="A3505" s="17" t="s">
        <v>34</v>
      </c>
      <c r="B3505" s="19">
        <v>916</v>
      </c>
      <c r="C3505" s="183" t="s">
        <v>1173</v>
      </c>
      <c r="D3505" s="17" t="s">
        <v>52</v>
      </c>
      <c r="E3505" s="17" t="s">
        <v>1113</v>
      </c>
      <c r="F3505" s="17" t="s">
        <v>54</v>
      </c>
      <c r="H3505" s="19" t="s">
        <v>1114</v>
      </c>
      <c r="I3505" s="19"/>
      <c r="J3505" s="17" t="s">
        <v>82</v>
      </c>
      <c r="K3505" s="19">
        <v>305</v>
      </c>
      <c r="L3505" s="19">
        <v>105</v>
      </c>
      <c r="M3505" s="19">
        <v>2200</v>
      </c>
      <c r="N3505" s="19" t="s">
        <v>66</v>
      </c>
      <c r="O3505" s="19" t="s">
        <v>141</v>
      </c>
      <c r="P3505" s="19"/>
      <c r="Q3505" s="19">
        <v>572</v>
      </c>
      <c r="S3505" s="274">
        <v>1070</v>
      </c>
      <c r="T3505" s="19" t="s">
        <v>42</v>
      </c>
      <c r="U3505" s="102" t="s">
        <v>1174</v>
      </c>
      <c r="V3505" s="186" t="s">
        <v>1175</v>
      </c>
      <c r="W3505" s="17" t="s">
        <v>69</v>
      </c>
      <c r="Y3505" s="68">
        <v>45161</v>
      </c>
      <c r="Z3505" s="17" t="s">
        <v>191</v>
      </c>
      <c r="AA3505" s="17" t="s">
        <v>46</v>
      </c>
      <c r="AB3505" s="17" t="s">
        <v>1131</v>
      </c>
      <c r="AC3505" s="102" t="s">
        <v>1132</v>
      </c>
      <c r="AD3505" s="65">
        <v>1444</v>
      </c>
      <c r="AE3505" s="17" t="s">
        <v>74</v>
      </c>
    </row>
    <row r="3506" s="17" customFormat="1" ht="15.6" hidden="1" spans="1:31">
      <c r="A3506" s="17" t="s">
        <v>34</v>
      </c>
      <c r="B3506" s="19">
        <v>916</v>
      </c>
      <c r="C3506" s="183" t="s">
        <v>1173</v>
      </c>
      <c r="D3506" s="17" t="s">
        <v>52</v>
      </c>
      <c r="E3506" s="17" t="s">
        <v>1113</v>
      </c>
      <c r="F3506" s="17" t="s">
        <v>54</v>
      </c>
      <c r="H3506" s="19" t="s">
        <v>1114</v>
      </c>
      <c r="I3506" s="19"/>
      <c r="J3506" s="17" t="s">
        <v>82</v>
      </c>
      <c r="K3506" s="19">
        <v>305</v>
      </c>
      <c r="L3506" s="19">
        <v>105</v>
      </c>
      <c r="M3506" s="19">
        <v>2200</v>
      </c>
      <c r="N3506" s="19" t="s">
        <v>66</v>
      </c>
      <c r="O3506" s="19" t="s">
        <v>141</v>
      </c>
      <c r="P3506" s="19"/>
      <c r="Q3506" s="19">
        <f>565+565+565</f>
        <v>1695</v>
      </c>
      <c r="S3506" s="274">
        <v>1070</v>
      </c>
      <c r="T3506" s="19" t="s">
        <v>42</v>
      </c>
      <c r="U3506" s="102" t="s">
        <v>1174</v>
      </c>
      <c r="V3506" s="186" t="s">
        <v>1175</v>
      </c>
      <c r="W3506" s="17" t="s">
        <v>69</v>
      </c>
      <c r="Y3506" s="68">
        <v>45161</v>
      </c>
      <c r="Z3506" s="17" t="s">
        <v>191</v>
      </c>
      <c r="AA3506" s="17" t="s">
        <v>46</v>
      </c>
      <c r="AB3506" s="17" t="s">
        <v>1150</v>
      </c>
      <c r="AC3506" s="102" t="s">
        <v>1151</v>
      </c>
      <c r="AD3506" s="65">
        <v>1455</v>
      </c>
      <c r="AE3506" s="17" t="s">
        <v>74</v>
      </c>
    </row>
    <row r="3507" s="17" customFormat="1" ht="15.6" hidden="1" spans="1:31">
      <c r="A3507" s="17" t="s">
        <v>34</v>
      </c>
      <c r="B3507" s="19">
        <v>916</v>
      </c>
      <c r="C3507" s="183" t="s">
        <v>1173</v>
      </c>
      <c r="D3507" s="17" t="s">
        <v>52</v>
      </c>
      <c r="E3507" s="17" t="s">
        <v>1113</v>
      </c>
      <c r="F3507" s="17" t="s">
        <v>54</v>
      </c>
      <c r="H3507" s="19" t="s">
        <v>1114</v>
      </c>
      <c r="I3507" s="19"/>
      <c r="J3507" s="17" t="s">
        <v>82</v>
      </c>
      <c r="K3507" s="19">
        <v>305</v>
      </c>
      <c r="L3507" s="19">
        <v>105</v>
      </c>
      <c r="M3507" s="19">
        <v>2200</v>
      </c>
      <c r="N3507" s="19" t="s">
        <v>66</v>
      </c>
      <c r="O3507" s="19" t="s">
        <v>141</v>
      </c>
      <c r="P3507" s="19"/>
      <c r="Q3507" s="19">
        <f>567+565</f>
        <v>1132</v>
      </c>
      <c r="R3507" s="19">
        <f>+P3504-Q3504-Q3505-Q3506-Q3507</f>
        <v>-2826</v>
      </c>
      <c r="S3507" s="274">
        <v>1070</v>
      </c>
      <c r="T3507" s="19" t="s">
        <v>42</v>
      </c>
      <c r="U3507" s="102" t="s">
        <v>1174</v>
      </c>
      <c r="V3507" s="186" t="s">
        <v>1175</v>
      </c>
      <c r="W3507" s="17" t="s">
        <v>69</v>
      </c>
      <c r="Y3507" s="68">
        <v>45161</v>
      </c>
      <c r="Z3507" s="17" t="s">
        <v>191</v>
      </c>
      <c r="AA3507" s="17" t="s">
        <v>46</v>
      </c>
      <c r="AB3507" s="17" t="s">
        <v>1137</v>
      </c>
      <c r="AC3507" s="217">
        <v>45210</v>
      </c>
      <c r="AD3507" s="65">
        <v>1489</v>
      </c>
    </row>
    <row r="3508" s="17" customFormat="1" ht="15.6" hidden="1" spans="1:31">
      <c r="A3508" s="17" t="s">
        <v>34</v>
      </c>
      <c r="B3508" s="19">
        <v>916</v>
      </c>
      <c r="C3508" s="183" t="s">
        <v>1173</v>
      </c>
      <c r="D3508" s="17" t="s">
        <v>52</v>
      </c>
      <c r="E3508" s="17" t="s">
        <v>1113</v>
      </c>
      <c r="F3508" s="17" t="s">
        <v>54</v>
      </c>
      <c r="H3508" s="19" t="s">
        <v>1114</v>
      </c>
      <c r="I3508" s="19"/>
      <c r="J3508" s="17" t="s">
        <v>82</v>
      </c>
      <c r="K3508" s="19">
        <v>355</v>
      </c>
      <c r="L3508" s="19">
        <v>105</v>
      </c>
      <c r="M3508" s="19">
        <v>2200</v>
      </c>
      <c r="N3508" s="19" t="s">
        <v>66</v>
      </c>
      <c r="O3508" s="19" t="s">
        <v>141</v>
      </c>
      <c r="P3508" s="19">
        <v>1984</v>
      </c>
      <c r="Q3508" s="19">
        <f>654+660</f>
        <v>1314</v>
      </c>
      <c r="S3508" s="274">
        <v>1070</v>
      </c>
      <c r="T3508" s="19" t="s">
        <v>42</v>
      </c>
      <c r="U3508" s="102" t="s">
        <v>1174</v>
      </c>
      <c r="V3508" s="186" t="s">
        <v>1175</v>
      </c>
      <c r="W3508" s="17" t="s">
        <v>69</v>
      </c>
      <c r="Y3508" s="68">
        <v>45161</v>
      </c>
      <c r="Z3508" s="17" t="s">
        <v>191</v>
      </c>
      <c r="AA3508" s="17" t="s">
        <v>46</v>
      </c>
      <c r="AB3508" s="17" t="s">
        <v>1176</v>
      </c>
      <c r="AC3508" s="102" t="s">
        <v>1117</v>
      </c>
      <c r="AD3508" s="65">
        <v>1442</v>
      </c>
      <c r="AE3508" s="17" t="s">
        <v>74</v>
      </c>
    </row>
    <row r="3509" s="17" customFormat="1" ht="15.6" hidden="1" spans="1:31">
      <c r="A3509" s="17" t="s">
        <v>34</v>
      </c>
      <c r="B3509" s="19">
        <v>916</v>
      </c>
      <c r="C3509" s="183" t="s">
        <v>1173</v>
      </c>
      <c r="D3509" s="17" t="s">
        <v>52</v>
      </c>
      <c r="E3509" s="17" t="s">
        <v>1113</v>
      </c>
      <c r="F3509" s="17" t="s">
        <v>54</v>
      </c>
      <c r="H3509" s="19" t="s">
        <v>1114</v>
      </c>
      <c r="I3509" s="19"/>
      <c r="J3509" s="17" t="s">
        <v>82</v>
      </c>
      <c r="K3509" s="19">
        <v>355</v>
      </c>
      <c r="L3509" s="19">
        <v>105</v>
      </c>
      <c r="M3509" s="19">
        <v>2200</v>
      </c>
      <c r="N3509" s="19" t="s">
        <v>66</v>
      </c>
      <c r="O3509" s="19" t="s">
        <v>141</v>
      </c>
      <c r="P3509" s="19"/>
      <c r="Q3509" s="19">
        <v>660</v>
      </c>
      <c r="S3509" s="274">
        <v>1070</v>
      </c>
      <c r="T3509" s="19" t="s">
        <v>42</v>
      </c>
      <c r="U3509" s="102" t="s">
        <v>1174</v>
      </c>
      <c r="V3509" s="186" t="s">
        <v>1175</v>
      </c>
      <c r="W3509" s="17" t="s">
        <v>69</v>
      </c>
      <c r="Y3509" s="68">
        <v>45161</v>
      </c>
      <c r="Z3509" s="17" t="s">
        <v>191</v>
      </c>
      <c r="AA3509" s="17" t="s">
        <v>46</v>
      </c>
      <c r="AB3509" s="17" t="s">
        <v>1131</v>
      </c>
      <c r="AC3509" s="102" t="s">
        <v>1132</v>
      </c>
      <c r="AD3509" s="65">
        <v>1444</v>
      </c>
      <c r="AE3509" s="17" t="s">
        <v>74</v>
      </c>
    </row>
    <row r="3510" s="17" customFormat="1" ht="15.6" hidden="1" spans="1:31">
      <c r="A3510" s="17" t="s">
        <v>34</v>
      </c>
      <c r="B3510" s="19">
        <v>916</v>
      </c>
      <c r="C3510" s="183" t="s">
        <v>1173</v>
      </c>
      <c r="D3510" s="17" t="s">
        <v>52</v>
      </c>
      <c r="E3510" s="17" t="s">
        <v>1113</v>
      </c>
      <c r="F3510" s="17" t="s">
        <v>54</v>
      </c>
      <c r="H3510" s="19" t="s">
        <v>1114</v>
      </c>
      <c r="I3510" s="19"/>
      <c r="J3510" s="17" t="s">
        <v>82</v>
      </c>
      <c r="K3510" s="19">
        <v>355</v>
      </c>
      <c r="L3510" s="19">
        <v>105</v>
      </c>
      <c r="M3510" s="19">
        <v>2200</v>
      </c>
      <c r="N3510" s="19" t="s">
        <v>66</v>
      </c>
      <c r="O3510" s="19" t="s">
        <v>141</v>
      </c>
      <c r="P3510" s="19"/>
      <c r="Q3510" s="19">
        <f>654+655</f>
        <v>1309</v>
      </c>
      <c r="S3510" s="274">
        <v>1070</v>
      </c>
      <c r="T3510" s="19" t="s">
        <v>42</v>
      </c>
      <c r="U3510" s="102" t="s">
        <v>1174</v>
      </c>
      <c r="V3510" s="186" t="s">
        <v>1175</v>
      </c>
      <c r="W3510" s="17" t="s">
        <v>69</v>
      </c>
      <c r="Y3510" s="68">
        <v>45161</v>
      </c>
      <c r="Z3510" s="17" t="s">
        <v>191</v>
      </c>
      <c r="AA3510" s="17" t="s">
        <v>46</v>
      </c>
      <c r="AB3510" s="17" t="s">
        <v>1150</v>
      </c>
      <c r="AC3510" s="102" t="s">
        <v>1151</v>
      </c>
      <c r="AD3510" s="65">
        <v>1455</v>
      </c>
      <c r="AE3510" s="17" t="s">
        <v>74</v>
      </c>
    </row>
    <row r="3511" s="17" customFormat="1" ht="15.6" hidden="1" spans="1:31">
      <c r="A3511" s="17" t="s">
        <v>34</v>
      </c>
      <c r="B3511" s="19">
        <v>916</v>
      </c>
      <c r="C3511" s="183" t="s">
        <v>1173</v>
      </c>
      <c r="D3511" s="17" t="s">
        <v>52</v>
      </c>
      <c r="E3511" s="17" t="s">
        <v>1113</v>
      </c>
      <c r="F3511" s="17" t="s">
        <v>54</v>
      </c>
      <c r="H3511" s="19" t="s">
        <v>1114</v>
      </c>
      <c r="I3511" s="19"/>
      <c r="J3511" s="17" t="s">
        <v>82</v>
      </c>
      <c r="K3511" s="19">
        <v>355</v>
      </c>
      <c r="L3511" s="19">
        <v>105</v>
      </c>
      <c r="M3511" s="19">
        <v>2200</v>
      </c>
      <c r="N3511" s="19" t="s">
        <v>66</v>
      </c>
      <c r="O3511" s="19" t="s">
        <v>141</v>
      </c>
      <c r="P3511" s="19"/>
      <c r="Q3511" s="19">
        <v>656</v>
      </c>
      <c r="R3511" s="19">
        <f>+P3508-Q3508-Q3509-Q3510-Q3511</f>
        <v>-1955</v>
      </c>
      <c r="S3511" s="274">
        <f>1070-40</f>
        <v>1030</v>
      </c>
      <c r="T3511" s="19" t="s">
        <v>42</v>
      </c>
      <c r="U3511" s="102" t="s">
        <v>1174</v>
      </c>
      <c r="V3511" s="186" t="s">
        <v>1175</v>
      </c>
      <c r="W3511" s="17" t="s">
        <v>44</v>
      </c>
      <c r="Y3511" s="68">
        <v>45161</v>
      </c>
      <c r="Z3511" s="17" t="s">
        <v>191</v>
      </c>
      <c r="AA3511" s="17" t="s">
        <v>46</v>
      </c>
      <c r="AB3511" s="17" t="s">
        <v>1138</v>
      </c>
      <c r="AC3511" s="102" t="s">
        <v>1139</v>
      </c>
      <c r="AD3511" s="65">
        <v>1473</v>
      </c>
    </row>
    <row r="3512" s="17" customFormat="1" ht="15.6" hidden="1" spans="1:31">
      <c r="A3512" s="17" t="s">
        <v>34</v>
      </c>
      <c r="B3512" s="19">
        <v>916</v>
      </c>
      <c r="C3512" s="183" t="s">
        <v>1173</v>
      </c>
      <c r="D3512" s="17" t="s">
        <v>52</v>
      </c>
      <c r="E3512" s="17" t="s">
        <v>1113</v>
      </c>
      <c r="F3512" s="17" t="s">
        <v>54</v>
      </c>
      <c r="H3512" s="19" t="s">
        <v>1114</v>
      </c>
      <c r="I3512" s="19"/>
      <c r="J3512" s="17" t="s">
        <v>82</v>
      </c>
      <c r="K3512" s="19">
        <v>405</v>
      </c>
      <c r="L3512" s="19">
        <v>105</v>
      </c>
      <c r="M3512" s="19">
        <v>2200</v>
      </c>
      <c r="N3512" s="19" t="s">
        <v>66</v>
      </c>
      <c r="O3512" s="19" t="s">
        <v>141</v>
      </c>
      <c r="P3512" s="19">
        <v>1509</v>
      </c>
      <c r="Q3512" s="19">
        <f>750+752</f>
        <v>1502</v>
      </c>
      <c r="S3512" s="274">
        <v>1070</v>
      </c>
      <c r="T3512" s="19" t="s">
        <v>42</v>
      </c>
      <c r="U3512" s="102" t="s">
        <v>1174</v>
      </c>
      <c r="V3512" s="186" t="s">
        <v>1175</v>
      </c>
      <c r="W3512" s="17" t="s">
        <v>69</v>
      </c>
      <c r="Y3512" s="68">
        <v>45161</v>
      </c>
      <c r="Z3512" s="17" t="s">
        <v>191</v>
      </c>
      <c r="AA3512" s="17" t="s">
        <v>46</v>
      </c>
      <c r="AB3512" s="17" t="s">
        <v>1176</v>
      </c>
      <c r="AC3512" s="102" t="s">
        <v>1117</v>
      </c>
      <c r="AD3512" s="65">
        <v>1442</v>
      </c>
      <c r="AE3512" s="17" t="s">
        <v>74</v>
      </c>
    </row>
    <row r="3513" s="17" customFormat="1" ht="15.6" hidden="1" spans="1:31">
      <c r="A3513" s="17" t="s">
        <v>34</v>
      </c>
      <c r="B3513" s="19">
        <v>916</v>
      </c>
      <c r="C3513" s="183" t="s">
        <v>1173</v>
      </c>
      <c r="D3513" s="17" t="s">
        <v>52</v>
      </c>
      <c r="E3513" s="17" t="s">
        <v>1113</v>
      </c>
      <c r="F3513" s="17" t="s">
        <v>54</v>
      </c>
      <c r="H3513" s="19" t="s">
        <v>1114</v>
      </c>
      <c r="I3513" s="19"/>
      <c r="J3513" s="17" t="s">
        <v>82</v>
      </c>
      <c r="K3513" s="19">
        <v>405</v>
      </c>
      <c r="L3513" s="19">
        <v>105</v>
      </c>
      <c r="M3513" s="19">
        <v>2200</v>
      </c>
      <c r="N3513" s="19" t="s">
        <v>66</v>
      </c>
      <c r="O3513" s="19" t="s">
        <v>141</v>
      </c>
      <c r="P3513" s="19"/>
      <c r="Q3513" s="19">
        <f>717+754+754+754</f>
        <v>2979</v>
      </c>
      <c r="S3513" s="274">
        <f>1070-40</f>
        <v>1030</v>
      </c>
      <c r="T3513" s="19" t="s">
        <v>42</v>
      </c>
      <c r="U3513" s="102" t="s">
        <v>1174</v>
      </c>
      <c r="V3513" s="186" t="s">
        <v>1175</v>
      </c>
      <c r="W3513" s="17" t="s">
        <v>44</v>
      </c>
      <c r="Y3513" s="68">
        <v>45161</v>
      </c>
      <c r="Z3513" s="17" t="s">
        <v>191</v>
      </c>
      <c r="AA3513" s="17" t="s">
        <v>46</v>
      </c>
      <c r="AB3513" s="17" t="s">
        <v>1138</v>
      </c>
      <c r="AC3513" s="102" t="s">
        <v>1139</v>
      </c>
      <c r="AD3513" s="65">
        <v>1473</v>
      </c>
    </row>
    <row r="3514" s="17" customFormat="1" ht="15.6" hidden="1" spans="1:31">
      <c r="A3514" s="17" t="s">
        <v>34</v>
      </c>
      <c r="B3514" s="19">
        <v>916</v>
      </c>
      <c r="C3514" s="183" t="s">
        <v>1173</v>
      </c>
      <c r="D3514" s="17" t="s">
        <v>52</v>
      </c>
      <c r="E3514" s="17" t="s">
        <v>1113</v>
      </c>
      <c r="F3514" s="17" t="s">
        <v>54</v>
      </c>
      <c r="H3514" s="19" t="s">
        <v>1114</v>
      </c>
      <c r="I3514" s="19"/>
      <c r="J3514" s="17" t="s">
        <v>82</v>
      </c>
      <c r="K3514" s="19">
        <v>405</v>
      </c>
      <c r="L3514" s="19">
        <v>105</v>
      </c>
      <c r="M3514" s="19">
        <v>2200</v>
      </c>
      <c r="N3514" s="19" t="s">
        <v>66</v>
      </c>
      <c r="O3514" s="19" t="s">
        <v>141</v>
      </c>
      <c r="P3514" s="19"/>
      <c r="Q3514" s="19">
        <v>747</v>
      </c>
      <c r="R3514" s="19">
        <f>+P3512-Q3512-Q3513-Q3514</f>
        <v>-3719</v>
      </c>
      <c r="S3514" s="274">
        <v>1070</v>
      </c>
      <c r="T3514" s="19" t="s">
        <v>42</v>
      </c>
      <c r="U3514" s="102" t="s">
        <v>1174</v>
      </c>
      <c r="V3514" s="186" t="s">
        <v>1175</v>
      </c>
      <c r="W3514" s="17" t="s">
        <v>69</v>
      </c>
      <c r="Y3514" s="68">
        <v>45161</v>
      </c>
      <c r="Z3514" s="17" t="s">
        <v>191</v>
      </c>
      <c r="AA3514" s="17" t="s">
        <v>46</v>
      </c>
      <c r="AB3514" s="17" t="s">
        <v>1137</v>
      </c>
      <c r="AC3514" s="217">
        <v>45210</v>
      </c>
      <c r="AD3514" s="65">
        <v>1489</v>
      </c>
    </row>
    <row r="3515" s="17" customFormat="1" ht="15.6" hidden="1" spans="1:31">
      <c r="A3515" s="17" t="s">
        <v>34</v>
      </c>
      <c r="B3515" s="19">
        <v>916</v>
      </c>
      <c r="C3515" s="183" t="s">
        <v>1173</v>
      </c>
      <c r="D3515" s="17" t="s">
        <v>52</v>
      </c>
      <c r="E3515" s="17" t="s">
        <v>1113</v>
      </c>
      <c r="F3515" s="17" t="s">
        <v>54</v>
      </c>
      <c r="H3515" s="19" t="s">
        <v>1114</v>
      </c>
      <c r="I3515" s="19"/>
      <c r="J3515" s="17" t="s">
        <v>82</v>
      </c>
      <c r="K3515" s="19">
        <v>455</v>
      </c>
      <c r="L3515" s="19">
        <v>105</v>
      </c>
      <c r="M3515" s="19">
        <v>2200</v>
      </c>
      <c r="N3515" s="19" t="s">
        <v>66</v>
      </c>
      <c r="O3515" s="19" t="s">
        <v>141</v>
      </c>
      <c r="P3515" s="19">
        <v>1695</v>
      </c>
      <c r="Q3515" s="19">
        <f>838+837</f>
        <v>1675</v>
      </c>
      <c r="S3515" s="274">
        <v>1070</v>
      </c>
      <c r="T3515" s="19" t="s">
        <v>42</v>
      </c>
      <c r="U3515" s="102" t="s">
        <v>1174</v>
      </c>
      <c r="V3515" s="186" t="s">
        <v>1175</v>
      </c>
      <c r="W3515" s="17" t="s">
        <v>69</v>
      </c>
      <c r="Y3515" s="68">
        <v>45161</v>
      </c>
      <c r="Z3515" s="17" t="s">
        <v>191</v>
      </c>
      <c r="AA3515" s="17" t="s">
        <v>46</v>
      </c>
      <c r="AB3515" s="17" t="s">
        <v>1176</v>
      </c>
      <c r="AC3515" s="102" t="s">
        <v>1117</v>
      </c>
      <c r="AD3515" s="65">
        <v>1442</v>
      </c>
      <c r="AE3515" s="17" t="s">
        <v>74</v>
      </c>
    </row>
    <row r="3516" s="17" customFormat="1" ht="15.6" hidden="1" spans="1:31">
      <c r="A3516" s="17" t="s">
        <v>34</v>
      </c>
      <c r="B3516" s="19">
        <v>916</v>
      </c>
      <c r="C3516" s="183" t="s">
        <v>1173</v>
      </c>
      <c r="D3516" s="17" t="s">
        <v>52</v>
      </c>
      <c r="E3516" s="17" t="s">
        <v>1113</v>
      </c>
      <c r="F3516" s="17" t="s">
        <v>54</v>
      </c>
      <c r="H3516" s="19" t="s">
        <v>1114</v>
      </c>
      <c r="I3516" s="19"/>
      <c r="J3516" s="17" t="s">
        <v>82</v>
      </c>
      <c r="K3516" s="19">
        <v>455</v>
      </c>
      <c r="L3516" s="19">
        <v>105</v>
      </c>
      <c r="M3516" s="19">
        <v>2200</v>
      </c>
      <c r="N3516" s="19" t="s">
        <v>66</v>
      </c>
      <c r="O3516" s="19" t="s">
        <v>141</v>
      </c>
      <c r="P3516" s="19"/>
      <c r="Q3516" s="19">
        <v>844</v>
      </c>
      <c r="S3516" s="274">
        <v>1070</v>
      </c>
      <c r="T3516" s="19" t="s">
        <v>42</v>
      </c>
      <c r="U3516" s="102" t="s">
        <v>1174</v>
      </c>
      <c r="V3516" s="186" t="s">
        <v>1175</v>
      </c>
      <c r="W3516" s="17" t="s">
        <v>69</v>
      </c>
      <c r="Y3516" s="68">
        <v>45161</v>
      </c>
      <c r="Z3516" s="17" t="s">
        <v>191</v>
      </c>
      <c r="AA3516" s="17" t="s">
        <v>46</v>
      </c>
      <c r="AB3516" s="17" t="s">
        <v>1122</v>
      </c>
      <c r="AC3516" s="217">
        <v>44965</v>
      </c>
      <c r="AD3516" s="65">
        <v>1450</v>
      </c>
      <c r="AE3516" s="17" t="s">
        <v>74</v>
      </c>
    </row>
    <row r="3517" s="17" customFormat="1" ht="15.6" hidden="1" spans="1:31">
      <c r="A3517" s="17" t="s">
        <v>34</v>
      </c>
      <c r="B3517" s="19">
        <v>916</v>
      </c>
      <c r="C3517" s="183" t="s">
        <v>1173</v>
      </c>
      <c r="D3517" s="17" t="s">
        <v>52</v>
      </c>
      <c r="E3517" s="17" t="s">
        <v>1113</v>
      </c>
      <c r="F3517" s="17" t="s">
        <v>54</v>
      </c>
      <c r="H3517" s="19" t="s">
        <v>1114</v>
      </c>
      <c r="I3517" s="19"/>
      <c r="J3517" s="17" t="s">
        <v>82</v>
      </c>
      <c r="K3517" s="19">
        <v>455</v>
      </c>
      <c r="L3517" s="19">
        <v>105</v>
      </c>
      <c r="M3517" s="19">
        <v>2200</v>
      </c>
      <c r="N3517" s="19" t="s">
        <v>66</v>
      </c>
      <c r="O3517" s="19" t="s">
        <v>141</v>
      </c>
      <c r="P3517" s="19"/>
      <c r="Q3517" s="19">
        <v>847</v>
      </c>
      <c r="S3517" s="274">
        <v>1070</v>
      </c>
      <c r="T3517" s="19" t="s">
        <v>42</v>
      </c>
      <c r="U3517" s="102" t="s">
        <v>1174</v>
      </c>
      <c r="V3517" s="186" t="s">
        <v>1175</v>
      </c>
      <c r="W3517" s="17" t="s">
        <v>69</v>
      </c>
      <c r="Y3517" s="68">
        <v>45161</v>
      </c>
      <c r="Z3517" s="17" t="s">
        <v>191</v>
      </c>
      <c r="AA3517" s="17" t="s">
        <v>46</v>
      </c>
      <c r="AB3517" s="17" t="s">
        <v>1150</v>
      </c>
      <c r="AC3517" s="102" t="s">
        <v>1151</v>
      </c>
      <c r="AD3517" s="65">
        <v>1455</v>
      </c>
      <c r="AE3517" s="17" t="s">
        <v>74</v>
      </c>
    </row>
    <row r="3518" s="17" customFormat="1" ht="15.6" hidden="1" spans="1:31">
      <c r="A3518" s="17" t="s">
        <v>34</v>
      </c>
      <c r="B3518" s="19">
        <v>916</v>
      </c>
      <c r="C3518" s="183" t="s">
        <v>1173</v>
      </c>
      <c r="D3518" s="17" t="s">
        <v>52</v>
      </c>
      <c r="E3518" s="17" t="s">
        <v>1113</v>
      </c>
      <c r="F3518" s="17" t="s">
        <v>54</v>
      </c>
      <c r="H3518" s="19" t="s">
        <v>1114</v>
      </c>
      <c r="I3518" s="19"/>
      <c r="J3518" s="17" t="s">
        <v>82</v>
      </c>
      <c r="K3518" s="19">
        <v>455</v>
      </c>
      <c r="L3518" s="19">
        <v>105</v>
      </c>
      <c r="M3518" s="19">
        <v>2200</v>
      </c>
      <c r="N3518" s="19" t="s">
        <v>66</v>
      </c>
      <c r="O3518" s="19" t="s">
        <v>141</v>
      </c>
      <c r="P3518" s="19"/>
      <c r="Q3518" s="19">
        <v>838</v>
      </c>
      <c r="R3518" s="19">
        <f>+P3515-Q3515-Q3516-Q3517-Q3518</f>
        <v>-2509</v>
      </c>
      <c r="S3518" s="274">
        <v>1070</v>
      </c>
      <c r="T3518" s="19" t="s">
        <v>42</v>
      </c>
      <c r="U3518" s="102" t="s">
        <v>1174</v>
      </c>
      <c r="V3518" s="186" t="s">
        <v>1175</v>
      </c>
      <c r="W3518" s="17" t="s">
        <v>69</v>
      </c>
      <c r="Y3518" s="68">
        <v>45161</v>
      </c>
      <c r="Z3518" s="17" t="s">
        <v>191</v>
      </c>
      <c r="AA3518" s="17" t="s">
        <v>46</v>
      </c>
      <c r="AB3518" s="17" t="s">
        <v>1137</v>
      </c>
      <c r="AC3518" s="217">
        <v>45210</v>
      </c>
      <c r="AD3518" s="65">
        <v>1489</v>
      </c>
    </row>
    <row r="3519" s="17" customFormat="1" ht="15.6" hidden="1" spans="1:31">
      <c r="A3519" s="17" t="s">
        <v>34</v>
      </c>
      <c r="B3519" s="19">
        <v>916</v>
      </c>
      <c r="C3519" s="183" t="s">
        <v>1173</v>
      </c>
      <c r="D3519" s="17" t="s">
        <v>52</v>
      </c>
      <c r="E3519" s="17" t="s">
        <v>1113</v>
      </c>
      <c r="F3519" s="17" t="s">
        <v>54</v>
      </c>
      <c r="H3519" s="19" t="s">
        <v>1114</v>
      </c>
      <c r="I3519" s="19"/>
      <c r="J3519" s="17" t="s">
        <v>82</v>
      </c>
      <c r="K3519" s="19">
        <v>505</v>
      </c>
      <c r="L3519" s="19">
        <v>105</v>
      </c>
      <c r="M3519" s="19">
        <v>2200</v>
      </c>
      <c r="N3519" s="19" t="s">
        <v>66</v>
      </c>
      <c r="O3519" s="19" t="s">
        <v>141</v>
      </c>
      <c r="P3519" s="19">
        <v>1881</v>
      </c>
      <c r="Q3519" s="19">
        <f>932+932</f>
        <v>1864</v>
      </c>
      <c r="S3519" s="274">
        <v>1070</v>
      </c>
      <c r="T3519" s="19" t="s">
        <v>42</v>
      </c>
      <c r="U3519" s="102" t="s">
        <v>1174</v>
      </c>
      <c r="V3519" s="186" t="s">
        <v>1175</v>
      </c>
      <c r="W3519" s="17" t="s">
        <v>69</v>
      </c>
      <c r="Y3519" s="68">
        <v>45161</v>
      </c>
      <c r="Z3519" s="17" t="s">
        <v>191</v>
      </c>
      <c r="AA3519" s="17" t="s">
        <v>46</v>
      </c>
      <c r="AB3519" s="17" t="s">
        <v>1131</v>
      </c>
      <c r="AC3519" s="102" t="s">
        <v>1132</v>
      </c>
      <c r="AD3519" s="65">
        <v>1444</v>
      </c>
      <c r="AE3519" s="17" t="s">
        <v>74</v>
      </c>
    </row>
    <row r="3520" s="17" customFormat="1" ht="15.6" hidden="1" spans="1:31">
      <c r="A3520" s="17" t="s">
        <v>34</v>
      </c>
      <c r="B3520" s="19">
        <v>916</v>
      </c>
      <c r="C3520" s="183" t="s">
        <v>1173</v>
      </c>
      <c r="D3520" s="17" t="s">
        <v>52</v>
      </c>
      <c r="E3520" s="17" t="s">
        <v>1113</v>
      </c>
      <c r="F3520" s="17" t="s">
        <v>54</v>
      </c>
      <c r="H3520" s="19" t="s">
        <v>1114</v>
      </c>
      <c r="I3520" s="19"/>
      <c r="J3520" s="17" t="s">
        <v>82</v>
      </c>
      <c r="K3520" s="19">
        <v>505</v>
      </c>
      <c r="L3520" s="19">
        <v>105</v>
      </c>
      <c r="M3520" s="19">
        <v>2200</v>
      </c>
      <c r="N3520" s="19" t="s">
        <v>66</v>
      </c>
      <c r="O3520" s="19" t="s">
        <v>141</v>
      </c>
      <c r="P3520" s="19"/>
      <c r="Q3520" s="19">
        <f>934+936</f>
        <v>1870</v>
      </c>
      <c r="R3520" s="19">
        <f>+P3519-Q3519-Q3520</f>
        <v>-1853</v>
      </c>
      <c r="S3520" s="274">
        <f>1070-40</f>
        <v>1030</v>
      </c>
      <c r="T3520" s="19" t="s">
        <v>42</v>
      </c>
      <c r="U3520" s="102" t="s">
        <v>1174</v>
      </c>
      <c r="V3520" s="186" t="s">
        <v>1175</v>
      </c>
      <c r="W3520" s="17" t="s">
        <v>44</v>
      </c>
      <c r="Y3520" s="68">
        <v>45161</v>
      </c>
      <c r="Z3520" s="17" t="s">
        <v>191</v>
      </c>
      <c r="AA3520" s="17" t="s">
        <v>46</v>
      </c>
      <c r="AB3520" s="17" t="s">
        <v>1136</v>
      </c>
      <c r="AC3520" s="217">
        <v>44937</v>
      </c>
      <c r="AD3520" s="65">
        <v>1476</v>
      </c>
    </row>
    <row r="3521" s="18" customFormat="1" ht="15.6" hidden="1" spans="1:32">
      <c r="B3521" s="75">
        <v>916</v>
      </c>
      <c r="C3521" s="213" t="s">
        <v>1173</v>
      </c>
      <c r="D3521" s="18" t="s">
        <v>52</v>
      </c>
      <c r="E3521" s="17" t="s">
        <v>1113</v>
      </c>
      <c r="F3521" s="18" t="s">
        <v>54</v>
      </c>
      <c r="H3521" s="75" t="s">
        <v>1114</v>
      </c>
      <c r="I3521" s="75"/>
      <c r="J3521" s="18" t="s">
        <v>82</v>
      </c>
      <c r="K3521" s="75">
        <v>1100</v>
      </c>
      <c r="L3521" s="75">
        <v>25</v>
      </c>
      <c r="M3521" s="75">
        <v>2200</v>
      </c>
      <c r="N3521" s="75" t="s">
        <v>66</v>
      </c>
      <c r="O3521" s="75" t="s">
        <v>141</v>
      </c>
      <c r="P3521" s="75">
        <v>488</v>
      </c>
      <c r="Q3521" s="75"/>
      <c r="R3521" s="75">
        <f t="shared" ref="R3521:R3529" si="169">+P3521-Q3521</f>
        <v>488</v>
      </c>
      <c r="S3521" s="276">
        <v>1060</v>
      </c>
      <c r="T3521" s="75" t="s">
        <v>42</v>
      </c>
      <c r="U3521" s="137" t="s">
        <v>1174</v>
      </c>
      <c r="V3521" s="193" t="s">
        <v>1175</v>
      </c>
      <c r="W3521" s="18" t="s">
        <v>69</v>
      </c>
      <c r="Y3521" s="114">
        <v>45161</v>
      </c>
      <c r="Z3521" s="18" t="s">
        <v>191</v>
      </c>
      <c r="AA3521" s="18" t="s">
        <v>46</v>
      </c>
      <c r="AC3521" s="137"/>
      <c r="AD3521" s="77"/>
      <c r="AE3521" s="18" t="s">
        <v>74</v>
      </c>
      <c r="AF3521" s="18" t="s">
        <v>1134</v>
      </c>
    </row>
    <row r="3522" s="17" customFormat="1" ht="15.6" hidden="1" spans="1:32">
      <c r="A3522" s="17" t="s">
        <v>34</v>
      </c>
      <c r="B3522" s="19">
        <v>916</v>
      </c>
      <c r="C3522" s="183" t="s">
        <v>1173</v>
      </c>
      <c r="D3522" s="17" t="s">
        <v>52</v>
      </c>
      <c r="E3522" s="17" t="s">
        <v>1113</v>
      </c>
      <c r="F3522" s="17" t="s">
        <v>54</v>
      </c>
      <c r="H3522" s="19" t="s">
        <v>1114</v>
      </c>
      <c r="I3522" s="19"/>
      <c r="J3522" s="17" t="s">
        <v>82</v>
      </c>
      <c r="K3522" s="19">
        <v>1100</v>
      </c>
      <c r="L3522" s="19">
        <v>32</v>
      </c>
      <c r="M3522" s="19">
        <v>2200</v>
      </c>
      <c r="N3522" s="19" t="s">
        <v>66</v>
      </c>
      <c r="O3522" s="19" t="s">
        <v>141</v>
      </c>
      <c r="P3522" s="19">
        <v>1249</v>
      </c>
      <c r="Q3522" s="19">
        <f>623+618</f>
        <v>1241</v>
      </c>
      <c r="R3522" s="19">
        <f t="shared" si="169"/>
        <v>8</v>
      </c>
      <c r="S3522" s="274">
        <v>1060</v>
      </c>
      <c r="T3522" s="19" t="s">
        <v>42</v>
      </c>
      <c r="U3522" s="102" t="s">
        <v>1174</v>
      </c>
      <c r="V3522" s="186" t="s">
        <v>1175</v>
      </c>
      <c r="W3522" s="17" t="s">
        <v>69</v>
      </c>
      <c r="Y3522" s="68">
        <v>45161</v>
      </c>
      <c r="Z3522" s="17" t="s">
        <v>191</v>
      </c>
      <c r="AA3522" s="17" t="s">
        <v>46</v>
      </c>
      <c r="AB3522" s="17" t="s">
        <v>1176</v>
      </c>
      <c r="AC3522" s="102" t="s">
        <v>1117</v>
      </c>
      <c r="AD3522" s="65">
        <v>1442</v>
      </c>
      <c r="AE3522" s="17" t="s">
        <v>74</v>
      </c>
    </row>
    <row r="3523" s="17" customFormat="1" ht="15.6" hidden="1" spans="1:32">
      <c r="A3523" s="17" t="s">
        <v>34</v>
      </c>
      <c r="B3523" s="19">
        <v>916</v>
      </c>
      <c r="C3523" s="183" t="s">
        <v>1173</v>
      </c>
      <c r="D3523" s="17" t="s">
        <v>52</v>
      </c>
      <c r="E3523" s="17" t="s">
        <v>1113</v>
      </c>
      <c r="F3523" s="17" t="s">
        <v>54</v>
      </c>
      <c r="H3523" s="19" t="s">
        <v>1114</v>
      </c>
      <c r="I3523" s="19"/>
      <c r="J3523" s="17" t="s">
        <v>82</v>
      </c>
      <c r="K3523" s="19">
        <v>1100</v>
      </c>
      <c r="L3523" s="19">
        <v>36</v>
      </c>
      <c r="M3523" s="19">
        <v>2200</v>
      </c>
      <c r="N3523" s="19" t="s">
        <v>66</v>
      </c>
      <c r="O3523" s="19" t="s">
        <v>141</v>
      </c>
      <c r="P3523" s="19">
        <v>1405</v>
      </c>
      <c r="Q3523" s="19">
        <v>718</v>
      </c>
      <c r="R3523" s="19">
        <f t="shared" si="169"/>
        <v>687</v>
      </c>
      <c r="S3523" s="274">
        <v>1060</v>
      </c>
      <c r="T3523" s="19" t="s">
        <v>42</v>
      </c>
      <c r="U3523" s="102" t="s">
        <v>1174</v>
      </c>
      <c r="V3523" s="186" t="s">
        <v>1175</v>
      </c>
      <c r="W3523" s="17" t="s">
        <v>69</v>
      </c>
      <c r="Y3523" s="68">
        <v>45161</v>
      </c>
      <c r="Z3523" s="17" t="s">
        <v>191</v>
      </c>
      <c r="AA3523" s="17" t="s">
        <v>46</v>
      </c>
      <c r="AB3523" s="17" t="s">
        <v>1137</v>
      </c>
      <c r="AC3523" s="217">
        <v>45210</v>
      </c>
      <c r="AD3523" s="65">
        <v>1489</v>
      </c>
      <c r="AE3523" s="17" t="s">
        <v>74</v>
      </c>
    </row>
    <row r="3524" s="17" customFormat="1" ht="15.6" hidden="1" spans="1:32">
      <c r="A3524" s="17" t="s">
        <v>34</v>
      </c>
      <c r="B3524" s="19">
        <v>916</v>
      </c>
      <c r="C3524" s="183" t="s">
        <v>1173</v>
      </c>
      <c r="D3524" s="17" t="s">
        <v>52</v>
      </c>
      <c r="E3524" s="17" t="s">
        <v>1113</v>
      </c>
      <c r="F3524" s="17" t="s">
        <v>54</v>
      </c>
      <c r="H3524" s="19" t="s">
        <v>1114</v>
      </c>
      <c r="I3524" s="19"/>
      <c r="J3524" s="17" t="s">
        <v>82</v>
      </c>
      <c r="K3524" s="19">
        <v>1100</v>
      </c>
      <c r="L3524" s="19">
        <v>40</v>
      </c>
      <c r="M3524" s="19">
        <v>2200</v>
      </c>
      <c r="N3524" s="19" t="s">
        <v>66</v>
      </c>
      <c r="O3524" s="19" t="s">
        <v>141</v>
      </c>
      <c r="P3524" s="19">
        <v>2342</v>
      </c>
      <c r="Q3524" s="19">
        <f>775+779+776</f>
        <v>2330</v>
      </c>
      <c r="R3524" s="19">
        <f t="shared" si="169"/>
        <v>12</v>
      </c>
      <c r="S3524" s="274">
        <f>1060-40</f>
        <v>1020</v>
      </c>
      <c r="T3524" s="19" t="s">
        <v>42</v>
      </c>
      <c r="U3524" s="102" t="s">
        <v>1174</v>
      </c>
      <c r="V3524" s="186" t="s">
        <v>1175</v>
      </c>
      <c r="W3524" s="17" t="s">
        <v>44</v>
      </c>
      <c r="Y3524" s="68">
        <v>45161</v>
      </c>
      <c r="Z3524" s="17" t="s">
        <v>191</v>
      </c>
      <c r="AA3524" s="17" t="s">
        <v>46</v>
      </c>
      <c r="AB3524" s="17" t="s">
        <v>1140</v>
      </c>
      <c r="AC3524" s="102" t="s">
        <v>1141</v>
      </c>
      <c r="AD3524" s="65">
        <v>1468</v>
      </c>
      <c r="AE3524" s="17" t="s">
        <v>74</v>
      </c>
    </row>
    <row r="3525" s="17" customFormat="1" ht="15.6" hidden="1" spans="1:32">
      <c r="B3525" s="19">
        <v>916</v>
      </c>
      <c r="C3525" s="183" t="s">
        <v>1173</v>
      </c>
      <c r="D3525" s="17" t="s">
        <v>52</v>
      </c>
      <c r="E3525" s="17" t="s">
        <v>1113</v>
      </c>
      <c r="F3525" s="17" t="s">
        <v>54</v>
      </c>
      <c r="H3525" s="19" t="s">
        <v>1114</v>
      </c>
      <c r="I3525" s="19"/>
      <c r="J3525" s="17" t="s">
        <v>82</v>
      </c>
      <c r="K3525" s="19">
        <v>1100</v>
      </c>
      <c r="L3525" s="19">
        <v>50</v>
      </c>
      <c r="M3525" s="19">
        <v>2200</v>
      </c>
      <c r="N3525" s="19" t="s">
        <v>66</v>
      </c>
      <c r="O3525" s="19" t="s">
        <v>141</v>
      </c>
      <c r="P3525" s="19">
        <v>2927</v>
      </c>
      <c r="Q3525" s="19">
        <f>982+982+982</f>
        <v>2946</v>
      </c>
      <c r="R3525" s="19">
        <f t="shared" si="169"/>
        <v>-19</v>
      </c>
      <c r="S3525" s="274">
        <f>1060-40</f>
        <v>1020</v>
      </c>
      <c r="T3525" s="19" t="s">
        <v>42</v>
      </c>
      <c r="U3525" s="102" t="s">
        <v>1174</v>
      </c>
      <c r="V3525" s="186" t="s">
        <v>1175</v>
      </c>
      <c r="W3525" s="17" t="s">
        <v>44</v>
      </c>
      <c r="Y3525" s="68">
        <v>45161</v>
      </c>
      <c r="Z3525" s="17" t="s">
        <v>191</v>
      </c>
      <c r="AA3525" s="17" t="s">
        <v>46</v>
      </c>
      <c r="AB3525" s="17" t="s">
        <v>1142</v>
      </c>
      <c r="AC3525" s="102" t="s">
        <v>1143</v>
      </c>
      <c r="AD3525" s="65">
        <v>1465</v>
      </c>
      <c r="AE3525" s="17" t="s">
        <v>74</v>
      </c>
    </row>
    <row r="3526" s="17" customFormat="1" ht="15.6" hidden="1" spans="1:32">
      <c r="A3526" s="17" t="s">
        <v>34</v>
      </c>
      <c r="B3526" s="19">
        <v>916</v>
      </c>
      <c r="C3526" s="183" t="s">
        <v>1173</v>
      </c>
      <c r="D3526" s="17" t="s">
        <v>52</v>
      </c>
      <c r="E3526" s="17" t="s">
        <v>1113</v>
      </c>
      <c r="F3526" s="17" t="s">
        <v>54</v>
      </c>
      <c r="H3526" s="19" t="s">
        <v>1114</v>
      </c>
      <c r="I3526" s="19"/>
      <c r="J3526" s="17" t="s">
        <v>82</v>
      </c>
      <c r="K3526" s="19">
        <v>1100</v>
      </c>
      <c r="L3526" s="19">
        <v>56</v>
      </c>
      <c r="M3526" s="19">
        <v>2200</v>
      </c>
      <c r="N3526" s="19" t="s">
        <v>66</v>
      </c>
      <c r="O3526" s="19" t="s">
        <v>141</v>
      </c>
      <c r="P3526" s="19">
        <v>2186</v>
      </c>
      <c r="Q3526" s="19">
        <f>1080+1075</f>
        <v>2155</v>
      </c>
      <c r="R3526" s="19">
        <f t="shared" si="169"/>
        <v>31</v>
      </c>
      <c r="S3526" s="274">
        <v>1060</v>
      </c>
      <c r="T3526" s="19" t="s">
        <v>42</v>
      </c>
      <c r="U3526" s="102" t="s">
        <v>1174</v>
      </c>
      <c r="V3526" s="186" t="s">
        <v>1175</v>
      </c>
      <c r="W3526" s="17" t="s">
        <v>69</v>
      </c>
      <c r="Y3526" s="68">
        <v>45161</v>
      </c>
      <c r="Z3526" s="17" t="s">
        <v>191</v>
      </c>
      <c r="AA3526" s="17" t="s">
        <v>46</v>
      </c>
      <c r="AB3526" s="17" t="s">
        <v>1176</v>
      </c>
      <c r="AC3526" s="102" t="s">
        <v>1117</v>
      </c>
      <c r="AD3526" s="65">
        <v>1442</v>
      </c>
      <c r="AE3526" s="17" t="s">
        <v>74</v>
      </c>
    </row>
    <row r="3527" s="17" customFormat="1" ht="15.6" hidden="1" spans="1:32">
      <c r="A3527" s="17" t="s">
        <v>34</v>
      </c>
      <c r="B3527" s="19">
        <v>916</v>
      </c>
      <c r="C3527" s="183" t="s">
        <v>1173</v>
      </c>
      <c r="D3527" s="17" t="s">
        <v>52</v>
      </c>
      <c r="E3527" s="17" t="s">
        <v>1113</v>
      </c>
      <c r="F3527" s="17" t="s">
        <v>54</v>
      </c>
      <c r="H3527" s="19" t="s">
        <v>1114</v>
      </c>
      <c r="I3527" s="19"/>
      <c r="J3527" s="17" t="s">
        <v>82</v>
      </c>
      <c r="K3527" s="19">
        <v>1100</v>
      </c>
      <c r="L3527" s="19">
        <v>60</v>
      </c>
      <c r="M3527" s="19">
        <v>2200</v>
      </c>
      <c r="N3527" s="19" t="s">
        <v>66</v>
      </c>
      <c r="O3527" s="19" t="s">
        <v>141</v>
      </c>
      <c r="P3527" s="19">
        <v>2342</v>
      </c>
      <c r="Q3527" s="19">
        <f>1167+1164</f>
        <v>2331</v>
      </c>
      <c r="R3527" s="19">
        <f t="shared" si="169"/>
        <v>11</v>
      </c>
      <c r="S3527" s="274">
        <v>1060</v>
      </c>
      <c r="T3527" s="19" t="s">
        <v>42</v>
      </c>
      <c r="U3527" s="102" t="s">
        <v>1174</v>
      </c>
      <c r="V3527" s="186" t="s">
        <v>1175</v>
      </c>
      <c r="W3527" s="17" t="s">
        <v>69</v>
      </c>
      <c r="Y3527" s="68">
        <v>45161</v>
      </c>
      <c r="Z3527" s="17" t="s">
        <v>191</v>
      </c>
      <c r="AA3527" s="17" t="s">
        <v>46</v>
      </c>
      <c r="AB3527" s="17" t="s">
        <v>1176</v>
      </c>
      <c r="AC3527" s="102" t="s">
        <v>1117</v>
      </c>
      <c r="AD3527" s="65">
        <v>1442</v>
      </c>
      <c r="AE3527" s="17" t="s">
        <v>74</v>
      </c>
    </row>
    <row r="3528" s="17" customFormat="1" ht="15.6" hidden="1" spans="1:32">
      <c r="A3528" s="17" t="s">
        <v>34</v>
      </c>
      <c r="B3528" s="19">
        <v>916</v>
      </c>
      <c r="C3528" s="183" t="s">
        <v>1173</v>
      </c>
      <c r="D3528" s="17" t="s">
        <v>52</v>
      </c>
      <c r="E3528" s="17" t="s">
        <v>1113</v>
      </c>
      <c r="F3528" s="17" t="s">
        <v>54</v>
      </c>
      <c r="H3528" s="19" t="s">
        <v>1114</v>
      </c>
      <c r="I3528" s="19"/>
      <c r="J3528" s="17" t="s">
        <v>82</v>
      </c>
      <c r="K3528" s="19">
        <v>1100</v>
      </c>
      <c r="L3528" s="19">
        <v>65</v>
      </c>
      <c r="M3528" s="19">
        <v>2200</v>
      </c>
      <c r="N3528" s="19" t="s">
        <v>66</v>
      </c>
      <c r="O3528" s="19" t="s">
        <v>141</v>
      </c>
      <c r="P3528" s="19">
        <v>3805</v>
      </c>
      <c r="Q3528" s="19">
        <f>1268+1271+1271</f>
        <v>3810</v>
      </c>
      <c r="R3528" s="19">
        <f t="shared" si="169"/>
        <v>-5</v>
      </c>
      <c r="S3528" s="274">
        <v>1060</v>
      </c>
      <c r="T3528" s="19" t="s">
        <v>42</v>
      </c>
      <c r="U3528" s="102" t="s">
        <v>1174</v>
      </c>
      <c r="V3528" s="186" t="s">
        <v>1175</v>
      </c>
      <c r="W3528" s="17" t="s">
        <v>69</v>
      </c>
      <c r="Y3528" s="68">
        <v>45161</v>
      </c>
      <c r="Z3528" s="17" t="s">
        <v>191</v>
      </c>
      <c r="AA3528" s="17" t="s">
        <v>46</v>
      </c>
      <c r="AB3528" s="17" t="s">
        <v>1131</v>
      </c>
      <c r="AC3528" s="102" t="s">
        <v>1132</v>
      </c>
      <c r="AD3528" s="65">
        <v>1444</v>
      </c>
      <c r="AE3528" s="17" t="s">
        <v>74</v>
      </c>
    </row>
    <row r="3529" s="17" customFormat="1" ht="15.6" hidden="1" spans="1:32">
      <c r="A3529" s="17" t="s">
        <v>34</v>
      </c>
      <c r="B3529" s="19">
        <v>916</v>
      </c>
      <c r="C3529" s="183" t="s">
        <v>1173</v>
      </c>
      <c r="D3529" s="17" t="s">
        <v>52</v>
      </c>
      <c r="E3529" s="17" t="s">
        <v>1113</v>
      </c>
      <c r="F3529" s="17" t="s">
        <v>54</v>
      </c>
      <c r="H3529" s="19" t="s">
        <v>1114</v>
      </c>
      <c r="I3529" s="19"/>
      <c r="J3529" s="17" t="s">
        <v>82</v>
      </c>
      <c r="K3529" s="19">
        <v>1100</v>
      </c>
      <c r="L3529" s="19">
        <v>70</v>
      </c>
      <c r="M3529" s="19">
        <v>2200</v>
      </c>
      <c r="N3529" s="19" t="s">
        <v>66</v>
      </c>
      <c r="O3529" s="19" t="s">
        <v>141</v>
      </c>
      <c r="P3529" s="19">
        <v>2732</v>
      </c>
      <c r="Q3529" s="19">
        <f>1380+1376</f>
        <v>2756</v>
      </c>
      <c r="R3529" s="19">
        <f t="shared" si="169"/>
        <v>-24</v>
      </c>
      <c r="S3529" s="274">
        <v>1060</v>
      </c>
      <c r="T3529" s="19" t="s">
        <v>42</v>
      </c>
      <c r="U3529" s="102" t="s">
        <v>1174</v>
      </c>
      <c r="V3529" s="186" t="s">
        <v>1175</v>
      </c>
      <c r="W3529" s="17" t="s">
        <v>69</v>
      </c>
      <c r="Y3529" s="68">
        <v>45161</v>
      </c>
      <c r="Z3529" s="17" t="s">
        <v>191</v>
      </c>
      <c r="AA3529" s="17" t="s">
        <v>46</v>
      </c>
      <c r="AB3529" s="17" t="s">
        <v>1150</v>
      </c>
      <c r="AC3529" s="102" t="s">
        <v>1151</v>
      </c>
      <c r="AD3529" s="65">
        <v>1455</v>
      </c>
      <c r="AE3529" s="17" t="s">
        <v>74</v>
      </c>
    </row>
    <row r="3530" s="17" customFormat="1" ht="15.6" hidden="1" spans="1:32">
      <c r="A3530" s="17" t="s">
        <v>34</v>
      </c>
      <c r="B3530" s="19">
        <v>916</v>
      </c>
      <c r="C3530" s="183" t="s">
        <v>1173</v>
      </c>
      <c r="D3530" s="17" t="s">
        <v>52</v>
      </c>
      <c r="E3530" s="17" t="s">
        <v>1113</v>
      </c>
      <c r="F3530" s="17" t="s">
        <v>54</v>
      </c>
      <c r="H3530" s="19" t="s">
        <v>1114</v>
      </c>
      <c r="I3530" s="19"/>
      <c r="J3530" s="17" t="s">
        <v>82</v>
      </c>
      <c r="K3530" s="19">
        <v>1100</v>
      </c>
      <c r="L3530" s="19">
        <v>80</v>
      </c>
      <c r="M3530" s="19">
        <v>2200</v>
      </c>
      <c r="N3530" s="19" t="s">
        <v>66</v>
      </c>
      <c r="O3530" s="19" t="s">
        <v>141</v>
      </c>
      <c r="P3530" s="19">
        <v>4684</v>
      </c>
      <c r="Q3530" s="19">
        <v>1553</v>
      </c>
      <c r="S3530" s="274">
        <v>1060</v>
      </c>
      <c r="T3530" s="19" t="s">
        <v>42</v>
      </c>
      <c r="U3530" s="102" t="s">
        <v>1174</v>
      </c>
      <c r="V3530" s="186" t="s">
        <v>1175</v>
      </c>
      <c r="W3530" s="17" t="s">
        <v>69</v>
      </c>
      <c r="Y3530" s="68">
        <v>45161</v>
      </c>
      <c r="Z3530" s="17" t="s">
        <v>191</v>
      </c>
      <c r="AA3530" s="17" t="s">
        <v>46</v>
      </c>
      <c r="AB3530" s="17" t="s">
        <v>1176</v>
      </c>
      <c r="AC3530" s="102" t="s">
        <v>1117</v>
      </c>
      <c r="AD3530" s="65">
        <v>1442</v>
      </c>
      <c r="AE3530" s="17" t="s">
        <v>74</v>
      </c>
    </row>
    <row r="3531" s="17" customFormat="1" ht="15.6" hidden="1" spans="1:32">
      <c r="A3531" s="17" t="s">
        <v>34</v>
      </c>
      <c r="B3531" s="19">
        <v>916</v>
      </c>
      <c r="C3531" s="183" t="s">
        <v>1173</v>
      </c>
      <c r="D3531" s="17" t="s">
        <v>52</v>
      </c>
      <c r="E3531" s="17" t="s">
        <v>1113</v>
      </c>
      <c r="F3531" s="17" t="s">
        <v>54</v>
      </c>
      <c r="H3531" s="19" t="s">
        <v>1114</v>
      </c>
      <c r="I3531" s="19"/>
      <c r="J3531" s="17" t="s">
        <v>82</v>
      </c>
      <c r="K3531" s="19">
        <v>1100</v>
      </c>
      <c r="L3531" s="19">
        <v>80</v>
      </c>
      <c r="M3531" s="19">
        <v>2200</v>
      </c>
      <c r="N3531" s="19" t="s">
        <v>66</v>
      </c>
      <c r="O3531" s="19" t="s">
        <v>141</v>
      </c>
      <c r="P3531" s="19"/>
      <c r="Q3531" s="19">
        <v>1543</v>
      </c>
      <c r="S3531" s="274">
        <v>1060</v>
      </c>
      <c r="T3531" s="19" t="s">
        <v>42</v>
      </c>
      <c r="U3531" s="102" t="s">
        <v>1174</v>
      </c>
      <c r="V3531" s="186" t="s">
        <v>1175</v>
      </c>
      <c r="W3531" s="17" t="s">
        <v>69</v>
      </c>
      <c r="Y3531" s="68">
        <v>45161</v>
      </c>
      <c r="Z3531" s="17" t="s">
        <v>191</v>
      </c>
      <c r="AA3531" s="17" t="s">
        <v>46</v>
      </c>
      <c r="AB3531" s="17" t="s">
        <v>1131</v>
      </c>
      <c r="AC3531" s="102" t="s">
        <v>1132</v>
      </c>
      <c r="AD3531" s="65">
        <v>1444</v>
      </c>
      <c r="AE3531" s="17" t="s">
        <v>74</v>
      </c>
    </row>
    <row r="3532" s="17" customFormat="1" ht="15.6" hidden="1" spans="1:32">
      <c r="B3532" s="19">
        <v>916</v>
      </c>
      <c r="C3532" s="183" t="s">
        <v>1173</v>
      </c>
      <c r="D3532" s="17" t="s">
        <v>52</v>
      </c>
      <c r="E3532" s="17" t="s">
        <v>1113</v>
      </c>
      <c r="F3532" s="17" t="s">
        <v>54</v>
      </c>
      <c r="H3532" s="19" t="s">
        <v>1114</v>
      </c>
      <c r="I3532" s="19"/>
      <c r="J3532" s="17" t="s">
        <v>82</v>
      </c>
      <c r="K3532" s="19">
        <v>1100</v>
      </c>
      <c r="L3532" s="19">
        <v>80</v>
      </c>
      <c r="M3532" s="19">
        <v>2200</v>
      </c>
      <c r="N3532" s="19" t="s">
        <v>66</v>
      </c>
      <c r="O3532" s="19" t="s">
        <v>141</v>
      </c>
      <c r="P3532" s="19"/>
      <c r="Q3532" s="19">
        <v>1541</v>
      </c>
      <c r="R3532" s="19">
        <f>+P3530-Q3530-Q3531-Q3532</f>
        <v>47</v>
      </c>
      <c r="S3532" s="274">
        <f>1060-40</f>
        <v>1020</v>
      </c>
      <c r="T3532" s="19" t="s">
        <v>42</v>
      </c>
      <c r="U3532" s="102" t="s">
        <v>1174</v>
      </c>
      <c r="V3532" s="186" t="s">
        <v>1175</v>
      </c>
      <c r="W3532" s="17" t="s">
        <v>44</v>
      </c>
      <c r="Y3532" s="68">
        <v>45161</v>
      </c>
      <c r="Z3532" s="17" t="s">
        <v>191</v>
      </c>
      <c r="AA3532" s="17" t="s">
        <v>46</v>
      </c>
      <c r="AB3532" s="17" t="s">
        <v>1142</v>
      </c>
      <c r="AC3532" s="102" t="s">
        <v>1143</v>
      </c>
      <c r="AD3532" s="65">
        <v>1465</v>
      </c>
      <c r="AE3532" s="17" t="s">
        <v>74</v>
      </c>
    </row>
    <row r="3533" s="17" customFormat="1" ht="15.6" hidden="1" spans="1:32">
      <c r="A3533" s="17" t="s">
        <v>34</v>
      </c>
      <c r="B3533" s="19">
        <v>916</v>
      </c>
      <c r="C3533" s="183" t="s">
        <v>1173</v>
      </c>
      <c r="D3533" s="17" t="s">
        <v>52</v>
      </c>
      <c r="E3533" s="17" t="s">
        <v>1113</v>
      </c>
      <c r="F3533" s="17" t="s">
        <v>54</v>
      </c>
      <c r="H3533" s="19" t="s">
        <v>1114</v>
      </c>
      <c r="I3533" s="19"/>
      <c r="J3533" s="17" t="s">
        <v>82</v>
      </c>
      <c r="K3533" s="19">
        <v>1100</v>
      </c>
      <c r="L3533" s="19">
        <v>90</v>
      </c>
      <c r="M3533" s="19">
        <v>2200</v>
      </c>
      <c r="N3533" s="19" t="s">
        <v>66</v>
      </c>
      <c r="O3533" s="19" t="s">
        <v>141</v>
      </c>
      <c r="P3533" s="19">
        <v>1756</v>
      </c>
      <c r="Q3533" s="19">
        <v>1760</v>
      </c>
      <c r="R3533" s="19">
        <f t="shared" ref="R3533:R3563" si="170">+P3533-Q3533</f>
        <v>-4</v>
      </c>
      <c r="S3533" s="274">
        <v>1060</v>
      </c>
      <c r="T3533" s="19" t="s">
        <v>42</v>
      </c>
      <c r="U3533" s="102" t="s">
        <v>1174</v>
      </c>
      <c r="V3533" s="186" t="s">
        <v>1175</v>
      </c>
      <c r="W3533" s="17" t="s">
        <v>69</v>
      </c>
      <c r="Y3533" s="68">
        <v>45161</v>
      </c>
      <c r="Z3533" s="17" t="s">
        <v>191</v>
      </c>
      <c r="AA3533" s="17" t="s">
        <v>46</v>
      </c>
      <c r="AB3533" s="17" t="s">
        <v>1150</v>
      </c>
      <c r="AC3533" s="102" t="s">
        <v>1151</v>
      </c>
      <c r="AD3533" s="65">
        <v>1455</v>
      </c>
      <c r="AE3533" s="17" t="s">
        <v>74</v>
      </c>
    </row>
    <row r="3534" s="17" customFormat="1" ht="15.6" hidden="1" spans="1:32">
      <c r="A3534" s="17" t="s">
        <v>34</v>
      </c>
      <c r="B3534" s="19">
        <v>916</v>
      </c>
      <c r="C3534" s="183" t="s">
        <v>1173</v>
      </c>
      <c r="D3534" s="17" t="s">
        <v>52</v>
      </c>
      <c r="E3534" s="17" t="s">
        <v>1113</v>
      </c>
      <c r="F3534" s="17" t="s">
        <v>54</v>
      </c>
      <c r="H3534" s="19" t="s">
        <v>1114</v>
      </c>
      <c r="I3534" s="19"/>
      <c r="J3534" s="17" t="s">
        <v>82</v>
      </c>
      <c r="K3534" s="147">
        <v>1100</v>
      </c>
      <c r="L3534" s="147">
        <v>100</v>
      </c>
      <c r="M3534" s="19">
        <v>2200</v>
      </c>
      <c r="N3534" s="19" t="s">
        <v>66</v>
      </c>
      <c r="O3534" s="19" t="s">
        <v>141</v>
      </c>
      <c r="P3534" s="19">
        <v>3903</v>
      </c>
      <c r="Q3534" s="19">
        <f>1921+1923+1920</f>
        <v>5764</v>
      </c>
      <c r="R3534" s="19">
        <f t="shared" si="170"/>
        <v>-1861</v>
      </c>
      <c r="S3534" s="280">
        <v>1060</v>
      </c>
      <c r="T3534" s="19" t="s">
        <v>42</v>
      </c>
      <c r="U3534" s="102" t="s">
        <v>1174</v>
      </c>
      <c r="V3534" s="186" t="s">
        <v>1175</v>
      </c>
      <c r="W3534" s="17" t="s">
        <v>69</v>
      </c>
      <c r="Y3534" s="68">
        <v>45161</v>
      </c>
      <c r="Z3534" s="17" t="s">
        <v>191</v>
      </c>
      <c r="AA3534" s="17" t="s">
        <v>46</v>
      </c>
      <c r="AB3534" s="17" t="s">
        <v>1150</v>
      </c>
      <c r="AC3534" s="102" t="s">
        <v>1151</v>
      </c>
      <c r="AD3534" s="65">
        <v>1455</v>
      </c>
      <c r="AE3534" s="17" t="s">
        <v>74</v>
      </c>
    </row>
    <row r="3535" s="17" customFormat="1" ht="15.6" hidden="1" spans="1:32">
      <c r="A3535" s="17" t="s">
        <v>34</v>
      </c>
      <c r="B3535" s="19">
        <v>917</v>
      </c>
      <c r="C3535" s="222">
        <v>44991</v>
      </c>
      <c r="D3535" s="17" t="s">
        <v>52</v>
      </c>
      <c r="E3535" s="17" t="s">
        <v>53</v>
      </c>
      <c r="F3535" s="17" t="s">
        <v>54</v>
      </c>
      <c r="H3535" s="19" t="s">
        <v>1180</v>
      </c>
      <c r="I3535" s="19"/>
      <c r="J3535" s="17" t="s">
        <v>82</v>
      </c>
      <c r="K3535" s="281">
        <v>210</v>
      </c>
      <c r="L3535" s="281">
        <v>20</v>
      </c>
      <c r="M3535" s="19">
        <v>5000</v>
      </c>
      <c r="N3535" s="19" t="s">
        <v>40</v>
      </c>
      <c r="O3535" s="19" t="s">
        <v>141</v>
      </c>
      <c r="P3535" s="282">
        <v>500</v>
      </c>
      <c r="Q3535" s="19">
        <v>511</v>
      </c>
      <c r="R3535" s="19">
        <f t="shared" si="170"/>
        <v>-11</v>
      </c>
      <c r="S3535" s="91">
        <v>1520</v>
      </c>
      <c r="T3535" s="19" t="s">
        <v>42</v>
      </c>
      <c r="U3535" s="102" t="s">
        <v>1181</v>
      </c>
      <c r="V3535" s="253">
        <v>45052</v>
      </c>
      <c r="W3535" s="17" t="s">
        <v>58</v>
      </c>
      <c r="Y3535" s="68">
        <v>45161</v>
      </c>
      <c r="Z3535" s="17" t="s">
        <v>191</v>
      </c>
      <c r="AA3535" s="17" t="s">
        <v>46</v>
      </c>
      <c r="AB3535" s="17" t="s">
        <v>1182</v>
      </c>
      <c r="AC3535" s="102" t="s">
        <v>1183</v>
      </c>
      <c r="AD3535" s="65">
        <v>1457</v>
      </c>
      <c r="AE3535" s="17" t="s">
        <v>390</v>
      </c>
    </row>
    <row r="3536" s="17" customFormat="1" ht="15.6" hidden="1" spans="1:32">
      <c r="A3536" s="17" t="s">
        <v>34</v>
      </c>
      <c r="B3536" s="19">
        <v>917</v>
      </c>
      <c r="C3536" s="222">
        <v>44991</v>
      </c>
      <c r="D3536" s="17" t="s">
        <v>52</v>
      </c>
      <c r="E3536" s="17" t="s">
        <v>53</v>
      </c>
      <c r="F3536" s="17" t="s">
        <v>54</v>
      </c>
      <c r="H3536" s="19" t="s">
        <v>1180</v>
      </c>
      <c r="I3536" s="19"/>
      <c r="J3536" s="17" t="s">
        <v>82</v>
      </c>
      <c r="K3536" s="281">
        <v>260</v>
      </c>
      <c r="L3536" s="281">
        <v>20</v>
      </c>
      <c r="M3536" s="19">
        <v>5000</v>
      </c>
      <c r="N3536" s="19" t="s">
        <v>40</v>
      </c>
      <c r="O3536" s="19" t="s">
        <v>141</v>
      </c>
      <c r="P3536" s="283">
        <v>500</v>
      </c>
      <c r="Q3536" s="19">
        <v>480</v>
      </c>
      <c r="R3536" s="19">
        <f t="shared" si="170"/>
        <v>20</v>
      </c>
      <c r="S3536" s="91">
        <v>1520</v>
      </c>
      <c r="T3536" s="19" t="s">
        <v>42</v>
      </c>
      <c r="U3536" s="102" t="s">
        <v>1181</v>
      </c>
      <c r="V3536" s="253">
        <v>45052</v>
      </c>
      <c r="W3536" s="17" t="s">
        <v>58</v>
      </c>
      <c r="Y3536" s="68">
        <v>45161</v>
      </c>
      <c r="Z3536" s="17" t="s">
        <v>191</v>
      </c>
      <c r="AA3536" s="17" t="s">
        <v>46</v>
      </c>
      <c r="AB3536" s="17" t="s">
        <v>1182</v>
      </c>
      <c r="AC3536" s="102" t="s">
        <v>1183</v>
      </c>
      <c r="AD3536" s="65">
        <v>1457</v>
      </c>
      <c r="AE3536" s="17" t="s">
        <v>390</v>
      </c>
    </row>
    <row r="3537" s="17" customFormat="1" ht="15.6" hidden="1" spans="1:31">
      <c r="A3537" s="17" t="s">
        <v>34</v>
      </c>
      <c r="B3537" s="19">
        <v>917</v>
      </c>
      <c r="C3537" s="222">
        <v>44991</v>
      </c>
      <c r="D3537" s="17" t="s">
        <v>52</v>
      </c>
      <c r="E3537" s="17" t="s">
        <v>53</v>
      </c>
      <c r="F3537" s="17" t="s">
        <v>54</v>
      </c>
      <c r="H3537" s="19" t="s">
        <v>1180</v>
      </c>
      <c r="I3537" s="19"/>
      <c r="J3537" s="17" t="s">
        <v>82</v>
      </c>
      <c r="K3537" s="281">
        <v>310</v>
      </c>
      <c r="L3537" s="281">
        <v>20</v>
      </c>
      <c r="M3537" s="19">
        <v>5000</v>
      </c>
      <c r="N3537" s="19" t="s">
        <v>40</v>
      </c>
      <c r="O3537" s="19" t="s">
        <v>141</v>
      </c>
      <c r="P3537" s="283">
        <v>500</v>
      </c>
      <c r="Q3537" s="19">
        <v>488</v>
      </c>
      <c r="R3537" s="19">
        <f t="shared" si="170"/>
        <v>12</v>
      </c>
      <c r="S3537" s="91">
        <v>1520</v>
      </c>
      <c r="T3537" s="19" t="s">
        <v>42</v>
      </c>
      <c r="U3537" s="102" t="s">
        <v>1181</v>
      </c>
      <c r="V3537" s="253">
        <v>45052</v>
      </c>
      <c r="W3537" s="17" t="s">
        <v>58</v>
      </c>
      <c r="Y3537" s="68">
        <v>45161</v>
      </c>
      <c r="Z3537" s="17" t="s">
        <v>191</v>
      </c>
      <c r="AA3537" s="17" t="s">
        <v>46</v>
      </c>
      <c r="AB3537" s="17" t="s">
        <v>1182</v>
      </c>
      <c r="AC3537" s="102" t="s">
        <v>1183</v>
      </c>
      <c r="AD3537" s="65">
        <v>1457</v>
      </c>
      <c r="AE3537" s="17" t="s">
        <v>390</v>
      </c>
    </row>
    <row r="3538" s="17" customFormat="1" ht="15.6" hidden="1" spans="1:31">
      <c r="A3538" s="17" t="s">
        <v>34</v>
      </c>
      <c r="B3538" s="19">
        <v>917</v>
      </c>
      <c r="C3538" s="222">
        <v>44991</v>
      </c>
      <c r="D3538" s="17" t="s">
        <v>52</v>
      </c>
      <c r="E3538" s="17" t="s">
        <v>53</v>
      </c>
      <c r="F3538" s="17" t="s">
        <v>54</v>
      </c>
      <c r="H3538" s="19" t="s">
        <v>1180</v>
      </c>
      <c r="I3538" s="19"/>
      <c r="J3538" s="17" t="s">
        <v>82</v>
      </c>
      <c r="K3538" s="281">
        <v>360</v>
      </c>
      <c r="L3538" s="284">
        <v>20</v>
      </c>
      <c r="M3538" s="19">
        <v>5000</v>
      </c>
      <c r="N3538" s="19" t="s">
        <v>40</v>
      </c>
      <c r="O3538" s="19" t="s">
        <v>141</v>
      </c>
      <c r="P3538" s="283">
        <v>500</v>
      </c>
      <c r="Q3538" s="19">
        <v>535</v>
      </c>
      <c r="R3538" s="19">
        <f t="shared" si="170"/>
        <v>-35</v>
      </c>
      <c r="S3538" s="91">
        <v>1520</v>
      </c>
      <c r="T3538" s="19" t="s">
        <v>42</v>
      </c>
      <c r="U3538" s="102" t="s">
        <v>1181</v>
      </c>
      <c r="V3538" s="253">
        <v>45052</v>
      </c>
      <c r="W3538" s="17" t="s">
        <v>58</v>
      </c>
      <c r="Y3538" s="68">
        <v>45161</v>
      </c>
      <c r="Z3538" s="17" t="s">
        <v>191</v>
      </c>
      <c r="AA3538" s="17" t="s">
        <v>46</v>
      </c>
      <c r="AB3538" s="17" t="s">
        <v>1182</v>
      </c>
      <c r="AC3538" s="102" t="s">
        <v>1183</v>
      </c>
      <c r="AD3538" s="65">
        <v>1457</v>
      </c>
      <c r="AE3538" s="17" t="s">
        <v>390</v>
      </c>
    </row>
    <row r="3539" s="17" customFormat="1" ht="15.6" hidden="1" spans="1:31">
      <c r="A3539" s="17" t="s">
        <v>34</v>
      </c>
      <c r="B3539" s="19">
        <v>917</v>
      </c>
      <c r="C3539" s="222">
        <v>44991</v>
      </c>
      <c r="D3539" s="17" t="s">
        <v>52</v>
      </c>
      <c r="E3539" s="17" t="s">
        <v>53</v>
      </c>
      <c r="F3539" s="17" t="s">
        <v>54</v>
      </c>
      <c r="H3539" s="19" t="s">
        <v>1180</v>
      </c>
      <c r="I3539" s="19"/>
      <c r="J3539" s="17" t="s">
        <v>82</v>
      </c>
      <c r="K3539" s="281">
        <v>410</v>
      </c>
      <c r="L3539" s="281">
        <v>20</v>
      </c>
      <c r="M3539" s="19">
        <v>5000</v>
      </c>
      <c r="N3539" s="19" t="s">
        <v>40</v>
      </c>
      <c r="O3539" s="19" t="s">
        <v>141</v>
      </c>
      <c r="P3539" s="283">
        <v>500</v>
      </c>
      <c r="Q3539" s="19">
        <v>480</v>
      </c>
      <c r="R3539" s="19">
        <f t="shared" si="170"/>
        <v>20</v>
      </c>
      <c r="S3539" s="91">
        <v>1520</v>
      </c>
      <c r="T3539" s="19" t="s">
        <v>42</v>
      </c>
      <c r="U3539" s="102" t="s">
        <v>1181</v>
      </c>
      <c r="V3539" s="253">
        <v>45052</v>
      </c>
      <c r="W3539" s="17" t="s">
        <v>58</v>
      </c>
      <c r="Y3539" s="68">
        <v>45161</v>
      </c>
      <c r="Z3539" s="17" t="s">
        <v>191</v>
      </c>
      <c r="AA3539" s="17" t="s">
        <v>46</v>
      </c>
      <c r="AB3539" s="17" t="s">
        <v>1182</v>
      </c>
      <c r="AC3539" s="102" t="s">
        <v>1183</v>
      </c>
      <c r="AD3539" s="65">
        <v>1457</v>
      </c>
      <c r="AE3539" s="17" t="s">
        <v>390</v>
      </c>
    </row>
    <row r="3540" s="17" customFormat="1" ht="15.6" hidden="1" spans="1:31">
      <c r="A3540" s="17" t="s">
        <v>34</v>
      </c>
      <c r="B3540" s="19">
        <v>917</v>
      </c>
      <c r="C3540" s="222">
        <v>44991</v>
      </c>
      <c r="D3540" s="17" t="s">
        <v>52</v>
      </c>
      <c r="E3540" s="17" t="s">
        <v>53</v>
      </c>
      <c r="F3540" s="17" t="s">
        <v>54</v>
      </c>
      <c r="H3540" s="19" t="s">
        <v>1180</v>
      </c>
      <c r="I3540" s="19"/>
      <c r="J3540" s="17" t="s">
        <v>82</v>
      </c>
      <c r="K3540" s="281">
        <v>180</v>
      </c>
      <c r="L3540" s="281">
        <v>25</v>
      </c>
      <c r="M3540" s="19">
        <v>5000</v>
      </c>
      <c r="N3540" s="19" t="s">
        <v>40</v>
      </c>
      <c r="O3540" s="19" t="s">
        <v>141</v>
      </c>
      <c r="P3540" s="283">
        <v>500</v>
      </c>
      <c r="Q3540" s="19">
        <v>416</v>
      </c>
      <c r="R3540" s="19">
        <f t="shared" si="170"/>
        <v>84</v>
      </c>
      <c r="S3540" s="91">
        <v>1520</v>
      </c>
      <c r="T3540" s="19" t="s">
        <v>42</v>
      </c>
      <c r="U3540" s="102" t="s">
        <v>1181</v>
      </c>
      <c r="V3540" s="253">
        <v>45052</v>
      </c>
      <c r="W3540" s="17" t="s">
        <v>58</v>
      </c>
      <c r="Y3540" s="68">
        <v>45161</v>
      </c>
      <c r="Z3540" s="17" t="s">
        <v>191</v>
      </c>
      <c r="AA3540" s="17" t="s">
        <v>46</v>
      </c>
      <c r="AB3540" s="17" t="s">
        <v>1182</v>
      </c>
      <c r="AC3540" s="102" t="s">
        <v>1183</v>
      </c>
      <c r="AD3540" s="65">
        <v>1457</v>
      </c>
      <c r="AE3540" s="17" t="s">
        <v>390</v>
      </c>
    </row>
    <row r="3541" s="17" customFormat="1" ht="15.6" hidden="1" spans="1:31">
      <c r="A3541" s="17" t="s">
        <v>34</v>
      </c>
      <c r="B3541" s="19">
        <v>917</v>
      </c>
      <c r="C3541" s="222">
        <v>44991</v>
      </c>
      <c r="D3541" s="17" t="s">
        <v>52</v>
      </c>
      <c r="E3541" s="17" t="s">
        <v>53</v>
      </c>
      <c r="F3541" s="17" t="s">
        <v>54</v>
      </c>
      <c r="H3541" s="19" t="s">
        <v>1180</v>
      </c>
      <c r="I3541" s="19"/>
      <c r="J3541" s="17" t="s">
        <v>82</v>
      </c>
      <c r="K3541" s="281">
        <v>210</v>
      </c>
      <c r="L3541" s="281">
        <v>25</v>
      </c>
      <c r="M3541" s="19">
        <v>5000</v>
      </c>
      <c r="N3541" s="19" t="s">
        <v>40</v>
      </c>
      <c r="O3541" s="19" t="s">
        <v>141</v>
      </c>
      <c r="P3541" s="283">
        <v>1500</v>
      </c>
      <c r="Q3541" s="19">
        <v>1553</v>
      </c>
      <c r="R3541" s="19">
        <f t="shared" si="170"/>
        <v>-53</v>
      </c>
      <c r="S3541" s="91">
        <v>1520</v>
      </c>
      <c r="T3541" s="19" t="s">
        <v>42</v>
      </c>
      <c r="U3541" s="102" t="s">
        <v>1181</v>
      </c>
      <c r="V3541" s="253">
        <v>45052</v>
      </c>
      <c r="W3541" s="17" t="s">
        <v>58</v>
      </c>
      <c r="Y3541" s="68">
        <v>45161</v>
      </c>
      <c r="Z3541" s="17" t="s">
        <v>191</v>
      </c>
      <c r="AA3541" s="17" t="s">
        <v>46</v>
      </c>
      <c r="AB3541" s="17" t="s">
        <v>1182</v>
      </c>
      <c r="AC3541" s="102" t="s">
        <v>1183</v>
      </c>
      <c r="AD3541" s="65">
        <v>1457</v>
      </c>
      <c r="AE3541" s="17" t="s">
        <v>390</v>
      </c>
    </row>
    <row r="3542" s="17" customFormat="1" ht="15.6" hidden="1" spans="1:31">
      <c r="A3542" s="17" t="s">
        <v>34</v>
      </c>
      <c r="B3542" s="19">
        <v>917</v>
      </c>
      <c r="C3542" s="222">
        <v>44991</v>
      </c>
      <c r="D3542" s="17" t="s">
        <v>52</v>
      </c>
      <c r="E3542" s="17" t="s">
        <v>53</v>
      </c>
      <c r="F3542" s="17" t="s">
        <v>54</v>
      </c>
      <c r="H3542" s="19" t="s">
        <v>1180</v>
      </c>
      <c r="I3542" s="19"/>
      <c r="J3542" s="17" t="s">
        <v>82</v>
      </c>
      <c r="K3542" s="281">
        <v>260</v>
      </c>
      <c r="L3542" s="281">
        <v>25</v>
      </c>
      <c r="M3542" s="19">
        <v>5000</v>
      </c>
      <c r="N3542" s="19" t="s">
        <v>40</v>
      </c>
      <c r="O3542" s="19" t="s">
        <v>141</v>
      </c>
      <c r="P3542" s="283">
        <v>1000</v>
      </c>
      <c r="Q3542" s="19">
        <v>1182</v>
      </c>
      <c r="R3542" s="19">
        <f t="shared" si="170"/>
        <v>-182</v>
      </c>
      <c r="S3542" s="91">
        <v>1520</v>
      </c>
      <c r="T3542" s="19" t="s">
        <v>42</v>
      </c>
      <c r="U3542" s="102" t="s">
        <v>1181</v>
      </c>
      <c r="V3542" s="253">
        <v>45052</v>
      </c>
      <c r="W3542" s="17" t="s">
        <v>58</v>
      </c>
      <c r="Y3542" s="68">
        <v>45161</v>
      </c>
      <c r="Z3542" s="17" t="s">
        <v>191</v>
      </c>
      <c r="AA3542" s="17" t="s">
        <v>46</v>
      </c>
      <c r="AB3542" s="17" t="s">
        <v>1182</v>
      </c>
      <c r="AC3542" s="102" t="s">
        <v>1183</v>
      </c>
      <c r="AD3542" s="65">
        <v>1457</v>
      </c>
      <c r="AE3542" s="17" t="s">
        <v>390</v>
      </c>
    </row>
    <row r="3543" s="17" customFormat="1" ht="15.6" hidden="1" spans="1:31">
      <c r="A3543" s="17" t="s">
        <v>34</v>
      </c>
      <c r="B3543" s="19">
        <v>917</v>
      </c>
      <c r="C3543" s="222">
        <v>44991</v>
      </c>
      <c r="D3543" s="17" t="s">
        <v>52</v>
      </c>
      <c r="E3543" s="17" t="s">
        <v>53</v>
      </c>
      <c r="F3543" s="17" t="s">
        <v>54</v>
      </c>
      <c r="H3543" s="19" t="s">
        <v>1180</v>
      </c>
      <c r="I3543" s="19"/>
      <c r="J3543" s="17" t="s">
        <v>82</v>
      </c>
      <c r="K3543" s="281">
        <v>310</v>
      </c>
      <c r="L3543" s="281">
        <v>25</v>
      </c>
      <c r="M3543" s="19">
        <v>5000</v>
      </c>
      <c r="N3543" s="19" t="s">
        <v>40</v>
      </c>
      <c r="O3543" s="19" t="s">
        <v>141</v>
      </c>
      <c r="P3543" s="283">
        <v>1000</v>
      </c>
      <c r="Q3543" s="19">
        <v>1096</v>
      </c>
      <c r="R3543" s="19">
        <f t="shared" si="170"/>
        <v>-96</v>
      </c>
      <c r="S3543" s="91">
        <v>1520</v>
      </c>
      <c r="T3543" s="19" t="s">
        <v>42</v>
      </c>
      <c r="U3543" s="102" t="s">
        <v>1181</v>
      </c>
      <c r="V3543" s="253">
        <v>45052</v>
      </c>
      <c r="W3543" s="17" t="s">
        <v>58</v>
      </c>
      <c r="Y3543" s="68">
        <v>45161</v>
      </c>
      <c r="Z3543" s="17" t="s">
        <v>191</v>
      </c>
      <c r="AA3543" s="17" t="s">
        <v>46</v>
      </c>
      <c r="AB3543" s="17" t="s">
        <v>1182</v>
      </c>
      <c r="AC3543" s="102" t="s">
        <v>1183</v>
      </c>
      <c r="AD3543" s="65">
        <v>1457</v>
      </c>
      <c r="AE3543" s="17" t="s">
        <v>390</v>
      </c>
    </row>
    <row r="3544" s="17" customFormat="1" ht="15.6" hidden="1" spans="1:31">
      <c r="A3544" s="17" t="s">
        <v>34</v>
      </c>
      <c r="B3544" s="19">
        <v>917</v>
      </c>
      <c r="C3544" s="222">
        <v>44991</v>
      </c>
      <c r="D3544" s="17" t="s">
        <v>52</v>
      </c>
      <c r="E3544" s="17" t="s">
        <v>53</v>
      </c>
      <c r="F3544" s="17" t="s">
        <v>54</v>
      </c>
      <c r="H3544" s="19" t="s">
        <v>1180</v>
      </c>
      <c r="I3544" s="19"/>
      <c r="J3544" s="17" t="s">
        <v>82</v>
      </c>
      <c r="K3544" s="281">
        <v>360</v>
      </c>
      <c r="L3544" s="281">
        <v>25</v>
      </c>
      <c r="M3544" s="19">
        <v>5000</v>
      </c>
      <c r="N3544" s="19" t="s">
        <v>40</v>
      </c>
      <c r="O3544" s="19" t="s">
        <v>141</v>
      </c>
      <c r="P3544" s="283">
        <v>500</v>
      </c>
      <c r="Q3544" s="19">
        <v>415</v>
      </c>
      <c r="R3544" s="19">
        <f t="shared" si="170"/>
        <v>85</v>
      </c>
      <c r="S3544" s="91">
        <v>1520</v>
      </c>
      <c r="T3544" s="19" t="s">
        <v>42</v>
      </c>
      <c r="U3544" s="102" t="s">
        <v>1181</v>
      </c>
      <c r="V3544" s="253">
        <v>45052</v>
      </c>
      <c r="W3544" s="17" t="s">
        <v>58</v>
      </c>
      <c r="Y3544" s="68">
        <v>45161</v>
      </c>
      <c r="Z3544" s="17" t="s">
        <v>191</v>
      </c>
      <c r="AA3544" s="17" t="s">
        <v>46</v>
      </c>
      <c r="AB3544" s="17" t="s">
        <v>1182</v>
      </c>
      <c r="AC3544" s="102" t="s">
        <v>1183</v>
      </c>
      <c r="AD3544" s="65">
        <v>1457</v>
      </c>
      <c r="AE3544" s="17" t="s">
        <v>390</v>
      </c>
    </row>
    <row r="3545" s="17" customFormat="1" ht="15.6" hidden="1" spans="1:31">
      <c r="A3545" s="17" t="s">
        <v>34</v>
      </c>
      <c r="B3545" s="19">
        <v>917</v>
      </c>
      <c r="C3545" s="222">
        <v>44991</v>
      </c>
      <c r="D3545" s="17" t="s">
        <v>52</v>
      </c>
      <c r="E3545" s="17" t="s">
        <v>53</v>
      </c>
      <c r="F3545" s="17" t="s">
        <v>54</v>
      </c>
      <c r="H3545" s="19" t="s">
        <v>1180</v>
      </c>
      <c r="I3545" s="19"/>
      <c r="J3545" s="17" t="s">
        <v>82</v>
      </c>
      <c r="K3545" s="281">
        <v>410</v>
      </c>
      <c r="L3545" s="281">
        <v>25</v>
      </c>
      <c r="M3545" s="19">
        <v>5000</v>
      </c>
      <c r="N3545" s="19" t="s">
        <v>40</v>
      </c>
      <c r="O3545" s="19" t="s">
        <v>141</v>
      </c>
      <c r="P3545" s="283">
        <v>500</v>
      </c>
      <c r="Q3545" s="19">
        <v>477</v>
      </c>
      <c r="R3545" s="19">
        <f t="shared" si="170"/>
        <v>23</v>
      </c>
      <c r="S3545" s="91">
        <v>1520</v>
      </c>
      <c r="T3545" s="19" t="s">
        <v>42</v>
      </c>
      <c r="U3545" s="102" t="s">
        <v>1181</v>
      </c>
      <c r="V3545" s="253">
        <v>45052</v>
      </c>
      <c r="W3545" s="17" t="s">
        <v>58</v>
      </c>
      <c r="Y3545" s="68">
        <v>45161</v>
      </c>
      <c r="Z3545" s="17" t="s">
        <v>191</v>
      </c>
      <c r="AA3545" s="17" t="s">
        <v>46</v>
      </c>
      <c r="AB3545" s="17" t="s">
        <v>1182</v>
      </c>
      <c r="AC3545" s="102" t="s">
        <v>1183</v>
      </c>
      <c r="AD3545" s="65">
        <v>1457</v>
      </c>
      <c r="AE3545" s="17" t="s">
        <v>390</v>
      </c>
    </row>
    <row r="3546" s="17" customFormat="1" ht="15.6" hidden="1" spans="1:31">
      <c r="A3546" s="17" t="s">
        <v>34</v>
      </c>
      <c r="B3546" s="19">
        <v>917</v>
      </c>
      <c r="C3546" s="222">
        <v>44991</v>
      </c>
      <c r="D3546" s="17" t="s">
        <v>52</v>
      </c>
      <c r="E3546" s="17" t="s">
        <v>53</v>
      </c>
      <c r="F3546" s="17" t="s">
        <v>54</v>
      </c>
      <c r="H3546" s="19" t="s">
        <v>1180</v>
      </c>
      <c r="I3546" s="19"/>
      <c r="J3546" s="17" t="s">
        <v>82</v>
      </c>
      <c r="K3546" s="281">
        <v>510</v>
      </c>
      <c r="L3546" s="281">
        <v>32</v>
      </c>
      <c r="M3546" s="19">
        <v>5000</v>
      </c>
      <c r="N3546" s="19" t="s">
        <v>40</v>
      </c>
      <c r="O3546" s="19" t="s">
        <v>141</v>
      </c>
      <c r="P3546" s="283">
        <v>500</v>
      </c>
      <c r="Q3546" s="19">
        <v>564</v>
      </c>
      <c r="R3546" s="19">
        <f t="shared" si="170"/>
        <v>-64</v>
      </c>
      <c r="S3546" s="91">
        <v>1520</v>
      </c>
      <c r="T3546" s="19" t="s">
        <v>42</v>
      </c>
      <c r="U3546" s="102" t="s">
        <v>1181</v>
      </c>
      <c r="V3546" s="253">
        <v>45052</v>
      </c>
      <c r="W3546" s="17" t="s">
        <v>58</v>
      </c>
      <c r="Y3546" s="68">
        <v>45161</v>
      </c>
      <c r="Z3546" s="17" t="s">
        <v>191</v>
      </c>
      <c r="AA3546" s="17" t="s">
        <v>46</v>
      </c>
      <c r="AB3546" s="17" t="s">
        <v>1182</v>
      </c>
      <c r="AC3546" s="102" t="s">
        <v>1183</v>
      </c>
      <c r="AD3546" s="65">
        <v>1457</v>
      </c>
      <c r="AE3546" s="17" t="s">
        <v>390</v>
      </c>
    </row>
    <row r="3547" s="17" customFormat="1" ht="15.6" hidden="1" spans="1:31">
      <c r="A3547" s="17" t="s">
        <v>34</v>
      </c>
      <c r="B3547" s="19">
        <v>917</v>
      </c>
      <c r="C3547" s="222">
        <v>44991</v>
      </c>
      <c r="D3547" s="17" t="s">
        <v>52</v>
      </c>
      <c r="E3547" s="17" t="s">
        <v>53</v>
      </c>
      <c r="F3547" s="17" t="s">
        <v>54</v>
      </c>
      <c r="H3547" s="19" t="s">
        <v>1180</v>
      </c>
      <c r="I3547" s="19"/>
      <c r="J3547" s="17" t="s">
        <v>82</v>
      </c>
      <c r="K3547" s="281">
        <v>105</v>
      </c>
      <c r="L3547" s="281">
        <v>32</v>
      </c>
      <c r="M3547" s="19">
        <v>5000</v>
      </c>
      <c r="N3547" s="19" t="s">
        <v>40</v>
      </c>
      <c r="O3547" s="19" t="s">
        <v>1167</v>
      </c>
      <c r="P3547" s="283">
        <v>1000</v>
      </c>
      <c r="Q3547" s="19">
        <v>378</v>
      </c>
      <c r="R3547" s="19">
        <f t="shared" si="170"/>
        <v>622</v>
      </c>
      <c r="S3547" s="91">
        <v>1520</v>
      </c>
      <c r="T3547" s="19" t="s">
        <v>42</v>
      </c>
      <c r="U3547" s="102" t="s">
        <v>1181</v>
      </c>
      <c r="V3547" s="253">
        <v>45052</v>
      </c>
      <c r="W3547" s="17" t="s">
        <v>58</v>
      </c>
      <c r="Y3547" s="68">
        <v>45161</v>
      </c>
      <c r="Z3547" s="17" t="s">
        <v>191</v>
      </c>
      <c r="AA3547" s="17" t="s">
        <v>46</v>
      </c>
      <c r="AB3547" s="17" t="s">
        <v>1182</v>
      </c>
      <c r="AC3547" s="102" t="s">
        <v>1183</v>
      </c>
      <c r="AD3547" s="65">
        <v>1457</v>
      </c>
      <c r="AE3547" s="17" t="s">
        <v>390</v>
      </c>
    </row>
    <row r="3548" s="17" customFormat="1" ht="15.6" hidden="1" spans="1:31">
      <c r="A3548" s="17" t="s">
        <v>34</v>
      </c>
      <c r="B3548" s="19">
        <v>917</v>
      </c>
      <c r="C3548" s="222">
        <v>44991</v>
      </c>
      <c r="D3548" s="17" t="s">
        <v>52</v>
      </c>
      <c r="E3548" s="17" t="s">
        <v>53</v>
      </c>
      <c r="F3548" s="17" t="s">
        <v>54</v>
      </c>
      <c r="H3548" s="19" t="s">
        <v>1180</v>
      </c>
      <c r="I3548" s="19"/>
      <c r="J3548" s="17" t="s">
        <v>82</v>
      </c>
      <c r="K3548" s="281">
        <v>130</v>
      </c>
      <c r="L3548" s="281">
        <v>32</v>
      </c>
      <c r="M3548" s="19">
        <v>5000</v>
      </c>
      <c r="N3548" s="19" t="s">
        <v>40</v>
      </c>
      <c r="O3548" s="19" t="s">
        <v>1167</v>
      </c>
      <c r="P3548" s="283">
        <v>800</v>
      </c>
      <c r="Q3548" s="19">
        <v>110</v>
      </c>
      <c r="R3548" s="19">
        <f t="shared" si="170"/>
        <v>690</v>
      </c>
      <c r="S3548" s="91">
        <v>1520</v>
      </c>
      <c r="T3548" s="19" t="s">
        <v>42</v>
      </c>
      <c r="U3548" s="102" t="s">
        <v>1181</v>
      </c>
      <c r="V3548" s="253">
        <v>45052</v>
      </c>
      <c r="W3548" s="17" t="s">
        <v>58</v>
      </c>
      <c r="Y3548" s="68">
        <v>45161</v>
      </c>
      <c r="Z3548" s="17" t="s">
        <v>191</v>
      </c>
      <c r="AA3548" s="17" t="s">
        <v>46</v>
      </c>
      <c r="AB3548" s="17" t="s">
        <v>1182</v>
      </c>
      <c r="AC3548" s="102" t="s">
        <v>1183</v>
      </c>
      <c r="AD3548" s="65">
        <v>1457</v>
      </c>
      <c r="AE3548" s="17" t="s">
        <v>390</v>
      </c>
    </row>
    <row r="3549" s="17" customFormat="1" ht="15.6" hidden="1" spans="1:31">
      <c r="A3549" s="17" t="s">
        <v>34</v>
      </c>
      <c r="B3549" s="19">
        <v>917</v>
      </c>
      <c r="C3549" s="222">
        <v>44991</v>
      </c>
      <c r="D3549" s="17" t="s">
        <v>52</v>
      </c>
      <c r="E3549" s="17" t="s">
        <v>53</v>
      </c>
      <c r="F3549" s="17" t="s">
        <v>54</v>
      </c>
      <c r="H3549" s="19" t="s">
        <v>1180</v>
      </c>
      <c r="I3549" s="19"/>
      <c r="J3549" s="17" t="s">
        <v>82</v>
      </c>
      <c r="K3549" s="281">
        <v>155</v>
      </c>
      <c r="L3549" s="281">
        <v>32</v>
      </c>
      <c r="M3549" s="19">
        <v>5000</v>
      </c>
      <c r="N3549" s="19" t="s">
        <v>40</v>
      </c>
      <c r="O3549" s="19" t="s">
        <v>1167</v>
      </c>
      <c r="P3549" s="283">
        <v>2000</v>
      </c>
      <c r="Q3549" s="19">
        <v>199</v>
      </c>
      <c r="R3549" s="19">
        <f t="shared" si="170"/>
        <v>1801</v>
      </c>
      <c r="S3549" s="91">
        <v>1520</v>
      </c>
      <c r="T3549" s="19" t="s">
        <v>42</v>
      </c>
      <c r="U3549" s="102" t="s">
        <v>1181</v>
      </c>
      <c r="V3549" s="253">
        <v>45052</v>
      </c>
      <c r="W3549" s="17" t="s">
        <v>58</v>
      </c>
      <c r="Y3549" s="68">
        <v>45161</v>
      </c>
      <c r="Z3549" s="17" t="s">
        <v>191</v>
      </c>
      <c r="AA3549" s="17" t="s">
        <v>46</v>
      </c>
      <c r="AB3549" s="17" t="s">
        <v>1182</v>
      </c>
      <c r="AC3549" s="102" t="s">
        <v>1183</v>
      </c>
      <c r="AD3549" s="65">
        <v>1457</v>
      </c>
      <c r="AE3549" s="17" t="s">
        <v>390</v>
      </c>
    </row>
    <row r="3550" s="17" customFormat="1" ht="15.6" hidden="1" spans="1:31">
      <c r="A3550" s="17" t="s">
        <v>34</v>
      </c>
      <c r="B3550" s="19">
        <v>917</v>
      </c>
      <c r="C3550" s="222">
        <v>44991</v>
      </c>
      <c r="D3550" s="17" t="s">
        <v>52</v>
      </c>
      <c r="E3550" s="17" t="s">
        <v>53</v>
      </c>
      <c r="F3550" s="17" t="s">
        <v>54</v>
      </c>
      <c r="H3550" s="19" t="s">
        <v>1180</v>
      </c>
      <c r="I3550" s="19"/>
      <c r="J3550" s="17" t="s">
        <v>82</v>
      </c>
      <c r="K3550" s="281">
        <v>210</v>
      </c>
      <c r="L3550" s="281">
        <v>32</v>
      </c>
      <c r="M3550" s="19">
        <v>5000</v>
      </c>
      <c r="N3550" s="19" t="s">
        <v>40</v>
      </c>
      <c r="O3550" s="19" t="s">
        <v>1167</v>
      </c>
      <c r="P3550" s="283">
        <v>3000</v>
      </c>
      <c r="Q3550" s="19">
        <f>530+561</f>
        <v>1091</v>
      </c>
      <c r="R3550" s="19">
        <f t="shared" si="170"/>
        <v>1909</v>
      </c>
      <c r="S3550" s="91">
        <v>1520</v>
      </c>
      <c r="T3550" s="19" t="s">
        <v>42</v>
      </c>
      <c r="U3550" s="102" t="s">
        <v>1181</v>
      </c>
      <c r="V3550" s="253">
        <v>45052</v>
      </c>
      <c r="W3550" s="17" t="s">
        <v>58</v>
      </c>
      <c r="Y3550" s="68">
        <v>45161</v>
      </c>
      <c r="Z3550" s="17" t="s">
        <v>191</v>
      </c>
      <c r="AA3550" s="17" t="s">
        <v>46</v>
      </c>
      <c r="AB3550" s="17" t="s">
        <v>1182</v>
      </c>
      <c r="AC3550" s="102" t="s">
        <v>1183</v>
      </c>
      <c r="AD3550" s="65">
        <v>1457</v>
      </c>
      <c r="AE3550" s="17" t="s">
        <v>390</v>
      </c>
    </row>
    <row r="3551" s="17" customFormat="1" ht="15.6" hidden="1" spans="1:31">
      <c r="A3551" s="17" t="s">
        <v>34</v>
      </c>
      <c r="B3551" s="19">
        <v>917</v>
      </c>
      <c r="C3551" s="222">
        <v>44991</v>
      </c>
      <c r="D3551" s="17" t="s">
        <v>52</v>
      </c>
      <c r="E3551" s="17" t="s">
        <v>53</v>
      </c>
      <c r="F3551" s="17" t="s">
        <v>54</v>
      </c>
      <c r="H3551" s="19" t="s">
        <v>1180</v>
      </c>
      <c r="I3551" s="19"/>
      <c r="J3551" s="17" t="s">
        <v>82</v>
      </c>
      <c r="K3551" s="281">
        <v>260</v>
      </c>
      <c r="L3551" s="281">
        <v>32</v>
      </c>
      <c r="M3551" s="19">
        <v>5000</v>
      </c>
      <c r="N3551" s="19" t="s">
        <v>40</v>
      </c>
      <c r="O3551" s="19" t="s">
        <v>1167</v>
      </c>
      <c r="P3551" s="283">
        <v>3000</v>
      </c>
      <c r="Q3551" s="19">
        <v>803</v>
      </c>
      <c r="R3551" s="19">
        <f t="shared" si="170"/>
        <v>2197</v>
      </c>
      <c r="S3551" s="91">
        <v>1520</v>
      </c>
      <c r="T3551" s="19" t="s">
        <v>42</v>
      </c>
      <c r="U3551" s="102" t="s">
        <v>1181</v>
      </c>
      <c r="V3551" s="253">
        <v>45052</v>
      </c>
      <c r="W3551" s="17" t="s">
        <v>58</v>
      </c>
      <c r="Y3551" s="68">
        <v>45161</v>
      </c>
      <c r="Z3551" s="17" t="s">
        <v>191</v>
      </c>
      <c r="AA3551" s="17" t="s">
        <v>46</v>
      </c>
      <c r="AB3551" s="17" t="s">
        <v>1182</v>
      </c>
      <c r="AC3551" s="102" t="s">
        <v>1183</v>
      </c>
      <c r="AD3551" s="65">
        <v>1457</v>
      </c>
      <c r="AE3551" s="17" t="s">
        <v>390</v>
      </c>
    </row>
    <row r="3552" s="17" customFormat="1" ht="15.6" hidden="1" spans="1:31">
      <c r="A3552" s="17" t="s">
        <v>34</v>
      </c>
      <c r="B3552" s="19">
        <v>917</v>
      </c>
      <c r="C3552" s="222">
        <v>44991</v>
      </c>
      <c r="D3552" s="17" t="s">
        <v>52</v>
      </c>
      <c r="E3552" s="17" t="s">
        <v>53</v>
      </c>
      <c r="F3552" s="17" t="s">
        <v>54</v>
      </c>
      <c r="H3552" s="19" t="s">
        <v>1180</v>
      </c>
      <c r="I3552" s="19"/>
      <c r="J3552" s="17" t="s">
        <v>82</v>
      </c>
      <c r="K3552" s="281">
        <v>310</v>
      </c>
      <c r="L3552" s="281">
        <v>32</v>
      </c>
      <c r="M3552" s="19">
        <v>5000</v>
      </c>
      <c r="N3552" s="19" t="s">
        <v>40</v>
      </c>
      <c r="O3552" s="19" t="s">
        <v>1167</v>
      </c>
      <c r="P3552" s="283">
        <v>1500</v>
      </c>
      <c r="Q3552" s="19">
        <v>694</v>
      </c>
      <c r="R3552" s="19">
        <f t="shared" si="170"/>
        <v>806</v>
      </c>
      <c r="S3552" s="91">
        <v>1520</v>
      </c>
      <c r="T3552" s="19" t="s">
        <v>42</v>
      </c>
      <c r="U3552" s="102" t="s">
        <v>1181</v>
      </c>
      <c r="V3552" s="253">
        <v>45052</v>
      </c>
      <c r="W3552" s="17" t="s">
        <v>58</v>
      </c>
      <c r="Y3552" s="68">
        <v>45161</v>
      </c>
      <c r="Z3552" s="17" t="s">
        <v>191</v>
      </c>
      <c r="AA3552" s="17" t="s">
        <v>46</v>
      </c>
      <c r="AB3552" s="17" t="s">
        <v>1182</v>
      </c>
      <c r="AC3552" s="102" t="s">
        <v>1183</v>
      </c>
      <c r="AD3552" s="65">
        <v>1457</v>
      </c>
      <c r="AE3552" s="17" t="s">
        <v>390</v>
      </c>
    </row>
    <row r="3553" s="17" customFormat="1" ht="15.6" hidden="1" spans="1:31">
      <c r="A3553" s="17" t="s">
        <v>34</v>
      </c>
      <c r="B3553" s="19">
        <v>917</v>
      </c>
      <c r="C3553" s="222">
        <v>44991</v>
      </c>
      <c r="D3553" s="17" t="s">
        <v>52</v>
      </c>
      <c r="E3553" s="17" t="s">
        <v>53</v>
      </c>
      <c r="F3553" s="17" t="s">
        <v>54</v>
      </c>
      <c r="H3553" s="19" t="s">
        <v>1180</v>
      </c>
      <c r="I3553" s="19"/>
      <c r="J3553" s="17" t="s">
        <v>82</v>
      </c>
      <c r="K3553" s="281">
        <v>360</v>
      </c>
      <c r="L3553" s="281">
        <v>32</v>
      </c>
      <c r="M3553" s="19">
        <v>5000</v>
      </c>
      <c r="N3553" s="19" t="s">
        <v>40</v>
      </c>
      <c r="O3553" s="19" t="s">
        <v>1167</v>
      </c>
      <c r="P3553" s="283">
        <v>1000</v>
      </c>
      <c r="Q3553" s="19">
        <v>342</v>
      </c>
      <c r="R3553" s="19">
        <f t="shared" si="170"/>
        <v>658</v>
      </c>
      <c r="S3553" s="91">
        <v>1520</v>
      </c>
      <c r="T3553" s="19" t="s">
        <v>42</v>
      </c>
      <c r="U3553" s="102" t="s">
        <v>1181</v>
      </c>
      <c r="V3553" s="253">
        <v>45052</v>
      </c>
      <c r="W3553" s="17" t="s">
        <v>58</v>
      </c>
      <c r="Y3553" s="68">
        <v>45161</v>
      </c>
      <c r="Z3553" s="17" t="s">
        <v>191</v>
      </c>
      <c r="AA3553" s="17" t="s">
        <v>46</v>
      </c>
      <c r="AB3553" s="17" t="s">
        <v>1182</v>
      </c>
      <c r="AC3553" s="102" t="s">
        <v>1183</v>
      </c>
      <c r="AD3553" s="65">
        <v>1457</v>
      </c>
      <c r="AE3553" s="17" t="s">
        <v>390</v>
      </c>
    </row>
    <row r="3554" s="17" customFormat="1" ht="15.6" hidden="1" spans="1:31">
      <c r="A3554" s="17" t="s">
        <v>34</v>
      </c>
      <c r="B3554" s="19">
        <v>917</v>
      </c>
      <c r="C3554" s="222">
        <v>44991</v>
      </c>
      <c r="D3554" s="17" t="s">
        <v>52</v>
      </c>
      <c r="E3554" s="17" t="s">
        <v>53</v>
      </c>
      <c r="F3554" s="17" t="s">
        <v>54</v>
      </c>
      <c r="H3554" s="19" t="s">
        <v>1180</v>
      </c>
      <c r="I3554" s="19"/>
      <c r="J3554" s="17" t="s">
        <v>82</v>
      </c>
      <c r="K3554" s="281">
        <v>410</v>
      </c>
      <c r="L3554" s="281">
        <v>32</v>
      </c>
      <c r="M3554" s="19">
        <v>5000</v>
      </c>
      <c r="N3554" s="19" t="s">
        <v>40</v>
      </c>
      <c r="O3554" s="19" t="s">
        <v>1167</v>
      </c>
      <c r="P3554" s="283">
        <v>1500</v>
      </c>
      <c r="Q3554" s="19">
        <v>643</v>
      </c>
      <c r="R3554" s="19">
        <f t="shared" si="170"/>
        <v>857</v>
      </c>
      <c r="S3554" s="91">
        <v>1520</v>
      </c>
      <c r="T3554" s="19" t="s">
        <v>42</v>
      </c>
      <c r="U3554" s="102" t="s">
        <v>1181</v>
      </c>
      <c r="V3554" s="253">
        <v>45052</v>
      </c>
      <c r="W3554" s="17" t="s">
        <v>58</v>
      </c>
      <c r="Y3554" s="68">
        <v>45161</v>
      </c>
      <c r="Z3554" s="17" t="s">
        <v>191</v>
      </c>
      <c r="AA3554" s="17" t="s">
        <v>46</v>
      </c>
      <c r="AB3554" s="17" t="s">
        <v>1182</v>
      </c>
      <c r="AC3554" s="102" t="s">
        <v>1183</v>
      </c>
      <c r="AD3554" s="65">
        <v>1457</v>
      </c>
      <c r="AE3554" s="17" t="s">
        <v>390</v>
      </c>
    </row>
    <row r="3555" s="17" customFormat="1" ht="15.6" hidden="1" spans="1:31">
      <c r="A3555" s="17" t="s">
        <v>34</v>
      </c>
      <c r="B3555" s="19">
        <v>917</v>
      </c>
      <c r="C3555" s="222">
        <v>44991</v>
      </c>
      <c r="D3555" s="17" t="s">
        <v>52</v>
      </c>
      <c r="E3555" s="17" t="s">
        <v>53</v>
      </c>
      <c r="F3555" s="17" t="s">
        <v>54</v>
      </c>
      <c r="H3555" s="19" t="s">
        <v>1180</v>
      </c>
      <c r="I3555" s="19"/>
      <c r="J3555" s="17" t="s">
        <v>82</v>
      </c>
      <c r="K3555" s="281">
        <v>210</v>
      </c>
      <c r="L3555" s="284">
        <v>40</v>
      </c>
      <c r="M3555" s="19">
        <v>5000</v>
      </c>
      <c r="N3555" s="19" t="s">
        <v>40</v>
      </c>
      <c r="O3555" s="19" t="s">
        <v>1167</v>
      </c>
      <c r="P3555" s="283">
        <v>500</v>
      </c>
      <c r="Q3555" s="19">
        <v>275</v>
      </c>
      <c r="R3555" s="19">
        <f t="shared" si="170"/>
        <v>225</v>
      </c>
      <c r="S3555" s="91">
        <v>1520</v>
      </c>
      <c r="T3555" s="19" t="s">
        <v>42</v>
      </c>
      <c r="U3555" s="102" t="s">
        <v>1181</v>
      </c>
      <c r="V3555" s="253">
        <v>45052</v>
      </c>
      <c r="W3555" s="17" t="s">
        <v>58</v>
      </c>
      <c r="Y3555" s="68">
        <v>45161</v>
      </c>
      <c r="Z3555" s="17" t="s">
        <v>191</v>
      </c>
      <c r="AA3555" s="17" t="s">
        <v>46</v>
      </c>
      <c r="AB3555" s="17" t="s">
        <v>1182</v>
      </c>
      <c r="AC3555" s="102" t="s">
        <v>1183</v>
      </c>
      <c r="AD3555" s="65">
        <v>1457</v>
      </c>
      <c r="AE3555" s="17" t="s">
        <v>390</v>
      </c>
    </row>
    <row r="3556" s="17" customFormat="1" ht="15.6" hidden="1" spans="1:31">
      <c r="A3556" s="17" t="s">
        <v>34</v>
      </c>
      <c r="B3556" s="19">
        <v>917</v>
      </c>
      <c r="C3556" s="222">
        <v>44991</v>
      </c>
      <c r="D3556" s="17" t="s">
        <v>52</v>
      </c>
      <c r="E3556" s="17" t="s">
        <v>53</v>
      </c>
      <c r="F3556" s="17" t="s">
        <v>54</v>
      </c>
      <c r="H3556" s="19" t="s">
        <v>1180</v>
      </c>
      <c r="I3556" s="19"/>
      <c r="J3556" s="17" t="s">
        <v>82</v>
      </c>
      <c r="K3556" s="281">
        <v>260</v>
      </c>
      <c r="L3556" s="284">
        <v>40</v>
      </c>
      <c r="M3556" s="19">
        <v>5000</v>
      </c>
      <c r="N3556" s="19" t="s">
        <v>40</v>
      </c>
      <c r="O3556" s="19" t="s">
        <v>1167</v>
      </c>
      <c r="P3556" s="283">
        <v>500</v>
      </c>
      <c r="Q3556" s="19">
        <v>359</v>
      </c>
      <c r="R3556" s="19">
        <f t="shared" si="170"/>
        <v>141</v>
      </c>
      <c r="S3556" s="91">
        <v>1520</v>
      </c>
      <c r="T3556" s="19" t="s">
        <v>42</v>
      </c>
      <c r="U3556" s="102" t="s">
        <v>1181</v>
      </c>
      <c r="V3556" s="253">
        <v>45052</v>
      </c>
      <c r="W3556" s="17" t="s">
        <v>58</v>
      </c>
      <c r="Y3556" s="68">
        <v>45161</v>
      </c>
      <c r="Z3556" s="17" t="s">
        <v>191</v>
      </c>
      <c r="AA3556" s="17" t="s">
        <v>46</v>
      </c>
      <c r="AB3556" s="17" t="s">
        <v>1182</v>
      </c>
      <c r="AC3556" s="102" t="s">
        <v>1183</v>
      </c>
      <c r="AD3556" s="65">
        <v>1457</v>
      </c>
      <c r="AE3556" s="17" t="s">
        <v>390</v>
      </c>
    </row>
    <row r="3557" s="17" customFormat="1" ht="15.6" hidden="1" spans="1:31">
      <c r="A3557" s="17" t="s">
        <v>34</v>
      </c>
      <c r="B3557" s="19">
        <v>917</v>
      </c>
      <c r="C3557" s="222">
        <v>44991</v>
      </c>
      <c r="D3557" s="17" t="s">
        <v>52</v>
      </c>
      <c r="E3557" s="17" t="s">
        <v>53</v>
      </c>
      <c r="F3557" s="17" t="s">
        <v>54</v>
      </c>
      <c r="H3557" s="19" t="s">
        <v>1180</v>
      </c>
      <c r="I3557" s="19"/>
      <c r="J3557" s="17" t="s">
        <v>82</v>
      </c>
      <c r="K3557" s="281">
        <v>310</v>
      </c>
      <c r="L3557" s="284">
        <v>40</v>
      </c>
      <c r="M3557" s="19">
        <v>5000</v>
      </c>
      <c r="N3557" s="19" t="s">
        <v>40</v>
      </c>
      <c r="O3557" s="19" t="s">
        <v>1167</v>
      </c>
      <c r="P3557" s="283">
        <v>500</v>
      </c>
      <c r="Q3557" s="19">
        <f>354+331</f>
        <v>685</v>
      </c>
      <c r="R3557" s="19">
        <f t="shared" si="170"/>
        <v>-185</v>
      </c>
      <c r="S3557" s="91">
        <v>1520</v>
      </c>
      <c r="T3557" s="19" t="s">
        <v>42</v>
      </c>
      <c r="U3557" s="102" t="s">
        <v>1181</v>
      </c>
      <c r="V3557" s="253">
        <v>45052</v>
      </c>
      <c r="W3557" s="17" t="s">
        <v>58</v>
      </c>
      <c r="Y3557" s="68">
        <v>45161</v>
      </c>
      <c r="Z3557" s="17" t="s">
        <v>191</v>
      </c>
      <c r="AA3557" s="17" t="s">
        <v>46</v>
      </c>
      <c r="AB3557" s="17" t="s">
        <v>1184</v>
      </c>
      <c r="AC3557" s="217">
        <v>45146</v>
      </c>
      <c r="AD3557" s="65">
        <v>1454</v>
      </c>
      <c r="AE3557" s="17" t="s">
        <v>390</v>
      </c>
    </row>
    <row r="3558" s="17" customFormat="1" ht="15.6" hidden="1" spans="1:31">
      <c r="A3558" s="17" t="s">
        <v>34</v>
      </c>
      <c r="B3558" s="19">
        <v>917</v>
      </c>
      <c r="C3558" s="222">
        <v>44991</v>
      </c>
      <c r="D3558" s="17" t="s">
        <v>52</v>
      </c>
      <c r="E3558" s="17" t="s">
        <v>53</v>
      </c>
      <c r="F3558" s="17" t="s">
        <v>54</v>
      </c>
      <c r="H3558" s="19" t="s">
        <v>1180</v>
      </c>
      <c r="I3558" s="19"/>
      <c r="J3558" s="17" t="s">
        <v>82</v>
      </c>
      <c r="K3558" s="281">
        <v>360</v>
      </c>
      <c r="L3558" s="284">
        <v>40</v>
      </c>
      <c r="M3558" s="19">
        <v>5000</v>
      </c>
      <c r="N3558" s="19" t="s">
        <v>40</v>
      </c>
      <c r="O3558" s="19" t="s">
        <v>1167</v>
      </c>
      <c r="P3558" s="283">
        <v>1000</v>
      </c>
      <c r="Q3558" s="19">
        <f>560+571</f>
        <v>1131</v>
      </c>
      <c r="R3558" s="19">
        <f t="shared" si="170"/>
        <v>-131</v>
      </c>
      <c r="S3558" s="91">
        <v>1520</v>
      </c>
      <c r="T3558" s="19" t="s">
        <v>42</v>
      </c>
      <c r="U3558" s="102" t="s">
        <v>1181</v>
      </c>
      <c r="V3558" s="253">
        <v>45052</v>
      </c>
      <c r="W3558" s="17" t="s">
        <v>58</v>
      </c>
      <c r="Y3558" s="68">
        <v>45161</v>
      </c>
      <c r="Z3558" s="17" t="s">
        <v>191</v>
      </c>
      <c r="AA3558" s="17" t="s">
        <v>46</v>
      </c>
      <c r="AB3558" s="17" t="s">
        <v>1184</v>
      </c>
      <c r="AC3558" s="217">
        <v>45146</v>
      </c>
      <c r="AD3558" s="65">
        <v>1454</v>
      </c>
      <c r="AE3558" s="17" t="s">
        <v>390</v>
      </c>
    </row>
    <row r="3559" s="17" customFormat="1" ht="15.6" hidden="1" spans="1:31">
      <c r="A3559" s="17" t="s">
        <v>34</v>
      </c>
      <c r="B3559" s="19">
        <v>917</v>
      </c>
      <c r="C3559" s="222">
        <v>44991</v>
      </c>
      <c r="D3559" s="17" t="s">
        <v>52</v>
      </c>
      <c r="E3559" s="17" t="s">
        <v>53</v>
      </c>
      <c r="F3559" s="17" t="s">
        <v>54</v>
      </c>
      <c r="H3559" s="19" t="s">
        <v>1180</v>
      </c>
      <c r="I3559" s="19"/>
      <c r="J3559" s="17" t="s">
        <v>82</v>
      </c>
      <c r="K3559" s="281">
        <v>410</v>
      </c>
      <c r="L3559" s="284">
        <v>40</v>
      </c>
      <c r="M3559" s="19">
        <v>5000</v>
      </c>
      <c r="N3559" s="19" t="s">
        <v>40</v>
      </c>
      <c r="O3559" s="19" t="s">
        <v>1167</v>
      </c>
      <c r="P3559" s="283">
        <v>1000</v>
      </c>
      <c r="Q3559" s="19">
        <f>490+552</f>
        <v>1042</v>
      </c>
      <c r="R3559" s="19">
        <f t="shared" si="170"/>
        <v>-42</v>
      </c>
      <c r="S3559" s="91">
        <v>1520</v>
      </c>
      <c r="T3559" s="19" t="s">
        <v>42</v>
      </c>
      <c r="U3559" s="102" t="s">
        <v>1181</v>
      </c>
      <c r="V3559" s="253">
        <v>45052</v>
      </c>
      <c r="W3559" s="17" t="s">
        <v>58</v>
      </c>
      <c r="Y3559" s="68">
        <v>45161</v>
      </c>
      <c r="Z3559" s="17" t="s">
        <v>191</v>
      </c>
      <c r="AA3559" s="17" t="s">
        <v>46</v>
      </c>
      <c r="AB3559" s="17" t="s">
        <v>1184</v>
      </c>
      <c r="AC3559" s="217">
        <v>45146</v>
      </c>
      <c r="AD3559" s="65">
        <v>1454</v>
      </c>
      <c r="AE3559" s="17" t="s">
        <v>390</v>
      </c>
    </row>
    <row r="3560" s="17" customFormat="1" ht="15.6" hidden="1" spans="1:31">
      <c r="A3560" s="17" t="s">
        <v>34</v>
      </c>
      <c r="B3560" s="19">
        <v>917</v>
      </c>
      <c r="C3560" s="222">
        <v>44991</v>
      </c>
      <c r="D3560" s="17" t="s">
        <v>52</v>
      </c>
      <c r="E3560" s="17" t="s">
        <v>53</v>
      </c>
      <c r="F3560" s="17" t="s">
        <v>54</v>
      </c>
      <c r="H3560" s="19" t="s">
        <v>1180</v>
      </c>
      <c r="I3560" s="19"/>
      <c r="J3560" s="17" t="s">
        <v>82</v>
      </c>
      <c r="K3560" s="281">
        <v>210</v>
      </c>
      <c r="L3560" s="284">
        <v>50</v>
      </c>
      <c r="M3560" s="19">
        <v>5000</v>
      </c>
      <c r="N3560" s="19" t="s">
        <v>40</v>
      </c>
      <c r="O3560" s="19" t="s">
        <v>1167</v>
      </c>
      <c r="P3560" s="283">
        <v>500</v>
      </c>
      <c r="Q3560" s="19">
        <v>352</v>
      </c>
      <c r="R3560" s="19">
        <f t="shared" si="170"/>
        <v>148</v>
      </c>
      <c r="S3560" s="91">
        <v>1520</v>
      </c>
      <c r="T3560" s="19" t="s">
        <v>42</v>
      </c>
      <c r="U3560" s="102" t="s">
        <v>1181</v>
      </c>
      <c r="V3560" s="253">
        <v>45052</v>
      </c>
      <c r="W3560" s="17" t="s">
        <v>58</v>
      </c>
      <c r="Y3560" s="68">
        <v>45161</v>
      </c>
      <c r="Z3560" s="17" t="s">
        <v>191</v>
      </c>
      <c r="AA3560" s="17" t="s">
        <v>46</v>
      </c>
      <c r="AB3560" s="17" t="s">
        <v>1182</v>
      </c>
      <c r="AC3560" s="102" t="s">
        <v>1183</v>
      </c>
      <c r="AD3560" s="65">
        <v>1457</v>
      </c>
      <c r="AE3560" s="17" t="s">
        <v>390</v>
      </c>
    </row>
    <row r="3561" s="17" customFormat="1" ht="15.6" hidden="1" spans="1:31">
      <c r="A3561" s="17" t="s">
        <v>34</v>
      </c>
      <c r="B3561" s="19">
        <v>917</v>
      </c>
      <c r="C3561" s="222">
        <v>44991</v>
      </c>
      <c r="D3561" s="17" t="s">
        <v>52</v>
      </c>
      <c r="E3561" s="17" t="s">
        <v>53</v>
      </c>
      <c r="F3561" s="17" t="s">
        <v>54</v>
      </c>
      <c r="H3561" s="19" t="s">
        <v>1180</v>
      </c>
      <c r="I3561" s="19"/>
      <c r="J3561" s="17" t="s">
        <v>82</v>
      </c>
      <c r="K3561" s="281">
        <v>260</v>
      </c>
      <c r="L3561" s="284">
        <v>50</v>
      </c>
      <c r="M3561" s="19">
        <v>5000</v>
      </c>
      <c r="N3561" s="19" t="s">
        <v>40</v>
      </c>
      <c r="O3561" s="19" t="s">
        <v>1167</v>
      </c>
      <c r="P3561" s="283">
        <v>500</v>
      </c>
      <c r="Q3561" s="19">
        <v>472</v>
      </c>
      <c r="R3561" s="19">
        <f t="shared" si="170"/>
        <v>28</v>
      </c>
      <c r="S3561" s="91">
        <v>1520</v>
      </c>
      <c r="T3561" s="19" t="s">
        <v>42</v>
      </c>
      <c r="U3561" s="102" t="s">
        <v>1181</v>
      </c>
      <c r="V3561" s="253">
        <v>45052</v>
      </c>
      <c r="W3561" s="17" t="s">
        <v>58</v>
      </c>
      <c r="Y3561" s="68">
        <v>45161</v>
      </c>
      <c r="Z3561" s="17" t="s">
        <v>191</v>
      </c>
      <c r="AA3561" s="17" t="s">
        <v>46</v>
      </c>
      <c r="AB3561" s="17" t="s">
        <v>1184</v>
      </c>
      <c r="AC3561" s="217">
        <v>45146</v>
      </c>
      <c r="AD3561" s="65">
        <v>1454</v>
      </c>
      <c r="AE3561" s="17" t="s">
        <v>390</v>
      </c>
    </row>
    <row r="3562" s="17" customFormat="1" ht="15.6" hidden="1" spans="1:31">
      <c r="A3562" s="17" t="s">
        <v>34</v>
      </c>
      <c r="B3562" s="19">
        <v>917</v>
      </c>
      <c r="C3562" s="222">
        <v>44991</v>
      </c>
      <c r="D3562" s="17" t="s">
        <v>52</v>
      </c>
      <c r="E3562" s="17" t="s">
        <v>53</v>
      </c>
      <c r="F3562" s="17" t="s">
        <v>54</v>
      </c>
      <c r="H3562" s="19" t="s">
        <v>1180</v>
      </c>
      <c r="I3562" s="19"/>
      <c r="J3562" s="17" t="s">
        <v>82</v>
      </c>
      <c r="K3562" s="281">
        <v>310</v>
      </c>
      <c r="L3562" s="284">
        <v>50</v>
      </c>
      <c r="M3562" s="19">
        <v>5000</v>
      </c>
      <c r="N3562" s="19" t="s">
        <v>40</v>
      </c>
      <c r="O3562" s="19" t="s">
        <v>1167</v>
      </c>
      <c r="P3562" s="283">
        <v>500</v>
      </c>
      <c r="Q3562" s="19">
        <v>553</v>
      </c>
      <c r="R3562" s="19">
        <f t="shared" si="170"/>
        <v>-53</v>
      </c>
      <c r="S3562" s="91">
        <v>1520</v>
      </c>
      <c r="T3562" s="19" t="s">
        <v>42</v>
      </c>
      <c r="U3562" s="102" t="s">
        <v>1181</v>
      </c>
      <c r="V3562" s="253">
        <v>45052</v>
      </c>
      <c r="W3562" s="17" t="s">
        <v>58</v>
      </c>
      <c r="Y3562" s="68">
        <v>45161</v>
      </c>
      <c r="Z3562" s="17" t="s">
        <v>191</v>
      </c>
      <c r="AA3562" s="17" t="s">
        <v>46</v>
      </c>
      <c r="AB3562" s="17" t="s">
        <v>1184</v>
      </c>
      <c r="AC3562" s="217">
        <v>45146</v>
      </c>
      <c r="AD3562" s="65">
        <v>1454</v>
      </c>
      <c r="AE3562" s="17" t="s">
        <v>390</v>
      </c>
    </row>
    <row r="3563" s="17" customFormat="1" ht="15.6" hidden="1" spans="1:31">
      <c r="A3563" s="17" t="s">
        <v>34</v>
      </c>
      <c r="B3563" s="19">
        <v>917</v>
      </c>
      <c r="C3563" s="222">
        <v>44991</v>
      </c>
      <c r="D3563" s="17" t="s">
        <v>52</v>
      </c>
      <c r="E3563" s="17" t="s">
        <v>53</v>
      </c>
      <c r="F3563" s="17" t="s">
        <v>54</v>
      </c>
      <c r="H3563" s="19" t="s">
        <v>1180</v>
      </c>
      <c r="I3563" s="19"/>
      <c r="J3563" s="17" t="s">
        <v>82</v>
      </c>
      <c r="K3563" s="281">
        <v>360</v>
      </c>
      <c r="L3563" s="284">
        <v>50</v>
      </c>
      <c r="M3563" s="19">
        <v>5000</v>
      </c>
      <c r="N3563" s="19" t="s">
        <v>40</v>
      </c>
      <c r="O3563" s="19" t="s">
        <v>1167</v>
      </c>
      <c r="P3563" s="283">
        <v>1000</v>
      </c>
      <c r="Q3563" s="19">
        <f>548+550</f>
        <v>1098</v>
      </c>
      <c r="R3563" s="19">
        <f t="shared" si="170"/>
        <v>-98</v>
      </c>
      <c r="S3563" s="91">
        <v>1520</v>
      </c>
      <c r="T3563" s="19" t="s">
        <v>42</v>
      </c>
      <c r="U3563" s="102" t="s">
        <v>1181</v>
      </c>
      <c r="V3563" s="253">
        <v>45052</v>
      </c>
      <c r="W3563" s="17" t="s">
        <v>58</v>
      </c>
      <c r="Y3563" s="68">
        <v>45161</v>
      </c>
      <c r="Z3563" s="17" t="s">
        <v>191</v>
      </c>
      <c r="AA3563" s="17" t="s">
        <v>46</v>
      </c>
      <c r="AB3563" s="17" t="s">
        <v>1184</v>
      </c>
      <c r="AC3563" s="217">
        <v>45146</v>
      </c>
      <c r="AD3563" s="65">
        <v>1454</v>
      </c>
      <c r="AE3563" s="17" t="s">
        <v>390</v>
      </c>
    </row>
    <row r="3564" s="17" customFormat="1" ht="15.6" hidden="1" spans="1:31">
      <c r="A3564" s="17" t="s">
        <v>34</v>
      </c>
      <c r="B3564" s="19">
        <v>917</v>
      </c>
      <c r="C3564" s="222">
        <v>44991</v>
      </c>
      <c r="D3564" s="17" t="s">
        <v>52</v>
      </c>
      <c r="E3564" s="17" t="s">
        <v>53</v>
      </c>
      <c r="F3564" s="17" t="s">
        <v>54</v>
      </c>
      <c r="H3564" s="19" t="s">
        <v>1180</v>
      </c>
      <c r="I3564" s="19"/>
      <c r="J3564" s="17" t="s">
        <v>82</v>
      </c>
      <c r="K3564" s="281">
        <v>410</v>
      </c>
      <c r="L3564" s="284">
        <v>50</v>
      </c>
      <c r="M3564" s="19">
        <v>5000</v>
      </c>
      <c r="N3564" s="19" t="s">
        <v>40</v>
      </c>
      <c r="O3564" s="19" t="s">
        <v>1167</v>
      </c>
      <c r="P3564" s="283">
        <v>1000</v>
      </c>
      <c r="Q3564" s="19">
        <v>544</v>
      </c>
      <c r="S3564" s="91">
        <v>1520</v>
      </c>
      <c r="T3564" s="19" t="s">
        <v>42</v>
      </c>
      <c r="U3564" s="102" t="s">
        <v>1181</v>
      </c>
      <c r="V3564" s="253">
        <v>45052</v>
      </c>
      <c r="W3564" s="17" t="s">
        <v>58</v>
      </c>
      <c r="Y3564" s="68">
        <v>45161</v>
      </c>
      <c r="Z3564" s="17" t="s">
        <v>191</v>
      </c>
      <c r="AA3564" s="17" t="s">
        <v>46</v>
      </c>
      <c r="AB3564" s="17" t="s">
        <v>1184</v>
      </c>
      <c r="AC3564" s="217">
        <v>45146</v>
      </c>
      <c r="AD3564" s="65">
        <v>1454</v>
      </c>
      <c r="AE3564" s="17" t="s">
        <v>390</v>
      </c>
    </row>
    <row r="3565" s="17" customFormat="1" ht="15.6" hidden="1" spans="1:31">
      <c r="A3565" s="17" t="s">
        <v>34</v>
      </c>
      <c r="B3565" s="19">
        <v>917</v>
      </c>
      <c r="C3565" s="222">
        <v>44991</v>
      </c>
      <c r="D3565" s="17" t="s">
        <v>52</v>
      </c>
      <c r="E3565" s="17" t="s">
        <v>53</v>
      </c>
      <c r="F3565" s="17" t="s">
        <v>54</v>
      </c>
      <c r="H3565" s="19" t="s">
        <v>1180</v>
      </c>
      <c r="I3565" s="19"/>
      <c r="J3565" s="17" t="s">
        <v>82</v>
      </c>
      <c r="K3565" s="281">
        <v>410</v>
      </c>
      <c r="L3565" s="284">
        <v>50</v>
      </c>
      <c r="M3565" s="19">
        <v>5000</v>
      </c>
      <c r="N3565" s="19" t="s">
        <v>40</v>
      </c>
      <c r="O3565" s="19" t="s">
        <v>1167</v>
      </c>
      <c r="P3565" s="283"/>
      <c r="Q3565" s="19">
        <v>540</v>
      </c>
      <c r="R3565" s="19">
        <f>+P3564-Q3564-Q3565</f>
        <v>-84</v>
      </c>
      <c r="S3565" s="91">
        <v>1520</v>
      </c>
      <c r="T3565" s="19" t="s">
        <v>42</v>
      </c>
      <c r="U3565" s="102" t="s">
        <v>1181</v>
      </c>
      <c r="V3565" s="253">
        <v>45052</v>
      </c>
      <c r="W3565" s="17" t="s">
        <v>58</v>
      </c>
      <c r="Y3565" s="68">
        <v>45161</v>
      </c>
      <c r="Z3565" s="17" t="s">
        <v>191</v>
      </c>
      <c r="AA3565" s="17" t="s">
        <v>46</v>
      </c>
      <c r="AB3565" s="17" t="s">
        <v>1182</v>
      </c>
      <c r="AC3565" s="102" t="s">
        <v>1183</v>
      </c>
      <c r="AD3565" s="65">
        <v>1457</v>
      </c>
    </row>
    <row r="3566" s="17" customFormat="1" ht="15.6" hidden="1" spans="1:31">
      <c r="A3566" s="17" t="s">
        <v>34</v>
      </c>
      <c r="B3566" s="19">
        <v>917</v>
      </c>
      <c r="C3566" s="222">
        <v>44991</v>
      </c>
      <c r="D3566" s="17" t="s">
        <v>52</v>
      </c>
      <c r="E3566" s="17" t="s">
        <v>53</v>
      </c>
      <c r="F3566" s="17" t="s">
        <v>54</v>
      </c>
      <c r="H3566" s="19" t="s">
        <v>1180</v>
      </c>
      <c r="I3566" s="19"/>
      <c r="J3566" s="17" t="s">
        <v>82</v>
      </c>
      <c r="K3566" s="281">
        <v>510</v>
      </c>
      <c r="L3566" s="284">
        <v>50</v>
      </c>
      <c r="M3566" s="19">
        <v>5000</v>
      </c>
      <c r="N3566" s="19" t="s">
        <v>40</v>
      </c>
      <c r="O3566" s="19" t="s">
        <v>1167</v>
      </c>
      <c r="P3566" s="283">
        <v>500</v>
      </c>
      <c r="Q3566" s="19">
        <v>766</v>
      </c>
      <c r="R3566" s="19">
        <f t="shared" ref="R3566:R3583" si="171">+P3566-Q3566</f>
        <v>-266</v>
      </c>
      <c r="S3566" s="91">
        <v>1520</v>
      </c>
      <c r="T3566" s="19" t="s">
        <v>42</v>
      </c>
      <c r="U3566" s="102" t="s">
        <v>1181</v>
      </c>
      <c r="V3566" s="253">
        <v>45052</v>
      </c>
      <c r="W3566" s="17" t="s">
        <v>58</v>
      </c>
      <c r="Y3566" s="68">
        <v>45161</v>
      </c>
      <c r="Z3566" s="17" t="s">
        <v>191</v>
      </c>
      <c r="AA3566" s="17" t="s">
        <v>46</v>
      </c>
      <c r="AB3566" s="17" t="s">
        <v>1182</v>
      </c>
      <c r="AC3566" s="102" t="s">
        <v>1183</v>
      </c>
      <c r="AD3566" s="65">
        <v>1457</v>
      </c>
      <c r="AE3566" s="17" t="s">
        <v>390</v>
      </c>
    </row>
    <row r="3567" s="17" customFormat="1" ht="15.6" hidden="1" spans="1:31">
      <c r="A3567" s="17" t="s">
        <v>34</v>
      </c>
      <c r="B3567" s="19">
        <v>917</v>
      </c>
      <c r="C3567" s="222">
        <v>44991</v>
      </c>
      <c r="D3567" s="17" t="s">
        <v>52</v>
      </c>
      <c r="E3567" s="17" t="s">
        <v>53</v>
      </c>
      <c r="F3567" s="17" t="s">
        <v>54</v>
      </c>
      <c r="H3567" s="19" t="s">
        <v>1180</v>
      </c>
      <c r="I3567" s="19"/>
      <c r="J3567" s="17" t="s">
        <v>82</v>
      </c>
      <c r="K3567" s="281">
        <v>210</v>
      </c>
      <c r="L3567" s="284">
        <v>65</v>
      </c>
      <c r="M3567" s="19">
        <v>5000</v>
      </c>
      <c r="N3567" s="19" t="s">
        <v>40</v>
      </c>
      <c r="O3567" s="19" t="s">
        <v>1167</v>
      </c>
      <c r="P3567" s="283">
        <v>500</v>
      </c>
      <c r="Q3567" s="19">
        <v>374</v>
      </c>
      <c r="R3567" s="19">
        <f t="shared" si="171"/>
        <v>126</v>
      </c>
      <c r="S3567" s="91">
        <v>1520</v>
      </c>
      <c r="T3567" s="19" t="s">
        <v>42</v>
      </c>
      <c r="U3567" s="102" t="s">
        <v>1181</v>
      </c>
      <c r="V3567" s="253">
        <v>45052</v>
      </c>
      <c r="W3567" s="17" t="s">
        <v>58</v>
      </c>
      <c r="Y3567" s="68">
        <v>45161</v>
      </c>
      <c r="Z3567" s="17" t="s">
        <v>191</v>
      </c>
      <c r="AA3567" s="17" t="s">
        <v>46</v>
      </c>
      <c r="AB3567" s="17" t="s">
        <v>1184</v>
      </c>
      <c r="AC3567" s="217">
        <v>45146</v>
      </c>
      <c r="AD3567" s="65">
        <v>1454</v>
      </c>
      <c r="AE3567" s="17" t="s">
        <v>390</v>
      </c>
    </row>
    <row r="3568" s="17" customFormat="1" ht="15.6" hidden="1" spans="1:31">
      <c r="A3568" s="17" t="s">
        <v>34</v>
      </c>
      <c r="B3568" s="19">
        <v>917</v>
      </c>
      <c r="C3568" s="222">
        <v>44991</v>
      </c>
      <c r="D3568" s="17" t="s">
        <v>52</v>
      </c>
      <c r="E3568" s="17" t="s">
        <v>53</v>
      </c>
      <c r="F3568" s="17" t="s">
        <v>54</v>
      </c>
      <c r="H3568" s="19" t="s">
        <v>1180</v>
      </c>
      <c r="I3568" s="19"/>
      <c r="J3568" s="17" t="s">
        <v>82</v>
      </c>
      <c r="K3568" s="281">
        <v>260</v>
      </c>
      <c r="L3568" s="284">
        <v>65</v>
      </c>
      <c r="M3568" s="19">
        <v>5000</v>
      </c>
      <c r="N3568" s="19" t="s">
        <v>40</v>
      </c>
      <c r="O3568" s="19" t="s">
        <v>1167</v>
      </c>
      <c r="P3568" s="283">
        <v>500</v>
      </c>
      <c r="Q3568" s="19">
        <v>417</v>
      </c>
      <c r="R3568" s="19">
        <f t="shared" si="171"/>
        <v>83</v>
      </c>
      <c r="S3568" s="91">
        <v>1520</v>
      </c>
      <c r="T3568" s="19" t="s">
        <v>42</v>
      </c>
      <c r="U3568" s="102" t="s">
        <v>1181</v>
      </c>
      <c r="V3568" s="253">
        <v>45052</v>
      </c>
      <c r="W3568" s="17" t="s">
        <v>58</v>
      </c>
      <c r="Y3568" s="68">
        <v>45161</v>
      </c>
      <c r="Z3568" s="17" t="s">
        <v>191</v>
      </c>
      <c r="AA3568" s="17" t="s">
        <v>46</v>
      </c>
      <c r="AB3568" s="17" t="s">
        <v>1184</v>
      </c>
      <c r="AC3568" s="217">
        <v>45146</v>
      </c>
      <c r="AD3568" s="65">
        <v>1454</v>
      </c>
      <c r="AE3568" s="17" t="s">
        <v>390</v>
      </c>
    </row>
    <row r="3569" s="17" customFormat="1" ht="15.6" hidden="1" spans="1:31">
      <c r="A3569" s="17" t="s">
        <v>34</v>
      </c>
      <c r="B3569" s="19">
        <v>917</v>
      </c>
      <c r="C3569" s="222">
        <v>44991</v>
      </c>
      <c r="D3569" s="17" t="s">
        <v>52</v>
      </c>
      <c r="E3569" s="17" t="s">
        <v>53</v>
      </c>
      <c r="F3569" s="17" t="s">
        <v>54</v>
      </c>
      <c r="H3569" s="19" t="s">
        <v>1180</v>
      </c>
      <c r="I3569" s="19"/>
      <c r="J3569" s="17" t="s">
        <v>82</v>
      </c>
      <c r="K3569" s="281">
        <v>310</v>
      </c>
      <c r="L3569" s="284">
        <v>65</v>
      </c>
      <c r="M3569" s="19">
        <v>5000</v>
      </c>
      <c r="N3569" s="19" t="s">
        <v>40</v>
      </c>
      <c r="O3569" s="19" t="s">
        <v>1167</v>
      </c>
      <c r="P3569" s="283">
        <v>500</v>
      </c>
      <c r="Q3569" s="19">
        <v>569</v>
      </c>
      <c r="R3569" s="19">
        <f t="shared" si="171"/>
        <v>-69</v>
      </c>
      <c r="S3569" s="91">
        <v>1520</v>
      </c>
      <c r="T3569" s="19" t="s">
        <v>42</v>
      </c>
      <c r="U3569" s="102" t="s">
        <v>1181</v>
      </c>
      <c r="V3569" s="253">
        <v>45052</v>
      </c>
      <c r="W3569" s="17" t="s">
        <v>58</v>
      </c>
      <c r="Y3569" s="68">
        <v>45161</v>
      </c>
      <c r="Z3569" s="17" t="s">
        <v>191</v>
      </c>
      <c r="AA3569" s="17" t="s">
        <v>46</v>
      </c>
      <c r="AB3569" s="17" t="s">
        <v>1184</v>
      </c>
      <c r="AC3569" s="217">
        <v>45146</v>
      </c>
      <c r="AD3569" s="65">
        <v>1454</v>
      </c>
      <c r="AE3569" s="17" t="s">
        <v>390</v>
      </c>
    </row>
    <row r="3570" s="17" customFormat="1" ht="15.6" hidden="1" spans="1:31">
      <c r="A3570" s="17" t="s">
        <v>34</v>
      </c>
      <c r="B3570" s="19">
        <v>917</v>
      </c>
      <c r="C3570" s="222">
        <v>44991</v>
      </c>
      <c r="D3570" s="17" t="s">
        <v>52</v>
      </c>
      <c r="E3570" s="17" t="s">
        <v>53</v>
      </c>
      <c r="F3570" s="17" t="s">
        <v>54</v>
      </c>
      <c r="H3570" s="19" t="s">
        <v>1180</v>
      </c>
      <c r="I3570" s="19"/>
      <c r="J3570" s="17" t="s">
        <v>82</v>
      </c>
      <c r="K3570" s="281">
        <v>360</v>
      </c>
      <c r="L3570" s="284">
        <v>65</v>
      </c>
      <c r="M3570" s="19">
        <v>5000</v>
      </c>
      <c r="N3570" s="19" t="s">
        <v>40</v>
      </c>
      <c r="O3570" s="19" t="s">
        <v>1167</v>
      </c>
      <c r="P3570" s="283">
        <v>500</v>
      </c>
      <c r="Q3570" s="19">
        <v>951</v>
      </c>
      <c r="R3570" s="19">
        <f t="shared" si="171"/>
        <v>-451</v>
      </c>
      <c r="S3570" s="91">
        <v>1520</v>
      </c>
      <c r="T3570" s="19" t="s">
        <v>42</v>
      </c>
      <c r="U3570" s="102" t="s">
        <v>1181</v>
      </c>
      <c r="V3570" s="253">
        <v>45052</v>
      </c>
      <c r="W3570" s="17" t="s">
        <v>58</v>
      </c>
      <c r="Y3570" s="68">
        <v>45161</v>
      </c>
      <c r="Z3570" s="17" t="s">
        <v>191</v>
      </c>
      <c r="AA3570" s="17" t="s">
        <v>46</v>
      </c>
      <c r="AB3570" s="17" t="s">
        <v>1184</v>
      </c>
      <c r="AC3570" s="217">
        <v>45146</v>
      </c>
      <c r="AD3570" s="65">
        <v>1454</v>
      </c>
      <c r="AE3570" s="17" t="s">
        <v>390</v>
      </c>
    </row>
    <row r="3571" s="17" customFormat="1" ht="15.6" hidden="1" spans="1:31">
      <c r="A3571" s="17" t="s">
        <v>34</v>
      </c>
      <c r="B3571" s="19">
        <v>917</v>
      </c>
      <c r="C3571" s="222">
        <v>44991</v>
      </c>
      <c r="D3571" s="17" t="s">
        <v>52</v>
      </c>
      <c r="E3571" s="17" t="s">
        <v>53</v>
      </c>
      <c r="F3571" s="17" t="s">
        <v>54</v>
      </c>
      <c r="H3571" s="19" t="s">
        <v>1180</v>
      </c>
      <c r="I3571" s="19"/>
      <c r="J3571" s="17" t="s">
        <v>82</v>
      </c>
      <c r="K3571" s="281">
        <v>410</v>
      </c>
      <c r="L3571" s="284">
        <v>65</v>
      </c>
      <c r="M3571" s="19">
        <v>5000</v>
      </c>
      <c r="N3571" s="19" t="s">
        <v>40</v>
      </c>
      <c r="O3571" s="19" t="s">
        <v>1167</v>
      </c>
      <c r="P3571" s="283">
        <v>500</v>
      </c>
      <c r="Q3571" s="19">
        <v>934</v>
      </c>
      <c r="R3571" s="19">
        <f t="shared" si="171"/>
        <v>-434</v>
      </c>
      <c r="S3571" s="91">
        <v>1520</v>
      </c>
      <c r="T3571" s="19" t="s">
        <v>42</v>
      </c>
      <c r="U3571" s="102" t="s">
        <v>1181</v>
      </c>
      <c r="V3571" s="253">
        <v>45052</v>
      </c>
      <c r="W3571" s="17" t="s">
        <v>58</v>
      </c>
      <c r="Y3571" s="68">
        <v>45161</v>
      </c>
      <c r="Z3571" s="17" t="s">
        <v>191</v>
      </c>
      <c r="AA3571" s="17" t="s">
        <v>46</v>
      </c>
      <c r="AB3571" s="17" t="s">
        <v>1182</v>
      </c>
      <c r="AC3571" s="102" t="s">
        <v>1183</v>
      </c>
      <c r="AD3571" s="65">
        <v>1457</v>
      </c>
      <c r="AE3571" s="17" t="s">
        <v>390</v>
      </c>
    </row>
    <row r="3572" s="17" customFormat="1" ht="15.6" hidden="1" spans="1:31">
      <c r="A3572" s="17" t="s">
        <v>34</v>
      </c>
      <c r="B3572" s="19">
        <v>917</v>
      </c>
      <c r="C3572" s="222">
        <v>44991</v>
      </c>
      <c r="D3572" s="17" t="s">
        <v>52</v>
      </c>
      <c r="E3572" s="17" t="s">
        <v>53</v>
      </c>
      <c r="F3572" s="17" t="s">
        <v>54</v>
      </c>
      <c r="H3572" s="19" t="s">
        <v>1180</v>
      </c>
      <c r="I3572" s="19"/>
      <c r="J3572" s="17" t="s">
        <v>82</v>
      </c>
      <c r="K3572" s="281">
        <v>210</v>
      </c>
      <c r="L3572" s="284">
        <v>80</v>
      </c>
      <c r="M3572" s="19">
        <v>5000</v>
      </c>
      <c r="N3572" s="19" t="s">
        <v>40</v>
      </c>
      <c r="O3572" s="19" t="s">
        <v>1167</v>
      </c>
      <c r="P3572" s="283">
        <v>500</v>
      </c>
      <c r="Q3572" s="19">
        <v>467</v>
      </c>
      <c r="R3572" s="19">
        <f t="shared" si="171"/>
        <v>33</v>
      </c>
      <c r="S3572" s="91">
        <v>1520</v>
      </c>
      <c r="T3572" s="19" t="s">
        <v>42</v>
      </c>
      <c r="U3572" s="102" t="s">
        <v>1181</v>
      </c>
      <c r="V3572" s="253">
        <v>45052</v>
      </c>
      <c r="W3572" s="17" t="s">
        <v>58</v>
      </c>
      <c r="Y3572" s="68">
        <v>45161</v>
      </c>
      <c r="Z3572" s="17" t="s">
        <v>191</v>
      </c>
      <c r="AA3572" s="17" t="s">
        <v>46</v>
      </c>
      <c r="AB3572" s="17" t="s">
        <v>1184</v>
      </c>
      <c r="AC3572" s="217">
        <v>45146</v>
      </c>
      <c r="AD3572" s="65">
        <v>1454</v>
      </c>
      <c r="AE3572" s="17" t="s">
        <v>390</v>
      </c>
    </row>
    <row r="3573" s="17" customFormat="1" ht="15.6" hidden="1" spans="1:31">
      <c r="A3573" s="17" t="s">
        <v>34</v>
      </c>
      <c r="B3573" s="19">
        <v>917</v>
      </c>
      <c r="C3573" s="222">
        <v>44991</v>
      </c>
      <c r="D3573" s="17" t="s">
        <v>52</v>
      </c>
      <c r="E3573" s="17" t="s">
        <v>53</v>
      </c>
      <c r="F3573" s="17" t="s">
        <v>54</v>
      </c>
      <c r="H3573" s="19" t="s">
        <v>1180</v>
      </c>
      <c r="I3573" s="19"/>
      <c r="J3573" s="17" t="s">
        <v>82</v>
      </c>
      <c r="K3573" s="281">
        <v>260</v>
      </c>
      <c r="L3573" s="284">
        <v>80</v>
      </c>
      <c r="M3573" s="19">
        <v>5000</v>
      </c>
      <c r="N3573" s="19" t="s">
        <v>40</v>
      </c>
      <c r="O3573" s="19" t="s">
        <v>1167</v>
      </c>
      <c r="P3573" s="283">
        <v>500</v>
      </c>
      <c r="Q3573" s="19">
        <v>558</v>
      </c>
      <c r="R3573" s="19">
        <f t="shared" si="171"/>
        <v>-58</v>
      </c>
      <c r="S3573" s="91">
        <v>1520</v>
      </c>
      <c r="T3573" s="19" t="s">
        <v>42</v>
      </c>
      <c r="U3573" s="102" t="s">
        <v>1181</v>
      </c>
      <c r="V3573" s="253">
        <v>45052</v>
      </c>
      <c r="W3573" s="17" t="s">
        <v>58</v>
      </c>
      <c r="Y3573" s="68">
        <v>45161</v>
      </c>
      <c r="Z3573" s="17" t="s">
        <v>191</v>
      </c>
      <c r="AA3573" s="17" t="s">
        <v>46</v>
      </c>
      <c r="AB3573" s="17" t="s">
        <v>1184</v>
      </c>
      <c r="AC3573" s="217">
        <v>45146</v>
      </c>
      <c r="AD3573" s="65">
        <v>1454</v>
      </c>
      <c r="AE3573" s="17" t="s">
        <v>390</v>
      </c>
    </row>
    <row r="3574" s="17" customFormat="1" ht="15.6" hidden="1" spans="1:31">
      <c r="A3574" s="17" t="s">
        <v>34</v>
      </c>
      <c r="B3574" s="19">
        <v>917</v>
      </c>
      <c r="C3574" s="222">
        <v>44991</v>
      </c>
      <c r="D3574" s="17" t="s">
        <v>52</v>
      </c>
      <c r="E3574" s="17" t="s">
        <v>53</v>
      </c>
      <c r="F3574" s="17" t="s">
        <v>54</v>
      </c>
      <c r="H3574" s="19" t="s">
        <v>1180</v>
      </c>
      <c r="I3574" s="19"/>
      <c r="J3574" s="17" t="s">
        <v>82</v>
      </c>
      <c r="K3574" s="281">
        <v>310</v>
      </c>
      <c r="L3574" s="284">
        <v>80</v>
      </c>
      <c r="M3574" s="19">
        <v>5000</v>
      </c>
      <c r="N3574" s="19" t="s">
        <v>40</v>
      </c>
      <c r="O3574" s="19" t="s">
        <v>1167</v>
      </c>
      <c r="P3574" s="283">
        <v>500</v>
      </c>
      <c r="Q3574" s="19">
        <v>971</v>
      </c>
      <c r="R3574" s="19">
        <f t="shared" si="171"/>
        <v>-471</v>
      </c>
      <c r="S3574" s="91">
        <v>1520</v>
      </c>
      <c r="T3574" s="19" t="s">
        <v>42</v>
      </c>
      <c r="U3574" s="102" t="s">
        <v>1181</v>
      </c>
      <c r="V3574" s="253">
        <v>45052</v>
      </c>
      <c r="W3574" s="17" t="s">
        <v>58</v>
      </c>
      <c r="Y3574" s="68">
        <v>45161</v>
      </c>
      <c r="Z3574" s="17" t="s">
        <v>191</v>
      </c>
      <c r="AA3574" s="17" t="s">
        <v>46</v>
      </c>
      <c r="AB3574" s="17" t="s">
        <v>1184</v>
      </c>
      <c r="AC3574" s="217">
        <v>45146</v>
      </c>
      <c r="AD3574" s="65">
        <v>1454</v>
      </c>
      <c r="AE3574" s="17" t="s">
        <v>390</v>
      </c>
    </row>
    <row r="3575" s="17" customFormat="1" ht="15.6" hidden="1" spans="1:31">
      <c r="A3575" s="17" t="s">
        <v>34</v>
      </c>
      <c r="B3575" s="19">
        <v>917</v>
      </c>
      <c r="C3575" s="222">
        <v>44991</v>
      </c>
      <c r="D3575" s="17" t="s">
        <v>52</v>
      </c>
      <c r="E3575" s="17" t="s">
        <v>53</v>
      </c>
      <c r="F3575" s="17" t="s">
        <v>54</v>
      </c>
      <c r="H3575" s="19" t="s">
        <v>1180</v>
      </c>
      <c r="I3575" s="19"/>
      <c r="J3575" s="17" t="s">
        <v>82</v>
      </c>
      <c r="K3575" s="281">
        <v>360</v>
      </c>
      <c r="L3575" s="284">
        <v>80</v>
      </c>
      <c r="M3575" s="19">
        <v>5000</v>
      </c>
      <c r="N3575" s="19" t="s">
        <v>40</v>
      </c>
      <c r="O3575" s="19" t="s">
        <v>1167</v>
      </c>
      <c r="P3575" s="283">
        <v>500</v>
      </c>
      <c r="Q3575" s="19">
        <v>950</v>
      </c>
      <c r="R3575" s="19">
        <f t="shared" si="171"/>
        <v>-450</v>
      </c>
      <c r="S3575" s="91">
        <v>1520</v>
      </c>
      <c r="T3575" s="19" t="s">
        <v>42</v>
      </c>
      <c r="U3575" s="102" t="s">
        <v>1181</v>
      </c>
      <c r="V3575" s="253">
        <v>45052</v>
      </c>
      <c r="W3575" s="17" t="s">
        <v>58</v>
      </c>
      <c r="Y3575" s="68">
        <v>45161</v>
      </c>
      <c r="Z3575" s="17" t="s">
        <v>191</v>
      </c>
      <c r="AA3575" s="17" t="s">
        <v>46</v>
      </c>
      <c r="AB3575" s="17" t="s">
        <v>1184</v>
      </c>
      <c r="AC3575" s="217">
        <v>45146</v>
      </c>
      <c r="AD3575" s="65">
        <v>1454</v>
      </c>
      <c r="AE3575" s="17" t="s">
        <v>390</v>
      </c>
    </row>
    <row r="3576" s="17" customFormat="1" ht="15.6" hidden="1" spans="1:31">
      <c r="A3576" s="17" t="s">
        <v>34</v>
      </c>
      <c r="B3576" s="19">
        <v>917</v>
      </c>
      <c r="C3576" s="222">
        <v>44991</v>
      </c>
      <c r="D3576" s="17" t="s">
        <v>52</v>
      </c>
      <c r="E3576" s="17" t="s">
        <v>53</v>
      </c>
      <c r="F3576" s="17" t="s">
        <v>54</v>
      </c>
      <c r="H3576" s="19" t="s">
        <v>1180</v>
      </c>
      <c r="I3576" s="19"/>
      <c r="J3576" s="17" t="s">
        <v>82</v>
      </c>
      <c r="K3576" s="281">
        <v>410</v>
      </c>
      <c r="L3576" s="284">
        <v>80</v>
      </c>
      <c r="M3576" s="19">
        <v>5000</v>
      </c>
      <c r="N3576" s="19" t="s">
        <v>40</v>
      </c>
      <c r="O3576" s="19" t="s">
        <v>1167</v>
      </c>
      <c r="P3576" s="283">
        <v>500</v>
      </c>
      <c r="Q3576" s="19">
        <v>933</v>
      </c>
      <c r="R3576" s="19">
        <f t="shared" si="171"/>
        <v>-433</v>
      </c>
      <c r="S3576" s="91">
        <v>1520</v>
      </c>
      <c r="T3576" s="19" t="s">
        <v>42</v>
      </c>
      <c r="U3576" s="102" t="s">
        <v>1181</v>
      </c>
      <c r="V3576" s="253">
        <v>45052</v>
      </c>
      <c r="W3576" s="17" t="s">
        <v>58</v>
      </c>
      <c r="Y3576" s="68">
        <v>45161</v>
      </c>
      <c r="Z3576" s="17" t="s">
        <v>191</v>
      </c>
      <c r="AA3576" s="17" t="s">
        <v>46</v>
      </c>
      <c r="AB3576" s="17" t="s">
        <v>1184</v>
      </c>
      <c r="AC3576" s="217">
        <v>45146</v>
      </c>
      <c r="AD3576" s="65">
        <v>1454</v>
      </c>
      <c r="AE3576" s="17" t="s">
        <v>390</v>
      </c>
    </row>
    <row r="3577" s="17" customFormat="1" ht="15.6" hidden="1" spans="1:31">
      <c r="A3577" s="17" t="s">
        <v>34</v>
      </c>
      <c r="B3577" s="19">
        <v>917</v>
      </c>
      <c r="C3577" s="222">
        <v>44991</v>
      </c>
      <c r="D3577" s="17" t="s">
        <v>52</v>
      </c>
      <c r="E3577" s="17" t="s">
        <v>53</v>
      </c>
      <c r="F3577" s="17" t="s">
        <v>54</v>
      </c>
      <c r="H3577" s="19" t="s">
        <v>1180</v>
      </c>
      <c r="I3577" s="19"/>
      <c r="J3577" s="17" t="s">
        <v>82</v>
      </c>
      <c r="K3577" s="281">
        <v>410</v>
      </c>
      <c r="L3577" s="284">
        <v>105</v>
      </c>
      <c r="M3577" s="19">
        <v>5000</v>
      </c>
      <c r="N3577" s="19" t="s">
        <v>40</v>
      </c>
      <c r="O3577" s="19" t="s">
        <v>1167</v>
      </c>
      <c r="P3577" s="283">
        <v>500</v>
      </c>
      <c r="Q3577" s="19">
        <v>1598</v>
      </c>
      <c r="R3577" s="19">
        <f t="shared" si="171"/>
        <v>-1098</v>
      </c>
      <c r="S3577" s="91">
        <v>1520</v>
      </c>
      <c r="T3577" s="19" t="s">
        <v>42</v>
      </c>
      <c r="U3577" s="102" t="s">
        <v>1181</v>
      </c>
      <c r="V3577" s="253">
        <v>45052</v>
      </c>
      <c r="W3577" s="17" t="s">
        <v>58</v>
      </c>
      <c r="Y3577" s="68">
        <v>45161</v>
      </c>
      <c r="Z3577" s="17" t="s">
        <v>191</v>
      </c>
      <c r="AA3577" s="17" t="s">
        <v>46</v>
      </c>
      <c r="AB3577" s="17" t="s">
        <v>1184</v>
      </c>
      <c r="AC3577" s="217">
        <v>45146</v>
      </c>
      <c r="AD3577" s="65">
        <v>1454</v>
      </c>
      <c r="AE3577" s="17" t="s">
        <v>390</v>
      </c>
    </row>
    <row r="3578" s="17" customFormat="1" ht="15.6" hidden="1" spans="1:31">
      <c r="A3578" s="17" t="s">
        <v>34</v>
      </c>
      <c r="B3578" s="19">
        <v>917</v>
      </c>
      <c r="C3578" s="222">
        <v>44991</v>
      </c>
      <c r="D3578" s="17" t="s">
        <v>52</v>
      </c>
      <c r="E3578" s="17" t="s">
        <v>53</v>
      </c>
      <c r="F3578" s="17" t="s">
        <v>54</v>
      </c>
      <c r="H3578" s="19" t="s">
        <v>1180</v>
      </c>
      <c r="I3578" s="19"/>
      <c r="J3578" s="17" t="s">
        <v>82</v>
      </c>
      <c r="K3578" s="281">
        <v>510</v>
      </c>
      <c r="L3578" s="284">
        <v>105</v>
      </c>
      <c r="M3578" s="19">
        <v>5000</v>
      </c>
      <c r="N3578" s="19" t="s">
        <v>40</v>
      </c>
      <c r="O3578" s="19" t="s">
        <v>1167</v>
      </c>
      <c r="P3578" s="266">
        <v>500</v>
      </c>
      <c r="Q3578" s="19">
        <v>1721</v>
      </c>
      <c r="R3578" s="19">
        <f t="shared" si="171"/>
        <v>-1221</v>
      </c>
      <c r="S3578" s="91">
        <v>1520</v>
      </c>
      <c r="T3578" s="19" t="s">
        <v>42</v>
      </c>
      <c r="U3578" s="102" t="s">
        <v>1181</v>
      </c>
      <c r="V3578" s="253">
        <v>45052</v>
      </c>
      <c r="W3578" s="17" t="s">
        <v>58</v>
      </c>
      <c r="Y3578" s="68">
        <v>45161</v>
      </c>
      <c r="Z3578" s="17" t="s">
        <v>191</v>
      </c>
      <c r="AA3578" s="17" t="s">
        <v>46</v>
      </c>
      <c r="AB3578" s="17" t="s">
        <v>1182</v>
      </c>
      <c r="AC3578" s="102" t="s">
        <v>1183</v>
      </c>
      <c r="AD3578" s="65">
        <v>1457</v>
      </c>
      <c r="AE3578" s="17" t="s">
        <v>390</v>
      </c>
    </row>
    <row r="3579" s="17" customFormat="1" ht="15.6" hidden="1" spans="1:31">
      <c r="A3579" s="17" t="s">
        <v>34</v>
      </c>
      <c r="B3579" s="19">
        <v>917</v>
      </c>
      <c r="C3579" s="222">
        <v>44991</v>
      </c>
      <c r="D3579" s="17" t="s">
        <v>52</v>
      </c>
      <c r="E3579" s="17" t="s">
        <v>53</v>
      </c>
      <c r="F3579" s="17" t="s">
        <v>54</v>
      </c>
      <c r="H3579" s="19" t="s">
        <v>1180</v>
      </c>
      <c r="I3579" s="19"/>
      <c r="J3579" s="17" t="s">
        <v>39</v>
      </c>
      <c r="K3579" s="19">
        <v>16</v>
      </c>
      <c r="L3579" s="91"/>
      <c r="M3579" s="19">
        <v>4000</v>
      </c>
      <c r="N3579" s="19" t="s">
        <v>40</v>
      </c>
      <c r="O3579" s="19" t="s">
        <v>141</v>
      </c>
      <c r="P3579" s="285">
        <v>1000</v>
      </c>
      <c r="Q3579" s="93">
        <v>1002</v>
      </c>
      <c r="R3579" s="93">
        <f t="shared" si="171"/>
        <v>-2</v>
      </c>
      <c r="S3579" s="168">
        <v>1660</v>
      </c>
      <c r="T3579" s="19" t="s">
        <v>42</v>
      </c>
      <c r="U3579" s="102" t="s">
        <v>1181</v>
      </c>
      <c r="V3579" s="253">
        <v>45052</v>
      </c>
      <c r="W3579" s="17" t="s">
        <v>58</v>
      </c>
      <c r="Y3579" s="68">
        <v>45161</v>
      </c>
      <c r="Z3579" s="17" t="s">
        <v>191</v>
      </c>
      <c r="AA3579" s="17" t="s">
        <v>46</v>
      </c>
      <c r="AB3579" s="17" t="s">
        <v>1184</v>
      </c>
      <c r="AC3579" s="217">
        <v>45146</v>
      </c>
      <c r="AD3579" s="65">
        <v>1454</v>
      </c>
      <c r="AE3579" s="17" t="s">
        <v>390</v>
      </c>
    </row>
    <row r="3580" s="17" customFormat="1" ht="15.6" hidden="1" spans="1:31">
      <c r="A3580" s="17" t="s">
        <v>34</v>
      </c>
      <c r="B3580" s="19">
        <v>917</v>
      </c>
      <c r="C3580" s="222">
        <v>44991</v>
      </c>
      <c r="D3580" s="17" t="s">
        <v>52</v>
      </c>
      <c r="E3580" s="17" t="s">
        <v>53</v>
      </c>
      <c r="F3580" s="17" t="s">
        <v>54</v>
      </c>
      <c r="H3580" s="19" t="s">
        <v>1180</v>
      </c>
      <c r="I3580" s="19"/>
      <c r="J3580" s="17" t="s">
        <v>39</v>
      </c>
      <c r="K3580" s="19">
        <v>18</v>
      </c>
      <c r="L3580" s="91"/>
      <c r="M3580" s="19">
        <v>4000</v>
      </c>
      <c r="N3580" s="19" t="s">
        <v>40</v>
      </c>
      <c r="O3580" s="19" t="s">
        <v>141</v>
      </c>
      <c r="P3580" s="266">
        <v>1000</v>
      </c>
      <c r="Q3580" s="19">
        <v>1154</v>
      </c>
      <c r="R3580" s="19">
        <f t="shared" si="171"/>
        <v>-154</v>
      </c>
      <c r="S3580" s="91">
        <v>1660</v>
      </c>
      <c r="T3580" s="19" t="s">
        <v>42</v>
      </c>
      <c r="U3580" s="102" t="s">
        <v>1181</v>
      </c>
      <c r="V3580" s="253">
        <v>45052</v>
      </c>
      <c r="W3580" s="17" t="s">
        <v>58</v>
      </c>
      <c r="Y3580" s="68">
        <v>45161</v>
      </c>
      <c r="Z3580" s="17" t="s">
        <v>191</v>
      </c>
      <c r="AA3580" s="17" t="s">
        <v>46</v>
      </c>
      <c r="AB3580" s="17" t="s">
        <v>1184</v>
      </c>
      <c r="AC3580" s="217">
        <v>45146</v>
      </c>
      <c r="AD3580" s="65">
        <v>1454</v>
      </c>
      <c r="AE3580" s="17" t="s">
        <v>390</v>
      </c>
    </row>
    <row r="3581" s="17" customFormat="1" ht="15.6" hidden="1" spans="1:31">
      <c r="A3581" s="17" t="s">
        <v>34</v>
      </c>
      <c r="B3581" s="19">
        <v>917</v>
      </c>
      <c r="C3581" s="222">
        <v>44991</v>
      </c>
      <c r="D3581" s="17" t="s">
        <v>52</v>
      </c>
      <c r="E3581" s="17" t="s">
        <v>53</v>
      </c>
      <c r="F3581" s="17" t="s">
        <v>54</v>
      </c>
      <c r="H3581" s="19" t="s">
        <v>1180</v>
      </c>
      <c r="I3581" s="19"/>
      <c r="J3581" s="17" t="s">
        <v>39</v>
      </c>
      <c r="K3581" s="19">
        <v>20</v>
      </c>
      <c r="L3581" s="91"/>
      <c r="M3581" s="19">
        <v>4000</v>
      </c>
      <c r="N3581" s="19" t="s">
        <v>40</v>
      </c>
      <c r="O3581" s="19" t="s">
        <v>141</v>
      </c>
      <c r="P3581" s="266">
        <v>2000</v>
      </c>
      <c r="Q3581" s="19">
        <f>1266+752</f>
        <v>2018</v>
      </c>
      <c r="R3581" s="19">
        <f t="shared" si="171"/>
        <v>-18</v>
      </c>
      <c r="S3581" s="91">
        <v>1600</v>
      </c>
      <c r="T3581" s="19" t="s">
        <v>42</v>
      </c>
      <c r="U3581" s="102" t="s">
        <v>1181</v>
      </c>
      <c r="V3581" s="253">
        <v>45052</v>
      </c>
      <c r="W3581" s="17" t="s">
        <v>58</v>
      </c>
      <c r="Y3581" s="68">
        <v>45161</v>
      </c>
      <c r="Z3581" s="17" t="s">
        <v>191</v>
      </c>
      <c r="AA3581" s="17" t="s">
        <v>46</v>
      </c>
      <c r="AB3581" s="17" t="s">
        <v>1184</v>
      </c>
      <c r="AC3581" s="217">
        <v>45146</v>
      </c>
      <c r="AD3581" s="65">
        <v>1454</v>
      </c>
      <c r="AE3581" s="17" t="s">
        <v>390</v>
      </c>
    </row>
    <row r="3582" s="17" customFormat="1" ht="15.6" hidden="1" spans="1:31">
      <c r="A3582" s="17" t="s">
        <v>34</v>
      </c>
      <c r="B3582" s="19">
        <v>917</v>
      </c>
      <c r="C3582" s="222">
        <v>44991</v>
      </c>
      <c r="D3582" s="17" t="s">
        <v>52</v>
      </c>
      <c r="E3582" s="17" t="s">
        <v>53</v>
      </c>
      <c r="F3582" s="17" t="s">
        <v>54</v>
      </c>
      <c r="H3582" s="19" t="s">
        <v>1180</v>
      </c>
      <c r="I3582" s="19"/>
      <c r="J3582" s="17" t="s">
        <v>39</v>
      </c>
      <c r="K3582" s="19">
        <v>22</v>
      </c>
      <c r="L3582" s="91"/>
      <c r="M3582" s="19">
        <v>4000</v>
      </c>
      <c r="N3582" s="19" t="s">
        <v>40</v>
      </c>
      <c r="O3582" s="19" t="s">
        <v>141</v>
      </c>
      <c r="P3582" s="266">
        <v>2000</v>
      </c>
      <c r="Q3582" s="19">
        <v>2020</v>
      </c>
      <c r="R3582" s="19">
        <f t="shared" si="171"/>
        <v>-20</v>
      </c>
      <c r="S3582" s="91">
        <v>1600</v>
      </c>
      <c r="T3582" s="19" t="s">
        <v>42</v>
      </c>
      <c r="U3582" s="102" t="s">
        <v>1181</v>
      </c>
      <c r="V3582" s="253">
        <v>45052</v>
      </c>
      <c r="W3582" s="17" t="s">
        <v>58</v>
      </c>
      <c r="Y3582" s="68">
        <v>45161</v>
      </c>
      <c r="Z3582" s="17" t="s">
        <v>191</v>
      </c>
      <c r="AA3582" s="17" t="s">
        <v>46</v>
      </c>
      <c r="AB3582" s="17" t="s">
        <v>1184</v>
      </c>
      <c r="AC3582" s="217">
        <v>45146</v>
      </c>
      <c r="AD3582" s="65">
        <v>1454</v>
      </c>
      <c r="AE3582" s="17" t="s">
        <v>390</v>
      </c>
    </row>
    <row r="3583" s="17" customFormat="1" ht="15.6" hidden="1" spans="1:31">
      <c r="A3583" s="17" t="s">
        <v>34</v>
      </c>
      <c r="B3583" s="19">
        <v>917</v>
      </c>
      <c r="C3583" s="222">
        <v>44991</v>
      </c>
      <c r="D3583" s="17" t="s">
        <v>52</v>
      </c>
      <c r="E3583" s="17" t="s">
        <v>53</v>
      </c>
      <c r="F3583" s="17" t="s">
        <v>54</v>
      </c>
      <c r="H3583" s="19" t="s">
        <v>1180</v>
      </c>
      <c r="I3583" s="19"/>
      <c r="J3583" s="17" t="s">
        <v>39</v>
      </c>
      <c r="K3583" s="19">
        <v>26</v>
      </c>
      <c r="L3583" s="91"/>
      <c r="M3583" s="19">
        <v>4000</v>
      </c>
      <c r="N3583" s="19" t="s">
        <v>40</v>
      </c>
      <c r="O3583" s="19" t="s">
        <v>141</v>
      </c>
      <c r="P3583" s="266">
        <v>2000</v>
      </c>
      <c r="Q3583" s="19">
        <v>2150</v>
      </c>
      <c r="R3583" s="19">
        <f t="shared" si="171"/>
        <v>-150</v>
      </c>
      <c r="S3583" s="91">
        <v>1600</v>
      </c>
      <c r="T3583" s="19" t="s">
        <v>42</v>
      </c>
      <c r="U3583" s="102" t="s">
        <v>1181</v>
      </c>
      <c r="V3583" s="253">
        <v>45052</v>
      </c>
      <c r="W3583" s="17" t="s">
        <v>58</v>
      </c>
      <c r="Y3583" s="68">
        <v>45161</v>
      </c>
      <c r="Z3583" s="17" t="s">
        <v>191</v>
      </c>
      <c r="AA3583" s="17" t="s">
        <v>46</v>
      </c>
      <c r="AB3583" s="17" t="s">
        <v>1184</v>
      </c>
      <c r="AC3583" s="217">
        <v>45146</v>
      </c>
      <c r="AD3583" s="65">
        <v>1454</v>
      </c>
      <c r="AE3583" s="17" t="s">
        <v>390</v>
      </c>
    </row>
    <row r="3584" s="17" customFormat="1" ht="15.6" hidden="1" spans="1:31">
      <c r="A3584" s="17" t="s">
        <v>34</v>
      </c>
      <c r="B3584" s="19">
        <v>917</v>
      </c>
      <c r="C3584" s="222">
        <v>44991</v>
      </c>
      <c r="D3584" s="17" t="s">
        <v>52</v>
      </c>
      <c r="E3584" s="17" t="s">
        <v>53</v>
      </c>
      <c r="F3584" s="17" t="s">
        <v>54</v>
      </c>
      <c r="H3584" s="19" t="s">
        <v>1180</v>
      </c>
      <c r="I3584" s="19"/>
      <c r="J3584" s="17" t="s">
        <v>39</v>
      </c>
      <c r="K3584" s="19">
        <v>28</v>
      </c>
      <c r="L3584" s="91"/>
      <c r="M3584" s="19">
        <v>4000</v>
      </c>
      <c r="N3584" s="19" t="s">
        <v>40</v>
      </c>
      <c r="O3584" s="19" t="s">
        <v>141</v>
      </c>
      <c r="P3584" s="266">
        <v>2000</v>
      </c>
      <c r="Q3584" s="19">
        <v>778</v>
      </c>
      <c r="S3584" s="91">
        <v>1600</v>
      </c>
      <c r="T3584" s="19" t="s">
        <v>42</v>
      </c>
      <c r="U3584" s="102" t="s">
        <v>1181</v>
      </c>
      <c r="V3584" s="253">
        <v>45052</v>
      </c>
      <c r="W3584" s="17" t="s">
        <v>58</v>
      </c>
      <c r="Y3584" s="68">
        <v>45161</v>
      </c>
      <c r="Z3584" s="17" t="s">
        <v>191</v>
      </c>
      <c r="AA3584" s="17" t="s">
        <v>46</v>
      </c>
      <c r="AB3584" s="17" t="s">
        <v>1181</v>
      </c>
      <c r="AC3584" s="102" t="s">
        <v>1185</v>
      </c>
      <c r="AD3584" s="65">
        <v>1433</v>
      </c>
      <c r="AE3584" s="17" t="s">
        <v>390</v>
      </c>
    </row>
    <row r="3585" s="17" customFormat="1" ht="15.6" hidden="1" spans="1:31">
      <c r="A3585" s="17" t="s">
        <v>34</v>
      </c>
      <c r="B3585" s="19">
        <v>917</v>
      </c>
      <c r="C3585" s="222">
        <v>44991</v>
      </c>
      <c r="D3585" s="17" t="s">
        <v>52</v>
      </c>
      <c r="E3585" s="17" t="s">
        <v>53</v>
      </c>
      <c r="F3585" s="17" t="s">
        <v>54</v>
      </c>
      <c r="H3585" s="19" t="s">
        <v>1180</v>
      </c>
      <c r="I3585" s="19"/>
      <c r="J3585" s="17" t="s">
        <v>39</v>
      </c>
      <c r="K3585" s="19">
        <v>28</v>
      </c>
      <c r="L3585" s="91"/>
      <c r="M3585" s="19">
        <v>4000</v>
      </c>
      <c r="N3585" s="19" t="s">
        <v>40</v>
      </c>
      <c r="O3585" s="19" t="s">
        <v>141</v>
      </c>
      <c r="P3585" s="266"/>
      <c r="Q3585" s="19">
        <v>1304</v>
      </c>
      <c r="R3585" s="19">
        <f>+P3584-Q3584-Q3585</f>
        <v>-82</v>
      </c>
      <c r="S3585" s="91">
        <v>1600</v>
      </c>
      <c r="T3585" s="19" t="s">
        <v>42</v>
      </c>
      <c r="U3585" s="102" t="s">
        <v>1181</v>
      </c>
      <c r="V3585" s="253">
        <v>45052</v>
      </c>
      <c r="W3585" s="17" t="s">
        <v>58</v>
      </c>
      <c r="Y3585" s="68">
        <v>45161</v>
      </c>
      <c r="Z3585" s="17" t="s">
        <v>191</v>
      </c>
      <c r="AA3585" s="17" t="s">
        <v>46</v>
      </c>
      <c r="AB3585" s="17" t="s">
        <v>1184</v>
      </c>
      <c r="AC3585" s="217">
        <v>45146</v>
      </c>
      <c r="AD3585" s="65">
        <v>1454</v>
      </c>
    </row>
    <row r="3586" s="17" customFormat="1" ht="15.6" hidden="1" spans="1:31">
      <c r="A3586" s="17" t="s">
        <v>34</v>
      </c>
      <c r="B3586" s="19">
        <v>917</v>
      </c>
      <c r="C3586" s="222">
        <v>44991</v>
      </c>
      <c r="D3586" s="17" t="s">
        <v>52</v>
      </c>
      <c r="E3586" s="17" t="s">
        <v>53</v>
      </c>
      <c r="F3586" s="17" t="s">
        <v>54</v>
      </c>
      <c r="H3586" s="19" t="s">
        <v>1180</v>
      </c>
      <c r="I3586" s="19"/>
      <c r="J3586" s="17" t="s">
        <v>39</v>
      </c>
      <c r="K3586" s="19">
        <v>32</v>
      </c>
      <c r="L3586" s="91"/>
      <c r="M3586" s="19">
        <v>4000</v>
      </c>
      <c r="N3586" s="19" t="s">
        <v>40</v>
      </c>
      <c r="O3586" s="19" t="s">
        <v>141</v>
      </c>
      <c r="P3586" s="266">
        <v>2000</v>
      </c>
      <c r="Q3586" s="19">
        <v>1086</v>
      </c>
      <c r="S3586" s="91">
        <v>1600</v>
      </c>
      <c r="T3586" s="19" t="s">
        <v>42</v>
      </c>
      <c r="U3586" s="102" t="s">
        <v>1181</v>
      </c>
      <c r="V3586" s="253">
        <v>45052</v>
      </c>
      <c r="W3586" s="17" t="s">
        <v>58</v>
      </c>
      <c r="Y3586" s="68">
        <v>45161</v>
      </c>
      <c r="Z3586" s="17" t="s">
        <v>191</v>
      </c>
      <c r="AA3586" s="17" t="s">
        <v>46</v>
      </c>
      <c r="AB3586" s="17" t="s">
        <v>1181</v>
      </c>
      <c r="AC3586" s="102" t="s">
        <v>1185</v>
      </c>
      <c r="AD3586" s="65">
        <v>1433</v>
      </c>
      <c r="AE3586" s="17" t="s">
        <v>390</v>
      </c>
    </row>
    <row r="3587" s="17" customFormat="1" ht="15.6" hidden="1" spans="1:31">
      <c r="A3587" s="17" t="s">
        <v>34</v>
      </c>
      <c r="B3587" s="19">
        <v>917</v>
      </c>
      <c r="C3587" s="222">
        <v>44991</v>
      </c>
      <c r="D3587" s="17" t="s">
        <v>52</v>
      </c>
      <c r="E3587" s="17" t="s">
        <v>53</v>
      </c>
      <c r="F3587" s="17" t="s">
        <v>54</v>
      </c>
      <c r="H3587" s="19" t="s">
        <v>1180</v>
      </c>
      <c r="I3587" s="19"/>
      <c r="J3587" s="17" t="s">
        <v>39</v>
      </c>
      <c r="K3587" s="19">
        <v>32</v>
      </c>
      <c r="L3587" s="91"/>
      <c r="M3587" s="19">
        <v>4000</v>
      </c>
      <c r="N3587" s="19" t="s">
        <v>40</v>
      </c>
      <c r="O3587" s="19" t="s">
        <v>141</v>
      </c>
      <c r="P3587" s="266"/>
      <c r="Q3587" s="19">
        <v>872</v>
      </c>
      <c r="R3587" s="19">
        <f>+P3586-Q3586-Q3587</f>
        <v>42</v>
      </c>
      <c r="S3587" s="91">
        <v>1600</v>
      </c>
      <c r="T3587" s="19" t="s">
        <v>42</v>
      </c>
      <c r="U3587" s="102" t="s">
        <v>1181</v>
      </c>
      <c r="V3587" s="253">
        <v>45052</v>
      </c>
      <c r="W3587" s="17" t="s">
        <v>58</v>
      </c>
      <c r="Y3587" s="68">
        <v>45161</v>
      </c>
      <c r="Z3587" s="17" t="s">
        <v>191</v>
      </c>
      <c r="AA3587" s="17" t="s">
        <v>46</v>
      </c>
      <c r="AB3587" s="17" t="s">
        <v>1184</v>
      </c>
      <c r="AC3587" s="217">
        <v>45146</v>
      </c>
      <c r="AD3587" s="65">
        <v>1454</v>
      </c>
    </row>
    <row r="3588" s="17" customFormat="1" ht="15.6" hidden="1" spans="1:31">
      <c r="A3588" s="17" t="s">
        <v>34</v>
      </c>
      <c r="B3588" s="19">
        <v>917</v>
      </c>
      <c r="C3588" s="222">
        <v>44991</v>
      </c>
      <c r="D3588" s="17" t="s">
        <v>52</v>
      </c>
      <c r="E3588" s="17" t="s">
        <v>53</v>
      </c>
      <c r="F3588" s="17" t="s">
        <v>54</v>
      </c>
      <c r="H3588" s="19" t="s">
        <v>1180</v>
      </c>
      <c r="I3588" s="19"/>
      <c r="J3588" s="17" t="s">
        <v>39</v>
      </c>
      <c r="K3588" s="19">
        <v>36</v>
      </c>
      <c r="L3588" s="91"/>
      <c r="M3588" s="19">
        <v>4000</v>
      </c>
      <c r="N3588" s="19" t="s">
        <v>40</v>
      </c>
      <c r="O3588" s="19" t="s">
        <v>141</v>
      </c>
      <c r="P3588" s="266">
        <v>2000</v>
      </c>
      <c r="Q3588" s="19">
        <v>2166</v>
      </c>
      <c r="R3588" s="19">
        <f>+P3588-Q3588</f>
        <v>-166</v>
      </c>
      <c r="S3588" s="91">
        <v>1600</v>
      </c>
      <c r="T3588" s="19" t="s">
        <v>42</v>
      </c>
      <c r="U3588" s="102" t="s">
        <v>1181</v>
      </c>
      <c r="V3588" s="253">
        <v>45052</v>
      </c>
      <c r="W3588" s="17" t="s">
        <v>58</v>
      </c>
      <c r="Y3588" s="68">
        <v>45161</v>
      </c>
      <c r="Z3588" s="17" t="s">
        <v>191</v>
      </c>
      <c r="AA3588" s="17" t="s">
        <v>46</v>
      </c>
      <c r="AB3588" s="17" t="s">
        <v>1184</v>
      </c>
      <c r="AC3588" s="217">
        <v>45146</v>
      </c>
      <c r="AD3588" s="65">
        <v>1454</v>
      </c>
      <c r="AE3588" s="17" t="s">
        <v>390</v>
      </c>
    </row>
    <row r="3589" s="17" customFormat="1" ht="15.6" hidden="1" spans="1:31">
      <c r="A3589" s="17" t="s">
        <v>34</v>
      </c>
      <c r="B3589" s="19">
        <v>917</v>
      </c>
      <c r="C3589" s="222">
        <v>44991</v>
      </c>
      <c r="D3589" s="17" t="s">
        <v>52</v>
      </c>
      <c r="E3589" s="17" t="s">
        <v>53</v>
      </c>
      <c r="F3589" s="17" t="s">
        <v>54</v>
      </c>
      <c r="H3589" s="19" t="s">
        <v>1180</v>
      </c>
      <c r="I3589" s="19"/>
      <c r="J3589" s="17" t="s">
        <v>39</v>
      </c>
      <c r="K3589" s="19">
        <v>40</v>
      </c>
      <c r="L3589" s="91"/>
      <c r="M3589" s="19">
        <v>4000</v>
      </c>
      <c r="N3589" s="19" t="s">
        <v>40</v>
      </c>
      <c r="O3589" s="19" t="s">
        <v>141</v>
      </c>
      <c r="P3589" s="266">
        <v>2000</v>
      </c>
      <c r="Q3589" s="19">
        <v>1060</v>
      </c>
      <c r="S3589" s="91">
        <v>1600</v>
      </c>
      <c r="T3589" s="19" t="s">
        <v>42</v>
      </c>
      <c r="U3589" s="102" t="s">
        <v>1181</v>
      </c>
      <c r="V3589" s="253">
        <v>45052</v>
      </c>
      <c r="W3589" s="17" t="s">
        <v>58</v>
      </c>
      <c r="Y3589" s="68">
        <v>45161</v>
      </c>
      <c r="Z3589" s="17" t="s">
        <v>191</v>
      </c>
      <c r="AA3589" s="17" t="s">
        <v>46</v>
      </c>
      <c r="AB3589" s="17" t="s">
        <v>1181</v>
      </c>
      <c r="AC3589" s="102" t="s">
        <v>1185</v>
      </c>
      <c r="AD3589" s="65">
        <v>1433</v>
      </c>
      <c r="AE3589" s="17" t="s">
        <v>390</v>
      </c>
    </row>
    <row r="3590" s="17" customFormat="1" ht="15.6" hidden="1" spans="1:31">
      <c r="A3590" s="17" t="s">
        <v>34</v>
      </c>
      <c r="B3590" s="19">
        <v>917</v>
      </c>
      <c r="C3590" s="222">
        <v>44991</v>
      </c>
      <c r="D3590" s="17" t="s">
        <v>52</v>
      </c>
      <c r="E3590" s="17" t="s">
        <v>53</v>
      </c>
      <c r="F3590" s="17" t="s">
        <v>54</v>
      </c>
      <c r="H3590" s="19" t="s">
        <v>1180</v>
      </c>
      <c r="I3590" s="19"/>
      <c r="J3590" s="17" t="s">
        <v>39</v>
      </c>
      <c r="K3590" s="19">
        <v>40</v>
      </c>
      <c r="L3590" s="91"/>
      <c r="M3590" s="19">
        <v>4000</v>
      </c>
      <c r="N3590" s="19" t="s">
        <v>40</v>
      </c>
      <c r="O3590" s="19" t="s">
        <v>141</v>
      </c>
      <c r="P3590" s="266"/>
      <c r="Q3590" s="19">
        <v>1002</v>
      </c>
      <c r="R3590" s="19">
        <f>+P3589-Q3589-Q3590</f>
        <v>-62</v>
      </c>
      <c r="S3590" s="91">
        <v>1600</v>
      </c>
      <c r="T3590" s="19" t="s">
        <v>42</v>
      </c>
      <c r="U3590" s="102" t="s">
        <v>1181</v>
      </c>
      <c r="V3590" s="253">
        <v>45052</v>
      </c>
      <c r="W3590" s="17" t="s">
        <v>58</v>
      </c>
      <c r="Y3590" s="68">
        <v>45161</v>
      </c>
      <c r="Z3590" s="17" t="s">
        <v>191</v>
      </c>
      <c r="AA3590" s="17" t="s">
        <v>46</v>
      </c>
      <c r="AB3590" s="17" t="s">
        <v>1184</v>
      </c>
      <c r="AC3590" s="217">
        <v>45146</v>
      </c>
      <c r="AD3590" s="65">
        <v>1454</v>
      </c>
    </row>
    <row r="3591" s="17" customFormat="1" ht="15.6" hidden="1" spans="1:31">
      <c r="A3591" s="17" t="s">
        <v>34</v>
      </c>
      <c r="B3591" s="19">
        <v>917</v>
      </c>
      <c r="C3591" s="222">
        <v>44991</v>
      </c>
      <c r="D3591" s="17" t="s">
        <v>52</v>
      </c>
      <c r="E3591" s="17" t="s">
        <v>53</v>
      </c>
      <c r="F3591" s="17" t="s">
        <v>54</v>
      </c>
      <c r="H3591" s="19" t="s">
        <v>1180</v>
      </c>
      <c r="I3591" s="19"/>
      <c r="J3591" s="17" t="s">
        <v>39</v>
      </c>
      <c r="K3591" s="19">
        <v>45</v>
      </c>
      <c r="L3591" s="91"/>
      <c r="M3591" s="19">
        <v>4000</v>
      </c>
      <c r="N3591" s="19" t="s">
        <v>40</v>
      </c>
      <c r="O3591" s="19" t="s">
        <v>141</v>
      </c>
      <c r="P3591" s="266">
        <v>2000</v>
      </c>
      <c r="Q3591" s="19">
        <v>1072</v>
      </c>
      <c r="S3591" s="91">
        <v>1600</v>
      </c>
      <c r="T3591" s="19" t="s">
        <v>42</v>
      </c>
      <c r="U3591" s="102" t="s">
        <v>1181</v>
      </c>
      <c r="V3591" s="253">
        <v>45052</v>
      </c>
      <c r="W3591" s="17" t="s">
        <v>58</v>
      </c>
      <c r="Y3591" s="68">
        <v>45161</v>
      </c>
      <c r="Z3591" s="17" t="s">
        <v>191</v>
      </c>
      <c r="AA3591" s="17" t="s">
        <v>46</v>
      </c>
      <c r="AB3591" s="17" t="s">
        <v>1181</v>
      </c>
      <c r="AC3591" s="102" t="s">
        <v>1185</v>
      </c>
      <c r="AD3591" s="65">
        <v>1433</v>
      </c>
      <c r="AE3591" s="17" t="s">
        <v>390</v>
      </c>
    </row>
    <row r="3592" s="17" customFormat="1" ht="15.6" hidden="1" spans="1:31">
      <c r="A3592" s="17" t="s">
        <v>34</v>
      </c>
      <c r="B3592" s="19">
        <v>917</v>
      </c>
      <c r="C3592" s="222">
        <v>44991</v>
      </c>
      <c r="D3592" s="17" t="s">
        <v>52</v>
      </c>
      <c r="E3592" s="17" t="s">
        <v>53</v>
      </c>
      <c r="F3592" s="17" t="s">
        <v>54</v>
      </c>
      <c r="H3592" s="19" t="s">
        <v>1180</v>
      </c>
      <c r="I3592" s="19"/>
      <c r="J3592" s="17" t="s">
        <v>39</v>
      </c>
      <c r="K3592" s="19">
        <v>45</v>
      </c>
      <c r="L3592" s="91"/>
      <c r="M3592" s="19">
        <v>4000</v>
      </c>
      <c r="N3592" s="19" t="s">
        <v>40</v>
      </c>
      <c r="O3592" s="19" t="s">
        <v>141</v>
      </c>
      <c r="P3592" s="266"/>
      <c r="Q3592" s="19">
        <v>1242</v>
      </c>
      <c r="R3592" s="19">
        <f>+P3591-Q3591-Q3592</f>
        <v>-314</v>
      </c>
      <c r="S3592" s="91">
        <v>1600</v>
      </c>
      <c r="T3592" s="19" t="s">
        <v>42</v>
      </c>
      <c r="U3592" s="102" t="s">
        <v>1181</v>
      </c>
      <c r="V3592" s="253">
        <v>45052</v>
      </c>
      <c r="W3592" s="17" t="s">
        <v>58</v>
      </c>
      <c r="Y3592" s="68">
        <v>45161</v>
      </c>
      <c r="Z3592" s="17" t="s">
        <v>191</v>
      </c>
      <c r="AA3592" s="17" t="s">
        <v>46</v>
      </c>
      <c r="AB3592" s="17" t="s">
        <v>1184</v>
      </c>
      <c r="AC3592" s="217">
        <v>45146</v>
      </c>
      <c r="AD3592" s="65">
        <v>1454</v>
      </c>
    </row>
    <row r="3593" s="17" customFormat="1" ht="15.6" hidden="1" spans="1:31">
      <c r="A3593" s="17" t="s">
        <v>34</v>
      </c>
      <c r="B3593" s="19">
        <v>917</v>
      </c>
      <c r="C3593" s="222">
        <v>44991</v>
      </c>
      <c r="D3593" s="17" t="s">
        <v>52</v>
      </c>
      <c r="E3593" s="17" t="s">
        <v>53</v>
      </c>
      <c r="F3593" s="17" t="s">
        <v>54</v>
      </c>
      <c r="H3593" s="19" t="s">
        <v>1180</v>
      </c>
      <c r="I3593" s="19"/>
      <c r="J3593" s="17" t="s">
        <v>39</v>
      </c>
      <c r="K3593" s="19">
        <v>50</v>
      </c>
      <c r="L3593" s="91"/>
      <c r="M3593" s="19">
        <v>4000</v>
      </c>
      <c r="N3593" s="19" t="s">
        <v>40</v>
      </c>
      <c r="O3593" s="19" t="s">
        <v>141</v>
      </c>
      <c r="P3593" s="266">
        <v>2000</v>
      </c>
      <c r="Q3593" s="19">
        <f>1304+812</f>
        <v>2116</v>
      </c>
      <c r="R3593" s="19">
        <f>+P3593-Q3593</f>
        <v>-116</v>
      </c>
      <c r="S3593" s="91">
        <v>1600</v>
      </c>
      <c r="T3593" s="19" t="s">
        <v>42</v>
      </c>
      <c r="U3593" s="102" t="s">
        <v>1181</v>
      </c>
      <c r="V3593" s="253">
        <v>45052</v>
      </c>
      <c r="W3593" s="17" t="s">
        <v>58</v>
      </c>
      <c r="Y3593" s="68">
        <v>45161</v>
      </c>
      <c r="Z3593" s="17" t="s">
        <v>191</v>
      </c>
      <c r="AA3593" s="17" t="s">
        <v>46</v>
      </c>
      <c r="AB3593" s="17" t="s">
        <v>1184</v>
      </c>
      <c r="AC3593" s="217">
        <v>45146</v>
      </c>
      <c r="AD3593" s="65">
        <v>1454</v>
      </c>
      <c r="AE3593" s="17" t="s">
        <v>390</v>
      </c>
    </row>
    <row r="3594" s="17" customFormat="1" ht="15.6" hidden="1" spans="1:31">
      <c r="A3594" s="17" t="s">
        <v>34</v>
      </c>
      <c r="B3594" s="19">
        <v>917</v>
      </c>
      <c r="C3594" s="222">
        <v>44991</v>
      </c>
      <c r="D3594" s="17" t="s">
        <v>52</v>
      </c>
      <c r="E3594" s="17" t="s">
        <v>53</v>
      </c>
      <c r="F3594" s="17" t="s">
        <v>54</v>
      </c>
      <c r="H3594" s="19" t="s">
        <v>1180</v>
      </c>
      <c r="I3594" s="19"/>
      <c r="J3594" s="17" t="s">
        <v>39</v>
      </c>
      <c r="K3594" s="19">
        <v>56</v>
      </c>
      <c r="L3594" s="91"/>
      <c r="M3594" s="19">
        <v>4000</v>
      </c>
      <c r="N3594" s="19" t="s">
        <v>40</v>
      </c>
      <c r="O3594" s="19" t="s">
        <v>141</v>
      </c>
      <c r="P3594" s="266">
        <v>2000</v>
      </c>
      <c r="Q3594" s="19">
        <v>1962</v>
      </c>
      <c r="R3594" s="19">
        <f>+P3594-Q3594</f>
        <v>38</v>
      </c>
      <c r="S3594" s="91">
        <v>1600</v>
      </c>
      <c r="T3594" s="19" t="s">
        <v>42</v>
      </c>
      <c r="U3594" s="102" t="s">
        <v>1181</v>
      </c>
      <c r="V3594" s="253">
        <v>45052</v>
      </c>
      <c r="W3594" s="17" t="s">
        <v>58</v>
      </c>
      <c r="Y3594" s="68">
        <v>45161</v>
      </c>
      <c r="Z3594" s="17" t="s">
        <v>191</v>
      </c>
      <c r="AA3594" s="17" t="s">
        <v>46</v>
      </c>
      <c r="AB3594" s="17" t="s">
        <v>1184</v>
      </c>
      <c r="AC3594" s="217">
        <v>45146</v>
      </c>
      <c r="AD3594" s="65">
        <v>1454</v>
      </c>
      <c r="AE3594" s="17" t="s">
        <v>390</v>
      </c>
    </row>
    <row r="3595" s="17" customFormat="1" ht="15.6" hidden="1" spans="1:31">
      <c r="A3595" s="17" t="s">
        <v>34</v>
      </c>
      <c r="B3595" s="19">
        <v>917</v>
      </c>
      <c r="C3595" s="222">
        <v>44991</v>
      </c>
      <c r="D3595" s="17" t="s">
        <v>52</v>
      </c>
      <c r="E3595" s="17" t="s">
        <v>53</v>
      </c>
      <c r="F3595" s="17" t="s">
        <v>54</v>
      </c>
      <c r="H3595" s="19" t="s">
        <v>1180</v>
      </c>
      <c r="I3595" s="19"/>
      <c r="J3595" s="17" t="s">
        <v>39</v>
      </c>
      <c r="K3595" s="19">
        <v>60</v>
      </c>
      <c r="L3595" s="91"/>
      <c r="M3595" s="19">
        <v>4000</v>
      </c>
      <c r="N3595" s="19" t="s">
        <v>40</v>
      </c>
      <c r="O3595" s="19" t="s">
        <v>141</v>
      </c>
      <c r="P3595" s="266">
        <v>1000</v>
      </c>
      <c r="Q3595" s="19">
        <f>546+516</f>
        <v>1062</v>
      </c>
      <c r="R3595" s="19">
        <f>+P3595-Q3595</f>
        <v>-62</v>
      </c>
      <c r="S3595" s="91">
        <v>1600</v>
      </c>
      <c r="T3595" s="19" t="s">
        <v>42</v>
      </c>
      <c r="U3595" s="102" t="s">
        <v>1181</v>
      </c>
      <c r="V3595" s="253">
        <v>45052</v>
      </c>
      <c r="W3595" s="17" t="s">
        <v>58</v>
      </c>
      <c r="Y3595" s="68">
        <v>45161</v>
      </c>
      <c r="Z3595" s="17" t="s">
        <v>191</v>
      </c>
      <c r="AA3595" s="17" t="s">
        <v>46</v>
      </c>
      <c r="AB3595" s="17" t="s">
        <v>1184</v>
      </c>
      <c r="AC3595" s="217">
        <v>45146</v>
      </c>
      <c r="AD3595" s="65">
        <v>1454</v>
      </c>
      <c r="AE3595" s="17" t="s">
        <v>390</v>
      </c>
    </row>
    <row r="3596" s="17" customFormat="1" ht="15.6" hidden="1" spans="1:31">
      <c r="A3596" s="17" t="s">
        <v>34</v>
      </c>
      <c r="B3596" s="19">
        <v>917</v>
      </c>
      <c r="C3596" s="222">
        <v>44991</v>
      </c>
      <c r="D3596" s="17" t="s">
        <v>52</v>
      </c>
      <c r="E3596" s="17" t="s">
        <v>53</v>
      </c>
      <c r="F3596" s="17" t="s">
        <v>54</v>
      </c>
      <c r="H3596" s="19" t="s">
        <v>1180</v>
      </c>
      <c r="I3596" s="19"/>
      <c r="J3596" s="17" t="s">
        <v>39</v>
      </c>
      <c r="K3596" s="19">
        <v>65</v>
      </c>
      <c r="L3596" s="91"/>
      <c r="M3596" s="19">
        <v>4000</v>
      </c>
      <c r="N3596" s="19" t="s">
        <v>40</v>
      </c>
      <c r="O3596" s="19" t="s">
        <v>141</v>
      </c>
      <c r="P3596" s="266">
        <v>3000</v>
      </c>
      <c r="Q3596" s="19">
        <v>1300</v>
      </c>
      <c r="S3596" s="91">
        <v>1600</v>
      </c>
      <c r="T3596" s="19" t="s">
        <v>42</v>
      </c>
      <c r="U3596" s="102" t="s">
        <v>1181</v>
      </c>
      <c r="V3596" s="253">
        <v>45052</v>
      </c>
      <c r="W3596" s="17" t="s">
        <v>58</v>
      </c>
      <c r="Y3596" s="68">
        <v>45161</v>
      </c>
      <c r="Z3596" s="17" t="s">
        <v>191</v>
      </c>
      <c r="AA3596" s="17" t="s">
        <v>46</v>
      </c>
      <c r="AB3596" s="17" t="s">
        <v>1181</v>
      </c>
      <c r="AC3596" s="102" t="s">
        <v>1185</v>
      </c>
      <c r="AD3596" s="65">
        <v>1433</v>
      </c>
      <c r="AE3596" s="17" t="s">
        <v>390</v>
      </c>
    </row>
    <row r="3597" s="17" customFormat="1" ht="15.6" hidden="1" spans="1:31">
      <c r="A3597" s="17" t="s">
        <v>34</v>
      </c>
      <c r="B3597" s="19">
        <v>917</v>
      </c>
      <c r="C3597" s="222">
        <v>44991</v>
      </c>
      <c r="D3597" s="17" t="s">
        <v>52</v>
      </c>
      <c r="E3597" s="17" t="s">
        <v>53</v>
      </c>
      <c r="F3597" s="17" t="s">
        <v>54</v>
      </c>
      <c r="H3597" s="19" t="s">
        <v>1180</v>
      </c>
      <c r="I3597" s="19"/>
      <c r="J3597" s="17" t="s">
        <v>39</v>
      </c>
      <c r="K3597" s="19">
        <v>65</v>
      </c>
      <c r="L3597" s="91"/>
      <c r="M3597" s="19">
        <v>4000</v>
      </c>
      <c r="N3597" s="19" t="s">
        <v>40</v>
      </c>
      <c r="O3597" s="19" t="s">
        <v>141</v>
      </c>
      <c r="P3597" s="266"/>
      <c r="Q3597" s="19">
        <v>1622</v>
      </c>
      <c r="R3597" s="19">
        <f>+P3596-Q3596-Q3597</f>
        <v>78</v>
      </c>
      <c r="S3597" s="91">
        <v>1600</v>
      </c>
      <c r="T3597" s="19" t="s">
        <v>42</v>
      </c>
      <c r="U3597" s="102" t="s">
        <v>1181</v>
      </c>
      <c r="V3597" s="253">
        <v>45052</v>
      </c>
      <c r="W3597" s="17" t="s">
        <v>58</v>
      </c>
      <c r="Y3597" s="68">
        <v>45161</v>
      </c>
      <c r="Z3597" s="17" t="s">
        <v>191</v>
      </c>
      <c r="AA3597" s="17" t="s">
        <v>46</v>
      </c>
      <c r="AB3597" s="17" t="s">
        <v>1184</v>
      </c>
      <c r="AC3597" s="217">
        <v>45146</v>
      </c>
      <c r="AD3597" s="65">
        <v>1454</v>
      </c>
    </row>
    <row r="3598" s="17" customFormat="1" ht="15.6" hidden="1" spans="1:31">
      <c r="A3598" s="17" t="s">
        <v>34</v>
      </c>
      <c r="B3598" s="19">
        <v>917</v>
      </c>
      <c r="C3598" s="222">
        <v>44991</v>
      </c>
      <c r="D3598" s="17" t="s">
        <v>52</v>
      </c>
      <c r="E3598" s="17" t="s">
        <v>53</v>
      </c>
      <c r="F3598" s="17" t="s">
        <v>54</v>
      </c>
      <c r="H3598" s="19" t="s">
        <v>1180</v>
      </c>
      <c r="I3598" s="19"/>
      <c r="J3598" s="17" t="s">
        <v>39</v>
      </c>
      <c r="K3598" s="19">
        <v>70</v>
      </c>
      <c r="L3598" s="91"/>
      <c r="M3598" s="19">
        <v>4000</v>
      </c>
      <c r="N3598" s="19" t="s">
        <v>40</v>
      </c>
      <c r="O3598" s="19" t="s">
        <v>50</v>
      </c>
      <c r="P3598" s="266">
        <v>2000</v>
      </c>
      <c r="Q3598" s="19">
        <v>1368</v>
      </c>
      <c r="R3598" s="19">
        <f t="shared" ref="R3598:R3603" si="172">+P3598-Q3598</f>
        <v>632</v>
      </c>
      <c r="S3598" s="91">
        <v>1520</v>
      </c>
      <c r="T3598" s="19" t="s">
        <v>42</v>
      </c>
      <c r="U3598" s="102" t="s">
        <v>1181</v>
      </c>
      <c r="V3598" s="253">
        <v>45052</v>
      </c>
      <c r="W3598" s="17" t="s">
        <v>58</v>
      </c>
      <c r="Y3598" s="68">
        <v>45161</v>
      </c>
      <c r="Z3598" s="17" t="s">
        <v>191</v>
      </c>
      <c r="AA3598" s="17" t="s">
        <v>46</v>
      </c>
      <c r="AB3598" s="17" t="s">
        <v>1182</v>
      </c>
      <c r="AC3598" s="102" t="s">
        <v>1183</v>
      </c>
      <c r="AD3598" s="65">
        <v>1457</v>
      </c>
      <c r="AE3598" s="17" t="s">
        <v>390</v>
      </c>
    </row>
    <row r="3599" s="17" customFormat="1" ht="15.6" hidden="1" spans="1:31">
      <c r="A3599" s="17" t="s">
        <v>34</v>
      </c>
      <c r="B3599" s="19">
        <v>917</v>
      </c>
      <c r="C3599" s="222">
        <v>44991</v>
      </c>
      <c r="D3599" s="17" t="s">
        <v>52</v>
      </c>
      <c r="E3599" s="17" t="s">
        <v>53</v>
      </c>
      <c r="F3599" s="17" t="s">
        <v>54</v>
      </c>
      <c r="H3599" s="19" t="s">
        <v>1180</v>
      </c>
      <c r="I3599" s="19"/>
      <c r="J3599" s="17" t="s">
        <v>39</v>
      </c>
      <c r="K3599" s="19">
        <v>80</v>
      </c>
      <c r="L3599" s="91"/>
      <c r="M3599" s="19">
        <v>4000</v>
      </c>
      <c r="N3599" s="19" t="s">
        <v>40</v>
      </c>
      <c r="O3599" s="19" t="s">
        <v>50</v>
      </c>
      <c r="P3599" s="266">
        <v>1000</v>
      </c>
      <c r="Q3599" s="19">
        <v>688</v>
      </c>
      <c r="R3599" s="19">
        <f t="shared" si="172"/>
        <v>312</v>
      </c>
      <c r="S3599" s="91">
        <v>1520</v>
      </c>
      <c r="T3599" s="19" t="s">
        <v>42</v>
      </c>
      <c r="U3599" s="102" t="s">
        <v>1181</v>
      </c>
      <c r="V3599" s="253">
        <v>45052</v>
      </c>
      <c r="W3599" s="17" t="s">
        <v>58</v>
      </c>
      <c r="Y3599" s="68">
        <v>45161</v>
      </c>
      <c r="Z3599" s="17" t="s">
        <v>191</v>
      </c>
      <c r="AA3599" s="17" t="s">
        <v>46</v>
      </c>
      <c r="AB3599" s="17" t="s">
        <v>1182</v>
      </c>
      <c r="AC3599" s="102" t="s">
        <v>1183</v>
      </c>
      <c r="AD3599" s="65">
        <v>1457</v>
      </c>
      <c r="AE3599" s="17" t="s">
        <v>390</v>
      </c>
    </row>
    <row r="3600" s="17" customFormat="1" ht="15.6" hidden="1" spans="1:31">
      <c r="A3600" s="17" t="s">
        <v>34</v>
      </c>
      <c r="B3600" s="19">
        <v>917</v>
      </c>
      <c r="C3600" s="222">
        <v>44991</v>
      </c>
      <c r="D3600" s="17" t="s">
        <v>52</v>
      </c>
      <c r="E3600" s="17" t="s">
        <v>53</v>
      </c>
      <c r="F3600" s="17" t="s">
        <v>54</v>
      </c>
      <c r="H3600" s="19" t="s">
        <v>1180</v>
      </c>
      <c r="I3600" s="19"/>
      <c r="J3600" s="17" t="s">
        <v>39</v>
      </c>
      <c r="K3600" s="19">
        <v>85</v>
      </c>
      <c r="L3600" s="91"/>
      <c r="M3600" s="19">
        <v>4000</v>
      </c>
      <c r="N3600" s="19" t="s">
        <v>40</v>
      </c>
      <c r="O3600" s="19" t="s">
        <v>50</v>
      </c>
      <c r="P3600" s="266">
        <v>1000</v>
      </c>
      <c r="Q3600" s="19">
        <v>1078</v>
      </c>
      <c r="R3600" s="19">
        <f t="shared" si="172"/>
        <v>-78</v>
      </c>
      <c r="S3600" s="91">
        <v>1520</v>
      </c>
      <c r="T3600" s="19" t="s">
        <v>42</v>
      </c>
      <c r="U3600" s="102" t="s">
        <v>1181</v>
      </c>
      <c r="V3600" s="253">
        <v>45052</v>
      </c>
      <c r="W3600" s="17" t="s">
        <v>58</v>
      </c>
      <c r="Y3600" s="68">
        <v>45161</v>
      </c>
      <c r="Z3600" s="17" t="s">
        <v>191</v>
      </c>
      <c r="AA3600" s="17" t="s">
        <v>46</v>
      </c>
      <c r="AB3600" s="17" t="s">
        <v>1181</v>
      </c>
      <c r="AC3600" s="102" t="s">
        <v>1185</v>
      </c>
      <c r="AD3600" s="65">
        <v>1433</v>
      </c>
      <c r="AE3600" s="17" t="s">
        <v>390</v>
      </c>
    </row>
    <row r="3601" s="17" customFormat="1" ht="15.6" hidden="1" spans="1:31">
      <c r="A3601" s="17" t="s">
        <v>34</v>
      </c>
      <c r="B3601" s="19">
        <v>917</v>
      </c>
      <c r="C3601" s="222">
        <v>44991</v>
      </c>
      <c r="D3601" s="17" t="s">
        <v>52</v>
      </c>
      <c r="E3601" s="17" t="s">
        <v>53</v>
      </c>
      <c r="F3601" s="17" t="s">
        <v>54</v>
      </c>
      <c r="H3601" s="19" t="s">
        <v>1180</v>
      </c>
      <c r="I3601" s="19"/>
      <c r="J3601" s="17" t="s">
        <v>39</v>
      </c>
      <c r="K3601" s="19">
        <v>90</v>
      </c>
      <c r="L3601" s="91"/>
      <c r="M3601" s="19">
        <v>4000</v>
      </c>
      <c r="N3601" s="19" t="s">
        <v>40</v>
      </c>
      <c r="O3601" s="19" t="s">
        <v>50</v>
      </c>
      <c r="P3601" s="266">
        <v>1000</v>
      </c>
      <c r="Q3601" s="19">
        <v>650</v>
      </c>
      <c r="R3601" s="19">
        <f t="shared" si="172"/>
        <v>350</v>
      </c>
      <c r="S3601" s="91">
        <v>1520</v>
      </c>
      <c r="T3601" s="19" t="s">
        <v>42</v>
      </c>
      <c r="U3601" s="102" t="s">
        <v>1181</v>
      </c>
      <c r="V3601" s="253">
        <v>45052</v>
      </c>
      <c r="W3601" s="17" t="s">
        <v>58</v>
      </c>
      <c r="Y3601" s="68">
        <v>45161</v>
      </c>
      <c r="Z3601" s="17" t="s">
        <v>191</v>
      </c>
      <c r="AA3601" s="17" t="s">
        <v>46</v>
      </c>
      <c r="AB3601" s="17" t="s">
        <v>1182</v>
      </c>
      <c r="AC3601" s="102" t="s">
        <v>1183</v>
      </c>
      <c r="AD3601" s="65">
        <v>1457</v>
      </c>
      <c r="AE3601" s="17" t="s">
        <v>390</v>
      </c>
    </row>
    <row r="3602" s="17" customFormat="1" ht="15.6" hidden="1" spans="1:31">
      <c r="A3602" s="17" t="s">
        <v>34</v>
      </c>
      <c r="B3602" s="19">
        <v>917</v>
      </c>
      <c r="C3602" s="222">
        <v>44991</v>
      </c>
      <c r="D3602" s="17" t="s">
        <v>52</v>
      </c>
      <c r="E3602" s="17" t="s">
        <v>53</v>
      </c>
      <c r="F3602" s="17" t="s">
        <v>54</v>
      </c>
      <c r="H3602" s="19" t="s">
        <v>1180</v>
      </c>
      <c r="I3602" s="19"/>
      <c r="J3602" s="17" t="s">
        <v>39</v>
      </c>
      <c r="K3602" s="19">
        <v>95</v>
      </c>
      <c r="L3602" s="91"/>
      <c r="M3602" s="19">
        <v>4000</v>
      </c>
      <c r="N3602" s="19" t="s">
        <v>40</v>
      </c>
      <c r="O3602" s="19" t="s">
        <v>50</v>
      </c>
      <c r="P3602" s="266">
        <v>1000</v>
      </c>
      <c r="Q3602" s="19">
        <v>1192</v>
      </c>
      <c r="R3602" s="19">
        <f t="shared" si="172"/>
        <v>-192</v>
      </c>
      <c r="S3602" s="91">
        <v>1520</v>
      </c>
      <c r="T3602" s="19" t="s">
        <v>42</v>
      </c>
      <c r="U3602" s="102" t="s">
        <v>1181</v>
      </c>
      <c r="V3602" s="253">
        <v>45052</v>
      </c>
      <c r="W3602" s="17" t="s">
        <v>58</v>
      </c>
      <c r="Y3602" s="68">
        <v>45161</v>
      </c>
      <c r="Z3602" s="17" t="s">
        <v>191</v>
      </c>
      <c r="AA3602" s="17" t="s">
        <v>46</v>
      </c>
      <c r="AB3602" s="17" t="s">
        <v>1181</v>
      </c>
      <c r="AC3602" s="102" t="s">
        <v>1185</v>
      </c>
      <c r="AD3602" s="65">
        <v>1433</v>
      </c>
      <c r="AE3602" s="17" t="s">
        <v>390</v>
      </c>
    </row>
    <row r="3603" s="17" customFormat="1" ht="15.6" hidden="1" spans="1:31">
      <c r="A3603" s="17" t="s">
        <v>34</v>
      </c>
      <c r="B3603" s="19">
        <v>917</v>
      </c>
      <c r="C3603" s="222">
        <v>44991</v>
      </c>
      <c r="D3603" s="17" t="s">
        <v>52</v>
      </c>
      <c r="E3603" s="17" t="s">
        <v>53</v>
      </c>
      <c r="F3603" s="17" t="s">
        <v>54</v>
      </c>
      <c r="H3603" s="19" t="s">
        <v>1180</v>
      </c>
      <c r="I3603" s="19"/>
      <c r="J3603" s="17" t="s">
        <v>39</v>
      </c>
      <c r="K3603" s="19">
        <v>100</v>
      </c>
      <c r="L3603" s="91"/>
      <c r="M3603" s="19">
        <v>4000</v>
      </c>
      <c r="N3603" s="19" t="s">
        <v>40</v>
      </c>
      <c r="O3603" s="19" t="s">
        <v>50</v>
      </c>
      <c r="P3603" s="266">
        <v>1000</v>
      </c>
      <c r="Q3603" s="19">
        <v>1028</v>
      </c>
      <c r="R3603" s="19">
        <f t="shared" si="172"/>
        <v>-28</v>
      </c>
      <c r="S3603" s="91">
        <v>1520</v>
      </c>
      <c r="T3603" s="19" t="s">
        <v>42</v>
      </c>
      <c r="U3603" s="102" t="s">
        <v>1181</v>
      </c>
      <c r="V3603" s="253">
        <v>45052</v>
      </c>
      <c r="W3603" s="17" t="s">
        <v>58</v>
      </c>
      <c r="Y3603" s="68">
        <v>45161</v>
      </c>
      <c r="Z3603" s="17" t="s">
        <v>191</v>
      </c>
      <c r="AA3603" s="17" t="s">
        <v>46</v>
      </c>
      <c r="AB3603" s="17" t="s">
        <v>1181</v>
      </c>
      <c r="AC3603" s="102" t="s">
        <v>1185</v>
      </c>
      <c r="AD3603" s="65">
        <v>1433</v>
      </c>
      <c r="AE3603" s="17" t="s">
        <v>390</v>
      </c>
    </row>
    <row r="3604" s="17" customFormat="1" ht="15.6" hidden="1" spans="1:31">
      <c r="A3604" s="17" t="s">
        <v>34</v>
      </c>
      <c r="B3604" s="19">
        <v>917</v>
      </c>
      <c r="C3604" s="222">
        <v>44991</v>
      </c>
      <c r="D3604" s="17" t="s">
        <v>52</v>
      </c>
      <c r="E3604" s="17" t="s">
        <v>53</v>
      </c>
      <c r="F3604" s="17" t="s">
        <v>54</v>
      </c>
      <c r="H3604" s="19" t="s">
        <v>1180</v>
      </c>
      <c r="I3604" s="19"/>
      <c r="J3604" s="17" t="s">
        <v>39</v>
      </c>
      <c r="K3604" s="19">
        <v>105</v>
      </c>
      <c r="L3604" s="91"/>
      <c r="M3604" s="19">
        <v>4000</v>
      </c>
      <c r="N3604" s="19" t="s">
        <v>40</v>
      </c>
      <c r="O3604" s="19" t="s">
        <v>50</v>
      </c>
      <c r="P3604" s="266">
        <v>1000</v>
      </c>
      <c r="Q3604" s="19">
        <v>249</v>
      </c>
      <c r="S3604" s="91">
        <v>1520</v>
      </c>
      <c r="T3604" s="19" t="s">
        <v>42</v>
      </c>
      <c r="U3604" s="102" t="s">
        <v>1181</v>
      </c>
      <c r="V3604" s="253">
        <v>45052</v>
      </c>
      <c r="W3604" s="17" t="s">
        <v>58</v>
      </c>
      <c r="Y3604" s="68">
        <v>45161</v>
      </c>
      <c r="Z3604" s="17" t="s">
        <v>191</v>
      </c>
      <c r="AA3604" s="17" t="s">
        <v>46</v>
      </c>
      <c r="AB3604" s="17" t="s">
        <v>1181</v>
      </c>
      <c r="AC3604" s="102" t="s">
        <v>1185</v>
      </c>
      <c r="AD3604" s="65">
        <v>1433</v>
      </c>
      <c r="AE3604" s="17" t="s">
        <v>390</v>
      </c>
    </row>
    <row r="3605" s="17" customFormat="1" ht="15.6" hidden="1" spans="1:31">
      <c r="A3605" s="17" t="s">
        <v>34</v>
      </c>
      <c r="B3605" s="19">
        <v>917</v>
      </c>
      <c r="C3605" s="222">
        <v>44991</v>
      </c>
      <c r="D3605" s="17" t="s">
        <v>52</v>
      </c>
      <c r="E3605" s="17" t="s">
        <v>53</v>
      </c>
      <c r="F3605" s="17" t="s">
        <v>54</v>
      </c>
      <c r="H3605" s="19" t="s">
        <v>1180</v>
      </c>
      <c r="I3605" s="19"/>
      <c r="J3605" s="17" t="s">
        <v>39</v>
      </c>
      <c r="K3605" s="19">
        <v>105</v>
      </c>
      <c r="L3605" s="91"/>
      <c r="M3605" s="19">
        <v>4000</v>
      </c>
      <c r="N3605" s="19" t="s">
        <v>40</v>
      </c>
      <c r="O3605" s="19" t="s">
        <v>50</v>
      </c>
      <c r="P3605" s="266"/>
      <c r="Q3605" s="19">
        <v>506</v>
      </c>
      <c r="R3605" s="19">
        <f>+P3604-Q3604-Q3605</f>
        <v>245</v>
      </c>
      <c r="S3605" s="91">
        <v>1520</v>
      </c>
      <c r="T3605" s="19" t="s">
        <v>42</v>
      </c>
      <c r="U3605" s="102" t="s">
        <v>1181</v>
      </c>
      <c r="V3605" s="253">
        <v>45052</v>
      </c>
      <c r="W3605" s="17" t="s">
        <v>58</v>
      </c>
      <c r="Y3605" s="68">
        <v>45161</v>
      </c>
      <c r="Z3605" s="17" t="s">
        <v>191</v>
      </c>
      <c r="AA3605" s="17" t="s">
        <v>46</v>
      </c>
      <c r="AB3605" s="17" t="s">
        <v>1182</v>
      </c>
      <c r="AC3605" s="102" t="s">
        <v>1183</v>
      </c>
      <c r="AD3605" s="65">
        <v>1457</v>
      </c>
    </row>
    <row r="3606" s="17" customFormat="1" ht="15.6" hidden="1" spans="1:31">
      <c r="A3606" s="17" t="s">
        <v>34</v>
      </c>
      <c r="B3606" s="19">
        <v>917</v>
      </c>
      <c r="C3606" s="222">
        <v>44991</v>
      </c>
      <c r="D3606" s="17" t="s">
        <v>52</v>
      </c>
      <c r="E3606" s="17" t="s">
        <v>53</v>
      </c>
      <c r="F3606" s="17" t="s">
        <v>54</v>
      </c>
      <c r="H3606" s="19" t="s">
        <v>1180</v>
      </c>
      <c r="I3606" s="19"/>
      <c r="J3606" s="17" t="s">
        <v>39</v>
      </c>
      <c r="K3606" s="19">
        <v>110</v>
      </c>
      <c r="L3606" s="91"/>
      <c r="M3606" s="19">
        <v>4000</v>
      </c>
      <c r="N3606" s="19" t="s">
        <v>40</v>
      </c>
      <c r="O3606" s="19" t="s">
        <v>50</v>
      </c>
      <c r="P3606" s="266">
        <v>1000</v>
      </c>
      <c r="Q3606" s="19">
        <v>1272</v>
      </c>
      <c r="R3606" s="19">
        <f t="shared" ref="R3606:R3635" si="173">+P3606-Q3606</f>
        <v>-272</v>
      </c>
      <c r="S3606" s="91">
        <v>1520</v>
      </c>
      <c r="T3606" s="19" t="s">
        <v>42</v>
      </c>
      <c r="U3606" s="102" t="s">
        <v>1181</v>
      </c>
      <c r="V3606" s="253">
        <v>45052</v>
      </c>
      <c r="W3606" s="17" t="s">
        <v>58</v>
      </c>
      <c r="Y3606" s="68">
        <v>45161</v>
      </c>
      <c r="Z3606" s="17" t="s">
        <v>191</v>
      </c>
      <c r="AA3606" s="17" t="s">
        <v>46</v>
      </c>
      <c r="AB3606" s="17" t="s">
        <v>1181</v>
      </c>
      <c r="AC3606" s="102" t="s">
        <v>1185</v>
      </c>
      <c r="AD3606" s="65">
        <v>1433</v>
      </c>
      <c r="AE3606" s="17" t="s">
        <v>390</v>
      </c>
    </row>
    <row r="3607" s="17" customFormat="1" ht="15.6" hidden="1" spans="1:31">
      <c r="A3607" s="17" t="s">
        <v>34</v>
      </c>
      <c r="B3607" s="19">
        <v>917</v>
      </c>
      <c r="C3607" s="222">
        <v>44991</v>
      </c>
      <c r="D3607" s="17" t="s">
        <v>52</v>
      </c>
      <c r="E3607" s="17" t="s">
        <v>53</v>
      </c>
      <c r="F3607" s="17" t="s">
        <v>54</v>
      </c>
      <c r="H3607" s="19" t="s">
        <v>1180</v>
      </c>
      <c r="I3607" s="19"/>
      <c r="J3607" s="17" t="s">
        <v>39</v>
      </c>
      <c r="K3607" s="19">
        <v>115</v>
      </c>
      <c r="L3607" s="91"/>
      <c r="M3607" s="19">
        <v>4000</v>
      </c>
      <c r="N3607" s="19" t="s">
        <v>40</v>
      </c>
      <c r="O3607" s="19" t="s">
        <v>50</v>
      </c>
      <c r="P3607" s="266">
        <v>1000</v>
      </c>
      <c r="Q3607" s="19">
        <v>1026</v>
      </c>
      <c r="R3607" s="19">
        <f t="shared" si="173"/>
        <v>-26</v>
      </c>
      <c r="S3607" s="91">
        <v>1520</v>
      </c>
      <c r="T3607" s="19" t="s">
        <v>42</v>
      </c>
      <c r="U3607" s="102" t="s">
        <v>1181</v>
      </c>
      <c r="V3607" s="253">
        <v>45052</v>
      </c>
      <c r="W3607" s="17" t="s">
        <v>58</v>
      </c>
      <c r="Y3607" s="68">
        <v>45161</v>
      </c>
      <c r="Z3607" s="17" t="s">
        <v>191</v>
      </c>
      <c r="AA3607" s="17" t="s">
        <v>46</v>
      </c>
      <c r="AB3607" s="17" t="s">
        <v>1181</v>
      </c>
      <c r="AC3607" s="102" t="s">
        <v>1185</v>
      </c>
      <c r="AD3607" s="65">
        <v>1433</v>
      </c>
      <c r="AE3607" s="17" t="s">
        <v>390</v>
      </c>
    </row>
    <row r="3608" s="17" customFormat="1" ht="15.6" hidden="1" spans="1:31">
      <c r="A3608" s="17" t="s">
        <v>34</v>
      </c>
      <c r="B3608" s="19">
        <v>917</v>
      </c>
      <c r="C3608" s="222">
        <v>44991</v>
      </c>
      <c r="D3608" s="17" t="s">
        <v>52</v>
      </c>
      <c r="E3608" s="17" t="s">
        <v>53</v>
      </c>
      <c r="F3608" s="17" t="s">
        <v>54</v>
      </c>
      <c r="H3608" s="19" t="s">
        <v>1180</v>
      </c>
      <c r="I3608" s="19"/>
      <c r="J3608" s="17" t="s">
        <v>39</v>
      </c>
      <c r="K3608" s="19">
        <v>120</v>
      </c>
      <c r="L3608" s="91"/>
      <c r="M3608" s="19">
        <v>4000</v>
      </c>
      <c r="N3608" s="19" t="s">
        <v>40</v>
      </c>
      <c r="O3608" s="19" t="s">
        <v>50</v>
      </c>
      <c r="P3608" s="266">
        <v>1000</v>
      </c>
      <c r="Q3608" s="19">
        <v>668</v>
      </c>
      <c r="R3608" s="19">
        <f t="shared" si="173"/>
        <v>332</v>
      </c>
      <c r="S3608" s="91">
        <v>1520</v>
      </c>
      <c r="T3608" s="19" t="s">
        <v>42</v>
      </c>
      <c r="U3608" s="102" t="s">
        <v>1181</v>
      </c>
      <c r="V3608" s="253">
        <v>45052</v>
      </c>
      <c r="W3608" s="17" t="s">
        <v>58</v>
      </c>
      <c r="Y3608" s="68">
        <v>45161</v>
      </c>
      <c r="Z3608" s="17" t="s">
        <v>191</v>
      </c>
      <c r="AA3608" s="17" t="s">
        <v>46</v>
      </c>
      <c r="AB3608" s="17" t="s">
        <v>1181</v>
      </c>
      <c r="AC3608" s="102" t="s">
        <v>1185</v>
      </c>
      <c r="AD3608" s="65">
        <v>1433</v>
      </c>
      <c r="AE3608" s="17" t="s">
        <v>390</v>
      </c>
    </row>
    <row r="3609" s="17" customFormat="1" ht="15.6" hidden="1" spans="1:31">
      <c r="A3609" s="17" t="s">
        <v>34</v>
      </c>
      <c r="B3609" s="19">
        <v>917</v>
      </c>
      <c r="C3609" s="222">
        <v>44991</v>
      </c>
      <c r="D3609" s="17" t="s">
        <v>52</v>
      </c>
      <c r="E3609" s="17" t="s">
        <v>53</v>
      </c>
      <c r="F3609" s="17" t="s">
        <v>54</v>
      </c>
      <c r="H3609" s="19" t="s">
        <v>1180</v>
      </c>
      <c r="I3609" s="19"/>
      <c r="J3609" s="17" t="s">
        <v>39</v>
      </c>
      <c r="K3609" s="19">
        <v>130</v>
      </c>
      <c r="L3609" s="91"/>
      <c r="M3609" s="19">
        <v>4000</v>
      </c>
      <c r="N3609" s="19" t="s">
        <v>40</v>
      </c>
      <c r="O3609" s="19" t="s">
        <v>50</v>
      </c>
      <c r="P3609" s="266">
        <v>1000</v>
      </c>
      <c r="Q3609" s="19">
        <f>340+344+340</f>
        <v>1024</v>
      </c>
      <c r="R3609" s="19">
        <f t="shared" si="173"/>
        <v>-24</v>
      </c>
      <c r="S3609" s="91">
        <v>1520</v>
      </c>
      <c r="T3609" s="19" t="s">
        <v>42</v>
      </c>
      <c r="U3609" s="102" t="s">
        <v>1181</v>
      </c>
      <c r="V3609" s="253">
        <v>45052</v>
      </c>
      <c r="W3609" s="17" t="s">
        <v>58</v>
      </c>
      <c r="Y3609" s="68">
        <v>45161</v>
      </c>
      <c r="Z3609" s="17" t="s">
        <v>191</v>
      </c>
      <c r="AA3609" s="17" t="s">
        <v>46</v>
      </c>
      <c r="AB3609" s="17" t="s">
        <v>1181</v>
      </c>
      <c r="AC3609" s="102" t="s">
        <v>1185</v>
      </c>
      <c r="AD3609" s="65">
        <v>1433</v>
      </c>
      <c r="AE3609" s="17" t="s">
        <v>390</v>
      </c>
    </row>
    <row r="3610" s="17" customFormat="1" ht="15.6" hidden="1" spans="1:31">
      <c r="A3610" s="17" t="s">
        <v>34</v>
      </c>
      <c r="B3610" s="19">
        <v>917</v>
      </c>
      <c r="C3610" s="222">
        <v>44991</v>
      </c>
      <c r="D3610" s="17" t="s">
        <v>52</v>
      </c>
      <c r="E3610" s="17" t="s">
        <v>53</v>
      </c>
      <c r="F3610" s="17" t="s">
        <v>54</v>
      </c>
      <c r="H3610" s="19" t="s">
        <v>1180</v>
      </c>
      <c r="I3610" s="19"/>
      <c r="J3610" s="17" t="s">
        <v>39</v>
      </c>
      <c r="K3610" s="19">
        <v>140</v>
      </c>
      <c r="L3610" s="91"/>
      <c r="M3610" s="19">
        <v>4000</v>
      </c>
      <c r="N3610" s="19" t="s">
        <v>40</v>
      </c>
      <c r="O3610" s="19" t="s">
        <v>50</v>
      </c>
      <c r="P3610" s="266">
        <v>1000</v>
      </c>
      <c r="Q3610" s="19">
        <f>562+530</f>
        <v>1092</v>
      </c>
      <c r="R3610" s="19">
        <f t="shared" si="173"/>
        <v>-92</v>
      </c>
      <c r="S3610" s="91">
        <v>1520</v>
      </c>
      <c r="T3610" s="19" t="s">
        <v>42</v>
      </c>
      <c r="U3610" s="102" t="s">
        <v>1181</v>
      </c>
      <c r="V3610" s="253">
        <v>45052</v>
      </c>
      <c r="W3610" s="17" t="s">
        <v>58</v>
      </c>
      <c r="Y3610" s="68">
        <v>45161</v>
      </c>
      <c r="Z3610" s="17" t="s">
        <v>191</v>
      </c>
      <c r="AA3610" s="17" t="s">
        <v>46</v>
      </c>
      <c r="AB3610" s="17" t="s">
        <v>1181</v>
      </c>
      <c r="AC3610" s="102" t="s">
        <v>1185</v>
      </c>
      <c r="AD3610" s="65">
        <v>1433</v>
      </c>
      <c r="AE3610" s="17" t="s">
        <v>390</v>
      </c>
    </row>
    <row r="3611" s="17" customFormat="1" ht="15.6" hidden="1" spans="1:31">
      <c r="A3611" s="17" t="s">
        <v>34</v>
      </c>
      <c r="B3611" s="19">
        <v>917</v>
      </c>
      <c r="C3611" s="222">
        <v>44991</v>
      </c>
      <c r="D3611" s="17" t="s">
        <v>52</v>
      </c>
      <c r="E3611" s="17" t="s">
        <v>53</v>
      </c>
      <c r="F3611" s="17" t="s">
        <v>54</v>
      </c>
      <c r="H3611" s="19" t="s">
        <v>1180</v>
      </c>
      <c r="I3611" s="19"/>
      <c r="J3611" s="17" t="s">
        <v>39</v>
      </c>
      <c r="K3611" s="19">
        <v>150</v>
      </c>
      <c r="L3611" s="91"/>
      <c r="M3611" s="19">
        <v>4000</v>
      </c>
      <c r="N3611" s="19" t="s">
        <v>40</v>
      </c>
      <c r="O3611" s="19" t="s">
        <v>50</v>
      </c>
      <c r="P3611" s="266">
        <v>1000</v>
      </c>
      <c r="Q3611" s="19">
        <f>550+556</f>
        <v>1106</v>
      </c>
      <c r="R3611" s="19">
        <f t="shared" si="173"/>
        <v>-106</v>
      </c>
      <c r="S3611" s="91">
        <v>1520</v>
      </c>
      <c r="T3611" s="19" t="s">
        <v>42</v>
      </c>
      <c r="U3611" s="102" t="s">
        <v>1181</v>
      </c>
      <c r="V3611" s="253">
        <v>45052</v>
      </c>
      <c r="W3611" s="17" t="s">
        <v>58</v>
      </c>
      <c r="Y3611" s="68">
        <v>45161</v>
      </c>
      <c r="Z3611" s="17" t="s">
        <v>191</v>
      </c>
      <c r="AA3611" s="17" t="s">
        <v>46</v>
      </c>
      <c r="AB3611" s="17" t="s">
        <v>1181</v>
      </c>
      <c r="AC3611" s="102" t="s">
        <v>1185</v>
      </c>
      <c r="AD3611" s="65">
        <v>1433</v>
      </c>
      <c r="AE3611" s="17" t="s">
        <v>390</v>
      </c>
    </row>
    <row r="3612" s="17" customFormat="1" ht="15.6" hidden="1" spans="1:31">
      <c r="A3612" s="17" t="s">
        <v>34</v>
      </c>
      <c r="B3612" s="19">
        <v>917</v>
      </c>
      <c r="C3612" s="222">
        <v>44991</v>
      </c>
      <c r="D3612" s="17" t="s">
        <v>52</v>
      </c>
      <c r="E3612" s="17" t="s">
        <v>53</v>
      </c>
      <c r="F3612" s="17" t="s">
        <v>54</v>
      </c>
      <c r="H3612" s="19" t="s">
        <v>1180</v>
      </c>
      <c r="I3612" s="19"/>
      <c r="J3612" s="17" t="s">
        <v>39</v>
      </c>
      <c r="K3612" s="19">
        <v>155</v>
      </c>
      <c r="L3612" s="91"/>
      <c r="M3612" s="19">
        <v>4000</v>
      </c>
      <c r="N3612" s="19" t="s">
        <v>40</v>
      </c>
      <c r="O3612" s="19" t="s">
        <v>50</v>
      </c>
      <c r="P3612" s="266">
        <v>1000</v>
      </c>
      <c r="Q3612" s="19">
        <v>1020</v>
      </c>
      <c r="R3612" s="19">
        <f t="shared" si="173"/>
        <v>-20</v>
      </c>
      <c r="S3612" s="91">
        <v>1520</v>
      </c>
      <c r="T3612" s="19" t="s">
        <v>42</v>
      </c>
      <c r="U3612" s="102" t="s">
        <v>1181</v>
      </c>
      <c r="V3612" s="253">
        <v>45052</v>
      </c>
      <c r="W3612" s="17" t="s">
        <v>58</v>
      </c>
      <c r="Y3612" s="68">
        <v>45161</v>
      </c>
      <c r="Z3612" s="17" t="s">
        <v>191</v>
      </c>
      <c r="AA3612" s="17" t="s">
        <v>46</v>
      </c>
      <c r="AB3612" s="17" t="s">
        <v>1182</v>
      </c>
      <c r="AC3612" s="102" t="s">
        <v>1183</v>
      </c>
      <c r="AD3612" s="65">
        <v>1457</v>
      </c>
      <c r="AE3612" s="17" t="s">
        <v>390</v>
      </c>
    </row>
    <row r="3613" s="17" customFormat="1" ht="15.6" hidden="1" spans="1:31">
      <c r="A3613" s="17" t="s">
        <v>34</v>
      </c>
      <c r="B3613" s="19">
        <v>917</v>
      </c>
      <c r="C3613" s="222">
        <v>44991</v>
      </c>
      <c r="D3613" s="17" t="s">
        <v>52</v>
      </c>
      <c r="E3613" s="17" t="s">
        <v>53</v>
      </c>
      <c r="F3613" s="17" t="s">
        <v>54</v>
      </c>
      <c r="H3613" s="19" t="s">
        <v>1180</v>
      </c>
      <c r="I3613" s="19"/>
      <c r="J3613" s="17" t="s">
        <v>39</v>
      </c>
      <c r="K3613" s="19">
        <v>160</v>
      </c>
      <c r="L3613" s="91"/>
      <c r="M3613" s="19">
        <v>4000</v>
      </c>
      <c r="N3613" s="19" t="s">
        <v>40</v>
      </c>
      <c r="O3613" s="19" t="s">
        <v>50</v>
      </c>
      <c r="P3613" s="266">
        <v>1000</v>
      </c>
      <c r="Q3613" s="19">
        <f>560+564</f>
        <v>1124</v>
      </c>
      <c r="R3613" s="19">
        <f t="shared" si="173"/>
        <v>-124</v>
      </c>
      <c r="S3613" s="91">
        <v>1520</v>
      </c>
      <c r="T3613" s="19" t="s">
        <v>42</v>
      </c>
      <c r="U3613" s="102" t="s">
        <v>1181</v>
      </c>
      <c r="V3613" s="253">
        <v>45052</v>
      </c>
      <c r="W3613" s="17" t="s">
        <v>58</v>
      </c>
      <c r="Y3613" s="68">
        <v>45161</v>
      </c>
      <c r="Z3613" s="17" t="s">
        <v>191</v>
      </c>
      <c r="AA3613" s="17" t="s">
        <v>46</v>
      </c>
      <c r="AB3613" s="17" t="s">
        <v>1181</v>
      </c>
      <c r="AC3613" s="102" t="s">
        <v>1185</v>
      </c>
      <c r="AD3613" s="65">
        <v>1433</v>
      </c>
      <c r="AE3613" s="17" t="s">
        <v>390</v>
      </c>
    </row>
    <row r="3614" s="17" customFormat="1" ht="15.6" hidden="1" spans="1:31">
      <c r="A3614" s="17" t="s">
        <v>34</v>
      </c>
      <c r="B3614" s="19">
        <v>917</v>
      </c>
      <c r="C3614" s="222">
        <v>44991</v>
      </c>
      <c r="D3614" s="17" t="s">
        <v>52</v>
      </c>
      <c r="E3614" s="17" t="s">
        <v>53</v>
      </c>
      <c r="F3614" s="17" t="s">
        <v>54</v>
      </c>
      <c r="H3614" s="19" t="s">
        <v>1180</v>
      </c>
      <c r="I3614" s="19"/>
      <c r="J3614" s="17" t="s">
        <v>39</v>
      </c>
      <c r="K3614" s="19">
        <v>170</v>
      </c>
      <c r="L3614" s="91"/>
      <c r="M3614" s="19">
        <v>4000</v>
      </c>
      <c r="N3614" s="19" t="s">
        <v>40</v>
      </c>
      <c r="O3614" s="19" t="s">
        <v>50</v>
      </c>
      <c r="P3614" s="266">
        <v>1000</v>
      </c>
      <c r="Q3614" s="19">
        <f>716+716</f>
        <v>1432</v>
      </c>
      <c r="R3614" s="19">
        <f t="shared" si="173"/>
        <v>-432</v>
      </c>
      <c r="S3614" s="91">
        <v>1520</v>
      </c>
      <c r="T3614" s="19" t="s">
        <v>42</v>
      </c>
      <c r="U3614" s="102" t="s">
        <v>1181</v>
      </c>
      <c r="V3614" s="253">
        <v>45052</v>
      </c>
      <c r="W3614" s="17" t="s">
        <v>58</v>
      </c>
      <c r="Y3614" s="68">
        <v>45161</v>
      </c>
      <c r="Z3614" s="17" t="s">
        <v>191</v>
      </c>
      <c r="AA3614" s="17" t="s">
        <v>46</v>
      </c>
      <c r="AB3614" s="17" t="s">
        <v>1181</v>
      </c>
      <c r="AC3614" s="102" t="s">
        <v>1185</v>
      </c>
      <c r="AD3614" s="65">
        <v>1433</v>
      </c>
      <c r="AE3614" s="17" t="s">
        <v>390</v>
      </c>
    </row>
    <row r="3615" s="17" customFormat="1" ht="15.6" hidden="1" spans="1:31">
      <c r="A3615" s="17" t="s">
        <v>34</v>
      </c>
      <c r="B3615" s="19">
        <v>917</v>
      </c>
      <c r="C3615" s="222">
        <v>44991</v>
      </c>
      <c r="D3615" s="17" t="s">
        <v>52</v>
      </c>
      <c r="E3615" s="17" t="s">
        <v>53</v>
      </c>
      <c r="F3615" s="17" t="s">
        <v>54</v>
      </c>
      <c r="H3615" s="19" t="s">
        <v>1180</v>
      </c>
      <c r="I3615" s="19"/>
      <c r="J3615" s="17" t="s">
        <v>39</v>
      </c>
      <c r="K3615" s="19">
        <v>180</v>
      </c>
      <c r="L3615" s="91"/>
      <c r="M3615" s="19">
        <v>4000</v>
      </c>
      <c r="N3615" s="19" t="s">
        <v>40</v>
      </c>
      <c r="O3615" s="19" t="s">
        <v>50</v>
      </c>
      <c r="P3615" s="266">
        <v>1000</v>
      </c>
      <c r="Q3615" s="19">
        <v>884</v>
      </c>
      <c r="R3615" s="19">
        <f t="shared" si="173"/>
        <v>116</v>
      </c>
      <c r="S3615" s="91">
        <v>1520</v>
      </c>
      <c r="T3615" s="19" t="s">
        <v>42</v>
      </c>
      <c r="U3615" s="102" t="s">
        <v>1181</v>
      </c>
      <c r="V3615" s="253">
        <v>45052</v>
      </c>
      <c r="W3615" s="17" t="s">
        <v>58</v>
      </c>
      <c r="Y3615" s="68">
        <v>45161</v>
      </c>
      <c r="Z3615" s="17" t="s">
        <v>191</v>
      </c>
      <c r="AA3615" s="17" t="s">
        <v>46</v>
      </c>
      <c r="AB3615" s="17" t="s">
        <v>1181</v>
      </c>
      <c r="AC3615" s="102" t="s">
        <v>1185</v>
      </c>
      <c r="AD3615" s="65">
        <v>1433</v>
      </c>
      <c r="AE3615" s="17" t="s">
        <v>390</v>
      </c>
    </row>
    <row r="3616" s="17" customFormat="1" ht="15.6" hidden="1" spans="1:31">
      <c r="A3616" s="17" t="s">
        <v>34</v>
      </c>
      <c r="B3616" s="19">
        <v>917</v>
      </c>
      <c r="C3616" s="222">
        <v>44991</v>
      </c>
      <c r="D3616" s="17" t="s">
        <v>52</v>
      </c>
      <c r="E3616" s="17" t="s">
        <v>53</v>
      </c>
      <c r="F3616" s="17" t="s">
        <v>54</v>
      </c>
      <c r="H3616" s="19" t="s">
        <v>1180</v>
      </c>
      <c r="I3616" s="19"/>
      <c r="J3616" s="17" t="s">
        <v>39</v>
      </c>
      <c r="K3616" s="19">
        <v>192</v>
      </c>
      <c r="L3616" s="91"/>
      <c r="M3616" s="19">
        <v>4000</v>
      </c>
      <c r="N3616" s="19" t="s">
        <v>40</v>
      </c>
      <c r="O3616" s="19" t="s">
        <v>50</v>
      </c>
      <c r="P3616" s="266">
        <v>2000</v>
      </c>
      <c r="Q3616" s="19">
        <f>860+852</f>
        <v>1712</v>
      </c>
      <c r="R3616" s="19">
        <f t="shared" si="173"/>
        <v>288</v>
      </c>
      <c r="S3616" s="91">
        <v>1520</v>
      </c>
      <c r="T3616" s="19" t="s">
        <v>42</v>
      </c>
      <c r="U3616" s="102" t="s">
        <v>1181</v>
      </c>
      <c r="V3616" s="253">
        <v>45052</v>
      </c>
      <c r="W3616" s="17" t="s">
        <v>58</v>
      </c>
      <c r="Y3616" s="68">
        <v>45161</v>
      </c>
      <c r="Z3616" s="17" t="s">
        <v>191</v>
      </c>
      <c r="AA3616" s="17" t="s">
        <v>46</v>
      </c>
      <c r="AB3616" s="17" t="s">
        <v>1181</v>
      </c>
      <c r="AC3616" s="102" t="s">
        <v>1185</v>
      </c>
      <c r="AD3616" s="65">
        <v>1433</v>
      </c>
      <c r="AE3616" s="17" t="s">
        <v>390</v>
      </c>
    </row>
    <row r="3617" s="17" customFormat="1" ht="15.6" hidden="1" spans="1:31">
      <c r="A3617" s="17" t="s">
        <v>34</v>
      </c>
      <c r="B3617" s="19">
        <v>917</v>
      </c>
      <c r="C3617" s="222">
        <v>44991</v>
      </c>
      <c r="D3617" s="17" t="s">
        <v>52</v>
      </c>
      <c r="E3617" s="17" t="s">
        <v>53</v>
      </c>
      <c r="F3617" s="17" t="s">
        <v>54</v>
      </c>
      <c r="H3617" s="19" t="s">
        <v>1180</v>
      </c>
      <c r="I3617" s="19"/>
      <c r="J3617" s="17" t="s">
        <v>39</v>
      </c>
      <c r="K3617" s="19">
        <v>200</v>
      </c>
      <c r="L3617" s="91"/>
      <c r="M3617" s="19">
        <v>4000</v>
      </c>
      <c r="N3617" s="19" t="s">
        <v>40</v>
      </c>
      <c r="O3617" s="19" t="s">
        <v>50</v>
      </c>
      <c r="P3617" s="266">
        <v>5000</v>
      </c>
      <c r="Q3617" s="19">
        <f>890+832+852+836+830+830</f>
        <v>5070</v>
      </c>
      <c r="R3617" s="19">
        <f t="shared" si="173"/>
        <v>-70</v>
      </c>
      <c r="S3617" s="91">
        <v>1520</v>
      </c>
      <c r="T3617" s="19" t="s">
        <v>42</v>
      </c>
      <c r="U3617" s="102" t="s">
        <v>1181</v>
      </c>
      <c r="V3617" s="253">
        <v>45052</v>
      </c>
      <c r="W3617" s="17" t="s">
        <v>58</v>
      </c>
      <c r="Y3617" s="68">
        <v>45161</v>
      </c>
      <c r="Z3617" s="17" t="s">
        <v>191</v>
      </c>
      <c r="AA3617" s="17" t="s">
        <v>46</v>
      </c>
      <c r="AB3617" s="17" t="s">
        <v>1181</v>
      </c>
      <c r="AC3617" s="102" t="s">
        <v>1185</v>
      </c>
      <c r="AD3617" s="65">
        <v>1433</v>
      </c>
      <c r="AE3617" s="17" t="s">
        <v>390</v>
      </c>
    </row>
    <row r="3618" s="17" customFormat="1" ht="15.6" hidden="1" spans="1:31">
      <c r="A3618" s="17" t="s">
        <v>34</v>
      </c>
      <c r="B3618" s="19">
        <v>917</v>
      </c>
      <c r="C3618" s="222">
        <v>44991</v>
      </c>
      <c r="D3618" s="17" t="s">
        <v>52</v>
      </c>
      <c r="E3618" s="17" t="s">
        <v>53</v>
      </c>
      <c r="F3618" s="17" t="s">
        <v>54</v>
      </c>
      <c r="H3618" s="19" t="s">
        <v>1180</v>
      </c>
      <c r="I3618" s="19"/>
      <c r="J3618" s="17" t="s">
        <v>39</v>
      </c>
      <c r="K3618" s="19">
        <v>205</v>
      </c>
      <c r="L3618" s="91"/>
      <c r="M3618" s="19">
        <v>4000</v>
      </c>
      <c r="N3618" s="19" t="s">
        <v>40</v>
      </c>
      <c r="O3618" s="19" t="s">
        <v>50</v>
      </c>
      <c r="P3618" s="266">
        <v>2000</v>
      </c>
      <c r="Q3618" s="19">
        <v>1826</v>
      </c>
      <c r="R3618" s="19">
        <f t="shared" si="173"/>
        <v>174</v>
      </c>
      <c r="S3618" s="91">
        <v>1520</v>
      </c>
      <c r="T3618" s="19" t="s">
        <v>42</v>
      </c>
      <c r="U3618" s="102" t="s">
        <v>1181</v>
      </c>
      <c r="V3618" s="253">
        <v>45052</v>
      </c>
      <c r="W3618" s="17" t="s">
        <v>58</v>
      </c>
      <c r="Y3618" s="68">
        <v>45161</v>
      </c>
      <c r="Z3618" s="17" t="s">
        <v>191</v>
      </c>
      <c r="AA3618" s="17" t="s">
        <v>46</v>
      </c>
      <c r="AB3618" s="17" t="s">
        <v>1182</v>
      </c>
      <c r="AC3618" s="102" t="s">
        <v>1183</v>
      </c>
      <c r="AD3618" s="65">
        <v>1457</v>
      </c>
      <c r="AE3618" s="17" t="s">
        <v>390</v>
      </c>
    </row>
    <row r="3619" s="17" customFormat="1" ht="15.6" hidden="1" spans="1:31">
      <c r="A3619" s="17" t="s">
        <v>34</v>
      </c>
      <c r="B3619" s="19">
        <v>917</v>
      </c>
      <c r="C3619" s="222">
        <v>44991</v>
      </c>
      <c r="D3619" s="17" t="s">
        <v>52</v>
      </c>
      <c r="E3619" s="17" t="s">
        <v>53</v>
      </c>
      <c r="F3619" s="17" t="s">
        <v>54</v>
      </c>
      <c r="H3619" s="19" t="s">
        <v>1180</v>
      </c>
      <c r="I3619" s="19"/>
      <c r="J3619" s="17" t="s">
        <v>39</v>
      </c>
      <c r="K3619" s="19">
        <v>210</v>
      </c>
      <c r="L3619" s="91"/>
      <c r="M3619" s="19">
        <v>4000</v>
      </c>
      <c r="N3619" s="19" t="s">
        <v>40</v>
      </c>
      <c r="O3619" s="19" t="s">
        <v>50</v>
      </c>
      <c r="P3619" s="266">
        <v>1000</v>
      </c>
      <c r="Q3619" s="19">
        <v>910</v>
      </c>
      <c r="R3619" s="19">
        <f t="shared" si="173"/>
        <v>90</v>
      </c>
      <c r="S3619" s="91">
        <v>1520</v>
      </c>
      <c r="T3619" s="19" t="s">
        <v>42</v>
      </c>
      <c r="U3619" s="102" t="s">
        <v>1181</v>
      </c>
      <c r="V3619" s="253">
        <v>45052</v>
      </c>
      <c r="W3619" s="17" t="s">
        <v>58</v>
      </c>
      <c r="Y3619" s="68">
        <v>45161</v>
      </c>
      <c r="Z3619" s="17" t="s">
        <v>191</v>
      </c>
      <c r="AA3619" s="17" t="s">
        <v>46</v>
      </c>
      <c r="AB3619" s="17" t="s">
        <v>1181</v>
      </c>
      <c r="AC3619" s="102" t="s">
        <v>1185</v>
      </c>
      <c r="AD3619" s="65">
        <v>1433</v>
      </c>
      <c r="AE3619" s="17" t="s">
        <v>390</v>
      </c>
    </row>
    <row r="3620" s="17" customFormat="1" ht="15.6" hidden="1" spans="1:31">
      <c r="A3620" s="17" t="s">
        <v>34</v>
      </c>
      <c r="B3620" s="19">
        <v>917</v>
      </c>
      <c r="C3620" s="222">
        <v>44991</v>
      </c>
      <c r="D3620" s="17" t="s">
        <v>52</v>
      </c>
      <c r="E3620" s="17" t="s">
        <v>53</v>
      </c>
      <c r="F3620" s="17" t="s">
        <v>54</v>
      </c>
      <c r="H3620" s="19" t="s">
        <v>1180</v>
      </c>
      <c r="I3620" s="19"/>
      <c r="J3620" s="17" t="s">
        <v>39</v>
      </c>
      <c r="K3620" s="19">
        <v>220</v>
      </c>
      <c r="L3620" s="91"/>
      <c r="M3620" s="19">
        <v>4000</v>
      </c>
      <c r="N3620" s="19" t="s">
        <v>40</v>
      </c>
      <c r="O3620" s="19" t="s">
        <v>50</v>
      </c>
      <c r="P3620" s="266">
        <v>3000</v>
      </c>
      <c r="Q3620" s="19">
        <f>1115+892+996</f>
        <v>3003</v>
      </c>
      <c r="R3620" s="19">
        <f t="shared" si="173"/>
        <v>-3</v>
      </c>
      <c r="S3620" s="91">
        <v>1520</v>
      </c>
      <c r="T3620" s="19" t="s">
        <v>42</v>
      </c>
      <c r="U3620" s="102" t="s">
        <v>1181</v>
      </c>
      <c r="V3620" s="253">
        <v>45052</v>
      </c>
      <c r="W3620" s="17" t="s">
        <v>58</v>
      </c>
      <c r="Y3620" s="68">
        <v>45161</v>
      </c>
      <c r="Z3620" s="17" t="s">
        <v>191</v>
      </c>
      <c r="AA3620" s="17" t="s">
        <v>46</v>
      </c>
      <c r="AB3620" s="17" t="s">
        <v>1181</v>
      </c>
      <c r="AC3620" s="102" t="s">
        <v>1185</v>
      </c>
      <c r="AD3620" s="65">
        <v>1433</v>
      </c>
      <c r="AE3620" s="17" t="s">
        <v>390</v>
      </c>
    </row>
    <row r="3621" s="17" customFormat="1" ht="15.6" hidden="1" spans="1:31">
      <c r="A3621" s="17" t="s">
        <v>34</v>
      </c>
      <c r="B3621" s="19">
        <v>917</v>
      </c>
      <c r="C3621" s="222">
        <v>44991</v>
      </c>
      <c r="D3621" s="17" t="s">
        <v>52</v>
      </c>
      <c r="E3621" s="17" t="s">
        <v>53</v>
      </c>
      <c r="F3621" s="17" t="s">
        <v>54</v>
      </c>
      <c r="H3621" s="19" t="s">
        <v>1180</v>
      </c>
      <c r="I3621" s="19"/>
      <c r="J3621" s="17" t="s">
        <v>39</v>
      </c>
      <c r="K3621" s="19">
        <v>230</v>
      </c>
      <c r="L3621" s="91"/>
      <c r="M3621" s="19">
        <v>4000</v>
      </c>
      <c r="N3621" s="19" t="s">
        <v>40</v>
      </c>
      <c r="O3621" s="19" t="s">
        <v>50</v>
      </c>
      <c r="P3621" s="266">
        <v>1000</v>
      </c>
      <c r="Q3621" s="19">
        <v>1124</v>
      </c>
      <c r="R3621" s="19">
        <f t="shared" si="173"/>
        <v>-124</v>
      </c>
      <c r="S3621" s="91">
        <v>1520</v>
      </c>
      <c r="T3621" s="19" t="s">
        <v>42</v>
      </c>
      <c r="U3621" s="102" t="s">
        <v>1181</v>
      </c>
      <c r="V3621" s="253">
        <v>45052</v>
      </c>
      <c r="W3621" s="17" t="s">
        <v>58</v>
      </c>
      <c r="Y3621" s="68">
        <v>45161</v>
      </c>
      <c r="Z3621" s="17" t="s">
        <v>191</v>
      </c>
      <c r="AA3621" s="17" t="s">
        <v>46</v>
      </c>
      <c r="AB3621" s="17" t="s">
        <v>1181</v>
      </c>
      <c r="AC3621" s="102" t="s">
        <v>1185</v>
      </c>
      <c r="AD3621" s="65">
        <v>1433</v>
      </c>
      <c r="AE3621" s="17" t="s">
        <v>390</v>
      </c>
    </row>
    <row r="3622" s="17" customFormat="1" ht="15.6" hidden="1" spans="1:31">
      <c r="A3622" s="17" t="s">
        <v>34</v>
      </c>
      <c r="B3622" s="19">
        <v>917</v>
      </c>
      <c r="C3622" s="222">
        <v>44991</v>
      </c>
      <c r="D3622" s="17" t="s">
        <v>52</v>
      </c>
      <c r="E3622" s="17" t="s">
        <v>53</v>
      </c>
      <c r="F3622" s="17" t="s">
        <v>54</v>
      </c>
      <c r="H3622" s="19" t="s">
        <v>1180</v>
      </c>
      <c r="I3622" s="19"/>
      <c r="J3622" s="17" t="s">
        <v>39</v>
      </c>
      <c r="K3622" s="19">
        <v>240</v>
      </c>
      <c r="L3622" s="91"/>
      <c r="M3622" s="19">
        <v>4000</v>
      </c>
      <c r="N3622" s="19" t="s">
        <v>40</v>
      </c>
      <c r="O3622" s="19" t="s">
        <v>50</v>
      </c>
      <c r="P3622" s="266">
        <v>1000</v>
      </c>
      <c r="Q3622" s="19">
        <v>1206</v>
      </c>
      <c r="R3622" s="19">
        <f t="shared" si="173"/>
        <v>-206</v>
      </c>
      <c r="S3622" s="91">
        <v>1520</v>
      </c>
      <c r="T3622" s="19" t="s">
        <v>42</v>
      </c>
      <c r="U3622" s="102" t="s">
        <v>1181</v>
      </c>
      <c r="V3622" s="253">
        <v>45052</v>
      </c>
      <c r="W3622" s="17" t="s">
        <v>58</v>
      </c>
      <c r="Y3622" s="68">
        <v>45161</v>
      </c>
      <c r="Z3622" s="17" t="s">
        <v>191</v>
      </c>
      <c r="AA3622" s="17" t="s">
        <v>46</v>
      </c>
      <c r="AB3622" s="17" t="s">
        <v>1181</v>
      </c>
      <c r="AC3622" s="102" t="s">
        <v>1185</v>
      </c>
      <c r="AD3622" s="65">
        <v>1433</v>
      </c>
      <c r="AE3622" s="17" t="s">
        <v>390</v>
      </c>
    </row>
    <row r="3623" s="17" customFormat="1" ht="15.6" hidden="1" spans="1:31">
      <c r="A3623" s="17" t="s">
        <v>34</v>
      </c>
      <c r="B3623" s="19">
        <v>917</v>
      </c>
      <c r="C3623" s="222">
        <v>44991</v>
      </c>
      <c r="D3623" s="17" t="s">
        <v>52</v>
      </c>
      <c r="E3623" s="17" t="s">
        <v>53</v>
      </c>
      <c r="F3623" s="17" t="s">
        <v>54</v>
      </c>
      <c r="H3623" s="19" t="s">
        <v>1180</v>
      </c>
      <c r="I3623" s="19"/>
      <c r="J3623" s="17" t="s">
        <v>39</v>
      </c>
      <c r="K3623" s="19">
        <v>250</v>
      </c>
      <c r="L3623" s="91"/>
      <c r="M3623" s="19">
        <v>4000</v>
      </c>
      <c r="N3623" s="19" t="s">
        <v>40</v>
      </c>
      <c r="O3623" s="19" t="s">
        <v>50</v>
      </c>
      <c r="P3623" s="266">
        <v>3000</v>
      </c>
      <c r="Q3623" s="19">
        <v>1755</v>
      </c>
      <c r="R3623" s="19">
        <f t="shared" si="173"/>
        <v>1245</v>
      </c>
      <c r="S3623" s="91">
        <v>1520</v>
      </c>
      <c r="T3623" s="19" t="s">
        <v>42</v>
      </c>
      <c r="U3623" s="102" t="s">
        <v>1181</v>
      </c>
      <c r="V3623" s="253">
        <v>45052</v>
      </c>
      <c r="W3623" s="17" t="s">
        <v>58</v>
      </c>
      <c r="Y3623" s="68">
        <v>45161</v>
      </c>
      <c r="Z3623" s="17" t="s">
        <v>191</v>
      </c>
      <c r="AA3623" s="17" t="s">
        <v>46</v>
      </c>
      <c r="AB3623" s="17" t="s">
        <v>1182</v>
      </c>
      <c r="AC3623" s="102" t="s">
        <v>1183</v>
      </c>
      <c r="AD3623" s="65">
        <v>1457</v>
      </c>
      <c r="AE3623" s="17" t="s">
        <v>390</v>
      </c>
    </row>
    <row r="3624" s="17" customFormat="1" ht="15.6" hidden="1" spans="1:31">
      <c r="A3624" s="17" t="s">
        <v>34</v>
      </c>
      <c r="B3624" s="19">
        <v>917</v>
      </c>
      <c r="C3624" s="222">
        <v>44991</v>
      </c>
      <c r="D3624" s="17" t="s">
        <v>52</v>
      </c>
      <c r="E3624" s="17" t="s">
        <v>53</v>
      </c>
      <c r="F3624" s="17" t="s">
        <v>54</v>
      </c>
      <c r="H3624" s="19" t="s">
        <v>1180</v>
      </c>
      <c r="I3624" s="19"/>
      <c r="J3624" s="17" t="s">
        <v>39</v>
      </c>
      <c r="K3624" s="19">
        <v>260</v>
      </c>
      <c r="L3624" s="91"/>
      <c r="M3624" s="19">
        <v>4000</v>
      </c>
      <c r="N3624" s="19" t="s">
        <v>40</v>
      </c>
      <c r="O3624" s="19" t="s">
        <v>50</v>
      </c>
      <c r="P3624" s="266">
        <v>3000</v>
      </c>
      <c r="Q3624" s="19">
        <v>1150</v>
      </c>
      <c r="R3624" s="19">
        <f t="shared" si="173"/>
        <v>1850</v>
      </c>
      <c r="S3624" s="91">
        <v>1520</v>
      </c>
      <c r="T3624" s="19" t="s">
        <v>42</v>
      </c>
      <c r="U3624" s="102" t="s">
        <v>1181</v>
      </c>
      <c r="V3624" s="253">
        <v>45052</v>
      </c>
      <c r="W3624" s="17" t="s">
        <v>58</v>
      </c>
      <c r="Y3624" s="68">
        <v>45161</v>
      </c>
      <c r="Z3624" s="17" t="s">
        <v>191</v>
      </c>
      <c r="AA3624" s="17" t="s">
        <v>46</v>
      </c>
      <c r="AB3624" s="17" t="s">
        <v>1182</v>
      </c>
      <c r="AC3624" s="102" t="s">
        <v>1183</v>
      </c>
      <c r="AD3624" s="65">
        <v>1457</v>
      </c>
      <c r="AE3624" s="17" t="s">
        <v>390</v>
      </c>
    </row>
    <row r="3625" s="17" customFormat="1" ht="15.6" hidden="1" spans="1:31">
      <c r="A3625" s="17" t="s">
        <v>34</v>
      </c>
      <c r="B3625" s="19">
        <v>917</v>
      </c>
      <c r="C3625" s="222">
        <v>44991</v>
      </c>
      <c r="D3625" s="17" t="s">
        <v>52</v>
      </c>
      <c r="E3625" s="17" t="s">
        <v>53</v>
      </c>
      <c r="F3625" s="17" t="s">
        <v>54</v>
      </c>
      <c r="H3625" s="19" t="s">
        <v>1180</v>
      </c>
      <c r="I3625" s="19"/>
      <c r="J3625" s="17" t="s">
        <v>39</v>
      </c>
      <c r="K3625" s="19">
        <v>270</v>
      </c>
      <c r="L3625" s="91"/>
      <c r="M3625" s="19">
        <v>4000</v>
      </c>
      <c r="N3625" s="19" t="s">
        <v>40</v>
      </c>
      <c r="O3625" s="19" t="s">
        <v>50</v>
      </c>
      <c r="P3625" s="266">
        <v>2000</v>
      </c>
      <c r="Q3625" s="19">
        <v>2166</v>
      </c>
      <c r="R3625" s="19">
        <f t="shared" si="173"/>
        <v>-166</v>
      </c>
      <c r="S3625" s="91">
        <v>1520</v>
      </c>
      <c r="T3625" s="19" t="s">
        <v>42</v>
      </c>
      <c r="U3625" s="102" t="s">
        <v>1181</v>
      </c>
      <c r="V3625" s="253">
        <v>45052</v>
      </c>
      <c r="W3625" s="17" t="s">
        <v>58</v>
      </c>
      <c r="Y3625" s="68">
        <v>45161</v>
      </c>
      <c r="Z3625" s="17" t="s">
        <v>191</v>
      </c>
      <c r="AA3625" s="17" t="s">
        <v>46</v>
      </c>
      <c r="AB3625" s="17" t="s">
        <v>1181</v>
      </c>
      <c r="AC3625" s="102" t="s">
        <v>1185</v>
      </c>
      <c r="AD3625" s="65">
        <v>1433</v>
      </c>
      <c r="AE3625" s="17" t="s">
        <v>390</v>
      </c>
    </row>
    <row r="3626" s="17" customFormat="1" ht="15.6" hidden="1" spans="1:31">
      <c r="A3626" s="17" t="s">
        <v>34</v>
      </c>
      <c r="B3626" s="19">
        <v>917</v>
      </c>
      <c r="C3626" s="222">
        <v>44991</v>
      </c>
      <c r="D3626" s="17" t="s">
        <v>52</v>
      </c>
      <c r="E3626" s="17" t="s">
        <v>53</v>
      </c>
      <c r="F3626" s="17" t="s">
        <v>54</v>
      </c>
      <c r="H3626" s="19" t="s">
        <v>1180</v>
      </c>
      <c r="I3626" s="19"/>
      <c r="J3626" s="17" t="s">
        <v>39</v>
      </c>
      <c r="K3626" s="19">
        <v>280</v>
      </c>
      <c r="L3626" s="91"/>
      <c r="M3626" s="19">
        <v>4000</v>
      </c>
      <c r="N3626" s="19" t="s">
        <v>40</v>
      </c>
      <c r="O3626" s="19" t="s">
        <v>50</v>
      </c>
      <c r="P3626" s="266">
        <v>3000</v>
      </c>
      <c r="Q3626" s="19">
        <f>2030+2036</f>
        <v>4066</v>
      </c>
      <c r="R3626" s="19">
        <f t="shared" si="173"/>
        <v>-1066</v>
      </c>
      <c r="S3626" s="91">
        <v>1520</v>
      </c>
      <c r="T3626" s="19" t="s">
        <v>42</v>
      </c>
      <c r="U3626" s="102" t="s">
        <v>1181</v>
      </c>
      <c r="V3626" s="253">
        <v>45052</v>
      </c>
      <c r="W3626" s="17" t="s">
        <v>58</v>
      </c>
      <c r="Y3626" s="68">
        <v>45161</v>
      </c>
      <c r="Z3626" s="17" t="s">
        <v>191</v>
      </c>
      <c r="AA3626" s="17" t="s">
        <v>46</v>
      </c>
      <c r="AB3626" s="17" t="s">
        <v>1181</v>
      </c>
      <c r="AC3626" s="102" t="s">
        <v>1185</v>
      </c>
      <c r="AD3626" s="65">
        <v>1433</v>
      </c>
      <c r="AE3626" s="17" t="s">
        <v>390</v>
      </c>
    </row>
    <row r="3627" s="17" customFormat="1" ht="15.6" hidden="1" spans="1:31">
      <c r="A3627" s="17" t="s">
        <v>34</v>
      </c>
      <c r="B3627" s="19">
        <v>917</v>
      </c>
      <c r="C3627" s="222">
        <v>44991</v>
      </c>
      <c r="D3627" s="17" t="s">
        <v>52</v>
      </c>
      <c r="E3627" s="17" t="s">
        <v>53</v>
      </c>
      <c r="F3627" s="17" t="s">
        <v>54</v>
      </c>
      <c r="H3627" s="19" t="s">
        <v>1180</v>
      </c>
      <c r="I3627" s="19"/>
      <c r="J3627" s="17" t="s">
        <v>39</v>
      </c>
      <c r="K3627" s="19">
        <v>290</v>
      </c>
      <c r="L3627" s="91"/>
      <c r="M3627" s="19">
        <v>4000</v>
      </c>
      <c r="N3627" s="19" t="s">
        <v>40</v>
      </c>
      <c r="O3627" s="19" t="s">
        <v>50</v>
      </c>
      <c r="P3627" s="266">
        <v>2000</v>
      </c>
      <c r="Q3627" s="19">
        <v>2788</v>
      </c>
      <c r="R3627" s="19">
        <f t="shared" si="173"/>
        <v>-788</v>
      </c>
      <c r="S3627" s="91">
        <v>1520</v>
      </c>
      <c r="T3627" s="19" t="s">
        <v>42</v>
      </c>
      <c r="U3627" s="102" t="s">
        <v>1181</v>
      </c>
      <c r="V3627" s="253">
        <v>45052</v>
      </c>
      <c r="W3627" s="17" t="s">
        <v>58</v>
      </c>
      <c r="Y3627" s="68">
        <v>45161</v>
      </c>
      <c r="Z3627" s="17" t="s">
        <v>191</v>
      </c>
      <c r="AA3627" s="17" t="s">
        <v>46</v>
      </c>
      <c r="AB3627" s="17" t="s">
        <v>1181</v>
      </c>
      <c r="AC3627" s="102" t="s">
        <v>1185</v>
      </c>
      <c r="AD3627" s="65">
        <v>1433</v>
      </c>
      <c r="AE3627" s="17" t="s">
        <v>390</v>
      </c>
    </row>
    <row r="3628" s="17" customFormat="1" ht="15.6" hidden="1" spans="1:31">
      <c r="A3628" s="17" t="s">
        <v>34</v>
      </c>
      <c r="B3628" s="19">
        <v>917</v>
      </c>
      <c r="C3628" s="222">
        <v>44991</v>
      </c>
      <c r="D3628" s="17" t="s">
        <v>52</v>
      </c>
      <c r="E3628" s="17" t="s">
        <v>53</v>
      </c>
      <c r="F3628" s="17" t="s">
        <v>54</v>
      </c>
      <c r="H3628" s="19" t="s">
        <v>1180</v>
      </c>
      <c r="I3628" s="19"/>
      <c r="J3628" s="17" t="s">
        <v>39</v>
      </c>
      <c r="K3628" s="19">
        <v>300</v>
      </c>
      <c r="L3628" s="91"/>
      <c r="M3628" s="19">
        <v>4000</v>
      </c>
      <c r="N3628" s="19" t="s">
        <v>40</v>
      </c>
      <c r="O3628" s="19" t="s">
        <v>50</v>
      </c>
      <c r="P3628" s="266">
        <v>2000</v>
      </c>
      <c r="Q3628" s="19">
        <v>2578</v>
      </c>
      <c r="R3628" s="19">
        <f t="shared" si="173"/>
        <v>-578</v>
      </c>
      <c r="S3628" s="91">
        <v>1520</v>
      </c>
      <c r="T3628" s="19" t="s">
        <v>42</v>
      </c>
      <c r="U3628" s="102" t="s">
        <v>1181</v>
      </c>
      <c r="V3628" s="253">
        <v>45052</v>
      </c>
      <c r="W3628" s="17" t="s">
        <v>58</v>
      </c>
      <c r="Y3628" s="68">
        <v>45161</v>
      </c>
      <c r="Z3628" s="17" t="s">
        <v>191</v>
      </c>
      <c r="AA3628" s="17" t="s">
        <v>46</v>
      </c>
      <c r="AB3628" s="17" t="s">
        <v>1181</v>
      </c>
      <c r="AC3628" s="102" t="s">
        <v>1185</v>
      </c>
      <c r="AD3628" s="65">
        <v>1433</v>
      </c>
      <c r="AE3628" s="17" t="s">
        <v>390</v>
      </c>
    </row>
    <row r="3629" s="17" customFormat="1" ht="15.6" hidden="1" spans="1:31">
      <c r="A3629" s="17" t="s">
        <v>34</v>
      </c>
      <c r="B3629" s="19">
        <v>917</v>
      </c>
      <c r="C3629" s="222">
        <v>44991</v>
      </c>
      <c r="D3629" s="17" t="s">
        <v>52</v>
      </c>
      <c r="E3629" s="17" t="s">
        <v>53</v>
      </c>
      <c r="F3629" s="17" t="s">
        <v>54</v>
      </c>
      <c r="H3629" s="19" t="s">
        <v>1180</v>
      </c>
      <c r="I3629" s="19"/>
      <c r="J3629" s="17" t="s">
        <v>39</v>
      </c>
      <c r="K3629" s="19">
        <v>310</v>
      </c>
      <c r="L3629" s="91"/>
      <c r="M3629" s="19">
        <v>4000</v>
      </c>
      <c r="N3629" s="19" t="s">
        <v>40</v>
      </c>
      <c r="O3629" s="19" t="s">
        <v>50</v>
      </c>
      <c r="P3629" s="266">
        <v>4000</v>
      </c>
      <c r="Q3629" s="19">
        <f>2744+2674</f>
        <v>5418</v>
      </c>
      <c r="R3629" s="19">
        <f t="shared" si="173"/>
        <v>-1418</v>
      </c>
      <c r="S3629" s="91">
        <v>1525</v>
      </c>
      <c r="T3629" s="19" t="s">
        <v>42</v>
      </c>
      <c r="U3629" s="102" t="s">
        <v>1181</v>
      </c>
      <c r="V3629" s="253">
        <v>45052</v>
      </c>
      <c r="W3629" s="17" t="s">
        <v>58</v>
      </c>
      <c r="Y3629" s="68">
        <v>45161</v>
      </c>
      <c r="Z3629" s="17" t="s">
        <v>191</v>
      </c>
      <c r="AA3629" s="17" t="s">
        <v>46</v>
      </c>
      <c r="AB3629" s="17" t="s">
        <v>1181</v>
      </c>
      <c r="AC3629" s="102" t="s">
        <v>1185</v>
      </c>
      <c r="AD3629" s="65">
        <v>1433</v>
      </c>
      <c r="AE3629" s="17" t="s">
        <v>390</v>
      </c>
    </row>
    <row r="3630" s="17" customFormat="1" ht="15.6" hidden="1" spans="1:31">
      <c r="A3630" s="17" t="s">
        <v>34</v>
      </c>
      <c r="B3630" s="19">
        <v>917</v>
      </c>
      <c r="C3630" s="222">
        <v>44991</v>
      </c>
      <c r="D3630" s="17" t="s">
        <v>52</v>
      </c>
      <c r="E3630" s="17" t="s">
        <v>53</v>
      </c>
      <c r="F3630" s="17" t="s">
        <v>54</v>
      </c>
      <c r="H3630" s="19" t="s">
        <v>1180</v>
      </c>
      <c r="I3630" s="19"/>
      <c r="J3630" s="17" t="s">
        <v>39</v>
      </c>
      <c r="K3630" s="19">
        <v>330</v>
      </c>
      <c r="L3630" s="91"/>
      <c r="M3630" s="19">
        <v>4000</v>
      </c>
      <c r="N3630" s="19" t="s">
        <v>40</v>
      </c>
      <c r="O3630" s="19" t="s">
        <v>50</v>
      </c>
      <c r="P3630" s="266">
        <v>4000</v>
      </c>
      <c r="Q3630" s="19">
        <f>2662+2514</f>
        <v>5176</v>
      </c>
      <c r="R3630" s="19">
        <f t="shared" si="173"/>
        <v>-1176</v>
      </c>
      <c r="S3630" s="91">
        <v>1525</v>
      </c>
      <c r="T3630" s="19" t="s">
        <v>42</v>
      </c>
      <c r="U3630" s="102" t="s">
        <v>1181</v>
      </c>
      <c r="V3630" s="253">
        <v>45052</v>
      </c>
      <c r="W3630" s="17" t="s">
        <v>58</v>
      </c>
      <c r="Y3630" s="68">
        <v>45161</v>
      </c>
      <c r="Z3630" s="17" t="s">
        <v>191</v>
      </c>
      <c r="AA3630" s="17" t="s">
        <v>46</v>
      </c>
      <c r="AB3630" s="17" t="s">
        <v>1181</v>
      </c>
      <c r="AC3630" s="102" t="s">
        <v>1185</v>
      </c>
      <c r="AD3630" s="65">
        <v>1433</v>
      </c>
      <c r="AE3630" s="17" t="s">
        <v>390</v>
      </c>
    </row>
    <row r="3631" s="17" customFormat="1" ht="15.6" hidden="1" spans="1:31">
      <c r="A3631" s="17" t="s">
        <v>34</v>
      </c>
      <c r="B3631" s="19">
        <v>917</v>
      </c>
      <c r="C3631" s="222">
        <v>44991</v>
      </c>
      <c r="D3631" s="17" t="s">
        <v>52</v>
      </c>
      <c r="E3631" s="17" t="s">
        <v>53</v>
      </c>
      <c r="F3631" s="17" t="s">
        <v>54</v>
      </c>
      <c r="H3631" s="19" t="s">
        <v>1180</v>
      </c>
      <c r="I3631" s="19"/>
      <c r="J3631" s="17" t="s">
        <v>39</v>
      </c>
      <c r="K3631" s="19">
        <v>360</v>
      </c>
      <c r="L3631" s="91"/>
      <c r="M3631" s="19">
        <v>4000</v>
      </c>
      <c r="N3631" s="19" t="s">
        <v>40</v>
      </c>
      <c r="O3631" s="19" t="s">
        <v>50</v>
      </c>
      <c r="P3631" s="266">
        <v>2000</v>
      </c>
      <c r="Q3631" s="19">
        <v>3370</v>
      </c>
      <c r="R3631" s="19">
        <f t="shared" si="173"/>
        <v>-1370</v>
      </c>
      <c r="S3631" s="91">
        <v>1550</v>
      </c>
      <c r="T3631" s="19" t="s">
        <v>42</v>
      </c>
      <c r="U3631" s="102" t="s">
        <v>1181</v>
      </c>
      <c r="V3631" s="253">
        <v>45052</v>
      </c>
      <c r="W3631" s="17" t="s">
        <v>58</v>
      </c>
      <c r="Y3631" s="68">
        <v>45161</v>
      </c>
      <c r="Z3631" s="17" t="s">
        <v>191</v>
      </c>
      <c r="AA3631" s="17" t="s">
        <v>46</v>
      </c>
      <c r="AB3631" s="17" t="s">
        <v>1184</v>
      </c>
      <c r="AC3631" s="217">
        <v>45146</v>
      </c>
      <c r="AD3631" s="65">
        <v>1454</v>
      </c>
      <c r="AE3631" s="17" t="s">
        <v>390</v>
      </c>
    </row>
    <row r="3632" s="17" customFormat="1" ht="15.6" hidden="1" spans="1:31">
      <c r="A3632" s="17" t="s">
        <v>34</v>
      </c>
      <c r="B3632" s="19">
        <v>917</v>
      </c>
      <c r="C3632" s="222">
        <v>44991</v>
      </c>
      <c r="D3632" s="17" t="s">
        <v>52</v>
      </c>
      <c r="E3632" s="17" t="s">
        <v>53</v>
      </c>
      <c r="F3632" s="17" t="s">
        <v>54</v>
      </c>
      <c r="H3632" s="19" t="s">
        <v>1180</v>
      </c>
      <c r="I3632" s="19"/>
      <c r="J3632" s="17" t="s">
        <v>39</v>
      </c>
      <c r="K3632" s="19">
        <v>380</v>
      </c>
      <c r="L3632" s="91"/>
      <c r="M3632" s="19">
        <v>4000</v>
      </c>
      <c r="N3632" s="19" t="s">
        <v>40</v>
      </c>
      <c r="O3632" s="19" t="s">
        <v>50</v>
      </c>
      <c r="P3632" s="266">
        <v>2000</v>
      </c>
      <c r="Q3632" s="19">
        <v>2758</v>
      </c>
      <c r="R3632" s="19">
        <f t="shared" si="173"/>
        <v>-758</v>
      </c>
      <c r="S3632" s="91">
        <v>1550</v>
      </c>
      <c r="T3632" s="19" t="s">
        <v>42</v>
      </c>
      <c r="U3632" s="102" t="s">
        <v>1181</v>
      </c>
      <c r="V3632" s="253">
        <v>45052</v>
      </c>
      <c r="W3632" s="17" t="s">
        <v>58</v>
      </c>
      <c r="Y3632" s="68">
        <v>45161</v>
      </c>
      <c r="Z3632" s="17" t="s">
        <v>191</v>
      </c>
      <c r="AA3632" s="17" t="s">
        <v>46</v>
      </c>
      <c r="AB3632" s="17" t="s">
        <v>1184</v>
      </c>
      <c r="AC3632" s="217">
        <v>45146</v>
      </c>
      <c r="AD3632" s="65">
        <v>1454</v>
      </c>
      <c r="AE3632" s="17" t="s">
        <v>390</v>
      </c>
    </row>
    <row r="3633" s="17" customFormat="1" ht="15.6" hidden="1" spans="1:44">
      <c r="A3633" s="17" t="s">
        <v>34</v>
      </c>
      <c r="B3633" s="19">
        <v>917</v>
      </c>
      <c r="C3633" s="222">
        <v>44991</v>
      </c>
      <c r="D3633" s="17" t="s">
        <v>52</v>
      </c>
      <c r="E3633" s="17" t="s">
        <v>53</v>
      </c>
      <c r="F3633" s="17" t="s">
        <v>54</v>
      </c>
      <c r="H3633" s="19" t="s">
        <v>1180</v>
      </c>
      <c r="I3633" s="19"/>
      <c r="J3633" s="17" t="s">
        <v>39</v>
      </c>
      <c r="K3633" s="19">
        <v>410</v>
      </c>
      <c r="L3633" s="91"/>
      <c r="M3633" s="19">
        <v>4000</v>
      </c>
      <c r="N3633" s="19" t="s">
        <v>40</v>
      </c>
      <c r="O3633" s="19" t="s">
        <v>50</v>
      </c>
      <c r="P3633" s="266">
        <v>5000</v>
      </c>
      <c r="Q3633" s="19">
        <v>5010</v>
      </c>
      <c r="R3633" s="19">
        <f t="shared" si="173"/>
        <v>-10</v>
      </c>
      <c r="S3633" s="91">
        <v>1550</v>
      </c>
      <c r="T3633" s="19" t="s">
        <v>42</v>
      </c>
      <c r="U3633" s="102" t="s">
        <v>1181</v>
      </c>
      <c r="V3633" s="253">
        <v>45052</v>
      </c>
      <c r="W3633" s="17" t="s">
        <v>58</v>
      </c>
      <c r="Y3633" s="68">
        <v>45161</v>
      </c>
      <c r="Z3633" s="17" t="s">
        <v>191</v>
      </c>
      <c r="AA3633" s="17" t="s">
        <v>46</v>
      </c>
      <c r="AB3633" s="17" t="s">
        <v>1184</v>
      </c>
      <c r="AC3633" s="217">
        <v>45146</v>
      </c>
      <c r="AD3633" s="65">
        <v>1454</v>
      </c>
      <c r="AE3633" s="17" t="s">
        <v>390</v>
      </c>
    </row>
    <row r="3634" s="17" customFormat="1" ht="15.6" hidden="1" spans="1:44">
      <c r="A3634" s="17" t="s">
        <v>34</v>
      </c>
      <c r="B3634" s="19">
        <v>917</v>
      </c>
      <c r="C3634" s="222">
        <v>44991</v>
      </c>
      <c r="D3634" s="17" t="s">
        <v>52</v>
      </c>
      <c r="E3634" s="17" t="s">
        <v>53</v>
      </c>
      <c r="F3634" s="17" t="s">
        <v>54</v>
      </c>
      <c r="H3634" s="19" t="s">
        <v>1180</v>
      </c>
      <c r="I3634" s="19"/>
      <c r="J3634" s="17" t="s">
        <v>39</v>
      </c>
      <c r="K3634" s="19">
        <v>430</v>
      </c>
      <c r="L3634" s="91"/>
      <c r="M3634" s="19">
        <v>4000</v>
      </c>
      <c r="N3634" s="19" t="s">
        <v>40</v>
      </c>
      <c r="O3634" s="19" t="s">
        <v>50</v>
      </c>
      <c r="P3634" s="266">
        <v>2000</v>
      </c>
      <c r="Q3634" s="19">
        <v>2172</v>
      </c>
      <c r="R3634" s="19">
        <f t="shared" si="173"/>
        <v>-172</v>
      </c>
      <c r="S3634" s="91">
        <v>1550</v>
      </c>
      <c r="T3634" s="19" t="s">
        <v>42</v>
      </c>
      <c r="U3634" s="102" t="s">
        <v>1181</v>
      </c>
      <c r="V3634" s="253">
        <v>45052</v>
      </c>
      <c r="W3634" s="17" t="s">
        <v>58</v>
      </c>
      <c r="Y3634" s="68">
        <v>45161</v>
      </c>
      <c r="Z3634" s="17" t="s">
        <v>191</v>
      </c>
      <c r="AA3634" s="17" t="s">
        <v>46</v>
      </c>
      <c r="AB3634" s="17" t="s">
        <v>1184</v>
      </c>
      <c r="AC3634" s="217">
        <v>45146</v>
      </c>
      <c r="AD3634" s="65">
        <v>1454</v>
      </c>
      <c r="AE3634" s="17" t="s">
        <v>390</v>
      </c>
    </row>
    <row r="3635" s="17" customFormat="1" ht="15.6" hidden="1" spans="1:44">
      <c r="A3635" s="17" t="s">
        <v>34</v>
      </c>
      <c r="B3635" s="19">
        <v>917</v>
      </c>
      <c r="C3635" s="222">
        <v>44991</v>
      </c>
      <c r="D3635" s="17" t="s">
        <v>52</v>
      </c>
      <c r="E3635" s="17" t="s">
        <v>53</v>
      </c>
      <c r="F3635" s="17" t="s">
        <v>54</v>
      </c>
      <c r="H3635" s="19" t="s">
        <v>1180</v>
      </c>
      <c r="I3635" s="19"/>
      <c r="J3635" s="17" t="s">
        <v>39</v>
      </c>
      <c r="K3635" s="19">
        <v>460</v>
      </c>
      <c r="L3635" s="91"/>
      <c r="M3635" s="19">
        <v>4000</v>
      </c>
      <c r="N3635" s="19" t="s">
        <v>40</v>
      </c>
      <c r="O3635" s="19" t="s">
        <v>50</v>
      </c>
      <c r="P3635" s="266">
        <v>2000</v>
      </c>
      <c r="Q3635" s="19">
        <v>5300</v>
      </c>
      <c r="R3635" s="19">
        <f t="shared" si="173"/>
        <v>-3300</v>
      </c>
      <c r="S3635" s="91">
        <v>1550</v>
      </c>
      <c r="T3635" s="19" t="s">
        <v>42</v>
      </c>
      <c r="U3635" s="102" t="s">
        <v>1181</v>
      </c>
      <c r="V3635" s="253">
        <v>45052</v>
      </c>
      <c r="W3635" s="17" t="s">
        <v>58</v>
      </c>
      <c r="Y3635" s="68">
        <v>45161</v>
      </c>
      <c r="Z3635" s="17" t="s">
        <v>191</v>
      </c>
      <c r="AA3635" s="17" t="s">
        <v>46</v>
      </c>
      <c r="AB3635" s="17" t="s">
        <v>1184</v>
      </c>
      <c r="AC3635" s="217">
        <v>45146</v>
      </c>
      <c r="AD3635" s="65">
        <v>1454</v>
      </c>
      <c r="AE3635" s="17" t="s">
        <v>390</v>
      </c>
    </row>
    <row r="3636" s="20" customFormat="1" hidden="1" spans="1:44">
      <c r="A3636" s="17" t="s">
        <v>34</v>
      </c>
      <c r="B3636" s="19">
        <v>918</v>
      </c>
      <c r="C3636" s="183">
        <v>45106</v>
      </c>
      <c r="D3636" s="17" t="s">
        <v>137</v>
      </c>
      <c r="E3636" s="17" t="s">
        <v>138</v>
      </c>
      <c r="F3636" s="17" t="s">
        <v>139</v>
      </c>
      <c r="G3636" s="17"/>
      <c r="H3636" s="19">
        <v>1.2738</v>
      </c>
      <c r="I3636" s="19"/>
      <c r="J3636" s="17" t="s">
        <v>49</v>
      </c>
      <c r="K3636" s="19">
        <v>1000</v>
      </c>
      <c r="L3636" s="91">
        <v>50</v>
      </c>
      <c r="M3636" s="19">
        <v>5500</v>
      </c>
      <c r="N3636" s="19" t="s">
        <v>66</v>
      </c>
      <c r="O3636" s="19" t="s">
        <v>141</v>
      </c>
      <c r="P3636" s="286">
        <v>4318</v>
      </c>
      <c r="Q3636" s="19">
        <v>2244</v>
      </c>
      <c r="R3636" s="254"/>
      <c r="S3636" s="91">
        <v>1590</v>
      </c>
      <c r="T3636" s="19" t="s">
        <v>94</v>
      </c>
      <c r="U3636" s="102">
        <v>59427</v>
      </c>
      <c r="V3636" s="101">
        <v>45107</v>
      </c>
      <c r="W3636" s="17" t="s">
        <v>44</v>
      </c>
      <c r="X3636" s="17"/>
      <c r="Y3636" s="68">
        <v>45130</v>
      </c>
      <c r="Z3636" s="17" t="s">
        <v>998</v>
      </c>
      <c r="AA3636" s="17" t="s">
        <v>46</v>
      </c>
      <c r="AB3636" s="17">
        <v>4001380050</v>
      </c>
      <c r="AC3636" s="217">
        <v>45708</v>
      </c>
      <c r="AD3636" s="65">
        <v>1590</v>
      </c>
      <c r="AE3636" s="17" t="s">
        <v>48</v>
      </c>
      <c r="AF3636" s="17"/>
      <c r="AG3636" s="17" t="s">
        <v>1168</v>
      </c>
      <c r="AH3636" s="17"/>
      <c r="AI3636" s="17"/>
      <c r="AJ3636" s="17"/>
      <c r="AK3636" s="17"/>
      <c r="AL3636" s="17"/>
      <c r="AM3636" s="17"/>
      <c r="AN3636" s="17"/>
      <c r="AO3636" s="17"/>
      <c r="AP3636" s="17"/>
      <c r="AQ3636" s="17"/>
      <c r="AR3636" s="17"/>
    </row>
    <row r="3637" s="20" customFormat="1" hidden="1" spans="1:44">
      <c r="A3637" s="17" t="s">
        <v>34</v>
      </c>
      <c r="B3637" s="19">
        <v>918</v>
      </c>
      <c r="C3637" s="183">
        <v>45106</v>
      </c>
      <c r="D3637" s="17" t="s">
        <v>137</v>
      </c>
      <c r="E3637" s="17" t="s">
        <v>138</v>
      </c>
      <c r="F3637" s="17" t="s">
        <v>139</v>
      </c>
      <c r="G3637" s="17"/>
      <c r="H3637" s="19">
        <v>1.2738</v>
      </c>
      <c r="I3637" s="19"/>
      <c r="J3637" s="17" t="s">
        <v>49</v>
      </c>
      <c r="K3637" s="19">
        <v>1000</v>
      </c>
      <c r="L3637" s="91">
        <v>50</v>
      </c>
      <c r="M3637" s="19">
        <v>5500</v>
      </c>
      <c r="N3637" s="19" t="s">
        <v>66</v>
      </c>
      <c r="O3637" s="19" t="s">
        <v>141</v>
      </c>
      <c r="P3637" s="286"/>
      <c r="Q3637" s="19">
        <v>2259</v>
      </c>
      <c r="R3637" s="19">
        <f>+P3636-Q3636-Q3637</f>
        <v>-185</v>
      </c>
      <c r="S3637" s="91">
        <v>1590</v>
      </c>
      <c r="T3637" s="19" t="s">
        <v>94</v>
      </c>
      <c r="U3637" s="102">
        <v>59427</v>
      </c>
      <c r="V3637" s="101">
        <v>45107</v>
      </c>
      <c r="W3637" s="17" t="s">
        <v>44</v>
      </c>
      <c r="X3637" s="17"/>
      <c r="Y3637" s="68">
        <v>45130</v>
      </c>
      <c r="Z3637" s="17" t="s">
        <v>1186</v>
      </c>
      <c r="AA3637" s="17" t="s">
        <v>1187</v>
      </c>
      <c r="AB3637" s="17">
        <v>4001380079</v>
      </c>
      <c r="AC3637" s="217">
        <v>45754</v>
      </c>
      <c r="AD3637" s="65">
        <v>1666</v>
      </c>
      <c r="AE3637" s="17" t="s">
        <v>1188</v>
      </c>
      <c r="AF3637" s="17" t="s">
        <v>1189</v>
      </c>
      <c r="AG3637" s="17" t="s">
        <v>1168</v>
      </c>
      <c r="AH3637" s="17"/>
      <c r="AI3637" s="17"/>
      <c r="AJ3637" s="17"/>
      <c r="AK3637" s="17"/>
      <c r="AL3637" s="17"/>
      <c r="AM3637" s="17"/>
      <c r="AN3637" s="17"/>
      <c r="AO3637" s="17"/>
      <c r="AP3637" s="17"/>
      <c r="AQ3637" s="17"/>
      <c r="AR3637" s="17"/>
    </row>
    <row r="3638" s="20" customFormat="1" hidden="1" spans="1:44">
      <c r="A3638" s="17" t="s">
        <v>34</v>
      </c>
      <c r="B3638" s="19">
        <v>918</v>
      </c>
      <c r="C3638" s="183">
        <v>45106</v>
      </c>
      <c r="D3638" s="17" t="s">
        <v>137</v>
      </c>
      <c r="E3638" s="17" t="s">
        <v>138</v>
      </c>
      <c r="F3638" s="17" t="s">
        <v>139</v>
      </c>
      <c r="G3638" s="17"/>
      <c r="H3638" s="19">
        <v>1.2738</v>
      </c>
      <c r="I3638" s="19"/>
      <c r="J3638" s="17" t="s">
        <v>49</v>
      </c>
      <c r="K3638" s="19">
        <v>2000</v>
      </c>
      <c r="L3638" s="91">
        <v>60</v>
      </c>
      <c r="M3638" s="19">
        <v>3000</v>
      </c>
      <c r="N3638" s="19" t="s">
        <v>66</v>
      </c>
      <c r="O3638" s="19" t="s">
        <v>141</v>
      </c>
      <c r="P3638" s="286">
        <v>5181</v>
      </c>
      <c r="Q3638" s="19">
        <v>2949</v>
      </c>
      <c r="R3638" s="254"/>
      <c r="S3638" s="91">
        <v>1590</v>
      </c>
      <c r="T3638" s="19" t="s">
        <v>94</v>
      </c>
      <c r="U3638" s="102">
        <v>59427</v>
      </c>
      <c r="V3638" s="101">
        <v>45107</v>
      </c>
      <c r="W3638" s="17" t="s">
        <v>44</v>
      </c>
      <c r="X3638" s="17"/>
      <c r="Y3638" s="68">
        <v>45130</v>
      </c>
      <c r="Z3638" s="17" t="s">
        <v>998</v>
      </c>
      <c r="AA3638" s="17" t="s">
        <v>46</v>
      </c>
      <c r="AB3638" s="17">
        <v>4001380050</v>
      </c>
      <c r="AC3638" s="217">
        <v>45708</v>
      </c>
      <c r="AD3638" s="65">
        <v>1590</v>
      </c>
      <c r="AE3638" s="17" t="s">
        <v>48</v>
      </c>
      <c r="AF3638" s="17"/>
      <c r="AG3638" s="17" t="s">
        <v>1168</v>
      </c>
      <c r="AH3638" s="17"/>
      <c r="AI3638" s="17"/>
      <c r="AJ3638" s="17"/>
      <c r="AK3638" s="17"/>
      <c r="AL3638" s="17"/>
      <c r="AM3638" s="17"/>
      <c r="AN3638" s="17"/>
      <c r="AO3638" s="17"/>
      <c r="AP3638" s="17"/>
      <c r="AQ3638" s="17"/>
      <c r="AR3638" s="17"/>
    </row>
    <row r="3639" s="20" customFormat="1" hidden="1" spans="1:44">
      <c r="A3639" s="17" t="s">
        <v>34</v>
      </c>
      <c r="B3639" s="19">
        <v>918</v>
      </c>
      <c r="C3639" s="183">
        <v>45106</v>
      </c>
      <c r="D3639" s="17" t="s">
        <v>137</v>
      </c>
      <c r="E3639" s="17" t="s">
        <v>138</v>
      </c>
      <c r="F3639" s="17" t="s">
        <v>139</v>
      </c>
      <c r="G3639" s="17"/>
      <c r="H3639" s="19">
        <v>1.2738</v>
      </c>
      <c r="I3639" s="19"/>
      <c r="J3639" s="17" t="s">
        <v>49</v>
      </c>
      <c r="K3639" s="19">
        <v>2000</v>
      </c>
      <c r="L3639" s="91">
        <v>60</v>
      </c>
      <c r="M3639" s="19">
        <v>3000</v>
      </c>
      <c r="N3639" s="19" t="s">
        <v>66</v>
      </c>
      <c r="O3639" s="19" t="s">
        <v>141</v>
      </c>
      <c r="P3639" s="286"/>
      <c r="Q3639" s="19">
        <v>2968</v>
      </c>
      <c r="R3639" s="19">
        <f>+P3638-Q3638-Q3639</f>
        <v>-736</v>
      </c>
      <c r="S3639" s="91">
        <v>1590</v>
      </c>
      <c r="T3639" s="19" t="s">
        <v>94</v>
      </c>
      <c r="U3639" s="102">
        <v>59427</v>
      </c>
      <c r="V3639" s="101">
        <v>45107</v>
      </c>
      <c r="W3639" s="17" t="s">
        <v>44</v>
      </c>
      <c r="X3639" s="17"/>
      <c r="Y3639" s="68">
        <v>45130</v>
      </c>
      <c r="Z3639" s="17" t="s">
        <v>1186</v>
      </c>
      <c r="AA3639" s="17" t="s">
        <v>1187</v>
      </c>
      <c r="AB3639" s="17">
        <v>4001380079</v>
      </c>
      <c r="AC3639" s="217">
        <v>45754</v>
      </c>
      <c r="AD3639" s="65">
        <v>1666</v>
      </c>
      <c r="AE3639" s="17" t="s">
        <v>1188</v>
      </c>
      <c r="AF3639" s="17" t="s">
        <v>1189</v>
      </c>
      <c r="AG3639" s="17" t="s">
        <v>1168</v>
      </c>
      <c r="AH3639" s="17"/>
      <c r="AI3639" s="17"/>
      <c r="AJ3639" s="17"/>
      <c r="AK3639" s="17"/>
      <c r="AL3639" s="17"/>
      <c r="AM3639" s="17"/>
      <c r="AN3639" s="17"/>
      <c r="AO3639" s="17"/>
      <c r="AP3639" s="17"/>
      <c r="AQ3639" s="17"/>
      <c r="AR3639" s="17"/>
    </row>
    <row r="3640" s="20" customFormat="1" hidden="1" spans="1:44">
      <c r="A3640" s="17" t="s">
        <v>34</v>
      </c>
      <c r="B3640" s="19">
        <v>918</v>
      </c>
      <c r="C3640" s="183">
        <v>45106</v>
      </c>
      <c r="D3640" s="17" t="s">
        <v>137</v>
      </c>
      <c r="E3640" s="17" t="s">
        <v>138</v>
      </c>
      <c r="F3640" s="17" t="s">
        <v>139</v>
      </c>
      <c r="G3640" s="17"/>
      <c r="H3640" s="19">
        <v>1.2738</v>
      </c>
      <c r="I3640" s="19"/>
      <c r="J3640" s="17" t="s">
        <v>49</v>
      </c>
      <c r="K3640" s="19">
        <v>2000</v>
      </c>
      <c r="L3640" s="91">
        <v>60</v>
      </c>
      <c r="M3640" s="19">
        <v>2955</v>
      </c>
      <c r="N3640" s="19" t="s">
        <v>66</v>
      </c>
      <c r="O3640" s="19" t="s">
        <v>141</v>
      </c>
      <c r="P3640" s="286">
        <v>5181</v>
      </c>
      <c r="Q3640" s="19">
        <v>2950</v>
      </c>
      <c r="R3640" s="21"/>
      <c r="S3640" s="91">
        <v>1590</v>
      </c>
      <c r="T3640" s="19" t="s">
        <v>94</v>
      </c>
      <c r="U3640" s="102">
        <v>59427</v>
      </c>
      <c r="V3640" s="101">
        <v>45107</v>
      </c>
      <c r="W3640" s="17" t="s">
        <v>44</v>
      </c>
      <c r="X3640" s="17"/>
      <c r="Y3640" s="68">
        <v>45130</v>
      </c>
      <c r="Z3640" s="17" t="s">
        <v>998</v>
      </c>
      <c r="AA3640" s="17" t="s">
        <v>46</v>
      </c>
      <c r="AB3640" s="17">
        <v>4001380078</v>
      </c>
      <c r="AC3640" s="217">
        <v>45747</v>
      </c>
      <c r="AD3640" s="65">
        <v>1593</v>
      </c>
      <c r="AE3640" s="17" t="s">
        <v>48</v>
      </c>
      <c r="AF3640" s="17"/>
      <c r="AG3640" s="17" t="s">
        <v>1168</v>
      </c>
      <c r="AH3640" s="17"/>
      <c r="AI3640" s="17"/>
      <c r="AJ3640" s="17"/>
      <c r="AK3640" s="17"/>
      <c r="AL3640" s="17"/>
      <c r="AM3640" s="17"/>
      <c r="AN3640" s="17"/>
      <c r="AO3640" s="17"/>
      <c r="AP3640" s="17"/>
      <c r="AQ3640" s="17"/>
      <c r="AR3640" s="17"/>
    </row>
    <row r="3641" s="20" customFormat="1" hidden="1" spans="1:44">
      <c r="A3641" s="17"/>
      <c r="B3641" s="19">
        <v>918</v>
      </c>
      <c r="C3641" s="183">
        <v>45106</v>
      </c>
      <c r="D3641" s="17" t="s">
        <v>137</v>
      </c>
      <c r="E3641" s="17" t="s">
        <v>138</v>
      </c>
      <c r="F3641" s="17" t="s">
        <v>139</v>
      </c>
      <c r="G3641" s="17"/>
      <c r="H3641" s="19">
        <v>1.2738</v>
      </c>
      <c r="I3641" s="19"/>
      <c r="J3641" s="17" t="s">
        <v>49</v>
      </c>
      <c r="K3641" s="19">
        <v>2000</v>
      </c>
      <c r="L3641" s="91">
        <v>60</v>
      </c>
      <c r="M3641" s="19">
        <v>2955</v>
      </c>
      <c r="N3641" s="19" t="s">
        <v>66</v>
      </c>
      <c r="O3641" s="19" t="s">
        <v>141</v>
      </c>
      <c r="P3641" s="287"/>
      <c r="Q3641" s="98">
        <v>2905</v>
      </c>
      <c r="R3641" s="19">
        <f>+P3640-Q3640-Q3641</f>
        <v>-674</v>
      </c>
      <c r="S3641" s="91">
        <v>1590</v>
      </c>
      <c r="T3641" s="19" t="s">
        <v>94</v>
      </c>
      <c r="U3641" s="102">
        <v>59427</v>
      </c>
      <c r="V3641" s="101">
        <v>45107</v>
      </c>
      <c r="W3641" s="17" t="s">
        <v>44</v>
      </c>
      <c r="X3641" s="17"/>
      <c r="Y3641" s="68">
        <v>45130</v>
      </c>
      <c r="Z3641" s="17" t="s">
        <v>142</v>
      </c>
      <c r="AA3641" s="17" t="s">
        <v>171</v>
      </c>
      <c r="AB3641" s="17"/>
      <c r="AC3641" s="102"/>
      <c r="AD3641" s="65"/>
      <c r="AE3641" s="17" t="s">
        <v>48</v>
      </c>
      <c r="AF3641" s="17"/>
      <c r="AG3641" s="17" t="s">
        <v>1168</v>
      </c>
      <c r="AH3641" s="17"/>
      <c r="AI3641" s="17"/>
      <c r="AJ3641" s="17"/>
      <c r="AK3641" s="17"/>
      <c r="AL3641" s="17"/>
      <c r="AM3641" s="17"/>
      <c r="AN3641" s="17"/>
      <c r="AO3641" s="17"/>
      <c r="AP3641" s="17"/>
      <c r="AQ3641" s="17"/>
      <c r="AR3641" s="17"/>
    </row>
    <row r="3642" s="20" customFormat="1" hidden="1" spans="1:44">
      <c r="A3642" s="17" t="s">
        <v>34</v>
      </c>
      <c r="B3642" s="19">
        <v>918</v>
      </c>
      <c r="C3642" s="183">
        <v>45106</v>
      </c>
      <c r="D3642" s="17" t="s">
        <v>137</v>
      </c>
      <c r="E3642" s="17" t="s">
        <v>138</v>
      </c>
      <c r="F3642" s="17" t="s">
        <v>139</v>
      </c>
      <c r="G3642" s="17"/>
      <c r="H3642" s="19">
        <v>1.2311</v>
      </c>
      <c r="I3642" s="19"/>
      <c r="J3642" s="17" t="s">
        <v>49</v>
      </c>
      <c r="K3642" s="19">
        <v>1000</v>
      </c>
      <c r="L3642" s="91">
        <v>64</v>
      </c>
      <c r="M3642" s="19">
        <v>3302</v>
      </c>
      <c r="N3642" s="19" t="s">
        <v>66</v>
      </c>
      <c r="O3642" s="19" t="s">
        <v>141</v>
      </c>
      <c r="P3642" s="286">
        <v>3266</v>
      </c>
      <c r="Q3642" s="19">
        <v>1693</v>
      </c>
      <c r="R3642" s="254"/>
      <c r="S3642" s="91">
        <v>1390</v>
      </c>
      <c r="T3642" s="19" t="s">
        <v>94</v>
      </c>
      <c r="U3642" s="102">
        <v>59427</v>
      </c>
      <c r="V3642" s="101">
        <v>45107</v>
      </c>
      <c r="W3642" s="17" t="s">
        <v>44</v>
      </c>
      <c r="X3642" s="17"/>
      <c r="Y3642" s="68">
        <v>45130</v>
      </c>
      <c r="Z3642" s="17" t="s">
        <v>998</v>
      </c>
      <c r="AA3642" s="17" t="s">
        <v>46</v>
      </c>
      <c r="AB3642" s="17">
        <v>4001380050</v>
      </c>
      <c r="AC3642" s="217">
        <v>45708</v>
      </c>
      <c r="AD3642" s="65">
        <v>1590</v>
      </c>
      <c r="AE3642" s="17" t="s">
        <v>48</v>
      </c>
      <c r="AF3642" s="288"/>
      <c r="AG3642" s="17" t="s">
        <v>1168</v>
      </c>
      <c r="AH3642" s="17"/>
      <c r="AI3642" s="17"/>
      <c r="AJ3642" s="17"/>
      <c r="AK3642" s="17"/>
      <c r="AL3642" s="17"/>
      <c r="AM3642" s="17"/>
      <c r="AN3642" s="17"/>
      <c r="AO3642" s="17"/>
      <c r="AP3642" s="17"/>
      <c r="AQ3642" s="17"/>
      <c r="AR3642" s="17"/>
    </row>
    <row r="3643" s="20" customFormat="1" hidden="1" spans="1:44">
      <c r="A3643" s="17"/>
      <c r="B3643" s="19">
        <v>918</v>
      </c>
      <c r="C3643" s="183">
        <v>45106</v>
      </c>
      <c r="D3643" s="17" t="s">
        <v>137</v>
      </c>
      <c r="E3643" s="17" t="s">
        <v>138</v>
      </c>
      <c r="F3643" s="17" t="s">
        <v>139</v>
      </c>
      <c r="G3643" s="17"/>
      <c r="H3643" s="19">
        <v>1.2311</v>
      </c>
      <c r="I3643" s="19"/>
      <c r="J3643" s="17" t="s">
        <v>49</v>
      </c>
      <c r="K3643" s="19">
        <v>1010</v>
      </c>
      <c r="L3643" s="91">
        <v>63.5</v>
      </c>
      <c r="M3643" s="19">
        <v>3302</v>
      </c>
      <c r="N3643" s="19" t="s">
        <v>66</v>
      </c>
      <c r="O3643" s="19" t="s">
        <v>141</v>
      </c>
      <c r="P3643" s="286"/>
      <c r="Q3643" s="19">
        <v>1708</v>
      </c>
      <c r="R3643" s="19">
        <f>+P3642-Q3642-Q3643</f>
        <v>-135</v>
      </c>
      <c r="S3643" s="91">
        <v>1390</v>
      </c>
      <c r="T3643" s="19" t="s">
        <v>94</v>
      </c>
      <c r="U3643" s="102">
        <v>59427</v>
      </c>
      <c r="V3643" s="101">
        <v>45107</v>
      </c>
      <c r="W3643" s="17" t="s">
        <v>44</v>
      </c>
      <c r="X3643" s="17"/>
      <c r="Y3643" s="68">
        <v>45130</v>
      </c>
      <c r="Z3643" s="17" t="s">
        <v>142</v>
      </c>
      <c r="AA3643" s="17"/>
      <c r="AB3643" s="17"/>
      <c r="AC3643" s="102"/>
      <c r="AD3643" s="65"/>
      <c r="AE3643" s="17" t="s">
        <v>48</v>
      </c>
      <c r="AF3643" s="288"/>
      <c r="AG3643" s="17" t="s">
        <v>1168</v>
      </c>
      <c r="AH3643" s="17"/>
      <c r="AI3643" s="17"/>
      <c r="AJ3643" s="17"/>
      <c r="AK3643" s="17"/>
      <c r="AL3643" s="17"/>
      <c r="AM3643" s="17"/>
      <c r="AN3643" s="17"/>
      <c r="AO3643" s="17"/>
      <c r="AP3643" s="17"/>
      <c r="AQ3643" s="17"/>
      <c r="AR3643" s="17"/>
    </row>
    <row r="3644" s="20" customFormat="1" hidden="1" spans="1:44">
      <c r="A3644" s="17" t="s">
        <v>34</v>
      </c>
      <c r="B3644" s="19">
        <v>918</v>
      </c>
      <c r="C3644" s="183">
        <v>45106</v>
      </c>
      <c r="D3644" s="17" t="s">
        <v>137</v>
      </c>
      <c r="E3644" s="17" t="s">
        <v>138</v>
      </c>
      <c r="F3644" s="17" t="s">
        <v>139</v>
      </c>
      <c r="G3644" s="17"/>
      <c r="H3644" s="19">
        <v>1.2311</v>
      </c>
      <c r="I3644" s="19"/>
      <c r="J3644" s="17" t="s">
        <v>49</v>
      </c>
      <c r="K3644" s="19">
        <v>1000</v>
      </c>
      <c r="L3644" s="91">
        <v>80</v>
      </c>
      <c r="M3644" s="19">
        <v>4000</v>
      </c>
      <c r="N3644" s="19" t="s">
        <v>66</v>
      </c>
      <c r="O3644" s="19" t="s">
        <v>141</v>
      </c>
      <c r="P3644" s="286">
        <v>5024</v>
      </c>
      <c r="Q3644" s="19">
        <v>2647</v>
      </c>
      <c r="R3644" s="254"/>
      <c r="S3644" s="91">
        <v>1390</v>
      </c>
      <c r="T3644" s="19" t="s">
        <v>94</v>
      </c>
      <c r="U3644" s="102">
        <v>59427</v>
      </c>
      <c r="V3644" s="101">
        <v>45107</v>
      </c>
      <c r="W3644" s="17" t="s">
        <v>44</v>
      </c>
      <c r="X3644" s="17"/>
      <c r="Y3644" s="68">
        <v>45130</v>
      </c>
      <c r="Z3644" s="17" t="s">
        <v>998</v>
      </c>
      <c r="AA3644" s="17" t="s">
        <v>46</v>
      </c>
      <c r="AB3644" s="17">
        <v>4001380050</v>
      </c>
      <c r="AC3644" s="217">
        <v>45708</v>
      </c>
      <c r="AD3644" s="65">
        <v>1590</v>
      </c>
      <c r="AE3644" s="17" t="s">
        <v>147</v>
      </c>
      <c r="AF3644" s="288" t="s">
        <v>1190</v>
      </c>
      <c r="AG3644" s="17" t="s">
        <v>1168</v>
      </c>
      <c r="AH3644" s="17"/>
      <c r="AI3644" s="17"/>
      <c r="AJ3644" s="17"/>
      <c r="AK3644" s="17"/>
      <c r="AL3644" s="17"/>
      <c r="AM3644" s="17"/>
      <c r="AN3644" s="17"/>
      <c r="AO3644" s="17"/>
      <c r="AP3644" s="17"/>
      <c r="AQ3644" s="17"/>
      <c r="AR3644" s="17"/>
    </row>
    <row r="3645" s="20" customFormat="1" hidden="1" spans="1:44">
      <c r="A3645" s="17"/>
      <c r="B3645" s="19">
        <v>918</v>
      </c>
      <c r="C3645" s="183">
        <v>45106</v>
      </c>
      <c r="D3645" s="17" t="s">
        <v>137</v>
      </c>
      <c r="E3645" s="17" t="s">
        <v>138</v>
      </c>
      <c r="F3645" s="17" t="s">
        <v>139</v>
      </c>
      <c r="G3645" s="17"/>
      <c r="H3645" s="19">
        <v>1.2311</v>
      </c>
      <c r="I3645" s="19"/>
      <c r="J3645" s="17" t="s">
        <v>49</v>
      </c>
      <c r="K3645" s="19">
        <v>1000</v>
      </c>
      <c r="L3645" s="91">
        <v>80</v>
      </c>
      <c r="M3645" s="19">
        <v>4000</v>
      </c>
      <c r="N3645" s="19" t="s">
        <v>66</v>
      </c>
      <c r="O3645" s="19" t="s">
        <v>141</v>
      </c>
      <c r="P3645" s="286"/>
      <c r="Q3645" s="19">
        <v>2646</v>
      </c>
      <c r="R3645" s="19">
        <f>+P3644-Q3644-Q3645</f>
        <v>-269</v>
      </c>
      <c r="S3645" s="91">
        <v>1390</v>
      </c>
      <c r="T3645" s="19" t="s">
        <v>94</v>
      </c>
      <c r="U3645" s="102">
        <v>59427</v>
      </c>
      <c r="V3645" s="101">
        <v>45107</v>
      </c>
      <c r="W3645" s="17" t="s">
        <v>44</v>
      </c>
      <c r="X3645" s="17"/>
      <c r="Y3645" s="68">
        <v>45130</v>
      </c>
      <c r="Z3645" s="17" t="s">
        <v>142</v>
      </c>
      <c r="AA3645" s="17"/>
      <c r="AB3645" s="17"/>
      <c r="AC3645" s="102"/>
      <c r="AD3645" s="65"/>
      <c r="AE3645" s="17"/>
      <c r="AF3645" s="288"/>
      <c r="AG3645" s="17" t="s">
        <v>1168</v>
      </c>
      <c r="AH3645" s="17"/>
      <c r="AI3645" s="17"/>
      <c r="AJ3645" s="17"/>
      <c r="AK3645" s="17"/>
      <c r="AL3645" s="17"/>
      <c r="AM3645" s="17"/>
      <c r="AN3645" s="17"/>
      <c r="AO3645" s="17"/>
      <c r="AP3645" s="17"/>
      <c r="AQ3645" s="17"/>
      <c r="AR3645" s="17"/>
    </row>
    <row r="3646" s="20" customFormat="1" hidden="1" spans="1:44">
      <c r="A3646" s="17" t="s">
        <v>34</v>
      </c>
      <c r="B3646" s="19">
        <v>918</v>
      </c>
      <c r="C3646" s="183">
        <v>45106</v>
      </c>
      <c r="D3646" s="17" t="s">
        <v>137</v>
      </c>
      <c r="E3646" s="17" t="s">
        <v>138</v>
      </c>
      <c r="F3646" s="17" t="s">
        <v>139</v>
      </c>
      <c r="G3646" s="17"/>
      <c r="H3646" s="19">
        <v>1.2311</v>
      </c>
      <c r="I3646" s="19"/>
      <c r="J3646" s="17" t="s">
        <v>49</v>
      </c>
      <c r="K3646" s="19">
        <v>1210</v>
      </c>
      <c r="L3646" s="91">
        <v>95</v>
      </c>
      <c r="M3646" s="19">
        <v>3000</v>
      </c>
      <c r="N3646" s="19" t="s">
        <v>66</v>
      </c>
      <c r="O3646" s="19" t="s">
        <v>141</v>
      </c>
      <c r="P3646" s="286">
        <v>10963</v>
      </c>
      <c r="Q3646" s="19">
        <v>2833</v>
      </c>
      <c r="R3646" s="254"/>
      <c r="S3646" s="91">
        <v>1390</v>
      </c>
      <c r="T3646" s="19" t="s">
        <v>94</v>
      </c>
      <c r="U3646" s="102">
        <v>59427</v>
      </c>
      <c r="V3646" s="101">
        <v>45107</v>
      </c>
      <c r="W3646" s="17" t="s">
        <v>44</v>
      </c>
      <c r="X3646" s="17"/>
      <c r="Y3646" s="68">
        <v>45130</v>
      </c>
      <c r="Z3646" s="17" t="s">
        <v>998</v>
      </c>
      <c r="AA3646" s="17" t="s">
        <v>46</v>
      </c>
      <c r="AB3646" s="17">
        <v>4001380050</v>
      </c>
      <c r="AC3646" s="217">
        <v>45708</v>
      </c>
      <c r="AD3646" s="65">
        <v>1590</v>
      </c>
      <c r="AE3646" s="17" t="s">
        <v>147</v>
      </c>
      <c r="AF3646" s="288" t="s">
        <v>1191</v>
      </c>
      <c r="AG3646" s="17" t="s">
        <v>1168</v>
      </c>
      <c r="AH3646" s="17"/>
      <c r="AI3646" s="17"/>
      <c r="AJ3646" s="17"/>
      <c r="AK3646" s="17"/>
      <c r="AL3646" s="17"/>
      <c r="AM3646" s="17"/>
      <c r="AN3646" s="17"/>
      <c r="AO3646" s="17"/>
      <c r="AP3646" s="17"/>
      <c r="AQ3646" s="17"/>
      <c r="AR3646" s="17"/>
    </row>
    <row r="3647" s="20" customFormat="1" hidden="1" spans="1:44">
      <c r="A3647" s="17"/>
      <c r="B3647" s="19">
        <v>918</v>
      </c>
      <c r="C3647" s="183">
        <v>45106</v>
      </c>
      <c r="D3647" s="17" t="s">
        <v>137</v>
      </c>
      <c r="E3647" s="17" t="s">
        <v>138</v>
      </c>
      <c r="F3647" s="17" t="s">
        <v>139</v>
      </c>
      <c r="G3647" s="17"/>
      <c r="H3647" s="19">
        <v>1.2311</v>
      </c>
      <c r="I3647" s="19"/>
      <c r="J3647" s="17" t="s">
        <v>49</v>
      </c>
      <c r="K3647" s="19">
        <v>1210</v>
      </c>
      <c r="L3647" s="91">
        <v>95</v>
      </c>
      <c r="M3647" s="19">
        <v>3000</v>
      </c>
      <c r="N3647" s="19" t="s">
        <v>66</v>
      </c>
      <c r="O3647" s="19" t="s">
        <v>141</v>
      </c>
      <c r="P3647" s="286"/>
      <c r="Q3647" s="19">
        <v>2832</v>
      </c>
      <c r="R3647" s="19"/>
      <c r="S3647" s="91">
        <v>1390</v>
      </c>
      <c r="T3647" s="19" t="s">
        <v>94</v>
      </c>
      <c r="U3647" s="102">
        <v>59427</v>
      </c>
      <c r="V3647" s="101">
        <v>45107</v>
      </c>
      <c r="W3647" s="17" t="s">
        <v>44</v>
      </c>
      <c r="X3647" s="17"/>
      <c r="Y3647" s="68">
        <v>45130</v>
      </c>
      <c r="Z3647" s="17" t="s">
        <v>142</v>
      </c>
      <c r="AA3647" s="17"/>
      <c r="AB3647" s="17"/>
      <c r="AC3647" s="102"/>
      <c r="AD3647" s="65"/>
      <c r="AE3647" s="17"/>
      <c r="AF3647" s="288"/>
      <c r="AG3647" s="17" t="s">
        <v>1168</v>
      </c>
      <c r="AH3647" s="17"/>
      <c r="AI3647" s="17"/>
      <c r="AJ3647" s="17"/>
      <c r="AK3647" s="17"/>
      <c r="AL3647" s="17"/>
      <c r="AM3647" s="17"/>
      <c r="AN3647" s="17"/>
      <c r="AO3647" s="17"/>
      <c r="AP3647" s="17"/>
      <c r="AQ3647" s="17"/>
      <c r="AR3647" s="17"/>
    </row>
    <row r="3648" s="20" customFormat="1" hidden="1" spans="1:44">
      <c r="A3648" s="17"/>
      <c r="B3648" s="19">
        <v>918</v>
      </c>
      <c r="C3648" s="183">
        <v>45106</v>
      </c>
      <c r="D3648" s="17" t="s">
        <v>137</v>
      </c>
      <c r="E3648" s="17" t="s">
        <v>138</v>
      </c>
      <c r="F3648" s="17" t="s">
        <v>139</v>
      </c>
      <c r="G3648" s="17"/>
      <c r="H3648" s="19">
        <v>1.2311</v>
      </c>
      <c r="I3648" s="19"/>
      <c r="J3648" s="17" t="s">
        <v>49</v>
      </c>
      <c r="K3648" s="19">
        <v>1210</v>
      </c>
      <c r="L3648" s="91">
        <v>95</v>
      </c>
      <c r="M3648" s="19">
        <v>3000</v>
      </c>
      <c r="N3648" s="19" t="s">
        <v>66</v>
      </c>
      <c r="O3648" s="19" t="s">
        <v>141</v>
      </c>
      <c r="P3648" s="286"/>
      <c r="Q3648" s="19">
        <v>2949</v>
      </c>
      <c r="R3648" s="19"/>
      <c r="S3648" s="91">
        <v>1390</v>
      </c>
      <c r="T3648" s="19" t="s">
        <v>94</v>
      </c>
      <c r="U3648" s="102">
        <v>59427</v>
      </c>
      <c r="V3648" s="101">
        <v>45107</v>
      </c>
      <c r="W3648" s="17" t="s">
        <v>44</v>
      </c>
      <c r="X3648" s="17"/>
      <c r="Y3648" s="68">
        <v>45130</v>
      </c>
      <c r="Z3648" s="17" t="s">
        <v>142</v>
      </c>
      <c r="AA3648" s="17"/>
      <c r="AB3648" s="17"/>
      <c r="AC3648" s="102"/>
      <c r="AD3648" s="65"/>
      <c r="AE3648" s="17"/>
      <c r="AF3648" s="288"/>
      <c r="AG3648" s="17" t="s">
        <v>1168</v>
      </c>
      <c r="AH3648" s="17"/>
      <c r="AI3648" s="17"/>
      <c r="AJ3648" s="17"/>
      <c r="AK3648" s="17"/>
      <c r="AL3648" s="17"/>
      <c r="AM3648" s="17"/>
      <c r="AN3648" s="17"/>
      <c r="AO3648" s="17"/>
      <c r="AP3648" s="17"/>
      <c r="AQ3648" s="17"/>
      <c r="AR3648" s="17"/>
    </row>
    <row r="3649" s="20" customFormat="1" hidden="1" spans="1:44">
      <c r="A3649" s="17"/>
      <c r="B3649" s="19">
        <v>918</v>
      </c>
      <c r="C3649" s="183">
        <v>45106</v>
      </c>
      <c r="D3649" s="17" t="s">
        <v>137</v>
      </c>
      <c r="E3649" s="17" t="s">
        <v>138</v>
      </c>
      <c r="F3649" s="17" t="s">
        <v>139</v>
      </c>
      <c r="G3649" s="17"/>
      <c r="H3649" s="19">
        <v>1.2311</v>
      </c>
      <c r="I3649" s="19"/>
      <c r="J3649" s="17" t="s">
        <v>49</v>
      </c>
      <c r="K3649" s="19">
        <v>1210</v>
      </c>
      <c r="L3649" s="91">
        <v>95</v>
      </c>
      <c r="M3649" s="19">
        <v>3000</v>
      </c>
      <c r="N3649" s="19" t="s">
        <v>66</v>
      </c>
      <c r="O3649" s="19" t="s">
        <v>141</v>
      </c>
      <c r="P3649" s="286"/>
      <c r="Q3649" s="19">
        <v>2949</v>
      </c>
      <c r="R3649" s="19">
        <f>+P3646-Q3646-Q3647-Q3648-Q3649</f>
        <v>-600</v>
      </c>
      <c r="S3649" s="91">
        <v>1390</v>
      </c>
      <c r="T3649" s="19" t="s">
        <v>94</v>
      </c>
      <c r="U3649" s="102">
        <v>59427</v>
      </c>
      <c r="V3649" s="101">
        <v>45107</v>
      </c>
      <c r="W3649" s="17" t="s">
        <v>44</v>
      </c>
      <c r="X3649" s="17"/>
      <c r="Y3649" s="68">
        <v>45130</v>
      </c>
      <c r="Z3649" s="17" t="s">
        <v>142</v>
      </c>
      <c r="AA3649" s="17"/>
      <c r="AB3649" s="17"/>
      <c r="AC3649" s="102"/>
      <c r="AD3649" s="65"/>
      <c r="AE3649" s="17"/>
      <c r="AF3649" s="288"/>
      <c r="AG3649" s="17" t="s">
        <v>1168</v>
      </c>
      <c r="AH3649" s="17"/>
      <c r="AI3649" s="17"/>
      <c r="AJ3649" s="17"/>
      <c r="AK3649" s="17"/>
      <c r="AL3649" s="17"/>
      <c r="AM3649" s="17"/>
      <c r="AN3649" s="17"/>
      <c r="AO3649" s="17"/>
      <c r="AP3649" s="17"/>
      <c r="AQ3649" s="17"/>
      <c r="AR3649" s="17"/>
    </row>
    <row r="3650" s="20" customFormat="1" hidden="1" spans="1:44">
      <c r="A3650" s="17" t="s">
        <v>34</v>
      </c>
      <c r="B3650" s="19">
        <v>918</v>
      </c>
      <c r="C3650" s="183">
        <v>45106</v>
      </c>
      <c r="D3650" s="17" t="s">
        <v>137</v>
      </c>
      <c r="E3650" s="17" t="s">
        <v>138</v>
      </c>
      <c r="F3650" s="17" t="s">
        <v>139</v>
      </c>
      <c r="G3650" s="17"/>
      <c r="H3650" s="19">
        <v>1.2311</v>
      </c>
      <c r="I3650" s="19"/>
      <c r="J3650" s="17" t="s">
        <v>49</v>
      </c>
      <c r="K3650" s="19">
        <v>1210</v>
      </c>
      <c r="L3650" s="91">
        <v>100</v>
      </c>
      <c r="M3650" s="19">
        <v>3170</v>
      </c>
      <c r="N3650" s="19" t="s">
        <v>66</v>
      </c>
      <c r="O3650" s="19" t="s">
        <v>141</v>
      </c>
      <c r="P3650" s="286">
        <v>11540</v>
      </c>
      <c r="Q3650" s="19">
        <v>3014</v>
      </c>
      <c r="R3650" s="254"/>
      <c r="S3650" s="91">
        <v>1390</v>
      </c>
      <c r="T3650" s="19" t="s">
        <v>94</v>
      </c>
      <c r="U3650" s="102">
        <v>59427</v>
      </c>
      <c r="V3650" s="101">
        <v>45107</v>
      </c>
      <c r="W3650" s="17" t="s">
        <v>44</v>
      </c>
      <c r="X3650" s="17"/>
      <c r="Y3650" s="68">
        <v>45130</v>
      </c>
      <c r="Z3650" s="17" t="s">
        <v>998</v>
      </c>
      <c r="AA3650" s="17" t="s">
        <v>46</v>
      </c>
      <c r="AB3650" s="17">
        <v>4001380050</v>
      </c>
      <c r="AC3650" s="217">
        <v>45708</v>
      </c>
      <c r="AD3650" s="65">
        <v>1590</v>
      </c>
      <c r="AE3650" s="17" t="s">
        <v>147</v>
      </c>
      <c r="AF3650" s="17"/>
      <c r="AG3650" s="17" t="s">
        <v>1168</v>
      </c>
      <c r="AH3650" s="17"/>
      <c r="AI3650" s="17"/>
      <c r="AJ3650" s="17"/>
      <c r="AK3650" s="17"/>
      <c r="AL3650" s="17"/>
      <c r="AM3650" s="17"/>
      <c r="AN3650" s="17"/>
      <c r="AO3650" s="17"/>
      <c r="AP3650" s="17"/>
      <c r="AQ3650" s="17"/>
      <c r="AR3650" s="17"/>
    </row>
    <row r="3651" s="20" customFormat="1" hidden="1" spans="1:44">
      <c r="A3651" s="17"/>
      <c r="B3651" s="19">
        <v>918</v>
      </c>
      <c r="C3651" s="183">
        <v>45106</v>
      </c>
      <c r="D3651" s="17" t="s">
        <v>137</v>
      </c>
      <c r="E3651" s="17" t="s">
        <v>138</v>
      </c>
      <c r="F3651" s="17" t="s">
        <v>139</v>
      </c>
      <c r="G3651" s="17"/>
      <c r="H3651" s="19">
        <v>1.2311</v>
      </c>
      <c r="I3651" s="19"/>
      <c r="J3651" s="17" t="s">
        <v>49</v>
      </c>
      <c r="K3651" s="19">
        <v>1210</v>
      </c>
      <c r="L3651" s="91">
        <v>100</v>
      </c>
      <c r="M3651" s="19">
        <v>3000</v>
      </c>
      <c r="N3651" s="19" t="s">
        <v>66</v>
      </c>
      <c r="O3651" s="19" t="s">
        <v>141</v>
      </c>
      <c r="P3651" s="286"/>
      <c r="Q3651" s="19">
        <v>3041</v>
      </c>
      <c r="R3651" s="19"/>
      <c r="S3651" s="91">
        <v>1390</v>
      </c>
      <c r="T3651" s="19" t="s">
        <v>94</v>
      </c>
      <c r="U3651" s="102">
        <v>59427</v>
      </c>
      <c r="V3651" s="101">
        <v>45107</v>
      </c>
      <c r="W3651" s="17" t="s">
        <v>44</v>
      </c>
      <c r="X3651" s="17"/>
      <c r="Y3651" s="68">
        <v>45130</v>
      </c>
      <c r="Z3651" s="17" t="s">
        <v>142</v>
      </c>
      <c r="AA3651" s="17"/>
      <c r="AB3651" s="17"/>
      <c r="AC3651" s="102"/>
      <c r="AD3651" s="65"/>
      <c r="AE3651" s="17" t="s">
        <v>48</v>
      </c>
      <c r="AF3651" s="17"/>
      <c r="AG3651" s="17" t="s">
        <v>1168</v>
      </c>
      <c r="AH3651" s="17"/>
      <c r="AI3651" s="17"/>
      <c r="AJ3651" s="17"/>
      <c r="AK3651" s="17"/>
      <c r="AL3651" s="17"/>
      <c r="AM3651" s="17"/>
      <c r="AN3651" s="17"/>
      <c r="AO3651" s="17"/>
      <c r="AP3651" s="17"/>
      <c r="AQ3651" s="17"/>
      <c r="AR3651" s="17"/>
    </row>
    <row r="3652" s="20" customFormat="1" hidden="1" spans="1:44">
      <c r="A3652" s="17"/>
      <c r="B3652" s="19">
        <v>918</v>
      </c>
      <c r="C3652" s="183">
        <v>45106</v>
      </c>
      <c r="D3652" s="17" t="s">
        <v>137</v>
      </c>
      <c r="E3652" s="17" t="s">
        <v>138</v>
      </c>
      <c r="F3652" s="17" t="s">
        <v>139</v>
      </c>
      <c r="G3652" s="17"/>
      <c r="H3652" s="19">
        <v>1.2311</v>
      </c>
      <c r="I3652" s="19"/>
      <c r="J3652" s="17" t="s">
        <v>49</v>
      </c>
      <c r="K3652" s="19">
        <v>1210</v>
      </c>
      <c r="L3652" s="91">
        <v>100</v>
      </c>
      <c r="M3652" s="19">
        <v>3000</v>
      </c>
      <c r="N3652" s="19" t="s">
        <v>66</v>
      </c>
      <c r="O3652" s="19" t="s">
        <v>141</v>
      </c>
      <c r="P3652" s="286"/>
      <c r="Q3652" s="19">
        <v>3167</v>
      </c>
      <c r="R3652" s="19"/>
      <c r="S3652" s="91">
        <v>1390</v>
      </c>
      <c r="T3652" s="19" t="s">
        <v>94</v>
      </c>
      <c r="U3652" s="102">
        <v>59427</v>
      </c>
      <c r="V3652" s="101">
        <v>45107</v>
      </c>
      <c r="W3652" s="17" t="s">
        <v>44</v>
      </c>
      <c r="X3652" s="17"/>
      <c r="Y3652" s="68">
        <v>45130</v>
      </c>
      <c r="Z3652" s="17" t="s">
        <v>142</v>
      </c>
      <c r="AA3652" s="17"/>
      <c r="AB3652" s="17"/>
      <c r="AC3652" s="102"/>
      <c r="AD3652" s="65"/>
      <c r="AE3652" s="17" t="s">
        <v>48</v>
      </c>
      <c r="AF3652" s="17"/>
      <c r="AG3652" s="17" t="s">
        <v>1168</v>
      </c>
      <c r="AH3652" s="17"/>
      <c r="AI3652" s="17"/>
      <c r="AJ3652" s="17"/>
      <c r="AK3652" s="17"/>
      <c r="AL3652" s="17"/>
      <c r="AM3652" s="17"/>
      <c r="AN3652" s="17"/>
      <c r="AO3652" s="17"/>
      <c r="AP3652" s="17"/>
      <c r="AQ3652" s="17"/>
      <c r="AR3652" s="17"/>
    </row>
    <row r="3653" s="20" customFormat="1" hidden="1" spans="1:44">
      <c r="A3653" s="17"/>
      <c r="B3653" s="19">
        <v>918</v>
      </c>
      <c r="C3653" s="183">
        <v>45106</v>
      </c>
      <c r="D3653" s="17" t="s">
        <v>137</v>
      </c>
      <c r="E3653" s="17" t="s">
        <v>138</v>
      </c>
      <c r="F3653" s="17" t="s">
        <v>139</v>
      </c>
      <c r="G3653" s="17"/>
      <c r="H3653" s="19">
        <v>1.2311</v>
      </c>
      <c r="I3653" s="19"/>
      <c r="J3653" s="17" t="s">
        <v>49</v>
      </c>
      <c r="K3653" s="19">
        <v>1210</v>
      </c>
      <c r="L3653" s="91">
        <v>100</v>
      </c>
      <c r="M3653" s="19">
        <v>3000</v>
      </c>
      <c r="N3653" s="19" t="s">
        <v>66</v>
      </c>
      <c r="O3653" s="19" t="s">
        <v>141</v>
      </c>
      <c r="P3653" s="286"/>
      <c r="Q3653" s="19">
        <v>3167</v>
      </c>
      <c r="R3653" s="19">
        <f>+P3650-Q3650-Q3651-Q3652-Q3653</f>
        <v>-849</v>
      </c>
      <c r="S3653" s="91">
        <v>1390</v>
      </c>
      <c r="T3653" s="19" t="s">
        <v>94</v>
      </c>
      <c r="U3653" s="102">
        <v>59427</v>
      </c>
      <c r="V3653" s="101">
        <v>45107</v>
      </c>
      <c r="W3653" s="17" t="s">
        <v>44</v>
      </c>
      <c r="X3653" s="17"/>
      <c r="Y3653" s="68">
        <v>45130</v>
      </c>
      <c r="Z3653" s="17" t="s">
        <v>142</v>
      </c>
      <c r="AA3653" s="17"/>
      <c r="AB3653" s="17"/>
      <c r="AC3653" s="102"/>
      <c r="AD3653" s="65"/>
      <c r="AE3653" s="17" t="s">
        <v>48</v>
      </c>
      <c r="AF3653" s="17"/>
      <c r="AG3653" s="17" t="s">
        <v>1168</v>
      </c>
      <c r="AH3653" s="17"/>
      <c r="AI3653" s="17"/>
      <c r="AJ3653" s="17"/>
      <c r="AK3653" s="17"/>
      <c r="AL3653" s="17"/>
      <c r="AM3653" s="17"/>
      <c r="AN3653" s="17"/>
      <c r="AO3653" s="17"/>
      <c r="AP3653" s="17"/>
      <c r="AQ3653" s="17"/>
      <c r="AR3653" s="17"/>
    </row>
    <row r="3654" s="20" customFormat="1" hidden="1" spans="1:44">
      <c r="A3654" s="17"/>
      <c r="B3654" s="19">
        <v>918</v>
      </c>
      <c r="C3654" s="183">
        <v>45106</v>
      </c>
      <c r="D3654" s="17" t="s">
        <v>137</v>
      </c>
      <c r="E3654" s="17" t="s">
        <v>138</v>
      </c>
      <c r="F3654" s="17" t="s">
        <v>139</v>
      </c>
      <c r="G3654" s="17"/>
      <c r="H3654" s="19">
        <v>1.2311</v>
      </c>
      <c r="I3654" s="19"/>
      <c r="J3654" s="17" t="s">
        <v>49</v>
      </c>
      <c r="K3654" s="19">
        <v>2000</v>
      </c>
      <c r="L3654" s="91">
        <v>133.35</v>
      </c>
      <c r="M3654" s="19">
        <v>2160</v>
      </c>
      <c r="N3654" s="19" t="s">
        <v>66</v>
      </c>
      <c r="O3654" s="19" t="s">
        <v>141</v>
      </c>
      <c r="P3654" s="286">
        <v>4510</v>
      </c>
      <c r="Q3654" s="19">
        <v>4573</v>
      </c>
      <c r="R3654" s="19">
        <f t="shared" ref="R3654:R3683" si="174">+P3654-Q3654</f>
        <v>-63</v>
      </c>
      <c r="S3654" s="91">
        <v>1390</v>
      </c>
      <c r="T3654" s="19" t="s">
        <v>94</v>
      </c>
      <c r="U3654" s="102">
        <v>59427</v>
      </c>
      <c r="V3654" s="101">
        <v>45107</v>
      </c>
      <c r="W3654" s="17" t="s">
        <v>44</v>
      </c>
      <c r="X3654" s="17"/>
      <c r="Y3654" s="68">
        <v>45130</v>
      </c>
      <c r="Z3654" s="17" t="s">
        <v>142</v>
      </c>
      <c r="AA3654" s="17"/>
      <c r="AB3654" s="17"/>
      <c r="AC3654" s="102"/>
      <c r="AD3654" s="65"/>
      <c r="AE3654" s="17" t="s">
        <v>48</v>
      </c>
      <c r="AF3654" s="17"/>
      <c r="AG3654" s="17" t="s">
        <v>1168</v>
      </c>
      <c r="AH3654" s="17"/>
      <c r="AI3654" s="17"/>
      <c r="AJ3654" s="17"/>
      <c r="AK3654" s="17"/>
      <c r="AL3654" s="17"/>
      <c r="AM3654" s="17"/>
      <c r="AN3654" s="17"/>
      <c r="AO3654" s="17"/>
      <c r="AP3654" s="17"/>
      <c r="AQ3654" s="17"/>
      <c r="AR3654" s="17"/>
    </row>
    <row r="3655" s="20" customFormat="1" hidden="1" spans="1:44">
      <c r="A3655" s="17"/>
      <c r="B3655" s="19">
        <v>918</v>
      </c>
      <c r="C3655" s="183">
        <v>45106</v>
      </c>
      <c r="D3655" s="17" t="s">
        <v>137</v>
      </c>
      <c r="E3655" s="17" t="s">
        <v>138</v>
      </c>
      <c r="F3655" s="17" t="s">
        <v>139</v>
      </c>
      <c r="G3655" s="17"/>
      <c r="H3655" s="19">
        <v>1.2311</v>
      </c>
      <c r="I3655" s="19"/>
      <c r="J3655" s="17" t="s">
        <v>49</v>
      </c>
      <c r="K3655" s="19">
        <v>2000</v>
      </c>
      <c r="L3655" s="91">
        <v>181.1</v>
      </c>
      <c r="M3655" s="19">
        <v>3450</v>
      </c>
      <c r="N3655" s="19" t="s">
        <v>66</v>
      </c>
      <c r="O3655" s="19" t="s">
        <v>1167</v>
      </c>
      <c r="P3655" s="286">
        <v>9750</v>
      </c>
      <c r="Q3655" s="19">
        <v>8902</v>
      </c>
      <c r="R3655" s="19">
        <f t="shared" si="174"/>
        <v>848</v>
      </c>
      <c r="S3655" s="91">
        <v>1750</v>
      </c>
      <c r="T3655" s="19" t="s">
        <v>94</v>
      </c>
      <c r="U3655" s="102">
        <v>59427</v>
      </c>
      <c r="V3655" s="101">
        <v>45107</v>
      </c>
      <c r="W3655" s="17" t="s">
        <v>44</v>
      </c>
      <c r="X3655" s="17"/>
      <c r="Y3655" s="68">
        <v>45130</v>
      </c>
      <c r="Z3655" s="17" t="s">
        <v>142</v>
      </c>
      <c r="AA3655" s="17"/>
      <c r="AB3655" s="17"/>
      <c r="AC3655" s="102"/>
      <c r="AD3655" s="65"/>
      <c r="AE3655" s="17" t="s">
        <v>48</v>
      </c>
      <c r="AF3655" s="17"/>
      <c r="AG3655" s="17" t="s">
        <v>1168</v>
      </c>
      <c r="AH3655" s="17"/>
      <c r="AI3655" s="17"/>
      <c r="AJ3655" s="17"/>
      <c r="AK3655" s="17"/>
      <c r="AL3655" s="17"/>
      <c r="AM3655" s="17"/>
      <c r="AN3655" s="17"/>
      <c r="AO3655" s="17"/>
      <c r="AP3655" s="17"/>
      <c r="AQ3655" s="17"/>
      <c r="AR3655" s="17"/>
    </row>
    <row r="3656" s="20" customFormat="1" hidden="1" spans="1:44">
      <c r="A3656" s="17"/>
      <c r="B3656" s="19">
        <v>918</v>
      </c>
      <c r="C3656" s="183">
        <v>45106</v>
      </c>
      <c r="D3656" s="17" t="s">
        <v>137</v>
      </c>
      <c r="E3656" s="17" t="s">
        <v>138</v>
      </c>
      <c r="F3656" s="17" t="s">
        <v>139</v>
      </c>
      <c r="G3656" s="17"/>
      <c r="H3656" s="19">
        <v>1.2311</v>
      </c>
      <c r="I3656" s="19"/>
      <c r="J3656" s="17" t="s">
        <v>49</v>
      </c>
      <c r="K3656" s="19">
        <v>2030</v>
      </c>
      <c r="L3656" s="91">
        <v>227.9</v>
      </c>
      <c r="M3656" s="19">
        <v>3350</v>
      </c>
      <c r="N3656" s="19" t="s">
        <v>66</v>
      </c>
      <c r="O3656" s="19" t="s">
        <v>1167</v>
      </c>
      <c r="P3656" s="286">
        <v>12118</v>
      </c>
      <c r="Q3656" s="19">
        <v>12912</v>
      </c>
      <c r="R3656" s="19">
        <f t="shared" si="174"/>
        <v>-794</v>
      </c>
      <c r="S3656" s="91">
        <v>1750</v>
      </c>
      <c r="T3656" s="19" t="s">
        <v>94</v>
      </c>
      <c r="U3656" s="102">
        <v>59427</v>
      </c>
      <c r="V3656" s="101">
        <v>45107</v>
      </c>
      <c r="W3656" s="17" t="s">
        <v>44</v>
      </c>
      <c r="X3656" s="17"/>
      <c r="Y3656" s="68">
        <v>45130</v>
      </c>
      <c r="Z3656" s="17" t="s">
        <v>142</v>
      </c>
      <c r="AA3656" s="17"/>
      <c r="AB3656" s="17"/>
      <c r="AC3656" s="102"/>
      <c r="AD3656" s="65"/>
      <c r="AE3656" s="17" t="s">
        <v>48</v>
      </c>
      <c r="AF3656" s="17"/>
      <c r="AG3656" s="17" t="s">
        <v>1168</v>
      </c>
      <c r="AH3656" s="17"/>
      <c r="AI3656" s="17"/>
      <c r="AJ3656" s="17"/>
      <c r="AK3656" s="17"/>
      <c r="AL3656" s="17"/>
      <c r="AM3656" s="17"/>
      <c r="AN3656" s="17"/>
      <c r="AO3656" s="17"/>
      <c r="AP3656" s="17"/>
      <c r="AQ3656" s="17"/>
      <c r="AR3656" s="17"/>
    </row>
    <row r="3657" s="21" customFormat="1" hidden="1" spans="1:44">
      <c r="A3657" s="17"/>
      <c r="B3657" s="19">
        <v>919</v>
      </c>
      <c r="C3657" s="183">
        <v>45091</v>
      </c>
      <c r="D3657" s="17" t="s">
        <v>35</v>
      </c>
      <c r="E3657" s="17" t="s">
        <v>718</v>
      </c>
      <c r="F3657" s="17" t="s">
        <v>37</v>
      </c>
      <c r="G3657" s="17"/>
      <c r="H3657" s="19">
        <v>1.2344</v>
      </c>
      <c r="I3657" s="19"/>
      <c r="J3657" s="17" t="s">
        <v>39</v>
      </c>
      <c r="K3657" s="19">
        <v>85</v>
      </c>
      <c r="L3657" s="91"/>
      <c r="M3657" s="19"/>
      <c r="N3657" s="19" t="s">
        <v>40</v>
      </c>
      <c r="O3657" s="19" t="s">
        <v>141</v>
      </c>
      <c r="P3657" s="19">
        <v>924</v>
      </c>
      <c r="Q3657" s="19"/>
      <c r="R3657" s="19">
        <f t="shared" si="174"/>
        <v>924</v>
      </c>
      <c r="S3657" s="19">
        <v>4120</v>
      </c>
      <c r="T3657" s="19" t="s">
        <v>42</v>
      </c>
      <c r="U3657" s="102"/>
      <c r="V3657" s="186"/>
      <c r="W3657" s="17" t="s">
        <v>44</v>
      </c>
      <c r="X3657" s="17"/>
      <c r="Y3657" s="68"/>
      <c r="Z3657" s="17" t="s">
        <v>78</v>
      </c>
      <c r="AA3657" s="17" t="s">
        <v>46</v>
      </c>
      <c r="AB3657" s="17"/>
      <c r="AC3657" s="102"/>
      <c r="AD3657" s="65"/>
      <c r="AE3657" s="17" t="s">
        <v>48</v>
      </c>
      <c r="AF3657" s="17" t="s">
        <v>1192</v>
      </c>
      <c r="AG3657" s="17"/>
      <c r="AH3657" s="17"/>
      <c r="AI3657" s="17"/>
      <c r="AJ3657" s="17"/>
      <c r="AK3657" s="17"/>
      <c r="AL3657" s="17"/>
      <c r="AM3657" s="17"/>
      <c r="AN3657" s="17"/>
      <c r="AO3657" s="17"/>
      <c r="AP3657" s="17"/>
      <c r="AQ3657" s="17"/>
      <c r="AR3657" s="17"/>
    </row>
    <row r="3658" s="17" customFormat="1" hidden="1" spans="1:44">
      <c r="A3658" s="17" t="s">
        <v>34</v>
      </c>
      <c r="B3658" s="19">
        <v>920</v>
      </c>
      <c r="C3658" s="183" t="s">
        <v>1185</v>
      </c>
      <c r="D3658" s="17" t="s">
        <v>35</v>
      </c>
      <c r="E3658" s="17" t="s">
        <v>718</v>
      </c>
      <c r="F3658" s="17" t="s">
        <v>37</v>
      </c>
      <c r="H3658" s="19">
        <v>1.2344</v>
      </c>
      <c r="I3658" s="19"/>
      <c r="J3658" s="17" t="s">
        <v>39</v>
      </c>
      <c r="K3658" s="19">
        <v>134</v>
      </c>
      <c r="L3658" s="91"/>
      <c r="M3658" s="19"/>
      <c r="N3658" s="19" t="s">
        <v>40</v>
      </c>
      <c r="O3658" s="19" t="s">
        <v>84</v>
      </c>
      <c r="P3658" s="19">
        <v>6876</v>
      </c>
      <c r="Q3658" s="19">
        <v>6876</v>
      </c>
      <c r="R3658" s="19">
        <f t="shared" si="174"/>
        <v>0</v>
      </c>
      <c r="S3658" s="19">
        <v>4120</v>
      </c>
      <c r="T3658" s="19" t="s">
        <v>42</v>
      </c>
      <c r="U3658" s="102" t="s">
        <v>1193</v>
      </c>
      <c r="V3658" s="186" t="s">
        <v>1194</v>
      </c>
      <c r="W3658" s="17" t="s">
        <v>44</v>
      </c>
      <c r="Y3658" s="68">
        <v>45161</v>
      </c>
      <c r="Z3658" s="17" t="s">
        <v>78</v>
      </c>
      <c r="AA3658" s="17" t="s">
        <v>46</v>
      </c>
      <c r="AB3658" s="17" t="s">
        <v>753</v>
      </c>
      <c r="AC3658" s="102" t="s">
        <v>754</v>
      </c>
      <c r="AD3658" s="65">
        <v>1439</v>
      </c>
      <c r="AE3658" s="17" t="s">
        <v>48</v>
      </c>
    </row>
    <row r="3659" s="17" customFormat="1" hidden="1" spans="1:44">
      <c r="A3659" s="17" t="s">
        <v>34</v>
      </c>
      <c r="B3659" s="19">
        <v>920</v>
      </c>
      <c r="C3659" s="183" t="s">
        <v>1185</v>
      </c>
      <c r="D3659" s="17" t="s">
        <v>35</v>
      </c>
      <c r="E3659" s="17" t="s">
        <v>718</v>
      </c>
      <c r="F3659" s="17" t="s">
        <v>37</v>
      </c>
      <c r="H3659" s="19">
        <v>1.2344</v>
      </c>
      <c r="I3659" s="19"/>
      <c r="J3659" s="17" t="s">
        <v>39</v>
      </c>
      <c r="K3659" s="19">
        <v>164</v>
      </c>
      <c r="L3659" s="91"/>
      <c r="M3659" s="19"/>
      <c r="N3659" s="19" t="s">
        <v>40</v>
      </c>
      <c r="O3659" s="19" t="s">
        <v>84</v>
      </c>
      <c r="P3659" s="19">
        <v>1394</v>
      </c>
      <c r="Q3659" s="19">
        <v>1393</v>
      </c>
      <c r="R3659" s="19">
        <f t="shared" si="174"/>
        <v>1</v>
      </c>
      <c r="S3659" s="19">
        <v>4120</v>
      </c>
      <c r="T3659" s="19" t="s">
        <v>42</v>
      </c>
      <c r="U3659" s="102" t="s">
        <v>1193</v>
      </c>
      <c r="V3659" s="186" t="s">
        <v>1194</v>
      </c>
      <c r="W3659" s="17" t="s">
        <v>44</v>
      </c>
      <c r="Y3659" s="68">
        <v>45161</v>
      </c>
      <c r="Z3659" s="17" t="s">
        <v>78</v>
      </c>
      <c r="AA3659" s="17" t="s">
        <v>46</v>
      </c>
      <c r="AB3659" s="17" t="s">
        <v>753</v>
      </c>
      <c r="AC3659" s="102" t="s">
        <v>754</v>
      </c>
      <c r="AD3659" s="65">
        <v>1439</v>
      </c>
      <c r="AE3659" s="17" t="s">
        <v>48</v>
      </c>
    </row>
    <row r="3660" s="17" customFormat="1" hidden="1" spans="1:44">
      <c r="A3660" s="17" t="s">
        <v>34</v>
      </c>
      <c r="B3660" s="19">
        <v>920</v>
      </c>
      <c r="C3660" s="183" t="s">
        <v>1185</v>
      </c>
      <c r="D3660" s="17" t="s">
        <v>35</v>
      </c>
      <c r="E3660" s="17" t="s">
        <v>718</v>
      </c>
      <c r="F3660" s="17" t="s">
        <v>37</v>
      </c>
      <c r="H3660" s="19">
        <v>1.2344</v>
      </c>
      <c r="I3660" s="19"/>
      <c r="J3660" s="17" t="s">
        <v>39</v>
      </c>
      <c r="K3660" s="19">
        <v>184</v>
      </c>
      <c r="L3660" s="91"/>
      <c r="M3660" s="19"/>
      <c r="N3660" s="19" t="s">
        <v>40</v>
      </c>
      <c r="O3660" s="19" t="s">
        <v>84</v>
      </c>
      <c r="P3660" s="19">
        <v>922</v>
      </c>
      <c r="Q3660" s="19">
        <v>922</v>
      </c>
      <c r="R3660" s="19">
        <f t="shared" si="174"/>
        <v>0</v>
      </c>
      <c r="S3660" s="19">
        <v>4120</v>
      </c>
      <c r="T3660" s="19" t="s">
        <v>42</v>
      </c>
      <c r="U3660" s="102" t="s">
        <v>1193</v>
      </c>
      <c r="V3660" s="186" t="s">
        <v>1194</v>
      </c>
      <c r="W3660" s="17" t="s">
        <v>44</v>
      </c>
      <c r="Y3660" s="68">
        <v>45161</v>
      </c>
      <c r="Z3660" s="17" t="s">
        <v>78</v>
      </c>
      <c r="AA3660" s="17" t="s">
        <v>46</v>
      </c>
      <c r="AB3660" s="17" t="s">
        <v>753</v>
      </c>
      <c r="AC3660" s="102" t="s">
        <v>754</v>
      </c>
      <c r="AD3660" s="65">
        <v>1439</v>
      </c>
      <c r="AE3660" s="17" t="s">
        <v>48</v>
      </c>
    </row>
    <row r="3661" s="17" customFormat="1" hidden="1" spans="1:44">
      <c r="A3661" s="17" t="s">
        <v>34</v>
      </c>
      <c r="B3661" s="19">
        <v>920</v>
      </c>
      <c r="C3661" s="183" t="s">
        <v>1185</v>
      </c>
      <c r="D3661" s="17" t="s">
        <v>35</v>
      </c>
      <c r="E3661" s="17" t="s">
        <v>718</v>
      </c>
      <c r="F3661" s="17" t="s">
        <v>37</v>
      </c>
      <c r="H3661" s="19">
        <v>1.2344</v>
      </c>
      <c r="I3661" s="19"/>
      <c r="J3661" s="17" t="s">
        <v>39</v>
      </c>
      <c r="K3661" s="19">
        <v>194</v>
      </c>
      <c r="L3661" s="91"/>
      <c r="M3661" s="19"/>
      <c r="N3661" s="19" t="s">
        <v>40</v>
      </c>
      <c r="O3661" s="19" t="s">
        <v>84</v>
      </c>
      <c r="P3661" s="19">
        <v>4678</v>
      </c>
      <c r="Q3661" s="19">
        <v>4678</v>
      </c>
      <c r="R3661" s="19">
        <f t="shared" si="174"/>
        <v>0</v>
      </c>
      <c r="S3661" s="19">
        <v>4120</v>
      </c>
      <c r="T3661" s="19" t="s">
        <v>42</v>
      </c>
      <c r="U3661" s="102" t="s">
        <v>1193</v>
      </c>
      <c r="V3661" s="186" t="s">
        <v>1194</v>
      </c>
      <c r="W3661" s="17" t="s">
        <v>44</v>
      </c>
      <c r="Y3661" s="68">
        <v>45161</v>
      </c>
      <c r="Z3661" s="17" t="s">
        <v>78</v>
      </c>
      <c r="AA3661" s="17" t="s">
        <v>46</v>
      </c>
      <c r="AB3661" s="17" t="s">
        <v>753</v>
      </c>
      <c r="AC3661" s="102" t="s">
        <v>754</v>
      </c>
      <c r="AD3661" s="65">
        <v>1439</v>
      </c>
      <c r="AE3661" s="17" t="s">
        <v>48</v>
      </c>
    </row>
    <row r="3662" s="17" customFormat="1" hidden="1" spans="1:44">
      <c r="A3662" s="17" t="s">
        <v>34</v>
      </c>
      <c r="B3662" s="19">
        <v>921</v>
      </c>
      <c r="C3662" s="183" t="s">
        <v>1155</v>
      </c>
      <c r="D3662" s="17" t="s">
        <v>52</v>
      </c>
      <c r="E3662" s="17" t="s">
        <v>220</v>
      </c>
      <c r="F3662" s="17" t="s">
        <v>54</v>
      </c>
      <c r="H3662" s="19">
        <v>1.2344</v>
      </c>
      <c r="I3662" s="19"/>
      <c r="J3662" s="17" t="s">
        <v>39</v>
      </c>
      <c r="K3662" s="19">
        <v>250</v>
      </c>
      <c r="L3662" s="91"/>
      <c r="M3662" s="19">
        <v>3000</v>
      </c>
      <c r="N3662" s="19" t="s">
        <v>40</v>
      </c>
      <c r="O3662" s="19" t="s">
        <v>50</v>
      </c>
      <c r="P3662" s="19">
        <v>13000</v>
      </c>
      <c r="Q3662" s="19">
        <v>14699</v>
      </c>
      <c r="R3662" s="19">
        <f t="shared" si="174"/>
        <v>-1699</v>
      </c>
      <c r="S3662" s="19">
        <v>2355</v>
      </c>
      <c r="T3662" s="19" t="s">
        <v>42</v>
      </c>
      <c r="U3662" s="102" t="s">
        <v>1195</v>
      </c>
      <c r="V3662" s="186" t="s">
        <v>1155</v>
      </c>
      <c r="W3662" s="17" t="s">
        <v>44</v>
      </c>
      <c r="Y3662" s="68">
        <v>45130</v>
      </c>
      <c r="Z3662" s="17" t="s">
        <v>207</v>
      </c>
      <c r="AA3662" s="17" t="s">
        <v>46</v>
      </c>
      <c r="AB3662" s="17" t="s">
        <v>1196</v>
      </c>
      <c r="AC3662" s="217">
        <v>44934</v>
      </c>
      <c r="AD3662" s="65">
        <v>1446</v>
      </c>
      <c r="AE3662" s="17" t="s">
        <v>223</v>
      </c>
      <c r="AF3662" s="17" t="s">
        <v>1197</v>
      </c>
    </row>
    <row r="3663" s="17" customFormat="1" hidden="1" spans="1:44">
      <c r="A3663" s="17" t="s">
        <v>34</v>
      </c>
      <c r="B3663" s="19">
        <v>921</v>
      </c>
      <c r="C3663" s="183" t="s">
        <v>1155</v>
      </c>
      <c r="D3663" s="17" t="s">
        <v>52</v>
      </c>
      <c r="E3663" s="17" t="s">
        <v>220</v>
      </c>
      <c r="F3663" s="17" t="s">
        <v>54</v>
      </c>
      <c r="H3663" s="19">
        <v>1.2344</v>
      </c>
      <c r="I3663" s="19"/>
      <c r="J3663" s="17" t="s">
        <v>39</v>
      </c>
      <c r="K3663" s="19">
        <v>280</v>
      </c>
      <c r="L3663" s="91"/>
      <c r="M3663" s="19">
        <v>3000</v>
      </c>
      <c r="N3663" s="19" t="s">
        <v>40</v>
      </c>
      <c r="O3663" s="19" t="s">
        <v>50</v>
      </c>
      <c r="P3663" s="19">
        <v>11000</v>
      </c>
      <c r="Q3663" s="19">
        <v>9449</v>
      </c>
      <c r="R3663" s="19">
        <f t="shared" si="174"/>
        <v>1551</v>
      </c>
      <c r="S3663" s="19">
        <v>2355</v>
      </c>
      <c r="T3663" s="19" t="s">
        <v>42</v>
      </c>
      <c r="U3663" s="102" t="s">
        <v>1195</v>
      </c>
      <c r="V3663" s="186" t="s">
        <v>1155</v>
      </c>
      <c r="W3663" s="17" t="s">
        <v>44</v>
      </c>
      <c r="Y3663" s="68">
        <v>45130</v>
      </c>
      <c r="Z3663" s="17" t="s">
        <v>207</v>
      </c>
      <c r="AA3663" s="17" t="s">
        <v>46</v>
      </c>
      <c r="AB3663" s="17" t="s">
        <v>1196</v>
      </c>
      <c r="AC3663" s="217">
        <v>44934</v>
      </c>
      <c r="AD3663" s="65">
        <v>1446</v>
      </c>
      <c r="AE3663" s="17" t="s">
        <v>223</v>
      </c>
      <c r="AF3663" s="17" t="s">
        <v>1197</v>
      </c>
    </row>
    <row r="3664" s="17" customFormat="1" hidden="1" spans="1:44">
      <c r="A3664" s="17" t="s">
        <v>34</v>
      </c>
      <c r="B3664" s="19">
        <v>921</v>
      </c>
      <c r="C3664" s="183" t="s">
        <v>1155</v>
      </c>
      <c r="D3664" s="17" t="s">
        <v>52</v>
      </c>
      <c r="E3664" s="17" t="s">
        <v>220</v>
      </c>
      <c r="F3664" s="17" t="s">
        <v>54</v>
      </c>
      <c r="H3664" s="19">
        <v>1.2344</v>
      </c>
      <c r="I3664" s="19"/>
      <c r="J3664" s="17" t="s">
        <v>39</v>
      </c>
      <c r="K3664" s="19">
        <v>330</v>
      </c>
      <c r="L3664" s="91"/>
      <c r="M3664" s="19">
        <v>3000</v>
      </c>
      <c r="N3664" s="19" t="s">
        <v>40</v>
      </c>
      <c r="O3664" s="19" t="s">
        <v>50</v>
      </c>
      <c r="P3664" s="19">
        <v>6000</v>
      </c>
      <c r="Q3664" s="19">
        <v>5996</v>
      </c>
      <c r="R3664" s="19">
        <f t="shared" si="174"/>
        <v>4</v>
      </c>
      <c r="S3664" s="19">
        <v>2355</v>
      </c>
      <c r="T3664" s="19" t="s">
        <v>42</v>
      </c>
      <c r="U3664" s="102" t="s">
        <v>1195</v>
      </c>
      <c r="V3664" s="186" t="s">
        <v>1155</v>
      </c>
      <c r="W3664" s="17" t="s">
        <v>44</v>
      </c>
      <c r="Y3664" s="68">
        <v>45130</v>
      </c>
      <c r="Z3664" s="17" t="s">
        <v>207</v>
      </c>
      <c r="AA3664" s="17" t="s">
        <v>46</v>
      </c>
      <c r="AB3664" s="17" t="s">
        <v>1196</v>
      </c>
      <c r="AC3664" s="217">
        <v>44934</v>
      </c>
      <c r="AD3664" s="65">
        <v>1446</v>
      </c>
      <c r="AE3664" s="17" t="s">
        <v>223</v>
      </c>
      <c r="AF3664" s="17" t="s">
        <v>1197</v>
      </c>
    </row>
    <row r="3665" s="17" customFormat="1" hidden="1" spans="1:32">
      <c r="A3665" s="17" t="s">
        <v>34</v>
      </c>
      <c r="B3665" s="19">
        <v>921</v>
      </c>
      <c r="C3665" s="183" t="s">
        <v>1155</v>
      </c>
      <c r="D3665" s="17" t="s">
        <v>52</v>
      </c>
      <c r="E3665" s="17" t="s">
        <v>220</v>
      </c>
      <c r="F3665" s="17" t="s">
        <v>54</v>
      </c>
      <c r="H3665" s="19">
        <v>1.2344</v>
      </c>
      <c r="I3665" s="19"/>
      <c r="J3665" s="17" t="s">
        <v>39</v>
      </c>
      <c r="K3665" s="19">
        <v>360</v>
      </c>
      <c r="L3665" s="91"/>
      <c r="M3665" s="19">
        <v>3000</v>
      </c>
      <c r="N3665" s="19" t="s">
        <v>40</v>
      </c>
      <c r="O3665" s="19" t="s">
        <v>50</v>
      </c>
      <c r="P3665" s="19">
        <v>3000</v>
      </c>
      <c r="Q3665" s="19">
        <v>3033</v>
      </c>
      <c r="R3665" s="19">
        <f t="shared" si="174"/>
        <v>-33</v>
      </c>
      <c r="S3665" s="19">
        <v>2555</v>
      </c>
      <c r="T3665" s="19" t="s">
        <v>42</v>
      </c>
      <c r="U3665" s="102" t="s">
        <v>1195</v>
      </c>
      <c r="V3665" s="186" t="s">
        <v>1155</v>
      </c>
      <c r="W3665" s="17" t="s">
        <v>44</v>
      </c>
      <c r="Y3665" s="68">
        <v>45130</v>
      </c>
      <c r="Z3665" s="17" t="s">
        <v>207</v>
      </c>
      <c r="AA3665" s="17" t="s">
        <v>46</v>
      </c>
      <c r="AB3665" s="17" t="s">
        <v>1196</v>
      </c>
      <c r="AC3665" s="217">
        <v>44934</v>
      </c>
      <c r="AD3665" s="65">
        <v>1446</v>
      </c>
      <c r="AE3665" s="17" t="s">
        <v>223</v>
      </c>
      <c r="AF3665" s="17" t="s">
        <v>1198</v>
      </c>
    </row>
    <row r="3666" s="17" customFormat="1" hidden="1" spans="1:32">
      <c r="A3666" s="17" t="s">
        <v>34</v>
      </c>
      <c r="B3666" s="19">
        <v>921</v>
      </c>
      <c r="C3666" s="183" t="s">
        <v>1155</v>
      </c>
      <c r="D3666" s="17" t="s">
        <v>52</v>
      </c>
      <c r="E3666" s="17" t="s">
        <v>220</v>
      </c>
      <c r="F3666" s="17" t="s">
        <v>54</v>
      </c>
      <c r="H3666" s="19">
        <v>1.2344</v>
      </c>
      <c r="I3666" s="19"/>
      <c r="J3666" s="17" t="s">
        <v>39</v>
      </c>
      <c r="K3666" s="19">
        <v>450</v>
      </c>
      <c r="L3666" s="91"/>
      <c r="M3666" s="19">
        <v>3000</v>
      </c>
      <c r="N3666" s="19" t="s">
        <v>40</v>
      </c>
      <c r="O3666" s="19" t="s">
        <v>50</v>
      </c>
      <c r="P3666" s="19">
        <v>4000</v>
      </c>
      <c r="Q3666" s="19">
        <v>6022</v>
      </c>
      <c r="R3666" s="19">
        <f t="shared" si="174"/>
        <v>-2022</v>
      </c>
      <c r="S3666" s="19">
        <v>2555</v>
      </c>
      <c r="T3666" s="19" t="s">
        <v>42</v>
      </c>
      <c r="U3666" s="102" t="s">
        <v>1195</v>
      </c>
      <c r="V3666" s="186" t="s">
        <v>1155</v>
      </c>
      <c r="W3666" s="17" t="s">
        <v>44</v>
      </c>
      <c r="Y3666" s="68">
        <v>45130</v>
      </c>
      <c r="Z3666" s="17" t="s">
        <v>207</v>
      </c>
      <c r="AA3666" s="17" t="s">
        <v>46</v>
      </c>
      <c r="AB3666" s="17" t="s">
        <v>1196</v>
      </c>
      <c r="AC3666" s="217">
        <v>44934</v>
      </c>
      <c r="AD3666" s="65">
        <v>1446</v>
      </c>
      <c r="AE3666" s="17" t="s">
        <v>223</v>
      </c>
      <c r="AF3666" s="17" t="s">
        <v>1198</v>
      </c>
    </row>
    <row r="3667" s="17" customFormat="1" hidden="1" spans="1:32">
      <c r="A3667" s="17" t="s">
        <v>34</v>
      </c>
      <c r="B3667" s="19">
        <v>922</v>
      </c>
      <c r="C3667" s="183" t="s">
        <v>1155</v>
      </c>
      <c r="D3667" s="17" t="s">
        <v>1199</v>
      </c>
      <c r="E3667" s="17" t="s">
        <v>1200</v>
      </c>
      <c r="F3667" s="17" t="s">
        <v>54</v>
      </c>
      <c r="H3667" s="19" t="s">
        <v>548</v>
      </c>
      <c r="I3667" s="19"/>
      <c r="J3667" s="17" t="s">
        <v>49</v>
      </c>
      <c r="K3667" s="19">
        <v>2000</v>
      </c>
      <c r="L3667" s="91">
        <v>6</v>
      </c>
      <c r="M3667" s="19">
        <v>6000</v>
      </c>
      <c r="N3667" s="19" t="s">
        <v>66</v>
      </c>
      <c r="O3667" s="19" t="s">
        <v>141</v>
      </c>
      <c r="P3667" s="19">
        <v>5652</v>
      </c>
      <c r="Q3667" s="19">
        <v>5652</v>
      </c>
      <c r="R3667" s="19">
        <f t="shared" si="174"/>
        <v>0</v>
      </c>
      <c r="S3667" s="19">
        <v>995</v>
      </c>
      <c r="T3667" s="19" t="s">
        <v>42</v>
      </c>
      <c r="U3667" s="102"/>
      <c r="V3667" s="186"/>
      <c r="W3667" s="17" t="s">
        <v>69</v>
      </c>
      <c r="Y3667" s="68">
        <v>45130</v>
      </c>
      <c r="Z3667" s="17" t="s">
        <v>1201</v>
      </c>
      <c r="AA3667" s="17" t="s">
        <v>46</v>
      </c>
      <c r="AB3667" s="17" t="s">
        <v>1202</v>
      </c>
      <c r="AC3667" s="102" t="s">
        <v>1203</v>
      </c>
      <c r="AD3667" s="65">
        <v>1434</v>
      </c>
      <c r="AE3667" s="17" t="s">
        <v>48</v>
      </c>
    </row>
    <row r="3668" s="17" customFormat="1" hidden="1" spans="1:32">
      <c r="A3668" s="17" t="s">
        <v>34</v>
      </c>
      <c r="B3668" s="19">
        <v>922</v>
      </c>
      <c r="C3668" s="183" t="s">
        <v>1155</v>
      </c>
      <c r="D3668" s="17" t="s">
        <v>1199</v>
      </c>
      <c r="E3668" s="17" t="s">
        <v>1200</v>
      </c>
      <c r="F3668" s="17" t="s">
        <v>54</v>
      </c>
      <c r="H3668" s="19" t="s">
        <v>548</v>
      </c>
      <c r="I3668" s="19"/>
      <c r="J3668" s="17" t="s">
        <v>49</v>
      </c>
      <c r="K3668" s="19">
        <v>2000</v>
      </c>
      <c r="L3668" s="91">
        <v>8</v>
      </c>
      <c r="M3668" s="19">
        <v>6000</v>
      </c>
      <c r="N3668" s="19" t="s">
        <v>66</v>
      </c>
      <c r="O3668" s="19" t="s">
        <v>141</v>
      </c>
      <c r="P3668" s="19">
        <v>7536</v>
      </c>
      <c r="Q3668" s="19">
        <v>7536</v>
      </c>
      <c r="R3668" s="19">
        <f t="shared" si="174"/>
        <v>0</v>
      </c>
      <c r="S3668" s="19">
        <v>940</v>
      </c>
      <c r="T3668" s="19" t="s">
        <v>42</v>
      </c>
      <c r="U3668" s="102"/>
      <c r="V3668" s="186"/>
      <c r="W3668" s="17" t="s">
        <v>69</v>
      </c>
      <c r="Y3668" s="68">
        <v>45130</v>
      </c>
      <c r="Z3668" s="17" t="s">
        <v>1201</v>
      </c>
      <c r="AA3668" s="17" t="s">
        <v>46</v>
      </c>
      <c r="AB3668" s="17" t="s">
        <v>1202</v>
      </c>
      <c r="AC3668" s="102" t="s">
        <v>1203</v>
      </c>
      <c r="AD3668" s="65">
        <v>1434</v>
      </c>
      <c r="AE3668" s="17" t="s">
        <v>48</v>
      </c>
    </row>
    <row r="3669" s="17" customFormat="1" hidden="1" spans="1:32">
      <c r="A3669" s="17" t="s">
        <v>34</v>
      </c>
      <c r="B3669" s="19">
        <v>922</v>
      </c>
      <c r="C3669" s="183" t="s">
        <v>1155</v>
      </c>
      <c r="D3669" s="17" t="s">
        <v>1199</v>
      </c>
      <c r="E3669" s="17" t="s">
        <v>1200</v>
      </c>
      <c r="F3669" s="17" t="s">
        <v>54</v>
      </c>
      <c r="H3669" s="19" t="s">
        <v>548</v>
      </c>
      <c r="I3669" s="19"/>
      <c r="J3669" s="17" t="s">
        <v>49</v>
      </c>
      <c r="K3669" s="19">
        <v>2000</v>
      </c>
      <c r="L3669" s="91">
        <v>10</v>
      </c>
      <c r="M3669" s="19">
        <v>6000</v>
      </c>
      <c r="N3669" s="19" t="s">
        <v>66</v>
      </c>
      <c r="O3669" s="19" t="s">
        <v>141</v>
      </c>
      <c r="P3669" s="19">
        <v>11304</v>
      </c>
      <c r="Q3669" s="19">
        <v>11304</v>
      </c>
      <c r="R3669" s="19">
        <f t="shared" si="174"/>
        <v>0</v>
      </c>
      <c r="S3669" s="19">
        <v>930</v>
      </c>
      <c r="T3669" s="19" t="s">
        <v>42</v>
      </c>
      <c r="U3669" s="102"/>
      <c r="V3669" s="186"/>
      <c r="W3669" s="17" t="s">
        <v>69</v>
      </c>
      <c r="Y3669" s="68">
        <v>45130</v>
      </c>
      <c r="Z3669" s="17" t="s">
        <v>1201</v>
      </c>
      <c r="AA3669" s="17" t="s">
        <v>46</v>
      </c>
      <c r="AB3669" s="17" t="s">
        <v>1202</v>
      </c>
      <c r="AC3669" s="102" t="s">
        <v>1203</v>
      </c>
      <c r="AD3669" s="65">
        <v>1434</v>
      </c>
      <c r="AE3669" s="17" t="s">
        <v>48</v>
      </c>
    </row>
    <row r="3670" s="17" customFormat="1" hidden="1" spans="1:32">
      <c r="A3670" s="17" t="s">
        <v>34</v>
      </c>
      <c r="B3670" s="19">
        <v>922</v>
      </c>
      <c r="C3670" s="183" t="s">
        <v>1155</v>
      </c>
      <c r="D3670" s="17" t="s">
        <v>1199</v>
      </c>
      <c r="E3670" s="17" t="s">
        <v>1200</v>
      </c>
      <c r="F3670" s="17" t="s">
        <v>54</v>
      </c>
      <c r="H3670" s="19" t="s">
        <v>548</v>
      </c>
      <c r="I3670" s="19"/>
      <c r="J3670" s="17" t="s">
        <v>49</v>
      </c>
      <c r="K3670" s="19">
        <v>2000</v>
      </c>
      <c r="L3670" s="91">
        <v>16</v>
      </c>
      <c r="M3670" s="19">
        <v>6000</v>
      </c>
      <c r="N3670" s="19" t="s">
        <v>66</v>
      </c>
      <c r="O3670" s="19" t="s">
        <v>141</v>
      </c>
      <c r="P3670" s="19">
        <v>4522</v>
      </c>
      <c r="Q3670" s="19">
        <v>4522</v>
      </c>
      <c r="R3670" s="19">
        <f t="shared" si="174"/>
        <v>0</v>
      </c>
      <c r="S3670" s="19">
        <v>930</v>
      </c>
      <c r="T3670" s="19" t="s">
        <v>42</v>
      </c>
      <c r="U3670" s="102"/>
      <c r="V3670" s="186"/>
      <c r="W3670" s="17" t="s">
        <v>69</v>
      </c>
      <c r="Y3670" s="68">
        <v>45130</v>
      </c>
      <c r="Z3670" s="17" t="s">
        <v>1201</v>
      </c>
      <c r="AA3670" s="17" t="s">
        <v>46</v>
      </c>
      <c r="AB3670" s="17" t="s">
        <v>1202</v>
      </c>
      <c r="AC3670" s="102" t="s">
        <v>1203</v>
      </c>
      <c r="AD3670" s="65">
        <v>1434</v>
      </c>
      <c r="AE3670" s="17" t="s">
        <v>48</v>
      </c>
    </row>
    <row r="3671" s="17" customFormat="1" hidden="1" spans="1:32">
      <c r="A3671" s="17" t="s">
        <v>34</v>
      </c>
      <c r="B3671" s="19">
        <v>922</v>
      </c>
      <c r="C3671" s="183" t="s">
        <v>1155</v>
      </c>
      <c r="D3671" s="17" t="s">
        <v>1199</v>
      </c>
      <c r="E3671" s="17" t="s">
        <v>1200</v>
      </c>
      <c r="F3671" s="17" t="s">
        <v>54</v>
      </c>
      <c r="H3671" s="19" t="s">
        <v>548</v>
      </c>
      <c r="I3671" s="19"/>
      <c r="J3671" s="17" t="s">
        <v>49</v>
      </c>
      <c r="K3671" s="19">
        <v>2000</v>
      </c>
      <c r="L3671" s="91">
        <v>20</v>
      </c>
      <c r="M3671" s="19">
        <v>6000</v>
      </c>
      <c r="N3671" s="19" t="s">
        <v>66</v>
      </c>
      <c r="O3671" s="19" t="s">
        <v>141</v>
      </c>
      <c r="P3671" s="19">
        <v>5652</v>
      </c>
      <c r="Q3671" s="19">
        <v>5652</v>
      </c>
      <c r="R3671" s="19">
        <f t="shared" si="174"/>
        <v>0</v>
      </c>
      <c r="S3671" s="19">
        <v>930</v>
      </c>
      <c r="T3671" s="19" t="s">
        <v>42</v>
      </c>
      <c r="U3671" s="102"/>
      <c r="V3671" s="186"/>
      <c r="W3671" s="17" t="s">
        <v>69</v>
      </c>
      <c r="Y3671" s="68">
        <v>45130</v>
      </c>
      <c r="Z3671" s="17" t="s">
        <v>1201</v>
      </c>
      <c r="AA3671" s="17" t="s">
        <v>46</v>
      </c>
      <c r="AB3671" s="17" t="s">
        <v>1202</v>
      </c>
      <c r="AC3671" s="102" t="s">
        <v>1203</v>
      </c>
      <c r="AD3671" s="65">
        <v>1434</v>
      </c>
      <c r="AE3671" s="17" t="s">
        <v>48</v>
      </c>
    </row>
    <row r="3672" s="17" customFormat="1" hidden="1" spans="1:32">
      <c r="A3672" s="17" t="s">
        <v>34</v>
      </c>
      <c r="B3672" s="19">
        <v>922</v>
      </c>
      <c r="C3672" s="183" t="s">
        <v>1155</v>
      </c>
      <c r="D3672" s="17" t="s">
        <v>1199</v>
      </c>
      <c r="E3672" s="17" t="s">
        <v>1200</v>
      </c>
      <c r="F3672" s="17" t="s">
        <v>54</v>
      </c>
      <c r="H3672" s="19" t="s">
        <v>548</v>
      </c>
      <c r="I3672" s="19"/>
      <c r="J3672" s="17" t="s">
        <v>49</v>
      </c>
      <c r="K3672" s="19">
        <v>2000</v>
      </c>
      <c r="L3672" s="91">
        <v>25</v>
      </c>
      <c r="M3672" s="19">
        <v>6000</v>
      </c>
      <c r="N3672" s="19" t="s">
        <v>66</v>
      </c>
      <c r="O3672" s="19" t="s">
        <v>141</v>
      </c>
      <c r="P3672" s="19">
        <v>9420</v>
      </c>
      <c r="Q3672" s="19">
        <v>9420</v>
      </c>
      <c r="R3672" s="19">
        <f t="shared" si="174"/>
        <v>0</v>
      </c>
      <c r="S3672" s="19">
        <v>930</v>
      </c>
      <c r="T3672" s="19" t="s">
        <v>42</v>
      </c>
      <c r="U3672" s="102"/>
      <c r="V3672" s="186"/>
      <c r="W3672" s="17" t="s">
        <v>69</v>
      </c>
      <c r="Y3672" s="68">
        <v>45130</v>
      </c>
      <c r="Z3672" s="17" t="s">
        <v>1201</v>
      </c>
      <c r="AA3672" s="17" t="s">
        <v>46</v>
      </c>
      <c r="AB3672" s="17" t="s">
        <v>1202</v>
      </c>
      <c r="AC3672" s="102" t="s">
        <v>1203</v>
      </c>
      <c r="AD3672" s="65">
        <v>1434</v>
      </c>
      <c r="AE3672" s="17" t="s">
        <v>48</v>
      </c>
    </row>
    <row r="3673" s="17" customFormat="1" hidden="1" spans="1:32">
      <c r="A3673" s="17" t="s">
        <v>34</v>
      </c>
      <c r="B3673" s="19">
        <v>922</v>
      </c>
      <c r="C3673" s="183" t="s">
        <v>1155</v>
      </c>
      <c r="D3673" s="17" t="s">
        <v>1199</v>
      </c>
      <c r="E3673" s="17" t="s">
        <v>1200</v>
      </c>
      <c r="F3673" s="17" t="s">
        <v>54</v>
      </c>
      <c r="H3673" s="19" t="s">
        <v>544</v>
      </c>
      <c r="I3673" s="19"/>
      <c r="J3673" s="17" t="s">
        <v>49</v>
      </c>
      <c r="K3673" s="19">
        <v>1500</v>
      </c>
      <c r="L3673" s="91">
        <v>3</v>
      </c>
      <c r="M3673" s="19">
        <v>6000</v>
      </c>
      <c r="N3673" s="19" t="s">
        <v>66</v>
      </c>
      <c r="O3673" s="19" t="s">
        <v>141</v>
      </c>
      <c r="P3673" s="19">
        <v>3180</v>
      </c>
      <c r="Q3673" s="19">
        <v>3180</v>
      </c>
      <c r="R3673" s="19">
        <f t="shared" si="174"/>
        <v>0</v>
      </c>
      <c r="S3673" s="19">
        <v>1190</v>
      </c>
      <c r="T3673" s="19" t="s">
        <v>42</v>
      </c>
      <c r="U3673" s="102"/>
      <c r="V3673" s="186"/>
      <c r="W3673" s="17" t="s">
        <v>69</v>
      </c>
      <c r="Y3673" s="68">
        <v>45130</v>
      </c>
      <c r="Z3673" s="17" t="s">
        <v>1201</v>
      </c>
      <c r="AA3673" s="17" t="s">
        <v>46</v>
      </c>
      <c r="AB3673" s="17" t="s">
        <v>1202</v>
      </c>
      <c r="AC3673" s="102" t="s">
        <v>1203</v>
      </c>
      <c r="AD3673" s="65">
        <v>1434</v>
      </c>
      <c r="AE3673" s="17" t="s">
        <v>48</v>
      </c>
    </row>
    <row r="3674" s="17" customFormat="1" hidden="1" spans="1:32">
      <c r="A3674" s="17" t="s">
        <v>34</v>
      </c>
      <c r="B3674" s="19">
        <v>922</v>
      </c>
      <c r="C3674" s="183" t="s">
        <v>1155</v>
      </c>
      <c r="D3674" s="17" t="s">
        <v>1199</v>
      </c>
      <c r="E3674" s="17" t="s">
        <v>1200</v>
      </c>
      <c r="F3674" s="17" t="s">
        <v>54</v>
      </c>
      <c r="H3674" s="19" t="s">
        <v>544</v>
      </c>
      <c r="I3674" s="19"/>
      <c r="J3674" s="17" t="s">
        <v>49</v>
      </c>
      <c r="K3674" s="19">
        <v>1500</v>
      </c>
      <c r="L3674" s="91">
        <v>4</v>
      </c>
      <c r="M3674" s="19">
        <v>6000</v>
      </c>
      <c r="N3674" s="19" t="s">
        <v>66</v>
      </c>
      <c r="O3674" s="19" t="s">
        <v>141</v>
      </c>
      <c r="P3674" s="19">
        <v>4239</v>
      </c>
      <c r="Q3674" s="19">
        <v>4239</v>
      </c>
      <c r="R3674" s="19">
        <f t="shared" si="174"/>
        <v>0</v>
      </c>
      <c r="S3674" s="19">
        <v>1075</v>
      </c>
      <c r="T3674" s="19" t="s">
        <v>42</v>
      </c>
      <c r="U3674" s="102"/>
      <c r="V3674" s="186"/>
      <c r="W3674" s="17" t="s">
        <v>69</v>
      </c>
      <c r="Y3674" s="68">
        <v>45130</v>
      </c>
      <c r="Z3674" s="17" t="s">
        <v>1201</v>
      </c>
      <c r="AA3674" s="17" t="s">
        <v>46</v>
      </c>
      <c r="AB3674" s="17" t="s">
        <v>1202</v>
      </c>
      <c r="AC3674" s="102" t="s">
        <v>1203</v>
      </c>
      <c r="AD3674" s="65">
        <v>1434</v>
      </c>
      <c r="AE3674" s="17" t="s">
        <v>48</v>
      </c>
    </row>
    <row r="3675" s="17" customFormat="1" hidden="1" spans="1:32">
      <c r="A3675" s="17" t="s">
        <v>34</v>
      </c>
      <c r="B3675" s="19">
        <v>922</v>
      </c>
      <c r="C3675" s="183" t="s">
        <v>1155</v>
      </c>
      <c r="D3675" s="17" t="s">
        <v>1199</v>
      </c>
      <c r="E3675" s="17" t="s">
        <v>1200</v>
      </c>
      <c r="F3675" s="17" t="s">
        <v>54</v>
      </c>
      <c r="H3675" s="19" t="s">
        <v>544</v>
      </c>
      <c r="I3675" s="19"/>
      <c r="J3675" s="17" t="s">
        <v>49</v>
      </c>
      <c r="K3675" s="19">
        <v>1500</v>
      </c>
      <c r="L3675" s="91">
        <v>5</v>
      </c>
      <c r="M3675" s="19">
        <v>6000</v>
      </c>
      <c r="N3675" s="19" t="s">
        <v>66</v>
      </c>
      <c r="O3675" s="19" t="s">
        <v>141</v>
      </c>
      <c r="P3675" s="19">
        <v>7065</v>
      </c>
      <c r="Q3675" s="19">
        <v>7065</v>
      </c>
      <c r="R3675" s="19">
        <f t="shared" si="174"/>
        <v>0</v>
      </c>
      <c r="S3675" s="19">
        <v>1060</v>
      </c>
      <c r="T3675" s="19" t="s">
        <v>42</v>
      </c>
      <c r="U3675" s="102"/>
      <c r="V3675" s="186"/>
      <c r="W3675" s="17" t="s">
        <v>69</v>
      </c>
      <c r="Y3675" s="68">
        <v>45130</v>
      </c>
      <c r="Z3675" s="17" t="s">
        <v>1201</v>
      </c>
      <c r="AA3675" s="17" t="s">
        <v>46</v>
      </c>
      <c r="AB3675" s="17" t="s">
        <v>1202</v>
      </c>
      <c r="AC3675" s="102" t="s">
        <v>1203</v>
      </c>
      <c r="AD3675" s="65">
        <v>1434</v>
      </c>
      <c r="AE3675" s="17" t="s">
        <v>48</v>
      </c>
    </row>
    <row r="3676" s="17" customFormat="1" hidden="1" spans="1:32">
      <c r="A3676" s="17" t="s">
        <v>34</v>
      </c>
      <c r="B3676" s="19">
        <v>922</v>
      </c>
      <c r="C3676" s="183" t="s">
        <v>1155</v>
      </c>
      <c r="D3676" s="17" t="s">
        <v>1199</v>
      </c>
      <c r="E3676" s="17" t="s">
        <v>1200</v>
      </c>
      <c r="F3676" s="17" t="s">
        <v>54</v>
      </c>
      <c r="H3676" s="19" t="s">
        <v>544</v>
      </c>
      <c r="I3676" s="19"/>
      <c r="J3676" s="17" t="s">
        <v>49</v>
      </c>
      <c r="K3676" s="19">
        <v>2000</v>
      </c>
      <c r="L3676" s="91">
        <v>6</v>
      </c>
      <c r="M3676" s="19">
        <v>6000</v>
      </c>
      <c r="N3676" s="19" t="s">
        <v>66</v>
      </c>
      <c r="O3676" s="19" t="s">
        <v>141</v>
      </c>
      <c r="P3676" s="19">
        <v>8478</v>
      </c>
      <c r="Q3676" s="19">
        <v>8478</v>
      </c>
      <c r="R3676" s="19">
        <f t="shared" si="174"/>
        <v>0</v>
      </c>
      <c r="S3676" s="19">
        <v>1035</v>
      </c>
      <c r="T3676" s="19" t="s">
        <v>42</v>
      </c>
      <c r="U3676" s="102"/>
      <c r="V3676" s="186"/>
      <c r="W3676" s="17" t="s">
        <v>69</v>
      </c>
      <c r="Y3676" s="68">
        <v>45130</v>
      </c>
      <c r="Z3676" s="17" t="s">
        <v>1201</v>
      </c>
      <c r="AA3676" s="17" t="s">
        <v>46</v>
      </c>
      <c r="AB3676" s="17" t="s">
        <v>1202</v>
      </c>
      <c r="AC3676" s="102" t="s">
        <v>1203</v>
      </c>
      <c r="AD3676" s="65">
        <v>1434</v>
      </c>
      <c r="AE3676" s="17" t="s">
        <v>48</v>
      </c>
    </row>
    <row r="3677" s="17" customFormat="1" hidden="1" spans="1:32">
      <c r="A3677" s="17" t="s">
        <v>34</v>
      </c>
      <c r="B3677" s="19">
        <v>922</v>
      </c>
      <c r="C3677" s="183" t="s">
        <v>1155</v>
      </c>
      <c r="D3677" s="17" t="s">
        <v>1199</v>
      </c>
      <c r="E3677" s="17" t="s">
        <v>1200</v>
      </c>
      <c r="F3677" s="17" t="s">
        <v>54</v>
      </c>
      <c r="H3677" s="19" t="s">
        <v>544</v>
      </c>
      <c r="I3677" s="19"/>
      <c r="J3677" s="17" t="s">
        <v>49</v>
      </c>
      <c r="K3677" s="19">
        <v>2000</v>
      </c>
      <c r="L3677" s="91">
        <v>8</v>
      </c>
      <c r="M3677" s="19">
        <v>6000</v>
      </c>
      <c r="N3677" s="19" t="s">
        <v>66</v>
      </c>
      <c r="O3677" s="19" t="s">
        <v>141</v>
      </c>
      <c r="P3677" s="19">
        <v>6029</v>
      </c>
      <c r="Q3677" s="19">
        <v>6029</v>
      </c>
      <c r="R3677" s="19">
        <f t="shared" si="174"/>
        <v>0</v>
      </c>
      <c r="S3677" s="19">
        <v>995</v>
      </c>
      <c r="T3677" s="19" t="s">
        <v>42</v>
      </c>
      <c r="U3677" s="102"/>
      <c r="V3677" s="186"/>
      <c r="W3677" s="17" t="s">
        <v>69</v>
      </c>
      <c r="Y3677" s="68">
        <v>45130</v>
      </c>
      <c r="Z3677" s="17" t="s">
        <v>1201</v>
      </c>
      <c r="AA3677" s="17" t="s">
        <v>46</v>
      </c>
      <c r="AB3677" s="17" t="s">
        <v>1202</v>
      </c>
      <c r="AC3677" s="102" t="s">
        <v>1203</v>
      </c>
      <c r="AD3677" s="65">
        <v>1434</v>
      </c>
      <c r="AE3677" s="17" t="s">
        <v>48</v>
      </c>
    </row>
    <row r="3678" s="17" customFormat="1" hidden="1" spans="1:32">
      <c r="A3678" s="17" t="s">
        <v>34</v>
      </c>
      <c r="B3678" s="19">
        <v>922</v>
      </c>
      <c r="C3678" s="183" t="s">
        <v>1155</v>
      </c>
      <c r="D3678" s="17" t="s">
        <v>1199</v>
      </c>
      <c r="E3678" s="17" t="s">
        <v>1200</v>
      </c>
      <c r="F3678" s="17" t="s">
        <v>54</v>
      </c>
      <c r="H3678" s="19" t="s">
        <v>549</v>
      </c>
      <c r="I3678" s="19"/>
      <c r="J3678" s="17" t="s">
        <v>49</v>
      </c>
      <c r="K3678" s="19">
        <v>2000</v>
      </c>
      <c r="L3678" s="91">
        <v>10</v>
      </c>
      <c r="M3678" s="19">
        <v>6000</v>
      </c>
      <c r="N3678" s="19" t="s">
        <v>66</v>
      </c>
      <c r="O3678" s="19" t="s">
        <v>141</v>
      </c>
      <c r="P3678" s="19">
        <v>18840</v>
      </c>
      <c r="Q3678" s="19">
        <v>18840</v>
      </c>
      <c r="R3678" s="19">
        <f t="shared" si="174"/>
        <v>0</v>
      </c>
      <c r="S3678" s="19">
        <v>990</v>
      </c>
      <c r="T3678" s="19" t="s">
        <v>42</v>
      </c>
      <c r="U3678" s="102"/>
      <c r="V3678" s="186"/>
      <c r="W3678" s="17" t="s">
        <v>69</v>
      </c>
      <c r="Y3678" s="68">
        <v>45130</v>
      </c>
      <c r="Z3678" s="17" t="s">
        <v>1201</v>
      </c>
      <c r="AA3678" s="17" t="s">
        <v>46</v>
      </c>
      <c r="AB3678" s="17" t="s">
        <v>1202</v>
      </c>
      <c r="AC3678" s="102" t="s">
        <v>1203</v>
      </c>
      <c r="AD3678" s="65">
        <v>1434</v>
      </c>
      <c r="AE3678" s="17" t="s">
        <v>48</v>
      </c>
    </row>
    <row r="3679" s="17" customFormat="1" hidden="1" spans="1:32">
      <c r="A3679" s="17" t="s">
        <v>34</v>
      </c>
      <c r="B3679" s="19">
        <v>922</v>
      </c>
      <c r="C3679" s="183" t="s">
        <v>1155</v>
      </c>
      <c r="D3679" s="17" t="s">
        <v>1199</v>
      </c>
      <c r="E3679" s="17" t="s">
        <v>1200</v>
      </c>
      <c r="F3679" s="17" t="s">
        <v>54</v>
      </c>
      <c r="H3679" s="19" t="s">
        <v>549</v>
      </c>
      <c r="I3679" s="19"/>
      <c r="J3679" s="17" t="s">
        <v>49</v>
      </c>
      <c r="K3679" s="19">
        <v>2000</v>
      </c>
      <c r="L3679" s="91">
        <v>12</v>
      </c>
      <c r="M3679" s="19">
        <v>6000</v>
      </c>
      <c r="N3679" s="19" t="s">
        <v>66</v>
      </c>
      <c r="O3679" s="19" t="s">
        <v>141</v>
      </c>
      <c r="P3679" s="19">
        <v>4522</v>
      </c>
      <c r="Q3679" s="19">
        <v>4522</v>
      </c>
      <c r="R3679" s="19">
        <f t="shared" si="174"/>
        <v>0</v>
      </c>
      <c r="S3679" s="19">
        <v>995</v>
      </c>
      <c r="T3679" s="19" t="s">
        <v>42</v>
      </c>
      <c r="U3679" s="102"/>
      <c r="V3679" s="186"/>
      <c r="W3679" s="17" t="s">
        <v>69</v>
      </c>
      <c r="Y3679" s="68">
        <v>45130</v>
      </c>
      <c r="Z3679" s="17" t="s">
        <v>1201</v>
      </c>
      <c r="AA3679" s="17" t="s">
        <v>46</v>
      </c>
      <c r="AB3679" s="17" t="s">
        <v>1202</v>
      </c>
      <c r="AC3679" s="102" t="s">
        <v>1203</v>
      </c>
      <c r="AD3679" s="65">
        <v>1434</v>
      </c>
      <c r="AE3679" s="17" t="s">
        <v>48</v>
      </c>
    </row>
    <row r="3680" s="17" customFormat="1" hidden="1" spans="1:32">
      <c r="A3680" s="17" t="s">
        <v>34</v>
      </c>
      <c r="B3680" s="19">
        <v>922</v>
      </c>
      <c r="C3680" s="183" t="s">
        <v>1155</v>
      </c>
      <c r="D3680" s="17" t="s">
        <v>1199</v>
      </c>
      <c r="E3680" s="17" t="s">
        <v>1200</v>
      </c>
      <c r="F3680" s="17" t="s">
        <v>54</v>
      </c>
      <c r="H3680" s="19" t="s">
        <v>549</v>
      </c>
      <c r="I3680" s="19"/>
      <c r="J3680" s="17" t="s">
        <v>49</v>
      </c>
      <c r="K3680" s="19">
        <v>2000</v>
      </c>
      <c r="L3680" s="91">
        <v>16</v>
      </c>
      <c r="M3680" s="19">
        <v>6000</v>
      </c>
      <c r="N3680" s="19" t="s">
        <v>66</v>
      </c>
      <c r="O3680" s="19" t="s">
        <v>141</v>
      </c>
      <c r="P3680" s="19">
        <v>7536</v>
      </c>
      <c r="Q3680" s="19">
        <v>7536</v>
      </c>
      <c r="R3680" s="19">
        <f t="shared" si="174"/>
        <v>0</v>
      </c>
      <c r="S3680" s="19">
        <v>995</v>
      </c>
      <c r="T3680" s="19" t="s">
        <v>42</v>
      </c>
      <c r="U3680" s="102"/>
      <c r="V3680" s="186"/>
      <c r="W3680" s="17" t="s">
        <v>69</v>
      </c>
      <c r="Y3680" s="68">
        <v>45130</v>
      </c>
      <c r="Z3680" s="17" t="s">
        <v>1201</v>
      </c>
      <c r="AA3680" s="17" t="s">
        <v>46</v>
      </c>
      <c r="AB3680" s="17" t="s">
        <v>1202</v>
      </c>
      <c r="AC3680" s="102" t="s">
        <v>1203</v>
      </c>
      <c r="AD3680" s="65">
        <v>1434</v>
      </c>
      <c r="AE3680" s="17" t="s">
        <v>48</v>
      </c>
    </row>
    <row r="3681" s="21" customFormat="1" hidden="1" spans="1:44">
      <c r="A3681" s="17" t="s">
        <v>34</v>
      </c>
      <c r="B3681" s="19">
        <v>923</v>
      </c>
      <c r="C3681" s="183">
        <v>45106</v>
      </c>
      <c r="D3681" s="17" t="s">
        <v>137</v>
      </c>
      <c r="E3681" s="17" t="s">
        <v>138</v>
      </c>
      <c r="F3681" s="17" t="s">
        <v>139</v>
      </c>
      <c r="G3681" s="17"/>
      <c r="H3681" s="19" t="s">
        <v>169</v>
      </c>
      <c r="I3681" s="19"/>
      <c r="J3681" s="17" t="s">
        <v>49</v>
      </c>
      <c r="K3681" s="19">
        <v>2000</v>
      </c>
      <c r="L3681" s="91">
        <v>130</v>
      </c>
      <c r="M3681" s="19">
        <f>2930+2930</f>
        <v>5860</v>
      </c>
      <c r="N3681" s="19" t="s">
        <v>66</v>
      </c>
      <c r="O3681" s="19" t="s">
        <v>1167</v>
      </c>
      <c r="P3681" s="19">
        <v>25002</v>
      </c>
      <c r="Q3681" s="19">
        <f>6259+6259</f>
        <v>12518</v>
      </c>
      <c r="R3681" s="19">
        <f t="shared" si="174"/>
        <v>12484</v>
      </c>
      <c r="S3681" s="19">
        <v>1950</v>
      </c>
      <c r="T3681" s="19" t="s">
        <v>94</v>
      </c>
      <c r="U3681" s="102">
        <v>59409</v>
      </c>
      <c r="V3681" s="186">
        <v>45106</v>
      </c>
      <c r="W3681" s="17" t="s">
        <v>44</v>
      </c>
      <c r="X3681" s="17"/>
      <c r="Y3681" s="68">
        <v>45192</v>
      </c>
      <c r="Z3681" s="17" t="s">
        <v>998</v>
      </c>
      <c r="AA3681" s="17" t="s">
        <v>46</v>
      </c>
      <c r="AB3681" s="17">
        <v>4001380078</v>
      </c>
      <c r="AC3681" s="217">
        <v>45747</v>
      </c>
      <c r="AD3681" s="65">
        <v>1593</v>
      </c>
      <c r="AE3681" s="17" t="s">
        <v>48</v>
      </c>
      <c r="AF3681" s="17"/>
      <c r="AG3681" s="17" t="s">
        <v>1168</v>
      </c>
      <c r="AH3681" s="17"/>
      <c r="AI3681" s="17"/>
      <c r="AJ3681" s="17"/>
      <c r="AK3681" s="17"/>
      <c r="AL3681" s="17"/>
      <c r="AM3681" s="17"/>
      <c r="AN3681" s="17"/>
      <c r="AO3681" s="17"/>
      <c r="AP3681" s="17"/>
      <c r="AQ3681" s="17"/>
      <c r="AR3681" s="17"/>
    </row>
    <row r="3682" s="20" customFormat="1" hidden="1" spans="1:44">
      <c r="A3682" s="17" t="s">
        <v>34</v>
      </c>
      <c r="B3682" s="19">
        <v>923</v>
      </c>
      <c r="C3682" s="183">
        <v>45106</v>
      </c>
      <c r="D3682" s="17" t="s">
        <v>137</v>
      </c>
      <c r="E3682" s="17" t="s">
        <v>138</v>
      </c>
      <c r="F3682" s="17" t="s">
        <v>139</v>
      </c>
      <c r="G3682" s="17"/>
      <c r="H3682" s="19" t="s">
        <v>169</v>
      </c>
      <c r="I3682" s="19"/>
      <c r="J3682" s="17" t="s">
        <v>49</v>
      </c>
      <c r="K3682" s="19">
        <v>2000</v>
      </c>
      <c r="L3682" s="91">
        <v>155</v>
      </c>
      <c r="M3682" s="19">
        <v>5150</v>
      </c>
      <c r="N3682" s="19" t="s">
        <v>66</v>
      </c>
      <c r="O3682" s="19" t="s">
        <v>1167</v>
      </c>
      <c r="P3682" s="19">
        <v>25065</v>
      </c>
      <c r="Q3682" s="19">
        <v>13196</v>
      </c>
      <c r="R3682" s="19">
        <f t="shared" si="174"/>
        <v>11869</v>
      </c>
      <c r="S3682" s="19">
        <v>1950</v>
      </c>
      <c r="T3682" s="19" t="s">
        <v>94</v>
      </c>
      <c r="U3682" s="102">
        <v>59409</v>
      </c>
      <c r="V3682" s="186">
        <v>45106</v>
      </c>
      <c r="W3682" s="17" t="s">
        <v>44</v>
      </c>
      <c r="X3682" s="17"/>
      <c r="Y3682" s="68">
        <v>45192</v>
      </c>
      <c r="Z3682" s="17" t="s">
        <v>142</v>
      </c>
      <c r="AA3682" s="17" t="s">
        <v>1169</v>
      </c>
      <c r="AB3682" s="17">
        <v>4001380083</v>
      </c>
      <c r="AC3682" s="217">
        <v>45406</v>
      </c>
      <c r="AD3682" s="65">
        <v>1485</v>
      </c>
      <c r="AE3682" s="17" t="s">
        <v>48</v>
      </c>
      <c r="AF3682" s="17"/>
      <c r="AG3682" s="17" t="s">
        <v>1168</v>
      </c>
      <c r="AH3682" s="17"/>
      <c r="AI3682" s="17"/>
      <c r="AJ3682" s="17"/>
      <c r="AK3682" s="17"/>
      <c r="AL3682" s="17"/>
      <c r="AM3682" s="17"/>
      <c r="AN3682" s="17"/>
      <c r="AO3682" s="17"/>
      <c r="AP3682" s="17"/>
      <c r="AQ3682" s="17"/>
      <c r="AR3682" s="17"/>
    </row>
    <row r="3683" s="20" customFormat="1" hidden="1" spans="1:44">
      <c r="A3683" s="17" t="s">
        <v>34</v>
      </c>
      <c r="B3683" s="19">
        <v>923</v>
      </c>
      <c r="C3683" s="183">
        <v>45106</v>
      </c>
      <c r="D3683" s="17" t="s">
        <v>137</v>
      </c>
      <c r="E3683" s="17" t="s">
        <v>138</v>
      </c>
      <c r="F3683" s="17" t="s">
        <v>139</v>
      </c>
      <c r="G3683" s="17"/>
      <c r="H3683" s="19" t="s">
        <v>169</v>
      </c>
      <c r="I3683" s="19"/>
      <c r="J3683" s="17" t="s">
        <v>49</v>
      </c>
      <c r="K3683" s="19">
        <v>2000</v>
      </c>
      <c r="L3683" s="91">
        <v>180</v>
      </c>
      <c r="M3683" s="19">
        <v>4425</v>
      </c>
      <c r="N3683" s="19" t="s">
        <v>66</v>
      </c>
      <c r="O3683" s="19" t="s">
        <v>1167</v>
      </c>
      <c r="P3683" s="19">
        <v>25010</v>
      </c>
      <c r="Q3683" s="19">
        <f>13363+13004</f>
        <v>26367</v>
      </c>
      <c r="R3683" s="19">
        <f t="shared" si="174"/>
        <v>-1357</v>
      </c>
      <c r="S3683" s="19">
        <v>1950</v>
      </c>
      <c r="T3683" s="19" t="s">
        <v>94</v>
      </c>
      <c r="U3683" s="102">
        <v>59409</v>
      </c>
      <c r="V3683" s="186">
        <v>45106</v>
      </c>
      <c r="W3683" s="17" t="s">
        <v>44</v>
      </c>
      <c r="X3683" s="17"/>
      <c r="Y3683" s="68">
        <v>45192</v>
      </c>
      <c r="Z3683" s="17" t="s">
        <v>142</v>
      </c>
      <c r="AA3683" s="17" t="s">
        <v>1169</v>
      </c>
      <c r="AB3683" s="17">
        <v>4001380083</v>
      </c>
      <c r="AC3683" s="217">
        <v>45406</v>
      </c>
      <c r="AD3683" s="65">
        <v>1485</v>
      </c>
      <c r="AE3683" s="17" t="s">
        <v>48</v>
      </c>
      <c r="AF3683" s="17"/>
      <c r="AG3683" s="17" t="s">
        <v>1168</v>
      </c>
      <c r="AH3683" s="17"/>
      <c r="AI3683" s="17"/>
      <c r="AJ3683" s="17"/>
      <c r="AK3683" s="17"/>
      <c r="AL3683" s="17"/>
      <c r="AM3683" s="17"/>
      <c r="AN3683" s="17"/>
      <c r="AO3683" s="17"/>
      <c r="AP3683" s="17"/>
      <c r="AQ3683" s="17"/>
      <c r="AR3683" s="17"/>
    </row>
    <row r="3684" s="20" customFormat="1" hidden="1" spans="1:44">
      <c r="A3684" s="17" t="s">
        <v>34</v>
      </c>
      <c r="B3684" s="19">
        <v>923</v>
      </c>
      <c r="C3684" s="183">
        <v>45106</v>
      </c>
      <c r="D3684" s="17" t="s">
        <v>137</v>
      </c>
      <c r="E3684" s="17" t="s">
        <v>138</v>
      </c>
      <c r="F3684" s="17" t="s">
        <v>139</v>
      </c>
      <c r="G3684" s="17"/>
      <c r="H3684" s="19" t="s">
        <v>169</v>
      </c>
      <c r="I3684" s="19"/>
      <c r="J3684" s="17" t="s">
        <v>49</v>
      </c>
      <c r="K3684" s="19">
        <v>2000</v>
      </c>
      <c r="L3684" s="91">
        <v>210</v>
      </c>
      <c r="M3684" s="19">
        <v>3775</v>
      </c>
      <c r="N3684" s="19" t="s">
        <v>66</v>
      </c>
      <c r="O3684" s="19" t="s">
        <v>1167</v>
      </c>
      <c r="P3684" s="19">
        <v>24892</v>
      </c>
      <c r="Q3684" s="19">
        <v>13237</v>
      </c>
      <c r="R3684" s="21"/>
      <c r="S3684" s="19">
        <v>1950</v>
      </c>
      <c r="T3684" s="19" t="s">
        <v>94</v>
      </c>
      <c r="U3684" s="102">
        <v>59409</v>
      </c>
      <c r="V3684" s="186">
        <v>45106</v>
      </c>
      <c r="W3684" s="17" t="s">
        <v>44</v>
      </c>
      <c r="X3684" s="17"/>
      <c r="Y3684" s="68">
        <v>45192</v>
      </c>
      <c r="Z3684" s="17" t="s">
        <v>142</v>
      </c>
      <c r="AA3684" s="17" t="s">
        <v>1169</v>
      </c>
      <c r="AB3684" s="17">
        <v>4001380083</v>
      </c>
      <c r="AC3684" s="217">
        <v>45406</v>
      </c>
      <c r="AD3684" s="65">
        <v>1485</v>
      </c>
      <c r="AE3684" s="17" t="s">
        <v>48</v>
      </c>
      <c r="AF3684" s="17"/>
      <c r="AG3684" s="17" t="s">
        <v>1168</v>
      </c>
      <c r="AH3684" s="17"/>
      <c r="AI3684" s="17"/>
      <c r="AJ3684" s="17"/>
      <c r="AK3684" s="17"/>
      <c r="AL3684" s="17"/>
      <c r="AM3684" s="17"/>
      <c r="AN3684" s="17"/>
      <c r="AO3684" s="17"/>
      <c r="AP3684" s="17"/>
      <c r="AQ3684" s="17"/>
      <c r="AR3684" s="17"/>
    </row>
    <row r="3685" s="20" customFormat="1" hidden="1" spans="1:44">
      <c r="A3685" s="17" t="s">
        <v>34</v>
      </c>
      <c r="B3685" s="19">
        <v>923</v>
      </c>
      <c r="C3685" s="183">
        <v>45106</v>
      </c>
      <c r="D3685" s="17" t="s">
        <v>137</v>
      </c>
      <c r="E3685" s="17" t="s">
        <v>138</v>
      </c>
      <c r="F3685" s="17" t="s">
        <v>139</v>
      </c>
      <c r="G3685" s="17"/>
      <c r="H3685" s="19" t="s">
        <v>169</v>
      </c>
      <c r="I3685" s="19"/>
      <c r="J3685" s="17" t="s">
        <v>49</v>
      </c>
      <c r="K3685" s="19">
        <v>2000</v>
      </c>
      <c r="L3685" s="91">
        <v>210</v>
      </c>
      <c r="M3685" s="19">
        <v>3775</v>
      </c>
      <c r="N3685" s="19" t="s">
        <v>66</v>
      </c>
      <c r="O3685" s="19" t="s">
        <v>1167</v>
      </c>
      <c r="P3685" s="19"/>
      <c r="Q3685" s="19">
        <v>12149</v>
      </c>
      <c r="R3685" s="147">
        <f>+P3684-Q3684-Q3685</f>
        <v>-494</v>
      </c>
      <c r="S3685" s="19">
        <f>1950-50</f>
        <v>1900</v>
      </c>
      <c r="T3685" s="19" t="s">
        <v>94</v>
      </c>
      <c r="U3685" s="102">
        <v>59409</v>
      </c>
      <c r="V3685" s="186">
        <v>45106</v>
      </c>
      <c r="W3685" s="17" t="s">
        <v>44</v>
      </c>
      <c r="X3685" s="17"/>
      <c r="Y3685" s="68">
        <v>45192</v>
      </c>
      <c r="Z3685" s="17" t="s">
        <v>998</v>
      </c>
      <c r="AA3685" s="17" t="s">
        <v>999</v>
      </c>
      <c r="AB3685" s="17">
        <v>4001380047</v>
      </c>
      <c r="AC3685" s="217">
        <v>45707</v>
      </c>
      <c r="AD3685" s="65">
        <v>1589</v>
      </c>
      <c r="AE3685" s="17" t="s">
        <v>48</v>
      </c>
      <c r="AF3685" s="17"/>
      <c r="AG3685" s="17" t="s">
        <v>1168</v>
      </c>
      <c r="AH3685" s="17"/>
      <c r="AI3685" s="17"/>
      <c r="AJ3685" s="17"/>
      <c r="AK3685" s="17"/>
      <c r="AL3685" s="17"/>
      <c r="AM3685" s="17"/>
      <c r="AN3685" s="17"/>
      <c r="AO3685" s="17"/>
      <c r="AP3685" s="17"/>
      <c r="AQ3685" s="17"/>
      <c r="AR3685" s="17"/>
    </row>
    <row r="3686" s="21" customFormat="1" hidden="1" spans="1:44">
      <c r="A3686" s="17" t="s">
        <v>34</v>
      </c>
      <c r="B3686" s="19">
        <v>923</v>
      </c>
      <c r="C3686" s="183">
        <v>45106</v>
      </c>
      <c r="D3686" s="17" t="s">
        <v>137</v>
      </c>
      <c r="E3686" s="17" t="s">
        <v>138</v>
      </c>
      <c r="F3686" s="17" t="s">
        <v>139</v>
      </c>
      <c r="G3686" s="17"/>
      <c r="H3686" s="19" t="s">
        <v>108</v>
      </c>
      <c r="I3686" s="19"/>
      <c r="J3686" s="17" t="s">
        <v>49</v>
      </c>
      <c r="K3686" s="19">
        <v>2000</v>
      </c>
      <c r="L3686" s="91">
        <v>255</v>
      </c>
      <c r="M3686" s="19">
        <v>3120</v>
      </c>
      <c r="N3686" s="19" t="s">
        <v>66</v>
      </c>
      <c r="O3686" s="19" t="s">
        <v>1167</v>
      </c>
      <c r="P3686" s="19">
        <v>24822</v>
      </c>
      <c r="Q3686" s="19">
        <v>10749</v>
      </c>
      <c r="R3686" s="254"/>
      <c r="S3686" s="19">
        <v>2200</v>
      </c>
      <c r="T3686" s="19" t="s">
        <v>94</v>
      </c>
      <c r="U3686" s="102">
        <v>59409</v>
      </c>
      <c r="V3686" s="186">
        <v>45106</v>
      </c>
      <c r="W3686" s="17" t="s">
        <v>44</v>
      </c>
      <c r="X3686" s="17"/>
      <c r="Y3686" s="68">
        <v>45192</v>
      </c>
      <c r="Z3686" s="17" t="s">
        <v>998</v>
      </c>
      <c r="AA3686" s="17" t="s">
        <v>46</v>
      </c>
      <c r="AB3686" s="17">
        <v>4001380078</v>
      </c>
      <c r="AC3686" s="217">
        <v>45747</v>
      </c>
      <c r="AD3686" s="65">
        <v>1593</v>
      </c>
      <c r="AE3686" s="17" t="s">
        <v>48</v>
      </c>
      <c r="AF3686" s="17"/>
      <c r="AG3686" s="17" t="s">
        <v>1168</v>
      </c>
      <c r="AH3686" s="17"/>
      <c r="AI3686" s="17"/>
      <c r="AJ3686" s="17"/>
      <c r="AK3686" s="17"/>
      <c r="AL3686" s="17"/>
      <c r="AM3686" s="17"/>
      <c r="AN3686" s="17"/>
      <c r="AO3686" s="17"/>
      <c r="AP3686" s="17"/>
      <c r="AQ3686" s="17"/>
      <c r="AR3686" s="17"/>
    </row>
    <row r="3687" s="21" customFormat="1" hidden="1" spans="1:44">
      <c r="A3687" s="17"/>
      <c r="B3687" s="19">
        <v>923</v>
      </c>
      <c r="C3687" s="183">
        <v>45106</v>
      </c>
      <c r="D3687" s="17" t="s">
        <v>137</v>
      </c>
      <c r="E3687" s="17" t="s">
        <v>138</v>
      </c>
      <c r="F3687" s="17" t="s">
        <v>139</v>
      </c>
      <c r="G3687" s="17"/>
      <c r="H3687" s="19" t="s">
        <v>108</v>
      </c>
      <c r="I3687" s="19"/>
      <c r="J3687" s="17" t="s">
        <v>49</v>
      </c>
      <c r="K3687" s="19">
        <v>2000</v>
      </c>
      <c r="L3687" s="91">
        <v>255</v>
      </c>
      <c r="M3687" s="19">
        <v>3120</v>
      </c>
      <c r="N3687" s="19" t="s">
        <v>66</v>
      </c>
      <c r="O3687" s="19" t="s">
        <v>1167</v>
      </c>
      <c r="P3687" s="19"/>
      <c r="Q3687" s="19">
        <v>10770</v>
      </c>
      <c r="R3687" s="19">
        <f>+P3686-Q3686-Q3687</f>
        <v>3303</v>
      </c>
      <c r="S3687" s="19">
        <v>2200</v>
      </c>
      <c r="T3687" s="19" t="s">
        <v>94</v>
      </c>
      <c r="U3687" s="102">
        <v>59409</v>
      </c>
      <c r="V3687" s="186">
        <v>45106</v>
      </c>
      <c r="W3687" s="17" t="s">
        <v>44</v>
      </c>
      <c r="X3687" s="17"/>
      <c r="Y3687" s="68">
        <v>45192</v>
      </c>
      <c r="Z3687" s="17" t="s">
        <v>1186</v>
      </c>
      <c r="AA3687" s="17" t="s">
        <v>46</v>
      </c>
      <c r="AB3687" s="17"/>
      <c r="AC3687" s="102"/>
      <c r="AD3687" s="65">
        <v>1665</v>
      </c>
      <c r="AE3687" s="17" t="s">
        <v>48</v>
      </c>
      <c r="AF3687" s="17" t="s">
        <v>737</v>
      </c>
      <c r="AG3687" s="17" t="s">
        <v>1168</v>
      </c>
      <c r="AH3687" s="17"/>
      <c r="AI3687" s="17"/>
      <c r="AJ3687" s="17"/>
      <c r="AK3687" s="17"/>
      <c r="AL3687" s="17"/>
      <c r="AM3687" s="17"/>
      <c r="AN3687" s="17"/>
      <c r="AO3687" s="17"/>
      <c r="AP3687" s="17"/>
      <c r="AQ3687" s="17"/>
      <c r="AR3687" s="17"/>
    </row>
    <row r="3688" s="21" customFormat="1" hidden="1" spans="1:44">
      <c r="A3688" s="17" t="s">
        <v>34</v>
      </c>
      <c r="B3688" s="19">
        <v>923</v>
      </c>
      <c r="C3688" s="183">
        <v>45106</v>
      </c>
      <c r="D3688" s="17" t="s">
        <v>137</v>
      </c>
      <c r="E3688" s="17" t="s">
        <v>138</v>
      </c>
      <c r="F3688" s="17" t="s">
        <v>139</v>
      </c>
      <c r="G3688" s="17"/>
      <c r="H3688" s="19" t="s">
        <v>108</v>
      </c>
      <c r="I3688" s="19"/>
      <c r="J3688" s="17" t="s">
        <v>49</v>
      </c>
      <c r="K3688" s="19">
        <v>2000</v>
      </c>
      <c r="L3688" s="91">
        <v>310</v>
      </c>
      <c r="M3688" s="19">
        <v>5050</v>
      </c>
      <c r="N3688" s="19" t="s">
        <v>66</v>
      </c>
      <c r="O3688" s="19" t="s">
        <v>1167</v>
      </c>
      <c r="P3688" s="19">
        <v>24661</v>
      </c>
      <c r="Q3688" s="19">
        <v>25700</v>
      </c>
      <c r="R3688" s="19">
        <f>+P3688-Q3688</f>
        <v>-1039</v>
      </c>
      <c r="S3688" s="19">
        <v>2200</v>
      </c>
      <c r="T3688" s="19" t="s">
        <v>94</v>
      </c>
      <c r="U3688" s="102">
        <v>59409</v>
      </c>
      <c r="V3688" s="186">
        <v>45106</v>
      </c>
      <c r="W3688" s="17" t="s">
        <v>44</v>
      </c>
      <c r="X3688" s="17"/>
      <c r="Y3688" s="68">
        <v>45192</v>
      </c>
      <c r="Z3688" s="17" t="s">
        <v>998</v>
      </c>
      <c r="AA3688" s="17" t="s">
        <v>999</v>
      </c>
      <c r="AB3688" s="17">
        <v>4001380047</v>
      </c>
      <c r="AC3688" s="217">
        <v>45707</v>
      </c>
      <c r="AD3688" s="65">
        <v>1589</v>
      </c>
      <c r="AE3688" s="17" t="s">
        <v>48</v>
      </c>
      <c r="AF3688" s="17"/>
      <c r="AG3688" s="17" t="s">
        <v>1168</v>
      </c>
      <c r="AH3688" s="17"/>
      <c r="AI3688" s="17"/>
      <c r="AJ3688" s="17"/>
      <c r="AK3688" s="17"/>
      <c r="AL3688" s="17"/>
      <c r="AM3688" s="17"/>
      <c r="AN3688" s="17"/>
      <c r="AO3688" s="17"/>
      <c r="AP3688" s="17"/>
      <c r="AQ3688" s="17"/>
      <c r="AR3688" s="17"/>
    </row>
    <row r="3689" s="21" customFormat="1" hidden="1" spans="1:44">
      <c r="A3689" s="17"/>
      <c r="B3689" s="19">
        <v>923</v>
      </c>
      <c r="C3689" s="183">
        <v>45106</v>
      </c>
      <c r="D3689" s="17" t="s">
        <v>137</v>
      </c>
      <c r="E3689" s="17" t="s">
        <v>138</v>
      </c>
      <c r="F3689" s="17" t="s">
        <v>139</v>
      </c>
      <c r="G3689" s="17"/>
      <c r="H3689" s="19">
        <v>1.2311</v>
      </c>
      <c r="I3689" s="19"/>
      <c r="J3689" s="17" t="s">
        <v>49</v>
      </c>
      <c r="K3689" s="19">
        <v>2000</v>
      </c>
      <c r="L3689" s="91">
        <v>40</v>
      </c>
      <c r="M3689" s="19">
        <v>5000</v>
      </c>
      <c r="N3689" s="19" t="s">
        <v>66</v>
      </c>
      <c r="O3689" s="19" t="s">
        <v>141</v>
      </c>
      <c r="P3689" s="19">
        <v>12560</v>
      </c>
      <c r="Q3689" s="19">
        <f>3390</f>
        <v>3390</v>
      </c>
      <c r="R3689" s="19">
        <f>+P3689-Q3689</f>
        <v>9170</v>
      </c>
      <c r="S3689" s="19">
        <v>1390</v>
      </c>
      <c r="T3689" s="19" t="s">
        <v>94</v>
      </c>
      <c r="U3689" s="102">
        <v>59409</v>
      </c>
      <c r="V3689" s="186">
        <v>45106</v>
      </c>
      <c r="W3689" s="17" t="s">
        <v>44</v>
      </c>
      <c r="X3689" s="17"/>
      <c r="Y3689" s="68">
        <v>45192</v>
      </c>
      <c r="Z3689" s="17" t="s">
        <v>998</v>
      </c>
      <c r="AA3689" s="17" t="s">
        <v>46</v>
      </c>
      <c r="AB3689" s="17"/>
      <c r="AC3689" s="102"/>
      <c r="AD3689" s="65">
        <v>1594</v>
      </c>
      <c r="AE3689" s="17" t="s">
        <v>48</v>
      </c>
      <c r="AF3689" s="17" t="s">
        <v>737</v>
      </c>
      <c r="AG3689" s="17" t="s">
        <v>1168</v>
      </c>
      <c r="AH3689" s="17"/>
      <c r="AI3689" s="17"/>
      <c r="AJ3689" s="17"/>
      <c r="AK3689" s="17"/>
      <c r="AL3689" s="17"/>
      <c r="AM3689" s="17"/>
      <c r="AN3689" s="17"/>
      <c r="AO3689" s="17"/>
      <c r="AP3689" s="17"/>
      <c r="AQ3689" s="17"/>
      <c r="AR3689" s="17"/>
    </row>
    <row r="3690" s="21" customFormat="1" hidden="1" spans="1:44">
      <c r="A3690" s="17" t="s">
        <v>34</v>
      </c>
      <c r="B3690" s="19">
        <v>923</v>
      </c>
      <c r="C3690" s="183">
        <v>45106</v>
      </c>
      <c r="D3690" s="17" t="s">
        <v>137</v>
      </c>
      <c r="E3690" s="17" t="s">
        <v>138</v>
      </c>
      <c r="F3690" s="17" t="s">
        <v>139</v>
      </c>
      <c r="G3690" s="17"/>
      <c r="H3690" s="19">
        <v>1.2311</v>
      </c>
      <c r="I3690" s="19"/>
      <c r="J3690" s="17" t="s">
        <v>49</v>
      </c>
      <c r="K3690" s="19">
        <v>2000</v>
      </c>
      <c r="L3690" s="91">
        <v>45</v>
      </c>
      <c r="M3690" s="19">
        <v>5000</v>
      </c>
      <c r="N3690" s="19" t="s">
        <v>66</v>
      </c>
      <c r="O3690" s="19" t="s">
        <v>141</v>
      </c>
      <c r="P3690" s="19">
        <v>10598</v>
      </c>
      <c r="Q3690" s="19">
        <f>1848+1848</f>
        <v>3696</v>
      </c>
      <c r="R3690" s="254"/>
      <c r="S3690" s="19">
        <v>1390</v>
      </c>
      <c r="T3690" s="19" t="s">
        <v>94</v>
      </c>
      <c r="U3690" s="102">
        <v>59409</v>
      </c>
      <c r="V3690" s="186">
        <v>45106</v>
      </c>
      <c r="W3690" s="17" t="s">
        <v>44</v>
      </c>
      <c r="X3690" s="17"/>
      <c r="Y3690" s="68">
        <v>45192</v>
      </c>
      <c r="Z3690" s="17" t="s">
        <v>142</v>
      </c>
      <c r="AA3690" s="17" t="s">
        <v>1187</v>
      </c>
      <c r="AB3690" s="17">
        <v>4001380121</v>
      </c>
      <c r="AC3690" s="102" t="s">
        <v>1204</v>
      </c>
      <c r="AD3690" s="65">
        <v>1495</v>
      </c>
      <c r="AE3690" s="17" t="s">
        <v>147</v>
      </c>
      <c r="AF3690" s="288" t="s">
        <v>1205</v>
      </c>
      <c r="AG3690" s="17" t="s">
        <v>1168</v>
      </c>
      <c r="AH3690" s="17"/>
      <c r="AI3690" s="17"/>
      <c r="AJ3690" s="17"/>
      <c r="AK3690" s="17"/>
      <c r="AL3690" s="17"/>
      <c r="AM3690" s="17"/>
      <c r="AN3690" s="17"/>
      <c r="AO3690" s="17"/>
      <c r="AP3690" s="17"/>
      <c r="AQ3690" s="17"/>
      <c r="AR3690" s="17"/>
    </row>
    <row r="3691" s="21" customFormat="1" hidden="1" spans="1:44">
      <c r="A3691" s="17"/>
      <c r="B3691" s="19">
        <v>923</v>
      </c>
      <c r="C3691" s="183">
        <v>45106</v>
      </c>
      <c r="D3691" s="17" t="s">
        <v>137</v>
      </c>
      <c r="E3691" s="17" t="s">
        <v>138</v>
      </c>
      <c r="F3691" s="17" t="s">
        <v>139</v>
      </c>
      <c r="G3691" s="17"/>
      <c r="H3691" s="19">
        <v>1.2311</v>
      </c>
      <c r="I3691" s="19"/>
      <c r="J3691" s="17" t="s">
        <v>49</v>
      </c>
      <c r="K3691" s="19">
        <v>1000</v>
      </c>
      <c r="L3691" s="91">
        <v>45</v>
      </c>
      <c r="M3691" s="19">
        <v>5000</v>
      </c>
      <c r="N3691" s="19" t="s">
        <v>66</v>
      </c>
      <c r="O3691" s="19" t="s">
        <v>141</v>
      </c>
      <c r="P3691" s="19"/>
      <c r="Q3691" s="19">
        <v>1866</v>
      </c>
      <c r="R3691" s="19">
        <f>+P3690-Q3690-Q3691</f>
        <v>5036</v>
      </c>
      <c r="S3691" s="19">
        <v>1390</v>
      </c>
      <c r="T3691" s="19" t="s">
        <v>94</v>
      </c>
      <c r="U3691" s="102">
        <v>59409</v>
      </c>
      <c r="V3691" s="186">
        <v>45106</v>
      </c>
      <c r="W3691" s="17" t="s">
        <v>44</v>
      </c>
      <c r="X3691" s="17"/>
      <c r="Y3691" s="68">
        <v>45192</v>
      </c>
      <c r="Z3691" s="17" t="s">
        <v>1186</v>
      </c>
      <c r="AA3691" s="17" t="s">
        <v>46</v>
      </c>
      <c r="AB3691" s="17"/>
      <c r="AC3691" s="102"/>
      <c r="AD3691" s="65">
        <v>1665</v>
      </c>
      <c r="AE3691" s="17" t="s">
        <v>147</v>
      </c>
      <c r="AF3691" s="289" t="s">
        <v>737</v>
      </c>
      <c r="AG3691" s="17" t="s">
        <v>1168</v>
      </c>
      <c r="AH3691" s="17"/>
      <c r="AI3691" s="17"/>
      <c r="AJ3691" s="17"/>
      <c r="AK3691" s="17"/>
      <c r="AL3691" s="17"/>
      <c r="AM3691" s="17"/>
      <c r="AN3691" s="17"/>
      <c r="AO3691" s="17"/>
      <c r="AP3691" s="17"/>
      <c r="AQ3691" s="17"/>
      <c r="AR3691" s="17"/>
    </row>
    <row r="3692" s="21" customFormat="1" hidden="1" spans="1:44">
      <c r="A3692" s="17" t="s">
        <v>34</v>
      </c>
      <c r="B3692" s="19">
        <v>923</v>
      </c>
      <c r="C3692" s="183">
        <v>45106</v>
      </c>
      <c r="D3692" s="17" t="s">
        <v>137</v>
      </c>
      <c r="E3692" s="17" t="s">
        <v>138</v>
      </c>
      <c r="F3692" s="17" t="s">
        <v>139</v>
      </c>
      <c r="G3692" s="17"/>
      <c r="H3692" s="19">
        <v>1.2311</v>
      </c>
      <c r="I3692" s="19"/>
      <c r="J3692" s="17" t="s">
        <v>49</v>
      </c>
      <c r="K3692" s="19">
        <v>2000</v>
      </c>
      <c r="L3692" s="91">
        <v>50</v>
      </c>
      <c r="M3692" s="19">
        <v>5000</v>
      </c>
      <c r="N3692" s="19" t="s">
        <v>66</v>
      </c>
      <c r="O3692" s="19" t="s">
        <v>141</v>
      </c>
      <c r="P3692" s="19">
        <v>11775</v>
      </c>
      <c r="Q3692" s="19">
        <f>2038+2038</f>
        <v>4076</v>
      </c>
      <c r="R3692" s="254"/>
      <c r="S3692" s="19">
        <v>1390</v>
      </c>
      <c r="T3692" s="19" t="s">
        <v>94</v>
      </c>
      <c r="U3692" s="102">
        <v>59409</v>
      </c>
      <c r="V3692" s="186">
        <v>45106</v>
      </c>
      <c r="W3692" s="17" t="s">
        <v>44</v>
      </c>
      <c r="X3692" s="17"/>
      <c r="Y3692" s="68">
        <v>45192</v>
      </c>
      <c r="Z3692" s="17" t="s">
        <v>142</v>
      </c>
      <c r="AA3692" s="17" t="s">
        <v>1187</v>
      </c>
      <c r="AB3692" s="17">
        <v>4001380121</v>
      </c>
      <c r="AC3692" s="102" t="s">
        <v>1204</v>
      </c>
      <c r="AD3692" s="65">
        <v>1495</v>
      </c>
      <c r="AE3692" s="17" t="s">
        <v>147</v>
      </c>
      <c r="AF3692" s="288" t="s">
        <v>1206</v>
      </c>
      <c r="AG3692" s="17" t="s">
        <v>1168</v>
      </c>
      <c r="AH3692" s="17"/>
      <c r="AI3692" s="17"/>
      <c r="AJ3692" s="17"/>
      <c r="AK3692" s="17"/>
      <c r="AL3692" s="17"/>
      <c r="AM3692" s="17"/>
      <c r="AN3692" s="17"/>
      <c r="AO3692" s="17"/>
      <c r="AP3692" s="17"/>
      <c r="AQ3692" s="17"/>
      <c r="AR3692" s="17"/>
    </row>
    <row r="3693" s="21" customFormat="1" hidden="1" spans="1:44">
      <c r="A3693" s="17"/>
      <c r="B3693" s="19">
        <v>923</v>
      </c>
      <c r="C3693" s="183">
        <v>45106</v>
      </c>
      <c r="D3693" s="17" t="s">
        <v>137</v>
      </c>
      <c r="E3693" s="17" t="s">
        <v>138</v>
      </c>
      <c r="F3693" s="17" t="s">
        <v>139</v>
      </c>
      <c r="G3693" s="17"/>
      <c r="H3693" s="19">
        <v>1.2311</v>
      </c>
      <c r="I3693" s="19"/>
      <c r="J3693" s="17" t="s">
        <v>49</v>
      </c>
      <c r="K3693" s="19">
        <v>2000</v>
      </c>
      <c r="L3693" s="91">
        <v>50</v>
      </c>
      <c r="M3693" s="19">
        <v>5000</v>
      </c>
      <c r="N3693" s="19" t="s">
        <v>66</v>
      </c>
      <c r="O3693" s="19" t="s">
        <v>141</v>
      </c>
      <c r="P3693" s="19"/>
      <c r="Q3693" s="19">
        <v>2078</v>
      </c>
      <c r="R3693" s="19">
        <f>+P3692-Q3692-Q3693</f>
        <v>5621</v>
      </c>
      <c r="S3693" s="19">
        <v>1390</v>
      </c>
      <c r="T3693" s="19" t="s">
        <v>94</v>
      </c>
      <c r="U3693" s="102">
        <v>59409</v>
      </c>
      <c r="V3693" s="186">
        <v>45106</v>
      </c>
      <c r="W3693" s="17" t="s">
        <v>44</v>
      </c>
      <c r="X3693" s="17"/>
      <c r="Y3693" s="68">
        <v>45192</v>
      </c>
      <c r="Z3693" s="17" t="s">
        <v>998</v>
      </c>
      <c r="AA3693" s="17" t="s">
        <v>46</v>
      </c>
      <c r="AB3693" s="17"/>
      <c r="AC3693" s="102"/>
      <c r="AD3693" s="65">
        <v>1594</v>
      </c>
      <c r="AE3693" s="17" t="s">
        <v>147</v>
      </c>
      <c r="AF3693" s="289" t="s">
        <v>737</v>
      </c>
      <c r="AG3693" s="17" t="s">
        <v>1168</v>
      </c>
      <c r="AH3693" s="17"/>
      <c r="AI3693" s="17"/>
      <c r="AJ3693" s="17"/>
      <c r="AK3693" s="17"/>
      <c r="AL3693" s="17"/>
      <c r="AM3693" s="17"/>
      <c r="AN3693" s="17"/>
      <c r="AO3693" s="17"/>
      <c r="AP3693" s="17"/>
      <c r="AQ3693" s="17"/>
      <c r="AR3693" s="17"/>
    </row>
    <row r="3694" s="21" customFormat="1" hidden="1" spans="1:44">
      <c r="A3694" s="17" t="s">
        <v>34</v>
      </c>
      <c r="B3694" s="19">
        <v>923</v>
      </c>
      <c r="C3694" s="183">
        <v>45106</v>
      </c>
      <c r="D3694" s="17" t="s">
        <v>137</v>
      </c>
      <c r="E3694" s="17" t="s">
        <v>138</v>
      </c>
      <c r="F3694" s="17" t="s">
        <v>139</v>
      </c>
      <c r="G3694" s="17"/>
      <c r="H3694" s="19">
        <v>1.2311</v>
      </c>
      <c r="I3694" s="19"/>
      <c r="J3694" s="17" t="s">
        <v>49</v>
      </c>
      <c r="K3694" s="19">
        <v>2000</v>
      </c>
      <c r="L3694" s="91">
        <v>55</v>
      </c>
      <c r="M3694" s="19">
        <v>5000</v>
      </c>
      <c r="N3694" s="19" t="s">
        <v>66</v>
      </c>
      <c r="O3694" s="19" t="s">
        <v>141</v>
      </c>
      <c r="P3694" s="19">
        <v>12953</v>
      </c>
      <c r="Q3694" s="19">
        <f>2265+2265</f>
        <v>4530</v>
      </c>
      <c r="S3694" s="19">
        <v>1390</v>
      </c>
      <c r="T3694" s="19" t="s">
        <v>94</v>
      </c>
      <c r="U3694" s="102">
        <v>59409</v>
      </c>
      <c r="V3694" s="186">
        <v>45106</v>
      </c>
      <c r="W3694" s="17" t="s">
        <v>44</v>
      </c>
      <c r="X3694" s="17"/>
      <c r="Y3694" s="68">
        <v>45192</v>
      </c>
      <c r="Z3694" s="17" t="s">
        <v>142</v>
      </c>
      <c r="AA3694" s="17" t="s">
        <v>1187</v>
      </c>
      <c r="AB3694" s="17">
        <v>4001380121</v>
      </c>
      <c r="AC3694" s="102" t="s">
        <v>1204</v>
      </c>
      <c r="AD3694" s="65">
        <v>1495</v>
      </c>
      <c r="AE3694" s="17" t="s">
        <v>147</v>
      </c>
      <c r="AF3694" s="288" t="s">
        <v>1207</v>
      </c>
      <c r="AG3694" s="17" t="s">
        <v>1168</v>
      </c>
      <c r="AH3694" s="17"/>
      <c r="AI3694" s="17"/>
      <c r="AJ3694" s="17"/>
      <c r="AK3694" s="17"/>
      <c r="AL3694" s="17"/>
      <c r="AM3694" s="17"/>
      <c r="AN3694" s="17"/>
      <c r="AO3694" s="17"/>
      <c r="AP3694" s="17"/>
      <c r="AQ3694" s="17"/>
      <c r="AR3694" s="17"/>
    </row>
    <row r="3695" s="21" customFormat="1" hidden="1" spans="1:44">
      <c r="A3695" s="17" t="s">
        <v>34</v>
      </c>
      <c r="B3695" s="19">
        <v>923</v>
      </c>
      <c r="C3695" s="183">
        <v>45106</v>
      </c>
      <c r="D3695" s="17" t="s">
        <v>137</v>
      </c>
      <c r="E3695" s="17" t="s">
        <v>138</v>
      </c>
      <c r="F3695" s="17" t="s">
        <v>139</v>
      </c>
      <c r="G3695" s="17"/>
      <c r="H3695" s="19">
        <v>1.2311</v>
      </c>
      <c r="I3695" s="19"/>
      <c r="J3695" s="17" t="s">
        <v>49</v>
      </c>
      <c r="K3695" s="19">
        <v>1010</v>
      </c>
      <c r="L3695" s="91">
        <v>57.8</v>
      </c>
      <c r="M3695" s="19">
        <v>5000</v>
      </c>
      <c r="N3695" s="19" t="s">
        <v>66</v>
      </c>
      <c r="O3695" s="19" t="s">
        <v>141</v>
      </c>
      <c r="P3695" s="19"/>
      <c r="Q3695" s="19">
        <v>2291</v>
      </c>
      <c r="R3695" s="19">
        <f>+P3694-Q3694-Q3695</f>
        <v>6132</v>
      </c>
      <c r="S3695" s="19">
        <v>1390</v>
      </c>
      <c r="T3695" s="19" t="s">
        <v>94</v>
      </c>
      <c r="U3695" s="102">
        <v>59409</v>
      </c>
      <c r="V3695" s="186">
        <v>45106</v>
      </c>
      <c r="W3695" s="17" t="s">
        <v>44</v>
      </c>
      <c r="X3695" s="17"/>
      <c r="Y3695" s="68">
        <v>45192</v>
      </c>
      <c r="Z3695" s="17" t="s">
        <v>998</v>
      </c>
      <c r="AA3695" s="17" t="s">
        <v>46</v>
      </c>
      <c r="AB3695" s="17">
        <v>4001380050</v>
      </c>
      <c r="AC3695" s="217">
        <v>45708</v>
      </c>
      <c r="AD3695" s="65">
        <v>1590</v>
      </c>
      <c r="AE3695" s="17" t="s">
        <v>147</v>
      </c>
      <c r="AF3695" s="288"/>
      <c r="AG3695" s="17" t="s">
        <v>1168</v>
      </c>
      <c r="AH3695" s="17"/>
      <c r="AI3695" s="17"/>
      <c r="AJ3695" s="17"/>
      <c r="AK3695" s="17"/>
      <c r="AL3695" s="17"/>
      <c r="AM3695" s="17"/>
      <c r="AN3695" s="17"/>
      <c r="AO3695" s="17"/>
      <c r="AP3695" s="17"/>
      <c r="AQ3695" s="17"/>
      <c r="AR3695" s="17"/>
    </row>
    <row r="3696" s="21" customFormat="1" hidden="1" spans="1:44">
      <c r="A3696" s="17" t="s">
        <v>34</v>
      </c>
      <c r="B3696" s="19">
        <v>923</v>
      </c>
      <c r="C3696" s="183">
        <v>45106</v>
      </c>
      <c r="D3696" s="17" t="s">
        <v>137</v>
      </c>
      <c r="E3696" s="17" t="s">
        <v>138</v>
      </c>
      <c r="F3696" s="17" t="s">
        <v>139</v>
      </c>
      <c r="G3696" s="17"/>
      <c r="H3696" s="19">
        <v>1.2311</v>
      </c>
      <c r="I3696" s="19"/>
      <c r="J3696" s="17" t="s">
        <v>49</v>
      </c>
      <c r="K3696" s="19">
        <v>2000</v>
      </c>
      <c r="L3696" s="91">
        <v>70</v>
      </c>
      <c r="M3696" s="19">
        <v>5000</v>
      </c>
      <c r="N3696" s="19" t="s">
        <v>66</v>
      </c>
      <c r="O3696" s="19" t="s">
        <v>141</v>
      </c>
      <c r="P3696" s="19">
        <v>10990</v>
      </c>
      <c r="Q3696" s="19">
        <f>2839+2839</f>
        <v>5678</v>
      </c>
      <c r="S3696" s="19">
        <v>1390</v>
      </c>
      <c r="T3696" s="19" t="s">
        <v>94</v>
      </c>
      <c r="U3696" s="102">
        <v>59409</v>
      </c>
      <c r="V3696" s="186">
        <v>45106</v>
      </c>
      <c r="W3696" s="17" t="s">
        <v>44</v>
      </c>
      <c r="X3696" s="17"/>
      <c r="Y3696" s="68">
        <v>45192</v>
      </c>
      <c r="Z3696" s="17" t="s">
        <v>142</v>
      </c>
      <c r="AA3696" s="17" t="s">
        <v>1187</v>
      </c>
      <c r="AB3696" s="17">
        <v>4001380121</v>
      </c>
      <c r="AC3696" s="102" t="s">
        <v>1204</v>
      </c>
      <c r="AD3696" s="65">
        <v>1495</v>
      </c>
      <c r="AE3696" s="17" t="s">
        <v>147</v>
      </c>
      <c r="AF3696" s="288" t="s">
        <v>1208</v>
      </c>
      <c r="AG3696" s="17" t="s">
        <v>1168</v>
      </c>
      <c r="AH3696" s="17"/>
      <c r="AI3696" s="17"/>
      <c r="AJ3696" s="17"/>
      <c r="AK3696" s="17"/>
      <c r="AL3696" s="17"/>
      <c r="AM3696" s="17"/>
      <c r="AN3696" s="17"/>
      <c r="AO3696" s="17"/>
      <c r="AP3696" s="17"/>
      <c r="AQ3696" s="17"/>
      <c r="AR3696" s="17"/>
    </row>
    <row r="3697" s="21" customFormat="1" hidden="1" spans="1:44">
      <c r="A3697" s="17" t="s">
        <v>34</v>
      </c>
      <c r="B3697" s="19">
        <v>923</v>
      </c>
      <c r="C3697" s="183">
        <v>45106</v>
      </c>
      <c r="D3697" s="17" t="s">
        <v>137</v>
      </c>
      <c r="E3697" s="17" t="s">
        <v>138</v>
      </c>
      <c r="F3697" s="17" t="s">
        <v>139</v>
      </c>
      <c r="G3697" s="17"/>
      <c r="H3697" s="19">
        <v>1.2311</v>
      </c>
      <c r="I3697" s="19"/>
      <c r="J3697" s="17" t="s">
        <v>49</v>
      </c>
      <c r="K3697" s="19">
        <v>2000</v>
      </c>
      <c r="L3697" s="91">
        <v>70</v>
      </c>
      <c r="M3697" s="19">
        <v>5000</v>
      </c>
      <c r="N3697" s="19" t="s">
        <v>66</v>
      </c>
      <c r="O3697" s="19" t="s">
        <v>141</v>
      </c>
      <c r="P3697" s="19"/>
      <c r="Q3697" s="19">
        <v>5704</v>
      </c>
      <c r="R3697" s="19">
        <f>+P3696-Q3696-Q3697</f>
        <v>-392</v>
      </c>
      <c r="S3697" s="19">
        <v>1390</v>
      </c>
      <c r="T3697" s="19" t="s">
        <v>94</v>
      </c>
      <c r="U3697" s="102">
        <v>59409</v>
      </c>
      <c r="V3697" s="186">
        <v>45106</v>
      </c>
      <c r="W3697" s="17" t="s">
        <v>44</v>
      </c>
      <c r="X3697" s="17"/>
      <c r="Y3697" s="68">
        <v>45192</v>
      </c>
      <c r="Z3697" s="17" t="s">
        <v>998</v>
      </c>
      <c r="AA3697" s="17" t="s">
        <v>46</v>
      </c>
      <c r="AB3697" s="17">
        <v>4001380050</v>
      </c>
      <c r="AC3697" s="217">
        <v>45708</v>
      </c>
      <c r="AD3697" s="65">
        <v>1590</v>
      </c>
      <c r="AE3697" s="17" t="s">
        <v>147</v>
      </c>
      <c r="AF3697" s="288"/>
      <c r="AG3697" s="17" t="s">
        <v>1168</v>
      </c>
      <c r="AH3697" s="17"/>
      <c r="AI3697" s="17"/>
      <c r="AJ3697" s="17"/>
      <c r="AK3697" s="17"/>
      <c r="AL3697" s="17"/>
      <c r="AM3697" s="17"/>
      <c r="AN3697" s="17"/>
      <c r="AO3697" s="17"/>
      <c r="AP3697" s="17"/>
      <c r="AQ3697" s="17"/>
      <c r="AR3697" s="17"/>
    </row>
    <row r="3698" s="20" customFormat="1" hidden="1" spans="1:44">
      <c r="A3698" s="17"/>
      <c r="B3698" s="19">
        <v>923</v>
      </c>
      <c r="C3698" s="183">
        <v>45106</v>
      </c>
      <c r="D3698" s="17" t="s">
        <v>137</v>
      </c>
      <c r="E3698" s="17" t="s">
        <v>138</v>
      </c>
      <c r="F3698" s="17" t="s">
        <v>139</v>
      </c>
      <c r="G3698" s="17"/>
      <c r="H3698" s="19">
        <v>1.2311</v>
      </c>
      <c r="I3698" s="19"/>
      <c r="J3698" s="17" t="s">
        <v>49</v>
      </c>
      <c r="K3698" s="19">
        <v>2000</v>
      </c>
      <c r="L3698" s="91">
        <v>130</v>
      </c>
      <c r="M3698" s="19">
        <v>6125</v>
      </c>
      <c r="N3698" s="19" t="s">
        <v>66</v>
      </c>
      <c r="O3698" s="19" t="s">
        <v>1167</v>
      </c>
      <c r="P3698" s="19">
        <v>25002</v>
      </c>
      <c r="Q3698" s="19">
        <f>6918+6939+6939+6936</f>
        <v>27732</v>
      </c>
      <c r="R3698" s="19">
        <f>+P3698-Q3698</f>
        <v>-2730</v>
      </c>
      <c r="S3698" s="19">
        <v>1750</v>
      </c>
      <c r="T3698" s="19" t="s">
        <v>94</v>
      </c>
      <c r="U3698" s="102">
        <v>59409</v>
      </c>
      <c r="V3698" s="186">
        <v>45106</v>
      </c>
      <c r="W3698" s="17" t="s">
        <v>44</v>
      </c>
      <c r="X3698" s="17"/>
      <c r="Y3698" s="68">
        <v>45192</v>
      </c>
      <c r="Z3698" s="17" t="s">
        <v>142</v>
      </c>
      <c r="AA3698" s="17" t="s">
        <v>171</v>
      </c>
      <c r="AB3698" s="17"/>
      <c r="AC3698" s="102"/>
      <c r="AD3698" s="65"/>
      <c r="AE3698" s="17" t="s">
        <v>129</v>
      </c>
      <c r="AF3698" s="17"/>
      <c r="AG3698" s="17" t="s">
        <v>1168</v>
      </c>
      <c r="AH3698" s="17"/>
      <c r="AI3698" s="17"/>
      <c r="AJ3698" s="17"/>
      <c r="AK3698" s="17"/>
      <c r="AL3698" s="17"/>
      <c r="AM3698" s="17"/>
      <c r="AN3698" s="17"/>
      <c r="AO3698" s="17"/>
      <c r="AP3698" s="17"/>
      <c r="AQ3698" s="17"/>
      <c r="AR3698" s="17"/>
    </row>
    <row r="3699" s="20" customFormat="1" hidden="1" spans="1:44">
      <c r="A3699" s="17"/>
      <c r="B3699" s="19">
        <v>923</v>
      </c>
      <c r="C3699" s="183">
        <v>45106</v>
      </c>
      <c r="D3699" s="17" t="s">
        <v>137</v>
      </c>
      <c r="E3699" s="17" t="s">
        <v>138</v>
      </c>
      <c r="F3699" s="17" t="s">
        <v>139</v>
      </c>
      <c r="G3699" s="17"/>
      <c r="H3699" s="19">
        <v>1.2311</v>
      </c>
      <c r="I3699" s="19"/>
      <c r="J3699" s="17" t="s">
        <v>49</v>
      </c>
      <c r="K3699" s="19">
        <v>2000</v>
      </c>
      <c r="L3699" s="91">
        <v>155</v>
      </c>
      <c r="M3699" s="19">
        <v>5150</v>
      </c>
      <c r="N3699" s="19" t="s">
        <v>66</v>
      </c>
      <c r="O3699" s="19" t="s">
        <v>1167</v>
      </c>
      <c r="P3699" s="19">
        <v>25065</v>
      </c>
      <c r="Q3699" s="19">
        <f>12007+13072</f>
        <v>25079</v>
      </c>
      <c r="R3699" s="19">
        <f>+P3699-Q3699</f>
        <v>-14</v>
      </c>
      <c r="S3699" s="19">
        <v>1750</v>
      </c>
      <c r="T3699" s="19" t="s">
        <v>94</v>
      </c>
      <c r="U3699" s="102">
        <v>59409</v>
      </c>
      <c r="V3699" s="186">
        <v>45106</v>
      </c>
      <c r="W3699" s="17" t="s">
        <v>44</v>
      </c>
      <c r="X3699" s="17"/>
      <c r="Y3699" s="68">
        <v>45192</v>
      </c>
      <c r="Z3699" s="17" t="s">
        <v>142</v>
      </c>
      <c r="AA3699" s="17" t="s">
        <v>145</v>
      </c>
      <c r="AB3699" s="17"/>
      <c r="AC3699" s="102"/>
      <c r="AD3699" s="65"/>
      <c r="AE3699" s="17" t="s">
        <v>48</v>
      </c>
      <c r="AF3699" s="17"/>
      <c r="AG3699" s="17" t="s">
        <v>1168</v>
      </c>
      <c r="AH3699" s="17"/>
      <c r="AI3699" s="17"/>
      <c r="AJ3699" s="17"/>
      <c r="AK3699" s="17"/>
      <c r="AL3699" s="17"/>
      <c r="AM3699" s="17"/>
      <c r="AN3699" s="17"/>
      <c r="AO3699" s="17"/>
      <c r="AP3699" s="17"/>
      <c r="AQ3699" s="17"/>
      <c r="AR3699" s="17"/>
    </row>
    <row r="3700" s="20" customFormat="1" hidden="1" spans="1:44">
      <c r="A3700" s="17"/>
      <c r="B3700" s="19">
        <v>923</v>
      </c>
      <c r="C3700" s="183">
        <v>45106</v>
      </c>
      <c r="D3700" s="17" t="s">
        <v>137</v>
      </c>
      <c r="E3700" s="17" t="s">
        <v>138</v>
      </c>
      <c r="F3700" s="17" t="s">
        <v>139</v>
      </c>
      <c r="G3700" s="17"/>
      <c r="H3700" s="19">
        <v>1.2311</v>
      </c>
      <c r="I3700" s="19"/>
      <c r="J3700" s="17" t="s">
        <v>49</v>
      </c>
      <c r="K3700" s="19">
        <v>2000</v>
      </c>
      <c r="L3700" s="91">
        <v>180</v>
      </c>
      <c r="M3700" s="19">
        <v>4425</v>
      </c>
      <c r="N3700" s="19" t="s">
        <v>66</v>
      </c>
      <c r="O3700" s="19" t="s">
        <v>1167</v>
      </c>
      <c r="P3700" s="19">
        <v>25010</v>
      </c>
      <c r="Q3700" s="19">
        <f>12725+11998</f>
        <v>24723</v>
      </c>
      <c r="R3700" s="147">
        <f>+P3700-Q3700</f>
        <v>287</v>
      </c>
      <c r="S3700" s="19">
        <v>1750</v>
      </c>
      <c r="T3700" s="19" t="s">
        <v>94</v>
      </c>
      <c r="U3700" s="102">
        <v>59409</v>
      </c>
      <c r="V3700" s="186">
        <v>45106</v>
      </c>
      <c r="W3700" s="17" t="s">
        <v>44</v>
      </c>
      <c r="X3700" s="17"/>
      <c r="Y3700" s="68">
        <v>45192</v>
      </c>
      <c r="Z3700" s="17" t="s">
        <v>142</v>
      </c>
      <c r="AA3700" s="17" t="s">
        <v>145</v>
      </c>
      <c r="AB3700" s="17"/>
      <c r="AC3700" s="102"/>
      <c r="AD3700" s="65"/>
      <c r="AE3700" s="17" t="s">
        <v>48</v>
      </c>
      <c r="AF3700" s="17"/>
      <c r="AG3700" s="17" t="s">
        <v>1168</v>
      </c>
      <c r="AH3700" s="17"/>
      <c r="AI3700" s="17"/>
      <c r="AJ3700" s="17"/>
      <c r="AK3700" s="17"/>
      <c r="AL3700" s="17"/>
      <c r="AM3700" s="17"/>
      <c r="AN3700" s="17"/>
      <c r="AO3700" s="17"/>
      <c r="AP3700" s="17"/>
      <c r="AQ3700" s="17"/>
      <c r="AR3700" s="17"/>
    </row>
    <row r="3701" s="21" customFormat="1" hidden="1" spans="1:44">
      <c r="A3701" s="17" t="s">
        <v>34</v>
      </c>
      <c r="B3701" s="19">
        <v>923</v>
      </c>
      <c r="C3701" s="183">
        <v>45106</v>
      </c>
      <c r="D3701" s="17" t="s">
        <v>137</v>
      </c>
      <c r="E3701" s="17" t="s">
        <v>138</v>
      </c>
      <c r="F3701" s="17" t="s">
        <v>139</v>
      </c>
      <c r="G3701" s="17"/>
      <c r="H3701" s="19">
        <v>1.2311</v>
      </c>
      <c r="I3701" s="19"/>
      <c r="J3701" s="17" t="s">
        <v>49</v>
      </c>
      <c r="K3701" s="19">
        <v>2000</v>
      </c>
      <c r="L3701" s="91">
        <v>210</v>
      </c>
      <c r="M3701" s="19">
        <v>3775</v>
      </c>
      <c r="N3701" s="19" t="s">
        <v>66</v>
      </c>
      <c r="O3701" s="19" t="s">
        <v>1167</v>
      </c>
      <c r="P3701" s="19">
        <v>24892</v>
      </c>
      <c r="Q3701" s="19">
        <v>12351</v>
      </c>
      <c r="R3701" s="254"/>
      <c r="S3701" s="19">
        <v>1750</v>
      </c>
      <c r="T3701" s="19" t="s">
        <v>94</v>
      </c>
      <c r="U3701" s="102">
        <v>59409</v>
      </c>
      <c r="V3701" s="186">
        <v>45106</v>
      </c>
      <c r="W3701" s="17" t="s">
        <v>44</v>
      </c>
      <c r="X3701" s="17"/>
      <c r="Y3701" s="68">
        <v>45192</v>
      </c>
      <c r="Z3701" s="17" t="s">
        <v>998</v>
      </c>
      <c r="AA3701" s="17" t="s">
        <v>46</v>
      </c>
      <c r="AB3701" s="17">
        <v>4001380078</v>
      </c>
      <c r="AC3701" s="217">
        <v>45747</v>
      </c>
      <c r="AD3701" s="65">
        <v>1593</v>
      </c>
      <c r="AE3701" s="17" t="s">
        <v>48</v>
      </c>
      <c r="AF3701" s="17"/>
      <c r="AG3701" s="17" t="s">
        <v>1168</v>
      </c>
      <c r="AH3701" s="17"/>
      <c r="AI3701" s="17"/>
      <c r="AJ3701" s="17"/>
      <c r="AK3701" s="17"/>
      <c r="AL3701" s="17"/>
      <c r="AM3701" s="17"/>
      <c r="AN3701" s="17"/>
      <c r="AO3701" s="17"/>
      <c r="AP3701" s="17"/>
      <c r="AQ3701" s="17"/>
      <c r="AR3701" s="17"/>
    </row>
    <row r="3702" s="21" customFormat="1" hidden="1" spans="1:44">
      <c r="A3702" s="17"/>
      <c r="B3702" s="19">
        <v>923</v>
      </c>
      <c r="C3702" s="183">
        <v>45106</v>
      </c>
      <c r="D3702" s="17" t="s">
        <v>137</v>
      </c>
      <c r="E3702" s="17" t="s">
        <v>138</v>
      </c>
      <c r="F3702" s="17" t="s">
        <v>139</v>
      </c>
      <c r="G3702" s="17"/>
      <c r="H3702" s="19">
        <v>1.2311</v>
      </c>
      <c r="I3702" s="19"/>
      <c r="J3702" s="17" t="s">
        <v>49</v>
      </c>
      <c r="K3702" s="19">
        <v>2000</v>
      </c>
      <c r="L3702" s="91">
        <v>210</v>
      </c>
      <c r="M3702" s="19">
        <v>3775</v>
      </c>
      <c r="N3702" s="19" t="s">
        <v>66</v>
      </c>
      <c r="O3702" s="19" t="s">
        <v>1167</v>
      </c>
      <c r="P3702" s="19"/>
      <c r="Q3702" s="19">
        <v>12639</v>
      </c>
      <c r="R3702" s="19">
        <f>+P3701-Q3701-Q3702</f>
        <v>-98</v>
      </c>
      <c r="S3702" s="19">
        <v>1750</v>
      </c>
      <c r="T3702" s="19" t="s">
        <v>94</v>
      </c>
      <c r="U3702" s="102">
        <v>59409</v>
      </c>
      <c r="V3702" s="186">
        <v>45106</v>
      </c>
      <c r="W3702" s="17" t="s">
        <v>44</v>
      </c>
      <c r="X3702" s="17"/>
      <c r="Y3702" s="68">
        <v>45192</v>
      </c>
      <c r="Z3702" s="17" t="s">
        <v>1186</v>
      </c>
      <c r="AA3702" s="17" t="s">
        <v>46</v>
      </c>
      <c r="AB3702" s="17"/>
      <c r="AC3702" s="102"/>
      <c r="AD3702" s="65">
        <v>1665</v>
      </c>
      <c r="AE3702" s="17" t="s">
        <v>48</v>
      </c>
      <c r="AF3702" s="17" t="s">
        <v>737</v>
      </c>
      <c r="AG3702" s="17" t="s">
        <v>1168</v>
      </c>
      <c r="AH3702" s="17"/>
      <c r="AI3702" s="17"/>
      <c r="AJ3702" s="17"/>
      <c r="AK3702" s="17"/>
      <c r="AL3702" s="17"/>
      <c r="AM3702" s="17"/>
      <c r="AN3702" s="17"/>
      <c r="AO3702" s="17"/>
      <c r="AP3702" s="17"/>
      <c r="AQ3702" s="17"/>
      <c r="AR3702" s="17"/>
    </row>
    <row r="3703" s="21" customFormat="1" hidden="1" spans="1:44">
      <c r="A3703" s="17"/>
      <c r="B3703" s="19">
        <v>923</v>
      </c>
      <c r="C3703" s="183">
        <v>45106</v>
      </c>
      <c r="D3703" s="17" t="s">
        <v>137</v>
      </c>
      <c r="E3703" s="17" t="s">
        <v>138</v>
      </c>
      <c r="F3703" s="17" t="s">
        <v>139</v>
      </c>
      <c r="G3703" s="17"/>
      <c r="H3703" s="19">
        <v>1.2311</v>
      </c>
      <c r="I3703" s="19"/>
      <c r="J3703" s="17" t="s">
        <v>49</v>
      </c>
      <c r="K3703" s="19">
        <v>2000</v>
      </c>
      <c r="L3703" s="91">
        <v>230</v>
      </c>
      <c r="M3703" s="19">
        <v>3450</v>
      </c>
      <c r="N3703" s="19" t="s">
        <v>66</v>
      </c>
      <c r="O3703" s="19" t="s">
        <v>1167</v>
      </c>
      <c r="P3703" s="19">
        <v>24916</v>
      </c>
      <c r="Q3703" s="19">
        <f>12943+12830</f>
        <v>25773</v>
      </c>
      <c r="R3703" s="19">
        <f>+P3703-Q3703</f>
        <v>-857</v>
      </c>
      <c r="S3703" s="19">
        <v>1750</v>
      </c>
      <c r="T3703" s="19" t="s">
        <v>94</v>
      </c>
      <c r="U3703" s="102">
        <v>59409</v>
      </c>
      <c r="V3703" s="186">
        <v>45106</v>
      </c>
      <c r="W3703" s="17" t="s">
        <v>44</v>
      </c>
      <c r="X3703" s="17"/>
      <c r="Y3703" s="68">
        <v>45192</v>
      </c>
      <c r="Z3703" s="17" t="s">
        <v>142</v>
      </c>
      <c r="AA3703" s="17" t="s">
        <v>145</v>
      </c>
      <c r="AB3703" s="17"/>
      <c r="AC3703" s="102"/>
      <c r="AD3703" s="65"/>
      <c r="AE3703" s="17" t="s">
        <v>48</v>
      </c>
      <c r="AF3703" s="17"/>
      <c r="AG3703" s="17" t="s">
        <v>1168</v>
      </c>
      <c r="AH3703" s="17"/>
      <c r="AI3703" s="17"/>
      <c r="AJ3703" s="17"/>
      <c r="AK3703" s="17"/>
      <c r="AL3703" s="17"/>
      <c r="AM3703" s="17"/>
      <c r="AN3703" s="17"/>
      <c r="AO3703" s="17"/>
      <c r="AP3703" s="17"/>
      <c r="AQ3703" s="17"/>
      <c r="AR3703" s="17"/>
    </row>
    <row r="3704" s="20" customFormat="1" hidden="1" spans="1:44">
      <c r="A3704" s="17"/>
      <c r="B3704" s="19">
        <v>923</v>
      </c>
      <c r="C3704" s="183">
        <v>45106</v>
      </c>
      <c r="D3704" s="17" t="s">
        <v>137</v>
      </c>
      <c r="E3704" s="17" t="s">
        <v>138</v>
      </c>
      <c r="F3704" s="17" t="s">
        <v>139</v>
      </c>
      <c r="G3704" s="17"/>
      <c r="H3704" s="19">
        <v>1.2311</v>
      </c>
      <c r="I3704" s="19"/>
      <c r="J3704" s="17" t="s">
        <v>49</v>
      </c>
      <c r="K3704" s="19">
        <v>2000</v>
      </c>
      <c r="L3704" s="91">
        <v>310</v>
      </c>
      <c r="M3704" s="19">
        <v>5050</v>
      </c>
      <c r="N3704" s="19" t="s">
        <v>66</v>
      </c>
      <c r="O3704" s="19" t="s">
        <v>1167</v>
      </c>
      <c r="P3704" s="19">
        <v>24578</v>
      </c>
      <c r="Q3704" s="19">
        <v>25549</v>
      </c>
      <c r="R3704" s="19">
        <f>+P3704-Q3704</f>
        <v>-971</v>
      </c>
      <c r="S3704" s="19">
        <v>1750</v>
      </c>
      <c r="T3704" s="19" t="s">
        <v>94</v>
      </c>
      <c r="U3704" s="102">
        <v>59409</v>
      </c>
      <c r="V3704" s="186">
        <v>45106</v>
      </c>
      <c r="W3704" s="17" t="s">
        <v>44</v>
      </c>
      <c r="X3704" s="17"/>
      <c r="Y3704" s="68">
        <v>45192</v>
      </c>
      <c r="Z3704" s="17" t="s">
        <v>1186</v>
      </c>
      <c r="AA3704" s="17" t="s">
        <v>46</v>
      </c>
      <c r="AB3704" s="17"/>
      <c r="AC3704" s="102"/>
      <c r="AD3704" s="65">
        <v>1665</v>
      </c>
      <c r="AE3704" s="17" t="s">
        <v>48</v>
      </c>
      <c r="AF3704" s="17" t="s">
        <v>737</v>
      </c>
      <c r="AG3704" s="17" t="s">
        <v>1168</v>
      </c>
      <c r="AH3704" s="17"/>
      <c r="AI3704" s="17"/>
      <c r="AJ3704" s="17"/>
      <c r="AK3704" s="17"/>
      <c r="AL3704" s="17"/>
      <c r="AM3704" s="17"/>
      <c r="AN3704" s="17"/>
      <c r="AO3704" s="17"/>
      <c r="AP3704" s="17"/>
      <c r="AQ3704" s="17"/>
      <c r="AR3704" s="17"/>
    </row>
    <row r="3705" s="20" customFormat="1" hidden="1" spans="1:44">
      <c r="A3705" s="17" t="s">
        <v>34</v>
      </c>
      <c r="B3705" s="19">
        <v>923</v>
      </c>
      <c r="C3705" s="183">
        <v>45106</v>
      </c>
      <c r="D3705" s="17" t="s">
        <v>137</v>
      </c>
      <c r="E3705" s="17" t="s">
        <v>138</v>
      </c>
      <c r="F3705" s="17" t="s">
        <v>139</v>
      </c>
      <c r="G3705" s="17"/>
      <c r="H3705" s="19">
        <v>1.2738</v>
      </c>
      <c r="I3705" s="19"/>
      <c r="J3705" s="17" t="s">
        <v>49</v>
      </c>
      <c r="K3705" s="19">
        <v>2000</v>
      </c>
      <c r="L3705" s="91">
        <v>40</v>
      </c>
      <c r="M3705" s="19">
        <v>5000</v>
      </c>
      <c r="N3705" s="19" t="s">
        <v>66</v>
      </c>
      <c r="O3705" s="19" t="s">
        <v>141</v>
      </c>
      <c r="P3705" s="19">
        <v>12560</v>
      </c>
      <c r="Q3705" s="19">
        <v>3349</v>
      </c>
      <c r="R3705" s="17"/>
      <c r="S3705" s="19">
        <v>1590</v>
      </c>
      <c r="T3705" s="19" t="s">
        <v>94</v>
      </c>
      <c r="U3705" s="102">
        <v>59409</v>
      </c>
      <c r="V3705" s="186">
        <v>45106</v>
      </c>
      <c r="W3705" s="17" t="s">
        <v>44</v>
      </c>
      <c r="X3705" s="17"/>
      <c r="Y3705" s="68">
        <v>45192</v>
      </c>
      <c r="Z3705" s="17" t="s">
        <v>142</v>
      </c>
      <c r="AA3705" s="17" t="s">
        <v>1169</v>
      </c>
      <c r="AB3705" s="17">
        <v>4001380081</v>
      </c>
      <c r="AC3705" s="217">
        <v>45405</v>
      </c>
      <c r="AD3705" s="65">
        <v>1484</v>
      </c>
      <c r="AE3705" s="17" t="s">
        <v>48</v>
      </c>
      <c r="AF3705" s="17"/>
      <c r="AG3705" s="17" t="s">
        <v>1168</v>
      </c>
      <c r="AH3705" s="17"/>
      <c r="AI3705" s="17"/>
      <c r="AJ3705" s="17"/>
      <c r="AK3705" s="17"/>
      <c r="AL3705" s="17"/>
      <c r="AM3705" s="17"/>
      <c r="AN3705" s="17"/>
      <c r="AO3705" s="17"/>
      <c r="AP3705" s="17"/>
      <c r="AQ3705" s="17"/>
      <c r="AR3705" s="17"/>
    </row>
    <row r="3706" s="20" customFormat="1" hidden="1" spans="1:44">
      <c r="A3706" s="17" t="s">
        <v>34</v>
      </c>
      <c r="B3706" s="19">
        <v>923</v>
      </c>
      <c r="C3706" s="183">
        <v>45106</v>
      </c>
      <c r="D3706" s="17" t="s">
        <v>137</v>
      </c>
      <c r="E3706" s="17" t="s">
        <v>138</v>
      </c>
      <c r="F3706" s="17" t="s">
        <v>139</v>
      </c>
      <c r="G3706" s="17"/>
      <c r="H3706" s="19">
        <v>1.2738</v>
      </c>
      <c r="I3706" s="19"/>
      <c r="J3706" s="17" t="s">
        <v>49</v>
      </c>
      <c r="K3706" s="19">
        <v>2000</v>
      </c>
      <c r="L3706" s="91">
        <v>40</v>
      </c>
      <c r="M3706" s="19">
        <v>5000</v>
      </c>
      <c r="N3706" s="19" t="s">
        <v>66</v>
      </c>
      <c r="O3706" s="19" t="s">
        <v>141</v>
      </c>
      <c r="P3706" s="19"/>
      <c r="Q3706" s="19">
        <v>3205</v>
      </c>
      <c r="R3706" s="254"/>
      <c r="S3706" s="19">
        <v>1590</v>
      </c>
      <c r="T3706" s="19" t="s">
        <v>94</v>
      </c>
      <c r="U3706" s="102">
        <v>59409</v>
      </c>
      <c r="V3706" s="186">
        <v>45106</v>
      </c>
      <c r="W3706" s="17" t="s">
        <v>44</v>
      </c>
      <c r="X3706" s="17"/>
      <c r="Y3706" s="68">
        <v>45192</v>
      </c>
      <c r="Z3706" s="17" t="s">
        <v>142</v>
      </c>
      <c r="AA3706" s="17" t="s">
        <v>171</v>
      </c>
      <c r="AB3706" s="17">
        <v>4001380122</v>
      </c>
      <c r="AC3706" s="217">
        <v>45462</v>
      </c>
      <c r="AD3706" s="65">
        <v>1487</v>
      </c>
      <c r="AE3706" s="17" t="s">
        <v>48</v>
      </c>
      <c r="AF3706" s="17"/>
      <c r="AG3706" s="17" t="s">
        <v>1168</v>
      </c>
      <c r="AH3706" s="17"/>
      <c r="AI3706" s="17"/>
      <c r="AJ3706" s="17"/>
      <c r="AK3706" s="17"/>
      <c r="AL3706" s="17"/>
      <c r="AM3706" s="17"/>
      <c r="AN3706" s="17"/>
      <c r="AO3706" s="17"/>
      <c r="AP3706" s="17"/>
      <c r="AQ3706" s="17"/>
      <c r="AR3706" s="17"/>
    </row>
    <row r="3707" s="20" customFormat="1" hidden="1" spans="1:44">
      <c r="A3707" s="17" t="s">
        <v>34</v>
      </c>
      <c r="B3707" s="19">
        <v>923</v>
      </c>
      <c r="C3707" s="183">
        <v>45106</v>
      </c>
      <c r="D3707" s="17" t="s">
        <v>137</v>
      </c>
      <c r="E3707" s="17" t="s">
        <v>138</v>
      </c>
      <c r="F3707" s="17" t="s">
        <v>139</v>
      </c>
      <c r="G3707" s="17"/>
      <c r="H3707" s="19">
        <v>1.2738</v>
      </c>
      <c r="I3707" s="19"/>
      <c r="J3707" s="17" t="s">
        <v>49</v>
      </c>
      <c r="K3707" s="19">
        <v>2000</v>
      </c>
      <c r="L3707" s="91">
        <v>40</v>
      </c>
      <c r="M3707" s="19">
        <v>5000</v>
      </c>
      <c r="N3707" s="19" t="s">
        <v>66</v>
      </c>
      <c r="O3707" s="19" t="s">
        <v>141</v>
      </c>
      <c r="P3707" s="19"/>
      <c r="Q3707" s="19">
        <v>1539</v>
      </c>
      <c r="R3707" s="21"/>
      <c r="S3707" s="19">
        <v>1590</v>
      </c>
      <c r="T3707" s="19" t="s">
        <v>94</v>
      </c>
      <c r="U3707" s="102">
        <v>59409</v>
      </c>
      <c r="V3707" s="186">
        <v>45106</v>
      </c>
      <c r="W3707" s="17" t="s">
        <v>44</v>
      </c>
      <c r="X3707" s="17"/>
      <c r="Y3707" s="68">
        <v>45192</v>
      </c>
      <c r="Z3707" s="17" t="s">
        <v>998</v>
      </c>
      <c r="AA3707" s="17" t="s">
        <v>46</v>
      </c>
      <c r="AB3707" s="17">
        <v>4001380050</v>
      </c>
      <c r="AC3707" s="217">
        <v>45708</v>
      </c>
      <c r="AD3707" s="65">
        <v>1590</v>
      </c>
      <c r="AE3707" s="17" t="s">
        <v>48</v>
      </c>
      <c r="AF3707" s="17"/>
      <c r="AG3707" s="17" t="s">
        <v>1168</v>
      </c>
      <c r="AH3707" s="17"/>
      <c r="AI3707" s="17"/>
      <c r="AJ3707" s="17"/>
      <c r="AK3707" s="17"/>
      <c r="AL3707" s="17"/>
      <c r="AM3707" s="17"/>
      <c r="AN3707" s="17"/>
      <c r="AO3707" s="17"/>
      <c r="AP3707" s="17"/>
      <c r="AQ3707" s="17"/>
      <c r="AR3707" s="17"/>
    </row>
    <row r="3708" s="20" customFormat="1" hidden="1" spans="1:44">
      <c r="A3708" s="17" t="s">
        <v>34</v>
      </c>
      <c r="B3708" s="19">
        <v>923</v>
      </c>
      <c r="C3708" s="183">
        <v>45106</v>
      </c>
      <c r="D3708" s="17" t="s">
        <v>137</v>
      </c>
      <c r="E3708" s="17" t="s">
        <v>138</v>
      </c>
      <c r="F3708" s="17" t="s">
        <v>139</v>
      </c>
      <c r="G3708" s="17"/>
      <c r="H3708" s="19">
        <v>1.2738</v>
      </c>
      <c r="I3708" s="19"/>
      <c r="J3708" s="17" t="s">
        <v>49</v>
      </c>
      <c r="K3708" s="19">
        <v>2000</v>
      </c>
      <c r="L3708" s="91">
        <v>40</v>
      </c>
      <c r="M3708" s="19">
        <v>5000</v>
      </c>
      <c r="N3708" s="19" t="s">
        <v>66</v>
      </c>
      <c r="O3708" s="19" t="s">
        <v>141</v>
      </c>
      <c r="P3708" s="19"/>
      <c r="Q3708" s="19">
        <v>3232</v>
      </c>
      <c r="R3708" s="254"/>
      <c r="S3708" s="19">
        <v>1590</v>
      </c>
      <c r="T3708" s="19" t="s">
        <v>94</v>
      </c>
      <c r="U3708" s="102">
        <v>59409</v>
      </c>
      <c r="V3708" s="186">
        <v>45106</v>
      </c>
      <c r="W3708" s="17" t="s">
        <v>44</v>
      </c>
      <c r="X3708" s="17"/>
      <c r="Y3708" s="68">
        <v>45192</v>
      </c>
      <c r="Z3708" s="17" t="s">
        <v>998</v>
      </c>
      <c r="AA3708" s="17" t="s">
        <v>46</v>
      </c>
      <c r="AB3708" s="17">
        <v>4001380078</v>
      </c>
      <c r="AC3708" s="217">
        <v>45747</v>
      </c>
      <c r="AD3708" s="65">
        <v>1593</v>
      </c>
      <c r="AE3708" s="17" t="s">
        <v>48</v>
      </c>
      <c r="AF3708" s="17"/>
      <c r="AG3708" s="17" t="s">
        <v>1168</v>
      </c>
      <c r="AH3708" s="17"/>
      <c r="AI3708" s="17"/>
      <c r="AJ3708" s="17"/>
      <c r="AK3708" s="17"/>
      <c r="AL3708" s="17"/>
      <c r="AM3708" s="17"/>
      <c r="AN3708" s="17"/>
      <c r="AO3708" s="17"/>
      <c r="AP3708" s="17"/>
      <c r="AQ3708" s="17"/>
      <c r="AR3708" s="17"/>
    </row>
    <row r="3709" s="20" customFormat="1" hidden="1" spans="1:44">
      <c r="A3709" s="17" t="s">
        <v>34</v>
      </c>
      <c r="B3709" s="19">
        <v>923</v>
      </c>
      <c r="C3709" s="183">
        <v>45106</v>
      </c>
      <c r="D3709" s="17" t="s">
        <v>137</v>
      </c>
      <c r="E3709" s="17" t="s">
        <v>138</v>
      </c>
      <c r="F3709" s="17" t="s">
        <v>139</v>
      </c>
      <c r="G3709" s="17"/>
      <c r="H3709" s="19">
        <v>1.2738</v>
      </c>
      <c r="I3709" s="19"/>
      <c r="J3709" s="17" t="s">
        <v>49</v>
      </c>
      <c r="K3709" s="19">
        <v>1000</v>
      </c>
      <c r="L3709" s="91">
        <v>40</v>
      </c>
      <c r="M3709" s="19">
        <v>5000</v>
      </c>
      <c r="N3709" s="19" t="s">
        <v>66</v>
      </c>
      <c r="O3709" s="19" t="s">
        <v>141</v>
      </c>
      <c r="P3709" s="19"/>
      <c r="Q3709" s="19">
        <v>1535</v>
      </c>
      <c r="R3709" s="290">
        <f>+P3705-Q3705-Q3706-Q3707-Q3708-Q3709</f>
        <v>-300</v>
      </c>
      <c r="S3709" s="19">
        <v>1590</v>
      </c>
      <c r="T3709" s="19" t="s">
        <v>94</v>
      </c>
      <c r="U3709" s="102">
        <v>59409</v>
      </c>
      <c r="V3709" s="186">
        <v>45106</v>
      </c>
      <c r="W3709" s="17" t="s">
        <v>44</v>
      </c>
      <c r="X3709" s="17"/>
      <c r="Y3709" s="68">
        <v>45192</v>
      </c>
      <c r="Z3709" s="17" t="s">
        <v>1186</v>
      </c>
      <c r="AA3709" s="17" t="s">
        <v>1187</v>
      </c>
      <c r="AB3709" s="17">
        <v>4001380079</v>
      </c>
      <c r="AC3709" s="217">
        <v>45754</v>
      </c>
      <c r="AD3709" s="65">
        <v>1666</v>
      </c>
      <c r="AE3709" s="17" t="s">
        <v>1188</v>
      </c>
      <c r="AF3709" s="17" t="s">
        <v>1189</v>
      </c>
      <c r="AG3709" s="17" t="s">
        <v>1168</v>
      </c>
      <c r="AH3709" s="17"/>
      <c r="AI3709" s="17"/>
      <c r="AJ3709" s="17"/>
      <c r="AK3709" s="17"/>
      <c r="AL3709" s="17"/>
      <c r="AM3709" s="17"/>
      <c r="AN3709" s="17"/>
      <c r="AO3709" s="17"/>
      <c r="AP3709" s="17"/>
      <c r="AQ3709" s="17"/>
      <c r="AR3709" s="17"/>
    </row>
    <row r="3710" s="20" customFormat="1" hidden="1" spans="1:44">
      <c r="A3710" s="17" t="s">
        <v>34</v>
      </c>
      <c r="B3710" s="19">
        <v>923</v>
      </c>
      <c r="C3710" s="183">
        <v>45106</v>
      </c>
      <c r="D3710" s="17" t="s">
        <v>137</v>
      </c>
      <c r="E3710" s="17" t="s">
        <v>138</v>
      </c>
      <c r="F3710" s="17" t="s">
        <v>139</v>
      </c>
      <c r="G3710" s="17"/>
      <c r="H3710" s="19">
        <v>1.2738</v>
      </c>
      <c r="I3710" s="19"/>
      <c r="J3710" s="17" t="s">
        <v>49</v>
      </c>
      <c r="K3710" s="19">
        <v>2000</v>
      </c>
      <c r="L3710" s="91">
        <v>45</v>
      </c>
      <c r="M3710" s="19">
        <v>5000</v>
      </c>
      <c r="N3710" s="19" t="s">
        <v>66</v>
      </c>
      <c r="O3710" s="19" t="s">
        <v>141</v>
      </c>
      <c r="P3710" s="19">
        <v>10598</v>
      </c>
      <c r="Q3710" s="19">
        <v>3749</v>
      </c>
      <c r="R3710" s="17"/>
      <c r="S3710" s="19">
        <v>1590</v>
      </c>
      <c r="T3710" s="19" t="s">
        <v>94</v>
      </c>
      <c r="U3710" s="102">
        <v>59409</v>
      </c>
      <c r="V3710" s="186">
        <v>45106</v>
      </c>
      <c r="W3710" s="17" t="s">
        <v>44</v>
      </c>
      <c r="X3710" s="17"/>
      <c r="Y3710" s="68">
        <v>45192</v>
      </c>
      <c r="Z3710" s="17" t="s">
        <v>142</v>
      </c>
      <c r="AA3710" s="17" t="s">
        <v>1169</v>
      </c>
      <c r="AB3710" s="17">
        <v>4001380081</v>
      </c>
      <c r="AC3710" s="217">
        <v>45405</v>
      </c>
      <c r="AD3710" s="65">
        <v>1484</v>
      </c>
      <c r="AE3710" s="17" t="s">
        <v>48</v>
      </c>
      <c r="AF3710" s="17"/>
      <c r="AG3710" s="17" t="s">
        <v>1168</v>
      </c>
      <c r="AH3710" s="17"/>
      <c r="AI3710" s="17"/>
      <c r="AJ3710" s="17"/>
      <c r="AK3710" s="17"/>
      <c r="AL3710" s="17"/>
      <c r="AM3710" s="17"/>
      <c r="AN3710" s="17"/>
      <c r="AO3710" s="17"/>
      <c r="AP3710" s="17"/>
      <c r="AQ3710" s="17"/>
      <c r="AR3710" s="17"/>
    </row>
    <row r="3711" s="20" customFormat="1" hidden="1" spans="1:44">
      <c r="A3711" s="17" t="s">
        <v>34</v>
      </c>
      <c r="B3711" s="19">
        <v>923</v>
      </c>
      <c r="C3711" s="183">
        <v>45106</v>
      </c>
      <c r="D3711" s="17" t="s">
        <v>137</v>
      </c>
      <c r="E3711" s="17" t="s">
        <v>138</v>
      </c>
      <c r="F3711" s="17" t="s">
        <v>139</v>
      </c>
      <c r="G3711" s="17"/>
      <c r="H3711" s="19">
        <v>1.2738</v>
      </c>
      <c r="I3711" s="19"/>
      <c r="J3711" s="17" t="s">
        <v>49</v>
      </c>
      <c r="K3711" s="19">
        <v>2000</v>
      </c>
      <c r="L3711" s="91">
        <v>45</v>
      </c>
      <c r="M3711" s="19">
        <v>5000</v>
      </c>
      <c r="N3711" s="19" t="s">
        <v>66</v>
      </c>
      <c r="O3711" s="19" t="s">
        <v>141</v>
      </c>
      <c r="P3711" s="19"/>
      <c r="Q3711" s="19">
        <v>3731</v>
      </c>
      <c r="R3711" s="254"/>
      <c r="S3711" s="19">
        <v>1590</v>
      </c>
      <c r="T3711" s="19" t="s">
        <v>94</v>
      </c>
      <c r="U3711" s="102">
        <v>59409</v>
      </c>
      <c r="V3711" s="186">
        <v>45106</v>
      </c>
      <c r="W3711" s="17" t="s">
        <v>44</v>
      </c>
      <c r="X3711" s="17"/>
      <c r="Y3711" s="68">
        <v>45192</v>
      </c>
      <c r="Z3711" s="17" t="s">
        <v>142</v>
      </c>
      <c r="AA3711" s="17" t="s">
        <v>171</v>
      </c>
      <c r="AB3711" s="17">
        <v>4001380122</v>
      </c>
      <c r="AC3711" s="217">
        <v>45462</v>
      </c>
      <c r="AD3711" s="65">
        <v>1487</v>
      </c>
      <c r="AE3711" s="17" t="s">
        <v>48</v>
      </c>
      <c r="AF3711" s="17"/>
      <c r="AG3711" s="17" t="s">
        <v>1168</v>
      </c>
      <c r="AH3711" s="17"/>
      <c r="AI3711" s="17"/>
      <c r="AJ3711" s="17"/>
      <c r="AK3711" s="17"/>
      <c r="AL3711" s="17"/>
      <c r="AM3711" s="17"/>
      <c r="AN3711" s="17"/>
      <c r="AO3711" s="17"/>
      <c r="AP3711" s="17"/>
      <c r="AQ3711" s="17"/>
      <c r="AR3711" s="17"/>
    </row>
    <row r="3712" s="20" customFormat="1" hidden="1" spans="1:44">
      <c r="A3712" s="17" t="s">
        <v>34</v>
      </c>
      <c r="B3712" s="19">
        <v>923</v>
      </c>
      <c r="C3712" s="183">
        <v>45106</v>
      </c>
      <c r="D3712" s="17" t="s">
        <v>137</v>
      </c>
      <c r="E3712" s="17" t="s">
        <v>138</v>
      </c>
      <c r="F3712" s="17" t="s">
        <v>139</v>
      </c>
      <c r="G3712" s="17"/>
      <c r="H3712" s="19">
        <v>1.2738</v>
      </c>
      <c r="I3712" s="19"/>
      <c r="J3712" s="17" t="s">
        <v>49</v>
      </c>
      <c r="K3712" s="19">
        <v>2000</v>
      </c>
      <c r="L3712" s="91">
        <v>45</v>
      </c>
      <c r="M3712" s="19">
        <v>5000</v>
      </c>
      <c r="N3712" s="19" t="s">
        <v>66</v>
      </c>
      <c r="O3712" s="19" t="s">
        <v>141</v>
      </c>
      <c r="P3712" s="19"/>
      <c r="Q3712" s="19">
        <v>3756</v>
      </c>
      <c r="R3712" s="291">
        <f>+P3710-Q3710-Q3711-Q3712</f>
        <v>-638</v>
      </c>
      <c r="S3712" s="19">
        <v>1590</v>
      </c>
      <c r="T3712" s="19" t="s">
        <v>94</v>
      </c>
      <c r="U3712" s="102">
        <v>59409</v>
      </c>
      <c r="V3712" s="186">
        <v>45106</v>
      </c>
      <c r="W3712" s="17" t="s">
        <v>44</v>
      </c>
      <c r="X3712" s="17"/>
      <c r="Y3712" s="68">
        <v>45192</v>
      </c>
      <c r="Z3712" s="17" t="s">
        <v>1186</v>
      </c>
      <c r="AA3712" s="17" t="s">
        <v>1187</v>
      </c>
      <c r="AB3712" s="17">
        <v>4001380079</v>
      </c>
      <c r="AC3712" s="217">
        <v>45754</v>
      </c>
      <c r="AD3712" s="65">
        <v>1666</v>
      </c>
      <c r="AE3712" s="17" t="s">
        <v>1188</v>
      </c>
      <c r="AF3712" s="17" t="s">
        <v>1189</v>
      </c>
      <c r="AG3712" s="17" t="s">
        <v>1168</v>
      </c>
      <c r="AH3712" s="17"/>
      <c r="AI3712" s="17"/>
      <c r="AJ3712" s="17"/>
      <c r="AK3712" s="17"/>
      <c r="AL3712" s="17"/>
      <c r="AM3712" s="17"/>
      <c r="AN3712" s="17"/>
      <c r="AO3712" s="17"/>
      <c r="AP3712" s="17"/>
      <c r="AQ3712" s="17"/>
      <c r="AR3712" s="17"/>
    </row>
    <row r="3713" s="20" customFormat="1" hidden="1" spans="1:44">
      <c r="A3713" s="17" t="s">
        <v>34</v>
      </c>
      <c r="B3713" s="19">
        <v>923</v>
      </c>
      <c r="C3713" s="183">
        <v>45106</v>
      </c>
      <c r="D3713" s="17" t="s">
        <v>137</v>
      </c>
      <c r="E3713" s="17" t="s">
        <v>138</v>
      </c>
      <c r="F3713" s="17" t="s">
        <v>139</v>
      </c>
      <c r="G3713" s="17"/>
      <c r="H3713" s="19">
        <v>1.2738</v>
      </c>
      <c r="I3713" s="19"/>
      <c r="J3713" s="17" t="s">
        <v>49</v>
      </c>
      <c r="K3713" s="19">
        <v>2000</v>
      </c>
      <c r="L3713" s="91">
        <v>50</v>
      </c>
      <c r="M3713" s="19">
        <v>5000</v>
      </c>
      <c r="N3713" s="19" t="s">
        <v>66</v>
      </c>
      <c r="O3713" s="19" t="s">
        <v>141</v>
      </c>
      <c r="P3713" s="19">
        <v>11775</v>
      </c>
      <c r="Q3713" s="19">
        <v>4122</v>
      </c>
      <c r="R3713" s="17"/>
      <c r="S3713" s="19">
        <v>1590</v>
      </c>
      <c r="T3713" s="19" t="s">
        <v>94</v>
      </c>
      <c r="U3713" s="102">
        <v>59409</v>
      </c>
      <c r="V3713" s="186">
        <v>45106</v>
      </c>
      <c r="W3713" s="17" t="s">
        <v>44</v>
      </c>
      <c r="X3713" s="17"/>
      <c r="Y3713" s="68">
        <v>45192</v>
      </c>
      <c r="Z3713" s="17" t="s">
        <v>142</v>
      </c>
      <c r="AA3713" s="17" t="s">
        <v>1187</v>
      </c>
      <c r="AB3713" s="17">
        <v>4001380082</v>
      </c>
      <c r="AC3713" s="217">
        <v>45405</v>
      </c>
      <c r="AD3713" s="65">
        <v>1483</v>
      </c>
      <c r="AE3713" s="17" t="s">
        <v>1188</v>
      </c>
      <c r="AF3713" s="17" t="s">
        <v>1209</v>
      </c>
      <c r="AG3713" s="17" t="s">
        <v>1168</v>
      </c>
      <c r="AH3713" s="17"/>
      <c r="AI3713" s="17"/>
      <c r="AJ3713" s="17"/>
      <c r="AK3713" s="17"/>
      <c r="AL3713" s="17"/>
      <c r="AM3713" s="17"/>
      <c r="AN3713" s="17"/>
      <c r="AO3713" s="17"/>
      <c r="AP3713" s="17"/>
      <c r="AQ3713" s="17"/>
      <c r="AR3713" s="17"/>
    </row>
    <row r="3714" s="20" customFormat="1" hidden="1" spans="1:44">
      <c r="A3714" s="17" t="s">
        <v>34</v>
      </c>
      <c r="B3714" s="19">
        <v>923</v>
      </c>
      <c r="C3714" s="183">
        <v>45106</v>
      </c>
      <c r="D3714" s="17" t="s">
        <v>137</v>
      </c>
      <c r="E3714" s="17" t="s">
        <v>138</v>
      </c>
      <c r="F3714" s="17" t="s">
        <v>139</v>
      </c>
      <c r="G3714" s="17"/>
      <c r="H3714" s="19">
        <v>1.2738</v>
      </c>
      <c r="I3714" s="19"/>
      <c r="J3714" s="17" t="s">
        <v>49</v>
      </c>
      <c r="K3714" s="19">
        <v>2000</v>
      </c>
      <c r="L3714" s="91">
        <v>50</v>
      </c>
      <c r="M3714" s="19">
        <v>5000</v>
      </c>
      <c r="N3714" s="19" t="s">
        <v>66</v>
      </c>
      <c r="O3714" s="19" t="s">
        <v>141</v>
      </c>
      <c r="P3714" s="19"/>
      <c r="Q3714" s="19">
        <v>4125</v>
      </c>
      <c r="R3714" s="17"/>
      <c r="S3714" s="19">
        <v>1590</v>
      </c>
      <c r="T3714" s="19" t="s">
        <v>94</v>
      </c>
      <c r="U3714" s="102">
        <v>59409</v>
      </c>
      <c r="V3714" s="186">
        <v>45106</v>
      </c>
      <c r="W3714" s="17" t="s">
        <v>44</v>
      </c>
      <c r="X3714" s="17"/>
      <c r="Y3714" s="68">
        <v>45192</v>
      </c>
      <c r="Z3714" s="17" t="s">
        <v>142</v>
      </c>
      <c r="AA3714" s="17" t="s">
        <v>1169</v>
      </c>
      <c r="AB3714" s="17">
        <v>4001380081</v>
      </c>
      <c r="AC3714" s="217">
        <v>45405</v>
      </c>
      <c r="AD3714" s="65">
        <v>1484</v>
      </c>
      <c r="AE3714" s="17" t="s">
        <v>48</v>
      </c>
      <c r="AF3714" s="17"/>
      <c r="AG3714" s="17" t="s">
        <v>1168</v>
      </c>
      <c r="AH3714" s="17"/>
      <c r="AI3714" s="17"/>
      <c r="AJ3714" s="17"/>
      <c r="AK3714" s="17"/>
      <c r="AL3714" s="17"/>
      <c r="AM3714" s="17"/>
      <c r="AN3714" s="17"/>
      <c r="AO3714" s="17"/>
      <c r="AP3714" s="17"/>
      <c r="AQ3714" s="17"/>
      <c r="AR3714" s="17"/>
    </row>
    <row r="3715" s="20" customFormat="1" hidden="1" spans="1:44">
      <c r="A3715" s="17" t="s">
        <v>34</v>
      </c>
      <c r="B3715" s="19">
        <v>923</v>
      </c>
      <c r="C3715" s="183">
        <v>45106</v>
      </c>
      <c r="D3715" s="17" t="s">
        <v>137</v>
      </c>
      <c r="E3715" s="17" t="s">
        <v>138</v>
      </c>
      <c r="F3715" s="17" t="s">
        <v>139</v>
      </c>
      <c r="G3715" s="17"/>
      <c r="H3715" s="19">
        <v>1.2738</v>
      </c>
      <c r="I3715" s="19"/>
      <c r="J3715" s="17" t="s">
        <v>49</v>
      </c>
      <c r="K3715" s="19">
        <v>2000</v>
      </c>
      <c r="L3715" s="91">
        <v>50</v>
      </c>
      <c r="M3715" s="19">
        <v>5000</v>
      </c>
      <c r="N3715" s="19" t="s">
        <v>66</v>
      </c>
      <c r="O3715" s="19" t="s">
        <v>141</v>
      </c>
      <c r="P3715" s="19"/>
      <c r="Q3715" s="19">
        <v>4132</v>
      </c>
      <c r="R3715" s="292">
        <f>+P3713-Q3713-Q3714-Q3715</f>
        <v>-604</v>
      </c>
      <c r="S3715" s="19">
        <v>1590</v>
      </c>
      <c r="T3715" s="19" t="s">
        <v>94</v>
      </c>
      <c r="U3715" s="102">
        <v>59409</v>
      </c>
      <c r="V3715" s="186">
        <v>45106</v>
      </c>
      <c r="W3715" s="17" t="s">
        <v>44</v>
      </c>
      <c r="X3715" s="17"/>
      <c r="Y3715" s="68">
        <v>45192</v>
      </c>
      <c r="Z3715" s="17" t="s">
        <v>142</v>
      </c>
      <c r="AA3715" s="17" t="s">
        <v>171</v>
      </c>
      <c r="AB3715" s="17">
        <v>4001380122</v>
      </c>
      <c r="AC3715" s="217">
        <v>45462</v>
      </c>
      <c r="AD3715" s="65">
        <v>1487</v>
      </c>
      <c r="AE3715" s="17" t="s">
        <v>48</v>
      </c>
      <c r="AF3715" s="17"/>
      <c r="AG3715" s="17" t="s">
        <v>1168</v>
      </c>
      <c r="AH3715" s="17"/>
      <c r="AI3715" s="17"/>
      <c r="AJ3715" s="17"/>
      <c r="AK3715" s="17"/>
      <c r="AL3715" s="17"/>
      <c r="AM3715" s="17"/>
      <c r="AN3715" s="17"/>
      <c r="AO3715" s="17"/>
      <c r="AP3715" s="17"/>
      <c r="AQ3715" s="17"/>
      <c r="AR3715" s="17"/>
    </row>
    <row r="3716" s="20" customFormat="1" hidden="1" spans="1:44">
      <c r="A3716" s="17" t="s">
        <v>34</v>
      </c>
      <c r="B3716" s="19">
        <v>923</v>
      </c>
      <c r="C3716" s="183">
        <v>45106</v>
      </c>
      <c r="D3716" s="17" t="s">
        <v>137</v>
      </c>
      <c r="E3716" s="17" t="s">
        <v>138</v>
      </c>
      <c r="F3716" s="17" t="s">
        <v>139</v>
      </c>
      <c r="G3716" s="17"/>
      <c r="H3716" s="19">
        <v>1.2738</v>
      </c>
      <c r="I3716" s="19"/>
      <c r="J3716" s="17" t="s">
        <v>49</v>
      </c>
      <c r="K3716" s="19">
        <v>2000</v>
      </c>
      <c r="L3716" s="91">
        <v>65</v>
      </c>
      <c r="M3716" s="19">
        <v>5000</v>
      </c>
      <c r="N3716" s="19" t="s">
        <v>66</v>
      </c>
      <c r="O3716" s="19" t="s">
        <v>141</v>
      </c>
      <c r="P3716" s="19">
        <v>15308</v>
      </c>
      <c r="Q3716" s="19">
        <v>5354</v>
      </c>
      <c r="R3716" s="17"/>
      <c r="S3716" s="19">
        <v>1590</v>
      </c>
      <c r="T3716" s="19" t="s">
        <v>94</v>
      </c>
      <c r="U3716" s="102">
        <v>59409</v>
      </c>
      <c r="V3716" s="186">
        <v>45106</v>
      </c>
      <c r="W3716" s="17" t="s">
        <v>44</v>
      </c>
      <c r="X3716" s="17"/>
      <c r="Y3716" s="68">
        <v>45192</v>
      </c>
      <c r="Z3716" s="17" t="s">
        <v>142</v>
      </c>
      <c r="AA3716" s="17" t="s">
        <v>1169</v>
      </c>
      <c r="AB3716" s="17">
        <v>4001380081</v>
      </c>
      <c r="AC3716" s="217">
        <v>45405</v>
      </c>
      <c r="AD3716" s="65">
        <v>1484</v>
      </c>
      <c r="AE3716" s="17" t="s">
        <v>48</v>
      </c>
      <c r="AF3716" s="17"/>
      <c r="AG3716" s="17" t="s">
        <v>1168</v>
      </c>
      <c r="AH3716" s="17"/>
      <c r="AI3716" s="17"/>
      <c r="AJ3716" s="17"/>
      <c r="AK3716" s="17"/>
      <c r="AL3716" s="17"/>
      <c r="AM3716" s="17"/>
      <c r="AN3716" s="17"/>
      <c r="AO3716" s="17"/>
      <c r="AP3716" s="17"/>
      <c r="AQ3716" s="17"/>
      <c r="AR3716" s="17"/>
    </row>
    <row r="3717" s="20" customFormat="1" hidden="1" spans="1:44">
      <c r="A3717" s="17" t="s">
        <v>34</v>
      </c>
      <c r="B3717" s="19">
        <v>923</v>
      </c>
      <c r="C3717" s="183">
        <v>45106</v>
      </c>
      <c r="D3717" s="17" t="s">
        <v>137</v>
      </c>
      <c r="E3717" s="17" t="s">
        <v>138</v>
      </c>
      <c r="F3717" s="17" t="s">
        <v>139</v>
      </c>
      <c r="G3717" s="17"/>
      <c r="H3717" s="19">
        <v>1.2738</v>
      </c>
      <c r="I3717" s="19"/>
      <c r="J3717" s="17" t="s">
        <v>49</v>
      </c>
      <c r="K3717" s="19">
        <v>2000</v>
      </c>
      <c r="L3717" s="91">
        <v>65</v>
      </c>
      <c r="M3717" s="19">
        <v>5000</v>
      </c>
      <c r="N3717" s="19" t="s">
        <v>66</v>
      </c>
      <c r="O3717" s="19" t="s">
        <v>141</v>
      </c>
      <c r="P3717" s="19"/>
      <c r="Q3717" s="19">
        <v>5331</v>
      </c>
      <c r="R3717" s="17"/>
      <c r="S3717" s="19">
        <v>1590</v>
      </c>
      <c r="T3717" s="19" t="s">
        <v>94</v>
      </c>
      <c r="U3717" s="102">
        <v>59409</v>
      </c>
      <c r="V3717" s="186">
        <v>45106</v>
      </c>
      <c r="W3717" s="17" t="s">
        <v>44</v>
      </c>
      <c r="X3717" s="17"/>
      <c r="Y3717" s="68">
        <v>45192</v>
      </c>
      <c r="Z3717" s="17" t="s">
        <v>142</v>
      </c>
      <c r="AA3717" s="17" t="s">
        <v>1187</v>
      </c>
      <c r="AB3717" s="17">
        <v>4001380082</v>
      </c>
      <c r="AC3717" s="217">
        <v>45405</v>
      </c>
      <c r="AD3717" s="65">
        <v>1483</v>
      </c>
      <c r="AE3717" s="17" t="s">
        <v>1188</v>
      </c>
      <c r="AF3717" s="17" t="s">
        <v>1209</v>
      </c>
      <c r="AG3717" s="17" t="s">
        <v>1168</v>
      </c>
      <c r="AH3717" s="17"/>
      <c r="AI3717" s="17"/>
      <c r="AJ3717" s="17"/>
      <c r="AK3717" s="17"/>
      <c r="AL3717" s="17"/>
      <c r="AM3717" s="17"/>
      <c r="AN3717" s="17"/>
      <c r="AO3717" s="17"/>
      <c r="AP3717" s="17"/>
      <c r="AQ3717" s="17"/>
      <c r="AR3717" s="17"/>
    </row>
    <row r="3718" s="20" customFormat="1" hidden="1" spans="1:44">
      <c r="A3718" s="17" t="s">
        <v>34</v>
      </c>
      <c r="B3718" s="19">
        <v>923</v>
      </c>
      <c r="C3718" s="183">
        <v>45106</v>
      </c>
      <c r="D3718" s="17" t="s">
        <v>137</v>
      </c>
      <c r="E3718" s="17" t="s">
        <v>138</v>
      </c>
      <c r="F3718" s="17" t="s">
        <v>139</v>
      </c>
      <c r="G3718" s="17"/>
      <c r="H3718" s="19">
        <v>1.2738</v>
      </c>
      <c r="I3718" s="19"/>
      <c r="J3718" s="17" t="s">
        <v>49</v>
      </c>
      <c r="K3718" s="19">
        <v>2000</v>
      </c>
      <c r="L3718" s="91">
        <v>65</v>
      </c>
      <c r="M3718" s="19">
        <v>5000</v>
      </c>
      <c r="N3718" s="19" t="s">
        <v>66</v>
      </c>
      <c r="O3718" s="19" t="s">
        <v>141</v>
      </c>
      <c r="P3718" s="19"/>
      <c r="Q3718" s="19">
        <v>5347</v>
      </c>
      <c r="R3718" s="93">
        <f>+P3716-Q3716-Q3717-Q3718</f>
        <v>-724</v>
      </c>
      <c r="S3718" s="19">
        <v>1590</v>
      </c>
      <c r="T3718" s="19" t="s">
        <v>94</v>
      </c>
      <c r="U3718" s="102">
        <v>59409</v>
      </c>
      <c r="V3718" s="186">
        <v>45106</v>
      </c>
      <c r="W3718" s="17" t="s">
        <v>44</v>
      </c>
      <c r="X3718" s="17"/>
      <c r="Y3718" s="68">
        <v>45192</v>
      </c>
      <c r="Z3718" s="17" t="s">
        <v>142</v>
      </c>
      <c r="AA3718" s="17" t="s">
        <v>171</v>
      </c>
      <c r="AB3718" s="17">
        <v>4001380122</v>
      </c>
      <c r="AC3718" s="217">
        <v>45462</v>
      </c>
      <c r="AD3718" s="65">
        <v>1487</v>
      </c>
      <c r="AE3718" s="17" t="s">
        <v>48</v>
      </c>
      <c r="AF3718" s="17"/>
      <c r="AG3718" s="17" t="s">
        <v>1168</v>
      </c>
      <c r="AH3718" s="17"/>
      <c r="AI3718" s="17"/>
      <c r="AJ3718" s="17"/>
      <c r="AK3718" s="17"/>
      <c r="AL3718" s="17"/>
      <c r="AM3718" s="17"/>
      <c r="AN3718" s="17"/>
      <c r="AO3718" s="17"/>
      <c r="AP3718" s="17"/>
      <c r="AQ3718" s="17"/>
      <c r="AR3718" s="17"/>
    </row>
    <row r="3719" s="20" customFormat="1" hidden="1" spans="1:44">
      <c r="A3719" s="17" t="s">
        <v>34</v>
      </c>
      <c r="B3719" s="19">
        <v>923</v>
      </c>
      <c r="C3719" s="183">
        <v>45106</v>
      </c>
      <c r="D3719" s="17" t="s">
        <v>137</v>
      </c>
      <c r="E3719" s="17" t="s">
        <v>138</v>
      </c>
      <c r="F3719" s="17" t="s">
        <v>139</v>
      </c>
      <c r="G3719" s="17"/>
      <c r="H3719" s="19">
        <v>1.2738</v>
      </c>
      <c r="I3719" s="19"/>
      <c r="J3719" s="17" t="s">
        <v>49</v>
      </c>
      <c r="K3719" s="19">
        <v>2000</v>
      </c>
      <c r="L3719" s="91">
        <v>70</v>
      </c>
      <c r="M3719" s="19">
        <v>5000</v>
      </c>
      <c r="N3719" s="19" t="s">
        <v>66</v>
      </c>
      <c r="O3719" s="19" t="s">
        <v>141</v>
      </c>
      <c r="P3719" s="19">
        <v>10990</v>
      </c>
      <c r="Q3719" s="19">
        <v>5721</v>
      </c>
      <c r="R3719" s="17"/>
      <c r="S3719" s="19">
        <v>1590</v>
      </c>
      <c r="T3719" s="19" t="s">
        <v>94</v>
      </c>
      <c r="U3719" s="102">
        <v>59409</v>
      </c>
      <c r="V3719" s="186">
        <v>45106</v>
      </c>
      <c r="W3719" s="17" t="s">
        <v>44</v>
      </c>
      <c r="X3719" s="17"/>
      <c r="Y3719" s="68">
        <v>45192</v>
      </c>
      <c r="Z3719" s="17" t="s">
        <v>142</v>
      </c>
      <c r="AA3719" s="17" t="s">
        <v>1169</v>
      </c>
      <c r="AB3719" s="17">
        <v>4001380081</v>
      </c>
      <c r="AC3719" s="217">
        <v>45405</v>
      </c>
      <c r="AD3719" s="65">
        <v>1484</v>
      </c>
      <c r="AE3719" s="17" t="s">
        <v>48</v>
      </c>
      <c r="AF3719" s="17"/>
      <c r="AG3719" s="17" t="s">
        <v>1168</v>
      </c>
      <c r="AH3719" s="17"/>
      <c r="AI3719" s="17"/>
      <c r="AJ3719" s="17"/>
      <c r="AK3719" s="17"/>
      <c r="AL3719" s="17"/>
      <c r="AM3719" s="17"/>
      <c r="AN3719" s="17"/>
      <c r="AO3719" s="17"/>
      <c r="AP3719" s="17"/>
      <c r="AQ3719" s="17"/>
      <c r="AR3719" s="17"/>
    </row>
    <row r="3720" s="20" customFormat="1" hidden="1" spans="1:44">
      <c r="A3720" s="17" t="s">
        <v>34</v>
      </c>
      <c r="B3720" s="19">
        <v>923</v>
      </c>
      <c r="C3720" s="183">
        <v>45106</v>
      </c>
      <c r="D3720" s="17" t="s">
        <v>137</v>
      </c>
      <c r="E3720" s="17" t="s">
        <v>138</v>
      </c>
      <c r="F3720" s="17" t="s">
        <v>139</v>
      </c>
      <c r="G3720" s="17"/>
      <c r="H3720" s="19">
        <v>1.2738</v>
      </c>
      <c r="I3720" s="19"/>
      <c r="J3720" s="17" t="s">
        <v>49</v>
      </c>
      <c r="K3720" s="19">
        <v>2000</v>
      </c>
      <c r="L3720" s="91">
        <v>70</v>
      </c>
      <c r="M3720" s="19">
        <v>5000</v>
      </c>
      <c r="N3720" s="19" t="s">
        <v>66</v>
      </c>
      <c r="O3720" s="19" t="s">
        <v>141</v>
      </c>
      <c r="P3720" s="19"/>
      <c r="Q3720" s="19">
        <v>5607</v>
      </c>
      <c r="R3720" s="19">
        <f>+P3719-Q3719-Q3720</f>
        <v>-338</v>
      </c>
      <c r="S3720" s="19">
        <v>1590</v>
      </c>
      <c r="T3720" s="19" t="s">
        <v>94</v>
      </c>
      <c r="U3720" s="102">
        <v>59409</v>
      </c>
      <c r="V3720" s="186">
        <v>45106</v>
      </c>
      <c r="W3720" s="17" t="s">
        <v>44</v>
      </c>
      <c r="X3720" s="17"/>
      <c r="Y3720" s="68">
        <v>45192</v>
      </c>
      <c r="Z3720" s="17" t="s">
        <v>142</v>
      </c>
      <c r="AA3720" s="17" t="s">
        <v>1187</v>
      </c>
      <c r="AB3720" s="17">
        <v>4001380082</v>
      </c>
      <c r="AC3720" s="217">
        <v>45405</v>
      </c>
      <c r="AD3720" s="65">
        <v>1483</v>
      </c>
      <c r="AE3720" s="17" t="s">
        <v>1188</v>
      </c>
      <c r="AF3720" s="17" t="s">
        <v>1209</v>
      </c>
      <c r="AG3720" s="17" t="s">
        <v>1168</v>
      </c>
      <c r="AH3720" s="17"/>
      <c r="AI3720" s="17"/>
      <c r="AJ3720" s="17"/>
      <c r="AK3720" s="17"/>
      <c r="AL3720" s="17"/>
      <c r="AM3720" s="17"/>
      <c r="AN3720" s="17"/>
      <c r="AO3720" s="17"/>
      <c r="AP3720" s="17"/>
      <c r="AQ3720" s="17"/>
      <c r="AR3720" s="17"/>
    </row>
    <row r="3721" s="20" customFormat="1" hidden="1" spans="1:44">
      <c r="A3721" s="17" t="s">
        <v>34</v>
      </c>
      <c r="B3721" s="19">
        <v>923</v>
      </c>
      <c r="C3721" s="183">
        <v>45106</v>
      </c>
      <c r="D3721" s="17" t="s">
        <v>137</v>
      </c>
      <c r="E3721" s="17" t="s">
        <v>138</v>
      </c>
      <c r="F3721" s="17" t="s">
        <v>139</v>
      </c>
      <c r="G3721" s="17"/>
      <c r="H3721" s="19">
        <v>1.2738</v>
      </c>
      <c r="I3721" s="19"/>
      <c r="J3721" s="17" t="s">
        <v>49</v>
      </c>
      <c r="K3721" s="19">
        <v>2000</v>
      </c>
      <c r="L3721" s="91">
        <v>80</v>
      </c>
      <c r="M3721" s="19">
        <v>5000</v>
      </c>
      <c r="N3721" s="19" t="s">
        <v>66</v>
      </c>
      <c r="O3721" s="19" t="s">
        <v>141</v>
      </c>
      <c r="P3721" s="19">
        <v>12560</v>
      </c>
      <c r="Q3721" s="19">
        <v>6480</v>
      </c>
      <c r="R3721" s="17"/>
      <c r="S3721" s="19">
        <v>1590</v>
      </c>
      <c r="T3721" s="19" t="s">
        <v>94</v>
      </c>
      <c r="U3721" s="102">
        <v>59409</v>
      </c>
      <c r="V3721" s="186">
        <v>45106</v>
      </c>
      <c r="W3721" s="17" t="s">
        <v>44</v>
      </c>
      <c r="X3721" s="17"/>
      <c r="Y3721" s="68">
        <v>45192</v>
      </c>
      <c r="Z3721" s="17" t="s">
        <v>142</v>
      </c>
      <c r="AA3721" s="17" t="s">
        <v>1169</v>
      </c>
      <c r="AB3721" s="17">
        <v>4001380081</v>
      </c>
      <c r="AC3721" s="217">
        <v>45405</v>
      </c>
      <c r="AD3721" s="65">
        <v>1484</v>
      </c>
      <c r="AE3721" s="17" t="s">
        <v>48</v>
      </c>
      <c r="AF3721" s="17"/>
      <c r="AG3721" s="17" t="s">
        <v>1168</v>
      </c>
      <c r="AH3721" s="17"/>
      <c r="AI3721" s="17"/>
      <c r="AJ3721" s="17"/>
      <c r="AK3721" s="17"/>
      <c r="AL3721" s="17"/>
      <c r="AM3721" s="17"/>
      <c r="AN3721" s="17"/>
      <c r="AO3721" s="17"/>
      <c r="AP3721" s="17"/>
      <c r="AQ3721" s="17"/>
      <c r="AR3721" s="17"/>
    </row>
    <row r="3722" s="20" customFormat="1" hidden="1" spans="1:44">
      <c r="A3722" s="17" t="s">
        <v>34</v>
      </c>
      <c r="B3722" s="19">
        <v>923</v>
      </c>
      <c r="C3722" s="183">
        <v>45106</v>
      </c>
      <c r="D3722" s="17" t="s">
        <v>137</v>
      </c>
      <c r="E3722" s="17" t="s">
        <v>138</v>
      </c>
      <c r="F3722" s="17" t="s">
        <v>139</v>
      </c>
      <c r="G3722" s="17"/>
      <c r="H3722" s="19">
        <v>1.2738</v>
      </c>
      <c r="I3722" s="19"/>
      <c r="J3722" s="17" t="s">
        <v>49</v>
      </c>
      <c r="K3722" s="19">
        <v>2000</v>
      </c>
      <c r="L3722" s="91">
        <v>80</v>
      </c>
      <c r="M3722" s="19">
        <v>5000</v>
      </c>
      <c r="N3722" s="19" t="s">
        <v>66</v>
      </c>
      <c r="O3722" s="19" t="s">
        <v>141</v>
      </c>
      <c r="P3722" s="19"/>
      <c r="Q3722" s="19">
        <v>6498</v>
      </c>
      <c r="R3722" s="93">
        <f>+P3721-Q3721-Q3722</f>
        <v>-418</v>
      </c>
      <c r="S3722" s="19">
        <v>1590</v>
      </c>
      <c r="T3722" s="19" t="s">
        <v>94</v>
      </c>
      <c r="U3722" s="102">
        <v>59409</v>
      </c>
      <c r="V3722" s="186">
        <v>45106</v>
      </c>
      <c r="W3722" s="17" t="s">
        <v>44</v>
      </c>
      <c r="X3722" s="17"/>
      <c r="Y3722" s="68">
        <v>45192</v>
      </c>
      <c r="Z3722" s="17" t="s">
        <v>142</v>
      </c>
      <c r="AA3722" s="17" t="s">
        <v>171</v>
      </c>
      <c r="AB3722" s="17">
        <v>4001380122</v>
      </c>
      <c r="AC3722" s="217">
        <v>45462</v>
      </c>
      <c r="AD3722" s="65">
        <v>1487</v>
      </c>
      <c r="AE3722" s="17" t="s">
        <v>48</v>
      </c>
      <c r="AF3722" s="17"/>
      <c r="AG3722" s="17" t="s">
        <v>1168</v>
      </c>
      <c r="AH3722" s="17"/>
      <c r="AI3722" s="17"/>
      <c r="AJ3722" s="17"/>
      <c r="AK3722" s="17"/>
      <c r="AL3722" s="17"/>
      <c r="AM3722" s="17"/>
      <c r="AN3722" s="17"/>
      <c r="AO3722" s="17"/>
      <c r="AP3722" s="17"/>
      <c r="AQ3722" s="17"/>
      <c r="AR3722" s="17"/>
    </row>
    <row r="3723" s="20" customFormat="1" hidden="1" spans="1:44">
      <c r="A3723" s="17" t="s">
        <v>34</v>
      </c>
      <c r="B3723" s="19">
        <v>923</v>
      </c>
      <c r="C3723" s="183">
        <v>45106</v>
      </c>
      <c r="D3723" s="17" t="s">
        <v>137</v>
      </c>
      <c r="E3723" s="17" t="s">
        <v>138</v>
      </c>
      <c r="F3723" s="17" t="s">
        <v>139</v>
      </c>
      <c r="G3723" s="17"/>
      <c r="H3723" s="19">
        <v>1.2738</v>
      </c>
      <c r="I3723" s="19"/>
      <c r="J3723" s="17" t="s">
        <v>49</v>
      </c>
      <c r="K3723" s="19">
        <v>2000</v>
      </c>
      <c r="L3723" s="91">
        <v>90</v>
      </c>
      <c r="M3723" s="19">
        <v>5000</v>
      </c>
      <c r="N3723" s="19" t="s">
        <v>66</v>
      </c>
      <c r="O3723" s="19" t="s">
        <v>141</v>
      </c>
      <c r="P3723" s="19">
        <v>14130</v>
      </c>
      <c r="Q3723" s="19">
        <v>7263</v>
      </c>
      <c r="R3723" s="17"/>
      <c r="S3723" s="19">
        <v>1590</v>
      </c>
      <c r="T3723" s="19" t="s">
        <v>94</v>
      </c>
      <c r="U3723" s="102">
        <v>59409</v>
      </c>
      <c r="V3723" s="186">
        <v>45106</v>
      </c>
      <c r="W3723" s="17" t="s">
        <v>44</v>
      </c>
      <c r="X3723" s="17"/>
      <c r="Y3723" s="68">
        <v>45192</v>
      </c>
      <c r="Z3723" s="17" t="s">
        <v>142</v>
      </c>
      <c r="AA3723" s="17" t="s">
        <v>1169</v>
      </c>
      <c r="AB3723" s="17">
        <v>4001380081</v>
      </c>
      <c r="AC3723" s="217">
        <v>45405</v>
      </c>
      <c r="AD3723" s="65">
        <v>1484</v>
      </c>
      <c r="AE3723" s="17" t="s">
        <v>48</v>
      </c>
      <c r="AF3723" s="17"/>
      <c r="AG3723" s="17" t="s">
        <v>1168</v>
      </c>
      <c r="AH3723" s="17"/>
      <c r="AI3723" s="17"/>
      <c r="AJ3723" s="17"/>
      <c r="AK3723" s="17"/>
      <c r="AL3723" s="17"/>
      <c r="AM3723" s="17"/>
      <c r="AN3723" s="17"/>
      <c r="AO3723" s="17"/>
      <c r="AP3723" s="17"/>
      <c r="AQ3723" s="17"/>
      <c r="AR3723" s="17"/>
    </row>
    <row r="3724" s="20" customFormat="1" hidden="1" spans="1:44">
      <c r="A3724" s="17" t="s">
        <v>34</v>
      </c>
      <c r="B3724" s="19">
        <v>923</v>
      </c>
      <c r="C3724" s="183">
        <v>45106</v>
      </c>
      <c r="D3724" s="17" t="s">
        <v>137</v>
      </c>
      <c r="E3724" s="17" t="s">
        <v>138</v>
      </c>
      <c r="F3724" s="17" t="s">
        <v>139</v>
      </c>
      <c r="G3724" s="17"/>
      <c r="H3724" s="19">
        <v>1.2738</v>
      </c>
      <c r="I3724" s="19"/>
      <c r="J3724" s="17" t="s">
        <v>49</v>
      </c>
      <c r="K3724" s="19">
        <v>2000</v>
      </c>
      <c r="L3724" s="91">
        <v>90</v>
      </c>
      <c r="M3724" s="19">
        <v>5000</v>
      </c>
      <c r="N3724" s="19" t="s">
        <v>66</v>
      </c>
      <c r="O3724" s="19" t="s">
        <v>141</v>
      </c>
      <c r="P3724" s="19"/>
      <c r="Q3724" s="19">
        <v>7253</v>
      </c>
      <c r="R3724" s="93">
        <f>+P3723-Q3723-Q3724</f>
        <v>-386</v>
      </c>
      <c r="S3724" s="19">
        <v>1590</v>
      </c>
      <c r="T3724" s="19" t="s">
        <v>94</v>
      </c>
      <c r="U3724" s="102">
        <v>59409</v>
      </c>
      <c r="V3724" s="186">
        <v>45106</v>
      </c>
      <c r="W3724" s="17" t="s">
        <v>44</v>
      </c>
      <c r="X3724" s="17"/>
      <c r="Y3724" s="68">
        <v>45192</v>
      </c>
      <c r="Z3724" s="17" t="s">
        <v>142</v>
      </c>
      <c r="AA3724" s="17" t="s">
        <v>171</v>
      </c>
      <c r="AB3724" s="17">
        <v>4001380122</v>
      </c>
      <c r="AC3724" s="217">
        <v>45462</v>
      </c>
      <c r="AD3724" s="65">
        <v>1487</v>
      </c>
      <c r="AE3724" s="17" t="s">
        <v>48</v>
      </c>
      <c r="AF3724" s="17"/>
      <c r="AG3724" s="17" t="s">
        <v>1168</v>
      </c>
      <c r="AH3724" s="17"/>
      <c r="AI3724" s="17"/>
      <c r="AJ3724" s="17"/>
      <c r="AK3724" s="17"/>
      <c r="AL3724" s="17"/>
      <c r="AM3724" s="17"/>
      <c r="AN3724" s="17"/>
      <c r="AO3724" s="17"/>
      <c r="AP3724" s="17"/>
      <c r="AQ3724" s="17"/>
      <c r="AR3724" s="17"/>
    </row>
    <row r="3725" s="20" customFormat="1" hidden="1" spans="1:44">
      <c r="A3725" s="17" t="s">
        <v>34</v>
      </c>
      <c r="B3725" s="19">
        <v>923</v>
      </c>
      <c r="C3725" s="183">
        <v>45106</v>
      </c>
      <c r="D3725" s="17" t="s">
        <v>137</v>
      </c>
      <c r="E3725" s="17" t="s">
        <v>138</v>
      </c>
      <c r="F3725" s="17" t="s">
        <v>139</v>
      </c>
      <c r="G3725" s="17"/>
      <c r="H3725" s="19">
        <v>1.2738</v>
      </c>
      <c r="I3725" s="19"/>
      <c r="J3725" s="17" t="s">
        <v>49</v>
      </c>
      <c r="K3725" s="19">
        <v>2000</v>
      </c>
      <c r="L3725" s="91">
        <v>105</v>
      </c>
      <c r="M3725" s="19">
        <v>5000</v>
      </c>
      <c r="N3725" s="19" t="s">
        <v>66</v>
      </c>
      <c r="O3725" s="19" t="s">
        <v>141</v>
      </c>
      <c r="P3725" s="19">
        <v>16485</v>
      </c>
      <c r="Q3725" s="19">
        <v>8303</v>
      </c>
      <c r="R3725" s="17"/>
      <c r="S3725" s="19">
        <v>1590</v>
      </c>
      <c r="T3725" s="19" t="s">
        <v>94</v>
      </c>
      <c r="U3725" s="102">
        <v>59409</v>
      </c>
      <c r="V3725" s="186">
        <v>45106</v>
      </c>
      <c r="W3725" s="17" t="s">
        <v>44</v>
      </c>
      <c r="X3725" s="17"/>
      <c r="Y3725" s="68">
        <v>45192</v>
      </c>
      <c r="Z3725" s="17" t="s">
        <v>142</v>
      </c>
      <c r="AA3725" s="17" t="s">
        <v>1169</v>
      </c>
      <c r="AB3725" s="17">
        <v>4001380081</v>
      </c>
      <c r="AC3725" s="217">
        <v>45405</v>
      </c>
      <c r="AD3725" s="65">
        <v>1484</v>
      </c>
      <c r="AE3725" s="17" t="s">
        <v>48</v>
      </c>
      <c r="AF3725" s="17"/>
      <c r="AG3725" s="17" t="s">
        <v>1168</v>
      </c>
      <c r="AH3725" s="17"/>
      <c r="AI3725" s="17"/>
      <c r="AJ3725" s="17"/>
      <c r="AK3725" s="17"/>
      <c r="AL3725" s="17"/>
      <c r="AM3725" s="17"/>
      <c r="AN3725" s="17"/>
      <c r="AO3725" s="17"/>
      <c r="AP3725" s="17"/>
      <c r="AQ3725" s="17"/>
      <c r="AR3725" s="17"/>
    </row>
    <row r="3726" s="20" customFormat="1" hidden="1" spans="1:44">
      <c r="A3726" s="17" t="s">
        <v>34</v>
      </c>
      <c r="B3726" s="19">
        <v>923</v>
      </c>
      <c r="C3726" s="183">
        <v>45106</v>
      </c>
      <c r="D3726" s="17" t="s">
        <v>137</v>
      </c>
      <c r="E3726" s="17" t="s">
        <v>138</v>
      </c>
      <c r="F3726" s="17" t="s">
        <v>139</v>
      </c>
      <c r="G3726" s="17"/>
      <c r="H3726" s="19">
        <v>1.2738</v>
      </c>
      <c r="I3726" s="19"/>
      <c r="J3726" s="17" t="s">
        <v>49</v>
      </c>
      <c r="K3726" s="19">
        <v>2000</v>
      </c>
      <c r="L3726" s="91">
        <v>105</v>
      </c>
      <c r="M3726" s="19">
        <v>5000</v>
      </c>
      <c r="N3726" s="19" t="s">
        <v>66</v>
      </c>
      <c r="O3726" s="19" t="s">
        <v>141</v>
      </c>
      <c r="P3726" s="19"/>
      <c r="Q3726" s="19">
        <v>8365</v>
      </c>
      <c r="R3726" s="93">
        <f>+P3725-Q3725-Q3726</f>
        <v>-183</v>
      </c>
      <c r="S3726" s="19">
        <v>1590</v>
      </c>
      <c r="T3726" s="19" t="s">
        <v>94</v>
      </c>
      <c r="U3726" s="102">
        <v>59409</v>
      </c>
      <c r="V3726" s="186">
        <v>45106</v>
      </c>
      <c r="W3726" s="17" t="s">
        <v>44</v>
      </c>
      <c r="X3726" s="17"/>
      <c r="Y3726" s="68">
        <v>45192</v>
      </c>
      <c r="Z3726" s="17" t="s">
        <v>142</v>
      </c>
      <c r="AA3726" s="17" t="s">
        <v>171</v>
      </c>
      <c r="AB3726" s="17">
        <v>4001380122</v>
      </c>
      <c r="AC3726" s="217">
        <v>45462</v>
      </c>
      <c r="AD3726" s="65">
        <v>1487</v>
      </c>
      <c r="AE3726" s="17" t="s">
        <v>48</v>
      </c>
      <c r="AF3726" s="17"/>
      <c r="AG3726" s="17" t="s">
        <v>1168</v>
      </c>
      <c r="AH3726" s="17"/>
      <c r="AI3726" s="17"/>
      <c r="AJ3726" s="17"/>
      <c r="AK3726" s="17"/>
      <c r="AL3726" s="17"/>
      <c r="AM3726" s="17"/>
      <c r="AN3726" s="17"/>
      <c r="AO3726" s="17"/>
      <c r="AP3726" s="17"/>
      <c r="AQ3726" s="17"/>
      <c r="AR3726" s="17"/>
    </row>
    <row r="3727" s="20" customFormat="1" hidden="1" spans="1:44">
      <c r="A3727" s="18"/>
      <c r="B3727" s="75">
        <v>923</v>
      </c>
      <c r="C3727" s="293">
        <v>45106</v>
      </c>
      <c r="D3727" s="18" t="s">
        <v>137</v>
      </c>
      <c r="E3727" s="18" t="s">
        <v>138</v>
      </c>
      <c r="F3727" s="18" t="s">
        <v>139</v>
      </c>
      <c r="G3727" s="18"/>
      <c r="H3727" s="75">
        <v>1.2714</v>
      </c>
      <c r="I3727" s="75"/>
      <c r="J3727" s="18" t="s">
        <v>49</v>
      </c>
      <c r="K3727" s="75">
        <v>2000</v>
      </c>
      <c r="L3727" s="111">
        <v>255</v>
      </c>
      <c r="M3727" s="75">
        <v>6200</v>
      </c>
      <c r="N3727" s="75" t="s">
        <v>66</v>
      </c>
      <c r="O3727" s="75" t="s">
        <v>1167</v>
      </c>
      <c r="P3727" s="75">
        <v>24822</v>
      </c>
      <c r="Q3727" s="75">
        <v>25873</v>
      </c>
      <c r="R3727" s="75">
        <f t="shared" ref="R3727:R3767" si="175">+P3727-Q3727</f>
        <v>-1051</v>
      </c>
      <c r="S3727" s="75">
        <v>2290</v>
      </c>
      <c r="T3727" s="75" t="s">
        <v>94</v>
      </c>
      <c r="U3727" s="137">
        <v>59409</v>
      </c>
      <c r="V3727" s="193">
        <v>45106</v>
      </c>
      <c r="W3727" s="18" t="s">
        <v>44</v>
      </c>
      <c r="X3727" s="18"/>
      <c r="Y3727" s="114">
        <v>45192</v>
      </c>
      <c r="Z3727" s="18" t="s">
        <v>142</v>
      </c>
      <c r="AA3727" s="18"/>
      <c r="AB3727" s="18"/>
      <c r="AC3727" s="137"/>
      <c r="AD3727" s="77"/>
      <c r="AE3727" s="18" t="s">
        <v>48</v>
      </c>
      <c r="AG3727" s="17" t="s">
        <v>1168</v>
      </c>
      <c r="AH3727" s="18"/>
      <c r="AI3727" s="18"/>
      <c r="AJ3727" s="18"/>
      <c r="AK3727" s="18"/>
      <c r="AL3727" s="18"/>
      <c r="AM3727" s="18"/>
      <c r="AN3727" s="18"/>
      <c r="AO3727" s="18"/>
      <c r="AP3727" s="18"/>
      <c r="AQ3727" s="18"/>
      <c r="AR3727" s="18"/>
    </row>
    <row r="3728" s="20" customFormat="1" hidden="1" spans="1:44">
      <c r="A3728" s="18"/>
      <c r="B3728" s="75">
        <v>923</v>
      </c>
      <c r="C3728" s="293">
        <v>45106</v>
      </c>
      <c r="D3728" s="18" t="s">
        <v>137</v>
      </c>
      <c r="E3728" s="18" t="s">
        <v>138</v>
      </c>
      <c r="F3728" s="18" t="s">
        <v>139</v>
      </c>
      <c r="G3728" s="18"/>
      <c r="H3728" s="75">
        <v>1.2714</v>
      </c>
      <c r="I3728" s="75"/>
      <c r="J3728" s="18" t="s">
        <v>49</v>
      </c>
      <c r="K3728" s="75">
        <v>2000</v>
      </c>
      <c r="L3728" s="111">
        <v>310</v>
      </c>
      <c r="M3728" s="75">
        <v>5050</v>
      </c>
      <c r="N3728" s="75" t="s">
        <v>66</v>
      </c>
      <c r="O3728" s="75" t="s">
        <v>1167</v>
      </c>
      <c r="P3728" s="75">
        <v>24578</v>
      </c>
      <c r="Q3728" s="75">
        <v>24086</v>
      </c>
      <c r="R3728" s="75">
        <f t="shared" si="175"/>
        <v>492</v>
      </c>
      <c r="S3728" s="75">
        <v>2290</v>
      </c>
      <c r="T3728" s="75" t="s">
        <v>94</v>
      </c>
      <c r="U3728" s="137">
        <v>59409</v>
      </c>
      <c r="V3728" s="193">
        <v>45106</v>
      </c>
      <c r="W3728" s="18" t="s">
        <v>44</v>
      </c>
      <c r="X3728" s="18"/>
      <c r="Y3728" s="114">
        <v>45192</v>
      </c>
      <c r="Z3728" s="18" t="s">
        <v>142</v>
      </c>
      <c r="AA3728" s="18"/>
      <c r="AB3728" s="18"/>
      <c r="AC3728" s="137"/>
      <c r="AD3728" s="77"/>
      <c r="AE3728" s="18" t="s">
        <v>48</v>
      </c>
      <c r="AG3728" s="17" t="s">
        <v>1168</v>
      </c>
      <c r="AH3728" s="18"/>
      <c r="AI3728" s="18"/>
      <c r="AJ3728" s="18"/>
      <c r="AK3728" s="18"/>
      <c r="AL3728" s="18"/>
      <c r="AM3728" s="18"/>
      <c r="AN3728" s="18"/>
      <c r="AO3728" s="18"/>
      <c r="AP3728" s="18"/>
      <c r="AQ3728" s="18"/>
      <c r="AR3728" s="18"/>
    </row>
    <row r="3729" s="20" customFormat="1" hidden="1" spans="1:44">
      <c r="A3729" s="18"/>
      <c r="B3729" s="75">
        <v>923</v>
      </c>
      <c r="C3729" s="293">
        <v>45106</v>
      </c>
      <c r="D3729" s="18" t="s">
        <v>137</v>
      </c>
      <c r="E3729" s="18" t="s">
        <v>138</v>
      </c>
      <c r="F3729" s="18" t="s">
        <v>139</v>
      </c>
      <c r="G3729" s="18"/>
      <c r="H3729" s="75">
        <v>1.2714</v>
      </c>
      <c r="I3729" s="75"/>
      <c r="J3729" s="18" t="s">
        <v>49</v>
      </c>
      <c r="K3729" s="75">
        <v>2000</v>
      </c>
      <c r="L3729" s="111">
        <v>355</v>
      </c>
      <c r="M3729" s="75">
        <v>4400</v>
      </c>
      <c r="N3729" s="75" t="s">
        <v>66</v>
      </c>
      <c r="O3729" s="75" t="s">
        <v>1167</v>
      </c>
      <c r="P3729" s="75">
        <v>24523</v>
      </c>
      <c r="Q3729" s="75">
        <v>20341</v>
      </c>
      <c r="R3729" s="75">
        <f t="shared" si="175"/>
        <v>4182</v>
      </c>
      <c r="S3729" s="75">
        <v>2290</v>
      </c>
      <c r="T3729" s="75" t="s">
        <v>94</v>
      </c>
      <c r="U3729" s="137">
        <v>59409</v>
      </c>
      <c r="V3729" s="193">
        <v>45106</v>
      </c>
      <c r="W3729" s="18" t="s">
        <v>44</v>
      </c>
      <c r="X3729" s="18"/>
      <c r="Y3729" s="114">
        <v>45192</v>
      </c>
      <c r="Z3729" s="18" t="s">
        <v>142</v>
      </c>
      <c r="AA3729" s="18"/>
      <c r="AB3729" s="18"/>
      <c r="AC3729" s="137"/>
      <c r="AD3729" s="77"/>
      <c r="AE3729" s="18" t="s">
        <v>48</v>
      </c>
      <c r="AG3729" s="17" t="s">
        <v>1168</v>
      </c>
      <c r="AH3729" s="18"/>
      <c r="AI3729" s="18"/>
      <c r="AJ3729" s="18"/>
      <c r="AK3729" s="18"/>
      <c r="AL3729" s="18"/>
      <c r="AM3729" s="18"/>
      <c r="AN3729" s="18"/>
      <c r="AO3729" s="18"/>
      <c r="AP3729" s="18"/>
      <c r="AQ3729" s="18"/>
      <c r="AR3729" s="18"/>
    </row>
    <row r="3730" s="20" customFormat="1" hidden="1" spans="1:44">
      <c r="A3730" s="18"/>
      <c r="B3730" s="75">
        <v>923</v>
      </c>
      <c r="C3730" s="293">
        <v>45106</v>
      </c>
      <c r="D3730" s="18" t="s">
        <v>137</v>
      </c>
      <c r="E3730" s="18" t="s">
        <v>138</v>
      </c>
      <c r="F3730" s="18" t="s">
        <v>139</v>
      </c>
      <c r="G3730" s="18"/>
      <c r="H3730" s="75">
        <v>1.2714</v>
      </c>
      <c r="I3730" s="75"/>
      <c r="J3730" s="18" t="s">
        <v>49</v>
      </c>
      <c r="K3730" s="75">
        <v>2000</v>
      </c>
      <c r="L3730" s="111">
        <v>410</v>
      </c>
      <c r="M3730" s="75">
        <v>3750</v>
      </c>
      <c r="N3730" s="75" t="s">
        <v>66</v>
      </c>
      <c r="O3730" s="75" t="s">
        <v>1167</v>
      </c>
      <c r="P3730" s="75">
        <v>24139</v>
      </c>
      <c r="Q3730" s="75"/>
      <c r="R3730" s="75">
        <f t="shared" si="175"/>
        <v>24139</v>
      </c>
      <c r="S3730" s="75">
        <v>2290</v>
      </c>
      <c r="T3730" s="75" t="s">
        <v>94</v>
      </c>
      <c r="U3730" s="137">
        <v>59409</v>
      </c>
      <c r="V3730" s="193">
        <v>45106</v>
      </c>
      <c r="W3730" s="18" t="s">
        <v>44</v>
      </c>
      <c r="X3730" s="18"/>
      <c r="Y3730" s="114">
        <v>45192</v>
      </c>
      <c r="Z3730" s="18" t="s">
        <v>142</v>
      </c>
      <c r="AA3730" s="18"/>
      <c r="AB3730" s="18"/>
      <c r="AC3730" s="137"/>
      <c r="AD3730" s="77"/>
      <c r="AE3730" s="18" t="s">
        <v>48</v>
      </c>
      <c r="AG3730" s="17" t="s">
        <v>1168</v>
      </c>
      <c r="AH3730" s="18"/>
      <c r="AI3730" s="18"/>
      <c r="AJ3730" s="18"/>
      <c r="AK3730" s="18"/>
      <c r="AL3730" s="18"/>
      <c r="AM3730" s="18"/>
      <c r="AN3730" s="18"/>
      <c r="AO3730" s="18"/>
      <c r="AP3730" s="18"/>
      <c r="AQ3730" s="18"/>
      <c r="AR3730" s="18"/>
    </row>
    <row r="3731" s="20" customFormat="1" hidden="1" spans="1:44">
      <c r="A3731" s="18"/>
      <c r="B3731" s="75">
        <v>923</v>
      </c>
      <c r="C3731" s="293">
        <v>45106</v>
      </c>
      <c r="D3731" s="18" t="s">
        <v>137</v>
      </c>
      <c r="E3731" s="18" t="s">
        <v>138</v>
      </c>
      <c r="F3731" s="18" t="s">
        <v>139</v>
      </c>
      <c r="G3731" s="18"/>
      <c r="H3731" s="75">
        <v>1.2714</v>
      </c>
      <c r="I3731" s="75"/>
      <c r="J3731" s="18" t="s">
        <v>49</v>
      </c>
      <c r="K3731" s="75">
        <v>2000</v>
      </c>
      <c r="L3731" s="111">
        <v>460</v>
      </c>
      <c r="M3731" s="75">
        <v>3350</v>
      </c>
      <c r="N3731" s="75" t="s">
        <v>66</v>
      </c>
      <c r="O3731" s="75" t="s">
        <v>1167</v>
      </c>
      <c r="P3731" s="75">
        <v>24194</v>
      </c>
      <c r="Q3731" s="75">
        <v>23636</v>
      </c>
      <c r="R3731" s="75">
        <f t="shared" si="175"/>
        <v>558</v>
      </c>
      <c r="S3731" s="75">
        <v>2290</v>
      </c>
      <c r="T3731" s="75" t="s">
        <v>94</v>
      </c>
      <c r="U3731" s="137">
        <v>59409</v>
      </c>
      <c r="V3731" s="193">
        <v>45106</v>
      </c>
      <c r="W3731" s="18" t="s">
        <v>44</v>
      </c>
      <c r="X3731" s="18"/>
      <c r="Y3731" s="114">
        <v>45192</v>
      </c>
      <c r="Z3731" s="18" t="s">
        <v>142</v>
      </c>
      <c r="AA3731" s="18"/>
      <c r="AB3731" s="18"/>
      <c r="AC3731" s="137"/>
      <c r="AD3731" s="77"/>
      <c r="AE3731" s="18" t="s">
        <v>48</v>
      </c>
      <c r="AG3731" s="17" t="s">
        <v>1168</v>
      </c>
      <c r="AH3731" s="18"/>
      <c r="AI3731" s="18"/>
      <c r="AJ3731" s="18"/>
      <c r="AK3731" s="18"/>
      <c r="AL3731" s="18"/>
      <c r="AM3731" s="18"/>
      <c r="AN3731" s="18"/>
      <c r="AO3731" s="18"/>
      <c r="AP3731" s="18"/>
      <c r="AQ3731" s="18"/>
      <c r="AR3731" s="18"/>
    </row>
    <row r="3732" s="17" customFormat="1" hidden="1" spans="1:44">
      <c r="A3732" s="17" t="s">
        <v>34</v>
      </c>
      <c r="B3732" s="19">
        <v>925</v>
      </c>
      <c r="C3732" s="222">
        <v>44992</v>
      </c>
      <c r="D3732" s="17" t="s">
        <v>52</v>
      </c>
      <c r="E3732" s="17" t="s">
        <v>53</v>
      </c>
      <c r="F3732" s="17" t="s">
        <v>54</v>
      </c>
      <c r="H3732" s="124">
        <v>1.208</v>
      </c>
      <c r="I3732" s="124"/>
      <c r="J3732" s="17" t="s">
        <v>39</v>
      </c>
      <c r="K3732" s="19">
        <v>70</v>
      </c>
      <c r="L3732" s="91"/>
      <c r="M3732" s="19">
        <v>5800</v>
      </c>
      <c r="N3732" s="19" t="s">
        <v>40</v>
      </c>
      <c r="O3732" s="19" t="s">
        <v>50</v>
      </c>
      <c r="P3732" s="19">
        <v>3000</v>
      </c>
      <c r="Q3732" s="19">
        <v>1438</v>
      </c>
      <c r="R3732" s="19">
        <f t="shared" si="175"/>
        <v>1562</v>
      </c>
      <c r="S3732" s="19">
        <v>1375</v>
      </c>
      <c r="T3732" s="19" t="s">
        <v>42</v>
      </c>
      <c r="U3732" s="102" t="s">
        <v>1210</v>
      </c>
      <c r="V3732" s="253">
        <v>45023</v>
      </c>
      <c r="W3732" s="17" t="s">
        <v>58</v>
      </c>
      <c r="Y3732" s="68">
        <v>45161</v>
      </c>
      <c r="Z3732" s="17" t="s">
        <v>191</v>
      </c>
      <c r="AA3732" s="17" t="s">
        <v>46</v>
      </c>
      <c r="AB3732" s="17" t="s">
        <v>1211</v>
      </c>
      <c r="AC3732" s="102" t="s">
        <v>1212</v>
      </c>
      <c r="AD3732" s="65">
        <v>1472</v>
      </c>
      <c r="AE3732" s="17" t="s">
        <v>48</v>
      </c>
    </row>
    <row r="3733" s="17" customFormat="1" hidden="1" spans="1:44">
      <c r="A3733" s="17" t="s">
        <v>34</v>
      </c>
      <c r="B3733" s="19">
        <v>925</v>
      </c>
      <c r="C3733" s="222">
        <v>44992</v>
      </c>
      <c r="D3733" s="17" t="s">
        <v>52</v>
      </c>
      <c r="E3733" s="17" t="s">
        <v>53</v>
      </c>
      <c r="F3733" s="17" t="s">
        <v>54</v>
      </c>
      <c r="H3733" s="124">
        <v>1.208</v>
      </c>
      <c r="I3733" s="124"/>
      <c r="J3733" s="17" t="s">
        <v>39</v>
      </c>
      <c r="K3733" s="19">
        <v>65</v>
      </c>
      <c r="L3733" s="91"/>
      <c r="M3733" s="19">
        <v>5800</v>
      </c>
      <c r="N3733" s="19" t="s">
        <v>40</v>
      </c>
      <c r="O3733" s="19" t="s">
        <v>50</v>
      </c>
      <c r="P3733" s="19">
        <v>500</v>
      </c>
      <c r="Q3733" s="19">
        <v>442</v>
      </c>
      <c r="R3733" s="19">
        <f t="shared" si="175"/>
        <v>58</v>
      </c>
      <c r="S3733" s="19">
        <v>1275</v>
      </c>
      <c r="T3733" s="19" t="s">
        <v>42</v>
      </c>
      <c r="U3733" s="102" t="s">
        <v>1210</v>
      </c>
      <c r="V3733" s="253">
        <v>45023</v>
      </c>
      <c r="W3733" s="17" t="s">
        <v>58</v>
      </c>
      <c r="Y3733" s="68">
        <v>45161</v>
      </c>
      <c r="Z3733" s="17" t="s">
        <v>191</v>
      </c>
      <c r="AA3733" s="17" t="s">
        <v>46</v>
      </c>
      <c r="AB3733" s="17" t="s">
        <v>1211</v>
      </c>
      <c r="AC3733" s="102" t="s">
        <v>1212</v>
      </c>
      <c r="AD3733" s="65">
        <v>1472</v>
      </c>
    </row>
    <row r="3734" s="17" customFormat="1" hidden="1" spans="1:44">
      <c r="A3734" s="17" t="s">
        <v>34</v>
      </c>
      <c r="B3734" s="19">
        <v>925</v>
      </c>
      <c r="C3734" s="222">
        <v>44992</v>
      </c>
      <c r="D3734" s="17" t="s">
        <v>52</v>
      </c>
      <c r="E3734" s="17" t="s">
        <v>53</v>
      </c>
      <c r="F3734" s="17" t="s">
        <v>54</v>
      </c>
      <c r="H3734" s="124">
        <v>1.208</v>
      </c>
      <c r="I3734" s="124"/>
      <c r="J3734" s="17" t="s">
        <v>39</v>
      </c>
      <c r="K3734" s="19">
        <v>75</v>
      </c>
      <c r="L3734" s="91"/>
      <c r="M3734" s="19">
        <v>5800</v>
      </c>
      <c r="N3734" s="19" t="s">
        <v>40</v>
      </c>
      <c r="O3734" s="19" t="s">
        <v>50</v>
      </c>
      <c r="P3734" s="19">
        <v>1000</v>
      </c>
      <c r="Q3734" s="19">
        <v>1068</v>
      </c>
      <c r="R3734" s="19">
        <f t="shared" si="175"/>
        <v>-68</v>
      </c>
      <c r="S3734" s="19">
        <v>1375</v>
      </c>
      <c r="T3734" s="19" t="s">
        <v>42</v>
      </c>
      <c r="U3734" s="102" t="s">
        <v>1210</v>
      </c>
      <c r="V3734" s="253">
        <v>45023</v>
      </c>
      <c r="W3734" s="17" t="s">
        <v>58</v>
      </c>
      <c r="Y3734" s="68">
        <v>45161</v>
      </c>
      <c r="Z3734" s="17" t="s">
        <v>191</v>
      </c>
      <c r="AA3734" s="17" t="s">
        <v>46</v>
      </c>
      <c r="AB3734" s="17" t="s">
        <v>1211</v>
      </c>
      <c r="AC3734" s="102" t="s">
        <v>1212</v>
      </c>
      <c r="AD3734" s="65">
        <v>1472</v>
      </c>
      <c r="AE3734" s="17" t="s">
        <v>48</v>
      </c>
    </row>
    <row r="3735" s="17" customFormat="1" hidden="1" spans="1:44">
      <c r="A3735" s="17" t="s">
        <v>34</v>
      </c>
      <c r="B3735" s="19">
        <v>925</v>
      </c>
      <c r="C3735" s="222">
        <v>44992</v>
      </c>
      <c r="D3735" s="17" t="s">
        <v>52</v>
      </c>
      <c r="E3735" s="17" t="s">
        <v>53</v>
      </c>
      <c r="F3735" s="17" t="s">
        <v>54</v>
      </c>
      <c r="H3735" s="124">
        <v>1.208</v>
      </c>
      <c r="I3735" s="124"/>
      <c r="J3735" s="17" t="s">
        <v>39</v>
      </c>
      <c r="K3735" s="19">
        <v>80</v>
      </c>
      <c r="L3735" s="91"/>
      <c r="M3735" s="19">
        <v>5800</v>
      </c>
      <c r="N3735" s="19" t="s">
        <v>40</v>
      </c>
      <c r="O3735" s="19" t="s">
        <v>50</v>
      </c>
      <c r="P3735" s="19">
        <v>2000</v>
      </c>
      <c r="Q3735" s="19">
        <v>2320</v>
      </c>
      <c r="R3735" s="19">
        <f t="shared" si="175"/>
        <v>-320</v>
      </c>
      <c r="S3735" s="19">
        <v>1375</v>
      </c>
      <c r="T3735" s="19" t="s">
        <v>42</v>
      </c>
      <c r="U3735" s="102" t="s">
        <v>1210</v>
      </c>
      <c r="V3735" s="253">
        <v>45023</v>
      </c>
      <c r="W3735" s="17" t="s">
        <v>58</v>
      </c>
      <c r="Y3735" s="68">
        <v>45161</v>
      </c>
      <c r="Z3735" s="17" t="s">
        <v>191</v>
      </c>
      <c r="AA3735" s="17" t="s">
        <v>46</v>
      </c>
      <c r="AB3735" s="17" t="s">
        <v>1211</v>
      </c>
      <c r="AC3735" s="102" t="s">
        <v>1212</v>
      </c>
      <c r="AD3735" s="65">
        <v>1472</v>
      </c>
      <c r="AE3735" s="17" t="s">
        <v>48</v>
      </c>
    </row>
    <row r="3736" s="17" customFormat="1" hidden="1" spans="1:44">
      <c r="A3736" s="17" t="s">
        <v>34</v>
      </c>
      <c r="B3736" s="19">
        <v>925</v>
      </c>
      <c r="C3736" s="222">
        <v>44992</v>
      </c>
      <c r="D3736" s="17" t="s">
        <v>52</v>
      </c>
      <c r="E3736" s="17" t="s">
        <v>53</v>
      </c>
      <c r="F3736" s="17" t="s">
        <v>54</v>
      </c>
      <c r="H3736" s="124">
        <v>1.208</v>
      </c>
      <c r="I3736" s="124"/>
      <c r="J3736" s="17" t="s">
        <v>39</v>
      </c>
      <c r="K3736" s="19">
        <v>85</v>
      </c>
      <c r="L3736" s="91"/>
      <c r="M3736" s="19">
        <v>5800</v>
      </c>
      <c r="N3736" s="19" t="s">
        <v>40</v>
      </c>
      <c r="O3736" s="19" t="s">
        <v>50</v>
      </c>
      <c r="P3736" s="19">
        <v>1000</v>
      </c>
      <c r="Q3736" s="19">
        <v>2008</v>
      </c>
      <c r="R3736" s="19">
        <f t="shared" si="175"/>
        <v>-1008</v>
      </c>
      <c r="S3736" s="19">
        <v>1375</v>
      </c>
      <c r="T3736" s="19" t="s">
        <v>42</v>
      </c>
      <c r="U3736" s="102" t="s">
        <v>1210</v>
      </c>
      <c r="V3736" s="253">
        <v>45023</v>
      </c>
      <c r="W3736" s="17" t="s">
        <v>58</v>
      </c>
      <c r="Y3736" s="68">
        <v>45161</v>
      </c>
      <c r="Z3736" s="17" t="s">
        <v>191</v>
      </c>
      <c r="AA3736" s="17" t="s">
        <v>46</v>
      </c>
      <c r="AB3736" s="17" t="s">
        <v>1211</v>
      </c>
      <c r="AC3736" s="102" t="s">
        <v>1212</v>
      </c>
      <c r="AD3736" s="65">
        <v>1472</v>
      </c>
      <c r="AE3736" s="17" t="s">
        <v>48</v>
      </c>
    </row>
    <row r="3737" s="17" customFormat="1" hidden="1" spans="1:44">
      <c r="A3737" s="17" t="s">
        <v>34</v>
      </c>
      <c r="B3737" s="19">
        <v>925</v>
      </c>
      <c r="C3737" s="222">
        <v>44992</v>
      </c>
      <c r="D3737" s="17" t="s">
        <v>52</v>
      </c>
      <c r="E3737" s="17" t="s">
        <v>53</v>
      </c>
      <c r="F3737" s="17" t="s">
        <v>54</v>
      </c>
      <c r="H3737" s="124">
        <v>1.208</v>
      </c>
      <c r="I3737" s="124"/>
      <c r="J3737" s="17" t="s">
        <v>39</v>
      </c>
      <c r="K3737" s="19">
        <v>90</v>
      </c>
      <c r="L3737" s="91"/>
      <c r="M3737" s="19">
        <v>5800</v>
      </c>
      <c r="N3737" s="19" t="s">
        <v>40</v>
      </c>
      <c r="O3737" s="19" t="s">
        <v>50</v>
      </c>
      <c r="P3737" s="19">
        <v>2000</v>
      </c>
      <c r="Q3737" s="19">
        <v>2996</v>
      </c>
      <c r="R3737" s="19">
        <f t="shared" si="175"/>
        <v>-996</v>
      </c>
      <c r="S3737" s="19">
        <v>1375</v>
      </c>
      <c r="T3737" s="19" t="s">
        <v>42</v>
      </c>
      <c r="U3737" s="102" t="s">
        <v>1210</v>
      </c>
      <c r="V3737" s="253">
        <v>45023</v>
      </c>
      <c r="W3737" s="17" t="s">
        <v>58</v>
      </c>
      <c r="Y3737" s="68">
        <v>45161</v>
      </c>
      <c r="Z3737" s="17" t="s">
        <v>191</v>
      </c>
      <c r="AA3737" s="17" t="s">
        <v>46</v>
      </c>
      <c r="AB3737" s="17" t="s">
        <v>1211</v>
      </c>
      <c r="AC3737" s="102" t="s">
        <v>1212</v>
      </c>
      <c r="AD3737" s="65">
        <v>1472</v>
      </c>
      <c r="AE3737" s="17" t="s">
        <v>48</v>
      </c>
    </row>
    <row r="3738" s="17" customFormat="1" hidden="1" spans="1:44">
      <c r="A3738" s="17" t="s">
        <v>34</v>
      </c>
      <c r="B3738" s="19">
        <v>925</v>
      </c>
      <c r="C3738" s="222">
        <v>44992</v>
      </c>
      <c r="D3738" s="17" t="s">
        <v>52</v>
      </c>
      <c r="E3738" s="17" t="s">
        <v>53</v>
      </c>
      <c r="F3738" s="17" t="s">
        <v>54</v>
      </c>
      <c r="H3738" s="124">
        <v>1.208</v>
      </c>
      <c r="I3738" s="124"/>
      <c r="J3738" s="17" t="s">
        <v>39</v>
      </c>
      <c r="K3738" s="19">
        <v>100</v>
      </c>
      <c r="L3738" s="91"/>
      <c r="M3738" s="19">
        <v>5800</v>
      </c>
      <c r="N3738" s="19" t="s">
        <v>40</v>
      </c>
      <c r="O3738" s="19" t="s">
        <v>50</v>
      </c>
      <c r="P3738" s="19">
        <v>2000</v>
      </c>
      <c r="Q3738" s="19">
        <v>2684</v>
      </c>
      <c r="R3738" s="19">
        <f t="shared" si="175"/>
        <v>-684</v>
      </c>
      <c r="S3738" s="19">
        <v>1375</v>
      </c>
      <c r="T3738" s="19" t="s">
        <v>42</v>
      </c>
      <c r="U3738" s="102" t="s">
        <v>1210</v>
      </c>
      <c r="V3738" s="253">
        <v>45023</v>
      </c>
      <c r="W3738" s="17" t="s">
        <v>58</v>
      </c>
      <c r="Y3738" s="68">
        <v>45161</v>
      </c>
      <c r="Z3738" s="17" t="s">
        <v>191</v>
      </c>
      <c r="AA3738" s="17" t="s">
        <v>46</v>
      </c>
      <c r="AB3738" s="17" t="s">
        <v>1211</v>
      </c>
      <c r="AC3738" s="102" t="s">
        <v>1212</v>
      </c>
      <c r="AD3738" s="65">
        <v>1472</v>
      </c>
      <c r="AE3738" s="17" t="s">
        <v>48</v>
      </c>
    </row>
    <row r="3739" s="17" customFormat="1" hidden="1" spans="1:44">
      <c r="A3739" s="17" t="s">
        <v>34</v>
      </c>
      <c r="B3739" s="19">
        <v>925</v>
      </c>
      <c r="C3739" s="222">
        <v>44992</v>
      </c>
      <c r="D3739" s="17" t="s">
        <v>52</v>
      </c>
      <c r="E3739" s="17" t="s">
        <v>53</v>
      </c>
      <c r="F3739" s="17" t="s">
        <v>54</v>
      </c>
      <c r="H3739" s="124">
        <v>1.208</v>
      </c>
      <c r="I3739" s="124"/>
      <c r="J3739" s="17" t="s">
        <v>39</v>
      </c>
      <c r="K3739" s="19">
        <v>110</v>
      </c>
      <c r="L3739" s="91"/>
      <c r="M3739" s="19">
        <v>5800</v>
      </c>
      <c r="N3739" s="19" t="s">
        <v>40</v>
      </c>
      <c r="O3739" s="19" t="s">
        <v>50</v>
      </c>
      <c r="P3739" s="19">
        <v>2000</v>
      </c>
      <c r="Q3739" s="19">
        <v>2700</v>
      </c>
      <c r="R3739" s="19">
        <f t="shared" si="175"/>
        <v>-700</v>
      </c>
      <c r="S3739" s="19">
        <v>1375</v>
      </c>
      <c r="T3739" s="19" t="s">
        <v>42</v>
      </c>
      <c r="U3739" s="102" t="s">
        <v>1210</v>
      </c>
      <c r="V3739" s="253">
        <v>45023</v>
      </c>
      <c r="W3739" s="17" t="s">
        <v>58</v>
      </c>
      <c r="Y3739" s="68">
        <v>45161</v>
      </c>
      <c r="Z3739" s="17" t="s">
        <v>191</v>
      </c>
      <c r="AA3739" s="17" t="s">
        <v>46</v>
      </c>
      <c r="AB3739" s="17" t="s">
        <v>1211</v>
      </c>
      <c r="AC3739" s="102" t="s">
        <v>1212</v>
      </c>
      <c r="AD3739" s="65">
        <v>1472</v>
      </c>
      <c r="AE3739" s="17" t="s">
        <v>48</v>
      </c>
    </row>
    <row r="3740" s="17" customFormat="1" hidden="1" spans="1:44">
      <c r="A3740" s="17" t="s">
        <v>34</v>
      </c>
      <c r="B3740" s="19">
        <v>925</v>
      </c>
      <c r="C3740" s="222">
        <v>44992</v>
      </c>
      <c r="D3740" s="17" t="s">
        <v>52</v>
      </c>
      <c r="E3740" s="17" t="s">
        <v>53</v>
      </c>
      <c r="F3740" s="17" t="s">
        <v>54</v>
      </c>
      <c r="H3740" s="124">
        <v>1.208</v>
      </c>
      <c r="I3740" s="124"/>
      <c r="J3740" s="17" t="s">
        <v>39</v>
      </c>
      <c r="K3740" s="19">
        <v>120</v>
      </c>
      <c r="L3740" s="91"/>
      <c r="M3740" s="19">
        <v>5800</v>
      </c>
      <c r="N3740" s="19" t="s">
        <v>40</v>
      </c>
      <c r="O3740" s="19" t="s">
        <v>50</v>
      </c>
      <c r="P3740" s="19">
        <v>2000</v>
      </c>
      <c r="Q3740" s="19">
        <v>1024</v>
      </c>
      <c r="R3740" s="19">
        <f t="shared" si="175"/>
        <v>976</v>
      </c>
      <c r="S3740" s="19">
        <v>1375</v>
      </c>
      <c r="T3740" s="19" t="s">
        <v>42</v>
      </c>
      <c r="U3740" s="102" t="s">
        <v>1210</v>
      </c>
      <c r="V3740" s="253">
        <v>45023</v>
      </c>
      <c r="W3740" s="17" t="s">
        <v>58</v>
      </c>
      <c r="Y3740" s="68">
        <v>45161</v>
      </c>
      <c r="Z3740" s="17" t="s">
        <v>191</v>
      </c>
      <c r="AA3740" s="17" t="s">
        <v>46</v>
      </c>
      <c r="AB3740" s="17" t="s">
        <v>1211</v>
      </c>
      <c r="AC3740" s="102" t="s">
        <v>1212</v>
      </c>
      <c r="AD3740" s="65">
        <v>1472</v>
      </c>
      <c r="AE3740" s="17" t="s">
        <v>48</v>
      </c>
    </row>
    <row r="3741" s="17" customFormat="1" hidden="1" spans="1:44">
      <c r="A3741" s="17" t="s">
        <v>34</v>
      </c>
      <c r="B3741" s="19">
        <v>925</v>
      </c>
      <c r="C3741" s="222">
        <v>44992</v>
      </c>
      <c r="D3741" s="17" t="s">
        <v>52</v>
      </c>
      <c r="E3741" s="17" t="s">
        <v>53</v>
      </c>
      <c r="F3741" s="17" t="s">
        <v>54</v>
      </c>
      <c r="H3741" s="124">
        <v>1.208</v>
      </c>
      <c r="I3741" s="124"/>
      <c r="J3741" s="17" t="s">
        <v>39</v>
      </c>
      <c r="K3741" s="19">
        <v>130</v>
      </c>
      <c r="L3741" s="91"/>
      <c r="M3741" s="19">
        <v>5800</v>
      </c>
      <c r="N3741" s="19" t="s">
        <v>40</v>
      </c>
      <c r="O3741" s="19" t="s">
        <v>50</v>
      </c>
      <c r="P3741" s="19">
        <v>2000</v>
      </c>
      <c r="Q3741" s="19">
        <v>1892</v>
      </c>
      <c r="R3741" s="19">
        <f t="shared" si="175"/>
        <v>108</v>
      </c>
      <c r="S3741" s="19">
        <v>1375</v>
      </c>
      <c r="T3741" s="19" t="s">
        <v>42</v>
      </c>
      <c r="U3741" s="102" t="s">
        <v>1210</v>
      </c>
      <c r="V3741" s="253">
        <v>45023</v>
      </c>
      <c r="W3741" s="17" t="s">
        <v>58</v>
      </c>
      <c r="Y3741" s="68">
        <v>45161</v>
      </c>
      <c r="Z3741" s="17" t="s">
        <v>191</v>
      </c>
      <c r="AA3741" s="17" t="s">
        <v>46</v>
      </c>
      <c r="AB3741" s="17" t="s">
        <v>1211</v>
      </c>
      <c r="AC3741" s="102" t="s">
        <v>1212</v>
      </c>
      <c r="AD3741" s="65">
        <v>1472</v>
      </c>
      <c r="AE3741" s="17" t="s">
        <v>48</v>
      </c>
    </row>
    <row r="3742" s="17" customFormat="1" hidden="1" spans="1:44">
      <c r="A3742" s="17" t="s">
        <v>34</v>
      </c>
      <c r="B3742" s="19">
        <v>925</v>
      </c>
      <c r="C3742" s="222">
        <v>44992</v>
      </c>
      <c r="D3742" s="17" t="s">
        <v>52</v>
      </c>
      <c r="E3742" s="17" t="s">
        <v>53</v>
      </c>
      <c r="F3742" s="17" t="s">
        <v>54</v>
      </c>
      <c r="H3742" s="124">
        <v>1.208</v>
      </c>
      <c r="I3742" s="124"/>
      <c r="J3742" s="17" t="s">
        <v>39</v>
      </c>
      <c r="K3742" s="19">
        <v>140</v>
      </c>
      <c r="L3742" s="91"/>
      <c r="M3742" s="19">
        <v>5800</v>
      </c>
      <c r="N3742" s="19" t="s">
        <v>40</v>
      </c>
      <c r="O3742" s="19" t="s">
        <v>50</v>
      </c>
      <c r="P3742" s="19">
        <v>2000</v>
      </c>
      <c r="Q3742" s="19">
        <f>438+460</f>
        <v>898</v>
      </c>
      <c r="R3742" s="19">
        <f t="shared" si="175"/>
        <v>1102</v>
      </c>
      <c r="S3742" s="19">
        <v>1375</v>
      </c>
      <c r="T3742" s="19" t="s">
        <v>42</v>
      </c>
      <c r="U3742" s="102" t="s">
        <v>1210</v>
      </c>
      <c r="V3742" s="253">
        <v>45023</v>
      </c>
      <c r="W3742" s="17" t="s">
        <v>58</v>
      </c>
      <c r="Y3742" s="68">
        <v>45161</v>
      </c>
      <c r="Z3742" s="17" t="s">
        <v>191</v>
      </c>
      <c r="AA3742" s="17" t="s">
        <v>46</v>
      </c>
      <c r="AB3742" s="17" t="s">
        <v>1211</v>
      </c>
      <c r="AC3742" s="102" t="s">
        <v>1212</v>
      </c>
      <c r="AD3742" s="65">
        <v>1472</v>
      </c>
      <c r="AE3742" s="17" t="s">
        <v>48</v>
      </c>
    </row>
    <row r="3743" s="17" customFormat="1" hidden="1" spans="1:44">
      <c r="A3743" s="17" t="s">
        <v>34</v>
      </c>
      <c r="B3743" s="19">
        <v>925</v>
      </c>
      <c r="C3743" s="222">
        <v>44992</v>
      </c>
      <c r="D3743" s="17" t="s">
        <v>52</v>
      </c>
      <c r="E3743" s="17" t="s">
        <v>53</v>
      </c>
      <c r="F3743" s="17" t="s">
        <v>54</v>
      </c>
      <c r="H3743" s="124">
        <v>1.208</v>
      </c>
      <c r="I3743" s="124"/>
      <c r="J3743" s="17" t="s">
        <v>39</v>
      </c>
      <c r="K3743" s="19">
        <v>150</v>
      </c>
      <c r="L3743" s="91"/>
      <c r="M3743" s="19">
        <v>5800</v>
      </c>
      <c r="N3743" s="19" t="s">
        <v>40</v>
      </c>
      <c r="O3743" s="19" t="s">
        <v>50</v>
      </c>
      <c r="P3743" s="19">
        <v>2000</v>
      </c>
      <c r="Q3743" s="19">
        <f>436+528</f>
        <v>964</v>
      </c>
      <c r="R3743" s="19">
        <f t="shared" si="175"/>
        <v>1036</v>
      </c>
      <c r="S3743" s="19">
        <v>1375</v>
      </c>
      <c r="T3743" s="19" t="s">
        <v>42</v>
      </c>
      <c r="U3743" s="102" t="s">
        <v>1210</v>
      </c>
      <c r="V3743" s="253">
        <v>45023</v>
      </c>
      <c r="W3743" s="17" t="s">
        <v>58</v>
      </c>
      <c r="Y3743" s="68">
        <v>45161</v>
      </c>
      <c r="Z3743" s="17" t="s">
        <v>191</v>
      </c>
      <c r="AA3743" s="17" t="s">
        <v>46</v>
      </c>
      <c r="AB3743" s="17" t="s">
        <v>1211</v>
      </c>
      <c r="AC3743" s="102" t="s">
        <v>1212</v>
      </c>
      <c r="AD3743" s="65">
        <v>1472</v>
      </c>
      <c r="AE3743" s="17" t="s">
        <v>48</v>
      </c>
    </row>
    <row r="3744" s="17" customFormat="1" hidden="1" spans="1:44">
      <c r="A3744" s="17" t="s">
        <v>34</v>
      </c>
      <c r="B3744" s="19">
        <v>925</v>
      </c>
      <c r="C3744" s="222">
        <v>44992</v>
      </c>
      <c r="D3744" s="17" t="s">
        <v>52</v>
      </c>
      <c r="E3744" s="17" t="s">
        <v>53</v>
      </c>
      <c r="F3744" s="17" t="s">
        <v>54</v>
      </c>
      <c r="H3744" s="124">
        <v>1.208</v>
      </c>
      <c r="I3744" s="124"/>
      <c r="J3744" s="17" t="s">
        <v>39</v>
      </c>
      <c r="K3744" s="19">
        <v>160</v>
      </c>
      <c r="L3744" s="91"/>
      <c r="M3744" s="19">
        <v>5800</v>
      </c>
      <c r="N3744" s="19" t="s">
        <v>40</v>
      </c>
      <c r="O3744" s="19" t="s">
        <v>50</v>
      </c>
      <c r="P3744" s="19">
        <v>2000</v>
      </c>
      <c r="Q3744" s="19">
        <f>810+698</f>
        <v>1508</v>
      </c>
      <c r="R3744" s="19">
        <f t="shared" si="175"/>
        <v>492</v>
      </c>
      <c r="S3744" s="19">
        <v>1375</v>
      </c>
      <c r="T3744" s="19" t="s">
        <v>42</v>
      </c>
      <c r="U3744" s="102" t="s">
        <v>1210</v>
      </c>
      <c r="V3744" s="253">
        <v>45023</v>
      </c>
      <c r="W3744" s="17" t="s">
        <v>58</v>
      </c>
      <c r="Y3744" s="68">
        <v>45161</v>
      </c>
      <c r="Z3744" s="17" t="s">
        <v>191</v>
      </c>
      <c r="AA3744" s="17" t="s">
        <v>46</v>
      </c>
      <c r="AB3744" s="17" t="s">
        <v>1211</v>
      </c>
      <c r="AC3744" s="102" t="s">
        <v>1212</v>
      </c>
      <c r="AD3744" s="65">
        <v>1472</v>
      </c>
      <c r="AE3744" s="17" t="s">
        <v>48</v>
      </c>
    </row>
    <row r="3745" s="17" customFormat="1" hidden="1" spans="1:32">
      <c r="A3745" s="17" t="s">
        <v>34</v>
      </c>
      <c r="B3745" s="19">
        <v>925</v>
      </c>
      <c r="C3745" s="222">
        <v>44992</v>
      </c>
      <c r="D3745" s="17" t="s">
        <v>52</v>
      </c>
      <c r="E3745" s="17" t="s">
        <v>53</v>
      </c>
      <c r="F3745" s="17" t="s">
        <v>54</v>
      </c>
      <c r="H3745" s="124">
        <v>1.208</v>
      </c>
      <c r="I3745" s="124"/>
      <c r="J3745" s="17" t="s">
        <v>39</v>
      </c>
      <c r="K3745" s="19">
        <v>170</v>
      </c>
      <c r="L3745" s="91"/>
      <c r="M3745" s="19">
        <v>5800</v>
      </c>
      <c r="N3745" s="19" t="s">
        <v>40</v>
      </c>
      <c r="O3745" s="19" t="s">
        <v>50</v>
      </c>
      <c r="P3745" s="19">
        <v>2000</v>
      </c>
      <c r="Q3745" s="19">
        <v>668</v>
      </c>
      <c r="R3745" s="19">
        <f t="shared" si="175"/>
        <v>1332</v>
      </c>
      <c r="S3745" s="19">
        <v>1375</v>
      </c>
      <c r="T3745" s="19" t="s">
        <v>42</v>
      </c>
      <c r="U3745" s="102" t="s">
        <v>1210</v>
      </c>
      <c r="V3745" s="253">
        <v>45023</v>
      </c>
      <c r="W3745" s="17" t="s">
        <v>58</v>
      </c>
      <c r="Y3745" s="68">
        <v>45161</v>
      </c>
      <c r="Z3745" s="17" t="s">
        <v>191</v>
      </c>
      <c r="AA3745" s="17" t="s">
        <v>46</v>
      </c>
      <c r="AB3745" s="17" t="s">
        <v>1211</v>
      </c>
      <c r="AC3745" s="102" t="s">
        <v>1212</v>
      </c>
      <c r="AD3745" s="65">
        <v>1472</v>
      </c>
      <c r="AE3745" s="17" t="s">
        <v>48</v>
      </c>
    </row>
    <row r="3746" s="17" customFormat="1" hidden="1" spans="1:32">
      <c r="A3746" s="17" t="s">
        <v>34</v>
      </c>
      <c r="B3746" s="19">
        <v>925</v>
      </c>
      <c r="C3746" s="222">
        <v>44992</v>
      </c>
      <c r="D3746" s="17" t="s">
        <v>52</v>
      </c>
      <c r="E3746" s="17" t="s">
        <v>53</v>
      </c>
      <c r="F3746" s="17" t="s">
        <v>54</v>
      </c>
      <c r="H3746" s="124">
        <v>1.208</v>
      </c>
      <c r="I3746" s="124"/>
      <c r="J3746" s="17" t="s">
        <v>39</v>
      </c>
      <c r="K3746" s="19">
        <v>180</v>
      </c>
      <c r="L3746" s="91"/>
      <c r="M3746" s="19">
        <v>5800</v>
      </c>
      <c r="N3746" s="19" t="s">
        <v>40</v>
      </c>
      <c r="O3746" s="19" t="s">
        <v>50</v>
      </c>
      <c r="P3746" s="19">
        <v>2000</v>
      </c>
      <c r="Q3746" s="19">
        <f>900+800+786</f>
        <v>2486</v>
      </c>
      <c r="R3746" s="19">
        <f t="shared" si="175"/>
        <v>-486</v>
      </c>
      <c r="S3746" s="19">
        <v>1375</v>
      </c>
      <c r="T3746" s="19" t="s">
        <v>42</v>
      </c>
      <c r="U3746" s="102" t="s">
        <v>1210</v>
      </c>
      <c r="V3746" s="253">
        <v>45023</v>
      </c>
      <c r="W3746" s="17" t="s">
        <v>58</v>
      </c>
      <c r="Y3746" s="68">
        <v>45161</v>
      </c>
      <c r="Z3746" s="17" t="s">
        <v>191</v>
      </c>
      <c r="AA3746" s="17" t="s">
        <v>46</v>
      </c>
      <c r="AB3746" s="17" t="s">
        <v>1211</v>
      </c>
      <c r="AC3746" s="102" t="s">
        <v>1212</v>
      </c>
      <c r="AD3746" s="65">
        <v>1472</v>
      </c>
      <c r="AE3746" s="17" t="s">
        <v>48</v>
      </c>
    </row>
    <row r="3747" s="17" customFormat="1" hidden="1" spans="1:32">
      <c r="A3747" s="17" t="s">
        <v>34</v>
      </c>
      <c r="B3747" s="19">
        <v>925</v>
      </c>
      <c r="C3747" s="222">
        <v>44992</v>
      </c>
      <c r="D3747" s="17" t="s">
        <v>52</v>
      </c>
      <c r="E3747" s="17" t="s">
        <v>53</v>
      </c>
      <c r="F3747" s="17" t="s">
        <v>54</v>
      </c>
      <c r="H3747" s="124">
        <v>1.208</v>
      </c>
      <c r="I3747" s="124"/>
      <c r="J3747" s="17" t="s">
        <v>39</v>
      </c>
      <c r="K3747" s="19">
        <v>190</v>
      </c>
      <c r="L3747" s="91"/>
      <c r="M3747" s="19">
        <v>5800</v>
      </c>
      <c r="N3747" s="19" t="s">
        <v>40</v>
      </c>
      <c r="O3747" s="19" t="s">
        <v>50</v>
      </c>
      <c r="P3747" s="19">
        <v>2000</v>
      </c>
      <c r="Q3747" s="19">
        <f>978+998+1020</f>
        <v>2996</v>
      </c>
      <c r="R3747" s="19">
        <f t="shared" si="175"/>
        <v>-996</v>
      </c>
      <c r="S3747" s="19">
        <v>1375</v>
      </c>
      <c r="T3747" s="19" t="s">
        <v>42</v>
      </c>
      <c r="U3747" s="102" t="s">
        <v>1210</v>
      </c>
      <c r="V3747" s="253">
        <v>45023</v>
      </c>
      <c r="W3747" s="17" t="s">
        <v>58</v>
      </c>
      <c r="Y3747" s="68">
        <v>45161</v>
      </c>
      <c r="Z3747" s="17" t="s">
        <v>191</v>
      </c>
      <c r="AA3747" s="17" t="s">
        <v>46</v>
      </c>
      <c r="AB3747" s="17" t="s">
        <v>1211</v>
      </c>
      <c r="AC3747" s="102" t="s">
        <v>1212</v>
      </c>
      <c r="AD3747" s="65">
        <v>1472</v>
      </c>
      <c r="AE3747" s="17" t="s">
        <v>48</v>
      </c>
    </row>
    <row r="3748" s="17" customFormat="1" hidden="1" spans="1:32">
      <c r="A3748" s="17" t="s">
        <v>34</v>
      </c>
      <c r="B3748" s="19">
        <v>925</v>
      </c>
      <c r="C3748" s="222">
        <v>44992</v>
      </c>
      <c r="D3748" s="17" t="s">
        <v>52</v>
      </c>
      <c r="E3748" s="17" t="s">
        <v>53</v>
      </c>
      <c r="F3748" s="17" t="s">
        <v>54</v>
      </c>
      <c r="H3748" s="124">
        <v>1.208</v>
      </c>
      <c r="I3748" s="124"/>
      <c r="J3748" s="17" t="s">
        <v>39</v>
      </c>
      <c r="K3748" s="19">
        <v>202</v>
      </c>
      <c r="L3748" s="91"/>
      <c r="M3748" s="19">
        <v>5800</v>
      </c>
      <c r="N3748" s="19" t="s">
        <v>40</v>
      </c>
      <c r="O3748" s="19" t="s">
        <v>50</v>
      </c>
      <c r="P3748" s="19">
        <v>2000</v>
      </c>
      <c r="Q3748" s="19">
        <f>1044+980</f>
        <v>2024</v>
      </c>
      <c r="R3748" s="19">
        <f t="shared" si="175"/>
        <v>-24</v>
      </c>
      <c r="S3748" s="19">
        <v>1375</v>
      </c>
      <c r="T3748" s="19" t="s">
        <v>42</v>
      </c>
      <c r="U3748" s="102" t="s">
        <v>1210</v>
      </c>
      <c r="V3748" s="253">
        <v>45023</v>
      </c>
      <c r="W3748" s="17" t="s">
        <v>58</v>
      </c>
      <c r="Y3748" s="68">
        <v>45161</v>
      </c>
      <c r="Z3748" s="17" t="s">
        <v>191</v>
      </c>
      <c r="AA3748" s="17" t="s">
        <v>46</v>
      </c>
      <c r="AB3748" s="17" t="s">
        <v>1211</v>
      </c>
      <c r="AC3748" s="102" t="s">
        <v>1212</v>
      </c>
      <c r="AD3748" s="65">
        <v>1472</v>
      </c>
      <c r="AE3748" s="17" t="s">
        <v>48</v>
      </c>
    </row>
    <row r="3749" s="18" customFormat="1" hidden="1" spans="1:32">
      <c r="B3749" s="75">
        <v>925</v>
      </c>
      <c r="C3749" s="224">
        <v>44992</v>
      </c>
      <c r="D3749" s="18" t="s">
        <v>52</v>
      </c>
      <c r="E3749" s="18" t="s">
        <v>53</v>
      </c>
      <c r="F3749" s="18" t="s">
        <v>54</v>
      </c>
      <c r="H3749" s="294">
        <v>1.208</v>
      </c>
      <c r="I3749" s="294"/>
      <c r="J3749" s="18" t="s">
        <v>39</v>
      </c>
      <c r="K3749" s="75">
        <v>272</v>
      </c>
      <c r="L3749" s="111"/>
      <c r="M3749" s="75">
        <v>5800</v>
      </c>
      <c r="N3749" s="75" t="s">
        <v>40</v>
      </c>
      <c r="O3749" s="75" t="s">
        <v>50</v>
      </c>
      <c r="P3749" s="75">
        <v>2000</v>
      </c>
      <c r="Q3749" s="75"/>
      <c r="R3749" s="75">
        <f t="shared" si="175"/>
        <v>2000</v>
      </c>
      <c r="S3749" s="75">
        <v>1375</v>
      </c>
      <c r="T3749" s="75" t="s">
        <v>42</v>
      </c>
      <c r="U3749" s="137" t="s">
        <v>1210</v>
      </c>
      <c r="V3749" s="225">
        <v>45023</v>
      </c>
      <c r="W3749" s="18" t="s">
        <v>58</v>
      </c>
      <c r="Y3749" s="114">
        <v>45161</v>
      </c>
      <c r="Z3749" s="18" t="s">
        <v>191</v>
      </c>
      <c r="AA3749" s="18" t="s">
        <v>46</v>
      </c>
      <c r="AC3749" s="137"/>
      <c r="AD3749" s="77"/>
      <c r="AE3749" s="18" t="s">
        <v>48</v>
      </c>
      <c r="AF3749" s="18" t="s">
        <v>1213</v>
      </c>
    </row>
    <row r="3750" s="17" customFormat="1" hidden="1" spans="1:32">
      <c r="A3750" s="17" t="s">
        <v>34</v>
      </c>
      <c r="B3750" s="19">
        <v>925</v>
      </c>
      <c r="C3750" s="222">
        <v>44992</v>
      </c>
      <c r="D3750" s="17" t="s">
        <v>52</v>
      </c>
      <c r="E3750" s="17" t="s">
        <v>53</v>
      </c>
      <c r="F3750" s="17" t="s">
        <v>54</v>
      </c>
      <c r="H3750" s="124">
        <v>1.208</v>
      </c>
      <c r="I3750" s="124"/>
      <c r="J3750" s="17" t="s">
        <v>39</v>
      </c>
      <c r="K3750" s="19">
        <v>280</v>
      </c>
      <c r="L3750" s="91"/>
      <c r="M3750" s="19">
        <v>5800</v>
      </c>
      <c r="N3750" s="19" t="s">
        <v>40</v>
      </c>
      <c r="O3750" s="19" t="s">
        <v>50</v>
      </c>
      <c r="P3750" s="19">
        <v>1344</v>
      </c>
      <c r="Q3750" s="19">
        <v>1352</v>
      </c>
      <c r="R3750" s="19">
        <f t="shared" si="175"/>
        <v>-8</v>
      </c>
      <c r="S3750" s="19">
        <v>1275</v>
      </c>
      <c r="T3750" s="19" t="s">
        <v>42</v>
      </c>
      <c r="U3750" s="102" t="s">
        <v>1210</v>
      </c>
      <c r="V3750" s="253">
        <v>45023</v>
      </c>
      <c r="W3750" s="17" t="s">
        <v>58</v>
      </c>
      <c r="Y3750" s="68">
        <v>45161</v>
      </c>
      <c r="Z3750" s="17" t="s">
        <v>191</v>
      </c>
      <c r="AA3750" s="17" t="s">
        <v>46</v>
      </c>
      <c r="AB3750" s="17" t="s">
        <v>1211</v>
      </c>
      <c r="AC3750" s="102" t="s">
        <v>1212</v>
      </c>
      <c r="AD3750" s="65">
        <v>1472</v>
      </c>
    </row>
    <row r="3751" s="17" customFormat="1" hidden="1" spans="1:32">
      <c r="A3751" s="17" t="s">
        <v>34</v>
      </c>
      <c r="B3751" s="19">
        <v>925</v>
      </c>
      <c r="C3751" s="222">
        <v>44992</v>
      </c>
      <c r="D3751" s="17" t="s">
        <v>52</v>
      </c>
      <c r="E3751" s="17" t="s">
        <v>53</v>
      </c>
      <c r="F3751" s="17" t="s">
        <v>54</v>
      </c>
      <c r="H3751" s="124">
        <v>1.208</v>
      </c>
      <c r="I3751" s="124"/>
      <c r="J3751" s="17" t="s">
        <v>39</v>
      </c>
      <c r="K3751" s="19">
        <v>330</v>
      </c>
      <c r="L3751" s="91"/>
      <c r="M3751" s="19">
        <v>5800</v>
      </c>
      <c r="N3751" s="19" t="s">
        <v>40</v>
      </c>
      <c r="O3751" s="19" t="s">
        <v>50</v>
      </c>
      <c r="P3751" s="19">
        <v>3000</v>
      </c>
      <c r="Q3751" s="19">
        <v>2080</v>
      </c>
      <c r="R3751" s="19">
        <f t="shared" si="175"/>
        <v>920</v>
      </c>
      <c r="S3751" s="19">
        <v>1375</v>
      </c>
      <c r="T3751" s="19" t="s">
        <v>42</v>
      </c>
      <c r="U3751" s="102" t="s">
        <v>1210</v>
      </c>
      <c r="V3751" s="253">
        <v>45023</v>
      </c>
      <c r="W3751" s="17" t="s">
        <v>58</v>
      </c>
      <c r="Y3751" s="68">
        <v>45161</v>
      </c>
      <c r="Z3751" s="17" t="s">
        <v>191</v>
      </c>
      <c r="AA3751" s="17" t="s">
        <v>46</v>
      </c>
      <c r="AB3751" s="17" t="s">
        <v>1211</v>
      </c>
      <c r="AC3751" s="102" t="s">
        <v>1212</v>
      </c>
      <c r="AD3751" s="65">
        <v>1472</v>
      </c>
      <c r="AE3751" s="17" t="s">
        <v>48</v>
      </c>
    </row>
    <row r="3752" s="17" customFormat="1" hidden="1" spans="1:32">
      <c r="A3752" s="17" t="s">
        <v>34</v>
      </c>
      <c r="B3752" s="19">
        <v>925</v>
      </c>
      <c r="C3752" s="222">
        <v>44992</v>
      </c>
      <c r="D3752" s="17" t="s">
        <v>52</v>
      </c>
      <c r="E3752" s="17" t="s">
        <v>53</v>
      </c>
      <c r="F3752" s="17" t="s">
        <v>54</v>
      </c>
      <c r="H3752" s="124">
        <v>1.208</v>
      </c>
      <c r="I3752" s="124"/>
      <c r="J3752" s="17" t="s">
        <v>39</v>
      </c>
      <c r="K3752" s="19">
        <v>310</v>
      </c>
      <c r="L3752" s="91"/>
      <c r="M3752" s="19">
        <v>5800</v>
      </c>
      <c r="N3752" s="19" t="s">
        <v>40</v>
      </c>
      <c r="O3752" s="19" t="s">
        <v>50</v>
      </c>
      <c r="P3752" s="19">
        <v>3000</v>
      </c>
      <c r="Q3752" s="19">
        <v>2740</v>
      </c>
      <c r="R3752" s="19">
        <f t="shared" si="175"/>
        <v>260</v>
      </c>
      <c r="S3752" s="19">
        <v>1375</v>
      </c>
      <c r="T3752" s="19" t="s">
        <v>42</v>
      </c>
      <c r="U3752" s="102" t="s">
        <v>1210</v>
      </c>
      <c r="V3752" s="253">
        <v>45023</v>
      </c>
      <c r="W3752" s="17" t="s">
        <v>58</v>
      </c>
      <c r="Y3752" s="68">
        <v>45161</v>
      </c>
      <c r="Z3752" s="17" t="s">
        <v>191</v>
      </c>
      <c r="AA3752" s="17" t="s">
        <v>46</v>
      </c>
      <c r="AB3752" s="17" t="s">
        <v>1211</v>
      </c>
      <c r="AC3752" s="102" t="s">
        <v>1212</v>
      </c>
      <c r="AD3752" s="65">
        <v>1472</v>
      </c>
      <c r="AE3752" s="17" t="s">
        <v>48</v>
      </c>
    </row>
    <row r="3753" s="17" customFormat="1" hidden="1" spans="1:32">
      <c r="A3753" s="17" t="s">
        <v>34</v>
      </c>
      <c r="B3753" s="19">
        <v>925</v>
      </c>
      <c r="C3753" s="222">
        <v>44992</v>
      </c>
      <c r="D3753" s="17" t="s">
        <v>52</v>
      </c>
      <c r="E3753" s="17" t="s">
        <v>53</v>
      </c>
      <c r="F3753" s="17" t="s">
        <v>54</v>
      </c>
      <c r="H3753" s="124">
        <v>1.208</v>
      </c>
      <c r="I3753" s="124"/>
      <c r="J3753" s="17" t="s">
        <v>39</v>
      </c>
      <c r="K3753" s="19">
        <v>360</v>
      </c>
      <c r="L3753" s="91"/>
      <c r="M3753" s="19">
        <v>5800</v>
      </c>
      <c r="N3753" s="19" t="s">
        <v>40</v>
      </c>
      <c r="O3753" s="19" t="s">
        <v>50</v>
      </c>
      <c r="P3753" s="19">
        <v>3000</v>
      </c>
      <c r="Q3753" s="19">
        <v>3132</v>
      </c>
      <c r="R3753" s="19">
        <f t="shared" si="175"/>
        <v>-132</v>
      </c>
      <c r="S3753" s="19">
        <v>1375</v>
      </c>
      <c r="T3753" s="19" t="s">
        <v>42</v>
      </c>
      <c r="U3753" s="102" t="s">
        <v>1210</v>
      </c>
      <c r="V3753" s="253">
        <v>45023</v>
      </c>
      <c r="W3753" s="17" t="s">
        <v>58</v>
      </c>
      <c r="Y3753" s="68">
        <v>45161</v>
      </c>
      <c r="Z3753" s="17" t="s">
        <v>191</v>
      </c>
      <c r="AA3753" s="17" t="s">
        <v>46</v>
      </c>
      <c r="AB3753" s="17" t="s">
        <v>1211</v>
      </c>
      <c r="AC3753" s="102" t="s">
        <v>1212</v>
      </c>
      <c r="AD3753" s="65">
        <v>1472</v>
      </c>
      <c r="AE3753" s="17" t="s">
        <v>48</v>
      </c>
    </row>
    <row r="3754" s="17" customFormat="1" hidden="1" spans="1:32">
      <c r="A3754" s="17" t="s">
        <v>34</v>
      </c>
      <c r="B3754" s="19">
        <v>925</v>
      </c>
      <c r="C3754" s="222">
        <v>44992</v>
      </c>
      <c r="D3754" s="17" t="s">
        <v>52</v>
      </c>
      <c r="E3754" s="17" t="s">
        <v>53</v>
      </c>
      <c r="F3754" s="17" t="s">
        <v>54</v>
      </c>
      <c r="H3754" s="124">
        <v>1.208</v>
      </c>
      <c r="I3754" s="124"/>
      <c r="J3754" s="17" t="s">
        <v>82</v>
      </c>
      <c r="K3754" s="19">
        <v>305</v>
      </c>
      <c r="L3754" s="91">
        <v>40</v>
      </c>
      <c r="M3754" s="19">
        <v>5800</v>
      </c>
      <c r="N3754" s="19" t="s">
        <v>40</v>
      </c>
      <c r="O3754" s="19" t="s">
        <v>98</v>
      </c>
      <c r="P3754" s="19">
        <v>1149</v>
      </c>
      <c r="Q3754" s="19">
        <f>418+522+398+438</f>
        <v>1776</v>
      </c>
      <c r="R3754" s="19">
        <f t="shared" si="175"/>
        <v>-627</v>
      </c>
      <c r="S3754" s="19">
        <v>1375</v>
      </c>
      <c r="T3754" s="19" t="s">
        <v>42</v>
      </c>
      <c r="U3754" s="102" t="s">
        <v>1210</v>
      </c>
      <c r="V3754" s="253">
        <v>45023</v>
      </c>
      <c r="W3754" s="17" t="s">
        <v>58</v>
      </c>
      <c r="Y3754" s="68">
        <v>45161</v>
      </c>
      <c r="Z3754" s="17" t="s">
        <v>191</v>
      </c>
      <c r="AA3754" s="17" t="s">
        <v>46</v>
      </c>
      <c r="AB3754" s="17" t="s">
        <v>1211</v>
      </c>
      <c r="AC3754" s="102" t="s">
        <v>1212</v>
      </c>
      <c r="AD3754" s="65">
        <v>1472</v>
      </c>
      <c r="AE3754" s="17" t="s">
        <v>74</v>
      </c>
    </row>
    <row r="3755" s="17" customFormat="1" hidden="1" spans="1:32">
      <c r="A3755" s="17" t="s">
        <v>34</v>
      </c>
      <c r="B3755" s="19">
        <v>925</v>
      </c>
      <c r="C3755" s="222">
        <v>44992</v>
      </c>
      <c r="D3755" s="17" t="s">
        <v>52</v>
      </c>
      <c r="E3755" s="17" t="s">
        <v>53</v>
      </c>
      <c r="F3755" s="17" t="s">
        <v>54</v>
      </c>
      <c r="H3755" s="124">
        <v>1.208</v>
      </c>
      <c r="I3755" s="124"/>
      <c r="J3755" s="17" t="s">
        <v>82</v>
      </c>
      <c r="K3755" s="19">
        <v>405</v>
      </c>
      <c r="L3755" s="91">
        <v>40</v>
      </c>
      <c r="M3755" s="19">
        <v>5800</v>
      </c>
      <c r="N3755" s="19" t="s">
        <v>40</v>
      </c>
      <c r="O3755" s="19" t="s">
        <v>98</v>
      </c>
      <c r="P3755" s="19">
        <v>1017</v>
      </c>
      <c r="Q3755" s="19">
        <v>522</v>
      </c>
      <c r="R3755" s="19">
        <f t="shared" si="175"/>
        <v>495</v>
      </c>
      <c r="S3755" s="19">
        <v>1375</v>
      </c>
      <c r="T3755" s="19" t="s">
        <v>42</v>
      </c>
      <c r="U3755" s="102" t="s">
        <v>1210</v>
      </c>
      <c r="V3755" s="253">
        <v>45023</v>
      </c>
      <c r="W3755" s="17" t="s">
        <v>58</v>
      </c>
      <c r="Y3755" s="68">
        <v>45161</v>
      </c>
      <c r="Z3755" s="17" t="s">
        <v>191</v>
      </c>
      <c r="AA3755" s="17" t="s">
        <v>46</v>
      </c>
      <c r="AB3755" s="17" t="s">
        <v>1211</v>
      </c>
      <c r="AC3755" s="102" t="s">
        <v>1212</v>
      </c>
      <c r="AD3755" s="65">
        <v>1472</v>
      </c>
      <c r="AE3755" s="17" t="s">
        <v>74</v>
      </c>
    </row>
    <row r="3756" s="17" customFormat="1" hidden="1" spans="1:32">
      <c r="A3756" s="17" t="s">
        <v>34</v>
      </c>
      <c r="B3756" s="19">
        <v>925</v>
      </c>
      <c r="C3756" s="222">
        <v>44992</v>
      </c>
      <c r="D3756" s="17" t="s">
        <v>52</v>
      </c>
      <c r="E3756" s="17" t="s">
        <v>53</v>
      </c>
      <c r="F3756" s="17" t="s">
        <v>54</v>
      </c>
      <c r="H3756" s="124">
        <v>1.208</v>
      </c>
      <c r="I3756" s="124"/>
      <c r="J3756" s="17" t="s">
        <v>82</v>
      </c>
      <c r="K3756" s="19">
        <v>455</v>
      </c>
      <c r="L3756" s="91">
        <v>40</v>
      </c>
      <c r="M3756" s="19">
        <v>5800</v>
      </c>
      <c r="N3756" s="19" t="s">
        <v>40</v>
      </c>
      <c r="O3756" s="19" t="s">
        <v>98</v>
      </c>
      <c r="P3756" s="19">
        <v>1143</v>
      </c>
      <c r="Q3756" s="19">
        <f>700+608+614</f>
        <v>1922</v>
      </c>
      <c r="R3756" s="19">
        <f t="shared" si="175"/>
        <v>-779</v>
      </c>
      <c r="S3756" s="19">
        <v>1375</v>
      </c>
      <c r="T3756" s="19" t="s">
        <v>42</v>
      </c>
      <c r="U3756" s="102" t="s">
        <v>1210</v>
      </c>
      <c r="V3756" s="253">
        <v>45023</v>
      </c>
      <c r="W3756" s="17" t="s">
        <v>58</v>
      </c>
      <c r="Y3756" s="68">
        <v>45161</v>
      </c>
      <c r="Z3756" s="17" t="s">
        <v>191</v>
      </c>
      <c r="AA3756" s="17" t="s">
        <v>46</v>
      </c>
      <c r="AB3756" s="17" t="s">
        <v>1211</v>
      </c>
      <c r="AC3756" s="102" t="s">
        <v>1212</v>
      </c>
      <c r="AD3756" s="65">
        <v>1472</v>
      </c>
      <c r="AE3756" s="17" t="s">
        <v>74</v>
      </c>
    </row>
    <row r="3757" s="17" customFormat="1" hidden="1" spans="1:32">
      <c r="A3757" s="17" t="s">
        <v>34</v>
      </c>
      <c r="B3757" s="19">
        <v>925</v>
      </c>
      <c r="C3757" s="222">
        <v>44992</v>
      </c>
      <c r="D3757" s="17" t="s">
        <v>52</v>
      </c>
      <c r="E3757" s="17" t="s">
        <v>53</v>
      </c>
      <c r="F3757" s="17" t="s">
        <v>54</v>
      </c>
      <c r="H3757" s="124">
        <v>1.208</v>
      </c>
      <c r="I3757" s="124"/>
      <c r="J3757" s="17" t="s">
        <v>82</v>
      </c>
      <c r="K3757" s="19">
        <v>505</v>
      </c>
      <c r="L3757" s="91">
        <v>40</v>
      </c>
      <c r="M3757" s="19">
        <v>5800</v>
      </c>
      <c r="N3757" s="19" t="s">
        <v>40</v>
      </c>
      <c r="O3757" s="19" t="s">
        <v>98</v>
      </c>
      <c r="P3757" s="19">
        <v>1269</v>
      </c>
      <c r="Q3757" s="19">
        <f>700+824</f>
        <v>1524</v>
      </c>
      <c r="R3757" s="19">
        <f t="shared" si="175"/>
        <v>-255</v>
      </c>
      <c r="S3757" s="19">
        <v>1375</v>
      </c>
      <c r="T3757" s="19" t="s">
        <v>42</v>
      </c>
      <c r="U3757" s="102" t="s">
        <v>1210</v>
      </c>
      <c r="V3757" s="253">
        <v>45023</v>
      </c>
      <c r="W3757" s="17" t="s">
        <v>58</v>
      </c>
      <c r="Y3757" s="68">
        <v>45161</v>
      </c>
      <c r="Z3757" s="17" t="s">
        <v>191</v>
      </c>
      <c r="AA3757" s="17" t="s">
        <v>46</v>
      </c>
      <c r="AB3757" s="17" t="s">
        <v>1211</v>
      </c>
      <c r="AC3757" s="102" t="s">
        <v>1212</v>
      </c>
      <c r="AD3757" s="65">
        <v>1472</v>
      </c>
      <c r="AE3757" s="17" t="s">
        <v>74</v>
      </c>
    </row>
    <row r="3758" s="17" customFormat="1" hidden="1" spans="1:32">
      <c r="A3758" s="17" t="s">
        <v>34</v>
      </c>
      <c r="B3758" s="19">
        <v>925</v>
      </c>
      <c r="C3758" s="222">
        <v>44992</v>
      </c>
      <c r="D3758" s="17" t="s">
        <v>52</v>
      </c>
      <c r="E3758" s="17" t="s">
        <v>53</v>
      </c>
      <c r="F3758" s="17" t="s">
        <v>54</v>
      </c>
      <c r="H3758" s="124">
        <v>1.208</v>
      </c>
      <c r="I3758" s="124"/>
      <c r="J3758" s="17" t="s">
        <v>82</v>
      </c>
      <c r="K3758" s="19">
        <v>305</v>
      </c>
      <c r="L3758" s="91">
        <v>50</v>
      </c>
      <c r="M3758" s="19">
        <v>5800</v>
      </c>
      <c r="N3758" s="19" t="s">
        <v>40</v>
      </c>
      <c r="O3758" s="19" t="s">
        <v>98</v>
      </c>
      <c r="P3758" s="19">
        <v>958</v>
      </c>
      <c r="Q3758" s="19">
        <f>530+534</f>
        <v>1064</v>
      </c>
      <c r="R3758" s="19">
        <f t="shared" si="175"/>
        <v>-106</v>
      </c>
      <c r="S3758" s="19">
        <v>1375</v>
      </c>
      <c r="T3758" s="19" t="s">
        <v>42</v>
      </c>
      <c r="U3758" s="102" t="s">
        <v>1210</v>
      </c>
      <c r="V3758" s="253">
        <v>45023</v>
      </c>
      <c r="W3758" s="17" t="s">
        <v>58</v>
      </c>
      <c r="Y3758" s="68">
        <v>45161</v>
      </c>
      <c r="Z3758" s="17" t="s">
        <v>191</v>
      </c>
      <c r="AA3758" s="17" t="s">
        <v>46</v>
      </c>
      <c r="AB3758" s="17" t="s">
        <v>1211</v>
      </c>
      <c r="AC3758" s="102" t="s">
        <v>1212</v>
      </c>
      <c r="AD3758" s="65">
        <v>1472</v>
      </c>
      <c r="AE3758" s="17" t="s">
        <v>74</v>
      </c>
    </row>
    <row r="3759" s="17" customFormat="1" hidden="1" spans="1:32">
      <c r="A3759" s="17" t="s">
        <v>34</v>
      </c>
      <c r="B3759" s="19">
        <v>925</v>
      </c>
      <c r="C3759" s="222">
        <v>44992</v>
      </c>
      <c r="D3759" s="17" t="s">
        <v>52</v>
      </c>
      <c r="E3759" s="17" t="s">
        <v>53</v>
      </c>
      <c r="F3759" s="17" t="s">
        <v>54</v>
      </c>
      <c r="H3759" s="124">
        <v>1.208</v>
      </c>
      <c r="I3759" s="124"/>
      <c r="J3759" s="17" t="s">
        <v>82</v>
      </c>
      <c r="K3759" s="19">
        <v>405</v>
      </c>
      <c r="L3759" s="91">
        <v>50</v>
      </c>
      <c r="M3759" s="19">
        <v>5800</v>
      </c>
      <c r="N3759" s="19" t="s">
        <v>40</v>
      </c>
      <c r="O3759" s="19" t="s">
        <v>98</v>
      </c>
      <c r="P3759" s="19">
        <v>1272</v>
      </c>
      <c r="Q3759" s="19">
        <f>628+618</f>
        <v>1246</v>
      </c>
      <c r="R3759" s="19">
        <f t="shared" si="175"/>
        <v>26</v>
      </c>
      <c r="S3759" s="19">
        <v>1375</v>
      </c>
      <c r="T3759" s="19" t="s">
        <v>42</v>
      </c>
      <c r="U3759" s="102" t="s">
        <v>1210</v>
      </c>
      <c r="V3759" s="253">
        <v>45023</v>
      </c>
      <c r="W3759" s="17" t="s">
        <v>58</v>
      </c>
      <c r="Y3759" s="68">
        <v>45161</v>
      </c>
      <c r="Z3759" s="17" t="s">
        <v>191</v>
      </c>
      <c r="AA3759" s="17" t="s">
        <v>46</v>
      </c>
      <c r="AB3759" s="17" t="s">
        <v>1211</v>
      </c>
      <c r="AC3759" s="102" t="s">
        <v>1212</v>
      </c>
      <c r="AD3759" s="65">
        <v>1472</v>
      </c>
      <c r="AE3759" s="17" t="s">
        <v>74</v>
      </c>
    </row>
    <row r="3760" s="17" customFormat="1" hidden="1" spans="1:32">
      <c r="A3760" s="17" t="s">
        <v>34</v>
      </c>
      <c r="B3760" s="19">
        <v>925</v>
      </c>
      <c r="C3760" s="222">
        <v>44992</v>
      </c>
      <c r="D3760" s="17" t="s">
        <v>52</v>
      </c>
      <c r="E3760" s="17" t="s">
        <v>53</v>
      </c>
      <c r="F3760" s="17" t="s">
        <v>54</v>
      </c>
      <c r="H3760" s="124">
        <v>1.208</v>
      </c>
      <c r="I3760" s="124"/>
      <c r="J3760" s="17" t="s">
        <v>82</v>
      </c>
      <c r="K3760" s="19">
        <v>455</v>
      </c>
      <c r="L3760" s="91">
        <v>50</v>
      </c>
      <c r="M3760" s="19">
        <v>5800</v>
      </c>
      <c r="N3760" s="19" t="s">
        <v>40</v>
      </c>
      <c r="O3760" s="19" t="s">
        <v>98</v>
      </c>
      <c r="P3760" s="19">
        <v>1429</v>
      </c>
      <c r="Q3760" s="19">
        <f>698+704+706</f>
        <v>2108</v>
      </c>
      <c r="R3760" s="19">
        <f t="shared" si="175"/>
        <v>-679</v>
      </c>
      <c r="S3760" s="19">
        <v>1375</v>
      </c>
      <c r="T3760" s="19" t="s">
        <v>42</v>
      </c>
      <c r="U3760" s="102" t="s">
        <v>1210</v>
      </c>
      <c r="V3760" s="253">
        <v>45023</v>
      </c>
      <c r="W3760" s="17" t="s">
        <v>58</v>
      </c>
      <c r="Y3760" s="68">
        <v>45161</v>
      </c>
      <c r="Z3760" s="17" t="s">
        <v>191</v>
      </c>
      <c r="AA3760" s="17" t="s">
        <v>46</v>
      </c>
      <c r="AB3760" s="17" t="s">
        <v>1211</v>
      </c>
      <c r="AC3760" s="102" t="s">
        <v>1212</v>
      </c>
      <c r="AD3760" s="65">
        <v>1472</v>
      </c>
      <c r="AE3760" s="17" t="s">
        <v>74</v>
      </c>
    </row>
    <row r="3761" s="17" customFormat="1" hidden="1" spans="1:44">
      <c r="A3761" s="17" t="s">
        <v>34</v>
      </c>
      <c r="B3761" s="19">
        <v>925</v>
      </c>
      <c r="C3761" s="222">
        <v>44992</v>
      </c>
      <c r="D3761" s="17" t="s">
        <v>52</v>
      </c>
      <c r="E3761" s="17" t="s">
        <v>53</v>
      </c>
      <c r="F3761" s="17" t="s">
        <v>54</v>
      </c>
      <c r="H3761" s="124">
        <v>1.208</v>
      </c>
      <c r="I3761" s="124"/>
      <c r="J3761" s="17" t="s">
        <v>82</v>
      </c>
      <c r="K3761" s="19">
        <v>505</v>
      </c>
      <c r="L3761" s="91">
        <v>50</v>
      </c>
      <c r="M3761" s="19">
        <v>5800</v>
      </c>
      <c r="N3761" s="19" t="s">
        <v>40</v>
      </c>
      <c r="O3761" s="19" t="s">
        <v>98</v>
      </c>
      <c r="P3761" s="19">
        <v>1586</v>
      </c>
      <c r="Q3761" s="19">
        <f>910+814+904</f>
        <v>2628</v>
      </c>
      <c r="R3761" s="19">
        <f t="shared" si="175"/>
        <v>-1042</v>
      </c>
      <c r="S3761" s="19">
        <v>1375</v>
      </c>
      <c r="T3761" s="19" t="s">
        <v>42</v>
      </c>
      <c r="U3761" s="102" t="s">
        <v>1210</v>
      </c>
      <c r="V3761" s="253">
        <v>45023</v>
      </c>
      <c r="W3761" s="17" t="s">
        <v>58</v>
      </c>
      <c r="Y3761" s="68">
        <v>45161</v>
      </c>
      <c r="Z3761" s="17" t="s">
        <v>191</v>
      </c>
      <c r="AA3761" s="17" t="s">
        <v>46</v>
      </c>
      <c r="AB3761" s="17" t="s">
        <v>1211</v>
      </c>
      <c r="AC3761" s="102" t="s">
        <v>1212</v>
      </c>
      <c r="AD3761" s="65">
        <v>1472</v>
      </c>
      <c r="AE3761" s="17" t="s">
        <v>74</v>
      </c>
    </row>
    <row r="3762" s="17" customFormat="1" hidden="1" spans="1:44">
      <c r="A3762" s="17" t="s">
        <v>34</v>
      </c>
      <c r="B3762" s="19">
        <v>925</v>
      </c>
      <c r="C3762" s="222">
        <v>44992</v>
      </c>
      <c r="D3762" s="17" t="s">
        <v>52</v>
      </c>
      <c r="E3762" s="17" t="s">
        <v>53</v>
      </c>
      <c r="F3762" s="17" t="s">
        <v>54</v>
      </c>
      <c r="H3762" s="124">
        <v>1.208</v>
      </c>
      <c r="I3762" s="124"/>
      <c r="J3762" s="17" t="s">
        <v>82</v>
      </c>
      <c r="K3762" s="19">
        <v>605</v>
      </c>
      <c r="L3762" s="91">
        <v>50</v>
      </c>
      <c r="M3762" s="19">
        <v>5800</v>
      </c>
      <c r="N3762" s="19" t="s">
        <v>40</v>
      </c>
      <c r="O3762" s="19" t="s">
        <v>98</v>
      </c>
      <c r="P3762" s="19">
        <v>950</v>
      </c>
      <c r="Q3762" s="19">
        <v>936</v>
      </c>
      <c r="R3762" s="19">
        <f t="shared" si="175"/>
        <v>14</v>
      </c>
      <c r="S3762" s="19">
        <v>1375</v>
      </c>
      <c r="T3762" s="19" t="s">
        <v>42</v>
      </c>
      <c r="U3762" s="102" t="s">
        <v>1210</v>
      </c>
      <c r="V3762" s="253">
        <v>45023</v>
      </c>
      <c r="W3762" s="17" t="s">
        <v>58</v>
      </c>
      <c r="Y3762" s="68">
        <v>45161</v>
      </c>
      <c r="Z3762" s="17" t="s">
        <v>191</v>
      </c>
      <c r="AA3762" s="17" t="s">
        <v>46</v>
      </c>
      <c r="AB3762" s="17" t="s">
        <v>1211</v>
      </c>
      <c r="AC3762" s="102" t="s">
        <v>1212</v>
      </c>
      <c r="AD3762" s="65">
        <v>1472</v>
      </c>
      <c r="AE3762" s="17" t="s">
        <v>74</v>
      </c>
    </row>
    <row r="3763" s="17" customFormat="1" hidden="1" spans="1:44">
      <c r="A3763" s="17" t="s">
        <v>34</v>
      </c>
      <c r="B3763" s="19">
        <v>926</v>
      </c>
      <c r="C3763" s="222">
        <v>45084</v>
      </c>
      <c r="D3763" s="17" t="s">
        <v>52</v>
      </c>
      <c r="E3763" s="17" t="s">
        <v>322</v>
      </c>
      <c r="F3763" s="17" t="s">
        <v>54</v>
      </c>
      <c r="H3763" s="19" t="s">
        <v>108</v>
      </c>
      <c r="I3763" s="19"/>
      <c r="J3763" s="17" t="s">
        <v>49</v>
      </c>
      <c r="K3763" s="19">
        <v>1100</v>
      </c>
      <c r="L3763" s="91">
        <v>205</v>
      </c>
      <c r="M3763" s="19">
        <v>5800</v>
      </c>
      <c r="N3763" s="19" t="s">
        <v>66</v>
      </c>
      <c r="O3763" s="19" t="s">
        <v>50</v>
      </c>
      <c r="P3763" s="19">
        <v>8850</v>
      </c>
      <c r="Q3763" s="19">
        <v>7615</v>
      </c>
      <c r="R3763" s="19">
        <f t="shared" si="175"/>
        <v>1235</v>
      </c>
      <c r="S3763" s="19">
        <f>2040-20</f>
        <v>2020</v>
      </c>
      <c r="T3763" s="19" t="s">
        <v>42</v>
      </c>
      <c r="U3763" s="102" t="s">
        <v>1214</v>
      </c>
      <c r="V3763" s="253" t="s">
        <v>1215</v>
      </c>
      <c r="W3763" s="17" t="s">
        <v>69</v>
      </c>
      <c r="Y3763" s="68">
        <v>45222</v>
      </c>
      <c r="Z3763" s="17" t="s">
        <v>191</v>
      </c>
      <c r="AA3763" s="17" t="s">
        <v>46</v>
      </c>
      <c r="AB3763" s="17" t="s">
        <v>1216</v>
      </c>
      <c r="AC3763" s="102" t="s">
        <v>1217</v>
      </c>
      <c r="AD3763" s="65">
        <v>1488</v>
      </c>
      <c r="AE3763" s="17" t="s">
        <v>48</v>
      </c>
    </row>
    <row r="3764" s="17" customFormat="1" hidden="1" spans="1:44">
      <c r="A3764" s="17" t="s">
        <v>34</v>
      </c>
      <c r="B3764" s="19">
        <v>926</v>
      </c>
      <c r="C3764" s="222">
        <v>45084</v>
      </c>
      <c r="D3764" s="17" t="s">
        <v>52</v>
      </c>
      <c r="E3764" s="17" t="s">
        <v>322</v>
      </c>
      <c r="F3764" s="17" t="s">
        <v>54</v>
      </c>
      <c r="H3764" s="19" t="s">
        <v>108</v>
      </c>
      <c r="I3764" s="19"/>
      <c r="J3764" s="17" t="s">
        <v>49</v>
      </c>
      <c r="K3764" s="19">
        <v>1100</v>
      </c>
      <c r="L3764" s="91">
        <v>255</v>
      </c>
      <c r="M3764" s="19">
        <v>5800</v>
      </c>
      <c r="N3764" s="19" t="s">
        <v>66</v>
      </c>
      <c r="O3764" s="19" t="s">
        <v>50</v>
      </c>
      <c r="P3764" s="19">
        <v>22000</v>
      </c>
      <c r="Q3764" s="19">
        <v>20280</v>
      </c>
      <c r="R3764" s="19">
        <f t="shared" si="175"/>
        <v>1720</v>
      </c>
      <c r="S3764" s="19">
        <f>2040-20</f>
        <v>2020</v>
      </c>
      <c r="T3764" s="19" t="s">
        <v>42</v>
      </c>
      <c r="U3764" s="102" t="s">
        <v>1214</v>
      </c>
      <c r="V3764" s="253" t="s">
        <v>1215</v>
      </c>
      <c r="W3764" s="17" t="s">
        <v>69</v>
      </c>
      <c r="Y3764" s="68">
        <v>45222</v>
      </c>
      <c r="Z3764" s="17" t="s">
        <v>191</v>
      </c>
      <c r="AA3764" s="17" t="s">
        <v>46</v>
      </c>
      <c r="AB3764" s="17" t="s">
        <v>1216</v>
      </c>
      <c r="AC3764" s="102" t="s">
        <v>1217</v>
      </c>
      <c r="AD3764" s="65">
        <v>1488</v>
      </c>
      <c r="AE3764" s="17" t="s">
        <v>48</v>
      </c>
    </row>
    <row r="3765" s="17" customFormat="1" hidden="1" spans="1:44">
      <c r="A3765" s="17" t="s">
        <v>34</v>
      </c>
      <c r="B3765" s="19">
        <v>926</v>
      </c>
      <c r="C3765" s="222">
        <v>45084</v>
      </c>
      <c r="D3765" s="17" t="s">
        <v>52</v>
      </c>
      <c r="E3765" s="17" t="s">
        <v>322</v>
      </c>
      <c r="F3765" s="17" t="s">
        <v>54</v>
      </c>
      <c r="H3765" s="19" t="s">
        <v>108</v>
      </c>
      <c r="I3765" s="19"/>
      <c r="J3765" s="17" t="s">
        <v>49</v>
      </c>
      <c r="K3765" s="19">
        <v>1100</v>
      </c>
      <c r="L3765" s="91">
        <v>305</v>
      </c>
      <c r="M3765" s="19">
        <v>5800</v>
      </c>
      <c r="N3765" s="19" t="s">
        <v>66</v>
      </c>
      <c r="O3765" s="19" t="s">
        <v>50</v>
      </c>
      <c r="P3765" s="19">
        <v>11850</v>
      </c>
      <c r="Q3765" s="19">
        <v>11125</v>
      </c>
      <c r="R3765" s="19">
        <f t="shared" si="175"/>
        <v>725</v>
      </c>
      <c r="S3765" s="19">
        <f>2040-20</f>
        <v>2020</v>
      </c>
      <c r="T3765" s="19" t="s">
        <v>42</v>
      </c>
      <c r="U3765" s="102" t="s">
        <v>1214</v>
      </c>
      <c r="V3765" s="253" t="s">
        <v>1215</v>
      </c>
      <c r="W3765" s="17" t="s">
        <v>69</v>
      </c>
      <c r="Y3765" s="68">
        <v>45222</v>
      </c>
      <c r="Z3765" s="17" t="s">
        <v>191</v>
      </c>
      <c r="AA3765" s="17" t="s">
        <v>46</v>
      </c>
      <c r="AB3765" s="17" t="s">
        <v>1216</v>
      </c>
      <c r="AC3765" s="102" t="s">
        <v>1217</v>
      </c>
      <c r="AD3765" s="65">
        <v>1488</v>
      </c>
      <c r="AE3765" s="17" t="s">
        <v>48</v>
      </c>
    </row>
    <row r="3766" s="17" customFormat="1" hidden="1" spans="1:44">
      <c r="A3766" s="17" t="s">
        <v>34</v>
      </c>
      <c r="B3766" s="19">
        <v>926</v>
      </c>
      <c r="C3766" s="222">
        <v>45084</v>
      </c>
      <c r="D3766" s="17" t="s">
        <v>52</v>
      </c>
      <c r="E3766" s="17" t="s">
        <v>322</v>
      </c>
      <c r="F3766" s="17" t="s">
        <v>54</v>
      </c>
      <c r="H3766" s="19" t="s">
        <v>108</v>
      </c>
      <c r="I3766" s="19"/>
      <c r="J3766" s="17" t="s">
        <v>49</v>
      </c>
      <c r="K3766" s="19">
        <v>1100</v>
      </c>
      <c r="L3766" s="91">
        <v>405</v>
      </c>
      <c r="M3766" s="19">
        <v>5800</v>
      </c>
      <c r="N3766" s="19" t="s">
        <v>66</v>
      </c>
      <c r="O3766" s="19" t="s">
        <v>50</v>
      </c>
      <c r="P3766" s="19">
        <v>10500</v>
      </c>
      <c r="Q3766" s="19">
        <v>11720</v>
      </c>
      <c r="R3766" s="19">
        <f t="shared" si="175"/>
        <v>-1220</v>
      </c>
      <c r="S3766" s="19">
        <v>1925</v>
      </c>
      <c r="T3766" s="19" t="s">
        <v>42</v>
      </c>
      <c r="U3766" s="102" t="s">
        <v>1214</v>
      </c>
      <c r="V3766" s="253" t="s">
        <v>1215</v>
      </c>
      <c r="W3766" s="17" t="s">
        <v>69</v>
      </c>
      <c r="Y3766" s="68">
        <v>45222</v>
      </c>
      <c r="Z3766" s="17" t="s">
        <v>191</v>
      </c>
      <c r="AA3766" s="17" t="s">
        <v>46</v>
      </c>
      <c r="AB3766" s="17" t="s">
        <v>1216</v>
      </c>
      <c r="AC3766" s="102" t="s">
        <v>1217</v>
      </c>
      <c r="AD3766" s="65">
        <v>1488</v>
      </c>
      <c r="AE3766" s="17" t="s">
        <v>48</v>
      </c>
    </row>
    <row r="3767" s="20" customFormat="1" hidden="1" spans="1:44">
      <c r="A3767" s="17" t="s">
        <v>34</v>
      </c>
      <c r="B3767" s="19">
        <v>927</v>
      </c>
      <c r="C3767" s="183">
        <v>45131</v>
      </c>
      <c r="D3767" s="17" t="s">
        <v>35</v>
      </c>
      <c r="E3767" s="17" t="s">
        <v>718</v>
      </c>
      <c r="F3767" s="17" t="s">
        <v>37</v>
      </c>
      <c r="G3767" s="17"/>
      <c r="H3767" s="19">
        <v>1.2344</v>
      </c>
      <c r="I3767" s="19"/>
      <c r="J3767" s="17" t="s">
        <v>39</v>
      </c>
      <c r="K3767" s="19">
        <v>164</v>
      </c>
      <c r="L3767" s="91"/>
      <c r="M3767" s="19"/>
      <c r="N3767" s="19" t="s">
        <v>40</v>
      </c>
      <c r="O3767" s="19" t="s">
        <v>50</v>
      </c>
      <c r="P3767" s="19">
        <v>6000</v>
      </c>
      <c r="Q3767" s="19">
        <v>6066</v>
      </c>
      <c r="R3767" s="19">
        <f t="shared" si="175"/>
        <v>-66</v>
      </c>
      <c r="S3767" s="19">
        <v>3930</v>
      </c>
      <c r="T3767" s="19" t="s">
        <v>42</v>
      </c>
      <c r="U3767" s="102" t="s">
        <v>1218</v>
      </c>
      <c r="V3767" s="101">
        <v>45132</v>
      </c>
      <c r="W3767" s="17" t="s">
        <v>44</v>
      </c>
      <c r="X3767" s="17"/>
      <c r="Y3767" s="68">
        <v>45315</v>
      </c>
      <c r="Z3767" s="17" t="s">
        <v>78</v>
      </c>
      <c r="AA3767" s="17" t="s">
        <v>1187</v>
      </c>
      <c r="AB3767" s="17" t="s">
        <v>1219</v>
      </c>
      <c r="AC3767" s="217">
        <v>45327</v>
      </c>
      <c r="AD3767" s="65">
        <v>1498</v>
      </c>
      <c r="AE3767" s="17" t="s">
        <v>252</v>
      </c>
      <c r="AF3767" s="17" t="s">
        <v>1220</v>
      </c>
      <c r="AG3767" s="17"/>
      <c r="AH3767" s="17"/>
      <c r="AI3767" s="17"/>
      <c r="AJ3767" s="17"/>
      <c r="AK3767" s="17"/>
      <c r="AL3767" s="17"/>
      <c r="AM3767" s="17"/>
      <c r="AN3767" s="17"/>
      <c r="AO3767" s="17"/>
      <c r="AP3767" s="17"/>
      <c r="AQ3767" s="17"/>
      <c r="AR3767" s="17"/>
    </row>
    <row r="3768" s="20" customFormat="1" hidden="1" spans="1:44">
      <c r="A3768" s="17" t="s">
        <v>34</v>
      </c>
      <c r="B3768" s="19">
        <v>927</v>
      </c>
      <c r="C3768" s="183">
        <v>45131</v>
      </c>
      <c r="D3768" s="17" t="s">
        <v>35</v>
      </c>
      <c r="E3768" s="17" t="s">
        <v>718</v>
      </c>
      <c r="F3768" s="17" t="s">
        <v>37</v>
      </c>
      <c r="G3768" s="17"/>
      <c r="H3768" s="19">
        <v>1.2344</v>
      </c>
      <c r="I3768" s="19"/>
      <c r="J3768" s="17" t="s">
        <v>39</v>
      </c>
      <c r="K3768" s="19">
        <v>284</v>
      </c>
      <c r="L3768" s="91"/>
      <c r="M3768" s="19"/>
      <c r="N3768" s="19" t="s">
        <v>40</v>
      </c>
      <c r="O3768" s="19" t="s">
        <v>50</v>
      </c>
      <c r="P3768" s="19">
        <v>12000</v>
      </c>
      <c r="Q3768" s="19">
        <v>3616</v>
      </c>
      <c r="R3768" s="17"/>
      <c r="S3768" s="19">
        <v>3930</v>
      </c>
      <c r="T3768" s="19" t="s">
        <v>42</v>
      </c>
      <c r="U3768" s="102" t="s">
        <v>1218</v>
      </c>
      <c r="V3768" s="101">
        <v>45132</v>
      </c>
      <c r="W3768" s="17" t="s">
        <v>44</v>
      </c>
      <c r="X3768" s="17"/>
      <c r="Y3768" s="68">
        <v>45315</v>
      </c>
      <c r="Z3768" s="17" t="s">
        <v>78</v>
      </c>
      <c r="AA3768" s="17" t="s">
        <v>1187</v>
      </c>
      <c r="AB3768" s="17" t="s">
        <v>1221</v>
      </c>
      <c r="AC3768" s="217">
        <v>45150</v>
      </c>
      <c r="AD3768" s="65">
        <v>1479</v>
      </c>
      <c r="AE3768" s="17" t="s">
        <v>252</v>
      </c>
      <c r="AF3768" s="17" t="s">
        <v>1220</v>
      </c>
      <c r="AG3768" s="17"/>
      <c r="AH3768" s="17"/>
      <c r="AI3768" s="17"/>
      <c r="AJ3768" s="17"/>
      <c r="AK3768" s="17"/>
      <c r="AL3768" s="17"/>
      <c r="AM3768" s="17"/>
      <c r="AN3768" s="17"/>
      <c r="AO3768" s="17"/>
      <c r="AP3768" s="17"/>
      <c r="AQ3768" s="17"/>
      <c r="AR3768" s="17"/>
    </row>
    <row r="3769" s="20" customFormat="1" hidden="1" spans="1:44">
      <c r="A3769" s="17" t="s">
        <v>34</v>
      </c>
      <c r="B3769" s="19">
        <v>927</v>
      </c>
      <c r="C3769" s="183">
        <v>45131</v>
      </c>
      <c r="D3769" s="17" t="s">
        <v>35</v>
      </c>
      <c r="E3769" s="17" t="s">
        <v>718</v>
      </c>
      <c r="F3769" s="17" t="s">
        <v>37</v>
      </c>
      <c r="G3769" s="17"/>
      <c r="H3769" s="19">
        <v>1.2344</v>
      </c>
      <c r="I3769" s="19"/>
      <c r="J3769" s="17" t="s">
        <v>39</v>
      </c>
      <c r="K3769" s="19">
        <v>284</v>
      </c>
      <c r="L3769" s="91"/>
      <c r="M3769" s="19"/>
      <c r="N3769" s="19" t="s">
        <v>40</v>
      </c>
      <c r="O3769" s="19" t="s">
        <v>50</v>
      </c>
      <c r="P3769" s="19"/>
      <c r="Q3769" s="19">
        <v>7042</v>
      </c>
      <c r="R3769" s="19">
        <f>+P3768-Q3768-Q3769</f>
        <v>1342</v>
      </c>
      <c r="S3769" s="19">
        <v>3930</v>
      </c>
      <c r="T3769" s="19" t="s">
        <v>42</v>
      </c>
      <c r="U3769" s="102" t="s">
        <v>1218</v>
      </c>
      <c r="V3769" s="101">
        <v>45132</v>
      </c>
      <c r="W3769" s="17" t="s">
        <v>44</v>
      </c>
      <c r="X3769" s="17"/>
      <c r="Y3769" s="68">
        <v>45315</v>
      </c>
      <c r="Z3769" s="17" t="s">
        <v>78</v>
      </c>
      <c r="AA3769" s="17" t="s">
        <v>1187</v>
      </c>
      <c r="AB3769" s="17" t="s">
        <v>1219</v>
      </c>
      <c r="AC3769" s="217">
        <v>45327</v>
      </c>
      <c r="AD3769" s="65">
        <v>1498</v>
      </c>
      <c r="AE3769" s="17" t="s">
        <v>252</v>
      </c>
      <c r="AF3769" s="17" t="s">
        <v>1220</v>
      </c>
      <c r="AG3769" s="17"/>
      <c r="AH3769" s="17"/>
      <c r="AI3769" s="17"/>
      <c r="AJ3769" s="17"/>
      <c r="AK3769" s="17"/>
      <c r="AL3769" s="17"/>
      <c r="AM3769" s="17"/>
      <c r="AN3769" s="17"/>
      <c r="AO3769" s="17"/>
      <c r="AP3769" s="17"/>
      <c r="AQ3769" s="17"/>
      <c r="AR3769" s="17"/>
    </row>
    <row r="3770" s="20" customFormat="1" hidden="1" spans="1:44">
      <c r="A3770" s="17" t="s">
        <v>34</v>
      </c>
      <c r="B3770" s="19">
        <v>927</v>
      </c>
      <c r="C3770" s="183">
        <v>45131</v>
      </c>
      <c r="D3770" s="17" t="s">
        <v>35</v>
      </c>
      <c r="E3770" s="17" t="s">
        <v>718</v>
      </c>
      <c r="F3770" s="17" t="s">
        <v>37</v>
      </c>
      <c r="G3770" s="17"/>
      <c r="H3770" s="19">
        <v>1.2344</v>
      </c>
      <c r="I3770" s="19"/>
      <c r="J3770" s="17" t="s">
        <v>39</v>
      </c>
      <c r="K3770" s="19">
        <v>324</v>
      </c>
      <c r="L3770" s="91"/>
      <c r="M3770" s="19"/>
      <c r="N3770" s="19" t="s">
        <v>40</v>
      </c>
      <c r="O3770" s="19" t="s">
        <v>50</v>
      </c>
      <c r="P3770" s="19">
        <v>12000</v>
      </c>
      <c r="Q3770" s="19">
        <v>10376</v>
      </c>
      <c r="R3770" s="19">
        <f t="shared" ref="R3770:R3779" si="176">+P3770-Q3770</f>
        <v>1624</v>
      </c>
      <c r="S3770" s="19">
        <v>3930</v>
      </c>
      <c r="T3770" s="19" t="s">
        <v>42</v>
      </c>
      <c r="U3770" s="102" t="s">
        <v>1218</v>
      </c>
      <c r="V3770" s="101">
        <v>45132</v>
      </c>
      <c r="W3770" s="17" t="s">
        <v>44</v>
      </c>
      <c r="X3770" s="17"/>
      <c r="Y3770" s="68">
        <v>45315</v>
      </c>
      <c r="Z3770" s="17" t="s">
        <v>78</v>
      </c>
      <c r="AA3770" s="17" t="s">
        <v>1187</v>
      </c>
      <c r="AB3770" s="17" t="s">
        <v>1221</v>
      </c>
      <c r="AC3770" s="217">
        <v>45150</v>
      </c>
      <c r="AD3770" s="65">
        <v>1479</v>
      </c>
      <c r="AE3770" s="17" t="s">
        <v>252</v>
      </c>
      <c r="AF3770" s="17" t="s">
        <v>1220</v>
      </c>
      <c r="AG3770" s="17"/>
      <c r="AH3770" s="17"/>
      <c r="AI3770" s="17"/>
      <c r="AJ3770" s="17"/>
      <c r="AK3770" s="17"/>
      <c r="AL3770" s="17"/>
      <c r="AM3770" s="17"/>
      <c r="AN3770" s="17"/>
      <c r="AO3770" s="17"/>
      <c r="AP3770" s="17"/>
      <c r="AQ3770" s="17"/>
      <c r="AR3770" s="17"/>
    </row>
    <row r="3771" s="20" customFormat="1" hidden="1" spans="1:44">
      <c r="A3771" s="17" t="s">
        <v>34</v>
      </c>
      <c r="B3771" s="19">
        <v>927</v>
      </c>
      <c r="C3771" s="183">
        <v>45131</v>
      </c>
      <c r="D3771" s="17" t="s">
        <v>35</v>
      </c>
      <c r="E3771" s="17" t="s">
        <v>718</v>
      </c>
      <c r="F3771" s="17" t="s">
        <v>37</v>
      </c>
      <c r="G3771" s="17"/>
      <c r="H3771" s="19">
        <v>1.2344</v>
      </c>
      <c r="I3771" s="19"/>
      <c r="J3771" s="17" t="s">
        <v>39</v>
      </c>
      <c r="K3771" s="19">
        <v>404</v>
      </c>
      <c r="L3771" s="91"/>
      <c r="M3771" s="19"/>
      <c r="N3771" s="19" t="s">
        <v>40</v>
      </c>
      <c r="O3771" s="19" t="s">
        <v>50</v>
      </c>
      <c r="P3771" s="19">
        <v>12000</v>
      </c>
      <c r="Q3771" s="19">
        <v>10734</v>
      </c>
      <c r="R3771" s="19">
        <f t="shared" si="176"/>
        <v>1266</v>
      </c>
      <c r="S3771" s="19">
        <v>3930</v>
      </c>
      <c r="T3771" s="19" t="s">
        <v>42</v>
      </c>
      <c r="U3771" s="102" t="s">
        <v>1218</v>
      </c>
      <c r="V3771" s="101">
        <v>45132</v>
      </c>
      <c r="W3771" s="17" t="s">
        <v>44</v>
      </c>
      <c r="X3771" s="17"/>
      <c r="Y3771" s="68">
        <v>45315</v>
      </c>
      <c r="Z3771" s="17" t="s">
        <v>78</v>
      </c>
      <c r="AA3771" s="17" t="s">
        <v>1187</v>
      </c>
      <c r="AB3771" s="17" t="s">
        <v>1221</v>
      </c>
      <c r="AC3771" s="217">
        <v>45150</v>
      </c>
      <c r="AD3771" s="65">
        <v>1479</v>
      </c>
      <c r="AE3771" s="17" t="s">
        <v>252</v>
      </c>
      <c r="AF3771" s="17" t="s">
        <v>1220</v>
      </c>
      <c r="AG3771" s="17"/>
      <c r="AH3771" s="17"/>
      <c r="AI3771" s="17"/>
      <c r="AJ3771" s="17"/>
      <c r="AK3771" s="17"/>
      <c r="AL3771" s="17"/>
      <c r="AM3771" s="17"/>
      <c r="AN3771" s="17"/>
      <c r="AO3771" s="17"/>
      <c r="AP3771" s="17"/>
      <c r="AQ3771" s="17"/>
      <c r="AR3771" s="17"/>
    </row>
    <row r="3772" s="20" customFormat="1" hidden="1" spans="1:44">
      <c r="A3772" s="17" t="s">
        <v>34</v>
      </c>
      <c r="B3772" s="19">
        <v>927</v>
      </c>
      <c r="C3772" s="183">
        <v>45131</v>
      </c>
      <c r="D3772" s="17" t="s">
        <v>35</v>
      </c>
      <c r="E3772" s="17" t="s">
        <v>718</v>
      </c>
      <c r="F3772" s="17" t="s">
        <v>37</v>
      </c>
      <c r="G3772" s="17"/>
      <c r="H3772" s="19">
        <v>1.2344</v>
      </c>
      <c r="I3772" s="19"/>
      <c r="J3772" s="17" t="s">
        <v>39</v>
      </c>
      <c r="K3772" s="19">
        <v>504</v>
      </c>
      <c r="L3772" s="91"/>
      <c r="M3772" s="19"/>
      <c r="N3772" s="19" t="s">
        <v>40</v>
      </c>
      <c r="O3772" s="19" t="s">
        <v>50</v>
      </c>
      <c r="P3772" s="19">
        <v>6000</v>
      </c>
      <c r="Q3772" s="19">
        <v>6016</v>
      </c>
      <c r="R3772" s="19">
        <f t="shared" si="176"/>
        <v>-16</v>
      </c>
      <c r="S3772" s="19">
        <v>3930</v>
      </c>
      <c r="T3772" s="19" t="s">
        <v>42</v>
      </c>
      <c r="U3772" s="102" t="s">
        <v>1218</v>
      </c>
      <c r="V3772" s="101">
        <v>45132</v>
      </c>
      <c r="W3772" s="17" t="s">
        <v>44</v>
      </c>
      <c r="X3772" s="17"/>
      <c r="Y3772" s="68">
        <v>45315</v>
      </c>
      <c r="Z3772" s="17" t="s">
        <v>78</v>
      </c>
      <c r="AA3772" s="17" t="s">
        <v>1187</v>
      </c>
      <c r="AB3772" s="17" t="s">
        <v>1219</v>
      </c>
      <c r="AC3772" s="217">
        <v>45327</v>
      </c>
      <c r="AD3772" s="65">
        <v>1498</v>
      </c>
      <c r="AE3772" s="17" t="s">
        <v>252</v>
      </c>
      <c r="AF3772" s="17" t="s">
        <v>1220</v>
      </c>
      <c r="AG3772" s="17"/>
      <c r="AH3772" s="17"/>
      <c r="AI3772" s="17"/>
      <c r="AJ3772" s="17"/>
      <c r="AK3772" s="17"/>
      <c r="AL3772" s="17"/>
      <c r="AM3772" s="17"/>
      <c r="AN3772" s="17"/>
      <c r="AO3772" s="17"/>
      <c r="AP3772" s="17"/>
      <c r="AQ3772" s="17"/>
      <c r="AR3772" s="17"/>
    </row>
    <row r="3773" s="20" customFormat="1" hidden="1" spans="1:44">
      <c r="A3773" s="17" t="s">
        <v>34</v>
      </c>
      <c r="B3773" s="19">
        <v>927</v>
      </c>
      <c r="C3773" s="183">
        <v>45131</v>
      </c>
      <c r="D3773" s="17" t="s">
        <v>35</v>
      </c>
      <c r="E3773" s="17" t="s">
        <v>718</v>
      </c>
      <c r="F3773" s="17" t="s">
        <v>37</v>
      </c>
      <c r="G3773" s="17"/>
      <c r="H3773" s="19">
        <v>1.2344</v>
      </c>
      <c r="I3773" s="19"/>
      <c r="J3773" s="17" t="s">
        <v>39</v>
      </c>
      <c r="K3773" s="19">
        <v>264</v>
      </c>
      <c r="L3773" s="91"/>
      <c r="M3773" s="19"/>
      <c r="N3773" s="19" t="s">
        <v>40</v>
      </c>
      <c r="O3773" s="19" t="s">
        <v>50</v>
      </c>
      <c r="P3773" s="19">
        <v>4938</v>
      </c>
      <c r="Q3773" s="19">
        <v>4868</v>
      </c>
      <c r="R3773" s="19">
        <f t="shared" si="176"/>
        <v>70</v>
      </c>
      <c r="S3773" s="19">
        <v>4025</v>
      </c>
      <c r="T3773" s="19" t="s">
        <v>42</v>
      </c>
      <c r="U3773" s="102" t="s">
        <v>1222</v>
      </c>
      <c r="V3773" s="253">
        <v>45149</v>
      </c>
      <c r="W3773" s="17" t="s">
        <v>44</v>
      </c>
      <c r="X3773" s="17"/>
      <c r="Y3773" s="68">
        <v>45315</v>
      </c>
      <c r="Z3773" s="17" t="s">
        <v>78</v>
      </c>
      <c r="AA3773" s="17" t="s">
        <v>1187</v>
      </c>
      <c r="AB3773" s="17" t="s">
        <v>1219</v>
      </c>
      <c r="AC3773" s="217">
        <v>45327</v>
      </c>
      <c r="AD3773" s="65">
        <v>1498</v>
      </c>
      <c r="AE3773" s="17" t="s">
        <v>252</v>
      </c>
      <c r="AF3773" s="17" t="s">
        <v>1223</v>
      </c>
      <c r="AG3773" s="17"/>
      <c r="AH3773" s="17"/>
      <c r="AI3773" s="17"/>
      <c r="AJ3773" s="17"/>
      <c r="AK3773" s="17"/>
      <c r="AL3773" s="17"/>
      <c r="AM3773" s="17"/>
      <c r="AN3773" s="17"/>
      <c r="AO3773" s="17"/>
      <c r="AP3773" s="17"/>
      <c r="AQ3773" s="17"/>
      <c r="AR3773" s="17"/>
    </row>
    <row r="3774" s="17" customFormat="1" hidden="1" spans="1:44">
      <c r="A3774" s="17" t="s">
        <v>34</v>
      </c>
      <c r="B3774" s="19">
        <v>928</v>
      </c>
      <c r="C3774" s="222" t="s">
        <v>1224</v>
      </c>
      <c r="D3774" s="17" t="s">
        <v>52</v>
      </c>
      <c r="E3774" s="17" t="s">
        <v>1113</v>
      </c>
      <c r="F3774" s="17" t="s">
        <v>54</v>
      </c>
      <c r="H3774" s="19" t="s">
        <v>1114</v>
      </c>
      <c r="I3774" s="19"/>
      <c r="J3774" s="17" t="s">
        <v>49</v>
      </c>
      <c r="K3774" s="19">
        <v>1300</v>
      </c>
      <c r="L3774" s="91">
        <v>205</v>
      </c>
      <c r="M3774" s="19">
        <v>4500</v>
      </c>
      <c r="N3774" s="19" t="s">
        <v>66</v>
      </c>
      <c r="O3774" s="19" t="s">
        <v>50</v>
      </c>
      <c r="P3774" s="19">
        <v>7322</v>
      </c>
      <c r="Q3774" s="19">
        <v>6650</v>
      </c>
      <c r="R3774" s="19">
        <f t="shared" si="176"/>
        <v>672</v>
      </c>
      <c r="S3774" s="19">
        <f>1370-40</f>
        <v>1330</v>
      </c>
      <c r="T3774" s="19" t="s">
        <v>42</v>
      </c>
      <c r="U3774" s="102" t="s">
        <v>1225</v>
      </c>
      <c r="V3774" s="253">
        <v>44934</v>
      </c>
      <c r="W3774" s="17" t="s">
        <v>44</v>
      </c>
      <c r="Y3774" s="68">
        <v>45192</v>
      </c>
      <c r="Z3774" s="17" t="s">
        <v>191</v>
      </c>
      <c r="AA3774" s="17" t="s">
        <v>46</v>
      </c>
      <c r="AB3774" s="17" t="s">
        <v>1226</v>
      </c>
      <c r="AC3774" s="102" t="s">
        <v>1227</v>
      </c>
      <c r="AD3774" s="65">
        <v>1494</v>
      </c>
      <c r="AE3774" s="17" t="s">
        <v>48</v>
      </c>
    </row>
    <row r="3775" s="17" customFormat="1" hidden="1" spans="1:44">
      <c r="A3775" s="17" t="s">
        <v>34</v>
      </c>
      <c r="B3775" s="19">
        <v>928</v>
      </c>
      <c r="C3775" s="222" t="s">
        <v>1224</v>
      </c>
      <c r="D3775" s="17" t="s">
        <v>52</v>
      </c>
      <c r="E3775" s="17" t="s">
        <v>1113</v>
      </c>
      <c r="F3775" s="17" t="s">
        <v>54</v>
      </c>
      <c r="H3775" s="19" t="s">
        <v>1114</v>
      </c>
      <c r="I3775" s="19"/>
      <c r="J3775" s="17" t="s">
        <v>49</v>
      </c>
      <c r="K3775" s="19">
        <v>1550</v>
      </c>
      <c r="L3775" s="91">
        <v>255</v>
      </c>
      <c r="M3775" s="19">
        <v>4500</v>
      </c>
      <c r="N3775" s="19" t="s">
        <v>66</v>
      </c>
      <c r="O3775" s="19" t="s">
        <v>50</v>
      </c>
      <c r="P3775" s="19">
        <v>10859</v>
      </c>
      <c r="Q3775" s="19">
        <v>10880</v>
      </c>
      <c r="R3775" s="19">
        <f t="shared" si="176"/>
        <v>-21</v>
      </c>
      <c r="S3775" s="19">
        <f>1370-40</f>
        <v>1330</v>
      </c>
      <c r="T3775" s="19" t="s">
        <v>42</v>
      </c>
      <c r="U3775" s="102" t="s">
        <v>1225</v>
      </c>
      <c r="V3775" s="253">
        <v>44934</v>
      </c>
      <c r="W3775" s="17" t="s">
        <v>44</v>
      </c>
      <c r="Y3775" s="68">
        <v>45192</v>
      </c>
      <c r="Z3775" s="17" t="s">
        <v>191</v>
      </c>
      <c r="AA3775" s="17" t="s">
        <v>46</v>
      </c>
      <c r="AB3775" s="17" t="s">
        <v>1226</v>
      </c>
      <c r="AC3775" s="102" t="s">
        <v>1227</v>
      </c>
      <c r="AD3775" s="65">
        <v>1494</v>
      </c>
      <c r="AE3775" s="17" t="s">
        <v>48</v>
      </c>
    </row>
    <row r="3776" s="17" customFormat="1" hidden="1" spans="1:44">
      <c r="A3776" s="17" t="s">
        <v>34</v>
      </c>
      <c r="B3776" s="19">
        <v>928</v>
      </c>
      <c r="C3776" s="222" t="s">
        <v>1224</v>
      </c>
      <c r="D3776" s="17" t="s">
        <v>52</v>
      </c>
      <c r="E3776" s="17" t="s">
        <v>1113</v>
      </c>
      <c r="F3776" s="17" t="s">
        <v>54</v>
      </c>
      <c r="H3776" s="19" t="s">
        <v>1114</v>
      </c>
      <c r="I3776" s="19"/>
      <c r="J3776" s="17" t="s">
        <v>49</v>
      </c>
      <c r="K3776" s="19">
        <v>1590</v>
      </c>
      <c r="L3776" s="91">
        <v>305</v>
      </c>
      <c r="M3776" s="19">
        <v>3340</v>
      </c>
      <c r="N3776" s="19" t="s">
        <v>66</v>
      </c>
      <c r="O3776" s="19" t="s">
        <v>50</v>
      </c>
      <c r="P3776" s="19">
        <v>12989</v>
      </c>
      <c r="Q3776" s="19">
        <v>12900</v>
      </c>
      <c r="R3776" s="19">
        <f t="shared" si="176"/>
        <v>89</v>
      </c>
      <c r="S3776" s="19">
        <f>1370-40</f>
        <v>1330</v>
      </c>
      <c r="T3776" s="19" t="s">
        <v>42</v>
      </c>
      <c r="U3776" s="102" t="s">
        <v>1225</v>
      </c>
      <c r="V3776" s="253">
        <v>44934</v>
      </c>
      <c r="W3776" s="17" t="s">
        <v>44</v>
      </c>
      <c r="Y3776" s="68">
        <v>45192</v>
      </c>
      <c r="Z3776" s="17" t="s">
        <v>191</v>
      </c>
      <c r="AA3776" s="17" t="s">
        <v>46</v>
      </c>
      <c r="AB3776" s="17" t="s">
        <v>1140</v>
      </c>
      <c r="AC3776" s="102" t="s">
        <v>1141</v>
      </c>
      <c r="AD3776" s="65">
        <v>1468</v>
      </c>
      <c r="AE3776" s="17" t="s">
        <v>48</v>
      </c>
    </row>
    <row r="3777" s="17" customFormat="1" hidden="1" spans="1:31">
      <c r="A3777" s="17" t="s">
        <v>34</v>
      </c>
      <c r="B3777" s="19">
        <v>928</v>
      </c>
      <c r="C3777" s="222" t="s">
        <v>1224</v>
      </c>
      <c r="D3777" s="17" t="s">
        <v>52</v>
      </c>
      <c r="E3777" s="17" t="s">
        <v>1113</v>
      </c>
      <c r="F3777" s="17" t="s">
        <v>54</v>
      </c>
      <c r="H3777" s="19" t="s">
        <v>1114</v>
      </c>
      <c r="I3777" s="19"/>
      <c r="J3777" s="17" t="s">
        <v>49</v>
      </c>
      <c r="K3777" s="19">
        <v>1550</v>
      </c>
      <c r="L3777" s="91">
        <v>410</v>
      </c>
      <c r="M3777" s="19">
        <v>3490</v>
      </c>
      <c r="N3777" s="19" t="s">
        <v>66</v>
      </c>
      <c r="O3777" s="19" t="s">
        <v>50</v>
      </c>
      <c r="P3777" s="19">
        <v>17460</v>
      </c>
      <c r="Q3777" s="19">
        <v>17620</v>
      </c>
      <c r="R3777" s="19">
        <f t="shared" si="176"/>
        <v>-160</v>
      </c>
      <c r="S3777" s="19">
        <f>1370-40</f>
        <v>1330</v>
      </c>
      <c r="T3777" s="19" t="s">
        <v>42</v>
      </c>
      <c r="U3777" s="102" t="s">
        <v>1225</v>
      </c>
      <c r="V3777" s="253">
        <v>44934</v>
      </c>
      <c r="W3777" s="17" t="s">
        <v>44</v>
      </c>
      <c r="Y3777" s="68">
        <v>45192</v>
      </c>
      <c r="Z3777" s="17" t="s">
        <v>191</v>
      </c>
      <c r="AA3777" s="17" t="s">
        <v>46</v>
      </c>
      <c r="AB3777" s="17" t="s">
        <v>1140</v>
      </c>
      <c r="AC3777" s="102" t="s">
        <v>1141</v>
      </c>
      <c r="AD3777" s="65">
        <v>1468</v>
      </c>
      <c r="AE3777" s="17" t="s">
        <v>48</v>
      </c>
    </row>
    <row r="3778" s="17" customFormat="1" hidden="1" spans="1:31">
      <c r="A3778" s="17" t="s">
        <v>34</v>
      </c>
      <c r="B3778" s="19">
        <v>928</v>
      </c>
      <c r="C3778" s="222" t="s">
        <v>1224</v>
      </c>
      <c r="D3778" s="17" t="s">
        <v>52</v>
      </c>
      <c r="E3778" s="17" t="s">
        <v>1113</v>
      </c>
      <c r="F3778" s="17" t="s">
        <v>54</v>
      </c>
      <c r="H3778" s="19" t="s">
        <v>1114</v>
      </c>
      <c r="I3778" s="19"/>
      <c r="J3778" s="17" t="s">
        <v>49</v>
      </c>
      <c r="K3778" s="19">
        <v>1550</v>
      </c>
      <c r="L3778" s="91">
        <v>460</v>
      </c>
      <c r="M3778" s="19">
        <v>4500</v>
      </c>
      <c r="N3778" s="19" t="s">
        <v>66</v>
      </c>
      <c r="O3778" s="19" t="s">
        <v>50</v>
      </c>
      <c r="P3778" s="19">
        <v>19590</v>
      </c>
      <c r="Q3778" s="19">
        <v>19370</v>
      </c>
      <c r="R3778" s="19">
        <f t="shared" si="176"/>
        <v>220</v>
      </c>
      <c r="S3778" s="19">
        <f>1370-40</f>
        <v>1330</v>
      </c>
      <c r="T3778" s="19" t="s">
        <v>42</v>
      </c>
      <c r="U3778" s="102" t="s">
        <v>1225</v>
      </c>
      <c r="V3778" s="253">
        <v>44934</v>
      </c>
      <c r="W3778" s="17" t="s">
        <v>44</v>
      </c>
      <c r="Y3778" s="68">
        <v>45192</v>
      </c>
      <c r="Z3778" s="17" t="s">
        <v>191</v>
      </c>
      <c r="AA3778" s="17" t="s">
        <v>46</v>
      </c>
      <c r="AB3778" s="17" t="s">
        <v>1226</v>
      </c>
      <c r="AC3778" s="102" t="s">
        <v>1227</v>
      </c>
      <c r="AD3778" s="65">
        <v>1494</v>
      </c>
      <c r="AE3778" s="17" t="s">
        <v>48</v>
      </c>
    </row>
    <row r="3779" s="17" customFormat="1" hidden="1" spans="1:31">
      <c r="A3779" s="17" t="s">
        <v>34</v>
      </c>
      <c r="B3779" s="19">
        <v>928</v>
      </c>
      <c r="C3779" s="222" t="s">
        <v>1224</v>
      </c>
      <c r="D3779" s="17" t="s">
        <v>52</v>
      </c>
      <c r="E3779" s="17" t="s">
        <v>1113</v>
      </c>
      <c r="F3779" s="17" t="s">
        <v>54</v>
      </c>
      <c r="H3779" s="19">
        <v>1.2738</v>
      </c>
      <c r="I3779" s="19"/>
      <c r="J3779" s="17" t="s">
        <v>49</v>
      </c>
      <c r="K3779" s="19">
        <v>1500</v>
      </c>
      <c r="L3779" s="91">
        <v>280</v>
      </c>
      <c r="M3779" s="19">
        <v>4500</v>
      </c>
      <c r="N3779" s="19" t="s">
        <v>66</v>
      </c>
      <c r="O3779" s="19" t="s">
        <v>50</v>
      </c>
      <c r="P3779" s="19">
        <v>9891</v>
      </c>
      <c r="Q3779" s="19">
        <v>12060</v>
      </c>
      <c r="R3779" s="19">
        <f t="shared" si="176"/>
        <v>-2169</v>
      </c>
      <c r="S3779" s="19">
        <f>1550</f>
        <v>1550</v>
      </c>
      <c r="T3779" s="19" t="s">
        <v>42</v>
      </c>
      <c r="U3779" s="102" t="s">
        <v>1225</v>
      </c>
      <c r="V3779" s="253">
        <v>44934</v>
      </c>
      <c r="W3779" s="17" t="s">
        <v>69</v>
      </c>
      <c r="Y3779" s="68">
        <v>45192</v>
      </c>
      <c r="Z3779" s="17" t="s">
        <v>191</v>
      </c>
      <c r="AA3779" s="17" t="s">
        <v>46</v>
      </c>
      <c r="AB3779" s="17" t="s">
        <v>1228</v>
      </c>
      <c r="AC3779" s="102" t="s">
        <v>1217</v>
      </c>
      <c r="AD3779" s="65">
        <v>1475</v>
      </c>
      <c r="AE3779" s="17" t="s">
        <v>48</v>
      </c>
    </row>
    <row r="3780" s="17" customFormat="1" hidden="1" spans="1:31">
      <c r="A3780" s="17" t="s">
        <v>34</v>
      </c>
      <c r="B3780" s="19">
        <v>928</v>
      </c>
      <c r="C3780" s="222" t="s">
        <v>1224</v>
      </c>
      <c r="D3780" s="17" t="s">
        <v>52</v>
      </c>
      <c r="E3780" s="17" t="s">
        <v>1113</v>
      </c>
      <c r="F3780" s="17" t="s">
        <v>54</v>
      </c>
      <c r="H3780" s="19">
        <v>1.2738</v>
      </c>
      <c r="I3780" s="19"/>
      <c r="J3780" s="17" t="s">
        <v>49</v>
      </c>
      <c r="K3780" s="19">
        <v>1500</v>
      </c>
      <c r="L3780" s="91">
        <v>355</v>
      </c>
      <c r="M3780" s="19">
        <v>4500</v>
      </c>
      <c r="N3780" s="19" t="s">
        <v>66</v>
      </c>
      <c r="O3780" s="19" t="s">
        <v>50</v>
      </c>
      <c r="P3780" s="19">
        <v>25081</v>
      </c>
      <c r="Q3780" s="19">
        <v>16620</v>
      </c>
      <c r="S3780" s="19">
        <f>1550</f>
        <v>1550</v>
      </c>
      <c r="T3780" s="19" t="s">
        <v>42</v>
      </c>
      <c r="U3780" s="102" t="s">
        <v>1225</v>
      </c>
      <c r="V3780" s="253">
        <v>44934</v>
      </c>
      <c r="W3780" s="17" t="s">
        <v>69</v>
      </c>
      <c r="Y3780" s="68">
        <v>45192</v>
      </c>
      <c r="Z3780" s="17" t="s">
        <v>191</v>
      </c>
      <c r="AA3780" s="17" t="s">
        <v>46</v>
      </c>
      <c r="AB3780" s="17" t="s">
        <v>1228</v>
      </c>
      <c r="AC3780" s="102" t="s">
        <v>1217</v>
      </c>
      <c r="AD3780" s="65">
        <v>1475</v>
      </c>
      <c r="AE3780" s="17" t="s">
        <v>48</v>
      </c>
    </row>
    <row r="3781" s="17" customFormat="1" hidden="1" spans="1:31">
      <c r="A3781" s="17" t="s">
        <v>34</v>
      </c>
      <c r="B3781" s="19">
        <v>928</v>
      </c>
      <c r="C3781" s="222" t="s">
        <v>1224</v>
      </c>
      <c r="D3781" s="17" t="s">
        <v>52</v>
      </c>
      <c r="E3781" s="17" t="s">
        <v>1113</v>
      </c>
      <c r="F3781" s="17" t="s">
        <v>54</v>
      </c>
      <c r="H3781" s="19">
        <v>1.2738</v>
      </c>
      <c r="I3781" s="19"/>
      <c r="J3781" s="17" t="s">
        <v>49</v>
      </c>
      <c r="K3781" s="19">
        <v>1500</v>
      </c>
      <c r="L3781" s="91">
        <v>355</v>
      </c>
      <c r="M3781" s="19">
        <v>4500</v>
      </c>
      <c r="N3781" s="19" t="s">
        <v>66</v>
      </c>
      <c r="O3781" s="19" t="s">
        <v>50</v>
      </c>
      <c r="P3781" s="19"/>
      <c r="Q3781" s="19">
        <v>15860</v>
      </c>
      <c r="R3781" s="19">
        <f>+P3780-Q3780-Q3781</f>
        <v>-7399</v>
      </c>
      <c r="S3781" s="19">
        <v>1550</v>
      </c>
      <c r="T3781" s="19" t="s">
        <v>42</v>
      </c>
      <c r="U3781" s="102" t="s">
        <v>1225</v>
      </c>
      <c r="V3781" s="253">
        <v>44934</v>
      </c>
      <c r="W3781" s="17" t="s">
        <v>69</v>
      </c>
      <c r="Y3781" s="68">
        <v>45192</v>
      </c>
      <c r="Z3781" s="17" t="s">
        <v>191</v>
      </c>
      <c r="AA3781" s="17" t="s">
        <v>46</v>
      </c>
      <c r="AB3781" s="17" t="s">
        <v>1229</v>
      </c>
      <c r="AC3781" s="217">
        <v>45118</v>
      </c>
      <c r="AD3781" s="65">
        <v>1478</v>
      </c>
      <c r="AE3781" s="17" t="s">
        <v>48</v>
      </c>
    </row>
    <row r="3782" s="17" customFormat="1" hidden="1" spans="1:31">
      <c r="A3782" s="17" t="s">
        <v>34</v>
      </c>
      <c r="B3782" s="19">
        <v>928</v>
      </c>
      <c r="C3782" s="222" t="s">
        <v>1224</v>
      </c>
      <c r="D3782" s="17" t="s">
        <v>52</v>
      </c>
      <c r="E3782" s="17" t="s">
        <v>1113</v>
      </c>
      <c r="F3782" s="17" t="s">
        <v>54</v>
      </c>
      <c r="H3782" s="19">
        <v>1.2738</v>
      </c>
      <c r="I3782" s="19"/>
      <c r="J3782" s="17" t="s">
        <v>49</v>
      </c>
      <c r="K3782" s="19">
        <v>1500</v>
      </c>
      <c r="L3782" s="91">
        <v>330</v>
      </c>
      <c r="M3782" s="19">
        <v>4500</v>
      </c>
      <c r="N3782" s="19" t="s">
        <v>66</v>
      </c>
      <c r="O3782" s="19" t="s">
        <v>50</v>
      </c>
      <c r="P3782" s="19">
        <v>23315</v>
      </c>
      <c r="Q3782" s="19">
        <v>12940</v>
      </c>
      <c r="S3782" s="19">
        <f>1550</f>
        <v>1550</v>
      </c>
      <c r="T3782" s="19" t="s">
        <v>42</v>
      </c>
      <c r="U3782" s="102" t="s">
        <v>1225</v>
      </c>
      <c r="V3782" s="253">
        <v>44934</v>
      </c>
      <c r="W3782" s="17" t="s">
        <v>69</v>
      </c>
      <c r="Y3782" s="68">
        <v>45192</v>
      </c>
      <c r="Z3782" s="17" t="s">
        <v>191</v>
      </c>
      <c r="AA3782" s="17" t="s">
        <v>46</v>
      </c>
      <c r="AB3782" s="17" t="s">
        <v>1228</v>
      </c>
      <c r="AC3782" s="102" t="s">
        <v>1217</v>
      </c>
      <c r="AD3782" s="65">
        <v>1475</v>
      </c>
      <c r="AE3782" s="17" t="s">
        <v>48</v>
      </c>
    </row>
    <row r="3783" s="17" customFormat="1" hidden="1" spans="1:31">
      <c r="A3783" s="17" t="s">
        <v>34</v>
      </c>
      <c r="B3783" s="19">
        <v>928</v>
      </c>
      <c r="C3783" s="222" t="s">
        <v>1224</v>
      </c>
      <c r="D3783" s="17" t="s">
        <v>52</v>
      </c>
      <c r="E3783" s="17" t="s">
        <v>1113</v>
      </c>
      <c r="F3783" s="17" t="s">
        <v>54</v>
      </c>
      <c r="H3783" s="19">
        <v>1.2738</v>
      </c>
      <c r="I3783" s="19"/>
      <c r="J3783" s="17" t="s">
        <v>49</v>
      </c>
      <c r="K3783" s="19">
        <v>1500</v>
      </c>
      <c r="L3783" s="91">
        <v>330</v>
      </c>
      <c r="M3783" s="19">
        <v>4500</v>
      </c>
      <c r="N3783" s="19" t="s">
        <v>66</v>
      </c>
      <c r="O3783" s="19" t="s">
        <v>50</v>
      </c>
      <c r="P3783" s="19"/>
      <c r="Q3783" s="19">
        <v>12730</v>
      </c>
      <c r="R3783" s="19">
        <f>+P3782-Q3782-Q3783</f>
        <v>-2355</v>
      </c>
      <c r="S3783" s="19">
        <f>1550</f>
        <v>1550</v>
      </c>
      <c r="T3783" s="19" t="s">
        <v>42</v>
      </c>
      <c r="U3783" s="102" t="s">
        <v>1225</v>
      </c>
      <c r="V3783" s="253">
        <v>44934</v>
      </c>
      <c r="W3783" s="17" t="s">
        <v>69</v>
      </c>
      <c r="Y3783" s="68">
        <v>45192</v>
      </c>
      <c r="Z3783" s="17" t="s">
        <v>191</v>
      </c>
      <c r="AA3783" s="17" t="s">
        <v>46</v>
      </c>
      <c r="AB3783" s="17" t="s">
        <v>1137</v>
      </c>
      <c r="AC3783" s="217">
        <v>45210</v>
      </c>
      <c r="AD3783" s="65">
        <v>1489</v>
      </c>
      <c r="AE3783" s="17" t="s">
        <v>48</v>
      </c>
    </row>
    <row r="3784" s="17" customFormat="1" hidden="1" spans="1:31">
      <c r="A3784" s="17" t="s">
        <v>34</v>
      </c>
      <c r="B3784" s="19">
        <v>929</v>
      </c>
      <c r="C3784" s="222" t="s">
        <v>1224</v>
      </c>
      <c r="D3784" s="17" t="s">
        <v>52</v>
      </c>
      <c r="E3784" s="17" t="s">
        <v>1113</v>
      </c>
      <c r="F3784" s="17" t="s">
        <v>54</v>
      </c>
      <c r="H3784" s="19" t="s">
        <v>1114</v>
      </c>
      <c r="I3784" s="19"/>
      <c r="J3784" s="17" t="s">
        <v>49</v>
      </c>
      <c r="K3784" s="19">
        <v>2200</v>
      </c>
      <c r="L3784" s="91">
        <v>25</v>
      </c>
      <c r="M3784" s="19">
        <v>5800</v>
      </c>
      <c r="N3784" s="19" t="s">
        <v>66</v>
      </c>
      <c r="O3784" s="19" t="s">
        <v>141</v>
      </c>
      <c r="P3784" s="19">
        <v>11975</v>
      </c>
      <c r="Q3784" s="19">
        <f>2470+2550+2225+2175+2260</f>
        <v>11680</v>
      </c>
      <c r="S3784" s="19">
        <f t="shared" ref="S3784:S3803" si="177">1090-40</f>
        <v>1050</v>
      </c>
      <c r="T3784" s="19" t="s">
        <v>42</v>
      </c>
      <c r="U3784" s="102" t="s">
        <v>1230</v>
      </c>
      <c r="V3784" s="253">
        <v>44934</v>
      </c>
      <c r="W3784" s="17" t="s">
        <v>44</v>
      </c>
      <c r="Y3784" s="68">
        <v>45253</v>
      </c>
      <c r="Z3784" s="17" t="s">
        <v>191</v>
      </c>
      <c r="AA3784" s="17" t="s">
        <v>46</v>
      </c>
      <c r="AB3784" s="17" t="s">
        <v>1231</v>
      </c>
      <c r="AC3784" s="102" t="s">
        <v>1232</v>
      </c>
      <c r="AD3784" s="65">
        <v>1504</v>
      </c>
      <c r="AE3784" s="17" t="s">
        <v>48</v>
      </c>
    </row>
    <row r="3785" s="17" customFormat="1" hidden="1" spans="1:31">
      <c r="A3785" s="17" t="s">
        <v>34</v>
      </c>
      <c r="B3785" s="19">
        <v>929</v>
      </c>
      <c r="C3785" s="222" t="s">
        <v>1224</v>
      </c>
      <c r="D3785" s="17" t="s">
        <v>52</v>
      </c>
      <c r="E3785" s="17" t="s">
        <v>1113</v>
      </c>
      <c r="F3785" s="17" t="s">
        <v>54</v>
      </c>
      <c r="H3785" s="19" t="s">
        <v>1114</v>
      </c>
      <c r="I3785" s="19"/>
      <c r="J3785" s="17" t="s">
        <v>49</v>
      </c>
      <c r="K3785" s="19">
        <v>2200</v>
      </c>
      <c r="L3785" s="91">
        <v>25</v>
      </c>
      <c r="M3785" s="19">
        <v>5800</v>
      </c>
      <c r="N3785" s="19" t="s">
        <v>66</v>
      </c>
      <c r="O3785" s="19" t="s">
        <v>141</v>
      </c>
      <c r="P3785" s="19"/>
      <c r="Q3785" s="19">
        <v>2045</v>
      </c>
      <c r="R3785" s="19">
        <f>+P3784-Q3784-Q3785</f>
        <v>-1750</v>
      </c>
      <c r="S3785" s="19">
        <f t="shared" si="177"/>
        <v>1050</v>
      </c>
      <c r="T3785" s="19" t="s">
        <v>42</v>
      </c>
      <c r="U3785" s="102" t="s">
        <v>1230</v>
      </c>
      <c r="V3785" s="253">
        <v>44934</v>
      </c>
      <c r="W3785" s="17" t="s">
        <v>44</v>
      </c>
      <c r="Y3785" s="68">
        <v>45253</v>
      </c>
      <c r="Z3785" s="17" t="s">
        <v>191</v>
      </c>
      <c r="AA3785" s="17" t="s">
        <v>46</v>
      </c>
      <c r="AB3785" s="17" t="s">
        <v>1233</v>
      </c>
      <c r="AC3785" s="102" t="s">
        <v>1234</v>
      </c>
      <c r="AD3785" s="65">
        <v>1506</v>
      </c>
      <c r="AE3785" s="17" t="s">
        <v>48</v>
      </c>
    </row>
    <row r="3786" s="17" customFormat="1" hidden="1" spans="1:31">
      <c r="A3786" s="17" t="s">
        <v>34</v>
      </c>
      <c r="B3786" s="19">
        <v>929</v>
      </c>
      <c r="C3786" s="222" t="s">
        <v>1224</v>
      </c>
      <c r="D3786" s="17" t="s">
        <v>52</v>
      </c>
      <c r="E3786" s="17" t="s">
        <v>1113</v>
      </c>
      <c r="F3786" s="17" t="s">
        <v>54</v>
      </c>
      <c r="H3786" s="19" t="s">
        <v>1114</v>
      </c>
      <c r="I3786" s="19"/>
      <c r="J3786" s="17" t="s">
        <v>49</v>
      </c>
      <c r="K3786" s="19">
        <v>2200</v>
      </c>
      <c r="L3786" s="91">
        <v>32</v>
      </c>
      <c r="M3786" s="19">
        <v>5800</v>
      </c>
      <c r="N3786" s="19" t="s">
        <v>66</v>
      </c>
      <c r="O3786" s="19" t="s">
        <v>141</v>
      </c>
      <c r="P3786" s="19">
        <v>10219</v>
      </c>
      <c r="Q3786" s="19">
        <f>3065+3065+3045+3060</f>
        <v>12235</v>
      </c>
      <c r="R3786" s="19">
        <f>+P3786-Q3786</f>
        <v>-2016</v>
      </c>
      <c r="S3786" s="19">
        <f t="shared" si="177"/>
        <v>1050</v>
      </c>
      <c r="T3786" s="19" t="s">
        <v>42</v>
      </c>
      <c r="U3786" s="102" t="s">
        <v>1230</v>
      </c>
      <c r="V3786" s="253">
        <v>44934</v>
      </c>
      <c r="W3786" s="17" t="s">
        <v>44</v>
      </c>
      <c r="Y3786" s="68">
        <v>45253</v>
      </c>
      <c r="Z3786" s="17" t="s">
        <v>191</v>
      </c>
      <c r="AA3786" s="17" t="s">
        <v>46</v>
      </c>
      <c r="AB3786" s="17" t="s">
        <v>1235</v>
      </c>
      <c r="AC3786" s="217">
        <v>45272</v>
      </c>
      <c r="AD3786" s="65">
        <v>1497</v>
      </c>
      <c r="AE3786" s="17" t="s">
        <v>48</v>
      </c>
    </row>
    <row r="3787" s="17" customFormat="1" hidden="1" spans="1:31">
      <c r="A3787" s="17" t="s">
        <v>34</v>
      </c>
      <c r="B3787" s="19">
        <v>929</v>
      </c>
      <c r="C3787" s="222" t="s">
        <v>1224</v>
      </c>
      <c r="D3787" s="17" t="s">
        <v>52</v>
      </c>
      <c r="E3787" s="17" t="s">
        <v>1113</v>
      </c>
      <c r="F3787" s="17" t="s">
        <v>54</v>
      </c>
      <c r="H3787" s="19" t="s">
        <v>1114</v>
      </c>
      <c r="I3787" s="19"/>
      <c r="J3787" s="17" t="s">
        <v>49</v>
      </c>
      <c r="K3787" s="19">
        <v>2200</v>
      </c>
      <c r="L3787" s="91">
        <v>36</v>
      </c>
      <c r="M3787" s="19">
        <v>5800</v>
      </c>
      <c r="N3787" s="19" t="s">
        <v>66</v>
      </c>
      <c r="O3787" s="19" t="s">
        <v>141</v>
      </c>
      <c r="P3787" s="19">
        <v>11496</v>
      </c>
      <c r="Q3787" s="19">
        <f>2860+2850</f>
        <v>5710</v>
      </c>
      <c r="S3787" s="19">
        <f t="shared" si="177"/>
        <v>1050</v>
      </c>
      <c r="T3787" s="19" t="s">
        <v>42</v>
      </c>
      <c r="U3787" s="102" t="s">
        <v>1230</v>
      </c>
      <c r="V3787" s="253">
        <v>44934</v>
      </c>
      <c r="W3787" s="17" t="s">
        <v>44</v>
      </c>
      <c r="Y3787" s="68">
        <v>45253</v>
      </c>
      <c r="Z3787" s="17" t="s">
        <v>191</v>
      </c>
      <c r="AA3787" s="17" t="s">
        <v>46</v>
      </c>
      <c r="AB3787" s="17" t="s">
        <v>1233</v>
      </c>
      <c r="AC3787" s="102" t="s">
        <v>1234</v>
      </c>
      <c r="AD3787" s="65">
        <v>1506</v>
      </c>
      <c r="AE3787" s="17" t="s">
        <v>48</v>
      </c>
    </row>
    <row r="3788" s="17" customFormat="1" hidden="1" spans="1:31">
      <c r="B3788" s="19">
        <v>929</v>
      </c>
      <c r="C3788" s="222" t="s">
        <v>1224</v>
      </c>
      <c r="D3788" s="17" t="s">
        <v>52</v>
      </c>
      <c r="E3788" s="17" t="s">
        <v>1113</v>
      </c>
      <c r="F3788" s="17" t="s">
        <v>54</v>
      </c>
      <c r="H3788" s="19" t="s">
        <v>1114</v>
      </c>
      <c r="I3788" s="19"/>
      <c r="J3788" s="17" t="s">
        <v>49</v>
      </c>
      <c r="K3788" s="19">
        <v>2200</v>
      </c>
      <c r="L3788" s="91">
        <v>36</v>
      </c>
      <c r="M3788" s="19">
        <v>5800</v>
      </c>
      <c r="N3788" s="19" t="s">
        <v>66</v>
      </c>
      <c r="O3788" s="19" t="s">
        <v>141</v>
      </c>
      <c r="P3788" s="19"/>
      <c r="Q3788" s="19">
        <f>2353+2386</f>
        <v>4739</v>
      </c>
      <c r="R3788" s="19">
        <f>+P3787-Q3787-Q3788</f>
        <v>1047</v>
      </c>
      <c r="S3788" s="19">
        <f t="shared" si="177"/>
        <v>1050</v>
      </c>
      <c r="T3788" s="19" t="s">
        <v>42</v>
      </c>
      <c r="U3788" s="102" t="s">
        <v>1230</v>
      </c>
      <c r="V3788" s="253">
        <v>44934</v>
      </c>
      <c r="W3788" s="17" t="s">
        <v>44</v>
      </c>
      <c r="Y3788" s="68">
        <v>45253</v>
      </c>
      <c r="Z3788" s="17" t="s">
        <v>191</v>
      </c>
      <c r="AA3788" s="17" t="s">
        <v>46</v>
      </c>
      <c r="AC3788" s="102"/>
      <c r="AD3788" s="65">
        <v>1521</v>
      </c>
      <c r="AE3788" s="17" t="s">
        <v>48</v>
      </c>
    </row>
    <row r="3789" s="17" customFormat="1" hidden="1" spans="1:31">
      <c r="A3789" s="17" t="s">
        <v>34</v>
      </c>
      <c r="B3789" s="19">
        <v>929</v>
      </c>
      <c r="C3789" s="222" t="s">
        <v>1224</v>
      </c>
      <c r="D3789" s="17" t="s">
        <v>52</v>
      </c>
      <c r="E3789" s="17" t="s">
        <v>1113</v>
      </c>
      <c r="F3789" s="17" t="s">
        <v>54</v>
      </c>
      <c r="H3789" s="19" t="s">
        <v>1114</v>
      </c>
      <c r="I3789" s="19"/>
      <c r="J3789" s="17" t="s">
        <v>49</v>
      </c>
      <c r="K3789" s="19">
        <v>2200</v>
      </c>
      <c r="L3789" s="91">
        <v>40</v>
      </c>
      <c r="M3789" s="19">
        <v>5800</v>
      </c>
      <c r="N3789" s="19" t="s">
        <v>66</v>
      </c>
      <c r="O3789" s="19" t="s">
        <v>141</v>
      </c>
      <c r="P3789" s="19">
        <v>12774</v>
      </c>
      <c r="Q3789" s="19">
        <f>3970+3930+2990</f>
        <v>10890</v>
      </c>
      <c r="S3789" s="19">
        <f t="shared" si="177"/>
        <v>1050</v>
      </c>
      <c r="T3789" s="19" t="s">
        <v>42</v>
      </c>
      <c r="U3789" s="102" t="s">
        <v>1230</v>
      </c>
      <c r="V3789" s="253">
        <v>44934</v>
      </c>
      <c r="W3789" s="17" t="s">
        <v>44</v>
      </c>
      <c r="Y3789" s="68">
        <v>45253</v>
      </c>
      <c r="Z3789" s="17" t="s">
        <v>191</v>
      </c>
      <c r="AA3789" s="17" t="s">
        <v>46</v>
      </c>
      <c r="AB3789" s="17" t="s">
        <v>1233</v>
      </c>
      <c r="AC3789" s="102" t="s">
        <v>1234</v>
      </c>
      <c r="AD3789" s="65">
        <v>1506</v>
      </c>
      <c r="AE3789" s="17" t="s">
        <v>48</v>
      </c>
    </row>
    <row r="3790" s="17" customFormat="1" hidden="1" spans="1:31">
      <c r="A3790" s="17" t="s">
        <v>34</v>
      </c>
      <c r="B3790" s="19">
        <v>929</v>
      </c>
      <c r="C3790" s="222" t="s">
        <v>1224</v>
      </c>
      <c r="D3790" s="17" t="s">
        <v>52</v>
      </c>
      <c r="E3790" s="17" t="s">
        <v>1113</v>
      </c>
      <c r="F3790" s="17" t="s">
        <v>54</v>
      </c>
      <c r="H3790" s="19" t="s">
        <v>1114</v>
      </c>
      <c r="I3790" s="19"/>
      <c r="J3790" s="17" t="s">
        <v>49</v>
      </c>
      <c r="K3790" s="19">
        <v>2200</v>
      </c>
      <c r="L3790" s="91">
        <v>40</v>
      </c>
      <c r="M3790" s="19">
        <v>5800</v>
      </c>
      <c r="N3790" s="19" t="s">
        <v>66</v>
      </c>
      <c r="O3790" s="19" t="s">
        <v>141</v>
      </c>
      <c r="P3790" s="19"/>
      <c r="Q3790" s="19">
        <v>2290</v>
      </c>
      <c r="R3790" s="19">
        <f>+P3789-Q3789-Q3790</f>
        <v>-406</v>
      </c>
      <c r="S3790" s="19">
        <f t="shared" si="177"/>
        <v>1050</v>
      </c>
      <c r="T3790" s="19" t="s">
        <v>42</v>
      </c>
      <c r="U3790" s="102" t="s">
        <v>1230</v>
      </c>
      <c r="V3790" s="253">
        <v>44934</v>
      </c>
      <c r="W3790" s="17" t="s">
        <v>44</v>
      </c>
      <c r="Y3790" s="68">
        <v>45253</v>
      </c>
      <c r="Z3790" s="17" t="s">
        <v>191</v>
      </c>
      <c r="AA3790" s="17" t="s">
        <v>46</v>
      </c>
      <c r="AB3790" s="17" t="s">
        <v>1236</v>
      </c>
      <c r="AC3790" s="102" t="s">
        <v>1234</v>
      </c>
      <c r="AD3790" s="65">
        <v>1508</v>
      </c>
      <c r="AE3790" s="17" t="s">
        <v>48</v>
      </c>
    </row>
    <row r="3791" s="17" customFormat="1" hidden="1" spans="1:31">
      <c r="A3791" s="17" t="s">
        <v>34</v>
      </c>
      <c r="B3791" s="19">
        <v>929</v>
      </c>
      <c r="C3791" s="222" t="s">
        <v>1224</v>
      </c>
      <c r="D3791" s="17" t="s">
        <v>52</v>
      </c>
      <c r="E3791" s="17" t="s">
        <v>1113</v>
      </c>
      <c r="F3791" s="17" t="s">
        <v>54</v>
      </c>
      <c r="H3791" s="19" t="s">
        <v>1114</v>
      </c>
      <c r="I3791" s="19"/>
      <c r="J3791" s="17" t="s">
        <v>49</v>
      </c>
      <c r="K3791" s="19">
        <v>2200</v>
      </c>
      <c r="L3791" s="91">
        <v>45</v>
      </c>
      <c r="M3791" s="19">
        <v>5800</v>
      </c>
      <c r="N3791" s="19" t="s">
        <v>66</v>
      </c>
      <c r="O3791" s="19" t="s">
        <v>141</v>
      </c>
      <c r="P3791" s="19">
        <v>14370</v>
      </c>
      <c r="Q3791" s="19">
        <f>3600+4550</f>
        <v>8150</v>
      </c>
      <c r="S3791" s="19">
        <f t="shared" si="177"/>
        <v>1050</v>
      </c>
      <c r="T3791" s="19" t="s">
        <v>42</v>
      </c>
      <c r="U3791" s="102" t="s">
        <v>1230</v>
      </c>
      <c r="V3791" s="253">
        <v>44934</v>
      </c>
      <c r="W3791" s="17" t="s">
        <v>44</v>
      </c>
      <c r="Y3791" s="68">
        <v>45253</v>
      </c>
      <c r="Z3791" s="17" t="s">
        <v>191</v>
      </c>
      <c r="AA3791" s="17" t="s">
        <v>46</v>
      </c>
      <c r="AB3791" s="17" t="s">
        <v>1236</v>
      </c>
      <c r="AC3791" s="102" t="s">
        <v>1234</v>
      </c>
      <c r="AD3791" s="65">
        <v>1511</v>
      </c>
      <c r="AE3791" s="17" t="s">
        <v>48</v>
      </c>
    </row>
    <row r="3792" s="17" customFormat="1" hidden="1" spans="1:31">
      <c r="A3792" s="17" t="s">
        <v>34</v>
      </c>
      <c r="B3792" s="19">
        <v>929</v>
      </c>
      <c r="C3792" s="222" t="s">
        <v>1224</v>
      </c>
      <c r="D3792" s="17" t="s">
        <v>52</v>
      </c>
      <c r="E3792" s="17" t="s">
        <v>1113</v>
      </c>
      <c r="F3792" s="17" t="s">
        <v>54</v>
      </c>
      <c r="H3792" s="19" t="s">
        <v>1114</v>
      </c>
      <c r="I3792" s="19"/>
      <c r="J3792" s="17" t="s">
        <v>49</v>
      </c>
      <c r="K3792" s="19">
        <v>2200</v>
      </c>
      <c r="L3792" s="91">
        <v>45</v>
      </c>
      <c r="M3792" s="19">
        <v>5800</v>
      </c>
      <c r="N3792" s="19" t="s">
        <v>66</v>
      </c>
      <c r="O3792" s="19" t="s">
        <v>141</v>
      </c>
      <c r="P3792" s="19"/>
      <c r="Q3792" s="19">
        <v>3256</v>
      </c>
      <c r="S3792" s="19">
        <f t="shared" si="177"/>
        <v>1050</v>
      </c>
      <c r="T3792" s="19" t="s">
        <v>42</v>
      </c>
      <c r="U3792" s="102" t="s">
        <v>1230</v>
      </c>
      <c r="V3792" s="253">
        <v>44934</v>
      </c>
      <c r="W3792" s="17" t="s">
        <v>44</v>
      </c>
      <c r="Y3792" s="68">
        <v>45253</v>
      </c>
      <c r="Z3792" s="17" t="s">
        <v>191</v>
      </c>
      <c r="AA3792" s="17" t="s">
        <v>46</v>
      </c>
      <c r="AB3792" s="17" t="s">
        <v>1237</v>
      </c>
      <c r="AC3792" s="217">
        <v>45627</v>
      </c>
      <c r="AD3792" s="65">
        <v>1516</v>
      </c>
      <c r="AE3792" s="17" t="s">
        <v>48</v>
      </c>
    </row>
    <row r="3793" s="17" customFormat="1" hidden="1" spans="1:44">
      <c r="B3793" s="19">
        <v>929</v>
      </c>
      <c r="C3793" s="222" t="s">
        <v>1224</v>
      </c>
      <c r="D3793" s="17" t="s">
        <v>52</v>
      </c>
      <c r="E3793" s="17" t="s">
        <v>1113</v>
      </c>
      <c r="F3793" s="17" t="s">
        <v>54</v>
      </c>
      <c r="H3793" s="19" t="s">
        <v>1114</v>
      </c>
      <c r="I3793" s="19"/>
      <c r="J3793" s="17" t="s">
        <v>49</v>
      </c>
      <c r="K3793" s="19">
        <v>2200</v>
      </c>
      <c r="L3793" s="91">
        <v>45</v>
      </c>
      <c r="M3793" s="19">
        <v>5800</v>
      </c>
      <c r="N3793" s="19" t="s">
        <v>66</v>
      </c>
      <c r="O3793" s="19" t="s">
        <v>141</v>
      </c>
      <c r="P3793" s="19"/>
      <c r="Q3793" s="19">
        <v>3300</v>
      </c>
      <c r="R3793" s="19">
        <f>+P3791-Q3791-Q3792-Q3793</f>
        <v>-336</v>
      </c>
      <c r="S3793" s="19">
        <f t="shared" si="177"/>
        <v>1050</v>
      </c>
      <c r="T3793" s="19" t="s">
        <v>42</v>
      </c>
      <c r="U3793" s="102" t="s">
        <v>1230</v>
      </c>
      <c r="V3793" s="253">
        <v>44934</v>
      </c>
      <c r="W3793" s="17" t="s">
        <v>44</v>
      </c>
      <c r="Y3793" s="68">
        <v>45253</v>
      </c>
      <c r="Z3793" s="17" t="s">
        <v>191</v>
      </c>
      <c r="AA3793" s="17" t="s">
        <v>46</v>
      </c>
      <c r="AC3793" s="217"/>
      <c r="AD3793" s="65">
        <v>1521</v>
      </c>
      <c r="AE3793" s="17" t="s">
        <v>48</v>
      </c>
    </row>
    <row r="3794" s="17" customFormat="1" hidden="1" spans="1:44">
      <c r="A3794" s="17" t="s">
        <v>34</v>
      </c>
      <c r="B3794" s="19">
        <v>929</v>
      </c>
      <c r="C3794" s="222" t="s">
        <v>1224</v>
      </c>
      <c r="D3794" s="17" t="s">
        <v>52</v>
      </c>
      <c r="E3794" s="17" t="s">
        <v>1113</v>
      </c>
      <c r="F3794" s="17" t="s">
        <v>54</v>
      </c>
      <c r="H3794" s="19" t="s">
        <v>1114</v>
      </c>
      <c r="I3794" s="19"/>
      <c r="J3794" s="17" t="s">
        <v>49</v>
      </c>
      <c r="K3794" s="19">
        <v>2200</v>
      </c>
      <c r="L3794" s="91">
        <v>50</v>
      </c>
      <c r="M3794" s="19">
        <v>5800</v>
      </c>
      <c r="N3794" s="19" t="s">
        <v>66</v>
      </c>
      <c r="O3794" s="19" t="s">
        <v>141</v>
      </c>
      <c r="P3794" s="19">
        <v>23950</v>
      </c>
      <c r="Q3794" s="19">
        <f>4735+4415</f>
        <v>9150</v>
      </c>
      <c r="S3794" s="19">
        <f t="shared" si="177"/>
        <v>1050</v>
      </c>
      <c r="T3794" s="19" t="s">
        <v>42</v>
      </c>
      <c r="U3794" s="102" t="s">
        <v>1230</v>
      </c>
      <c r="V3794" s="253">
        <v>44934</v>
      </c>
      <c r="W3794" s="17" t="s">
        <v>44</v>
      </c>
      <c r="Y3794" s="68">
        <v>45253</v>
      </c>
      <c r="Z3794" s="17" t="s">
        <v>191</v>
      </c>
      <c r="AA3794" s="17" t="s">
        <v>46</v>
      </c>
      <c r="AB3794" s="17" t="s">
        <v>1235</v>
      </c>
      <c r="AC3794" s="217">
        <v>45272</v>
      </c>
      <c r="AD3794" s="65">
        <v>1497</v>
      </c>
      <c r="AE3794" s="17" t="s">
        <v>48</v>
      </c>
    </row>
    <row r="3795" s="17" customFormat="1" hidden="1" spans="1:44">
      <c r="A3795" s="17" t="s">
        <v>34</v>
      </c>
      <c r="B3795" s="19">
        <v>929</v>
      </c>
      <c r="C3795" s="222" t="s">
        <v>1224</v>
      </c>
      <c r="D3795" s="17" t="s">
        <v>52</v>
      </c>
      <c r="E3795" s="17" t="s">
        <v>1113</v>
      </c>
      <c r="F3795" s="17" t="s">
        <v>54</v>
      </c>
      <c r="H3795" s="19" t="s">
        <v>1114</v>
      </c>
      <c r="I3795" s="19"/>
      <c r="J3795" s="17" t="s">
        <v>49</v>
      </c>
      <c r="K3795" s="19">
        <v>2200</v>
      </c>
      <c r="L3795" s="91">
        <v>50</v>
      </c>
      <c r="M3795" s="19">
        <v>5800</v>
      </c>
      <c r="N3795" s="19" t="s">
        <v>66</v>
      </c>
      <c r="O3795" s="19" t="s">
        <v>141</v>
      </c>
      <c r="P3795" s="19"/>
      <c r="Q3795" s="19">
        <f>3550+3570</f>
        <v>7120</v>
      </c>
      <c r="S3795" s="19">
        <f t="shared" si="177"/>
        <v>1050</v>
      </c>
      <c r="T3795" s="19" t="s">
        <v>42</v>
      </c>
      <c r="U3795" s="102" t="s">
        <v>1230</v>
      </c>
      <c r="V3795" s="253">
        <v>44934</v>
      </c>
      <c r="W3795" s="17" t="s">
        <v>44</v>
      </c>
      <c r="Y3795" s="68">
        <v>45253</v>
      </c>
      <c r="Z3795" s="17" t="s">
        <v>191</v>
      </c>
      <c r="AA3795" s="17" t="s">
        <v>46</v>
      </c>
      <c r="AB3795" s="17" t="s">
        <v>1233</v>
      </c>
      <c r="AC3795" s="102" t="s">
        <v>1234</v>
      </c>
      <c r="AD3795" s="65">
        <v>1506</v>
      </c>
      <c r="AE3795" s="17" t="s">
        <v>48</v>
      </c>
    </row>
    <row r="3796" s="17" customFormat="1" hidden="1" spans="1:44">
      <c r="A3796" s="17" t="s">
        <v>34</v>
      </c>
      <c r="B3796" s="19">
        <v>929</v>
      </c>
      <c r="C3796" s="222" t="s">
        <v>1224</v>
      </c>
      <c r="D3796" s="17" t="s">
        <v>52</v>
      </c>
      <c r="E3796" s="17" t="s">
        <v>1113</v>
      </c>
      <c r="F3796" s="17" t="s">
        <v>54</v>
      </c>
      <c r="H3796" s="19" t="s">
        <v>1114</v>
      </c>
      <c r="I3796" s="19"/>
      <c r="J3796" s="17" t="s">
        <v>49</v>
      </c>
      <c r="K3796" s="19">
        <v>2200</v>
      </c>
      <c r="L3796" s="91">
        <v>50</v>
      </c>
      <c r="M3796" s="19">
        <v>5800</v>
      </c>
      <c r="N3796" s="19" t="s">
        <v>66</v>
      </c>
      <c r="O3796" s="19" t="s">
        <v>141</v>
      </c>
      <c r="P3796" s="19"/>
      <c r="Q3796" s="19">
        <f>3730+3010</f>
        <v>6740</v>
      </c>
      <c r="R3796" s="19">
        <f>+P3794-Q3794-Q3795-Q3796</f>
        <v>940</v>
      </c>
      <c r="S3796" s="19">
        <f t="shared" si="177"/>
        <v>1050</v>
      </c>
      <c r="T3796" s="19" t="s">
        <v>42</v>
      </c>
      <c r="U3796" s="102" t="s">
        <v>1230</v>
      </c>
      <c r="V3796" s="253">
        <v>44934</v>
      </c>
      <c r="W3796" s="17" t="s">
        <v>44</v>
      </c>
      <c r="Y3796" s="68">
        <v>45253</v>
      </c>
      <c r="Z3796" s="17" t="s">
        <v>191</v>
      </c>
      <c r="AA3796" s="17" t="s">
        <v>46</v>
      </c>
      <c r="AB3796" s="17" t="s">
        <v>1236</v>
      </c>
      <c r="AC3796" s="102" t="s">
        <v>1234</v>
      </c>
      <c r="AD3796" s="65">
        <v>1508</v>
      </c>
      <c r="AE3796" s="17" t="s">
        <v>48</v>
      </c>
    </row>
    <row r="3797" s="17" customFormat="1" hidden="1" spans="1:44">
      <c r="A3797" s="17" t="s">
        <v>34</v>
      </c>
      <c r="B3797" s="19">
        <v>929</v>
      </c>
      <c r="C3797" s="222" t="s">
        <v>1224</v>
      </c>
      <c r="D3797" s="17" t="s">
        <v>52</v>
      </c>
      <c r="E3797" s="17" t="s">
        <v>1113</v>
      </c>
      <c r="F3797" s="17" t="s">
        <v>54</v>
      </c>
      <c r="H3797" s="19" t="s">
        <v>1114</v>
      </c>
      <c r="I3797" s="19"/>
      <c r="J3797" s="17" t="s">
        <v>49</v>
      </c>
      <c r="K3797" s="19">
        <v>2200</v>
      </c>
      <c r="L3797" s="91">
        <v>56</v>
      </c>
      <c r="M3797" s="19">
        <v>5800</v>
      </c>
      <c r="N3797" s="19" t="s">
        <v>66</v>
      </c>
      <c r="O3797" s="19" t="s">
        <v>141</v>
      </c>
      <c r="P3797" s="19">
        <v>17883</v>
      </c>
      <c r="Q3797" s="19">
        <f>5365+4565+4475+5645</f>
        <v>20050</v>
      </c>
      <c r="R3797" s="19">
        <f>+P3797-Q3797</f>
        <v>-2167</v>
      </c>
      <c r="S3797" s="19">
        <f t="shared" si="177"/>
        <v>1050</v>
      </c>
      <c r="T3797" s="19" t="s">
        <v>42</v>
      </c>
      <c r="U3797" s="102" t="s">
        <v>1230</v>
      </c>
      <c r="V3797" s="253">
        <v>44934</v>
      </c>
      <c r="W3797" s="17" t="s">
        <v>44</v>
      </c>
      <c r="Y3797" s="68">
        <v>45253</v>
      </c>
      <c r="Z3797" s="17" t="s">
        <v>191</v>
      </c>
      <c r="AA3797" s="17" t="s">
        <v>46</v>
      </c>
      <c r="AB3797" s="17" t="s">
        <v>1238</v>
      </c>
      <c r="AC3797" s="102" t="s">
        <v>1239</v>
      </c>
      <c r="AD3797" s="65">
        <v>1500</v>
      </c>
      <c r="AE3797" s="17" t="s">
        <v>48</v>
      </c>
    </row>
    <row r="3798" s="17" customFormat="1" hidden="1" spans="1:44">
      <c r="A3798" s="17" t="s">
        <v>34</v>
      </c>
      <c r="B3798" s="19">
        <v>929</v>
      </c>
      <c r="C3798" s="222" t="s">
        <v>1224</v>
      </c>
      <c r="D3798" s="17" t="s">
        <v>52</v>
      </c>
      <c r="E3798" s="17" t="s">
        <v>1113</v>
      </c>
      <c r="F3798" s="17" t="s">
        <v>54</v>
      </c>
      <c r="H3798" s="19" t="s">
        <v>1114</v>
      </c>
      <c r="I3798" s="19"/>
      <c r="J3798" s="17" t="s">
        <v>49</v>
      </c>
      <c r="K3798" s="19">
        <v>2200</v>
      </c>
      <c r="L3798" s="91">
        <v>61</v>
      </c>
      <c r="M3798" s="19">
        <v>5800</v>
      </c>
      <c r="N3798" s="19" t="s">
        <v>66</v>
      </c>
      <c r="O3798" s="19" t="s">
        <v>141</v>
      </c>
      <c r="P3798" s="19">
        <v>19480</v>
      </c>
      <c r="Q3798" s="19">
        <f>3794+3820</f>
        <v>7614</v>
      </c>
      <c r="S3798" s="19">
        <f t="shared" si="177"/>
        <v>1050</v>
      </c>
      <c r="T3798" s="19" t="s">
        <v>42</v>
      </c>
      <c r="U3798" s="102" t="s">
        <v>1230</v>
      </c>
      <c r="V3798" s="253">
        <v>44934</v>
      </c>
      <c r="W3798" s="17" t="s">
        <v>44</v>
      </c>
      <c r="Y3798" s="68">
        <v>45253</v>
      </c>
      <c r="Z3798" s="17" t="s">
        <v>191</v>
      </c>
      <c r="AA3798" s="17" t="s">
        <v>46</v>
      </c>
      <c r="AB3798" s="17" t="s">
        <v>1237</v>
      </c>
      <c r="AC3798" s="217">
        <v>45627</v>
      </c>
      <c r="AD3798" s="65">
        <v>1516</v>
      </c>
      <c r="AE3798" s="17" t="s">
        <v>48</v>
      </c>
    </row>
    <row r="3799" s="17" customFormat="1" hidden="1" spans="1:44">
      <c r="A3799" s="17" t="s">
        <v>34</v>
      </c>
      <c r="B3799" s="19">
        <v>929</v>
      </c>
      <c r="C3799" s="222" t="s">
        <v>1224</v>
      </c>
      <c r="D3799" s="17" t="s">
        <v>52</v>
      </c>
      <c r="E3799" s="17" t="s">
        <v>1113</v>
      </c>
      <c r="F3799" s="17" t="s">
        <v>54</v>
      </c>
      <c r="H3799" s="19" t="s">
        <v>1114</v>
      </c>
      <c r="I3799" s="19"/>
      <c r="J3799" s="17" t="s">
        <v>49</v>
      </c>
      <c r="K3799" s="19">
        <v>2200</v>
      </c>
      <c r="L3799" s="91">
        <v>61</v>
      </c>
      <c r="M3799" s="19">
        <v>5800</v>
      </c>
      <c r="N3799" s="19" t="s">
        <v>66</v>
      </c>
      <c r="O3799" s="19" t="s">
        <v>141</v>
      </c>
      <c r="P3799" s="19"/>
      <c r="Q3799" s="19">
        <f>4185+4545</f>
        <v>8730</v>
      </c>
      <c r="R3799" s="19">
        <f>+P3798-Q3798-Q3799</f>
        <v>3136</v>
      </c>
      <c r="S3799" s="19">
        <f t="shared" si="177"/>
        <v>1050</v>
      </c>
      <c r="T3799" s="19" t="s">
        <v>42</v>
      </c>
      <c r="U3799" s="102" t="s">
        <v>1230</v>
      </c>
      <c r="V3799" s="253">
        <v>44934</v>
      </c>
      <c r="W3799" s="17" t="s">
        <v>44</v>
      </c>
      <c r="Y3799" s="68">
        <v>45253</v>
      </c>
      <c r="Z3799" s="17" t="s">
        <v>191</v>
      </c>
      <c r="AA3799" s="17" t="s">
        <v>46</v>
      </c>
      <c r="AB3799" s="17" t="s">
        <v>1240</v>
      </c>
      <c r="AC3799" s="217">
        <v>45372</v>
      </c>
      <c r="AD3799" s="65">
        <v>1542</v>
      </c>
      <c r="AE3799" s="17" t="s">
        <v>48</v>
      </c>
    </row>
    <row r="3800" s="17" customFormat="1" hidden="1" spans="1:44">
      <c r="A3800" s="17" t="s">
        <v>34</v>
      </c>
      <c r="B3800" s="19">
        <v>929</v>
      </c>
      <c r="C3800" s="222" t="s">
        <v>1224</v>
      </c>
      <c r="D3800" s="17" t="s">
        <v>52</v>
      </c>
      <c r="E3800" s="17" t="s">
        <v>1113</v>
      </c>
      <c r="F3800" s="17" t="s">
        <v>54</v>
      </c>
      <c r="H3800" s="19" t="s">
        <v>1114</v>
      </c>
      <c r="I3800" s="19"/>
      <c r="J3800" s="17" t="s">
        <v>49</v>
      </c>
      <c r="K3800" s="19">
        <v>2200</v>
      </c>
      <c r="L3800" s="91">
        <v>65</v>
      </c>
      <c r="M3800" s="19">
        <v>5800</v>
      </c>
      <c r="N3800" s="19" t="s">
        <v>66</v>
      </c>
      <c r="O3800" s="19" t="s">
        <v>141</v>
      </c>
      <c r="P3800" s="19">
        <v>10378</v>
      </c>
      <c r="Q3800" s="19">
        <v>6620</v>
      </c>
      <c r="S3800" s="19">
        <f t="shared" si="177"/>
        <v>1050</v>
      </c>
      <c r="T3800" s="19" t="s">
        <v>42</v>
      </c>
      <c r="U3800" s="102" t="s">
        <v>1230</v>
      </c>
      <c r="V3800" s="253">
        <v>44934</v>
      </c>
      <c r="W3800" s="17" t="s">
        <v>44</v>
      </c>
      <c r="Y3800" s="68">
        <v>45253</v>
      </c>
      <c r="Z3800" s="17" t="s">
        <v>191</v>
      </c>
      <c r="AA3800" s="17" t="s">
        <v>46</v>
      </c>
      <c r="AB3800" s="17" t="s">
        <v>1241</v>
      </c>
      <c r="AC3800" s="102" t="s">
        <v>1232</v>
      </c>
      <c r="AD3800" s="65">
        <v>1503</v>
      </c>
      <c r="AE3800" s="17" t="s">
        <v>48</v>
      </c>
    </row>
    <row r="3801" s="17" customFormat="1" hidden="1" spans="1:44">
      <c r="A3801" s="17" t="s">
        <v>34</v>
      </c>
      <c r="B3801" s="19">
        <v>929</v>
      </c>
      <c r="C3801" s="222" t="s">
        <v>1224</v>
      </c>
      <c r="D3801" s="17" t="s">
        <v>52</v>
      </c>
      <c r="E3801" s="17" t="s">
        <v>1113</v>
      </c>
      <c r="F3801" s="17" t="s">
        <v>54</v>
      </c>
      <c r="H3801" s="19" t="s">
        <v>1114</v>
      </c>
      <c r="I3801" s="19"/>
      <c r="J3801" s="17" t="s">
        <v>49</v>
      </c>
      <c r="K3801" s="19">
        <v>2200</v>
      </c>
      <c r="L3801" s="91">
        <v>65</v>
      </c>
      <c r="M3801" s="19">
        <v>5800</v>
      </c>
      <c r="N3801" s="19" t="s">
        <v>66</v>
      </c>
      <c r="O3801" s="19" t="s">
        <v>141</v>
      </c>
      <c r="P3801" s="19"/>
      <c r="Q3801" s="19">
        <v>4170</v>
      </c>
      <c r="R3801" s="19">
        <f>+P3800-Q3800-Q3801</f>
        <v>-412</v>
      </c>
      <c r="S3801" s="19">
        <f t="shared" si="177"/>
        <v>1050</v>
      </c>
      <c r="T3801" s="19" t="s">
        <v>42</v>
      </c>
      <c r="U3801" s="102" t="s">
        <v>1230</v>
      </c>
      <c r="V3801" s="253">
        <v>44934</v>
      </c>
      <c r="W3801" s="17" t="s">
        <v>44</v>
      </c>
      <c r="Y3801" s="68">
        <v>45253</v>
      </c>
      <c r="Z3801" s="17" t="s">
        <v>191</v>
      </c>
      <c r="AA3801" s="17" t="s">
        <v>46</v>
      </c>
      <c r="AB3801" s="17" t="s">
        <v>1233</v>
      </c>
      <c r="AC3801" s="102" t="s">
        <v>1234</v>
      </c>
      <c r="AD3801" s="65">
        <v>1506</v>
      </c>
      <c r="AE3801" s="17" t="s">
        <v>48</v>
      </c>
    </row>
    <row r="3802" s="17" customFormat="1" hidden="1" spans="1:44">
      <c r="A3802" s="17" t="s">
        <v>34</v>
      </c>
      <c r="B3802" s="19">
        <v>929</v>
      </c>
      <c r="C3802" s="222" t="s">
        <v>1224</v>
      </c>
      <c r="D3802" s="17" t="s">
        <v>52</v>
      </c>
      <c r="E3802" s="17" t="s">
        <v>1113</v>
      </c>
      <c r="F3802" s="17" t="s">
        <v>54</v>
      </c>
      <c r="H3802" s="19" t="s">
        <v>1114</v>
      </c>
      <c r="I3802" s="19"/>
      <c r="J3802" s="17" t="s">
        <v>49</v>
      </c>
      <c r="K3802" s="19">
        <v>2200</v>
      </c>
      <c r="L3802" s="91">
        <v>80</v>
      </c>
      <c r="M3802" s="19">
        <v>5800</v>
      </c>
      <c r="N3802" s="19" t="s">
        <v>66</v>
      </c>
      <c r="O3802" s="19" t="s">
        <v>141</v>
      </c>
      <c r="P3802" s="19">
        <v>12774</v>
      </c>
      <c r="Q3802" s="19">
        <f>7395+7955</f>
        <v>15350</v>
      </c>
      <c r="R3802" s="19">
        <f>+P3802-Q3802</f>
        <v>-2576</v>
      </c>
      <c r="S3802" s="19">
        <f t="shared" si="177"/>
        <v>1050</v>
      </c>
      <c r="T3802" s="19" t="s">
        <v>42</v>
      </c>
      <c r="U3802" s="102" t="s">
        <v>1230</v>
      </c>
      <c r="V3802" s="253">
        <v>44934</v>
      </c>
      <c r="W3802" s="17" t="s">
        <v>44</v>
      </c>
      <c r="Y3802" s="68">
        <v>45253</v>
      </c>
      <c r="Z3802" s="17" t="s">
        <v>191</v>
      </c>
      <c r="AA3802" s="17" t="s">
        <v>46</v>
      </c>
      <c r="AB3802" s="17" t="s">
        <v>1235</v>
      </c>
      <c r="AC3802" s="217">
        <v>45272</v>
      </c>
      <c r="AD3802" s="65">
        <v>1497</v>
      </c>
      <c r="AE3802" s="17" t="s">
        <v>48</v>
      </c>
    </row>
    <row r="3803" s="17" customFormat="1" hidden="1" spans="1:44">
      <c r="A3803" s="17" t="s">
        <v>34</v>
      </c>
      <c r="B3803" s="19">
        <v>929</v>
      </c>
      <c r="C3803" s="222" t="s">
        <v>1224</v>
      </c>
      <c r="D3803" s="17" t="s">
        <v>52</v>
      </c>
      <c r="E3803" s="17" t="s">
        <v>1113</v>
      </c>
      <c r="F3803" s="17" t="s">
        <v>54</v>
      </c>
      <c r="H3803" s="19" t="s">
        <v>1114</v>
      </c>
      <c r="I3803" s="19"/>
      <c r="J3803" s="17" t="s">
        <v>49</v>
      </c>
      <c r="K3803" s="19">
        <v>2200</v>
      </c>
      <c r="L3803" s="91">
        <v>105</v>
      </c>
      <c r="M3803" s="19">
        <v>5800</v>
      </c>
      <c r="N3803" s="19" t="s">
        <v>66</v>
      </c>
      <c r="O3803" s="19" t="s">
        <v>141</v>
      </c>
      <c r="P3803" s="19">
        <v>16765</v>
      </c>
      <c r="Q3803" s="19">
        <f>6632+6770</f>
        <v>13402</v>
      </c>
      <c r="R3803" s="19">
        <f>+P3803-Q3803</f>
        <v>3363</v>
      </c>
      <c r="S3803" s="19">
        <f t="shared" si="177"/>
        <v>1050</v>
      </c>
      <c r="T3803" s="19" t="s">
        <v>42</v>
      </c>
      <c r="U3803" s="102" t="s">
        <v>1230</v>
      </c>
      <c r="V3803" s="253">
        <v>44934</v>
      </c>
      <c r="W3803" s="17" t="s">
        <v>44</v>
      </c>
      <c r="Y3803" s="68">
        <v>45253</v>
      </c>
      <c r="Z3803" s="17" t="s">
        <v>191</v>
      </c>
      <c r="AA3803" s="17" t="s">
        <v>46</v>
      </c>
      <c r="AB3803" s="17" t="s">
        <v>1242</v>
      </c>
      <c r="AC3803" s="217">
        <v>45089</v>
      </c>
      <c r="AD3803" s="65">
        <v>1496</v>
      </c>
      <c r="AE3803" s="17" t="s">
        <v>48</v>
      </c>
    </row>
    <row r="3804" s="20" customFormat="1" hidden="1" spans="1:44">
      <c r="A3804" s="17" t="s">
        <v>34</v>
      </c>
      <c r="B3804" s="19">
        <v>930</v>
      </c>
      <c r="C3804" s="222">
        <v>44934</v>
      </c>
      <c r="D3804" s="17" t="s">
        <v>52</v>
      </c>
      <c r="E3804" s="17" t="s">
        <v>1113</v>
      </c>
      <c r="F3804" s="17" t="s">
        <v>54</v>
      </c>
      <c r="G3804" s="17"/>
      <c r="H3804" s="19" t="s">
        <v>1114</v>
      </c>
      <c r="I3804" s="19"/>
      <c r="J3804" s="17" t="s">
        <v>82</v>
      </c>
      <c r="K3804" s="19">
        <v>205</v>
      </c>
      <c r="L3804" s="91">
        <v>25</v>
      </c>
      <c r="M3804" s="19">
        <v>2300</v>
      </c>
      <c r="N3804" s="19" t="s">
        <v>66</v>
      </c>
      <c r="O3804" s="19" t="s">
        <v>141</v>
      </c>
      <c r="P3804" s="19">
        <v>546</v>
      </c>
      <c r="Q3804" s="19">
        <v>554</v>
      </c>
      <c r="R3804" s="19">
        <f>+P3804-Q3804</f>
        <v>-8</v>
      </c>
      <c r="S3804" s="19">
        <f t="shared" ref="S3804:S3813" si="178">1110-40</f>
        <v>1070</v>
      </c>
      <c r="T3804" s="19" t="s">
        <v>42</v>
      </c>
      <c r="U3804" s="102" t="s">
        <v>1243</v>
      </c>
      <c r="V3804" s="253">
        <v>44934</v>
      </c>
      <c r="W3804" s="17" t="s">
        <v>44</v>
      </c>
      <c r="X3804" s="17"/>
      <c r="Y3804" s="68">
        <v>45253</v>
      </c>
      <c r="Z3804" s="17" t="s">
        <v>191</v>
      </c>
      <c r="AA3804" s="17" t="s">
        <v>46</v>
      </c>
      <c r="AB3804" s="17" t="s">
        <v>1231</v>
      </c>
      <c r="AC3804" s="66">
        <v>45283</v>
      </c>
      <c r="AD3804" s="65">
        <v>1504</v>
      </c>
      <c r="AE3804" s="17" t="s">
        <v>74</v>
      </c>
      <c r="AF3804" s="17"/>
      <c r="AG3804" s="17"/>
      <c r="AH3804" s="17"/>
      <c r="AI3804" s="17"/>
      <c r="AJ3804" s="17"/>
      <c r="AK3804" s="17"/>
      <c r="AL3804" s="17"/>
      <c r="AM3804" s="17"/>
      <c r="AN3804" s="17"/>
      <c r="AO3804" s="17"/>
      <c r="AP3804" s="17"/>
      <c r="AQ3804" s="17"/>
      <c r="AR3804" s="17"/>
    </row>
    <row r="3805" s="20" customFormat="1" hidden="1" spans="1:44">
      <c r="A3805" s="17" t="s">
        <v>34</v>
      </c>
      <c r="B3805" s="19">
        <v>930</v>
      </c>
      <c r="C3805" s="222">
        <v>44934</v>
      </c>
      <c r="D3805" s="17" t="s">
        <v>52</v>
      </c>
      <c r="E3805" s="17" t="s">
        <v>1113</v>
      </c>
      <c r="F3805" s="17" t="s">
        <v>54</v>
      </c>
      <c r="G3805" s="17"/>
      <c r="H3805" s="19" t="s">
        <v>1114</v>
      </c>
      <c r="I3805" s="19"/>
      <c r="J3805" s="17" t="s">
        <v>82</v>
      </c>
      <c r="K3805" s="19">
        <v>255</v>
      </c>
      <c r="L3805" s="91">
        <v>25</v>
      </c>
      <c r="M3805" s="19">
        <v>2300</v>
      </c>
      <c r="N3805" s="19" t="s">
        <v>66</v>
      </c>
      <c r="O3805" s="19" t="s">
        <v>141</v>
      </c>
      <c r="P3805" s="19">
        <v>565</v>
      </c>
      <c r="Q3805" s="19">
        <v>114</v>
      </c>
      <c r="R3805" s="17"/>
      <c r="S3805" s="19">
        <f t="shared" si="178"/>
        <v>1070</v>
      </c>
      <c r="T3805" s="19" t="s">
        <v>42</v>
      </c>
      <c r="U3805" s="102" t="s">
        <v>1243</v>
      </c>
      <c r="V3805" s="253">
        <v>44934</v>
      </c>
      <c r="W3805" s="17" t="s">
        <v>44</v>
      </c>
      <c r="X3805" s="17"/>
      <c r="Y3805" s="68">
        <v>45253</v>
      </c>
      <c r="Z3805" s="17" t="s">
        <v>191</v>
      </c>
      <c r="AA3805" s="17" t="s">
        <v>46</v>
      </c>
      <c r="AB3805" s="17" t="s">
        <v>1231</v>
      </c>
      <c r="AC3805" s="66">
        <v>45283</v>
      </c>
      <c r="AD3805" s="65">
        <v>1504</v>
      </c>
      <c r="AE3805" s="17" t="s">
        <v>74</v>
      </c>
      <c r="AF3805" s="17"/>
      <c r="AG3805" s="17"/>
      <c r="AH3805" s="17"/>
      <c r="AI3805" s="17"/>
      <c r="AJ3805" s="17"/>
      <c r="AK3805" s="17"/>
      <c r="AL3805" s="17"/>
      <c r="AM3805" s="17"/>
      <c r="AN3805" s="17"/>
      <c r="AO3805" s="17"/>
      <c r="AP3805" s="17"/>
      <c r="AQ3805" s="17"/>
      <c r="AR3805" s="17"/>
    </row>
    <row r="3806" s="20" customFormat="1" hidden="1" spans="1:44">
      <c r="A3806" s="17" t="s">
        <v>34</v>
      </c>
      <c r="B3806" s="19">
        <v>930</v>
      </c>
      <c r="C3806" s="222">
        <v>44934</v>
      </c>
      <c r="D3806" s="17" t="s">
        <v>52</v>
      </c>
      <c r="E3806" s="17" t="s">
        <v>1113</v>
      </c>
      <c r="F3806" s="17" t="s">
        <v>54</v>
      </c>
      <c r="G3806" s="17"/>
      <c r="H3806" s="19" t="s">
        <v>1114</v>
      </c>
      <c r="I3806" s="19"/>
      <c r="J3806" s="17" t="s">
        <v>82</v>
      </c>
      <c r="K3806" s="19">
        <v>255</v>
      </c>
      <c r="L3806" s="91">
        <v>25</v>
      </c>
      <c r="M3806" s="19">
        <v>2300</v>
      </c>
      <c r="N3806" s="19" t="s">
        <v>66</v>
      </c>
      <c r="O3806" s="19" t="s">
        <v>141</v>
      </c>
      <c r="P3806" s="19"/>
      <c r="Q3806" s="19">
        <v>456</v>
      </c>
      <c r="R3806" s="19">
        <f>+P3805-Q3805-Q3806</f>
        <v>-5</v>
      </c>
      <c r="S3806" s="19">
        <f t="shared" si="178"/>
        <v>1070</v>
      </c>
      <c r="T3806" s="19" t="s">
        <v>42</v>
      </c>
      <c r="U3806" s="102" t="s">
        <v>1243</v>
      </c>
      <c r="V3806" s="253">
        <v>44934</v>
      </c>
      <c r="W3806" s="17" t="s">
        <v>44</v>
      </c>
      <c r="X3806" s="17"/>
      <c r="Y3806" s="68">
        <v>45253</v>
      </c>
      <c r="Z3806" s="17" t="s">
        <v>191</v>
      </c>
      <c r="AA3806" s="17" t="s">
        <v>46</v>
      </c>
      <c r="AB3806" s="17" t="s">
        <v>1244</v>
      </c>
      <c r="AC3806" s="66">
        <v>45286</v>
      </c>
      <c r="AD3806" s="65">
        <v>1505</v>
      </c>
      <c r="AE3806" s="17" t="s">
        <v>74</v>
      </c>
      <c r="AF3806" s="17"/>
      <c r="AG3806" s="17"/>
      <c r="AH3806" s="17"/>
      <c r="AI3806" s="17"/>
      <c r="AJ3806" s="17"/>
      <c r="AK3806" s="17"/>
      <c r="AL3806" s="17"/>
      <c r="AM3806" s="17"/>
      <c r="AN3806" s="17"/>
      <c r="AO3806" s="17"/>
      <c r="AP3806" s="17"/>
      <c r="AQ3806" s="17"/>
      <c r="AR3806" s="17"/>
    </row>
    <row r="3807" s="20" customFormat="1" hidden="1" spans="1:44">
      <c r="A3807" s="17" t="s">
        <v>34</v>
      </c>
      <c r="B3807" s="19">
        <v>930</v>
      </c>
      <c r="C3807" s="222">
        <v>44934</v>
      </c>
      <c r="D3807" s="17" t="s">
        <v>52</v>
      </c>
      <c r="E3807" s="17" t="s">
        <v>1113</v>
      </c>
      <c r="F3807" s="17" t="s">
        <v>54</v>
      </c>
      <c r="G3807" s="17"/>
      <c r="H3807" s="19" t="s">
        <v>1114</v>
      </c>
      <c r="I3807" s="19"/>
      <c r="J3807" s="17" t="s">
        <v>82</v>
      </c>
      <c r="K3807" s="19">
        <v>305</v>
      </c>
      <c r="L3807" s="91">
        <v>25</v>
      </c>
      <c r="M3807" s="19">
        <v>2300</v>
      </c>
      <c r="N3807" s="19" t="s">
        <v>66</v>
      </c>
      <c r="O3807" s="19" t="s">
        <v>141</v>
      </c>
      <c r="P3807" s="19">
        <v>541</v>
      </c>
      <c r="Q3807" s="19">
        <v>544</v>
      </c>
      <c r="R3807" s="19">
        <f>+P3807-Q3807</f>
        <v>-3</v>
      </c>
      <c r="S3807" s="19">
        <f t="shared" si="178"/>
        <v>1070</v>
      </c>
      <c r="T3807" s="19" t="s">
        <v>42</v>
      </c>
      <c r="U3807" s="102" t="s">
        <v>1243</v>
      </c>
      <c r="V3807" s="253">
        <v>44934</v>
      </c>
      <c r="W3807" s="17" t="s">
        <v>44</v>
      </c>
      <c r="X3807" s="17"/>
      <c r="Y3807" s="68">
        <v>45253</v>
      </c>
      <c r="Z3807" s="17" t="s">
        <v>191</v>
      </c>
      <c r="AA3807" s="17" t="s">
        <v>46</v>
      </c>
      <c r="AB3807" s="17" t="s">
        <v>1244</v>
      </c>
      <c r="AC3807" s="66">
        <v>45286</v>
      </c>
      <c r="AD3807" s="65">
        <v>1505</v>
      </c>
      <c r="AE3807" s="17" t="s">
        <v>74</v>
      </c>
      <c r="AF3807" s="17"/>
      <c r="AG3807" s="17"/>
      <c r="AH3807" s="17"/>
      <c r="AI3807" s="17"/>
      <c r="AJ3807" s="17"/>
      <c r="AK3807" s="17"/>
      <c r="AL3807" s="17"/>
      <c r="AM3807" s="17"/>
      <c r="AN3807" s="17"/>
      <c r="AO3807" s="17"/>
      <c r="AP3807" s="17"/>
      <c r="AQ3807" s="17"/>
      <c r="AR3807" s="17"/>
    </row>
    <row r="3808" s="20" customFormat="1" hidden="1" spans="1:44">
      <c r="A3808" s="17" t="s">
        <v>34</v>
      </c>
      <c r="B3808" s="19">
        <v>930</v>
      </c>
      <c r="C3808" s="222">
        <v>44934</v>
      </c>
      <c r="D3808" s="17" t="s">
        <v>52</v>
      </c>
      <c r="E3808" s="17" t="s">
        <v>1113</v>
      </c>
      <c r="F3808" s="17" t="s">
        <v>54</v>
      </c>
      <c r="G3808" s="17"/>
      <c r="H3808" s="19" t="s">
        <v>1114</v>
      </c>
      <c r="I3808" s="19"/>
      <c r="J3808" s="17" t="s">
        <v>82</v>
      </c>
      <c r="K3808" s="19">
        <v>355</v>
      </c>
      <c r="L3808" s="91">
        <v>25</v>
      </c>
      <c r="M3808" s="19">
        <v>2300</v>
      </c>
      <c r="N3808" s="19" t="s">
        <v>66</v>
      </c>
      <c r="O3808" s="19" t="s">
        <v>141</v>
      </c>
      <c r="P3808" s="19">
        <v>472</v>
      </c>
      <c r="Q3808" s="19">
        <v>476</v>
      </c>
      <c r="R3808" s="19">
        <f>+P3808-Q3808</f>
        <v>-4</v>
      </c>
      <c r="S3808" s="19">
        <f t="shared" si="178"/>
        <v>1070</v>
      </c>
      <c r="T3808" s="19" t="s">
        <v>42</v>
      </c>
      <c r="U3808" s="102" t="s">
        <v>1243</v>
      </c>
      <c r="V3808" s="253">
        <v>44934</v>
      </c>
      <c r="W3808" s="17" t="s">
        <v>44</v>
      </c>
      <c r="X3808" s="17"/>
      <c r="Y3808" s="68">
        <v>45253</v>
      </c>
      <c r="Z3808" s="17" t="s">
        <v>191</v>
      </c>
      <c r="AA3808" s="17" t="s">
        <v>46</v>
      </c>
      <c r="AB3808" s="17" t="s">
        <v>1231</v>
      </c>
      <c r="AC3808" s="66">
        <v>45283</v>
      </c>
      <c r="AD3808" s="65">
        <v>1504</v>
      </c>
      <c r="AE3808" s="17" t="s">
        <v>74</v>
      </c>
      <c r="AF3808" s="17"/>
      <c r="AG3808" s="17"/>
      <c r="AH3808" s="17"/>
      <c r="AI3808" s="17"/>
      <c r="AJ3808" s="17"/>
      <c r="AK3808" s="17"/>
      <c r="AL3808" s="17"/>
      <c r="AM3808" s="17"/>
      <c r="AN3808" s="17"/>
      <c r="AO3808" s="17"/>
      <c r="AP3808" s="17"/>
      <c r="AQ3808" s="17"/>
      <c r="AR3808" s="17"/>
    </row>
    <row r="3809" s="20" customFormat="1" hidden="1" spans="1:44">
      <c r="A3809" s="17" t="s">
        <v>34</v>
      </c>
      <c r="B3809" s="19">
        <v>930</v>
      </c>
      <c r="C3809" s="222">
        <v>44934</v>
      </c>
      <c r="D3809" s="17" t="s">
        <v>52</v>
      </c>
      <c r="E3809" s="17" t="s">
        <v>1113</v>
      </c>
      <c r="F3809" s="17" t="s">
        <v>54</v>
      </c>
      <c r="G3809" s="17"/>
      <c r="H3809" s="19" t="s">
        <v>1114</v>
      </c>
      <c r="I3809" s="19"/>
      <c r="J3809" s="17" t="s">
        <v>82</v>
      </c>
      <c r="K3809" s="19">
        <v>405</v>
      </c>
      <c r="L3809" s="91">
        <v>25</v>
      </c>
      <c r="M3809" s="19">
        <v>2300</v>
      </c>
      <c r="N3809" s="19" t="s">
        <v>66</v>
      </c>
      <c r="O3809" s="19" t="s">
        <v>141</v>
      </c>
      <c r="P3809" s="19">
        <v>539</v>
      </c>
      <c r="Q3809" s="19">
        <v>181</v>
      </c>
      <c r="R3809" s="17"/>
      <c r="S3809" s="19">
        <f t="shared" si="178"/>
        <v>1070</v>
      </c>
      <c r="T3809" s="19" t="s">
        <v>42</v>
      </c>
      <c r="U3809" s="102" t="s">
        <v>1243</v>
      </c>
      <c r="V3809" s="253">
        <v>44934</v>
      </c>
      <c r="W3809" s="17" t="s">
        <v>44</v>
      </c>
      <c r="X3809" s="17"/>
      <c r="Y3809" s="68">
        <v>45253</v>
      </c>
      <c r="Z3809" s="17" t="s">
        <v>191</v>
      </c>
      <c r="AA3809" s="17" t="s">
        <v>46</v>
      </c>
      <c r="AB3809" s="17" t="s">
        <v>1231</v>
      </c>
      <c r="AC3809" s="66">
        <v>45283</v>
      </c>
      <c r="AD3809" s="65">
        <v>1504</v>
      </c>
      <c r="AE3809" s="17" t="s">
        <v>74</v>
      </c>
      <c r="AF3809" s="17"/>
      <c r="AG3809" s="17"/>
      <c r="AH3809" s="17"/>
      <c r="AI3809" s="17"/>
      <c r="AJ3809" s="17"/>
      <c r="AK3809" s="17"/>
      <c r="AL3809" s="17"/>
      <c r="AM3809" s="17"/>
      <c r="AN3809" s="17"/>
      <c r="AO3809" s="17"/>
      <c r="AP3809" s="17"/>
      <c r="AQ3809" s="17"/>
      <c r="AR3809" s="17"/>
    </row>
    <row r="3810" s="20" customFormat="1" hidden="1" spans="1:44">
      <c r="A3810" s="17" t="s">
        <v>34</v>
      </c>
      <c r="B3810" s="19">
        <v>930</v>
      </c>
      <c r="C3810" s="222">
        <v>44934</v>
      </c>
      <c r="D3810" s="17" t="s">
        <v>52</v>
      </c>
      <c r="E3810" s="17" t="s">
        <v>1113</v>
      </c>
      <c r="F3810" s="17" t="s">
        <v>54</v>
      </c>
      <c r="G3810" s="17"/>
      <c r="H3810" s="19" t="s">
        <v>1114</v>
      </c>
      <c r="I3810" s="19"/>
      <c r="J3810" s="17" t="s">
        <v>82</v>
      </c>
      <c r="K3810" s="19">
        <v>405</v>
      </c>
      <c r="L3810" s="91">
        <v>25</v>
      </c>
      <c r="M3810" s="19">
        <v>2300</v>
      </c>
      <c r="N3810" s="19" t="s">
        <v>66</v>
      </c>
      <c r="O3810" s="19" t="s">
        <v>141</v>
      </c>
      <c r="P3810" s="19"/>
      <c r="Q3810" s="19">
        <v>362</v>
      </c>
      <c r="R3810" s="19">
        <f>+P3809-Q3809-Q3810</f>
        <v>-4</v>
      </c>
      <c r="S3810" s="19">
        <f t="shared" si="178"/>
        <v>1070</v>
      </c>
      <c r="T3810" s="19" t="s">
        <v>42</v>
      </c>
      <c r="U3810" s="102" t="s">
        <v>1243</v>
      </c>
      <c r="V3810" s="253">
        <v>44934</v>
      </c>
      <c r="W3810" s="17" t="s">
        <v>44</v>
      </c>
      <c r="X3810" s="17"/>
      <c r="Y3810" s="68">
        <v>45253</v>
      </c>
      <c r="Z3810" s="17" t="s">
        <v>191</v>
      </c>
      <c r="AA3810" s="17" t="s">
        <v>46</v>
      </c>
      <c r="AB3810" s="17" t="s">
        <v>1244</v>
      </c>
      <c r="AC3810" s="66">
        <v>45286</v>
      </c>
      <c r="AD3810" s="65">
        <v>1505</v>
      </c>
      <c r="AE3810" s="17" t="s">
        <v>74</v>
      </c>
      <c r="AF3810" s="17"/>
      <c r="AG3810" s="17"/>
      <c r="AH3810" s="17"/>
      <c r="AI3810" s="17"/>
      <c r="AJ3810" s="17"/>
      <c r="AK3810" s="17"/>
      <c r="AL3810" s="17"/>
      <c r="AM3810" s="17"/>
      <c r="AN3810" s="17"/>
      <c r="AO3810" s="17"/>
      <c r="AP3810" s="17"/>
      <c r="AQ3810" s="17"/>
      <c r="AR3810" s="17"/>
    </row>
    <row r="3811" s="20" customFormat="1" hidden="1" spans="1:44">
      <c r="A3811" s="17" t="s">
        <v>34</v>
      </c>
      <c r="B3811" s="19">
        <v>930</v>
      </c>
      <c r="C3811" s="222">
        <v>44934</v>
      </c>
      <c r="D3811" s="17" t="s">
        <v>52</v>
      </c>
      <c r="E3811" s="17" t="s">
        <v>1113</v>
      </c>
      <c r="F3811" s="17" t="s">
        <v>54</v>
      </c>
      <c r="G3811" s="17"/>
      <c r="H3811" s="19" t="s">
        <v>1114</v>
      </c>
      <c r="I3811" s="19"/>
      <c r="J3811" s="17" t="s">
        <v>82</v>
      </c>
      <c r="K3811" s="19">
        <v>455</v>
      </c>
      <c r="L3811" s="91">
        <v>25</v>
      </c>
      <c r="M3811" s="19">
        <v>2300</v>
      </c>
      <c r="N3811" s="19" t="s">
        <v>66</v>
      </c>
      <c r="O3811" s="19" t="s">
        <v>141</v>
      </c>
      <c r="P3811" s="19">
        <v>605</v>
      </c>
      <c r="Q3811" s="19">
        <v>202</v>
      </c>
      <c r="R3811" s="17"/>
      <c r="S3811" s="19">
        <f t="shared" si="178"/>
        <v>1070</v>
      </c>
      <c r="T3811" s="19" t="s">
        <v>42</v>
      </c>
      <c r="U3811" s="102" t="s">
        <v>1243</v>
      </c>
      <c r="V3811" s="253">
        <v>44934</v>
      </c>
      <c r="W3811" s="17" t="s">
        <v>44</v>
      </c>
      <c r="X3811" s="17"/>
      <c r="Y3811" s="68">
        <v>45253</v>
      </c>
      <c r="Z3811" s="17" t="s">
        <v>191</v>
      </c>
      <c r="AA3811" s="17" t="s">
        <v>46</v>
      </c>
      <c r="AB3811" s="17" t="s">
        <v>1231</v>
      </c>
      <c r="AC3811" s="66">
        <v>45283</v>
      </c>
      <c r="AD3811" s="65">
        <v>1504</v>
      </c>
      <c r="AE3811" s="17" t="s">
        <v>74</v>
      </c>
      <c r="AF3811" s="17"/>
      <c r="AG3811" s="17"/>
      <c r="AH3811" s="17"/>
      <c r="AI3811" s="17"/>
      <c r="AJ3811" s="17"/>
      <c r="AK3811" s="17"/>
      <c r="AL3811" s="17"/>
      <c r="AM3811" s="17"/>
      <c r="AN3811" s="17"/>
      <c r="AO3811" s="17"/>
      <c r="AP3811" s="17"/>
      <c r="AQ3811" s="17"/>
      <c r="AR3811" s="17"/>
    </row>
    <row r="3812" s="20" customFormat="1" hidden="1" spans="1:44">
      <c r="A3812" s="17" t="s">
        <v>34</v>
      </c>
      <c r="B3812" s="19">
        <v>930</v>
      </c>
      <c r="C3812" s="222">
        <v>44934</v>
      </c>
      <c r="D3812" s="17" t="s">
        <v>52</v>
      </c>
      <c r="E3812" s="17" t="s">
        <v>1113</v>
      </c>
      <c r="F3812" s="17" t="s">
        <v>54</v>
      </c>
      <c r="G3812" s="17"/>
      <c r="H3812" s="19" t="s">
        <v>1114</v>
      </c>
      <c r="I3812" s="19"/>
      <c r="J3812" s="17" t="s">
        <v>82</v>
      </c>
      <c r="K3812" s="19">
        <v>455</v>
      </c>
      <c r="L3812" s="91">
        <v>25</v>
      </c>
      <c r="M3812" s="19">
        <v>2300</v>
      </c>
      <c r="N3812" s="19" t="s">
        <v>66</v>
      </c>
      <c r="O3812" s="19" t="s">
        <v>141</v>
      </c>
      <c r="P3812" s="19"/>
      <c r="Q3812" s="19">
        <v>406</v>
      </c>
      <c r="R3812" s="19">
        <f>+P3811-Q3811-Q3812</f>
        <v>-3</v>
      </c>
      <c r="S3812" s="19">
        <f t="shared" si="178"/>
        <v>1070</v>
      </c>
      <c r="T3812" s="19" t="s">
        <v>42</v>
      </c>
      <c r="U3812" s="102" t="s">
        <v>1243</v>
      </c>
      <c r="V3812" s="253">
        <v>44934</v>
      </c>
      <c r="W3812" s="17" t="s">
        <v>44</v>
      </c>
      <c r="X3812" s="17"/>
      <c r="Y3812" s="68">
        <v>45253</v>
      </c>
      <c r="Z3812" s="17" t="s">
        <v>191</v>
      </c>
      <c r="AA3812" s="17" t="s">
        <v>46</v>
      </c>
      <c r="AB3812" s="17" t="s">
        <v>1244</v>
      </c>
      <c r="AC3812" s="66">
        <v>45286</v>
      </c>
      <c r="AD3812" s="65">
        <v>1505</v>
      </c>
      <c r="AE3812" s="17" t="s">
        <v>74</v>
      </c>
      <c r="AF3812" s="17"/>
      <c r="AG3812" s="17"/>
      <c r="AH3812" s="17"/>
      <c r="AI3812" s="17"/>
      <c r="AJ3812" s="17"/>
      <c r="AK3812" s="17"/>
      <c r="AL3812" s="17"/>
      <c r="AM3812" s="17"/>
      <c r="AN3812" s="17"/>
      <c r="AO3812" s="17"/>
      <c r="AP3812" s="17"/>
      <c r="AQ3812" s="17"/>
      <c r="AR3812" s="17"/>
    </row>
    <row r="3813" s="20" customFormat="1" hidden="1" spans="1:44">
      <c r="A3813" s="17" t="s">
        <v>34</v>
      </c>
      <c r="B3813" s="19">
        <v>930</v>
      </c>
      <c r="C3813" s="222">
        <v>44934</v>
      </c>
      <c r="D3813" s="17" t="s">
        <v>52</v>
      </c>
      <c r="E3813" s="17" t="s">
        <v>1113</v>
      </c>
      <c r="F3813" s="17" t="s">
        <v>54</v>
      </c>
      <c r="G3813" s="17"/>
      <c r="H3813" s="19" t="s">
        <v>1114</v>
      </c>
      <c r="I3813" s="19"/>
      <c r="J3813" s="17" t="s">
        <v>82</v>
      </c>
      <c r="K3813" s="19">
        <v>505</v>
      </c>
      <c r="L3813" s="91">
        <v>25</v>
      </c>
      <c r="M3813" s="19">
        <v>2300</v>
      </c>
      <c r="N3813" s="19" t="s">
        <v>66</v>
      </c>
      <c r="O3813" s="19" t="s">
        <v>141</v>
      </c>
      <c r="P3813" s="19">
        <v>672</v>
      </c>
      <c r="Q3813" s="19">
        <v>226</v>
      </c>
      <c r="R3813" s="21"/>
      <c r="S3813" s="19">
        <f t="shared" si="178"/>
        <v>1070</v>
      </c>
      <c r="T3813" s="19" t="s">
        <v>42</v>
      </c>
      <c r="U3813" s="102" t="s">
        <v>1243</v>
      </c>
      <c r="V3813" s="253">
        <v>44934</v>
      </c>
      <c r="W3813" s="17" t="s">
        <v>44</v>
      </c>
      <c r="X3813" s="17"/>
      <c r="Y3813" s="68">
        <v>45253</v>
      </c>
      <c r="Z3813" s="17" t="s">
        <v>191</v>
      </c>
      <c r="AA3813" s="17" t="s">
        <v>46</v>
      </c>
      <c r="AB3813" s="17" t="s">
        <v>1231</v>
      </c>
      <c r="AC3813" s="66">
        <v>45283</v>
      </c>
      <c r="AD3813" s="65">
        <v>1504</v>
      </c>
      <c r="AE3813" s="17" t="s">
        <v>74</v>
      </c>
      <c r="AF3813" s="17"/>
      <c r="AG3813" s="17"/>
      <c r="AH3813" s="17"/>
      <c r="AI3813" s="17"/>
      <c r="AJ3813" s="17"/>
      <c r="AK3813" s="17"/>
      <c r="AL3813" s="17"/>
      <c r="AM3813" s="17"/>
      <c r="AN3813" s="17"/>
      <c r="AO3813" s="17"/>
      <c r="AP3813" s="17"/>
      <c r="AQ3813" s="17"/>
      <c r="AR3813" s="17"/>
    </row>
    <row r="3814" s="20" customFormat="1" hidden="1" spans="1:44">
      <c r="A3814" s="17" t="s">
        <v>34</v>
      </c>
      <c r="B3814" s="19">
        <v>930</v>
      </c>
      <c r="C3814" s="222">
        <v>44934</v>
      </c>
      <c r="D3814" s="17" t="s">
        <v>52</v>
      </c>
      <c r="E3814" s="17" t="s">
        <v>1113</v>
      </c>
      <c r="F3814" s="17" t="s">
        <v>54</v>
      </c>
      <c r="G3814" s="17"/>
      <c r="H3814" s="19" t="s">
        <v>1114</v>
      </c>
      <c r="I3814" s="19"/>
      <c r="J3814" s="17" t="s">
        <v>82</v>
      </c>
      <c r="K3814" s="19">
        <v>505</v>
      </c>
      <c r="L3814" s="91">
        <v>25</v>
      </c>
      <c r="M3814" s="19">
        <v>2300</v>
      </c>
      <c r="N3814" s="19" t="s">
        <v>66</v>
      </c>
      <c r="O3814" s="19" t="s">
        <v>141</v>
      </c>
      <c r="P3814" s="19"/>
      <c r="Q3814" s="19">
        <v>466</v>
      </c>
      <c r="R3814" s="19">
        <f>+P3813-Q3813-Q3814</f>
        <v>-20</v>
      </c>
      <c r="S3814" s="19">
        <v>1030</v>
      </c>
      <c r="T3814" s="19" t="s">
        <v>42</v>
      </c>
      <c r="U3814" s="102" t="s">
        <v>1243</v>
      </c>
      <c r="V3814" s="253">
        <v>44934</v>
      </c>
      <c r="W3814" s="17" t="s">
        <v>44</v>
      </c>
      <c r="X3814" s="17"/>
      <c r="Y3814" s="68">
        <v>45253</v>
      </c>
      <c r="Z3814" s="17" t="s">
        <v>191</v>
      </c>
      <c r="AA3814" s="17" t="s">
        <v>46</v>
      </c>
      <c r="AB3814" s="17" t="s">
        <v>1245</v>
      </c>
      <c r="AC3814" s="66">
        <v>45379</v>
      </c>
      <c r="AD3814" s="65">
        <v>1546</v>
      </c>
      <c r="AE3814" s="17" t="s">
        <v>74</v>
      </c>
      <c r="AF3814" s="17"/>
      <c r="AG3814" s="17"/>
      <c r="AH3814" s="17"/>
      <c r="AI3814" s="17"/>
      <c r="AJ3814" s="17"/>
      <c r="AK3814" s="17"/>
      <c r="AL3814" s="17"/>
      <c r="AM3814" s="17"/>
      <c r="AN3814" s="17"/>
      <c r="AO3814" s="17"/>
      <c r="AP3814" s="17"/>
      <c r="AQ3814" s="17"/>
      <c r="AR3814" s="17"/>
    </row>
    <row r="3815" s="20" customFormat="1" hidden="1" spans="1:44">
      <c r="A3815" s="17" t="s">
        <v>34</v>
      </c>
      <c r="B3815" s="19">
        <v>930</v>
      </c>
      <c r="C3815" s="222">
        <v>44934</v>
      </c>
      <c r="D3815" s="17" t="s">
        <v>52</v>
      </c>
      <c r="E3815" s="17" t="s">
        <v>1113</v>
      </c>
      <c r="F3815" s="17" t="s">
        <v>54</v>
      </c>
      <c r="G3815" s="17"/>
      <c r="H3815" s="19" t="s">
        <v>1114</v>
      </c>
      <c r="I3815" s="19"/>
      <c r="J3815" s="17" t="s">
        <v>82</v>
      </c>
      <c r="K3815" s="19">
        <v>205</v>
      </c>
      <c r="L3815" s="91">
        <v>32</v>
      </c>
      <c r="M3815" s="19">
        <v>2300</v>
      </c>
      <c r="N3815" s="19" t="s">
        <v>66</v>
      </c>
      <c r="O3815" s="19" t="s">
        <v>141</v>
      </c>
      <c r="P3815" s="19">
        <v>1047</v>
      </c>
      <c r="Q3815" s="19">
        <v>1060</v>
      </c>
      <c r="R3815" s="19">
        <f t="shared" ref="R3815:R3824" si="179">+P3815-Q3815</f>
        <v>-13</v>
      </c>
      <c r="S3815" s="19">
        <f t="shared" ref="S3815:S3829" si="180">1110-40</f>
        <v>1070</v>
      </c>
      <c r="T3815" s="19" t="s">
        <v>42</v>
      </c>
      <c r="U3815" s="102" t="s">
        <v>1243</v>
      </c>
      <c r="V3815" s="253">
        <v>44934</v>
      </c>
      <c r="W3815" s="17" t="s">
        <v>44</v>
      </c>
      <c r="X3815" s="17"/>
      <c r="Y3815" s="68">
        <v>45253</v>
      </c>
      <c r="Z3815" s="17" t="s">
        <v>191</v>
      </c>
      <c r="AA3815" s="17" t="s">
        <v>46</v>
      </c>
      <c r="AB3815" s="17" t="s">
        <v>1246</v>
      </c>
      <c r="AC3815" s="66">
        <v>45276</v>
      </c>
      <c r="AD3815" s="65">
        <v>1499</v>
      </c>
      <c r="AE3815" s="17" t="s">
        <v>1247</v>
      </c>
      <c r="AF3815" s="17"/>
      <c r="AG3815" s="17"/>
      <c r="AH3815" s="17"/>
      <c r="AI3815" s="17"/>
      <c r="AJ3815" s="17"/>
      <c r="AK3815" s="17"/>
      <c r="AL3815" s="17"/>
      <c r="AM3815" s="17"/>
      <c r="AN3815" s="17"/>
      <c r="AO3815" s="17"/>
      <c r="AP3815" s="17"/>
      <c r="AQ3815" s="17"/>
      <c r="AR3815" s="17"/>
    </row>
    <row r="3816" s="20" customFormat="1" hidden="1" spans="1:44">
      <c r="A3816" s="17" t="s">
        <v>34</v>
      </c>
      <c r="B3816" s="19">
        <v>930</v>
      </c>
      <c r="C3816" s="222">
        <v>44934</v>
      </c>
      <c r="D3816" s="17" t="s">
        <v>52</v>
      </c>
      <c r="E3816" s="17" t="s">
        <v>1113</v>
      </c>
      <c r="F3816" s="17" t="s">
        <v>54</v>
      </c>
      <c r="G3816" s="17"/>
      <c r="H3816" s="19" t="s">
        <v>1114</v>
      </c>
      <c r="I3816" s="19"/>
      <c r="J3816" s="17" t="s">
        <v>82</v>
      </c>
      <c r="K3816" s="19">
        <v>230</v>
      </c>
      <c r="L3816" s="91">
        <v>32</v>
      </c>
      <c r="M3816" s="19">
        <v>2300</v>
      </c>
      <c r="N3816" s="19" t="s">
        <v>66</v>
      </c>
      <c r="O3816" s="19" t="s">
        <v>141</v>
      </c>
      <c r="P3816" s="19">
        <v>522</v>
      </c>
      <c r="Q3816" s="19">
        <v>528</v>
      </c>
      <c r="R3816" s="19">
        <f t="shared" si="179"/>
        <v>-6</v>
      </c>
      <c r="S3816" s="19">
        <f t="shared" si="180"/>
        <v>1070</v>
      </c>
      <c r="T3816" s="19" t="s">
        <v>42</v>
      </c>
      <c r="U3816" s="102" t="s">
        <v>1243</v>
      </c>
      <c r="V3816" s="253">
        <v>44934</v>
      </c>
      <c r="W3816" s="17" t="s">
        <v>44</v>
      </c>
      <c r="X3816" s="17"/>
      <c r="Y3816" s="68">
        <v>45253</v>
      </c>
      <c r="Z3816" s="17" t="s">
        <v>191</v>
      </c>
      <c r="AA3816" s="17" t="s">
        <v>46</v>
      </c>
      <c r="AB3816" s="17" t="s">
        <v>1246</v>
      </c>
      <c r="AC3816" s="66">
        <v>45276</v>
      </c>
      <c r="AD3816" s="65">
        <v>1499</v>
      </c>
      <c r="AE3816" s="17" t="s">
        <v>48</v>
      </c>
      <c r="AF3816" s="17"/>
      <c r="AG3816" s="17"/>
      <c r="AH3816" s="17"/>
      <c r="AI3816" s="17"/>
      <c r="AJ3816" s="17"/>
      <c r="AK3816" s="17"/>
      <c r="AL3816" s="17"/>
      <c r="AM3816" s="17"/>
      <c r="AN3816" s="17"/>
      <c r="AO3816" s="17"/>
      <c r="AP3816" s="17"/>
      <c r="AQ3816" s="17"/>
      <c r="AR3816" s="17"/>
    </row>
    <row r="3817" s="20" customFormat="1" hidden="1" spans="1:44">
      <c r="A3817" s="17" t="s">
        <v>34</v>
      </c>
      <c r="B3817" s="19">
        <v>930</v>
      </c>
      <c r="C3817" s="222">
        <v>44934</v>
      </c>
      <c r="D3817" s="17" t="s">
        <v>52</v>
      </c>
      <c r="E3817" s="17" t="s">
        <v>1113</v>
      </c>
      <c r="F3817" s="17" t="s">
        <v>54</v>
      </c>
      <c r="G3817" s="17"/>
      <c r="H3817" s="19" t="s">
        <v>1114</v>
      </c>
      <c r="I3817" s="19"/>
      <c r="J3817" s="17" t="s">
        <v>82</v>
      </c>
      <c r="K3817" s="19">
        <v>255</v>
      </c>
      <c r="L3817" s="91">
        <v>32</v>
      </c>
      <c r="M3817" s="19">
        <v>2300</v>
      </c>
      <c r="N3817" s="19" t="s">
        <v>66</v>
      </c>
      <c r="O3817" s="19" t="s">
        <v>141</v>
      </c>
      <c r="P3817" s="19">
        <v>1013</v>
      </c>
      <c r="Q3817" s="19">
        <v>1024</v>
      </c>
      <c r="R3817" s="19">
        <f t="shared" si="179"/>
        <v>-11</v>
      </c>
      <c r="S3817" s="19">
        <f t="shared" si="180"/>
        <v>1070</v>
      </c>
      <c r="T3817" s="19" t="s">
        <v>42</v>
      </c>
      <c r="U3817" s="102" t="s">
        <v>1243</v>
      </c>
      <c r="V3817" s="253">
        <v>44934</v>
      </c>
      <c r="W3817" s="17" t="s">
        <v>44</v>
      </c>
      <c r="X3817" s="17"/>
      <c r="Y3817" s="68">
        <v>45253</v>
      </c>
      <c r="Z3817" s="17" t="s">
        <v>191</v>
      </c>
      <c r="AA3817" s="17" t="s">
        <v>46</v>
      </c>
      <c r="AB3817" s="17" t="s">
        <v>1246</v>
      </c>
      <c r="AC3817" s="66">
        <v>45276</v>
      </c>
      <c r="AD3817" s="65">
        <v>1499</v>
      </c>
      <c r="AE3817" s="17" t="s">
        <v>1247</v>
      </c>
      <c r="AF3817" s="17"/>
      <c r="AG3817" s="17"/>
      <c r="AH3817" s="17"/>
      <c r="AI3817" s="17"/>
      <c r="AJ3817" s="17"/>
      <c r="AK3817" s="17"/>
      <c r="AL3817" s="17"/>
      <c r="AM3817" s="17"/>
      <c r="AN3817" s="17"/>
      <c r="AO3817" s="17"/>
      <c r="AP3817" s="17"/>
      <c r="AQ3817" s="17"/>
      <c r="AR3817" s="17"/>
    </row>
    <row r="3818" s="20" customFormat="1" hidden="1" spans="1:44">
      <c r="A3818" s="17" t="s">
        <v>34</v>
      </c>
      <c r="B3818" s="19">
        <v>930</v>
      </c>
      <c r="C3818" s="222">
        <v>44934</v>
      </c>
      <c r="D3818" s="17" t="s">
        <v>52</v>
      </c>
      <c r="E3818" s="17" t="s">
        <v>1113</v>
      </c>
      <c r="F3818" s="17" t="s">
        <v>54</v>
      </c>
      <c r="G3818" s="17"/>
      <c r="H3818" s="19" t="s">
        <v>1114</v>
      </c>
      <c r="I3818" s="19"/>
      <c r="J3818" s="17" t="s">
        <v>82</v>
      </c>
      <c r="K3818" s="19">
        <v>280</v>
      </c>
      <c r="L3818" s="91">
        <v>32</v>
      </c>
      <c r="M3818" s="19">
        <v>2300</v>
      </c>
      <c r="N3818" s="19" t="s">
        <v>66</v>
      </c>
      <c r="O3818" s="19" t="s">
        <v>141</v>
      </c>
      <c r="P3818" s="19">
        <v>477</v>
      </c>
      <c r="Q3818" s="19">
        <v>482</v>
      </c>
      <c r="R3818" s="19">
        <f t="shared" si="179"/>
        <v>-5</v>
      </c>
      <c r="S3818" s="19">
        <f t="shared" si="180"/>
        <v>1070</v>
      </c>
      <c r="T3818" s="19" t="s">
        <v>42</v>
      </c>
      <c r="U3818" s="102" t="s">
        <v>1243</v>
      </c>
      <c r="V3818" s="253">
        <v>44934</v>
      </c>
      <c r="W3818" s="17" t="s">
        <v>44</v>
      </c>
      <c r="X3818" s="17"/>
      <c r="Y3818" s="68">
        <v>45253</v>
      </c>
      <c r="Z3818" s="17" t="s">
        <v>191</v>
      </c>
      <c r="AA3818" s="17" t="s">
        <v>46</v>
      </c>
      <c r="AB3818" s="17" t="s">
        <v>1246</v>
      </c>
      <c r="AC3818" s="66">
        <v>45276</v>
      </c>
      <c r="AD3818" s="65">
        <v>1499</v>
      </c>
      <c r="AE3818" s="17" t="s">
        <v>48</v>
      </c>
      <c r="AF3818" s="17"/>
      <c r="AG3818" s="17"/>
      <c r="AH3818" s="17"/>
      <c r="AI3818" s="17"/>
      <c r="AJ3818" s="17"/>
      <c r="AK3818" s="17"/>
      <c r="AL3818" s="17"/>
      <c r="AM3818" s="17"/>
      <c r="AN3818" s="17"/>
      <c r="AO3818" s="17"/>
      <c r="AP3818" s="17"/>
      <c r="AQ3818" s="17"/>
      <c r="AR3818" s="17"/>
    </row>
    <row r="3819" s="20" customFormat="1" hidden="1" spans="1:44">
      <c r="A3819" s="17" t="s">
        <v>34</v>
      </c>
      <c r="B3819" s="19">
        <v>930</v>
      </c>
      <c r="C3819" s="222">
        <v>44934</v>
      </c>
      <c r="D3819" s="17" t="s">
        <v>52</v>
      </c>
      <c r="E3819" s="17" t="s">
        <v>1113</v>
      </c>
      <c r="F3819" s="17" t="s">
        <v>54</v>
      </c>
      <c r="G3819" s="17"/>
      <c r="H3819" s="19" t="s">
        <v>1114</v>
      </c>
      <c r="I3819" s="19"/>
      <c r="J3819" s="17" t="s">
        <v>82</v>
      </c>
      <c r="K3819" s="19">
        <v>305</v>
      </c>
      <c r="L3819" s="91">
        <v>32</v>
      </c>
      <c r="M3819" s="19">
        <v>2300</v>
      </c>
      <c r="N3819" s="19" t="s">
        <v>66</v>
      </c>
      <c r="O3819" s="19" t="s">
        <v>141</v>
      </c>
      <c r="P3819" s="19">
        <v>1039</v>
      </c>
      <c r="Q3819" s="19">
        <v>1048</v>
      </c>
      <c r="R3819" s="19">
        <f t="shared" si="179"/>
        <v>-9</v>
      </c>
      <c r="S3819" s="19">
        <f t="shared" si="180"/>
        <v>1070</v>
      </c>
      <c r="T3819" s="19" t="s">
        <v>42</v>
      </c>
      <c r="U3819" s="102" t="s">
        <v>1243</v>
      </c>
      <c r="V3819" s="253">
        <v>44934</v>
      </c>
      <c r="W3819" s="17" t="s">
        <v>44</v>
      </c>
      <c r="X3819" s="17"/>
      <c r="Y3819" s="68">
        <v>45253</v>
      </c>
      <c r="Z3819" s="17" t="s">
        <v>191</v>
      </c>
      <c r="AA3819" s="17" t="s">
        <v>46</v>
      </c>
      <c r="AB3819" s="17" t="s">
        <v>1246</v>
      </c>
      <c r="AC3819" s="66">
        <v>45276</v>
      </c>
      <c r="AD3819" s="65">
        <v>1499</v>
      </c>
      <c r="AE3819" s="17" t="s">
        <v>1247</v>
      </c>
      <c r="AF3819" s="17"/>
      <c r="AG3819" s="17"/>
      <c r="AH3819" s="17"/>
      <c r="AI3819" s="17"/>
      <c r="AJ3819" s="17"/>
      <c r="AK3819" s="17"/>
      <c r="AL3819" s="17"/>
      <c r="AM3819" s="17"/>
      <c r="AN3819" s="17"/>
      <c r="AO3819" s="17"/>
      <c r="AP3819" s="17"/>
      <c r="AQ3819" s="17"/>
      <c r="AR3819" s="17"/>
    </row>
    <row r="3820" s="20" customFormat="1" hidden="1" spans="1:44">
      <c r="A3820" s="17" t="s">
        <v>34</v>
      </c>
      <c r="B3820" s="19">
        <v>930</v>
      </c>
      <c r="C3820" s="222">
        <v>44934</v>
      </c>
      <c r="D3820" s="17" t="s">
        <v>52</v>
      </c>
      <c r="E3820" s="17" t="s">
        <v>1113</v>
      </c>
      <c r="F3820" s="17" t="s">
        <v>54</v>
      </c>
      <c r="G3820" s="17"/>
      <c r="H3820" s="19" t="s">
        <v>1114</v>
      </c>
      <c r="I3820" s="19"/>
      <c r="J3820" s="17" t="s">
        <v>82</v>
      </c>
      <c r="K3820" s="19">
        <v>355</v>
      </c>
      <c r="L3820" s="91">
        <v>32</v>
      </c>
      <c r="M3820" s="19">
        <v>2300</v>
      </c>
      <c r="N3820" s="19" t="s">
        <v>66</v>
      </c>
      <c r="O3820" s="19" t="s">
        <v>141</v>
      </c>
      <c r="P3820" s="19">
        <v>1008</v>
      </c>
      <c r="Q3820" s="19">
        <v>1014</v>
      </c>
      <c r="R3820" s="19">
        <f t="shared" si="179"/>
        <v>-6</v>
      </c>
      <c r="S3820" s="19">
        <f t="shared" si="180"/>
        <v>1070</v>
      </c>
      <c r="T3820" s="19" t="s">
        <v>42</v>
      </c>
      <c r="U3820" s="102" t="s">
        <v>1243</v>
      </c>
      <c r="V3820" s="253">
        <v>44934</v>
      </c>
      <c r="W3820" s="17" t="s">
        <v>44</v>
      </c>
      <c r="X3820" s="17"/>
      <c r="Y3820" s="68">
        <v>45253</v>
      </c>
      <c r="Z3820" s="17" t="s">
        <v>191</v>
      </c>
      <c r="AA3820" s="17" t="s">
        <v>46</v>
      </c>
      <c r="AB3820" s="17" t="s">
        <v>1246</v>
      </c>
      <c r="AC3820" s="66">
        <v>45276</v>
      </c>
      <c r="AD3820" s="65">
        <v>1499</v>
      </c>
      <c r="AE3820" s="17" t="s">
        <v>1247</v>
      </c>
      <c r="AF3820" s="17"/>
      <c r="AG3820" s="17"/>
      <c r="AH3820" s="17"/>
      <c r="AI3820" s="17"/>
      <c r="AJ3820" s="17"/>
      <c r="AK3820" s="17"/>
      <c r="AL3820" s="17"/>
      <c r="AM3820" s="17"/>
      <c r="AN3820" s="17"/>
      <c r="AO3820" s="17"/>
      <c r="AP3820" s="17"/>
      <c r="AQ3820" s="17"/>
      <c r="AR3820" s="17"/>
    </row>
    <row r="3821" s="20" customFormat="1" hidden="1" spans="1:44">
      <c r="A3821" s="17" t="s">
        <v>34</v>
      </c>
      <c r="B3821" s="19">
        <v>930</v>
      </c>
      <c r="C3821" s="222">
        <v>44934</v>
      </c>
      <c r="D3821" s="17" t="s">
        <v>52</v>
      </c>
      <c r="E3821" s="17" t="s">
        <v>1113</v>
      </c>
      <c r="F3821" s="17" t="s">
        <v>54</v>
      </c>
      <c r="G3821" s="17"/>
      <c r="H3821" s="19" t="s">
        <v>1114</v>
      </c>
      <c r="I3821" s="19"/>
      <c r="J3821" s="17" t="s">
        <v>82</v>
      </c>
      <c r="K3821" s="19">
        <v>405</v>
      </c>
      <c r="L3821" s="91">
        <v>32</v>
      </c>
      <c r="M3821" s="19">
        <v>2300</v>
      </c>
      <c r="N3821" s="19" t="s">
        <v>66</v>
      </c>
      <c r="O3821" s="19" t="s">
        <v>141</v>
      </c>
      <c r="P3821" s="19">
        <v>920</v>
      </c>
      <c r="Q3821" s="19">
        <v>926</v>
      </c>
      <c r="R3821" s="19">
        <f t="shared" si="179"/>
        <v>-6</v>
      </c>
      <c r="S3821" s="19">
        <f t="shared" si="180"/>
        <v>1070</v>
      </c>
      <c r="T3821" s="19" t="s">
        <v>42</v>
      </c>
      <c r="U3821" s="102" t="s">
        <v>1243</v>
      </c>
      <c r="V3821" s="253">
        <v>44934</v>
      </c>
      <c r="W3821" s="17" t="s">
        <v>44</v>
      </c>
      <c r="X3821" s="17"/>
      <c r="Y3821" s="68">
        <v>45253</v>
      </c>
      <c r="Z3821" s="17" t="s">
        <v>191</v>
      </c>
      <c r="AA3821" s="17" t="s">
        <v>46</v>
      </c>
      <c r="AB3821" s="17" t="s">
        <v>1246</v>
      </c>
      <c r="AC3821" s="66">
        <v>45276</v>
      </c>
      <c r="AD3821" s="65">
        <v>1499</v>
      </c>
      <c r="AE3821" s="17" t="s">
        <v>1247</v>
      </c>
      <c r="AF3821" s="17"/>
      <c r="AG3821" s="17"/>
      <c r="AH3821" s="17"/>
      <c r="AI3821" s="17"/>
      <c r="AJ3821" s="17"/>
      <c r="AK3821" s="17"/>
      <c r="AL3821" s="17"/>
      <c r="AM3821" s="17"/>
      <c r="AN3821" s="17"/>
      <c r="AO3821" s="17"/>
      <c r="AP3821" s="17"/>
      <c r="AQ3821" s="17"/>
      <c r="AR3821" s="17"/>
    </row>
    <row r="3822" s="20" customFormat="1" hidden="1" spans="1:44">
      <c r="A3822" s="17" t="s">
        <v>34</v>
      </c>
      <c r="B3822" s="19">
        <v>930</v>
      </c>
      <c r="C3822" s="222">
        <v>44934</v>
      </c>
      <c r="D3822" s="17" t="s">
        <v>52</v>
      </c>
      <c r="E3822" s="17" t="s">
        <v>1113</v>
      </c>
      <c r="F3822" s="17" t="s">
        <v>54</v>
      </c>
      <c r="G3822" s="17"/>
      <c r="H3822" s="19" t="s">
        <v>1114</v>
      </c>
      <c r="I3822" s="19"/>
      <c r="J3822" s="17" t="s">
        <v>82</v>
      </c>
      <c r="K3822" s="19">
        <v>455</v>
      </c>
      <c r="L3822" s="91">
        <v>32</v>
      </c>
      <c r="M3822" s="19">
        <v>2300</v>
      </c>
      <c r="N3822" s="19" t="s">
        <v>66</v>
      </c>
      <c r="O3822" s="19" t="s">
        <v>141</v>
      </c>
      <c r="P3822" s="19">
        <v>517</v>
      </c>
      <c r="Q3822" s="19">
        <v>520</v>
      </c>
      <c r="R3822" s="19">
        <f t="shared" si="179"/>
        <v>-3</v>
      </c>
      <c r="S3822" s="19">
        <f t="shared" si="180"/>
        <v>1070</v>
      </c>
      <c r="T3822" s="19" t="s">
        <v>42</v>
      </c>
      <c r="U3822" s="102" t="s">
        <v>1243</v>
      </c>
      <c r="V3822" s="253">
        <v>44934</v>
      </c>
      <c r="W3822" s="17" t="s">
        <v>44</v>
      </c>
      <c r="X3822" s="17"/>
      <c r="Y3822" s="68">
        <v>45253</v>
      </c>
      <c r="Z3822" s="17" t="s">
        <v>191</v>
      </c>
      <c r="AA3822" s="17" t="s">
        <v>46</v>
      </c>
      <c r="AB3822" s="17" t="s">
        <v>1246</v>
      </c>
      <c r="AC3822" s="66">
        <v>45276</v>
      </c>
      <c r="AD3822" s="65">
        <v>1499</v>
      </c>
      <c r="AE3822" s="17" t="s">
        <v>74</v>
      </c>
      <c r="AF3822" s="17"/>
      <c r="AG3822" s="17"/>
      <c r="AH3822" s="17"/>
      <c r="AI3822" s="17"/>
      <c r="AJ3822" s="17"/>
      <c r="AK3822" s="17"/>
      <c r="AL3822" s="17"/>
      <c r="AM3822" s="17"/>
      <c r="AN3822" s="17"/>
      <c r="AO3822" s="17"/>
      <c r="AP3822" s="17"/>
      <c r="AQ3822" s="17"/>
      <c r="AR3822" s="17"/>
    </row>
    <row r="3823" s="20" customFormat="1" hidden="1" spans="1:44">
      <c r="A3823" s="17" t="s">
        <v>34</v>
      </c>
      <c r="B3823" s="19">
        <v>930</v>
      </c>
      <c r="C3823" s="222">
        <v>44934</v>
      </c>
      <c r="D3823" s="17" t="s">
        <v>52</v>
      </c>
      <c r="E3823" s="17" t="s">
        <v>1113</v>
      </c>
      <c r="F3823" s="17" t="s">
        <v>54</v>
      </c>
      <c r="G3823" s="17"/>
      <c r="H3823" s="19" t="s">
        <v>1114</v>
      </c>
      <c r="I3823" s="19"/>
      <c r="J3823" s="17" t="s">
        <v>82</v>
      </c>
      <c r="K3823" s="19">
        <v>505</v>
      </c>
      <c r="L3823" s="91">
        <v>32</v>
      </c>
      <c r="M3823" s="19">
        <v>2300</v>
      </c>
      <c r="N3823" s="19" t="s">
        <v>66</v>
      </c>
      <c r="O3823" s="19" t="s">
        <v>141</v>
      </c>
      <c r="P3823" s="19">
        <v>573</v>
      </c>
      <c r="Q3823" s="19">
        <v>576</v>
      </c>
      <c r="R3823" s="19">
        <f t="shared" si="179"/>
        <v>-3</v>
      </c>
      <c r="S3823" s="19">
        <f t="shared" si="180"/>
        <v>1070</v>
      </c>
      <c r="T3823" s="19" t="s">
        <v>42</v>
      </c>
      <c r="U3823" s="102" t="s">
        <v>1243</v>
      </c>
      <c r="V3823" s="253">
        <v>44934</v>
      </c>
      <c r="W3823" s="17" t="s">
        <v>44</v>
      </c>
      <c r="X3823" s="17"/>
      <c r="Y3823" s="68">
        <v>45253</v>
      </c>
      <c r="Z3823" s="17" t="s">
        <v>191</v>
      </c>
      <c r="AA3823" s="17" t="s">
        <v>46</v>
      </c>
      <c r="AB3823" s="17" t="s">
        <v>1246</v>
      </c>
      <c r="AC3823" s="66">
        <v>45276</v>
      </c>
      <c r="AD3823" s="65">
        <v>1499</v>
      </c>
      <c r="AE3823" s="17" t="s">
        <v>74</v>
      </c>
      <c r="AF3823" s="17"/>
      <c r="AG3823" s="17"/>
      <c r="AH3823" s="17"/>
      <c r="AI3823" s="17"/>
      <c r="AJ3823" s="17"/>
      <c r="AK3823" s="17"/>
      <c r="AL3823" s="17"/>
      <c r="AM3823" s="17"/>
      <c r="AN3823" s="17"/>
      <c r="AO3823" s="17"/>
      <c r="AP3823" s="17"/>
      <c r="AQ3823" s="17"/>
      <c r="AR3823" s="17"/>
    </row>
    <row r="3824" s="20" customFormat="1" hidden="1" spans="1:44">
      <c r="A3824" s="17" t="s">
        <v>34</v>
      </c>
      <c r="B3824" s="19">
        <v>930</v>
      </c>
      <c r="C3824" s="222">
        <v>44934</v>
      </c>
      <c r="D3824" s="17" t="s">
        <v>52</v>
      </c>
      <c r="E3824" s="17" t="s">
        <v>1113</v>
      </c>
      <c r="F3824" s="17" t="s">
        <v>54</v>
      </c>
      <c r="G3824" s="17"/>
      <c r="H3824" s="19" t="s">
        <v>1114</v>
      </c>
      <c r="I3824" s="19"/>
      <c r="J3824" s="17" t="s">
        <v>82</v>
      </c>
      <c r="K3824" s="19">
        <v>205</v>
      </c>
      <c r="L3824" s="91">
        <v>35</v>
      </c>
      <c r="M3824" s="19">
        <v>2300</v>
      </c>
      <c r="N3824" s="19" t="s">
        <v>66</v>
      </c>
      <c r="O3824" s="19" t="s">
        <v>141</v>
      </c>
      <c r="P3824" s="19">
        <v>1018</v>
      </c>
      <c r="Q3824" s="19">
        <v>812</v>
      </c>
      <c r="R3824" s="19">
        <f t="shared" si="179"/>
        <v>206</v>
      </c>
      <c r="S3824" s="19">
        <f t="shared" si="180"/>
        <v>1070</v>
      </c>
      <c r="T3824" s="19" t="s">
        <v>42</v>
      </c>
      <c r="U3824" s="102" t="s">
        <v>1243</v>
      </c>
      <c r="V3824" s="253">
        <v>44934</v>
      </c>
      <c r="W3824" s="17" t="s">
        <v>44</v>
      </c>
      <c r="X3824" s="17"/>
      <c r="Y3824" s="68">
        <v>45253</v>
      </c>
      <c r="Z3824" s="17" t="s">
        <v>191</v>
      </c>
      <c r="AA3824" s="17" t="s">
        <v>46</v>
      </c>
      <c r="AB3824" s="17" t="s">
        <v>1237</v>
      </c>
      <c r="AC3824" s="217">
        <v>45627</v>
      </c>
      <c r="AD3824" s="65">
        <v>1516</v>
      </c>
      <c r="AE3824" s="17" t="s">
        <v>1247</v>
      </c>
      <c r="AF3824" s="17"/>
      <c r="AG3824" s="17"/>
      <c r="AH3824" s="17"/>
      <c r="AI3824" s="17"/>
      <c r="AJ3824" s="17"/>
      <c r="AK3824" s="17"/>
      <c r="AL3824" s="17"/>
      <c r="AM3824" s="17"/>
      <c r="AN3824" s="17"/>
      <c r="AO3824" s="17"/>
      <c r="AP3824" s="17"/>
      <c r="AQ3824" s="17"/>
      <c r="AR3824" s="17"/>
    </row>
    <row r="3825" s="20" customFormat="1" hidden="1" spans="1:44">
      <c r="A3825" s="17" t="s">
        <v>34</v>
      </c>
      <c r="B3825" s="19">
        <v>930</v>
      </c>
      <c r="C3825" s="222">
        <v>44934</v>
      </c>
      <c r="D3825" s="17" t="s">
        <v>52</v>
      </c>
      <c r="E3825" s="17" t="s">
        <v>1113</v>
      </c>
      <c r="F3825" s="17" t="s">
        <v>54</v>
      </c>
      <c r="G3825" s="17"/>
      <c r="H3825" s="19" t="s">
        <v>1114</v>
      </c>
      <c r="I3825" s="19"/>
      <c r="J3825" s="17" t="s">
        <v>82</v>
      </c>
      <c r="K3825" s="19">
        <v>230</v>
      </c>
      <c r="L3825" s="91">
        <v>35</v>
      </c>
      <c r="M3825" s="19">
        <v>2300</v>
      </c>
      <c r="N3825" s="19" t="s">
        <v>66</v>
      </c>
      <c r="O3825" s="19" t="s">
        <v>141</v>
      </c>
      <c r="P3825" s="19">
        <v>428</v>
      </c>
      <c r="Q3825" s="19">
        <v>305</v>
      </c>
      <c r="R3825" s="21"/>
      <c r="S3825" s="19">
        <f t="shared" si="180"/>
        <v>1070</v>
      </c>
      <c r="T3825" s="19" t="s">
        <v>42</v>
      </c>
      <c r="U3825" s="102" t="s">
        <v>1243</v>
      </c>
      <c r="V3825" s="253">
        <v>44934</v>
      </c>
      <c r="W3825" s="17" t="s">
        <v>44</v>
      </c>
      <c r="X3825" s="17"/>
      <c r="Y3825" s="68">
        <v>45253</v>
      </c>
      <c r="Z3825" s="17" t="s">
        <v>191</v>
      </c>
      <c r="AA3825" s="17" t="s">
        <v>46</v>
      </c>
      <c r="AB3825" s="17" t="s">
        <v>1237</v>
      </c>
      <c r="AC3825" s="217">
        <v>45627</v>
      </c>
      <c r="AD3825" s="65">
        <v>1516</v>
      </c>
      <c r="AE3825" s="17" t="s">
        <v>48</v>
      </c>
      <c r="AF3825" s="17"/>
      <c r="AG3825" s="17"/>
      <c r="AH3825" s="17"/>
      <c r="AI3825" s="17"/>
      <c r="AJ3825" s="17"/>
      <c r="AK3825" s="17"/>
      <c r="AL3825" s="17"/>
      <c r="AM3825" s="17"/>
      <c r="AN3825" s="17"/>
      <c r="AO3825" s="17"/>
      <c r="AP3825" s="17"/>
      <c r="AQ3825" s="17"/>
      <c r="AR3825" s="17"/>
    </row>
    <row r="3826" s="20" customFormat="1" hidden="1" spans="1:44">
      <c r="A3826" s="17" t="s">
        <v>34</v>
      </c>
      <c r="B3826" s="19">
        <v>930</v>
      </c>
      <c r="C3826" s="222">
        <v>44934</v>
      </c>
      <c r="D3826" s="17" t="s">
        <v>52</v>
      </c>
      <c r="E3826" s="17" t="s">
        <v>1113</v>
      </c>
      <c r="F3826" s="17" t="s">
        <v>54</v>
      </c>
      <c r="G3826" s="17"/>
      <c r="H3826" s="19" t="s">
        <v>1114</v>
      </c>
      <c r="I3826" s="19"/>
      <c r="J3826" s="17" t="s">
        <v>82</v>
      </c>
      <c r="K3826" s="19">
        <v>230</v>
      </c>
      <c r="L3826" s="91">
        <v>35</v>
      </c>
      <c r="M3826" s="19">
        <v>2300</v>
      </c>
      <c r="N3826" s="19" t="s">
        <v>66</v>
      </c>
      <c r="O3826" s="19" t="s">
        <v>141</v>
      </c>
      <c r="P3826" s="19"/>
      <c r="Q3826" s="19">
        <v>149</v>
      </c>
      <c r="R3826" s="19">
        <f>+P3825-Q3825-Q3826</f>
        <v>-26</v>
      </c>
      <c r="S3826" s="19">
        <f t="shared" si="180"/>
        <v>1070</v>
      </c>
      <c r="T3826" s="19" t="s">
        <v>42</v>
      </c>
      <c r="U3826" s="102" t="s">
        <v>1243</v>
      </c>
      <c r="V3826" s="253">
        <v>44934</v>
      </c>
      <c r="W3826" s="17" t="s">
        <v>44</v>
      </c>
      <c r="X3826" s="17"/>
      <c r="Y3826" s="68">
        <v>45253</v>
      </c>
      <c r="Z3826" s="17" t="s">
        <v>191</v>
      </c>
      <c r="AA3826" s="17" t="s">
        <v>46</v>
      </c>
      <c r="AB3826" s="17" t="s">
        <v>1248</v>
      </c>
      <c r="AC3826" s="217">
        <v>45364</v>
      </c>
      <c r="AD3826" s="65">
        <v>1539</v>
      </c>
      <c r="AE3826" s="17" t="s">
        <v>48</v>
      </c>
      <c r="AF3826" s="17"/>
      <c r="AG3826" s="17"/>
      <c r="AH3826" s="17"/>
      <c r="AI3826" s="17"/>
      <c r="AJ3826" s="17"/>
      <c r="AK3826" s="17"/>
      <c r="AL3826" s="17"/>
      <c r="AM3826" s="17"/>
      <c r="AN3826" s="17"/>
      <c r="AO3826" s="17"/>
      <c r="AP3826" s="17"/>
      <c r="AQ3826" s="17"/>
      <c r="AR3826" s="17"/>
    </row>
    <row r="3827" s="20" customFormat="1" hidden="1" spans="1:44">
      <c r="A3827" s="17" t="s">
        <v>34</v>
      </c>
      <c r="B3827" s="19">
        <v>930</v>
      </c>
      <c r="C3827" s="222">
        <v>44934</v>
      </c>
      <c r="D3827" s="17" t="s">
        <v>52</v>
      </c>
      <c r="E3827" s="17" t="s">
        <v>1113</v>
      </c>
      <c r="F3827" s="17" t="s">
        <v>54</v>
      </c>
      <c r="G3827" s="17"/>
      <c r="H3827" s="19" t="s">
        <v>1114</v>
      </c>
      <c r="I3827" s="19"/>
      <c r="J3827" s="17" t="s">
        <v>82</v>
      </c>
      <c r="K3827" s="19">
        <v>255</v>
      </c>
      <c r="L3827" s="91">
        <v>35</v>
      </c>
      <c r="M3827" s="19">
        <v>2300</v>
      </c>
      <c r="N3827" s="19" t="s">
        <v>66</v>
      </c>
      <c r="O3827" s="19" t="s">
        <v>141</v>
      </c>
      <c r="P3827" s="19">
        <v>950</v>
      </c>
      <c r="Q3827" s="19">
        <v>1013</v>
      </c>
      <c r="R3827" s="19">
        <f>+P3827-Q3827</f>
        <v>-63</v>
      </c>
      <c r="S3827" s="19">
        <f t="shared" si="180"/>
        <v>1070</v>
      </c>
      <c r="T3827" s="19" t="s">
        <v>42</v>
      </c>
      <c r="U3827" s="102" t="s">
        <v>1243</v>
      </c>
      <c r="V3827" s="253">
        <v>44934</v>
      </c>
      <c r="W3827" s="17" t="s">
        <v>44</v>
      </c>
      <c r="X3827" s="17"/>
      <c r="Y3827" s="68">
        <v>45253</v>
      </c>
      <c r="Z3827" s="17" t="s">
        <v>191</v>
      </c>
      <c r="AA3827" s="17" t="s">
        <v>46</v>
      </c>
      <c r="AB3827" s="17" t="s">
        <v>1237</v>
      </c>
      <c r="AC3827" s="217">
        <v>45627</v>
      </c>
      <c r="AD3827" s="65">
        <v>1516</v>
      </c>
      <c r="AE3827" s="17" t="s">
        <v>1247</v>
      </c>
      <c r="AF3827" s="17"/>
      <c r="AG3827" s="17"/>
      <c r="AH3827" s="17"/>
      <c r="AI3827" s="17"/>
      <c r="AJ3827" s="17"/>
      <c r="AK3827" s="17"/>
      <c r="AL3827" s="17"/>
      <c r="AM3827" s="17"/>
      <c r="AN3827" s="17"/>
      <c r="AO3827" s="17"/>
      <c r="AP3827" s="17"/>
      <c r="AQ3827" s="17"/>
      <c r="AR3827" s="17"/>
    </row>
    <row r="3828" s="20" customFormat="1" hidden="1" spans="1:44">
      <c r="A3828" s="17" t="s">
        <v>34</v>
      </c>
      <c r="B3828" s="19">
        <v>930</v>
      </c>
      <c r="C3828" s="222">
        <v>44934</v>
      </c>
      <c r="D3828" s="17" t="s">
        <v>52</v>
      </c>
      <c r="E3828" s="17" t="s">
        <v>1113</v>
      </c>
      <c r="F3828" s="17" t="s">
        <v>54</v>
      </c>
      <c r="G3828" s="17"/>
      <c r="H3828" s="19" t="s">
        <v>1114</v>
      </c>
      <c r="I3828" s="19"/>
      <c r="J3828" s="17" t="s">
        <v>82</v>
      </c>
      <c r="K3828" s="19">
        <v>280</v>
      </c>
      <c r="L3828" s="91">
        <v>35</v>
      </c>
      <c r="M3828" s="19">
        <v>2300</v>
      </c>
      <c r="N3828" s="19" t="s">
        <v>66</v>
      </c>
      <c r="O3828" s="19" t="s">
        <v>141</v>
      </c>
      <c r="P3828" s="19">
        <v>522</v>
      </c>
      <c r="Q3828" s="19">
        <v>554</v>
      </c>
      <c r="R3828" s="19">
        <f>+P3828-Q3828</f>
        <v>-32</v>
      </c>
      <c r="S3828" s="19">
        <f t="shared" si="180"/>
        <v>1070</v>
      </c>
      <c r="T3828" s="19" t="s">
        <v>42</v>
      </c>
      <c r="U3828" s="102" t="s">
        <v>1243</v>
      </c>
      <c r="V3828" s="253">
        <v>44934</v>
      </c>
      <c r="W3828" s="17" t="s">
        <v>44</v>
      </c>
      <c r="X3828" s="17"/>
      <c r="Y3828" s="68">
        <v>45253</v>
      </c>
      <c r="Z3828" s="17" t="s">
        <v>191</v>
      </c>
      <c r="AA3828" s="17" t="s">
        <v>46</v>
      </c>
      <c r="AB3828" s="17" t="s">
        <v>1237</v>
      </c>
      <c r="AC3828" s="217">
        <v>45627</v>
      </c>
      <c r="AD3828" s="65">
        <v>1516</v>
      </c>
      <c r="AE3828" s="17" t="s">
        <v>48</v>
      </c>
      <c r="AF3828" s="17"/>
      <c r="AG3828" s="17"/>
      <c r="AH3828" s="17"/>
      <c r="AI3828" s="17"/>
      <c r="AJ3828" s="17"/>
      <c r="AK3828" s="17"/>
      <c r="AL3828" s="17"/>
      <c r="AM3828" s="17"/>
      <c r="AN3828" s="17"/>
      <c r="AO3828" s="17"/>
      <c r="AP3828" s="17"/>
      <c r="AQ3828" s="17"/>
      <c r="AR3828" s="17"/>
    </row>
    <row r="3829" s="20" customFormat="1" hidden="1" spans="1:44">
      <c r="A3829" s="17" t="s">
        <v>34</v>
      </c>
      <c r="B3829" s="19">
        <v>930</v>
      </c>
      <c r="C3829" s="222">
        <v>44934</v>
      </c>
      <c r="D3829" s="17" t="s">
        <v>52</v>
      </c>
      <c r="E3829" s="17" t="s">
        <v>1113</v>
      </c>
      <c r="F3829" s="17" t="s">
        <v>54</v>
      </c>
      <c r="G3829" s="17"/>
      <c r="H3829" s="19" t="s">
        <v>1114</v>
      </c>
      <c r="I3829" s="19"/>
      <c r="J3829" s="17" t="s">
        <v>82</v>
      </c>
      <c r="K3829" s="19">
        <v>305</v>
      </c>
      <c r="L3829" s="91">
        <v>35</v>
      </c>
      <c r="M3829" s="19">
        <v>2300</v>
      </c>
      <c r="N3829" s="19" t="s">
        <v>66</v>
      </c>
      <c r="O3829" s="19" t="s">
        <v>141</v>
      </c>
      <c r="P3829" s="19">
        <v>947</v>
      </c>
      <c r="Q3829" s="19">
        <v>201</v>
      </c>
      <c r="R3829" s="21"/>
      <c r="S3829" s="19">
        <f t="shared" si="180"/>
        <v>1070</v>
      </c>
      <c r="T3829" s="19" t="s">
        <v>42</v>
      </c>
      <c r="U3829" s="102" t="s">
        <v>1243</v>
      </c>
      <c r="V3829" s="253">
        <v>44934</v>
      </c>
      <c r="W3829" s="17" t="s">
        <v>44</v>
      </c>
      <c r="X3829" s="17"/>
      <c r="Y3829" s="68">
        <v>45253</v>
      </c>
      <c r="Z3829" s="17" t="s">
        <v>191</v>
      </c>
      <c r="AA3829" s="17" t="s">
        <v>46</v>
      </c>
      <c r="AB3829" s="17" t="s">
        <v>1237</v>
      </c>
      <c r="AC3829" s="217">
        <v>45627</v>
      </c>
      <c r="AD3829" s="65">
        <v>1516</v>
      </c>
      <c r="AE3829" s="17" t="s">
        <v>1247</v>
      </c>
      <c r="AF3829" s="17"/>
      <c r="AG3829" s="17"/>
      <c r="AH3829" s="17"/>
      <c r="AI3829" s="17"/>
      <c r="AJ3829" s="17"/>
      <c r="AK3829" s="17"/>
      <c r="AL3829" s="17"/>
      <c r="AM3829" s="17"/>
      <c r="AN3829" s="17"/>
      <c r="AO3829" s="17"/>
      <c r="AP3829" s="17"/>
      <c r="AQ3829" s="17"/>
      <c r="AR3829" s="17"/>
    </row>
    <row r="3830" s="20" customFormat="1" hidden="1" spans="1:44">
      <c r="A3830" s="17" t="s">
        <v>34</v>
      </c>
      <c r="B3830" s="19">
        <v>930</v>
      </c>
      <c r="C3830" s="222">
        <v>44934</v>
      </c>
      <c r="D3830" s="17" t="s">
        <v>52</v>
      </c>
      <c r="E3830" s="17" t="s">
        <v>1113</v>
      </c>
      <c r="F3830" s="17" t="s">
        <v>54</v>
      </c>
      <c r="G3830" s="17"/>
      <c r="H3830" s="19" t="s">
        <v>1114</v>
      </c>
      <c r="I3830" s="19"/>
      <c r="J3830" s="17" t="s">
        <v>82</v>
      </c>
      <c r="K3830" s="19">
        <v>305</v>
      </c>
      <c r="L3830" s="91">
        <v>35</v>
      </c>
      <c r="M3830" s="19">
        <v>2300</v>
      </c>
      <c r="N3830" s="19" t="s">
        <v>66</v>
      </c>
      <c r="O3830" s="19" t="s">
        <v>141</v>
      </c>
      <c r="P3830" s="19"/>
      <c r="Q3830" s="19">
        <v>200</v>
      </c>
      <c r="R3830" s="21"/>
      <c r="S3830" s="19">
        <v>1030</v>
      </c>
      <c r="T3830" s="19" t="s">
        <v>42</v>
      </c>
      <c r="U3830" s="102" t="s">
        <v>1243</v>
      </c>
      <c r="V3830" s="253">
        <v>44934</v>
      </c>
      <c r="W3830" s="17" t="s">
        <v>44</v>
      </c>
      <c r="X3830" s="17"/>
      <c r="Y3830" s="68">
        <v>45253</v>
      </c>
      <c r="Z3830" s="17" t="s">
        <v>191</v>
      </c>
      <c r="AA3830" s="17" t="s">
        <v>46</v>
      </c>
      <c r="AB3830" s="17" t="s">
        <v>1249</v>
      </c>
      <c r="AC3830" s="217">
        <v>45380</v>
      </c>
      <c r="AD3830" s="65">
        <v>1547</v>
      </c>
      <c r="AE3830" s="17" t="s">
        <v>1247</v>
      </c>
      <c r="AF3830" s="17"/>
      <c r="AG3830" s="17"/>
      <c r="AH3830" s="17"/>
      <c r="AI3830" s="17"/>
      <c r="AJ3830" s="17"/>
      <c r="AK3830" s="17"/>
      <c r="AL3830" s="17"/>
      <c r="AM3830" s="17"/>
      <c r="AN3830" s="17"/>
      <c r="AO3830" s="17"/>
      <c r="AP3830" s="17"/>
      <c r="AQ3830" s="17"/>
      <c r="AR3830" s="17"/>
    </row>
    <row r="3831" s="20" customFormat="1" hidden="1" spans="1:44">
      <c r="A3831" s="17" t="s">
        <v>34</v>
      </c>
      <c r="B3831" s="19">
        <v>930</v>
      </c>
      <c r="C3831" s="222">
        <v>44934</v>
      </c>
      <c r="D3831" s="17" t="s">
        <v>52</v>
      </c>
      <c r="E3831" s="17" t="s">
        <v>1113</v>
      </c>
      <c r="F3831" s="17" t="s">
        <v>54</v>
      </c>
      <c r="G3831" s="17"/>
      <c r="H3831" s="19" t="s">
        <v>1114</v>
      </c>
      <c r="I3831" s="19"/>
      <c r="J3831" s="17" t="s">
        <v>82</v>
      </c>
      <c r="K3831" s="19">
        <v>305</v>
      </c>
      <c r="L3831" s="91">
        <v>35</v>
      </c>
      <c r="M3831" s="19">
        <v>2300</v>
      </c>
      <c r="N3831" s="19" t="s">
        <v>66</v>
      </c>
      <c r="O3831" s="19" t="s">
        <v>141</v>
      </c>
      <c r="P3831" s="19"/>
      <c r="Q3831" s="19">
        <v>199</v>
      </c>
      <c r="R3831" s="19">
        <f>+P3829-Q3829-Q3830-Q3831</f>
        <v>347</v>
      </c>
      <c r="S3831" s="19">
        <v>1030</v>
      </c>
      <c r="T3831" s="19" t="s">
        <v>42</v>
      </c>
      <c r="U3831" s="102" t="s">
        <v>1243</v>
      </c>
      <c r="V3831" s="253">
        <v>44934</v>
      </c>
      <c r="W3831" s="17" t="s">
        <v>44</v>
      </c>
      <c r="X3831" s="17"/>
      <c r="Y3831" s="68">
        <v>45253</v>
      </c>
      <c r="Z3831" s="17" t="s">
        <v>191</v>
      </c>
      <c r="AA3831" s="17" t="s">
        <v>46</v>
      </c>
      <c r="AB3831" s="17" t="s">
        <v>1245</v>
      </c>
      <c r="AC3831" s="66">
        <v>45379</v>
      </c>
      <c r="AD3831" s="65">
        <v>1546</v>
      </c>
      <c r="AE3831" s="17" t="s">
        <v>1247</v>
      </c>
      <c r="AF3831" s="17"/>
      <c r="AG3831" s="17"/>
      <c r="AH3831" s="17"/>
      <c r="AI3831" s="17"/>
      <c r="AJ3831" s="17"/>
      <c r="AK3831" s="17"/>
      <c r="AL3831" s="17"/>
      <c r="AM3831" s="17"/>
      <c r="AN3831" s="17"/>
      <c r="AO3831" s="17"/>
      <c r="AP3831" s="17"/>
      <c r="AQ3831" s="17"/>
      <c r="AR3831" s="17"/>
    </row>
    <row r="3832" s="20" customFormat="1" hidden="1" spans="1:44">
      <c r="A3832" s="17" t="s">
        <v>34</v>
      </c>
      <c r="B3832" s="19">
        <v>930</v>
      </c>
      <c r="C3832" s="222">
        <v>44934</v>
      </c>
      <c r="D3832" s="17" t="s">
        <v>52</v>
      </c>
      <c r="E3832" s="17" t="s">
        <v>1113</v>
      </c>
      <c r="F3832" s="17" t="s">
        <v>54</v>
      </c>
      <c r="G3832" s="17"/>
      <c r="H3832" s="19" t="s">
        <v>1114</v>
      </c>
      <c r="I3832" s="19"/>
      <c r="J3832" s="17" t="s">
        <v>82</v>
      </c>
      <c r="K3832" s="19">
        <v>355</v>
      </c>
      <c r="L3832" s="91">
        <v>35</v>
      </c>
      <c r="M3832" s="19">
        <v>2300</v>
      </c>
      <c r="N3832" s="19" t="s">
        <v>66</v>
      </c>
      <c r="O3832" s="19" t="s">
        <v>141</v>
      </c>
      <c r="P3832" s="19">
        <v>1102</v>
      </c>
      <c r="Q3832" s="19">
        <v>694</v>
      </c>
      <c r="R3832" s="21"/>
      <c r="S3832" s="19">
        <f>1110-40</f>
        <v>1070</v>
      </c>
      <c r="T3832" s="19" t="s">
        <v>42</v>
      </c>
      <c r="U3832" s="102" t="s">
        <v>1243</v>
      </c>
      <c r="V3832" s="253">
        <v>44934</v>
      </c>
      <c r="W3832" s="17" t="s">
        <v>44</v>
      </c>
      <c r="X3832" s="17"/>
      <c r="Y3832" s="68">
        <v>45253</v>
      </c>
      <c r="Z3832" s="17" t="s">
        <v>191</v>
      </c>
      <c r="AA3832" s="17" t="s">
        <v>46</v>
      </c>
      <c r="AB3832" s="17" t="s">
        <v>1237</v>
      </c>
      <c r="AC3832" s="217">
        <v>45627</v>
      </c>
      <c r="AD3832" s="65">
        <v>1516</v>
      </c>
      <c r="AE3832" s="17" t="s">
        <v>1247</v>
      </c>
      <c r="AF3832" s="17"/>
      <c r="AG3832" s="17"/>
      <c r="AH3832" s="17"/>
      <c r="AI3832" s="17"/>
      <c r="AJ3832" s="17"/>
      <c r="AK3832" s="17"/>
      <c r="AL3832" s="17"/>
      <c r="AM3832" s="17"/>
      <c r="AN3832" s="17"/>
      <c r="AO3832" s="17"/>
      <c r="AP3832" s="17"/>
      <c r="AQ3832" s="17"/>
      <c r="AR3832" s="17"/>
    </row>
    <row r="3833" s="20" customFormat="1" hidden="1" spans="1:44">
      <c r="A3833" s="17" t="s">
        <v>34</v>
      </c>
      <c r="B3833" s="19">
        <v>930</v>
      </c>
      <c r="C3833" s="222">
        <v>44934</v>
      </c>
      <c r="D3833" s="17" t="s">
        <v>52</v>
      </c>
      <c r="E3833" s="17" t="s">
        <v>1113</v>
      </c>
      <c r="F3833" s="17" t="s">
        <v>54</v>
      </c>
      <c r="G3833" s="17"/>
      <c r="H3833" s="19" t="s">
        <v>1114</v>
      </c>
      <c r="I3833" s="19"/>
      <c r="J3833" s="17" t="s">
        <v>82</v>
      </c>
      <c r="K3833" s="19">
        <v>355</v>
      </c>
      <c r="L3833" s="91">
        <v>35</v>
      </c>
      <c r="M3833" s="19">
        <v>2300</v>
      </c>
      <c r="N3833" s="19" t="s">
        <v>66</v>
      </c>
      <c r="O3833" s="19" t="s">
        <v>141</v>
      </c>
      <c r="P3833" s="19"/>
      <c r="Q3833" s="19">
        <v>465</v>
      </c>
      <c r="R3833" s="19">
        <f>+P3832-Q3832-Q3833</f>
        <v>-57</v>
      </c>
      <c r="S3833" s="19">
        <v>1030</v>
      </c>
      <c r="T3833" s="19" t="s">
        <v>42</v>
      </c>
      <c r="U3833" s="102" t="s">
        <v>1243</v>
      </c>
      <c r="V3833" s="253">
        <v>44934</v>
      </c>
      <c r="W3833" s="17" t="s">
        <v>44</v>
      </c>
      <c r="X3833" s="17"/>
      <c r="Y3833" s="68">
        <v>45253</v>
      </c>
      <c r="Z3833" s="17" t="s">
        <v>191</v>
      </c>
      <c r="AA3833" s="17" t="s">
        <v>46</v>
      </c>
      <c r="AB3833" s="17" t="s">
        <v>1245</v>
      </c>
      <c r="AC3833" s="66">
        <v>45379</v>
      </c>
      <c r="AD3833" s="65">
        <v>1546</v>
      </c>
      <c r="AE3833" s="17" t="s">
        <v>1247</v>
      </c>
      <c r="AF3833" s="17"/>
      <c r="AG3833" s="17"/>
      <c r="AH3833" s="17"/>
      <c r="AI3833" s="17"/>
      <c r="AJ3833" s="17"/>
      <c r="AK3833" s="17"/>
      <c r="AL3833" s="17"/>
      <c r="AM3833" s="17"/>
      <c r="AN3833" s="17"/>
      <c r="AO3833" s="17"/>
      <c r="AP3833" s="17"/>
      <c r="AQ3833" s="17"/>
      <c r="AR3833" s="17"/>
    </row>
    <row r="3834" s="20" customFormat="1" hidden="1" spans="1:44">
      <c r="A3834" s="17" t="s">
        <v>34</v>
      </c>
      <c r="B3834" s="19">
        <v>930</v>
      </c>
      <c r="C3834" s="222">
        <v>44934</v>
      </c>
      <c r="D3834" s="17" t="s">
        <v>52</v>
      </c>
      <c r="E3834" s="17" t="s">
        <v>1113</v>
      </c>
      <c r="F3834" s="17" t="s">
        <v>54</v>
      </c>
      <c r="G3834" s="17"/>
      <c r="H3834" s="19" t="s">
        <v>1114</v>
      </c>
      <c r="I3834" s="19"/>
      <c r="J3834" s="17" t="s">
        <v>82</v>
      </c>
      <c r="K3834" s="19">
        <v>405</v>
      </c>
      <c r="L3834" s="91">
        <v>35</v>
      </c>
      <c r="M3834" s="19">
        <v>2300</v>
      </c>
      <c r="N3834" s="19" t="s">
        <v>66</v>
      </c>
      <c r="O3834" s="19" t="s">
        <v>141</v>
      </c>
      <c r="P3834" s="19">
        <v>1006</v>
      </c>
      <c r="Q3834" s="19">
        <v>261</v>
      </c>
      <c r="R3834" s="21"/>
      <c r="S3834" s="19">
        <f t="shared" ref="S3834:S3839" si="181">1110-40</f>
        <v>1070</v>
      </c>
      <c r="T3834" s="19" t="s">
        <v>42</v>
      </c>
      <c r="U3834" s="102" t="s">
        <v>1243</v>
      </c>
      <c r="V3834" s="253">
        <v>44934</v>
      </c>
      <c r="W3834" s="17" t="s">
        <v>44</v>
      </c>
      <c r="X3834" s="17"/>
      <c r="Y3834" s="68">
        <v>45253</v>
      </c>
      <c r="Z3834" s="17" t="s">
        <v>191</v>
      </c>
      <c r="AA3834" s="17" t="s">
        <v>46</v>
      </c>
      <c r="AB3834" s="17" t="s">
        <v>1237</v>
      </c>
      <c r="AC3834" s="217">
        <v>45627</v>
      </c>
      <c r="AD3834" s="65">
        <v>1516</v>
      </c>
      <c r="AE3834" s="17" t="s">
        <v>1247</v>
      </c>
      <c r="AF3834" s="17"/>
      <c r="AG3834" s="17"/>
      <c r="AH3834" s="17"/>
      <c r="AI3834" s="17"/>
      <c r="AJ3834" s="17"/>
      <c r="AK3834" s="17"/>
      <c r="AL3834" s="17"/>
      <c r="AM3834" s="17"/>
      <c r="AN3834" s="17"/>
      <c r="AO3834" s="17"/>
      <c r="AP3834" s="17"/>
      <c r="AQ3834" s="17"/>
      <c r="AR3834" s="17"/>
    </row>
    <row r="3835" s="20" customFormat="1" hidden="1" spans="1:44">
      <c r="A3835" s="17" t="s">
        <v>34</v>
      </c>
      <c r="B3835" s="19">
        <v>930</v>
      </c>
      <c r="C3835" s="222">
        <v>44934</v>
      </c>
      <c r="D3835" s="17" t="s">
        <v>52</v>
      </c>
      <c r="E3835" s="17" t="s">
        <v>1113</v>
      </c>
      <c r="F3835" s="17" t="s">
        <v>54</v>
      </c>
      <c r="G3835" s="17"/>
      <c r="H3835" s="19" t="s">
        <v>1114</v>
      </c>
      <c r="I3835" s="19"/>
      <c r="J3835" s="17" t="s">
        <v>82</v>
      </c>
      <c r="K3835" s="19">
        <v>405</v>
      </c>
      <c r="L3835" s="91">
        <v>35</v>
      </c>
      <c r="M3835" s="19">
        <v>2300</v>
      </c>
      <c r="N3835" s="19" t="s">
        <v>66</v>
      </c>
      <c r="O3835" s="19" t="s">
        <v>141</v>
      </c>
      <c r="P3835" s="19"/>
      <c r="Q3835" s="19">
        <f>261+263+261</f>
        <v>785</v>
      </c>
      <c r="R3835" s="19">
        <f>+P3834-Q3834-Q3835</f>
        <v>-40</v>
      </c>
      <c r="S3835" s="19">
        <f t="shared" si="181"/>
        <v>1070</v>
      </c>
      <c r="T3835" s="19" t="s">
        <v>42</v>
      </c>
      <c r="U3835" s="102" t="s">
        <v>1243</v>
      </c>
      <c r="V3835" s="253">
        <v>44934</v>
      </c>
      <c r="W3835" s="17" t="s">
        <v>44</v>
      </c>
      <c r="X3835" s="17"/>
      <c r="Y3835" s="68">
        <v>45253</v>
      </c>
      <c r="Z3835" s="17" t="s">
        <v>191</v>
      </c>
      <c r="AA3835" s="17" t="s">
        <v>46</v>
      </c>
      <c r="AB3835" s="17" t="s">
        <v>1250</v>
      </c>
      <c r="AC3835" s="217">
        <v>45351</v>
      </c>
      <c r="AD3835" s="65">
        <v>1533</v>
      </c>
      <c r="AE3835" s="17" t="s">
        <v>1247</v>
      </c>
      <c r="AF3835" s="17"/>
      <c r="AG3835" s="17"/>
      <c r="AH3835" s="17"/>
      <c r="AI3835" s="17"/>
      <c r="AJ3835" s="17"/>
      <c r="AK3835" s="17"/>
      <c r="AL3835" s="17"/>
      <c r="AM3835" s="17"/>
      <c r="AN3835" s="17"/>
      <c r="AO3835" s="17"/>
      <c r="AP3835" s="17"/>
      <c r="AQ3835" s="17"/>
      <c r="AR3835" s="17"/>
    </row>
    <row r="3836" s="20" customFormat="1" hidden="1" spans="1:44">
      <c r="A3836" s="17" t="s">
        <v>34</v>
      </c>
      <c r="B3836" s="19">
        <v>930</v>
      </c>
      <c r="C3836" s="222">
        <v>44934</v>
      </c>
      <c r="D3836" s="17" t="s">
        <v>52</v>
      </c>
      <c r="E3836" s="17" t="s">
        <v>1113</v>
      </c>
      <c r="F3836" s="17" t="s">
        <v>54</v>
      </c>
      <c r="G3836" s="17"/>
      <c r="H3836" s="19" t="s">
        <v>1114</v>
      </c>
      <c r="I3836" s="19"/>
      <c r="J3836" s="17" t="s">
        <v>82</v>
      </c>
      <c r="K3836" s="19">
        <v>455</v>
      </c>
      <c r="L3836" s="91">
        <v>35</v>
      </c>
      <c r="M3836" s="19">
        <v>2300</v>
      </c>
      <c r="N3836" s="19" t="s">
        <v>66</v>
      </c>
      <c r="O3836" s="19" t="s">
        <v>141</v>
      </c>
      <c r="P3836" s="19">
        <v>565</v>
      </c>
      <c r="Q3836" s="19">
        <v>590</v>
      </c>
      <c r="R3836" s="19">
        <f>+P3836-Q3836</f>
        <v>-25</v>
      </c>
      <c r="S3836" s="19">
        <f t="shared" si="181"/>
        <v>1070</v>
      </c>
      <c r="T3836" s="19" t="s">
        <v>42</v>
      </c>
      <c r="U3836" s="102" t="s">
        <v>1243</v>
      </c>
      <c r="V3836" s="253">
        <v>44934</v>
      </c>
      <c r="W3836" s="17" t="s">
        <v>44</v>
      </c>
      <c r="X3836" s="17"/>
      <c r="Y3836" s="68">
        <v>45253</v>
      </c>
      <c r="Z3836" s="17" t="s">
        <v>191</v>
      </c>
      <c r="AA3836" s="17" t="s">
        <v>46</v>
      </c>
      <c r="AB3836" s="17" t="s">
        <v>1237</v>
      </c>
      <c r="AC3836" s="217">
        <v>45627</v>
      </c>
      <c r="AD3836" s="65">
        <v>1516</v>
      </c>
      <c r="AE3836" s="17" t="s">
        <v>74</v>
      </c>
      <c r="AF3836" s="17"/>
      <c r="AG3836" s="17"/>
      <c r="AH3836" s="17"/>
      <c r="AI3836" s="17"/>
      <c r="AJ3836" s="17"/>
      <c r="AK3836" s="17"/>
      <c r="AL3836" s="17"/>
      <c r="AM3836" s="17"/>
      <c r="AN3836" s="17"/>
      <c r="AO3836" s="17"/>
      <c r="AP3836" s="17"/>
      <c r="AQ3836" s="17"/>
      <c r="AR3836" s="17"/>
    </row>
    <row r="3837" s="20" customFormat="1" hidden="1" spans="1:44">
      <c r="A3837" s="17" t="s">
        <v>34</v>
      </c>
      <c r="B3837" s="19">
        <v>930</v>
      </c>
      <c r="C3837" s="222">
        <v>44934</v>
      </c>
      <c r="D3837" s="17" t="s">
        <v>52</v>
      </c>
      <c r="E3837" s="17" t="s">
        <v>1113</v>
      </c>
      <c r="F3837" s="17" t="s">
        <v>54</v>
      </c>
      <c r="G3837" s="17"/>
      <c r="H3837" s="19" t="s">
        <v>1114</v>
      </c>
      <c r="I3837" s="19"/>
      <c r="J3837" s="17" t="s">
        <v>82</v>
      </c>
      <c r="K3837" s="19">
        <v>505</v>
      </c>
      <c r="L3837" s="91">
        <v>35</v>
      </c>
      <c r="M3837" s="19">
        <v>2300</v>
      </c>
      <c r="N3837" s="19" t="s">
        <v>66</v>
      </c>
      <c r="O3837" s="19" t="s">
        <v>141</v>
      </c>
      <c r="P3837" s="19">
        <v>627</v>
      </c>
      <c r="Q3837" s="19">
        <v>653</v>
      </c>
      <c r="R3837" s="19">
        <f>+P3837-Q3837</f>
        <v>-26</v>
      </c>
      <c r="S3837" s="19">
        <f t="shared" si="181"/>
        <v>1070</v>
      </c>
      <c r="T3837" s="19" t="s">
        <v>42</v>
      </c>
      <c r="U3837" s="102" t="s">
        <v>1243</v>
      </c>
      <c r="V3837" s="253">
        <v>44934</v>
      </c>
      <c r="W3837" s="17" t="s">
        <v>44</v>
      </c>
      <c r="X3837" s="17"/>
      <c r="Y3837" s="68">
        <v>45253</v>
      </c>
      <c r="Z3837" s="17" t="s">
        <v>191</v>
      </c>
      <c r="AA3837" s="17" t="s">
        <v>46</v>
      </c>
      <c r="AB3837" s="17" t="s">
        <v>1237</v>
      </c>
      <c r="AC3837" s="217">
        <v>45627</v>
      </c>
      <c r="AD3837" s="65">
        <v>1516</v>
      </c>
      <c r="AE3837" s="17" t="s">
        <v>74</v>
      </c>
      <c r="AF3837" s="17"/>
      <c r="AG3837" s="17"/>
      <c r="AH3837" s="17"/>
      <c r="AI3837" s="17"/>
      <c r="AJ3837" s="17"/>
      <c r="AK3837" s="17"/>
      <c r="AL3837" s="17"/>
      <c r="AM3837" s="17"/>
      <c r="AN3837" s="17"/>
      <c r="AO3837" s="17"/>
      <c r="AP3837" s="17"/>
      <c r="AQ3837" s="17"/>
      <c r="AR3837" s="17"/>
    </row>
    <row r="3838" s="20" customFormat="1" hidden="1" spans="1:44">
      <c r="A3838" s="17" t="s">
        <v>34</v>
      </c>
      <c r="B3838" s="19">
        <v>930</v>
      </c>
      <c r="C3838" s="222">
        <v>44934</v>
      </c>
      <c r="D3838" s="17" t="s">
        <v>52</v>
      </c>
      <c r="E3838" s="17" t="s">
        <v>1113</v>
      </c>
      <c r="F3838" s="17" t="s">
        <v>54</v>
      </c>
      <c r="G3838" s="17"/>
      <c r="H3838" s="19" t="s">
        <v>1114</v>
      </c>
      <c r="I3838" s="19"/>
      <c r="J3838" s="17" t="s">
        <v>82</v>
      </c>
      <c r="K3838" s="19">
        <v>205</v>
      </c>
      <c r="L3838" s="91">
        <v>40</v>
      </c>
      <c r="M3838" s="19">
        <v>2300</v>
      </c>
      <c r="N3838" s="19" t="s">
        <v>66</v>
      </c>
      <c r="O3838" s="19" t="s">
        <v>141</v>
      </c>
      <c r="P3838" s="19">
        <v>4073</v>
      </c>
      <c r="Q3838" s="19">
        <v>2702</v>
      </c>
      <c r="R3838" s="17"/>
      <c r="S3838" s="19">
        <f t="shared" si="181"/>
        <v>1070</v>
      </c>
      <c r="T3838" s="19" t="s">
        <v>42</v>
      </c>
      <c r="U3838" s="102" t="s">
        <v>1243</v>
      </c>
      <c r="V3838" s="253">
        <v>44934</v>
      </c>
      <c r="W3838" s="17" t="s">
        <v>44</v>
      </c>
      <c r="X3838" s="17"/>
      <c r="Y3838" s="68">
        <v>45253</v>
      </c>
      <c r="Z3838" s="17" t="s">
        <v>191</v>
      </c>
      <c r="AA3838" s="17" t="s">
        <v>46</v>
      </c>
      <c r="AB3838" s="17" t="s">
        <v>1251</v>
      </c>
      <c r="AC3838" s="217">
        <v>45566</v>
      </c>
      <c r="AD3838" s="65">
        <v>1515</v>
      </c>
      <c r="AE3838" s="17" t="s">
        <v>1252</v>
      </c>
      <c r="AF3838" s="17"/>
      <c r="AG3838" s="17"/>
      <c r="AH3838" s="17"/>
      <c r="AI3838" s="17"/>
      <c r="AJ3838" s="17"/>
      <c r="AK3838" s="17"/>
      <c r="AL3838" s="17"/>
      <c r="AM3838" s="17"/>
      <c r="AN3838" s="17"/>
      <c r="AO3838" s="17"/>
      <c r="AP3838" s="17"/>
      <c r="AQ3838" s="17"/>
      <c r="AR3838" s="17"/>
    </row>
    <row r="3839" s="20" customFormat="1" hidden="1" spans="1:44">
      <c r="A3839" s="17" t="s">
        <v>34</v>
      </c>
      <c r="B3839" s="19">
        <v>930</v>
      </c>
      <c r="C3839" s="222">
        <v>44934</v>
      </c>
      <c r="D3839" s="17" t="s">
        <v>52</v>
      </c>
      <c r="E3839" s="17" t="s">
        <v>1113</v>
      </c>
      <c r="F3839" s="17" t="s">
        <v>54</v>
      </c>
      <c r="G3839" s="17"/>
      <c r="H3839" s="19" t="s">
        <v>1114</v>
      </c>
      <c r="I3839" s="19"/>
      <c r="J3839" s="17" t="s">
        <v>82</v>
      </c>
      <c r="K3839" s="19">
        <v>205</v>
      </c>
      <c r="L3839" s="91">
        <v>40</v>
      </c>
      <c r="M3839" s="19">
        <v>2300</v>
      </c>
      <c r="N3839" s="19" t="s">
        <v>66</v>
      </c>
      <c r="O3839" s="19" t="s">
        <v>141</v>
      </c>
      <c r="P3839" s="19"/>
      <c r="Q3839" s="19">
        <f>743+147</f>
        <v>890</v>
      </c>
      <c r="R3839" s="21"/>
      <c r="S3839" s="19">
        <f t="shared" si="181"/>
        <v>1070</v>
      </c>
      <c r="T3839" s="19" t="s">
        <v>42</v>
      </c>
      <c r="U3839" s="102" t="s">
        <v>1243</v>
      </c>
      <c r="V3839" s="253">
        <v>44934</v>
      </c>
      <c r="W3839" s="17" t="s">
        <v>44</v>
      </c>
      <c r="X3839" s="17"/>
      <c r="Y3839" s="68">
        <v>45253</v>
      </c>
      <c r="Z3839" s="17" t="s">
        <v>191</v>
      </c>
      <c r="AA3839" s="17" t="s">
        <v>46</v>
      </c>
      <c r="AB3839" s="17" t="s">
        <v>1253</v>
      </c>
      <c r="AC3839" s="66">
        <v>45307</v>
      </c>
      <c r="AD3839" s="65">
        <v>1520</v>
      </c>
      <c r="AE3839" s="17" t="s">
        <v>1252</v>
      </c>
      <c r="AF3839" s="17"/>
      <c r="AG3839" s="17"/>
      <c r="AH3839" s="17"/>
      <c r="AI3839" s="17"/>
      <c r="AJ3839" s="17"/>
      <c r="AK3839" s="17"/>
      <c r="AL3839" s="17"/>
      <c r="AM3839" s="17"/>
      <c r="AN3839" s="17"/>
      <c r="AO3839" s="17"/>
      <c r="AP3839" s="17"/>
      <c r="AQ3839" s="17"/>
      <c r="AR3839" s="17"/>
    </row>
    <row r="3840" s="20" customFormat="1" hidden="1" spans="1:44">
      <c r="A3840" s="17" t="s">
        <v>34</v>
      </c>
      <c r="B3840" s="19">
        <v>930</v>
      </c>
      <c r="C3840" s="222">
        <v>44934</v>
      </c>
      <c r="D3840" s="17" t="s">
        <v>52</v>
      </c>
      <c r="E3840" s="17" t="s">
        <v>1113</v>
      </c>
      <c r="F3840" s="17" t="s">
        <v>54</v>
      </c>
      <c r="G3840" s="17"/>
      <c r="H3840" s="19" t="s">
        <v>1114</v>
      </c>
      <c r="I3840" s="19"/>
      <c r="J3840" s="17" t="s">
        <v>82</v>
      </c>
      <c r="K3840" s="19">
        <v>205</v>
      </c>
      <c r="L3840" s="91">
        <v>40</v>
      </c>
      <c r="M3840" s="19">
        <v>2300</v>
      </c>
      <c r="N3840" s="19" t="s">
        <v>66</v>
      </c>
      <c r="O3840" s="19" t="s">
        <v>141</v>
      </c>
      <c r="P3840" s="19"/>
      <c r="Q3840" s="19">
        <v>604</v>
      </c>
      <c r="R3840" s="19">
        <f>+P3838-Q3838-Q3839-Q3840</f>
        <v>-123</v>
      </c>
      <c r="S3840" s="19">
        <v>1030</v>
      </c>
      <c r="T3840" s="19" t="s">
        <v>42</v>
      </c>
      <c r="U3840" s="102" t="s">
        <v>1243</v>
      </c>
      <c r="V3840" s="253">
        <v>44934</v>
      </c>
      <c r="W3840" s="17" t="s">
        <v>44</v>
      </c>
      <c r="X3840" s="17"/>
      <c r="Y3840" s="68">
        <v>45253</v>
      </c>
      <c r="Z3840" s="17" t="s">
        <v>191</v>
      </c>
      <c r="AA3840" s="17" t="s">
        <v>46</v>
      </c>
      <c r="AB3840" s="17" t="s">
        <v>1249</v>
      </c>
      <c r="AC3840" s="217">
        <v>45380</v>
      </c>
      <c r="AD3840" s="65">
        <v>1547</v>
      </c>
      <c r="AE3840" s="17" t="s">
        <v>1252</v>
      </c>
      <c r="AF3840" s="17"/>
      <c r="AG3840" s="17"/>
      <c r="AH3840" s="17"/>
      <c r="AI3840" s="17"/>
      <c r="AJ3840" s="17"/>
      <c r="AK3840" s="17"/>
      <c r="AL3840" s="17"/>
      <c r="AM3840" s="17"/>
      <c r="AN3840" s="17"/>
      <c r="AO3840" s="17"/>
      <c r="AP3840" s="17"/>
      <c r="AQ3840" s="17"/>
      <c r="AR3840" s="17"/>
    </row>
    <row r="3841" s="20" customFormat="1" hidden="1" spans="1:44">
      <c r="A3841" s="17" t="s">
        <v>34</v>
      </c>
      <c r="B3841" s="19">
        <v>930</v>
      </c>
      <c r="C3841" s="222">
        <v>44934</v>
      </c>
      <c r="D3841" s="17" t="s">
        <v>52</v>
      </c>
      <c r="E3841" s="17" t="s">
        <v>1113</v>
      </c>
      <c r="F3841" s="17" t="s">
        <v>54</v>
      </c>
      <c r="G3841" s="17"/>
      <c r="H3841" s="19" t="s">
        <v>1114</v>
      </c>
      <c r="I3841" s="19"/>
      <c r="J3841" s="17" t="s">
        <v>82</v>
      </c>
      <c r="K3841" s="19">
        <v>230</v>
      </c>
      <c r="L3841" s="91">
        <v>40</v>
      </c>
      <c r="M3841" s="19">
        <v>2300</v>
      </c>
      <c r="N3841" s="19" t="s">
        <v>66</v>
      </c>
      <c r="O3841" s="19" t="s">
        <v>141</v>
      </c>
      <c r="P3841" s="19">
        <v>490</v>
      </c>
      <c r="Q3841" s="19">
        <v>516</v>
      </c>
      <c r="R3841" s="19">
        <f>+P3841-Q3841</f>
        <v>-26</v>
      </c>
      <c r="S3841" s="19">
        <f>1110-40</f>
        <v>1070</v>
      </c>
      <c r="T3841" s="19" t="s">
        <v>42</v>
      </c>
      <c r="U3841" s="102" t="s">
        <v>1243</v>
      </c>
      <c r="V3841" s="253">
        <v>44934</v>
      </c>
      <c r="W3841" s="17" t="s">
        <v>44</v>
      </c>
      <c r="X3841" s="17"/>
      <c r="Y3841" s="68">
        <v>45253</v>
      </c>
      <c r="Z3841" s="17" t="s">
        <v>191</v>
      </c>
      <c r="AA3841" s="17" t="s">
        <v>46</v>
      </c>
      <c r="AB3841" s="17" t="s">
        <v>1251</v>
      </c>
      <c r="AC3841" s="217">
        <v>45566</v>
      </c>
      <c r="AD3841" s="65">
        <v>1515</v>
      </c>
      <c r="AE3841" s="17" t="s">
        <v>48</v>
      </c>
      <c r="AF3841" s="17"/>
      <c r="AG3841" s="17"/>
      <c r="AH3841" s="17"/>
      <c r="AI3841" s="17"/>
      <c r="AJ3841" s="17"/>
      <c r="AK3841" s="17"/>
      <c r="AL3841" s="17"/>
      <c r="AM3841" s="17"/>
      <c r="AN3841" s="17"/>
      <c r="AO3841" s="17"/>
      <c r="AP3841" s="17"/>
      <c r="AQ3841" s="17"/>
      <c r="AR3841" s="17"/>
    </row>
    <row r="3842" s="20" customFormat="1" hidden="1" spans="1:44">
      <c r="A3842" s="17" t="s">
        <v>34</v>
      </c>
      <c r="B3842" s="19">
        <v>930</v>
      </c>
      <c r="C3842" s="222">
        <v>44934</v>
      </c>
      <c r="D3842" s="17" t="s">
        <v>52</v>
      </c>
      <c r="E3842" s="17" t="s">
        <v>1113</v>
      </c>
      <c r="F3842" s="17" t="s">
        <v>54</v>
      </c>
      <c r="G3842" s="17"/>
      <c r="H3842" s="19" t="s">
        <v>1114</v>
      </c>
      <c r="I3842" s="19"/>
      <c r="J3842" s="17" t="s">
        <v>82</v>
      </c>
      <c r="K3842" s="19">
        <v>255</v>
      </c>
      <c r="L3842" s="91">
        <v>40</v>
      </c>
      <c r="M3842" s="19">
        <v>2300</v>
      </c>
      <c r="N3842" s="19" t="s">
        <v>66</v>
      </c>
      <c r="O3842" s="19" t="s">
        <v>141</v>
      </c>
      <c r="P3842" s="19">
        <v>5067</v>
      </c>
      <c r="Q3842" s="19">
        <v>2313</v>
      </c>
      <c r="R3842" s="17"/>
      <c r="S3842" s="19">
        <f>1110-40</f>
        <v>1070</v>
      </c>
      <c r="T3842" s="19" t="s">
        <v>42</v>
      </c>
      <c r="U3842" s="102" t="s">
        <v>1243</v>
      </c>
      <c r="V3842" s="253">
        <v>44934</v>
      </c>
      <c r="W3842" s="17" t="s">
        <v>44</v>
      </c>
      <c r="X3842" s="17"/>
      <c r="Y3842" s="68">
        <v>45253</v>
      </c>
      <c r="Z3842" s="17" t="s">
        <v>191</v>
      </c>
      <c r="AA3842" s="17" t="s">
        <v>46</v>
      </c>
      <c r="AB3842" s="17" t="s">
        <v>1251</v>
      </c>
      <c r="AC3842" s="217">
        <v>45566</v>
      </c>
      <c r="AD3842" s="65">
        <v>1515</v>
      </c>
      <c r="AE3842" s="17" t="s">
        <v>1254</v>
      </c>
      <c r="AF3842" s="17"/>
      <c r="AG3842" s="17"/>
      <c r="AH3842" s="17"/>
      <c r="AI3842" s="17"/>
      <c r="AJ3842" s="17"/>
      <c r="AK3842" s="17"/>
      <c r="AL3842" s="17"/>
      <c r="AM3842" s="17"/>
      <c r="AN3842" s="17"/>
      <c r="AO3842" s="17"/>
      <c r="AP3842" s="17"/>
      <c r="AQ3842" s="17"/>
      <c r="AR3842" s="17"/>
    </row>
    <row r="3843" s="20" customFormat="1" hidden="1" spans="1:44">
      <c r="A3843" s="17" t="s">
        <v>34</v>
      </c>
      <c r="B3843" s="19">
        <v>930</v>
      </c>
      <c r="C3843" s="222">
        <v>44934</v>
      </c>
      <c r="D3843" s="17" t="s">
        <v>52</v>
      </c>
      <c r="E3843" s="17" t="s">
        <v>1113</v>
      </c>
      <c r="F3843" s="17" t="s">
        <v>54</v>
      </c>
      <c r="G3843" s="17"/>
      <c r="H3843" s="19" t="s">
        <v>1114</v>
      </c>
      <c r="I3843" s="19"/>
      <c r="J3843" s="17" t="s">
        <v>82</v>
      </c>
      <c r="K3843" s="19">
        <v>255</v>
      </c>
      <c r="L3843" s="91">
        <v>40</v>
      </c>
      <c r="M3843" s="19">
        <v>2300</v>
      </c>
      <c r="N3843" s="19" t="s">
        <v>66</v>
      </c>
      <c r="O3843" s="19" t="s">
        <v>141</v>
      </c>
      <c r="P3843" s="19"/>
      <c r="Q3843" s="19">
        <f>1100+181</f>
        <v>1281</v>
      </c>
      <c r="R3843" s="21"/>
      <c r="S3843" s="19">
        <f>1110-40</f>
        <v>1070</v>
      </c>
      <c r="T3843" s="19" t="s">
        <v>42</v>
      </c>
      <c r="U3843" s="102" t="s">
        <v>1243</v>
      </c>
      <c r="V3843" s="253">
        <v>44934</v>
      </c>
      <c r="W3843" s="17" t="s">
        <v>44</v>
      </c>
      <c r="X3843" s="17"/>
      <c r="Y3843" s="68">
        <v>45253</v>
      </c>
      <c r="Z3843" s="17" t="s">
        <v>191</v>
      </c>
      <c r="AA3843" s="17" t="s">
        <v>46</v>
      </c>
      <c r="AB3843" s="17" t="s">
        <v>1253</v>
      </c>
      <c r="AC3843" s="66">
        <v>45307</v>
      </c>
      <c r="AD3843" s="65">
        <v>1520</v>
      </c>
      <c r="AE3843" s="17" t="s">
        <v>1254</v>
      </c>
      <c r="AF3843" s="17"/>
      <c r="AG3843" s="17"/>
      <c r="AH3843" s="17"/>
      <c r="AI3843" s="17"/>
      <c r="AJ3843" s="17"/>
      <c r="AK3843" s="17"/>
      <c r="AL3843" s="17"/>
      <c r="AM3843" s="17"/>
      <c r="AN3843" s="17"/>
      <c r="AO3843" s="17"/>
      <c r="AP3843" s="17"/>
      <c r="AQ3843" s="17"/>
      <c r="AR3843" s="17"/>
    </row>
    <row r="3844" s="20" customFormat="1" hidden="1" spans="1:44">
      <c r="A3844" s="17" t="s">
        <v>34</v>
      </c>
      <c r="B3844" s="19">
        <v>930</v>
      </c>
      <c r="C3844" s="222">
        <v>44934</v>
      </c>
      <c r="D3844" s="17" t="s">
        <v>52</v>
      </c>
      <c r="E3844" s="17" t="s">
        <v>1113</v>
      </c>
      <c r="F3844" s="17" t="s">
        <v>54</v>
      </c>
      <c r="G3844" s="17"/>
      <c r="H3844" s="19" t="s">
        <v>1114</v>
      </c>
      <c r="I3844" s="19"/>
      <c r="J3844" s="17" t="s">
        <v>82</v>
      </c>
      <c r="K3844" s="19">
        <v>255</v>
      </c>
      <c r="L3844" s="91">
        <v>40</v>
      </c>
      <c r="M3844" s="19">
        <v>2300</v>
      </c>
      <c r="N3844" s="19" t="s">
        <v>66</v>
      </c>
      <c r="O3844" s="19" t="s">
        <v>141</v>
      </c>
      <c r="P3844" s="19"/>
      <c r="Q3844" s="19">
        <v>1483</v>
      </c>
      <c r="R3844" s="21"/>
      <c r="S3844" s="19">
        <v>1030</v>
      </c>
      <c r="T3844" s="19" t="s">
        <v>42</v>
      </c>
      <c r="U3844" s="102" t="s">
        <v>1243</v>
      </c>
      <c r="V3844" s="253">
        <v>44934</v>
      </c>
      <c r="W3844" s="17" t="s">
        <v>44</v>
      </c>
      <c r="X3844" s="17"/>
      <c r="Y3844" s="68">
        <v>45253</v>
      </c>
      <c r="Z3844" s="17" t="s">
        <v>191</v>
      </c>
      <c r="AA3844" s="17" t="s">
        <v>46</v>
      </c>
      <c r="AB3844" s="17" t="s">
        <v>1249</v>
      </c>
      <c r="AC3844" s="217">
        <v>45380</v>
      </c>
      <c r="AD3844" s="65">
        <v>1547</v>
      </c>
      <c r="AE3844" s="17" t="s">
        <v>1254</v>
      </c>
      <c r="AF3844" s="17"/>
      <c r="AG3844" s="17"/>
      <c r="AH3844" s="17"/>
      <c r="AI3844" s="17"/>
      <c r="AJ3844" s="17"/>
      <c r="AK3844" s="17"/>
      <c r="AL3844" s="17"/>
      <c r="AM3844" s="17"/>
      <c r="AN3844" s="17"/>
      <c r="AO3844" s="17"/>
      <c r="AP3844" s="17"/>
      <c r="AQ3844" s="17"/>
      <c r="AR3844" s="17"/>
    </row>
    <row r="3845" s="20" customFormat="1" hidden="1" spans="1:44">
      <c r="A3845" s="17" t="s">
        <v>34</v>
      </c>
      <c r="B3845" s="19">
        <v>930</v>
      </c>
      <c r="C3845" s="222">
        <v>44934</v>
      </c>
      <c r="D3845" s="17" t="s">
        <v>52</v>
      </c>
      <c r="E3845" s="17" t="s">
        <v>1113</v>
      </c>
      <c r="F3845" s="17" t="s">
        <v>54</v>
      </c>
      <c r="G3845" s="17"/>
      <c r="H3845" s="19" t="s">
        <v>1114</v>
      </c>
      <c r="I3845" s="19"/>
      <c r="J3845" s="17" t="s">
        <v>82</v>
      </c>
      <c r="K3845" s="19">
        <v>255</v>
      </c>
      <c r="L3845" s="91">
        <v>40</v>
      </c>
      <c r="M3845" s="19">
        <v>2300</v>
      </c>
      <c r="N3845" s="19" t="s">
        <v>66</v>
      </c>
      <c r="O3845" s="19" t="s">
        <v>141</v>
      </c>
      <c r="P3845" s="19"/>
      <c r="Q3845" s="19">
        <v>376</v>
      </c>
      <c r="R3845" s="19">
        <f>+P3842-Q3842-Q3843-Q3844-Q3845</f>
        <v>-386</v>
      </c>
      <c r="S3845" s="19">
        <v>1030</v>
      </c>
      <c r="T3845" s="19" t="s">
        <v>42</v>
      </c>
      <c r="U3845" s="102" t="s">
        <v>1243</v>
      </c>
      <c r="V3845" s="253">
        <v>44934</v>
      </c>
      <c r="W3845" s="17" t="s">
        <v>44</v>
      </c>
      <c r="X3845" s="17"/>
      <c r="Y3845" s="68">
        <v>45253</v>
      </c>
      <c r="Z3845" s="17" t="s">
        <v>191</v>
      </c>
      <c r="AA3845" s="17" t="s">
        <v>46</v>
      </c>
      <c r="AB3845" s="17" t="s">
        <v>1245</v>
      </c>
      <c r="AC3845" s="66">
        <v>45379</v>
      </c>
      <c r="AD3845" s="65">
        <v>1546</v>
      </c>
      <c r="AE3845" s="17" t="s">
        <v>1254</v>
      </c>
      <c r="AF3845" s="17"/>
      <c r="AG3845" s="17"/>
      <c r="AH3845" s="17"/>
      <c r="AI3845" s="17"/>
      <c r="AJ3845" s="17"/>
      <c r="AK3845" s="17"/>
      <c r="AL3845" s="17"/>
      <c r="AM3845" s="17"/>
      <c r="AN3845" s="17"/>
      <c r="AO3845" s="17"/>
      <c r="AP3845" s="17"/>
      <c r="AQ3845" s="17"/>
      <c r="AR3845" s="17"/>
    </row>
    <row r="3846" s="20" customFormat="1" hidden="1" spans="1:44">
      <c r="A3846" s="17" t="s">
        <v>34</v>
      </c>
      <c r="B3846" s="19">
        <v>930</v>
      </c>
      <c r="C3846" s="222">
        <v>44934</v>
      </c>
      <c r="D3846" s="17" t="s">
        <v>52</v>
      </c>
      <c r="E3846" s="17" t="s">
        <v>1113</v>
      </c>
      <c r="F3846" s="17" t="s">
        <v>54</v>
      </c>
      <c r="G3846" s="17"/>
      <c r="H3846" s="19" t="s">
        <v>1114</v>
      </c>
      <c r="I3846" s="19"/>
      <c r="J3846" s="17" t="s">
        <v>82</v>
      </c>
      <c r="K3846" s="19">
        <v>280</v>
      </c>
      <c r="L3846" s="91">
        <v>40</v>
      </c>
      <c r="M3846" s="19">
        <v>2300</v>
      </c>
      <c r="N3846" s="19" t="s">
        <v>66</v>
      </c>
      <c r="O3846" s="19" t="s">
        <v>141</v>
      </c>
      <c r="P3846" s="19">
        <v>596</v>
      </c>
      <c r="Q3846" s="19">
        <v>621</v>
      </c>
      <c r="R3846" s="19">
        <f>+P3846-Q3846</f>
        <v>-25</v>
      </c>
      <c r="S3846" s="19">
        <f t="shared" ref="S3846:S3865" si="182">1110-40</f>
        <v>1070</v>
      </c>
      <c r="T3846" s="19" t="s">
        <v>42</v>
      </c>
      <c r="U3846" s="102" t="s">
        <v>1243</v>
      </c>
      <c r="V3846" s="253">
        <v>44934</v>
      </c>
      <c r="W3846" s="17" t="s">
        <v>44</v>
      </c>
      <c r="X3846" s="17"/>
      <c r="Y3846" s="68">
        <v>45253</v>
      </c>
      <c r="Z3846" s="17" t="s">
        <v>191</v>
      </c>
      <c r="AA3846" s="17" t="s">
        <v>46</v>
      </c>
      <c r="AB3846" s="17" t="s">
        <v>1251</v>
      </c>
      <c r="AC3846" s="217">
        <v>45566</v>
      </c>
      <c r="AD3846" s="65">
        <v>1515</v>
      </c>
      <c r="AE3846" s="17" t="s">
        <v>48</v>
      </c>
      <c r="AF3846" s="17"/>
      <c r="AG3846" s="17"/>
      <c r="AH3846" s="17"/>
      <c r="AI3846" s="17"/>
      <c r="AJ3846" s="17"/>
      <c r="AK3846" s="17"/>
      <c r="AL3846" s="17"/>
      <c r="AM3846" s="17"/>
      <c r="AN3846" s="17"/>
      <c r="AO3846" s="17"/>
      <c r="AP3846" s="17"/>
      <c r="AQ3846" s="17"/>
      <c r="AR3846" s="17"/>
    </row>
    <row r="3847" s="20" customFormat="1" hidden="1" spans="1:44">
      <c r="A3847" s="17" t="s">
        <v>34</v>
      </c>
      <c r="B3847" s="19">
        <v>930</v>
      </c>
      <c r="C3847" s="222">
        <v>44934</v>
      </c>
      <c r="D3847" s="17" t="s">
        <v>52</v>
      </c>
      <c r="E3847" s="17" t="s">
        <v>1113</v>
      </c>
      <c r="F3847" s="17" t="s">
        <v>54</v>
      </c>
      <c r="G3847" s="17"/>
      <c r="H3847" s="19" t="s">
        <v>1114</v>
      </c>
      <c r="I3847" s="19"/>
      <c r="J3847" s="17" t="s">
        <v>82</v>
      </c>
      <c r="K3847" s="19">
        <v>305</v>
      </c>
      <c r="L3847" s="91">
        <v>40</v>
      </c>
      <c r="M3847" s="19">
        <v>2300</v>
      </c>
      <c r="N3847" s="19" t="s">
        <v>66</v>
      </c>
      <c r="O3847" s="19" t="s">
        <v>141</v>
      </c>
      <c r="P3847" s="98">
        <v>5411</v>
      </c>
      <c r="Q3847" s="98">
        <f>2605+3688</f>
        <v>6293</v>
      </c>
      <c r="R3847" s="98">
        <f>+P3847-Q3847</f>
        <v>-882</v>
      </c>
      <c r="S3847" s="19">
        <f t="shared" si="182"/>
        <v>1070</v>
      </c>
      <c r="T3847" s="19" t="s">
        <v>42</v>
      </c>
      <c r="U3847" s="102" t="s">
        <v>1243</v>
      </c>
      <c r="V3847" s="253">
        <v>44934</v>
      </c>
      <c r="W3847" s="17" t="s">
        <v>44</v>
      </c>
      <c r="X3847" s="17"/>
      <c r="Y3847" s="68">
        <v>45253</v>
      </c>
      <c r="Z3847" s="17" t="s">
        <v>191</v>
      </c>
      <c r="AA3847" s="17" t="s">
        <v>46</v>
      </c>
      <c r="AB3847" s="17" t="s">
        <v>1253</v>
      </c>
      <c r="AC3847" s="66">
        <v>45307</v>
      </c>
      <c r="AD3847" s="65">
        <v>1520</v>
      </c>
      <c r="AE3847" s="17" t="s">
        <v>1254</v>
      </c>
      <c r="AF3847" s="17"/>
      <c r="AG3847" s="17"/>
      <c r="AH3847" s="17"/>
      <c r="AI3847" s="17"/>
      <c r="AJ3847" s="17"/>
      <c r="AK3847" s="17"/>
      <c r="AL3847" s="17"/>
      <c r="AM3847" s="17"/>
      <c r="AN3847" s="17"/>
      <c r="AO3847" s="17"/>
      <c r="AP3847" s="17"/>
      <c r="AQ3847" s="17"/>
      <c r="AR3847" s="17"/>
    </row>
    <row r="3848" s="20" customFormat="1" hidden="1" spans="1:44">
      <c r="A3848" s="17" t="s">
        <v>34</v>
      </c>
      <c r="B3848" s="19">
        <v>930</v>
      </c>
      <c r="C3848" s="222">
        <v>44934</v>
      </c>
      <c r="D3848" s="17" t="s">
        <v>52</v>
      </c>
      <c r="E3848" s="17" t="s">
        <v>1113</v>
      </c>
      <c r="F3848" s="17" t="s">
        <v>54</v>
      </c>
      <c r="G3848" s="17"/>
      <c r="H3848" s="19" t="s">
        <v>1114</v>
      </c>
      <c r="I3848" s="19"/>
      <c r="J3848" s="17" t="s">
        <v>82</v>
      </c>
      <c r="K3848" s="19">
        <v>355</v>
      </c>
      <c r="L3848" s="91">
        <v>40</v>
      </c>
      <c r="M3848" s="19">
        <v>2300</v>
      </c>
      <c r="N3848" s="19" t="s">
        <v>66</v>
      </c>
      <c r="O3848" s="19" t="s">
        <v>141</v>
      </c>
      <c r="P3848" s="19">
        <v>5038</v>
      </c>
      <c r="Q3848" s="19">
        <v>257</v>
      </c>
      <c r="R3848" s="17"/>
      <c r="S3848" s="19">
        <f t="shared" si="182"/>
        <v>1070</v>
      </c>
      <c r="T3848" s="19" t="s">
        <v>42</v>
      </c>
      <c r="U3848" s="102" t="s">
        <v>1243</v>
      </c>
      <c r="V3848" s="253">
        <v>44934</v>
      </c>
      <c r="W3848" s="17" t="s">
        <v>44</v>
      </c>
      <c r="X3848" s="17"/>
      <c r="Y3848" s="68">
        <v>45253</v>
      </c>
      <c r="Z3848" s="17" t="s">
        <v>191</v>
      </c>
      <c r="AA3848" s="17" t="s">
        <v>46</v>
      </c>
      <c r="AB3848" s="17" t="s">
        <v>1237</v>
      </c>
      <c r="AC3848" s="217">
        <v>45627</v>
      </c>
      <c r="AD3848" s="65">
        <v>1516</v>
      </c>
      <c r="AE3848" s="17" t="s">
        <v>1254</v>
      </c>
      <c r="AF3848" s="17"/>
      <c r="AG3848" s="17"/>
      <c r="AH3848" s="17"/>
      <c r="AI3848" s="17"/>
      <c r="AJ3848" s="17"/>
      <c r="AK3848" s="17"/>
      <c r="AL3848" s="17"/>
      <c r="AM3848" s="17"/>
      <c r="AN3848" s="17"/>
      <c r="AO3848" s="17"/>
      <c r="AP3848" s="17"/>
      <c r="AQ3848" s="17"/>
      <c r="AR3848" s="17"/>
    </row>
    <row r="3849" s="20" customFormat="1" hidden="1" spans="1:44">
      <c r="A3849" s="17" t="s">
        <v>34</v>
      </c>
      <c r="B3849" s="19">
        <v>930</v>
      </c>
      <c r="C3849" s="222">
        <v>44934</v>
      </c>
      <c r="D3849" s="17" t="s">
        <v>52</v>
      </c>
      <c r="E3849" s="17" t="s">
        <v>1113</v>
      </c>
      <c r="F3849" s="17" t="s">
        <v>54</v>
      </c>
      <c r="G3849" s="17"/>
      <c r="H3849" s="19" t="s">
        <v>1114</v>
      </c>
      <c r="I3849" s="19"/>
      <c r="J3849" s="17" t="s">
        <v>82</v>
      </c>
      <c r="K3849" s="19">
        <v>355</v>
      </c>
      <c r="L3849" s="91">
        <v>40</v>
      </c>
      <c r="M3849" s="19">
        <v>2300</v>
      </c>
      <c r="N3849" s="19" t="s">
        <v>66</v>
      </c>
      <c r="O3849" s="19" t="s">
        <v>141</v>
      </c>
      <c r="P3849" s="19"/>
      <c r="Q3849" s="19">
        <v>5042</v>
      </c>
      <c r="R3849" s="19">
        <f>+P3848-Q3848-Q3849</f>
        <v>-261</v>
      </c>
      <c r="S3849" s="19">
        <f t="shared" si="182"/>
        <v>1070</v>
      </c>
      <c r="T3849" s="19" t="s">
        <v>42</v>
      </c>
      <c r="U3849" s="102" t="s">
        <v>1243</v>
      </c>
      <c r="V3849" s="253">
        <v>44934</v>
      </c>
      <c r="W3849" s="17" t="s">
        <v>44</v>
      </c>
      <c r="X3849" s="17"/>
      <c r="Y3849" s="68">
        <v>45253</v>
      </c>
      <c r="Z3849" s="17" t="s">
        <v>191</v>
      </c>
      <c r="AA3849" s="17" t="s">
        <v>46</v>
      </c>
      <c r="AB3849" s="17" t="s">
        <v>1253</v>
      </c>
      <c r="AC3849" s="66">
        <v>45307</v>
      </c>
      <c r="AD3849" s="65">
        <v>1520</v>
      </c>
      <c r="AE3849" s="17" t="s">
        <v>1254</v>
      </c>
      <c r="AF3849" s="17"/>
      <c r="AG3849" s="17"/>
      <c r="AH3849" s="17"/>
      <c r="AI3849" s="17"/>
      <c r="AJ3849" s="17"/>
      <c r="AK3849" s="17"/>
      <c r="AL3849" s="17"/>
      <c r="AM3849" s="17"/>
      <c r="AN3849" s="17"/>
      <c r="AO3849" s="17"/>
      <c r="AP3849" s="17"/>
      <c r="AQ3849" s="17"/>
      <c r="AR3849" s="17"/>
    </row>
    <row r="3850" s="20" customFormat="1" hidden="1" spans="1:44">
      <c r="A3850" s="17" t="s">
        <v>34</v>
      </c>
      <c r="B3850" s="19">
        <v>930</v>
      </c>
      <c r="C3850" s="222">
        <v>44934</v>
      </c>
      <c r="D3850" s="17" t="s">
        <v>52</v>
      </c>
      <c r="E3850" s="17" t="s">
        <v>1113</v>
      </c>
      <c r="F3850" s="17" t="s">
        <v>54</v>
      </c>
      <c r="G3850" s="17"/>
      <c r="H3850" s="19" t="s">
        <v>1114</v>
      </c>
      <c r="I3850" s="19"/>
      <c r="J3850" s="17" t="s">
        <v>82</v>
      </c>
      <c r="K3850" s="19">
        <v>405</v>
      </c>
      <c r="L3850" s="91">
        <v>40</v>
      </c>
      <c r="M3850" s="19">
        <v>2300</v>
      </c>
      <c r="N3850" s="19" t="s">
        <v>66</v>
      </c>
      <c r="O3850" s="19" t="s">
        <v>141</v>
      </c>
      <c r="P3850" s="19">
        <v>3449</v>
      </c>
      <c r="Q3850" s="19">
        <f>295+293</f>
        <v>588</v>
      </c>
      <c r="R3850" s="17"/>
      <c r="S3850" s="19">
        <f t="shared" si="182"/>
        <v>1070</v>
      </c>
      <c r="T3850" s="19" t="s">
        <v>42</v>
      </c>
      <c r="U3850" s="102" t="s">
        <v>1243</v>
      </c>
      <c r="V3850" s="253">
        <v>44934</v>
      </c>
      <c r="W3850" s="17" t="s">
        <v>44</v>
      </c>
      <c r="X3850" s="17"/>
      <c r="Y3850" s="68">
        <v>45253</v>
      </c>
      <c r="Z3850" s="17" t="s">
        <v>191</v>
      </c>
      <c r="AA3850" s="17" t="s">
        <v>46</v>
      </c>
      <c r="AB3850" s="17" t="s">
        <v>1237</v>
      </c>
      <c r="AC3850" s="217">
        <v>45627</v>
      </c>
      <c r="AD3850" s="65">
        <v>1516</v>
      </c>
      <c r="AE3850" s="17" t="s">
        <v>1255</v>
      </c>
      <c r="AF3850" s="17"/>
      <c r="AG3850" s="17"/>
      <c r="AH3850" s="17"/>
      <c r="AI3850" s="17"/>
      <c r="AJ3850" s="17"/>
      <c r="AK3850" s="17"/>
      <c r="AL3850" s="17"/>
      <c r="AM3850" s="17"/>
      <c r="AN3850" s="17"/>
      <c r="AO3850" s="17"/>
      <c r="AP3850" s="17"/>
      <c r="AQ3850" s="17"/>
      <c r="AR3850" s="17"/>
    </row>
    <row r="3851" s="20" customFormat="1" hidden="1" spans="1:44">
      <c r="A3851" s="17" t="s">
        <v>34</v>
      </c>
      <c r="B3851" s="19">
        <v>930</v>
      </c>
      <c r="C3851" s="222">
        <v>44934</v>
      </c>
      <c r="D3851" s="17" t="s">
        <v>52</v>
      </c>
      <c r="E3851" s="17" t="s">
        <v>1113</v>
      </c>
      <c r="F3851" s="17" t="s">
        <v>54</v>
      </c>
      <c r="G3851" s="17"/>
      <c r="H3851" s="19" t="s">
        <v>1114</v>
      </c>
      <c r="I3851" s="19"/>
      <c r="J3851" s="17" t="s">
        <v>82</v>
      </c>
      <c r="K3851" s="19">
        <v>405</v>
      </c>
      <c r="L3851" s="91">
        <v>40</v>
      </c>
      <c r="M3851" s="19">
        <v>2300</v>
      </c>
      <c r="N3851" s="19" t="s">
        <v>66</v>
      </c>
      <c r="O3851" s="19" t="s">
        <v>141</v>
      </c>
      <c r="P3851" s="19"/>
      <c r="Q3851" s="19">
        <v>2019</v>
      </c>
      <c r="R3851" s="21"/>
      <c r="S3851" s="19">
        <f t="shared" si="182"/>
        <v>1070</v>
      </c>
      <c r="T3851" s="19" t="s">
        <v>42</v>
      </c>
      <c r="U3851" s="102" t="s">
        <v>1243</v>
      </c>
      <c r="V3851" s="253">
        <v>44934</v>
      </c>
      <c r="W3851" s="17" t="s">
        <v>44</v>
      </c>
      <c r="X3851" s="17"/>
      <c r="Y3851" s="68">
        <v>45253</v>
      </c>
      <c r="Z3851" s="17" t="s">
        <v>191</v>
      </c>
      <c r="AA3851" s="17" t="s">
        <v>46</v>
      </c>
      <c r="AB3851" s="17" t="s">
        <v>1253</v>
      </c>
      <c r="AC3851" s="66">
        <v>45307</v>
      </c>
      <c r="AD3851" s="65">
        <v>1520</v>
      </c>
      <c r="AE3851" s="17" t="s">
        <v>1255</v>
      </c>
      <c r="AF3851" s="17"/>
      <c r="AG3851" s="17"/>
      <c r="AH3851" s="17"/>
      <c r="AI3851" s="17"/>
      <c r="AJ3851" s="17"/>
      <c r="AK3851" s="17"/>
      <c r="AL3851" s="17"/>
      <c r="AM3851" s="17"/>
      <c r="AN3851" s="17"/>
      <c r="AO3851" s="17"/>
      <c r="AP3851" s="17"/>
      <c r="AQ3851" s="17"/>
      <c r="AR3851" s="17"/>
    </row>
    <row r="3852" s="20" customFormat="1" hidden="1" spans="1:44">
      <c r="A3852" s="17" t="s">
        <v>34</v>
      </c>
      <c r="B3852" s="19">
        <v>930</v>
      </c>
      <c r="C3852" s="222">
        <v>44934</v>
      </c>
      <c r="D3852" s="17" t="s">
        <v>52</v>
      </c>
      <c r="E3852" s="17" t="s">
        <v>1113</v>
      </c>
      <c r="F3852" s="17" t="s">
        <v>54</v>
      </c>
      <c r="G3852" s="17"/>
      <c r="H3852" s="19" t="s">
        <v>1114</v>
      </c>
      <c r="I3852" s="19"/>
      <c r="J3852" s="17" t="s">
        <v>82</v>
      </c>
      <c r="K3852" s="19">
        <v>405</v>
      </c>
      <c r="L3852" s="91">
        <v>40</v>
      </c>
      <c r="M3852" s="19">
        <v>2300</v>
      </c>
      <c r="N3852" s="19" t="s">
        <v>66</v>
      </c>
      <c r="O3852" s="19" t="s">
        <v>141</v>
      </c>
      <c r="P3852" s="19"/>
      <c r="Q3852" s="19">
        <f>296+296+294+295</f>
        <v>1181</v>
      </c>
      <c r="R3852" s="19">
        <f>+P3850-Q3850-Q3851-Q3852</f>
        <v>-339</v>
      </c>
      <c r="S3852" s="19">
        <f t="shared" si="182"/>
        <v>1070</v>
      </c>
      <c r="T3852" s="19" t="s">
        <v>42</v>
      </c>
      <c r="U3852" s="102" t="s">
        <v>1243</v>
      </c>
      <c r="V3852" s="253">
        <v>44934</v>
      </c>
      <c r="W3852" s="17" t="s">
        <v>44</v>
      </c>
      <c r="X3852" s="17"/>
      <c r="Y3852" s="68">
        <v>45253</v>
      </c>
      <c r="Z3852" s="17" t="s">
        <v>191</v>
      </c>
      <c r="AA3852" s="17" t="s">
        <v>46</v>
      </c>
      <c r="AB3852" s="17" t="s">
        <v>1250</v>
      </c>
      <c r="AC3852" s="217">
        <v>45351</v>
      </c>
      <c r="AD3852" s="65">
        <v>1533</v>
      </c>
      <c r="AE3852" s="17" t="s">
        <v>1255</v>
      </c>
      <c r="AF3852" s="17"/>
      <c r="AG3852" s="17"/>
      <c r="AH3852" s="17"/>
      <c r="AI3852" s="17"/>
      <c r="AJ3852" s="17"/>
      <c r="AK3852" s="17"/>
      <c r="AL3852" s="17"/>
      <c r="AM3852" s="17"/>
      <c r="AN3852" s="17"/>
      <c r="AO3852" s="17"/>
      <c r="AP3852" s="17"/>
      <c r="AQ3852" s="17"/>
      <c r="AR3852" s="17"/>
    </row>
    <row r="3853" s="20" customFormat="1" hidden="1" spans="1:44">
      <c r="A3853" s="17" t="s">
        <v>34</v>
      </c>
      <c r="B3853" s="19">
        <v>930</v>
      </c>
      <c r="C3853" s="222">
        <v>44934</v>
      </c>
      <c r="D3853" s="17" t="s">
        <v>52</v>
      </c>
      <c r="E3853" s="17" t="s">
        <v>1113</v>
      </c>
      <c r="F3853" s="17" t="s">
        <v>54</v>
      </c>
      <c r="G3853" s="17"/>
      <c r="H3853" s="19" t="s">
        <v>1114</v>
      </c>
      <c r="I3853" s="19"/>
      <c r="J3853" s="17" t="s">
        <v>82</v>
      </c>
      <c r="K3853" s="19">
        <v>455</v>
      </c>
      <c r="L3853" s="91">
        <v>40</v>
      </c>
      <c r="M3853" s="19">
        <v>2300</v>
      </c>
      <c r="N3853" s="19" t="s">
        <v>66</v>
      </c>
      <c r="O3853" s="19" t="s">
        <v>141</v>
      </c>
      <c r="P3853" s="19">
        <v>2583</v>
      </c>
      <c r="Q3853" s="19">
        <v>2662</v>
      </c>
      <c r="R3853" s="19">
        <f>+P3853-Q3853</f>
        <v>-79</v>
      </c>
      <c r="S3853" s="19">
        <f t="shared" si="182"/>
        <v>1070</v>
      </c>
      <c r="T3853" s="19" t="s">
        <v>42</v>
      </c>
      <c r="U3853" s="102" t="s">
        <v>1243</v>
      </c>
      <c r="V3853" s="253">
        <v>44934</v>
      </c>
      <c r="W3853" s="17" t="s">
        <v>44</v>
      </c>
      <c r="X3853" s="17"/>
      <c r="Y3853" s="68">
        <v>45253</v>
      </c>
      <c r="Z3853" s="17" t="s">
        <v>191</v>
      </c>
      <c r="AA3853" s="17" t="s">
        <v>46</v>
      </c>
      <c r="AB3853" s="17" t="s">
        <v>1244</v>
      </c>
      <c r="AC3853" s="66">
        <v>45286</v>
      </c>
      <c r="AD3853" s="65">
        <v>1505</v>
      </c>
      <c r="AE3853" s="17" t="s">
        <v>74</v>
      </c>
      <c r="AF3853" s="17"/>
      <c r="AG3853" s="17"/>
      <c r="AH3853" s="17"/>
      <c r="AI3853" s="17"/>
      <c r="AJ3853" s="17"/>
      <c r="AK3853" s="17"/>
      <c r="AL3853" s="17"/>
      <c r="AM3853" s="17"/>
      <c r="AN3853" s="17"/>
      <c r="AO3853" s="17"/>
      <c r="AP3853" s="17"/>
      <c r="AQ3853" s="17"/>
      <c r="AR3853" s="17"/>
    </row>
    <row r="3854" s="20" customFormat="1" hidden="1" spans="1:44">
      <c r="A3854" s="17" t="s">
        <v>34</v>
      </c>
      <c r="B3854" s="19">
        <v>930</v>
      </c>
      <c r="C3854" s="222">
        <v>44934</v>
      </c>
      <c r="D3854" s="17" t="s">
        <v>52</v>
      </c>
      <c r="E3854" s="17" t="s">
        <v>1113</v>
      </c>
      <c r="F3854" s="17" t="s">
        <v>54</v>
      </c>
      <c r="G3854" s="17"/>
      <c r="H3854" s="19" t="s">
        <v>1114</v>
      </c>
      <c r="I3854" s="19"/>
      <c r="J3854" s="17" t="s">
        <v>82</v>
      </c>
      <c r="K3854" s="19">
        <v>505</v>
      </c>
      <c r="L3854" s="91">
        <v>40</v>
      </c>
      <c r="M3854" s="19">
        <v>2300</v>
      </c>
      <c r="N3854" s="19" t="s">
        <v>66</v>
      </c>
      <c r="O3854" s="19" t="s">
        <v>141</v>
      </c>
      <c r="P3854" s="19">
        <v>2509</v>
      </c>
      <c r="Q3854" s="19">
        <v>1847</v>
      </c>
      <c r="R3854" s="21"/>
      <c r="S3854" s="19">
        <f t="shared" si="182"/>
        <v>1070</v>
      </c>
      <c r="T3854" s="19" t="s">
        <v>42</v>
      </c>
      <c r="U3854" s="102" t="s">
        <v>1243</v>
      </c>
      <c r="V3854" s="253">
        <v>44934</v>
      </c>
      <c r="W3854" s="17" t="s">
        <v>44</v>
      </c>
      <c r="X3854" s="17"/>
      <c r="Y3854" s="68">
        <v>45253</v>
      </c>
      <c r="Z3854" s="17" t="s">
        <v>191</v>
      </c>
      <c r="AA3854" s="17" t="s">
        <v>46</v>
      </c>
      <c r="AB3854" s="17" t="s">
        <v>1244</v>
      </c>
      <c r="AC3854" s="66">
        <v>45286</v>
      </c>
      <c r="AD3854" s="65">
        <v>1505</v>
      </c>
      <c r="AE3854" s="17" t="s">
        <v>74</v>
      </c>
      <c r="AF3854" s="17"/>
      <c r="AG3854" s="17"/>
      <c r="AH3854" s="17"/>
      <c r="AI3854" s="17"/>
      <c r="AJ3854" s="17"/>
      <c r="AK3854" s="17"/>
      <c r="AL3854" s="17"/>
      <c r="AM3854" s="17"/>
      <c r="AN3854" s="17"/>
      <c r="AO3854" s="17"/>
      <c r="AP3854" s="17"/>
      <c r="AQ3854" s="17"/>
      <c r="AR3854" s="17"/>
    </row>
    <row r="3855" s="20" customFormat="1" hidden="1" spans="1:44">
      <c r="A3855" s="17" t="s">
        <v>34</v>
      </c>
      <c r="B3855" s="19">
        <v>930</v>
      </c>
      <c r="C3855" s="222">
        <v>44934</v>
      </c>
      <c r="D3855" s="17" t="s">
        <v>52</v>
      </c>
      <c r="E3855" s="17" t="s">
        <v>1113</v>
      </c>
      <c r="F3855" s="17" t="s">
        <v>54</v>
      </c>
      <c r="G3855" s="17"/>
      <c r="H3855" s="19" t="s">
        <v>1114</v>
      </c>
      <c r="I3855" s="19"/>
      <c r="J3855" s="17" t="s">
        <v>82</v>
      </c>
      <c r="K3855" s="19">
        <v>505</v>
      </c>
      <c r="L3855" s="91">
        <v>40</v>
      </c>
      <c r="M3855" s="19">
        <v>2300</v>
      </c>
      <c r="N3855" s="19" t="s">
        <v>66</v>
      </c>
      <c r="O3855" s="19" t="s">
        <v>141</v>
      </c>
      <c r="P3855" s="19"/>
      <c r="Q3855" s="19">
        <f>364+364</f>
        <v>728</v>
      </c>
      <c r="R3855" s="19">
        <f>+P3854-Q3854-Q3855</f>
        <v>-66</v>
      </c>
      <c r="S3855" s="19">
        <f t="shared" si="182"/>
        <v>1070</v>
      </c>
      <c r="T3855" s="19" t="s">
        <v>42</v>
      </c>
      <c r="U3855" s="102" t="s">
        <v>1243</v>
      </c>
      <c r="V3855" s="253">
        <v>44934</v>
      </c>
      <c r="W3855" s="17" t="s">
        <v>44</v>
      </c>
      <c r="X3855" s="17"/>
      <c r="Y3855" s="68">
        <v>45253</v>
      </c>
      <c r="Z3855" s="17" t="s">
        <v>191</v>
      </c>
      <c r="AA3855" s="17" t="s">
        <v>46</v>
      </c>
      <c r="AB3855" s="17" t="s">
        <v>1250</v>
      </c>
      <c r="AC3855" s="217">
        <v>45351</v>
      </c>
      <c r="AD3855" s="65">
        <v>1533</v>
      </c>
      <c r="AE3855" s="17" t="s">
        <v>74</v>
      </c>
      <c r="AF3855" s="17"/>
      <c r="AG3855" s="17"/>
      <c r="AH3855" s="17"/>
      <c r="AI3855" s="17"/>
      <c r="AJ3855" s="17"/>
      <c r="AK3855" s="17"/>
      <c r="AL3855" s="17"/>
      <c r="AM3855" s="17"/>
      <c r="AN3855" s="17"/>
      <c r="AO3855" s="17"/>
      <c r="AP3855" s="17"/>
      <c r="AQ3855" s="17"/>
      <c r="AR3855" s="17"/>
    </row>
    <row r="3856" s="20" customFormat="1" hidden="1" spans="1:44">
      <c r="A3856" s="17" t="s">
        <v>34</v>
      </c>
      <c r="B3856" s="19">
        <v>930</v>
      </c>
      <c r="C3856" s="222">
        <v>44934</v>
      </c>
      <c r="D3856" s="17" t="s">
        <v>52</v>
      </c>
      <c r="E3856" s="17" t="s">
        <v>1113</v>
      </c>
      <c r="F3856" s="17" t="s">
        <v>54</v>
      </c>
      <c r="G3856" s="17"/>
      <c r="H3856" s="19" t="s">
        <v>1114</v>
      </c>
      <c r="I3856" s="19"/>
      <c r="J3856" s="17" t="s">
        <v>82</v>
      </c>
      <c r="K3856" s="19">
        <v>555</v>
      </c>
      <c r="L3856" s="91">
        <v>40</v>
      </c>
      <c r="M3856" s="19">
        <v>2300</v>
      </c>
      <c r="N3856" s="19" t="s">
        <v>66</v>
      </c>
      <c r="O3856" s="19" t="s">
        <v>141</v>
      </c>
      <c r="P3856" s="19">
        <v>1969</v>
      </c>
      <c r="Q3856" s="19">
        <v>1207</v>
      </c>
      <c r="R3856" s="21"/>
      <c r="S3856" s="19">
        <f t="shared" si="182"/>
        <v>1070</v>
      </c>
      <c r="T3856" s="19" t="s">
        <v>42</v>
      </c>
      <c r="U3856" s="102" t="s">
        <v>1243</v>
      </c>
      <c r="V3856" s="253">
        <v>44934</v>
      </c>
      <c r="W3856" s="17" t="s">
        <v>44</v>
      </c>
      <c r="X3856" s="17"/>
      <c r="Y3856" s="68">
        <v>45253</v>
      </c>
      <c r="Z3856" s="17" t="s">
        <v>191</v>
      </c>
      <c r="AA3856" s="17" t="s">
        <v>46</v>
      </c>
      <c r="AB3856" s="17" t="s">
        <v>1237</v>
      </c>
      <c r="AC3856" s="217">
        <v>45627</v>
      </c>
      <c r="AD3856" s="65">
        <v>1516</v>
      </c>
      <c r="AE3856" s="17" t="s">
        <v>74</v>
      </c>
      <c r="AF3856" s="17"/>
      <c r="AG3856" s="17"/>
      <c r="AH3856" s="17"/>
      <c r="AI3856" s="17"/>
      <c r="AJ3856" s="17"/>
      <c r="AK3856" s="17"/>
      <c r="AL3856" s="17"/>
      <c r="AM3856" s="17"/>
      <c r="AN3856" s="17"/>
      <c r="AO3856" s="17"/>
      <c r="AP3856" s="17"/>
      <c r="AQ3856" s="17"/>
      <c r="AR3856" s="17"/>
    </row>
    <row r="3857" s="20" customFormat="1" hidden="1" spans="1:44">
      <c r="A3857" s="17"/>
      <c r="B3857" s="19">
        <v>930</v>
      </c>
      <c r="C3857" s="222">
        <v>44934</v>
      </c>
      <c r="D3857" s="17" t="s">
        <v>52</v>
      </c>
      <c r="E3857" s="17" t="s">
        <v>1113</v>
      </c>
      <c r="F3857" s="17" t="s">
        <v>54</v>
      </c>
      <c r="G3857" s="17"/>
      <c r="H3857" s="19" t="s">
        <v>1114</v>
      </c>
      <c r="I3857" s="19"/>
      <c r="J3857" s="17" t="s">
        <v>82</v>
      </c>
      <c r="K3857" s="19">
        <v>555</v>
      </c>
      <c r="L3857" s="91">
        <v>40</v>
      </c>
      <c r="M3857" s="19">
        <v>2300</v>
      </c>
      <c r="N3857" s="19" t="s">
        <v>66</v>
      </c>
      <c r="O3857" s="19" t="s">
        <v>141</v>
      </c>
      <c r="P3857" s="19"/>
      <c r="Q3857" s="19">
        <f>403+403</f>
        <v>806</v>
      </c>
      <c r="R3857" s="19">
        <f>+P3856-Q3856-Q3857</f>
        <v>-44</v>
      </c>
      <c r="S3857" s="19">
        <f t="shared" si="182"/>
        <v>1070</v>
      </c>
      <c r="T3857" s="19" t="s">
        <v>42</v>
      </c>
      <c r="U3857" s="102" t="s">
        <v>1243</v>
      </c>
      <c r="V3857" s="253">
        <v>44934</v>
      </c>
      <c r="W3857" s="17" t="s">
        <v>44</v>
      </c>
      <c r="X3857" s="17"/>
      <c r="Y3857" s="68">
        <v>45253</v>
      </c>
      <c r="Z3857" s="17" t="s">
        <v>191</v>
      </c>
      <c r="AA3857" s="17" t="s">
        <v>46</v>
      </c>
      <c r="AB3857" s="17" t="s">
        <v>1237</v>
      </c>
      <c r="AC3857" s="217">
        <v>45627</v>
      </c>
      <c r="AD3857" s="65">
        <v>1533</v>
      </c>
      <c r="AE3857" s="17" t="s">
        <v>74</v>
      </c>
      <c r="AF3857" s="17"/>
      <c r="AG3857" s="17"/>
      <c r="AH3857" s="17"/>
      <c r="AI3857" s="17"/>
      <c r="AJ3857" s="17"/>
      <c r="AK3857" s="17"/>
      <c r="AL3857" s="17"/>
      <c r="AM3857" s="17"/>
      <c r="AN3857" s="17"/>
      <c r="AO3857" s="17"/>
      <c r="AP3857" s="17"/>
      <c r="AQ3857" s="17"/>
      <c r="AR3857" s="17"/>
    </row>
    <row r="3858" s="20" customFormat="1" hidden="1" spans="1:44">
      <c r="A3858" s="17" t="s">
        <v>34</v>
      </c>
      <c r="B3858" s="19">
        <v>930</v>
      </c>
      <c r="C3858" s="222">
        <v>44934</v>
      </c>
      <c r="D3858" s="17" t="s">
        <v>52</v>
      </c>
      <c r="E3858" s="17" t="s">
        <v>1113</v>
      </c>
      <c r="F3858" s="17" t="s">
        <v>54</v>
      </c>
      <c r="G3858" s="17"/>
      <c r="H3858" s="19" t="s">
        <v>1114</v>
      </c>
      <c r="I3858" s="19"/>
      <c r="J3858" s="17" t="s">
        <v>82</v>
      </c>
      <c r="K3858" s="19">
        <v>605</v>
      </c>
      <c r="L3858" s="91">
        <v>40</v>
      </c>
      <c r="M3858" s="19">
        <v>2300</v>
      </c>
      <c r="N3858" s="19" t="s">
        <v>66</v>
      </c>
      <c r="O3858" s="19" t="s">
        <v>141</v>
      </c>
      <c r="P3858" s="19">
        <v>2147</v>
      </c>
      <c r="Q3858" s="19">
        <f>881+1318</f>
        <v>2199</v>
      </c>
      <c r="R3858" s="19">
        <f>+P3858-Q3858</f>
        <v>-52</v>
      </c>
      <c r="S3858" s="19">
        <f t="shared" si="182"/>
        <v>1070</v>
      </c>
      <c r="T3858" s="19" t="s">
        <v>42</v>
      </c>
      <c r="U3858" s="102" t="s">
        <v>1243</v>
      </c>
      <c r="V3858" s="253">
        <v>44934</v>
      </c>
      <c r="W3858" s="17" t="s">
        <v>44</v>
      </c>
      <c r="X3858" s="17"/>
      <c r="Y3858" s="68">
        <v>45253</v>
      </c>
      <c r="Z3858" s="17" t="s">
        <v>191</v>
      </c>
      <c r="AA3858" s="17" t="s">
        <v>46</v>
      </c>
      <c r="AB3858" s="17" t="s">
        <v>1237</v>
      </c>
      <c r="AC3858" s="217">
        <v>45627</v>
      </c>
      <c r="AD3858" s="65">
        <v>1516</v>
      </c>
      <c r="AE3858" s="17" t="s">
        <v>74</v>
      </c>
      <c r="AF3858" s="17"/>
      <c r="AG3858" s="17"/>
      <c r="AH3858" s="17"/>
      <c r="AI3858" s="17"/>
      <c r="AJ3858" s="17"/>
      <c r="AK3858" s="17"/>
      <c r="AL3858" s="17"/>
      <c r="AM3858" s="17"/>
      <c r="AN3858" s="17"/>
      <c r="AO3858" s="17"/>
      <c r="AP3858" s="17"/>
      <c r="AQ3858" s="17"/>
      <c r="AR3858" s="17"/>
    </row>
    <row r="3859" s="20" customFormat="1" hidden="1" spans="1:44">
      <c r="A3859" s="17" t="s">
        <v>34</v>
      </c>
      <c r="B3859" s="19">
        <v>930</v>
      </c>
      <c r="C3859" s="222">
        <v>44934</v>
      </c>
      <c r="D3859" s="17" t="s">
        <v>52</v>
      </c>
      <c r="E3859" s="17" t="s">
        <v>1113</v>
      </c>
      <c r="F3859" s="17" t="s">
        <v>54</v>
      </c>
      <c r="G3859" s="17"/>
      <c r="H3859" s="19" t="s">
        <v>1114</v>
      </c>
      <c r="I3859" s="19"/>
      <c r="J3859" s="17" t="s">
        <v>82</v>
      </c>
      <c r="K3859" s="19">
        <v>205</v>
      </c>
      <c r="L3859" s="91">
        <v>50</v>
      </c>
      <c r="M3859" s="19">
        <v>2300</v>
      </c>
      <c r="N3859" s="19" t="s">
        <v>66</v>
      </c>
      <c r="O3859" s="19" t="s">
        <v>141</v>
      </c>
      <c r="P3859" s="19">
        <v>3637</v>
      </c>
      <c r="Q3859" s="19">
        <v>951</v>
      </c>
      <c r="R3859" s="17"/>
      <c r="S3859" s="19">
        <f t="shared" si="182"/>
        <v>1070</v>
      </c>
      <c r="T3859" s="19" t="s">
        <v>42</v>
      </c>
      <c r="U3859" s="102" t="s">
        <v>1243</v>
      </c>
      <c r="V3859" s="253">
        <v>44934</v>
      </c>
      <c r="W3859" s="17" t="s">
        <v>44</v>
      </c>
      <c r="X3859" s="17"/>
      <c r="Y3859" s="68">
        <v>45253</v>
      </c>
      <c r="Z3859" s="17" t="s">
        <v>191</v>
      </c>
      <c r="AA3859" s="17" t="s">
        <v>46</v>
      </c>
      <c r="AB3859" s="17" t="s">
        <v>1246</v>
      </c>
      <c r="AC3859" s="66">
        <v>45276</v>
      </c>
      <c r="AD3859" s="65">
        <v>1499</v>
      </c>
      <c r="AE3859" s="17" t="s">
        <v>74</v>
      </c>
      <c r="AF3859" s="17"/>
      <c r="AG3859" s="17"/>
      <c r="AH3859" s="17"/>
      <c r="AI3859" s="17"/>
      <c r="AJ3859" s="17"/>
      <c r="AK3859" s="17"/>
      <c r="AL3859" s="17"/>
      <c r="AM3859" s="17"/>
      <c r="AN3859" s="17"/>
      <c r="AO3859" s="17"/>
      <c r="AP3859" s="17"/>
      <c r="AQ3859" s="17"/>
      <c r="AR3859" s="17"/>
    </row>
    <row r="3860" s="20" customFormat="1" hidden="1" spans="1:44">
      <c r="A3860" s="17" t="s">
        <v>34</v>
      </c>
      <c r="B3860" s="19">
        <v>930</v>
      </c>
      <c r="C3860" s="222">
        <v>44934</v>
      </c>
      <c r="D3860" s="17" t="s">
        <v>52</v>
      </c>
      <c r="E3860" s="17" t="s">
        <v>1113</v>
      </c>
      <c r="F3860" s="17" t="s">
        <v>54</v>
      </c>
      <c r="G3860" s="17"/>
      <c r="H3860" s="19" t="s">
        <v>1114</v>
      </c>
      <c r="I3860" s="19"/>
      <c r="J3860" s="17" t="s">
        <v>82</v>
      </c>
      <c r="K3860" s="19">
        <v>205</v>
      </c>
      <c r="L3860" s="91">
        <v>50</v>
      </c>
      <c r="M3860" s="19">
        <v>2300</v>
      </c>
      <c r="N3860" s="19" t="s">
        <v>66</v>
      </c>
      <c r="O3860" s="19" t="s">
        <v>141</v>
      </c>
      <c r="P3860" s="19"/>
      <c r="Q3860" s="19">
        <v>1113</v>
      </c>
      <c r="R3860" s="17"/>
      <c r="S3860" s="19">
        <f t="shared" si="182"/>
        <v>1070</v>
      </c>
      <c r="T3860" s="19" t="s">
        <v>42</v>
      </c>
      <c r="U3860" s="102" t="s">
        <v>1243</v>
      </c>
      <c r="V3860" s="253">
        <v>44934</v>
      </c>
      <c r="W3860" s="17" t="s">
        <v>44</v>
      </c>
      <c r="X3860" s="17"/>
      <c r="Y3860" s="68">
        <v>45253</v>
      </c>
      <c r="Z3860" s="17" t="s">
        <v>191</v>
      </c>
      <c r="AA3860" s="17" t="s">
        <v>46</v>
      </c>
      <c r="AB3860" s="17" t="s">
        <v>1236</v>
      </c>
      <c r="AC3860" s="66">
        <v>45288</v>
      </c>
      <c r="AD3860" s="65">
        <v>1511</v>
      </c>
      <c r="AE3860" s="17" t="s">
        <v>74</v>
      </c>
      <c r="AF3860" s="17"/>
      <c r="AG3860" s="17"/>
      <c r="AH3860" s="17"/>
      <c r="AI3860" s="17"/>
      <c r="AJ3860" s="17"/>
      <c r="AK3860" s="17"/>
      <c r="AL3860" s="17"/>
      <c r="AM3860" s="17"/>
      <c r="AN3860" s="17"/>
      <c r="AO3860" s="17"/>
      <c r="AP3860" s="17"/>
      <c r="AQ3860" s="17"/>
      <c r="AR3860" s="17"/>
    </row>
    <row r="3861" s="20" customFormat="1" hidden="1" spans="1:44">
      <c r="A3861" s="17" t="s">
        <v>34</v>
      </c>
      <c r="B3861" s="19">
        <v>930</v>
      </c>
      <c r="C3861" s="222">
        <v>44934</v>
      </c>
      <c r="D3861" s="17" t="s">
        <v>52</v>
      </c>
      <c r="E3861" s="17" t="s">
        <v>1113</v>
      </c>
      <c r="F3861" s="17" t="s">
        <v>54</v>
      </c>
      <c r="G3861" s="17"/>
      <c r="H3861" s="19" t="s">
        <v>1114</v>
      </c>
      <c r="I3861" s="19"/>
      <c r="J3861" s="17" t="s">
        <v>82</v>
      </c>
      <c r="K3861" s="19">
        <v>205</v>
      </c>
      <c r="L3861" s="91">
        <v>50</v>
      </c>
      <c r="M3861" s="19">
        <v>2300</v>
      </c>
      <c r="N3861" s="19" t="s">
        <v>66</v>
      </c>
      <c r="O3861" s="19" t="s">
        <v>141</v>
      </c>
      <c r="P3861" s="19"/>
      <c r="Q3861" s="19">
        <v>188</v>
      </c>
      <c r="R3861" s="17"/>
      <c r="S3861" s="19">
        <f t="shared" si="182"/>
        <v>1070</v>
      </c>
      <c r="T3861" s="19" t="s">
        <v>42</v>
      </c>
      <c r="U3861" s="102" t="s">
        <v>1243</v>
      </c>
      <c r="V3861" s="253">
        <v>44934</v>
      </c>
      <c r="W3861" s="17" t="s">
        <v>44</v>
      </c>
      <c r="X3861" s="17"/>
      <c r="Y3861" s="68">
        <v>45253</v>
      </c>
      <c r="Z3861" s="17" t="s">
        <v>191</v>
      </c>
      <c r="AA3861" s="17" t="s">
        <v>46</v>
      </c>
      <c r="AB3861" s="17" t="s">
        <v>1237</v>
      </c>
      <c r="AC3861" s="217">
        <v>45627</v>
      </c>
      <c r="AD3861" s="65">
        <v>1516</v>
      </c>
      <c r="AE3861" s="17" t="s">
        <v>74</v>
      </c>
      <c r="AF3861" s="17"/>
      <c r="AG3861" s="17"/>
      <c r="AH3861" s="17"/>
      <c r="AI3861" s="17"/>
      <c r="AJ3861" s="17"/>
      <c r="AK3861" s="17"/>
      <c r="AL3861" s="17"/>
      <c r="AM3861" s="17"/>
      <c r="AN3861" s="17"/>
      <c r="AO3861" s="17"/>
      <c r="AP3861" s="17"/>
      <c r="AQ3861" s="17"/>
      <c r="AR3861" s="17"/>
    </row>
    <row r="3862" s="20" customFormat="1" hidden="1" spans="1:44">
      <c r="A3862" s="17" t="s">
        <v>34</v>
      </c>
      <c r="B3862" s="19">
        <v>930</v>
      </c>
      <c r="C3862" s="222">
        <v>44934</v>
      </c>
      <c r="D3862" s="17" t="s">
        <v>52</v>
      </c>
      <c r="E3862" s="17" t="s">
        <v>1113</v>
      </c>
      <c r="F3862" s="17" t="s">
        <v>54</v>
      </c>
      <c r="G3862" s="17"/>
      <c r="H3862" s="19" t="s">
        <v>1114</v>
      </c>
      <c r="I3862" s="19"/>
      <c r="J3862" s="17" t="s">
        <v>82</v>
      </c>
      <c r="K3862" s="19">
        <v>205</v>
      </c>
      <c r="L3862" s="91">
        <v>50</v>
      </c>
      <c r="M3862" s="19">
        <v>2300</v>
      </c>
      <c r="N3862" s="19" t="s">
        <v>66</v>
      </c>
      <c r="O3862" s="19" t="s">
        <v>141</v>
      </c>
      <c r="P3862" s="19"/>
      <c r="Q3862" s="19">
        <f>190+191+191+190+190+191+190+190</f>
        <v>1523</v>
      </c>
      <c r="R3862" s="19">
        <f>+P3859-Q3859-Q3860-Q3861-Q3862</f>
        <v>-138</v>
      </c>
      <c r="S3862" s="19">
        <f t="shared" si="182"/>
        <v>1070</v>
      </c>
      <c r="T3862" s="19" t="s">
        <v>42</v>
      </c>
      <c r="U3862" s="102" t="s">
        <v>1243</v>
      </c>
      <c r="V3862" s="253">
        <v>44934</v>
      </c>
      <c r="W3862" s="17" t="s">
        <v>44</v>
      </c>
      <c r="X3862" s="17"/>
      <c r="Y3862" s="68">
        <v>45253</v>
      </c>
      <c r="Z3862" s="17" t="s">
        <v>191</v>
      </c>
      <c r="AA3862" s="17" t="s">
        <v>46</v>
      </c>
      <c r="AB3862" s="17" t="s">
        <v>1256</v>
      </c>
      <c r="AC3862" s="66">
        <v>45322</v>
      </c>
      <c r="AD3862" s="65">
        <v>1522</v>
      </c>
      <c r="AE3862" s="17" t="s">
        <v>74</v>
      </c>
      <c r="AF3862" s="17"/>
      <c r="AG3862" s="17"/>
      <c r="AH3862" s="17"/>
      <c r="AI3862" s="17"/>
      <c r="AJ3862" s="17"/>
      <c r="AK3862" s="17"/>
      <c r="AL3862" s="17"/>
      <c r="AM3862" s="17"/>
      <c r="AN3862" s="17"/>
      <c r="AO3862" s="17"/>
      <c r="AP3862" s="17"/>
      <c r="AQ3862" s="17"/>
      <c r="AR3862" s="17"/>
    </row>
    <row r="3863" s="20" customFormat="1" hidden="1" spans="1:44">
      <c r="A3863" s="17" t="s">
        <v>34</v>
      </c>
      <c r="B3863" s="19">
        <v>930</v>
      </c>
      <c r="C3863" s="222">
        <v>44934</v>
      </c>
      <c r="D3863" s="17" t="s">
        <v>52</v>
      </c>
      <c r="E3863" s="17" t="s">
        <v>1113</v>
      </c>
      <c r="F3863" s="17" t="s">
        <v>54</v>
      </c>
      <c r="G3863" s="17"/>
      <c r="H3863" s="19" t="s">
        <v>1114</v>
      </c>
      <c r="I3863" s="19"/>
      <c r="J3863" s="17" t="s">
        <v>82</v>
      </c>
      <c r="K3863" s="19">
        <v>230</v>
      </c>
      <c r="L3863" s="91">
        <v>50</v>
      </c>
      <c r="M3863" s="19">
        <v>2300</v>
      </c>
      <c r="N3863" s="19" t="s">
        <v>66</v>
      </c>
      <c r="O3863" s="19" t="s">
        <v>141</v>
      </c>
      <c r="P3863" s="19">
        <v>612</v>
      </c>
      <c r="Q3863" s="19">
        <v>410</v>
      </c>
      <c r="R3863" s="19">
        <f>+P3863-Q3863</f>
        <v>202</v>
      </c>
      <c r="S3863" s="19">
        <f t="shared" si="182"/>
        <v>1070</v>
      </c>
      <c r="T3863" s="19" t="s">
        <v>42</v>
      </c>
      <c r="U3863" s="102" t="s">
        <v>1243</v>
      </c>
      <c r="V3863" s="253">
        <v>44934</v>
      </c>
      <c r="W3863" s="17" t="s">
        <v>44</v>
      </c>
      <c r="X3863" s="17"/>
      <c r="Y3863" s="68">
        <v>45253</v>
      </c>
      <c r="Z3863" s="17" t="s">
        <v>191</v>
      </c>
      <c r="AA3863" s="17" t="s">
        <v>46</v>
      </c>
      <c r="AB3863" s="17" t="s">
        <v>1246</v>
      </c>
      <c r="AC3863" s="66">
        <v>45276</v>
      </c>
      <c r="AD3863" s="65">
        <v>1499</v>
      </c>
      <c r="AE3863" s="17" t="s">
        <v>48</v>
      </c>
      <c r="AF3863" s="17"/>
      <c r="AG3863" s="17"/>
      <c r="AH3863" s="17"/>
      <c r="AI3863" s="17"/>
      <c r="AJ3863" s="17"/>
      <c r="AK3863" s="17"/>
      <c r="AL3863" s="17"/>
      <c r="AM3863" s="17"/>
      <c r="AN3863" s="17"/>
      <c r="AO3863" s="17"/>
      <c r="AP3863" s="17"/>
      <c r="AQ3863" s="17"/>
      <c r="AR3863" s="17"/>
    </row>
    <row r="3864" s="20" customFormat="1" hidden="1" spans="1:44">
      <c r="A3864" s="17" t="s">
        <v>34</v>
      </c>
      <c r="B3864" s="19">
        <v>930</v>
      </c>
      <c r="C3864" s="222">
        <v>44934</v>
      </c>
      <c r="D3864" s="17" t="s">
        <v>52</v>
      </c>
      <c r="E3864" s="17" t="s">
        <v>1113</v>
      </c>
      <c r="F3864" s="17" t="s">
        <v>54</v>
      </c>
      <c r="G3864" s="17"/>
      <c r="H3864" s="19" t="s">
        <v>1114</v>
      </c>
      <c r="I3864" s="19"/>
      <c r="J3864" s="17" t="s">
        <v>82</v>
      </c>
      <c r="K3864" s="19">
        <v>255</v>
      </c>
      <c r="L3864" s="91">
        <v>50</v>
      </c>
      <c r="M3864" s="19">
        <v>2300</v>
      </c>
      <c r="N3864" s="19" t="s">
        <v>66</v>
      </c>
      <c r="O3864" s="19" t="s">
        <v>141</v>
      </c>
      <c r="P3864" s="19">
        <v>5429</v>
      </c>
      <c r="Q3864" s="19">
        <v>1369</v>
      </c>
      <c r="R3864" s="17"/>
      <c r="S3864" s="19">
        <f t="shared" si="182"/>
        <v>1070</v>
      </c>
      <c r="T3864" s="19" t="s">
        <v>42</v>
      </c>
      <c r="U3864" s="102" t="s">
        <v>1243</v>
      </c>
      <c r="V3864" s="253">
        <v>44934</v>
      </c>
      <c r="W3864" s="17" t="s">
        <v>44</v>
      </c>
      <c r="X3864" s="17"/>
      <c r="Y3864" s="68">
        <v>45253</v>
      </c>
      <c r="Z3864" s="17" t="s">
        <v>191</v>
      </c>
      <c r="AA3864" s="17" t="s">
        <v>46</v>
      </c>
      <c r="AB3864" s="17" t="s">
        <v>1246</v>
      </c>
      <c r="AC3864" s="66">
        <v>45276</v>
      </c>
      <c r="AD3864" s="65">
        <v>1499</v>
      </c>
      <c r="AE3864" s="17" t="s">
        <v>1257</v>
      </c>
      <c r="AF3864" s="17"/>
      <c r="AG3864" s="17"/>
      <c r="AH3864" s="17"/>
      <c r="AI3864" s="17"/>
      <c r="AJ3864" s="17"/>
      <c r="AK3864" s="17"/>
      <c r="AL3864" s="17"/>
      <c r="AM3864" s="17"/>
      <c r="AN3864" s="17"/>
      <c r="AO3864" s="17"/>
      <c r="AP3864" s="17"/>
      <c r="AQ3864" s="17"/>
      <c r="AR3864" s="17"/>
    </row>
    <row r="3865" s="20" customFormat="1" hidden="1" spans="1:44">
      <c r="A3865" s="17" t="s">
        <v>34</v>
      </c>
      <c r="B3865" s="19">
        <v>930</v>
      </c>
      <c r="C3865" s="222">
        <v>44934</v>
      </c>
      <c r="D3865" s="17" t="s">
        <v>52</v>
      </c>
      <c r="E3865" s="17" t="s">
        <v>1113</v>
      </c>
      <c r="F3865" s="17" t="s">
        <v>54</v>
      </c>
      <c r="G3865" s="17"/>
      <c r="H3865" s="19" t="s">
        <v>1114</v>
      </c>
      <c r="I3865" s="19"/>
      <c r="J3865" s="17" t="s">
        <v>82</v>
      </c>
      <c r="K3865" s="19">
        <v>255</v>
      </c>
      <c r="L3865" s="91">
        <v>50</v>
      </c>
      <c r="M3865" s="19">
        <v>2300</v>
      </c>
      <c r="N3865" s="19" t="s">
        <v>66</v>
      </c>
      <c r="O3865" s="19" t="s">
        <v>141</v>
      </c>
      <c r="P3865" s="19"/>
      <c r="Q3865" s="19">
        <f>2351+1182</f>
        <v>3533</v>
      </c>
      <c r="S3865" s="19">
        <f t="shared" si="182"/>
        <v>1070</v>
      </c>
      <c r="T3865" s="19" t="s">
        <v>42</v>
      </c>
      <c r="U3865" s="102" t="s">
        <v>1243</v>
      </c>
      <c r="V3865" s="253">
        <v>44934</v>
      </c>
      <c r="W3865" s="17" t="s">
        <v>44</v>
      </c>
      <c r="X3865" s="17"/>
      <c r="Y3865" s="68">
        <v>45253</v>
      </c>
      <c r="Z3865" s="17" t="s">
        <v>191</v>
      </c>
      <c r="AA3865" s="17" t="s">
        <v>46</v>
      </c>
      <c r="AB3865" s="17" t="s">
        <v>1244</v>
      </c>
      <c r="AC3865" s="66">
        <v>45286</v>
      </c>
      <c r="AD3865" s="65">
        <v>1505</v>
      </c>
      <c r="AE3865" s="17" t="s">
        <v>1257</v>
      </c>
      <c r="AF3865" s="17"/>
      <c r="AG3865" s="17"/>
      <c r="AH3865" s="17"/>
      <c r="AI3865" s="17"/>
      <c r="AJ3865" s="17"/>
      <c r="AK3865" s="17"/>
      <c r="AL3865" s="17"/>
      <c r="AM3865" s="17"/>
      <c r="AN3865" s="17"/>
      <c r="AO3865" s="17"/>
      <c r="AP3865" s="17"/>
      <c r="AQ3865" s="17"/>
      <c r="AR3865" s="17"/>
    </row>
    <row r="3866" s="20" customFormat="1" hidden="1" spans="1:44">
      <c r="A3866" s="17" t="s">
        <v>34</v>
      </c>
      <c r="B3866" s="19">
        <v>930</v>
      </c>
      <c r="C3866" s="222">
        <v>44934</v>
      </c>
      <c r="D3866" s="17" t="s">
        <v>52</v>
      </c>
      <c r="E3866" s="17" t="s">
        <v>1113</v>
      </c>
      <c r="F3866" s="17" t="s">
        <v>54</v>
      </c>
      <c r="G3866" s="17"/>
      <c r="H3866" s="19" t="s">
        <v>1114</v>
      </c>
      <c r="I3866" s="19"/>
      <c r="J3866" s="17" t="s">
        <v>82</v>
      </c>
      <c r="K3866" s="19">
        <v>255</v>
      </c>
      <c r="L3866" s="91">
        <v>50</v>
      </c>
      <c r="M3866" s="19">
        <v>2300</v>
      </c>
      <c r="N3866" s="19" t="s">
        <v>66</v>
      </c>
      <c r="O3866" s="19" t="s">
        <v>141</v>
      </c>
      <c r="P3866" s="19"/>
      <c r="Q3866" s="19">
        <v>232</v>
      </c>
      <c r="R3866" s="21"/>
      <c r="S3866" s="19">
        <v>1030</v>
      </c>
      <c r="T3866" s="19" t="s">
        <v>42</v>
      </c>
      <c r="U3866" s="102" t="s">
        <v>1243</v>
      </c>
      <c r="V3866" s="253">
        <v>44934</v>
      </c>
      <c r="W3866" s="17" t="s">
        <v>44</v>
      </c>
      <c r="X3866" s="17"/>
      <c r="Y3866" s="68">
        <v>45253</v>
      </c>
      <c r="Z3866" s="17" t="s">
        <v>191</v>
      </c>
      <c r="AA3866" s="17" t="s">
        <v>46</v>
      </c>
      <c r="AB3866" s="17" t="s">
        <v>1249</v>
      </c>
      <c r="AC3866" s="217">
        <v>45380</v>
      </c>
      <c r="AD3866" s="65">
        <v>1547</v>
      </c>
      <c r="AE3866" s="17" t="s">
        <v>1257</v>
      </c>
      <c r="AF3866" s="17"/>
      <c r="AG3866" s="17"/>
      <c r="AH3866" s="17"/>
      <c r="AI3866" s="17"/>
      <c r="AJ3866" s="17"/>
      <c r="AK3866" s="17"/>
      <c r="AL3866" s="17"/>
      <c r="AM3866" s="17"/>
      <c r="AN3866" s="17"/>
      <c r="AO3866" s="17"/>
      <c r="AP3866" s="17"/>
      <c r="AQ3866" s="17"/>
      <c r="AR3866" s="17"/>
    </row>
    <row r="3867" s="20" customFormat="1" hidden="1" spans="1:44">
      <c r="A3867" s="17" t="s">
        <v>34</v>
      </c>
      <c r="B3867" s="19">
        <v>930</v>
      </c>
      <c r="C3867" s="222">
        <v>44934</v>
      </c>
      <c r="D3867" s="17" t="s">
        <v>52</v>
      </c>
      <c r="E3867" s="17" t="s">
        <v>1113</v>
      </c>
      <c r="F3867" s="17" t="s">
        <v>54</v>
      </c>
      <c r="G3867" s="17"/>
      <c r="H3867" s="19" t="s">
        <v>1114</v>
      </c>
      <c r="I3867" s="19"/>
      <c r="J3867" s="17" t="s">
        <v>82</v>
      </c>
      <c r="K3867" s="19">
        <v>255</v>
      </c>
      <c r="L3867" s="91">
        <v>50</v>
      </c>
      <c r="M3867" s="19">
        <v>2300</v>
      </c>
      <c r="N3867" s="19" t="s">
        <v>66</v>
      </c>
      <c r="O3867" s="19" t="s">
        <v>141</v>
      </c>
      <c r="P3867" s="19"/>
      <c r="Q3867" s="19">
        <v>465</v>
      </c>
      <c r="R3867" s="19">
        <f>+P3864-Q3864-Q3865-Q3866-Q3867</f>
        <v>-170</v>
      </c>
      <c r="S3867" s="19">
        <v>1030</v>
      </c>
      <c r="T3867" s="19" t="s">
        <v>42</v>
      </c>
      <c r="U3867" s="102" t="s">
        <v>1243</v>
      </c>
      <c r="V3867" s="253">
        <v>44934</v>
      </c>
      <c r="W3867" s="17" t="s">
        <v>44</v>
      </c>
      <c r="X3867" s="17"/>
      <c r="Y3867" s="68">
        <v>45253</v>
      </c>
      <c r="Z3867" s="17" t="s">
        <v>191</v>
      </c>
      <c r="AA3867" s="17" t="s">
        <v>46</v>
      </c>
      <c r="AB3867" s="17" t="s">
        <v>1245</v>
      </c>
      <c r="AC3867" s="66">
        <v>45379</v>
      </c>
      <c r="AD3867" s="65">
        <v>1546</v>
      </c>
      <c r="AE3867" s="17" t="s">
        <v>1257</v>
      </c>
      <c r="AF3867" s="17"/>
      <c r="AG3867" s="17"/>
      <c r="AH3867" s="17"/>
      <c r="AI3867" s="17"/>
      <c r="AJ3867" s="17"/>
      <c r="AK3867" s="17"/>
      <c r="AL3867" s="17"/>
      <c r="AM3867" s="17"/>
      <c r="AN3867" s="17"/>
      <c r="AO3867" s="17"/>
      <c r="AP3867" s="17"/>
      <c r="AQ3867" s="17"/>
      <c r="AR3867" s="17"/>
    </row>
    <row r="3868" s="20" customFormat="1" hidden="1" spans="1:44">
      <c r="A3868" s="17" t="s">
        <v>34</v>
      </c>
      <c r="B3868" s="19">
        <v>930</v>
      </c>
      <c r="C3868" s="222">
        <v>44934</v>
      </c>
      <c r="D3868" s="17" t="s">
        <v>52</v>
      </c>
      <c r="E3868" s="17" t="s">
        <v>1113</v>
      </c>
      <c r="F3868" s="17" t="s">
        <v>54</v>
      </c>
      <c r="G3868" s="17"/>
      <c r="H3868" s="19" t="s">
        <v>1114</v>
      </c>
      <c r="I3868" s="19"/>
      <c r="J3868" s="17" t="s">
        <v>82</v>
      </c>
      <c r="K3868" s="19">
        <v>280</v>
      </c>
      <c r="L3868" s="91">
        <v>50</v>
      </c>
      <c r="M3868" s="19">
        <v>2300</v>
      </c>
      <c r="N3868" s="19" t="s">
        <v>66</v>
      </c>
      <c r="O3868" s="19" t="s">
        <v>141</v>
      </c>
      <c r="P3868" s="19">
        <v>497</v>
      </c>
      <c r="Q3868" s="19">
        <v>252</v>
      </c>
      <c r="R3868" s="21"/>
      <c r="S3868" s="19">
        <f>1110-40</f>
        <v>1070</v>
      </c>
      <c r="T3868" s="19" t="s">
        <v>42</v>
      </c>
      <c r="U3868" s="102" t="s">
        <v>1243</v>
      </c>
      <c r="V3868" s="253">
        <v>44934</v>
      </c>
      <c r="W3868" s="17" t="s">
        <v>44</v>
      </c>
      <c r="X3868" s="17"/>
      <c r="Y3868" s="68">
        <v>45253</v>
      </c>
      <c r="Z3868" s="17" t="s">
        <v>191</v>
      </c>
      <c r="AA3868" s="17" t="s">
        <v>46</v>
      </c>
      <c r="AB3868" s="17" t="s">
        <v>1246</v>
      </c>
      <c r="AC3868" s="66">
        <v>45276</v>
      </c>
      <c r="AD3868" s="65">
        <v>1499</v>
      </c>
      <c r="AE3868" s="17" t="s">
        <v>48</v>
      </c>
      <c r="AF3868" s="17"/>
      <c r="AG3868" s="17"/>
      <c r="AH3868" s="17"/>
      <c r="AI3868" s="17"/>
      <c r="AJ3868" s="17"/>
      <c r="AK3868" s="17"/>
      <c r="AL3868" s="17"/>
      <c r="AM3868" s="17"/>
      <c r="AN3868" s="17"/>
      <c r="AO3868" s="17"/>
      <c r="AP3868" s="17"/>
      <c r="AQ3868" s="17"/>
      <c r="AR3868" s="17"/>
    </row>
    <row r="3869" s="20" customFormat="1" hidden="1" spans="1:44">
      <c r="A3869" s="17" t="s">
        <v>34</v>
      </c>
      <c r="B3869" s="19">
        <v>930</v>
      </c>
      <c r="C3869" s="222">
        <v>44934</v>
      </c>
      <c r="D3869" s="17" t="s">
        <v>52</v>
      </c>
      <c r="E3869" s="17" t="s">
        <v>1113</v>
      </c>
      <c r="F3869" s="17" t="s">
        <v>54</v>
      </c>
      <c r="G3869" s="17"/>
      <c r="H3869" s="19" t="s">
        <v>1114</v>
      </c>
      <c r="I3869" s="19"/>
      <c r="J3869" s="17" t="s">
        <v>82</v>
      </c>
      <c r="K3869" s="19">
        <v>280</v>
      </c>
      <c r="L3869" s="91">
        <v>50</v>
      </c>
      <c r="M3869" s="19">
        <v>2300</v>
      </c>
      <c r="N3869" s="19" t="s">
        <v>66</v>
      </c>
      <c r="O3869" s="19" t="s">
        <v>141</v>
      </c>
      <c r="P3869" s="19"/>
      <c r="Q3869" s="19">
        <v>253</v>
      </c>
      <c r="R3869" s="19">
        <f>+P3868-Q3868-Q3869</f>
        <v>-8</v>
      </c>
      <c r="S3869" s="19">
        <v>1030</v>
      </c>
      <c r="T3869" s="19" t="s">
        <v>42</v>
      </c>
      <c r="U3869" s="102" t="s">
        <v>1243</v>
      </c>
      <c r="V3869" s="253">
        <v>44934</v>
      </c>
      <c r="W3869" s="17" t="s">
        <v>44</v>
      </c>
      <c r="X3869" s="17"/>
      <c r="Y3869" s="68">
        <v>45253</v>
      </c>
      <c r="Z3869" s="17" t="s">
        <v>191</v>
      </c>
      <c r="AA3869" s="17" t="s">
        <v>46</v>
      </c>
      <c r="AB3869" s="17" t="s">
        <v>1248</v>
      </c>
      <c r="AC3869" s="217">
        <v>45364</v>
      </c>
      <c r="AD3869" s="65">
        <v>1539</v>
      </c>
      <c r="AE3869" s="17" t="s">
        <v>48</v>
      </c>
      <c r="AF3869" s="17"/>
      <c r="AG3869" s="17"/>
      <c r="AH3869" s="17"/>
      <c r="AI3869" s="17"/>
      <c r="AJ3869" s="17"/>
      <c r="AK3869" s="17"/>
      <c r="AL3869" s="17"/>
      <c r="AM3869" s="17"/>
      <c r="AN3869" s="17"/>
      <c r="AO3869" s="17"/>
      <c r="AP3869" s="17"/>
      <c r="AQ3869" s="17"/>
      <c r="AR3869" s="17"/>
    </row>
    <row r="3870" s="20" customFormat="1" hidden="1" spans="1:44">
      <c r="A3870" s="17" t="s">
        <v>34</v>
      </c>
      <c r="B3870" s="19">
        <v>930</v>
      </c>
      <c r="C3870" s="222">
        <v>44934</v>
      </c>
      <c r="D3870" s="17" t="s">
        <v>52</v>
      </c>
      <c r="E3870" s="17" t="s">
        <v>1113</v>
      </c>
      <c r="F3870" s="17" t="s">
        <v>54</v>
      </c>
      <c r="G3870" s="17"/>
      <c r="H3870" s="19" t="s">
        <v>1114</v>
      </c>
      <c r="I3870" s="19"/>
      <c r="J3870" s="17" t="s">
        <v>82</v>
      </c>
      <c r="K3870" s="19">
        <v>305</v>
      </c>
      <c r="L3870" s="91">
        <v>50</v>
      </c>
      <c r="M3870" s="19">
        <v>2300</v>
      </c>
      <c r="N3870" s="19" t="s">
        <v>66</v>
      </c>
      <c r="O3870" s="19" t="s">
        <v>141</v>
      </c>
      <c r="P3870" s="19">
        <v>5140</v>
      </c>
      <c r="Q3870" s="19">
        <f>274+277+276+1098</f>
        <v>1925</v>
      </c>
      <c r="R3870" s="17"/>
      <c r="S3870" s="19">
        <f t="shared" ref="S3870:S3875" si="183">1110-40</f>
        <v>1070</v>
      </c>
      <c r="T3870" s="19" t="s">
        <v>42</v>
      </c>
      <c r="U3870" s="102" t="s">
        <v>1243</v>
      </c>
      <c r="V3870" s="253">
        <v>44934</v>
      </c>
      <c r="W3870" s="17" t="s">
        <v>44</v>
      </c>
      <c r="X3870" s="17"/>
      <c r="Y3870" s="68">
        <v>45253</v>
      </c>
      <c r="Z3870" s="17" t="s">
        <v>191</v>
      </c>
      <c r="AA3870" s="17" t="s">
        <v>46</v>
      </c>
      <c r="AB3870" s="17" t="s">
        <v>1246</v>
      </c>
      <c r="AC3870" s="66">
        <v>45276</v>
      </c>
      <c r="AD3870" s="65">
        <v>1499</v>
      </c>
      <c r="AE3870" s="17" t="s">
        <v>1257</v>
      </c>
      <c r="AF3870" s="17"/>
      <c r="AG3870" s="17"/>
      <c r="AH3870" s="17"/>
      <c r="AI3870" s="17"/>
      <c r="AJ3870" s="17"/>
      <c r="AK3870" s="17"/>
      <c r="AL3870" s="17"/>
      <c r="AM3870" s="17"/>
      <c r="AN3870" s="17"/>
      <c r="AO3870" s="17"/>
      <c r="AP3870" s="17"/>
      <c r="AQ3870" s="17"/>
      <c r="AR3870" s="17"/>
    </row>
    <row r="3871" s="20" customFormat="1" hidden="1" spans="1:44">
      <c r="A3871" s="17" t="s">
        <v>34</v>
      </c>
      <c r="B3871" s="19">
        <v>930</v>
      </c>
      <c r="C3871" s="222">
        <v>44934</v>
      </c>
      <c r="D3871" s="17" t="s">
        <v>52</v>
      </c>
      <c r="E3871" s="17" t="s">
        <v>1113</v>
      </c>
      <c r="F3871" s="17" t="s">
        <v>54</v>
      </c>
      <c r="G3871" s="17"/>
      <c r="H3871" s="19" t="s">
        <v>1114</v>
      </c>
      <c r="I3871" s="19"/>
      <c r="J3871" s="17" t="s">
        <v>82</v>
      </c>
      <c r="K3871" s="19">
        <v>305</v>
      </c>
      <c r="L3871" s="91">
        <v>50</v>
      </c>
      <c r="M3871" s="19">
        <v>2300</v>
      </c>
      <c r="N3871" s="19" t="s">
        <v>66</v>
      </c>
      <c r="O3871" s="19" t="s">
        <v>141</v>
      </c>
      <c r="P3871" s="19"/>
      <c r="Q3871" s="19">
        <v>1409</v>
      </c>
      <c r="R3871" s="17"/>
      <c r="S3871" s="19">
        <f t="shared" si="183"/>
        <v>1070</v>
      </c>
      <c r="T3871" s="19" t="s">
        <v>42</v>
      </c>
      <c r="U3871" s="102" t="s">
        <v>1243</v>
      </c>
      <c r="V3871" s="253">
        <v>44934</v>
      </c>
      <c r="W3871" s="17" t="s">
        <v>44</v>
      </c>
      <c r="X3871" s="17"/>
      <c r="Y3871" s="68">
        <v>45253</v>
      </c>
      <c r="Z3871" s="17" t="s">
        <v>191</v>
      </c>
      <c r="AA3871" s="17" t="s">
        <v>46</v>
      </c>
      <c r="AB3871" s="17" t="s">
        <v>1244</v>
      </c>
      <c r="AC3871" s="66">
        <v>45286</v>
      </c>
      <c r="AD3871" s="65">
        <v>1505</v>
      </c>
      <c r="AE3871" s="17" t="s">
        <v>1257</v>
      </c>
      <c r="AF3871" s="17"/>
      <c r="AG3871" s="17"/>
      <c r="AH3871" s="17"/>
      <c r="AI3871" s="17"/>
      <c r="AJ3871" s="17"/>
      <c r="AK3871" s="17"/>
      <c r="AL3871" s="17"/>
      <c r="AM3871" s="17"/>
      <c r="AN3871" s="17"/>
      <c r="AO3871" s="17"/>
      <c r="AP3871" s="17"/>
      <c r="AQ3871" s="17"/>
      <c r="AR3871" s="17"/>
    </row>
    <row r="3872" s="20" customFormat="1" hidden="1" spans="1:44">
      <c r="A3872" s="17" t="s">
        <v>34</v>
      </c>
      <c r="B3872" s="19">
        <v>930</v>
      </c>
      <c r="C3872" s="222">
        <v>44934</v>
      </c>
      <c r="D3872" s="17" t="s">
        <v>52</v>
      </c>
      <c r="E3872" s="17" t="s">
        <v>1113</v>
      </c>
      <c r="F3872" s="17" t="s">
        <v>54</v>
      </c>
      <c r="G3872" s="17"/>
      <c r="H3872" s="19" t="s">
        <v>1114</v>
      </c>
      <c r="I3872" s="19"/>
      <c r="J3872" s="17" t="s">
        <v>82</v>
      </c>
      <c r="K3872" s="19">
        <v>305</v>
      </c>
      <c r="L3872" s="91">
        <v>50</v>
      </c>
      <c r="M3872" s="19">
        <v>2300</v>
      </c>
      <c r="N3872" s="19" t="s">
        <v>66</v>
      </c>
      <c r="O3872" s="19" t="s">
        <v>141</v>
      </c>
      <c r="P3872" s="19"/>
      <c r="Q3872" s="19">
        <f>837+1114</f>
        <v>1951</v>
      </c>
      <c r="R3872" s="19">
        <f>+P3870-Q3870-Q3871-Q3872</f>
        <v>-145</v>
      </c>
      <c r="S3872" s="19">
        <f t="shared" si="183"/>
        <v>1070</v>
      </c>
      <c r="T3872" s="19" t="s">
        <v>42</v>
      </c>
      <c r="U3872" s="102" t="s">
        <v>1243</v>
      </c>
      <c r="V3872" s="253">
        <v>44934</v>
      </c>
      <c r="W3872" s="17" t="s">
        <v>44</v>
      </c>
      <c r="X3872" s="17"/>
      <c r="Y3872" s="68">
        <v>45253</v>
      </c>
      <c r="Z3872" s="17" t="s">
        <v>191</v>
      </c>
      <c r="AA3872" s="17" t="s">
        <v>46</v>
      </c>
      <c r="AB3872" s="17" t="s">
        <v>1237</v>
      </c>
      <c r="AC3872" s="217">
        <v>45627</v>
      </c>
      <c r="AD3872" s="65">
        <v>1516</v>
      </c>
      <c r="AE3872" s="17" t="s">
        <v>1257</v>
      </c>
      <c r="AF3872" s="17"/>
      <c r="AG3872" s="17"/>
      <c r="AH3872" s="17"/>
      <c r="AI3872" s="17"/>
      <c r="AJ3872" s="17"/>
      <c r="AK3872" s="17"/>
      <c r="AL3872" s="17"/>
      <c r="AM3872" s="17"/>
      <c r="AN3872" s="17"/>
      <c r="AO3872" s="17"/>
      <c r="AP3872" s="17"/>
      <c r="AQ3872" s="17"/>
      <c r="AR3872" s="17"/>
    </row>
    <row r="3873" s="20" customFormat="1" hidden="1" spans="1:44">
      <c r="A3873" s="17" t="s">
        <v>34</v>
      </c>
      <c r="B3873" s="19">
        <v>930</v>
      </c>
      <c r="C3873" s="222">
        <v>44934</v>
      </c>
      <c r="D3873" s="17" t="s">
        <v>52</v>
      </c>
      <c r="E3873" s="17" t="s">
        <v>1113</v>
      </c>
      <c r="F3873" s="17" t="s">
        <v>54</v>
      </c>
      <c r="G3873" s="17"/>
      <c r="H3873" s="19" t="s">
        <v>1114</v>
      </c>
      <c r="I3873" s="19"/>
      <c r="J3873" s="17" t="s">
        <v>82</v>
      </c>
      <c r="K3873" s="19">
        <v>355</v>
      </c>
      <c r="L3873" s="91">
        <v>50</v>
      </c>
      <c r="M3873" s="19">
        <v>2300</v>
      </c>
      <c r="N3873" s="19" t="s">
        <v>66</v>
      </c>
      <c r="O3873" s="19" t="s">
        <v>141</v>
      </c>
      <c r="P3873" s="19">
        <v>5353</v>
      </c>
      <c r="Q3873" s="19">
        <f>1589+636</f>
        <v>2225</v>
      </c>
      <c r="R3873" s="17"/>
      <c r="S3873" s="19">
        <f t="shared" si="183"/>
        <v>1070</v>
      </c>
      <c r="T3873" s="19" t="s">
        <v>42</v>
      </c>
      <c r="U3873" s="102" t="s">
        <v>1243</v>
      </c>
      <c r="V3873" s="253">
        <v>44934</v>
      </c>
      <c r="W3873" s="17" t="s">
        <v>44</v>
      </c>
      <c r="X3873" s="17"/>
      <c r="Y3873" s="68">
        <v>45253</v>
      </c>
      <c r="Z3873" s="17" t="s">
        <v>191</v>
      </c>
      <c r="AA3873" s="17" t="s">
        <v>46</v>
      </c>
      <c r="AB3873" s="17" t="s">
        <v>1246</v>
      </c>
      <c r="AC3873" s="66">
        <v>45276</v>
      </c>
      <c r="AD3873" s="65">
        <v>1499</v>
      </c>
      <c r="AE3873" s="17" t="s">
        <v>1257</v>
      </c>
      <c r="AF3873" s="17"/>
      <c r="AG3873" s="17"/>
      <c r="AH3873" s="17"/>
      <c r="AI3873" s="17"/>
      <c r="AJ3873" s="17"/>
      <c r="AK3873" s="17"/>
      <c r="AL3873" s="17"/>
      <c r="AM3873" s="17"/>
      <c r="AN3873" s="17"/>
      <c r="AO3873" s="17"/>
      <c r="AP3873" s="17"/>
      <c r="AQ3873" s="17"/>
      <c r="AR3873" s="17"/>
    </row>
    <row r="3874" s="20" customFormat="1" hidden="1" spans="1:44">
      <c r="A3874" s="17" t="s">
        <v>34</v>
      </c>
      <c r="B3874" s="19">
        <v>930</v>
      </c>
      <c r="C3874" s="222">
        <v>44934</v>
      </c>
      <c r="D3874" s="17" t="s">
        <v>52</v>
      </c>
      <c r="E3874" s="17" t="s">
        <v>1113</v>
      </c>
      <c r="F3874" s="17" t="s">
        <v>54</v>
      </c>
      <c r="G3874" s="17"/>
      <c r="H3874" s="19" t="s">
        <v>1114</v>
      </c>
      <c r="I3874" s="19"/>
      <c r="J3874" s="17" t="s">
        <v>82</v>
      </c>
      <c r="K3874" s="19">
        <v>355</v>
      </c>
      <c r="L3874" s="91">
        <v>50</v>
      </c>
      <c r="M3874" s="19">
        <v>2300</v>
      </c>
      <c r="N3874" s="19" t="s">
        <v>66</v>
      </c>
      <c r="O3874" s="19" t="s">
        <v>141</v>
      </c>
      <c r="P3874" s="19"/>
      <c r="Q3874" s="19">
        <v>652</v>
      </c>
      <c r="R3874" s="17"/>
      <c r="S3874" s="19">
        <f t="shared" si="183"/>
        <v>1070</v>
      </c>
      <c r="T3874" s="19" t="s">
        <v>42</v>
      </c>
      <c r="U3874" s="102" t="s">
        <v>1243</v>
      </c>
      <c r="V3874" s="253">
        <v>44934</v>
      </c>
      <c r="W3874" s="17" t="s">
        <v>44</v>
      </c>
      <c r="X3874" s="17"/>
      <c r="Y3874" s="68">
        <v>45253</v>
      </c>
      <c r="Z3874" s="17" t="s">
        <v>191</v>
      </c>
      <c r="AA3874" s="17" t="s">
        <v>46</v>
      </c>
      <c r="AB3874" s="17" t="s">
        <v>1244</v>
      </c>
      <c r="AC3874" s="66">
        <v>45286</v>
      </c>
      <c r="AD3874" s="65">
        <v>1505</v>
      </c>
      <c r="AE3874" s="17" t="s">
        <v>1257</v>
      </c>
      <c r="AF3874" s="17"/>
      <c r="AG3874" s="17"/>
      <c r="AH3874" s="17"/>
      <c r="AI3874" s="17"/>
      <c r="AJ3874" s="17"/>
      <c r="AK3874" s="17"/>
      <c r="AL3874" s="17"/>
      <c r="AM3874" s="17"/>
      <c r="AN3874" s="17"/>
      <c r="AO3874" s="17"/>
      <c r="AP3874" s="17"/>
      <c r="AQ3874" s="17"/>
      <c r="AR3874" s="17"/>
    </row>
    <row r="3875" s="20" customFormat="1" hidden="1" spans="1:44">
      <c r="A3875" s="17" t="s">
        <v>34</v>
      </c>
      <c r="B3875" s="19">
        <v>930</v>
      </c>
      <c r="C3875" s="222">
        <v>44934</v>
      </c>
      <c r="D3875" s="17" t="s">
        <v>52</v>
      </c>
      <c r="E3875" s="17" t="s">
        <v>1113</v>
      </c>
      <c r="F3875" s="17" t="s">
        <v>54</v>
      </c>
      <c r="G3875" s="17"/>
      <c r="H3875" s="19" t="s">
        <v>1114</v>
      </c>
      <c r="I3875" s="19"/>
      <c r="J3875" s="17" t="s">
        <v>82</v>
      </c>
      <c r="K3875" s="19">
        <v>355</v>
      </c>
      <c r="L3875" s="91">
        <v>50</v>
      </c>
      <c r="M3875" s="19">
        <v>2300</v>
      </c>
      <c r="N3875" s="19" t="s">
        <v>66</v>
      </c>
      <c r="O3875" s="19" t="s">
        <v>141</v>
      </c>
      <c r="P3875" s="19"/>
      <c r="Q3875" s="19">
        <v>2584</v>
      </c>
      <c r="R3875" s="19">
        <f>+P3873-Q3873-Q3874-Q3875</f>
        <v>-108</v>
      </c>
      <c r="S3875" s="19">
        <f t="shared" si="183"/>
        <v>1070</v>
      </c>
      <c r="T3875" s="19" t="s">
        <v>42</v>
      </c>
      <c r="U3875" s="102" t="s">
        <v>1243</v>
      </c>
      <c r="V3875" s="253">
        <v>44934</v>
      </c>
      <c r="W3875" s="17" t="s">
        <v>44</v>
      </c>
      <c r="X3875" s="17"/>
      <c r="Y3875" s="68">
        <v>45253</v>
      </c>
      <c r="Z3875" s="17" t="s">
        <v>191</v>
      </c>
      <c r="AA3875" s="17" t="s">
        <v>46</v>
      </c>
      <c r="AB3875" s="17" t="s">
        <v>1251</v>
      </c>
      <c r="AC3875" s="217">
        <v>45566</v>
      </c>
      <c r="AD3875" s="65">
        <v>1515</v>
      </c>
      <c r="AE3875" s="17" t="s">
        <v>1257</v>
      </c>
      <c r="AF3875" s="17"/>
      <c r="AG3875" s="17"/>
      <c r="AH3875" s="17"/>
      <c r="AI3875" s="17"/>
      <c r="AJ3875" s="17"/>
      <c r="AK3875" s="17"/>
      <c r="AL3875" s="17"/>
      <c r="AM3875" s="17"/>
      <c r="AN3875" s="17"/>
      <c r="AO3875" s="17"/>
      <c r="AP3875" s="17"/>
      <c r="AQ3875" s="17"/>
      <c r="AR3875" s="17"/>
    </row>
    <row r="3876" s="20" customFormat="1" hidden="1" spans="1:44">
      <c r="A3876" s="17" t="s">
        <v>34</v>
      </c>
      <c r="B3876" s="19">
        <v>930</v>
      </c>
      <c r="C3876" s="222">
        <v>44934</v>
      </c>
      <c r="D3876" s="17" t="s">
        <v>52</v>
      </c>
      <c r="E3876" s="17" t="s">
        <v>1113</v>
      </c>
      <c r="F3876" s="17" t="s">
        <v>54</v>
      </c>
      <c r="G3876" s="17"/>
      <c r="H3876" s="19" t="s">
        <v>1114</v>
      </c>
      <c r="I3876" s="19"/>
      <c r="J3876" s="17" t="s">
        <v>82</v>
      </c>
      <c r="K3876" s="19">
        <v>405</v>
      </c>
      <c r="L3876" s="91">
        <v>50</v>
      </c>
      <c r="M3876" s="19">
        <v>2300</v>
      </c>
      <c r="N3876" s="19" t="s">
        <v>66</v>
      </c>
      <c r="O3876" s="19" t="s">
        <v>141</v>
      </c>
      <c r="P3876" s="19">
        <v>5389</v>
      </c>
      <c r="Q3876" s="19">
        <v>1813</v>
      </c>
      <c r="R3876" s="19"/>
      <c r="S3876" s="19">
        <v>1070</v>
      </c>
      <c r="T3876" s="19" t="s">
        <v>42</v>
      </c>
      <c r="U3876" s="102" t="s">
        <v>1243</v>
      </c>
      <c r="V3876" s="253">
        <v>44934</v>
      </c>
      <c r="W3876" s="17" t="s">
        <v>44</v>
      </c>
      <c r="X3876" s="17"/>
      <c r="Y3876" s="68">
        <v>45253</v>
      </c>
      <c r="Z3876" s="17" t="s">
        <v>191</v>
      </c>
      <c r="AA3876" s="17" t="s">
        <v>46</v>
      </c>
      <c r="AB3876" s="17" t="s">
        <v>1246</v>
      </c>
      <c r="AC3876" s="66">
        <v>45276</v>
      </c>
      <c r="AD3876" s="65">
        <v>1499</v>
      </c>
      <c r="AE3876" s="17" t="s">
        <v>1258</v>
      </c>
      <c r="AF3876" s="17"/>
      <c r="AG3876" s="17"/>
      <c r="AH3876" s="17"/>
      <c r="AI3876" s="17"/>
      <c r="AJ3876" s="17"/>
      <c r="AK3876" s="17"/>
      <c r="AL3876" s="17"/>
      <c r="AM3876" s="17"/>
      <c r="AN3876" s="17"/>
      <c r="AO3876" s="17"/>
      <c r="AP3876" s="17"/>
      <c r="AQ3876" s="17"/>
      <c r="AR3876" s="17"/>
    </row>
    <row r="3877" s="20" customFormat="1" hidden="1" spans="1:44">
      <c r="A3877" s="17" t="s">
        <v>34</v>
      </c>
      <c r="B3877" s="19">
        <v>930</v>
      </c>
      <c r="C3877" s="222">
        <v>44934</v>
      </c>
      <c r="D3877" s="17" t="s">
        <v>52</v>
      </c>
      <c r="E3877" s="17" t="s">
        <v>1113</v>
      </c>
      <c r="F3877" s="17" t="s">
        <v>54</v>
      </c>
      <c r="G3877" s="17"/>
      <c r="H3877" s="19" t="s">
        <v>1114</v>
      </c>
      <c r="I3877" s="19"/>
      <c r="J3877" s="17" t="s">
        <v>82</v>
      </c>
      <c r="K3877" s="19">
        <v>405</v>
      </c>
      <c r="L3877" s="91">
        <v>50</v>
      </c>
      <c r="M3877" s="19">
        <v>2300</v>
      </c>
      <c r="N3877" s="19" t="s">
        <v>66</v>
      </c>
      <c r="O3877" s="19" t="s">
        <v>141</v>
      </c>
      <c r="P3877" s="19"/>
      <c r="Q3877" s="19">
        <v>360</v>
      </c>
      <c r="R3877" s="17"/>
      <c r="S3877" s="19">
        <f>1110-40</f>
        <v>1070</v>
      </c>
      <c r="T3877" s="19" t="s">
        <v>42</v>
      </c>
      <c r="U3877" s="102" t="s">
        <v>1243</v>
      </c>
      <c r="V3877" s="253">
        <v>44934</v>
      </c>
      <c r="W3877" s="17" t="s">
        <v>44</v>
      </c>
      <c r="X3877" s="17"/>
      <c r="Y3877" s="68">
        <v>45253</v>
      </c>
      <c r="Z3877" s="17" t="s">
        <v>191</v>
      </c>
      <c r="AA3877" s="17" t="s">
        <v>46</v>
      </c>
      <c r="AB3877" s="17" t="s">
        <v>1242</v>
      </c>
      <c r="AC3877" s="217">
        <v>45089</v>
      </c>
      <c r="AD3877" s="65">
        <v>1496</v>
      </c>
      <c r="AE3877" s="17" t="s">
        <v>1258</v>
      </c>
      <c r="AF3877" s="17"/>
      <c r="AG3877" s="17"/>
      <c r="AH3877" s="17"/>
      <c r="AI3877" s="17"/>
      <c r="AJ3877" s="17"/>
      <c r="AK3877" s="17"/>
      <c r="AL3877" s="17"/>
      <c r="AM3877" s="17"/>
      <c r="AN3877" s="17"/>
      <c r="AO3877" s="17"/>
      <c r="AP3877" s="17"/>
      <c r="AQ3877" s="17"/>
      <c r="AR3877" s="17"/>
    </row>
    <row r="3878" s="20" customFormat="1" hidden="1" spans="1:44">
      <c r="A3878" s="17" t="s">
        <v>34</v>
      </c>
      <c r="B3878" s="19">
        <v>930</v>
      </c>
      <c r="C3878" s="222">
        <v>44934</v>
      </c>
      <c r="D3878" s="17" t="s">
        <v>52</v>
      </c>
      <c r="E3878" s="17" t="s">
        <v>1113</v>
      </c>
      <c r="F3878" s="17" t="s">
        <v>54</v>
      </c>
      <c r="G3878" s="17"/>
      <c r="H3878" s="19" t="s">
        <v>1114</v>
      </c>
      <c r="I3878" s="19"/>
      <c r="J3878" s="17" t="s">
        <v>82</v>
      </c>
      <c r="K3878" s="19">
        <v>405</v>
      </c>
      <c r="L3878" s="91">
        <v>50</v>
      </c>
      <c r="M3878" s="19">
        <v>2300</v>
      </c>
      <c r="N3878" s="19" t="s">
        <v>66</v>
      </c>
      <c r="O3878" s="19" t="s">
        <v>141</v>
      </c>
      <c r="P3878" s="19"/>
      <c r="Q3878" s="19">
        <f>2942+367</f>
        <v>3309</v>
      </c>
      <c r="R3878" s="19">
        <f>+P3876-Q3876-Q3877-Q3878</f>
        <v>-93</v>
      </c>
      <c r="S3878" s="19">
        <f>1110-40</f>
        <v>1070</v>
      </c>
      <c r="T3878" s="19" t="s">
        <v>42</v>
      </c>
      <c r="U3878" s="102" t="s">
        <v>1243</v>
      </c>
      <c r="V3878" s="253">
        <v>44934</v>
      </c>
      <c r="W3878" s="17" t="s">
        <v>44</v>
      </c>
      <c r="X3878" s="17"/>
      <c r="Y3878" s="68">
        <v>45253</v>
      </c>
      <c r="Z3878" s="17" t="s">
        <v>191</v>
      </c>
      <c r="AA3878" s="17" t="s">
        <v>46</v>
      </c>
      <c r="AB3878" s="17" t="s">
        <v>1237</v>
      </c>
      <c r="AC3878" s="217">
        <v>45627</v>
      </c>
      <c r="AD3878" s="65">
        <v>1516</v>
      </c>
      <c r="AE3878" s="17" t="s">
        <v>1258</v>
      </c>
      <c r="AF3878" s="17"/>
      <c r="AG3878" s="17"/>
      <c r="AH3878" s="17"/>
      <c r="AI3878" s="17"/>
      <c r="AJ3878" s="17"/>
      <c r="AK3878" s="17"/>
      <c r="AL3878" s="17"/>
      <c r="AM3878" s="17"/>
      <c r="AN3878" s="17"/>
      <c r="AO3878" s="17"/>
      <c r="AP3878" s="17"/>
      <c r="AQ3878" s="17"/>
      <c r="AR3878" s="17"/>
    </row>
    <row r="3879" s="20" customFormat="1" hidden="1" spans="1:44">
      <c r="A3879" s="17" t="s">
        <v>34</v>
      </c>
      <c r="B3879" s="19">
        <v>930</v>
      </c>
      <c r="C3879" s="222">
        <v>44934</v>
      </c>
      <c r="D3879" s="17" t="s">
        <v>52</v>
      </c>
      <c r="E3879" s="17" t="s">
        <v>1113</v>
      </c>
      <c r="F3879" s="17" t="s">
        <v>54</v>
      </c>
      <c r="G3879" s="17"/>
      <c r="H3879" s="19" t="s">
        <v>1114</v>
      </c>
      <c r="I3879" s="19"/>
      <c r="J3879" s="17" t="s">
        <v>82</v>
      </c>
      <c r="K3879" s="19">
        <v>455</v>
      </c>
      <c r="L3879" s="91">
        <v>50</v>
      </c>
      <c r="M3879" s="19">
        <v>2300</v>
      </c>
      <c r="N3879" s="19" t="s">
        <v>66</v>
      </c>
      <c r="O3879" s="19" t="s">
        <v>141</v>
      </c>
      <c r="P3879" s="19">
        <v>4843</v>
      </c>
      <c r="Q3879" s="19">
        <v>818</v>
      </c>
      <c r="R3879" s="17"/>
      <c r="S3879" s="19">
        <f>1110-40</f>
        <v>1070</v>
      </c>
      <c r="T3879" s="19" t="s">
        <v>42</v>
      </c>
      <c r="U3879" s="102" t="s">
        <v>1243</v>
      </c>
      <c r="V3879" s="253">
        <v>44934</v>
      </c>
      <c r="W3879" s="17" t="s">
        <v>44</v>
      </c>
      <c r="X3879" s="17"/>
      <c r="Y3879" s="68">
        <v>45253</v>
      </c>
      <c r="Z3879" s="17" t="s">
        <v>191</v>
      </c>
      <c r="AA3879" s="17" t="s">
        <v>46</v>
      </c>
      <c r="AB3879" s="17" t="s">
        <v>1246</v>
      </c>
      <c r="AC3879" s="66">
        <v>45276</v>
      </c>
      <c r="AD3879" s="65">
        <v>1499</v>
      </c>
      <c r="AE3879" s="17" t="s">
        <v>74</v>
      </c>
      <c r="AF3879" s="17"/>
      <c r="AG3879" s="17"/>
      <c r="AH3879" s="17"/>
      <c r="AI3879" s="17"/>
      <c r="AJ3879" s="17"/>
      <c r="AK3879" s="17"/>
      <c r="AL3879" s="17"/>
      <c r="AM3879" s="17"/>
      <c r="AN3879" s="17"/>
      <c r="AO3879" s="17"/>
      <c r="AP3879" s="17"/>
      <c r="AQ3879" s="17"/>
      <c r="AR3879" s="17"/>
    </row>
    <row r="3880" s="20" customFormat="1" hidden="1" spans="1:44">
      <c r="A3880" s="17" t="s">
        <v>34</v>
      </c>
      <c r="B3880" s="19">
        <v>930</v>
      </c>
      <c r="C3880" s="222">
        <v>44934</v>
      </c>
      <c r="D3880" s="17" t="s">
        <v>52</v>
      </c>
      <c r="E3880" s="17" t="s">
        <v>1113</v>
      </c>
      <c r="F3880" s="17" t="s">
        <v>54</v>
      </c>
      <c r="G3880" s="17"/>
      <c r="H3880" s="19" t="s">
        <v>1114</v>
      </c>
      <c r="I3880" s="19"/>
      <c r="J3880" s="17" t="s">
        <v>82</v>
      </c>
      <c r="K3880" s="19">
        <v>455</v>
      </c>
      <c r="L3880" s="91">
        <v>50</v>
      </c>
      <c r="M3880" s="19">
        <v>2300</v>
      </c>
      <c r="N3880" s="19" t="s">
        <v>66</v>
      </c>
      <c r="O3880" s="19" t="s">
        <v>141</v>
      </c>
      <c r="P3880" s="19"/>
      <c r="Q3880" s="19">
        <f>1240+1242</f>
        <v>2482</v>
      </c>
      <c r="R3880" s="21"/>
      <c r="S3880" s="19">
        <f>1110-40</f>
        <v>1070</v>
      </c>
      <c r="T3880" s="19" t="s">
        <v>42</v>
      </c>
      <c r="U3880" s="102" t="s">
        <v>1243</v>
      </c>
      <c r="V3880" s="253">
        <v>44934</v>
      </c>
      <c r="W3880" s="17" t="s">
        <v>44</v>
      </c>
      <c r="X3880" s="17"/>
      <c r="Y3880" s="68">
        <v>45253</v>
      </c>
      <c r="Z3880" s="17" t="s">
        <v>191</v>
      </c>
      <c r="AA3880" s="17" t="s">
        <v>46</v>
      </c>
      <c r="AB3880" s="17" t="s">
        <v>1237</v>
      </c>
      <c r="AC3880" s="217">
        <v>45627</v>
      </c>
      <c r="AD3880" s="65">
        <v>1516</v>
      </c>
      <c r="AE3880" s="17" t="s">
        <v>74</v>
      </c>
      <c r="AF3880" s="17"/>
      <c r="AG3880" s="17"/>
      <c r="AH3880" s="17"/>
      <c r="AI3880" s="17"/>
      <c r="AJ3880" s="17"/>
      <c r="AK3880" s="17"/>
      <c r="AL3880" s="17"/>
      <c r="AM3880" s="17"/>
      <c r="AN3880" s="17"/>
      <c r="AO3880" s="17"/>
      <c r="AP3880" s="17"/>
      <c r="AQ3880" s="17"/>
      <c r="AR3880" s="17"/>
    </row>
    <row r="3881" s="20" customFormat="1" hidden="1" spans="1:44">
      <c r="A3881" s="17" t="s">
        <v>34</v>
      </c>
      <c r="B3881" s="19">
        <v>930</v>
      </c>
      <c r="C3881" s="222">
        <v>44934</v>
      </c>
      <c r="D3881" s="17" t="s">
        <v>52</v>
      </c>
      <c r="E3881" s="17" t="s">
        <v>1113</v>
      </c>
      <c r="F3881" s="17" t="s">
        <v>54</v>
      </c>
      <c r="G3881" s="17"/>
      <c r="H3881" s="19" t="s">
        <v>1114</v>
      </c>
      <c r="I3881" s="19"/>
      <c r="J3881" s="17" t="s">
        <v>82</v>
      </c>
      <c r="K3881" s="19">
        <v>455</v>
      </c>
      <c r="L3881" s="91">
        <v>50</v>
      </c>
      <c r="M3881" s="19">
        <v>2300</v>
      </c>
      <c r="N3881" s="19" t="s">
        <v>66</v>
      </c>
      <c r="O3881" s="19" t="s">
        <v>141</v>
      </c>
      <c r="P3881" s="19"/>
      <c r="Q3881" s="19">
        <f>413+414+414</f>
        <v>1241</v>
      </c>
      <c r="R3881" s="19">
        <f>+P3879-Q3879-Q3880-Q3881</f>
        <v>302</v>
      </c>
      <c r="S3881" s="19">
        <v>1030</v>
      </c>
      <c r="T3881" s="19" t="s">
        <v>42</v>
      </c>
      <c r="U3881" s="102" t="s">
        <v>1243</v>
      </c>
      <c r="V3881" s="253">
        <v>44934</v>
      </c>
      <c r="W3881" s="17" t="s">
        <v>44</v>
      </c>
      <c r="X3881" s="17"/>
      <c r="Y3881" s="68">
        <v>45253</v>
      </c>
      <c r="Z3881" s="17" t="s">
        <v>191</v>
      </c>
      <c r="AA3881" s="17" t="s">
        <v>46</v>
      </c>
      <c r="AB3881" s="17" t="s">
        <v>1248</v>
      </c>
      <c r="AC3881" s="217">
        <v>45364</v>
      </c>
      <c r="AD3881" s="65">
        <v>1539</v>
      </c>
      <c r="AE3881" s="17" t="s">
        <v>74</v>
      </c>
      <c r="AF3881" s="17"/>
      <c r="AG3881" s="17"/>
      <c r="AH3881" s="17"/>
      <c r="AI3881" s="17"/>
      <c r="AJ3881" s="17"/>
      <c r="AK3881" s="17"/>
      <c r="AL3881" s="17"/>
      <c r="AM3881" s="17"/>
      <c r="AN3881" s="17"/>
      <c r="AO3881" s="17"/>
      <c r="AP3881" s="17"/>
      <c r="AQ3881" s="17"/>
      <c r="AR3881" s="17"/>
    </row>
    <row r="3882" s="20" customFormat="1" hidden="1" spans="1:44">
      <c r="A3882" s="17" t="s">
        <v>34</v>
      </c>
      <c r="B3882" s="19">
        <v>930</v>
      </c>
      <c r="C3882" s="222">
        <v>44934</v>
      </c>
      <c r="D3882" s="17" t="s">
        <v>52</v>
      </c>
      <c r="E3882" s="17" t="s">
        <v>1113</v>
      </c>
      <c r="F3882" s="17" t="s">
        <v>54</v>
      </c>
      <c r="G3882" s="17"/>
      <c r="H3882" s="19" t="s">
        <v>1114</v>
      </c>
      <c r="I3882" s="19"/>
      <c r="J3882" s="17" t="s">
        <v>82</v>
      </c>
      <c r="K3882" s="19">
        <v>505</v>
      </c>
      <c r="L3882" s="91">
        <v>50</v>
      </c>
      <c r="M3882" s="19">
        <v>2300</v>
      </c>
      <c r="N3882" s="19" t="s">
        <v>66</v>
      </c>
      <c r="O3882" s="19" t="s">
        <v>141</v>
      </c>
      <c r="P3882" s="19">
        <v>5376</v>
      </c>
      <c r="Q3882" s="19">
        <f>1351+1350</f>
        <v>2701</v>
      </c>
      <c r="R3882" s="17"/>
      <c r="S3882" s="19">
        <f t="shared" ref="S3882:S3893" si="184">1110-40</f>
        <v>1070</v>
      </c>
      <c r="T3882" s="19" t="s">
        <v>42</v>
      </c>
      <c r="U3882" s="102" t="s">
        <v>1243</v>
      </c>
      <c r="V3882" s="253">
        <v>44934</v>
      </c>
      <c r="W3882" s="17" t="s">
        <v>44</v>
      </c>
      <c r="X3882" s="17"/>
      <c r="Y3882" s="68">
        <v>45253</v>
      </c>
      <c r="Z3882" s="17" t="s">
        <v>191</v>
      </c>
      <c r="AA3882" s="17" t="s">
        <v>46</v>
      </c>
      <c r="AB3882" s="17" t="s">
        <v>1246</v>
      </c>
      <c r="AC3882" s="66">
        <v>45276</v>
      </c>
      <c r="AD3882" s="65">
        <v>1499</v>
      </c>
      <c r="AE3882" s="17" t="s">
        <v>1259</v>
      </c>
      <c r="AF3882" s="17"/>
      <c r="AG3882" s="17"/>
      <c r="AH3882" s="17"/>
      <c r="AI3882" s="17"/>
      <c r="AJ3882" s="17"/>
      <c r="AK3882" s="17"/>
      <c r="AL3882" s="17"/>
      <c r="AM3882" s="17"/>
      <c r="AN3882" s="17"/>
      <c r="AO3882" s="17"/>
      <c r="AP3882" s="17"/>
      <c r="AQ3882" s="17"/>
      <c r="AR3882" s="17"/>
    </row>
    <row r="3883" s="20" customFormat="1" hidden="1" spans="1:44">
      <c r="A3883" s="17" t="s">
        <v>34</v>
      </c>
      <c r="B3883" s="19">
        <v>930</v>
      </c>
      <c r="C3883" s="222">
        <v>44934</v>
      </c>
      <c r="D3883" s="17" t="s">
        <v>52</v>
      </c>
      <c r="E3883" s="17" t="s">
        <v>1113</v>
      </c>
      <c r="F3883" s="17" t="s">
        <v>54</v>
      </c>
      <c r="G3883" s="17"/>
      <c r="H3883" s="19" t="s">
        <v>1114</v>
      </c>
      <c r="I3883" s="19"/>
      <c r="J3883" s="17" t="s">
        <v>82</v>
      </c>
      <c r="K3883" s="19">
        <v>505</v>
      </c>
      <c r="L3883" s="91">
        <v>50</v>
      </c>
      <c r="M3883" s="19">
        <v>2300</v>
      </c>
      <c r="N3883" s="19" t="s">
        <v>66</v>
      </c>
      <c r="O3883" s="19" t="s">
        <v>141</v>
      </c>
      <c r="P3883" s="19"/>
      <c r="Q3883" s="19">
        <v>1365</v>
      </c>
      <c r="R3883" s="17"/>
      <c r="S3883" s="19">
        <f t="shared" si="184"/>
        <v>1070</v>
      </c>
      <c r="T3883" s="19" t="s">
        <v>42</v>
      </c>
      <c r="U3883" s="102" t="s">
        <v>1243</v>
      </c>
      <c r="V3883" s="253">
        <v>44934</v>
      </c>
      <c r="W3883" s="17" t="s">
        <v>44</v>
      </c>
      <c r="X3883" s="17"/>
      <c r="Y3883" s="68">
        <v>45253</v>
      </c>
      <c r="Z3883" s="17" t="s">
        <v>191</v>
      </c>
      <c r="AA3883" s="17" t="s">
        <v>46</v>
      </c>
      <c r="AB3883" s="17" t="s">
        <v>1236</v>
      </c>
      <c r="AC3883" s="66">
        <v>45288</v>
      </c>
      <c r="AD3883" s="65">
        <v>1511</v>
      </c>
      <c r="AE3883" s="17" t="s">
        <v>1259</v>
      </c>
      <c r="AF3883" s="17"/>
      <c r="AG3883" s="17"/>
      <c r="AH3883" s="17"/>
      <c r="AI3883" s="17"/>
      <c r="AJ3883" s="17"/>
      <c r="AK3883" s="17"/>
      <c r="AL3883" s="17"/>
      <c r="AM3883" s="17"/>
      <c r="AN3883" s="17"/>
      <c r="AO3883" s="17"/>
      <c r="AP3883" s="17"/>
      <c r="AQ3883" s="17"/>
      <c r="AR3883" s="17"/>
    </row>
    <row r="3884" s="20" customFormat="1" hidden="1" spans="1:44">
      <c r="A3884" s="17" t="s">
        <v>34</v>
      </c>
      <c r="B3884" s="19">
        <v>930</v>
      </c>
      <c r="C3884" s="222">
        <v>44934</v>
      </c>
      <c r="D3884" s="17" t="s">
        <v>52</v>
      </c>
      <c r="E3884" s="17" t="s">
        <v>1113</v>
      </c>
      <c r="F3884" s="17" t="s">
        <v>54</v>
      </c>
      <c r="G3884" s="17"/>
      <c r="H3884" s="19" t="s">
        <v>1114</v>
      </c>
      <c r="I3884" s="19"/>
      <c r="J3884" s="17" t="s">
        <v>82</v>
      </c>
      <c r="K3884" s="19">
        <v>505</v>
      </c>
      <c r="L3884" s="91">
        <v>50</v>
      </c>
      <c r="M3884" s="19">
        <v>2300</v>
      </c>
      <c r="N3884" s="19" t="s">
        <v>66</v>
      </c>
      <c r="O3884" s="19" t="s">
        <v>141</v>
      </c>
      <c r="P3884" s="19"/>
      <c r="Q3884" s="19">
        <v>1378</v>
      </c>
      <c r="R3884" s="19">
        <f>+P3882-Q3882-Q3883-Q3884</f>
        <v>-68</v>
      </c>
      <c r="S3884" s="19">
        <f t="shared" si="184"/>
        <v>1070</v>
      </c>
      <c r="T3884" s="19" t="s">
        <v>42</v>
      </c>
      <c r="U3884" s="102" t="s">
        <v>1243</v>
      </c>
      <c r="V3884" s="253">
        <v>44934</v>
      </c>
      <c r="W3884" s="17" t="s">
        <v>44</v>
      </c>
      <c r="X3884" s="17"/>
      <c r="Y3884" s="68">
        <v>45253</v>
      </c>
      <c r="Z3884" s="17" t="s">
        <v>191</v>
      </c>
      <c r="AA3884" s="17" t="s">
        <v>46</v>
      </c>
      <c r="AB3884" s="17" t="s">
        <v>1237</v>
      </c>
      <c r="AC3884" s="217">
        <v>45627</v>
      </c>
      <c r="AD3884" s="65">
        <v>1516</v>
      </c>
      <c r="AE3884" s="17" t="s">
        <v>1259</v>
      </c>
      <c r="AF3884" s="17"/>
      <c r="AG3884" s="17"/>
      <c r="AH3884" s="17"/>
      <c r="AI3884" s="17"/>
      <c r="AJ3884" s="17"/>
      <c r="AK3884" s="17"/>
      <c r="AL3884" s="17"/>
      <c r="AM3884" s="17"/>
      <c r="AN3884" s="17"/>
      <c r="AO3884" s="17"/>
      <c r="AP3884" s="17"/>
      <c r="AQ3884" s="17"/>
      <c r="AR3884" s="17"/>
    </row>
    <row r="3885" s="20" customFormat="1" hidden="1" spans="1:44">
      <c r="A3885" s="17" t="s">
        <v>34</v>
      </c>
      <c r="B3885" s="19">
        <v>930</v>
      </c>
      <c r="C3885" s="222">
        <v>44934</v>
      </c>
      <c r="D3885" s="17" t="s">
        <v>52</v>
      </c>
      <c r="E3885" s="17" t="s">
        <v>1113</v>
      </c>
      <c r="F3885" s="17" t="s">
        <v>54</v>
      </c>
      <c r="G3885" s="17"/>
      <c r="H3885" s="19" t="s">
        <v>1114</v>
      </c>
      <c r="I3885" s="19"/>
      <c r="J3885" s="17" t="s">
        <v>82</v>
      </c>
      <c r="K3885" s="19">
        <v>555</v>
      </c>
      <c r="L3885" s="91">
        <v>50</v>
      </c>
      <c r="M3885" s="19">
        <v>2300</v>
      </c>
      <c r="N3885" s="19" t="s">
        <v>66</v>
      </c>
      <c r="O3885" s="19" t="s">
        <v>141</v>
      </c>
      <c r="P3885" s="19">
        <v>1969</v>
      </c>
      <c r="Q3885" s="19">
        <v>1486</v>
      </c>
      <c r="R3885" s="17"/>
      <c r="S3885" s="19">
        <f t="shared" si="184"/>
        <v>1070</v>
      </c>
      <c r="T3885" s="19" t="s">
        <v>42</v>
      </c>
      <c r="U3885" s="102" t="s">
        <v>1243</v>
      </c>
      <c r="V3885" s="253">
        <v>44934</v>
      </c>
      <c r="W3885" s="17" t="s">
        <v>44</v>
      </c>
      <c r="X3885" s="17"/>
      <c r="Y3885" s="68">
        <v>45253</v>
      </c>
      <c r="Z3885" s="17" t="s">
        <v>191</v>
      </c>
      <c r="AA3885" s="17" t="s">
        <v>46</v>
      </c>
      <c r="AB3885" s="17" t="s">
        <v>1246</v>
      </c>
      <c r="AC3885" s="66">
        <v>45276</v>
      </c>
      <c r="AD3885" s="65">
        <v>1499</v>
      </c>
      <c r="AE3885" s="17" t="s">
        <v>74</v>
      </c>
      <c r="AF3885" s="17"/>
      <c r="AG3885" s="17"/>
      <c r="AH3885" s="17"/>
      <c r="AI3885" s="17"/>
      <c r="AJ3885" s="17"/>
      <c r="AK3885" s="17"/>
      <c r="AL3885" s="17"/>
      <c r="AM3885" s="17"/>
      <c r="AN3885" s="17"/>
      <c r="AO3885" s="17"/>
      <c r="AP3885" s="17"/>
      <c r="AQ3885" s="17"/>
      <c r="AR3885" s="17"/>
    </row>
    <row r="3886" s="20" customFormat="1" hidden="1" spans="1:44">
      <c r="A3886" s="17" t="s">
        <v>34</v>
      </c>
      <c r="B3886" s="19">
        <v>930</v>
      </c>
      <c r="C3886" s="222">
        <v>44934</v>
      </c>
      <c r="D3886" s="17" t="s">
        <v>52</v>
      </c>
      <c r="E3886" s="17" t="s">
        <v>1113</v>
      </c>
      <c r="F3886" s="17" t="s">
        <v>54</v>
      </c>
      <c r="G3886" s="17"/>
      <c r="H3886" s="19" t="s">
        <v>1114</v>
      </c>
      <c r="I3886" s="19"/>
      <c r="J3886" s="17" t="s">
        <v>82</v>
      </c>
      <c r="K3886" s="19">
        <v>555</v>
      </c>
      <c r="L3886" s="91">
        <v>50</v>
      </c>
      <c r="M3886" s="19">
        <v>2300</v>
      </c>
      <c r="N3886" s="19" t="s">
        <v>66</v>
      </c>
      <c r="O3886" s="19" t="s">
        <v>141</v>
      </c>
      <c r="P3886" s="19"/>
      <c r="Q3886" s="19">
        <v>501</v>
      </c>
      <c r="R3886" s="19">
        <f>+P3885-Q3885-Q3886</f>
        <v>-18</v>
      </c>
      <c r="S3886" s="19">
        <f t="shared" si="184"/>
        <v>1070</v>
      </c>
      <c r="T3886" s="19" t="s">
        <v>42</v>
      </c>
      <c r="U3886" s="102" t="s">
        <v>1243</v>
      </c>
      <c r="V3886" s="253">
        <v>44934</v>
      </c>
      <c r="W3886" s="17" t="s">
        <v>44</v>
      </c>
      <c r="X3886" s="17"/>
      <c r="Y3886" s="68">
        <v>45253</v>
      </c>
      <c r="Z3886" s="17" t="s">
        <v>191</v>
      </c>
      <c r="AA3886" s="17" t="s">
        <v>46</v>
      </c>
      <c r="AB3886" s="17" t="s">
        <v>1236</v>
      </c>
      <c r="AC3886" s="66">
        <v>45288</v>
      </c>
      <c r="AD3886" s="65">
        <v>1511</v>
      </c>
      <c r="AE3886" s="17" t="s">
        <v>74</v>
      </c>
      <c r="AF3886" s="17"/>
      <c r="AG3886" s="17"/>
      <c r="AH3886" s="17"/>
      <c r="AI3886" s="17"/>
      <c r="AJ3886" s="17"/>
      <c r="AK3886" s="17"/>
      <c r="AL3886" s="17"/>
      <c r="AM3886" s="17"/>
      <c r="AN3886" s="17"/>
      <c r="AO3886" s="17"/>
      <c r="AP3886" s="17"/>
      <c r="AQ3886" s="17"/>
      <c r="AR3886" s="17"/>
    </row>
    <row r="3887" s="20" customFormat="1" hidden="1" spans="1:44">
      <c r="A3887" s="17" t="s">
        <v>34</v>
      </c>
      <c r="B3887" s="19">
        <v>930</v>
      </c>
      <c r="C3887" s="222">
        <v>44934</v>
      </c>
      <c r="D3887" s="17" t="s">
        <v>52</v>
      </c>
      <c r="E3887" s="17" t="s">
        <v>1113</v>
      </c>
      <c r="F3887" s="17" t="s">
        <v>54</v>
      </c>
      <c r="G3887" s="17"/>
      <c r="H3887" s="19" t="s">
        <v>1114</v>
      </c>
      <c r="I3887" s="19"/>
      <c r="J3887" s="17" t="s">
        <v>82</v>
      </c>
      <c r="K3887" s="19">
        <v>605</v>
      </c>
      <c r="L3887" s="91">
        <v>50</v>
      </c>
      <c r="M3887" s="19">
        <v>2300</v>
      </c>
      <c r="N3887" s="19" t="s">
        <v>66</v>
      </c>
      <c r="O3887" s="19" t="s">
        <v>141</v>
      </c>
      <c r="P3887" s="19">
        <v>2147</v>
      </c>
      <c r="Q3887" s="19">
        <f>536+536</f>
        <v>1072</v>
      </c>
      <c r="R3887" s="19">
        <f>+P3887-Q3887</f>
        <v>1075</v>
      </c>
      <c r="S3887" s="19">
        <f t="shared" si="184"/>
        <v>1070</v>
      </c>
      <c r="T3887" s="19" t="s">
        <v>42</v>
      </c>
      <c r="U3887" s="102" t="s">
        <v>1243</v>
      </c>
      <c r="V3887" s="253">
        <v>44934</v>
      </c>
      <c r="W3887" s="17" t="s">
        <v>44</v>
      </c>
      <c r="X3887" s="17"/>
      <c r="Y3887" s="68">
        <v>45253</v>
      </c>
      <c r="Z3887" s="17" t="s">
        <v>191</v>
      </c>
      <c r="AA3887" s="17" t="s">
        <v>46</v>
      </c>
      <c r="AB3887" s="17" t="s">
        <v>1246</v>
      </c>
      <c r="AC3887" s="66">
        <v>45276</v>
      </c>
      <c r="AD3887" s="65">
        <v>1499</v>
      </c>
      <c r="AE3887" s="17" t="s">
        <v>74</v>
      </c>
      <c r="AF3887" s="17"/>
      <c r="AG3887" s="17"/>
      <c r="AH3887" s="17"/>
      <c r="AI3887" s="17"/>
      <c r="AJ3887" s="17"/>
      <c r="AK3887" s="17"/>
      <c r="AL3887" s="17"/>
      <c r="AM3887" s="17"/>
      <c r="AN3887" s="17"/>
      <c r="AO3887" s="17"/>
      <c r="AP3887" s="17"/>
      <c r="AQ3887" s="17"/>
      <c r="AR3887" s="17"/>
    </row>
    <row r="3888" s="20" customFormat="1" hidden="1" spans="1:44">
      <c r="A3888" s="17" t="s">
        <v>34</v>
      </c>
      <c r="B3888" s="19">
        <v>930</v>
      </c>
      <c r="C3888" s="222">
        <v>44934</v>
      </c>
      <c r="D3888" s="17" t="s">
        <v>52</v>
      </c>
      <c r="E3888" s="17" t="s">
        <v>1113</v>
      </c>
      <c r="F3888" s="17" t="s">
        <v>54</v>
      </c>
      <c r="G3888" s="17"/>
      <c r="H3888" s="19" t="s">
        <v>1114</v>
      </c>
      <c r="I3888" s="19"/>
      <c r="J3888" s="17" t="s">
        <v>82</v>
      </c>
      <c r="K3888" s="19">
        <v>205</v>
      </c>
      <c r="L3888" s="91">
        <v>65</v>
      </c>
      <c r="M3888" s="19">
        <v>2300</v>
      </c>
      <c r="N3888" s="19" t="s">
        <v>66</v>
      </c>
      <c r="O3888" s="19" t="s">
        <v>141</v>
      </c>
      <c r="P3888" s="19">
        <v>2128</v>
      </c>
      <c r="Q3888" s="19">
        <f>239+242+246+240</f>
        <v>967</v>
      </c>
      <c r="R3888" s="17"/>
      <c r="S3888" s="19">
        <f t="shared" si="184"/>
        <v>1070</v>
      </c>
      <c r="T3888" s="19" t="s">
        <v>42</v>
      </c>
      <c r="U3888" s="102" t="s">
        <v>1243</v>
      </c>
      <c r="V3888" s="253">
        <v>44934</v>
      </c>
      <c r="W3888" s="17" t="s">
        <v>44</v>
      </c>
      <c r="X3888" s="17"/>
      <c r="Y3888" s="68">
        <v>45253</v>
      </c>
      <c r="Z3888" s="17" t="s">
        <v>191</v>
      </c>
      <c r="AA3888" s="17" t="s">
        <v>46</v>
      </c>
      <c r="AB3888" s="17" t="s">
        <v>1241</v>
      </c>
      <c r="AC3888" s="66">
        <v>45283</v>
      </c>
      <c r="AD3888" s="65">
        <v>1503</v>
      </c>
      <c r="AE3888" s="17" t="s">
        <v>1252</v>
      </c>
      <c r="AF3888" s="17"/>
      <c r="AG3888" s="17"/>
      <c r="AH3888" s="17"/>
      <c r="AI3888" s="17"/>
      <c r="AJ3888" s="17"/>
      <c r="AK3888" s="17"/>
      <c r="AL3888" s="17"/>
      <c r="AM3888" s="17"/>
      <c r="AN3888" s="17"/>
      <c r="AO3888" s="17"/>
      <c r="AP3888" s="17"/>
      <c r="AQ3888" s="17"/>
      <c r="AR3888" s="17"/>
    </row>
    <row r="3889" s="20" customFormat="1" hidden="1" spans="1:44">
      <c r="A3889" s="17" t="s">
        <v>34</v>
      </c>
      <c r="B3889" s="19">
        <v>930</v>
      </c>
      <c r="C3889" s="222">
        <v>44934</v>
      </c>
      <c r="D3889" s="17" t="s">
        <v>52</v>
      </c>
      <c r="E3889" s="17" t="s">
        <v>1113</v>
      </c>
      <c r="F3889" s="17" t="s">
        <v>54</v>
      </c>
      <c r="G3889" s="17"/>
      <c r="H3889" s="19" t="s">
        <v>1114</v>
      </c>
      <c r="I3889" s="19"/>
      <c r="J3889" s="17" t="s">
        <v>82</v>
      </c>
      <c r="K3889" s="19">
        <v>205</v>
      </c>
      <c r="L3889" s="91">
        <v>65</v>
      </c>
      <c r="M3889" s="19">
        <v>2300</v>
      </c>
      <c r="N3889" s="19" t="s">
        <v>66</v>
      </c>
      <c r="O3889" s="19" t="s">
        <v>141</v>
      </c>
      <c r="P3889" s="19"/>
      <c r="Q3889" s="19">
        <v>1235</v>
      </c>
      <c r="R3889" s="19">
        <f>+P3888-Q3888-Q3889</f>
        <v>-74</v>
      </c>
      <c r="S3889" s="19">
        <f t="shared" si="184"/>
        <v>1070</v>
      </c>
      <c r="T3889" s="19" t="s">
        <v>42</v>
      </c>
      <c r="U3889" s="102" t="s">
        <v>1243</v>
      </c>
      <c r="V3889" s="253">
        <v>44934</v>
      </c>
      <c r="W3889" s="17" t="s">
        <v>44</v>
      </c>
      <c r="X3889" s="17"/>
      <c r="Y3889" s="68">
        <v>45253</v>
      </c>
      <c r="Z3889" s="17" t="s">
        <v>191</v>
      </c>
      <c r="AA3889" s="17" t="s">
        <v>46</v>
      </c>
      <c r="AB3889" s="17" t="s">
        <v>1244</v>
      </c>
      <c r="AC3889" s="66">
        <v>45286</v>
      </c>
      <c r="AD3889" s="65">
        <v>1505</v>
      </c>
      <c r="AE3889" s="17" t="s">
        <v>1252</v>
      </c>
      <c r="AF3889" s="17"/>
      <c r="AG3889" s="17"/>
      <c r="AH3889" s="17"/>
      <c r="AI3889" s="17"/>
      <c r="AJ3889" s="17"/>
      <c r="AK3889" s="17"/>
      <c r="AL3889" s="17"/>
      <c r="AM3889" s="17"/>
      <c r="AN3889" s="17"/>
      <c r="AO3889" s="17"/>
      <c r="AP3889" s="17"/>
      <c r="AQ3889" s="17"/>
      <c r="AR3889" s="17"/>
    </row>
    <row r="3890" s="20" customFormat="1" hidden="1" spans="1:44">
      <c r="A3890" s="17" t="s">
        <v>34</v>
      </c>
      <c r="B3890" s="19">
        <v>930</v>
      </c>
      <c r="C3890" s="222">
        <v>44934</v>
      </c>
      <c r="D3890" s="17" t="s">
        <v>52</v>
      </c>
      <c r="E3890" s="17" t="s">
        <v>1113</v>
      </c>
      <c r="F3890" s="17" t="s">
        <v>54</v>
      </c>
      <c r="G3890" s="17"/>
      <c r="H3890" s="19" t="s">
        <v>1114</v>
      </c>
      <c r="I3890" s="19"/>
      <c r="J3890" s="17" t="s">
        <v>82</v>
      </c>
      <c r="K3890" s="19">
        <v>230</v>
      </c>
      <c r="L3890" s="91">
        <v>65</v>
      </c>
      <c r="M3890" s="19">
        <v>2300</v>
      </c>
      <c r="N3890" s="19" t="s">
        <v>66</v>
      </c>
      <c r="O3890" s="19" t="s">
        <v>141</v>
      </c>
      <c r="P3890" s="19">
        <v>530</v>
      </c>
      <c r="Q3890" s="19">
        <f>266+268</f>
        <v>534</v>
      </c>
      <c r="R3890" s="19">
        <f>+P3890-Q3890</f>
        <v>-4</v>
      </c>
      <c r="S3890" s="19">
        <f t="shared" si="184"/>
        <v>1070</v>
      </c>
      <c r="T3890" s="19" t="s">
        <v>42</v>
      </c>
      <c r="U3890" s="102" t="s">
        <v>1243</v>
      </c>
      <c r="V3890" s="253">
        <v>44934</v>
      </c>
      <c r="W3890" s="17" t="s">
        <v>44</v>
      </c>
      <c r="X3890" s="17"/>
      <c r="Y3890" s="68">
        <v>45253</v>
      </c>
      <c r="Z3890" s="17" t="s">
        <v>191</v>
      </c>
      <c r="AA3890" s="17" t="s">
        <v>46</v>
      </c>
      <c r="AB3890" s="17" t="s">
        <v>1241</v>
      </c>
      <c r="AC3890" s="66">
        <v>45283</v>
      </c>
      <c r="AD3890" s="65">
        <v>1503</v>
      </c>
      <c r="AE3890" s="17" t="s">
        <v>48</v>
      </c>
      <c r="AF3890" s="17"/>
      <c r="AG3890" s="17"/>
      <c r="AH3890" s="17"/>
      <c r="AI3890" s="17"/>
      <c r="AJ3890" s="17"/>
      <c r="AK3890" s="17"/>
      <c r="AL3890" s="17"/>
      <c r="AM3890" s="17"/>
      <c r="AN3890" s="17"/>
      <c r="AO3890" s="17"/>
      <c r="AP3890" s="17"/>
      <c r="AQ3890" s="17"/>
      <c r="AR3890" s="17"/>
    </row>
    <row r="3891" s="20" customFormat="1" hidden="1" spans="1:44">
      <c r="A3891" s="17" t="s">
        <v>34</v>
      </c>
      <c r="B3891" s="19">
        <v>930</v>
      </c>
      <c r="C3891" s="222">
        <v>44934</v>
      </c>
      <c r="D3891" s="17" t="s">
        <v>52</v>
      </c>
      <c r="E3891" s="17" t="s">
        <v>1113</v>
      </c>
      <c r="F3891" s="17" t="s">
        <v>54</v>
      </c>
      <c r="G3891" s="17"/>
      <c r="H3891" s="19" t="s">
        <v>1114</v>
      </c>
      <c r="I3891" s="19"/>
      <c r="J3891" s="17" t="s">
        <v>82</v>
      </c>
      <c r="K3891" s="19">
        <v>255</v>
      </c>
      <c r="L3891" s="91">
        <v>65</v>
      </c>
      <c r="M3891" s="19">
        <v>2300</v>
      </c>
      <c r="N3891" s="19" t="s">
        <v>66</v>
      </c>
      <c r="O3891" s="19" t="s">
        <v>141</v>
      </c>
      <c r="P3891" s="19">
        <v>5293</v>
      </c>
      <c r="Q3891" s="19">
        <f>294+295+296+292+296+296+296+296</f>
        <v>2361</v>
      </c>
      <c r="R3891" s="17"/>
      <c r="S3891" s="19">
        <f t="shared" si="184"/>
        <v>1070</v>
      </c>
      <c r="T3891" s="19" t="s">
        <v>42</v>
      </c>
      <c r="U3891" s="102" t="s">
        <v>1243</v>
      </c>
      <c r="V3891" s="253">
        <v>44934</v>
      </c>
      <c r="W3891" s="17" t="s">
        <v>44</v>
      </c>
      <c r="X3891" s="17"/>
      <c r="Y3891" s="68">
        <v>45253</v>
      </c>
      <c r="Z3891" s="17" t="s">
        <v>191</v>
      </c>
      <c r="AA3891" s="17" t="s">
        <v>46</v>
      </c>
      <c r="AB3891" s="17" t="s">
        <v>1241</v>
      </c>
      <c r="AC3891" s="66">
        <v>45283</v>
      </c>
      <c r="AD3891" s="65">
        <v>1503</v>
      </c>
      <c r="AE3891" s="17" t="s">
        <v>1254</v>
      </c>
      <c r="AF3891" s="17"/>
      <c r="AG3891" s="17"/>
      <c r="AH3891" s="17"/>
      <c r="AI3891" s="17"/>
      <c r="AJ3891" s="17"/>
      <c r="AK3891" s="17"/>
      <c r="AL3891" s="17"/>
      <c r="AM3891" s="17"/>
      <c r="AN3891" s="17"/>
      <c r="AO3891" s="17"/>
      <c r="AP3891" s="17"/>
      <c r="AQ3891" s="17"/>
      <c r="AR3891" s="17"/>
    </row>
    <row r="3892" s="20" customFormat="1" hidden="1" spans="1:44">
      <c r="A3892" s="17" t="s">
        <v>34</v>
      </c>
      <c r="B3892" s="19">
        <v>930</v>
      </c>
      <c r="C3892" s="222">
        <v>44934</v>
      </c>
      <c r="D3892" s="17" t="s">
        <v>52</v>
      </c>
      <c r="E3892" s="17" t="s">
        <v>1113</v>
      </c>
      <c r="F3892" s="17" t="s">
        <v>54</v>
      </c>
      <c r="G3892" s="17"/>
      <c r="H3892" s="19" t="s">
        <v>1114</v>
      </c>
      <c r="I3892" s="19"/>
      <c r="J3892" s="17" t="s">
        <v>82</v>
      </c>
      <c r="K3892" s="19">
        <v>255</v>
      </c>
      <c r="L3892" s="91">
        <v>65</v>
      </c>
      <c r="M3892" s="19">
        <v>2300</v>
      </c>
      <c r="N3892" s="19" t="s">
        <v>66</v>
      </c>
      <c r="O3892" s="19" t="s">
        <v>141</v>
      </c>
      <c r="P3892" s="19"/>
      <c r="Q3892" s="19">
        <v>2426</v>
      </c>
      <c r="R3892" s="254"/>
      <c r="S3892" s="19">
        <f t="shared" si="184"/>
        <v>1070</v>
      </c>
      <c r="T3892" s="19" t="s">
        <v>42</v>
      </c>
      <c r="U3892" s="102" t="s">
        <v>1243</v>
      </c>
      <c r="V3892" s="253">
        <v>44934</v>
      </c>
      <c r="W3892" s="17" t="s">
        <v>44</v>
      </c>
      <c r="X3892" s="17"/>
      <c r="Y3892" s="68">
        <v>45253</v>
      </c>
      <c r="Z3892" s="17" t="s">
        <v>191</v>
      </c>
      <c r="AA3892" s="17" t="s">
        <v>46</v>
      </c>
      <c r="AB3892" s="17" t="s">
        <v>1244</v>
      </c>
      <c r="AC3892" s="66">
        <v>45286</v>
      </c>
      <c r="AD3892" s="65">
        <v>1505</v>
      </c>
      <c r="AE3892" s="17" t="s">
        <v>1254</v>
      </c>
      <c r="AF3892" s="17"/>
      <c r="AG3892" s="17"/>
      <c r="AH3892" s="17"/>
      <c r="AI3892" s="17"/>
      <c r="AJ3892" s="17"/>
      <c r="AK3892" s="17"/>
      <c r="AL3892" s="17"/>
      <c r="AM3892" s="17"/>
      <c r="AN3892" s="17"/>
      <c r="AO3892" s="17"/>
      <c r="AP3892" s="17"/>
      <c r="AQ3892" s="17"/>
      <c r="AR3892" s="17"/>
    </row>
    <row r="3893" s="20" customFormat="1" hidden="1" spans="1:44">
      <c r="A3893" s="17" t="s">
        <v>34</v>
      </c>
      <c r="B3893" s="19">
        <v>930</v>
      </c>
      <c r="C3893" s="222">
        <v>44934</v>
      </c>
      <c r="D3893" s="17" t="s">
        <v>52</v>
      </c>
      <c r="E3893" s="17" t="s">
        <v>1113</v>
      </c>
      <c r="F3893" s="17" t="s">
        <v>54</v>
      </c>
      <c r="G3893" s="17"/>
      <c r="H3893" s="19" t="s">
        <v>1114</v>
      </c>
      <c r="I3893" s="19"/>
      <c r="J3893" s="17" t="s">
        <v>82</v>
      </c>
      <c r="K3893" s="19">
        <v>255</v>
      </c>
      <c r="L3893" s="91">
        <v>65</v>
      </c>
      <c r="M3893" s="19">
        <v>2300</v>
      </c>
      <c r="N3893" s="19" t="s">
        <v>66</v>
      </c>
      <c r="O3893" s="19" t="s">
        <v>141</v>
      </c>
      <c r="P3893" s="19"/>
      <c r="Q3893" s="19">
        <v>304</v>
      </c>
      <c r="S3893" s="19">
        <f t="shared" si="184"/>
        <v>1070</v>
      </c>
      <c r="T3893" s="19" t="s">
        <v>42</v>
      </c>
      <c r="U3893" s="102" t="s">
        <v>1243</v>
      </c>
      <c r="V3893" s="253">
        <v>44934</v>
      </c>
      <c r="W3893" s="17" t="s">
        <v>44</v>
      </c>
      <c r="X3893" s="17"/>
      <c r="Y3893" s="68">
        <v>45253</v>
      </c>
      <c r="Z3893" s="17" t="s">
        <v>191</v>
      </c>
      <c r="AA3893" s="17" t="s">
        <v>46</v>
      </c>
      <c r="AB3893" s="17" t="s">
        <v>1250</v>
      </c>
      <c r="AC3893" s="217">
        <v>45351</v>
      </c>
      <c r="AD3893" s="65">
        <v>1533</v>
      </c>
      <c r="AE3893" s="17" t="s">
        <v>1254</v>
      </c>
      <c r="AF3893" s="17"/>
      <c r="AG3893" s="17"/>
      <c r="AH3893" s="17"/>
      <c r="AI3893" s="17"/>
      <c r="AJ3893" s="17"/>
      <c r="AK3893" s="17"/>
      <c r="AL3893" s="17"/>
      <c r="AM3893" s="17"/>
      <c r="AN3893" s="17"/>
      <c r="AO3893" s="17"/>
      <c r="AP3893" s="17"/>
      <c r="AQ3893" s="17"/>
      <c r="AR3893" s="17"/>
    </row>
    <row r="3894" s="20" customFormat="1" hidden="1" spans="1:44">
      <c r="A3894" s="17" t="s">
        <v>34</v>
      </c>
      <c r="B3894" s="19">
        <v>930</v>
      </c>
      <c r="C3894" s="222">
        <v>44934</v>
      </c>
      <c r="D3894" s="17" t="s">
        <v>52</v>
      </c>
      <c r="E3894" s="17" t="s">
        <v>1113</v>
      </c>
      <c r="F3894" s="17" t="s">
        <v>54</v>
      </c>
      <c r="G3894" s="17"/>
      <c r="H3894" s="19" t="s">
        <v>1114</v>
      </c>
      <c r="I3894" s="19"/>
      <c r="J3894" s="17" t="s">
        <v>82</v>
      </c>
      <c r="K3894" s="19">
        <v>255</v>
      </c>
      <c r="L3894" s="91">
        <v>65</v>
      </c>
      <c r="M3894" s="19">
        <v>2300</v>
      </c>
      <c r="N3894" s="19" t="s">
        <v>66</v>
      </c>
      <c r="O3894" s="19" t="s">
        <v>141</v>
      </c>
      <c r="P3894" s="19"/>
      <c r="Q3894" s="19">
        <v>299</v>
      </c>
      <c r="R3894" s="19">
        <f>+P3891-Q3891-Q3892-Q3893-Q3894</f>
        <v>-97</v>
      </c>
      <c r="S3894" s="19">
        <v>1030</v>
      </c>
      <c r="T3894" s="19" t="s">
        <v>42</v>
      </c>
      <c r="U3894" s="102" t="s">
        <v>1243</v>
      </c>
      <c r="V3894" s="253">
        <v>44934</v>
      </c>
      <c r="W3894" s="17" t="s">
        <v>44</v>
      </c>
      <c r="X3894" s="17"/>
      <c r="Y3894" s="68">
        <v>45253</v>
      </c>
      <c r="Z3894" s="17" t="s">
        <v>191</v>
      </c>
      <c r="AA3894" s="17" t="s">
        <v>46</v>
      </c>
      <c r="AB3894" s="17" t="s">
        <v>1249</v>
      </c>
      <c r="AC3894" s="217">
        <v>45380</v>
      </c>
      <c r="AD3894" s="65">
        <v>1547</v>
      </c>
      <c r="AE3894" s="17" t="s">
        <v>1254</v>
      </c>
      <c r="AF3894" s="17"/>
      <c r="AG3894" s="17"/>
      <c r="AH3894" s="17"/>
      <c r="AI3894" s="17"/>
      <c r="AJ3894" s="17"/>
      <c r="AK3894" s="17"/>
      <c r="AL3894" s="17"/>
      <c r="AM3894" s="17"/>
      <c r="AN3894" s="17"/>
      <c r="AO3894" s="17"/>
      <c r="AP3894" s="17"/>
      <c r="AQ3894" s="17"/>
      <c r="AR3894" s="17"/>
    </row>
    <row r="3895" s="20" customFormat="1" hidden="1" spans="1:44">
      <c r="A3895" s="17" t="s">
        <v>34</v>
      </c>
      <c r="B3895" s="19">
        <v>930</v>
      </c>
      <c r="C3895" s="222">
        <v>44934</v>
      </c>
      <c r="D3895" s="17" t="s">
        <v>52</v>
      </c>
      <c r="E3895" s="17" t="s">
        <v>1113</v>
      </c>
      <c r="F3895" s="17" t="s">
        <v>54</v>
      </c>
      <c r="G3895" s="17"/>
      <c r="H3895" s="19" t="s">
        <v>1114</v>
      </c>
      <c r="I3895" s="19"/>
      <c r="J3895" s="17" t="s">
        <v>82</v>
      </c>
      <c r="K3895" s="19">
        <v>280</v>
      </c>
      <c r="L3895" s="91">
        <v>65</v>
      </c>
      <c r="M3895" s="19">
        <v>2300</v>
      </c>
      <c r="N3895" s="19" t="s">
        <v>66</v>
      </c>
      <c r="O3895" s="19" t="s">
        <v>141</v>
      </c>
      <c r="P3895" s="19">
        <v>646</v>
      </c>
      <c r="Q3895" s="19">
        <f>326+324</f>
        <v>650</v>
      </c>
      <c r="R3895" s="19">
        <f>+P3895-Q3895</f>
        <v>-4</v>
      </c>
      <c r="S3895" s="19">
        <f t="shared" ref="S3895:S3936" si="185">1110-40</f>
        <v>1070</v>
      </c>
      <c r="T3895" s="19" t="s">
        <v>42</v>
      </c>
      <c r="U3895" s="102" t="s">
        <v>1243</v>
      </c>
      <c r="V3895" s="253">
        <v>44934</v>
      </c>
      <c r="W3895" s="17" t="s">
        <v>44</v>
      </c>
      <c r="X3895" s="17"/>
      <c r="Y3895" s="68">
        <v>45253</v>
      </c>
      <c r="Z3895" s="17" t="s">
        <v>191</v>
      </c>
      <c r="AA3895" s="17" t="s">
        <v>46</v>
      </c>
      <c r="AB3895" s="17" t="s">
        <v>1241</v>
      </c>
      <c r="AC3895" s="66">
        <v>45283</v>
      </c>
      <c r="AD3895" s="65">
        <v>1503</v>
      </c>
      <c r="AE3895" s="17" t="s">
        <v>48</v>
      </c>
      <c r="AF3895" s="17"/>
      <c r="AG3895" s="17"/>
      <c r="AH3895" s="17"/>
      <c r="AI3895" s="17"/>
      <c r="AJ3895" s="17"/>
      <c r="AK3895" s="17"/>
      <c r="AL3895" s="17"/>
      <c r="AM3895" s="17"/>
      <c r="AN3895" s="17"/>
      <c r="AO3895" s="17"/>
      <c r="AP3895" s="17"/>
      <c r="AQ3895" s="17"/>
      <c r="AR3895" s="17"/>
    </row>
    <row r="3896" s="20" customFormat="1" hidden="1" spans="1:44">
      <c r="A3896" s="17" t="s">
        <v>34</v>
      </c>
      <c r="B3896" s="19">
        <v>930</v>
      </c>
      <c r="C3896" s="222">
        <v>44934</v>
      </c>
      <c r="D3896" s="17" t="s">
        <v>52</v>
      </c>
      <c r="E3896" s="17" t="s">
        <v>1113</v>
      </c>
      <c r="F3896" s="17" t="s">
        <v>54</v>
      </c>
      <c r="G3896" s="17"/>
      <c r="H3896" s="19" t="s">
        <v>1114</v>
      </c>
      <c r="I3896" s="19"/>
      <c r="J3896" s="17" t="s">
        <v>82</v>
      </c>
      <c r="K3896" s="19">
        <v>305</v>
      </c>
      <c r="L3896" s="91">
        <v>65</v>
      </c>
      <c r="M3896" s="19">
        <v>2300</v>
      </c>
      <c r="N3896" s="19" t="s">
        <v>66</v>
      </c>
      <c r="O3896" s="19" t="s">
        <v>141</v>
      </c>
      <c r="P3896" s="19">
        <v>4924</v>
      </c>
      <c r="Q3896" s="19">
        <f>355+352+360+352+354+352+352+352</f>
        <v>2829</v>
      </c>
      <c r="R3896" s="17"/>
      <c r="S3896" s="19">
        <f t="shared" si="185"/>
        <v>1070</v>
      </c>
      <c r="T3896" s="19" t="s">
        <v>42</v>
      </c>
      <c r="U3896" s="102" t="s">
        <v>1243</v>
      </c>
      <c r="V3896" s="253">
        <v>44934</v>
      </c>
      <c r="W3896" s="17" t="s">
        <v>44</v>
      </c>
      <c r="X3896" s="17"/>
      <c r="Y3896" s="68">
        <v>45253</v>
      </c>
      <c r="Z3896" s="17" t="s">
        <v>191</v>
      </c>
      <c r="AA3896" s="17" t="s">
        <v>46</v>
      </c>
      <c r="AB3896" s="17" t="s">
        <v>1241</v>
      </c>
      <c r="AC3896" s="66">
        <v>45283</v>
      </c>
      <c r="AD3896" s="65">
        <v>1503</v>
      </c>
      <c r="AE3896" s="17" t="s">
        <v>1254</v>
      </c>
      <c r="AF3896" s="17"/>
      <c r="AG3896" s="17"/>
      <c r="AH3896" s="17"/>
      <c r="AI3896" s="17"/>
      <c r="AJ3896" s="17"/>
      <c r="AK3896" s="17"/>
      <c r="AL3896" s="17"/>
      <c r="AM3896" s="17"/>
      <c r="AN3896" s="17"/>
      <c r="AO3896" s="17"/>
      <c r="AP3896" s="17"/>
      <c r="AQ3896" s="17"/>
      <c r="AR3896" s="17"/>
    </row>
    <row r="3897" s="20" customFormat="1" hidden="1" spans="1:44">
      <c r="A3897" s="17" t="s">
        <v>34</v>
      </c>
      <c r="B3897" s="19">
        <v>930</v>
      </c>
      <c r="C3897" s="222">
        <v>44934</v>
      </c>
      <c r="D3897" s="17" t="s">
        <v>52</v>
      </c>
      <c r="E3897" s="17" t="s">
        <v>1113</v>
      </c>
      <c r="F3897" s="17" t="s">
        <v>54</v>
      </c>
      <c r="G3897" s="17"/>
      <c r="H3897" s="19" t="s">
        <v>1114</v>
      </c>
      <c r="I3897" s="19"/>
      <c r="J3897" s="17" t="s">
        <v>82</v>
      </c>
      <c r="K3897" s="19">
        <v>305</v>
      </c>
      <c r="L3897" s="91">
        <v>65</v>
      </c>
      <c r="M3897" s="19">
        <v>2300</v>
      </c>
      <c r="N3897" s="19" t="s">
        <v>66</v>
      </c>
      <c r="O3897" s="19" t="s">
        <v>141</v>
      </c>
      <c r="P3897" s="19"/>
      <c r="Q3897" s="19">
        <v>2173</v>
      </c>
      <c r="R3897" s="19">
        <f>+P3896-Q3896-Q3897</f>
        <v>-78</v>
      </c>
      <c r="S3897" s="19">
        <f t="shared" si="185"/>
        <v>1070</v>
      </c>
      <c r="T3897" s="19" t="s">
        <v>42</v>
      </c>
      <c r="U3897" s="102" t="s">
        <v>1243</v>
      </c>
      <c r="V3897" s="253">
        <v>44934</v>
      </c>
      <c r="W3897" s="17" t="s">
        <v>44</v>
      </c>
      <c r="X3897" s="17"/>
      <c r="Y3897" s="68">
        <v>45253</v>
      </c>
      <c r="Z3897" s="17" t="s">
        <v>191</v>
      </c>
      <c r="AA3897" s="17" t="s">
        <v>46</v>
      </c>
      <c r="AB3897" s="17" t="s">
        <v>1244</v>
      </c>
      <c r="AC3897" s="66">
        <v>45286</v>
      </c>
      <c r="AD3897" s="65">
        <v>1505</v>
      </c>
      <c r="AE3897" s="17" t="s">
        <v>1254</v>
      </c>
      <c r="AF3897" s="17"/>
      <c r="AG3897" s="17"/>
      <c r="AH3897" s="17"/>
      <c r="AI3897" s="17"/>
      <c r="AJ3897" s="17"/>
      <c r="AK3897" s="17"/>
      <c r="AL3897" s="17"/>
      <c r="AM3897" s="17"/>
      <c r="AN3897" s="17"/>
      <c r="AO3897" s="17"/>
      <c r="AP3897" s="17"/>
      <c r="AQ3897" s="17"/>
      <c r="AR3897" s="17"/>
    </row>
    <row r="3898" s="20" customFormat="1" hidden="1" spans="1:44">
      <c r="A3898" s="17" t="s">
        <v>34</v>
      </c>
      <c r="B3898" s="19">
        <v>930</v>
      </c>
      <c r="C3898" s="222">
        <v>44934</v>
      </c>
      <c r="D3898" s="17" t="s">
        <v>52</v>
      </c>
      <c r="E3898" s="17" t="s">
        <v>1113</v>
      </c>
      <c r="F3898" s="17" t="s">
        <v>54</v>
      </c>
      <c r="G3898" s="17"/>
      <c r="H3898" s="19" t="s">
        <v>1114</v>
      </c>
      <c r="I3898" s="19"/>
      <c r="J3898" s="17" t="s">
        <v>82</v>
      </c>
      <c r="K3898" s="19">
        <v>355</v>
      </c>
      <c r="L3898" s="91">
        <v>65</v>
      </c>
      <c r="M3898" s="19">
        <v>2300</v>
      </c>
      <c r="N3898" s="19" t="s">
        <v>66</v>
      </c>
      <c r="O3898" s="19" t="s">
        <v>141</v>
      </c>
      <c r="P3898" s="19">
        <v>4912</v>
      </c>
      <c r="Q3898" s="19">
        <v>1634</v>
      </c>
      <c r="R3898" s="17"/>
      <c r="S3898" s="19">
        <f t="shared" si="185"/>
        <v>1070</v>
      </c>
      <c r="T3898" s="19" t="s">
        <v>42</v>
      </c>
      <c r="U3898" s="102" t="s">
        <v>1243</v>
      </c>
      <c r="V3898" s="253">
        <v>44934</v>
      </c>
      <c r="W3898" s="17" t="s">
        <v>44</v>
      </c>
      <c r="X3898" s="17"/>
      <c r="Y3898" s="68">
        <v>45253</v>
      </c>
      <c r="Z3898" s="17" t="s">
        <v>191</v>
      </c>
      <c r="AA3898" s="17" t="s">
        <v>46</v>
      </c>
      <c r="AB3898" s="17" t="s">
        <v>1246</v>
      </c>
      <c r="AC3898" s="66">
        <v>45276</v>
      </c>
      <c r="AD3898" s="65">
        <v>1499</v>
      </c>
      <c r="AE3898" s="17" t="s">
        <v>1254</v>
      </c>
      <c r="AF3898" s="17"/>
      <c r="AG3898" s="17"/>
      <c r="AH3898" s="17"/>
      <c r="AI3898" s="17"/>
      <c r="AJ3898" s="17"/>
      <c r="AK3898" s="17"/>
      <c r="AL3898" s="17"/>
      <c r="AM3898" s="17"/>
      <c r="AN3898" s="17"/>
      <c r="AO3898" s="17"/>
      <c r="AP3898" s="17"/>
      <c r="AQ3898" s="17"/>
      <c r="AR3898" s="17"/>
    </row>
    <row r="3899" s="20" customFormat="1" hidden="1" spans="1:44">
      <c r="A3899" s="17" t="s">
        <v>34</v>
      </c>
      <c r="B3899" s="19">
        <v>930</v>
      </c>
      <c r="C3899" s="222">
        <v>44934</v>
      </c>
      <c r="D3899" s="17" t="s">
        <v>52</v>
      </c>
      <c r="E3899" s="17" t="s">
        <v>1113</v>
      </c>
      <c r="F3899" s="17" t="s">
        <v>54</v>
      </c>
      <c r="G3899" s="17"/>
      <c r="H3899" s="19" t="s">
        <v>1114</v>
      </c>
      <c r="I3899" s="19"/>
      <c r="J3899" s="17" t="s">
        <v>82</v>
      </c>
      <c r="K3899" s="19">
        <v>355</v>
      </c>
      <c r="L3899" s="91">
        <v>65</v>
      </c>
      <c r="M3899" s="19">
        <v>2300</v>
      </c>
      <c r="N3899" s="19" t="s">
        <v>66</v>
      </c>
      <c r="O3899" s="19" t="s">
        <v>141</v>
      </c>
      <c r="P3899" s="19"/>
      <c r="Q3899" s="19">
        <f>408+408+408+408</f>
        <v>1632</v>
      </c>
      <c r="R3899" s="17"/>
      <c r="S3899" s="19">
        <f t="shared" si="185"/>
        <v>1070</v>
      </c>
      <c r="T3899" s="19" t="s">
        <v>42</v>
      </c>
      <c r="U3899" s="102" t="s">
        <v>1243</v>
      </c>
      <c r="V3899" s="253">
        <v>44934</v>
      </c>
      <c r="W3899" s="17" t="s">
        <v>44</v>
      </c>
      <c r="X3899" s="17"/>
      <c r="Y3899" s="68">
        <v>45253</v>
      </c>
      <c r="Z3899" s="17" t="s">
        <v>191</v>
      </c>
      <c r="AA3899" s="17" t="s">
        <v>46</v>
      </c>
      <c r="AB3899" s="17" t="s">
        <v>1241</v>
      </c>
      <c r="AC3899" s="66">
        <v>45283</v>
      </c>
      <c r="AD3899" s="65">
        <v>1503</v>
      </c>
      <c r="AE3899" s="17" t="s">
        <v>1254</v>
      </c>
      <c r="AF3899" s="17"/>
      <c r="AG3899" s="17"/>
      <c r="AH3899" s="17"/>
      <c r="AI3899" s="17"/>
      <c r="AJ3899" s="17"/>
      <c r="AK3899" s="17"/>
      <c r="AL3899" s="17"/>
      <c r="AM3899" s="17"/>
      <c r="AN3899" s="17"/>
      <c r="AO3899" s="17"/>
      <c r="AP3899" s="17"/>
      <c r="AQ3899" s="17"/>
      <c r="AR3899" s="17"/>
    </row>
    <row r="3900" s="20" customFormat="1" hidden="1" spans="1:44">
      <c r="A3900" s="17" t="s">
        <v>34</v>
      </c>
      <c r="B3900" s="19">
        <v>930</v>
      </c>
      <c r="C3900" s="222">
        <v>44934</v>
      </c>
      <c r="D3900" s="17" t="s">
        <v>52</v>
      </c>
      <c r="E3900" s="17" t="s">
        <v>1113</v>
      </c>
      <c r="F3900" s="17" t="s">
        <v>54</v>
      </c>
      <c r="G3900" s="17"/>
      <c r="H3900" s="19" t="s">
        <v>1114</v>
      </c>
      <c r="I3900" s="19"/>
      <c r="J3900" s="17" t="s">
        <v>82</v>
      </c>
      <c r="K3900" s="19">
        <v>355</v>
      </c>
      <c r="L3900" s="91">
        <v>65</v>
      </c>
      <c r="M3900" s="19">
        <v>2300</v>
      </c>
      <c r="N3900" s="19" t="s">
        <v>66</v>
      </c>
      <c r="O3900" s="19" t="s">
        <v>141</v>
      </c>
      <c r="P3900" s="19"/>
      <c r="Q3900" s="19">
        <v>1685</v>
      </c>
      <c r="R3900" s="19">
        <f>+P3898-Q3898-Q3899-Q3900</f>
        <v>-39</v>
      </c>
      <c r="S3900" s="19">
        <f t="shared" si="185"/>
        <v>1070</v>
      </c>
      <c r="T3900" s="19" t="s">
        <v>42</v>
      </c>
      <c r="U3900" s="102" t="s">
        <v>1243</v>
      </c>
      <c r="V3900" s="253">
        <v>44934</v>
      </c>
      <c r="W3900" s="17" t="s">
        <v>44</v>
      </c>
      <c r="X3900" s="17"/>
      <c r="Y3900" s="68">
        <v>45253</v>
      </c>
      <c r="Z3900" s="17" t="s">
        <v>191</v>
      </c>
      <c r="AA3900" s="17" t="s">
        <v>46</v>
      </c>
      <c r="AB3900" s="17" t="s">
        <v>1244</v>
      </c>
      <c r="AC3900" s="66">
        <v>45286</v>
      </c>
      <c r="AD3900" s="65">
        <v>1505</v>
      </c>
      <c r="AE3900" s="17" t="s">
        <v>1254</v>
      </c>
      <c r="AF3900" s="17"/>
      <c r="AG3900" s="17"/>
      <c r="AH3900" s="17"/>
      <c r="AI3900" s="17"/>
      <c r="AJ3900" s="17"/>
      <c r="AK3900" s="17"/>
      <c r="AL3900" s="17"/>
      <c r="AM3900" s="17"/>
      <c r="AN3900" s="17"/>
      <c r="AO3900" s="17"/>
      <c r="AP3900" s="17"/>
      <c r="AQ3900" s="17"/>
      <c r="AR3900" s="17"/>
    </row>
    <row r="3901" s="20" customFormat="1" hidden="1" spans="1:44">
      <c r="A3901" s="17" t="s">
        <v>34</v>
      </c>
      <c r="B3901" s="19">
        <v>930</v>
      </c>
      <c r="C3901" s="222">
        <v>44934</v>
      </c>
      <c r="D3901" s="17" t="s">
        <v>52</v>
      </c>
      <c r="E3901" s="17" t="s">
        <v>1113</v>
      </c>
      <c r="F3901" s="17" t="s">
        <v>54</v>
      </c>
      <c r="G3901" s="17"/>
      <c r="H3901" s="19" t="s">
        <v>1114</v>
      </c>
      <c r="I3901" s="19"/>
      <c r="J3901" s="17" t="s">
        <v>82</v>
      </c>
      <c r="K3901" s="19">
        <v>405</v>
      </c>
      <c r="L3901" s="91">
        <v>65</v>
      </c>
      <c r="M3901" s="19">
        <v>2300</v>
      </c>
      <c r="N3901" s="19" t="s">
        <v>66</v>
      </c>
      <c r="O3901" s="19" t="s">
        <v>141</v>
      </c>
      <c r="P3901" s="19">
        <v>4670</v>
      </c>
      <c r="Q3901" s="19">
        <v>3747</v>
      </c>
      <c r="R3901" s="17"/>
      <c r="S3901" s="19">
        <f t="shared" si="185"/>
        <v>1070</v>
      </c>
      <c r="T3901" s="19" t="s">
        <v>42</v>
      </c>
      <c r="U3901" s="102" t="s">
        <v>1243</v>
      </c>
      <c r="V3901" s="253">
        <v>44934</v>
      </c>
      <c r="W3901" s="17" t="s">
        <v>44</v>
      </c>
      <c r="X3901" s="17"/>
      <c r="Y3901" s="68">
        <v>45253</v>
      </c>
      <c r="Z3901" s="17" t="s">
        <v>191</v>
      </c>
      <c r="AA3901" s="17" t="s">
        <v>46</v>
      </c>
      <c r="AB3901" s="17" t="s">
        <v>1246</v>
      </c>
      <c r="AC3901" s="66">
        <v>45276</v>
      </c>
      <c r="AD3901" s="65">
        <v>1499</v>
      </c>
      <c r="AE3901" s="17" t="s">
        <v>1179</v>
      </c>
      <c r="AF3901" s="17"/>
      <c r="AG3901" s="17"/>
      <c r="AH3901" s="17"/>
      <c r="AI3901" s="17"/>
      <c r="AJ3901" s="17"/>
      <c r="AK3901" s="17"/>
      <c r="AL3901" s="17"/>
      <c r="AM3901" s="17"/>
      <c r="AN3901" s="17"/>
      <c r="AO3901" s="17"/>
      <c r="AP3901" s="17"/>
      <c r="AQ3901" s="17"/>
      <c r="AR3901" s="17"/>
    </row>
    <row r="3902" s="20" customFormat="1" hidden="1" spans="1:44">
      <c r="A3902" s="17" t="s">
        <v>34</v>
      </c>
      <c r="B3902" s="19">
        <v>930</v>
      </c>
      <c r="C3902" s="222">
        <v>44934</v>
      </c>
      <c r="D3902" s="17" t="s">
        <v>52</v>
      </c>
      <c r="E3902" s="17" t="s">
        <v>1113</v>
      </c>
      <c r="F3902" s="17" t="s">
        <v>54</v>
      </c>
      <c r="G3902" s="17"/>
      <c r="H3902" s="19" t="s">
        <v>1114</v>
      </c>
      <c r="I3902" s="19"/>
      <c r="J3902" s="17" t="s">
        <v>82</v>
      </c>
      <c r="K3902" s="19">
        <v>405</v>
      </c>
      <c r="L3902" s="91">
        <v>65</v>
      </c>
      <c r="M3902" s="19">
        <v>2300</v>
      </c>
      <c r="N3902" s="19" t="s">
        <v>66</v>
      </c>
      <c r="O3902" s="19" t="s">
        <v>141</v>
      </c>
      <c r="P3902" s="19"/>
      <c r="Q3902" s="19">
        <f>466+466</f>
        <v>932</v>
      </c>
      <c r="R3902" s="19">
        <f>+P3901-Q3901-Q3902</f>
        <v>-9</v>
      </c>
      <c r="S3902" s="19">
        <f t="shared" si="185"/>
        <v>1070</v>
      </c>
      <c r="T3902" s="19" t="s">
        <v>42</v>
      </c>
      <c r="U3902" s="102" t="s">
        <v>1243</v>
      </c>
      <c r="V3902" s="253">
        <v>44934</v>
      </c>
      <c r="W3902" s="17" t="s">
        <v>44</v>
      </c>
      <c r="X3902" s="17"/>
      <c r="Y3902" s="68">
        <v>45253</v>
      </c>
      <c r="Z3902" s="17" t="s">
        <v>191</v>
      </c>
      <c r="AA3902" s="17" t="s">
        <v>46</v>
      </c>
      <c r="AB3902" s="17" t="s">
        <v>1241</v>
      </c>
      <c r="AC3902" s="66">
        <v>45283</v>
      </c>
      <c r="AD3902" s="65">
        <v>1503</v>
      </c>
      <c r="AE3902" s="17" t="s">
        <v>1179</v>
      </c>
      <c r="AF3902" s="17"/>
      <c r="AG3902" s="17"/>
      <c r="AH3902" s="17"/>
      <c r="AI3902" s="17"/>
      <c r="AJ3902" s="17"/>
      <c r="AK3902" s="17"/>
      <c r="AL3902" s="17"/>
      <c r="AM3902" s="17"/>
      <c r="AN3902" s="17"/>
      <c r="AO3902" s="17"/>
      <c r="AP3902" s="17"/>
      <c r="AQ3902" s="17"/>
      <c r="AR3902" s="17"/>
    </row>
    <row r="3903" s="20" customFormat="1" hidden="1" spans="1:44">
      <c r="A3903" s="17" t="s">
        <v>34</v>
      </c>
      <c r="B3903" s="19">
        <v>930</v>
      </c>
      <c r="C3903" s="222">
        <v>44934</v>
      </c>
      <c r="D3903" s="17" t="s">
        <v>52</v>
      </c>
      <c r="E3903" s="17" t="s">
        <v>1113</v>
      </c>
      <c r="F3903" s="17" t="s">
        <v>54</v>
      </c>
      <c r="G3903" s="17"/>
      <c r="H3903" s="19" t="s">
        <v>1114</v>
      </c>
      <c r="I3903" s="19"/>
      <c r="J3903" s="17" t="s">
        <v>82</v>
      </c>
      <c r="K3903" s="19">
        <v>455</v>
      </c>
      <c r="L3903" s="91">
        <v>65</v>
      </c>
      <c r="M3903" s="19">
        <v>2300</v>
      </c>
      <c r="N3903" s="19" t="s">
        <v>66</v>
      </c>
      <c r="O3903" s="19" t="s">
        <v>141</v>
      </c>
      <c r="P3903" s="19">
        <v>3148</v>
      </c>
      <c r="Q3903" s="19">
        <v>2091</v>
      </c>
      <c r="R3903" s="17"/>
      <c r="S3903" s="19">
        <f t="shared" si="185"/>
        <v>1070</v>
      </c>
      <c r="T3903" s="19" t="s">
        <v>42</v>
      </c>
      <c r="U3903" s="102" t="s">
        <v>1243</v>
      </c>
      <c r="V3903" s="253">
        <v>44934</v>
      </c>
      <c r="W3903" s="17" t="s">
        <v>44</v>
      </c>
      <c r="X3903" s="17"/>
      <c r="Y3903" s="68">
        <v>45253</v>
      </c>
      <c r="Z3903" s="17" t="s">
        <v>191</v>
      </c>
      <c r="AA3903" s="17" t="s">
        <v>46</v>
      </c>
      <c r="AB3903" s="17" t="s">
        <v>1246</v>
      </c>
      <c r="AC3903" s="66">
        <v>45276</v>
      </c>
      <c r="AD3903" s="65">
        <v>1499</v>
      </c>
      <c r="AE3903" s="17" t="s">
        <v>74</v>
      </c>
      <c r="AF3903" s="17"/>
      <c r="AG3903" s="17"/>
      <c r="AH3903" s="17"/>
      <c r="AI3903" s="17"/>
      <c r="AJ3903" s="17"/>
      <c r="AK3903" s="17"/>
      <c r="AL3903" s="17"/>
      <c r="AM3903" s="17"/>
      <c r="AN3903" s="17"/>
      <c r="AO3903" s="17"/>
      <c r="AP3903" s="17"/>
      <c r="AQ3903" s="17"/>
      <c r="AR3903" s="17"/>
    </row>
    <row r="3904" s="20" customFormat="1" hidden="1" spans="1:44">
      <c r="A3904" s="17" t="s">
        <v>34</v>
      </c>
      <c r="B3904" s="19">
        <v>930</v>
      </c>
      <c r="C3904" s="222">
        <v>44934</v>
      </c>
      <c r="D3904" s="17" t="s">
        <v>52</v>
      </c>
      <c r="E3904" s="17" t="s">
        <v>1113</v>
      </c>
      <c r="F3904" s="17" t="s">
        <v>54</v>
      </c>
      <c r="G3904" s="17"/>
      <c r="H3904" s="19" t="s">
        <v>1114</v>
      </c>
      <c r="I3904" s="19"/>
      <c r="J3904" s="17" t="s">
        <v>82</v>
      </c>
      <c r="K3904" s="19">
        <v>455</v>
      </c>
      <c r="L3904" s="91">
        <v>65</v>
      </c>
      <c r="M3904" s="19">
        <v>2300</v>
      </c>
      <c r="N3904" s="19" t="s">
        <v>66</v>
      </c>
      <c r="O3904" s="19" t="s">
        <v>141</v>
      </c>
      <c r="P3904" s="19"/>
      <c r="Q3904" s="19">
        <f>522+524</f>
        <v>1046</v>
      </c>
      <c r="R3904" s="19">
        <f>+P3903-Q3903-Q3904</f>
        <v>11</v>
      </c>
      <c r="S3904" s="19">
        <f t="shared" si="185"/>
        <v>1070</v>
      </c>
      <c r="T3904" s="19" t="s">
        <v>42</v>
      </c>
      <c r="U3904" s="102" t="s">
        <v>1243</v>
      </c>
      <c r="V3904" s="253">
        <v>44934</v>
      </c>
      <c r="W3904" s="17" t="s">
        <v>44</v>
      </c>
      <c r="X3904" s="17"/>
      <c r="Y3904" s="68">
        <v>45253</v>
      </c>
      <c r="Z3904" s="17" t="s">
        <v>191</v>
      </c>
      <c r="AA3904" s="17" t="s">
        <v>46</v>
      </c>
      <c r="AB3904" s="17" t="s">
        <v>1241</v>
      </c>
      <c r="AC3904" s="66">
        <v>45283</v>
      </c>
      <c r="AD3904" s="65">
        <v>1503</v>
      </c>
      <c r="AE3904" s="17" t="s">
        <v>74</v>
      </c>
      <c r="AF3904" s="17"/>
      <c r="AG3904" s="17"/>
      <c r="AH3904" s="17"/>
      <c r="AI3904" s="17"/>
      <c r="AJ3904" s="17"/>
      <c r="AK3904" s="17"/>
      <c r="AL3904" s="17"/>
      <c r="AM3904" s="17"/>
      <c r="AN3904" s="17"/>
      <c r="AO3904" s="17"/>
      <c r="AP3904" s="17"/>
      <c r="AQ3904" s="17"/>
      <c r="AR3904" s="17"/>
    </row>
    <row r="3905" s="20" customFormat="1" hidden="1" spans="1:44">
      <c r="A3905" s="17" t="s">
        <v>34</v>
      </c>
      <c r="B3905" s="19">
        <v>930</v>
      </c>
      <c r="C3905" s="222">
        <v>44934</v>
      </c>
      <c r="D3905" s="17" t="s">
        <v>52</v>
      </c>
      <c r="E3905" s="17" t="s">
        <v>1113</v>
      </c>
      <c r="F3905" s="17" t="s">
        <v>54</v>
      </c>
      <c r="G3905" s="17"/>
      <c r="H3905" s="19" t="s">
        <v>1114</v>
      </c>
      <c r="I3905" s="19"/>
      <c r="J3905" s="17" t="s">
        <v>82</v>
      </c>
      <c r="K3905" s="19">
        <v>505</v>
      </c>
      <c r="L3905" s="91">
        <v>65</v>
      </c>
      <c r="M3905" s="19">
        <v>2300</v>
      </c>
      <c r="N3905" s="19" t="s">
        <v>66</v>
      </c>
      <c r="O3905" s="19" t="s">
        <v>141</v>
      </c>
      <c r="P3905" s="19">
        <v>2912</v>
      </c>
      <c r="Q3905" s="19">
        <v>2318</v>
      </c>
      <c r="R3905" s="17"/>
      <c r="S3905" s="19">
        <f t="shared" si="185"/>
        <v>1070</v>
      </c>
      <c r="T3905" s="19" t="s">
        <v>42</v>
      </c>
      <c r="U3905" s="102" t="s">
        <v>1243</v>
      </c>
      <c r="V3905" s="253">
        <v>44934</v>
      </c>
      <c r="W3905" s="17" t="s">
        <v>44</v>
      </c>
      <c r="X3905" s="17"/>
      <c r="Y3905" s="68">
        <v>45253</v>
      </c>
      <c r="Z3905" s="17" t="s">
        <v>191</v>
      </c>
      <c r="AA3905" s="17" t="s">
        <v>46</v>
      </c>
      <c r="AB3905" s="17" t="s">
        <v>1246</v>
      </c>
      <c r="AC3905" s="66">
        <v>45276</v>
      </c>
      <c r="AD3905" s="65">
        <v>1499</v>
      </c>
      <c r="AE3905" s="17" t="s">
        <v>74</v>
      </c>
      <c r="AF3905" s="17"/>
      <c r="AG3905" s="17"/>
      <c r="AH3905" s="17"/>
      <c r="AI3905" s="17"/>
      <c r="AJ3905" s="17"/>
      <c r="AK3905" s="17"/>
      <c r="AL3905" s="17"/>
      <c r="AM3905" s="17"/>
      <c r="AN3905" s="17"/>
      <c r="AO3905" s="17"/>
      <c r="AP3905" s="17"/>
      <c r="AQ3905" s="17"/>
      <c r="AR3905" s="17"/>
    </row>
    <row r="3906" s="20" customFormat="1" hidden="1" spans="1:44">
      <c r="A3906" s="17" t="s">
        <v>34</v>
      </c>
      <c r="B3906" s="19">
        <v>930</v>
      </c>
      <c r="C3906" s="222">
        <v>44934</v>
      </c>
      <c r="D3906" s="17" t="s">
        <v>52</v>
      </c>
      <c r="E3906" s="17" t="s">
        <v>1113</v>
      </c>
      <c r="F3906" s="17" t="s">
        <v>54</v>
      </c>
      <c r="G3906" s="17"/>
      <c r="H3906" s="19" t="s">
        <v>1114</v>
      </c>
      <c r="I3906" s="19"/>
      <c r="J3906" s="17" t="s">
        <v>82</v>
      </c>
      <c r="K3906" s="19">
        <v>505</v>
      </c>
      <c r="L3906" s="91">
        <v>65</v>
      </c>
      <c r="M3906" s="19">
        <v>2300</v>
      </c>
      <c r="N3906" s="19" t="s">
        <v>66</v>
      </c>
      <c r="O3906" s="19" t="s">
        <v>141</v>
      </c>
      <c r="P3906" s="19"/>
      <c r="Q3906" s="19">
        <v>578</v>
      </c>
      <c r="R3906" s="19">
        <f>+P3905-Q3905-Q3906</f>
        <v>16</v>
      </c>
      <c r="S3906" s="19">
        <f t="shared" si="185"/>
        <v>1070</v>
      </c>
      <c r="T3906" s="19" t="s">
        <v>42</v>
      </c>
      <c r="U3906" s="102" t="s">
        <v>1243</v>
      </c>
      <c r="V3906" s="253">
        <v>44934</v>
      </c>
      <c r="W3906" s="17" t="s">
        <v>44</v>
      </c>
      <c r="X3906" s="17"/>
      <c r="Y3906" s="68">
        <v>45253</v>
      </c>
      <c r="Z3906" s="17" t="s">
        <v>191</v>
      </c>
      <c r="AA3906" s="17" t="s">
        <v>46</v>
      </c>
      <c r="AB3906" s="17" t="s">
        <v>1242</v>
      </c>
      <c r="AC3906" s="217">
        <v>45089</v>
      </c>
      <c r="AD3906" s="65">
        <v>1496</v>
      </c>
      <c r="AE3906" s="17" t="s">
        <v>74</v>
      </c>
      <c r="AF3906" s="17"/>
      <c r="AG3906" s="17"/>
      <c r="AH3906" s="17"/>
      <c r="AI3906" s="17"/>
      <c r="AJ3906" s="17"/>
      <c r="AK3906" s="17"/>
      <c r="AL3906" s="17"/>
      <c r="AM3906" s="17"/>
      <c r="AN3906" s="17"/>
      <c r="AO3906" s="17"/>
      <c r="AP3906" s="17"/>
      <c r="AQ3906" s="17"/>
      <c r="AR3906" s="17"/>
    </row>
    <row r="3907" s="20" customFormat="1" hidden="1" spans="1:44">
      <c r="A3907" s="17" t="s">
        <v>34</v>
      </c>
      <c r="B3907" s="19">
        <v>930</v>
      </c>
      <c r="C3907" s="222">
        <v>44934</v>
      </c>
      <c r="D3907" s="17" t="s">
        <v>52</v>
      </c>
      <c r="E3907" s="17" t="s">
        <v>1113</v>
      </c>
      <c r="F3907" s="17" t="s">
        <v>54</v>
      </c>
      <c r="G3907" s="17"/>
      <c r="H3907" s="19" t="s">
        <v>1114</v>
      </c>
      <c r="I3907" s="19"/>
      <c r="J3907" s="17" t="s">
        <v>82</v>
      </c>
      <c r="K3907" s="19">
        <v>555</v>
      </c>
      <c r="L3907" s="91">
        <v>65</v>
      </c>
      <c r="M3907" s="19">
        <v>2300</v>
      </c>
      <c r="N3907" s="19" t="s">
        <v>66</v>
      </c>
      <c r="O3907" s="19" t="s">
        <v>141</v>
      </c>
      <c r="P3907" s="19">
        <v>1920</v>
      </c>
      <c r="Q3907" s="19">
        <f>637+641+641</f>
        <v>1919</v>
      </c>
      <c r="R3907" s="19">
        <f>+P3907-Q3907</f>
        <v>1</v>
      </c>
      <c r="S3907" s="19">
        <f t="shared" si="185"/>
        <v>1070</v>
      </c>
      <c r="T3907" s="19" t="s">
        <v>42</v>
      </c>
      <c r="U3907" s="102" t="s">
        <v>1243</v>
      </c>
      <c r="V3907" s="253">
        <v>44934</v>
      </c>
      <c r="W3907" s="17" t="s">
        <v>44</v>
      </c>
      <c r="X3907" s="17"/>
      <c r="Y3907" s="68">
        <v>45253</v>
      </c>
      <c r="Z3907" s="17" t="s">
        <v>191</v>
      </c>
      <c r="AA3907" s="17" t="s">
        <v>46</v>
      </c>
      <c r="AB3907" s="17" t="s">
        <v>1242</v>
      </c>
      <c r="AC3907" s="217">
        <v>45089</v>
      </c>
      <c r="AD3907" s="65">
        <v>1496</v>
      </c>
      <c r="AE3907" s="17" t="s">
        <v>74</v>
      </c>
      <c r="AF3907" s="17"/>
      <c r="AG3907" s="17"/>
      <c r="AH3907" s="17"/>
      <c r="AI3907" s="17"/>
      <c r="AJ3907" s="17"/>
      <c r="AK3907" s="17"/>
      <c r="AL3907" s="17"/>
      <c r="AM3907" s="17"/>
      <c r="AN3907" s="17"/>
      <c r="AO3907" s="17"/>
      <c r="AP3907" s="17"/>
      <c r="AQ3907" s="17"/>
      <c r="AR3907" s="17"/>
    </row>
    <row r="3908" s="20" customFormat="1" hidden="1" spans="1:44">
      <c r="A3908" s="17" t="s">
        <v>34</v>
      </c>
      <c r="B3908" s="19">
        <v>930</v>
      </c>
      <c r="C3908" s="222">
        <v>44934</v>
      </c>
      <c r="D3908" s="17" t="s">
        <v>52</v>
      </c>
      <c r="E3908" s="17" t="s">
        <v>1113</v>
      </c>
      <c r="F3908" s="17" t="s">
        <v>54</v>
      </c>
      <c r="G3908" s="17"/>
      <c r="H3908" s="19" t="s">
        <v>1114</v>
      </c>
      <c r="I3908" s="19"/>
      <c r="J3908" s="17" t="s">
        <v>82</v>
      </c>
      <c r="K3908" s="19">
        <v>605</v>
      </c>
      <c r="L3908" s="91">
        <v>65</v>
      </c>
      <c r="M3908" s="19">
        <v>2300</v>
      </c>
      <c r="N3908" s="19" t="s">
        <v>66</v>
      </c>
      <c r="O3908" s="19" t="s">
        <v>141</v>
      </c>
      <c r="P3908" s="19">
        <v>1395</v>
      </c>
      <c r="Q3908" s="19">
        <f>695+705</f>
        <v>1400</v>
      </c>
      <c r="R3908" s="19">
        <f>+P3908-Q3908</f>
        <v>-5</v>
      </c>
      <c r="S3908" s="19">
        <f t="shared" si="185"/>
        <v>1070</v>
      </c>
      <c r="T3908" s="19" t="s">
        <v>42</v>
      </c>
      <c r="U3908" s="102" t="s">
        <v>1243</v>
      </c>
      <c r="V3908" s="253">
        <v>44934</v>
      </c>
      <c r="W3908" s="17" t="s">
        <v>44</v>
      </c>
      <c r="X3908" s="17"/>
      <c r="Y3908" s="68">
        <v>45253</v>
      </c>
      <c r="Z3908" s="17" t="s">
        <v>191</v>
      </c>
      <c r="AA3908" s="17" t="s">
        <v>46</v>
      </c>
      <c r="AB3908" s="17" t="s">
        <v>1242</v>
      </c>
      <c r="AC3908" s="217">
        <v>45089</v>
      </c>
      <c r="AD3908" s="65">
        <v>1496</v>
      </c>
      <c r="AE3908" s="17" t="s">
        <v>74</v>
      </c>
      <c r="AF3908" s="17"/>
      <c r="AG3908" s="17"/>
      <c r="AH3908" s="17"/>
      <c r="AI3908" s="17"/>
      <c r="AJ3908" s="17"/>
      <c r="AK3908" s="17"/>
      <c r="AL3908" s="17"/>
      <c r="AM3908" s="17"/>
      <c r="AN3908" s="17"/>
      <c r="AO3908" s="17"/>
      <c r="AP3908" s="17"/>
      <c r="AQ3908" s="17"/>
      <c r="AR3908" s="17"/>
    </row>
    <row r="3909" s="20" customFormat="1" hidden="1" spans="1:44">
      <c r="A3909" s="17" t="s">
        <v>34</v>
      </c>
      <c r="B3909" s="19">
        <v>930</v>
      </c>
      <c r="C3909" s="222">
        <v>44934</v>
      </c>
      <c r="D3909" s="17" t="s">
        <v>52</v>
      </c>
      <c r="E3909" s="17" t="s">
        <v>1113</v>
      </c>
      <c r="F3909" s="17" t="s">
        <v>54</v>
      </c>
      <c r="G3909" s="17"/>
      <c r="H3909" s="19" t="s">
        <v>1114</v>
      </c>
      <c r="I3909" s="19"/>
      <c r="J3909" s="17" t="s">
        <v>82</v>
      </c>
      <c r="K3909" s="19">
        <v>205</v>
      </c>
      <c r="L3909" s="91">
        <v>80</v>
      </c>
      <c r="M3909" s="19">
        <v>2300</v>
      </c>
      <c r="N3909" s="19" t="s">
        <v>66</v>
      </c>
      <c r="O3909" s="19" t="s">
        <v>141</v>
      </c>
      <c r="P3909" s="19">
        <v>2037</v>
      </c>
      <c r="Q3909" s="19">
        <v>306</v>
      </c>
      <c r="R3909" s="17"/>
      <c r="S3909" s="19">
        <f t="shared" si="185"/>
        <v>1070</v>
      </c>
      <c r="T3909" s="19" t="s">
        <v>42</v>
      </c>
      <c r="U3909" s="102" t="s">
        <v>1243</v>
      </c>
      <c r="V3909" s="253">
        <v>44934</v>
      </c>
      <c r="W3909" s="17" t="s">
        <v>44</v>
      </c>
      <c r="X3909" s="17"/>
      <c r="Y3909" s="68">
        <v>45253</v>
      </c>
      <c r="Z3909" s="17" t="s">
        <v>191</v>
      </c>
      <c r="AA3909" s="17" t="s">
        <v>46</v>
      </c>
      <c r="AB3909" s="17" t="s">
        <v>1244</v>
      </c>
      <c r="AC3909" s="66">
        <v>45286</v>
      </c>
      <c r="AD3909" s="65">
        <v>1505</v>
      </c>
      <c r="AE3909" s="17" t="s">
        <v>74</v>
      </c>
      <c r="AF3909" s="17"/>
      <c r="AG3909" s="17"/>
      <c r="AH3909" s="17"/>
      <c r="AI3909" s="17"/>
      <c r="AJ3909" s="17"/>
      <c r="AK3909" s="17"/>
      <c r="AL3909" s="17"/>
      <c r="AM3909" s="17"/>
      <c r="AN3909" s="17"/>
      <c r="AO3909" s="17"/>
      <c r="AP3909" s="17"/>
      <c r="AQ3909" s="17"/>
      <c r="AR3909" s="17"/>
    </row>
    <row r="3910" s="20" customFormat="1" hidden="1" spans="1:44">
      <c r="A3910" s="17" t="s">
        <v>34</v>
      </c>
      <c r="B3910" s="19">
        <v>930</v>
      </c>
      <c r="C3910" s="222">
        <v>44934</v>
      </c>
      <c r="D3910" s="17" t="s">
        <v>52</v>
      </c>
      <c r="E3910" s="17" t="s">
        <v>1113</v>
      </c>
      <c r="F3910" s="17" t="s">
        <v>54</v>
      </c>
      <c r="G3910" s="17"/>
      <c r="H3910" s="19" t="s">
        <v>1114</v>
      </c>
      <c r="I3910" s="19"/>
      <c r="J3910" s="17" t="s">
        <v>82</v>
      </c>
      <c r="K3910" s="19">
        <v>205</v>
      </c>
      <c r="L3910" s="91">
        <v>80</v>
      </c>
      <c r="M3910" s="19">
        <v>2300</v>
      </c>
      <c r="N3910" s="19" t="s">
        <v>66</v>
      </c>
      <c r="O3910" s="19" t="s">
        <v>141</v>
      </c>
      <c r="P3910" s="19"/>
      <c r="Q3910" s="19">
        <f>600+302</f>
        <v>902</v>
      </c>
      <c r="R3910" s="17"/>
      <c r="S3910" s="19">
        <f t="shared" si="185"/>
        <v>1070</v>
      </c>
      <c r="T3910" s="19" t="s">
        <v>42</v>
      </c>
      <c r="U3910" s="102" t="s">
        <v>1243</v>
      </c>
      <c r="V3910" s="253">
        <v>44934</v>
      </c>
      <c r="W3910" s="17" t="s">
        <v>44</v>
      </c>
      <c r="X3910" s="17"/>
      <c r="Y3910" s="68">
        <v>45253</v>
      </c>
      <c r="Z3910" s="17" t="s">
        <v>191</v>
      </c>
      <c r="AA3910" s="17" t="s">
        <v>46</v>
      </c>
      <c r="AB3910" s="17" t="s">
        <v>1260</v>
      </c>
      <c r="AC3910" s="66">
        <v>45288</v>
      </c>
      <c r="AD3910" s="65">
        <v>1507</v>
      </c>
      <c r="AE3910" s="17" t="s">
        <v>74</v>
      </c>
      <c r="AF3910" s="17"/>
      <c r="AG3910" s="17"/>
      <c r="AH3910" s="17"/>
      <c r="AI3910" s="17"/>
      <c r="AJ3910" s="17"/>
      <c r="AK3910" s="17"/>
      <c r="AL3910" s="17"/>
      <c r="AM3910" s="17"/>
      <c r="AN3910" s="17"/>
      <c r="AO3910" s="17"/>
      <c r="AP3910" s="17"/>
      <c r="AQ3910" s="17"/>
      <c r="AR3910" s="17"/>
    </row>
    <row r="3911" s="20" customFormat="1" hidden="1" spans="1:44">
      <c r="A3911" s="17" t="s">
        <v>34</v>
      </c>
      <c r="B3911" s="19">
        <v>930</v>
      </c>
      <c r="C3911" s="222">
        <v>44934</v>
      </c>
      <c r="D3911" s="17" t="s">
        <v>52</v>
      </c>
      <c r="E3911" s="17" t="s">
        <v>1113</v>
      </c>
      <c r="F3911" s="17" t="s">
        <v>54</v>
      </c>
      <c r="G3911" s="17"/>
      <c r="H3911" s="19" t="s">
        <v>1114</v>
      </c>
      <c r="I3911" s="19"/>
      <c r="J3911" s="17" t="s">
        <v>82</v>
      </c>
      <c r="K3911" s="19">
        <v>205</v>
      </c>
      <c r="L3911" s="91">
        <v>80</v>
      </c>
      <c r="M3911" s="19">
        <v>2300</v>
      </c>
      <c r="N3911" s="19" t="s">
        <v>66</v>
      </c>
      <c r="O3911" s="19" t="s">
        <v>141</v>
      </c>
      <c r="P3911" s="19"/>
      <c r="Q3911" s="19">
        <v>298</v>
      </c>
      <c r="R3911" s="21"/>
      <c r="S3911" s="19">
        <f t="shared" si="185"/>
        <v>1070</v>
      </c>
      <c r="T3911" s="19" t="s">
        <v>42</v>
      </c>
      <c r="U3911" s="102" t="s">
        <v>1243</v>
      </c>
      <c r="V3911" s="253">
        <v>44934</v>
      </c>
      <c r="W3911" s="17" t="s">
        <v>44</v>
      </c>
      <c r="X3911" s="17"/>
      <c r="Y3911" s="68">
        <v>45253</v>
      </c>
      <c r="Z3911" s="17" t="s">
        <v>191</v>
      </c>
      <c r="AA3911" s="17" t="s">
        <v>46</v>
      </c>
      <c r="AB3911" s="17" t="s">
        <v>1236</v>
      </c>
      <c r="AC3911" s="66">
        <v>45288</v>
      </c>
      <c r="AD3911" s="65">
        <v>1508</v>
      </c>
      <c r="AE3911" s="17" t="s">
        <v>74</v>
      </c>
      <c r="AF3911" s="17"/>
      <c r="AG3911" s="17"/>
      <c r="AH3911" s="17"/>
      <c r="AI3911" s="17"/>
      <c r="AJ3911" s="17"/>
      <c r="AK3911" s="17"/>
      <c r="AL3911" s="17"/>
      <c r="AM3911" s="17"/>
      <c r="AN3911" s="17"/>
      <c r="AO3911" s="17"/>
      <c r="AP3911" s="17"/>
      <c r="AQ3911" s="17"/>
      <c r="AR3911" s="17"/>
    </row>
    <row r="3912" s="20" customFormat="1" hidden="1" spans="1:44">
      <c r="A3912" s="17" t="s">
        <v>34</v>
      </c>
      <c r="B3912" s="19">
        <v>930</v>
      </c>
      <c r="C3912" s="222">
        <v>44934</v>
      </c>
      <c r="D3912" s="17" t="s">
        <v>52</v>
      </c>
      <c r="E3912" s="17" t="s">
        <v>1113</v>
      </c>
      <c r="F3912" s="17" t="s">
        <v>54</v>
      </c>
      <c r="G3912" s="17"/>
      <c r="H3912" s="19" t="s">
        <v>1114</v>
      </c>
      <c r="I3912" s="19"/>
      <c r="J3912" s="17" t="s">
        <v>82</v>
      </c>
      <c r="K3912" s="19">
        <v>205</v>
      </c>
      <c r="L3912" s="91">
        <v>80</v>
      </c>
      <c r="M3912" s="19">
        <v>2300</v>
      </c>
      <c r="N3912" s="19" t="s">
        <v>66</v>
      </c>
      <c r="O3912" s="19" t="s">
        <v>141</v>
      </c>
      <c r="P3912" s="19"/>
      <c r="Q3912" s="19">
        <f>303+303</f>
        <v>606</v>
      </c>
      <c r="R3912" s="19">
        <f>+P3909-Q3909-Q3910-Q3911-Q3912</f>
        <v>-75</v>
      </c>
      <c r="S3912" s="19">
        <f t="shared" si="185"/>
        <v>1070</v>
      </c>
      <c r="T3912" s="19" t="s">
        <v>42</v>
      </c>
      <c r="U3912" s="102" t="s">
        <v>1243</v>
      </c>
      <c r="V3912" s="253">
        <v>44934</v>
      </c>
      <c r="W3912" s="17" t="s">
        <v>44</v>
      </c>
      <c r="X3912" s="17"/>
      <c r="Y3912" s="68">
        <v>45253</v>
      </c>
      <c r="Z3912" s="17" t="s">
        <v>191</v>
      </c>
      <c r="AA3912" s="17" t="s">
        <v>46</v>
      </c>
      <c r="AB3912" s="17" t="s">
        <v>1261</v>
      </c>
      <c r="AC3912" s="66">
        <v>45364</v>
      </c>
      <c r="AD3912" s="65">
        <v>1538</v>
      </c>
      <c r="AE3912" s="17" t="s">
        <v>74</v>
      </c>
      <c r="AF3912" s="17"/>
      <c r="AG3912" s="17"/>
      <c r="AH3912" s="17"/>
      <c r="AI3912" s="17"/>
      <c r="AJ3912" s="17"/>
      <c r="AK3912" s="17"/>
      <c r="AL3912" s="17"/>
      <c r="AM3912" s="17"/>
      <c r="AN3912" s="17"/>
      <c r="AO3912" s="17"/>
      <c r="AP3912" s="17"/>
      <c r="AQ3912" s="17"/>
      <c r="AR3912" s="17"/>
    </row>
    <row r="3913" s="20" customFormat="1" hidden="1" spans="1:44">
      <c r="A3913" s="17" t="s">
        <v>34</v>
      </c>
      <c r="B3913" s="19">
        <v>930</v>
      </c>
      <c r="C3913" s="222">
        <v>44934</v>
      </c>
      <c r="D3913" s="17" t="s">
        <v>52</v>
      </c>
      <c r="E3913" s="17" t="s">
        <v>1113</v>
      </c>
      <c r="F3913" s="17" t="s">
        <v>54</v>
      </c>
      <c r="G3913" s="17"/>
      <c r="H3913" s="19" t="s">
        <v>1114</v>
      </c>
      <c r="I3913" s="19"/>
      <c r="J3913" s="17" t="s">
        <v>82</v>
      </c>
      <c r="K3913" s="19">
        <v>255</v>
      </c>
      <c r="L3913" s="91">
        <v>80</v>
      </c>
      <c r="M3913" s="19">
        <v>2300</v>
      </c>
      <c r="N3913" s="19" t="s">
        <v>66</v>
      </c>
      <c r="O3913" s="19" t="s">
        <v>141</v>
      </c>
      <c r="P3913" s="19">
        <v>2171</v>
      </c>
      <c r="Q3913" s="19">
        <v>1126</v>
      </c>
      <c r="R3913" s="17"/>
      <c r="S3913" s="19">
        <f t="shared" si="185"/>
        <v>1070</v>
      </c>
      <c r="T3913" s="19" t="s">
        <v>42</v>
      </c>
      <c r="U3913" s="102" t="s">
        <v>1243</v>
      </c>
      <c r="V3913" s="253">
        <v>44934</v>
      </c>
      <c r="W3913" s="17" t="s">
        <v>44</v>
      </c>
      <c r="X3913" s="17"/>
      <c r="Y3913" s="68">
        <v>45253</v>
      </c>
      <c r="Z3913" s="17" t="s">
        <v>191</v>
      </c>
      <c r="AA3913" s="17" t="s">
        <v>46</v>
      </c>
      <c r="AB3913" s="17" t="s">
        <v>1244</v>
      </c>
      <c r="AC3913" s="66">
        <v>45286</v>
      </c>
      <c r="AD3913" s="65">
        <v>1505</v>
      </c>
      <c r="AE3913" s="17" t="s">
        <v>74</v>
      </c>
      <c r="AF3913" s="17"/>
      <c r="AG3913" s="17"/>
      <c r="AH3913" s="17"/>
      <c r="AI3913" s="17"/>
      <c r="AJ3913" s="17"/>
      <c r="AK3913" s="17"/>
      <c r="AL3913" s="17"/>
      <c r="AM3913" s="17"/>
      <c r="AN3913" s="17"/>
      <c r="AO3913" s="17"/>
      <c r="AP3913" s="17"/>
      <c r="AQ3913" s="17"/>
      <c r="AR3913" s="17"/>
    </row>
    <row r="3914" s="20" customFormat="1" hidden="1" spans="1:44">
      <c r="A3914" s="17" t="s">
        <v>34</v>
      </c>
      <c r="B3914" s="19">
        <v>930</v>
      </c>
      <c r="C3914" s="222">
        <v>44934</v>
      </c>
      <c r="D3914" s="17" t="s">
        <v>52</v>
      </c>
      <c r="E3914" s="17" t="s">
        <v>1113</v>
      </c>
      <c r="F3914" s="17" t="s">
        <v>54</v>
      </c>
      <c r="G3914" s="17"/>
      <c r="H3914" s="19" t="s">
        <v>1114</v>
      </c>
      <c r="I3914" s="19"/>
      <c r="J3914" s="17" t="s">
        <v>82</v>
      </c>
      <c r="K3914" s="19">
        <v>255</v>
      </c>
      <c r="L3914" s="91">
        <v>80</v>
      </c>
      <c r="M3914" s="19">
        <v>2300</v>
      </c>
      <c r="N3914" s="19" t="s">
        <v>66</v>
      </c>
      <c r="O3914" s="19" t="s">
        <v>141</v>
      </c>
      <c r="P3914" s="19"/>
      <c r="Q3914" s="19">
        <v>754</v>
      </c>
      <c r="R3914" s="17"/>
      <c r="S3914" s="19">
        <f t="shared" si="185"/>
        <v>1070</v>
      </c>
      <c r="T3914" s="19" t="s">
        <v>42</v>
      </c>
      <c r="U3914" s="102" t="s">
        <v>1243</v>
      </c>
      <c r="V3914" s="253">
        <v>44934</v>
      </c>
      <c r="W3914" s="17" t="s">
        <v>44</v>
      </c>
      <c r="X3914" s="17"/>
      <c r="Y3914" s="68">
        <v>45253</v>
      </c>
      <c r="Z3914" s="17" t="s">
        <v>191</v>
      </c>
      <c r="AA3914" s="17" t="s">
        <v>46</v>
      </c>
      <c r="AB3914" s="17" t="s">
        <v>1260</v>
      </c>
      <c r="AC3914" s="66">
        <v>45288</v>
      </c>
      <c r="AD3914" s="65">
        <v>1507</v>
      </c>
      <c r="AE3914" s="17" t="s">
        <v>74</v>
      </c>
      <c r="AF3914" s="17"/>
      <c r="AG3914" s="17"/>
      <c r="AH3914" s="17"/>
      <c r="AI3914" s="17"/>
      <c r="AJ3914" s="17"/>
      <c r="AK3914" s="17"/>
      <c r="AL3914" s="17"/>
      <c r="AM3914" s="17"/>
      <c r="AN3914" s="17"/>
      <c r="AO3914" s="17"/>
      <c r="AP3914" s="17"/>
      <c r="AQ3914" s="17"/>
      <c r="AR3914" s="17"/>
    </row>
    <row r="3915" s="20" customFormat="1" hidden="1" spans="1:44">
      <c r="A3915" s="17" t="s">
        <v>34</v>
      </c>
      <c r="B3915" s="19">
        <v>930</v>
      </c>
      <c r="C3915" s="222">
        <v>44934</v>
      </c>
      <c r="D3915" s="17" t="s">
        <v>52</v>
      </c>
      <c r="E3915" s="17" t="s">
        <v>1113</v>
      </c>
      <c r="F3915" s="17" t="s">
        <v>54</v>
      </c>
      <c r="G3915" s="17"/>
      <c r="H3915" s="19" t="s">
        <v>1114</v>
      </c>
      <c r="I3915" s="19"/>
      <c r="J3915" s="17" t="s">
        <v>82</v>
      </c>
      <c r="K3915" s="19">
        <v>255</v>
      </c>
      <c r="L3915" s="91">
        <v>80</v>
      </c>
      <c r="M3915" s="19">
        <v>2300</v>
      </c>
      <c r="N3915" s="19" t="s">
        <v>66</v>
      </c>
      <c r="O3915" s="19" t="s">
        <v>141</v>
      </c>
      <c r="P3915" s="19"/>
      <c r="Q3915" s="19">
        <v>377</v>
      </c>
      <c r="R3915" s="19">
        <f>+P3913-Q3913-Q3914-Q3915</f>
        <v>-86</v>
      </c>
      <c r="S3915" s="19">
        <f t="shared" si="185"/>
        <v>1070</v>
      </c>
      <c r="T3915" s="19" t="s">
        <v>42</v>
      </c>
      <c r="U3915" s="102" t="s">
        <v>1243</v>
      </c>
      <c r="V3915" s="253">
        <v>44934</v>
      </c>
      <c r="W3915" s="17" t="s">
        <v>44</v>
      </c>
      <c r="X3915" s="17"/>
      <c r="Y3915" s="68">
        <v>45253</v>
      </c>
      <c r="Z3915" s="17" t="s">
        <v>191</v>
      </c>
      <c r="AA3915" s="17" t="s">
        <v>46</v>
      </c>
      <c r="AB3915" s="17" t="s">
        <v>1236</v>
      </c>
      <c r="AC3915" s="66">
        <v>45288</v>
      </c>
      <c r="AD3915" s="65">
        <v>1508</v>
      </c>
      <c r="AE3915" s="17" t="s">
        <v>74</v>
      </c>
      <c r="AF3915" s="17"/>
      <c r="AG3915" s="17"/>
      <c r="AH3915" s="17"/>
      <c r="AI3915" s="17"/>
      <c r="AJ3915" s="17"/>
      <c r="AK3915" s="17"/>
      <c r="AL3915" s="17"/>
      <c r="AM3915" s="17"/>
      <c r="AN3915" s="17"/>
      <c r="AO3915" s="17"/>
      <c r="AP3915" s="17"/>
      <c r="AQ3915" s="17"/>
      <c r="AR3915" s="17"/>
    </row>
    <row r="3916" s="20" customFormat="1" hidden="1" spans="1:44">
      <c r="A3916" s="17" t="s">
        <v>34</v>
      </c>
      <c r="B3916" s="19">
        <v>930</v>
      </c>
      <c r="C3916" s="222">
        <v>44934</v>
      </c>
      <c r="D3916" s="17" t="s">
        <v>52</v>
      </c>
      <c r="E3916" s="17" t="s">
        <v>1113</v>
      </c>
      <c r="F3916" s="17" t="s">
        <v>54</v>
      </c>
      <c r="G3916" s="17"/>
      <c r="H3916" s="19" t="s">
        <v>1114</v>
      </c>
      <c r="I3916" s="19"/>
      <c r="J3916" s="17" t="s">
        <v>82</v>
      </c>
      <c r="K3916" s="19">
        <v>305</v>
      </c>
      <c r="L3916" s="91">
        <v>80</v>
      </c>
      <c r="M3916" s="19">
        <v>2300</v>
      </c>
      <c r="N3916" s="19" t="s">
        <v>66</v>
      </c>
      <c r="O3916" s="19" t="s">
        <v>141</v>
      </c>
      <c r="P3916" s="19">
        <v>4329</v>
      </c>
      <c r="Q3916" s="19">
        <v>1339</v>
      </c>
      <c r="R3916" s="17"/>
      <c r="S3916" s="19">
        <f t="shared" si="185"/>
        <v>1070</v>
      </c>
      <c r="T3916" s="19" t="s">
        <v>42</v>
      </c>
      <c r="U3916" s="102" t="s">
        <v>1243</v>
      </c>
      <c r="V3916" s="253">
        <v>44934</v>
      </c>
      <c r="W3916" s="17" t="s">
        <v>44</v>
      </c>
      <c r="X3916" s="17"/>
      <c r="Y3916" s="68">
        <v>45253</v>
      </c>
      <c r="Z3916" s="17" t="s">
        <v>191</v>
      </c>
      <c r="AA3916" s="17" t="s">
        <v>46</v>
      </c>
      <c r="AB3916" s="17" t="s">
        <v>1260</v>
      </c>
      <c r="AC3916" s="66">
        <v>45288</v>
      </c>
      <c r="AD3916" s="65">
        <v>1507</v>
      </c>
      <c r="AE3916" s="17" t="s">
        <v>74</v>
      </c>
      <c r="AF3916" s="17"/>
      <c r="AG3916" s="17"/>
      <c r="AH3916" s="17"/>
      <c r="AI3916" s="17"/>
      <c r="AJ3916" s="17"/>
      <c r="AK3916" s="17"/>
      <c r="AL3916" s="17"/>
      <c r="AM3916" s="17"/>
      <c r="AN3916" s="17"/>
      <c r="AO3916" s="17"/>
      <c r="AP3916" s="17"/>
      <c r="AQ3916" s="17"/>
      <c r="AR3916" s="17"/>
    </row>
    <row r="3917" s="20" customFormat="1" hidden="1" spans="1:44">
      <c r="A3917" s="17" t="s">
        <v>34</v>
      </c>
      <c r="B3917" s="19">
        <v>930</v>
      </c>
      <c r="C3917" s="222">
        <v>44934</v>
      </c>
      <c r="D3917" s="17" t="s">
        <v>52</v>
      </c>
      <c r="E3917" s="17" t="s">
        <v>1113</v>
      </c>
      <c r="F3917" s="17" t="s">
        <v>54</v>
      </c>
      <c r="G3917" s="17"/>
      <c r="H3917" s="19" t="s">
        <v>1114</v>
      </c>
      <c r="I3917" s="19"/>
      <c r="J3917" s="17" t="s">
        <v>82</v>
      </c>
      <c r="K3917" s="19">
        <v>305</v>
      </c>
      <c r="L3917" s="91">
        <v>80</v>
      </c>
      <c r="M3917" s="19">
        <v>2300</v>
      </c>
      <c r="N3917" s="19" t="s">
        <v>66</v>
      </c>
      <c r="O3917" s="19" t="s">
        <v>141</v>
      </c>
      <c r="P3917" s="19"/>
      <c r="Q3917" s="19">
        <v>441</v>
      </c>
      <c r="R3917" s="17"/>
      <c r="S3917" s="19">
        <f t="shared" si="185"/>
        <v>1070</v>
      </c>
      <c r="T3917" s="19" t="s">
        <v>42</v>
      </c>
      <c r="U3917" s="102" t="s">
        <v>1243</v>
      </c>
      <c r="V3917" s="253">
        <v>44934</v>
      </c>
      <c r="W3917" s="17" t="s">
        <v>44</v>
      </c>
      <c r="X3917" s="17"/>
      <c r="Y3917" s="68">
        <v>45253</v>
      </c>
      <c r="Z3917" s="17" t="s">
        <v>191</v>
      </c>
      <c r="AA3917" s="17" t="s">
        <v>46</v>
      </c>
      <c r="AB3917" s="17" t="s">
        <v>1236</v>
      </c>
      <c r="AC3917" s="66">
        <v>45288</v>
      </c>
      <c r="AD3917" s="65">
        <v>1508</v>
      </c>
      <c r="AE3917" s="17" t="s">
        <v>74</v>
      </c>
      <c r="AF3917" s="17"/>
      <c r="AG3917" s="17"/>
      <c r="AH3917" s="17"/>
      <c r="AI3917" s="17"/>
      <c r="AJ3917" s="17"/>
      <c r="AK3917" s="17"/>
      <c r="AL3917" s="17"/>
      <c r="AM3917" s="17"/>
      <c r="AN3917" s="17"/>
      <c r="AO3917" s="17"/>
      <c r="AP3917" s="17"/>
      <c r="AQ3917" s="17"/>
      <c r="AR3917" s="17"/>
    </row>
    <row r="3918" s="20" customFormat="1" hidden="1" spans="1:44">
      <c r="A3918" s="17" t="s">
        <v>34</v>
      </c>
      <c r="B3918" s="19">
        <v>930</v>
      </c>
      <c r="C3918" s="222">
        <v>44934</v>
      </c>
      <c r="D3918" s="17" t="s">
        <v>52</v>
      </c>
      <c r="E3918" s="17" t="s">
        <v>1113</v>
      </c>
      <c r="F3918" s="17" t="s">
        <v>54</v>
      </c>
      <c r="G3918" s="17"/>
      <c r="H3918" s="19" t="s">
        <v>1114</v>
      </c>
      <c r="I3918" s="19"/>
      <c r="J3918" s="17" t="s">
        <v>82</v>
      </c>
      <c r="K3918" s="19">
        <v>305</v>
      </c>
      <c r="L3918" s="91">
        <v>80</v>
      </c>
      <c r="M3918" s="19">
        <v>2300</v>
      </c>
      <c r="N3918" s="19" t="s">
        <v>66</v>
      </c>
      <c r="O3918" s="19" t="s">
        <v>141</v>
      </c>
      <c r="P3918" s="19"/>
      <c r="Q3918" s="19">
        <v>447</v>
      </c>
      <c r="R3918" s="21"/>
      <c r="S3918" s="19">
        <f t="shared" si="185"/>
        <v>1070</v>
      </c>
      <c r="T3918" s="19" t="s">
        <v>42</v>
      </c>
      <c r="U3918" s="102" t="s">
        <v>1243</v>
      </c>
      <c r="V3918" s="253">
        <v>44934</v>
      </c>
      <c r="W3918" s="17" t="s">
        <v>44</v>
      </c>
      <c r="X3918" s="17"/>
      <c r="Y3918" s="68">
        <v>45253</v>
      </c>
      <c r="Z3918" s="17" t="s">
        <v>191</v>
      </c>
      <c r="AA3918" s="17" t="s">
        <v>46</v>
      </c>
      <c r="AB3918" s="17" t="s">
        <v>1237</v>
      </c>
      <c r="AC3918" s="217">
        <v>45627</v>
      </c>
      <c r="AD3918" s="65">
        <v>1516</v>
      </c>
      <c r="AE3918" s="17" t="s">
        <v>74</v>
      </c>
      <c r="AF3918" s="17"/>
      <c r="AG3918" s="17"/>
      <c r="AH3918" s="17"/>
      <c r="AI3918" s="17"/>
      <c r="AJ3918" s="17"/>
      <c r="AK3918" s="17"/>
      <c r="AL3918" s="17"/>
      <c r="AM3918" s="17"/>
      <c r="AN3918" s="17"/>
      <c r="AO3918" s="17"/>
      <c r="AP3918" s="17"/>
      <c r="AQ3918" s="17"/>
      <c r="AR3918" s="17"/>
    </row>
    <row r="3919" s="20" customFormat="1" hidden="1" spans="1:44">
      <c r="A3919" s="17" t="s">
        <v>34</v>
      </c>
      <c r="B3919" s="19">
        <v>930</v>
      </c>
      <c r="C3919" s="222">
        <v>44934</v>
      </c>
      <c r="D3919" s="17" t="s">
        <v>52</v>
      </c>
      <c r="E3919" s="17" t="s">
        <v>1113</v>
      </c>
      <c r="F3919" s="17" t="s">
        <v>54</v>
      </c>
      <c r="G3919" s="17"/>
      <c r="H3919" s="19" t="s">
        <v>1114</v>
      </c>
      <c r="I3919" s="19"/>
      <c r="J3919" s="17" t="s">
        <v>82</v>
      </c>
      <c r="K3919" s="19">
        <v>305</v>
      </c>
      <c r="L3919" s="91">
        <v>80</v>
      </c>
      <c r="M3919" s="19">
        <v>2300</v>
      </c>
      <c r="N3919" s="19" t="s">
        <v>66</v>
      </c>
      <c r="O3919" s="19" t="s">
        <v>141</v>
      </c>
      <c r="P3919" s="19"/>
      <c r="Q3919" s="19">
        <f>447+445+445+445+447</f>
        <v>2229</v>
      </c>
      <c r="R3919" s="19">
        <f>+P3916-Q3916-Q3917-Q3918-Q3919</f>
        <v>-127</v>
      </c>
      <c r="S3919" s="19">
        <f t="shared" si="185"/>
        <v>1070</v>
      </c>
      <c r="T3919" s="19" t="s">
        <v>42</v>
      </c>
      <c r="U3919" s="102" t="s">
        <v>1243</v>
      </c>
      <c r="V3919" s="253">
        <v>44934</v>
      </c>
      <c r="W3919" s="17" t="s">
        <v>44</v>
      </c>
      <c r="X3919" s="17"/>
      <c r="Y3919" s="68">
        <v>45253</v>
      </c>
      <c r="Z3919" s="17" t="s">
        <v>191</v>
      </c>
      <c r="AA3919" s="17" t="s">
        <v>46</v>
      </c>
      <c r="AB3919" s="17" t="s">
        <v>1261</v>
      </c>
      <c r="AC3919" s="66">
        <v>45364</v>
      </c>
      <c r="AD3919" s="65">
        <v>1538</v>
      </c>
      <c r="AE3919" s="17" t="s">
        <v>74</v>
      </c>
      <c r="AF3919" s="17"/>
      <c r="AG3919" s="17"/>
      <c r="AH3919" s="17"/>
      <c r="AI3919" s="17"/>
      <c r="AJ3919" s="17"/>
      <c r="AK3919" s="17"/>
      <c r="AL3919" s="17"/>
      <c r="AM3919" s="17"/>
      <c r="AN3919" s="17"/>
      <c r="AO3919" s="17"/>
      <c r="AP3919" s="17"/>
      <c r="AQ3919" s="17"/>
      <c r="AR3919" s="17"/>
    </row>
    <row r="3920" s="20" customFormat="1" hidden="1" spans="1:44">
      <c r="A3920" s="17" t="s">
        <v>34</v>
      </c>
      <c r="B3920" s="19">
        <v>930</v>
      </c>
      <c r="C3920" s="222">
        <v>44934</v>
      </c>
      <c r="D3920" s="17" t="s">
        <v>52</v>
      </c>
      <c r="E3920" s="17" t="s">
        <v>1113</v>
      </c>
      <c r="F3920" s="17" t="s">
        <v>54</v>
      </c>
      <c r="G3920" s="17"/>
      <c r="H3920" s="19" t="s">
        <v>1114</v>
      </c>
      <c r="I3920" s="19"/>
      <c r="J3920" s="17" t="s">
        <v>82</v>
      </c>
      <c r="K3920" s="19">
        <v>355</v>
      </c>
      <c r="L3920" s="91">
        <v>80</v>
      </c>
      <c r="M3920" s="19">
        <v>2300</v>
      </c>
      <c r="N3920" s="19" t="s">
        <v>66</v>
      </c>
      <c r="O3920" s="19" t="s">
        <v>141</v>
      </c>
      <c r="P3920" s="19">
        <v>2519</v>
      </c>
      <c r="Q3920" s="19">
        <v>515</v>
      </c>
      <c r="R3920" s="17"/>
      <c r="S3920" s="19">
        <f t="shared" si="185"/>
        <v>1070</v>
      </c>
      <c r="T3920" s="19" t="s">
        <v>42</v>
      </c>
      <c r="U3920" s="102" t="s">
        <v>1243</v>
      </c>
      <c r="V3920" s="253">
        <v>44934</v>
      </c>
      <c r="W3920" s="17" t="s">
        <v>44</v>
      </c>
      <c r="X3920" s="17"/>
      <c r="Y3920" s="68">
        <v>45253</v>
      </c>
      <c r="Z3920" s="17" t="s">
        <v>191</v>
      </c>
      <c r="AA3920" s="17" t="s">
        <v>46</v>
      </c>
      <c r="AB3920" s="17" t="s">
        <v>1260</v>
      </c>
      <c r="AC3920" s="66">
        <v>45288</v>
      </c>
      <c r="AD3920" s="65">
        <v>1507</v>
      </c>
      <c r="AE3920" s="17" t="s">
        <v>74</v>
      </c>
      <c r="AF3920" s="17"/>
      <c r="AG3920" s="17"/>
      <c r="AH3920" s="17"/>
      <c r="AI3920" s="17"/>
      <c r="AJ3920" s="17"/>
      <c r="AK3920" s="17"/>
      <c r="AL3920" s="17"/>
      <c r="AM3920" s="17"/>
      <c r="AN3920" s="17"/>
      <c r="AO3920" s="17"/>
      <c r="AP3920" s="17"/>
      <c r="AQ3920" s="17"/>
      <c r="AR3920" s="17"/>
    </row>
    <row r="3921" s="20" customFormat="1" hidden="1" spans="1:44">
      <c r="A3921" s="17" t="s">
        <v>34</v>
      </c>
      <c r="B3921" s="19">
        <v>930</v>
      </c>
      <c r="C3921" s="222">
        <v>44934</v>
      </c>
      <c r="D3921" s="17" t="s">
        <v>52</v>
      </c>
      <c r="E3921" s="17" t="s">
        <v>1113</v>
      </c>
      <c r="F3921" s="17" t="s">
        <v>54</v>
      </c>
      <c r="G3921" s="17"/>
      <c r="H3921" s="19" t="s">
        <v>1114</v>
      </c>
      <c r="I3921" s="19"/>
      <c r="J3921" s="17" t="s">
        <v>82</v>
      </c>
      <c r="K3921" s="19">
        <v>355</v>
      </c>
      <c r="L3921" s="91">
        <v>80</v>
      </c>
      <c r="M3921" s="19">
        <v>2300</v>
      </c>
      <c r="N3921" s="19" t="s">
        <v>66</v>
      </c>
      <c r="O3921" s="19" t="s">
        <v>141</v>
      </c>
      <c r="P3921" s="19"/>
      <c r="Q3921" s="19">
        <v>1034</v>
      </c>
      <c r="R3921" s="17"/>
      <c r="S3921" s="19">
        <f t="shared" si="185"/>
        <v>1070</v>
      </c>
      <c r="T3921" s="19" t="s">
        <v>42</v>
      </c>
      <c r="U3921" s="102" t="s">
        <v>1243</v>
      </c>
      <c r="V3921" s="253">
        <v>44934</v>
      </c>
      <c r="W3921" s="17" t="s">
        <v>44</v>
      </c>
      <c r="X3921" s="17"/>
      <c r="Y3921" s="68">
        <v>45253</v>
      </c>
      <c r="Z3921" s="17" t="s">
        <v>191</v>
      </c>
      <c r="AA3921" s="17" t="s">
        <v>46</v>
      </c>
      <c r="AB3921" s="17" t="s">
        <v>1236</v>
      </c>
      <c r="AC3921" s="66">
        <v>45288</v>
      </c>
      <c r="AD3921" s="65">
        <v>1508</v>
      </c>
      <c r="AE3921" s="17" t="s">
        <v>74</v>
      </c>
      <c r="AF3921" s="17"/>
      <c r="AG3921" s="17"/>
      <c r="AH3921" s="17"/>
      <c r="AI3921" s="17"/>
      <c r="AJ3921" s="17"/>
      <c r="AK3921" s="17"/>
      <c r="AL3921" s="17"/>
      <c r="AM3921" s="17"/>
      <c r="AN3921" s="17"/>
      <c r="AO3921" s="17"/>
      <c r="AP3921" s="17"/>
      <c r="AQ3921" s="17"/>
      <c r="AR3921" s="17"/>
    </row>
    <row r="3922" s="20" customFormat="1" hidden="1" spans="1:44">
      <c r="A3922" s="17" t="s">
        <v>34</v>
      </c>
      <c r="B3922" s="19">
        <v>930</v>
      </c>
      <c r="C3922" s="222">
        <v>44934</v>
      </c>
      <c r="D3922" s="17" t="s">
        <v>52</v>
      </c>
      <c r="E3922" s="17" t="s">
        <v>1113</v>
      </c>
      <c r="F3922" s="17" t="s">
        <v>54</v>
      </c>
      <c r="G3922" s="17"/>
      <c r="H3922" s="19" t="s">
        <v>1114</v>
      </c>
      <c r="I3922" s="19"/>
      <c r="J3922" s="17" t="s">
        <v>82</v>
      </c>
      <c r="K3922" s="19">
        <v>355</v>
      </c>
      <c r="L3922" s="91">
        <v>80</v>
      </c>
      <c r="M3922" s="19">
        <v>2300</v>
      </c>
      <c r="N3922" s="19" t="s">
        <v>66</v>
      </c>
      <c r="O3922" s="19" t="s">
        <v>141</v>
      </c>
      <c r="P3922" s="19"/>
      <c r="Q3922" s="19">
        <v>1038</v>
      </c>
      <c r="R3922" s="19">
        <f>+P3920-Q3920-Q3921-Q3922</f>
        <v>-68</v>
      </c>
      <c r="S3922" s="19">
        <f t="shared" si="185"/>
        <v>1070</v>
      </c>
      <c r="T3922" s="19" t="s">
        <v>42</v>
      </c>
      <c r="U3922" s="102" t="s">
        <v>1243</v>
      </c>
      <c r="V3922" s="253">
        <v>44934</v>
      </c>
      <c r="W3922" s="17" t="s">
        <v>44</v>
      </c>
      <c r="X3922" s="17"/>
      <c r="Y3922" s="68">
        <v>45253</v>
      </c>
      <c r="Z3922" s="17" t="s">
        <v>191</v>
      </c>
      <c r="AA3922" s="17" t="s">
        <v>46</v>
      </c>
      <c r="AB3922" s="17" t="s">
        <v>1237</v>
      </c>
      <c r="AC3922" s="217">
        <v>45627</v>
      </c>
      <c r="AD3922" s="65">
        <v>1516</v>
      </c>
      <c r="AE3922" s="17" t="s">
        <v>74</v>
      </c>
      <c r="AF3922" s="17"/>
      <c r="AG3922" s="17"/>
      <c r="AH3922" s="17"/>
      <c r="AI3922" s="17"/>
      <c r="AJ3922" s="17"/>
      <c r="AK3922" s="17"/>
      <c r="AL3922" s="17"/>
      <c r="AM3922" s="17"/>
      <c r="AN3922" s="17"/>
      <c r="AO3922" s="17"/>
      <c r="AP3922" s="17"/>
      <c r="AQ3922" s="17"/>
      <c r="AR3922" s="17"/>
    </row>
    <row r="3923" s="20" customFormat="1" hidden="1" spans="1:44">
      <c r="A3923" s="17" t="s">
        <v>34</v>
      </c>
      <c r="B3923" s="19">
        <v>930</v>
      </c>
      <c r="C3923" s="222">
        <v>44934</v>
      </c>
      <c r="D3923" s="17" t="s">
        <v>52</v>
      </c>
      <c r="E3923" s="17" t="s">
        <v>1113</v>
      </c>
      <c r="F3923" s="17" t="s">
        <v>54</v>
      </c>
      <c r="G3923" s="17"/>
      <c r="H3923" s="19" t="s">
        <v>1114</v>
      </c>
      <c r="I3923" s="19"/>
      <c r="J3923" s="17" t="s">
        <v>82</v>
      </c>
      <c r="K3923" s="19">
        <v>405</v>
      </c>
      <c r="L3923" s="91">
        <v>80</v>
      </c>
      <c r="M3923" s="19">
        <v>2300</v>
      </c>
      <c r="N3923" s="19" t="s">
        <v>66</v>
      </c>
      <c r="O3923" s="19" t="s">
        <v>141</v>
      </c>
      <c r="P3923" s="19">
        <v>2299</v>
      </c>
      <c r="Q3923" s="19">
        <v>1180</v>
      </c>
      <c r="R3923" s="17"/>
      <c r="S3923" s="19">
        <f t="shared" si="185"/>
        <v>1070</v>
      </c>
      <c r="T3923" s="19" t="s">
        <v>42</v>
      </c>
      <c r="U3923" s="102" t="s">
        <v>1243</v>
      </c>
      <c r="V3923" s="253">
        <v>44934</v>
      </c>
      <c r="W3923" s="17" t="s">
        <v>44</v>
      </c>
      <c r="X3923" s="17"/>
      <c r="Y3923" s="68">
        <v>45253</v>
      </c>
      <c r="Z3923" s="17" t="s">
        <v>191</v>
      </c>
      <c r="AA3923" s="17" t="s">
        <v>46</v>
      </c>
      <c r="AB3923" s="17" t="s">
        <v>1260</v>
      </c>
      <c r="AC3923" s="66">
        <v>45288</v>
      </c>
      <c r="AD3923" s="65">
        <v>1507</v>
      </c>
      <c r="AE3923" s="17" t="s">
        <v>74</v>
      </c>
      <c r="AF3923" s="17"/>
      <c r="AG3923" s="17"/>
      <c r="AH3923" s="17"/>
      <c r="AI3923" s="17"/>
      <c r="AJ3923" s="17"/>
      <c r="AK3923" s="17"/>
      <c r="AL3923" s="17"/>
      <c r="AM3923" s="17"/>
      <c r="AN3923" s="17"/>
      <c r="AO3923" s="17"/>
      <c r="AP3923" s="17"/>
      <c r="AQ3923" s="17"/>
      <c r="AR3923" s="17"/>
    </row>
    <row r="3924" s="20" customFormat="1" hidden="1" spans="1:44">
      <c r="A3924" s="17" t="s">
        <v>34</v>
      </c>
      <c r="B3924" s="19">
        <v>930</v>
      </c>
      <c r="C3924" s="222">
        <v>44934</v>
      </c>
      <c r="D3924" s="17" t="s">
        <v>52</v>
      </c>
      <c r="E3924" s="17" t="s">
        <v>1113</v>
      </c>
      <c r="F3924" s="17" t="s">
        <v>54</v>
      </c>
      <c r="G3924" s="17"/>
      <c r="H3924" s="19" t="s">
        <v>1114</v>
      </c>
      <c r="I3924" s="19"/>
      <c r="J3924" s="17" t="s">
        <v>82</v>
      </c>
      <c r="K3924" s="19">
        <v>405</v>
      </c>
      <c r="L3924" s="91">
        <v>80</v>
      </c>
      <c r="M3924" s="19">
        <v>2300</v>
      </c>
      <c r="N3924" s="19" t="s">
        <v>66</v>
      </c>
      <c r="O3924" s="19" t="s">
        <v>141</v>
      </c>
      <c r="P3924" s="19"/>
      <c r="Q3924" s="19">
        <v>1179</v>
      </c>
      <c r="R3924" s="19">
        <f>+P3923-Q3923-Q3924</f>
        <v>-60</v>
      </c>
      <c r="S3924" s="19">
        <f t="shared" si="185"/>
        <v>1070</v>
      </c>
      <c r="T3924" s="19" t="s">
        <v>42</v>
      </c>
      <c r="U3924" s="102" t="s">
        <v>1243</v>
      </c>
      <c r="V3924" s="253">
        <v>44934</v>
      </c>
      <c r="W3924" s="17" t="s">
        <v>44</v>
      </c>
      <c r="X3924" s="17"/>
      <c r="Y3924" s="68">
        <v>45253</v>
      </c>
      <c r="Z3924" s="17" t="s">
        <v>191</v>
      </c>
      <c r="AA3924" s="17" t="s">
        <v>46</v>
      </c>
      <c r="AB3924" s="17" t="s">
        <v>1237</v>
      </c>
      <c r="AC3924" s="217">
        <v>45627</v>
      </c>
      <c r="AD3924" s="65">
        <v>1516</v>
      </c>
      <c r="AE3924" s="17" t="s">
        <v>74</v>
      </c>
      <c r="AF3924" s="17"/>
      <c r="AG3924" s="17"/>
      <c r="AH3924" s="17"/>
      <c r="AI3924" s="17"/>
      <c r="AJ3924" s="17"/>
      <c r="AK3924" s="17"/>
      <c r="AL3924" s="17"/>
      <c r="AM3924" s="17"/>
      <c r="AN3924" s="17"/>
      <c r="AO3924" s="17"/>
      <c r="AP3924" s="17"/>
      <c r="AQ3924" s="17"/>
      <c r="AR3924" s="17"/>
    </row>
    <row r="3925" s="20" customFormat="1" hidden="1" spans="1:44">
      <c r="A3925" s="17" t="s">
        <v>34</v>
      </c>
      <c r="B3925" s="19">
        <v>930</v>
      </c>
      <c r="C3925" s="222">
        <v>44934</v>
      </c>
      <c r="D3925" s="17" t="s">
        <v>52</v>
      </c>
      <c r="E3925" s="17" t="s">
        <v>1113</v>
      </c>
      <c r="F3925" s="17" t="s">
        <v>54</v>
      </c>
      <c r="G3925" s="17"/>
      <c r="H3925" s="19" t="s">
        <v>1114</v>
      </c>
      <c r="I3925" s="19"/>
      <c r="J3925" s="17" t="s">
        <v>82</v>
      </c>
      <c r="K3925" s="19">
        <v>455</v>
      </c>
      <c r="L3925" s="91">
        <v>80</v>
      </c>
      <c r="M3925" s="19">
        <v>2300</v>
      </c>
      <c r="N3925" s="19" t="s">
        <v>66</v>
      </c>
      <c r="O3925" s="19" t="s">
        <v>141</v>
      </c>
      <c r="P3925" s="19">
        <v>1937</v>
      </c>
      <c r="Q3925" s="19">
        <v>1323</v>
      </c>
      <c r="R3925" s="19">
        <f>+P3925-Q3925</f>
        <v>614</v>
      </c>
      <c r="S3925" s="19">
        <f t="shared" si="185"/>
        <v>1070</v>
      </c>
      <c r="T3925" s="19" t="s">
        <v>42</v>
      </c>
      <c r="U3925" s="102" t="s">
        <v>1243</v>
      </c>
      <c r="V3925" s="253">
        <v>44934</v>
      </c>
      <c r="W3925" s="17" t="s">
        <v>44</v>
      </c>
      <c r="X3925" s="17"/>
      <c r="Y3925" s="68">
        <v>45253</v>
      </c>
      <c r="Z3925" s="17" t="s">
        <v>191</v>
      </c>
      <c r="AA3925" s="17" t="s">
        <v>46</v>
      </c>
      <c r="AB3925" s="17" t="s">
        <v>1244</v>
      </c>
      <c r="AC3925" s="66">
        <v>45286</v>
      </c>
      <c r="AD3925" s="65">
        <v>1505</v>
      </c>
      <c r="AE3925" s="17" t="s">
        <v>74</v>
      </c>
      <c r="AF3925" s="17"/>
      <c r="AG3925" s="17"/>
      <c r="AH3925" s="17"/>
      <c r="AI3925" s="17"/>
      <c r="AJ3925" s="17"/>
      <c r="AK3925" s="17"/>
      <c r="AL3925" s="17"/>
      <c r="AM3925" s="17"/>
      <c r="AN3925" s="17"/>
      <c r="AO3925" s="17"/>
      <c r="AP3925" s="17"/>
      <c r="AQ3925" s="17"/>
      <c r="AR3925" s="17"/>
    </row>
    <row r="3926" s="20" customFormat="1" hidden="1" spans="1:44">
      <c r="A3926" s="17" t="s">
        <v>34</v>
      </c>
      <c r="B3926" s="19">
        <v>930</v>
      </c>
      <c r="C3926" s="222">
        <v>44934</v>
      </c>
      <c r="D3926" s="17" t="s">
        <v>52</v>
      </c>
      <c r="E3926" s="17" t="s">
        <v>1113</v>
      </c>
      <c r="F3926" s="17" t="s">
        <v>54</v>
      </c>
      <c r="G3926" s="17"/>
      <c r="H3926" s="19" t="s">
        <v>1114</v>
      </c>
      <c r="I3926" s="19"/>
      <c r="J3926" s="17" t="s">
        <v>82</v>
      </c>
      <c r="K3926" s="19">
        <v>505</v>
      </c>
      <c r="L3926" s="91">
        <v>80</v>
      </c>
      <c r="M3926" s="19">
        <v>2300</v>
      </c>
      <c r="N3926" s="19" t="s">
        <v>66</v>
      </c>
      <c r="O3926" s="19" t="s">
        <v>141</v>
      </c>
      <c r="P3926" s="19">
        <v>2150</v>
      </c>
      <c r="Q3926" s="19">
        <v>734</v>
      </c>
      <c r="R3926" s="17"/>
      <c r="S3926" s="19">
        <f t="shared" si="185"/>
        <v>1070</v>
      </c>
      <c r="T3926" s="19" t="s">
        <v>42</v>
      </c>
      <c r="U3926" s="102" t="s">
        <v>1243</v>
      </c>
      <c r="V3926" s="253">
        <v>44934</v>
      </c>
      <c r="W3926" s="17" t="s">
        <v>44</v>
      </c>
      <c r="X3926" s="17"/>
      <c r="Y3926" s="68">
        <v>45253</v>
      </c>
      <c r="Z3926" s="17" t="s">
        <v>191</v>
      </c>
      <c r="AA3926" s="17" t="s">
        <v>46</v>
      </c>
      <c r="AB3926" s="17" t="s">
        <v>1244</v>
      </c>
      <c r="AC3926" s="66">
        <v>45286</v>
      </c>
      <c r="AD3926" s="65">
        <v>1505</v>
      </c>
      <c r="AE3926" s="17" t="s">
        <v>74</v>
      </c>
      <c r="AF3926" s="17"/>
      <c r="AG3926" s="17"/>
      <c r="AH3926" s="17"/>
      <c r="AI3926" s="17"/>
      <c r="AJ3926" s="17"/>
      <c r="AK3926" s="17"/>
      <c r="AL3926" s="17"/>
      <c r="AM3926" s="17"/>
      <c r="AN3926" s="17"/>
      <c r="AO3926" s="17"/>
      <c r="AP3926" s="17"/>
      <c r="AQ3926" s="17"/>
      <c r="AR3926" s="17"/>
    </row>
    <row r="3927" s="20" customFormat="1" hidden="1" spans="1:44">
      <c r="A3927" s="17" t="s">
        <v>34</v>
      </c>
      <c r="B3927" s="19">
        <v>930</v>
      </c>
      <c r="C3927" s="222">
        <v>44934</v>
      </c>
      <c r="D3927" s="17" t="s">
        <v>52</v>
      </c>
      <c r="E3927" s="17" t="s">
        <v>1113</v>
      </c>
      <c r="F3927" s="17" t="s">
        <v>54</v>
      </c>
      <c r="G3927" s="17"/>
      <c r="H3927" s="19" t="s">
        <v>1114</v>
      </c>
      <c r="I3927" s="19"/>
      <c r="J3927" s="17" t="s">
        <v>82</v>
      </c>
      <c r="K3927" s="19">
        <v>505</v>
      </c>
      <c r="L3927" s="91">
        <v>80</v>
      </c>
      <c r="M3927" s="19">
        <v>2300</v>
      </c>
      <c r="N3927" s="19" t="s">
        <v>66</v>
      </c>
      <c r="O3927" s="19" t="s">
        <v>141</v>
      </c>
      <c r="P3927" s="19"/>
      <c r="Q3927" s="19">
        <v>1468</v>
      </c>
      <c r="R3927" s="19">
        <f>+P3926-Q3926-Q3927</f>
        <v>-52</v>
      </c>
      <c r="S3927" s="19">
        <f t="shared" si="185"/>
        <v>1070</v>
      </c>
      <c r="T3927" s="19" t="s">
        <v>42</v>
      </c>
      <c r="U3927" s="102" t="s">
        <v>1243</v>
      </c>
      <c r="V3927" s="253">
        <v>44934</v>
      </c>
      <c r="W3927" s="17" t="s">
        <v>44</v>
      </c>
      <c r="X3927" s="17"/>
      <c r="Y3927" s="68">
        <v>45253</v>
      </c>
      <c r="Z3927" s="17" t="s">
        <v>191</v>
      </c>
      <c r="AA3927" s="17" t="s">
        <v>46</v>
      </c>
      <c r="AB3927" s="17" t="s">
        <v>1260</v>
      </c>
      <c r="AC3927" s="66">
        <v>45288</v>
      </c>
      <c r="AD3927" s="65">
        <v>1507</v>
      </c>
      <c r="AE3927" s="17" t="s">
        <v>74</v>
      </c>
      <c r="AF3927" s="17"/>
      <c r="AG3927" s="17"/>
      <c r="AH3927" s="17"/>
      <c r="AI3927" s="17"/>
      <c r="AJ3927" s="17"/>
      <c r="AK3927" s="17"/>
      <c r="AL3927" s="17"/>
      <c r="AM3927" s="17"/>
      <c r="AN3927" s="17"/>
      <c r="AO3927" s="17"/>
      <c r="AP3927" s="17"/>
      <c r="AQ3927" s="17"/>
      <c r="AR3927" s="17"/>
    </row>
    <row r="3928" s="20" customFormat="1" hidden="1" spans="1:44">
      <c r="A3928" s="17" t="s">
        <v>34</v>
      </c>
      <c r="B3928" s="19">
        <v>930</v>
      </c>
      <c r="C3928" s="222">
        <v>44934</v>
      </c>
      <c r="D3928" s="17" t="s">
        <v>52</v>
      </c>
      <c r="E3928" s="17" t="s">
        <v>1113</v>
      </c>
      <c r="F3928" s="17" t="s">
        <v>54</v>
      </c>
      <c r="G3928" s="17"/>
      <c r="H3928" s="19" t="s">
        <v>1114</v>
      </c>
      <c r="I3928" s="19"/>
      <c r="J3928" s="17" t="s">
        <v>82</v>
      </c>
      <c r="K3928" s="19">
        <v>205</v>
      </c>
      <c r="L3928" s="91">
        <v>105</v>
      </c>
      <c r="M3928" s="19">
        <v>2300</v>
      </c>
      <c r="N3928" s="19" t="s">
        <v>66</v>
      </c>
      <c r="O3928" s="19" t="s">
        <v>141</v>
      </c>
      <c r="P3928" s="19">
        <v>1146</v>
      </c>
      <c r="Q3928" s="19">
        <f>390+390+393</f>
        <v>1173</v>
      </c>
      <c r="R3928" s="19">
        <f>+P3928-Q3928</f>
        <v>-27</v>
      </c>
      <c r="S3928" s="19">
        <f t="shared" si="185"/>
        <v>1070</v>
      </c>
      <c r="T3928" s="19" t="s">
        <v>42</v>
      </c>
      <c r="U3928" s="102" t="s">
        <v>1243</v>
      </c>
      <c r="V3928" s="253">
        <v>44934</v>
      </c>
      <c r="W3928" s="17" t="s">
        <v>44</v>
      </c>
      <c r="X3928" s="17"/>
      <c r="Y3928" s="68">
        <v>45253</v>
      </c>
      <c r="Z3928" s="17" t="s">
        <v>191</v>
      </c>
      <c r="AA3928" s="17" t="s">
        <v>46</v>
      </c>
      <c r="AB3928" s="17" t="s">
        <v>1242</v>
      </c>
      <c r="AC3928" s="217">
        <v>45089</v>
      </c>
      <c r="AD3928" s="65">
        <v>1496</v>
      </c>
      <c r="AE3928" s="17" t="s">
        <v>74</v>
      </c>
      <c r="AF3928" s="17"/>
      <c r="AG3928" s="17"/>
      <c r="AH3928" s="17"/>
      <c r="AI3928" s="17"/>
      <c r="AJ3928" s="17"/>
      <c r="AK3928" s="17"/>
      <c r="AL3928" s="17"/>
      <c r="AM3928" s="17"/>
      <c r="AN3928" s="17"/>
      <c r="AO3928" s="17"/>
      <c r="AP3928" s="17"/>
      <c r="AQ3928" s="17"/>
      <c r="AR3928" s="17"/>
    </row>
    <row r="3929" s="20" customFormat="1" hidden="1" spans="1:44">
      <c r="A3929" s="17" t="s">
        <v>34</v>
      </c>
      <c r="B3929" s="19">
        <v>930</v>
      </c>
      <c r="C3929" s="222">
        <v>44934</v>
      </c>
      <c r="D3929" s="17" t="s">
        <v>52</v>
      </c>
      <c r="E3929" s="17" t="s">
        <v>1113</v>
      </c>
      <c r="F3929" s="17" t="s">
        <v>54</v>
      </c>
      <c r="G3929" s="17"/>
      <c r="H3929" s="19" t="s">
        <v>1114</v>
      </c>
      <c r="I3929" s="19"/>
      <c r="J3929" s="17" t="s">
        <v>82</v>
      </c>
      <c r="K3929" s="19">
        <v>255</v>
      </c>
      <c r="L3929" s="91">
        <v>105</v>
      </c>
      <c r="M3929" s="19">
        <v>2300</v>
      </c>
      <c r="N3929" s="19" t="s">
        <v>66</v>
      </c>
      <c r="O3929" s="19" t="s">
        <v>141</v>
      </c>
      <c r="P3929" s="19">
        <v>1900</v>
      </c>
      <c r="Q3929" s="19">
        <f>485+484+484+484</f>
        <v>1937</v>
      </c>
      <c r="R3929" s="17"/>
      <c r="S3929" s="19">
        <f t="shared" si="185"/>
        <v>1070</v>
      </c>
      <c r="T3929" s="19" t="s">
        <v>42</v>
      </c>
      <c r="U3929" s="102" t="s">
        <v>1243</v>
      </c>
      <c r="V3929" s="253">
        <v>44934</v>
      </c>
      <c r="W3929" s="17" t="s">
        <v>44</v>
      </c>
      <c r="X3929" s="17"/>
      <c r="Y3929" s="68">
        <v>45253</v>
      </c>
      <c r="Z3929" s="17" t="s">
        <v>191</v>
      </c>
      <c r="AA3929" s="17" t="s">
        <v>46</v>
      </c>
      <c r="AB3929" s="17" t="s">
        <v>1242</v>
      </c>
      <c r="AC3929" s="217">
        <v>45089</v>
      </c>
      <c r="AD3929" s="65">
        <v>1496</v>
      </c>
      <c r="AE3929" s="17" t="s">
        <v>74</v>
      </c>
      <c r="AF3929" s="17"/>
      <c r="AG3929" s="17"/>
      <c r="AH3929" s="17"/>
      <c r="AI3929" s="17"/>
      <c r="AJ3929" s="17"/>
      <c r="AK3929" s="17"/>
      <c r="AL3929" s="17"/>
      <c r="AM3929" s="17"/>
      <c r="AN3929" s="17"/>
      <c r="AO3929" s="17"/>
      <c r="AP3929" s="17"/>
      <c r="AQ3929" s="17"/>
      <c r="AR3929" s="17"/>
    </row>
    <row r="3930" s="20" customFormat="1" hidden="1" spans="1:44">
      <c r="A3930" s="17" t="s">
        <v>34</v>
      </c>
      <c r="B3930" s="19">
        <v>930</v>
      </c>
      <c r="C3930" s="222">
        <v>44934</v>
      </c>
      <c r="D3930" s="17" t="s">
        <v>52</v>
      </c>
      <c r="E3930" s="17" t="s">
        <v>1113</v>
      </c>
      <c r="F3930" s="17" t="s">
        <v>54</v>
      </c>
      <c r="G3930" s="17"/>
      <c r="H3930" s="19" t="s">
        <v>1114</v>
      </c>
      <c r="I3930" s="19"/>
      <c r="J3930" s="17" t="s">
        <v>82</v>
      </c>
      <c r="K3930" s="19">
        <v>255</v>
      </c>
      <c r="L3930" s="91">
        <v>105</v>
      </c>
      <c r="M3930" s="19">
        <v>2300</v>
      </c>
      <c r="N3930" s="19" t="s">
        <v>66</v>
      </c>
      <c r="O3930" s="19" t="s">
        <v>141</v>
      </c>
      <c r="P3930" s="19"/>
      <c r="Q3930" s="19">
        <v>971</v>
      </c>
      <c r="R3930" s="19">
        <f>+P3929-Q3929-Q3930</f>
        <v>-1008</v>
      </c>
      <c r="S3930" s="19">
        <f t="shared" si="185"/>
        <v>1070</v>
      </c>
      <c r="T3930" s="19" t="s">
        <v>42</v>
      </c>
      <c r="U3930" s="102" t="s">
        <v>1243</v>
      </c>
      <c r="V3930" s="253">
        <v>44934</v>
      </c>
      <c r="W3930" s="17" t="s">
        <v>44</v>
      </c>
      <c r="X3930" s="17"/>
      <c r="Y3930" s="68">
        <v>45253</v>
      </c>
      <c r="Z3930" s="17" t="s">
        <v>191</v>
      </c>
      <c r="AA3930" s="17" t="s">
        <v>46</v>
      </c>
      <c r="AB3930" s="17" t="s">
        <v>1237</v>
      </c>
      <c r="AC3930" s="217">
        <v>45627</v>
      </c>
      <c r="AD3930" s="65">
        <v>1516</v>
      </c>
      <c r="AE3930" s="17" t="s">
        <v>74</v>
      </c>
      <c r="AF3930" s="17"/>
      <c r="AG3930" s="17"/>
      <c r="AH3930" s="17"/>
      <c r="AI3930" s="17"/>
      <c r="AJ3930" s="17"/>
      <c r="AK3930" s="17"/>
      <c r="AL3930" s="17"/>
      <c r="AM3930" s="17"/>
      <c r="AN3930" s="17"/>
      <c r="AO3930" s="17"/>
      <c r="AP3930" s="17"/>
      <c r="AQ3930" s="17"/>
      <c r="AR3930" s="17"/>
    </row>
    <row r="3931" s="20" customFormat="1" hidden="1" spans="1:44">
      <c r="A3931" s="17" t="s">
        <v>34</v>
      </c>
      <c r="B3931" s="19">
        <v>930</v>
      </c>
      <c r="C3931" s="222">
        <v>44934</v>
      </c>
      <c r="D3931" s="17" t="s">
        <v>52</v>
      </c>
      <c r="E3931" s="17" t="s">
        <v>1113</v>
      </c>
      <c r="F3931" s="17" t="s">
        <v>54</v>
      </c>
      <c r="G3931" s="17"/>
      <c r="H3931" s="19" t="s">
        <v>1114</v>
      </c>
      <c r="I3931" s="19"/>
      <c r="J3931" s="17" t="s">
        <v>82</v>
      </c>
      <c r="K3931" s="19">
        <v>305</v>
      </c>
      <c r="L3931" s="91">
        <v>105</v>
      </c>
      <c r="M3931" s="19">
        <v>2300</v>
      </c>
      <c r="N3931" s="19" t="s">
        <v>66</v>
      </c>
      <c r="O3931" s="19" t="s">
        <v>141</v>
      </c>
      <c r="P3931" s="19">
        <v>2273</v>
      </c>
      <c r="Q3931" s="19">
        <f>575+575+576+574</f>
        <v>2300</v>
      </c>
      <c r="R3931" s="19">
        <f>+P3931-Q3931</f>
        <v>-27</v>
      </c>
      <c r="S3931" s="19">
        <f t="shared" si="185"/>
        <v>1070</v>
      </c>
      <c r="T3931" s="19" t="s">
        <v>42</v>
      </c>
      <c r="U3931" s="102" t="s">
        <v>1243</v>
      </c>
      <c r="V3931" s="253">
        <v>44934</v>
      </c>
      <c r="W3931" s="17" t="s">
        <v>44</v>
      </c>
      <c r="X3931" s="17"/>
      <c r="Y3931" s="68">
        <v>45253</v>
      </c>
      <c r="Z3931" s="17" t="s">
        <v>191</v>
      </c>
      <c r="AA3931" s="17" t="s">
        <v>46</v>
      </c>
      <c r="AB3931" s="17" t="s">
        <v>1242</v>
      </c>
      <c r="AC3931" s="217">
        <v>45089</v>
      </c>
      <c r="AD3931" s="65">
        <v>1496</v>
      </c>
      <c r="AE3931" s="17" t="s">
        <v>74</v>
      </c>
      <c r="AF3931" s="17"/>
      <c r="AG3931" s="17"/>
      <c r="AH3931" s="17"/>
      <c r="AI3931" s="17"/>
      <c r="AJ3931" s="17"/>
      <c r="AK3931" s="17"/>
      <c r="AL3931" s="17"/>
      <c r="AM3931" s="17"/>
      <c r="AN3931" s="17"/>
      <c r="AO3931" s="17"/>
      <c r="AP3931" s="17"/>
      <c r="AQ3931" s="17"/>
      <c r="AR3931" s="17"/>
    </row>
    <row r="3932" s="20" customFormat="1" hidden="1" spans="1:44">
      <c r="A3932" s="17" t="s">
        <v>34</v>
      </c>
      <c r="B3932" s="19">
        <v>930</v>
      </c>
      <c r="C3932" s="222">
        <v>44934</v>
      </c>
      <c r="D3932" s="17" t="s">
        <v>52</v>
      </c>
      <c r="E3932" s="17" t="s">
        <v>1113</v>
      </c>
      <c r="F3932" s="17" t="s">
        <v>54</v>
      </c>
      <c r="G3932" s="17"/>
      <c r="H3932" s="19" t="s">
        <v>1114</v>
      </c>
      <c r="I3932" s="19"/>
      <c r="J3932" s="17" t="s">
        <v>82</v>
      </c>
      <c r="K3932" s="19">
        <v>355</v>
      </c>
      <c r="L3932" s="91">
        <v>105</v>
      </c>
      <c r="M3932" s="19">
        <v>2300</v>
      </c>
      <c r="N3932" s="19" t="s">
        <v>66</v>
      </c>
      <c r="O3932" s="19" t="s">
        <v>141</v>
      </c>
      <c r="P3932" s="19">
        <v>1984</v>
      </c>
      <c r="Q3932" s="19">
        <f>665+671+664</f>
        <v>2000</v>
      </c>
      <c r="R3932" s="17"/>
      <c r="S3932" s="19">
        <f t="shared" si="185"/>
        <v>1070</v>
      </c>
      <c r="T3932" s="19" t="s">
        <v>42</v>
      </c>
      <c r="U3932" s="102" t="s">
        <v>1243</v>
      </c>
      <c r="V3932" s="253">
        <v>44934</v>
      </c>
      <c r="W3932" s="17" t="s">
        <v>44</v>
      </c>
      <c r="X3932" s="17"/>
      <c r="Y3932" s="68">
        <v>45253</v>
      </c>
      <c r="Z3932" s="17" t="s">
        <v>191</v>
      </c>
      <c r="AA3932" s="17" t="s">
        <v>46</v>
      </c>
      <c r="AB3932" s="17" t="s">
        <v>1242</v>
      </c>
      <c r="AC3932" s="217">
        <v>45089</v>
      </c>
      <c r="AD3932" s="65">
        <v>1496</v>
      </c>
      <c r="AE3932" s="17" t="s">
        <v>74</v>
      </c>
      <c r="AF3932" s="17"/>
      <c r="AG3932" s="17"/>
      <c r="AH3932" s="17"/>
      <c r="AI3932" s="17"/>
      <c r="AJ3932" s="17"/>
      <c r="AK3932" s="17"/>
      <c r="AL3932" s="17"/>
      <c r="AM3932" s="17"/>
      <c r="AN3932" s="17"/>
      <c r="AO3932" s="17"/>
      <c r="AP3932" s="17"/>
      <c r="AQ3932" s="17"/>
      <c r="AR3932" s="17"/>
    </row>
    <row r="3933" s="20" customFormat="1" hidden="1" spans="1:44">
      <c r="A3933" s="17" t="s">
        <v>34</v>
      </c>
      <c r="B3933" s="19">
        <v>930</v>
      </c>
      <c r="C3933" s="222">
        <v>44934</v>
      </c>
      <c r="D3933" s="17" t="s">
        <v>52</v>
      </c>
      <c r="E3933" s="17" t="s">
        <v>1113</v>
      </c>
      <c r="F3933" s="17" t="s">
        <v>54</v>
      </c>
      <c r="G3933" s="17"/>
      <c r="H3933" s="19" t="s">
        <v>1114</v>
      </c>
      <c r="I3933" s="19"/>
      <c r="J3933" s="17" t="s">
        <v>82</v>
      </c>
      <c r="K3933" s="19">
        <v>355</v>
      </c>
      <c r="L3933" s="91">
        <v>105</v>
      </c>
      <c r="M3933" s="19">
        <v>2300</v>
      </c>
      <c r="N3933" s="19" t="s">
        <v>66</v>
      </c>
      <c r="O3933" s="19" t="s">
        <v>141</v>
      </c>
      <c r="P3933" s="19"/>
      <c r="Q3933" s="19">
        <v>670</v>
      </c>
      <c r="R3933" s="19">
        <f>+P3932-Q3932-Q3933</f>
        <v>-686</v>
      </c>
      <c r="S3933" s="19">
        <f t="shared" si="185"/>
        <v>1070</v>
      </c>
      <c r="T3933" s="19" t="s">
        <v>42</v>
      </c>
      <c r="U3933" s="102" t="s">
        <v>1243</v>
      </c>
      <c r="V3933" s="253">
        <v>44934</v>
      </c>
      <c r="W3933" s="17" t="s">
        <v>44</v>
      </c>
      <c r="X3933" s="17"/>
      <c r="Y3933" s="68">
        <v>45253</v>
      </c>
      <c r="Z3933" s="17" t="s">
        <v>191</v>
      </c>
      <c r="AA3933" s="17" t="s">
        <v>46</v>
      </c>
      <c r="AB3933" s="17" t="s">
        <v>1237</v>
      </c>
      <c r="AC3933" s="217">
        <v>45627</v>
      </c>
      <c r="AD3933" s="65">
        <v>1516</v>
      </c>
      <c r="AE3933" s="17" t="s">
        <v>74</v>
      </c>
      <c r="AF3933" s="17"/>
      <c r="AG3933" s="17"/>
      <c r="AH3933" s="17"/>
      <c r="AI3933" s="17"/>
      <c r="AJ3933" s="17"/>
      <c r="AK3933" s="17"/>
      <c r="AL3933" s="17"/>
      <c r="AM3933" s="17"/>
      <c r="AN3933" s="17"/>
      <c r="AO3933" s="17"/>
      <c r="AP3933" s="17"/>
      <c r="AQ3933" s="17"/>
      <c r="AR3933" s="17"/>
    </row>
    <row r="3934" s="20" customFormat="1" hidden="1" spans="1:44">
      <c r="A3934" s="17" t="s">
        <v>34</v>
      </c>
      <c r="B3934" s="19">
        <v>930</v>
      </c>
      <c r="C3934" s="222">
        <v>44934</v>
      </c>
      <c r="D3934" s="17" t="s">
        <v>52</v>
      </c>
      <c r="E3934" s="17" t="s">
        <v>1113</v>
      </c>
      <c r="F3934" s="17" t="s">
        <v>54</v>
      </c>
      <c r="G3934" s="17"/>
      <c r="H3934" s="19" t="s">
        <v>1114</v>
      </c>
      <c r="I3934" s="19"/>
      <c r="J3934" s="17" t="s">
        <v>82</v>
      </c>
      <c r="K3934" s="19">
        <v>405</v>
      </c>
      <c r="L3934" s="91">
        <v>105</v>
      </c>
      <c r="M3934" s="19">
        <v>2300</v>
      </c>
      <c r="N3934" s="19" t="s">
        <v>66</v>
      </c>
      <c r="O3934" s="19" t="s">
        <v>141</v>
      </c>
      <c r="P3934" s="19">
        <v>2263</v>
      </c>
      <c r="Q3934" s="19">
        <f>757+759+755</f>
        <v>2271</v>
      </c>
      <c r="R3934" s="19">
        <f t="shared" ref="R3934:R3979" si="186">+P3934-Q3934</f>
        <v>-8</v>
      </c>
      <c r="S3934" s="19">
        <f t="shared" si="185"/>
        <v>1070</v>
      </c>
      <c r="T3934" s="19" t="s">
        <v>42</v>
      </c>
      <c r="U3934" s="102" t="s">
        <v>1243</v>
      </c>
      <c r="V3934" s="253">
        <v>44934</v>
      </c>
      <c r="W3934" s="17" t="s">
        <v>44</v>
      </c>
      <c r="X3934" s="17"/>
      <c r="Y3934" s="68">
        <v>45253</v>
      </c>
      <c r="Z3934" s="17" t="s">
        <v>191</v>
      </c>
      <c r="AA3934" s="17" t="s">
        <v>46</v>
      </c>
      <c r="AB3934" s="17" t="s">
        <v>1242</v>
      </c>
      <c r="AC3934" s="217">
        <v>45089</v>
      </c>
      <c r="AD3934" s="65">
        <v>1496</v>
      </c>
      <c r="AE3934" s="17" t="s">
        <v>74</v>
      </c>
      <c r="AF3934" s="17"/>
      <c r="AG3934" s="17"/>
      <c r="AH3934" s="17"/>
      <c r="AI3934" s="17"/>
      <c r="AJ3934" s="17"/>
      <c r="AK3934" s="17"/>
      <c r="AL3934" s="17"/>
      <c r="AM3934" s="17"/>
      <c r="AN3934" s="17"/>
      <c r="AO3934" s="17"/>
      <c r="AP3934" s="17"/>
      <c r="AQ3934" s="17"/>
      <c r="AR3934" s="17"/>
    </row>
    <row r="3935" s="20" customFormat="1" hidden="1" spans="1:44">
      <c r="A3935" s="17" t="s">
        <v>34</v>
      </c>
      <c r="B3935" s="19">
        <v>930</v>
      </c>
      <c r="C3935" s="222">
        <v>44934</v>
      </c>
      <c r="D3935" s="17" t="s">
        <v>52</v>
      </c>
      <c r="E3935" s="17" t="s">
        <v>1113</v>
      </c>
      <c r="F3935" s="17" t="s">
        <v>54</v>
      </c>
      <c r="G3935" s="17"/>
      <c r="H3935" s="19" t="s">
        <v>1114</v>
      </c>
      <c r="I3935" s="19"/>
      <c r="J3935" s="17" t="s">
        <v>82</v>
      </c>
      <c r="K3935" s="19">
        <v>455</v>
      </c>
      <c r="L3935" s="91">
        <v>105</v>
      </c>
      <c r="M3935" s="19">
        <v>2300</v>
      </c>
      <c r="N3935" s="19" t="s">
        <v>66</v>
      </c>
      <c r="O3935" s="19" t="s">
        <v>141</v>
      </c>
      <c r="P3935" s="19">
        <v>1695</v>
      </c>
      <c r="Q3935" s="19">
        <f>851+849</f>
        <v>1700</v>
      </c>
      <c r="R3935" s="19">
        <f t="shared" si="186"/>
        <v>-5</v>
      </c>
      <c r="S3935" s="19">
        <f t="shared" si="185"/>
        <v>1070</v>
      </c>
      <c r="T3935" s="19" t="s">
        <v>42</v>
      </c>
      <c r="U3935" s="102" t="s">
        <v>1243</v>
      </c>
      <c r="V3935" s="253">
        <v>44934</v>
      </c>
      <c r="W3935" s="17" t="s">
        <v>44</v>
      </c>
      <c r="X3935" s="17"/>
      <c r="Y3935" s="68">
        <v>45253</v>
      </c>
      <c r="Z3935" s="17" t="s">
        <v>191</v>
      </c>
      <c r="AA3935" s="17" t="s">
        <v>46</v>
      </c>
      <c r="AB3935" s="17" t="s">
        <v>1242</v>
      </c>
      <c r="AC3935" s="217">
        <v>45089</v>
      </c>
      <c r="AD3935" s="65">
        <v>1496</v>
      </c>
      <c r="AE3935" s="17" t="s">
        <v>74</v>
      </c>
      <c r="AF3935" s="17"/>
      <c r="AG3935" s="17"/>
      <c r="AH3935" s="17"/>
      <c r="AI3935" s="17"/>
      <c r="AJ3935" s="17"/>
      <c r="AK3935" s="17"/>
      <c r="AL3935" s="17"/>
      <c r="AM3935" s="17"/>
      <c r="AN3935" s="17"/>
      <c r="AO3935" s="17"/>
      <c r="AP3935" s="17"/>
      <c r="AQ3935" s="17"/>
      <c r="AR3935" s="17"/>
    </row>
    <row r="3936" s="20" customFormat="1" hidden="1" spans="1:44">
      <c r="A3936" s="17" t="s">
        <v>34</v>
      </c>
      <c r="B3936" s="19">
        <v>930</v>
      </c>
      <c r="C3936" s="222">
        <v>44934</v>
      </c>
      <c r="D3936" s="17" t="s">
        <v>52</v>
      </c>
      <c r="E3936" s="17" t="s">
        <v>1113</v>
      </c>
      <c r="F3936" s="17" t="s">
        <v>54</v>
      </c>
      <c r="G3936" s="17"/>
      <c r="H3936" s="19" t="s">
        <v>1114</v>
      </c>
      <c r="I3936" s="19"/>
      <c r="J3936" s="17" t="s">
        <v>82</v>
      </c>
      <c r="K3936" s="19">
        <v>505</v>
      </c>
      <c r="L3936" s="91">
        <v>105</v>
      </c>
      <c r="M3936" s="19">
        <v>2300</v>
      </c>
      <c r="N3936" s="19" t="s">
        <v>66</v>
      </c>
      <c r="O3936" s="19" t="s">
        <v>141</v>
      </c>
      <c r="P3936" s="19">
        <v>1881</v>
      </c>
      <c r="Q3936" s="19">
        <f>944+942</f>
        <v>1886</v>
      </c>
      <c r="R3936" s="19">
        <f t="shared" si="186"/>
        <v>-5</v>
      </c>
      <c r="S3936" s="19">
        <f t="shared" si="185"/>
        <v>1070</v>
      </c>
      <c r="T3936" s="19" t="s">
        <v>42</v>
      </c>
      <c r="U3936" s="102" t="s">
        <v>1243</v>
      </c>
      <c r="V3936" s="253">
        <v>44934</v>
      </c>
      <c r="W3936" s="17" t="s">
        <v>44</v>
      </c>
      <c r="X3936" s="17"/>
      <c r="Y3936" s="68">
        <v>45253</v>
      </c>
      <c r="Z3936" s="17" t="s">
        <v>191</v>
      </c>
      <c r="AA3936" s="17" t="s">
        <v>46</v>
      </c>
      <c r="AB3936" s="17" t="s">
        <v>1242</v>
      </c>
      <c r="AC3936" s="217">
        <v>45089</v>
      </c>
      <c r="AD3936" s="65">
        <v>1496</v>
      </c>
      <c r="AE3936" s="17" t="s">
        <v>74</v>
      </c>
      <c r="AF3936" s="17"/>
      <c r="AG3936" s="17"/>
      <c r="AH3936" s="17"/>
      <c r="AI3936" s="17"/>
      <c r="AJ3936" s="17"/>
      <c r="AK3936" s="17"/>
      <c r="AL3936" s="17"/>
      <c r="AM3936" s="17"/>
      <c r="AN3936" s="17"/>
      <c r="AO3936" s="17"/>
      <c r="AP3936" s="17"/>
      <c r="AQ3936" s="17"/>
      <c r="AR3936" s="17"/>
    </row>
    <row r="3937" s="17" customFormat="1" hidden="1" spans="1:44">
      <c r="A3937" s="17" t="s">
        <v>34</v>
      </c>
      <c r="B3937" s="19">
        <v>931</v>
      </c>
      <c r="C3937" s="222">
        <v>44934</v>
      </c>
      <c r="D3937" s="17" t="s">
        <v>52</v>
      </c>
      <c r="E3937" s="17" t="s">
        <v>1113</v>
      </c>
      <c r="F3937" s="17" t="s">
        <v>54</v>
      </c>
      <c r="H3937" s="19" t="s">
        <v>426</v>
      </c>
      <c r="I3937" s="19"/>
      <c r="J3937" s="17" t="s">
        <v>49</v>
      </c>
      <c r="K3937" s="19">
        <v>1240</v>
      </c>
      <c r="L3937" s="91">
        <v>210</v>
      </c>
      <c r="M3937" s="19">
        <v>3580</v>
      </c>
      <c r="N3937" s="19"/>
      <c r="O3937" s="19" t="s">
        <v>84</v>
      </c>
      <c r="P3937" s="19">
        <v>6182</v>
      </c>
      <c r="Q3937" s="19">
        <v>7400</v>
      </c>
      <c r="R3937" s="19">
        <f t="shared" si="186"/>
        <v>-1218</v>
      </c>
      <c r="S3937" s="19">
        <f t="shared" ref="S3937:S3945" si="187">1040-40</f>
        <v>1000</v>
      </c>
      <c r="T3937" s="19" t="s">
        <v>42</v>
      </c>
      <c r="U3937" s="102" t="s">
        <v>1262</v>
      </c>
      <c r="V3937" s="253">
        <v>44934</v>
      </c>
      <c r="W3937" s="17" t="s">
        <v>44</v>
      </c>
      <c r="Y3937" s="68">
        <v>45253</v>
      </c>
      <c r="Z3937" s="17" t="s">
        <v>191</v>
      </c>
      <c r="AA3937" s="17" t="s">
        <v>46</v>
      </c>
      <c r="AB3937" s="17" t="s">
        <v>1263</v>
      </c>
      <c r="AC3937" s="102" t="s">
        <v>1264</v>
      </c>
      <c r="AD3937" s="65">
        <v>1470</v>
      </c>
      <c r="AE3937" s="17" t="s">
        <v>48</v>
      </c>
    </row>
    <row r="3938" s="17" customFormat="1" hidden="1" spans="1:44">
      <c r="A3938" s="17" t="s">
        <v>34</v>
      </c>
      <c r="B3938" s="19">
        <v>931</v>
      </c>
      <c r="C3938" s="222">
        <v>44934</v>
      </c>
      <c r="D3938" s="17" t="s">
        <v>52</v>
      </c>
      <c r="E3938" s="17" t="s">
        <v>1113</v>
      </c>
      <c r="F3938" s="17" t="s">
        <v>54</v>
      </c>
      <c r="H3938" s="19" t="s">
        <v>426</v>
      </c>
      <c r="I3938" s="19"/>
      <c r="J3938" s="17" t="s">
        <v>49</v>
      </c>
      <c r="K3938" s="19">
        <v>1247</v>
      </c>
      <c r="L3938" s="91">
        <v>230</v>
      </c>
      <c r="M3938" s="19">
        <v>3335</v>
      </c>
      <c r="N3938" s="19"/>
      <c r="O3938" s="19" t="s">
        <v>84</v>
      </c>
      <c r="P3938" s="19">
        <v>6771</v>
      </c>
      <c r="Q3938" s="19">
        <v>7535</v>
      </c>
      <c r="R3938" s="19">
        <f t="shared" si="186"/>
        <v>-764</v>
      </c>
      <c r="S3938" s="19">
        <f t="shared" si="187"/>
        <v>1000</v>
      </c>
      <c r="T3938" s="19" t="s">
        <v>42</v>
      </c>
      <c r="U3938" s="102" t="s">
        <v>1262</v>
      </c>
      <c r="V3938" s="253">
        <v>44934</v>
      </c>
      <c r="W3938" s="17" t="s">
        <v>44</v>
      </c>
      <c r="Y3938" s="68">
        <v>45253</v>
      </c>
      <c r="Z3938" s="17" t="s">
        <v>191</v>
      </c>
      <c r="AA3938" s="17" t="s">
        <v>46</v>
      </c>
      <c r="AB3938" s="17" t="s">
        <v>1263</v>
      </c>
      <c r="AC3938" s="102" t="s">
        <v>1264</v>
      </c>
      <c r="AD3938" s="65">
        <v>1470</v>
      </c>
      <c r="AE3938" s="17" t="s">
        <v>48</v>
      </c>
    </row>
    <row r="3939" s="17" customFormat="1" hidden="1" spans="1:44">
      <c r="A3939" s="17" t="s">
        <v>34</v>
      </c>
      <c r="B3939" s="19">
        <v>931</v>
      </c>
      <c r="C3939" s="222">
        <v>44934</v>
      </c>
      <c r="D3939" s="17" t="s">
        <v>52</v>
      </c>
      <c r="E3939" s="17" t="s">
        <v>1113</v>
      </c>
      <c r="F3939" s="17" t="s">
        <v>54</v>
      </c>
      <c r="H3939" s="19" t="s">
        <v>426</v>
      </c>
      <c r="I3939" s="19"/>
      <c r="J3939" s="17" t="s">
        <v>49</v>
      </c>
      <c r="K3939" s="19">
        <v>1445</v>
      </c>
      <c r="L3939" s="91">
        <v>250</v>
      </c>
      <c r="M3939" s="19">
        <v>3040</v>
      </c>
      <c r="N3939" s="19"/>
      <c r="O3939" s="19" t="s">
        <v>84</v>
      </c>
      <c r="P3939" s="19">
        <v>8537</v>
      </c>
      <c r="Q3939" s="19">
        <v>8715</v>
      </c>
      <c r="R3939" s="19">
        <f t="shared" si="186"/>
        <v>-178</v>
      </c>
      <c r="S3939" s="19">
        <f t="shared" si="187"/>
        <v>1000</v>
      </c>
      <c r="T3939" s="19" t="s">
        <v>42</v>
      </c>
      <c r="U3939" s="102" t="s">
        <v>1262</v>
      </c>
      <c r="V3939" s="253">
        <v>44934</v>
      </c>
      <c r="W3939" s="17" t="s">
        <v>44</v>
      </c>
      <c r="Y3939" s="68">
        <v>45253</v>
      </c>
      <c r="Z3939" s="17" t="s">
        <v>191</v>
      </c>
      <c r="AA3939" s="17" t="s">
        <v>46</v>
      </c>
      <c r="AB3939" s="17" t="s">
        <v>1265</v>
      </c>
      <c r="AC3939" s="102" t="s">
        <v>1212</v>
      </c>
      <c r="AD3939" s="65">
        <v>1471</v>
      </c>
      <c r="AE3939" s="17" t="s">
        <v>48</v>
      </c>
    </row>
    <row r="3940" s="17" customFormat="1" hidden="1" spans="1:44">
      <c r="A3940" s="17" t="s">
        <v>34</v>
      </c>
      <c r="B3940" s="19">
        <v>931</v>
      </c>
      <c r="C3940" s="222">
        <v>44934</v>
      </c>
      <c r="D3940" s="17" t="s">
        <v>52</v>
      </c>
      <c r="E3940" s="17" t="s">
        <v>1113</v>
      </c>
      <c r="F3940" s="17" t="s">
        <v>54</v>
      </c>
      <c r="H3940" s="19" t="s">
        <v>426</v>
      </c>
      <c r="I3940" s="19"/>
      <c r="J3940" s="17" t="s">
        <v>49</v>
      </c>
      <c r="K3940" s="19">
        <v>1443</v>
      </c>
      <c r="L3940" s="91">
        <v>280</v>
      </c>
      <c r="M3940" s="19">
        <v>3310</v>
      </c>
      <c r="N3940" s="19"/>
      <c r="O3940" s="19" t="s">
        <v>84</v>
      </c>
      <c r="P3940" s="19">
        <v>9561</v>
      </c>
      <c r="Q3940" s="19">
        <v>10545</v>
      </c>
      <c r="R3940" s="19">
        <f t="shared" si="186"/>
        <v>-984</v>
      </c>
      <c r="S3940" s="19">
        <f t="shared" si="187"/>
        <v>1000</v>
      </c>
      <c r="T3940" s="19" t="s">
        <v>42</v>
      </c>
      <c r="U3940" s="102" t="s">
        <v>1262</v>
      </c>
      <c r="V3940" s="253">
        <v>44934</v>
      </c>
      <c r="W3940" s="17" t="s">
        <v>44</v>
      </c>
      <c r="Y3940" s="68">
        <v>45253</v>
      </c>
      <c r="Z3940" s="17" t="s">
        <v>191</v>
      </c>
      <c r="AA3940" s="17" t="s">
        <v>46</v>
      </c>
      <c r="AB3940" s="17" t="s">
        <v>1263</v>
      </c>
      <c r="AC3940" s="102" t="s">
        <v>1264</v>
      </c>
      <c r="AD3940" s="65">
        <v>1470</v>
      </c>
      <c r="AE3940" s="17" t="s">
        <v>48</v>
      </c>
    </row>
    <row r="3941" s="17" customFormat="1" hidden="1" spans="1:44">
      <c r="A3941" s="17" t="s">
        <v>34</v>
      </c>
      <c r="B3941" s="19">
        <v>931</v>
      </c>
      <c r="C3941" s="222">
        <v>44934</v>
      </c>
      <c r="D3941" s="17" t="s">
        <v>52</v>
      </c>
      <c r="E3941" s="17" t="s">
        <v>1113</v>
      </c>
      <c r="F3941" s="17" t="s">
        <v>54</v>
      </c>
      <c r="H3941" s="19" t="s">
        <v>426</v>
      </c>
      <c r="I3941" s="19"/>
      <c r="J3941" s="17" t="s">
        <v>49</v>
      </c>
      <c r="K3941" s="19">
        <v>1400</v>
      </c>
      <c r="L3941" s="91">
        <v>300</v>
      </c>
      <c r="M3941" s="19">
        <v>3551</v>
      </c>
      <c r="N3941" s="19"/>
      <c r="O3941" s="19" t="s">
        <v>84</v>
      </c>
      <c r="P3941" s="19">
        <v>10244</v>
      </c>
      <c r="Q3941" s="19">
        <v>11725</v>
      </c>
      <c r="R3941" s="19">
        <f t="shared" si="186"/>
        <v>-1481</v>
      </c>
      <c r="S3941" s="19">
        <f t="shared" si="187"/>
        <v>1000</v>
      </c>
      <c r="T3941" s="19" t="s">
        <v>42</v>
      </c>
      <c r="U3941" s="102" t="s">
        <v>1262</v>
      </c>
      <c r="V3941" s="253">
        <v>44934</v>
      </c>
      <c r="W3941" s="17" t="s">
        <v>44</v>
      </c>
      <c r="Y3941" s="68">
        <v>45253</v>
      </c>
      <c r="Z3941" s="17" t="s">
        <v>191</v>
      </c>
      <c r="AA3941" s="17" t="s">
        <v>46</v>
      </c>
      <c r="AB3941" s="17" t="s">
        <v>1263</v>
      </c>
      <c r="AC3941" s="102" t="s">
        <v>1264</v>
      </c>
      <c r="AD3941" s="65">
        <v>1470</v>
      </c>
      <c r="AE3941" s="17" t="s">
        <v>48</v>
      </c>
    </row>
    <row r="3942" s="17" customFormat="1" hidden="1" spans="1:44">
      <c r="A3942" s="17" t="s">
        <v>34</v>
      </c>
      <c r="B3942" s="19">
        <v>931</v>
      </c>
      <c r="C3942" s="222">
        <v>44934</v>
      </c>
      <c r="D3942" s="17" t="s">
        <v>52</v>
      </c>
      <c r="E3942" s="17" t="s">
        <v>1113</v>
      </c>
      <c r="F3942" s="17" t="s">
        <v>54</v>
      </c>
      <c r="H3942" s="19" t="s">
        <v>426</v>
      </c>
      <c r="I3942" s="19"/>
      <c r="J3942" s="17" t="s">
        <v>49</v>
      </c>
      <c r="K3942" s="19">
        <v>1460</v>
      </c>
      <c r="L3942" s="91">
        <v>355</v>
      </c>
      <c r="M3942" s="19">
        <v>3275</v>
      </c>
      <c r="N3942" s="19"/>
      <c r="O3942" s="19" t="s">
        <v>84</v>
      </c>
      <c r="P3942" s="19">
        <v>12122</v>
      </c>
      <c r="Q3942" s="19">
        <v>13325</v>
      </c>
      <c r="R3942" s="19">
        <f t="shared" si="186"/>
        <v>-1203</v>
      </c>
      <c r="S3942" s="19">
        <f t="shared" si="187"/>
        <v>1000</v>
      </c>
      <c r="T3942" s="19" t="s">
        <v>42</v>
      </c>
      <c r="U3942" s="102" t="s">
        <v>1262</v>
      </c>
      <c r="V3942" s="253">
        <v>44934</v>
      </c>
      <c r="W3942" s="17" t="s">
        <v>44</v>
      </c>
      <c r="Y3942" s="68">
        <v>45253</v>
      </c>
      <c r="Z3942" s="17" t="s">
        <v>191</v>
      </c>
      <c r="AA3942" s="17" t="s">
        <v>46</v>
      </c>
      <c r="AB3942" s="17" t="s">
        <v>1265</v>
      </c>
      <c r="AC3942" s="102" t="s">
        <v>1212</v>
      </c>
      <c r="AD3942" s="65">
        <v>1471</v>
      </c>
      <c r="AE3942" s="17" t="s">
        <v>48</v>
      </c>
    </row>
    <row r="3943" s="17" customFormat="1" hidden="1" spans="1:44">
      <c r="A3943" s="17" t="s">
        <v>34</v>
      </c>
      <c r="B3943" s="19">
        <v>931</v>
      </c>
      <c r="C3943" s="222">
        <v>44934</v>
      </c>
      <c r="D3943" s="17" t="s">
        <v>52</v>
      </c>
      <c r="E3943" s="17" t="s">
        <v>1113</v>
      </c>
      <c r="F3943" s="17" t="s">
        <v>54</v>
      </c>
      <c r="H3943" s="19" t="s">
        <v>426</v>
      </c>
      <c r="I3943" s="19"/>
      <c r="J3943" s="17" t="s">
        <v>49</v>
      </c>
      <c r="K3943" s="19">
        <v>1430</v>
      </c>
      <c r="L3943" s="91">
        <v>410</v>
      </c>
      <c r="M3943" s="19">
        <v>2937</v>
      </c>
      <c r="N3943" s="19"/>
      <c r="O3943" s="19" t="s">
        <v>84</v>
      </c>
      <c r="P3943" s="19">
        <v>14000</v>
      </c>
      <c r="Q3943" s="19">
        <v>13518</v>
      </c>
      <c r="R3943" s="19">
        <f t="shared" si="186"/>
        <v>482</v>
      </c>
      <c r="S3943" s="19">
        <f t="shared" si="187"/>
        <v>1000</v>
      </c>
      <c r="T3943" s="19" t="s">
        <v>42</v>
      </c>
      <c r="U3943" s="102" t="s">
        <v>1262</v>
      </c>
      <c r="V3943" s="253">
        <v>44934</v>
      </c>
      <c r="W3943" s="17" t="s">
        <v>44</v>
      </c>
      <c r="Y3943" s="68">
        <v>45253</v>
      </c>
      <c r="Z3943" s="17" t="s">
        <v>191</v>
      </c>
      <c r="AA3943" s="17" t="s">
        <v>46</v>
      </c>
      <c r="AB3943" s="17" t="s">
        <v>1265</v>
      </c>
      <c r="AC3943" s="102" t="s">
        <v>1212</v>
      </c>
      <c r="AD3943" s="65">
        <v>1471</v>
      </c>
      <c r="AE3943" s="17" t="s">
        <v>48</v>
      </c>
    </row>
    <row r="3944" s="17" customFormat="1" hidden="1" spans="1:44">
      <c r="A3944" s="17" t="s">
        <v>34</v>
      </c>
      <c r="B3944" s="19">
        <v>931</v>
      </c>
      <c r="C3944" s="222">
        <v>44934</v>
      </c>
      <c r="D3944" s="17" t="s">
        <v>52</v>
      </c>
      <c r="E3944" s="17" t="s">
        <v>1113</v>
      </c>
      <c r="F3944" s="17" t="s">
        <v>54</v>
      </c>
      <c r="H3944" s="19" t="s">
        <v>426</v>
      </c>
      <c r="I3944" s="19"/>
      <c r="J3944" s="17" t="s">
        <v>49</v>
      </c>
      <c r="K3944" s="19">
        <v>1442</v>
      </c>
      <c r="L3944" s="91">
        <v>455</v>
      </c>
      <c r="M3944" s="19">
        <v>3025</v>
      </c>
      <c r="N3944" s="19"/>
      <c r="O3944" s="19" t="s">
        <v>84</v>
      </c>
      <c r="P3944" s="19">
        <v>15537</v>
      </c>
      <c r="Q3944" s="19">
        <v>15576</v>
      </c>
      <c r="R3944" s="19">
        <f t="shared" si="186"/>
        <v>-39</v>
      </c>
      <c r="S3944" s="19">
        <f t="shared" si="187"/>
        <v>1000</v>
      </c>
      <c r="T3944" s="19" t="s">
        <v>42</v>
      </c>
      <c r="U3944" s="102" t="s">
        <v>1262</v>
      </c>
      <c r="V3944" s="253">
        <v>44934</v>
      </c>
      <c r="W3944" s="17" t="s">
        <v>44</v>
      </c>
      <c r="Y3944" s="68">
        <v>45253</v>
      </c>
      <c r="Z3944" s="17" t="s">
        <v>191</v>
      </c>
      <c r="AA3944" s="17" t="s">
        <v>46</v>
      </c>
      <c r="AB3944" s="17" t="s">
        <v>1263</v>
      </c>
      <c r="AC3944" s="102" t="s">
        <v>1264</v>
      </c>
      <c r="AD3944" s="65">
        <v>1470</v>
      </c>
      <c r="AE3944" s="17" t="s">
        <v>48</v>
      </c>
    </row>
    <row r="3945" s="17" customFormat="1" hidden="1" spans="1:44">
      <c r="A3945" s="17" t="s">
        <v>34</v>
      </c>
      <c r="B3945" s="19">
        <v>931</v>
      </c>
      <c r="C3945" s="222">
        <v>44934</v>
      </c>
      <c r="D3945" s="17" t="s">
        <v>52</v>
      </c>
      <c r="E3945" s="17" t="s">
        <v>1113</v>
      </c>
      <c r="F3945" s="17" t="s">
        <v>54</v>
      </c>
      <c r="H3945" s="19" t="s">
        <v>426</v>
      </c>
      <c r="I3945" s="19"/>
      <c r="J3945" s="17" t="s">
        <v>49</v>
      </c>
      <c r="K3945" s="147">
        <v>1435</v>
      </c>
      <c r="L3945" s="243">
        <v>510</v>
      </c>
      <c r="M3945" s="19">
        <v>3235</v>
      </c>
      <c r="N3945" s="19"/>
      <c r="O3945" s="19" t="s">
        <v>84</v>
      </c>
      <c r="P3945" s="19">
        <v>17415</v>
      </c>
      <c r="Q3945" s="19">
        <v>18465</v>
      </c>
      <c r="R3945" s="19">
        <f t="shared" si="186"/>
        <v>-1050</v>
      </c>
      <c r="S3945" s="19">
        <f t="shared" si="187"/>
        <v>1000</v>
      </c>
      <c r="T3945" s="19" t="s">
        <v>42</v>
      </c>
      <c r="U3945" s="102" t="s">
        <v>1262</v>
      </c>
      <c r="V3945" s="253">
        <v>44934</v>
      </c>
      <c r="W3945" s="17" t="s">
        <v>44</v>
      </c>
      <c r="Y3945" s="68">
        <v>45253</v>
      </c>
      <c r="Z3945" s="17" t="s">
        <v>191</v>
      </c>
      <c r="AA3945" s="17" t="s">
        <v>46</v>
      </c>
      <c r="AB3945" s="17" t="s">
        <v>1265</v>
      </c>
      <c r="AC3945" s="102" t="s">
        <v>1212</v>
      </c>
      <c r="AD3945" s="65">
        <v>1471</v>
      </c>
      <c r="AE3945" s="17" t="s">
        <v>48</v>
      </c>
    </row>
    <row r="3946" s="20" customFormat="1" hidden="1" spans="1:44">
      <c r="A3946" s="17" t="s">
        <v>34</v>
      </c>
      <c r="B3946" s="19">
        <v>932</v>
      </c>
      <c r="C3946" s="222">
        <v>44934</v>
      </c>
      <c r="D3946" s="17" t="s">
        <v>52</v>
      </c>
      <c r="E3946" s="17" t="s">
        <v>53</v>
      </c>
      <c r="F3946" s="17" t="s">
        <v>54</v>
      </c>
      <c r="G3946" s="17"/>
      <c r="H3946" s="19">
        <v>1.2379</v>
      </c>
      <c r="I3946" s="19"/>
      <c r="J3946" s="17" t="s">
        <v>82</v>
      </c>
      <c r="K3946" s="295">
        <v>210</v>
      </c>
      <c r="L3946" s="295">
        <v>12</v>
      </c>
      <c r="M3946" s="19">
        <v>5800</v>
      </c>
      <c r="N3946" s="19" t="s">
        <v>40</v>
      </c>
      <c r="O3946" s="19" t="s">
        <v>141</v>
      </c>
      <c r="P3946" s="19">
        <v>1000</v>
      </c>
      <c r="Q3946" s="19">
        <f>56+58+61+62+48+48+49+49+58+57+59+59</f>
        <v>664</v>
      </c>
      <c r="R3946" s="19">
        <f t="shared" si="186"/>
        <v>336</v>
      </c>
      <c r="S3946" s="91">
        <v>2500</v>
      </c>
      <c r="T3946" s="19" t="s">
        <v>42</v>
      </c>
      <c r="U3946" s="102" t="s">
        <v>1266</v>
      </c>
      <c r="V3946" s="253">
        <v>44993</v>
      </c>
      <c r="W3946" s="17" t="s">
        <v>58</v>
      </c>
      <c r="X3946" s="17"/>
      <c r="Y3946" s="68">
        <v>45222</v>
      </c>
      <c r="Z3946" s="17" t="s">
        <v>191</v>
      </c>
      <c r="AA3946" s="17" t="s">
        <v>46</v>
      </c>
      <c r="AB3946" s="17" t="s">
        <v>1266</v>
      </c>
      <c r="AC3946" s="66">
        <v>45278</v>
      </c>
      <c r="AD3946" s="65">
        <v>1501</v>
      </c>
      <c r="AE3946" s="17" t="s">
        <v>74</v>
      </c>
      <c r="AF3946" s="17"/>
      <c r="AG3946" s="17"/>
      <c r="AH3946" s="17"/>
      <c r="AI3946" s="17"/>
      <c r="AJ3946" s="17"/>
      <c r="AK3946" s="17"/>
      <c r="AL3946" s="17"/>
      <c r="AM3946" s="17"/>
      <c r="AN3946" s="17"/>
      <c r="AO3946" s="17"/>
      <c r="AP3946" s="17"/>
      <c r="AQ3946" s="17"/>
      <c r="AR3946" s="17"/>
    </row>
    <row r="3947" s="20" customFormat="1" hidden="1" spans="1:44">
      <c r="A3947" s="17" t="s">
        <v>34</v>
      </c>
      <c r="B3947" s="19">
        <v>932</v>
      </c>
      <c r="C3947" s="222">
        <v>44934</v>
      </c>
      <c r="D3947" s="17" t="s">
        <v>52</v>
      </c>
      <c r="E3947" s="17" t="s">
        <v>53</v>
      </c>
      <c r="F3947" s="17" t="s">
        <v>54</v>
      </c>
      <c r="G3947" s="17"/>
      <c r="H3947" s="19">
        <v>1.2379</v>
      </c>
      <c r="I3947" s="19"/>
      <c r="J3947" s="17" t="s">
        <v>82</v>
      </c>
      <c r="K3947" s="295">
        <v>260</v>
      </c>
      <c r="L3947" s="295">
        <v>12</v>
      </c>
      <c r="M3947" s="19">
        <v>5800</v>
      </c>
      <c r="N3947" s="19" t="s">
        <v>40</v>
      </c>
      <c r="O3947" s="19" t="s">
        <v>141</v>
      </c>
      <c r="P3947" s="19">
        <v>1000</v>
      </c>
      <c r="Q3947" s="19">
        <f>80+80+67+67+78+78+78+78+78+79+76+76+76+75</f>
        <v>1066</v>
      </c>
      <c r="R3947" s="19">
        <f t="shared" si="186"/>
        <v>-66</v>
      </c>
      <c r="S3947" s="91">
        <v>2500</v>
      </c>
      <c r="T3947" s="19" t="s">
        <v>42</v>
      </c>
      <c r="U3947" s="102" t="s">
        <v>1266</v>
      </c>
      <c r="V3947" s="253">
        <v>44993</v>
      </c>
      <c r="W3947" s="17" t="s">
        <v>58</v>
      </c>
      <c r="X3947" s="17"/>
      <c r="Y3947" s="68">
        <v>45222</v>
      </c>
      <c r="Z3947" s="17" t="s">
        <v>191</v>
      </c>
      <c r="AA3947" s="17" t="s">
        <v>46</v>
      </c>
      <c r="AB3947" s="17" t="s">
        <v>1266</v>
      </c>
      <c r="AC3947" s="66">
        <v>45278</v>
      </c>
      <c r="AD3947" s="65">
        <v>1501</v>
      </c>
      <c r="AE3947" s="17" t="s">
        <v>74</v>
      </c>
      <c r="AF3947" s="17"/>
      <c r="AG3947" s="17"/>
      <c r="AH3947" s="17"/>
      <c r="AI3947" s="17"/>
      <c r="AJ3947" s="17"/>
      <c r="AK3947" s="17"/>
      <c r="AL3947" s="17"/>
      <c r="AM3947" s="17"/>
      <c r="AN3947" s="17"/>
      <c r="AO3947" s="17"/>
      <c r="AP3947" s="17"/>
      <c r="AQ3947" s="17"/>
      <c r="AR3947" s="17"/>
    </row>
    <row r="3948" s="20" customFormat="1" hidden="1" spans="1:44">
      <c r="A3948" s="17" t="s">
        <v>34</v>
      </c>
      <c r="B3948" s="19">
        <v>932</v>
      </c>
      <c r="C3948" s="222">
        <v>44934</v>
      </c>
      <c r="D3948" s="17" t="s">
        <v>52</v>
      </c>
      <c r="E3948" s="17" t="s">
        <v>53</v>
      </c>
      <c r="F3948" s="17" t="s">
        <v>54</v>
      </c>
      <c r="G3948" s="17"/>
      <c r="H3948" s="19">
        <v>1.2379</v>
      </c>
      <c r="I3948" s="19"/>
      <c r="J3948" s="17" t="s">
        <v>82</v>
      </c>
      <c r="K3948" s="295">
        <v>310</v>
      </c>
      <c r="L3948" s="295">
        <v>12</v>
      </c>
      <c r="M3948" s="19">
        <v>5800</v>
      </c>
      <c r="N3948" s="19" t="s">
        <v>40</v>
      </c>
      <c r="O3948" s="19" t="s">
        <v>141</v>
      </c>
      <c r="P3948" s="19">
        <v>1000</v>
      </c>
      <c r="Q3948" s="19">
        <f>94+81+82+84+82+95</f>
        <v>518</v>
      </c>
      <c r="R3948" s="19">
        <f t="shared" si="186"/>
        <v>482</v>
      </c>
      <c r="S3948" s="91">
        <v>2500</v>
      </c>
      <c r="T3948" s="19" t="s">
        <v>42</v>
      </c>
      <c r="U3948" s="102" t="s">
        <v>1266</v>
      </c>
      <c r="V3948" s="253">
        <v>44993</v>
      </c>
      <c r="W3948" s="17" t="s">
        <v>58</v>
      </c>
      <c r="X3948" s="17"/>
      <c r="Y3948" s="68">
        <v>45222</v>
      </c>
      <c r="Z3948" s="17" t="s">
        <v>191</v>
      </c>
      <c r="AA3948" s="17" t="s">
        <v>46</v>
      </c>
      <c r="AB3948" s="17" t="s">
        <v>1266</v>
      </c>
      <c r="AC3948" s="66">
        <v>45278</v>
      </c>
      <c r="AD3948" s="65">
        <v>1501</v>
      </c>
      <c r="AE3948" s="17" t="s">
        <v>74</v>
      </c>
      <c r="AF3948" s="17"/>
      <c r="AG3948" s="17"/>
      <c r="AH3948" s="17"/>
      <c r="AI3948" s="17"/>
      <c r="AJ3948" s="17"/>
      <c r="AK3948" s="17"/>
      <c r="AL3948" s="17"/>
      <c r="AM3948" s="17"/>
      <c r="AN3948" s="17"/>
      <c r="AO3948" s="17"/>
      <c r="AP3948" s="17"/>
      <c r="AQ3948" s="17"/>
      <c r="AR3948" s="17"/>
    </row>
    <row r="3949" s="20" customFormat="1" hidden="1" spans="1:44">
      <c r="A3949" s="17" t="s">
        <v>34</v>
      </c>
      <c r="B3949" s="19">
        <v>932</v>
      </c>
      <c r="C3949" s="222">
        <v>44934</v>
      </c>
      <c r="D3949" s="17" t="s">
        <v>52</v>
      </c>
      <c r="E3949" s="17" t="s">
        <v>53</v>
      </c>
      <c r="F3949" s="17" t="s">
        <v>54</v>
      </c>
      <c r="G3949" s="17"/>
      <c r="H3949" s="19">
        <v>1.2379</v>
      </c>
      <c r="I3949" s="19"/>
      <c r="J3949" s="17" t="s">
        <v>82</v>
      </c>
      <c r="K3949" s="295">
        <v>610</v>
      </c>
      <c r="L3949" s="96">
        <v>12</v>
      </c>
      <c r="M3949" s="19">
        <v>5800</v>
      </c>
      <c r="N3949" s="19" t="s">
        <v>40</v>
      </c>
      <c r="O3949" s="19" t="s">
        <v>141</v>
      </c>
      <c r="P3949" s="19">
        <v>1000</v>
      </c>
      <c r="Q3949" s="19">
        <f>326+378+362+372</f>
        <v>1438</v>
      </c>
      <c r="R3949" s="19">
        <f t="shared" si="186"/>
        <v>-438</v>
      </c>
      <c r="S3949" s="91">
        <v>2500</v>
      </c>
      <c r="T3949" s="19" t="s">
        <v>42</v>
      </c>
      <c r="U3949" s="102" t="s">
        <v>1266</v>
      </c>
      <c r="V3949" s="253">
        <v>44993</v>
      </c>
      <c r="W3949" s="17" t="s">
        <v>58</v>
      </c>
      <c r="X3949" s="17"/>
      <c r="Y3949" s="68">
        <v>45222</v>
      </c>
      <c r="Z3949" s="17" t="s">
        <v>191</v>
      </c>
      <c r="AA3949" s="17" t="s">
        <v>46</v>
      </c>
      <c r="AB3949" s="17" t="s">
        <v>1266</v>
      </c>
      <c r="AC3949" s="66">
        <v>45278</v>
      </c>
      <c r="AD3949" s="65">
        <v>1501</v>
      </c>
      <c r="AE3949" s="17" t="s">
        <v>74</v>
      </c>
      <c r="AF3949" s="17"/>
      <c r="AG3949" s="17"/>
      <c r="AH3949" s="17"/>
      <c r="AI3949" s="17"/>
      <c r="AJ3949" s="17"/>
      <c r="AK3949" s="17"/>
      <c r="AL3949" s="17"/>
      <c r="AM3949" s="17"/>
      <c r="AN3949" s="17"/>
      <c r="AO3949" s="17"/>
      <c r="AP3949" s="17"/>
      <c r="AQ3949" s="17"/>
      <c r="AR3949" s="17"/>
    </row>
    <row r="3950" s="20" customFormat="1" hidden="1" spans="1:44">
      <c r="A3950" s="17" t="s">
        <v>34</v>
      </c>
      <c r="B3950" s="19">
        <v>932</v>
      </c>
      <c r="C3950" s="222">
        <v>44934</v>
      </c>
      <c r="D3950" s="17" t="s">
        <v>52</v>
      </c>
      <c r="E3950" s="17" t="s">
        <v>53</v>
      </c>
      <c r="F3950" s="17" t="s">
        <v>54</v>
      </c>
      <c r="G3950" s="17"/>
      <c r="H3950" s="19">
        <v>1.2379</v>
      </c>
      <c r="I3950" s="19"/>
      <c r="J3950" s="17" t="s">
        <v>82</v>
      </c>
      <c r="K3950" s="295">
        <v>210</v>
      </c>
      <c r="L3950" s="295">
        <v>16</v>
      </c>
      <c r="M3950" s="19">
        <v>5800</v>
      </c>
      <c r="N3950" s="19" t="s">
        <v>40</v>
      </c>
      <c r="O3950" s="19" t="s">
        <v>141</v>
      </c>
      <c r="P3950" s="19">
        <v>1000</v>
      </c>
      <c r="Q3950" s="19">
        <f>123+126+106+65+65+63+66+68+66</f>
        <v>748</v>
      </c>
      <c r="R3950" s="19">
        <f t="shared" si="186"/>
        <v>252</v>
      </c>
      <c r="S3950" s="91">
        <v>2340</v>
      </c>
      <c r="T3950" s="19" t="s">
        <v>42</v>
      </c>
      <c r="U3950" s="102" t="s">
        <v>1266</v>
      </c>
      <c r="V3950" s="253">
        <v>44993</v>
      </c>
      <c r="W3950" s="17" t="s">
        <v>58</v>
      </c>
      <c r="X3950" s="17"/>
      <c r="Y3950" s="68">
        <v>45222</v>
      </c>
      <c r="Z3950" s="17" t="s">
        <v>191</v>
      </c>
      <c r="AA3950" s="17" t="s">
        <v>46</v>
      </c>
      <c r="AB3950" s="17" t="s">
        <v>1266</v>
      </c>
      <c r="AC3950" s="66">
        <v>45278</v>
      </c>
      <c r="AD3950" s="65">
        <v>1501</v>
      </c>
      <c r="AE3950" s="17" t="s">
        <v>74</v>
      </c>
      <c r="AF3950" s="17"/>
      <c r="AG3950" s="17"/>
      <c r="AH3950" s="17"/>
      <c r="AI3950" s="17"/>
      <c r="AJ3950" s="17"/>
      <c r="AK3950" s="17"/>
      <c r="AL3950" s="17"/>
      <c r="AM3950" s="17"/>
      <c r="AN3950" s="17"/>
      <c r="AO3950" s="17"/>
      <c r="AP3950" s="17"/>
      <c r="AQ3950" s="17"/>
      <c r="AR3950" s="17"/>
    </row>
    <row r="3951" s="20" customFormat="1" hidden="1" spans="1:44">
      <c r="A3951" s="17" t="s">
        <v>34</v>
      </c>
      <c r="B3951" s="19">
        <v>932</v>
      </c>
      <c r="C3951" s="222">
        <v>44934</v>
      </c>
      <c r="D3951" s="17" t="s">
        <v>52</v>
      </c>
      <c r="E3951" s="17" t="s">
        <v>53</v>
      </c>
      <c r="F3951" s="17" t="s">
        <v>54</v>
      </c>
      <c r="G3951" s="17"/>
      <c r="H3951" s="19">
        <v>1.2379</v>
      </c>
      <c r="I3951" s="19"/>
      <c r="J3951" s="17" t="s">
        <v>82</v>
      </c>
      <c r="K3951" s="295">
        <v>260</v>
      </c>
      <c r="L3951" s="295">
        <v>16</v>
      </c>
      <c r="M3951" s="19">
        <v>5800</v>
      </c>
      <c r="N3951" s="19" t="s">
        <v>40</v>
      </c>
      <c r="O3951" s="19" t="s">
        <v>141</v>
      </c>
      <c r="P3951" s="19">
        <v>1000</v>
      </c>
      <c r="Q3951" s="19">
        <f>82+80+157+150+149+139+140+134</f>
        <v>1031</v>
      </c>
      <c r="R3951" s="19">
        <f t="shared" si="186"/>
        <v>-31</v>
      </c>
      <c r="S3951" s="91">
        <v>2340</v>
      </c>
      <c r="T3951" s="19" t="s">
        <v>42</v>
      </c>
      <c r="U3951" s="102" t="s">
        <v>1266</v>
      </c>
      <c r="V3951" s="253">
        <v>44993</v>
      </c>
      <c r="W3951" s="17" t="s">
        <v>58</v>
      </c>
      <c r="X3951" s="17"/>
      <c r="Y3951" s="68">
        <v>45222</v>
      </c>
      <c r="Z3951" s="17" t="s">
        <v>191</v>
      </c>
      <c r="AA3951" s="17" t="s">
        <v>46</v>
      </c>
      <c r="AB3951" s="17" t="s">
        <v>1266</v>
      </c>
      <c r="AC3951" s="66">
        <v>45278</v>
      </c>
      <c r="AD3951" s="65">
        <v>1501</v>
      </c>
      <c r="AE3951" s="17" t="s">
        <v>74</v>
      </c>
      <c r="AF3951" s="17"/>
      <c r="AG3951" s="17"/>
      <c r="AH3951" s="17"/>
      <c r="AI3951" s="17"/>
      <c r="AJ3951" s="17"/>
      <c r="AK3951" s="17"/>
      <c r="AL3951" s="17"/>
      <c r="AM3951" s="17"/>
      <c r="AN3951" s="17"/>
      <c r="AO3951" s="17"/>
      <c r="AP3951" s="17"/>
      <c r="AQ3951" s="17"/>
      <c r="AR3951" s="17"/>
    </row>
    <row r="3952" s="20" customFormat="1" hidden="1" spans="1:44">
      <c r="A3952" s="17" t="s">
        <v>34</v>
      </c>
      <c r="B3952" s="19">
        <v>932</v>
      </c>
      <c r="C3952" s="222">
        <v>44934</v>
      </c>
      <c r="D3952" s="17" t="s">
        <v>52</v>
      </c>
      <c r="E3952" s="17" t="s">
        <v>53</v>
      </c>
      <c r="F3952" s="17" t="s">
        <v>54</v>
      </c>
      <c r="G3952" s="17"/>
      <c r="H3952" s="19">
        <v>1.2379</v>
      </c>
      <c r="I3952" s="19"/>
      <c r="J3952" s="17" t="s">
        <v>82</v>
      </c>
      <c r="K3952" s="295">
        <v>310</v>
      </c>
      <c r="L3952" s="295">
        <v>16</v>
      </c>
      <c r="M3952" s="19">
        <v>5800</v>
      </c>
      <c r="N3952" s="19" t="s">
        <v>40</v>
      </c>
      <c r="O3952" s="19" t="s">
        <v>141</v>
      </c>
      <c r="P3952" s="19">
        <v>1000</v>
      </c>
      <c r="Q3952" s="19">
        <v>186</v>
      </c>
      <c r="R3952" s="19">
        <f t="shared" si="186"/>
        <v>814</v>
      </c>
      <c r="S3952" s="91">
        <v>2340</v>
      </c>
      <c r="T3952" s="19" t="s">
        <v>42</v>
      </c>
      <c r="U3952" s="102" t="s">
        <v>1266</v>
      </c>
      <c r="V3952" s="253">
        <v>44993</v>
      </c>
      <c r="W3952" s="17" t="s">
        <v>58</v>
      </c>
      <c r="X3952" s="17"/>
      <c r="Y3952" s="68">
        <v>45222</v>
      </c>
      <c r="Z3952" s="17" t="s">
        <v>191</v>
      </c>
      <c r="AA3952" s="17" t="s">
        <v>46</v>
      </c>
      <c r="AB3952" s="17" t="s">
        <v>1266</v>
      </c>
      <c r="AC3952" s="66">
        <v>45278</v>
      </c>
      <c r="AD3952" s="65">
        <v>1501</v>
      </c>
      <c r="AE3952" s="17" t="s">
        <v>74</v>
      </c>
      <c r="AF3952" s="17"/>
      <c r="AG3952" s="17"/>
      <c r="AH3952" s="17"/>
      <c r="AI3952" s="17"/>
      <c r="AJ3952" s="17"/>
      <c r="AK3952" s="17"/>
      <c r="AL3952" s="17"/>
      <c r="AM3952" s="17"/>
      <c r="AN3952" s="17"/>
      <c r="AO3952" s="17"/>
      <c r="AP3952" s="17"/>
      <c r="AQ3952" s="17"/>
      <c r="AR3952" s="17"/>
    </row>
    <row r="3953" s="20" customFormat="1" hidden="1" spans="1:44">
      <c r="A3953" s="17" t="s">
        <v>34</v>
      </c>
      <c r="B3953" s="19">
        <v>932</v>
      </c>
      <c r="C3953" s="222">
        <v>44934</v>
      </c>
      <c r="D3953" s="17" t="s">
        <v>52</v>
      </c>
      <c r="E3953" s="17" t="s">
        <v>53</v>
      </c>
      <c r="F3953" s="17" t="s">
        <v>54</v>
      </c>
      <c r="G3953" s="17"/>
      <c r="H3953" s="19">
        <v>1.2379</v>
      </c>
      <c r="I3953" s="19"/>
      <c r="J3953" s="17" t="s">
        <v>82</v>
      </c>
      <c r="K3953" s="295">
        <v>410</v>
      </c>
      <c r="L3953" s="295">
        <v>16</v>
      </c>
      <c r="M3953" s="19">
        <v>5800</v>
      </c>
      <c r="N3953" s="19" t="s">
        <v>40</v>
      </c>
      <c r="O3953" s="19" t="s">
        <v>141</v>
      </c>
      <c r="P3953" s="19">
        <v>1000</v>
      </c>
      <c r="Q3953" s="19">
        <f>240+246</f>
        <v>486</v>
      </c>
      <c r="R3953" s="19">
        <f t="shared" si="186"/>
        <v>514</v>
      </c>
      <c r="S3953" s="91">
        <v>2340</v>
      </c>
      <c r="T3953" s="19" t="s">
        <v>42</v>
      </c>
      <c r="U3953" s="102" t="s">
        <v>1266</v>
      </c>
      <c r="V3953" s="253">
        <v>44993</v>
      </c>
      <c r="W3953" s="17" t="s">
        <v>58</v>
      </c>
      <c r="X3953" s="17"/>
      <c r="Y3953" s="68">
        <v>45222</v>
      </c>
      <c r="Z3953" s="17" t="s">
        <v>191</v>
      </c>
      <c r="AA3953" s="17" t="s">
        <v>46</v>
      </c>
      <c r="AB3953" s="17" t="s">
        <v>1266</v>
      </c>
      <c r="AC3953" s="66">
        <v>45278</v>
      </c>
      <c r="AD3953" s="65">
        <v>1501</v>
      </c>
      <c r="AE3953" s="17" t="s">
        <v>74</v>
      </c>
      <c r="AF3953" s="17"/>
      <c r="AG3953" s="17"/>
      <c r="AH3953" s="17"/>
      <c r="AI3953" s="17"/>
      <c r="AJ3953" s="17"/>
      <c r="AK3953" s="17"/>
      <c r="AL3953" s="17"/>
      <c r="AM3953" s="17"/>
      <c r="AN3953" s="17"/>
      <c r="AO3953" s="17"/>
      <c r="AP3953" s="17"/>
      <c r="AQ3953" s="17"/>
      <c r="AR3953" s="17"/>
    </row>
    <row r="3954" s="20" customFormat="1" hidden="1" spans="1:44">
      <c r="A3954" s="17" t="s">
        <v>34</v>
      </c>
      <c r="B3954" s="19">
        <v>932</v>
      </c>
      <c r="C3954" s="222">
        <v>44934</v>
      </c>
      <c r="D3954" s="17" t="s">
        <v>52</v>
      </c>
      <c r="E3954" s="17" t="s">
        <v>53</v>
      </c>
      <c r="F3954" s="17" t="s">
        <v>54</v>
      </c>
      <c r="G3954" s="17"/>
      <c r="H3954" s="19">
        <v>1.2379</v>
      </c>
      <c r="I3954" s="19"/>
      <c r="J3954" s="17" t="s">
        <v>82</v>
      </c>
      <c r="K3954" s="295">
        <v>510</v>
      </c>
      <c r="L3954" s="295">
        <v>16</v>
      </c>
      <c r="M3954" s="19">
        <v>5800</v>
      </c>
      <c r="N3954" s="19" t="s">
        <v>40</v>
      </c>
      <c r="O3954" s="19" t="s">
        <v>141</v>
      </c>
      <c r="P3954" s="19">
        <v>1000</v>
      </c>
      <c r="Q3954" s="19">
        <f>278+200</f>
        <v>478</v>
      </c>
      <c r="R3954" s="19">
        <f t="shared" si="186"/>
        <v>522</v>
      </c>
      <c r="S3954" s="91">
        <v>2340</v>
      </c>
      <c r="T3954" s="19" t="s">
        <v>42</v>
      </c>
      <c r="U3954" s="102" t="s">
        <v>1266</v>
      </c>
      <c r="V3954" s="253">
        <v>44993</v>
      </c>
      <c r="W3954" s="17" t="s">
        <v>58</v>
      </c>
      <c r="X3954" s="17"/>
      <c r="Y3954" s="68">
        <v>45222</v>
      </c>
      <c r="Z3954" s="17" t="s">
        <v>191</v>
      </c>
      <c r="AA3954" s="17" t="s">
        <v>46</v>
      </c>
      <c r="AB3954" s="17" t="s">
        <v>1266</v>
      </c>
      <c r="AC3954" s="66">
        <v>45278</v>
      </c>
      <c r="AD3954" s="65">
        <v>1501</v>
      </c>
      <c r="AE3954" s="17" t="s">
        <v>74</v>
      </c>
      <c r="AF3954" s="17"/>
      <c r="AG3954" s="17"/>
      <c r="AH3954" s="17"/>
      <c r="AI3954" s="17"/>
      <c r="AJ3954" s="17"/>
      <c r="AK3954" s="17"/>
      <c r="AL3954" s="17"/>
      <c r="AM3954" s="17"/>
      <c r="AN3954" s="17"/>
      <c r="AO3954" s="17"/>
      <c r="AP3954" s="17"/>
      <c r="AQ3954" s="17"/>
      <c r="AR3954" s="17"/>
    </row>
    <row r="3955" s="20" customFormat="1" hidden="1" spans="1:44">
      <c r="A3955" s="17" t="s">
        <v>34</v>
      </c>
      <c r="B3955" s="19">
        <v>932</v>
      </c>
      <c r="C3955" s="222">
        <v>44934</v>
      </c>
      <c r="D3955" s="17" t="s">
        <v>52</v>
      </c>
      <c r="E3955" s="17" t="s">
        <v>53</v>
      </c>
      <c r="F3955" s="17" t="s">
        <v>54</v>
      </c>
      <c r="G3955" s="17"/>
      <c r="H3955" s="19">
        <v>1.2379</v>
      </c>
      <c r="I3955" s="19"/>
      <c r="J3955" s="17" t="s">
        <v>82</v>
      </c>
      <c r="K3955" s="295">
        <v>610</v>
      </c>
      <c r="L3955" s="96">
        <v>16</v>
      </c>
      <c r="M3955" s="19">
        <v>5800</v>
      </c>
      <c r="N3955" s="19" t="s">
        <v>40</v>
      </c>
      <c r="O3955" s="19" t="s">
        <v>141</v>
      </c>
      <c r="P3955" s="19">
        <v>1000</v>
      </c>
      <c r="Q3955" s="19">
        <f>221+332</f>
        <v>553</v>
      </c>
      <c r="R3955" s="19">
        <f t="shared" si="186"/>
        <v>447</v>
      </c>
      <c r="S3955" s="91">
        <v>2340</v>
      </c>
      <c r="T3955" s="19" t="s">
        <v>42</v>
      </c>
      <c r="U3955" s="102" t="s">
        <v>1266</v>
      </c>
      <c r="V3955" s="253">
        <v>44993</v>
      </c>
      <c r="W3955" s="17" t="s">
        <v>58</v>
      </c>
      <c r="X3955" s="17"/>
      <c r="Y3955" s="68">
        <v>45222</v>
      </c>
      <c r="Z3955" s="17" t="s">
        <v>191</v>
      </c>
      <c r="AA3955" s="17" t="s">
        <v>46</v>
      </c>
      <c r="AB3955" s="17" t="s">
        <v>1266</v>
      </c>
      <c r="AC3955" s="66">
        <v>45278</v>
      </c>
      <c r="AD3955" s="65">
        <v>1501</v>
      </c>
      <c r="AE3955" s="17" t="s">
        <v>74</v>
      </c>
      <c r="AF3955" s="17"/>
      <c r="AG3955" s="17"/>
      <c r="AH3955" s="17"/>
      <c r="AI3955" s="17"/>
      <c r="AJ3955" s="17"/>
      <c r="AK3955" s="17"/>
      <c r="AL3955" s="17"/>
      <c r="AM3955" s="17"/>
      <c r="AN3955" s="17"/>
      <c r="AO3955" s="17"/>
      <c r="AP3955" s="17"/>
      <c r="AQ3955" s="17"/>
      <c r="AR3955" s="17"/>
    </row>
    <row r="3956" s="20" customFormat="1" hidden="1" spans="1:44">
      <c r="A3956" s="17" t="s">
        <v>34</v>
      </c>
      <c r="B3956" s="19">
        <v>932</v>
      </c>
      <c r="C3956" s="222">
        <v>44934</v>
      </c>
      <c r="D3956" s="17" t="s">
        <v>52</v>
      </c>
      <c r="E3956" s="17" t="s">
        <v>53</v>
      </c>
      <c r="F3956" s="17" t="s">
        <v>54</v>
      </c>
      <c r="G3956" s="17"/>
      <c r="H3956" s="19">
        <v>1.2379</v>
      </c>
      <c r="I3956" s="19"/>
      <c r="J3956" s="17" t="s">
        <v>82</v>
      </c>
      <c r="K3956" s="295">
        <v>155</v>
      </c>
      <c r="L3956" s="96">
        <v>20</v>
      </c>
      <c r="M3956" s="19">
        <v>5800</v>
      </c>
      <c r="N3956" s="19" t="s">
        <v>40</v>
      </c>
      <c r="O3956" s="19" t="s">
        <v>141</v>
      </c>
      <c r="P3956" s="19">
        <v>1000</v>
      </c>
      <c r="Q3956" s="19">
        <f>106+67+68+64+61+65+67+61+64+72+71+70+68+72+70+69+70+68+69</f>
        <v>1322</v>
      </c>
      <c r="R3956" s="19">
        <f t="shared" si="186"/>
        <v>-322</v>
      </c>
      <c r="S3956" s="91">
        <v>2340</v>
      </c>
      <c r="T3956" s="19" t="s">
        <v>42</v>
      </c>
      <c r="U3956" s="102" t="s">
        <v>1266</v>
      </c>
      <c r="V3956" s="253">
        <v>44993</v>
      </c>
      <c r="W3956" s="17" t="s">
        <v>58</v>
      </c>
      <c r="X3956" s="17"/>
      <c r="Y3956" s="68">
        <v>45222</v>
      </c>
      <c r="Z3956" s="17" t="s">
        <v>191</v>
      </c>
      <c r="AA3956" s="17" t="s">
        <v>46</v>
      </c>
      <c r="AB3956" s="17" t="s">
        <v>1266</v>
      </c>
      <c r="AC3956" s="66">
        <v>45278</v>
      </c>
      <c r="AD3956" s="65">
        <v>1501</v>
      </c>
      <c r="AE3956" s="17" t="s">
        <v>74</v>
      </c>
      <c r="AF3956" s="17"/>
      <c r="AG3956" s="17"/>
      <c r="AH3956" s="17"/>
      <c r="AI3956" s="17"/>
      <c r="AJ3956" s="17"/>
      <c r="AK3956" s="17"/>
      <c r="AL3956" s="17"/>
      <c r="AM3956" s="17"/>
      <c r="AN3956" s="17"/>
      <c r="AO3956" s="17"/>
      <c r="AP3956" s="17"/>
      <c r="AQ3956" s="17"/>
      <c r="AR3956" s="17"/>
    </row>
    <row r="3957" s="20" customFormat="1" hidden="1" spans="1:44">
      <c r="A3957" s="17" t="s">
        <v>34</v>
      </c>
      <c r="B3957" s="19">
        <v>932</v>
      </c>
      <c r="C3957" s="222">
        <v>44934</v>
      </c>
      <c r="D3957" s="17" t="s">
        <v>52</v>
      </c>
      <c r="E3957" s="17" t="s">
        <v>53</v>
      </c>
      <c r="F3957" s="17" t="s">
        <v>54</v>
      </c>
      <c r="G3957" s="17"/>
      <c r="H3957" s="19">
        <v>1.2379</v>
      </c>
      <c r="I3957" s="19"/>
      <c r="J3957" s="17" t="s">
        <v>82</v>
      </c>
      <c r="K3957" s="295">
        <v>210</v>
      </c>
      <c r="L3957" s="96">
        <v>20</v>
      </c>
      <c r="M3957" s="19">
        <v>5800</v>
      </c>
      <c r="N3957" s="19" t="s">
        <v>40</v>
      </c>
      <c r="O3957" s="19" t="s">
        <v>141</v>
      </c>
      <c r="P3957" s="19">
        <v>1000</v>
      </c>
      <c r="Q3957" s="19">
        <f>90+90+85+79+89+91+81+89+99+94+145</f>
        <v>1032</v>
      </c>
      <c r="R3957" s="19">
        <f t="shared" si="186"/>
        <v>-32</v>
      </c>
      <c r="S3957" s="91">
        <v>2340</v>
      </c>
      <c r="T3957" s="19" t="s">
        <v>42</v>
      </c>
      <c r="U3957" s="102" t="s">
        <v>1266</v>
      </c>
      <c r="V3957" s="253">
        <v>44993</v>
      </c>
      <c r="W3957" s="17" t="s">
        <v>58</v>
      </c>
      <c r="X3957" s="17"/>
      <c r="Y3957" s="68">
        <v>45222</v>
      </c>
      <c r="Z3957" s="17" t="s">
        <v>191</v>
      </c>
      <c r="AA3957" s="17" t="s">
        <v>46</v>
      </c>
      <c r="AB3957" s="17" t="s">
        <v>1266</v>
      </c>
      <c r="AC3957" s="66">
        <v>45278</v>
      </c>
      <c r="AD3957" s="65">
        <v>1501</v>
      </c>
      <c r="AE3957" s="17" t="s">
        <v>74</v>
      </c>
      <c r="AF3957" s="17"/>
      <c r="AG3957" s="17"/>
      <c r="AH3957" s="17"/>
      <c r="AI3957" s="17"/>
      <c r="AJ3957" s="17"/>
      <c r="AK3957" s="17"/>
      <c r="AL3957" s="17"/>
      <c r="AM3957" s="17"/>
      <c r="AN3957" s="17"/>
      <c r="AO3957" s="17"/>
      <c r="AP3957" s="17"/>
      <c r="AQ3957" s="17"/>
      <c r="AR3957" s="17"/>
    </row>
    <row r="3958" s="20" customFormat="1" hidden="1" spans="1:44">
      <c r="A3958" s="17" t="s">
        <v>34</v>
      </c>
      <c r="B3958" s="19">
        <v>932</v>
      </c>
      <c r="C3958" s="222">
        <v>44934</v>
      </c>
      <c r="D3958" s="17" t="s">
        <v>52</v>
      </c>
      <c r="E3958" s="17" t="s">
        <v>53</v>
      </c>
      <c r="F3958" s="17" t="s">
        <v>54</v>
      </c>
      <c r="G3958" s="17"/>
      <c r="H3958" s="19">
        <v>1.2379</v>
      </c>
      <c r="I3958" s="19"/>
      <c r="J3958" s="17" t="s">
        <v>82</v>
      </c>
      <c r="K3958" s="295">
        <v>260</v>
      </c>
      <c r="L3958" s="96">
        <v>20</v>
      </c>
      <c r="M3958" s="19">
        <v>5800</v>
      </c>
      <c r="N3958" s="19" t="s">
        <v>40</v>
      </c>
      <c r="O3958" s="19" t="s">
        <v>141</v>
      </c>
      <c r="P3958" s="19">
        <v>1000</v>
      </c>
      <c r="Q3958" s="19">
        <f>114+113+113+113+113+114+113+112</f>
        <v>905</v>
      </c>
      <c r="R3958" s="19">
        <f t="shared" si="186"/>
        <v>95</v>
      </c>
      <c r="S3958" s="91">
        <v>2340</v>
      </c>
      <c r="T3958" s="19" t="s">
        <v>42</v>
      </c>
      <c r="U3958" s="102" t="s">
        <v>1266</v>
      </c>
      <c r="V3958" s="253">
        <v>44993</v>
      </c>
      <c r="W3958" s="17" t="s">
        <v>58</v>
      </c>
      <c r="X3958" s="17"/>
      <c r="Y3958" s="68">
        <v>45222</v>
      </c>
      <c r="Z3958" s="17" t="s">
        <v>191</v>
      </c>
      <c r="AA3958" s="17" t="s">
        <v>46</v>
      </c>
      <c r="AB3958" s="17" t="s">
        <v>1266</v>
      </c>
      <c r="AC3958" s="66">
        <v>45278</v>
      </c>
      <c r="AD3958" s="65">
        <v>1501</v>
      </c>
      <c r="AE3958" s="17" t="s">
        <v>74</v>
      </c>
      <c r="AF3958" s="17"/>
      <c r="AG3958" s="17"/>
      <c r="AH3958" s="17"/>
      <c r="AI3958" s="17"/>
      <c r="AJ3958" s="17"/>
      <c r="AK3958" s="17"/>
      <c r="AL3958" s="17"/>
      <c r="AM3958" s="17"/>
      <c r="AN3958" s="17"/>
      <c r="AO3958" s="17"/>
      <c r="AP3958" s="17"/>
      <c r="AQ3958" s="17"/>
      <c r="AR3958" s="17"/>
    </row>
    <row r="3959" s="20" customFormat="1" hidden="1" spans="1:44">
      <c r="A3959" s="17" t="s">
        <v>34</v>
      </c>
      <c r="B3959" s="19">
        <v>932</v>
      </c>
      <c r="C3959" s="222">
        <v>44934</v>
      </c>
      <c r="D3959" s="17" t="s">
        <v>52</v>
      </c>
      <c r="E3959" s="17" t="s">
        <v>53</v>
      </c>
      <c r="F3959" s="17" t="s">
        <v>54</v>
      </c>
      <c r="G3959" s="17"/>
      <c r="H3959" s="19">
        <v>1.2379</v>
      </c>
      <c r="I3959" s="19"/>
      <c r="J3959" s="17" t="s">
        <v>82</v>
      </c>
      <c r="K3959" s="295">
        <v>310</v>
      </c>
      <c r="L3959" s="96">
        <v>20</v>
      </c>
      <c r="M3959" s="19">
        <v>5800</v>
      </c>
      <c r="N3959" s="19" t="s">
        <v>40</v>
      </c>
      <c r="O3959" s="19" t="s">
        <v>141</v>
      </c>
      <c r="P3959" s="19">
        <v>1000</v>
      </c>
      <c r="Q3959" s="19">
        <f>276+292</f>
        <v>568</v>
      </c>
      <c r="R3959" s="19">
        <f t="shared" si="186"/>
        <v>432</v>
      </c>
      <c r="S3959" s="91">
        <v>2340</v>
      </c>
      <c r="T3959" s="19" t="s">
        <v>42</v>
      </c>
      <c r="U3959" s="102" t="s">
        <v>1266</v>
      </c>
      <c r="V3959" s="253">
        <v>44993</v>
      </c>
      <c r="W3959" s="17" t="s">
        <v>58</v>
      </c>
      <c r="X3959" s="17"/>
      <c r="Y3959" s="68">
        <v>45222</v>
      </c>
      <c r="Z3959" s="17" t="s">
        <v>191</v>
      </c>
      <c r="AA3959" s="17" t="s">
        <v>46</v>
      </c>
      <c r="AB3959" s="17" t="s">
        <v>1266</v>
      </c>
      <c r="AC3959" s="66">
        <v>45278</v>
      </c>
      <c r="AD3959" s="65">
        <v>1501</v>
      </c>
      <c r="AE3959" s="17" t="s">
        <v>74</v>
      </c>
      <c r="AF3959" s="17"/>
      <c r="AG3959" s="17"/>
      <c r="AH3959" s="17"/>
      <c r="AI3959" s="17"/>
      <c r="AJ3959" s="17"/>
      <c r="AK3959" s="17"/>
      <c r="AL3959" s="17"/>
      <c r="AM3959" s="17"/>
      <c r="AN3959" s="17"/>
      <c r="AO3959" s="17"/>
      <c r="AP3959" s="17"/>
      <c r="AQ3959" s="17"/>
      <c r="AR3959" s="17"/>
    </row>
    <row r="3960" s="20" customFormat="1" hidden="1" spans="1:44">
      <c r="A3960" s="17" t="s">
        <v>34</v>
      </c>
      <c r="B3960" s="19">
        <v>932</v>
      </c>
      <c r="C3960" s="222">
        <v>44934</v>
      </c>
      <c r="D3960" s="17" t="s">
        <v>52</v>
      </c>
      <c r="E3960" s="17" t="s">
        <v>53</v>
      </c>
      <c r="F3960" s="17" t="s">
        <v>54</v>
      </c>
      <c r="G3960" s="17"/>
      <c r="H3960" s="19">
        <v>1.2379</v>
      </c>
      <c r="I3960" s="19"/>
      <c r="J3960" s="17" t="s">
        <v>82</v>
      </c>
      <c r="K3960" s="295">
        <v>410</v>
      </c>
      <c r="L3960" s="96">
        <v>20</v>
      </c>
      <c r="M3960" s="19">
        <v>5800</v>
      </c>
      <c r="N3960" s="19" t="s">
        <v>40</v>
      </c>
      <c r="O3960" s="19" t="s">
        <v>141</v>
      </c>
      <c r="P3960" s="19">
        <v>1000</v>
      </c>
      <c r="Q3960" s="19">
        <f>349+388</f>
        <v>737</v>
      </c>
      <c r="R3960" s="19">
        <f t="shared" si="186"/>
        <v>263</v>
      </c>
      <c r="S3960" s="91">
        <v>2340</v>
      </c>
      <c r="T3960" s="19" t="s">
        <v>42</v>
      </c>
      <c r="U3960" s="102" t="s">
        <v>1266</v>
      </c>
      <c r="V3960" s="253">
        <v>44993</v>
      </c>
      <c r="W3960" s="17" t="s">
        <v>58</v>
      </c>
      <c r="X3960" s="17"/>
      <c r="Y3960" s="68">
        <v>45222</v>
      </c>
      <c r="Z3960" s="17" t="s">
        <v>191</v>
      </c>
      <c r="AA3960" s="17" t="s">
        <v>46</v>
      </c>
      <c r="AB3960" s="17" t="s">
        <v>1266</v>
      </c>
      <c r="AC3960" s="66">
        <v>45278</v>
      </c>
      <c r="AD3960" s="65">
        <v>1501</v>
      </c>
      <c r="AE3960" s="17" t="s">
        <v>74</v>
      </c>
      <c r="AF3960" s="17"/>
      <c r="AG3960" s="17"/>
      <c r="AH3960" s="17"/>
      <c r="AI3960" s="17"/>
      <c r="AJ3960" s="17"/>
      <c r="AK3960" s="17"/>
      <c r="AL3960" s="17"/>
      <c r="AM3960" s="17"/>
      <c r="AN3960" s="17"/>
      <c r="AO3960" s="17"/>
      <c r="AP3960" s="17"/>
      <c r="AQ3960" s="17"/>
      <c r="AR3960" s="17"/>
    </row>
    <row r="3961" s="20" customFormat="1" hidden="1" spans="1:44">
      <c r="A3961" s="17" t="s">
        <v>34</v>
      </c>
      <c r="B3961" s="19">
        <v>932</v>
      </c>
      <c r="C3961" s="222">
        <v>44934</v>
      </c>
      <c r="D3961" s="17" t="s">
        <v>52</v>
      </c>
      <c r="E3961" s="17" t="s">
        <v>53</v>
      </c>
      <c r="F3961" s="17" t="s">
        <v>54</v>
      </c>
      <c r="G3961" s="17"/>
      <c r="H3961" s="19">
        <v>1.2379</v>
      </c>
      <c r="I3961" s="19"/>
      <c r="J3961" s="17" t="s">
        <v>82</v>
      </c>
      <c r="K3961" s="295">
        <v>510</v>
      </c>
      <c r="L3961" s="96">
        <v>20</v>
      </c>
      <c r="M3961" s="19">
        <v>5800</v>
      </c>
      <c r="N3961" s="19" t="s">
        <v>40</v>
      </c>
      <c r="O3961" s="19" t="s">
        <v>141</v>
      </c>
      <c r="P3961" s="19">
        <v>1000</v>
      </c>
      <c r="Q3961" s="19">
        <f>427+435</f>
        <v>862</v>
      </c>
      <c r="R3961" s="19">
        <f t="shared" si="186"/>
        <v>138</v>
      </c>
      <c r="S3961" s="91">
        <v>2340</v>
      </c>
      <c r="T3961" s="19" t="s">
        <v>42</v>
      </c>
      <c r="U3961" s="102" t="s">
        <v>1266</v>
      </c>
      <c r="V3961" s="253">
        <v>44993</v>
      </c>
      <c r="W3961" s="17" t="s">
        <v>58</v>
      </c>
      <c r="X3961" s="17"/>
      <c r="Y3961" s="68">
        <v>45222</v>
      </c>
      <c r="Z3961" s="17" t="s">
        <v>191</v>
      </c>
      <c r="AA3961" s="17" t="s">
        <v>46</v>
      </c>
      <c r="AB3961" s="17" t="s">
        <v>1266</v>
      </c>
      <c r="AC3961" s="66">
        <v>45278</v>
      </c>
      <c r="AD3961" s="65">
        <v>1501</v>
      </c>
      <c r="AE3961" s="17" t="s">
        <v>74</v>
      </c>
      <c r="AF3961" s="17"/>
      <c r="AG3961" s="17"/>
      <c r="AH3961" s="17"/>
      <c r="AI3961" s="17"/>
      <c r="AJ3961" s="17"/>
      <c r="AK3961" s="17"/>
      <c r="AL3961" s="17"/>
      <c r="AM3961" s="17"/>
      <c r="AN3961" s="17"/>
      <c r="AO3961" s="17"/>
      <c r="AP3961" s="17"/>
      <c r="AQ3961" s="17"/>
      <c r="AR3961" s="17"/>
    </row>
    <row r="3962" s="20" customFormat="1" hidden="1" spans="1:44">
      <c r="A3962" s="17" t="s">
        <v>34</v>
      </c>
      <c r="B3962" s="19">
        <v>932</v>
      </c>
      <c r="C3962" s="222">
        <v>44934</v>
      </c>
      <c r="D3962" s="17" t="s">
        <v>52</v>
      </c>
      <c r="E3962" s="17" t="s">
        <v>53</v>
      </c>
      <c r="F3962" s="17" t="s">
        <v>54</v>
      </c>
      <c r="G3962" s="17"/>
      <c r="H3962" s="19">
        <v>1.2379</v>
      </c>
      <c r="I3962" s="19"/>
      <c r="J3962" s="17" t="s">
        <v>82</v>
      </c>
      <c r="K3962" s="295">
        <v>610</v>
      </c>
      <c r="L3962" s="96">
        <v>20</v>
      </c>
      <c r="M3962" s="19">
        <v>5800</v>
      </c>
      <c r="N3962" s="19" t="s">
        <v>40</v>
      </c>
      <c r="O3962" s="19" t="s">
        <v>141</v>
      </c>
      <c r="P3962" s="19">
        <v>1000</v>
      </c>
      <c r="Q3962" s="19">
        <v>531</v>
      </c>
      <c r="R3962" s="19">
        <f t="shared" si="186"/>
        <v>469</v>
      </c>
      <c r="S3962" s="91">
        <v>2340</v>
      </c>
      <c r="T3962" s="19" t="s">
        <v>42</v>
      </c>
      <c r="U3962" s="102" t="s">
        <v>1266</v>
      </c>
      <c r="V3962" s="253">
        <v>44993</v>
      </c>
      <c r="W3962" s="17" t="s">
        <v>58</v>
      </c>
      <c r="X3962" s="17"/>
      <c r="Y3962" s="68">
        <v>45222</v>
      </c>
      <c r="Z3962" s="17" t="s">
        <v>191</v>
      </c>
      <c r="AA3962" s="17" t="s">
        <v>46</v>
      </c>
      <c r="AB3962" s="17" t="s">
        <v>1266</v>
      </c>
      <c r="AC3962" s="66">
        <v>45278</v>
      </c>
      <c r="AD3962" s="65">
        <v>1501</v>
      </c>
      <c r="AE3962" s="17" t="s">
        <v>74</v>
      </c>
      <c r="AF3962" s="17"/>
      <c r="AG3962" s="17"/>
      <c r="AH3962" s="17"/>
      <c r="AI3962" s="17"/>
      <c r="AJ3962" s="17"/>
      <c r="AK3962" s="17"/>
      <c r="AL3962" s="17"/>
      <c r="AM3962" s="17"/>
      <c r="AN3962" s="17"/>
      <c r="AO3962" s="17"/>
      <c r="AP3962" s="17"/>
      <c r="AQ3962" s="17"/>
      <c r="AR3962" s="17"/>
    </row>
    <row r="3963" s="20" customFormat="1" hidden="1" spans="1:44">
      <c r="A3963" s="17" t="s">
        <v>34</v>
      </c>
      <c r="B3963" s="19">
        <v>932</v>
      </c>
      <c r="C3963" s="222">
        <v>44934</v>
      </c>
      <c r="D3963" s="17" t="s">
        <v>52</v>
      </c>
      <c r="E3963" s="17" t="s">
        <v>53</v>
      </c>
      <c r="F3963" s="17" t="s">
        <v>54</v>
      </c>
      <c r="G3963" s="17"/>
      <c r="H3963" s="19">
        <v>1.2379</v>
      </c>
      <c r="I3963" s="19"/>
      <c r="J3963" s="17" t="s">
        <v>82</v>
      </c>
      <c r="K3963" s="295">
        <v>210</v>
      </c>
      <c r="L3963" s="96">
        <v>25</v>
      </c>
      <c r="M3963" s="19">
        <v>5800</v>
      </c>
      <c r="N3963" s="19" t="s">
        <v>40</v>
      </c>
      <c r="O3963" s="19" t="s">
        <v>141</v>
      </c>
      <c r="P3963" s="19">
        <v>1000</v>
      </c>
      <c r="Q3963" s="19">
        <f>162+184+185+180</f>
        <v>711</v>
      </c>
      <c r="R3963" s="19">
        <f t="shared" si="186"/>
        <v>289</v>
      </c>
      <c r="S3963" s="91">
        <v>2340</v>
      </c>
      <c r="T3963" s="19" t="s">
        <v>42</v>
      </c>
      <c r="U3963" s="102" t="s">
        <v>1266</v>
      </c>
      <c r="V3963" s="253">
        <v>44993</v>
      </c>
      <c r="W3963" s="17" t="s">
        <v>58</v>
      </c>
      <c r="X3963" s="17"/>
      <c r="Y3963" s="68">
        <v>45222</v>
      </c>
      <c r="Z3963" s="17" t="s">
        <v>191</v>
      </c>
      <c r="AA3963" s="17" t="s">
        <v>46</v>
      </c>
      <c r="AB3963" s="17" t="s">
        <v>1266</v>
      </c>
      <c r="AC3963" s="66">
        <v>45278</v>
      </c>
      <c r="AD3963" s="65">
        <v>1501</v>
      </c>
      <c r="AE3963" s="17" t="s">
        <v>74</v>
      </c>
      <c r="AF3963" s="17"/>
      <c r="AG3963" s="17"/>
      <c r="AH3963" s="17"/>
      <c r="AI3963" s="17"/>
      <c r="AJ3963" s="17"/>
      <c r="AK3963" s="17"/>
      <c r="AL3963" s="17"/>
      <c r="AM3963" s="17"/>
      <c r="AN3963" s="17"/>
      <c r="AO3963" s="17"/>
      <c r="AP3963" s="17"/>
      <c r="AQ3963" s="17"/>
      <c r="AR3963" s="17"/>
    </row>
    <row r="3964" s="20" customFormat="1" hidden="1" spans="1:44">
      <c r="A3964" s="17" t="s">
        <v>34</v>
      </c>
      <c r="B3964" s="19">
        <v>932</v>
      </c>
      <c r="C3964" s="222">
        <v>44934</v>
      </c>
      <c r="D3964" s="17" t="s">
        <v>52</v>
      </c>
      <c r="E3964" s="17" t="s">
        <v>53</v>
      </c>
      <c r="F3964" s="17" t="s">
        <v>54</v>
      </c>
      <c r="G3964" s="17"/>
      <c r="H3964" s="19">
        <v>1.2379</v>
      </c>
      <c r="I3964" s="19"/>
      <c r="J3964" s="17" t="s">
        <v>82</v>
      </c>
      <c r="K3964" s="295">
        <v>260</v>
      </c>
      <c r="L3964" s="96">
        <v>25</v>
      </c>
      <c r="M3964" s="19">
        <v>5800</v>
      </c>
      <c r="N3964" s="19" t="s">
        <v>40</v>
      </c>
      <c r="O3964" s="19" t="s">
        <v>141</v>
      </c>
      <c r="P3964" s="19">
        <v>1000</v>
      </c>
      <c r="Q3964" s="19">
        <f>195+230+210+227</f>
        <v>862</v>
      </c>
      <c r="R3964" s="19">
        <f t="shared" si="186"/>
        <v>138</v>
      </c>
      <c r="S3964" s="91">
        <v>2340</v>
      </c>
      <c r="T3964" s="19" t="s">
        <v>42</v>
      </c>
      <c r="U3964" s="102" t="s">
        <v>1266</v>
      </c>
      <c r="V3964" s="253">
        <v>44993</v>
      </c>
      <c r="W3964" s="17" t="s">
        <v>58</v>
      </c>
      <c r="X3964" s="17"/>
      <c r="Y3964" s="68">
        <v>45222</v>
      </c>
      <c r="Z3964" s="17" t="s">
        <v>191</v>
      </c>
      <c r="AA3964" s="17" t="s">
        <v>46</v>
      </c>
      <c r="AB3964" s="17" t="s">
        <v>1266</v>
      </c>
      <c r="AC3964" s="66">
        <v>45278</v>
      </c>
      <c r="AD3964" s="65">
        <v>1501</v>
      </c>
      <c r="AE3964" s="17" t="s">
        <v>74</v>
      </c>
      <c r="AF3964" s="17"/>
      <c r="AG3964" s="17"/>
      <c r="AH3964" s="17"/>
      <c r="AI3964" s="17"/>
      <c r="AJ3964" s="17"/>
      <c r="AK3964" s="17"/>
      <c r="AL3964" s="17"/>
      <c r="AM3964" s="17"/>
      <c r="AN3964" s="17"/>
      <c r="AO3964" s="17"/>
      <c r="AP3964" s="17"/>
      <c r="AQ3964" s="17"/>
      <c r="AR3964" s="17"/>
    </row>
    <row r="3965" s="20" customFormat="1" hidden="1" spans="1:44">
      <c r="A3965" s="17" t="s">
        <v>34</v>
      </c>
      <c r="B3965" s="19">
        <v>932</v>
      </c>
      <c r="C3965" s="222">
        <v>44934</v>
      </c>
      <c r="D3965" s="17" t="s">
        <v>52</v>
      </c>
      <c r="E3965" s="17" t="s">
        <v>53</v>
      </c>
      <c r="F3965" s="17" t="s">
        <v>54</v>
      </c>
      <c r="G3965" s="17"/>
      <c r="H3965" s="19">
        <v>1.2379</v>
      </c>
      <c r="I3965" s="19"/>
      <c r="J3965" s="17" t="s">
        <v>82</v>
      </c>
      <c r="K3965" s="295">
        <v>310</v>
      </c>
      <c r="L3965" s="96">
        <v>25</v>
      </c>
      <c r="M3965" s="19">
        <v>5800</v>
      </c>
      <c r="N3965" s="19" t="s">
        <v>40</v>
      </c>
      <c r="O3965" s="19" t="s">
        <v>141</v>
      </c>
      <c r="P3965" s="19">
        <v>1000</v>
      </c>
      <c r="Q3965" s="19">
        <f>156+294</f>
        <v>450</v>
      </c>
      <c r="R3965" s="19">
        <f t="shared" si="186"/>
        <v>550</v>
      </c>
      <c r="S3965" s="91">
        <v>2340</v>
      </c>
      <c r="T3965" s="19" t="s">
        <v>42</v>
      </c>
      <c r="U3965" s="102" t="s">
        <v>1266</v>
      </c>
      <c r="V3965" s="253">
        <v>44993</v>
      </c>
      <c r="W3965" s="17" t="s">
        <v>58</v>
      </c>
      <c r="X3965" s="17"/>
      <c r="Y3965" s="68">
        <v>45222</v>
      </c>
      <c r="Z3965" s="17" t="s">
        <v>191</v>
      </c>
      <c r="AA3965" s="17" t="s">
        <v>46</v>
      </c>
      <c r="AB3965" s="17" t="s">
        <v>1266</v>
      </c>
      <c r="AC3965" s="66">
        <v>45278</v>
      </c>
      <c r="AD3965" s="65">
        <v>1501</v>
      </c>
      <c r="AE3965" s="17" t="s">
        <v>74</v>
      </c>
      <c r="AF3965" s="17"/>
      <c r="AG3965" s="17"/>
      <c r="AH3965" s="17"/>
      <c r="AI3965" s="17"/>
      <c r="AJ3965" s="17"/>
      <c r="AK3965" s="17"/>
      <c r="AL3965" s="17"/>
      <c r="AM3965" s="17"/>
      <c r="AN3965" s="17"/>
      <c r="AO3965" s="17"/>
      <c r="AP3965" s="17"/>
      <c r="AQ3965" s="17"/>
      <c r="AR3965" s="17"/>
    </row>
    <row r="3966" s="20" customFormat="1" hidden="1" spans="1:44">
      <c r="A3966" s="17" t="s">
        <v>34</v>
      </c>
      <c r="B3966" s="19">
        <v>932</v>
      </c>
      <c r="C3966" s="222">
        <v>44934</v>
      </c>
      <c r="D3966" s="17" t="s">
        <v>52</v>
      </c>
      <c r="E3966" s="17" t="s">
        <v>53</v>
      </c>
      <c r="F3966" s="17" t="s">
        <v>54</v>
      </c>
      <c r="G3966" s="17"/>
      <c r="H3966" s="19">
        <v>1.2379</v>
      </c>
      <c r="I3966" s="19"/>
      <c r="J3966" s="17" t="s">
        <v>82</v>
      </c>
      <c r="K3966" s="295">
        <v>410</v>
      </c>
      <c r="L3966" s="96">
        <v>25</v>
      </c>
      <c r="M3966" s="19">
        <v>5800</v>
      </c>
      <c r="N3966" s="19" t="s">
        <v>40</v>
      </c>
      <c r="O3966" s="19" t="s">
        <v>141</v>
      </c>
      <c r="P3966" s="19">
        <v>1000</v>
      </c>
      <c r="Q3966" s="19">
        <f>369+298+324</f>
        <v>991</v>
      </c>
      <c r="R3966" s="19">
        <f t="shared" si="186"/>
        <v>9</v>
      </c>
      <c r="S3966" s="91">
        <v>2340</v>
      </c>
      <c r="T3966" s="19" t="s">
        <v>42</v>
      </c>
      <c r="U3966" s="102" t="s">
        <v>1266</v>
      </c>
      <c r="V3966" s="253">
        <v>44993</v>
      </c>
      <c r="W3966" s="17" t="s">
        <v>58</v>
      </c>
      <c r="X3966" s="17"/>
      <c r="Y3966" s="68">
        <v>45222</v>
      </c>
      <c r="Z3966" s="17" t="s">
        <v>191</v>
      </c>
      <c r="AA3966" s="17" t="s">
        <v>46</v>
      </c>
      <c r="AB3966" s="17" t="s">
        <v>1266</v>
      </c>
      <c r="AC3966" s="66">
        <v>45278</v>
      </c>
      <c r="AD3966" s="65">
        <v>1501</v>
      </c>
      <c r="AE3966" s="17" t="s">
        <v>74</v>
      </c>
      <c r="AF3966" s="17"/>
      <c r="AG3966" s="17"/>
      <c r="AH3966" s="17"/>
      <c r="AI3966" s="17"/>
      <c r="AJ3966" s="17"/>
      <c r="AK3966" s="17"/>
      <c r="AL3966" s="17"/>
      <c r="AM3966" s="17"/>
      <c r="AN3966" s="17"/>
      <c r="AO3966" s="17"/>
      <c r="AP3966" s="17"/>
      <c r="AQ3966" s="17"/>
      <c r="AR3966" s="17"/>
    </row>
    <row r="3967" s="20" customFormat="1" hidden="1" spans="1:44">
      <c r="A3967" s="17" t="s">
        <v>34</v>
      </c>
      <c r="B3967" s="19">
        <v>932</v>
      </c>
      <c r="C3967" s="222">
        <v>44934</v>
      </c>
      <c r="D3967" s="17" t="s">
        <v>52</v>
      </c>
      <c r="E3967" s="17" t="s">
        <v>53</v>
      </c>
      <c r="F3967" s="17" t="s">
        <v>54</v>
      </c>
      <c r="G3967" s="17"/>
      <c r="H3967" s="19">
        <v>1.2379</v>
      </c>
      <c r="I3967" s="19"/>
      <c r="J3967" s="17" t="s">
        <v>82</v>
      </c>
      <c r="K3967" s="295">
        <v>510</v>
      </c>
      <c r="L3967" s="96">
        <v>25</v>
      </c>
      <c r="M3967" s="19">
        <v>5800</v>
      </c>
      <c r="N3967" s="19" t="s">
        <v>40</v>
      </c>
      <c r="O3967" s="19" t="s">
        <v>141</v>
      </c>
      <c r="P3967" s="19">
        <v>1000</v>
      </c>
      <c r="Q3967" s="19">
        <f>429+463</f>
        <v>892</v>
      </c>
      <c r="R3967" s="19">
        <f t="shared" si="186"/>
        <v>108</v>
      </c>
      <c r="S3967" s="91">
        <v>2340</v>
      </c>
      <c r="T3967" s="19" t="s">
        <v>42</v>
      </c>
      <c r="U3967" s="102" t="s">
        <v>1266</v>
      </c>
      <c r="V3967" s="253">
        <v>44993</v>
      </c>
      <c r="W3967" s="17" t="s">
        <v>58</v>
      </c>
      <c r="X3967" s="17"/>
      <c r="Y3967" s="68">
        <v>45222</v>
      </c>
      <c r="Z3967" s="17" t="s">
        <v>191</v>
      </c>
      <c r="AA3967" s="17" t="s">
        <v>46</v>
      </c>
      <c r="AB3967" s="17" t="s">
        <v>1266</v>
      </c>
      <c r="AC3967" s="66">
        <v>45278</v>
      </c>
      <c r="AD3967" s="65">
        <v>1501</v>
      </c>
      <c r="AE3967" s="17" t="s">
        <v>74</v>
      </c>
      <c r="AF3967" s="17"/>
      <c r="AG3967" s="17"/>
      <c r="AH3967" s="17"/>
      <c r="AI3967" s="17"/>
      <c r="AJ3967" s="17"/>
      <c r="AK3967" s="17"/>
      <c r="AL3967" s="17"/>
      <c r="AM3967" s="17"/>
      <c r="AN3967" s="17"/>
      <c r="AO3967" s="17"/>
      <c r="AP3967" s="17"/>
      <c r="AQ3967" s="17"/>
      <c r="AR3967" s="17"/>
    </row>
    <row r="3968" s="20" customFormat="1" hidden="1" spans="1:44">
      <c r="A3968" s="17" t="s">
        <v>34</v>
      </c>
      <c r="B3968" s="19">
        <v>932</v>
      </c>
      <c r="C3968" s="222">
        <v>44934</v>
      </c>
      <c r="D3968" s="17" t="s">
        <v>52</v>
      </c>
      <c r="E3968" s="17" t="s">
        <v>53</v>
      </c>
      <c r="F3968" s="17" t="s">
        <v>54</v>
      </c>
      <c r="G3968" s="17"/>
      <c r="H3968" s="19">
        <v>1.2379</v>
      </c>
      <c r="I3968" s="19"/>
      <c r="J3968" s="17" t="s">
        <v>82</v>
      </c>
      <c r="K3968" s="295">
        <v>610</v>
      </c>
      <c r="L3968" s="96">
        <v>25</v>
      </c>
      <c r="M3968" s="19">
        <v>5800</v>
      </c>
      <c r="N3968" s="19" t="s">
        <v>40</v>
      </c>
      <c r="O3968" s="19" t="s">
        <v>141</v>
      </c>
      <c r="P3968" s="19">
        <v>1000</v>
      </c>
      <c r="Q3968" s="19">
        <f>330+360</f>
        <v>690</v>
      </c>
      <c r="R3968" s="19">
        <f t="shared" si="186"/>
        <v>310</v>
      </c>
      <c r="S3968" s="91">
        <v>2340</v>
      </c>
      <c r="T3968" s="19" t="s">
        <v>42</v>
      </c>
      <c r="U3968" s="102" t="s">
        <v>1266</v>
      </c>
      <c r="V3968" s="253">
        <v>44993</v>
      </c>
      <c r="W3968" s="17" t="s">
        <v>58</v>
      </c>
      <c r="X3968" s="17"/>
      <c r="Y3968" s="68">
        <v>45222</v>
      </c>
      <c r="Z3968" s="17" t="s">
        <v>191</v>
      </c>
      <c r="AA3968" s="17" t="s">
        <v>46</v>
      </c>
      <c r="AB3968" s="17" t="s">
        <v>1266</v>
      </c>
      <c r="AC3968" s="66">
        <v>45278</v>
      </c>
      <c r="AD3968" s="65">
        <v>1501</v>
      </c>
      <c r="AE3968" s="17" t="s">
        <v>74</v>
      </c>
      <c r="AF3968" s="17"/>
      <c r="AG3968" s="17"/>
      <c r="AH3968" s="17"/>
      <c r="AI3968" s="17"/>
      <c r="AJ3968" s="17"/>
      <c r="AK3968" s="17"/>
      <c r="AL3968" s="17"/>
      <c r="AM3968" s="17"/>
      <c r="AN3968" s="17"/>
      <c r="AO3968" s="17"/>
      <c r="AP3968" s="17"/>
      <c r="AQ3968" s="17"/>
      <c r="AR3968" s="17"/>
    </row>
    <row r="3969" s="20" customFormat="1" hidden="1" spans="1:44">
      <c r="A3969" s="17" t="s">
        <v>34</v>
      </c>
      <c r="B3969" s="19">
        <v>932</v>
      </c>
      <c r="C3969" s="222">
        <v>44934</v>
      </c>
      <c r="D3969" s="17" t="s">
        <v>52</v>
      </c>
      <c r="E3969" s="17" t="s">
        <v>53</v>
      </c>
      <c r="F3969" s="17" t="s">
        <v>54</v>
      </c>
      <c r="G3969" s="17"/>
      <c r="H3969" s="19">
        <v>1.2379</v>
      </c>
      <c r="I3969" s="19"/>
      <c r="J3969" s="17" t="s">
        <v>82</v>
      </c>
      <c r="K3969" s="295">
        <v>210</v>
      </c>
      <c r="L3969" s="96">
        <v>32</v>
      </c>
      <c r="M3969" s="19">
        <v>5800</v>
      </c>
      <c r="N3969" s="19" t="s">
        <v>40</v>
      </c>
      <c r="O3969" s="19" t="s">
        <v>141</v>
      </c>
      <c r="P3969" s="19">
        <v>1000</v>
      </c>
      <c r="Q3969" s="19">
        <f>230+165+189+190+115</f>
        <v>889</v>
      </c>
      <c r="R3969" s="19">
        <f t="shared" si="186"/>
        <v>111</v>
      </c>
      <c r="S3969" s="91">
        <v>2340</v>
      </c>
      <c r="T3969" s="19" t="s">
        <v>42</v>
      </c>
      <c r="U3969" s="102" t="s">
        <v>1266</v>
      </c>
      <c r="V3969" s="253">
        <v>44993</v>
      </c>
      <c r="W3969" s="17" t="s">
        <v>58</v>
      </c>
      <c r="X3969" s="17"/>
      <c r="Y3969" s="68">
        <v>45222</v>
      </c>
      <c r="Z3969" s="17" t="s">
        <v>191</v>
      </c>
      <c r="AA3969" s="17" t="s">
        <v>46</v>
      </c>
      <c r="AB3969" s="17" t="s">
        <v>1266</v>
      </c>
      <c r="AC3969" s="66">
        <v>45278</v>
      </c>
      <c r="AD3969" s="65">
        <v>1501</v>
      </c>
      <c r="AE3969" s="17" t="s">
        <v>74</v>
      </c>
      <c r="AF3969" s="17"/>
      <c r="AG3969" s="17"/>
      <c r="AH3969" s="17"/>
      <c r="AI3969" s="17"/>
      <c r="AJ3969" s="17"/>
      <c r="AK3969" s="17"/>
      <c r="AL3969" s="17"/>
      <c r="AM3969" s="17"/>
      <c r="AN3969" s="17"/>
      <c r="AO3969" s="17"/>
      <c r="AP3969" s="17"/>
      <c r="AQ3969" s="17"/>
      <c r="AR3969" s="17"/>
    </row>
    <row r="3970" s="20" customFormat="1" hidden="1" spans="1:44">
      <c r="A3970" s="17" t="s">
        <v>34</v>
      </c>
      <c r="B3970" s="19">
        <v>932</v>
      </c>
      <c r="C3970" s="222">
        <v>44934</v>
      </c>
      <c r="D3970" s="17" t="s">
        <v>52</v>
      </c>
      <c r="E3970" s="17" t="s">
        <v>53</v>
      </c>
      <c r="F3970" s="17" t="s">
        <v>54</v>
      </c>
      <c r="G3970" s="17"/>
      <c r="H3970" s="19">
        <v>1.2379</v>
      </c>
      <c r="I3970" s="19"/>
      <c r="J3970" s="17" t="s">
        <v>82</v>
      </c>
      <c r="K3970" s="295">
        <v>260</v>
      </c>
      <c r="L3970" s="96">
        <v>32</v>
      </c>
      <c r="M3970" s="19">
        <v>5800</v>
      </c>
      <c r="N3970" s="19" t="s">
        <v>40</v>
      </c>
      <c r="O3970" s="19" t="s">
        <v>141</v>
      </c>
      <c r="P3970" s="19">
        <v>1000</v>
      </c>
      <c r="Q3970" s="19">
        <f>140+283+206+227+244</f>
        <v>1100</v>
      </c>
      <c r="R3970" s="19">
        <f t="shared" si="186"/>
        <v>-100</v>
      </c>
      <c r="S3970" s="91">
        <v>2340</v>
      </c>
      <c r="T3970" s="19" t="s">
        <v>42</v>
      </c>
      <c r="U3970" s="102" t="s">
        <v>1266</v>
      </c>
      <c r="V3970" s="253">
        <v>44993</v>
      </c>
      <c r="W3970" s="17" t="s">
        <v>58</v>
      </c>
      <c r="X3970" s="17"/>
      <c r="Y3970" s="68">
        <v>45222</v>
      </c>
      <c r="Z3970" s="17" t="s">
        <v>191</v>
      </c>
      <c r="AA3970" s="17" t="s">
        <v>46</v>
      </c>
      <c r="AB3970" s="17" t="s">
        <v>1266</v>
      </c>
      <c r="AC3970" s="66">
        <v>45278</v>
      </c>
      <c r="AD3970" s="65">
        <v>1501</v>
      </c>
      <c r="AE3970" s="17" t="s">
        <v>74</v>
      </c>
      <c r="AF3970" s="17"/>
      <c r="AG3970" s="17"/>
      <c r="AH3970" s="17"/>
      <c r="AI3970" s="17"/>
      <c r="AJ3970" s="17"/>
      <c r="AK3970" s="17"/>
      <c r="AL3970" s="17"/>
      <c r="AM3970" s="17"/>
      <c r="AN3970" s="17"/>
      <c r="AO3970" s="17"/>
      <c r="AP3970" s="17"/>
      <c r="AQ3970" s="17"/>
      <c r="AR3970" s="17"/>
    </row>
    <row r="3971" s="20" customFormat="1" hidden="1" spans="1:44">
      <c r="A3971" s="17" t="s">
        <v>34</v>
      </c>
      <c r="B3971" s="19">
        <v>932</v>
      </c>
      <c r="C3971" s="222">
        <v>44934</v>
      </c>
      <c r="D3971" s="17" t="s">
        <v>52</v>
      </c>
      <c r="E3971" s="17" t="s">
        <v>53</v>
      </c>
      <c r="F3971" s="17" t="s">
        <v>54</v>
      </c>
      <c r="G3971" s="17"/>
      <c r="H3971" s="19">
        <v>1.2379</v>
      </c>
      <c r="I3971" s="19"/>
      <c r="J3971" s="17" t="s">
        <v>82</v>
      </c>
      <c r="K3971" s="295">
        <v>310</v>
      </c>
      <c r="L3971" s="96">
        <v>32</v>
      </c>
      <c r="M3971" s="19">
        <v>5800</v>
      </c>
      <c r="N3971" s="19" t="s">
        <v>40</v>
      </c>
      <c r="O3971" s="19" t="s">
        <v>141</v>
      </c>
      <c r="P3971" s="19">
        <v>1000</v>
      </c>
      <c r="Q3971" s="19">
        <f>254+272+286+294</f>
        <v>1106</v>
      </c>
      <c r="R3971" s="19">
        <f t="shared" si="186"/>
        <v>-106</v>
      </c>
      <c r="S3971" s="91">
        <v>2340</v>
      </c>
      <c r="T3971" s="19" t="s">
        <v>42</v>
      </c>
      <c r="U3971" s="102" t="s">
        <v>1266</v>
      </c>
      <c r="V3971" s="253">
        <v>44993</v>
      </c>
      <c r="W3971" s="17" t="s">
        <v>58</v>
      </c>
      <c r="X3971" s="17"/>
      <c r="Y3971" s="68">
        <v>45222</v>
      </c>
      <c r="Z3971" s="17" t="s">
        <v>191</v>
      </c>
      <c r="AA3971" s="17" t="s">
        <v>46</v>
      </c>
      <c r="AB3971" s="17" t="s">
        <v>1266</v>
      </c>
      <c r="AC3971" s="66">
        <v>45278</v>
      </c>
      <c r="AD3971" s="65">
        <v>1501</v>
      </c>
      <c r="AE3971" s="17" t="s">
        <v>74</v>
      </c>
      <c r="AF3971" s="17"/>
      <c r="AG3971" s="17"/>
      <c r="AH3971" s="17"/>
      <c r="AI3971" s="17"/>
      <c r="AJ3971" s="17"/>
      <c r="AK3971" s="17"/>
      <c r="AL3971" s="17"/>
      <c r="AM3971" s="17"/>
      <c r="AN3971" s="17"/>
      <c r="AO3971" s="17"/>
      <c r="AP3971" s="17"/>
      <c r="AQ3971" s="17"/>
      <c r="AR3971" s="17"/>
    </row>
    <row r="3972" s="20" customFormat="1" hidden="1" spans="1:44">
      <c r="A3972" s="17" t="s">
        <v>34</v>
      </c>
      <c r="B3972" s="19">
        <v>932</v>
      </c>
      <c r="C3972" s="222">
        <v>44934</v>
      </c>
      <c r="D3972" s="17" t="s">
        <v>52</v>
      </c>
      <c r="E3972" s="17" t="s">
        <v>53</v>
      </c>
      <c r="F3972" s="17" t="s">
        <v>54</v>
      </c>
      <c r="G3972" s="17"/>
      <c r="H3972" s="19">
        <v>1.2379</v>
      </c>
      <c r="I3972" s="19"/>
      <c r="J3972" s="17" t="s">
        <v>82</v>
      </c>
      <c r="K3972" s="295">
        <v>410</v>
      </c>
      <c r="L3972" s="96">
        <v>32</v>
      </c>
      <c r="M3972" s="19">
        <v>5800</v>
      </c>
      <c r="N3972" s="19" t="s">
        <v>40</v>
      </c>
      <c r="O3972" s="19" t="s">
        <v>141</v>
      </c>
      <c r="P3972" s="19">
        <v>1000</v>
      </c>
      <c r="Q3972" s="19">
        <f>598+278+355</f>
        <v>1231</v>
      </c>
      <c r="R3972" s="19">
        <f t="shared" si="186"/>
        <v>-231</v>
      </c>
      <c r="S3972" s="91">
        <v>2340</v>
      </c>
      <c r="T3972" s="19" t="s">
        <v>42</v>
      </c>
      <c r="U3972" s="102" t="s">
        <v>1266</v>
      </c>
      <c r="V3972" s="253">
        <v>44993</v>
      </c>
      <c r="W3972" s="17" t="s">
        <v>58</v>
      </c>
      <c r="X3972" s="17"/>
      <c r="Y3972" s="68">
        <v>45222</v>
      </c>
      <c r="Z3972" s="17" t="s">
        <v>191</v>
      </c>
      <c r="AA3972" s="17" t="s">
        <v>46</v>
      </c>
      <c r="AB3972" s="17" t="s">
        <v>1266</v>
      </c>
      <c r="AC3972" s="66">
        <v>45278</v>
      </c>
      <c r="AD3972" s="65">
        <v>1501</v>
      </c>
      <c r="AE3972" s="17" t="s">
        <v>74</v>
      </c>
      <c r="AF3972" s="17"/>
      <c r="AG3972" s="17"/>
      <c r="AH3972" s="17"/>
      <c r="AI3972" s="17"/>
      <c r="AJ3972" s="17"/>
      <c r="AK3972" s="17"/>
      <c r="AL3972" s="17"/>
      <c r="AM3972" s="17"/>
      <c r="AN3972" s="17"/>
      <c r="AO3972" s="17"/>
      <c r="AP3972" s="17"/>
      <c r="AQ3972" s="17"/>
      <c r="AR3972" s="17"/>
    </row>
    <row r="3973" s="20" customFormat="1" hidden="1" spans="1:44">
      <c r="A3973" s="17" t="s">
        <v>34</v>
      </c>
      <c r="B3973" s="19">
        <v>932</v>
      </c>
      <c r="C3973" s="222">
        <v>44934</v>
      </c>
      <c r="D3973" s="17" t="s">
        <v>52</v>
      </c>
      <c r="E3973" s="17" t="s">
        <v>53</v>
      </c>
      <c r="F3973" s="17" t="s">
        <v>54</v>
      </c>
      <c r="G3973" s="17"/>
      <c r="H3973" s="19">
        <v>1.2379</v>
      </c>
      <c r="I3973" s="19"/>
      <c r="J3973" s="17" t="s">
        <v>82</v>
      </c>
      <c r="K3973" s="295">
        <v>510</v>
      </c>
      <c r="L3973" s="96">
        <v>32</v>
      </c>
      <c r="M3973" s="19">
        <v>5800</v>
      </c>
      <c r="N3973" s="19" t="s">
        <v>40</v>
      </c>
      <c r="O3973" s="19" t="s">
        <v>141</v>
      </c>
      <c r="P3973" s="19">
        <v>1000</v>
      </c>
      <c r="Q3973" s="19">
        <f>458+367</f>
        <v>825</v>
      </c>
      <c r="R3973" s="19">
        <f t="shared" si="186"/>
        <v>175</v>
      </c>
      <c r="S3973" s="91">
        <v>2340</v>
      </c>
      <c r="T3973" s="19" t="s">
        <v>42</v>
      </c>
      <c r="U3973" s="102" t="s">
        <v>1266</v>
      </c>
      <c r="V3973" s="253">
        <v>44993</v>
      </c>
      <c r="W3973" s="17" t="s">
        <v>58</v>
      </c>
      <c r="X3973" s="17"/>
      <c r="Y3973" s="68">
        <v>45222</v>
      </c>
      <c r="Z3973" s="17" t="s">
        <v>191</v>
      </c>
      <c r="AA3973" s="17" t="s">
        <v>46</v>
      </c>
      <c r="AB3973" s="17" t="s">
        <v>1266</v>
      </c>
      <c r="AC3973" s="66">
        <v>45278</v>
      </c>
      <c r="AD3973" s="65">
        <v>1501</v>
      </c>
      <c r="AE3973" s="17" t="s">
        <v>74</v>
      </c>
      <c r="AF3973" s="17"/>
      <c r="AG3973" s="17"/>
      <c r="AH3973" s="17"/>
      <c r="AI3973" s="17"/>
      <c r="AJ3973" s="17"/>
      <c r="AK3973" s="17"/>
      <c r="AL3973" s="17"/>
      <c r="AM3973" s="17"/>
      <c r="AN3973" s="17"/>
      <c r="AO3973" s="17"/>
      <c r="AP3973" s="17"/>
      <c r="AQ3973" s="17"/>
      <c r="AR3973" s="17"/>
    </row>
    <row r="3974" s="20" customFormat="1" hidden="1" spans="1:44">
      <c r="A3974" s="17" t="s">
        <v>34</v>
      </c>
      <c r="B3974" s="19">
        <v>932</v>
      </c>
      <c r="C3974" s="222">
        <v>44934</v>
      </c>
      <c r="D3974" s="17" t="s">
        <v>52</v>
      </c>
      <c r="E3974" s="17" t="s">
        <v>53</v>
      </c>
      <c r="F3974" s="17" t="s">
        <v>54</v>
      </c>
      <c r="G3974" s="17"/>
      <c r="H3974" s="19">
        <v>1.2379</v>
      </c>
      <c r="I3974" s="19"/>
      <c r="J3974" s="17" t="s">
        <v>82</v>
      </c>
      <c r="K3974" s="295">
        <v>610</v>
      </c>
      <c r="L3974" s="96">
        <v>32</v>
      </c>
      <c r="M3974" s="19">
        <v>5800</v>
      </c>
      <c r="N3974" s="19" t="s">
        <v>40</v>
      </c>
      <c r="O3974" s="19" t="s">
        <v>141</v>
      </c>
      <c r="P3974" s="19">
        <v>2000</v>
      </c>
      <c r="Q3974" s="19">
        <f>565+538+533+534</f>
        <v>2170</v>
      </c>
      <c r="R3974" s="19">
        <f t="shared" si="186"/>
        <v>-170</v>
      </c>
      <c r="S3974" s="91">
        <v>2340</v>
      </c>
      <c r="T3974" s="19" t="s">
        <v>42</v>
      </c>
      <c r="U3974" s="102" t="s">
        <v>1266</v>
      </c>
      <c r="V3974" s="253">
        <v>44993</v>
      </c>
      <c r="W3974" s="17" t="s">
        <v>58</v>
      </c>
      <c r="X3974" s="17"/>
      <c r="Y3974" s="68">
        <v>45222</v>
      </c>
      <c r="Z3974" s="17" t="s">
        <v>191</v>
      </c>
      <c r="AA3974" s="17" t="s">
        <v>46</v>
      </c>
      <c r="AB3974" s="17" t="s">
        <v>1266</v>
      </c>
      <c r="AC3974" s="66">
        <v>45278</v>
      </c>
      <c r="AD3974" s="65">
        <v>1501</v>
      </c>
      <c r="AE3974" s="17" t="s">
        <v>390</v>
      </c>
      <c r="AF3974" s="17"/>
      <c r="AG3974" s="17"/>
      <c r="AH3974" s="17"/>
      <c r="AI3974" s="17"/>
      <c r="AJ3974" s="17"/>
      <c r="AK3974" s="17"/>
      <c r="AL3974" s="17"/>
      <c r="AM3974" s="17"/>
      <c r="AN3974" s="17"/>
      <c r="AO3974" s="17"/>
      <c r="AP3974" s="17"/>
      <c r="AQ3974" s="17"/>
      <c r="AR3974" s="17"/>
    </row>
    <row r="3975" s="20" customFormat="1" hidden="1" spans="1:44">
      <c r="A3975" s="17" t="s">
        <v>34</v>
      </c>
      <c r="B3975" s="19">
        <v>932</v>
      </c>
      <c r="C3975" s="222">
        <v>44934</v>
      </c>
      <c r="D3975" s="17" t="s">
        <v>52</v>
      </c>
      <c r="E3975" s="17" t="s">
        <v>53</v>
      </c>
      <c r="F3975" s="17" t="s">
        <v>54</v>
      </c>
      <c r="G3975" s="17"/>
      <c r="H3975" s="19">
        <v>1.2379</v>
      </c>
      <c r="I3975" s="19"/>
      <c r="J3975" s="17" t="s">
        <v>82</v>
      </c>
      <c r="K3975" s="295">
        <v>310</v>
      </c>
      <c r="L3975" s="96">
        <v>40</v>
      </c>
      <c r="M3975" s="19">
        <v>5800</v>
      </c>
      <c r="N3975" s="19" t="s">
        <v>40</v>
      </c>
      <c r="O3975" s="19" t="s">
        <v>141</v>
      </c>
      <c r="P3975" s="19">
        <v>1000</v>
      </c>
      <c r="Q3975" s="19">
        <f>338+386+492</f>
        <v>1216</v>
      </c>
      <c r="R3975" s="19">
        <f t="shared" si="186"/>
        <v>-216</v>
      </c>
      <c r="S3975" s="91">
        <v>2340</v>
      </c>
      <c r="T3975" s="19" t="s">
        <v>42</v>
      </c>
      <c r="U3975" s="102" t="s">
        <v>1266</v>
      </c>
      <c r="V3975" s="253">
        <v>44993</v>
      </c>
      <c r="W3975" s="17" t="s">
        <v>58</v>
      </c>
      <c r="X3975" s="17"/>
      <c r="Y3975" s="68">
        <v>45222</v>
      </c>
      <c r="Z3975" s="17" t="s">
        <v>191</v>
      </c>
      <c r="AA3975" s="17" t="s">
        <v>46</v>
      </c>
      <c r="AB3975" s="17" t="s">
        <v>1266</v>
      </c>
      <c r="AC3975" s="66">
        <v>45278</v>
      </c>
      <c r="AD3975" s="65">
        <v>1501</v>
      </c>
      <c r="AE3975" s="17" t="s">
        <v>74</v>
      </c>
      <c r="AF3975" s="17"/>
      <c r="AG3975" s="17"/>
      <c r="AH3975" s="17"/>
      <c r="AI3975" s="17"/>
      <c r="AJ3975" s="17"/>
      <c r="AK3975" s="17"/>
      <c r="AL3975" s="17"/>
      <c r="AM3975" s="17"/>
      <c r="AN3975" s="17"/>
      <c r="AO3975" s="17"/>
      <c r="AP3975" s="17"/>
      <c r="AQ3975" s="17"/>
      <c r="AR3975" s="17"/>
    </row>
    <row r="3976" s="20" customFormat="1" hidden="1" spans="1:44">
      <c r="A3976" s="17" t="s">
        <v>34</v>
      </c>
      <c r="B3976" s="19">
        <v>932</v>
      </c>
      <c r="C3976" s="222">
        <v>44934</v>
      </c>
      <c r="D3976" s="17" t="s">
        <v>52</v>
      </c>
      <c r="E3976" s="17" t="s">
        <v>53</v>
      </c>
      <c r="F3976" s="17" t="s">
        <v>54</v>
      </c>
      <c r="G3976" s="17"/>
      <c r="H3976" s="19">
        <v>1.2379</v>
      </c>
      <c r="I3976" s="19"/>
      <c r="J3976" s="17" t="s">
        <v>82</v>
      </c>
      <c r="K3976" s="295">
        <v>360</v>
      </c>
      <c r="L3976" s="96">
        <v>40</v>
      </c>
      <c r="M3976" s="19">
        <v>5800</v>
      </c>
      <c r="N3976" s="19" t="s">
        <v>40</v>
      </c>
      <c r="O3976" s="19" t="s">
        <v>141</v>
      </c>
      <c r="P3976" s="19">
        <v>1000</v>
      </c>
      <c r="Q3976" s="19">
        <f>402+428</f>
        <v>830</v>
      </c>
      <c r="R3976" s="19">
        <f t="shared" si="186"/>
        <v>170</v>
      </c>
      <c r="S3976" s="91">
        <v>2340</v>
      </c>
      <c r="T3976" s="19" t="s">
        <v>42</v>
      </c>
      <c r="U3976" s="102" t="s">
        <v>1266</v>
      </c>
      <c r="V3976" s="253">
        <v>44993</v>
      </c>
      <c r="W3976" s="17" t="s">
        <v>58</v>
      </c>
      <c r="X3976" s="17"/>
      <c r="Y3976" s="68">
        <v>45222</v>
      </c>
      <c r="Z3976" s="17" t="s">
        <v>191</v>
      </c>
      <c r="AA3976" s="17" t="s">
        <v>46</v>
      </c>
      <c r="AB3976" s="17" t="s">
        <v>1266</v>
      </c>
      <c r="AC3976" s="66">
        <v>45278</v>
      </c>
      <c r="AD3976" s="65">
        <v>1501</v>
      </c>
      <c r="AE3976" s="17" t="s">
        <v>74</v>
      </c>
      <c r="AF3976" s="17"/>
      <c r="AG3976" s="17"/>
      <c r="AH3976" s="17"/>
      <c r="AI3976" s="17"/>
      <c r="AJ3976" s="17"/>
      <c r="AK3976" s="17"/>
      <c r="AL3976" s="17"/>
      <c r="AM3976" s="17"/>
      <c r="AN3976" s="17"/>
      <c r="AO3976" s="17"/>
      <c r="AP3976" s="17"/>
      <c r="AQ3976" s="17"/>
      <c r="AR3976" s="17"/>
    </row>
    <row r="3977" s="20" customFormat="1" hidden="1" spans="1:44">
      <c r="A3977" s="17" t="s">
        <v>34</v>
      </c>
      <c r="B3977" s="19">
        <v>932</v>
      </c>
      <c r="C3977" s="222">
        <v>44934</v>
      </c>
      <c r="D3977" s="17" t="s">
        <v>52</v>
      </c>
      <c r="E3977" s="17" t="s">
        <v>53</v>
      </c>
      <c r="F3977" s="17" t="s">
        <v>54</v>
      </c>
      <c r="G3977" s="17"/>
      <c r="H3977" s="19">
        <v>1.2379</v>
      </c>
      <c r="I3977" s="19"/>
      <c r="J3977" s="17" t="s">
        <v>82</v>
      </c>
      <c r="K3977" s="295">
        <v>510</v>
      </c>
      <c r="L3977" s="96">
        <v>40</v>
      </c>
      <c r="M3977" s="19">
        <v>5800</v>
      </c>
      <c r="N3977" s="19" t="s">
        <v>40</v>
      </c>
      <c r="O3977" s="19" t="s">
        <v>141</v>
      </c>
      <c r="P3977" s="19">
        <v>1000</v>
      </c>
      <c r="Q3977" s="19">
        <f>558+548</f>
        <v>1106</v>
      </c>
      <c r="R3977" s="19">
        <f t="shared" si="186"/>
        <v>-106</v>
      </c>
      <c r="S3977" s="91">
        <v>2340</v>
      </c>
      <c r="T3977" s="19" t="s">
        <v>42</v>
      </c>
      <c r="U3977" s="102" t="s">
        <v>1266</v>
      </c>
      <c r="V3977" s="253">
        <v>44993</v>
      </c>
      <c r="W3977" s="17" t="s">
        <v>58</v>
      </c>
      <c r="X3977" s="17"/>
      <c r="Y3977" s="68">
        <v>45222</v>
      </c>
      <c r="Z3977" s="17" t="s">
        <v>191</v>
      </c>
      <c r="AA3977" s="17" t="s">
        <v>46</v>
      </c>
      <c r="AB3977" s="17" t="s">
        <v>1266</v>
      </c>
      <c r="AC3977" s="66">
        <v>45278</v>
      </c>
      <c r="AD3977" s="65">
        <v>1501</v>
      </c>
      <c r="AE3977" s="17" t="s">
        <v>48</v>
      </c>
      <c r="AF3977" s="17"/>
      <c r="AG3977" s="17"/>
      <c r="AH3977" s="17"/>
      <c r="AI3977" s="17"/>
      <c r="AJ3977" s="17"/>
      <c r="AK3977" s="17"/>
      <c r="AL3977" s="17"/>
      <c r="AM3977" s="17"/>
      <c r="AN3977" s="17"/>
      <c r="AO3977" s="17"/>
      <c r="AP3977" s="17"/>
      <c r="AQ3977" s="17"/>
      <c r="AR3977" s="17"/>
    </row>
    <row r="3978" s="20" customFormat="1" hidden="1" spans="1:44">
      <c r="A3978" s="17" t="s">
        <v>34</v>
      </c>
      <c r="B3978" s="19">
        <v>932</v>
      </c>
      <c r="C3978" s="222">
        <v>44934</v>
      </c>
      <c r="D3978" s="17" t="s">
        <v>52</v>
      </c>
      <c r="E3978" s="17" t="s">
        <v>53</v>
      </c>
      <c r="F3978" s="17" t="s">
        <v>54</v>
      </c>
      <c r="G3978" s="17"/>
      <c r="H3978" s="19">
        <v>1.2379</v>
      </c>
      <c r="I3978" s="19"/>
      <c r="J3978" s="17" t="s">
        <v>82</v>
      </c>
      <c r="K3978" s="295">
        <v>610</v>
      </c>
      <c r="L3978" s="96">
        <v>40</v>
      </c>
      <c r="M3978" s="19">
        <v>5800</v>
      </c>
      <c r="N3978" s="19" t="s">
        <v>40</v>
      </c>
      <c r="O3978" s="19" t="s">
        <v>141</v>
      </c>
      <c r="P3978" s="19">
        <v>2000</v>
      </c>
      <c r="Q3978" s="19">
        <f>662+670</f>
        <v>1332</v>
      </c>
      <c r="R3978" s="19">
        <f t="shared" si="186"/>
        <v>668</v>
      </c>
      <c r="S3978" s="91">
        <v>2340</v>
      </c>
      <c r="T3978" s="19" t="s">
        <v>42</v>
      </c>
      <c r="U3978" s="102" t="s">
        <v>1266</v>
      </c>
      <c r="V3978" s="253">
        <v>44993</v>
      </c>
      <c r="W3978" s="17" t="s">
        <v>58</v>
      </c>
      <c r="X3978" s="17"/>
      <c r="Y3978" s="68">
        <v>45222</v>
      </c>
      <c r="Z3978" s="17" t="s">
        <v>191</v>
      </c>
      <c r="AA3978" s="17" t="s">
        <v>46</v>
      </c>
      <c r="AB3978" s="17" t="s">
        <v>1266</v>
      </c>
      <c r="AC3978" s="66">
        <v>45278</v>
      </c>
      <c r="AD3978" s="65">
        <v>1501</v>
      </c>
      <c r="AE3978" s="17" t="s">
        <v>390</v>
      </c>
      <c r="AF3978" s="17"/>
      <c r="AG3978" s="17"/>
      <c r="AH3978" s="17"/>
      <c r="AI3978" s="17"/>
      <c r="AJ3978" s="17"/>
      <c r="AK3978" s="17"/>
      <c r="AL3978" s="17"/>
      <c r="AM3978" s="17"/>
      <c r="AN3978" s="17"/>
      <c r="AO3978" s="17"/>
      <c r="AP3978" s="17"/>
      <c r="AQ3978" s="17"/>
      <c r="AR3978" s="17"/>
    </row>
    <row r="3979" s="21" customFormat="1" ht="15.6" hidden="1" spans="1:44">
      <c r="A3979" s="17" t="s">
        <v>34</v>
      </c>
      <c r="B3979" s="19">
        <v>932</v>
      </c>
      <c r="C3979" s="222">
        <v>44934</v>
      </c>
      <c r="D3979" s="17" t="s">
        <v>52</v>
      </c>
      <c r="E3979" s="17" t="s">
        <v>53</v>
      </c>
      <c r="F3979" s="17" t="s">
        <v>54</v>
      </c>
      <c r="G3979" s="17"/>
      <c r="H3979" s="19">
        <v>1.2379</v>
      </c>
      <c r="I3979" s="19"/>
      <c r="J3979" s="17" t="s">
        <v>39</v>
      </c>
      <c r="K3979" s="295">
        <v>13</v>
      </c>
      <c r="L3979" s="295"/>
      <c r="M3979" s="295">
        <v>4000</v>
      </c>
      <c r="N3979" s="19" t="s">
        <v>40</v>
      </c>
      <c r="O3979" s="19" t="s">
        <v>84</v>
      </c>
      <c r="P3979" s="266">
        <v>1000</v>
      </c>
      <c r="Q3979" s="19">
        <v>624</v>
      </c>
      <c r="R3979" s="19">
        <f t="shared" si="186"/>
        <v>376</v>
      </c>
      <c r="S3979" s="266">
        <v>2880</v>
      </c>
      <c r="T3979" s="19" t="s">
        <v>42</v>
      </c>
      <c r="U3979" s="102" t="s">
        <v>1266</v>
      </c>
      <c r="V3979" s="253">
        <v>44993</v>
      </c>
      <c r="W3979" s="17" t="s">
        <v>58</v>
      </c>
      <c r="X3979" s="17"/>
      <c r="Y3979" s="68">
        <v>45222</v>
      </c>
      <c r="Z3979" s="17" t="s">
        <v>191</v>
      </c>
      <c r="AA3979" s="17" t="s">
        <v>46</v>
      </c>
      <c r="AB3979" s="17" t="s">
        <v>1267</v>
      </c>
      <c r="AC3979" s="217">
        <v>45323</v>
      </c>
      <c r="AD3979" s="65">
        <v>1527</v>
      </c>
      <c r="AE3979" s="17" t="s">
        <v>48</v>
      </c>
      <c r="AF3979" s="17"/>
      <c r="AG3979" s="17"/>
      <c r="AH3979" s="17"/>
      <c r="AI3979" s="17"/>
      <c r="AJ3979" s="17"/>
      <c r="AK3979" s="17"/>
      <c r="AL3979" s="17"/>
      <c r="AM3979" s="17"/>
      <c r="AN3979" s="17"/>
      <c r="AO3979" s="17"/>
      <c r="AP3979" s="17"/>
      <c r="AQ3979" s="17"/>
      <c r="AR3979" s="17"/>
    </row>
    <row r="3980" s="20" customFormat="1" ht="15.6" hidden="1" spans="1:44">
      <c r="A3980" s="17" t="s">
        <v>34</v>
      </c>
      <c r="B3980" s="19">
        <v>932</v>
      </c>
      <c r="C3980" s="222">
        <v>44934</v>
      </c>
      <c r="D3980" s="17" t="s">
        <v>52</v>
      </c>
      <c r="E3980" s="17" t="s">
        <v>53</v>
      </c>
      <c r="F3980" s="17" t="s">
        <v>54</v>
      </c>
      <c r="G3980" s="17"/>
      <c r="H3980" s="19">
        <v>1.2379</v>
      </c>
      <c r="I3980" s="19"/>
      <c r="J3980" s="17" t="s">
        <v>39</v>
      </c>
      <c r="K3980" s="295">
        <v>16</v>
      </c>
      <c r="L3980" s="295"/>
      <c r="M3980" s="295">
        <v>4000</v>
      </c>
      <c r="N3980" s="19" t="s">
        <v>40</v>
      </c>
      <c r="O3980" s="19" t="s">
        <v>84</v>
      </c>
      <c r="P3980" s="266">
        <v>2000</v>
      </c>
      <c r="Q3980" s="19">
        <v>1242</v>
      </c>
      <c r="R3980" s="21"/>
      <c r="S3980" s="91">
        <v>2720</v>
      </c>
      <c r="T3980" s="19" t="s">
        <v>42</v>
      </c>
      <c r="U3980" s="102" t="s">
        <v>1266</v>
      </c>
      <c r="V3980" s="253">
        <v>44993</v>
      </c>
      <c r="W3980" s="17" t="s">
        <v>58</v>
      </c>
      <c r="X3980" s="17"/>
      <c r="Y3980" s="68">
        <v>45222</v>
      </c>
      <c r="Z3980" s="17" t="s">
        <v>191</v>
      </c>
      <c r="AA3980" s="17" t="s">
        <v>46</v>
      </c>
      <c r="AB3980" s="17" t="s">
        <v>1266</v>
      </c>
      <c r="AC3980" s="66">
        <v>45278</v>
      </c>
      <c r="AD3980" s="65">
        <v>1501</v>
      </c>
      <c r="AE3980" s="17" t="s">
        <v>74</v>
      </c>
      <c r="AF3980" s="17"/>
      <c r="AG3980" s="17"/>
      <c r="AH3980" s="17"/>
      <c r="AI3980" s="17"/>
      <c r="AJ3980" s="17"/>
      <c r="AK3980" s="17"/>
      <c r="AL3980" s="17"/>
      <c r="AM3980" s="17"/>
      <c r="AN3980" s="17"/>
      <c r="AO3980" s="17"/>
      <c r="AP3980" s="17"/>
      <c r="AQ3980" s="17"/>
      <c r="AR3980" s="17"/>
    </row>
    <row r="3981" s="20" customFormat="1" ht="15.6" hidden="1" spans="1:44">
      <c r="A3981" s="17" t="s">
        <v>34</v>
      </c>
      <c r="B3981" s="19">
        <v>932</v>
      </c>
      <c r="C3981" s="222">
        <v>44934</v>
      </c>
      <c r="D3981" s="17" t="s">
        <v>52</v>
      </c>
      <c r="E3981" s="17" t="s">
        <v>53</v>
      </c>
      <c r="F3981" s="17" t="s">
        <v>54</v>
      </c>
      <c r="G3981" s="17"/>
      <c r="H3981" s="19">
        <v>1.2379</v>
      </c>
      <c r="I3981" s="19"/>
      <c r="J3981" s="17" t="s">
        <v>39</v>
      </c>
      <c r="K3981" s="295">
        <v>16</v>
      </c>
      <c r="L3981" s="295"/>
      <c r="M3981" s="295">
        <v>4000</v>
      </c>
      <c r="N3981" s="19" t="s">
        <v>40</v>
      </c>
      <c r="O3981" s="19" t="s">
        <v>84</v>
      </c>
      <c r="P3981" s="266"/>
      <c r="Q3981" s="19">
        <v>1232</v>
      </c>
      <c r="R3981" s="19">
        <f>+P3980-Q3980-Q3981</f>
        <v>-474</v>
      </c>
      <c r="S3981" s="91">
        <v>2720</v>
      </c>
      <c r="T3981" s="19" t="s">
        <v>42</v>
      </c>
      <c r="U3981" s="102" t="s">
        <v>1266</v>
      </c>
      <c r="V3981" s="253">
        <v>44993</v>
      </c>
      <c r="W3981" s="17" t="s">
        <v>58</v>
      </c>
      <c r="X3981" s="17"/>
      <c r="Y3981" s="68">
        <v>45222</v>
      </c>
      <c r="Z3981" s="17" t="s">
        <v>191</v>
      </c>
      <c r="AA3981" s="17" t="s">
        <v>46</v>
      </c>
      <c r="AB3981" s="17" t="s">
        <v>1267</v>
      </c>
      <c r="AC3981" s="217">
        <v>45323</v>
      </c>
      <c r="AD3981" s="65">
        <v>1527</v>
      </c>
      <c r="AE3981" s="17" t="s">
        <v>74</v>
      </c>
      <c r="AF3981" s="17"/>
      <c r="AG3981" s="17"/>
      <c r="AH3981" s="17"/>
      <c r="AI3981" s="17"/>
      <c r="AJ3981" s="17"/>
      <c r="AK3981" s="17"/>
      <c r="AL3981" s="17"/>
      <c r="AM3981" s="17"/>
      <c r="AN3981" s="17"/>
      <c r="AO3981" s="17"/>
      <c r="AP3981" s="17"/>
      <c r="AQ3981" s="17"/>
      <c r="AR3981" s="17"/>
    </row>
    <row r="3982" s="21" customFormat="1" ht="15.6" hidden="1" spans="1:44">
      <c r="A3982" s="17" t="s">
        <v>34</v>
      </c>
      <c r="B3982" s="19">
        <v>932</v>
      </c>
      <c r="C3982" s="222">
        <v>44934</v>
      </c>
      <c r="D3982" s="17" t="s">
        <v>52</v>
      </c>
      <c r="E3982" s="17" t="s">
        <v>53</v>
      </c>
      <c r="F3982" s="17" t="s">
        <v>54</v>
      </c>
      <c r="G3982" s="17"/>
      <c r="H3982" s="19">
        <v>1.2379</v>
      </c>
      <c r="I3982" s="19"/>
      <c r="J3982" s="17" t="s">
        <v>39</v>
      </c>
      <c r="K3982" s="295">
        <v>18</v>
      </c>
      <c r="L3982" s="295"/>
      <c r="M3982" s="295">
        <v>4000</v>
      </c>
      <c r="N3982" s="19" t="s">
        <v>40</v>
      </c>
      <c r="O3982" s="19" t="s">
        <v>84</v>
      </c>
      <c r="P3982" s="266">
        <v>1000</v>
      </c>
      <c r="Q3982" s="19">
        <f>820+946</f>
        <v>1766</v>
      </c>
      <c r="R3982" s="19">
        <f>+P3982-Q3982</f>
        <v>-766</v>
      </c>
      <c r="S3982" s="91">
        <v>2720</v>
      </c>
      <c r="T3982" s="19" t="s">
        <v>42</v>
      </c>
      <c r="U3982" s="102" t="s">
        <v>1266</v>
      </c>
      <c r="V3982" s="253">
        <v>44993</v>
      </c>
      <c r="W3982" s="17" t="s">
        <v>58</v>
      </c>
      <c r="X3982" s="17"/>
      <c r="Y3982" s="68">
        <v>45222</v>
      </c>
      <c r="Z3982" s="17" t="s">
        <v>191</v>
      </c>
      <c r="AA3982" s="17" t="s">
        <v>46</v>
      </c>
      <c r="AB3982" s="17" t="s">
        <v>1267</v>
      </c>
      <c r="AC3982" s="217">
        <v>45323</v>
      </c>
      <c r="AD3982" s="65">
        <v>1527</v>
      </c>
      <c r="AE3982" s="17" t="s">
        <v>74</v>
      </c>
      <c r="AF3982" s="17"/>
      <c r="AG3982" s="17"/>
      <c r="AH3982" s="17"/>
      <c r="AI3982" s="17"/>
      <c r="AJ3982" s="17"/>
      <c r="AK3982" s="17"/>
      <c r="AL3982" s="17"/>
      <c r="AM3982" s="17"/>
      <c r="AN3982" s="17"/>
      <c r="AO3982" s="17"/>
      <c r="AP3982" s="17"/>
      <c r="AQ3982" s="17"/>
      <c r="AR3982" s="17"/>
    </row>
    <row r="3983" s="20" customFormat="1" ht="15.6" hidden="1" spans="1:44">
      <c r="A3983" s="17" t="s">
        <v>34</v>
      </c>
      <c r="B3983" s="19">
        <v>932</v>
      </c>
      <c r="C3983" s="222">
        <v>44934</v>
      </c>
      <c r="D3983" s="17" t="s">
        <v>52</v>
      </c>
      <c r="E3983" s="17" t="s">
        <v>53</v>
      </c>
      <c r="F3983" s="17" t="s">
        <v>54</v>
      </c>
      <c r="G3983" s="17"/>
      <c r="H3983" s="19">
        <v>1.2379</v>
      </c>
      <c r="I3983" s="19"/>
      <c r="J3983" s="17" t="s">
        <v>39</v>
      </c>
      <c r="K3983" s="295">
        <v>20</v>
      </c>
      <c r="L3983" s="295"/>
      <c r="M3983" s="295">
        <v>4000</v>
      </c>
      <c r="N3983" s="19" t="s">
        <v>40</v>
      </c>
      <c r="O3983" s="19" t="s">
        <v>84</v>
      </c>
      <c r="P3983" s="266">
        <v>2000</v>
      </c>
      <c r="Q3983" s="19">
        <v>532</v>
      </c>
      <c r="R3983" s="21"/>
      <c r="S3983" s="91">
        <v>2720</v>
      </c>
      <c r="T3983" s="19" t="s">
        <v>42</v>
      </c>
      <c r="U3983" s="102" t="s">
        <v>1266</v>
      </c>
      <c r="V3983" s="253">
        <v>44993</v>
      </c>
      <c r="W3983" s="17" t="s">
        <v>58</v>
      </c>
      <c r="X3983" s="17"/>
      <c r="Y3983" s="68">
        <v>45222</v>
      </c>
      <c r="Z3983" s="17" t="s">
        <v>191</v>
      </c>
      <c r="AA3983" s="17" t="s">
        <v>46</v>
      </c>
      <c r="AB3983" s="17" t="s">
        <v>1266</v>
      </c>
      <c r="AC3983" s="66">
        <v>45278</v>
      </c>
      <c r="AD3983" s="65">
        <v>1501</v>
      </c>
      <c r="AE3983" s="17" t="s">
        <v>74</v>
      </c>
      <c r="AF3983" s="17"/>
      <c r="AG3983" s="17"/>
      <c r="AH3983" s="17"/>
      <c r="AI3983" s="17"/>
      <c r="AJ3983" s="17"/>
      <c r="AK3983" s="17"/>
      <c r="AL3983" s="17"/>
      <c r="AM3983" s="17"/>
      <c r="AN3983" s="17"/>
      <c r="AO3983" s="17"/>
      <c r="AP3983" s="17"/>
      <c r="AQ3983" s="17"/>
      <c r="AR3983" s="17"/>
    </row>
    <row r="3984" s="20" customFormat="1" ht="15.6" hidden="1" spans="1:44">
      <c r="A3984" s="17" t="s">
        <v>34</v>
      </c>
      <c r="B3984" s="19">
        <v>932</v>
      </c>
      <c r="C3984" s="222">
        <v>44934</v>
      </c>
      <c r="D3984" s="17" t="s">
        <v>52</v>
      </c>
      <c r="E3984" s="17" t="s">
        <v>53</v>
      </c>
      <c r="F3984" s="17" t="s">
        <v>54</v>
      </c>
      <c r="G3984" s="17"/>
      <c r="H3984" s="19">
        <v>1.2379</v>
      </c>
      <c r="I3984" s="19"/>
      <c r="J3984" s="17" t="s">
        <v>39</v>
      </c>
      <c r="K3984" s="295">
        <v>20</v>
      </c>
      <c r="L3984" s="295"/>
      <c r="M3984" s="295">
        <v>4000</v>
      </c>
      <c r="N3984" s="19" t="s">
        <v>40</v>
      </c>
      <c r="O3984" s="19" t="s">
        <v>84</v>
      </c>
      <c r="P3984" s="266"/>
      <c r="Q3984" s="19">
        <v>2080</v>
      </c>
      <c r="R3984" s="19">
        <f>+P3983-Q3983-Q3984</f>
        <v>-612</v>
      </c>
      <c r="S3984" s="91">
        <v>2720</v>
      </c>
      <c r="T3984" s="19" t="s">
        <v>42</v>
      </c>
      <c r="U3984" s="102" t="s">
        <v>1266</v>
      </c>
      <c r="V3984" s="253">
        <v>44993</v>
      </c>
      <c r="W3984" s="17" t="s">
        <v>58</v>
      </c>
      <c r="X3984" s="17"/>
      <c r="Y3984" s="68">
        <v>45222</v>
      </c>
      <c r="Z3984" s="17" t="s">
        <v>191</v>
      </c>
      <c r="AA3984" s="17" t="s">
        <v>46</v>
      </c>
      <c r="AB3984" s="17" t="s">
        <v>1267</v>
      </c>
      <c r="AC3984" s="217">
        <v>45323</v>
      </c>
      <c r="AD3984" s="65">
        <v>1527</v>
      </c>
      <c r="AE3984" s="17" t="s">
        <v>74</v>
      </c>
      <c r="AF3984" s="17"/>
      <c r="AG3984" s="17"/>
      <c r="AH3984" s="17"/>
      <c r="AI3984" s="17"/>
      <c r="AJ3984" s="17"/>
      <c r="AK3984" s="17"/>
      <c r="AL3984" s="17"/>
      <c r="AM3984" s="17"/>
      <c r="AN3984" s="17"/>
      <c r="AO3984" s="17"/>
      <c r="AP3984" s="17"/>
      <c r="AQ3984" s="17"/>
      <c r="AR3984" s="17"/>
    </row>
    <row r="3985" s="20" customFormat="1" ht="15.6" hidden="1" spans="1:44">
      <c r="A3985" s="17" t="s">
        <v>34</v>
      </c>
      <c r="B3985" s="19">
        <v>932</v>
      </c>
      <c r="C3985" s="222">
        <v>44934</v>
      </c>
      <c r="D3985" s="17" t="s">
        <v>52</v>
      </c>
      <c r="E3985" s="17" t="s">
        <v>53</v>
      </c>
      <c r="F3985" s="17" t="s">
        <v>54</v>
      </c>
      <c r="G3985" s="17"/>
      <c r="H3985" s="19">
        <v>1.2379</v>
      </c>
      <c r="I3985" s="19"/>
      <c r="J3985" s="17" t="s">
        <v>39</v>
      </c>
      <c r="K3985" s="295">
        <v>22</v>
      </c>
      <c r="L3985" s="295"/>
      <c r="M3985" s="295">
        <v>4000</v>
      </c>
      <c r="N3985" s="19" t="s">
        <v>40</v>
      </c>
      <c r="O3985" s="19" t="s">
        <v>84</v>
      </c>
      <c r="P3985" s="266">
        <v>2000</v>
      </c>
      <c r="Q3985" s="19">
        <v>956</v>
      </c>
      <c r="R3985" s="21"/>
      <c r="S3985" s="91">
        <v>2720</v>
      </c>
      <c r="T3985" s="19" t="s">
        <v>42</v>
      </c>
      <c r="U3985" s="102" t="s">
        <v>1266</v>
      </c>
      <c r="V3985" s="253">
        <v>44993</v>
      </c>
      <c r="W3985" s="17" t="s">
        <v>58</v>
      </c>
      <c r="X3985" s="17"/>
      <c r="Y3985" s="68">
        <v>45222</v>
      </c>
      <c r="Z3985" s="17" t="s">
        <v>191</v>
      </c>
      <c r="AA3985" s="17" t="s">
        <v>46</v>
      </c>
      <c r="AB3985" s="17" t="s">
        <v>1266</v>
      </c>
      <c r="AC3985" s="66">
        <v>45278</v>
      </c>
      <c r="AD3985" s="65">
        <v>1501</v>
      </c>
      <c r="AE3985" s="17" t="s">
        <v>74</v>
      </c>
      <c r="AF3985" s="17"/>
      <c r="AG3985" s="17"/>
      <c r="AH3985" s="17"/>
      <c r="AI3985" s="17"/>
      <c r="AJ3985" s="17"/>
      <c r="AK3985" s="17"/>
      <c r="AL3985" s="17"/>
      <c r="AM3985" s="17"/>
      <c r="AN3985" s="17"/>
      <c r="AO3985" s="17"/>
      <c r="AP3985" s="17"/>
      <c r="AQ3985" s="17"/>
      <c r="AR3985" s="17"/>
    </row>
    <row r="3986" s="20" customFormat="1" ht="15.6" hidden="1" spans="1:44">
      <c r="A3986" s="17" t="s">
        <v>34</v>
      </c>
      <c r="B3986" s="19">
        <v>932</v>
      </c>
      <c r="C3986" s="222">
        <v>44934</v>
      </c>
      <c r="D3986" s="17" t="s">
        <v>52</v>
      </c>
      <c r="E3986" s="17" t="s">
        <v>53</v>
      </c>
      <c r="F3986" s="17" t="s">
        <v>54</v>
      </c>
      <c r="G3986" s="17"/>
      <c r="H3986" s="19">
        <v>1.2379</v>
      </c>
      <c r="I3986" s="19"/>
      <c r="J3986" s="17" t="s">
        <v>39</v>
      </c>
      <c r="K3986" s="295">
        <v>22</v>
      </c>
      <c r="L3986" s="295"/>
      <c r="M3986" s="295">
        <v>4000</v>
      </c>
      <c r="N3986" s="19" t="s">
        <v>40</v>
      </c>
      <c r="O3986" s="19" t="s">
        <v>84</v>
      </c>
      <c r="P3986" s="266"/>
      <c r="Q3986" s="19">
        <v>1112</v>
      </c>
      <c r="R3986" s="19">
        <f>+P3985-Q3985-Q3986</f>
        <v>-68</v>
      </c>
      <c r="S3986" s="91">
        <v>2720</v>
      </c>
      <c r="T3986" s="19" t="s">
        <v>42</v>
      </c>
      <c r="U3986" s="102" t="s">
        <v>1266</v>
      </c>
      <c r="V3986" s="253">
        <v>44993</v>
      </c>
      <c r="W3986" s="17" t="s">
        <v>58</v>
      </c>
      <c r="X3986" s="17"/>
      <c r="Y3986" s="68">
        <v>45222</v>
      </c>
      <c r="Z3986" s="17" t="s">
        <v>191</v>
      </c>
      <c r="AA3986" s="17" t="s">
        <v>46</v>
      </c>
      <c r="AB3986" s="17" t="s">
        <v>1267</v>
      </c>
      <c r="AC3986" s="217">
        <v>45323</v>
      </c>
      <c r="AD3986" s="65">
        <v>1527</v>
      </c>
      <c r="AE3986" s="17" t="s">
        <v>74</v>
      </c>
      <c r="AF3986" s="17"/>
      <c r="AG3986" s="17"/>
      <c r="AH3986" s="17"/>
      <c r="AI3986" s="17"/>
      <c r="AJ3986" s="17"/>
      <c r="AK3986" s="17"/>
      <c r="AL3986" s="17"/>
      <c r="AM3986" s="17"/>
      <c r="AN3986" s="17"/>
      <c r="AO3986" s="17"/>
      <c r="AP3986" s="17"/>
      <c r="AQ3986" s="17"/>
      <c r="AR3986" s="17"/>
    </row>
    <row r="3987" s="20" customFormat="1" ht="15.6" hidden="1" spans="1:44">
      <c r="A3987" s="17" t="s">
        <v>34</v>
      </c>
      <c r="B3987" s="19">
        <v>932</v>
      </c>
      <c r="C3987" s="222">
        <v>44934</v>
      </c>
      <c r="D3987" s="17" t="s">
        <v>52</v>
      </c>
      <c r="E3987" s="17" t="s">
        <v>53</v>
      </c>
      <c r="F3987" s="17" t="s">
        <v>54</v>
      </c>
      <c r="G3987" s="17"/>
      <c r="H3987" s="19">
        <v>1.2379</v>
      </c>
      <c r="I3987" s="19"/>
      <c r="J3987" s="17" t="s">
        <v>39</v>
      </c>
      <c r="K3987" s="295">
        <v>26</v>
      </c>
      <c r="L3987" s="295"/>
      <c r="M3987" s="295">
        <v>4000</v>
      </c>
      <c r="N3987" s="19" t="s">
        <v>40</v>
      </c>
      <c r="O3987" s="19" t="s">
        <v>84</v>
      </c>
      <c r="P3987" s="266">
        <v>2000</v>
      </c>
      <c r="Q3987" s="19">
        <v>2178</v>
      </c>
      <c r="R3987" s="19">
        <f t="shared" ref="R3987:R3993" si="188">+P3987-Q3987</f>
        <v>-178</v>
      </c>
      <c r="S3987" s="91">
        <v>2570</v>
      </c>
      <c r="T3987" s="19" t="s">
        <v>42</v>
      </c>
      <c r="U3987" s="102" t="s">
        <v>1266</v>
      </c>
      <c r="V3987" s="253">
        <v>44993</v>
      </c>
      <c r="W3987" s="17" t="s">
        <v>58</v>
      </c>
      <c r="X3987" s="17"/>
      <c r="Y3987" s="68">
        <v>45222</v>
      </c>
      <c r="Z3987" s="17" t="s">
        <v>191</v>
      </c>
      <c r="AA3987" s="17" t="s">
        <v>46</v>
      </c>
      <c r="AB3987" s="17" t="s">
        <v>1266</v>
      </c>
      <c r="AC3987" s="66">
        <v>45278</v>
      </c>
      <c r="AD3987" s="65">
        <v>1501</v>
      </c>
      <c r="AE3987" s="17" t="s">
        <v>74</v>
      </c>
      <c r="AF3987" s="17"/>
      <c r="AG3987" s="17"/>
      <c r="AH3987" s="17"/>
      <c r="AI3987" s="17"/>
      <c r="AJ3987" s="17"/>
      <c r="AK3987" s="17"/>
      <c r="AL3987" s="17"/>
      <c r="AM3987" s="17"/>
      <c r="AN3987" s="17"/>
      <c r="AO3987" s="17"/>
      <c r="AP3987" s="17"/>
      <c r="AQ3987" s="17"/>
      <c r="AR3987" s="17"/>
    </row>
    <row r="3988" s="20" customFormat="1" ht="15.6" hidden="1" spans="1:44">
      <c r="A3988" s="17" t="s">
        <v>34</v>
      </c>
      <c r="B3988" s="19">
        <v>932</v>
      </c>
      <c r="C3988" s="222">
        <v>44934</v>
      </c>
      <c r="D3988" s="17" t="s">
        <v>52</v>
      </c>
      <c r="E3988" s="17" t="s">
        <v>53</v>
      </c>
      <c r="F3988" s="17" t="s">
        <v>54</v>
      </c>
      <c r="G3988" s="17"/>
      <c r="H3988" s="19">
        <v>1.2379</v>
      </c>
      <c r="I3988" s="19"/>
      <c r="J3988" s="17" t="s">
        <v>39</v>
      </c>
      <c r="K3988" s="295">
        <v>28</v>
      </c>
      <c r="L3988" s="295"/>
      <c r="M3988" s="295">
        <v>4000</v>
      </c>
      <c r="N3988" s="19" t="s">
        <v>40</v>
      </c>
      <c r="O3988" s="19" t="s">
        <v>84</v>
      </c>
      <c r="P3988" s="266">
        <v>2000</v>
      </c>
      <c r="Q3988" s="19">
        <v>1732</v>
      </c>
      <c r="R3988" s="19">
        <f t="shared" si="188"/>
        <v>268</v>
      </c>
      <c r="S3988" s="91">
        <v>2570</v>
      </c>
      <c r="T3988" s="19" t="s">
        <v>42</v>
      </c>
      <c r="U3988" s="102" t="s">
        <v>1266</v>
      </c>
      <c r="V3988" s="253">
        <v>44993</v>
      </c>
      <c r="W3988" s="17" t="s">
        <v>58</v>
      </c>
      <c r="X3988" s="17"/>
      <c r="Y3988" s="68">
        <v>45222</v>
      </c>
      <c r="Z3988" s="17" t="s">
        <v>191</v>
      </c>
      <c r="AA3988" s="17" t="s">
        <v>46</v>
      </c>
      <c r="AB3988" s="17" t="s">
        <v>1266</v>
      </c>
      <c r="AC3988" s="66">
        <v>45278</v>
      </c>
      <c r="AD3988" s="65">
        <v>1501</v>
      </c>
      <c r="AE3988" s="17" t="s">
        <v>74</v>
      </c>
      <c r="AF3988" s="17"/>
      <c r="AG3988" s="17"/>
      <c r="AH3988" s="17"/>
      <c r="AI3988" s="17"/>
      <c r="AJ3988" s="17"/>
      <c r="AK3988" s="17"/>
      <c r="AL3988" s="17"/>
      <c r="AM3988" s="17"/>
      <c r="AN3988" s="17"/>
      <c r="AO3988" s="17"/>
      <c r="AP3988" s="17"/>
      <c r="AQ3988" s="17"/>
      <c r="AR3988" s="17"/>
    </row>
    <row r="3989" s="20" customFormat="1" ht="15.6" hidden="1" spans="1:44">
      <c r="A3989" s="17" t="s">
        <v>34</v>
      </c>
      <c r="B3989" s="19">
        <v>932</v>
      </c>
      <c r="C3989" s="222">
        <v>44934</v>
      </c>
      <c r="D3989" s="17" t="s">
        <v>52</v>
      </c>
      <c r="E3989" s="17" t="s">
        <v>53</v>
      </c>
      <c r="F3989" s="17" t="s">
        <v>54</v>
      </c>
      <c r="G3989" s="17"/>
      <c r="H3989" s="19">
        <v>1.2379</v>
      </c>
      <c r="I3989" s="19"/>
      <c r="J3989" s="17" t="s">
        <v>39</v>
      </c>
      <c r="K3989" s="295">
        <v>32</v>
      </c>
      <c r="L3989" s="295"/>
      <c r="M3989" s="295">
        <v>4000</v>
      </c>
      <c r="N3989" s="19" t="s">
        <v>40</v>
      </c>
      <c r="O3989" s="19" t="s">
        <v>84</v>
      </c>
      <c r="P3989" s="266">
        <v>2000</v>
      </c>
      <c r="Q3989" s="19">
        <f>1068+852</f>
        <v>1920</v>
      </c>
      <c r="R3989" s="19">
        <f t="shared" si="188"/>
        <v>80</v>
      </c>
      <c r="S3989" s="91">
        <v>2570</v>
      </c>
      <c r="T3989" s="19" t="s">
        <v>42</v>
      </c>
      <c r="U3989" s="102" t="s">
        <v>1266</v>
      </c>
      <c r="V3989" s="253">
        <v>44993</v>
      </c>
      <c r="W3989" s="17" t="s">
        <v>58</v>
      </c>
      <c r="X3989" s="17"/>
      <c r="Y3989" s="68">
        <v>45222</v>
      </c>
      <c r="Z3989" s="17" t="s">
        <v>191</v>
      </c>
      <c r="AA3989" s="17" t="s">
        <v>46</v>
      </c>
      <c r="AB3989" s="17" t="s">
        <v>1266</v>
      </c>
      <c r="AC3989" s="66">
        <v>45278</v>
      </c>
      <c r="AD3989" s="65">
        <v>1501</v>
      </c>
      <c r="AE3989" s="17" t="s">
        <v>74</v>
      </c>
      <c r="AF3989" s="17"/>
      <c r="AG3989" s="17"/>
      <c r="AH3989" s="17"/>
      <c r="AI3989" s="17"/>
      <c r="AJ3989" s="17"/>
      <c r="AK3989" s="17"/>
      <c r="AL3989" s="17"/>
      <c r="AM3989" s="17"/>
      <c r="AN3989" s="17"/>
      <c r="AO3989" s="17"/>
      <c r="AP3989" s="17"/>
      <c r="AQ3989" s="17"/>
      <c r="AR3989" s="17"/>
    </row>
    <row r="3990" s="20" customFormat="1" ht="15.6" hidden="1" spans="1:44">
      <c r="A3990" s="17" t="s">
        <v>34</v>
      </c>
      <c r="B3990" s="19">
        <v>932</v>
      </c>
      <c r="C3990" s="222">
        <v>44934</v>
      </c>
      <c r="D3990" s="17" t="s">
        <v>52</v>
      </c>
      <c r="E3990" s="17" t="s">
        <v>53</v>
      </c>
      <c r="F3990" s="17" t="s">
        <v>54</v>
      </c>
      <c r="G3990" s="17"/>
      <c r="H3990" s="19">
        <v>1.2379</v>
      </c>
      <c r="I3990" s="19"/>
      <c r="J3990" s="17" t="s">
        <v>39</v>
      </c>
      <c r="K3990" s="295">
        <v>36</v>
      </c>
      <c r="L3990" s="295"/>
      <c r="M3990" s="295">
        <v>4000</v>
      </c>
      <c r="N3990" s="19" t="s">
        <v>40</v>
      </c>
      <c r="O3990" s="19" t="s">
        <v>84</v>
      </c>
      <c r="P3990" s="266">
        <v>2000</v>
      </c>
      <c r="Q3990" s="19">
        <f>975+1332</f>
        <v>2307</v>
      </c>
      <c r="R3990" s="19">
        <f t="shared" si="188"/>
        <v>-307</v>
      </c>
      <c r="S3990" s="91">
        <v>2570</v>
      </c>
      <c r="T3990" s="19" t="s">
        <v>42</v>
      </c>
      <c r="U3990" s="102" t="s">
        <v>1266</v>
      </c>
      <c r="V3990" s="253">
        <v>44993</v>
      </c>
      <c r="W3990" s="17" t="s">
        <v>58</v>
      </c>
      <c r="X3990" s="17"/>
      <c r="Y3990" s="68">
        <v>45222</v>
      </c>
      <c r="Z3990" s="17" t="s">
        <v>191</v>
      </c>
      <c r="AA3990" s="17" t="s">
        <v>46</v>
      </c>
      <c r="AB3990" s="17" t="s">
        <v>1266</v>
      </c>
      <c r="AC3990" s="66">
        <v>45278</v>
      </c>
      <c r="AD3990" s="65">
        <v>1501</v>
      </c>
      <c r="AE3990" s="17" t="s">
        <v>74</v>
      </c>
      <c r="AF3990" s="17"/>
      <c r="AG3990" s="17"/>
      <c r="AH3990" s="17"/>
      <c r="AI3990" s="17"/>
      <c r="AJ3990" s="17"/>
      <c r="AK3990" s="17"/>
      <c r="AL3990" s="17"/>
      <c r="AM3990" s="17"/>
      <c r="AN3990" s="17"/>
      <c r="AO3990" s="17"/>
      <c r="AP3990" s="17"/>
      <c r="AQ3990" s="17"/>
      <c r="AR3990" s="17"/>
    </row>
    <row r="3991" s="20" customFormat="1" ht="15.6" hidden="1" spans="1:44">
      <c r="A3991" s="17" t="s">
        <v>34</v>
      </c>
      <c r="B3991" s="19">
        <v>932</v>
      </c>
      <c r="C3991" s="222">
        <v>44934</v>
      </c>
      <c r="D3991" s="17" t="s">
        <v>52</v>
      </c>
      <c r="E3991" s="17" t="s">
        <v>53</v>
      </c>
      <c r="F3991" s="17" t="s">
        <v>54</v>
      </c>
      <c r="G3991" s="17"/>
      <c r="H3991" s="19">
        <v>1.2379</v>
      </c>
      <c r="I3991" s="19"/>
      <c r="J3991" s="17" t="s">
        <v>39</v>
      </c>
      <c r="K3991" s="295">
        <v>40</v>
      </c>
      <c r="L3991" s="295"/>
      <c r="M3991" s="295">
        <v>4000</v>
      </c>
      <c r="N3991" s="19" t="s">
        <v>40</v>
      </c>
      <c r="O3991" s="19" t="s">
        <v>84</v>
      </c>
      <c r="P3991" s="266">
        <v>2000</v>
      </c>
      <c r="Q3991" s="19">
        <f>1656+1294</f>
        <v>2950</v>
      </c>
      <c r="R3991" s="19">
        <f t="shared" si="188"/>
        <v>-950</v>
      </c>
      <c r="S3991" s="91">
        <v>2570</v>
      </c>
      <c r="T3991" s="19" t="s">
        <v>42</v>
      </c>
      <c r="U3991" s="102" t="s">
        <v>1266</v>
      </c>
      <c r="V3991" s="253">
        <v>44993</v>
      </c>
      <c r="W3991" s="17" t="s">
        <v>58</v>
      </c>
      <c r="X3991" s="17"/>
      <c r="Y3991" s="68">
        <v>45222</v>
      </c>
      <c r="Z3991" s="17" t="s">
        <v>191</v>
      </c>
      <c r="AA3991" s="17" t="s">
        <v>46</v>
      </c>
      <c r="AB3991" s="17" t="s">
        <v>1266</v>
      </c>
      <c r="AC3991" s="66">
        <v>45278</v>
      </c>
      <c r="AD3991" s="65">
        <v>1501</v>
      </c>
      <c r="AE3991" s="17" t="s">
        <v>74</v>
      </c>
      <c r="AF3991" s="17"/>
      <c r="AG3991" s="17"/>
      <c r="AH3991" s="17"/>
      <c r="AI3991" s="17"/>
      <c r="AJ3991" s="17"/>
      <c r="AK3991" s="17"/>
      <c r="AL3991" s="17"/>
      <c r="AM3991" s="17"/>
      <c r="AN3991" s="17"/>
      <c r="AO3991" s="17"/>
      <c r="AP3991" s="17"/>
      <c r="AQ3991" s="17"/>
      <c r="AR3991" s="17"/>
    </row>
    <row r="3992" s="20" customFormat="1" ht="15.6" hidden="1" spans="1:44">
      <c r="A3992" s="17" t="s">
        <v>34</v>
      </c>
      <c r="B3992" s="19">
        <v>932</v>
      </c>
      <c r="C3992" s="222">
        <v>44934</v>
      </c>
      <c r="D3992" s="17" t="s">
        <v>52</v>
      </c>
      <c r="E3992" s="17" t="s">
        <v>53</v>
      </c>
      <c r="F3992" s="17" t="s">
        <v>54</v>
      </c>
      <c r="G3992" s="17"/>
      <c r="H3992" s="19">
        <v>1.2379</v>
      </c>
      <c r="I3992" s="19"/>
      <c r="J3992" s="17" t="s">
        <v>39</v>
      </c>
      <c r="K3992" s="295">
        <v>45</v>
      </c>
      <c r="L3992" s="295"/>
      <c r="M3992" s="295">
        <v>4000</v>
      </c>
      <c r="N3992" s="19" t="s">
        <v>40</v>
      </c>
      <c r="O3992" s="19" t="s">
        <v>84</v>
      </c>
      <c r="P3992" s="266">
        <v>2000</v>
      </c>
      <c r="Q3992" s="19">
        <f>914+250</f>
        <v>1164</v>
      </c>
      <c r="R3992" s="19">
        <f t="shared" si="188"/>
        <v>836</v>
      </c>
      <c r="S3992" s="91">
        <v>2570</v>
      </c>
      <c r="T3992" s="19" t="s">
        <v>42</v>
      </c>
      <c r="U3992" s="102" t="s">
        <v>1266</v>
      </c>
      <c r="V3992" s="253">
        <v>44993</v>
      </c>
      <c r="W3992" s="17" t="s">
        <v>58</v>
      </c>
      <c r="X3992" s="17"/>
      <c r="Y3992" s="68">
        <v>45222</v>
      </c>
      <c r="Z3992" s="17" t="s">
        <v>191</v>
      </c>
      <c r="AA3992" s="17" t="s">
        <v>46</v>
      </c>
      <c r="AB3992" s="17" t="s">
        <v>1266</v>
      </c>
      <c r="AC3992" s="66">
        <v>45278</v>
      </c>
      <c r="AD3992" s="65">
        <v>1501</v>
      </c>
      <c r="AE3992" s="17" t="s">
        <v>74</v>
      </c>
      <c r="AF3992" s="17"/>
      <c r="AG3992" s="17"/>
      <c r="AH3992" s="17"/>
      <c r="AI3992" s="17"/>
      <c r="AJ3992" s="17"/>
      <c r="AK3992" s="17"/>
      <c r="AL3992" s="17"/>
      <c r="AM3992" s="17"/>
      <c r="AN3992" s="17"/>
      <c r="AO3992" s="17"/>
      <c r="AP3992" s="17"/>
      <c r="AQ3992" s="17"/>
      <c r="AR3992" s="17"/>
    </row>
    <row r="3993" s="20" customFormat="1" ht="15.6" hidden="1" spans="1:44">
      <c r="A3993" s="17" t="s">
        <v>34</v>
      </c>
      <c r="B3993" s="19">
        <v>932</v>
      </c>
      <c r="C3993" s="222">
        <v>44934</v>
      </c>
      <c r="D3993" s="17" t="s">
        <v>52</v>
      </c>
      <c r="E3993" s="17" t="s">
        <v>53</v>
      </c>
      <c r="F3993" s="17" t="s">
        <v>54</v>
      </c>
      <c r="G3993" s="17"/>
      <c r="H3993" s="19">
        <v>1.2379</v>
      </c>
      <c r="I3993" s="19"/>
      <c r="J3993" s="17" t="s">
        <v>39</v>
      </c>
      <c r="K3993" s="295">
        <v>50</v>
      </c>
      <c r="L3993" s="295"/>
      <c r="M3993" s="295">
        <v>4000</v>
      </c>
      <c r="N3993" s="19" t="s">
        <v>40</v>
      </c>
      <c r="O3993" s="19" t="s">
        <v>84</v>
      </c>
      <c r="P3993" s="266">
        <v>2000</v>
      </c>
      <c r="Q3993" s="19">
        <v>2140</v>
      </c>
      <c r="R3993" s="19">
        <f t="shared" si="188"/>
        <v>-140</v>
      </c>
      <c r="S3993" s="91">
        <v>2570</v>
      </c>
      <c r="T3993" s="19" t="s">
        <v>42</v>
      </c>
      <c r="U3993" s="102" t="s">
        <v>1266</v>
      </c>
      <c r="V3993" s="253">
        <v>44993</v>
      </c>
      <c r="W3993" s="17" t="s">
        <v>58</v>
      </c>
      <c r="X3993" s="17"/>
      <c r="Y3993" s="68">
        <v>45222</v>
      </c>
      <c r="Z3993" s="17" t="s">
        <v>191</v>
      </c>
      <c r="AA3993" s="17" t="s">
        <v>46</v>
      </c>
      <c r="AB3993" s="17" t="s">
        <v>1266</v>
      </c>
      <c r="AC3993" s="66">
        <v>45278</v>
      </c>
      <c r="AD3993" s="65">
        <v>1501</v>
      </c>
      <c r="AE3993" s="17" t="s">
        <v>74</v>
      </c>
      <c r="AF3993" s="17"/>
      <c r="AG3993" s="17"/>
      <c r="AH3993" s="17"/>
      <c r="AI3993" s="17"/>
      <c r="AJ3993" s="17"/>
      <c r="AK3993" s="17"/>
      <c r="AL3993" s="17"/>
      <c r="AM3993" s="17"/>
      <c r="AN3993" s="17"/>
      <c r="AO3993" s="17"/>
      <c r="AP3993" s="17"/>
      <c r="AQ3993" s="17"/>
      <c r="AR3993" s="17"/>
    </row>
    <row r="3994" s="20" customFormat="1" ht="15.6" hidden="1" spans="1:44">
      <c r="A3994" s="17" t="s">
        <v>34</v>
      </c>
      <c r="B3994" s="19">
        <v>932</v>
      </c>
      <c r="C3994" s="222">
        <v>44934</v>
      </c>
      <c r="D3994" s="17" t="s">
        <v>52</v>
      </c>
      <c r="E3994" s="17" t="s">
        <v>53</v>
      </c>
      <c r="F3994" s="17" t="s">
        <v>54</v>
      </c>
      <c r="G3994" s="17"/>
      <c r="H3994" s="19">
        <v>1.2379</v>
      </c>
      <c r="I3994" s="19"/>
      <c r="J3994" s="17" t="s">
        <v>39</v>
      </c>
      <c r="K3994" s="295">
        <v>56</v>
      </c>
      <c r="L3994" s="295"/>
      <c r="M3994" s="295">
        <v>4000</v>
      </c>
      <c r="N3994" s="19" t="s">
        <v>40</v>
      </c>
      <c r="O3994" s="19" t="s">
        <v>84</v>
      </c>
      <c r="P3994" s="266">
        <v>2000</v>
      </c>
      <c r="Q3994" s="19">
        <v>920</v>
      </c>
      <c r="R3994" s="21"/>
      <c r="S3994" s="91">
        <v>2570</v>
      </c>
      <c r="T3994" s="19" t="s">
        <v>42</v>
      </c>
      <c r="U3994" s="102" t="s">
        <v>1266</v>
      </c>
      <c r="V3994" s="253">
        <v>44993</v>
      </c>
      <c r="W3994" s="17" t="s">
        <v>58</v>
      </c>
      <c r="X3994" s="17"/>
      <c r="Y3994" s="68">
        <v>45222</v>
      </c>
      <c r="Z3994" s="17" t="s">
        <v>191</v>
      </c>
      <c r="AA3994" s="17" t="s">
        <v>46</v>
      </c>
      <c r="AB3994" s="17" t="s">
        <v>1266</v>
      </c>
      <c r="AC3994" s="66">
        <v>45278</v>
      </c>
      <c r="AD3994" s="65">
        <v>1501</v>
      </c>
      <c r="AE3994" s="17" t="s">
        <v>74</v>
      </c>
      <c r="AF3994" s="17"/>
      <c r="AG3994" s="17"/>
      <c r="AH3994" s="17"/>
      <c r="AI3994" s="17"/>
      <c r="AJ3994" s="17"/>
      <c r="AK3994" s="17"/>
      <c r="AL3994" s="17"/>
      <c r="AM3994" s="17"/>
      <c r="AN3994" s="17"/>
      <c r="AO3994" s="17"/>
      <c r="AP3994" s="17"/>
      <c r="AQ3994" s="17"/>
      <c r="AR3994" s="17"/>
    </row>
    <row r="3995" s="20" customFormat="1" ht="15.6" hidden="1" spans="1:44">
      <c r="A3995" s="17" t="s">
        <v>34</v>
      </c>
      <c r="B3995" s="19">
        <v>932</v>
      </c>
      <c r="C3995" s="222">
        <v>44934</v>
      </c>
      <c r="D3995" s="17" t="s">
        <v>52</v>
      </c>
      <c r="E3995" s="17" t="s">
        <v>53</v>
      </c>
      <c r="F3995" s="17" t="s">
        <v>54</v>
      </c>
      <c r="G3995" s="17"/>
      <c r="H3995" s="19">
        <v>1.2379</v>
      </c>
      <c r="I3995" s="19"/>
      <c r="J3995" s="17" t="s">
        <v>39</v>
      </c>
      <c r="K3995" s="295">
        <v>56</v>
      </c>
      <c r="L3995" s="295"/>
      <c r="M3995" s="295">
        <v>4000</v>
      </c>
      <c r="N3995" s="19" t="s">
        <v>40</v>
      </c>
      <c r="O3995" s="19" t="s">
        <v>84</v>
      </c>
      <c r="P3995" s="266"/>
      <c r="Q3995" s="19">
        <v>1018</v>
      </c>
      <c r="R3995" s="19">
        <f>Q3995-P3994+Q3994</f>
        <v>-62</v>
      </c>
      <c r="S3995" s="91">
        <v>2570</v>
      </c>
      <c r="T3995" s="19" t="s">
        <v>42</v>
      </c>
      <c r="U3995" s="102" t="s">
        <v>1266</v>
      </c>
      <c r="V3995" s="253">
        <v>44993</v>
      </c>
      <c r="W3995" s="17" t="s">
        <v>58</v>
      </c>
      <c r="X3995" s="17"/>
      <c r="Y3995" s="68">
        <v>45222</v>
      </c>
      <c r="Z3995" s="17" t="s">
        <v>191</v>
      </c>
      <c r="AA3995" s="17" t="s">
        <v>46</v>
      </c>
      <c r="AB3995" s="17" t="s">
        <v>1267</v>
      </c>
      <c r="AC3995" s="217">
        <v>45323</v>
      </c>
      <c r="AD3995" s="65">
        <v>1527</v>
      </c>
      <c r="AE3995" s="17" t="s">
        <v>74</v>
      </c>
      <c r="AF3995" s="17"/>
      <c r="AG3995" s="17"/>
      <c r="AH3995" s="17"/>
      <c r="AI3995" s="17"/>
      <c r="AJ3995" s="17"/>
      <c r="AK3995" s="17"/>
      <c r="AL3995" s="17"/>
      <c r="AM3995" s="17"/>
      <c r="AN3995" s="17"/>
      <c r="AO3995" s="17"/>
      <c r="AP3995" s="17"/>
      <c r="AQ3995" s="17"/>
      <c r="AR3995" s="17"/>
    </row>
    <row r="3996" s="17" customFormat="1" ht="15.6" hidden="1" spans="1:44">
      <c r="A3996" s="17" t="s">
        <v>34</v>
      </c>
      <c r="B3996" s="19">
        <v>933</v>
      </c>
      <c r="C3996" s="222">
        <v>44934</v>
      </c>
      <c r="D3996" s="17" t="s">
        <v>52</v>
      </c>
      <c r="E3996" s="17" t="s">
        <v>53</v>
      </c>
      <c r="F3996" s="17" t="s">
        <v>54</v>
      </c>
      <c r="H3996" s="19">
        <v>1.2379</v>
      </c>
      <c r="I3996" s="19"/>
      <c r="J3996" s="17" t="s">
        <v>82</v>
      </c>
      <c r="K3996" s="295">
        <v>155</v>
      </c>
      <c r="L3996" s="295">
        <v>32</v>
      </c>
      <c r="M3996" s="19">
        <v>5800</v>
      </c>
      <c r="N3996" s="19" t="s">
        <v>40</v>
      </c>
      <c r="O3996" s="19" t="s">
        <v>98</v>
      </c>
      <c r="P3996" s="285">
        <v>1000</v>
      </c>
      <c r="Q3996" s="285">
        <f>102+72+140+76+128+102+70+80+130+100+138</f>
        <v>1138</v>
      </c>
      <c r="R3996" s="93">
        <f t="shared" ref="R3996:R4027" si="189">+P3996-Q3996</f>
        <v>-138</v>
      </c>
      <c r="S3996" s="296">
        <v>2100</v>
      </c>
      <c r="T3996" s="147" t="s">
        <v>42</v>
      </c>
      <c r="U3996" s="102" t="s">
        <v>1268</v>
      </c>
      <c r="V3996" s="253">
        <v>44993</v>
      </c>
      <c r="W3996" s="17" t="s">
        <v>58</v>
      </c>
      <c r="Y3996" s="68">
        <v>45222</v>
      </c>
      <c r="Z3996" s="17" t="s">
        <v>191</v>
      </c>
      <c r="AA3996" s="17" t="s">
        <v>46</v>
      </c>
      <c r="AB3996" s="17" t="s">
        <v>1268</v>
      </c>
      <c r="AC3996" s="102" t="s">
        <v>1161</v>
      </c>
      <c r="AD3996" s="65">
        <v>1492</v>
      </c>
      <c r="AE3996" s="17" t="s">
        <v>48</v>
      </c>
    </row>
    <row r="3997" s="17" customFormat="1" ht="15.6" hidden="1" spans="1:44">
      <c r="A3997" s="17" t="s">
        <v>34</v>
      </c>
      <c r="B3997" s="19">
        <v>933</v>
      </c>
      <c r="C3997" s="222">
        <v>44934</v>
      </c>
      <c r="D3997" s="17" t="s">
        <v>52</v>
      </c>
      <c r="E3997" s="17" t="s">
        <v>53</v>
      </c>
      <c r="F3997" s="17" t="s">
        <v>54</v>
      </c>
      <c r="H3997" s="19">
        <v>1.2379</v>
      </c>
      <c r="I3997" s="19"/>
      <c r="J3997" s="17" t="s">
        <v>82</v>
      </c>
      <c r="K3997" s="295">
        <v>205</v>
      </c>
      <c r="L3997" s="295">
        <v>32</v>
      </c>
      <c r="M3997" s="19">
        <v>5800</v>
      </c>
      <c r="N3997" s="19" t="s">
        <v>40</v>
      </c>
      <c r="O3997" s="19" t="s">
        <v>98</v>
      </c>
      <c r="P3997" s="266">
        <v>1000</v>
      </c>
      <c r="Q3997" s="266">
        <f>164+202+174+160+154+158</f>
        <v>1012</v>
      </c>
      <c r="R3997" s="19">
        <f t="shared" si="189"/>
        <v>-12</v>
      </c>
      <c r="S3997" s="91">
        <v>2100</v>
      </c>
      <c r="T3997" s="147" t="s">
        <v>42</v>
      </c>
      <c r="U3997" s="102" t="s">
        <v>1268</v>
      </c>
      <c r="V3997" s="253">
        <v>44993</v>
      </c>
      <c r="W3997" s="17" t="s">
        <v>58</v>
      </c>
      <c r="Y3997" s="68">
        <v>45222</v>
      </c>
      <c r="Z3997" s="17" t="s">
        <v>191</v>
      </c>
      <c r="AA3997" s="17" t="s">
        <v>46</v>
      </c>
      <c r="AB3997" s="17" t="s">
        <v>1268</v>
      </c>
      <c r="AC3997" s="102" t="s">
        <v>1161</v>
      </c>
      <c r="AD3997" s="65">
        <v>1492</v>
      </c>
      <c r="AE3997" s="17" t="s">
        <v>48</v>
      </c>
    </row>
    <row r="3998" s="17" customFormat="1" ht="15.6" hidden="1" spans="1:44">
      <c r="A3998" s="17" t="s">
        <v>34</v>
      </c>
      <c r="B3998" s="19">
        <v>933</v>
      </c>
      <c r="C3998" s="222">
        <v>44934</v>
      </c>
      <c r="D3998" s="17" t="s">
        <v>52</v>
      </c>
      <c r="E3998" s="17" t="s">
        <v>53</v>
      </c>
      <c r="F3998" s="17" t="s">
        <v>54</v>
      </c>
      <c r="H3998" s="19">
        <v>1.2379</v>
      </c>
      <c r="I3998" s="19"/>
      <c r="J3998" s="17" t="s">
        <v>82</v>
      </c>
      <c r="K3998" s="295">
        <v>255</v>
      </c>
      <c r="L3998" s="295">
        <v>32</v>
      </c>
      <c r="M3998" s="19">
        <v>5800</v>
      </c>
      <c r="N3998" s="19" t="s">
        <v>40</v>
      </c>
      <c r="O3998" s="19" t="s">
        <v>98</v>
      </c>
      <c r="P3998" s="266">
        <v>1000</v>
      </c>
      <c r="Q3998" s="266">
        <f>158+166+177+176+174+184</f>
        <v>1035</v>
      </c>
      <c r="R3998" s="19">
        <f t="shared" si="189"/>
        <v>-35</v>
      </c>
      <c r="S3998" s="91">
        <v>2100</v>
      </c>
      <c r="T3998" s="147" t="s">
        <v>42</v>
      </c>
      <c r="U3998" s="102" t="s">
        <v>1268</v>
      </c>
      <c r="V3998" s="253">
        <v>44993</v>
      </c>
      <c r="W3998" s="17" t="s">
        <v>58</v>
      </c>
      <c r="Y3998" s="68">
        <v>45222</v>
      </c>
      <c r="Z3998" s="17" t="s">
        <v>191</v>
      </c>
      <c r="AA3998" s="17" t="s">
        <v>46</v>
      </c>
      <c r="AB3998" s="17" t="s">
        <v>1268</v>
      </c>
      <c r="AC3998" s="102" t="s">
        <v>1161</v>
      </c>
      <c r="AD3998" s="65">
        <v>1492</v>
      </c>
      <c r="AE3998" s="17" t="s">
        <v>48</v>
      </c>
    </row>
    <row r="3999" s="17" customFormat="1" ht="15.6" hidden="1" spans="1:44">
      <c r="A3999" s="17" t="s">
        <v>34</v>
      </c>
      <c r="B3999" s="19">
        <v>933</v>
      </c>
      <c r="C3999" s="222">
        <v>44934</v>
      </c>
      <c r="D3999" s="17" t="s">
        <v>52</v>
      </c>
      <c r="E3999" s="17" t="s">
        <v>53</v>
      </c>
      <c r="F3999" s="17" t="s">
        <v>54</v>
      </c>
      <c r="H3999" s="19">
        <v>1.2379</v>
      </c>
      <c r="I3999" s="19"/>
      <c r="J3999" s="17" t="s">
        <v>82</v>
      </c>
      <c r="K3999" s="295">
        <v>305</v>
      </c>
      <c r="L3999" s="96">
        <v>32</v>
      </c>
      <c r="M3999" s="19">
        <v>5800</v>
      </c>
      <c r="N3999" s="19" t="s">
        <v>40</v>
      </c>
      <c r="O3999" s="19" t="s">
        <v>98</v>
      </c>
      <c r="P3999" s="266">
        <v>1000</v>
      </c>
      <c r="Q3999" s="266">
        <f>256+258+236</f>
        <v>750</v>
      </c>
      <c r="R3999" s="19">
        <f t="shared" si="189"/>
        <v>250</v>
      </c>
      <c r="S3999" s="91">
        <v>2100</v>
      </c>
      <c r="T3999" s="147" t="s">
        <v>42</v>
      </c>
      <c r="U3999" s="102" t="s">
        <v>1268</v>
      </c>
      <c r="V3999" s="253">
        <v>44993</v>
      </c>
      <c r="W3999" s="17" t="s">
        <v>58</v>
      </c>
      <c r="Y3999" s="68">
        <v>45222</v>
      </c>
      <c r="Z3999" s="17" t="s">
        <v>191</v>
      </c>
      <c r="AA3999" s="17" t="s">
        <v>46</v>
      </c>
      <c r="AB3999" s="17" t="s">
        <v>1268</v>
      </c>
      <c r="AC3999" s="102" t="s">
        <v>1161</v>
      </c>
      <c r="AD3999" s="65">
        <v>1492</v>
      </c>
      <c r="AE3999" s="17" t="s">
        <v>48</v>
      </c>
    </row>
    <row r="4000" s="17" customFormat="1" ht="15.6" hidden="1" spans="1:44">
      <c r="A4000" s="17" t="s">
        <v>34</v>
      </c>
      <c r="B4000" s="19">
        <v>933</v>
      </c>
      <c r="C4000" s="222">
        <v>44934</v>
      </c>
      <c r="D4000" s="17" t="s">
        <v>52</v>
      </c>
      <c r="E4000" s="17" t="s">
        <v>53</v>
      </c>
      <c r="F4000" s="17" t="s">
        <v>54</v>
      </c>
      <c r="H4000" s="19">
        <v>1.2379</v>
      </c>
      <c r="I4000" s="19"/>
      <c r="J4000" s="17" t="s">
        <v>82</v>
      </c>
      <c r="K4000" s="295">
        <v>405</v>
      </c>
      <c r="L4000" s="295">
        <v>32</v>
      </c>
      <c r="M4000" s="19">
        <v>5800</v>
      </c>
      <c r="N4000" s="19" t="s">
        <v>40</v>
      </c>
      <c r="O4000" s="19" t="s">
        <v>98</v>
      </c>
      <c r="P4000" s="266">
        <v>1000</v>
      </c>
      <c r="Q4000" s="266">
        <f>308+302+252</f>
        <v>862</v>
      </c>
      <c r="R4000" s="19">
        <f t="shared" si="189"/>
        <v>138</v>
      </c>
      <c r="S4000" s="91">
        <v>2100</v>
      </c>
      <c r="T4000" s="147" t="s">
        <v>42</v>
      </c>
      <c r="U4000" s="102" t="s">
        <v>1268</v>
      </c>
      <c r="V4000" s="253">
        <v>44993</v>
      </c>
      <c r="W4000" s="17" t="s">
        <v>58</v>
      </c>
      <c r="Y4000" s="68">
        <v>45222</v>
      </c>
      <c r="Z4000" s="17" t="s">
        <v>191</v>
      </c>
      <c r="AA4000" s="17" t="s">
        <v>46</v>
      </c>
      <c r="AB4000" s="17" t="s">
        <v>1268</v>
      </c>
      <c r="AC4000" s="102" t="s">
        <v>1161</v>
      </c>
      <c r="AD4000" s="65">
        <v>1492</v>
      </c>
      <c r="AE4000" s="17" t="s">
        <v>48</v>
      </c>
    </row>
    <row r="4001" s="17" customFormat="1" ht="15.6" hidden="1" spans="1:31">
      <c r="A4001" s="17" t="s">
        <v>34</v>
      </c>
      <c r="B4001" s="19">
        <v>933</v>
      </c>
      <c r="C4001" s="222">
        <v>44934</v>
      </c>
      <c r="D4001" s="17" t="s">
        <v>52</v>
      </c>
      <c r="E4001" s="17" t="s">
        <v>53</v>
      </c>
      <c r="F4001" s="17" t="s">
        <v>54</v>
      </c>
      <c r="H4001" s="19">
        <v>1.2379</v>
      </c>
      <c r="I4001" s="19"/>
      <c r="J4001" s="17" t="s">
        <v>82</v>
      </c>
      <c r="K4001" s="295">
        <v>205</v>
      </c>
      <c r="L4001" s="295">
        <v>40</v>
      </c>
      <c r="M4001" s="19">
        <v>5800</v>
      </c>
      <c r="N4001" s="19" t="s">
        <v>40</v>
      </c>
      <c r="O4001" s="19" t="s">
        <v>98</v>
      </c>
      <c r="P4001" s="266">
        <v>1000</v>
      </c>
      <c r="Q4001" s="266">
        <f>208+202+206+202+138+198+210</f>
        <v>1364</v>
      </c>
      <c r="R4001" s="19">
        <f t="shared" si="189"/>
        <v>-364</v>
      </c>
      <c r="S4001" s="91">
        <v>2100</v>
      </c>
      <c r="T4001" s="147" t="s">
        <v>42</v>
      </c>
      <c r="U4001" s="102" t="s">
        <v>1268</v>
      </c>
      <c r="V4001" s="253">
        <v>44993</v>
      </c>
      <c r="W4001" s="17" t="s">
        <v>58</v>
      </c>
      <c r="Y4001" s="68">
        <v>45222</v>
      </c>
      <c r="Z4001" s="17" t="s">
        <v>191</v>
      </c>
      <c r="AA4001" s="17" t="s">
        <v>46</v>
      </c>
      <c r="AB4001" s="17" t="s">
        <v>1268</v>
      </c>
      <c r="AC4001" s="102" t="s">
        <v>1161</v>
      </c>
      <c r="AD4001" s="65">
        <v>1492</v>
      </c>
      <c r="AE4001" s="17" t="s">
        <v>48</v>
      </c>
    </row>
    <row r="4002" s="17" customFormat="1" ht="15.6" hidden="1" spans="1:31">
      <c r="A4002" s="17" t="s">
        <v>34</v>
      </c>
      <c r="B4002" s="19">
        <v>933</v>
      </c>
      <c r="C4002" s="222">
        <v>44934</v>
      </c>
      <c r="D4002" s="17" t="s">
        <v>52</v>
      </c>
      <c r="E4002" s="17" t="s">
        <v>53</v>
      </c>
      <c r="F4002" s="17" t="s">
        <v>54</v>
      </c>
      <c r="H4002" s="19">
        <v>1.2379</v>
      </c>
      <c r="I4002" s="19"/>
      <c r="J4002" s="17" t="s">
        <v>82</v>
      </c>
      <c r="K4002" s="295">
        <v>255</v>
      </c>
      <c r="L4002" s="295">
        <v>40</v>
      </c>
      <c r="M4002" s="19">
        <v>5800</v>
      </c>
      <c r="N4002" s="19" t="s">
        <v>40</v>
      </c>
      <c r="O4002" s="19" t="s">
        <v>98</v>
      </c>
      <c r="P4002" s="266">
        <v>1000</v>
      </c>
      <c r="Q4002" s="266">
        <f>260+258+262+268</f>
        <v>1048</v>
      </c>
      <c r="R4002" s="19">
        <f t="shared" si="189"/>
        <v>-48</v>
      </c>
      <c r="S4002" s="91">
        <v>2100</v>
      </c>
      <c r="T4002" s="147" t="s">
        <v>42</v>
      </c>
      <c r="U4002" s="102" t="s">
        <v>1268</v>
      </c>
      <c r="V4002" s="253">
        <v>44993</v>
      </c>
      <c r="W4002" s="17" t="s">
        <v>58</v>
      </c>
      <c r="Y4002" s="68">
        <v>45222</v>
      </c>
      <c r="Z4002" s="17" t="s">
        <v>191</v>
      </c>
      <c r="AA4002" s="17" t="s">
        <v>46</v>
      </c>
      <c r="AB4002" s="17" t="s">
        <v>1268</v>
      </c>
      <c r="AC4002" s="102" t="s">
        <v>1161</v>
      </c>
      <c r="AD4002" s="65">
        <v>1492</v>
      </c>
      <c r="AE4002" s="17" t="s">
        <v>48</v>
      </c>
    </row>
    <row r="4003" s="17" customFormat="1" ht="15.6" hidden="1" spans="1:31">
      <c r="A4003" s="17" t="s">
        <v>34</v>
      </c>
      <c r="B4003" s="19">
        <v>933</v>
      </c>
      <c r="C4003" s="222">
        <v>44934</v>
      </c>
      <c r="D4003" s="17" t="s">
        <v>52</v>
      </c>
      <c r="E4003" s="17" t="s">
        <v>53</v>
      </c>
      <c r="F4003" s="17" t="s">
        <v>54</v>
      </c>
      <c r="H4003" s="19">
        <v>1.2379</v>
      </c>
      <c r="I4003" s="19"/>
      <c r="J4003" s="17" t="s">
        <v>82</v>
      </c>
      <c r="K4003" s="295">
        <v>305</v>
      </c>
      <c r="L4003" s="295">
        <v>40</v>
      </c>
      <c r="M4003" s="19">
        <v>5800</v>
      </c>
      <c r="N4003" s="19" t="s">
        <v>40</v>
      </c>
      <c r="O4003" s="19" t="s">
        <v>98</v>
      </c>
      <c r="P4003" s="266">
        <v>1000</v>
      </c>
      <c r="Q4003" s="266">
        <f>246+268+274+258</f>
        <v>1046</v>
      </c>
      <c r="R4003" s="19">
        <f t="shared" si="189"/>
        <v>-46</v>
      </c>
      <c r="S4003" s="91">
        <v>2100</v>
      </c>
      <c r="T4003" s="147" t="s">
        <v>42</v>
      </c>
      <c r="U4003" s="102" t="s">
        <v>1268</v>
      </c>
      <c r="V4003" s="253">
        <v>44993</v>
      </c>
      <c r="W4003" s="17" t="s">
        <v>58</v>
      </c>
      <c r="Y4003" s="68">
        <v>45222</v>
      </c>
      <c r="Z4003" s="17" t="s">
        <v>191</v>
      </c>
      <c r="AA4003" s="17" t="s">
        <v>46</v>
      </c>
      <c r="AB4003" s="17" t="s">
        <v>1268</v>
      </c>
      <c r="AC4003" s="102" t="s">
        <v>1161</v>
      </c>
      <c r="AD4003" s="65">
        <v>1492</v>
      </c>
      <c r="AE4003" s="17" t="s">
        <v>48</v>
      </c>
    </row>
    <row r="4004" s="17" customFormat="1" ht="15.6" hidden="1" spans="1:31">
      <c r="A4004" s="17" t="s">
        <v>34</v>
      </c>
      <c r="B4004" s="19">
        <v>933</v>
      </c>
      <c r="C4004" s="222">
        <v>44934</v>
      </c>
      <c r="D4004" s="17" t="s">
        <v>52</v>
      </c>
      <c r="E4004" s="17" t="s">
        <v>53</v>
      </c>
      <c r="F4004" s="17" t="s">
        <v>54</v>
      </c>
      <c r="H4004" s="19">
        <v>1.2379</v>
      </c>
      <c r="I4004" s="19"/>
      <c r="J4004" s="17" t="s">
        <v>82</v>
      </c>
      <c r="K4004" s="295">
        <v>405</v>
      </c>
      <c r="L4004" s="295">
        <v>40</v>
      </c>
      <c r="M4004" s="19">
        <v>5800</v>
      </c>
      <c r="N4004" s="19" t="s">
        <v>40</v>
      </c>
      <c r="O4004" s="19" t="s">
        <v>98</v>
      </c>
      <c r="P4004" s="266">
        <v>1000</v>
      </c>
      <c r="Q4004" s="266">
        <f>420+428</f>
        <v>848</v>
      </c>
      <c r="R4004" s="19">
        <f t="shared" si="189"/>
        <v>152</v>
      </c>
      <c r="S4004" s="91">
        <v>2100</v>
      </c>
      <c r="T4004" s="147" t="s">
        <v>42</v>
      </c>
      <c r="U4004" s="102" t="s">
        <v>1268</v>
      </c>
      <c r="V4004" s="253">
        <v>44993</v>
      </c>
      <c r="W4004" s="17" t="s">
        <v>58</v>
      </c>
      <c r="Y4004" s="68">
        <v>45222</v>
      </c>
      <c r="Z4004" s="17" t="s">
        <v>191</v>
      </c>
      <c r="AA4004" s="17" t="s">
        <v>46</v>
      </c>
      <c r="AB4004" s="17" t="s">
        <v>1268</v>
      </c>
      <c r="AC4004" s="102" t="s">
        <v>1161</v>
      </c>
      <c r="AD4004" s="65">
        <v>1492</v>
      </c>
      <c r="AE4004" s="17" t="s">
        <v>48</v>
      </c>
    </row>
    <row r="4005" s="17" customFormat="1" ht="15.6" hidden="1" spans="1:31">
      <c r="A4005" s="17" t="s">
        <v>34</v>
      </c>
      <c r="B4005" s="19">
        <v>933</v>
      </c>
      <c r="C4005" s="222">
        <v>44934</v>
      </c>
      <c r="D4005" s="17" t="s">
        <v>52</v>
      </c>
      <c r="E4005" s="17" t="s">
        <v>53</v>
      </c>
      <c r="F4005" s="17" t="s">
        <v>54</v>
      </c>
      <c r="H4005" s="19">
        <v>1.2379</v>
      </c>
      <c r="I4005" s="19"/>
      <c r="J4005" s="17" t="s">
        <v>82</v>
      </c>
      <c r="K4005" s="295">
        <v>505</v>
      </c>
      <c r="L4005" s="295">
        <v>40</v>
      </c>
      <c r="M4005" s="19">
        <v>5800</v>
      </c>
      <c r="N4005" s="19" t="s">
        <v>40</v>
      </c>
      <c r="O4005" s="19" t="s">
        <v>98</v>
      </c>
      <c r="P4005" s="285">
        <v>1000</v>
      </c>
      <c r="Q4005" s="285">
        <f>522+518</f>
        <v>1040</v>
      </c>
      <c r="R4005" s="19">
        <f t="shared" si="189"/>
        <v>-40</v>
      </c>
      <c r="S4005" s="91">
        <v>2100</v>
      </c>
      <c r="T4005" s="147" t="s">
        <v>42</v>
      </c>
      <c r="U4005" s="102" t="s">
        <v>1268</v>
      </c>
      <c r="V4005" s="253">
        <v>44993</v>
      </c>
      <c r="W4005" s="17" t="s">
        <v>58</v>
      </c>
      <c r="Y4005" s="68">
        <v>45222</v>
      </c>
      <c r="Z4005" s="17" t="s">
        <v>191</v>
      </c>
      <c r="AA4005" s="17" t="s">
        <v>46</v>
      </c>
      <c r="AB4005" s="17" t="s">
        <v>1268</v>
      </c>
      <c r="AC4005" s="102" t="s">
        <v>1161</v>
      </c>
      <c r="AD4005" s="65">
        <v>1492</v>
      </c>
      <c r="AE4005" s="17" t="s">
        <v>48</v>
      </c>
    </row>
    <row r="4006" s="17" customFormat="1" ht="15.6" hidden="1" spans="1:31">
      <c r="A4006" s="17" t="s">
        <v>34</v>
      </c>
      <c r="B4006" s="19">
        <v>933</v>
      </c>
      <c r="C4006" s="222">
        <v>44934</v>
      </c>
      <c r="D4006" s="17" t="s">
        <v>52</v>
      </c>
      <c r="E4006" s="17" t="s">
        <v>53</v>
      </c>
      <c r="F4006" s="17" t="s">
        <v>54</v>
      </c>
      <c r="H4006" s="19">
        <v>1.2379</v>
      </c>
      <c r="I4006" s="19"/>
      <c r="J4006" s="17" t="s">
        <v>82</v>
      </c>
      <c r="K4006" s="295">
        <v>205</v>
      </c>
      <c r="L4006" s="96">
        <v>50</v>
      </c>
      <c r="M4006" s="19">
        <v>5800</v>
      </c>
      <c r="N4006" s="19" t="s">
        <v>40</v>
      </c>
      <c r="O4006" s="19" t="s">
        <v>98</v>
      </c>
      <c r="P4006" s="266">
        <v>1000</v>
      </c>
      <c r="Q4006" s="266">
        <f>278+274+258+266</f>
        <v>1076</v>
      </c>
      <c r="R4006" s="19">
        <f t="shared" si="189"/>
        <v>-76</v>
      </c>
      <c r="S4006" s="91">
        <v>2100</v>
      </c>
      <c r="T4006" s="147" t="s">
        <v>42</v>
      </c>
      <c r="U4006" s="102" t="s">
        <v>1268</v>
      </c>
      <c r="V4006" s="253">
        <v>44993</v>
      </c>
      <c r="W4006" s="17" t="s">
        <v>58</v>
      </c>
      <c r="Y4006" s="68">
        <v>45222</v>
      </c>
      <c r="Z4006" s="17" t="s">
        <v>191</v>
      </c>
      <c r="AA4006" s="17" t="s">
        <v>46</v>
      </c>
      <c r="AB4006" s="17" t="s">
        <v>1268</v>
      </c>
      <c r="AC4006" s="102" t="s">
        <v>1161</v>
      </c>
      <c r="AD4006" s="65">
        <v>1492</v>
      </c>
      <c r="AE4006" s="17" t="s">
        <v>74</v>
      </c>
    </row>
    <row r="4007" s="17" customFormat="1" ht="15.6" hidden="1" spans="1:31">
      <c r="A4007" s="17" t="s">
        <v>34</v>
      </c>
      <c r="B4007" s="19">
        <v>933</v>
      </c>
      <c r="C4007" s="222">
        <v>44934</v>
      </c>
      <c r="D4007" s="17" t="s">
        <v>52</v>
      </c>
      <c r="E4007" s="17" t="s">
        <v>53</v>
      </c>
      <c r="F4007" s="17" t="s">
        <v>54</v>
      </c>
      <c r="H4007" s="19">
        <v>1.2379</v>
      </c>
      <c r="I4007" s="19"/>
      <c r="J4007" s="17" t="s">
        <v>82</v>
      </c>
      <c r="K4007" s="295">
        <v>255</v>
      </c>
      <c r="L4007" s="96">
        <v>50</v>
      </c>
      <c r="M4007" s="19">
        <v>5800</v>
      </c>
      <c r="N4007" s="19" t="s">
        <v>40</v>
      </c>
      <c r="O4007" s="19" t="s">
        <v>98</v>
      </c>
      <c r="P4007" s="266">
        <v>1000</v>
      </c>
      <c r="Q4007" s="266">
        <f>246+242+260+252</f>
        <v>1000</v>
      </c>
      <c r="R4007" s="19">
        <f t="shared" si="189"/>
        <v>0</v>
      </c>
      <c r="S4007" s="91">
        <v>2100</v>
      </c>
      <c r="T4007" s="147" t="s">
        <v>42</v>
      </c>
      <c r="U4007" s="102" t="s">
        <v>1268</v>
      </c>
      <c r="V4007" s="253">
        <v>44993</v>
      </c>
      <c r="W4007" s="17" t="s">
        <v>58</v>
      </c>
      <c r="Y4007" s="68">
        <v>45222</v>
      </c>
      <c r="Z4007" s="17" t="s">
        <v>191</v>
      </c>
      <c r="AA4007" s="17" t="s">
        <v>46</v>
      </c>
      <c r="AB4007" s="17" t="s">
        <v>1268</v>
      </c>
      <c r="AC4007" s="102" t="s">
        <v>1161</v>
      </c>
      <c r="AD4007" s="65">
        <v>1492</v>
      </c>
      <c r="AE4007" s="17" t="s">
        <v>74</v>
      </c>
    </row>
    <row r="4008" s="17" customFormat="1" ht="15.6" hidden="1" spans="1:31">
      <c r="A4008" s="17" t="s">
        <v>34</v>
      </c>
      <c r="B4008" s="19">
        <v>933</v>
      </c>
      <c r="C4008" s="222">
        <v>44934</v>
      </c>
      <c r="D4008" s="17" t="s">
        <v>52</v>
      </c>
      <c r="E4008" s="17" t="s">
        <v>53</v>
      </c>
      <c r="F4008" s="17" t="s">
        <v>54</v>
      </c>
      <c r="H4008" s="19">
        <v>1.2379</v>
      </c>
      <c r="I4008" s="19"/>
      <c r="J4008" s="17" t="s">
        <v>82</v>
      </c>
      <c r="K4008" s="295">
        <v>305</v>
      </c>
      <c r="L4008" s="96">
        <v>50</v>
      </c>
      <c r="M4008" s="19">
        <v>5800</v>
      </c>
      <c r="N4008" s="19" t="s">
        <v>40</v>
      </c>
      <c r="O4008" s="19" t="s">
        <v>98</v>
      </c>
      <c r="P4008" s="266">
        <v>1000</v>
      </c>
      <c r="Q4008" s="266">
        <f>354+348+338</f>
        <v>1040</v>
      </c>
      <c r="R4008" s="19">
        <f t="shared" si="189"/>
        <v>-40</v>
      </c>
      <c r="S4008" s="91">
        <v>2100</v>
      </c>
      <c r="T4008" s="147" t="s">
        <v>42</v>
      </c>
      <c r="U4008" s="102" t="s">
        <v>1268</v>
      </c>
      <c r="V4008" s="253">
        <v>44993</v>
      </c>
      <c r="W4008" s="17" t="s">
        <v>58</v>
      </c>
      <c r="Y4008" s="68">
        <v>45222</v>
      </c>
      <c r="Z4008" s="17" t="s">
        <v>191</v>
      </c>
      <c r="AA4008" s="17" t="s">
        <v>46</v>
      </c>
      <c r="AB4008" s="17" t="s">
        <v>1268</v>
      </c>
      <c r="AC4008" s="102" t="s">
        <v>1161</v>
      </c>
      <c r="AD4008" s="65">
        <v>1492</v>
      </c>
      <c r="AE4008" s="17" t="s">
        <v>74</v>
      </c>
    </row>
    <row r="4009" s="17" customFormat="1" ht="15.6" hidden="1" spans="1:31">
      <c r="A4009" s="17" t="s">
        <v>34</v>
      </c>
      <c r="B4009" s="19">
        <v>933</v>
      </c>
      <c r="C4009" s="222">
        <v>44934</v>
      </c>
      <c r="D4009" s="17" t="s">
        <v>52</v>
      </c>
      <c r="E4009" s="17" t="s">
        <v>53</v>
      </c>
      <c r="F4009" s="17" t="s">
        <v>54</v>
      </c>
      <c r="H4009" s="19">
        <v>1.2379</v>
      </c>
      <c r="I4009" s="19"/>
      <c r="J4009" s="17" t="s">
        <v>82</v>
      </c>
      <c r="K4009" s="295">
        <v>355</v>
      </c>
      <c r="L4009" s="96">
        <v>50</v>
      </c>
      <c r="M4009" s="19">
        <v>5800</v>
      </c>
      <c r="N4009" s="19" t="s">
        <v>40</v>
      </c>
      <c r="O4009" s="19" t="s">
        <v>98</v>
      </c>
      <c r="P4009" s="266">
        <v>1000</v>
      </c>
      <c r="Q4009" s="266">
        <f>418+426</f>
        <v>844</v>
      </c>
      <c r="R4009" s="19">
        <f t="shared" si="189"/>
        <v>156</v>
      </c>
      <c r="S4009" s="91">
        <v>2100</v>
      </c>
      <c r="T4009" s="147" t="s">
        <v>42</v>
      </c>
      <c r="U4009" s="102" t="s">
        <v>1268</v>
      </c>
      <c r="V4009" s="253">
        <v>44993</v>
      </c>
      <c r="W4009" s="17" t="s">
        <v>58</v>
      </c>
      <c r="Y4009" s="68">
        <v>45222</v>
      </c>
      <c r="Z4009" s="17" t="s">
        <v>191</v>
      </c>
      <c r="AA4009" s="17" t="s">
        <v>46</v>
      </c>
      <c r="AB4009" s="17" t="s">
        <v>1268</v>
      </c>
      <c r="AC4009" s="102" t="s">
        <v>1161</v>
      </c>
      <c r="AD4009" s="65">
        <v>1492</v>
      </c>
      <c r="AE4009" s="17" t="s">
        <v>74</v>
      </c>
    </row>
    <row r="4010" s="17" customFormat="1" ht="15.6" hidden="1" spans="1:31">
      <c r="A4010" s="17" t="s">
        <v>34</v>
      </c>
      <c r="B4010" s="19">
        <v>933</v>
      </c>
      <c r="C4010" s="222">
        <v>44934</v>
      </c>
      <c r="D4010" s="17" t="s">
        <v>52</v>
      </c>
      <c r="E4010" s="17" t="s">
        <v>53</v>
      </c>
      <c r="F4010" s="17" t="s">
        <v>54</v>
      </c>
      <c r="H4010" s="19">
        <v>1.2379</v>
      </c>
      <c r="I4010" s="19"/>
      <c r="J4010" s="17" t="s">
        <v>82</v>
      </c>
      <c r="K4010" s="295">
        <v>405</v>
      </c>
      <c r="L4010" s="96">
        <v>50</v>
      </c>
      <c r="M4010" s="19">
        <v>5800</v>
      </c>
      <c r="N4010" s="19" t="s">
        <v>40</v>
      </c>
      <c r="O4010" s="19" t="s">
        <v>98</v>
      </c>
      <c r="P4010" s="266">
        <v>1000</v>
      </c>
      <c r="Q4010" s="266">
        <f>526+516</f>
        <v>1042</v>
      </c>
      <c r="R4010" s="19">
        <f t="shared" si="189"/>
        <v>-42</v>
      </c>
      <c r="S4010" s="91">
        <v>2100</v>
      </c>
      <c r="T4010" s="147" t="s">
        <v>42</v>
      </c>
      <c r="U4010" s="102" t="s">
        <v>1268</v>
      </c>
      <c r="V4010" s="253">
        <v>44993</v>
      </c>
      <c r="W4010" s="17" t="s">
        <v>58</v>
      </c>
      <c r="Y4010" s="68">
        <v>45222</v>
      </c>
      <c r="Z4010" s="17" t="s">
        <v>191</v>
      </c>
      <c r="AA4010" s="17" t="s">
        <v>46</v>
      </c>
      <c r="AB4010" s="17" t="s">
        <v>1268</v>
      </c>
      <c r="AC4010" s="102" t="s">
        <v>1161</v>
      </c>
      <c r="AD4010" s="65">
        <v>1492</v>
      </c>
      <c r="AE4010" s="17" t="s">
        <v>74</v>
      </c>
    </row>
    <row r="4011" s="17" customFormat="1" ht="15.6" hidden="1" spans="1:31">
      <c r="A4011" s="17" t="s">
        <v>34</v>
      </c>
      <c r="B4011" s="19">
        <v>933</v>
      </c>
      <c r="C4011" s="222">
        <v>44934</v>
      </c>
      <c r="D4011" s="17" t="s">
        <v>52</v>
      </c>
      <c r="E4011" s="17" t="s">
        <v>53</v>
      </c>
      <c r="F4011" s="17" t="s">
        <v>54</v>
      </c>
      <c r="H4011" s="19">
        <v>1.2379</v>
      </c>
      <c r="I4011" s="19"/>
      <c r="J4011" s="17" t="s">
        <v>82</v>
      </c>
      <c r="K4011" s="295">
        <v>505</v>
      </c>
      <c r="L4011" s="96">
        <v>50</v>
      </c>
      <c r="M4011" s="19">
        <v>5800</v>
      </c>
      <c r="N4011" s="19" t="s">
        <v>40</v>
      </c>
      <c r="O4011" s="19" t="s">
        <v>98</v>
      </c>
      <c r="P4011" s="266">
        <v>1000</v>
      </c>
      <c r="Q4011" s="266">
        <f>682+506</f>
        <v>1188</v>
      </c>
      <c r="R4011" s="19">
        <f t="shared" si="189"/>
        <v>-188</v>
      </c>
      <c r="S4011" s="91">
        <v>2100</v>
      </c>
      <c r="T4011" s="147" t="s">
        <v>42</v>
      </c>
      <c r="U4011" s="102" t="s">
        <v>1268</v>
      </c>
      <c r="V4011" s="253">
        <v>44993</v>
      </c>
      <c r="W4011" s="17" t="s">
        <v>58</v>
      </c>
      <c r="Y4011" s="68">
        <v>45222</v>
      </c>
      <c r="Z4011" s="17" t="s">
        <v>191</v>
      </c>
      <c r="AA4011" s="17" t="s">
        <v>46</v>
      </c>
      <c r="AB4011" s="17" t="s">
        <v>1268</v>
      </c>
      <c r="AC4011" s="102" t="s">
        <v>1161</v>
      </c>
      <c r="AD4011" s="65">
        <v>1492</v>
      </c>
      <c r="AE4011" s="17" t="s">
        <v>74</v>
      </c>
    </row>
    <row r="4012" s="17" customFormat="1" ht="15.6" hidden="1" spans="1:31">
      <c r="A4012" s="17" t="s">
        <v>34</v>
      </c>
      <c r="B4012" s="19">
        <v>933</v>
      </c>
      <c r="C4012" s="222">
        <v>44934</v>
      </c>
      <c r="D4012" s="17" t="s">
        <v>52</v>
      </c>
      <c r="E4012" s="17" t="s">
        <v>53</v>
      </c>
      <c r="F4012" s="17" t="s">
        <v>54</v>
      </c>
      <c r="H4012" s="19">
        <v>1.2379</v>
      </c>
      <c r="I4012" s="19"/>
      <c r="J4012" s="17" t="s">
        <v>82</v>
      </c>
      <c r="K4012" s="295">
        <v>605</v>
      </c>
      <c r="L4012" s="96">
        <v>50</v>
      </c>
      <c r="M4012" s="19">
        <v>5800</v>
      </c>
      <c r="N4012" s="19" t="s">
        <v>40</v>
      </c>
      <c r="O4012" s="19" t="s">
        <v>98</v>
      </c>
      <c r="P4012" s="266">
        <v>1000</v>
      </c>
      <c r="Q4012" s="266">
        <v>828</v>
      </c>
      <c r="R4012" s="19">
        <f t="shared" si="189"/>
        <v>172</v>
      </c>
      <c r="S4012" s="91">
        <v>2100</v>
      </c>
      <c r="T4012" s="147" t="s">
        <v>42</v>
      </c>
      <c r="U4012" s="102" t="s">
        <v>1268</v>
      </c>
      <c r="V4012" s="253">
        <v>44993</v>
      </c>
      <c r="W4012" s="17" t="s">
        <v>58</v>
      </c>
      <c r="Y4012" s="68">
        <v>45222</v>
      </c>
      <c r="Z4012" s="17" t="s">
        <v>191</v>
      </c>
      <c r="AA4012" s="17" t="s">
        <v>46</v>
      </c>
      <c r="AB4012" s="17" t="s">
        <v>1268</v>
      </c>
      <c r="AC4012" s="102" t="s">
        <v>1161</v>
      </c>
      <c r="AD4012" s="65">
        <v>1492</v>
      </c>
      <c r="AE4012" s="17" t="s">
        <v>74</v>
      </c>
    </row>
    <row r="4013" s="17" customFormat="1" ht="15.6" hidden="1" spans="1:31">
      <c r="A4013" s="17" t="s">
        <v>34</v>
      </c>
      <c r="B4013" s="19">
        <v>933</v>
      </c>
      <c r="C4013" s="222">
        <v>44934</v>
      </c>
      <c r="D4013" s="17" t="s">
        <v>52</v>
      </c>
      <c r="E4013" s="17" t="s">
        <v>53</v>
      </c>
      <c r="F4013" s="17" t="s">
        <v>54</v>
      </c>
      <c r="H4013" s="19">
        <v>1.2379</v>
      </c>
      <c r="I4013" s="19"/>
      <c r="J4013" s="17" t="s">
        <v>82</v>
      </c>
      <c r="K4013" s="295">
        <v>610</v>
      </c>
      <c r="L4013" s="96">
        <v>50</v>
      </c>
      <c r="M4013" s="19">
        <v>5800</v>
      </c>
      <c r="N4013" s="19" t="s">
        <v>40</v>
      </c>
      <c r="O4013" s="19" t="s">
        <v>98</v>
      </c>
      <c r="P4013" s="266">
        <v>1000</v>
      </c>
      <c r="Q4013" s="266">
        <v>842</v>
      </c>
      <c r="R4013" s="19">
        <f t="shared" si="189"/>
        <v>158</v>
      </c>
      <c r="S4013" s="91">
        <v>2100</v>
      </c>
      <c r="T4013" s="147" t="s">
        <v>42</v>
      </c>
      <c r="U4013" s="102" t="s">
        <v>1268</v>
      </c>
      <c r="V4013" s="253">
        <v>44993</v>
      </c>
      <c r="W4013" s="17" t="s">
        <v>58</v>
      </c>
      <c r="Y4013" s="68">
        <v>45222</v>
      </c>
      <c r="Z4013" s="17" t="s">
        <v>191</v>
      </c>
      <c r="AA4013" s="17" t="s">
        <v>46</v>
      </c>
      <c r="AB4013" s="17" t="s">
        <v>1268</v>
      </c>
      <c r="AC4013" s="102" t="s">
        <v>1161</v>
      </c>
      <c r="AD4013" s="65">
        <v>1492</v>
      </c>
      <c r="AE4013" s="17" t="s">
        <v>48</v>
      </c>
    </row>
    <row r="4014" s="17" customFormat="1" ht="15.6" hidden="1" spans="1:31">
      <c r="A4014" s="17" t="s">
        <v>34</v>
      </c>
      <c r="B4014" s="19">
        <v>933</v>
      </c>
      <c r="C4014" s="222">
        <v>44934</v>
      </c>
      <c r="D4014" s="17" t="s">
        <v>52</v>
      </c>
      <c r="E4014" s="17" t="s">
        <v>53</v>
      </c>
      <c r="F4014" s="17" t="s">
        <v>54</v>
      </c>
      <c r="H4014" s="19">
        <v>1.2379</v>
      </c>
      <c r="I4014" s="19"/>
      <c r="J4014" s="17" t="s">
        <v>82</v>
      </c>
      <c r="K4014" s="295">
        <v>205</v>
      </c>
      <c r="L4014" s="96">
        <v>65</v>
      </c>
      <c r="M4014" s="19">
        <v>5800</v>
      </c>
      <c r="N4014" s="19" t="s">
        <v>40</v>
      </c>
      <c r="O4014" s="19" t="s">
        <v>98</v>
      </c>
      <c r="P4014" s="266">
        <v>1000</v>
      </c>
      <c r="Q4014" s="266">
        <f>322+336+296</f>
        <v>954</v>
      </c>
      <c r="R4014" s="19">
        <f t="shared" si="189"/>
        <v>46</v>
      </c>
      <c r="S4014" s="91">
        <v>2100</v>
      </c>
      <c r="T4014" s="147" t="s">
        <v>42</v>
      </c>
      <c r="U4014" s="102" t="s">
        <v>1268</v>
      </c>
      <c r="V4014" s="253">
        <v>44993</v>
      </c>
      <c r="W4014" s="17" t="s">
        <v>58</v>
      </c>
      <c r="Y4014" s="68">
        <v>45222</v>
      </c>
      <c r="Z4014" s="17" t="s">
        <v>191</v>
      </c>
      <c r="AA4014" s="17" t="s">
        <v>46</v>
      </c>
      <c r="AB4014" s="17" t="s">
        <v>1268</v>
      </c>
      <c r="AC4014" s="102" t="s">
        <v>1161</v>
      </c>
      <c r="AD4014" s="65">
        <v>1492</v>
      </c>
      <c r="AE4014" s="17" t="s">
        <v>74</v>
      </c>
    </row>
    <row r="4015" s="17" customFormat="1" ht="15.6" hidden="1" spans="1:31">
      <c r="A4015" s="17" t="s">
        <v>34</v>
      </c>
      <c r="B4015" s="19">
        <v>933</v>
      </c>
      <c r="C4015" s="222">
        <v>44934</v>
      </c>
      <c r="D4015" s="17" t="s">
        <v>52</v>
      </c>
      <c r="E4015" s="17" t="s">
        <v>53</v>
      </c>
      <c r="F4015" s="17" t="s">
        <v>54</v>
      </c>
      <c r="H4015" s="19">
        <v>1.2379</v>
      </c>
      <c r="I4015" s="19"/>
      <c r="J4015" s="17" t="s">
        <v>82</v>
      </c>
      <c r="K4015" s="295">
        <v>255</v>
      </c>
      <c r="L4015" s="96">
        <v>65</v>
      </c>
      <c r="M4015" s="19">
        <v>5800</v>
      </c>
      <c r="N4015" s="19" t="s">
        <v>40</v>
      </c>
      <c r="O4015" s="19" t="s">
        <v>98</v>
      </c>
      <c r="P4015" s="266">
        <v>1000</v>
      </c>
      <c r="Q4015" s="266">
        <f>330+364+322</f>
        <v>1016</v>
      </c>
      <c r="R4015" s="19">
        <f t="shared" si="189"/>
        <v>-16</v>
      </c>
      <c r="S4015" s="91">
        <v>2100</v>
      </c>
      <c r="T4015" s="147" t="s">
        <v>42</v>
      </c>
      <c r="U4015" s="102" t="s">
        <v>1268</v>
      </c>
      <c r="V4015" s="253">
        <v>44993</v>
      </c>
      <c r="W4015" s="17" t="s">
        <v>58</v>
      </c>
      <c r="Y4015" s="68">
        <v>45222</v>
      </c>
      <c r="Z4015" s="17" t="s">
        <v>191</v>
      </c>
      <c r="AA4015" s="17" t="s">
        <v>46</v>
      </c>
      <c r="AB4015" s="17" t="s">
        <v>1268</v>
      </c>
      <c r="AC4015" s="102" t="s">
        <v>1161</v>
      </c>
      <c r="AD4015" s="65">
        <v>1492</v>
      </c>
      <c r="AE4015" s="17" t="s">
        <v>74</v>
      </c>
    </row>
    <row r="4016" s="17" customFormat="1" ht="15.6" hidden="1" spans="1:31">
      <c r="A4016" s="17" t="s">
        <v>34</v>
      </c>
      <c r="B4016" s="19">
        <v>933</v>
      </c>
      <c r="C4016" s="222">
        <v>44934</v>
      </c>
      <c r="D4016" s="17" t="s">
        <v>52</v>
      </c>
      <c r="E4016" s="17" t="s">
        <v>53</v>
      </c>
      <c r="F4016" s="17" t="s">
        <v>54</v>
      </c>
      <c r="H4016" s="19">
        <v>1.2379</v>
      </c>
      <c r="I4016" s="19"/>
      <c r="J4016" s="17" t="s">
        <v>82</v>
      </c>
      <c r="K4016" s="295">
        <v>305</v>
      </c>
      <c r="L4016" s="96">
        <v>65</v>
      </c>
      <c r="M4016" s="19">
        <v>5800</v>
      </c>
      <c r="N4016" s="19" t="s">
        <v>40</v>
      </c>
      <c r="O4016" s="19" t="s">
        <v>98</v>
      </c>
      <c r="P4016" s="266">
        <v>1000</v>
      </c>
      <c r="Q4016" s="266">
        <f>526+504</f>
        <v>1030</v>
      </c>
      <c r="R4016" s="19">
        <f t="shared" si="189"/>
        <v>-30</v>
      </c>
      <c r="S4016" s="91">
        <v>2100</v>
      </c>
      <c r="T4016" s="147" t="s">
        <v>42</v>
      </c>
      <c r="U4016" s="102" t="s">
        <v>1268</v>
      </c>
      <c r="V4016" s="253">
        <v>44993</v>
      </c>
      <c r="W4016" s="17" t="s">
        <v>58</v>
      </c>
      <c r="Y4016" s="68">
        <v>45222</v>
      </c>
      <c r="Z4016" s="17" t="s">
        <v>191</v>
      </c>
      <c r="AA4016" s="17" t="s">
        <v>46</v>
      </c>
      <c r="AB4016" s="17" t="s">
        <v>1268</v>
      </c>
      <c r="AC4016" s="102" t="s">
        <v>1161</v>
      </c>
      <c r="AD4016" s="65">
        <v>1492</v>
      </c>
      <c r="AE4016" s="17" t="s">
        <v>74</v>
      </c>
    </row>
    <row r="4017" s="17" customFormat="1" ht="15.6" hidden="1" spans="1:31">
      <c r="A4017" s="17" t="s">
        <v>34</v>
      </c>
      <c r="B4017" s="19">
        <v>933</v>
      </c>
      <c r="C4017" s="222">
        <v>44934</v>
      </c>
      <c r="D4017" s="17" t="s">
        <v>52</v>
      </c>
      <c r="E4017" s="17" t="s">
        <v>53</v>
      </c>
      <c r="F4017" s="17" t="s">
        <v>54</v>
      </c>
      <c r="H4017" s="19">
        <v>1.2379</v>
      </c>
      <c r="I4017" s="19"/>
      <c r="J4017" s="17" t="s">
        <v>82</v>
      </c>
      <c r="K4017" s="295">
        <v>355</v>
      </c>
      <c r="L4017" s="96">
        <v>65</v>
      </c>
      <c r="M4017" s="19">
        <v>5800</v>
      </c>
      <c r="N4017" s="19" t="s">
        <v>40</v>
      </c>
      <c r="O4017" s="19" t="s">
        <v>98</v>
      </c>
      <c r="P4017" s="266">
        <v>1000</v>
      </c>
      <c r="Q4017" s="266">
        <f>548+512</f>
        <v>1060</v>
      </c>
      <c r="R4017" s="19">
        <f t="shared" si="189"/>
        <v>-60</v>
      </c>
      <c r="S4017" s="91">
        <v>2100</v>
      </c>
      <c r="T4017" s="147" t="s">
        <v>42</v>
      </c>
      <c r="U4017" s="102" t="s">
        <v>1268</v>
      </c>
      <c r="V4017" s="253">
        <v>44993</v>
      </c>
      <c r="W4017" s="17" t="s">
        <v>58</v>
      </c>
      <c r="Y4017" s="68">
        <v>45222</v>
      </c>
      <c r="Z4017" s="17" t="s">
        <v>191</v>
      </c>
      <c r="AA4017" s="17" t="s">
        <v>46</v>
      </c>
      <c r="AB4017" s="17" t="s">
        <v>1268</v>
      </c>
      <c r="AC4017" s="102" t="s">
        <v>1161</v>
      </c>
      <c r="AD4017" s="65">
        <v>1492</v>
      </c>
      <c r="AE4017" s="17" t="s">
        <v>74</v>
      </c>
    </row>
    <row r="4018" s="17" customFormat="1" ht="15.6" hidden="1" spans="1:31">
      <c r="A4018" s="17" t="s">
        <v>34</v>
      </c>
      <c r="B4018" s="19">
        <v>933</v>
      </c>
      <c r="C4018" s="222">
        <v>44934</v>
      </c>
      <c r="D4018" s="17" t="s">
        <v>52</v>
      </c>
      <c r="E4018" s="17" t="s">
        <v>53</v>
      </c>
      <c r="F4018" s="17" t="s">
        <v>54</v>
      </c>
      <c r="H4018" s="19">
        <v>1.2379</v>
      </c>
      <c r="I4018" s="19"/>
      <c r="J4018" s="17" t="s">
        <v>82</v>
      </c>
      <c r="K4018" s="295">
        <v>405</v>
      </c>
      <c r="L4018" s="96">
        <v>65</v>
      </c>
      <c r="M4018" s="19">
        <v>5800</v>
      </c>
      <c r="N4018" s="19" t="s">
        <v>40</v>
      </c>
      <c r="O4018" s="19" t="s">
        <v>98</v>
      </c>
      <c r="P4018" s="266">
        <v>1000</v>
      </c>
      <c r="Q4018" s="266">
        <f>726+714</f>
        <v>1440</v>
      </c>
      <c r="R4018" s="19">
        <f t="shared" si="189"/>
        <v>-440</v>
      </c>
      <c r="S4018" s="91">
        <v>2100</v>
      </c>
      <c r="T4018" s="147" t="s">
        <v>42</v>
      </c>
      <c r="U4018" s="102" t="s">
        <v>1268</v>
      </c>
      <c r="V4018" s="253">
        <v>44993</v>
      </c>
      <c r="W4018" s="17" t="s">
        <v>58</v>
      </c>
      <c r="Y4018" s="68">
        <v>45222</v>
      </c>
      <c r="Z4018" s="17" t="s">
        <v>191</v>
      </c>
      <c r="AA4018" s="17" t="s">
        <v>46</v>
      </c>
      <c r="AB4018" s="17" t="s">
        <v>1268</v>
      </c>
      <c r="AC4018" s="102" t="s">
        <v>1161</v>
      </c>
      <c r="AD4018" s="65">
        <v>1492</v>
      </c>
      <c r="AE4018" s="17" t="s">
        <v>74</v>
      </c>
    </row>
    <row r="4019" s="17" customFormat="1" ht="15.6" hidden="1" spans="1:31">
      <c r="A4019" s="17" t="s">
        <v>34</v>
      </c>
      <c r="B4019" s="19">
        <v>933</v>
      </c>
      <c r="C4019" s="222">
        <v>44934</v>
      </c>
      <c r="D4019" s="17" t="s">
        <v>52</v>
      </c>
      <c r="E4019" s="17" t="s">
        <v>53</v>
      </c>
      <c r="F4019" s="17" t="s">
        <v>54</v>
      </c>
      <c r="H4019" s="19">
        <v>1.2379</v>
      </c>
      <c r="I4019" s="19"/>
      <c r="J4019" s="17" t="s">
        <v>82</v>
      </c>
      <c r="K4019" s="295">
        <v>505</v>
      </c>
      <c r="L4019" s="96">
        <v>65</v>
      </c>
      <c r="M4019" s="19">
        <v>5800</v>
      </c>
      <c r="N4019" s="19" t="s">
        <v>40</v>
      </c>
      <c r="O4019" s="19" t="s">
        <v>98</v>
      </c>
      <c r="P4019" s="266">
        <v>1000</v>
      </c>
      <c r="Q4019" s="266">
        <v>760</v>
      </c>
      <c r="R4019" s="19">
        <f t="shared" si="189"/>
        <v>240</v>
      </c>
      <c r="S4019" s="91">
        <v>2100</v>
      </c>
      <c r="T4019" s="147" t="s">
        <v>42</v>
      </c>
      <c r="U4019" s="102" t="s">
        <v>1268</v>
      </c>
      <c r="V4019" s="253">
        <v>44993</v>
      </c>
      <c r="W4019" s="17" t="s">
        <v>58</v>
      </c>
      <c r="Y4019" s="68">
        <v>45222</v>
      </c>
      <c r="Z4019" s="17" t="s">
        <v>191</v>
      </c>
      <c r="AA4019" s="17" t="s">
        <v>46</v>
      </c>
      <c r="AB4019" s="17" t="s">
        <v>1268</v>
      </c>
      <c r="AC4019" s="102" t="s">
        <v>1161</v>
      </c>
      <c r="AD4019" s="65">
        <v>1492</v>
      </c>
      <c r="AE4019" s="17" t="s">
        <v>74</v>
      </c>
    </row>
    <row r="4020" s="17" customFormat="1" ht="15.6" hidden="1" spans="1:31">
      <c r="A4020" s="17" t="s">
        <v>34</v>
      </c>
      <c r="B4020" s="19">
        <v>933</v>
      </c>
      <c r="C4020" s="222">
        <v>44934</v>
      </c>
      <c r="D4020" s="17" t="s">
        <v>52</v>
      </c>
      <c r="E4020" s="17" t="s">
        <v>53</v>
      </c>
      <c r="F4020" s="17" t="s">
        <v>54</v>
      </c>
      <c r="H4020" s="19">
        <v>1.2379</v>
      </c>
      <c r="I4020" s="19"/>
      <c r="J4020" s="17" t="s">
        <v>82</v>
      </c>
      <c r="K4020" s="295">
        <v>605</v>
      </c>
      <c r="L4020" s="96">
        <v>65</v>
      </c>
      <c r="M4020" s="19">
        <v>5800</v>
      </c>
      <c r="N4020" s="19" t="s">
        <v>40</v>
      </c>
      <c r="O4020" s="19" t="s">
        <v>98</v>
      </c>
      <c r="P4020" s="266">
        <v>1000</v>
      </c>
      <c r="Q4020" s="266">
        <v>970</v>
      </c>
      <c r="R4020" s="19">
        <f t="shared" si="189"/>
        <v>30</v>
      </c>
      <c r="S4020" s="91">
        <v>2100</v>
      </c>
      <c r="T4020" s="147" t="s">
        <v>42</v>
      </c>
      <c r="U4020" s="102" t="s">
        <v>1268</v>
      </c>
      <c r="V4020" s="253">
        <v>44993</v>
      </c>
      <c r="W4020" s="17" t="s">
        <v>58</v>
      </c>
      <c r="Y4020" s="68">
        <v>45222</v>
      </c>
      <c r="Z4020" s="17" t="s">
        <v>191</v>
      </c>
      <c r="AA4020" s="17" t="s">
        <v>46</v>
      </c>
      <c r="AB4020" s="17" t="s">
        <v>1268</v>
      </c>
      <c r="AC4020" s="102" t="s">
        <v>1161</v>
      </c>
      <c r="AD4020" s="65">
        <v>1492</v>
      </c>
      <c r="AE4020" s="17" t="s">
        <v>74</v>
      </c>
    </row>
    <row r="4021" s="17" customFormat="1" ht="15.6" hidden="1" spans="1:31">
      <c r="A4021" s="17" t="s">
        <v>34</v>
      </c>
      <c r="B4021" s="19">
        <v>933</v>
      </c>
      <c r="C4021" s="222">
        <v>44934</v>
      </c>
      <c r="D4021" s="17" t="s">
        <v>52</v>
      </c>
      <c r="E4021" s="17" t="s">
        <v>53</v>
      </c>
      <c r="F4021" s="17" t="s">
        <v>54</v>
      </c>
      <c r="H4021" s="19">
        <v>1.2379</v>
      </c>
      <c r="I4021" s="19"/>
      <c r="J4021" s="17" t="s">
        <v>82</v>
      </c>
      <c r="K4021" s="295">
        <v>610</v>
      </c>
      <c r="L4021" s="96">
        <v>65</v>
      </c>
      <c r="M4021" s="19">
        <v>5800</v>
      </c>
      <c r="N4021" s="19" t="s">
        <v>40</v>
      </c>
      <c r="O4021" s="19" t="s">
        <v>98</v>
      </c>
      <c r="P4021" s="266">
        <v>1000</v>
      </c>
      <c r="Q4021" s="266">
        <v>960</v>
      </c>
      <c r="R4021" s="19">
        <f t="shared" si="189"/>
        <v>40</v>
      </c>
      <c r="S4021" s="91">
        <v>2100</v>
      </c>
      <c r="T4021" s="147" t="s">
        <v>42</v>
      </c>
      <c r="U4021" s="102" t="s">
        <v>1268</v>
      </c>
      <c r="V4021" s="253">
        <v>44993</v>
      </c>
      <c r="W4021" s="17" t="s">
        <v>58</v>
      </c>
      <c r="Y4021" s="68">
        <v>45222</v>
      </c>
      <c r="Z4021" s="17" t="s">
        <v>191</v>
      </c>
      <c r="AA4021" s="17" t="s">
        <v>46</v>
      </c>
      <c r="AB4021" s="17" t="s">
        <v>1268</v>
      </c>
      <c r="AC4021" s="102" t="s">
        <v>1161</v>
      </c>
      <c r="AD4021" s="65">
        <v>1492</v>
      </c>
      <c r="AE4021" s="17" t="s">
        <v>48</v>
      </c>
    </row>
    <row r="4022" s="17" customFormat="1" ht="15.6" hidden="1" spans="1:31">
      <c r="A4022" s="17" t="s">
        <v>34</v>
      </c>
      <c r="B4022" s="19">
        <v>933</v>
      </c>
      <c r="C4022" s="222">
        <v>44934</v>
      </c>
      <c r="D4022" s="17" t="s">
        <v>52</v>
      </c>
      <c r="E4022" s="17" t="s">
        <v>53</v>
      </c>
      <c r="F4022" s="17" t="s">
        <v>54</v>
      </c>
      <c r="H4022" s="19">
        <v>1.2379</v>
      </c>
      <c r="I4022" s="19"/>
      <c r="J4022" s="17" t="s">
        <v>82</v>
      </c>
      <c r="K4022" s="295">
        <v>205</v>
      </c>
      <c r="L4022" s="96">
        <v>80</v>
      </c>
      <c r="M4022" s="19">
        <v>5800</v>
      </c>
      <c r="N4022" s="19" t="s">
        <v>40</v>
      </c>
      <c r="O4022" s="19" t="s">
        <v>98</v>
      </c>
      <c r="P4022" s="266">
        <v>1000</v>
      </c>
      <c r="Q4022" s="266">
        <f>358+334+354</f>
        <v>1046</v>
      </c>
      <c r="R4022" s="19">
        <f t="shared" si="189"/>
        <v>-46</v>
      </c>
      <c r="S4022" s="91">
        <v>2100</v>
      </c>
      <c r="T4022" s="147" t="s">
        <v>42</v>
      </c>
      <c r="U4022" s="102" t="s">
        <v>1268</v>
      </c>
      <c r="V4022" s="253">
        <v>44993</v>
      </c>
      <c r="W4022" s="17" t="s">
        <v>58</v>
      </c>
      <c r="Y4022" s="68">
        <v>45222</v>
      </c>
      <c r="Z4022" s="17" t="s">
        <v>191</v>
      </c>
      <c r="AA4022" s="17" t="s">
        <v>46</v>
      </c>
      <c r="AB4022" s="17" t="s">
        <v>1268</v>
      </c>
      <c r="AC4022" s="102" t="s">
        <v>1161</v>
      </c>
      <c r="AD4022" s="65">
        <v>1492</v>
      </c>
      <c r="AE4022" s="17" t="s">
        <v>74</v>
      </c>
    </row>
    <row r="4023" s="17" customFormat="1" ht="15.6" hidden="1" spans="1:31">
      <c r="A4023" s="17" t="s">
        <v>34</v>
      </c>
      <c r="B4023" s="19">
        <v>933</v>
      </c>
      <c r="C4023" s="222">
        <v>44934</v>
      </c>
      <c r="D4023" s="17" t="s">
        <v>52</v>
      </c>
      <c r="E4023" s="17" t="s">
        <v>53</v>
      </c>
      <c r="F4023" s="17" t="s">
        <v>54</v>
      </c>
      <c r="H4023" s="19">
        <v>1.2379</v>
      </c>
      <c r="I4023" s="19"/>
      <c r="J4023" s="17" t="s">
        <v>82</v>
      </c>
      <c r="K4023" s="295">
        <v>255</v>
      </c>
      <c r="L4023" s="96">
        <v>80</v>
      </c>
      <c r="M4023" s="19">
        <v>5800</v>
      </c>
      <c r="N4023" s="19" t="s">
        <v>40</v>
      </c>
      <c r="O4023" s="19" t="s">
        <v>98</v>
      </c>
      <c r="P4023" s="266">
        <v>1000</v>
      </c>
      <c r="Q4023" s="266">
        <f>540+530</f>
        <v>1070</v>
      </c>
      <c r="R4023" s="19">
        <f t="shared" si="189"/>
        <v>-70</v>
      </c>
      <c r="S4023" s="91">
        <v>2100</v>
      </c>
      <c r="T4023" s="147" t="s">
        <v>42</v>
      </c>
      <c r="U4023" s="102" t="s">
        <v>1268</v>
      </c>
      <c r="V4023" s="253">
        <v>44993</v>
      </c>
      <c r="W4023" s="17" t="s">
        <v>58</v>
      </c>
      <c r="Y4023" s="68">
        <v>45222</v>
      </c>
      <c r="Z4023" s="17" t="s">
        <v>191</v>
      </c>
      <c r="AA4023" s="17" t="s">
        <v>46</v>
      </c>
      <c r="AB4023" s="17" t="s">
        <v>1268</v>
      </c>
      <c r="AC4023" s="102" t="s">
        <v>1161</v>
      </c>
      <c r="AD4023" s="65">
        <v>1492</v>
      </c>
      <c r="AE4023" s="17" t="s">
        <v>74</v>
      </c>
    </row>
    <row r="4024" s="17" customFormat="1" ht="15.6" hidden="1" spans="1:31">
      <c r="A4024" s="17" t="s">
        <v>34</v>
      </c>
      <c r="B4024" s="19">
        <v>933</v>
      </c>
      <c r="C4024" s="222">
        <v>44934</v>
      </c>
      <c r="D4024" s="17" t="s">
        <v>52</v>
      </c>
      <c r="E4024" s="17" t="s">
        <v>53</v>
      </c>
      <c r="F4024" s="17" t="s">
        <v>54</v>
      </c>
      <c r="H4024" s="19">
        <v>1.2379</v>
      </c>
      <c r="I4024" s="19"/>
      <c r="J4024" s="17" t="s">
        <v>82</v>
      </c>
      <c r="K4024" s="295">
        <v>305</v>
      </c>
      <c r="L4024" s="96">
        <v>80</v>
      </c>
      <c r="M4024" s="19">
        <v>5800</v>
      </c>
      <c r="N4024" s="19" t="s">
        <v>40</v>
      </c>
      <c r="O4024" s="19" t="s">
        <v>98</v>
      </c>
      <c r="P4024" s="266">
        <v>1000</v>
      </c>
      <c r="Q4024" s="266">
        <f>682+682</f>
        <v>1364</v>
      </c>
      <c r="R4024" s="19">
        <f t="shared" si="189"/>
        <v>-364</v>
      </c>
      <c r="S4024" s="91">
        <v>2100</v>
      </c>
      <c r="T4024" s="147" t="s">
        <v>42</v>
      </c>
      <c r="U4024" s="102" t="s">
        <v>1268</v>
      </c>
      <c r="V4024" s="253">
        <v>44993</v>
      </c>
      <c r="W4024" s="17" t="s">
        <v>58</v>
      </c>
      <c r="Y4024" s="68">
        <v>45222</v>
      </c>
      <c r="Z4024" s="17" t="s">
        <v>191</v>
      </c>
      <c r="AA4024" s="17" t="s">
        <v>46</v>
      </c>
      <c r="AB4024" s="17" t="s">
        <v>1268</v>
      </c>
      <c r="AC4024" s="102" t="s">
        <v>1161</v>
      </c>
      <c r="AD4024" s="65">
        <v>1492</v>
      </c>
      <c r="AE4024" s="17" t="s">
        <v>74</v>
      </c>
    </row>
    <row r="4025" s="17" customFormat="1" ht="15.6" hidden="1" spans="1:31">
      <c r="A4025" s="17" t="s">
        <v>34</v>
      </c>
      <c r="B4025" s="19">
        <v>933</v>
      </c>
      <c r="C4025" s="222">
        <v>44934</v>
      </c>
      <c r="D4025" s="17" t="s">
        <v>52</v>
      </c>
      <c r="E4025" s="17" t="s">
        <v>53</v>
      </c>
      <c r="F4025" s="17" t="s">
        <v>54</v>
      </c>
      <c r="H4025" s="19">
        <v>1.2379</v>
      </c>
      <c r="I4025" s="19"/>
      <c r="J4025" s="17" t="s">
        <v>82</v>
      </c>
      <c r="K4025" s="295">
        <v>355</v>
      </c>
      <c r="L4025" s="96">
        <v>80</v>
      </c>
      <c r="M4025" s="19">
        <v>5800</v>
      </c>
      <c r="N4025" s="19" t="s">
        <v>40</v>
      </c>
      <c r="O4025" s="19" t="s">
        <v>98</v>
      </c>
      <c r="P4025" s="266">
        <v>1000</v>
      </c>
      <c r="Q4025" s="266">
        <v>766</v>
      </c>
      <c r="R4025" s="19">
        <f t="shared" si="189"/>
        <v>234</v>
      </c>
      <c r="S4025" s="91">
        <v>2100</v>
      </c>
      <c r="T4025" s="147" t="s">
        <v>42</v>
      </c>
      <c r="U4025" s="102" t="s">
        <v>1268</v>
      </c>
      <c r="V4025" s="253">
        <v>44993</v>
      </c>
      <c r="W4025" s="17" t="s">
        <v>58</v>
      </c>
      <c r="Y4025" s="68">
        <v>45222</v>
      </c>
      <c r="Z4025" s="17" t="s">
        <v>191</v>
      </c>
      <c r="AA4025" s="17" t="s">
        <v>46</v>
      </c>
      <c r="AB4025" s="17" t="s">
        <v>1268</v>
      </c>
      <c r="AC4025" s="102" t="s">
        <v>1161</v>
      </c>
      <c r="AD4025" s="65">
        <v>1492</v>
      </c>
      <c r="AE4025" s="17" t="s">
        <v>74</v>
      </c>
    </row>
    <row r="4026" s="17" customFormat="1" ht="15.6" hidden="1" spans="1:31">
      <c r="A4026" s="17" t="s">
        <v>34</v>
      </c>
      <c r="B4026" s="19">
        <v>933</v>
      </c>
      <c r="C4026" s="222">
        <v>44934</v>
      </c>
      <c r="D4026" s="17" t="s">
        <v>52</v>
      </c>
      <c r="E4026" s="17" t="s">
        <v>53</v>
      </c>
      <c r="F4026" s="17" t="s">
        <v>54</v>
      </c>
      <c r="H4026" s="19">
        <v>1.2379</v>
      </c>
      <c r="I4026" s="19"/>
      <c r="J4026" s="17" t="s">
        <v>82</v>
      </c>
      <c r="K4026" s="295">
        <v>405</v>
      </c>
      <c r="L4026" s="96">
        <v>80</v>
      </c>
      <c r="M4026" s="19">
        <v>5800</v>
      </c>
      <c r="N4026" s="19" t="s">
        <v>40</v>
      </c>
      <c r="O4026" s="19" t="s">
        <v>98</v>
      </c>
      <c r="P4026" s="266">
        <v>1000</v>
      </c>
      <c r="Q4026" s="266">
        <v>776</v>
      </c>
      <c r="R4026" s="19">
        <f t="shared" si="189"/>
        <v>224</v>
      </c>
      <c r="S4026" s="91">
        <v>2100</v>
      </c>
      <c r="T4026" s="147" t="s">
        <v>42</v>
      </c>
      <c r="U4026" s="102" t="s">
        <v>1268</v>
      </c>
      <c r="V4026" s="253">
        <v>44993</v>
      </c>
      <c r="W4026" s="17" t="s">
        <v>58</v>
      </c>
      <c r="Y4026" s="68">
        <v>45222</v>
      </c>
      <c r="Z4026" s="17" t="s">
        <v>191</v>
      </c>
      <c r="AA4026" s="17" t="s">
        <v>46</v>
      </c>
      <c r="AB4026" s="17" t="s">
        <v>1268</v>
      </c>
      <c r="AC4026" s="102" t="s">
        <v>1161</v>
      </c>
      <c r="AD4026" s="65">
        <v>1492</v>
      </c>
      <c r="AE4026" s="17" t="s">
        <v>74</v>
      </c>
    </row>
    <row r="4027" s="17" customFormat="1" ht="15.6" hidden="1" spans="1:31">
      <c r="A4027" s="17" t="s">
        <v>34</v>
      </c>
      <c r="B4027" s="19">
        <v>933</v>
      </c>
      <c r="C4027" s="222">
        <v>44934</v>
      </c>
      <c r="D4027" s="17" t="s">
        <v>52</v>
      </c>
      <c r="E4027" s="17" t="s">
        <v>53</v>
      </c>
      <c r="F4027" s="17" t="s">
        <v>54</v>
      </c>
      <c r="H4027" s="19">
        <v>1.2379</v>
      </c>
      <c r="I4027" s="19"/>
      <c r="J4027" s="17" t="s">
        <v>82</v>
      </c>
      <c r="K4027" s="295">
        <v>505</v>
      </c>
      <c r="L4027" s="96">
        <v>80</v>
      </c>
      <c r="M4027" s="19">
        <v>5800</v>
      </c>
      <c r="N4027" s="19" t="s">
        <v>40</v>
      </c>
      <c r="O4027" s="19" t="s">
        <v>98</v>
      </c>
      <c r="P4027" s="266">
        <v>1000</v>
      </c>
      <c r="Q4027" s="266">
        <v>894</v>
      </c>
      <c r="R4027" s="19">
        <f t="shared" si="189"/>
        <v>106</v>
      </c>
      <c r="S4027" s="91">
        <v>2100</v>
      </c>
      <c r="T4027" s="147" t="s">
        <v>42</v>
      </c>
      <c r="U4027" s="102" t="s">
        <v>1268</v>
      </c>
      <c r="V4027" s="253">
        <v>44993</v>
      </c>
      <c r="W4027" s="17" t="s">
        <v>58</v>
      </c>
      <c r="Y4027" s="68">
        <v>45222</v>
      </c>
      <c r="Z4027" s="17" t="s">
        <v>191</v>
      </c>
      <c r="AA4027" s="17" t="s">
        <v>46</v>
      </c>
      <c r="AB4027" s="17" t="s">
        <v>1268</v>
      </c>
      <c r="AC4027" s="102" t="s">
        <v>1161</v>
      </c>
      <c r="AD4027" s="65">
        <v>1492</v>
      </c>
      <c r="AE4027" s="17" t="s">
        <v>74</v>
      </c>
    </row>
    <row r="4028" s="17" customFormat="1" ht="15.6" hidden="1" spans="1:31">
      <c r="A4028" s="17" t="s">
        <v>34</v>
      </c>
      <c r="B4028" s="19">
        <v>933</v>
      </c>
      <c r="C4028" s="222">
        <v>44934</v>
      </c>
      <c r="D4028" s="17" t="s">
        <v>52</v>
      </c>
      <c r="E4028" s="17" t="s">
        <v>53</v>
      </c>
      <c r="F4028" s="17" t="s">
        <v>54</v>
      </c>
      <c r="H4028" s="19">
        <v>1.2379</v>
      </c>
      <c r="I4028" s="19"/>
      <c r="J4028" s="17" t="s">
        <v>82</v>
      </c>
      <c r="K4028" s="295">
        <v>605</v>
      </c>
      <c r="L4028" s="96">
        <v>80</v>
      </c>
      <c r="M4028" s="19">
        <v>5800</v>
      </c>
      <c r="N4028" s="19" t="s">
        <v>40</v>
      </c>
      <c r="O4028" s="19" t="s">
        <v>98</v>
      </c>
      <c r="P4028" s="266">
        <v>1000</v>
      </c>
      <c r="Q4028" s="266">
        <v>1262</v>
      </c>
      <c r="R4028" s="19">
        <f t="shared" ref="R4028:R4059" si="190">+P4028-Q4028</f>
        <v>-262</v>
      </c>
      <c r="S4028" s="91">
        <v>2100</v>
      </c>
      <c r="T4028" s="147" t="s">
        <v>42</v>
      </c>
      <c r="U4028" s="102" t="s">
        <v>1268</v>
      </c>
      <c r="V4028" s="253">
        <v>44993</v>
      </c>
      <c r="W4028" s="17" t="s">
        <v>58</v>
      </c>
      <c r="Y4028" s="68">
        <v>45222</v>
      </c>
      <c r="Z4028" s="17" t="s">
        <v>191</v>
      </c>
      <c r="AA4028" s="17" t="s">
        <v>46</v>
      </c>
      <c r="AB4028" s="17" t="s">
        <v>1268</v>
      </c>
      <c r="AC4028" s="102" t="s">
        <v>1161</v>
      </c>
      <c r="AD4028" s="65">
        <v>1492</v>
      </c>
      <c r="AE4028" s="17" t="s">
        <v>74</v>
      </c>
    </row>
    <row r="4029" s="17" customFormat="1" ht="15.6" hidden="1" spans="1:31">
      <c r="A4029" s="17" t="s">
        <v>34</v>
      </c>
      <c r="B4029" s="19">
        <v>933</v>
      </c>
      <c r="C4029" s="222">
        <v>44934</v>
      </c>
      <c r="D4029" s="17" t="s">
        <v>52</v>
      </c>
      <c r="E4029" s="17" t="s">
        <v>53</v>
      </c>
      <c r="F4029" s="17" t="s">
        <v>54</v>
      </c>
      <c r="H4029" s="19">
        <v>1.2379</v>
      </c>
      <c r="I4029" s="19"/>
      <c r="J4029" s="17" t="s">
        <v>82</v>
      </c>
      <c r="K4029" s="295">
        <v>610</v>
      </c>
      <c r="L4029" s="96">
        <v>80</v>
      </c>
      <c r="M4029" s="19">
        <v>5800</v>
      </c>
      <c r="N4029" s="19" t="s">
        <v>40</v>
      </c>
      <c r="O4029" s="19" t="s">
        <v>98</v>
      </c>
      <c r="P4029" s="266">
        <v>1000</v>
      </c>
      <c r="Q4029" s="266">
        <v>1274</v>
      </c>
      <c r="R4029" s="19">
        <f t="shared" si="190"/>
        <v>-274</v>
      </c>
      <c r="S4029" s="91">
        <v>2100</v>
      </c>
      <c r="T4029" s="147" t="s">
        <v>42</v>
      </c>
      <c r="U4029" s="102" t="s">
        <v>1268</v>
      </c>
      <c r="V4029" s="253">
        <v>44993</v>
      </c>
      <c r="W4029" s="17" t="s">
        <v>58</v>
      </c>
      <c r="Y4029" s="68">
        <v>45222</v>
      </c>
      <c r="Z4029" s="17" t="s">
        <v>191</v>
      </c>
      <c r="AA4029" s="17" t="s">
        <v>46</v>
      </c>
      <c r="AB4029" s="17" t="s">
        <v>1268</v>
      </c>
      <c r="AC4029" s="102" t="s">
        <v>1161</v>
      </c>
      <c r="AD4029" s="65">
        <v>1492</v>
      </c>
      <c r="AE4029" s="17" t="s">
        <v>48</v>
      </c>
    </row>
    <row r="4030" s="17" customFormat="1" ht="15.6" hidden="1" spans="1:31">
      <c r="A4030" s="17" t="s">
        <v>34</v>
      </c>
      <c r="B4030" s="19">
        <v>933</v>
      </c>
      <c r="C4030" s="222">
        <v>44934</v>
      </c>
      <c r="D4030" s="17" t="s">
        <v>52</v>
      </c>
      <c r="E4030" s="17" t="s">
        <v>53</v>
      </c>
      <c r="F4030" s="17" t="s">
        <v>54</v>
      </c>
      <c r="H4030" s="19">
        <v>1.2379</v>
      </c>
      <c r="I4030" s="19"/>
      <c r="J4030" s="17" t="s">
        <v>82</v>
      </c>
      <c r="K4030" s="295">
        <v>205</v>
      </c>
      <c r="L4030" s="96">
        <v>105</v>
      </c>
      <c r="M4030" s="19">
        <v>5800</v>
      </c>
      <c r="N4030" s="19" t="s">
        <v>40</v>
      </c>
      <c r="O4030" s="19" t="s">
        <v>98</v>
      </c>
      <c r="P4030" s="266">
        <v>1000</v>
      </c>
      <c r="Q4030" s="266">
        <v>866</v>
      </c>
      <c r="R4030" s="19">
        <f t="shared" si="190"/>
        <v>134</v>
      </c>
      <c r="S4030" s="91">
        <v>2100</v>
      </c>
      <c r="T4030" s="147" t="s">
        <v>42</v>
      </c>
      <c r="U4030" s="102" t="s">
        <v>1268</v>
      </c>
      <c r="V4030" s="253">
        <v>44993</v>
      </c>
      <c r="W4030" s="17" t="s">
        <v>58</v>
      </c>
      <c r="Y4030" s="68">
        <v>45222</v>
      </c>
      <c r="Z4030" s="17" t="s">
        <v>191</v>
      </c>
      <c r="AA4030" s="17" t="s">
        <v>46</v>
      </c>
      <c r="AB4030" s="17" t="s">
        <v>1266</v>
      </c>
      <c r="AC4030" s="102" t="s">
        <v>1269</v>
      </c>
      <c r="AD4030" s="65">
        <v>1501</v>
      </c>
      <c r="AE4030" s="17" t="s">
        <v>74</v>
      </c>
    </row>
    <row r="4031" s="17" customFormat="1" ht="15.6" hidden="1" spans="1:31">
      <c r="A4031" s="17" t="s">
        <v>34</v>
      </c>
      <c r="B4031" s="19">
        <v>933</v>
      </c>
      <c r="C4031" s="222">
        <v>44934</v>
      </c>
      <c r="D4031" s="17" t="s">
        <v>52</v>
      </c>
      <c r="E4031" s="17" t="s">
        <v>53</v>
      </c>
      <c r="F4031" s="17" t="s">
        <v>54</v>
      </c>
      <c r="H4031" s="19">
        <v>1.2379</v>
      </c>
      <c r="I4031" s="19"/>
      <c r="J4031" s="17" t="s">
        <v>82</v>
      </c>
      <c r="K4031" s="295">
        <v>255</v>
      </c>
      <c r="L4031" s="96">
        <v>105</v>
      </c>
      <c r="M4031" s="19">
        <v>5800</v>
      </c>
      <c r="N4031" s="19" t="s">
        <v>40</v>
      </c>
      <c r="O4031" s="19" t="s">
        <v>98</v>
      </c>
      <c r="P4031" s="266">
        <v>1000</v>
      </c>
      <c r="Q4031" s="266">
        <v>969</v>
      </c>
      <c r="R4031" s="19">
        <f t="shared" si="190"/>
        <v>31</v>
      </c>
      <c r="S4031" s="91">
        <v>2100</v>
      </c>
      <c r="T4031" s="147" t="s">
        <v>42</v>
      </c>
      <c r="U4031" s="102" t="s">
        <v>1268</v>
      </c>
      <c r="V4031" s="253">
        <v>44993</v>
      </c>
      <c r="W4031" s="17" t="s">
        <v>58</v>
      </c>
      <c r="Y4031" s="68">
        <v>45222</v>
      </c>
      <c r="Z4031" s="17" t="s">
        <v>191</v>
      </c>
      <c r="AA4031" s="17" t="s">
        <v>46</v>
      </c>
      <c r="AB4031" s="17" t="s">
        <v>1268</v>
      </c>
      <c r="AC4031" s="102" t="s">
        <v>1161</v>
      </c>
      <c r="AD4031" s="65">
        <v>1492</v>
      </c>
      <c r="AE4031" s="17" t="s">
        <v>74</v>
      </c>
    </row>
    <row r="4032" s="17" customFormat="1" ht="15.6" hidden="1" spans="1:31">
      <c r="A4032" s="17" t="s">
        <v>34</v>
      </c>
      <c r="B4032" s="19">
        <v>933</v>
      </c>
      <c r="C4032" s="222">
        <v>44934</v>
      </c>
      <c r="D4032" s="17" t="s">
        <v>52</v>
      </c>
      <c r="E4032" s="17" t="s">
        <v>53</v>
      </c>
      <c r="F4032" s="17" t="s">
        <v>54</v>
      </c>
      <c r="H4032" s="19">
        <v>1.2379</v>
      </c>
      <c r="I4032" s="19"/>
      <c r="J4032" s="17" t="s">
        <v>82</v>
      </c>
      <c r="K4032" s="295">
        <v>305</v>
      </c>
      <c r="L4032" s="96">
        <v>105</v>
      </c>
      <c r="M4032" s="19">
        <v>5800</v>
      </c>
      <c r="N4032" s="19" t="s">
        <v>40</v>
      </c>
      <c r="O4032" s="19" t="s">
        <v>98</v>
      </c>
      <c r="P4032" s="266">
        <v>1000</v>
      </c>
      <c r="Q4032" s="266">
        <v>529</v>
      </c>
      <c r="R4032" s="19">
        <f t="shared" si="190"/>
        <v>471</v>
      </c>
      <c r="S4032" s="91">
        <v>2100</v>
      </c>
      <c r="T4032" s="147" t="s">
        <v>42</v>
      </c>
      <c r="U4032" s="102" t="s">
        <v>1268</v>
      </c>
      <c r="V4032" s="253">
        <v>44993</v>
      </c>
      <c r="W4032" s="17" t="s">
        <v>58</v>
      </c>
      <c r="Y4032" s="68">
        <v>45222</v>
      </c>
      <c r="Z4032" s="17" t="s">
        <v>191</v>
      </c>
      <c r="AA4032" s="17" t="s">
        <v>46</v>
      </c>
      <c r="AB4032" s="17" t="s">
        <v>1268</v>
      </c>
      <c r="AC4032" s="102" t="s">
        <v>1161</v>
      </c>
      <c r="AD4032" s="65">
        <v>1492</v>
      </c>
      <c r="AE4032" s="17" t="s">
        <v>74</v>
      </c>
    </row>
    <row r="4033" s="17" customFormat="1" ht="15.6" hidden="1" spans="1:31">
      <c r="A4033" s="17" t="s">
        <v>34</v>
      </c>
      <c r="B4033" s="19">
        <v>933</v>
      </c>
      <c r="C4033" s="222">
        <v>44934</v>
      </c>
      <c r="D4033" s="17" t="s">
        <v>52</v>
      </c>
      <c r="E4033" s="17" t="s">
        <v>53</v>
      </c>
      <c r="F4033" s="17" t="s">
        <v>54</v>
      </c>
      <c r="H4033" s="19">
        <v>1.2379</v>
      </c>
      <c r="I4033" s="19"/>
      <c r="J4033" s="17" t="s">
        <v>82</v>
      </c>
      <c r="K4033" s="295">
        <v>355</v>
      </c>
      <c r="L4033" s="96">
        <v>105</v>
      </c>
      <c r="M4033" s="19">
        <v>5800</v>
      </c>
      <c r="N4033" s="19" t="s">
        <v>40</v>
      </c>
      <c r="O4033" s="19" t="s">
        <v>98</v>
      </c>
      <c r="P4033" s="266">
        <v>1000</v>
      </c>
      <c r="Q4033" s="266">
        <v>1185</v>
      </c>
      <c r="R4033" s="19">
        <f t="shared" si="190"/>
        <v>-185</v>
      </c>
      <c r="S4033" s="91">
        <v>2100</v>
      </c>
      <c r="T4033" s="147" t="s">
        <v>42</v>
      </c>
      <c r="U4033" s="102" t="s">
        <v>1268</v>
      </c>
      <c r="V4033" s="253">
        <v>44993</v>
      </c>
      <c r="W4033" s="17" t="s">
        <v>58</v>
      </c>
      <c r="Y4033" s="68">
        <v>45222</v>
      </c>
      <c r="Z4033" s="17" t="s">
        <v>191</v>
      </c>
      <c r="AA4033" s="17" t="s">
        <v>46</v>
      </c>
      <c r="AB4033" s="17" t="s">
        <v>1268</v>
      </c>
      <c r="AC4033" s="102" t="s">
        <v>1161</v>
      </c>
      <c r="AD4033" s="65">
        <v>1492</v>
      </c>
      <c r="AE4033" s="17" t="s">
        <v>74</v>
      </c>
    </row>
    <row r="4034" s="17" customFormat="1" ht="15.6" hidden="1" spans="1:31">
      <c r="A4034" s="17" t="s">
        <v>34</v>
      </c>
      <c r="B4034" s="19">
        <v>933</v>
      </c>
      <c r="C4034" s="222">
        <v>44934</v>
      </c>
      <c r="D4034" s="17" t="s">
        <v>52</v>
      </c>
      <c r="E4034" s="17" t="s">
        <v>53</v>
      </c>
      <c r="F4034" s="17" t="s">
        <v>54</v>
      </c>
      <c r="H4034" s="19">
        <v>1.2379</v>
      </c>
      <c r="I4034" s="19"/>
      <c r="J4034" s="17" t="s">
        <v>82</v>
      </c>
      <c r="K4034" s="295">
        <v>405</v>
      </c>
      <c r="L4034" s="96">
        <v>105</v>
      </c>
      <c r="M4034" s="19">
        <v>5800</v>
      </c>
      <c r="N4034" s="19" t="s">
        <v>40</v>
      </c>
      <c r="O4034" s="19" t="s">
        <v>98</v>
      </c>
      <c r="P4034" s="266">
        <v>1000</v>
      </c>
      <c r="Q4034" s="266">
        <v>1187</v>
      </c>
      <c r="R4034" s="19">
        <f t="shared" si="190"/>
        <v>-187</v>
      </c>
      <c r="S4034" s="91">
        <v>2100</v>
      </c>
      <c r="T4034" s="147" t="s">
        <v>42</v>
      </c>
      <c r="U4034" s="102" t="s">
        <v>1268</v>
      </c>
      <c r="V4034" s="253">
        <v>44993</v>
      </c>
      <c r="W4034" s="17" t="s">
        <v>58</v>
      </c>
      <c r="Y4034" s="68">
        <v>45222</v>
      </c>
      <c r="Z4034" s="17" t="s">
        <v>191</v>
      </c>
      <c r="AA4034" s="17" t="s">
        <v>46</v>
      </c>
      <c r="AB4034" s="17" t="s">
        <v>1268</v>
      </c>
      <c r="AC4034" s="102" t="s">
        <v>1161</v>
      </c>
      <c r="AD4034" s="65">
        <v>1492</v>
      </c>
      <c r="AE4034" s="17" t="s">
        <v>74</v>
      </c>
    </row>
    <row r="4035" s="17" customFormat="1" ht="15.6" hidden="1" spans="1:31">
      <c r="A4035" s="17" t="s">
        <v>34</v>
      </c>
      <c r="B4035" s="19">
        <v>933</v>
      </c>
      <c r="C4035" s="222">
        <v>44934</v>
      </c>
      <c r="D4035" s="17" t="s">
        <v>52</v>
      </c>
      <c r="E4035" s="17" t="s">
        <v>53</v>
      </c>
      <c r="F4035" s="17" t="s">
        <v>54</v>
      </c>
      <c r="H4035" s="19">
        <v>1.2379</v>
      </c>
      <c r="I4035" s="19"/>
      <c r="J4035" s="17" t="s">
        <v>82</v>
      </c>
      <c r="K4035" s="295">
        <v>505</v>
      </c>
      <c r="L4035" s="96">
        <v>105</v>
      </c>
      <c r="M4035" s="19">
        <v>5800</v>
      </c>
      <c r="N4035" s="19" t="s">
        <v>40</v>
      </c>
      <c r="O4035" s="19" t="s">
        <v>98</v>
      </c>
      <c r="P4035" s="266">
        <v>1000</v>
      </c>
      <c r="Q4035" s="266">
        <v>1930</v>
      </c>
      <c r="R4035" s="19">
        <f t="shared" si="190"/>
        <v>-930</v>
      </c>
      <c r="S4035" s="91">
        <v>2100</v>
      </c>
      <c r="T4035" s="147" t="s">
        <v>42</v>
      </c>
      <c r="U4035" s="102" t="s">
        <v>1268</v>
      </c>
      <c r="V4035" s="253">
        <v>44993</v>
      </c>
      <c r="W4035" s="17" t="s">
        <v>58</v>
      </c>
      <c r="Y4035" s="68">
        <v>45222</v>
      </c>
      <c r="Z4035" s="17" t="s">
        <v>191</v>
      </c>
      <c r="AA4035" s="17" t="s">
        <v>46</v>
      </c>
      <c r="AB4035" s="17" t="s">
        <v>1268</v>
      </c>
      <c r="AC4035" s="102" t="s">
        <v>1161</v>
      </c>
      <c r="AD4035" s="65">
        <v>1492</v>
      </c>
      <c r="AE4035" s="17" t="s">
        <v>74</v>
      </c>
    </row>
    <row r="4036" s="17" customFormat="1" ht="15.6" hidden="1" spans="1:31">
      <c r="A4036" s="17" t="s">
        <v>34</v>
      </c>
      <c r="B4036" s="19">
        <v>933</v>
      </c>
      <c r="C4036" s="222">
        <v>44934</v>
      </c>
      <c r="D4036" s="17" t="s">
        <v>52</v>
      </c>
      <c r="E4036" s="17" t="s">
        <v>53</v>
      </c>
      <c r="F4036" s="17" t="s">
        <v>54</v>
      </c>
      <c r="H4036" s="19">
        <v>1.2379</v>
      </c>
      <c r="I4036" s="19"/>
      <c r="J4036" s="17" t="s">
        <v>82</v>
      </c>
      <c r="K4036" s="295">
        <v>605</v>
      </c>
      <c r="L4036" s="96">
        <v>105</v>
      </c>
      <c r="M4036" s="19">
        <v>5800</v>
      </c>
      <c r="N4036" s="19" t="s">
        <v>40</v>
      </c>
      <c r="O4036" s="19" t="s">
        <v>98</v>
      </c>
      <c r="P4036" s="266">
        <v>1000</v>
      </c>
      <c r="Q4036" s="266">
        <v>2513</v>
      </c>
      <c r="R4036" s="19">
        <f t="shared" si="190"/>
        <v>-1513</v>
      </c>
      <c r="S4036" s="91">
        <v>2100</v>
      </c>
      <c r="T4036" s="147" t="s">
        <v>42</v>
      </c>
      <c r="U4036" s="102" t="s">
        <v>1268</v>
      </c>
      <c r="V4036" s="253">
        <v>44993</v>
      </c>
      <c r="W4036" s="17" t="s">
        <v>58</v>
      </c>
      <c r="Y4036" s="68">
        <v>45222</v>
      </c>
      <c r="Z4036" s="17" t="s">
        <v>191</v>
      </c>
      <c r="AA4036" s="17" t="s">
        <v>46</v>
      </c>
      <c r="AB4036" s="17" t="s">
        <v>1268</v>
      </c>
      <c r="AC4036" s="102" t="s">
        <v>1161</v>
      </c>
      <c r="AD4036" s="65">
        <v>1492</v>
      </c>
      <c r="AE4036" s="17" t="s">
        <v>74</v>
      </c>
    </row>
    <row r="4037" s="17" customFormat="1" ht="15.6" hidden="1" spans="1:31">
      <c r="A4037" s="17" t="s">
        <v>34</v>
      </c>
      <c r="B4037" s="19">
        <v>933</v>
      </c>
      <c r="C4037" s="222">
        <v>44934</v>
      </c>
      <c r="D4037" s="17" t="s">
        <v>52</v>
      </c>
      <c r="E4037" s="17" t="s">
        <v>53</v>
      </c>
      <c r="F4037" s="17" t="s">
        <v>54</v>
      </c>
      <c r="H4037" s="19">
        <v>1.2379</v>
      </c>
      <c r="I4037" s="19"/>
      <c r="J4037" s="17" t="s">
        <v>82</v>
      </c>
      <c r="K4037" s="295">
        <v>610</v>
      </c>
      <c r="L4037" s="96">
        <v>105</v>
      </c>
      <c r="M4037" s="19">
        <v>5800</v>
      </c>
      <c r="N4037" s="19" t="s">
        <v>40</v>
      </c>
      <c r="O4037" s="19" t="s">
        <v>98</v>
      </c>
      <c r="P4037" s="266">
        <v>1000</v>
      </c>
      <c r="Q4037" s="266">
        <v>1932</v>
      </c>
      <c r="R4037" s="19">
        <f t="shared" si="190"/>
        <v>-932</v>
      </c>
      <c r="S4037" s="91">
        <v>2100</v>
      </c>
      <c r="T4037" s="147" t="s">
        <v>42</v>
      </c>
      <c r="U4037" s="102" t="s">
        <v>1268</v>
      </c>
      <c r="V4037" s="253">
        <v>44993</v>
      </c>
      <c r="W4037" s="17" t="s">
        <v>58</v>
      </c>
      <c r="Y4037" s="68">
        <v>45222</v>
      </c>
      <c r="Z4037" s="17" t="s">
        <v>191</v>
      </c>
      <c r="AA4037" s="17" t="s">
        <v>46</v>
      </c>
      <c r="AB4037" s="17" t="s">
        <v>1268</v>
      </c>
      <c r="AC4037" s="102" t="s">
        <v>1161</v>
      </c>
      <c r="AD4037" s="65">
        <v>1492</v>
      </c>
      <c r="AE4037" s="17" t="s">
        <v>48</v>
      </c>
    </row>
    <row r="4038" s="17" customFormat="1" ht="15.6" hidden="1" spans="1:31">
      <c r="A4038" s="17" t="s">
        <v>34</v>
      </c>
      <c r="B4038" s="19">
        <v>933</v>
      </c>
      <c r="C4038" s="222">
        <v>44934</v>
      </c>
      <c r="D4038" s="17" t="s">
        <v>52</v>
      </c>
      <c r="E4038" s="17" t="s">
        <v>53</v>
      </c>
      <c r="F4038" s="17" t="s">
        <v>54</v>
      </c>
      <c r="H4038" s="19">
        <v>1.2379</v>
      </c>
      <c r="I4038" s="19"/>
      <c r="J4038" s="17" t="s">
        <v>82</v>
      </c>
      <c r="K4038" s="295">
        <v>610</v>
      </c>
      <c r="L4038" s="96">
        <v>130</v>
      </c>
      <c r="M4038" s="19">
        <v>5800</v>
      </c>
      <c r="N4038" s="19" t="s">
        <v>40</v>
      </c>
      <c r="O4038" s="19" t="s">
        <v>98</v>
      </c>
      <c r="P4038" s="266">
        <v>1000</v>
      </c>
      <c r="Q4038" s="266">
        <v>2693</v>
      </c>
      <c r="R4038" s="19">
        <f t="shared" si="190"/>
        <v>-1693</v>
      </c>
      <c r="S4038" s="91">
        <v>2100</v>
      </c>
      <c r="T4038" s="147" t="s">
        <v>42</v>
      </c>
      <c r="U4038" s="102" t="s">
        <v>1268</v>
      </c>
      <c r="V4038" s="253">
        <v>44993</v>
      </c>
      <c r="W4038" s="17" t="s">
        <v>58</v>
      </c>
      <c r="Y4038" s="68">
        <v>45222</v>
      </c>
      <c r="Z4038" s="17" t="s">
        <v>191</v>
      </c>
      <c r="AA4038" s="17" t="s">
        <v>46</v>
      </c>
      <c r="AB4038" s="17" t="s">
        <v>1268</v>
      </c>
      <c r="AC4038" s="102" t="s">
        <v>1161</v>
      </c>
      <c r="AD4038" s="65">
        <v>1492</v>
      </c>
      <c r="AE4038" s="17" t="s">
        <v>74</v>
      </c>
    </row>
    <row r="4039" s="17" customFormat="1" ht="15.6" hidden="1" spans="1:31">
      <c r="A4039" s="17" t="s">
        <v>34</v>
      </c>
      <c r="B4039" s="19">
        <v>933</v>
      </c>
      <c r="C4039" s="222">
        <v>44934</v>
      </c>
      <c r="D4039" s="17" t="s">
        <v>52</v>
      </c>
      <c r="E4039" s="17" t="s">
        <v>53</v>
      </c>
      <c r="F4039" s="17" t="s">
        <v>54</v>
      </c>
      <c r="H4039" s="19">
        <v>1.2379</v>
      </c>
      <c r="I4039" s="19"/>
      <c r="J4039" s="17" t="s">
        <v>82</v>
      </c>
      <c r="K4039" s="295">
        <v>610</v>
      </c>
      <c r="L4039" s="96">
        <v>155</v>
      </c>
      <c r="M4039" s="19">
        <v>5800</v>
      </c>
      <c r="N4039" s="19" t="s">
        <v>40</v>
      </c>
      <c r="O4039" s="19" t="s">
        <v>98</v>
      </c>
      <c r="P4039" s="266">
        <v>1000</v>
      </c>
      <c r="Q4039" s="266">
        <v>2738</v>
      </c>
      <c r="R4039" s="19">
        <f t="shared" si="190"/>
        <v>-1738</v>
      </c>
      <c r="S4039" s="91">
        <v>2100</v>
      </c>
      <c r="T4039" s="147" t="s">
        <v>42</v>
      </c>
      <c r="U4039" s="102" t="s">
        <v>1268</v>
      </c>
      <c r="V4039" s="253">
        <v>44993</v>
      </c>
      <c r="W4039" s="17" t="s">
        <v>58</v>
      </c>
      <c r="Y4039" s="68">
        <v>45222</v>
      </c>
      <c r="Z4039" s="17" t="s">
        <v>191</v>
      </c>
      <c r="AA4039" s="17" t="s">
        <v>46</v>
      </c>
      <c r="AB4039" s="17" t="s">
        <v>1268</v>
      </c>
      <c r="AC4039" s="102" t="s">
        <v>1161</v>
      </c>
      <c r="AD4039" s="65">
        <v>1492</v>
      </c>
      <c r="AE4039" s="17" t="s">
        <v>74</v>
      </c>
    </row>
    <row r="4040" s="17" customFormat="1" ht="15.6" hidden="1" spans="1:31">
      <c r="A4040" s="17" t="s">
        <v>34</v>
      </c>
      <c r="B4040" s="19">
        <v>933</v>
      </c>
      <c r="C4040" s="222">
        <v>44934</v>
      </c>
      <c r="D4040" s="17" t="s">
        <v>52</v>
      </c>
      <c r="E4040" s="17" t="s">
        <v>53</v>
      </c>
      <c r="F4040" s="17" t="s">
        <v>54</v>
      </c>
      <c r="H4040" s="19">
        <v>1.2379</v>
      </c>
      <c r="I4040" s="19"/>
      <c r="J4040" s="17" t="s">
        <v>82</v>
      </c>
      <c r="K4040" s="295">
        <v>610</v>
      </c>
      <c r="L4040" s="96">
        <v>180</v>
      </c>
      <c r="M4040" s="19">
        <v>5800</v>
      </c>
      <c r="N4040" s="19" t="s">
        <v>40</v>
      </c>
      <c r="O4040" s="19" t="s">
        <v>98</v>
      </c>
      <c r="P4040" s="297">
        <v>2000</v>
      </c>
      <c r="Q4040" s="297">
        <v>3855</v>
      </c>
      <c r="R4040" s="19">
        <f t="shared" si="190"/>
        <v>-1855</v>
      </c>
      <c r="S4040" s="91">
        <v>2200</v>
      </c>
      <c r="T4040" s="147" t="s">
        <v>42</v>
      </c>
      <c r="U4040" s="102" t="s">
        <v>1268</v>
      </c>
      <c r="V4040" s="253">
        <v>44993</v>
      </c>
      <c r="W4040" s="17" t="s">
        <v>58</v>
      </c>
      <c r="Y4040" s="68">
        <v>45222</v>
      </c>
      <c r="Z4040" s="17" t="s">
        <v>191</v>
      </c>
      <c r="AA4040" s="17" t="s">
        <v>46</v>
      </c>
      <c r="AB4040" s="17" t="s">
        <v>1268</v>
      </c>
      <c r="AC4040" s="102" t="s">
        <v>1161</v>
      </c>
      <c r="AD4040" s="65">
        <v>1492</v>
      </c>
      <c r="AE4040" s="17" t="s">
        <v>74</v>
      </c>
    </row>
    <row r="4041" s="17" customFormat="1" ht="15.6" hidden="1" spans="1:31">
      <c r="A4041" s="17" t="s">
        <v>34</v>
      </c>
      <c r="B4041" s="19">
        <v>933</v>
      </c>
      <c r="C4041" s="222">
        <v>44934</v>
      </c>
      <c r="D4041" s="17" t="s">
        <v>52</v>
      </c>
      <c r="E4041" s="17" t="s">
        <v>53</v>
      </c>
      <c r="F4041" s="17" t="s">
        <v>54</v>
      </c>
      <c r="H4041" s="19">
        <v>1.2379</v>
      </c>
      <c r="I4041" s="19"/>
      <c r="J4041" s="17" t="s">
        <v>82</v>
      </c>
      <c r="K4041" s="295">
        <v>610</v>
      </c>
      <c r="L4041" s="96">
        <v>210</v>
      </c>
      <c r="M4041" s="19">
        <v>5800</v>
      </c>
      <c r="N4041" s="19" t="s">
        <v>40</v>
      </c>
      <c r="O4041" s="19" t="s">
        <v>98</v>
      </c>
      <c r="P4041" s="297">
        <v>2000</v>
      </c>
      <c r="Q4041" s="297">
        <v>4144</v>
      </c>
      <c r="R4041" s="19">
        <f t="shared" si="190"/>
        <v>-2144</v>
      </c>
      <c r="S4041" s="91">
        <v>2200</v>
      </c>
      <c r="T4041" s="147" t="s">
        <v>42</v>
      </c>
      <c r="U4041" s="102" t="s">
        <v>1268</v>
      </c>
      <c r="V4041" s="253">
        <v>44993</v>
      </c>
      <c r="W4041" s="17" t="s">
        <v>58</v>
      </c>
      <c r="Y4041" s="68">
        <v>45222</v>
      </c>
      <c r="Z4041" s="17" t="s">
        <v>191</v>
      </c>
      <c r="AA4041" s="17" t="s">
        <v>46</v>
      </c>
      <c r="AB4041" s="17" t="s">
        <v>1268</v>
      </c>
      <c r="AC4041" s="102" t="s">
        <v>1161</v>
      </c>
      <c r="AD4041" s="65">
        <v>1492</v>
      </c>
      <c r="AE4041" s="17" t="s">
        <v>74</v>
      </c>
    </row>
    <row r="4042" s="17" customFormat="1" ht="15.6" hidden="1" spans="1:31">
      <c r="A4042" s="17" t="s">
        <v>34</v>
      </c>
      <c r="B4042" s="19">
        <v>933</v>
      </c>
      <c r="C4042" s="222">
        <v>44934</v>
      </c>
      <c r="D4042" s="17" t="s">
        <v>52</v>
      </c>
      <c r="E4042" s="17" t="s">
        <v>53</v>
      </c>
      <c r="F4042" s="17" t="s">
        <v>54</v>
      </c>
      <c r="H4042" s="19">
        <v>1.2379</v>
      </c>
      <c r="I4042" s="19"/>
      <c r="J4042" s="17" t="s">
        <v>82</v>
      </c>
      <c r="K4042" s="295">
        <v>610</v>
      </c>
      <c r="L4042" s="96">
        <v>260</v>
      </c>
      <c r="M4042" s="19">
        <v>5800</v>
      </c>
      <c r="N4042" s="19" t="s">
        <v>40</v>
      </c>
      <c r="O4042" s="19" t="s">
        <v>98</v>
      </c>
      <c r="P4042" s="297">
        <v>3000</v>
      </c>
      <c r="Q4042" s="297">
        <v>4828</v>
      </c>
      <c r="R4042" s="19">
        <f t="shared" si="190"/>
        <v>-1828</v>
      </c>
      <c r="S4042" s="91">
        <v>2200</v>
      </c>
      <c r="T4042" s="147" t="s">
        <v>42</v>
      </c>
      <c r="U4042" s="102" t="s">
        <v>1268</v>
      </c>
      <c r="V4042" s="253">
        <v>44993</v>
      </c>
      <c r="W4042" s="17" t="s">
        <v>58</v>
      </c>
      <c r="Y4042" s="68">
        <v>45222</v>
      </c>
      <c r="Z4042" s="17" t="s">
        <v>191</v>
      </c>
      <c r="AA4042" s="17" t="s">
        <v>46</v>
      </c>
      <c r="AB4042" s="17" t="s">
        <v>1266</v>
      </c>
      <c r="AC4042" s="102" t="s">
        <v>1269</v>
      </c>
      <c r="AD4042" s="65">
        <v>1501</v>
      </c>
      <c r="AE4042" s="17" t="s">
        <v>48</v>
      </c>
    </row>
    <row r="4043" s="17" customFormat="1" ht="15.6" hidden="1" spans="1:31">
      <c r="A4043" s="17" t="s">
        <v>34</v>
      </c>
      <c r="B4043" s="19">
        <v>933</v>
      </c>
      <c r="C4043" s="222">
        <v>44934</v>
      </c>
      <c r="D4043" s="17" t="s">
        <v>52</v>
      </c>
      <c r="E4043" s="17" t="s">
        <v>53</v>
      </c>
      <c r="F4043" s="17" t="s">
        <v>54</v>
      </c>
      <c r="H4043" s="19">
        <v>1.2379</v>
      </c>
      <c r="I4043" s="19"/>
      <c r="J4043" s="17" t="s">
        <v>82</v>
      </c>
      <c r="K4043" s="298">
        <v>610</v>
      </c>
      <c r="L4043" s="299">
        <v>310</v>
      </c>
      <c r="M4043" s="147">
        <v>5800</v>
      </c>
      <c r="N4043" s="19" t="s">
        <v>40</v>
      </c>
      <c r="O4043" s="19" t="s">
        <v>98</v>
      </c>
      <c r="P4043" s="266">
        <v>3000</v>
      </c>
      <c r="Q4043" s="266">
        <v>4850</v>
      </c>
      <c r="R4043" s="19">
        <f t="shared" si="190"/>
        <v>-1850</v>
      </c>
      <c r="S4043" s="91">
        <v>2200</v>
      </c>
      <c r="T4043" s="147" t="s">
        <v>42</v>
      </c>
      <c r="U4043" s="102" t="s">
        <v>1268</v>
      </c>
      <c r="V4043" s="253">
        <v>44993</v>
      </c>
      <c r="W4043" s="17" t="s">
        <v>58</v>
      </c>
      <c r="Y4043" s="68">
        <v>45222</v>
      </c>
      <c r="Z4043" s="17" t="s">
        <v>191</v>
      </c>
      <c r="AA4043" s="17" t="s">
        <v>46</v>
      </c>
      <c r="AB4043" s="17" t="s">
        <v>1268</v>
      </c>
      <c r="AC4043" s="102" t="s">
        <v>1161</v>
      </c>
      <c r="AD4043" s="65">
        <v>1492</v>
      </c>
      <c r="AE4043" s="17" t="s">
        <v>48</v>
      </c>
    </row>
    <row r="4044" s="17" customFormat="1" ht="15.6" hidden="1" spans="1:31">
      <c r="A4044" s="17" t="s">
        <v>34</v>
      </c>
      <c r="B4044" s="19">
        <v>933</v>
      </c>
      <c r="C4044" s="222">
        <v>44934</v>
      </c>
      <c r="D4044" s="17" t="s">
        <v>52</v>
      </c>
      <c r="E4044" s="17" t="s">
        <v>53</v>
      </c>
      <c r="F4044" s="17" t="s">
        <v>54</v>
      </c>
      <c r="H4044" s="19">
        <v>1.2379</v>
      </c>
      <c r="I4044" s="19"/>
      <c r="J4044" s="17" t="s">
        <v>39</v>
      </c>
      <c r="K4044" s="295">
        <v>61</v>
      </c>
      <c r="M4044" s="295">
        <v>3000</v>
      </c>
      <c r="N4044" s="19" t="s">
        <v>40</v>
      </c>
      <c r="O4044" s="19" t="s">
        <v>50</v>
      </c>
      <c r="P4044" s="300">
        <v>1000</v>
      </c>
      <c r="Q4044" s="19">
        <v>583</v>
      </c>
      <c r="R4044" s="19">
        <f t="shared" si="190"/>
        <v>417</v>
      </c>
      <c r="S4044" s="301">
        <v>2300</v>
      </c>
      <c r="T4044" s="147" t="s">
        <v>42</v>
      </c>
      <c r="U4044" s="102" t="s">
        <v>1268</v>
      </c>
      <c r="V4044" s="253">
        <v>44993</v>
      </c>
      <c r="W4044" s="17" t="s">
        <v>58</v>
      </c>
      <c r="Y4044" s="68">
        <v>45222</v>
      </c>
      <c r="Z4044" s="17" t="s">
        <v>191</v>
      </c>
      <c r="AA4044" s="17" t="s">
        <v>46</v>
      </c>
      <c r="AB4044" s="17" t="s">
        <v>1268</v>
      </c>
      <c r="AC4044" s="102" t="s">
        <v>1161</v>
      </c>
      <c r="AD4044" s="65">
        <v>1492</v>
      </c>
      <c r="AE4044" s="17" t="s">
        <v>74</v>
      </c>
    </row>
    <row r="4045" s="17" customFormat="1" ht="15.6" hidden="1" spans="1:31">
      <c r="A4045" s="17" t="s">
        <v>34</v>
      </c>
      <c r="B4045" s="19">
        <v>933</v>
      </c>
      <c r="C4045" s="222">
        <v>44934</v>
      </c>
      <c r="D4045" s="17" t="s">
        <v>52</v>
      </c>
      <c r="E4045" s="17" t="s">
        <v>53</v>
      </c>
      <c r="F4045" s="17" t="s">
        <v>54</v>
      </c>
      <c r="H4045" s="19">
        <v>1.2379</v>
      </c>
      <c r="I4045" s="19"/>
      <c r="J4045" s="17" t="s">
        <v>39</v>
      </c>
      <c r="K4045" s="295">
        <v>66</v>
      </c>
      <c r="M4045" s="295">
        <v>3000</v>
      </c>
      <c r="N4045" s="19" t="s">
        <v>40</v>
      </c>
      <c r="O4045" s="19" t="s">
        <v>50</v>
      </c>
      <c r="P4045" s="302">
        <v>1000</v>
      </c>
      <c r="Q4045" s="19">
        <v>725</v>
      </c>
      <c r="R4045" s="19">
        <f t="shared" si="190"/>
        <v>275</v>
      </c>
      <c r="S4045" s="301">
        <v>2300</v>
      </c>
      <c r="T4045" s="147" t="s">
        <v>42</v>
      </c>
      <c r="U4045" s="102" t="s">
        <v>1268</v>
      </c>
      <c r="V4045" s="253">
        <v>44993</v>
      </c>
      <c r="W4045" s="17" t="s">
        <v>58</v>
      </c>
      <c r="Y4045" s="68">
        <v>45222</v>
      </c>
      <c r="Z4045" s="17" t="s">
        <v>191</v>
      </c>
      <c r="AA4045" s="17" t="s">
        <v>46</v>
      </c>
      <c r="AB4045" s="17" t="s">
        <v>1268</v>
      </c>
      <c r="AC4045" s="102" t="s">
        <v>1161</v>
      </c>
      <c r="AD4045" s="65">
        <v>1492</v>
      </c>
      <c r="AE4045" s="17" t="s">
        <v>74</v>
      </c>
    </row>
    <row r="4046" s="17" customFormat="1" ht="15.6" hidden="1" spans="1:31">
      <c r="A4046" s="17" t="s">
        <v>34</v>
      </c>
      <c r="B4046" s="19">
        <v>933</v>
      </c>
      <c r="C4046" s="222">
        <v>44934</v>
      </c>
      <c r="D4046" s="17" t="s">
        <v>52</v>
      </c>
      <c r="E4046" s="17" t="s">
        <v>53</v>
      </c>
      <c r="F4046" s="17" t="s">
        <v>54</v>
      </c>
      <c r="H4046" s="19">
        <v>1.2379</v>
      </c>
      <c r="I4046" s="19"/>
      <c r="J4046" s="17" t="s">
        <v>39</v>
      </c>
      <c r="K4046" s="295">
        <v>81</v>
      </c>
      <c r="M4046" s="295">
        <v>3000</v>
      </c>
      <c r="N4046" s="19" t="s">
        <v>40</v>
      </c>
      <c r="O4046" s="19" t="s">
        <v>50</v>
      </c>
      <c r="P4046" s="300">
        <v>1000</v>
      </c>
      <c r="Q4046" s="19">
        <v>916</v>
      </c>
      <c r="R4046" s="19">
        <f t="shared" si="190"/>
        <v>84</v>
      </c>
      <c r="S4046" s="301">
        <v>2300</v>
      </c>
      <c r="T4046" s="147" t="s">
        <v>42</v>
      </c>
      <c r="U4046" s="102" t="s">
        <v>1268</v>
      </c>
      <c r="V4046" s="253">
        <v>44993</v>
      </c>
      <c r="W4046" s="17" t="s">
        <v>58</v>
      </c>
      <c r="Y4046" s="68">
        <v>45222</v>
      </c>
      <c r="Z4046" s="17" t="s">
        <v>191</v>
      </c>
      <c r="AA4046" s="17" t="s">
        <v>46</v>
      </c>
      <c r="AB4046" s="17" t="s">
        <v>1268</v>
      </c>
      <c r="AC4046" s="102" t="s">
        <v>1161</v>
      </c>
      <c r="AD4046" s="65">
        <v>1492</v>
      </c>
      <c r="AE4046" s="17" t="s">
        <v>74</v>
      </c>
    </row>
    <row r="4047" s="17" customFormat="1" ht="15.6" hidden="1" spans="1:31">
      <c r="A4047" s="17" t="s">
        <v>34</v>
      </c>
      <c r="B4047" s="19">
        <v>933</v>
      </c>
      <c r="C4047" s="222">
        <v>44934</v>
      </c>
      <c r="D4047" s="17" t="s">
        <v>52</v>
      </c>
      <c r="E4047" s="17" t="s">
        <v>53</v>
      </c>
      <c r="F4047" s="17" t="s">
        <v>54</v>
      </c>
      <c r="H4047" s="19">
        <v>1.2379</v>
      </c>
      <c r="I4047" s="19"/>
      <c r="J4047" s="17" t="s">
        <v>39</v>
      </c>
      <c r="K4047" s="295">
        <v>91</v>
      </c>
      <c r="M4047" s="295">
        <v>3000</v>
      </c>
      <c r="N4047" s="19" t="s">
        <v>40</v>
      </c>
      <c r="O4047" s="19" t="s">
        <v>50</v>
      </c>
      <c r="P4047" s="302">
        <v>1000</v>
      </c>
      <c r="Q4047" s="19">
        <v>848</v>
      </c>
      <c r="R4047" s="19">
        <f t="shared" si="190"/>
        <v>152</v>
      </c>
      <c r="S4047" s="301">
        <v>2300</v>
      </c>
      <c r="T4047" s="147" t="s">
        <v>42</v>
      </c>
      <c r="U4047" s="102" t="s">
        <v>1268</v>
      </c>
      <c r="V4047" s="253">
        <v>44993</v>
      </c>
      <c r="W4047" s="17" t="s">
        <v>58</v>
      </c>
      <c r="Y4047" s="68">
        <v>45222</v>
      </c>
      <c r="Z4047" s="17" t="s">
        <v>191</v>
      </c>
      <c r="AA4047" s="17" t="s">
        <v>46</v>
      </c>
      <c r="AB4047" s="17" t="s">
        <v>1268</v>
      </c>
      <c r="AC4047" s="102" t="s">
        <v>1161</v>
      </c>
      <c r="AD4047" s="65">
        <v>1492</v>
      </c>
      <c r="AE4047" s="17" t="s">
        <v>74</v>
      </c>
    </row>
    <row r="4048" s="17" customFormat="1" ht="15.6" hidden="1" spans="1:31">
      <c r="A4048" s="17" t="s">
        <v>34</v>
      </c>
      <c r="B4048" s="19">
        <v>933</v>
      </c>
      <c r="C4048" s="222">
        <v>44934</v>
      </c>
      <c r="D4048" s="17" t="s">
        <v>52</v>
      </c>
      <c r="E4048" s="17" t="s">
        <v>53</v>
      </c>
      <c r="F4048" s="17" t="s">
        <v>54</v>
      </c>
      <c r="H4048" s="19">
        <v>1.2379</v>
      </c>
      <c r="I4048" s="19"/>
      <c r="J4048" s="17" t="s">
        <v>39</v>
      </c>
      <c r="K4048" s="295">
        <v>101</v>
      </c>
      <c r="M4048" s="295">
        <v>3000</v>
      </c>
      <c r="N4048" s="19" t="s">
        <v>40</v>
      </c>
      <c r="O4048" s="19" t="s">
        <v>50</v>
      </c>
      <c r="P4048" s="300">
        <v>1000</v>
      </c>
      <c r="Q4048" s="19">
        <v>866</v>
      </c>
      <c r="R4048" s="19">
        <f t="shared" si="190"/>
        <v>134</v>
      </c>
      <c r="S4048" s="301">
        <v>2300</v>
      </c>
      <c r="T4048" s="147" t="s">
        <v>42</v>
      </c>
      <c r="U4048" s="102" t="s">
        <v>1268</v>
      </c>
      <c r="V4048" s="253">
        <v>44993</v>
      </c>
      <c r="W4048" s="17" t="s">
        <v>58</v>
      </c>
      <c r="Y4048" s="68">
        <v>45222</v>
      </c>
      <c r="Z4048" s="17" t="s">
        <v>191</v>
      </c>
      <c r="AA4048" s="17" t="s">
        <v>46</v>
      </c>
      <c r="AB4048" s="17" t="s">
        <v>1268</v>
      </c>
      <c r="AC4048" s="102" t="s">
        <v>1161</v>
      </c>
      <c r="AD4048" s="65">
        <v>1492</v>
      </c>
      <c r="AE4048" s="17" t="s">
        <v>74</v>
      </c>
    </row>
    <row r="4049" s="17" customFormat="1" ht="15.6" hidden="1" spans="1:31">
      <c r="A4049" s="17" t="s">
        <v>34</v>
      </c>
      <c r="B4049" s="19">
        <v>933</v>
      </c>
      <c r="C4049" s="222">
        <v>44934</v>
      </c>
      <c r="D4049" s="17" t="s">
        <v>52</v>
      </c>
      <c r="E4049" s="17" t="s">
        <v>53</v>
      </c>
      <c r="F4049" s="17" t="s">
        <v>54</v>
      </c>
      <c r="H4049" s="19">
        <v>1.2379</v>
      </c>
      <c r="I4049" s="19"/>
      <c r="J4049" s="17" t="s">
        <v>39</v>
      </c>
      <c r="K4049" s="295">
        <v>105</v>
      </c>
      <c r="M4049" s="295">
        <v>3000</v>
      </c>
      <c r="N4049" s="19" t="s">
        <v>40</v>
      </c>
      <c r="O4049" s="19" t="s">
        <v>50</v>
      </c>
      <c r="P4049" s="302">
        <v>1000</v>
      </c>
      <c r="Q4049" s="19">
        <v>292</v>
      </c>
      <c r="R4049" s="19">
        <f t="shared" si="190"/>
        <v>708</v>
      </c>
      <c r="S4049" s="301">
        <v>2300</v>
      </c>
      <c r="T4049" s="147" t="s">
        <v>42</v>
      </c>
      <c r="U4049" s="102" t="s">
        <v>1268</v>
      </c>
      <c r="V4049" s="253">
        <v>44993</v>
      </c>
      <c r="W4049" s="17" t="s">
        <v>58</v>
      </c>
      <c r="Y4049" s="68">
        <v>45222</v>
      </c>
      <c r="Z4049" s="17" t="s">
        <v>191</v>
      </c>
      <c r="AA4049" s="17" t="s">
        <v>46</v>
      </c>
      <c r="AB4049" s="17" t="s">
        <v>1268</v>
      </c>
      <c r="AC4049" s="102" t="s">
        <v>1161</v>
      </c>
      <c r="AD4049" s="65">
        <v>1492</v>
      </c>
      <c r="AE4049" s="17" t="s">
        <v>74</v>
      </c>
    </row>
    <row r="4050" s="17" customFormat="1" ht="15.6" hidden="1" spans="1:31">
      <c r="A4050" s="17" t="s">
        <v>34</v>
      </c>
      <c r="B4050" s="19">
        <v>933</v>
      </c>
      <c r="C4050" s="222">
        <v>44934</v>
      </c>
      <c r="D4050" s="17" t="s">
        <v>52</v>
      </c>
      <c r="E4050" s="17" t="s">
        <v>53</v>
      </c>
      <c r="F4050" s="17" t="s">
        <v>54</v>
      </c>
      <c r="H4050" s="19">
        <v>1.2379</v>
      </c>
      <c r="I4050" s="19"/>
      <c r="J4050" s="17" t="s">
        <v>39</v>
      </c>
      <c r="K4050" s="295">
        <v>110</v>
      </c>
      <c r="M4050" s="295">
        <v>3000</v>
      </c>
      <c r="N4050" s="19" t="s">
        <v>40</v>
      </c>
      <c r="O4050" s="19" t="s">
        <v>50</v>
      </c>
      <c r="P4050" s="300">
        <v>1000</v>
      </c>
      <c r="Q4050" s="19">
        <v>1267</v>
      </c>
      <c r="R4050" s="19">
        <f t="shared" si="190"/>
        <v>-267</v>
      </c>
      <c r="S4050" s="301">
        <v>2300</v>
      </c>
      <c r="T4050" s="147" t="s">
        <v>42</v>
      </c>
      <c r="U4050" s="102" t="s">
        <v>1268</v>
      </c>
      <c r="V4050" s="253">
        <v>44993</v>
      </c>
      <c r="W4050" s="17" t="s">
        <v>58</v>
      </c>
      <c r="Y4050" s="68">
        <v>45222</v>
      </c>
      <c r="Z4050" s="17" t="s">
        <v>191</v>
      </c>
      <c r="AA4050" s="17" t="s">
        <v>46</v>
      </c>
      <c r="AB4050" s="17" t="s">
        <v>1268</v>
      </c>
      <c r="AC4050" s="102" t="s">
        <v>1161</v>
      </c>
      <c r="AD4050" s="65">
        <v>1492</v>
      </c>
      <c r="AE4050" s="17" t="s">
        <v>74</v>
      </c>
    </row>
    <row r="4051" s="17" customFormat="1" ht="15.6" hidden="1" spans="1:31">
      <c r="A4051" s="17" t="s">
        <v>34</v>
      </c>
      <c r="B4051" s="19">
        <v>933</v>
      </c>
      <c r="C4051" s="222">
        <v>44934</v>
      </c>
      <c r="D4051" s="17" t="s">
        <v>52</v>
      </c>
      <c r="E4051" s="17" t="s">
        <v>53</v>
      </c>
      <c r="F4051" s="17" t="s">
        <v>54</v>
      </c>
      <c r="H4051" s="19">
        <v>1.2379</v>
      </c>
      <c r="I4051" s="19"/>
      <c r="J4051" s="17" t="s">
        <v>39</v>
      </c>
      <c r="K4051" s="295">
        <v>115</v>
      </c>
      <c r="M4051" s="295">
        <v>3000</v>
      </c>
      <c r="N4051" s="19" t="s">
        <v>40</v>
      </c>
      <c r="O4051" s="19" t="s">
        <v>50</v>
      </c>
      <c r="P4051" s="302">
        <v>1000</v>
      </c>
      <c r="Q4051" s="19">
        <v>1757</v>
      </c>
      <c r="R4051" s="19">
        <f t="shared" si="190"/>
        <v>-757</v>
      </c>
      <c r="S4051" s="301">
        <v>2300</v>
      </c>
      <c r="T4051" s="147" t="s">
        <v>42</v>
      </c>
      <c r="U4051" s="102" t="s">
        <v>1268</v>
      </c>
      <c r="V4051" s="253">
        <v>44993</v>
      </c>
      <c r="W4051" s="17" t="s">
        <v>58</v>
      </c>
      <c r="Y4051" s="68">
        <v>45222</v>
      </c>
      <c r="Z4051" s="17" t="s">
        <v>191</v>
      </c>
      <c r="AA4051" s="17" t="s">
        <v>46</v>
      </c>
      <c r="AB4051" s="17" t="s">
        <v>1268</v>
      </c>
      <c r="AC4051" s="102" t="s">
        <v>1161</v>
      </c>
      <c r="AD4051" s="65">
        <v>1492</v>
      </c>
      <c r="AE4051" s="17" t="s">
        <v>74</v>
      </c>
    </row>
    <row r="4052" s="17" customFormat="1" ht="15.6" hidden="1" spans="1:31">
      <c r="A4052" s="17" t="s">
        <v>34</v>
      </c>
      <c r="B4052" s="19">
        <v>933</v>
      </c>
      <c r="C4052" s="222">
        <v>44934</v>
      </c>
      <c r="D4052" s="17" t="s">
        <v>52</v>
      </c>
      <c r="E4052" s="17" t="s">
        <v>53</v>
      </c>
      <c r="F4052" s="17" t="s">
        <v>54</v>
      </c>
      <c r="H4052" s="19">
        <v>1.2379</v>
      </c>
      <c r="I4052" s="19"/>
      <c r="J4052" s="17" t="s">
        <v>39</v>
      </c>
      <c r="K4052" s="295">
        <v>121</v>
      </c>
      <c r="M4052" s="295">
        <v>3000</v>
      </c>
      <c r="N4052" s="19" t="s">
        <v>40</v>
      </c>
      <c r="O4052" s="19" t="s">
        <v>50</v>
      </c>
      <c r="P4052" s="300">
        <v>1000</v>
      </c>
      <c r="Q4052" s="19">
        <v>220</v>
      </c>
      <c r="R4052" s="19">
        <f t="shared" si="190"/>
        <v>780</v>
      </c>
      <c r="S4052" s="301">
        <v>2300</v>
      </c>
      <c r="T4052" s="147" t="s">
        <v>42</v>
      </c>
      <c r="U4052" s="102" t="s">
        <v>1268</v>
      </c>
      <c r="V4052" s="253">
        <v>44993</v>
      </c>
      <c r="W4052" s="17" t="s">
        <v>58</v>
      </c>
      <c r="Y4052" s="68">
        <v>45222</v>
      </c>
      <c r="Z4052" s="17" t="s">
        <v>191</v>
      </c>
      <c r="AA4052" s="17" t="s">
        <v>46</v>
      </c>
      <c r="AB4052" s="17" t="s">
        <v>1268</v>
      </c>
      <c r="AC4052" s="102" t="s">
        <v>1161</v>
      </c>
      <c r="AD4052" s="65">
        <v>1492</v>
      </c>
      <c r="AE4052" s="17" t="s">
        <v>74</v>
      </c>
    </row>
    <row r="4053" s="17" customFormat="1" ht="15.6" hidden="1" spans="1:31">
      <c r="A4053" s="17" t="s">
        <v>34</v>
      </c>
      <c r="B4053" s="19">
        <v>933</v>
      </c>
      <c r="C4053" s="222">
        <v>44934</v>
      </c>
      <c r="D4053" s="17" t="s">
        <v>52</v>
      </c>
      <c r="E4053" s="17" t="s">
        <v>53</v>
      </c>
      <c r="F4053" s="17" t="s">
        <v>54</v>
      </c>
      <c r="H4053" s="19">
        <v>1.2379</v>
      </c>
      <c r="I4053" s="19"/>
      <c r="J4053" s="17" t="s">
        <v>39</v>
      </c>
      <c r="K4053" s="295">
        <v>125</v>
      </c>
      <c r="M4053" s="295">
        <v>3000</v>
      </c>
      <c r="N4053" s="19" t="s">
        <v>40</v>
      </c>
      <c r="O4053" s="19" t="s">
        <v>50</v>
      </c>
      <c r="P4053" s="302">
        <v>1000</v>
      </c>
      <c r="Q4053" s="19">
        <v>1292</v>
      </c>
      <c r="R4053" s="19">
        <f t="shared" si="190"/>
        <v>-292</v>
      </c>
      <c r="S4053" s="301">
        <v>2300</v>
      </c>
      <c r="T4053" s="147" t="s">
        <v>42</v>
      </c>
      <c r="U4053" s="102" t="s">
        <v>1268</v>
      </c>
      <c r="V4053" s="253">
        <v>44993</v>
      </c>
      <c r="W4053" s="17" t="s">
        <v>58</v>
      </c>
      <c r="Y4053" s="68">
        <v>45222</v>
      </c>
      <c r="Z4053" s="17" t="s">
        <v>191</v>
      </c>
      <c r="AA4053" s="17" t="s">
        <v>46</v>
      </c>
      <c r="AB4053" s="17" t="s">
        <v>1268</v>
      </c>
      <c r="AC4053" s="102" t="s">
        <v>1161</v>
      </c>
      <c r="AD4053" s="65">
        <v>1492</v>
      </c>
      <c r="AE4053" s="17" t="s">
        <v>74</v>
      </c>
    </row>
    <row r="4054" s="17" customFormat="1" ht="15.6" hidden="1" spans="1:31">
      <c r="A4054" s="17" t="s">
        <v>34</v>
      </c>
      <c r="B4054" s="19">
        <v>933</v>
      </c>
      <c r="C4054" s="222">
        <v>44934</v>
      </c>
      <c r="D4054" s="17" t="s">
        <v>52</v>
      </c>
      <c r="E4054" s="17" t="s">
        <v>53</v>
      </c>
      <c r="F4054" s="17" t="s">
        <v>54</v>
      </c>
      <c r="H4054" s="19">
        <v>1.2379</v>
      </c>
      <c r="I4054" s="19"/>
      <c r="J4054" s="17" t="s">
        <v>39</v>
      </c>
      <c r="K4054" s="295">
        <v>131</v>
      </c>
      <c r="M4054" s="295">
        <v>3000</v>
      </c>
      <c r="N4054" s="19" t="s">
        <v>40</v>
      </c>
      <c r="O4054" s="19" t="s">
        <v>50</v>
      </c>
      <c r="P4054" s="300">
        <v>1000</v>
      </c>
      <c r="Q4054" s="19">
        <f>455+353</f>
        <v>808</v>
      </c>
      <c r="R4054" s="19">
        <f t="shared" si="190"/>
        <v>192</v>
      </c>
      <c r="S4054" s="301">
        <v>2300</v>
      </c>
      <c r="T4054" s="147" t="s">
        <v>42</v>
      </c>
      <c r="U4054" s="102" t="s">
        <v>1268</v>
      </c>
      <c r="V4054" s="253">
        <v>44993</v>
      </c>
      <c r="W4054" s="17" t="s">
        <v>58</v>
      </c>
      <c r="Y4054" s="68">
        <v>45222</v>
      </c>
      <c r="Z4054" s="17" t="s">
        <v>191</v>
      </c>
      <c r="AA4054" s="17" t="s">
        <v>46</v>
      </c>
      <c r="AB4054" s="17" t="s">
        <v>1268</v>
      </c>
      <c r="AC4054" s="102" t="s">
        <v>1161</v>
      </c>
      <c r="AD4054" s="65">
        <v>1492</v>
      </c>
      <c r="AE4054" s="17" t="s">
        <v>74</v>
      </c>
    </row>
    <row r="4055" s="17" customFormat="1" ht="15.6" hidden="1" spans="1:31">
      <c r="A4055" s="17" t="s">
        <v>34</v>
      </c>
      <c r="B4055" s="19">
        <v>933</v>
      </c>
      <c r="C4055" s="222">
        <v>44934</v>
      </c>
      <c r="D4055" s="17" t="s">
        <v>52</v>
      </c>
      <c r="E4055" s="17" t="s">
        <v>53</v>
      </c>
      <c r="F4055" s="17" t="s">
        <v>54</v>
      </c>
      <c r="H4055" s="19">
        <v>1.2379</v>
      </c>
      <c r="I4055" s="19"/>
      <c r="J4055" s="17" t="s">
        <v>39</v>
      </c>
      <c r="K4055" s="295">
        <v>141</v>
      </c>
      <c r="M4055" s="295">
        <v>3000</v>
      </c>
      <c r="N4055" s="19" t="s">
        <v>40</v>
      </c>
      <c r="O4055" s="19" t="s">
        <v>50</v>
      </c>
      <c r="P4055" s="302">
        <v>1000</v>
      </c>
      <c r="Q4055" s="19">
        <f>565+644</f>
        <v>1209</v>
      </c>
      <c r="R4055" s="19">
        <f t="shared" si="190"/>
        <v>-209</v>
      </c>
      <c r="S4055" s="301">
        <v>2300</v>
      </c>
      <c r="T4055" s="147" t="s">
        <v>42</v>
      </c>
      <c r="U4055" s="102" t="s">
        <v>1268</v>
      </c>
      <c r="V4055" s="253">
        <v>44993</v>
      </c>
      <c r="W4055" s="17" t="s">
        <v>58</v>
      </c>
      <c r="Y4055" s="68">
        <v>45222</v>
      </c>
      <c r="Z4055" s="17" t="s">
        <v>191</v>
      </c>
      <c r="AA4055" s="17" t="s">
        <v>46</v>
      </c>
      <c r="AB4055" s="17" t="s">
        <v>1268</v>
      </c>
      <c r="AC4055" s="102" t="s">
        <v>1161</v>
      </c>
      <c r="AD4055" s="65">
        <v>1492</v>
      </c>
      <c r="AE4055" s="17" t="s">
        <v>74</v>
      </c>
    </row>
    <row r="4056" s="17" customFormat="1" ht="15.6" hidden="1" spans="1:31">
      <c r="A4056" s="17" t="s">
        <v>34</v>
      </c>
      <c r="B4056" s="19">
        <v>933</v>
      </c>
      <c r="C4056" s="222">
        <v>44934</v>
      </c>
      <c r="D4056" s="17" t="s">
        <v>52</v>
      </c>
      <c r="E4056" s="17" t="s">
        <v>53</v>
      </c>
      <c r="F4056" s="17" t="s">
        <v>54</v>
      </c>
      <c r="H4056" s="19">
        <v>1.2379</v>
      </c>
      <c r="I4056" s="19"/>
      <c r="J4056" s="17" t="s">
        <v>39</v>
      </c>
      <c r="K4056" s="295">
        <v>151</v>
      </c>
      <c r="M4056" s="295">
        <v>3000</v>
      </c>
      <c r="N4056" s="19" t="s">
        <v>40</v>
      </c>
      <c r="O4056" s="19" t="s">
        <v>50</v>
      </c>
      <c r="P4056" s="300">
        <v>1000</v>
      </c>
      <c r="Q4056" s="19">
        <v>650</v>
      </c>
      <c r="R4056" s="19">
        <f t="shared" si="190"/>
        <v>350</v>
      </c>
      <c r="S4056" s="301">
        <v>2300</v>
      </c>
      <c r="T4056" s="147" t="s">
        <v>42</v>
      </c>
      <c r="U4056" s="102" t="s">
        <v>1268</v>
      </c>
      <c r="V4056" s="253">
        <v>44993</v>
      </c>
      <c r="W4056" s="17" t="s">
        <v>58</v>
      </c>
      <c r="Y4056" s="68">
        <v>45222</v>
      </c>
      <c r="Z4056" s="17" t="s">
        <v>191</v>
      </c>
      <c r="AA4056" s="17" t="s">
        <v>46</v>
      </c>
      <c r="AB4056" s="17" t="s">
        <v>1268</v>
      </c>
      <c r="AC4056" s="102" t="s">
        <v>1161</v>
      </c>
      <c r="AD4056" s="65">
        <v>1492</v>
      </c>
      <c r="AE4056" s="17" t="s">
        <v>74</v>
      </c>
    </row>
    <row r="4057" s="17" customFormat="1" ht="15.6" hidden="1" spans="1:31">
      <c r="A4057" s="17" t="s">
        <v>34</v>
      </c>
      <c r="B4057" s="19">
        <v>933</v>
      </c>
      <c r="C4057" s="222">
        <v>44934</v>
      </c>
      <c r="D4057" s="17" t="s">
        <v>52</v>
      </c>
      <c r="E4057" s="17" t="s">
        <v>53</v>
      </c>
      <c r="F4057" s="17" t="s">
        <v>54</v>
      </c>
      <c r="H4057" s="19">
        <v>1.2379</v>
      </c>
      <c r="I4057" s="19"/>
      <c r="J4057" s="17" t="s">
        <v>39</v>
      </c>
      <c r="K4057" s="295">
        <v>162</v>
      </c>
      <c r="M4057" s="295">
        <v>3000</v>
      </c>
      <c r="N4057" s="19" t="s">
        <v>40</v>
      </c>
      <c r="O4057" s="19" t="s">
        <v>50</v>
      </c>
      <c r="P4057" s="302">
        <v>1000</v>
      </c>
      <c r="Q4057" s="19">
        <v>800</v>
      </c>
      <c r="R4057" s="19">
        <f t="shared" si="190"/>
        <v>200</v>
      </c>
      <c r="S4057" s="301">
        <v>2300</v>
      </c>
      <c r="T4057" s="147" t="s">
        <v>42</v>
      </c>
      <c r="U4057" s="102" t="s">
        <v>1268</v>
      </c>
      <c r="V4057" s="253">
        <v>44993</v>
      </c>
      <c r="W4057" s="17" t="s">
        <v>58</v>
      </c>
      <c r="Y4057" s="68">
        <v>45222</v>
      </c>
      <c r="Z4057" s="17" t="s">
        <v>191</v>
      </c>
      <c r="AA4057" s="17" t="s">
        <v>46</v>
      </c>
      <c r="AB4057" s="17" t="s">
        <v>1268</v>
      </c>
      <c r="AC4057" s="102" t="s">
        <v>1161</v>
      </c>
      <c r="AD4057" s="65">
        <v>1492</v>
      </c>
      <c r="AE4057" s="17" t="s">
        <v>74</v>
      </c>
    </row>
    <row r="4058" s="17" customFormat="1" ht="15.6" hidden="1" spans="1:31">
      <c r="A4058" s="17" t="s">
        <v>34</v>
      </c>
      <c r="B4058" s="19">
        <v>933</v>
      </c>
      <c r="C4058" s="222">
        <v>44934</v>
      </c>
      <c r="D4058" s="17" t="s">
        <v>52</v>
      </c>
      <c r="E4058" s="17" t="s">
        <v>53</v>
      </c>
      <c r="F4058" s="17" t="s">
        <v>54</v>
      </c>
      <c r="H4058" s="19">
        <v>1.2379</v>
      </c>
      <c r="I4058" s="19"/>
      <c r="J4058" s="17" t="s">
        <v>39</v>
      </c>
      <c r="K4058" s="295">
        <v>172</v>
      </c>
      <c r="M4058" s="295">
        <v>3000</v>
      </c>
      <c r="N4058" s="19" t="s">
        <v>40</v>
      </c>
      <c r="O4058" s="19" t="s">
        <v>50</v>
      </c>
      <c r="P4058" s="300">
        <v>1000</v>
      </c>
      <c r="Q4058" s="19">
        <v>836</v>
      </c>
      <c r="R4058" s="19">
        <f t="shared" si="190"/>
        <v>164</v>
      </c>
      <c r="S4058" s="301">
        <v>2300</v>
      </c>
      <c r="T4058" s="147" t="s">
        <v>42</v>
      </c>
      <c r="U4058" s="102" t="s">
        <v>1268</v>
      </c>
      <c r="V4058" s="253">
        <v>44993</v>
      </c>
      <c r="W4058" s="17" t="s">
        <v>58</v>
      </c>
      <c r="Y4058" s="68">
        <v>45222</v>
      </c>
      <c r="Z4058" s="17" t="s">
        <v>191</v>
      </c>
      <c r="AA4058" s="17" t="s">
        <v>46</v>
      </c>
      <c r="AB4058" s="17" t="s">
        <v>1268</v>
      </c>
      <c r="AC4058" s="102" t="s">
        <v>1161</v>
      </c>
      <c r="AD4058" s="65">
        <v>1492</v>
      </c>
      <c r="AE4058" s="17" t="s">
        <v>74</v>
      </c>
    </row>
    <row r="4059" s="17" customFormat="1" ht="15.6" hidden="1" spans="1:31">
      <c r="A4059" s="17" t="s">
        <v>34</v>
      </c>
      <c r="B4059" s="19">
        <v>933</v>
      </c>
      <c r="C4059" s="222">
        <v>44934</v>
      </c>
      <c r="D4059" s="17" t="s">
        <v>52</v>
      </c>
      <c r="E4059" s="17" t="s">
        <v>53</v>
      </c>
      <c r="F4059" s="17" t="s">
        <v>54</v>
      </c>
      <c r="H4059" s="19">
        <v>1.2379</v>
      </c>
      <c r="I4059" s="19"/>
      <c r="J4059" s="17" t="s">
        <v>39</v>
      </c>
      <c r="K4059" s="295">
        <v>182</v>
      </c>
      <c r="M4059" s="295">
        <v>3000</v>
      </c>
      <c r="N4059" s="19" t="s">
        <v>40</v>
      </c>
      <c r="O4059" s="19" t="s">
        <v>50</v>
      </c>
      <c r="P4059" s="302">
        <v>1000</v>
      </c>
      <c r="Q4059" s="19">
        <v>1005</v>
      </c>
      <c r="R4059" s="19">
        <f t="shared" si="190"/>
        <v>-5</v>
      </c>
      <c r="S4059" s="301">
        <v>2300</v>
      </c>
      <c r="T4059" s="147" t="s">
        <v>42</v>
      </c>
      <c r="U4059" s="102" t="s">
        <v>1268</v>
      </c>
      <c r="V4059" s="253">
        <v>44993</v>
      </c>
      <c r="W4059" s="17" t="s">
        <v>58</v>
      </c>
      <c r="Y4059" s="68">
        <v>45222</v>
      </c>
      <c r="Z4059" s="17" t="s">
        <v>191</v>
      </c>
      <c r="AA4059" s="17" t="s">
        <v>46</v>
      </c>
      <c r="AB4059" s="17" t="s">
        <v>1268</v>
      </c>
      <c r="AC4059" s="102" t="s">
        <v>1161</v>
      </c>
      <c r="AD4059" s="65">
        <v>1492</v>
      </c>
      <c r="AE4059" s="17" t="s">
        <v>74</v>
      </c>
    </row>
    <row r="4060" s="17" customFormat="1" ht="15.6" hidden="1" spans="1:31">
      <c r="A4060" s="17" t="s">
        <v>34</v>
      </c>
      <c r="B4060" s="19">
        <v>933</v>
      </c>
      <c r="C4060" s="222">
        <v>44934</v>
      </c>
      <c r="D4060" s="17" t="s">
        <v>52</v>
      </c>
      <c r="E4060" s="17" t="s">
        <v>53</v>
      </c>
      <c r="F4060" s="17" t="s">
        <v>54</v>
      </c>
      <c r="H4060" s="19">
        <v>1.2379</v>
      </c>
      <c r="I4060" s="19"/>
      <c r="J4060" s="17" t="s">
        <v>39</v>
      </c>
      <c r="K4060" s="295">
        <v>202</v>
      </c>
      <c r="M4060" s="295">
        <v>3000</v>
      </c>
      <c r="N4060" s="19" t="s">
        <v>40</v>
      </c>
      <c r="O4060" s="19" t="s">
        <v>50</v>
      </c>
      <c r="P4060" s="300">
        <v>1000</v>
      </c>
      <c r="Q4060" s="19">
        <v>1278</v>
      </c>
      <c r="R4060" s="19">
        <f t="shared" ref="R4060:R4091" si="191">+P4060-Q4060</f>
        <v>-278</v>
      </c>
      <c r="S4060" s="301">
        <v>2300</v>
      </c>
      <c r="T4060" s="147" t="s">
        <v>42</v>
      </c>
      <c r="U4060" s="102" t="s">
        <v>1268</v>
      </c>
      <c r="V4060" s="253">
        <v>44993</v>
      </c>
      <c r="W4060" s="17" t="s">
        <v>58</v>
      </c>
      <c r="Y4060" s="68">
        <v>45222</v>
      </c>
      <c r="Z4060" s="17" t="s">
        <v>191</v>
      </c>
      <c r="AA4060" s="17" t="s">
        <v>46</v>
      </c>
      <c r="AB4060" s="17" t="s">
        <v>1268</v>
      </c>
      <c r="AC4060" s="102" t="s">
        <v>1161</v>
      </c>
      <c r="AD4060" s="65">
        <v>1492</v>
      </c>
      <c r="AE4060" s="17" t="s">
        <v>74</v>
      </c>
    </row>
    <row r="4061" s="17" customFormat="1" ht="15.6" hidden="1" spans="1:31">
      <c r="A4061" s="17" t="s">
        <v>34</v>
      </c>
      <c r="B4061" s="19">
        <v>933</v>
      </c>
      <c r="C4061" s="222">
        <v>44934</v>
      </c>
      <c r="D4061" s="17" t="s">
        <v>52</v>
      </c>
      <c r="E4061" s="17" t="s">
        <v>53</v>
      </c>
      <c r="F4061" s="17" t="s">
        <v>54</v>
      </c>
      <c r="H4061" s="19">
        <v>1.2379</v>
      </c>
      <c r="I4061" s="19"/>
      <c r="J4061" s="17" t="s">
        <v>39</v>
      </c>
      <c r="K4061" s="298">
        <v>212</v>
      </c>
      <c r="M4061" s="298">
        <v>3000</v>
      </c>
      <c r="N4061" s="147" t="s">
        <v>40</v>
      </c>
      <c r="O4061" s="147" t="s">
        <v>50</v>
      </c>
      <c r="P4061" s="303">
        <v>1000</v>
      </c>
      <c r="Q4061" s="147">
        <v>1261</v>
      </c>
      <c r="R4061" s="147">
        <f t="shared" si="191"/>
        <v>-261</v>
      </c>
      <c r="S4061" s="304">
        <v>2300</v>
      </c>
      <c r="T4061" s="147" t="s">
        <v>42</v>
      </c>
      <c r="U4061" s="102" t="s">
        <v>1268</v>
      </c>
      <c r="V4061" s="253">
        <v>44993</v>
      </c>
      <c r="W4061" s="17" t="s">
        <v>58</v>
      </c>
      <c r="Y4061" s="68">
        <v>45222</v>
      </c>
      <c r="Z4061" s="17" t="s">
        <v>191</v>
      </c>
      <c r="AA4061" s="17" t="s">
        <v>46</v>
      </c>
      <c r="AB4061" s="17" t="s">
        <v>1268</v>
      </c>
      <c r="AC4061" s="102" t="s">
        <v>1161</v>
      </c>
      <c r="AD4061" s="65">
        <v>1492</v>
      </c>
      <c r="AE4061" s="17" t="s">
        <v>74</v>
      </c>
    </row>
    <row r="4062" s="17" customFormat="1" hidden="1" spans="1:31">
      <c r="A4062" s="17" t="s">
        <v>34</v>
      </c>
      <c r="B4062" s="19">
        <v>934</v>
      </c>
      <c r="C4062" s="222">
        <v>45115</v>
      </c>
      <c r="D4062" s="17" t="s">
        <v>52</v>
      </c>
      <c r="E4062" s="17" t="s">
        <v>1270</v>
      </c>
      <c r="F4062" s="17" t="s">
        <v>54</v>
      </c>
      <c r="H4062" s="19" t="s">
        <v>548</v>
      </c>
      <c r="I4062" s="19"/>
      <c r="J4062" s="17" t="s">
        <v>49</v>
      </c>
      <c r="K4062" s="162">
        <v>2000</v>
      </c>
      <c r="L4062" s="91">
        <v>6</v>
      </c>
      <c r="M4062" s="19">
        <v>6000</v>
      </c>
      <c r="N4062" s="19" t="s">
        <v>66</v>
      </c>
      <c r="O4062" s="19" t="s">
        <v>141</v>
      </c>
      <c r="P4062" s="19">
        <v>2826</v>
      </c>
      <c r="Q4062" s="19">
        <v>2877</v>
      </c>
      <c r="R4062" s="19">
        <f t="shared" si="191"/>
        <v>-51</v>
      </c>
      <c r="S4062" s="91">
        <v>940</v>
      </c>
      <c r="T4062" s="147" t="s">
        <v>42</v>
      </c>
      <c r="U4062" s="102" t="s">
        <v>1271</v>
      </c>
      <c r="V4062" s="253" t="s">
        <v>1151</v>
      </c>
      <c r="W4062" s="17" t="s">
        <v>58</v>
      </c>
      <c r="Y4062" s="68">
        <v>45222</v>
      </c>
      <c r="Z4062" s="17" t="s">
        <v>78</v>
      </c>
      <c r="AA4062" s="17" t="s">
        <v>59</v>
      </c>
      <c r="AB4062" s="17" t="s">
        <v>1272</v>
      </c>
      <c r="AC4062" s="217">
        <v>45189</v>
      </c>
      <c r="AD4062" s="65">
        <v>1467</v>
      </c>
      <c r="AE4062" s="17" t="s">
        <v>48</v>
      </c>
    </row>
    <row r="4063" s="17" customFormat="1" hidden="1" spans="1:31">
      <c r="A4063" s="17" t="s">
        <v>34</v>
      </c>
      <c r="B4063" s="19">
        <v>934</v>
      </c>
      <c r="C4063" s="222">
        <v>45115</v>
      </c>
      <c r="D4063" s="17" t="s">
        <v>52</v>
      </c>
      <c r="E4063" s="17" t="s">
        <v>1270</v>
      </c>
      <c r="F4063" s="17" t="s">
        <v>54</v>
      </c>
      <c r="H4063" s="19" t="s">
        <v>548</v>
      </c>
      <c r="I4063" s="19"/>
      <c r="J4063" s="17" t="s">
        <v>49</v>
      </c>
      <c r="K4063" s="162">
        <v>2000</v>
      </c>
      <c r="L4063" s="91">
        <v>10</v>
      </c>
      <c r="M4063" s="19">
        <v>6000</v>
      </c>
      <c r="N4063" s="19" t="s">
        <v>66</v>
      </c>
      <c r="O4063" s="19" t="s">
        <v>141</v>
      </c>
      <c r="P4063" s="160">
        <v>9420</v>
      </c>
      <c r="Q4063" s="19">
        <f>8631+959</f>
        <v>9590</v>
      </c>
      <c r="R4063" s="19">
        <f t="shared" si="191"/>
        <v>-170</v>
      </c>
      <c r="S4063" s="91">
        <v>925</v>
      </c>
      <c r="T4063" s="147" t="s">
        <v>42</v>
      </c>
      <c r="U4063" s="102" t="s">
        <v>1271</v>
      </c>
      <c r="V4063" s="253" t="s">
        <v>1151</v>
      </c>
      <c r="W4063" s="17" t="s">
        <v>58</v>
      </c>
      <c r="Y4063" s="68">
        <v>45222</v>
      </c>
      <c r="Z4063" s="17" t="s">
        <v>78</v>
      </c>
      <c r="AA4063" s="17" t="s">
        <v>59</v>
      </c>
      <c r="AB4063" s="17" t="s">
        <v>1272</v>
      </c>
      <c r="AC4063" s="102" t="s">
        <v>1273</v>
      </c>
      <c r="AD4063" s="65">
        <v>1467</v>
      </c>
      <c r="AE4063" s="17" t="s">
        <v>48</v>
      </c>
    </row>
    <row r="4064" s="17" customFormat="1" hidden="1" spans="1:31">
      <c r="A4064" s="17" t="s">
        <v>34</v>
      </c>
      <c r="B4064" s="19">
        <v>934</v>
      </c>
      <c r="C4064" s="222">
        <v>45115</v>
      </c>
      <c r="D4064" s="17" t="s">
        <v>52</v>
      </c>
      <c r="E4064" s="17" t="s">
        <v>1270</v>
      </c>
      <c r="F4064" s="17" t="s">
        <v>54</v>
      </c>
      <c r="H4064" s="19" t="s">
        <v>548</v>
      </c>
      <c r="I4064" s="19"/>
      <c r="J4064" s="17" t="s">
        <v>49</v>
      </c>
      <c r="K4064" s="162">
        <v>2000</v>
      </c>
      <c r="L4064" s="91">
        <v>12</v>
      </c>
      <c r="M4064" s="19">
        <v>6000</v>
      </c>
      <c r="N4064" s="19" t="s">
        <v>66</v>
      </c>
      <c r="O4064" s="19" t="s">
        <v>141</v>
      </c>
      <c r="P4064" s="160">
        <v>5652</v>
      </c>
      <c r="Q4064" s="19">
        <v>5754</v>
      </c>
      <c r="R4064" s="19">
        <f t="shared" si="191"/>
        <v>-102</v>
      </c>
      <c r="S4064" s="91">
        <v>925</v>
      </c>
      <c r="T4064" s="147" t="s">
        <v>42</v>
      </c>
      <c r="U4064" s="102" t="s">
        <v>1271</v>
      </c>
      <c r="V4064" s="253" t="s">
        <v>1151</v>
      </c>
      <c r="W4064" s="17" t="s">
        <v>58</v>
      </c>
      <c r="Y4064" s="68">
        <v>45222</v>
      </c>
      <c r="Z4064" s="17" t="s">
        <v>78</v>
      </c>
      <c r="AA4064" s="17" t="s">
        <v>59</v>
      </c>
      <c r="AB4064" s="17" t="s">
        <v>1272</v>
      </c>
      <c r="AC4064" s="102" t="s">
        <v>1273</v>
      </c>
      <c r="AD4064" s="65">
        <v>1467</v>
      </c>
      <c r="AE4064" s="17" t="s">
        <v>48</v>
      </c>
    </row>
    <row r="4065" s="17" customFormat="1" hidden="1" spans="1:32">
      <c r="A4065" s="17" t="s">
        <v>34</v>
      </c>
      <c r="B4065" s="19">
        <v>934</v>
      </c>
      <c r="C4065" s="222">
        <v>45115</v>
      </c>
      <c r="D4065" s="17" t="s">
        <v>52</v>
      </c>
      <c r="E4065" s="17" t="s">
        <v>1270</v>
      </c>
      <c r="F4065" s="17" t="s">
        <v>54</v>
      </c>
      <c r="H4065" s="19" t="s">
        <v>548</v>
      </c>
      <c r="I4065" s="19"/>
      <c r="J4065" s="17" t="s">
        <v>49</v>
      </c>
      <c r="K4065" s="162">
        <v>2000</v>
      </c>
      <c r="L4065" s="91">
        <v>20</v>
      </c>
      <c r="M4065" s="19">
        <v>6000</v>
      </c>
      <c r="N4065" s="19" t="s">
        <v>66</v>
      </c>
      <c r="O4065" s="19" t="s">
        <v>141</v>
      </c>
      <c r="P4065" s="160">
        <v>5652</v>
      </c>
      <c r="Q4065" s="19">
        <v>5754</v>
      </c>
      <c r="R4065" s="19">
        <f t="shared" si="191"/>
        <v>-102</v>
      </c>
      <c r="S4065" s="91">
        <v>925</v>
      </c>
      <c r="T4065" s="147" t="s">
        <v>42</v>
      </c>
      <c r="U4065" s="102" t="s">
        <v>1271</v>
      </c>
      <c r="V4065" s="253" t="s">
        <v>1151</v>
      </c>
      <c r="W4065" s="17" t="s">
        <v>58</v>
      </c>
      <c r="Y4065" s="68">
        <v>45222</v>
      </c>
      <c r="Z4065" s="17" t="s">
        <v>78</v>
      </c>
      <c r="AA4065" s="17" t="s">
        <v>59</v>
      </c>
      <c r="AB4065" s="17" t="s">
        <v>1272</v>
      </c>
      <c r="AC4065" s="102" t="s">
        <v>1273</v>
      </c>
      <c r="AD4065" s="65">
        <v>1467</v>
      </c>
      <c r="AE4065" s="17" t="s">
        <v>48</v>
      </c>
    </row>
    <row r="4066" s="17" customFormat="1" hidden="1" spans="1:32">
      <c r="A4066" s="17" t="s">
        <v>34</v>
      </c>
      <c r="B4066" s="19">
        <v>934</v>
      </c>
      <c r="C4066" s="222">
        <v>45115</v>
      </c>
      <c r="D4066" s="17" t="s">
        <v>52</v>
      </c>
      <c r="E4066" s="17" t="s">
        <v>1270</v>
      </c>
      <c r="F4066" s="17" t="s">
        <v>54</v>
      </c>
      <c r="H4066" s="19" t="s">
        <v>548</v>
      </c>
      <c r="I4066" s="19"/>
      <c r="J4066" s="17" t="s">
        <v>49</v>
      </c>
      <c r="K4066" s="162">
        <v>2000</v>
      </c>
      <c r="L4066" s="91">
        <v>25</v>
      </c>
      <c r="M4066" s="19">
        <v>6000</v>
      </c>
      <c r="N4066" s="19" t="s">
        <v>66</v>
      </c>
      <c r="O4066" s="19" t="s">
        <v>141</v>
      </c>
      <c r="P4066" s="160">
        <v>7065</v>
      </c>
      <c r="Q4066" s="19">
        <v>7192</v>
      </c>
      <c r="R4066" s="19">
        <f t="shared" si="191"/>
        <v>-127</v>
      </c>
      <c r="S4066" s="91">
        <v>925</v>
      </c>
      <c r="T4066" s="147" t="s">
        <v>42</v>
      </c>
      <c r="U4066" s="102" t="s">
        <v>1271</v>
      </c>
      <c r="V4066" s="253" t="s">
        <v>1151</v>
      </c>
      <c r="W4066" s="17" t="s">
        <v>58</v>
      </c>
      <c r="Y4066" s="68">
        <v>45222</v>
      </c>
      <c r="Z4066" s="17" t="s">
        <v>78</v>
      </c>
      <c r="AA4066" s="17" t="s">
        <v>59</v>
      </c>
      <c r="AB4066" s="17" t="s">
        <v>1272</v>
      </c>
      <c r="AC4066" s="102" t="s">
        <v>1273</v>
      </c>
      <c r="AD4066" s="65">
        <v>1467</v>
      </c>
      <c r="AE4066" s="17" t="s">
        <v>48</v>
      </c>
    </row>
    <row r="4067" s="17" customFormat="1" hidden="1" spans="1:32">
      <c r="A4067" s="17" t="s">
        <v>34</v>
      </c>
      <c r="B4067" s="19">
        <v>934</v>
      </c>
      <c r="C4067" s="222">
        <v>45115</v>
      </c>
      <c r="D4067" s="17" t="s">
        <v>52</v>
      </c>
      <c r="E4067" s="17" t="s">
        <v>1270</v>
      </c>
      <c r="F4067" s="17" t="s">
        <v>54</v>
      </c>
      <c r="H4067" s="19" t="s">
        <v>548</v>
      </c>
      <c r="I4067" s="19"/>
      <c r="J4067" s="17" t="s">
        <v>49</v>
      </c>
      <c r="K4067" s="162">
        <v>2000</v>
      </c>
      <c r="L4067" s="91">
        <v>30</v>
      </c>
      <c r="M4067" s="19">
        <v>6000</v>
      </c>
      <c r="N4067" s="19" t="s">
        <v>66</v>
      </c>
      <c r="O4067" s="19" t="s">
        <v>141</v>
      </c>
      <c r="P4067" s="160">
        <v>16956</v>
      </c>
      <c r="Q4067" s="19">
        <v>17261</v>
      </c>
      <c r="R4067" s="19">
        <f t="shared" si="191"/>
        <v>-305</v>
      </c>
      <c r="S4067" s="91">
        <v>940</v>
      </c>
      <c r="T4067" s="147" t="s">
        <v>42</v>
      </c>
      <c r="U4067" s="102" t="s">
        <v>1271</v>
      </c>
      <c r="V4067" s="253" t="s">
        <v>1151</v>
      </c>
      <c r="W4067" s="17" t="s">
        <v>58</v>
      </c>
      <c r="Y4067" s="68">
        <v>45222</v>
      </c>
      <c r="Z4067" s="17" t="s">
        <v>78</v>
      </c>
      <c r="AA4067" s="17" t="s">
        <v>59</v>
      </c>
      <c r="AB4067" s="17" t="s">
        <v>1272</v>
      </c>
      <c r="AC4067" s="102" t="s">
        <v>1273</v>
      </c>
      <c r="AD4067" s="65">
        <v>1467</v>
      </c>
      <c r="AE4067" s="17" t="s">
        <v>48</v>
      </c>
    </row>
    <row r="4068" s="17" customFormat="1" hidden="1" spans="1:32">
      <c r="A4068" s="17" t="s">
        <v>34</v>
      </c>
      <c r="B4068" s="19">
        <v>934</v>
      </c>
      <c r="C4068" s="222">
        <v>45115</v>
      </c>
      <c r="D4068" s="17" t="s">
        <v>52</v>
      </c>
      <c r="E4068" s="17" t="s">
        <v>1270</v>
      </c>
      <c r="F4068" s="17" t="s">
        <v>54</v>
      </c>
      <c r="H4068" s="19" t="s">
        <v>548</v>
      </c>
      <c r="I4068" s="19"/>
      <c r="J4068" s="17" t="s">
        <v>49</v>
      </c>
      <c r="K4068" s="162">
        <v>2000</v>
      </c>
      <c r="L4068" s="91">
        <v>32</v>
      </c>
      <c r="M4068" s="19">
        <v>6000</v>
      </c>
      <c r="N4068" s="19" t="s">
        <v>66</v>
      </c>
      <c r="O4068" s="19" t="s">
        <v>141</v>
      </c>
      <c r="P4068" s="160">
        <v>6029</v>
      </c>
      <c r="Q4068" s="19">
        <v>6138</v>
      </c>
      <c r="R4068" s="19">
        <f t="shared" si="191"/>
        <v>-109</v>
      </c>
      <c r="S4068" s="91">
        <v>945</v>
      </c>
      <c r="T4068" s="147" t="s">
        <v>42</v>
      </c>
      <c r="U4068" s="102" t="s">
        <v>1271</v>
      </c>
      <c r="V4068" s="253" t="s">
        <v>1151</v>
      </c>
      <c r="W4068" s="17" t="s">
        <v>58</v>
      </c>
      <c r="Y4068" s="68">
        <v>45222</v>
      </c>
      <c r="Z4068" s="17" t="s">
        <v>78</v>
      </c>
      <c r="AA4068" s="17" t="s">
        <v>59</v>
      </c>
      <c r="AB4068" s="17" t="s">
        <v>1272</v>
      </c>
      <c r="AC4068" s="102" t="s">
        <v>1273</v>
      </c>
      <c r="AD4068" s="65">
        <v>1467</v>
      </c>
      <c r="AE4068" s="17" t="s">
        <v>48</v>
      </c>
    </row>
    <row r="4069" s="17" customFormat="1" hidden="1" spans="1:32">
      <c r="A4069" s="17" t="s">
        <v>34</v>
      </c>
      <c r="B4069" s="19">
        <v>934</v>
      </c>
      <c r="C4069" s="222">
        <v>45115</v>
      </c>
      <c r="D4069" s="17" t="s">
        <v>52</v>
      </c>
      <c r="E4069" s="17" t="s">
        <v>1270</v>
      </c>
      <c r="F4069" s="17" t="s">
        <v>54</v>
      </c>
      <c r="H4069" s="19" t="s">
        <v>548</v>
      </c>
      <c r="I4069" s="19"/>
      <c r="J4069" s="17" t="s">
        <v>49</v>
      </c>
      <c r="K4069" s="162">
        <v>2000</v>
      </c>
      <c r="L4069" s="91">
        <v>35</v>
      </c>
      <c r="M4069" s="19">
        <v>6000</v>
      </c>
      <c r="N4069" s="19" t="s">
        <v>66</v>
      </c>
      <c r="O4069" s="19" t="s">
        <v>141</v>
      </c>
      <c r="P4069" s="160">
        <v>13188</v>
      </c>
      <c r="Q4069" s="19">
        <v>13425</v>
      </c>
      <c r="R4069" s="19">
        <f t="shared" si="191"/>
        <v>-237</v>
      </c>
      <c r="S4069" s="91">
        <v>950</v>
      </c>
      <c r="T4069" s="147" t="s">
        <v>42</v>
      </c>
      <c r="U4069" s="102" t="s">
        <v>1271</v>
      </c>
      <c r="V4069" s="253" t="s">
        <v>1151</v>
      </c>
      <c r="W4069" s="17" t="s">
        <v>58</v>
      </c>
      <c r="Y4069" s="68">
        <v>45222</v>
      </c>
      <c r="Z4069" s="17" t="s">
        <v>78</v>
      </c>
      <c r="AA4069" s="17" t="s">
        <v>59</v>
      </c>
      <c r="AB4069" s="17" t="s">
        <v>1272</v>
      </c>
      <c r="AC4069" s="102" t="s">
        <v>1273</v>
      </c>
      <c r="AD4069" s="65">
        <v>1467</v>
      </c>
      <c r="AE4069" s="17" t="s">
        <v>48</v>
      </c>
    </row>
    <row r="4070" s="17" customFormat="1" hidden="1" spans="1:32">
      <c r="A4070" s="17" t="s">
        <v>34</v>
      </c>
      <c r="B4070" s="19">
        <v>934</v>
      </c>
      <c r="C4070" s="222">
        <v>45115</v>
      </c>
      <c r="D4070" s="17" t="s">
        <v>52</v>
      </c>
      <c r="E4070" s="17" t="s">
        <v>1270</v>
      </c>
      <c r="F4070" s="17" t="s">
        <v>54</v>
      </c>
      <c r="H4070" s="19" t="s">
        <v>548</v>
      </c>
      <c r="I4070" s="19"/>
      <c r="J4070" s="17" t="s">
        <v>49</v>
      </c>
      <c r="K4070" s="162">
        <v>2000</v>
      </c>
      <c r="L4070" s="91">
        <v>40</v>
      </c>
      <c r="M4070" s="19">
        <v>6000</v>
      </c>
      <c r="N4070" s="19" t="s">
        <v>66</v>
      </c>
      <c r="O4070" s="19" t="s">
        <v>141</v>
      </c>
      <c r="P4070" s="160">
        <v>3768</v>
      </c>
      <c r="Q4070" s="19">
        <v>3836</v>
      </c>
      <c r="R4070" s="19">
        <f t="shared" si="191"/>
        <v>-68</v>
      </c>
      <c r="S4070" s="91">
        <v>945</v>
      </c>
      <c r="T4070" s="147" t="s">
        <v>42</v>
      </c>
      <c r="U4070" s="102" t="s">
        <v>1271</v>
      </c>
      <c r="V4070" s="253" t="s">
        <v>1151</v>
      </c>
      <c r="W4070" s="17" t="s">
        <v>58</v>
      </c>
      <c r="Y4070" s="68">
        <v>45222</v>
      </c>
      <c r="Z4070" s="17" t="s">
        <v>78</v>
      </c>
      <c r="AA4070" s="17" t="s">
        <v>59</v>
      </c>
      <c r="AB4070" s="17" t="s">
        <v>1272</v>
      </c>
      <c r="AC4070" s="102" t="s">
        <v>1273</v>
      </c>
      <c r="AD4070" s="65">
        <v>1467</v>
      </c>
      <c r="AE4070" s="17" t="s">
        <v>48</v>
      </c>
    </row>
    <row r="4071" s="17" customFormat="1" hidden="1" spans="1:32">
      <c r="A4071" s="17" t="s">
        <v>34</v>
      </c>
      <c r="B4071" s="19">
        <v>934</v>
      </c>
      <c r="C4071" s="222">
        <v>45115</v>
      </c>
      <c r="D4071" s="17" t="s">
        <v>52</v>
      </c>
      <c r="E4071" s="17" t="s">
        <v>1270</v>
      </c>
      <c r="F4071" s="17" t="s">
        <v>54</v>
      </c>
      <c r="H4071" s="19" t="s">
        <v>549</v>
      </c>
      <c r="I4071" s="19"/>
      <c r="J4071" s="17" t="s">
        <v>49</v>
      </c>
      <c r="K4071" s="91">
        <v>2000</v>
      </c>
      <c r="L4071" s="91">
        <v>8</v>
      </c>
      <c r="M4071" s="19">
        <v>6000</v>
      </c>
      <c r="N4071" s="19" t="s">
        <v>66</v>
      </c>
      <c r="O4071" s="19" t="s">
        <v>141</v>
      </c>
      <c r="P4071" s="91">
        <v>3768</v>
      </c>
      <c r="Q4071" s="19">
        <f>3069+767</f>
        <v>3836</v>
      </c>
      <c r="R4071" s="19">
        <f t="shared" si="191"/>
        <v>-68</v>
      </c>
      <c r="S4071" s="91">
        <v>990</v>
      </c>
      <c r="T4071" s="147" t="s">
        <v>42</v>
      </c>
      <c r="U4071" s="102" t="s">
        <v>1271</v>
      </c>
      <c r="V4071" s="253" t="s">
        <v>1151</v>
      </c>
      <c r="W4071" s="17" t="s">
        <v>58</v>
      </c>
      <c r="Y4071" s="68">
        <v>45222</v>
      </c>
      <c r="Z4071" s="17" t="s">
        <v>78</v>
      </c>
      <c r="AA4071" s="17" t="s">
        <v>59</v>
      </c>
      <c r="AB4071" s="17" t="s">
        <v>1272</v>
      </c>
      <c r="AC4071" s="102" t="s">
        <v>1273</v>
      </c>
      <c r="AD4071" s="65">
        <v>1467</v>
      </c>
      <c r="AE4071" s="17" t="s">
        <v>48</v>
      </c>
    </row>
    <row r="4072" s="17" customFormat="1" hidden="1" spans="1:32">
      <c r="A4072" s="17" t="s">
        <v>34</v>
      </c>
      <c r="B4072" s="19">
        <v>934</v>
      </c>
      <c r="C4072" s="222">
        <v>45115</v>
      </c>
      <c r="D4072" s="17" t="s">
        <v>52</v>
      </c>
      <c r="E4072" s="17" t="s">
        <v>1270</v>
      </c>
      <c r="F4072" s="17" t="s">
        <v>54</v>
      </c>
      <c r="H4072" s="19" t="s">
        <v>549</v>
      </c>
      <c r="I4072" s="19"/>
      <c r="J4072" s="17" t="s">
        <v>49</v>
      </c>
      <c r="K4072" s="91">
        <v>2000</v>
      </c>
      <c r="L4072" s="91">
        <v>10</v>
      </c>
      <c r="M4072" s="19">
        <v>6000</v>
      </c>
      <c r="N4072" s="19" t="s">
        <v>66</v>
      </c>
      <c r="O4072" s="19" t="s">
        <v>141</v>
      </c>
      <c r="P4072" s="91">
        <v>23550</v>
      </c>
      <c r="Q4072" s="19">
        <f>23015+959</f>
        <v>23974</v>
      </c>
      <c r="R4072" s="19">
        <f t="shared" si="191"/>
        <v>-424</v>
      </c>
      <c r="S4072" s="91">
        <v>975</v>
      </c>
      <c r="T4072" s="147" t="s">
        <v>42</v>
      </c>
      <c r="U4072" s="102" t="s">
        <v>1271</v>
      </c>
      <c r="V4072" s="253" t="s">
        <v>1151</v>
      </c>
      <c r="W4072" s="17" t="s">
        <v>58</v>
      </c>
      <c r="Y4072" s="68">
        <v>45222</v>
      </c>
      <c r="Z4072" s="17" t="s">
        <v>78</v>
      </c>
      <c r="AA4072" s="17" t="s">
        <v>59</v>
      </c>
      <c r="AB4072" s="17" t="s">
        <v>1272</v>
      </c>
      <c r="AC4072" s="102" t="s">
        <v>1273</v>
      </c>
      <c r="AD4072" s="65">
        <v>1467</v>
      </c>
      <c r="AE4072" s="17" t="s">
        <v>48</v>
      </c>
    </row>
    <row r="4073" s="17" customFormat="1" hidden="1" spans="1:32">
      <c r="A4073" s="17" t="s">
        <v>34</v>
      </c>
      <c r="B4073" s="19">
        <v>934</v>
      </c>
      <c r="C4073" s="222">
        <v>45115</v>
      </c>
      <c r="D4073" s="17" t="s">
        <v>52</v>
      </c>
      <c r="E4073" s="17" t="s">
        <v>1270</v>
      </c>
      <c r="F4073" s="17" t="s">
        <v>54</v>
      </c>
      <c r="H4073" s="19" t="s">
        <v>549</v>
      </c>
      <c r="I4073" s="19"/>
      <c r="J4073" s="17" t="s">
        <v>49</v>
      </c>
      <c r="K4073" s="91">
        <v>2000</v>
      </c>
      <c r="L4073" s="91">
        <v>20</v>
      </c>
      <c r="M4073" s="19">
        <v>6000</v>
      </c>
      <c r="N4073" s="19" t="s">
        <v>66</v>
      </c>
      <c r="O4073" s="19" t="s">
        <v>141</v>
      </c>
      <c r="P4073" s="91">
        <v>5652</v>
      </c>
      <c r="Q4073" s="19">
        <v>5754</v>
      </c>
      <c r="R4073" s="19">
        <f t="shared" si="191"/>
        <v>-102</v>
      </c>
      <c r="S4073" s="91">
        <v>975</v>
      </c>
      <c r="T4073" s="147" t="s">
        <v>42</v>
      </c>
      <c r="U4073" s="102" t="s">
        <v>1271</v>
      </c>
      <c r="V4073" s="253" t="s">
        <v>1151</v>
      </c>
      <c r="W4073" s="17" t="s">
        <v>58</v>
      </c>
      <c r="Y4073" s="68">
        <v>45222</v>
      </c>
      <c r="Z4073" s="17" t="s">
        <v>78</v>
      </c>
      <c r="AA4073" s="17" t="s">
        <v>59</v>
      </c>
      <c r="AB4073" s="17" t="s">
        <v>1272</v>
      </c>
      <c r="AC4073" s="102" t="s">
        <v>1273</v>
      </c>
      <c r="AD4073" s="65">
        <v>1467</v>
      </c>
      <c r="AE4073" s="17" t="s">
        <v>48</v>
      </c>
    </row>
    <row r="4074" s="17" customFormat="1" hidden="1" spans="1:32">
      <c r="A4074" s="17" t="s">
        <v>34</v>
      </c>
      <c r="B4074" s="19">
        <v>934</v>
      </c>
      <c r="C4074" s="222">
        <v>45115</v>
      </c>
      <c r="D4074" s="17" t="s">
        <v>52</v>
      </c>
      <c r="E4074" s="17" t="s">
        <v>1270</v>
      </c>
      <c r="F4074" s="17" t="s">
        <v>54</v>
      </c>
      <c r="H4074" s="19" t="s">
        <v>549</v>
      </c>
      <c r="I4074" s="19"/>
      <c r="J4074" s="17" t="s">
        <v>49</v>
      </c>
      <c r="K4074" s="91">
        <v>2000</v>
      </c>
      <c r="L4074" s="91">
        <v>25</v>
      </c>
      <c r="M4074" s="19">
        <v>6000</v>
      </c>
      <c r="N4074" s="19" t="s">
        <v>66</v>
      </c>
      <c r="O4074" s="19" t="s">
        <v>141</v>
      </c>
      <c r="P4074" s="91">
        <v>4710</v>
      </c>
      <c r="Q4074" s="19">
        <v>4795</v>
      </c>
      <c r="R4074" s="19">
        <f t="shared" si="191"/>
        <v>-85</v>
      </c>
      <c r="S4074" s="91">
        <v>975</v>
      </c>
      <c r="T4074" s="147" t="s">
        <v>42</v>
      </c>
      <c r="U4074" s="102" t="s">
        <v>1271</v>
      </c>
      <c r="V4074" s="253" t="s">
        <v>1151</v>
      </c>
      <c r="W4074" s="17" t="s">
        <v>58</v>
      </c>
      <c r="Y4074" s="68">
        <v>45222</v>
      </c>
      <c r="Z4074" s="17" t="s">
        <v>78</v>
      </c>
      <c r="AA4074" s="17" t="s">
        <v>59</v>
      </c>
      <c r="AB4074" s="17" t="s">
        <v>1272</v>
      </c>
      <c r="AC4074" s="102" t="s">
        <v>1273</v>
      </c>
      <c r="AD4074" s="65">
        <v>1467</v>
      </c>
      <c r="AE4074" s="17" t="s">
        <v>48</v>
      </c>
    </row>
    <row r="4075" s="17" customFormat="1" hidden="1" spans="1:32">
      <c r="A4075" s="17" t="s">
        <v>34</v>
      </c>
      <c r="B4075" s="19">
        <v>934</v>
      </c>
      <c r="C4075" s="222">
        <v>45115</v>
      </c>
      <c r="D4075" s="17" t="s">
        <v>52</v>
      </c>
      <c r="E4075" s="17" t="s">
        <v>1270</v>
      </c>
      <c r="F4075" s="17" t="s">
        <v>54</v>
      </c>
      <c r="H4075" s="19" t="s">
        <v>549</v>
      </c>
      <c r="I4075" s="19"/>
      <c r="J4075" s="17" t="s">
        <v>49</v>
      </c>
      <c r="K4075" s="162">
        <v>2000</v>
      </c>
      <c r="L4075" s="91">
        <v>35</v>
      </c>
      <c r="M4075" s="19">
        <v>6000</v>
      </c>
      <c r="N4075" s="19" t="s">
        <v>66</v>
      </c>
      <c r="O4075" s="19" t="s">
        <v>141</v>
      </c>
      <c r="P4075" s="160">
        <v>6594</v>
      </c>
      <c r="Q4075" s="19">
        <v>6713</v>
      </c>
      <c r="R4075" s="19">
        <f t="shared" si="191"/>
        <v>-119</v>
      </c>
      <c r="S4075" s="91">
        <v>1020</v>
      </c>
      <c r="T4075" s="147" t="s">
        <v>42</v>
      </c>
      <c r="U4075" s="102" t="s">
        <v>1271</v>
      </c>
      <c r="V4075" s="253" t="s">
        <v>1151</v>
      </c>
      <c r="W4075" s="17" t="s">
        <v>58</v>
      </c>
      <c r="Y4075" s="68">
        <v>45222</v>
      </c>
      <c r="Z4075" s="17" t="s">
        <v>78</v>
      </c>
      <c r="AA4075" s="17" t="s">
        <v>59</v>
      </c>
      <c r="AB4075" s="17" t="s">
        <v>1272</v>
      </c>
      <c r="AC4075" s="102" t="s">
        <v>1273</v>
      </c>
      <c r="AD4075" s="65">
        <v>1467</v>
      </c>
      <c r="AE4075" s="17" t="s">
        <v>48</v>
      </c>
    </row>
    <row r="4076" s="17" customFormat="1" hidden="1" spans="1:32">
      <c r="A4076" s="17" t="s">
        <v>34</v>
      </c>
      <c r="B4076" s="19">
        <v>934</v>
      </c>
      <c r="C4076" s="222">
        <v>45115</v>
      </c>
      <c r="D4076" s="17" t="s">
        <v>52</v>
      </c>
      <c r="E4076" s="17" t="s">
        <v>1270</v>
      </c>
      <c r="F4076" s="17" t="s">
        <v>54</v>
      </c>
      <c r="H4076" s="19" t="s">
        <v>549</v>
      </c>
      <c r="I4076" s="19"/>
      <c r="J4076" s="17" t="s">
        <v>49</v>
      </c>
      <c r="K4076" s="162">
        <v>2000</v>
      </c>
      <c r="L4076" s="91">
        <v>40</v>
      </c>
      <c r="M4076" s="19">
        <v>6000</v>
      </c>
      <c r="N4076" s="19" t="s">
        <v>66</v>
      </c>
      <c r="O4076" s="19" t="s">
        <v>141</v>
      </c>
      <c r="P4076" s="160">
        <v>3768</v>
      </c>
      <c r="Q4076" s="19">
        <v>3836</v>
      </c>
      <c r="R4076" s="19">
        <f t="shared" si="191"/>
        <v>-68</v>
      </c>
      <c r="S4076" s="91">
        <v>1035</v>
      </c>
      <c r="T4076" s="147" t="s">
        <v>42</v>
      </c>
      <c r="U4076" s="102" t="s">
        <v>1271</v>
      </c>
      <c r="V4076" s="253" t="s">
        <v>1151</v>
      </c>
      <c r="W4076" s="17" t="s">
        <v>58</v>
      </c>
      <c r="Y4076" s="68">
        <v>45222</v>
      </c>
      <c r="Z4076" s="17" t="s">
        <v>78</v>
      </c>
      <c r="AA4076" s="17" t="s">
        <v>59</v>
      </c>
      <c r="AB4076" s="17" t="s">
        <v>1272</v>
      </c>
      <c r="AC4076" s="102" t="s">
        <v>1273</v>
      </c>
      <c r="AD4076" s="65">
        <v>1467</v>
      </c>
      <c r="AE4076" s="17" t="s">
        <v>48</v>
      </c>
    </row>
    <row r="4077" s="17" customFormat="1" hidden="1" spans="1:32">
      <c r="A4077" s="17" t="s">
        <v>34</v>
      </c>
      <c r="B4077" s="19">
        <v>934</v>
      </c>
      <c r="C4077" s="222">
        <v>45115</v>
      </c>
      <c r="D4077" s="17" t="s">
        <v>52</v>
      </c>
      <c r="E4077" s="17" t="s">
        <v>1270</v>
      </c>
      <c r="F4077" s="17" t="s">
        <v>54</v>
      </c>
      <c r="H4077" s="19" t="s">
        <v>549</v>
      </c>
      <c r="I4077" s="19"/>
      <c r="J4077" s="17" t="s">
        <v>49</v>
      </c>
      <c r="K4077" s="162">
        <v>2000</v>
      </c>
      <c r="L4077" s="91">
        <v>60</v>
      </c>
      <c r="M4077" s="19">
        <v>6000</v>
      </c>
      <c r="N4077" s="19" t="s">
        <v>66</v>
      </c>
      <c r="O4077" s="19" t="s">
        <v>141</v>
      </c>
      <c r="P4077" s="160">
        <v>5652</v>
      </c>
      <c r="Q4077" s="19">
        <v>5754</v>
      </c>
      <c r="R4077" s="19">
        <f t="shared" si="191"/>
        <v>-102</v>
      </c>
      <c r="S4077" s="91">
        <v>1075</v>
      </c>
      <c r="T4077" s="147" t="s">
        <v>42</v>
      </c>
      <c r="U4077" s="102" t="s">
        <v>1271</v>
      </c>
      <c r="V4077" s="253" t="s">
        <v>1151</v>
      </c>
      <c r="W4077" s="17" t="s">
        <v>58</v>
      </c>
      <c r="Y4077" s="68">
        <v>45222</v>
      </c>
      <c r="Z4077" s="17" t="s">
        <v>78</v>
      </c>
      <c r="AA4077" s="17" t="s">
        <v>59</v>
      </c>
      <c r="AB4077" s="17" t="s">
        <v>1272</v>
      </c>
      <c r="AC4077" s="102" t="s">
        <v>1273</v>
      </c>
      <c r="AD4077" s="65">
        <v>1467</v>
      </c>
      <c r="AE4077" s="17" t="s">
        <v>48</v>
      </c>
    </row>
    <row r="4078" s="17" customFormat="1" hidden="1" spans="1:32">
      <c r="A4078" s="17" t="s">
        <v>34</v>
      </c>
      <c r="B4078" s="19">
        <v>935</v>
      </c>
      <c r="C4078" s="222">
        <v>45177</v>
      </c>
      <c r="D4078" s="17" t="s">
        <v>52</v>
      </c>
      <c r="E4078" s="17" t="s">
        <v>220</v>
      </c>
      <c r="F4078" s="17" t="s">
        <v>54</v>
      </c>
      <c r="H4078" s="19">
        <v>1.2344</v>
      </c>
      <c r="I4078" s="19"/>
      <c r="J4078" s="17" t="s">
        <v>39</v>
      </c>
      <c r="K4078" s="19">
        <v>220</v>
      </c>
      <c r="L4078" s="91"/>
      <c r="M4078" s="19">
        <v>3000</v>
      </c>
      <c r="N4078" s="19" t="s">
        <v>40</v>
      </c>
      <c r="O4078" s="19" t="s">
        <v>50</v>
      </c>
      <c r="P4078" s="19">
        <v>2000</v>
      </c>
      <c r="Q4078" s="19">
        <v>3179</v>
      </c>
      <c r="R4078" s="19">
        <f t="shared" si="191"/>
        <v>-1179</v>
      </c>
      <c r="S4078" s="19">
        <v>2405</v>
      </c>
      <c r="T4078" s="19" t="s">
        <v>42</v>
      </c>
      <c r="U4078" s="102" t="s">
        <v>1274</v>
      </c>
      <c r="V4078" s="253">
        <v>45177</v>
      </c>
      <c r="W4078" s="17" t="s">
        <v>44</v>
      </c>
      <c r="Y4078" s="68">
        <v>45192</v>
      </c>
      <c r="Z4078" s="17" t="s">
        <v>191</v>
      </c>
      <c r="AA4078" s="17" t="s">
        <v>46</v>
      </c>
      <c r="AB4078" s="17" t="s">
        <v>1275</v>
      </c>
      <c r="AC4078" s="102" t="s">
        <v>1276</v>
      </c>
      <c r="AD4078" s="65">
        <v>1463</v>
      </c>
      <c r="AE4078" s="17" t="s">
        <v>223</v>
      </c>
      <c r="AF4078" s="17" t="s">
        <v>1277</v>
      </c>
    </row>
    <row r="4079" s="17" customFormat="1" hidden="1" spans="1:32">
      <c r="A4079" s="17" t="s">
        <v>34</v>
      </c>
      <c r="B4079" s="19">
        <v>935</v>
      </c>
      <c r="C4079" s="222">
        <v>45177</v>
      </c>
      <c r="D4079" s="17" t="s">
        <v>52</v>
      </c>
      <c r="E4079" s="17" t="s">
        <v>220</v>
      </c>
      <c r="F4079" s="17" t="s">
        <v>54</v>
      </c>
      <c r="H4079" s="19">
        <v>1.2344</v>
      </c>
      <c r="I4079" s="19"/>
      <c r="J4079" s="17" t="s">
        <v>39</v>
      </c>
      <c r="K4079" s="19">
        <v>250</v>
      </c>
      <c r="L4079" s="91"/>
      <c r="M4079" s="19">
        <v>3000</v>
      </c>
      <c r="N4079" s="19" t="s">
        <v>40</v>
      </c>
      <c r="O4079" s="19" t="s">
        <v>50</v>
      </c>
      <c r="P4079" s="19">
        <v>10000</v>
      </c>
      <c r="Q4079" s="19">
        <v>9499</v>
      </c>
      <c r="R4079" s="19">
        <f t="shared" si="191"/>
        <v>501</v>
      </c>
      <c r="S4079" s="19">
        <v>2405</v>
      </c>
      <c r="T4079" s="19" t="s">
        <v>42</v>
      </c>
      <c r="U4079" s="102" t="s">
        <v>1274</v>
      </c>
      <c r="V4079" s="253">
        <v>45177</v>
      </c>
      <c r="W4079" s="17" t="s">
        <v>44</v>
      </c>
      <c r="Y4079" s="68">
        <v>45192</v>
      </c>
      <c r="Z4079" s="17" t="s">
        <v>191</v>
      </c>
      <c r="AA4079" s="17" t="s">
        <v>46</v>
      </c>
      <c r="AB4079" s="17" t="s">
        <v>1275</v>
      </c>
      <c r="AC4079" s="102" t="s">
        <v>1276</v>
      </c>
      <c r="AD4079" s="65">
        <v>1463</v>
      </c>
      <c r="AE4079" s="17" t="s">
        <v>223</v>
      </c>
      <c r="AF4079" s="17" t="s">
        <v>1277</v>
      </c>
    </row>
    <row r="4080" s="17" customFormat="1" hidden="1" spans="1:32">
      <c r="A4080" s="17" t="s">
        <v>34</v>
      </c>
      <c r="B4080" s="19">
        <v>935</v>
      </c>
      <c r="C4080" s="222">
        <v>45177</v>
      </c>
      <c r="D4080" s="17" t="s">
        <v>52</v>
      </c>
      <c r="E4080" s="17" t="s">
        <v>220</v>
      </c>
      <c r="F4080" s="17" t="s">
        <v>54</v>
      </c>
      <c r="H4080" s="19">
        <v>1.2344</v>
      </c>
      <c r="I4080" s="19"/>
      <c r="J4080" s="17" t="s">
        <v>39</v>
      </c>
      <c r="K4080" s="19">
        <v>280</v>
      </c>
      <c r="L4080" s="91"/>
      <c r="M4080" s="19">
        <v>3000</v>
      </c>
      <c r="N4080" s="19" t="s">
        <v>40</v>
      </c>
      <c r="O4080" s="19" t="s">
        <v>50</v>
      </c>
      <c r="P4080" s="19">
        <v>6000</v>
      </c>
      <c r="Q4080" s="19">
        <v>5770</v>
      </c>
      <c r="R4080" s="19">
        <f t="shared" si="191"/>
        <v>230</v>
      </c>
      <c r="S4080" s="19">
        <v>2405</v>
      </c>
      <c r="T4080" s="19" t="s">
        <v>42</v>
      </c>
      <c r="U4080" s="102" t="s">
        <v>1274</v>
      </c>
      <c r="V4080" s="253">
        <v>45177</v>
      </c>
      <c r="W4080" s="17" t="s">
        <v>44</v>
      </c>
      <c r="Y4080" s="68">
        <v>45192</v>
      </c>
      <c r="Z4080" s="17" t="s">
        <v>191</v>
      </c>
      <c r="AA4080" s="17" t="s">
        <v>46</v>
      </c>
      <c r="AB4080" s="17" t="s">
        <v>1275</v>
      </c>
      <c r="AC4080" s="102" t="s">
        <v>1276</v>
      </c>
      <c r="AD4080" s="65">
        <v>1463</v>
      </c>
      <c r="AE4080" s="17" t="s">
        <v>223</v>
      </c>
      <c r="AF4080" s="17" t="s">
        <v>1277</v>
      </c>
    </row>
    <row r="4081" s="17" customFormat="1" hidden="1" spans="1:32">
      <c r="A4081" s="17" t="s">
        <v>34</v>
      </c>
      <c r="B4081" s="19">
        <v>935</v>
      </c>
      <c r="C4081" s="222">
        <v>45177</v>
      </c>
      <c r="D4081" s="17" t="s">
        <v>52</v>
      </c>
      <c r="E4081" s="17" t="s">
        <v>220</v>
      </c>
      <c r="F4081" s="17" t="s">
        <v>54</v>
      </c>
      <c r="H4081" s="19">
        <v>1.2344</v>
      </c>
      <c r="I4081" s="19"/>
      <c r="J4081" s="17" t="s">
        <v>39</v>
      </c>
      <c r="K4081" s="19">
        <v>330</v>
      </c>
      <c r="L4081" s="91"/>
      <c r="M4081" s="19">
        <v>3000</v>
      </c>
      <c r="N4081" s="19" t="s">
        <v>40</v>
      </c>
      <c r="O4081" s="19" t="s">
        <v>50</v>
      </c>
      <c r="P4081" s="19">
        <v>5000</v>
      </c>
      <c r="Q4081" s="19">
        <v>5338</v>
      </c>
      <c r="R4081" s="19">
        <f t="shared" si="191"/>
        <v>-338</v>
      </c>
      <c r="S4081" s="19">
        <v>2605</v>
      </c>
      <c r="T4081" s="19" t="s">
        <v>42</v>
      </c>
      <c r="U4081" s="102" t="s">
        <v>1274</v>
      </c>
      <c r="V4081" s="253">
        <v>45177</v>
      </c>
      <c r="W4081" s="17" t="s">
        <v>44</v>
      </c>
      <c r="Y4081" s="68">
        <v>45192</v>
      </c>
      <c r="Z4081" s="17" t="s">
        <v>191</v>
      </c>
      <c r="AA4081" s="17" t="s">
        <v>46</v>
      </c>
      <c r="AB4081" s="17" t="s">
        <v>1275</v>
      </c>
      <c r="AC4081" s="102" t="s">
        <v>1276</v>
      </c>
      <c r="AD4081" s="65">
        <v>1463</v>
      </c>
      <c r="AE4081" s="17" t="s">
        <v>223</v>
      </c>
      <c r="AF4081" s="17" t="s">
        <v>1277</v>
      </c>
    </row>
    <row r="4082" s="17" customFormat="1" hidden="1" spans="1:32">
      <c r="A4082" s="17" t="s">
        <v>34</v>
      </c>
      <c r="B4082" s="19">
        <v>935</v>
      </c>
      <c r="C4082" s="222">
        <v>45177</v>
      </c>
      <c r="D4082" s="17" t="s">
        <v>52</v>
      </c>
      <c r="E4082" s="17" t="s">
        <v>220</v>
      </c>
      <c r="F4082" s="17" t="s">
        <v>54</v>
      </c>
      <c r="H4082" s="19">
        <v>1.2344</v>
      </c>
      <c r="I4082" s="19"/>
      <c r="J4082" s="17" t="s">
        <v>39</v>
      </c>
      <c r="K4082" s="19">
        <v>450</v>
      </c>
      <c r="L4082" s="91"/>
      <c r="M4082" s="19">
        <v>3000</v>
      </c>
      <c r="N4082" s="19" t="s">
        <v>40</v>
      </c>
      <c r="O4082" s="19" t="s">
        <v>50</v>
      </c>
      <c r="P4082" s="19">
        <v>4000</v>
      </c>
      <c r="Q4082" s="19">
        <v>4071</v>
      </c>
      <c r="R4082" s="19">
        <f t="shared" si="191"/>
        <v>-71</v>
      </c>
      <c r="S4082" s="19">
        <v>2605</v>
      </c>
      <c r="T4082" s="19" t="s">
        <v>42</v>
      </c>
      <c r="U4082" s="102" t="s">
        <v>1274</v>
      </c>
      <c r="V4082" s="253">
        <v>45177</v>
      </c>
      <c r="W4082" s="17" t="s">
        <v>44</v>
      </c>
      <c r="Y4082" s="68">
        <v>45192</v>
      </c>
      <c r="Z4082" s="17" t="s">
        <v>191</v>
      </c>
      <c r="AA4082" s="17" t="s">
        <v>46</v>
      </c>
      <c r="AB4082" s="17" t="s">
        <v>1275</v>
      </c>
      <c r="AC4082" s="102" t="s">
        <v>1276</v>
      </c>
      <c r="AD4082" s="65">
        <v>1463</v>
      </c>
      <c r="AE4082" s="17" t="s">
        <v>223</v>
      </c>
      <c r="AF4082" s="17" t="s">
        <v>1278</v>
      </c>
    </row>
    <row r="4083" s="17" customFormat="1" hidden="1" spans="1:32">
      <c r="A4083" s="17" t="s">
        <v>34</v>
      </c>
      <c r="B4083" s="19">
        <v>936</v>
      </c>
      <c r="C4083" s="222" t="s">
        <v>1279</v>
      </c>
      <c r="D4083" s="17" t="s">
        <v>52</v>
      </c>
      <c r="E4083" s="17" t="s">
        <v>53</v>
      </c>
      <c r="F4083" s="17" t="s">
        <v>54</v>
      </c>
      <c r="H4083" s="19" t="s">
        <v>55</v>
      </c>
      <c r="I4083" s="19"/>
      <c r="J4083" s="17" t="s">
        <v>82</v>
      </c>
      <c r="K4083" s="19">
        <v>510</v>
      </c>
      <c r="L4083" s="19">
        <v>52</v>
      </c>
      <c r="M4083" s="19">
        <v>5800</v>
      </c>
      <c r="N4083" s="19"/>
      <c r="O4083" s="19"/>
      <c r="P4083" s="19">
        <v>1176</v>
      </c>
      <c r="Q4083" s="19">
        <v>713</v>
      </c>
      <c r="R4083" s="19">
        <f t="shared" si="191"/>
        <v>463</v>
      </c>
      <c r="S4083" s="19">
        <v>2150</v>
      </c>
      <c r="T4083" s="19" t="s">
        <v>42</v>
      </c>
      <c r="U4083" s="102" t="s">
        <v>1280</v>
      </c>
      <c r="V4083" s="253">
        <v>44993</v>
      </c>
      <c r="W4083" s="17" t="s">
        <v>58</v>
      </c>
      <c r="Y4083" s="68">
        <v>45161</v>
      </c>
      <c r="Z4083" s="17" t="s">
        <v>207</v>
      </c>
      <c r="AA4083" s="17" t="s">
        <v>46</v>
      </c>
      <c r="AB4083" s="17" t="s">
        <v>1280</v>
      </c>
      <c r="AC4083" s="102" t="s">
        <v>1183</v>
      </c>
      <c r="AD4083" s="65">
        <v>1460</v>
      </c>
      <c r="AE4083" s="17" t="s">
        <v>48</v>
      </c>
    </row>
    <row r="4084" s="17" customFormat="1" hidden="1" spans="1:32">
      <c r="A4084" s="17" t="s">
        <v>34</v>
      </c>
      <c r="B4084" s="19">
        <v>936</v>
      </c>
      <c r="C4084" s="222" t="s">
        <v>1279</v>
      </c>
      <c r="D4084" s="17" t="s">
        <v>52</v>
      </c>
      <c r="E4084" s="17" t="s">
        <v>53</v>
      </c>
      <c r="F4084" s="17" t="s">
        <v>54</v>
      </c>
      <c r="H4084" s="19" t="s">
        <v>55</v>
      </c>
      <c r="I4084" s="19"/>
      <c r="J4084" s="17" t="s">
        <v>82</v>
      </c>
      <c r="K4084" s="19">
        <v>610</v>
      </c>
      <c r="L4084" s="19">
        <v>61</v>
      </c>
      <c r="M4084" s="19">
        <v>5800</v>
      </c>
      <c r="N4084" s="19"/>
      <c r="O4084" s="19"/>
      <c r="P4084" s="19">
        <v>1210</v>
      </c>
      <c r="Q4084" s="19">
        <v>1023</v>
      </c>
      <c r="R4084" s="19">
        <f t="shared" si="191"/>
        <v>187</v>
      </c>
      <c r="S4084" s="19">
        <v>2150</v>
      </c>
      <c r="T4084" s="19" t="s">
        <v>42</v>
      </c>
      <c r="U4084" s="102" t="s">
        <v>1280</v>
      </c>
      <c r="V4084" s="253">
        <v>44993</v>
      </c>
      <c r="W4084" s="17" t="s">
        <v>58</v>
      </c>
      <c r="Y4084" s="68">
        <v>45161</v>
      </c>
      <c r="Z4084" s="17" t="s">
        <v>207</v>
      </c>
      <c r="AA4084" s="17" t="s">
        <v>46</v>
      </c>
      <c r="AB4084" s="17" t="s">
        <v>1280</v>
      </c>
      <c r="AC4084" s="102" t="s">
        <v>1183</v>
      </c>
      <c r="AD4084" s="65">
        <v>1460</v>
      </c>
      <c r="AE4084" s="17" t="s">
        <v>48</v>
      </c>
    </row>
    <row r="4085" s="17" customFormat="1" hidden="1" spans="1:32">
      <c r="A4085" s="17" t="s">
        <v>34</v>
      </c>
      <c r="B4085" s="19">
        <v>936</v>
      </c>
      <c r="C4085" s="222" t="s">
        <v>1279</v>
      </c>
      <c r="D4085" s="17" t="s">
        <v>52</v>
      </c>
      <c r="E4085" s="17" t="s">
        <v>53</v>
      </c>
      <c r="F4085" s="17" t="s">
        <v>54</v>
      </c>
      <c r="H4085" s="19" t="s">
        <v>55</v>
      </c>
      <c r="I4085" s="19"/>
      <c r="J4085" s="17" t="s">
        <v>82</v>
      </c>
      <c r="K4085" s="19">
        <v>606</v>
      </c>
      <c r="L4085" s="19">
        <v>65</v>
      </c>
      <c r="M4085" s="19">
        <v>5800</v>
      </c>
      <c r="N4085" s="19"/>
      <c r="O4085" s="19"/>
      <c r="P4085" s="19">
        <v>2104</v>
      </c>
      <c r="Q4085" s="19">
        <v>1067</v>
      </c>
      <c r="R4085" s="19">
        <f t="shared" si="191"/>
        <v>1037</v>
      </c>
      <c r="S4085" s="19">
        <v>2150</v>
      </c>
      <c r="T4085" s="19" t="s">
        <v>42</v>
      </c>
      <c r="U4085" s="102" t="s">
        <v>1280</v>
      </c>
      <c r="V4085" s="253">
        <v>44993</v>
      </c>
      <c r="W4085" s="17" t="s">
        <v>58</v>
      </c>
      <c r="Y4085" s="68">
        <v>45161</v>
      </c>
      <c r="Z4085" s="17" t="s">
        <v>207</v>
      </c>
      <c r="AA4085" s="17" t="s">
        <v>46</v>
      </c>
      <c r="AB4085" s="17" t="s">
        <v>1280</v>
      </c>
      <c r="AC4085" s="102" t="s">
        <v>1183</v>
      </c>
      <c r="AD4085" s="65">
        <v>1460</v>
      </c>
      <c r="AE4085" s="17" t="s">
        <v>48</v>
      </c>
    </row>
    <row r="4086" s="17" customFormat="1" hidden="1" spans="1:32">
      <c r="A4086" s="17" t="s">
        <v>34</v>
      </c>
      <c r="B4086" s="19">
        <v>936</v>
      </c>
      <c r="C4086" s="222" t="s">
        <v>1279</v>
      </c>
      <c r="D4086" s="17" t="s">
        <v>52</v>
      </c>
      <c r="E4086" s="17" t="s">
        <v>53</v>
      </c>
      <c r="F4086" s="17" t="s">
        <v>54</v>
      </c>
      <c r="H4086" s="19" t="s">
        <v>55</v>
      </c>
      <c r="I4086" s="19"/>
      <c r="J4086" s="17" t="s">
        <v>82</v>
      </c>
      <c r="K4086" s="19">
        <v>611</v>
      </c>
      <c r="L4086" s="19">
        <v>71</v>
      </c>
      <c r="M4086" s="19">
        <v>5800</v>
      </c>
      <c r="N4086" s="19"/>
      <c r="O4086" s="19"/>
      <c r="P4086" s="19">
        <v>1530</v>
      </c>
      <c r="Q4086" s="19">
        <v>1401</v>
      </c>
      <c r="R4086" s="19">
        <f t="shared" si="191"/>
        <v>129</v>
      </c>
      <c r="S4086" s="19">
        <v>2150</v>
      </c>
      <c r="T4086" s="19" t="s">
        <v>42</v>
      </c>
      <c r="U4086" s="102" t="s">
        <v>1280</v>
      </c>
      <c r="V4086" s="253">
        <v>44993</v>
      </c>
      <c r="W4086" s="17" t="s">
        <v>58</v>
      </c>
      <c r="Y4086" s="68">
        <v>45161</v>
      </c>
      <c r="Z4086" s="17" t="s">
        <v>207</v>
      </c>
      <c r="AA4086" s="17" t="s">
        <v>46</v>
      </c>
      <c r="AB4086" s="17" t="s">
        <v>1280</v>
      </c>
      <c r="AC4086" s="102" t="s">
        <v>1183</v>
      </c>
      <c r="AD4086" s="65">
        <v>1460</v>
      </c>
      <c r="AE4086" s="17" t="s">
        <v>48</v>
      </c>
    </row>
    <row r="4087" s="17" customFormat="1" hidden="1" spans="1:32">
      <c r="A4087" s="17" t="s">
        <v>34</v>
      </c>
      <c r="B4087" s="19">
        <v>936</v>
      </c>
      <c r="C4087" s="222" t="s">
        <v>1279</v>
      </c>
      <c r="D4087" s="17" t="s">
        <v>52</v>
      </c>
      <c r="E4087" s="17" t="s">
        <v>53</v>
      </c>
      <c r="F4087" s="17" t="s">
        <v>54</v>
      </c>
      <c r="H4087" s="19" t="s">
        <v>55</v>
      </c>
      <c r="I4087" s="19"/>
      <c r="J4087" s="17" t="s">
        <v>82</v>
      </c>
      <c r="K4087" s="19">
        <v>605</v>
      </c>
      <c r="L4087" s="19">
        <v>72</v>
      </c>
      <c r="M4087" s="19">
        <v>5800</v>
      </c>
      <c r="N4087" s="19"/>
      <c r="O4087" s="19"/>
      <c r="P4087" s="19">
        <v>1314</v>
      </c>
      <c r="Q4087" s="19">
        <v>1377</v>
      </c>
      <c r="R4087" s="19">
        <f t="shared" si="191"/>
        <v>-63</v>
      </c>
      <c r="S4087" s="19">
        <v>2150</v>
      </c>
      <c r="T4087" s="19" t="s">
        <v>42</v>
      </c>
      <c r="U4087" s="102" t="s">
        <v>1280</v>
      </c>
      <c r="V4087" s="253">
        <v>44993</v>
      </c>
      <c r="W4087" s="17" t="s">
        <v>58</v>
      </c>
      <c r="Y4087" s="68">
        <v>45161</v>
      </c>
      <c r="Z4087" s="17" t="s">
        <v>207</v>
      </c>
      <c r="AA4087" s="17" t="s">
        <v>46</v>
      </c>
      <c r="AB4087" s="17" t="s">
        <v>1280</v>
      </c>
      <c r="AC4087" s="102" t="s">
        <v>1183</v>
      </c>
      <c r="AD4087" s="65">
        <v>1460</v>
      </c>
      <c r="AE4087" s="17" t="s">
        <v>48</v>
      </c>
    </row>
    <row r="4088" s="17" customFormat="1" hidden="1" spans="1:32">
      <c r="A4088" s="17" t="s">
        <v>34</v>
      </c>
      <c r="B4088" s="19">
        <v>936</v>
      </c>
      <c r="C4088" s="222" t="s">
        <v>1279</v>
      </c>
      <c r="D4088" s="17" t="s">
        <v>52</v>
      </c>
      <c r="E4088" s="17" t="s">
        <v>53</v>
      </c>
      <c r="F4088" s="17" t="s">
        <v>54</v>
      </c>
      <c r="H4088" s="19" t="s">
        <v>55</v>
      </c>
      <c r="I4088" s="19"/>
      <c r="J4088" s="17" t="s">
        <v>82</v>
      </c>
      <c r="K4088" s="19">
        <v>611</v>
      </c>
      <c r="L4088" s="19">
        <v>72</v>
      </c>
      <c r="M4088" s="19">
        <v>5800</v>
      </c>
      <c r="N4088" s="19"/>
      <c r="O4088" s="19"/>
      <c r="P4088" s="19">
        <v>1454</v>
      </c>
      <c r="Q4088" s="19">
        <v>1315</v>
      </c>
      <c r="R4088" s="19">
        <f t="shared" si="191"/>
        <v>139</v>
      </c>
      <c r="S4088" s="19">
        <v>2150</v>
      </c>
      <c r="T4088" s="19" t="s">
        <v>42</v>
      </c>
      <c r="U4088" s="102" t="s">
        <v>1280</v>
      </c>
      <c r="V4088" s="253">
        <v>44993</v>
      </c>
      <c r="W4088" s="17" t="s">
        <v>58</v>
      </c>
      <c r="Y4088" s="68">
        <v>45161</v>
      </c>
      <c r="Z4088" s="17" t="s">
        <v>207</v>
      </c>
      <c r="AA4088" s="17" t="s">
        <v>46</v>
      </c>
      <c r="AB4088" s="17" t="s">
        <v>1280</v>
      </c>
      <c r="AC4088" s="102" t="s">
        <v>1183</v>
      </c>
      <c r="AD4088" s="65">
        <v>1460</v>
      </c>
      <c r="AE4088" s="17" t="s">
        <v>48</v>
      </c>
    </row>
    <row r="4089" s="17" customFormat="1" hidden="1" spans="1:32">
      <c r="A4089" s="17" t="s">
        <v>34</v>
      </c>
      <c r="B4089" s="19">
        <v>936</v>
      </c>
      <c r="C4089" s="222" t="s">
        <v>1279</v>
      </c>
      <c r="D4089" s="17" t="s">
        <v>52</v>
      </c>
      <c r="E4089" s="17" t="s">
        <v>53</v>
      </c>
      <c r="F4089" s="17" t="s">
        <v>54</v>
      </c>
      <c r="H4089" s="19" t="s">
        <v>55</v>
      </c>
      <c r="I4089" s="19"/>
      <c r="J4089" s="17" t="s">
        <v>82</v>
      </c>
      <c r="K4089" s="19">
        <v>611</v>
      </c>
      <c r="L4089" s="19">
        <v>77</v>
      </c>
      <c r="M4089" s="19">
        <v>5800</v>
      </c>
      <c r="N4089" s="19"/>
      <c r="O4089" s="19"/>
      <c r="P4089" s="19">
        <v>1602</v>
      </c>
      <c r="Q4089" s="19">
        <v>1531</v>
      </c>
      <c r="R4089" s="19">
        <f t="shared" si="191"/>
        <v>71</v>
      </c>
      <c r="S4089" s="19">
        <v>2150</v>
      </c>
      <c r="T4089" s="19" t="s">
        <v>42</v>
      </c>
      <c r="U4089" s="102" t="s">
        <v>1280</v>
      </c>
      <c r="V4089" s="253">
        <v>44993</v>
      </c>
      <c r="W4089" s="17" t="s">
        <v>58</v>
      </c>
      <c r="Y4089" s="68">
        <v>45161</v>
      </c>
      <c r="Z4089" s="17" t="s">
        <v>207</v>
      </c>
      <c r="AA4089" s="17" t="s">
        <v>46</v>
      </c>
      <c r="AB4089" s="17" t="s">
        <v>1280</v>
      </c>
      <c r="AC4089" s="102" t="s">
        <v>1183</v>
      </c>
      <c r="AD4089" s="65">
        <v>1460</v>
      </c>
      <c r="AE4089" s="17" t="s">
        <v>48</v>
      </c>
    </row>
    <row r="4090" s="17" customFormat="1" hidden="1" spans="1:32">
      <c r="A4090" s="17" t="s">
        <v>34</v>
      </c>
      <c r="B4090" s="19">
        <v>936</v>
      </c>
      <c r="C4090" s="222" t="s">
        <v>1279</v>
      </c>
      <c r="D4090" s="17" t="s">
        <v>52</v>
      </c>
      <c r="E4090" s="17" t="s">
        <v>53</v>
      </c>
      <c r="F4090" s="17" t="s">
        <v>54</v>
      </c>
      <c r="H4090" s="19" t="s">
        <v>55</v>
      </c>
      <c r="I4090" s="19"/>
      <c r="J4090" s="17" t="s">
        <v>82</v>
      </c>
      <c r="K4090" s="19">
        <v>611</v>
      </c>
      <c r="L4090" s="19">
        <v>77</v>
      </c>
      <c r="M4090" s="19">
        <v>5800</v>
      </c>
      <c r="N4090" s="19"/>
      <c r="O4090" s="19"/>
      <c r="P4090" s="19">
        <v>1610</v>
      </c>
      <c r="Q4090" s="19">
        <v>1455</v>
      </c>
      <c r="R4090" s="19">
        <f t="shared" si="191"/>
        <v>155</v>
      </c>
      <c r="S4090" s="19">
        <v>2150</v>
      </c>
      <c r="T4090" s="19" t="s">
        <v>42</v>
      </c>
      <c r="U4090" s="102" t="s">
        <v>1280</v>
      </c>
      <c r="V4090" s="253">
        <v>44993</v>
      </c>
      <c r="W4090" s="17" t="s">
        <v>58</v>
      </c>
      <c r="Y4090" s="68">
        <v>45161</v>
      </c>
      <c r="Z4090" s="17" t="s">
        <v>207</v>
      </c>
      <c r="AA4090" s="17" t="s">
        <v>46</v>
      </c>
      <c r="AB4090" s="17" t="s">
        <v>1280</v>
      </c>
      <c r="AC4090" s="102" t="s">
        <v>1183</v>
      </c>
      <c r="AD4090" s="65">
        <v>1460</v>
      </c>
      <c r="AE4090" s="17" t="s">
        <v>48</v>
      </c>
    </row>
    <row r="4091" s="17" customFormat="1" hidden="1" spans="1:32">
      <c r="A4091" s="17" t="s">
        <v>34</v>
      </c>
      <c r="B4091" s="19">
        <v>936</v>
      </c>
      <c r="C4091" s="222" t="s">
        <v>1279</v>
      </c>
      <c r="D4091" s="17" t="s">
        <v>52</v>
      </c>
      <c r="E4091" s="17" t="s">
        <v>53</v>
      </c>
      <c r="F4091" s="17" t="s">
        <v>54</v>
      </c>
      <c r="H4091" s="19" t="s">
        <v>55</v>
      </c>
      <c r="I4091" s="19"/>
      <c r="J4091" s="17" t="s">
        <v>82</v>
      </c>
      <c r="K4091" s="19">
        <v>612</v>
      </c>
      <c r="L4091" s="19">
        <v>87</v>
      </c>
      <c r="M4091" s="19">
        <v>5800</v>
      </c>
      <c r="N4091" s="19"/>
      <c r="O4091" s="19"/>
      <c r="P4091" s="19">
        <v>1616</v>
      </c>
      <c r="Q4091" s="19">
        <v>1449</v>
      </c>
      <c r="R4091" s="19">
        <f t="shared" si="191"/>
        <v>167</v>
      </c>
      <c r="S4091" s="19">
        <v>2150</v>
      </c>
      <c r="T4091" s="19" t="s">
        <v>42</v>
      </c>
      <c r="U4091" s="102" t="s">
        <v>1280</v>
      </c>
      <c r="V4091" s="253">
        <v>44993</v>
      </c>
      <c r="W4091" s="17" t="s">
        <v>58</v>
      </c>
      <c r="Y4091" s="68">
        <v>45161</v>
      </c>
      <c r="Z4091" s="17" t="s">
        <v>207</v>
      </c>
      <c r="AA4091" s="17" t="s">
        <v>46</v>
      </c>
      <c r="AB4091" s="17" t="s">
        <v>1280</v>
      </c>
      <c r="AC4091" s="102" t="s">
        <v>1183</v>
      </c>
      <c r="AD4091" s="65">
        <v>1460</v>
      </c>
      <c r="AE4091" s="17" t="s">
        <v>48</v>
      </c>
    </row>
    <row r="4092" s="17" customFormat="1" hidden="1" spans="1:32">
      <c r="A4092" s="17" t="s">
        <v>34</v>
      </c>
      <c r="B4092" s="19">
        <v>936</v>
      </c>
      <c r="C4092" s="222" t="s">
        <v>1279</v>
      </c>
      <c r="D4092" s="17" t="s">
        <v>52</v>
      </c>
      <c r="E4092" s="17" t="s">
        <v>53</v>
      </c>
      <c r="F4092" s="17" t="s">
        <v>54</v>
      </c>
      <c r="H4092" s="19" t="s">
        <v>55</v>
      </c>
      <c r="I4092" s="19"/>
      <c r="J4092" s="17" t="s">
        <v>82</v>
      </c>
      <c r="K4092" s="19">
        <v>613</v>
      </c>
      <c r="L4092" s="19">
        <v>95</v>
      </c>
      <c r="M4092" s="19">
        <v>5800</v>
      </c>
      <c r="N4092" s="19"/>
      <c r="O4092" s="19"/>
      <c r="P4092" s="19">
        <v>1656</v>
      </c>
      <c r="Q4092" s="19">
        <v>1395</v>
      </c>
      <c r="R4092" s="19">
        <f t="shared" ref="R4092:R4099" si="192">+P4092-Q4092</f>
        <v>261</v>
      </c>
      <c r="S4092" s="19">
        <v>2150</v>
      </c>
      <c r="T4092" s="19" t="s">
        <v>42</v>
      </c>
      <c r="U4092" s="102" t="s">
        <v>1280</v>
      </c>
      <c r="V4092" s="253">
        <v>44993</v>
      </c>
      <c r="W4092" s="17" t="s">
        <v>58</v>
      </c>
      <c r="Y4092" s="68">
        <v>45161</v>
      </c>
      <c r="Z4092" s="17" t="s">
        <v>207</v>
      </c>
      <c r="AA4092" s="17" t="s">
        <v>46</v>
      </c>
      <c r="AB4092" s="17" t="s">
        <v>1280</v>
      </c>
      <c r="AC4092" s="102" t="s">
        <v>1183</v>
      </c>
      <c r="AD4092" s="65">
        <v>1460</v>
      </c>
      <c r="AE4092" s="17" t="s">
        <v>48</v>
      </c>
    </row>
    <row r="4093" s="17" customFormat="1" hidden="1" spans="1:32">
      <c r="A4093" s="17" t="s">
        <v>34</v>
      </c>
      <c r="B4093" s="19">
        <v>936</v>
      </c>
      <c r="C4093" s="222" t="s">
        <v>1279</v>
      </c>
      <c r="D4093" s="17" t="s">
        <v>52</v>
      </c>
      <c r="E4093" s="17" t="s">
        <v>53</v>
      </c>
      <c r="F4093" s="17" t="s">
        <v>54</v>
      </c>
      <c r="H4093" s="19" t="s">
        <v>55</v>
      </c>
      <c r="I4093" s="19"/>
      <c r="J4093" s="17" t="s">
        <v>82</v>
      </c>
      <c r="K4093" s="19">
        <v>606</v>
      </c>
      <c r="L4093" s="19">
        <v>102</v>
      </c>
      <c r="M4093" s="19">
        <v>5800</v>
      </c>
      <c r="N4093" s="19"/>
      <c r="O4093" s="19"/>
      <c r="P4093" s="19">
        <v>1892</v>
      </c>
      <c r="Q4093" s="19">
        <v>1583</v>
      </c>
      <c r="R4093" s="19">
        <f t="shared" si="192"/>
        <v>309</v>
      </c>
      <c r="S4093" s="19">
        <v>2150</v>
      </c>
      <c r="T4093" s="19" t="s">
        <v>42</v>
      </c>
      <c r="U4093" s="102" t="s">
        <v>1280</v>
      </c>
      <c r="V4093" s="253">
        <v>44993</v>
      </c>
      <c r="W4093" s="17" t="s">
        <v>58</v>
      </c>
      <c r="Y4093" s="68">
        <v>45161</v>
      </c>
      <c r="Z4093" s="17" t="s">
        <v>207</v>
      </c>
      <c r="AA4093" s="17" t="s">
        <v>46</v>
      </c>
      <c r="AB4093" s="17" t="s">
        <v>1280</v>
      </c>
      <c r="AC4093" s="102" t="s">
        <v>1183</v>
      </c>
      <c r="AD4093" s="65">
        <v>1460</v>
      </c>
      <c r="AE4093" s="17" t="s">
        <v>48</v>
      </c>
    </row>
    <row r="4094" s="17" customFormat="1" hidden="1" spans="1:32">
      <c r="A4094" s="17" t="s">
        <v>34</v>
      </c>
      <c r="B4094" s="19">
        <v>936</v>
      </c>
      <c r="C4094" s="222" t="s">
        <v>1279</v>
      </c>
      <c r="D4094" s="17" t="s">
        <v>52</v>
      </c>
      <c r="E4094" s="17" t="s">
        <v>53</v>
      </c>
      <c r="F4094" s="17" t="s">
        <v>54</v>
      </c>
      <c r="H4094" s="19" t="s">
        <v>55</v>
      </c>
      <c r="I4094" s="19"/>
      <c r="J4094" s="17" t="s">
        <v>82</v>
      </c>
      <c r="K4094" s="19">
        <v>611</v>
      </c>
      <c r="L4094" s="19">
        <v>120</v>
      </c>
      <c r="M4094" s="19">
        <v>5800</v>
      </c>
      <c r="N4094" s="19"/>
      <c r="O4094" s="19"/>
      <c r="P4094" s="19">
        <v>1864</v>
      </c>
      <c r="Q4094" s="19">
        <v>1955</v>
      </c>
      <c r="R4094" s="19">
        <f t="shared" si="192"/>
        <v>-91</v>
      </c>
      <c r="S4094" s="19">
        <v>2150</v>
      </c>
      <c r="T4094" s="19" t="s">
        <v>42</v>
      </c>
      <c r="U4094" s="102" t="s">
        <v>1280</v>
      </c>
      <c r="V4094" s="253">
        <v>44993</v>
      </c>
      <c r="W4094" s="17" t="s">
        <v>58</v>
      </c>
      <c r="Y4094" s="68">
        <v>45161</v>
      </c>
      <c r="Z4094" s="17" t="s">
        <v>207</v>
      </c>
      <c r="AA4094" s="17" t="s">
        <v>46</v>
      </c>
      <c r="AB4094" s="17" t="s">
        <v>1280</v>
      </c>
      <c r="AC4094" s="102" t="s">
        <v>1183</v>
      </c>
      <c r="AD4094" s="65">
        <v>1460</v>
      </c>
      <c r="AE4094" s="17" t="s">
        <v>48</v>
      </c>
    </row>
    <row r="4095" s="17" customFormat="1" hidden="1" spans="1:32">
      <c r="A4095" s="17" t="s">
        <v>34</v>
      </c>
      <c r="B4095" s="19">
        <v>936</v>
      </c>
      <c r="C4095" s="222" t="s">
        <v>1279</v>
      </c>
      <c r="D4095" s="17" t="s">
        <v>52</v>
      </c>
      <c r="E4095" s="17" t="s">
        <v>53</v>
      </c>
      <c r="F4095" s="17" t="s">
        <v>54</v>
      </c>
      <c r="H4095" s="19" t="s">
        <v>55</v>
      </c>
      <c r="I4095" s="19"/>
      <c r="J4095" s="17" t="s">
        <v>82</v>
      </c>
      <c r="K4095" s="19">
        <v>511</v>
      </c>
      <c r="L4095" s="19">
        <v>121</v>
      </c>
      <c r="M4095" s="19">
        <v>5800</v>
      </c>
      <c r="N4095" s="19"/>
      <c r="O4095" s="19"/>
      <c r="P4095" s="19">
        <v>2084</v>
      </c>
      <c r="Q4095" s="19">
        <v>1587</v>
      </c>
      <c r="R4095" s="19">
        <f t="shared" si="192"/>
        <v>497</v>
      </c>
      <c r="S4095" s="19">
        <v>2150</v>
      </c>
      <c r="T4095" s="19" t="s">
        <v>42</v>
      </c>
      <c r="U4095" s="102" t="s">
        <v>1280</v>
      </c>
      <c r="V4095" s="253">
        <v>44993</v>
      </c>
      <c r="W4095" s="17" t="s">
        <v>58</v>
      </c>
      <c r="Y4095" s="68">
        <v>45161</v>
      </c>
      <c r="Z4095" s="17" t="s">
        <v>207</v>
      </c>
      <c r="AA4095" s="17" t="s">
        <v>46</v>
      </c>
      <c r="AB4095" s="17" t="s">
        <v>1280</v>
      </c>
      <c r="AC4095" s="102" t="s">
        <v>1183</v>
      </c>
      <c r="AD4095" s="65">
        <v>1460</v>
      </c>
      <c r="AE4095" s="17" t="s">
        <v>48</v>
      </c>
    </row>
    <row r="4096" s="17" customFormat="1" hidden="1" spans="1:32">
      <c r="A4096" s="17" t="s">
        <v>34</v>
      </c>
      <c r="B4096" s="19">
        <v>936</v>
      </c>
      <c r="C4096" s="222" t="s">
        <v>1279</v>
      </c>
      <c r="D4096" s="17" t="s">
        <v>52</v>
      </c>
      <c r="E4096" s="17" t="s">
        <v>53</v>
      </c>
      <c r="F4096" s="17" t="s">
        <v>54</v>
      </c>
      <c r="H4096" s="19" t="s">
        <v>55</v>
      </c>
      <c r="I4096" s="19"/>
      <c r="J4096" s="17" t="s">
        <v>82</v>
      </c>
      <c r="K4096" s="19">
        <v>611</v>
      </c>
      <c r="L4096" s="19">
        <v>142</v>
      </c>
      <c r="M4096" s="19">
        <v>5800</v>
      </c>
      <c r="N4096" s="19"/>
      <c r="O4096" s="19"/>
      <c r="P4096" s="19">
        <v>1796</v>
      </c>
      <c r="Q4096" s="19">
        <v>2701</v>
      </c>
      <c r="R4096" s="19">
        <f t="shared" si="192"/>
        <v>-905</v>
      </c>
      <c r="S4096" s="19">
        <v>2150</v>
      </c>
      <c r="T4096" s="19" t="s">
        <v>42</v>
      </c>
      <c r="U4096" s="102" t="s">
        <v>1280</v>
      </c>
      <c r="V4096" s="253">
        <v>44993</v>
      </c>
      <c r="W4096" s="17" t="s">
        <v>58</v>
      </c>
      <c r="Y4096" s="68">
        <v>45161</v>
      </c>
      <c r="Z4096" s="17" t="s">
        <v>207</v>
      </c>
      <c r="AA4096" s="17" t="s">
        <v>46</v>
      </c>
      <c r="AB4096" s="17" t="s">
        <v>1280</v>
      </c>
      <c r="AC4096" s="102" t="s">
        <v>1183</v>
      </c>
      <c r="AD4096" s="65">
        <v>1460</v>
      </c>
      <c r="AE4096" s="17" t="s">
        <v>48</v>
      </c>
    </row>
    <row r="4097" s="17" customFormat="1" hidden="1" spans="1:44">
      <c r="A4097" s="17" t="s">
        <v>34</v>
      </c>
      <c r="B4097" s="19">
        <v>936</v>
      </c>
      <c r="C4097" s="222" t="s">
        <v>1279</v>
      </c>
      <c r="D4097" s="17" t="s">
        <v>52</v>
      </c>
      <c r="E4097" s="17" t="s">
        <v>53</v>
      </c>
      <c r="F4097" s="17" t="s">
        <v>54</v>
      </c>
      <c r="H4097" s="19" t="s">
        <v>55</v>
      </c>
      <c r="I4097" s="19"/>
      <c r="J4097" s="17" t="s">
        <v>82</v>
      </c>
      <c r="K4097" s="19">
        <v>612</v>
      </c>
      <c r="L4097" s="19">
        <v>146</v>
      </c>
      <c r="M4097" s="19">
        <v>5800</v>
      </c>
      <c r="N4097" s="19"/>
      <c r="O4097" s="19"/>
      <c r="P4097" s="19">
        <v>2962</v>
      </c>
      <c r="Q4097" s="19">
        <v>2675</v>
      </c>
      <c r="R4097" s="19">
        <f t="shared" si="192"/>
        <v>287</v>
      </c>
      <c r="S4097" s="19">
        <v>2150</v>
      </c>
      <c r="T4097" s="19" t="s">
        <v>42</v>
      </c>
      <c r="U4097" s="102" t="s">
        <v>1280</v>
      </c>
      <c r="V4097" s="253">
        <v>44993</v>
      </c>
      <c r="W4097" s="17" t="s">
        <v>58</v>
      </c>
      <c r="Y4097" s="68">
        <v>45161</v>
      </c>
      <c r="Z4097" s="17" t="s">
        <v>207</v>
      </c>
      <c r="AA4097" s="17" t="s">
        <v>46</v>
      </c>
      <c r="AB4097" s="17" t="s">
        <v>1280</v>
      </c>
      <c r="AC4097" s="102" t="s">
        <v>1183</v>
      </c>
      <c r="AD4097" s="65">
        <v>1460</v>
      </c>
      <c r="AE4097" s="17" t="s">
        <v>48</v>
      </c>
    </row>
    <row r="4098" s="17" customFormat="1" hidden="1" spans="1:44">
      <c r="A4098" s="17" t="s">
        <v>34</v>
      </c>
      <c r="B4098" s="19">
        <v>936</v>
      </c>
      <c r="C4098" s="222" t="s">
        <v>1279</v>
      </c>
      <c r="D4098" s="17" t="s">
        <v>52</v>
      </c>
      <c r="E4098" s="17" t="s">
        <v>53</v>
      </c>
      <c r="F4098" s="17" t="s">
        <v>54</v>
      </c>
      <c r="H4098" s="19" t="s">
        <v>55</v>
      </c>
      <c r="I4098" s="19"/>
      <c r="J4098" s="17" t="s">
        <v>82</v>
      </c>
      <c r="K4098" s="19">
        <v>608</v>
      </c>
      <c r="L4098" s="19">
        <v>162</v>
      </c>
      <c r="M4098" s="19">
        <v>5800</v>
      </c>
      <c r="N4098" s="19"/>
      <c r="O4098" s="19"/>
      <c r="P4098" s="19">
        <v>3140</v>
      </c>
      <c r="Q4098" s="19">
        <v>2821</v>
      </c>
      <c r="R4098" s="19">
        <f t="shared" si="192"/>
        <v>319</v>
      </c>
      <c r="S4098" s="19">
        <v>2150</v>
      </c>
      <c r="T4098" s="19" t="s">
        <v>42</v>
      </c>
      <c r="U4098" s="102" t="s">
        <v>1280</v>
      </c>
      <c r="V4098" s="253">
        <v>44993</v>
      </c>
      <c r="W4098" s="17" t="s">
        <v>58</v>
      </c>
      <c r="Y4098" s="68">
        <v>45161</v>
      </c>
      <c r="Z4098" s="17" t="s">
        <v>207</v>
      </c>
      <c r="AA4098" s="17" t="s">
        <v>46</v>
      </c>
      <c r="AB4098" s="17" t="s">
        <v>1280</v>
      </c>
      <c r="AC4098" s="102" t="s">
        <v>1183</v>
      </c>
      <c r="AD4098" s="65">
        <v>1460</v>
      </c>
      <c r="AE4098" s="17" t="s">
        <v>48</v>
      </c>
    </row>
    <row r="4099" s="20" customFormat="1" hidden="1" spans="1:44">
      <c r="A4099" s="17" t="s">
        <v>34</v>
      </c>
      <c r="B4099" s="19">
        <v>937</v>
      </c>
      <c r="C4099" s="183">
        <v>45168</v>
      </c>
      <c r="D4099" s="17" t="s">
        <v>52</v>
      </c>
      <c r="E4099" s="17" t="s">
        <v>1113</v>
      </c>
      <c r="F4099" s="17" t="s">
        <v>54</v>
      </c>
      <c r="G4099" s="17"/>
      <c r="H4099" s="19" t="s">
        <v>1114</v>
      </c>
      <c r="I4099" s="19"/>
      <c r="J4099" s="17" t="s">
        <v>49</v>
      </c>
      <c r="K4099" s="19">
        <v>2200</v>
      </c>
      <c r="L4099" s="91">
        <v>25</v>
      </c>
      <c r="M4099" s="19">
        <v>5000</v>
      </c>
      <c r="N4099" s="19" t="s">
        <v>66</v>
      </c>
      <c r="O4099" s="19" t="s">
        <v>141</v>
      </c>
      <c r="P4099" s="19">
        <v>7983</v>
      </c>
      <c r="Q4099" s="19">
        <f>2450+2150+2505+2380</f>
        <v>9485</v>
      </c>
      <c r="R4099" s="19">
        <f t="shared" si="192"/>
        <v>-1502</v>
      </c>
      <c r="S4099" s="19">
        <f t="shared" ref="S4099:S4110" si="193">1090-40</f>
        <v>1050</v>
      </c>
      <c r="T4099" s="19" t="s">
        <v>42</v>
      </c>
      <c r="U4099" s="102" t="s">
        <v>1281</v>
      </c>
      <c r="V4099" s="101">
        <v>45169</v>
      </c>
      <c r="W4099" s="17" t="s">
        <v>44</v>
      </c>
      <c r="X4099" s="17"/>
      <c r="Y4099" s="68">
        <v>45283</v>
      </c>
      <c r="Z4099" s="17" t="s">
        <v>191</v>
      </c>
      <c r="AA4099" s="17" t="s">
        <v>46</v>
      </c>
      <c r="AB4099" s="17" t="s">
        <v>1282</v>
      </c>
      <c r="AC4099" s="217">
        <v>45017</v>
      </c>
      <c r="AD4099" s="65">
        <v>1512</v>
      </c>
      <c r="AE4099" s="17" t="s">
        <v>48</v>
      </c>
      <c r="AF4099" s="17"/>
      <c r="AG4099" s="17"/>
      <c r="AH4099" s="17"/>
      <c r="AI4099" s="17"/>
      <c r="AJ4099" s="17"/>
      <c r="AK4099" s="17"/>
      <c r="AL4099" s="17"/>
      <c r="AM4099" s="17"/>
      <c r="AN4099" s="17"/>
      <c r="AO4099" s="17"/>
      <c r="AP4099" s="17"/>
      <c r="AQ4099" s="17"/>
      <c r="AR4099" s="17"/>
    </row>
    <row r="4100" s="20" customFormat="1" hidden="1" spans="1:44">
      <c r="A4100" s="17" t="s">
        <v>34</v>
      </c>
      <c r="B4100" s="19">
        <v>937</v>
      </c>
      <c r="C4100" s="183">
        <v>45168</v>
      </c>
      <c r="D4100" s="17" t="s">
        <v>52</v>
      </c>
      <c r="E4100" s="17" t="s">
        <v>1113</v>
      </c>
      <c r="F4100" s="17" t="s">
        <v>54</v>
      </c>
      <c r="G4100" s="17"/>
      <c r="H4100" s="19" t="s">
        <v>1114</v>
      </c>
      <c r="I4100" s="19"/>
      <c r="J4100" s="17" t="s">
        <v>49</v>
      </c>
      <c r="K4100" s="19">
        <v>2200</v>
      </c>
      <c r="L4100" s="91">
        <v>32</v>
      </c>
      <c r="M4100" s="19">
        <v>5000</v>
      </c>
      <c r="N4100" s="19" t="s">
        <v>66</v>
      </c>
      <c r="O4100" s="19" t="s">
        <v>141</v>
      </c>
      <c r="P4100" s="19">
        <v>17883</v>
      </c>
      <c r="Q4100" s="19">
        <v>3070</v>
      </c>
      <c r="R4100" s="17"/>
      <c r="S4100" s="19">
        <f t="shared" si="193"/>
        <v>1050</v>
      </c>
      <c r="T4100" s="19" t="s">
        <v>42</v>
      </c>
      <c r="U4100" s="102" t="s">
        <v>1281</v>
      </c>
      <c r="V4100" s="101">
        <v>45169</v>
      </c>
      <c r="W4100" s="17" t="s">
        <v>44</v>
      </c>
      <c r="X4100" s="17"/>
      <c r="Y4100" s="68">
        <v>45283</v>
      </c>
      <c r="Z4100" s="17" t="s">
        <v>191</v>
      </c>
      <c r="AA4100" s="17" t="s">
        <v>46</v>
      </c>
      <c r="AB4100" s="17" t="s">
        <v>1231</v>
      </c>
      <c r="AC4100" s="66">
        <v>45283</v>
      </c>
      <c r="AD4100" s="65">
        <v>1504</v>
      </c>
      <c r="AE4100" s="17" t="s">
        <v>48</v>
      </c>
      <c r="AF4100" s="17"/>
      <c r="AG4100" s="17"/>
      <c r="AH4100" s="17"/>
      <c r="AI4100" s="17"/>
      <c r="AJ4100" s="17"/>
      <c r="AK4100" s="17"/>
      <c r="AL4100" s="17"/>
      <c r="AM4100" s="17"/>
      <c r="AN4100" s="17"/>
      <c r="AO4100" s="17"/>
      <c r="AP4100" s="17"/>
      <c r="AQ4100" s="17"/>
      <c r="AR4100" s="17"/>
    </row>
    <row r="4101" s="20" customFormat="1" hidden="1" spans="1:44">
      <c r="A4101" s="17" t="s">
        <v>34</v>
      </c>
      <c r="B4101" s="19">
        <v>937</v>
      </c>
      <c r="C4101" s="183">
        <v>45168</v>
      </c>
      <c r="D4101" s="17" t="s">
        <v>52</v>
      </c>
      <c r="E4101" s="17" t="s">
        <v>1113</v>
      </c>
      <c r="F4101" s="17" t="s">
        <v>54</v>
      </c>
      <c r="G4101" s="17"/>
      <c r="H4101" s="19" t="s">
        <v>1114</v>
      </c>
      <c r="I4101" s="19"/>
      <c r="J4101" s="17" t="s">
        <v>49</v>
      </c>
      <c r="K4101" s="19">
        <v>2200</v>
      </c>
      <c r="L4101" s="91">
        <v>32</v>
      </c>
      <c r="M4101" s="19">
        <v>5000</v>
      </c>
      <c r="N4101" s="19" t="s">
        <v>66</v>
      </c>
      <c r="O4101" s="19" t="s">
        <v>141</v>
      </c>
      <c r="P4101" s="19"/>
      <c r="Q4101" s="19">
        <v>3005</v>
      </c>
      <c r="R4101" s="17"/>
      <c r="S4101" s="19">
        <f t="shared" si="193"/>
        <v>1050</v>
      </c>
      <c r="T4101" s="19" t="s">
        <v>42</v>
      </c>
      <c r="U4101" s="102" t="s">
        <v>1281</v>
      </c>
      <c r="V4101" s="101">
        <v>45169</v>
      </c>
      <c r="W4101" s="17" t="s">
        <v>44</v>
      </c>
      <c r="X4101" s="17"/>
      <c r="Y4101" s="68">
        <v>45283</v>
      </c>
      <c r="Z4101" s="17" t="s">
        <v>191</v>
      </c>
      <c r="AA4101" s="17" t="s">
        <v>46</v>
      </c>
      <c r="AB4101" s="17" t="s">
        <v>1282</v>
      </c>
      <c r="AC4101" s="217">
        <v>45017</v>
      </c>
      <c r="AD4101" s="65">
        <v>1512</v>
      </c>
      <c r="AE4101" s="17" t="s">
        <v>48</v>
      </c>
      <c r="AF4101" s="17"/>
      <c r="AG4101" s="17"/>
      <c r="AH4101" s="17"/>
      <c r="AI4101" s="17"/>
      <c r="AJ4101" s="17"/>
      <c r="AK4101" s="17"/>
      <c r="AL4101" s="17"/>
      <c r="AM4101" s="17"/>
      <c r="AN4101" s="17"/>
      <c r="AO4101" s="17"/>
      <c r="AP4101" s="17"/>
      <c r="AQ4101" s="17"/>
      <c r="AR4101" s="17"/>
    </row>
    <row r="4102" s="20" customFormat="1" hidden="1" spans="1:44">
      <c r="A4102" s="17" t="s">
        <v>34</v>
      </c>
      <c r="B4102" s="19">
        <v>937</v>
      </c>
      <c r="C4102" s="183">
        <v>45168</v>
      </c>
      <c r="D4102" s="17" t="s">
        <v>52</v>
      </c>
      <c r="E4102" s="17" t="s">
        <v>1113</v>
      </c>
      <c r="F4102" s="17" t="s">
        <v>54</v>
      </c>
      <c r="G4102" s="17"/>
      <c r="H4102" s="19" t="s">
        <v>1114</v>
      </c>
      <c r="I4102" s="19"/>
      <c r="J4102" s="17" t="s">
        <v>49</v>
      </c>
      <c r="K4102" s="19">
        <v>2200</v>
      </c>
      <c r="L4102" s="91">
        <v>32</v>
      </c>
      <c r="M4102" s="19">
        <v>5000</v>
      </c>
      <c r="N4102" s="19" t="s">
        <v>66</v>
      </c>
      <c r="O4102" s="19" t="s">
        <v>141</v>
      </c>
      <c r="P4102" s="19"/>
      <c r="Q4102" s="19">
        <f>3175+2800+3130+3160+3165</f>
        <v>15430</v>
      </c>
      <c r="R4102" s="19">
        <f>+P4100-Q4100-Q4101-Q4102</f>
        <v>-3622</v>
      </c>
      <c r="S4102" s="19">
        <f t="shared" si="193"/>
        <v>1050</v>
      </c>
      <c r="T4102" s="19" t="s">
        <v>42</v>
      </c>
      <c r="U4102" s="102" t="s">
        <v>1281</v>
      </c>
      <c r="V4102" s="101">
        <v>45169</v>
      </c>
      <c r="W4102" s="17" t="s">
        <v>44</v>
      </c>
      <c r="X4102" s="17"/>
      <c r="Y4102" s="68">
        <v>45283</v>
      </c>
      <c r="Z4102" s="17" t="s">
        <v>191</v>
      </c>
      <c r="AA4102" s="17" t="s">
        <v>46</v>
      </c>
      <c r="AB4102" s="17" t="s">
        <v>1253</v>
      </c>
      <c r="AC4102" s="66">
        <v>45307</v>
      </c>
      <c r="AD4102" s="65">
        <v>1520</v>
      </c>
      <c r="AE4102" s="17" t="s">
        <v>48</v>
      </c>
      <c r="AF4102" s="17"/>
      <c r="AG4102" s="17"/>
      <c r="AH4102" s="17"/>
      <c r="AI4102" s="17"/>
      <c r="AJ4102" s="17"/>
      <c r="AK4102" s="17"/>
      <c r="AL4102" s="17"/>
      <c r="AM4102" s="17"/>
      <c r="AN4102" s="17"/>
      <c r="AO4102" s="17"/>
      <c r="AP4102" s="17"/>
      <c r="AQ4102" s="17"/>
      <c r="AR4102" s="17"/>
    </row>
    <row r="4103" s="21" customFormat="1" hidden="1" spans="1:44">
      <c r="A4103" s="17" t="s">
        <v>34</v>
      </c>
      <c r="B4103" s="19">
        <v>937</v>
      </c>
      <c r="C4103" s="183">
        <v>45168</v>
      </c>
      <c r="D4103" s="17" t="s">
        <v>52</v>
      </c>
      <c r="E4103" s="17" t="s">
        <v>1113</v>
      </c>
      <c r="F4103" s="17" t="s">
        <v>54</v>
      </c>
      <c r="G4103" s="17"/>
      <c r="H4103" s="19" t="s">
        <v>1114</v>
      </c>
      <c r="I4103" s="19"/>
      <c r="J4103" s="17" t="s">
        <v>49</v>
      </c>
      <c r="K4103" s="19">
        <v>2200</v>
      </c>
      <c r="L4103" s="91">
        <v>36</v>
      </c>
      <c r="M4103" s="19">
        <v>5000</v>
      </c>
      <c r="N4103" s="19" t="s">
        <v>66</v>
      </c>
      <c r="O4103" s="19" t="s">
        <v>141</v>
      </c>
      <c r="P4103" s="19">
        <v>20118</v>
      </c>
      <c r="Q4103" s="19">
        <v>0</v>
      </c>
      <c r="R4103" s="19">
        <f>+P4103-Q4103</f>
        <v>20118</v>
      </c>
      <c r="S4103" s="19">
        <f t="shared" si="193"/>
        <v>1050</v>
      </c>
      <c r="T4103" s="19" t="s">
        <v>42</v>
      </c>
      <c r="U4103" s="102" t="s">
        <v>1281</v>
      </c>
      <c r="V4103" s="101">
        <v>45169</v>
      </c>
      <c r="W4103" s="17" t="s">
        <v>44</v>
      </c>
      <c r="X4103" s="17"/>
      <c r="Y4103" s="68">
        <v>45283</v>
      </c>
      <c r="Z4103" s="17" t="s">
        <v>191</v>
      </c>
      <c r="AA4103" s="17" t="s">
        <v>46</v>
      </c>
      <c r="AB4103" s="17"/>
      <c r="AC4103" s="102"/>
      <c r="AD4103" s="65"/>
      <c r="AE4103" s="17" t="s">
        <v>48</v>
      </c>
      <c r="AF4103" s="17"/>
      <c r="AG4103" s="17" t="s">
        <v>1283</v>
      </c>
      <c r="AH4103" s="17"/>
      <c r="AI4103" s="17"/>
      <c r="AJ4103" s="17"/>
      <c r="AK4103" s="17"/>
      <c r="AL4103" s="17"/>
      <c r="AM4103" s="17"/>
      <c r="AN4103" s="17"/>
      <c r="AO4103" s="17"/>
      <c r="AP4103" s="17"/>
      <c r="AQ4103" s="17"/>
      <c r="AR4103" s="17"/>
    </row>
    <row r="4104" s="20" customFormat="1" hidden="1" spans="1:44">
      <c r="A4104" s="17" t="s">
        <v>34</v>
      </c>
      <c r="B4104" s="19">
        <v>937</v>
      </c>
      <c r="C4104" s="183">
        <v>45168</v>
      </c>
      <c r="D4104" s="17" t="s">
        <v>52</v>
      </c>
      <c r="E4104" s="17" t="s">
        <v>1113</v>
      </c>
      <c r="F4104" s="17" t="s">
        <v>54</v>
      </c>
      <c r="G4104" s="17"/>
      <c r="H4104" s="19" t="s">
        <v>1114</v>
      </c>
      <c r="I4104" s="19"/>
      <c r="J4104" s="17" t="s">
        <v>49</v>
      </c>
      <c r="K4104" s="19">
        <v>2200</v>
      </c>
      <c r="L4104" s="91">
        <v>40</v>
      </c>
      <c r="M4104" s="19">
        <v>5000</v>
      </c>
      <c r="N4104" s="19" t="s">
        <v>66</v>
      </c>
      <c r="O4104" s="19" t="s">
        <v>141</v>
      </c>
      <c r="P4104" s="19">
        <v>19160</v>
      </c>
      <c r="Q4104" s="19">
        <v>3085</v>
      </c>
      <c r="R4104" s="17"/>
      <c r="S4104" s="19">
        <f t="shared" si="193"/>
        <v>1050</v>
      </c>
      <c r="T4104" s="19" t="s">
        <v>42</v>
      </c>
      <c r="U4104" s="102" t="s">
        <v>1281</v>
      </c>
      <c r="V4104" s="101">
        <v>45169</v>
      </c>
      <c r="W4104" s="17" t="s">
        <v>44</v>
      </c>
      <c r="X4104" s="17"/>
      <c r="Y4104" s="68">
        <v>45283</v>
      </c>
      <c r="Z4104" s="17" t="s">
        <v>191</v>
      </c>
      <c r="AA4104" s="17" t="s">
        <v>46</v>
      </c>
      <c r="AB4104" s="17" t="s">
        <v>1236</v>
      </c>
      <c r="AC4104" s="66">
        <v>45288</v>
      </c>
      <c r="AD4104" s="65">
        <v>1511</v>
      </c>
      <c r="AE4104" s="17" t="s">
        <v>48</v>
      </c>
      <c r="AF4104" s="17"/>
      <c r="AG4104" s="17"/>
      <c r="AH4104" s="17"/>
      <c r="AI4104" s="17"/>
      <c r="AJ4104" s="17"/>
      <c r="AK4104" s="17"/>
      <c r="AL4104" s="17"/>
      <c r="AM4104" s="17"/>
      <c r="AN4104" s="17"/>
      <c r="AO4104" s="17"/>
      <c r="AP4104" s="17"/>
      <c r="AQ4104" s="17"/>
      <c r="AR4104" s="17"/>
    </row>
    <row r="4105" s="20" customFormat="1" hidden="1" spans="1:44">
      <c r="A4105" s="17" t="s">
        <v>34</v>
      </c>
      <c r="B4105" s="19">
        <v>937</v>
      </c>
      <c r="C4105" s="183">
        <v>45168</v>
      </c>
      <c r="D4105" s="17" t="s">
        <v>52</v>
      </c>
      <c r="E4105" s="17" t="s">
        <v>1113</v>
      </c>
      <c r="F4105" s="17" t="s">
        <v>54</v>
      </c>
      <c r="G4105" s="17"/>
      <c r="H4105" s="19" t="s">
        <v>1114</v>
      </c>
      <c r="I4105" s="19"/>
      <c r="J4105" s="17" t="s">
        <v>49</v>
      </c>
      <c r="K4105" s="19">
        <v>2200</v>
      </c>
      <c r="L4105" s="91">
        <v>40</v>
      </c>
      <c r="M4105" s="19">
        <v>5000</v>
      </c>
      <c r="N4105" s="19" t="s">
        <v>66</v>
      </c>
      <c r="O4105" s="19" t="s">
        <v>141</v>
      </c>
      <c r="P4105" s="19"/>
      <c r="Q4105" s="19">
        <v>2220</v>
      </c>
      <c r="R4105" s="17"/>
      <c r="S4105" s="19">
        <f t="shared" si="193"/>
        <v>1050</v>
      </c>
      <c r="T4105" s="19" t="s">
        <v>42</v>
      </c>
      <c r="U4105" s="102" t="s">
        <v>1281</v>
      </c>
      <c r="V4105" s="101">
        <v>45169</v>
      </c>
      <c r="W4105" s="17" t="s">
        <v>44</v>
      </c>
      <c r="X4105" s="17"/>
      <c r="Y4105" s="68">
        <v>45283</v>
      </c>
      <c r="Z4105" s="17" t="s">
        <v>191</v>
      </c>
      <c r="AA4105" s="17" t="s">
        <v>46</v>
      </c>
      <c r="AB4105" s="17" t="s">
        <v>1282</v>
      </c>
      <c r="AC4105" s="217">
        <v>45017</v>
      </c>
      <c r="AD4105" s="65">
        <v>1512</v>
      </c>
      <c r="AE4105" s="17" t="s">
        <v>48</v>
      </c>
      <c r="AF4105" s="17"/>
      <c r="AG4105" s="17"/>
      <c r="AH4105" s="17"/>
      <c r="AI4105" s="17"/>
      <c r="AJ4105" s="17"/>
      <c r="AK4105" s="17"/>
      <c r="AL4105" s="17"/>
      <c r="AM4105" s="17"/>
      <c r="AN4105" s="17"/>
      <c r="AO4105" s="17"/>
      <c r="AP4105" s="17"/>
      <c r="AQ4105" s="17"/>
      <c r="AR4105" s="17"/>
    </row>
    <row r="4106" s="20" customFormat="1" hidden="1" spans="1:44">
      <c r="A4106" s="17" t="s">
        <v>34</v>
      </c>
      <c r="B4106" s="19">
        <v>937</v>
      </c>
      <c r="C4106" s="183">
        <v>45168</v>
      </c>
      <c r="D4106" s="17" t="s">
        <v>52</v>
      </c>
      <c r="E4106" s="17" t="s">
        <v>1113</v>
      </c>
      <c r="F4106" s="17" t="s">
        <v>54</v>
      </c>
      <c r="G4106" s="17"/>
      <c r="H4106" s="19" t="s">
        <v>1114</v>
      </c>
      <c r="I4106" s="19"/>
      <c r="J4106" s="17" t="s">
        <v>49</v>
      </c>
      <c r="K4106" s="19">
        <v>2200</v>
      </c>
      <c r="L4106" s="91">
        <v>40</v>
      </c>
      <c r="M4106" s="19">
        <v>5000</v>
      </c>
      <c r="N4106" s="19" t="s">
        <v>66</v>
      </c>
      <c r="O4106" s="19" t="s">
        <v>141</v>
      </c>
      <c r="P4106" s="19"/>
      <c r="Q4106" s="19">
        <f>3680+3710</f>
        <v>7390</v>
      </c>
      <c r="R4106" s="19">
        <f>+P4104-Q4104-Q4105-Q4106</f>
        <v>6465</v>
      </c>
      <c r="S4106" s="19">
        <f t="shared" si="193"/>
        <v>1050</v>
      </c>
      <c r="T4106" s="19" t="s">
        <v>42</v>
      </c>
      <c r="U4106" s="102" t="s">
        <v>1281</v>
      </c>
      <c r="V4106" s="101">
        <v>45169</v>
      </c>
      <c r="W4106" s="17" t="s">
        <v>44</v>
      </c>
      <c r="X4106" s="17"/>
      <c r="Y4106" s="68">
        <v>45283</v>
      </c>
      <c r="Z4106" s="17" t="s">
        <v>191</v>
      </c>
      <c r="AA4106" s="17" t="s">
        <v>46</v>
      </c>
      <c r="AB4106" s="17" t="s">
        <v>1251</v>
      </c>
      <c r="AC4106" s="217">
        <v>45566</v>
      </c>
      <c r="AD4106" s="65">
        <v>1515</v>
      </c>
      <c r="AE4106" s="17" t="s">
        <v>48</v>
      </c>
      <c r="AF4106" s="17"/>
      <c r="AG4106" s="17" t="s">
        <v>1283</v>
      </c>
      <c r="AH4106" s="17"/>
      <c r="AI4106" s="17"/>
      <c r="AJ4106" s="17"/>
      <c r="AK4106" s="17"/>
      <c r="AL4106" s="17"/>
      <c r="AM4106" s="17"/>
      <c r="AN4106" s="17"/>
      <c r="AO4106" s="17"/>
      <c r="AP4106" s="17"/>
      <c r="AQ4106" s="17"/>
      <c r="AR4106" s="17"/>
    </row>
    <row r="4107" s="20" customFormat="1" hidden="1" spans="1:44">
      <c r="A4107" s="17" t="s">
        <v>34</v>
      </c>
      <c r="B4107" s="19">
        <v>937</v>
      </c>
      <c r="C4107" s="183">
        <v>45168</v>
      </c>
      <c r="D4107" s="17" t="s">
        <v>52</v>
      </c>
      <c r="E4107" s="17" t="s">
        <v>1113</v>
      </c>
      <c r="F4107" s="17" t="s">
        <v>54</v>
      </c>
      <c r="G4107" s="17"/>
      <c r="H4107" s="19" t="s">
        <v>1114</v>
      </c>
      <c r="I4107" s="19"/>
      <c r="J4107" s="17" t="s">
        <v>49</v>
      </c>
      <c r="K4107" s="19">
        <v>2200</v>
      </c>
      <c r="L4107" s="91">
        <v>50</v>
      </c>
      <c r="M4107" s="19">
        <v>5000</v>
      </c>
      <c r="N4107" s="19" t="s">
        <v>66</v>
      </c>
      <c r="O4107" s="19" t="s">
        <v>141</v>
      </c>
      <c r="P4107" s="19">
        <v>15967</v>
      </c>
      <c r="Q4107" s="19">
        <v>3580</v>
      </c>
      <c r="R4107" s="17"/>
      <c r="S4107" s="19">
        <f t="shared" si="193"/>
        <v>1050</v>
      </c>
      <c r="T4107" s="19" t="s">
        <v>42</v>
      </c>
      <c r="U4107" s="102" t="s">
        <v>1281</v>
      </c>
      <c r="V4107" s="101">
        <v>45169</v>
      </c>
      <c r="W4107" s="17" t="s">
        <v>44</v>
      </c>
      <c r="X4107" s="17"/>
      <c r="Y4107" s="68">
        <v>45283</v>
      </c>
      <c r="Z4107" s="17" t="s">
        <v>191</v>
      </c>
      <c r="AA4107" s="17" t="s">
        <v>46</v>
      </c>
      <c r="AB4107" s="17" t="s">
        <v>1236</v>
      </c>
      <c r="AC4107" s="66">
        <v>45288</v>
      </c>
      <c r="AD4107" s="65">
        <v>1511</v>
      </c>
      <c r="AE4107" s="17" t="s">
        <v>48</v>
      </c>
      <c r="AF4107" s="17"/>
      <c r="AG4107" s="17"/>
      <c r="AH4107" s="17"/>
      <c r="AI4107" s="17"/>
      <c r="AJ4107" s="17"/>
      <c r="AK4107" s="17"/>
      <c r="AL4107" s="17"/>
      <c r="AM4107" s="17"/>
      <c r="AN4107" s="17"/>
      <c r="AO4107" s="17"/>
      <c r="AP4107" s="17"/>
      <c r="AQ4107" s="17"/>
      <c r="AR4107" s="17"/>
    </row>
    <row r="4108" s="20" customFormat="1" hidden="1" spans="1:44">
      <c r="A4108" s="17" t="s">
        <v>34</v>
      </c>
      <c r="B4108" s="19">
        <v>937</v>
      </c>
      <c r="C4108" s="183">
        <v>45168</v>
      </c>
      <c r="D4108" s="17" t="s">
        <v>52</v>
      </c>
      <c r="E4108" s="17" t="s">
        <v>1113</v>
      </c>
      <c r="F4108" s="17" t="s">
        <v>54</v>
      </c>
      <c r="G4108" s="17"/>
      <c r="H4108" s="19" t="s">
        <v>1114</v>
      </c>
      <c r="I4108" s="19"/>
      <c r="J4108" s="17" t="s">
        <v>49</v>
      </c>
      <c r="K4108" s="19">
        <v>2200</v>
      </c>
      <c r="L4108" s="91">
        <v>50</v>
      </c>
      <c r="M4108" s="19">
        <v>5000</v>
      </c>
      <c r="N4108" s="19" t="s">
        <v>66</v>
      </c>
      <c r="O4108" s="19" t="s">
        <v>141</v>
      </c>
      <c r="P4108" s="19"/>
      <c r="Q4108" s="19">
        <v>3460</v>
      </c>
      <c r="R4108" s="17"/>
      <c r="S4108" s="19">
        <f t="shared" si="193"/>
        <v>1050</v>
      </c>
      <c r="T4108" s="19" t="s">
        <v>42</v>
      </c>
      <c r="U4108" s="102" t="s">
        <v>1281</v>
      </c>
      <c r="V4108" s="101">
        <v>45169</v>
      </c>
      <c r="W4108" s="17" t="s">
        <v>44</v>
      </c>
      <c r="X4108" s="17"/>
      <c r="Y4108" s="68">
        <v>45283</v>
      </c>
      <c r="Z4108" s="17" t="s">
        <v>191</v>
      </c>
      <c r="AA4108" s="17" t="s">
        <v>46</v>
      </c>
      <c r="AB4108" s="17" t="s">
        <v>1236</v>
      </c>
      <c r="AC4108" s="66">
        <v>45288</v>
      </c>
      <c r="AD4108" s="65">
        <v>1511</v>
      </c>
      <c r="AE4108" s="17" t="s">
        <v>48</v>
      </c>
      <c r="AF4108" s="17"/>
      <c r="AG4108" s="17"/>
      <c r="AH4108" s="17"/>
      <c r="AI4108" s="17"/>
      <c r="AJ4108" s="17"/>
      <c r="AK4108" s="17"/>
      <c r="AL4108" s="17"/>
      <c r="AM4108" s="17"/>
      <c r="AN4108" s="17"/>
      <c r="AO4108" s="17"/>
      <c r="AP4108" s="17"/>
      <c r="AQ4108" s="17"/>
      <c r="AR4108" s="17"/>
    </row>
    <row r="4109" s="20" customFormat="1" hidden="1" spans="1:44">
      <c r="A4109" s="17" t="s">
        <v>34</v>
      </c>
      <c r="B4109" s="19">
        <v>937</v>
      </c>
      <c r="C4109" s="183">
        <v>45168</v>
      </c>
      <c r="D4109" s="17" t="s">
        <v>52</v>
      </c>
      <c r="E4109" s="17" t="s">
        <v>1113</v>
      </c>
      <c r="F4109" s="17" t="s">
        <v>54</v>
      </c>
      <c r="G4109" s="17"/>
      <c r="H4109" s="19" t="s">
        <v>1114</v>
      </c>
      <c r="I4109" s="19"/>
      <c r="J4109" s="17" t="s">
        <v>49</v>
      </c>
      <c r="K4109" s="19">
        <v>2200</v>
      </c>
      <c r="L4109" s="91">
        <v>50</v>
      </c>
      <c r="M4109" s="19">
        <v>5000</v>
      </c>
      <c r="N4109" s="19" t="s">
        <v>66</v>
      </c>
      <c r="O4109" s="19" t="s">
        <v>141</v>
      </c>
      <c r="P4109" s="19"/>
      <c r="Q4109" s="19">
        <f>2980+3055</f>
        <v>6035</v>
      </c>
      <c r="R4109" s="19">
        <f>+P4107-Q4107-Q4108-Q4109</f>
        <v>2892</v>
      </c>
      <c r="S4109" s="19">
        <f t="shared" si="193"/>
        <v>1050</v>
      </c>
      <c r="T4109" s="19" t="s">
        <v>42</v>
      </c>
      <c r="U4109" s="102" t="s">
        <v>1281</v>
      </c>
      <c r="V4109" s="101">
        <v>45169</v>
      </c>
      <c r="W4109" s="17" t="s">
        <v>44</v>
      </c>
      <c r="X4109" s="17"/>
      <c r="Y4109" s="68">
        <v>45283</v>
      </c>
      <c r="Z4109" s="17" t="s">
        <v>191</v>
      </c>
      <c r="AA4109" s="17" t="s">
        <v>46</v>
      </c>
      <c r="AB4109" s="17" t="s">
        <v>1282</v>
      </c>
      <c r="AC4109" s="217">
        <v>45017</v>
      </c>
      <c r="AD4109" s="65">
        <v>1512</v>
      </c>
      <c r="AE4109" s="17" t="s">
        <v>48</v>
      </c>
      <c r="AF4109" s="17"/>
      <c r="AG4109" s="17" t="s">
        <v>1283</v>
      </c>
      <c r="AH4109" s="17"/>
      <c r="AI4109" s="17"/>
      <c r="AJ4109" s="17"/>
      <c r="AK4109" s="17"/>
      <c r="AL4109" s="17"/>
      <c r="AM4109" s="17"/>
      <c r="AN4109" s="17"/>
      <c r="AO4109" s="17"/>
      <c r="AP4109" s="17"/>
      <c r="AQ4109" s="17"/>
      <c r="AR4109" s="17"/>
    </row>
    <row r="4110" s="20" customFormat="1" hidden="1" spans="1:44">
      <c r="A4110" s="17" t="s">
        <v>34</v>
      </c>
      <c r="B4110" s="19">
        <v>937</v>
      </c>
      <c r="C4110" s="183">
        <v>45168</v>
      </c>
      <c r="D4110" s="17" t="s">
        <v>52</v>
      </c>
      <c r="E4110" s="17" t="s">
        <v>1113</v>
      </c>
      <c r="F4110" s="17" t="s">
        <v>54</v>
      </c>
      <c r="G4110" s="17"/>
      <c r="H4110" s="19" t="s">
        <v>1114</v>
      </c>
      <c r="I4110" s="19"/>
      <c r="J4110" s="17" t="s">
        <v>49</v>
      </c>
      <c r="K4110" s="19">
        <v>2200</v>
      </c>
      <c r="L4110" s="91">
        <v>56</v>
      </c>
      <c r="M4110" s="19">
        <v>5000</v>
      </c>
      <c r="N4110" s="19" t="s">
        <v>66</v>
      </c>
      <c r="O4110" s="19" t="s">
        <v>141</v>
      </c>
      <c r="P4110" s="19">
        <v>13412</v>
      </c>
      <c r="Q4110" s="19">
        <f>5410+5140</f>
        <v>10550</v>
      </c>
      <c r="R4110" s="21"/>
      <c r="S4110" s="19">
        <f t="shared" si="193"/>
        <v>1050</v>
      </c>
      <c r="T4110" s="19" t="s">
        <v>42</v>
      </c>
      <c r="U4110" s="102" t="s">
        <v>1281</v>
      </c>
      <c r="V4110" s="101">
        <v>45169</v>
      </c>
      <c r="W4110" s="17" t="s">
        <v>44</v>
      </c>
      <c r="X4110" s="17"/>
      <c r="Y4110" s="68">
        <v>45283</v>
      </c>
      <c r="Z4110" s="17" t="s">
        <v>191</v>
      </c>
      <c r="AA4110" s="17" t="s">
        <v>46</v>
      </c>
      <c r="AB4110" s="17" t="s">
        <v>1238</v>
      </c>
      <c r="AC4110" s="66">
        <v>45280</v>
      </c>
      <c r="AD4110" s="65">
        <v>1500</v>
      </c>
      <c r="AE4110" s="17" t="s">
        <v>48</v>
      </c>
      <c r="AF4110" s="17"/>
      <c r="AG4110" s="17"/>
      <c r="AH4110" s="17"/>
      <c r="AI4110" s="17"/>
      <c r="AJ4110" s="17"/>
      <c r="AK4110" s="17"/>
      <c r="AL4110" s="17"/>
      <c r="AM4110" s="17"/>
      <c r="AN4110" s="17"/>
      <c r="AO4110" s="17"/>
      <c r="AP4110" s="17"/>
      <c r="AQ4110" s="17"/>
      <c r="AR4110" s="17"/>
    </row>
    <row r="4111" s="20" customFormat="1" hidden="1" spans="1:44">
      <c r="A4111" s="17" t="s">
        <v>34</v>
      </c>
      <c r="B4111" s="19">
        <v>937</v>
      </c>
      <c r="C4111" s="183">
        <v>45168</v>
      </c>
      <c r="D4111" s="17" t="s">
        <v>52</v>
      </c>
      <c r="E4111" s="17" t="s">
        <v>1113</v>
      </c>
      <c r="F4111" s="17" t="s">
        <v>54</v>
      </c>
      <c r="G4111" s="17"/>
      <c r="H4111" s="19" t="s">
        <v>1114</v>
      </c>
      <c r="I4111" s="19"/>
      <c r="J4111" s="17" t="s">
        <v>49</v>
      </c>
      <c r="K4111" s="19">
        <v>2200</v>
      </c>
      <c r="L4111" s="91">
        <v>56</v>
      </c>
      <c r="M4111" s="19">
        <v>5000</v>
      </c>
      <c r="N4111" s="19" t="s">
        <v>66</v>
      </c>
      <c r="O4111" s="19" t="s">
        <v>141</v>
      </c>
      <c r="P4111" s="19"/>
      <c r="Q4111" s="19">
        <v>4040</v>
      </c>
      <c r="R4111" s="19">
        <f>+P4110-Q4110-Q4111</f>
        <v>-1178</v>
      </c>
      <c r="S4111" s="19">
        <f>1050-40</f>
        <v>1010</v>
      </c>
      <c r="T4111" s="19" t="s">
        <v>42</v>
      </c>
      <c r="U4111" s="102" t="s">
        <v>1281</v>
      </c>
      <c r="V4111" s="101">
        <v>45169</v>
      </c>
      <c r="W4111" s="17" t="s">
        <v>44</v>
      </c>
      <c r="X4111" s="17"/>
      <c r="Y4111" s="68">
        <v>45283</v>
      </c>
      <c r="Z4111" s="17" t="s">
        <v>191</v>
      </c>
      <c r="AA4111" s="17" t="s">
        <v>46</v>
      </c>
      <c r="AB4111" s="17" t="s">
        <v>1284</v>
      </c>
      <c r="AC4111" s="66">
        <v>45372</v>
      </c>
      <c r="AD4111" s="65">
        <v>1543</v>
      </c>
      <c r="AE4111" s="17" t="s">
        <v>48</v>
      </c>
      <c r="AF4111" s="17"/>
      <c r="AG4111" s="17"/>
      <c r="AH4111" s="17"/>
      <c r="AI4111" s="17"/>
      <c r="AJ4111" s="17"/>
      <c r="AK4111" s="17"/>
      <c r="AL4111" s="17"/>
      <c r="AM4111" s="17"/>
      <c r="AN4111" s="17"/>
      <c r="AO4111" s="17"/>
      <c r="AP4111" s="17"/>
      <c r="AQ4111" s="17"/>
      <c r="AR4111" s="17"/>
    </row>
    <row r="4112" s="20" customFormat="1" hidden="1" spans="1:44">
      <c r="A4112" s="17" t="s">
        <v>34</v>
      </c>
      <c r="B4112" s="19">
        <v>937</v>
      </c>
      <c r="C4112" s="183">
        <v>45168</v>
      </c>
      <c r="D4112" s="17" t="s">
        <v>52</v>
      </c>
      <c r="E4112" s="17" t="s">
        <v>1113</v>
      </c>
      <c r="F4112" s="17" t="s">
        <v>54</v>
      </c>
      <c r="G4112" s="17"/>
      <c r="H4112" s="19" t="s">
        <v>1114</v>
      </c>
      <c r="I4112" s="19"/>
      <c r="J4112" s="17" t="s">
        <v>49</v>
      </c>
      <c r="K4112" s="19">
        <v>2200</v>
      </c>
      <c r="L4112" s="91">
        <v>65</v>
      </c>
      <c r="M4112" s="19">
        <v>5000</v>
      </c>
      <c r="N4112" s="19" t="s">
        <v>66</v>
      </c>
      <c r="O4112" s="19" t="s">
        <v>141</v>
      </c>
      <c r="P4112" s="19">
        <v>20757</v>
      </c>
      <c r="Q4112" s="19">
        <f>4150+3678+4128+3687</f>
        <v>15643</v>
      </c>
      <c r="R4112" s="19">
        <f>+P4112-Q4112</f>
        <v>5114</v>
      </c>
      <c r="S4112" s="19">
        <f t="shared" ref="S4112:S4117" si="194">1090-40</f>
        <v>1050</v>
      </c>
      <c r="T4112" s="19" t="s">
        <v>42</v>
      </c>
      <c r="U4112" s="102" t="s">
        <v>1281</v>
      </c>
      <c r="V4112" s="101">
        <v>45169</v>
      </c>
      <c r="W4112" s="17" t="s">
        <v>44</v>
      </c>
      <c r="X4112" s="17"/>
      <c r="Y4112" s="68">
        <v>45283</v>
      </c>
      <c r="Z4112" s="17" t="s">
        <v>191</v>
      </c>
      <c r="AA4112" s="17" t="s">
        <v>46</v>
      </c>
      <c r="AB4112" s="17" t="s">
        <v>1285</v>
      </c>
      <c r="AC4112" s="66">
        <v>45315</v>
      </c>
      <c r="AD4112" s="65">
        <v>1521</v>
      </c>
      <c r="AE4112" s="17" t="s">
        <v>48</v>
      </c>
      <c r="AF4112" s="17"/>
      <c r="AG4112" s="17" t="s">
        <v>1283</v>
      </c>
      <c r="AH4112" s="17"/>
      <c r="AI4112" s="17"/>
      <c r="AJ4112" s="17"/>
      <c r="AK4112" s="17"/>
      <c r="AL4112" s="17"/>
      <c r="AM4112" s="17"/>
      <c r="AN4112" s="17"/>
      <c r="AO4112" s="17"/>
      <c r="AP4112" s="17"/>
      <c r="AQ4112" s="17"/>
      <c r="AR4112" s="17"/>
    </row>
    <row r="4113" s="20" customFormat="1" hidden="1" spans="1:44">
      <c r="A4113" s="17" t="s">
        <v>34</v>
      </c>
      <c r="B4113" s="19">
        <v>937</v>
      </c>
      <c r="C4113" s="183">
        <v>45168</v>
      </c>
      <c r="D4113" s="17" t="s">
        <v>52</v>
      </c>
      <c r="E4113" s="17" t="s">
        <v>1113</v>
      </c>
      <c r="F4113" s="17" t="s">
        <v>54</v>
      </c>
      <c r="G4113" s="17"/>
      <c r="H4113" s="19" t="s">
        <v>1114</v>
      </c>
      <c r="I4113" s="19"/>
      <c r="J4113" s="17" t="s">
        <v>49</v>
      </c>
      <c r="K4113" s="19">
        <v>2200</v>
      </c>
      <c r="L4113" s="91">
        <v>80</v>
      </c>
      <c r="M4113" s="19">
        <v>5000</v>
      </c>
      <c r="N4113" s="19" t="s">
        <v>66</v>
      </c>
      <c r="O4113" s="19" t="s">
        <v>141</v>
      </c>
      <c r="P4113" s="19">
        <v>12774</v>
      </c>
      <c r="Q4113" s="19">
        <v>7740</v>
      </c>
      <c r="R4113" s="21"/>
      <c r="S4113" s="19">
        <f t="shared" si="194"/>
        <v>1050</v>
      </c>
      <c r="T4113" s="19" t="s">
        <v>42</v>
      </c>
      <c r="U4113" s="102" t="s">
        <v>1281</v>
      </c>
      <c r="V4113" s="101">
        <v>45169</v>
      </c>
      <c r="W4113" s="17" t="s">
        <v>44</v>
      </c>
      <c r="X4113" s="17"/>
      <c r="Y4113" s="68">
        <v>45283</v>
      </c>
      <c r="Z4113" s="17" t="s">
        <v>191</v>
      </c>
      <c r="AA4113" s="17" t="s">
        <v>46</v>
      </c>
      <c r="AB4113" s="17" t="s">
        <v>1236</v>
      </c>
      <c r="AC4113" s="66">
        <v>45288</v>
      </c>
      <c r="AD4113" s="65">
        <v>1508</v>
      </c>
      <c r="AE4113" s="17" t="s">
        <v>48</v>
      </c>
      <c r="AF4113" s="17"/>
      <c r="AG4113" s="17"/>
      <c r="AH4113" s="17"/>
      <c r="AI4113" s="17"/>
      <c r="AJ4113" s="17"/>
      <c r="AK4113" s="17"/>
      <c r="AL4113" s="17"/>
      <c r="AM4113" s="17"/>
      <c r="AN4113" s="17"/>
      <c r="AO4113" s="17"/>
      <c r="AP4113" s="17"/>
      <c r="AQ4113" s="17"/>
      <c r="AR4113" s="17"/>
    </row>
    <row r="4114" s="20" customFormat="1" hidden="1" spans="1:44">
      <c r="A4114" s="17" t="s">
        <v>34</v>
      </c>
      <c r="B4114" s="19">
        <v>937</v>
      </c>
      <c r="C4114" s="183">
        <v>45168</v>
      </c>
      <c r="D4114" s="17" t="s">
        <v>52</v>
      </c>
      <c r="E4114" s="17" t="s">
        <v>1113</v>
      </c>
      <c r="F4114" s="17" t="s">
        <v>54</v>
      </c>
      <c r="G4114" s="17"/>
      <c r="H4114" s="19" t="s">
        <v>1114</v>
      </c>
      <c r="I4114" s="19"/>
      <c r="J4114" s="17" t="s">
        <v>49</v>
      </c>
      <c r="K4114" s="19">
        <v>2200</v>
      </c>
      <c r="L4114" s="91">
        <v>80</v>
      </c>
      <c r="M4114" s="19">
        <v>5000</v>
      </c>
      <c r="N4114" s="19" t="s">
        <v>66</v>
      </c>
      <c r="O4114" s="19" t="s">
        <v>141</v>
      </c>
      <c r="P4114" s="19"/>
      <c r="Q4114" s="19">
        <v>7810</v>
      </c>
      <c r="R4114" s="19">
        <f>+P4113-Q4113-Q4114</f>
        <v>-2776</v>
      </c>
      <c r="S4114" s="19">
        <f t="shared" si="194"/>
        <v>1050</v>
      </c>
      <c r="T4114" s="19" t="s">
        <v>42</v>
      </c>
      <c r="U4114" s="102" t="s">
        <v>1281</v>
      </c>
      <c r="V4114" s="101">
        <v>45169</v>
      </c>
      <c r="W4114" s="17" t="s">
        <v>44</v>
      </c>
      <c r="X4114" s="17"/>
      <c r="Y4114" s="68">
        <v>45283</v>
      </c>
      <c r="Z4114" s="17" t="s">
        <v>191</v>
      </c>
      <c r="AA4114" s="17" t="s">
        <v>46</v>
      </c>
      <c r="AB4114" s="17" t="s">
        <v>1250</v>
      </c>
      <c r="AC4114" s="217">
        <v>45351</v>
      </c>
      <c r="AD4114" s="65">
        <v>1533</v>
      </c>
      <c r="AE4114" s="17" t="s">
        <v>48</v>
      </c>
      <c r="AF4114" s="17"/>
      <c r="AG4114" s="17"/>
      <c r="AH4114" s="17"/>
      <c r="AI4114" s="17"/>
      <c r="AJ4114" s="17"/>
      <c r="AK4114" s="17"/>
      <c r="AL4114" s="17"/>
      <c r="AM4114" s="17"/>
      <c r="AN4114" s="17"/>
      <c r="AO4114" s="17"/>
      <c r="AP4114" s="17"/>
      <c r="AQ4114" s="17"/>
      <c r="AR4114" s="17"/>
    </row>
    <row r="4115" s="20" customFormat="1" hidden="1" spans="1:44">
      <c r="A4115" s="17" t="s">
        <v>34</v>
      </c>
      <c r="B4115" s="19">
        <v>937</v>
      </c>
      <c r="C4115" s="183">
        <v>45168</v>
      </c>
      <c r="D4115" s="17" t="s">
        <v>52</v>
      </c>
      <c r="E4115" s="17" t="s">
        <v>1113</v>
      </c>
      <c r="F4115" s="17" t="s">
        <v>54</v>
      </c>
      <c r="G4115" s="17"/>
      <c r="H4115" s="19" t="s">
        <v>1114</v>
      </c>
      <c r="I4115" s="19"/>
      <c r="J4115" s="17" t="s">
        <v>49</v>
      </c>
      <c r="K4115" s="19">
        <v>2200</v>
      </c>
      <c r="L4115" s="91">
        <v>91</v>
      </c>
      <c r="M4115" s="19">
        <v>5000</v>
      </c>
      <c r="N4115" s="19" t="s">
        <v>66</v>
      </c>
      <c r="O4115" s="19" t="s">
        <v>141</v>
      </c>
      <c r="P4115" s="19">
        <v>14530</v>
      </c>
      <c r="Q4115" s="19">
        <v>9120</v>
      </c>
      <c r="R4115" s="17"/>
      <c r="S4115" s="19">
        <f t="shared" si="194"/>
        <v>1050</v>
      </c>
      <c r="T4115" s="19" t="s">
        <v>42</v>
      </c>
      <c r="U4115" s="102" t="s">
        <v>1281</v>
      </c>
      <c r="V4115" s="101">
        <v>45169</v>
      </c>
      <c r="W4115" s="17" t="s">
        <v>44</v>
      </c>
      <c r="X4115" s="17"/>
      <c r="Y4115" s="68">
        <v>45283</v>
      </c>
      <c r="Z4115" s="17" t="s">
        <v>191</v>
      </c>
      <c r="AA4115" s="17" t="s">
        <v>46</v>
      </c>
      <c r="AB4115" s="17" t="s">
        <v>1260</v>
      </c>
      <c r="AC4115" s="66">
        <v>45288</v>
      </c>
      <c r="AD4115" s="65">
        <v>1507</v>
      </c>
      <c r="AE4115" s="17" t="s">
        <v>48</v>
      </c>
      <c r="AF4115" s="17"/>
      <c r="AG4115" s="17"/>
      <c r="AH4115" s="17"/>
      <c r="AI4115" s="17"/>
      <c r="AJ4115" s="17"/>
      <c r="AK4115" s="17"/>
      <c r="AL4115" s="17"/>
      <c r="AM4115" s="17"/>
      <c r="AN4115" s="17"/>
      <c r="AO4115" s="17"/>
      <c r="AP4115" s="17"/>
      <c r="AQ4115" s="17"/>
      <c r="AR4115" s="17"/>
    </row>
    <row r="4116" s="20" customFormat="1" hidden="1" spans="1:44">
      <c r="A4116" s="17" t="s">
        <v>34</v>
      </c>
      <c r="B4116" s="19">
        <v>937</v>
      </c>
      <c r="C4116" s="183">
        <v>45168</v>
      </c>
      <c r="D4116" s="17" t="s">
        <v>52</v>
      </c>
      <c r="E4116" s="17" t="s">
        <v>1113</v>
      </c>
      <c r="F4116" s="17" t="s">
        <v>54</v>
      </c>
      <c r="G4116" s="17"/>
      <c r="H4116" s="19" t="s">
        <v>1114</v>
      </c>
      <c r="I4116" s="19"/>
      <c r="J4116" s="17" t="s">
        <v>49</v>
      </c>
      <c r="K4116" s="19">
        <v>2200</v>
      </c>
      <c r="L4116" s="91">
        <v>91</v>
      </c>
      <c r="M4116" s="19">
        <v>5000</v>
      </c>
      <c r="N4116" s="19" t="s">
        <v>66</v>
      </c>
      <c r="O4116" s="19" t="s">
        <v>141</v>
      </c>
      <c r="P4116" s="19"/>
      <c r="Q4116" s="19">
        <v>8595</v>
      </c>
      <c r="R4116" s="19">
        <f>+P4115-Q4115-Q4116</f>
        <v>-3185</v>
      </c>
      <c r="S4116" s="19">
        <f t="shared" si="194"/>
        <v>1050</v>
      </c>
      <c r="T4116" s="19" t="s">
        <v>42</v>
      </c>
      <c r="U4116" s="102" t="s">
        <v>1281</v>
      </c>
      <c r="V4116" s="101">
        <v>45169</v>
      </c>
      <c r="W4116" s="17" t="s">
        <v>44</v>
      </c>
      <c r="X4116" s="17"/>
      <c r="Y4116" s="68">
        <v>45283</v>
      </c>
      <c r="Z4116" s="17" t="s">
        <v>191</v>
      </c>
      <c r="AA4116" s="17" t="s">
        <v>46</v>
      </c>
      <c r="AB4116" s="17" t="s">
        <v>1285</v>
      </c>
      <c r="AC4116" s="66">
        <v>45315</v>
      </c>
      <c r="AD4116" s="65">
        <v>1521</v>
      </c>
      <c r="AE4116" s="17" t="s">
        <v>48</v>
      </c>
      <c r="AF4116" s="17"/>
      <c r="AG4116" s="17"/>
      <c r="AH4116" s="17"/>
      <c r="AI4116" s="17"/>
      <c r="AJ4116" s="17"/>
      <c r="AK4116" s="17"/>
      <c r="AL4116" s="17"/>
      <c r="AM4116" s="17"/>
      <c r="AN4116" s="17"/>
      <c r="AO4116" s="17"/>
      <c r="AP4116" s="17"/>
      <c r="AQ4116" s="17"/>
      <c r="AR4116" s="17"/>
    </row>
    <row r="4117" s="20" customFormat="1" hidden="1" spans="1:44">
      <c r="A4117" s="17" t="s">
        <v>34</v>
      </c>
      <c r="B4117" s="19">
        <v>937</v>
      </c>
      <c r="C4117" s="183">
        <v>45168</v>
      </c>
      <c r="D4117" s="17" t="s">
        <v>52</v>
      </c>
      <c r="E4117" s="17" t="s">
        <v>1113</v>
      </c>
      <c r="F4117" s="17" t="s">
        <v>54</v>
      </c>
      <c r="G4117" s="17"/>
      <c r="H4117" s="19" t="s">
        <v>1114</v>
      </c>
      <c r="I4117" s="19"/>
      <c r="J4117" s="17" t="s">
        <v>49</v>
      </c>
      <c r="K4117" s="19">
        <v>2200</v>
      </c>
      <c r="L4117" s="91">
        <v>105</v>
      </c>
      <c r="M4117" s="19">
        <v>5000</v>
      </c>
      <c r="N4117" s="19" t="s">
        <v>66</v>
      </c>
      <c r="O4117" s="19" t="s">
        <v>141</v>
      </c>
      <c r="P4117" s="19">
        <v>16765</v>
      </c>
      <c r="Q4117" s="19">
        <f>10820+10840</f>
        <v>21660</v>
      </c>
      <c r="R4117" s="19">
        <f>+P4117-Q4117</f>
        <v>-4895</v>
      </c>
      <c r="S4117" s="19">
        <f t="shared" si="194"/>
        <v>1050</v>
      </c>
      <c r="T4117" s="19" t="s">
        <v>42</v>
      </c>
      <c r="U4117" s="102" t="s">
        <v>1281</v>
      </c>
      <c r="V4117" s="101">
        <v>45169</v>
      </c>
      <c r="W4117" s="17" t="s">
        <v>44</v>
      </c>
      <c r="X4117" s="17"/>
      <c r="Y4117" s="68">
        <v>45283</v>
      </c>
      <c r="Z4117" s="17" t="s">
        <v>191</v>
      </c>
      <c r="AA4117" s="17" t="s">
        <v>46</v>
      </c>
      <c r="AB4117" s="17" t="s">
        <v>1256</v>
      </c>
      <c r="AC4117" s="66">
        <v>45322</v>
      </c>
      <c r="AD4117" s="65">
        <v>1522</v>
      </c>
      <c r="AE4117" s="17" t="s">
        <v>48</v>
      </c>
      <c r="AF4117" s="17"/>
      <c r="AG4117" s="17"/>
      <c r="AH4117" s="17"/>
      <c r="AI4117" s="17"/>
      <c r="AJ4117" s="17"/>
      <c r="AK4117" s="17"/>
      <c r="AL4117" s="17"/>
      <c r="AM4117" s="17"/>
      <c r="AN4117" s="17"/>
      <c r="AO4117" s="17"/>
      <c r="AP4117" s="17"/>
      <c r="AQ4117" s="17"/>
      <c r="AR4117" s="17"/>
    </row>
    <row r="4118" s="20" customFormat="1" hidden="1" spans="1:44">
      <c r="A4118" s="17" t="s">
        <v>34</v>
      </c>
      <c r="B4118" s="19">
        <v>938</v>
      </c>
      <c r="C4118" s="183">
        <v>45168</v>
      </c>
      <c r="D4118" s="17" t="s">
        <v>52</v>
      </c>
      <c r="E4118" s="17" t="s">
        <v>1113</v>
      </c>
      <c r="F4118" s="17" t="s">
        <v>54</v>
      </c>
      <c r="G4118" s="17"/>
      <c r="H4118" s="19" t="s">
        <v>1114</v>
      </c>
      <c r="I4118" s="19"/>
      <c r="J4118" s="17" t="s">
        <v>82</v>
      </c>
      <c r="K4118" s="19">
        <v>205</v>
      </c>
      <c r="L4118" s="19">
        <v>25</v>
      </c>
      <c r="M4118" s="19">
        <v>2200</v>
      </c>
      <c r="N4118" s="19" t="s">
        <v>66</v>
      </c>
      <c r="O4118" s="19" t="s">
        <v>141</v>
      </c>
      <c r="P4118" s="99">
        <v>1091</v>
      </c>
      <c r="Q4118" s="19">
        <v>740</v>
      </c>
      <c r="R4118" s="21"/>
      <c r="S4118" s="19">
        <f>1110-40</f>
        <v>1070</v>
      </c>
      <c r="T4118" s="19" t="s">
        <v>42</v>
      </c>
      <c r="U4118" s="102" t="s">
        <v>1286</v>
      </c>
      <c r="V4118" s="253">
        <v>44935</v>
      </c>
      <c r="W4118" s="17" t="s">
        <v>44</v>
      </c>
      <c r="X4118" s="17"/>
      <c r="Y4118" s="68">
        <v>45283</v>
      </c>
      <c r="Z4118" s="17" t="s">
        <v>191</v>
      </c>
      <c r="AA4118" s="17" t="s">
        <v>46</v>
      </c>
      <c r="AB4118" s="17" t="s">
        <v>1244</v>
      </c>
      <c r="AC4118" s="66">
        <v>45286</v>
      </c>
      <c r="AD4118" s="65">
        <v>1505</v>
      </c>
      <c r="AE4118" s="17" t="s">
        <v>74</v>
      </c>
      <c r="AF4118" s="17"/>
      <c r="AG4118" s="17"/>
      <c r="AH4118" s="17"/>
      <c r="AI4118" s="17"/>
      <c r="AJ4118" s="17"/>
      <c r="AK4118" s="17"/>
      <c r="AL4118" s="17"/>
      <c r="AM4118" s="17"/>
      <c r="AN4118" s="17"/>
      <c r="AO4118" s="17"/>
      <c r="AP4118" s="17"/>
      <c r="AQ4118" s="17"/>
      <c r="AR4118" s="17"/>
    </row>
    <row r="4119" s="20" customFormat="1" hidden="1" spans="1:44">
      <c r="A4119" s="17" t="s">
        <v>34</v>
      </c>
      <c r="B4119" s="19">
        <v>938</v>
      </c>
      <c r="C4119" s="183">
        <v>45168</v>
      </c>
      <c r="D4119" s="17" t="s">
        <v>52</v>
      </c>
      <c r="E4119" s="17" t="s">
        <v>1113</v>
      </c>
      <c r="F4119" s="17" t="s">
        <v>54</v>
      </c>
      <c r="G4119" s="17"/>
      <c r="H4119" s="19" t="s">
        <v>1114</v>
      </c>
      <c r="I4119" s="19"/>
      <c r="J4119" s="17" t="s">
        <v>82</v>
      </c>
      <c r="K4119" s="19">
        <v>205</v>
      </c>
      <c r="L4119" s="19">
        <v>25</v>
      </c>
      <c r="M4119" s="19">
        <v>2200</v>
      </c>
      <c r="N4119" s="19" t="s">
        <v>66</v>
      </c>
      <c r="O4119" s="19" t="s">
        <v>141</v>
      </c>
      <c r="P4119" s="99"/>
      <c r="Q4119" s="19">
        <f>97+283</f>
        <v>380</v>
      </c>
      <c r="R4119" s="99">
        <f>+P4118-Q4118-Q4119</f>
        <v>-29</v>
      </c>
      <c r="S4119" s="19">
        <v>1030</v>
      </c>
      <c r="T4119" s="19" t="s">
        <v>42</v>
      </c>
      <c r="U4119" s="102" t="s">
        <v>1286</v>
      </c>
      <c r="V4119" s="253">
        <v>44935</v>
      </c>
      <c r="W4119" s="17" t="s">
        <v>44</v>
      </c>
      <c r="X4119" s="17"/>
      <c r="Y4119" s="68">
        <v>45283</v>
      </c>
      <c r="Z4119" s="17" t="s">
        <v>191</v>
      </c>
      <c r="AA4119" s="17" t="s">
        <v>46</v>
      </c>
      <c r="AB4119" s="17" t="s">
        <v>1245</v>
      </c>
      <c r="AC4119" s="66">
        <v>45379</v>
      </c>
      <c r="AD4119" s="65">
        <v>1546</v>
      </c>
      <c r="AE4119" s="17" t="s">
        <v>74</v>
      </c>
      <c r="AF4119" s="17"/>
      <c r="AG4119" s="17"/>
      <c r="AH4119" s="17"/>
      <c r="AI4119" s="17"/>
      <c r="AJ4119" s="17"/>
      <c r="AK4119" s="17"/>
      <c r="AL4119" s="17"/>
      <c r="AM4119" s="17"/>
      <c r="AN4119" s="17"/>
      <c r="AO4119" s="17"/>
      <c r="AP4119" s="17"/>
      <c r="AQ4119" s="17"/>
      <c r="AR4119" s="17"/>
    </row>
    <row r="4120" s="20" customFormat="1" hidden="1" spans="1:44">
      <c r="A4120" s="17" t="s">
        <v>34</v>
      </c>
      <c r="B4120" s="19">
        <v>938</v>
      </c>
      <c r="C4120" s="183">
        <v>45168</v>
      </c>
      <c r="D4120" s="17" t="s">
        <v>52</v>
      </c>
      <c r="E4120" s="17" t="s">
        <v>1113</v>
      </c>
      <c r="F4120" s="17" t="s">
        <v>54</v>
      </c>
      <c r="G4120" s="17"/>
      <c r="H4120" s="19" t="s">
        <v>1114</v>
      </c>
      <c r="I4120" s="19"/>
      <c r="J4120" s="17" t="s">
        <v>82</v>
      </c>
      <c r="K4120" s="19">
        <v>255</v>
      </c>
      <c r="L4120" s="19">
        <v>25</v>
      </c>
      <c r="M4120" s="19">
        <v>2200</v>
      </c>
      <c r="N4120" s="19" t="s">
        <v>66</v>
      </c>
      <c r="O4120" s="19" t="s">
        <v>141</v>
      </c>
      <c r="P4120" s="99">
        <v>1018</v>
      </c>
      <c r="Q4120" s="19">
        <v>801</v>
      </c>
      <c r="R4120" s="21"/>
      <c r="S4120" s="19">
        <f>1110-40</f>
        <v>1070</v>
      </c>
      <c r="T4120" s="19" t="s">
        <v>42</v>
      </c>
      <c r="U4120" s="102" t="s">
        <v>1286</v>
      </c>
      <c r="V4120" s="253">
        <v>44935</v>
      </c>
      <c r="W4120" s="17" t="s">
        <v>44</v>
      </c>
      <c r="X4120" s="17"/>
      <c r="Y4120" s="68">
        <v>45283</v>
      </c>
      <c r="Z4120" s="17" t="s">
        <v>191</v>
      </c>
      <c r="AA4120" s="17" t="s">
        <v>46</v>
      </c>
      <c r="AB4120" s="17" t="s">
        <v>1244</v>
      </c>
      <c r="AC4120" s="66">
        <v>45286</v>
      </c>
      <c r="AD4120" s="65">
        <v>1505</v>
      </c>
      <c r="AE4120" s="17" t="s">
        <v>74</v>
      </c>
      <c r="AF4120" s="17"/>
      <c r="AG4120" s="17"/>
      <c r="AH4120" s="17"/>
      <c r="AI4120" s="17"/>
      <c r="AJ4120" s="17"/>
      <c r="AK4120" s="17"/>
      <c r="AL4120" s="17"/>
      <c r="AM4120" s="17"/>
      <c r="AN4120" s="17"/>
      <c r="AO4120" s="17"/>
      <c r="AP4120" s="17"/>
      <c r="AQ4120" s="17"/>
      <c r="AR4120" s="17"/>
    </row>
    <row r="4121" s="20" customFormat="1" hidden="1" spans="1:44">
      <c r="A4121" s="17" t="s">
        <v>34</v>
      </c>
      <c r="B4121" s="19">
        <v>938</v>
      </c>
      <c r="C4121" s="183">
        <v>45168</v>
      </c>
      <c r="D4121" s="17" t="s">
        <v>52</v>
      </c>
      <c r="E4121" s="17" t="s">
        <v>1113</v>
      </c>
      <c r="F4121" s="17" t="s">
        <v>54</v>
      </c>
      <c r="G4121" s="17"/>
      <c r="H4121" s="19" t="s">
        <v>1114</v>
      </c>
      <c r="I4121" s="19"/>
      <c r="J4121" s="17" t="s">
        <v>82</v>
      </c>
      <c r="K4121" s="19">
        <v>255</v>
      </c>
      <c r="L4121" s="19">
        <v>25</v>
      </c>
      <c r="M4121" s="19">
        <v>2200</v>
      </c>
      <c r="N4121" s="19" t="s">
        <v>66</v>
      </c>
      <c r="O4121" s="19" t="s">
        <v>141</v>
      </c>
      <c r="P4121" s="99"/>
      <c r="Q4121" s="19">
        <v>238</v>
      </c>
      <c r="R4121" s="99">
        <f>+P4120-Q4120-Q4121</f>
        <v>-21</v>
      </c>
      <c r="S4121" s="19">
        <v>1030</v>
      </c>
      <c r="T4121" s="19" t="s">
        <v>42</v>
      </c>
      <c r="U4121" s="102" t="s">
        <v>1286</v>
      </c>
      <c r="V4121" s="253">
        <v>44935</v>
      </c>
      <c r="W4121" s="17" t="s">
        <v>44</v>
      </c>
      <c r="X4121" s="17"/>
      <c r="Y4121" s="68">
        <v>45283</v>
      </c>
      <c r="Z4121" s="17" t="s">
        <v>191</v>
      </c>
      <c r="AA4121" s="17" t="s">
        <v>46</v>
      </c>
      <c r="AB4121" s="17" t="s">
        <v>1245</v>
      </c>
      <c r="AC4121" s="66">
        <v>45379</v>
      </c>
      <c r="AD4121" s="65">
        <v>1546</v>
      </c>
      <c r="AE4121" s="17" t="s">
        <v>74</v>
      </c>
      <c r="AF4121" s="17"/>
      <c r="AG4121" s="17"/>
      <c r="AH4121" s="17"/>
      <c r="AI4121" s="17"/>
      <c r="AJ4121" s="17"/>
      <c r="AK4121" s="17"/>
      <c r="AL4121" s="17"/>
      <c r="AM4121" s="17"/>
      <c r="AN4121" s="17"/>
      <c r="AO4121" s="17"/>
      <c r="AP4121" s="17"/>
      <c r="AQ4121" s="17"/>
      <c r="AR4121" s="17"/>
    </row>
    <row r="4122" s="20" customFormat="1" hidden="1" spans="1:44">
      <c r="A4122" s="17" t="s">
        <v>34</v>
      </c>
      <c r="B4122" s="19">
        <v>938</v>
      </c>
      <c r="C4122" s="183">
        <v>45168</v>
      </c>
      <c r="D4122" s="17" t="s">
        <v>52</v>
      </c>
      <c r="E4122" s="17" t="s">
        <v>1113</v>
      </c>
      <c r="F4122" s="17" t="s">
        <v>54</v>
      </c>
      <c r="G4122" s="17"/>
      <c r="H4122" s="19" t="s">
        <v>1114</v>
      </c>
      <c r="I4122" s="19"/>
      <c r="J4122" s="17" t="s">
        <v>82</v>
      </c>
      <c r="K4122" s="19">
        <v>305</v>
      </c>
      <c r="L4122" s="19">
        <v>25</v>
      </c>
      <c r="M4122" s="19">
        <v>2200</v>
      </c>
      <c r="N4122" s="19" t="s">
        <v>66</v>
      </c>
      <c r="O4122" s="19" t="s">
        <v>141</v>
      </c>
      <c r="P4122" s="99">
        <v>1082</v>
      </c>
      <c r="Q4122" s="19">
        <v>1094</v>
      </c>
      <c r="R4122" s="19">
        <f>+P4122-Q4122</f>
        <v>-12</v>
      </c>
      <c r="S4122" s="19">
        <f>1110-40</f>
        <v>1070</v>
      </c>
      <c r="T4122" s="19" t="s">
        <v>42</v>
      </c>
      <c r="U4122" s="102" t="s">
        <v>1286</v>
      </c>
      <c r="V4122" s="253">
        <v>44935</v>
      </c>
      <c r="W4122" s="17" t="s">
        <v>44</v>
      </c>
      <c r="X4122" s="17"/>
      <c r="Y4122" s="68">
        <v>45283</v>
      </c>
      <c r="Z4122" s="17" t="s">
        <v>191</v>
      </c>
      <c r="AA4122" s="17" t="s">
        <v>46</v>
      </c>
      <c r="AB4122" s="17" t="s">
        <v>1231</v>
      </c>
      <c r="AC4122" s="66">
        <v>45283</v>
      </c>
      <c r="AD4122" s="65">
        <v>1504</v>
      </c>
      <c r="AE4122" s="17" t="s">
        <v>74</v>
      </c>
      <c r="AF4122" s="17"/>
      <c r="AG4122" s="17"/>
      <c r="AH4122" s="17"/>
      <c r="AI4122" s="17"/>
      <c r="AJ4122" s="17"/>
      <c r="AK4122" s="17"/>
      <c r="AL4122" s="17"/>
      <c r="AM4122" s="17"/>
      <c r="AN4122" s="17"/>
      <c r="AO4122" s="17"/>
      <c r="AP4122" s="17"/>
      <c r="AQ4122" s="17"/>
      <c r="AR4122" s="17"/>
    </row>
    <row r="4123" s="20" customFormat="1" hidden="1" spans="1:44">
      <c r="A4123" s="17" t="s">
        <v>34</v>
      </c>
      <c r="B4123" s="19">
        <v>938</v>
      </c>
      <c r="C4123" s="183">
        <v>45168</v>
      </c>
      <c r="D4123" s="17" t="s">
        <v>52</v>
      </c>
      <c r="E4123" s="17" t="s">
        <v>1113</v>
      </c>
      <c r="F4123" s="17" t="s">
        <v>54</v>
      </c>
      <c r="G4123" s="17"/>
      <c r="H4123" s="19" t="s">
        <v>1114</v>
      </c>
      <c r="I4123" s="19"/>
      <c r="J4123" s="17" t="s">
        <v>82</v>
      </c>
      <c r="K4123" s="19">
        <v>355</v>
      </c>
      <c r="L4123" s="19">
        <v>25</v>
      </c>
      <c r="M4123" s="19">
        <v>2200</v>
      </c>
      <c r="N4123" s="19" t="s">
        <v>66</v>
      </c>
      <c r="O4123" s="19" t="s">
        <v>141</v>
      </c>
      <c r="P4123" s="99">
        <v>945</v>
      </c>
      <c r="Q4123" s="19">
        <v>1110</v>
      </c>
      <c r="R4123" s="19">
        <f>+P4123-Q4123</f>
        <v>-165</v>
      </c>
      <c r="S4123" s="19">
        <f>1110-40</f>
        <v>1070</v>
      </c>
      <c r="T4123" s="19" t="s">
        <v>42</v>
      </c>
      <c r="U4123" s="102" t="s">
        <v>1286</v>
      </c>
      <c r="V4123" s="253">
        <v>44935</v>
      </c>
      <c r="W4123" s="17" t="s">
        <v>44</v>
      </c>
      <c r="X4123" s="17"/>
      <c r="Y4123" s="68">
        <v>45283</v>
      </c>
      <c r="Z4123" s="17" t="s">
        <v>191</v>
      </c>
      <c r="AA4123" s="17" t="s">
        <v>46</v>
      </c>
      <c r="AB4123" s="17" t="s">
        <v>1244</v>
      </c>
      <c r="AC4123" s="66">
        <v>45286</v>
      </c>
      <c r="AD4123" s="65">
        <v>1505</v>
      </c>
      <c r="AE4123" s="17" t="s">
        <v>74</v>
      </c>
      <c r="AF4123" s="17"/>
      <c r="AG4123" s="17"/>
      <c r="AH4123" s="17"/>
      <c r="AI4123" s="17"/>
      <c r="AJ4123" s="17"/>
      <c r="AK4123" s="17"/>
      <c r="AL4123" s="17"/>
      <c r="AM4123" s="17"/>
      <c r="AN4123" s="17"/>
      <c r="AO4123" s="17"/>
      <c r="AP4123" s="17"/>
      <c r="AQ4123" s="17"/>
      <c r="AR4123" s="17"/>
    </row>
    <row r="4124" s="20" customFormat="1" hidden="1" spans="1:44">
      <c r="A4124" s="17" t="s">
        <v>34</v>
      </c>
      <c r="B4124" s="19">
        <v>938</v>
      </c>
      <c r="C4124" s="183">
        <v>45168</v>
      </c>
      <c r="D4124" s="17" t="s">
        <v>52</v>
      </c>
      <c r="E4124" s="17" t="s">
        <v>1113</v>
      </c>
      <c r="F4124" s="17" t="s">
        <v>54</v>
      </c>
      <c r="G4124" s="17"/>
      <c r="H4124" s="19" t="s">
        <v>1114</v>
      </c>
      <c r="I4124" s="19"/>
      <c r="J4124" s="17" t="s">
        <v>82</v>
      </c>
      <c r="K4124" s="19">
        <v>405</v>
      </c>
      <c r="L4124" s="19">
        <v>25</v>
      </c>
      <c r="M4124" s="19">
        <v>2200</v>
      </c>
      <c r="N4124" s="19" t="s">
        <v>66</v>
      </c>
      <c r="O4124" s="19" t="s">
        <v>141</v>
      </c>
      <c r="P4124" s="99">
        <v>1078</v>
      </c>
      <c r="Q4124" s="19">
        <v>1084</v>
      </c>
      <c r="R4124" s="19">
        <f>+P4124-Q4124</f>
        <v>-6</v>
      </c>
      <c r="S4124" s="19">
        <f>1110-40</f>
        <v>1070</v>
      </c>
      <c r="T4124" s="19" t="s">
        <v>42</v>
      </c>
      <c r="U4124" s="102" t="s">
        <v>1286</v>
      </c>
      <c r="V4124" s="253">
        <v>44935</v>
      </c>
      <c r="W4124" s="17" t="s">
        <v>44</v>
      </c>
      <c r="X4124" s="17"/>
      <c r="Y4124" s="68">
        <v>45283</v>
      </c>
      <c r="Z4124" s="17" t="s">
        <v>191</v>
      </c>
      <c r="AA4124" s="17" t="s">
        <v>46</v>
      </c>
      <c r="AB4124" s="17" t="s">
        <v>1244</v>
      </c>
      <c r="AC4124" s="66">
        <v>45286</v>
      </c>
      <c r="AD4124" s="65">
        <v>1505</v>
      </c>
      <c r="AE4124" s="17" t="s">
        <v>74</v>
      </c>
      <c r="AF4124" s="17"/>
      <c r="AG4124" s="17"/>
      <c r="AH4124" s="17"/>
      <c r="AI4124" s="17"/>
      <c r="AJ4124" s="17"/>
      <c r="AK4124" s="17"/>
      <c r="AL4124" s="17"/>
      <c r="AM4124" s="17"/>
      <c r="AN4124" s="17"/>
      <c r="AO4124" s="17"/>
      <c r="AP4124" s="17"/>
      <c r="AQ4124" s="17"/>
      <c r="AR4124" s="17"/>
    </row>
    <row r="4125" s="20" customFormat="1" hidden="1" spans="1:44">
      <c r="A4125" s="17" t="s">
        <v>34</v>
      </c>
      <c r="B4125" s="19">
        <v>938</v>
      </c>
      <c r="C4125" s="183">
        <v>45168</v>
      </c>
      <c r="D4125" s="17" t="s">
        <v>52</v>
      </c>
      <c r="E4125" s="17" t="s">
        <v>1113</v>
      </c>
      <c r="F4125" s="17" t="s">
        <v>54</v>
      </c>
      <c r="G4125" s="17"/>
      <c r="H4125" s="19" t="s">
        <v>1114</v>
      </c>
      <c r="I4125" s="19"/>
      <c r="J4125" s="17" t="s">
        <v>82</v>
      </c>
      <c r="K4125" s="19">
        <v>455</v>
      </c>
      <c r="L4125" s="19">
        <v>25</v>
      </c>
      <c r="M4125" s="19">
        <v>2200</v>
      </c>
      <c r="N4125" s="19" t="s">
        <v>66</v>
      </c>
      <c r="O4125" s="19" t="s">
        <v>141</v>
      </c>
      <c r="P4125" s="99">
        <v>1009</v>
      </c>
      <c r="Q4125" s="19">
        <v>609</v>
      </c>
      <c r="R4125" s="21"/>
      <c r="S4125" s="19">
        <f>1110-40</f>
        <v>1070</v>
      </c>
      <c r="T4125" s="19" t="s">
        <v>42</v>
      </c>
      <c r="U4125" s="102" t="s">
        <v>1286</v>
      </c>
      <c r="V4125" s="253">
        <v>44935</v>
      </c>
      <c r="W4125" s="17" t="s">
        <v>44</v>
      </c>
      <c r="X4125" s="17"/>
      <c r="Y4125" s="68">
        <v>45283</v>
      </c>
      <c r="Z4125" s="17" t="s">
        <v>191</v>
      </c>
      <c r="AA4125" s="17" t="s">
        <v>46</v>
      </c>
      <c r="AB4125" s="17" t="s">
        <v>1244</v>
      </c>
      <c r="AC4125" s="66">
        <v>45286</v>
      </c>
      <c r="AD4125" s="65">
        <v>1505</v>
      </c>
      <c r="AE4125" s="17" t="s">
        <v>74</v>
      </c>
      <c r="AF4125" s="17"/>
      <c r="AG4125" s="17"/>
      <c r="AH4125" s="17"/>
      <c r="AI4125" s="17"/>
      <c r="AJ4125" s="17"/>
      <c r="AK4125" s="17"/>
      <c r="AL4125" s="17"/>
      <c r="AM4125" s="17"/>
      <c r="AN4125" s="17"/>
      <c r="AO4125" s="17"/>
      <c r="AP4125" s="17"/>
      <c r="AQ4125" s="17"/>
      <c r="AR4125" s="17"/>
    </row>
    <row r="4126" s="20" customFormat="1" hidden="1" spans="1:44">
      <c r="A4126" s="17" t="s">
        <v>34</v>
      </c>
      <c r="B4126" s="19">
        <v>938</v>
      </c>
      <c r="C4126" s="183">
        <v>45168</v>
      </c>
      <c r="D4126" s="17" t="s">
        <v>52</v>
      </c>
      <c r="E4126" s="17" t="s">
        <v>1113</v>
      </c>
      <c r="F4126" s="17" t="s">
        <v>54</v>
      </c>
      <c r="G4126" s="17"/>
      <c r="H4126" s="19" t="s">
        <v>1114</v>
      </c>
      <c r="I4126" s="19"/>
      <c r="J4126" s="17" t="s">
        <v>82</v>
      </c>
      <c r="K4126" s="19">
        <v>455</v>
      </c>
      <c r="L4126" s="19">
        <v>25</v>
      </c>
      <c r="M4126" s="19">
        <v>2200</v>
      </c>
      <c r="N4126" s="19" t="s">
        <v>66</v>
      </c>
      <c r="O4126" s="19" t="s">
        <v>141</v>
      </c>
      <c r="P4126" s="99"/>
      <c r="Q4126" s="19">
        <v>420</v>
      </c>
      <c r="R4126" s="99">
        <f>+P4125-Q4125-Q4126</f>
        <v>-20</v>
      </c>
      <c r="S4126" s="19">
        <v>1030</v>
      </c>
      <c r="T4126" s="19" t="s">
        <v>42</v>
      </c>
      <c r="U4126" s="102" t="s">
        <v>1286</v>
      </c>
      <c r="V4126" s="253">
        <v>44935</v>
      </c>
      <c r="W4126" s="17" t="s">
        <v>44</v>
      </c>
      <c r="X4126" s="17"/>
      <c r="Y4126" s="68">
        <v>45283</v>
      </c>
      <c r="Z4126" s="17" t="s">
        <v>191</v>
      </c>
      <c r="AA4126" s="17" t="s">
        <v>46</v>
      </c>
      <c r="AB4126" s="17" t="s">
        <v>1245</v>
      </c>
      <c r="AC4126" s="66">
        <v>45379</v>
      </c>
      <c r="AD4126" s="65">
        <v>1546</v>
      </c>
      <c r="AE4126" s="17" t="s">
        <v>74</v>
      </c>
      <c r="AF4126" s="17"/>
      <c r="AG4126" s="17"/>
      <c r="AH4126" s="17"/>
      <c r="AI4126" s="17"/>
      <c r="AJ4126" s="17"/>
      <c r="AK4126" s="17"/>
      <c r="AL4126" s="17"/>
      <c r="AM4126" s="17"/>
      <c r="AN4126" s="17"/>
      <c r="AO4126" s="17"/>
      <c r="AP4126" s="17"/>
      <c r="AQ4126" s="17"/>
      <c r="AR4126" s="17"/>
    </row>
    <row r="4127" s="20" customFormat="1" hidden="1" spans="1:44">
      <c r="A4127" s="17" t="s">
        <v>34</v>
      </c>
      <c r="B4127" s="19">
        <v>938</v>
      </c>
      <c r="C4127" s="183">
        <v>45168</v>
      </c>
      <c r="D4127" s="17" t="s">
        <v>52</v>
      </c>
      <c r="E4127" s="17" t="s">
        <v>1113</v>
      </c>
      <c r="F4127" s="17" t="s">
        <v>54</v>
      </c>
      <c r="G4127" s="17"/>
      <c r="H4127" s="19" t="s">
        <v>1114</v>
      </c>
      <c r="I4127" s="19"/>
      <c r="J4127" s="17" t="s">
        <v>82</v>
      </c>
      <c r="K4127" s="19">
        <v>505</v>
      </c>
      <c r="L4127" s="19">
        <v>25</v>
      </c>
      <c r="M4127" s="19">
        <v>2200</v>
      </c>
      <c r="N4127" s="19" t="s">
        <v>66</v>
      </c>
      <c r="O4127" s="19" t="s">
        <v>141</v>
      </c>
      <c r="P4127" s="99">
        <v>1120</v>
      </c>
      <c r="Q4127" s="19">
        <v>896</v>
      </c>
      <c r="R4127" s="19">
        <f t="shared" ref="R4127:R4133" si="195">+P4127-Q4127</f>
        <v>224</v>
      </c>
      <c r="S4127" s="19">
        <f>1110-40</f>
        <v>1070</v>
      </c>
      <c r="T4127" s="19" t="s">
        <v>42</v>
      </c>
      <c r="U4127" s="102" t="s">
        <v>1286</v>
      </c>
      <c r="V4127" s="253">
        <v>44935</v>
      </c>
      <c r="W4127" s="17" t="s">
        <v>44</v>
      </c>
      <c r="X4127" s="17"/>
      <c r="Y4127" s="68">
        <v>45283</v>
      </c>
      <c r="Z4127" s="17" t="s">
        <v>191</v>
      </c>
      <c r="AA4127" s="17" t="s">
        <v>46</v>
      </c>
      <c r="AB4127" s="17" t="s">
        <v>1244</v>
      </c>
      <c r="AC4127" s="66">
        <v>45286</v>
      </c>
      <c r="AD4127" s="65">
        <v>1505</v>
      </c>
      <c r="AE4127" s="17" t="s">
        <v>74</v>
      </c>
      <c r="AF4127" s="17"/>
      <c r="AG4127" s="17"/>
      <c r="AH4127" s="17"/>
      <c r="AI4127" s="17"/>
      <c r="AJ4127" s="17"/>
      <c r="AK4127" s="17"/>
      <c r="AL4127" s="17"/>
      <c r="AM4127" s="17"/>
      <c r="AN4127" s="17"/>
      <c r="AO4127" s="17"/>
      <c r="AP4127" s="17"/>
      <c r="AQ4127" s="17"/>
      <c r="AR4127" s="17"/>
    </row>
    <row r="4128" s="20" customFormat="1" hidden="1" spans="1:44">
      <c r="A4128" s="17" t="s">
        <v>34</v>
      </c>
      <c r="B4128" s="19">
        <v>938</v>
      </c>
      <c r="C4128" s="183">
        <v>45168</v>
      </c>
      <c r="D4128" s="17" t="s">
        <v>52</v>
      </c>
      <c r="E4128" s="17" t="s">
        <v>1113</v>
      </c>
      <c r="F4128" s="17" t="s">
        <v>54</v>
      </c>
      <c r="G4128" s="17"/>
      <c r="H4128" s="19" t="s">
        <v>1114</v>
      </c>
      <c r="I4128" s="19"/>
      <c r="J4128" s="17" t="s">
        <v>82</v>
      </c>
      <c r="K4128" s="19">
        <v>1100</v>
      </c>
      <c r="L4128" s="19">
        <v>25</v>
      </c>
      <c r="M4128" s="19">
        <v>2200</v>
      </c>
      <c r="N4128" s="19" t="s">
        <v>66</v>
      </c>
      <c r="O4128" s="19" t="s">
        <v>141</v>
      </c>
      <c r="P4128" s="99">
        <v>976</v>
      </c>
      <c r="Q4128" s="19">
        <v>970</v>
      </c>
      <c r="R4128" s="19">
        <f t="shared" si="195"/>
        <v>6</v>
      </c>
      <c r="S4128" s="19">
        <f>1100-40</f>
        <v>1060</v>
      </c>
      <c r="T4128" s="19" t="s">
        <v>42</v>
      </c>
      <c r="U4128" s="102" t="s">
        <v>1286</v>
      </c>
      <c r="V4128" s="253">
        <v>44935</v>
      </c>
      <c r="W4128" s="17" t="s">
        <v>44</v>
      </c>
      <c r="X4128" s="17"/>
      <c r="Y4128" s="68">
        <v>45283</v>
      </c>
      <c r="Z4128" s="17" t="s">
        <v>191</v>
      </c>
      <c r="AA4128" s="17" t="s">
        <v>46</v>
      </c>
      <c r="AB4128" s="17" t="s">
        <v>1231</v>
      </c>
      <c r="AC4128" s="66">
        <v>45283</v>
      </c>
      <c r="AD4128" s="65">
        <v>1504</v>
      </c>
      <c r="AE4128" s="17" t="s">
        <v>74</v>
      </c>
      <c r="AF4128" s="17"/>
      <c r="AG4128" s="17"/>
      <c r="AH4128" s="17"/>
      <c r="AI4128" s="17"/>
      <c r="AJ4128" s="17"/>
      <c r="AK4128" s="17"/>
      <c r="AL4128" s="17"/>
      <c r="AM4128" s="17"/>
      <c r="AN4128" s="17"/>
      <c r="AO4128" s="17"/>
      <c r="AP4128" s="17"/>
      <c r="AQ4128" s="17"/>
      <c r="AR4128" s="17"/>
    </row>
    <row r="4129" s="20" customFormat="1" hidden="1" spans="1:44">
      <c r="A4129" s="17" t="s">
        <v>34</v>
      </c>
      <c r="B4129" s="19">
        <v>938</v>
      </c>
      <c r="C4129" s="183">
        <v>45168</v>
      </c>
      <c r="D4129" s="17" t="s">
        <v>52</v>
      </c>
      <c r="E4129" s="17" t="s">
        <v>1113</v>
      </c>
      <c r="F4129" s="17" t="s">
        <v>54</v>
      </c>
      <c r="G4129" s="17"/>
      <c r="H4129" s="19" t="s">
        <v>1114</v>
      </c>
      <c r="I4129" s="19"/>
      <c r="J4129" s="17" t="s">
        <v>82</v>
      </c>
      <c r="K4129" s="19">
        <v>205</v>
      </c>
      <c r="L4129" s="19">
        <v>32</v>
      </c>
      <c r="M4129" s="19">
        <v>2200</v>
      </c>
      <c r="N4129" s="19" t="s">
        <v>66</v>
      </c>
      <c r="O4129" s="19" t="s">
        <v>141</v>
      </c>
      <c r="P4129" s="99">
        <v>1513</v>
      </c>
      <c r="Q4129" s="19">
        <v>1547</v>
      </c>
      <c r="R4129" s="19">
        <f t="shared" si="195"/>
        <v>-34</v>
      </c>
      <c r="S4129" s="19">
        <f t="shared" ref="S4129:S4138" si="196">1110-40</f>
        <v>1070</v>
      </c>
      <c r="T4129" s="19" t="s">
        <v>42</v>
      </c>
      <c r="U4129" s="102" t="s">
        <v>1286</v>
      </c>
      <c r="V4129" s="253">
        <v>44935</v>
      </c>
      <c r="W4129" s="17" t="s">
        <v>44</v>
      </c>
      <c r="X4129" s="17"/>
      <c r="Y4129" s="68">
        <v>45283</v>
      </c>
      <c r="Z4129" s="17" t="s">
        <v>191</v>
      </c>
      <c r="AA4129" s="17" t="s">
        <v>46</v>
      </c>
      <c r="AB4129" s="17" t="s">
        <v>1231</v>
      </c>
      <c r="AC4129" s="66">
        <v>45283</v>
      </c>
      <c r="AD4129" s="65">
        <v>1504</v>
      </c>
      <c r="AE4129" s="17" t="s">
        <v>1177</v>
      </c>
      <c r="AF4129" s="17"/>
      <c r="AG4129" s="17"/>
      <c r="AH4129" s="17"/>
      <c r="AI4129" s="17"/>
      <c r="AJ4129" s="17"/>
      <c r="AK4129" s="17"/>
      <c r="AL4129" s="17"/>
      <c r="AM4129" s="17"/>
      <c r="AN4129" s="17"/>
      <c r="AO4129" s="17"/>
      <c r="AP4129" s="17"/>
      <c r="AQ4129" s="17"/>
      <c r="AR4129" s="17"/>
    </row>
    <row r="4130" s="20" customFormat="1" hidden="1" spans="1:44">
      <c r="A4130" s="17" t="s">
        <v>34</v>
      </c>
      <c r="B4130" s="19">
        <v>938</v>
      </c>
      <c r="C4130" s="183">
        <v>45168</v>
      </c>
      <c r="D4130" s="17" t="s">
        <v>52</v>
      </c>
      <c r="E4130" s="17" t="s">
        <v>1113</v>
      </c>
      <c r="F4130" s="17" t="s">
        <v>54</v>
      </c>
      <c r="G4130" s="17"/>
      <c r="H4130" s="19" t="s">
        <v>1114</v>
      </c>
      <c r="I4130" s="19"/>
      <c r="J4130" s="17" t="s">
        <v>82</v>
      </c>
      <c r="K4130" s="19">
        <v>230</v>
      </c>
      <c r="L4130" s="19">
        <v>32</v>
      </c>
      <c r="M4130" s="19">
        <v>2200</v>
      </c>
      <c r="N4130" s="19" t="s">
        <v>66</v>
      </c>
      <c r="O4130" s="19" t="s">
        <v>141</v>
      </c>
      <c r="P4130" s="99">
        <v>522</v>
      </c>
      <c r="Q4130" s="19">
        <v>531</v>
      </c>
      <c r="R4130" s="19">
        <f t="shared" si="195"/>
        <v>-9</v>
      </c>
      <c r="S4130" s="19">
        <f t="shared" si="196"/>
        <v>1070</v>
      </c>
      <c r="T4130" s="19" t="s">
        <v>42</v>
      </c>
      <c r="U4130" s="102" t="s">
        <v>1286</v>
      </c>
      <c r="V4130" s="253">
        <v>44935</v>
      </c>
      <c r="W4130" s="17" t="s">
        <v>44</v>
      </c>
      <c r="X4130" s="17"/>
      <c r="Y4130" s="68">
        <v>45283</v>
      </c>
      <c r="Z4130" s="17" t="s">
        <v>191</v>
      </c>
      <c r="AA4130" s="17" t="s">
        <v>46</v>
      </c>
      <c r="AB4130" s="17" t="s">
        <v>1231</v>
      </c>
      <c r="AC4130" s="66">
        <v>45283</v>
      </c>
      <c r="AD4130" s="65">
        <v>1504</v>
      </c>
      <c r="AE4130" s="17" t="s">
        <v>48</v>
      </c>
      <c r="AF4130" s="17"/>
      <c r="AG4130" s="17"/>
      <c r="AH4130" s="17"/>
      <c r="AI4130" s="17"/>
      <c r="AJ4130" s="17"/>
      <c r="AK4130" s="17"/>
      <c r="AL4130" s="17"/>
      <c r="AM4130" s="17"/>
      <c r="AN4130" s="17"/>
      <c r="AO4130" s="17"/>
      <c r="AP4130" s="17"/>
      <c r="AQ4130" s="17"/>
      <c r="AR4130" s="17"/>
    </row>
    <row r="4131" s="20" customFormat="1" hidden="1" spans="1:44">
      <c r="A4131" s="17" t="s">
        <v>34</v>
      </c>
      <c r="B4131" s="19">
        <v>938</v>
      </c>
      <c r="C4131" s="183">
        <v>45168</v>
      </c>
      <c r="D4131" s="17" t="s">
        <v>52</v>
      </c>
      <c r="E4131" s="17" t="s">
        <v>1113</v>
      </c>
      <c r="F4131" s="17" t="s">
        <v>54</v>
      </c>
      <c r="G4131" s="17"/>
      <c r="H4131" s="19" t="s">
        <v>1114</v>
      </c>
      <c r="I4131" s="19"/>
      <c r="J4131" s="17" t="s">
        <v>82</v>
      </c>
      <c r="K4131" s="19">
        <v>255</v>
      </c>
      <c r="L4131" s="19">
        <v>32</v>
      </c>
      <c r="M4131" s="19">
        <v>2200</v>
      </c>
      <c r="N4131" s="19" t="s">
        <v>66</v>
      </c>
      <c r="O4131" s="19" t="s">
        <v>141</v>
      </c>
      <c r="P4131" s="99">
        <v>1448</v>
      </c>
      <c r="Q4131" s="19">
        <v>1471</v>
      </c>
      <c r="R4131" s="19">
        <f t="shared" si="195"/>
        <v>-23</v>
      </c>
      <c r="S4131" s="19">
        <f t="shared" si="196"/>
        <v>1070</v>
      </c>
      <c r="T4131" s="19" t="s">
        <v>42</v>
      </c>
      <c r="U4131" s="102" t="s">
        <v>1286</v>
      </c>
      <c r="V4131" s="253">
        <v>44935</v>
      </c>
      <c r="W4131" s="17" t="s">
        <v>44</v>
      </c>
      <c r="X4131" s="17"/>
      <c r="Y4131" s="68">
        <v>45283</v>
      </c>
      <c r="Z4131" s="17" t="s">
        <v>191</v>
      </c>
      <c r="AA4131" s="17" t="s">
        <v>46</v>
      </c>
      <c r="AB4131" s="17" t="s">
        <v>1231</v>
      </c>
      <c r="AC4131" s="66">
        <v>45283</v>
      </c>
      <c r="AD4131" s="65">
        <v>1504</v>
      </c>
      <c r="AE4131" s="17" t="s">
        <v>1177</v>
      </c>
      <c r="AF4131" s="17"/>
      <c r="AG4131" s="17"/>
      <c r="AH4131" s="17"/>
      <c r="AI4131" s="17"/>
      <c r="AJ4131" s="17"/>
      <c r="AK4131" s="17"/>
      <c r="AL4131" s="17"/>
      <c r="AM4131" s="17"/>
      <c r="AN4131" s="17"/>
      <c r="AO4131" s="17"/>
      <c r="AP4131" s="17"/>
      <c r="AQ4131" s="17"/>
      <c r="AR4131" s="17"/>
    </row>
    <row r="4132" s="20" customFormat="1" hidden="1" spans="1:44">
      <c r="A4132" s="17" t="s">
        <v>34</v>
      </c>
      <c r="B4132" s="19">
        <v>938</v>
      </c>
      <c r="C4132" s="183">
        <v>45168</v>
      </c>
      <c r="D4132" s="17" t="s">
        <v>52</v>
      </c>
      <c r="E4132" s="17" t="s">
        <v>1113</v>
      </c>
      <c r="F4132" s="17" t="s">
        <v>54</v>
      </c>
      <c r="G4132" s="17"/>
      <c r="H4132" s="19" t="s">
        <v>1114</v>
      </c>
      <c r="I4132" s="19"/>
      <c r="J4132" s="17" t="s">
        <v>82</v>
      </c>
      <c r="K4132" s="19">
        <v>280</v>
      </c>
      <c r="L4132" s="19">
        <v>32</v>
      </c>
      <c r="M4132" s="19">
        <v>2200</v>
      </c>
      <c r="N4132" s="19" t="s">
        <v>66</v>
      </c>
      <c r="O4132" s="19" t="s">
        <v>141</v>
      </c>
      <c r="P4132" s="99">
        <v>477</v>
      </c>
      <c r="Q4132" s="19">
        <v>489</v>
      </c>
      <c r="R4132" s="19">
        <f t="shared" si="195"/>
        <v>-12</v>
      </c>
      <c r="S4132" s="19">
        <f t="shared" si="196"/>
        <v>1070</v>
      </c>
      <c r="T4132" s="19" t="s">
        <v>42</v>
      </c>
      <c r="U4132" s="102" t="s">
        <v>1286</v>
      </c>
      <c r="V4132" s="253">
        <v>44935</v>
      </c>
      <c r="W4132" s="17" t="s">
        <v>44</v>
      </c>
      <c r="X4132" s="17"/>
      <c r="Y4132" s="68">
        <v>45283</v>
      </c>
      <c r="Z4132" s="17" t="s">
        <v>191</v>
      </c>
      <c r="AA4132" s="17" t="s">
        <v>46</v>
      </c>
      <c r="AB4132" s="17" t="s">
        <v>1231</v>
      </c>
      <c r="AC4132" s="66">
        <v>45283</v>
      </c>
      <c r="AD4132" s="65">
        <v>1504</v>
      </c>
      <c r="AE4132" s="17" t="s">
        <v>48</v>
      </c>
      <c r="AF4132" s="17"/>
      <c r="AG4132" s="17"/>
      <c r="AH4132" s="17"/>
      <c r="AI4132" s="17"/>
      <c r="AJ4132" s="17"/>
      <c r="AK4132" s="17"/>
      <c r="AL4132" s="17"/>
      <c r="AM4132" s="17"/>
      <c r="AN4132" s="17"/>
      <c r="AO4132" s="17"/>
      <c r="AP4132" s="17"/>
      <c r="AQ4132" s="17"/>
      <c r="AR4132" s="17"/>
    </row>
    <row r="4133" s="20" customFormat="1" hidden="1" spans="1:44">
      <c r="A4133" s="17" t="s">
        <v>34</v>
      </c>
      <c r="B4133" s="19">
        <v>938</v>
      </c>
      <c r="C4133" s="183">
        <v>45168</v>
      </c>
      <c r="D4133" s="17" t="s">
        <v>52</v>
      </c>
      <c r="E4133" s="17" t="s">
        <v>1113</v>
      </c>
      <c r="F4133" s="17" t="s">
        <v>54</v>
      </c>
      <c r="G4133" s="17"/>
      <c r="H4133" s="19" t="s">
        <v>1114</v>
      </c>
      <c r="I4133" s="19"/>
      <c r="J4133" s="17" t="s">
        <v>82</v>
      </c>
      <c r="K4133" s="19">
        <v>305</v>
      </c>
      <c r="L4133" s="19">
        <v>32</v>
      </c>
      <c r="M4133" s="19">
        <v>2200</v>
      </c>
      <c r="N4133" s="19" t="s">
        <v>66</v>
      </c>
      <c r="O4133" s="19" t="s">
        <v>141</v>
      </c>
      <c r="P4133" s="99">
        <v>1558</v>
      </c>
      <c r="Q4133" s="19">
        <v>1588</v>
      </c>
      <c r="R4133" s="19">
        <f t="shared" si="195"/>
        <v>-30</v>
      </c>
      <c r="S4133" s="19">
        <f t="shared" si="196"/>
        <v>1070</v>
      </c>
      <c r="T4133" s="19" t="s">
        <v>42</v>
      </c>
      <c r="U4133" s="102" t="s">
        <v>1286</v>
      </c>
      <c r="V4133" s="253">
        <v>44935</v>
      </c>
      <c r="W4133" s="17" t="s">
        <v>44</v>
      </c>
      <c r="X4133" s="17"/>
      <c r="Y4133" s="68">
        <v>45283</v>
      </c>
      <c r="Z4133" s="17" t="s">
        <v>191</v>
      </c>
      <c r="AA4133" s="17" t="s">
        <v>46</v>
      </c>
      <c r="AB4133" s="17" t="s">
        <v>1244</v>
      </c>
      <c r="AC4133" s="66">
        <v>45286</v>
      </c>
      <c r="AD4133" s="65">
        <v>1505</v>
      </c>
      <c r="AE4133" s="17" t="s">
        <v>1177</v>
      </c>
      <c r="AF4133" s="17"/>
      <c r="AG4133" s="17"/>
      <c r="AH4133" s="17"/>
      <c r="AI4133" s="17"/>
      <c r="AJ4133" s="17"/>
      <c r="AK4133" s="17"/>
      <c r="AL4133" s="17"/>
      <c r="AM4133" s="17"/>
      <c r="AN4133" s="17"/>
      <c r="AO4133" s="17"/>
      <c r="AP4133" s="17"/>
      <c r="AQ4133" s="17"/>
      <c r="AR4133" s="17"/>
    </row>
    <row r="4134" s="20" customFormat="1" hidden="1" spans="1:44">
      <c r="A4134" s="17" t="s">
        <v>34</v>
      </c>
      <c r="B4134" s="19">
        <v>938</v>
      </c>
      <c r="C4134" s="183">
        <v>45168</v>
      </c>
      <c r="D4134" s="17" t="s">
        <v>52</v>
      </c>
      <c r="E4134" s="17" t="s">
        <v>1113</v>
      </c>
      <c r="F4134" s="17" t="s">
        <v>54</v>
      </c>
      <c r="G4134" s="17"/>
      <c r="H4134" s="19" t="s">
        <v>1114</v>
      </c>
      <c r="I4134" s="19"/>
      <c r="J4134" s="17" t="s">
        <v>82</v>
      </c>
      <c r="K4134" s="19">
        <v>355</v>
      </c>
      <c r="L4134" s="19">
        <v>32</v>
      </c>
      <c r="M4134" s="19">
        <v>2200</v>
      </c>
      <c r="N4134" s="19" t="s">
        <v>66</v>
      </c>
      <c r="O4134" s="19" t="s">
        <v>141</v>
      </c>
      <c r="P4134" s="99">
        <v>1411</v>
      </c>
      <c r="Q4134" s="19">
        <v>818</v>
      </c>
      <c r="R4134" s="17"/>
      <c r="S4134" s="19">
        <f t="shared" si="196"/>
        <v>1070</v>
      </c>
      <c r="T4134" s="19" t="s">
        <v>42</v>
      </c>
      <c r="U4134" s="102" t="s">
        <v>1286</v>
      </c>
      <c r="V4134" s="253">
        <v>44935</v>
      </c>
      <c r="W4134" s="17" t="s">
        <v>44</v>
      </c>
      <c r="X4134" s="17"/>
      <c r="Y4134" s="68">
        <v>45283</v>
      </c>
      <c r="Z4134" s="17" t="s">
        <v>191</v>
      </c>
      <c r="AA4134" s="17" t="s">
        <v>46</v>
      </c>
      <c r="AB4134" s="17" t="s">
        <v>1231</v>
      </c>
      <c r="AC4134" s="66">
        <v>45283</v>
      </c>
      <c r="AD4134" s="65">
        <v>1504</v>
      </c>
      <c r="AE4134" s="17" t="s">
        <v>1177</v>
      </c>
      <c r="AF4134" s="17"/>
      <c r="AG4134" s="17"/>
      <c r="AH4134" s="17"/>
      <c r="AI4134" s="17"/>
      <c r="AJ4134" s="17"/>
      <c r="AK4134" s="17"/>
      <c r="AL4134" s="17"/>
      <c r="AM4134" s="17"/>
      <c r="AN4134" s="17"/>
      <c r="AO4134" s="17"/>
      <c r="AP4134" s="17"/>
      <c r="AQ4134" s="17"/>
      <c r="AR4134" s="17"/>
    </row>
    <row r="4135" s="20" customFormat="1" hidden="1" spans="1:44">
      <c r="A4135" s="17" t="s">
        <v>34</v>
      </c>
      <c r="B4135" s="19">
        <v>938</v>
      </c>
      <c r="C4135" s="183">
        <v>45168</v>
      </c>
      <c r="D4135" s="17" t="s">
        <v>52</v>
      </c>
      <c r="E4135" s="17" t="s">
        <v>1113</v>
      </c>
      <c r="F4135" s="17" t="s">
        <v>54</v>
      </c>
      <c r="G4135" s="17"/>
      <c r="H4135" s="19" t="s">
        <v>1114</v>
      </c>
      <c r="I4135" s="19"/>
      <c r="J4135" s="17" t="s">
        <v>82</v>
      </c>
      <c r="K4135" s="19">
        <v>355</v>
      </c>
      <c r="L4135" s="19">
        <v>32</v>
      </c>
      <c r="M4135" s="19">
        <v>2200</v>
      </c>
      <c r="N4135" s="19" t="s">
        <v>66</v>
      </c>
      <c r="O4135" s="19" t="s">
        <v>141</v>
      </c>
      <c r="P4135" s="99"/>
      <c r="Q4135" s="19">
        <v>613</v>
      </c>
      <c r="R4135" s="99">
        <f>+P4134-Q4134-Q4135</f>
        <v>-20</v>
      </c>
      <c r="S4135" s="19">
        <f t="shared" si="196"/>
        <v>1070</v>
      </c>
      <c r="T4135" s="19" t="s">
        <v>42</v>
      </c>
      <c r="U4135" s="102" t="s">
        <v>1286</v>
      </c>
      <c r="V4135" s="253">
        <v>44935</v>
      </c>
      <c r="W4135" s="17" t="s">
        <v>44</v>
      </c>
      <c r="X4135" s="17"/>
      <c r="Y4135" s="68">
        <v>45283</v>
      </c>
      <c r="Z4135" s="17" t="s">
        <v>191</v>
      </c>
      <c r="AA4135" s="17" t="s">
        <v>46</v>
      </c>
      <c r="AB4135" s="17" t="s">
        <v>1244</v>
      </c>
      <c r="AC4135" s="66">
        <v>45286</v>
      </c>
      <c r="AD4135" s="65">
        <v>1505</v>
      </c>
      <c r="AE4135" s="17" t="s">
        <v>1177</v>
      </c>
      <c r="AF4135" s="17"/>
      <c r="AG4135" s="17"/>
      <c r="AH4135" s="17"/>
      <c r="AI4135" s="17"/>
      <c r="AJ4135" s="17"/>
      <c r="AK4135" s="17"/>
      <c r="AL4135" s="17"/>
      <c r="AM4135" s="17"/>
      <c r="AN4135" s="17"/>
      <c r="AO4135" s="17"/>
      <c r="AP4135" s="17"/>
      <c r="AQ4135" s="17"/>
      <c r="AR4135" s="17"/>
    </row>
    <row r="4136" s="20" customFormat="1" hidden="1" spans="1:44">
      <c r="A4136" s="17" t="s">
        <v>34</v>
      </c>
      <c r="B4136" s="19">
        <v>938</v>
      </c>
      <c r="C4136" s="183">
        <v>45168</v>
      </c>
      <c r="D4136" s="17" t="s">
        <v>52</v>
      </c>
      <c r="E4136" s="17" t="s">
        <v>1113</v>
      </c>
      <c r="F4136" s="17" t="s">
        <v>54</v>
      </c>
      <c r="G4136" s="17"/>
      <c r="H4136" s="19" t="s">
        <v>1114</v>
      </c>
      <c r="I4136" s="19"/>
      <c r="J4136" s="17" t="s">
        <v>82</v>
      </c>
      <c r="K4136" s="19">
        <v>405</v>
      </c>
      <c r="L4136" s="19">
        <v>32</v>
      </c>
      <c r="M4136" s="19">
        <v>2200</v>
      </c>
      <c r="N4136" s="19" t="s">
        <v>66</v>
      </c>
      <c r="O4136" s="19" t="s">
        <v>141</v>
      </c>
      <c r="P4136" s="99">
        <v>1609</v>
      </c>
      <c r="Q4136" s="19">
        <v>1388</v>
      </c>
      <c r="R4136" s="19">
        <f>+P4136-Q4136</f>
        <v>221</v>
      </c>
      <c r="S4136" s="19">
        <f t="shared" si="196"/>
        <v>1070</v>
      </c>
      <c r="T4136" s="19" t="s">
        <v>42</v>
      </c>
      <c r="U4136" s="102" t="s">
        <v>1286</v>
      </c>
      <c r="V4136" s="253">
        <v>44935</v>
      </c>
      <c r="W4136" s="17" t="s">
        <v>44</v>
      </c>
      <c r="X4136" s="17"/>
      <c r="Y4136" s="68">
        <v>45283</v>
      </c>
      <c r="Z4136" s="17" t="s">
        <v>191</v>
      </c>
      <c r="AA4136" s="17" t="s">
        <v>46</v>
      </c>
      <c r="AB4136" s="17" t="s">
        <v>1244</v>
      </c>
      <c r="AC4136" s="66">
        <v>45286</v>
      </c>
      <c r="AD4136" s="65">
        <v>1505</v>
      </c>
      <c r="AE4136" s="17" t="s">
        <v>1177</v>
      </c>
      <c r="AF4136" s="17"/>
      <c r="AG4136" s="17"/>
      <c r="AH4136" s="17"/>
      <c r="AI4136" s="17"/>
      <c r="AJ4136" s="17"/>
      <c r="AK4136" s="17"/>
      <c r="AL4136" s="17"/>
      <c r="AM4136" s="17"/>
      <c r="AN4136" s="17"/>
      <c r="AO4136" s="17"/>
      <c r="AP4136" s="17"/>
      <c r="AQ4136" s="17"/>
      <c r="AR4136" s="17"/>
    </row>
    <row r="4137" s="20" customFormat="1" hidden="1" spans="1:44">
      <c r="A4137" s="17" t="s">
        <v>34</v>
      </c>
      <c r="B4137" s="19">
        <v>938</v>
      </c>
      <c r="C4137" s="183">
        <v>45168</v>
      </c>
      <c r="D4137" s="17" t="s">
        <v>52</v>
      </c>
      <c r="E4137" s="17" t="s">
        <v>1113</v>
      </c>
      <c r="F4137" s="17" t="s">
        <v>54</v>
      </c>
      <c r="G4137" s="17"/>
      <c r="H4137" s="19" t="s">
        <v>1114</v>
      </c>
      <c r="I4137" s="19"/>
      <c r="J4137" s="17" t="s">
        <v>82</v>
      </c>
      <c r="K4137" s="19">
        <v>455</v>
      </c>
      <c r="L4137" s="19">
        <v>32</v>
      </c>
      <c r="M4137" s="19">
        <v>2200</v>
      </c>
      <c r="N4137" s="19" t="s">
        <v>66</v>
      </c>
      <c r="O4137" s="19" t="s">
        <v>141</v>
      </c>
      <c r="P4137" s="99">
        <v>1033</v>
      </c>
      <c r="Q4137" s="19">
        <v>1044</v>
      </c>
      <c r="R4137" s="19">
        <f>+P4137-Q4137</f>
        <v>-11</v>
      </c>
      <c r="S4137" s="19">
        <f t="shared" si="196"/>
        <v>1070</v>
      </c>
      <c r="T4137" s="19" t="s">
        <v>42</v>
      </c>
      <c r="U4137" s="102" t="s">
        <v>1286</v>
      </c>
      <c r="V4137" s="253">
        <v>44935</v>
      </c>
      <c r="W4137" s="17" t="s">
        <v>44</v>
      </c>
      <c r="X4137" s="17"/>
      <c r="Y4137" s="68">
        <v>45283</v>
      </c>
      <c r="Z4137" s="17" t="s">
        <v>191</v>
      </c>
      <c r="AA4137" s="17" t="s">
        <v>46</v>
      </c>
      <c r="AB4137" s="17" t="s">
        <v>1231</v>
      </c>
      <c r="AC4137" s="66">
        <v>45283</v>
      </c>
      <c r="AD4137" s="65">
        <v>1504</v>
      </c>
      <c r="AE4137" s="17" t="s">
        <v>74</v>
      </c>
      <c r="AF4137" s="17"/>
      <c r="AG4137" s="17"/>
      <c r="AH4137" s="17"/>
      <c r="AI4137" s="17"/>
      <c r="AJ4137" s="17"/>
      <c r="AK4137" s="17"/>
      <c r="AL4137" s="17"/>
      <c r="AM4137" s="17"/>
      <c r="AN4137" s="17"/>
      <c r="AO4137" s="17"/>
      <c r="AP4137" s="17"/>
      <c r="AQ4137" s="17"/>
      <c r="AR4137" s="17"/>
    </row>
    <row r="4138" s="20" customFormat="1" hidden="1" spans="1:44">
      <c r="A4138" s="17" t="s">
        <v>34</v>
      </c>
      <c r="B4138" s="19">
        <v>938</v>
      </c>
      <c r="C4138" s="183">
        <v>45168</v>
      </c>
      <c r="D4138" s="17" t="s">
        <v>52</v>
      </c>
      <c r="E4138" s="17" t="s">
        <v>1113</v>
      </c>
      <c r="F4138" s="17" t="s">
        <v>54</v>
      </c>
      <c r="G4138" s="17"/>
      <c r="H4138" s="19" t="s">
        <v>1114</v>
      </c>
      <c r="I4138" s="19"/>
      <c r="J4138" s="17" t="s">
        <v>82</v>
      </c>
      <c r="K4138" s="19">
        <v>505</v>
      </c>
      <c r="L4138" s="19">
        <v>32</v>
      </c>
      <c r="M4138" s="19">
        <v>2200</v>
      </c>
      <c r="N4138" s="19" t="s">
        <v>66</v>
      </c>
      <c r="O4138" s="19" t="s">
        <v>141</v>
      </c>
      <c r="P4138" s="99">
        <v>1147</v>
      </c>
      <c r="Q4138" s="19">
        <v>1153</v>
      </c>
      <c r="R4138" s="19">
        <f>+P4138-Q4138</f>
        <v>-6</v>
      </c>
      <c r="S4138" s="19">
        <f t="shared" si="196"/>
        <v>1070</v>
      </c>
      <c r="T4138" s="19" t="s">
        <v>42</v>
      </c>
      <c r="U4138" s="102" t="s">
        <v>1286</v>
      </c>
      <c r="V4138" s="253">
        <v>44935</v>
      </c>
      <c r="W4138" s="17" t="s">
        <v>44</v>
      </c>
      <c r="X4138" s="17"/>
      <c r="Y4138" s="68">
        <v>45283</v>
      </c>
      <c r="Z4138" s="17" t="s">
        <v>191</v>
      </c>
      <c r="AA4138" s="17" t="s">
        <v>46</v>
      </c>
      <c r="AB4138" s="17" t="s">
        <v>1231</v>
      </c>
      <c r="AC4138" s="66">
        <v>45283</v>
      </c>
      <c r="AD4138" s="65">
        <v>1504</v>
      </c>
      <c r="AE4138" s="17" t="s">
        <v>74</v>
      </c>
      <c r="AF4138" s="17"/>
      <c r="AG4138" s="17"/>
      <c r="AH4138" s="17"/>
      <c r="AI4138" s="17"/>
      <c r="AJ4138" s="17"/>
      <c r="AK4138" s="17"/>
      <c r="AL4138" s="17"/>
      <c r="AM4138" s="17"/>
      <c r="AN4138" s="17"/>
      <c r="AO4138" s="17"/>
      <c r="AP4138" s="17"/>
      <c r="AQ4138" s="17"/>
      <c r="AR4138" s="17"/>
    </row>
    <row r="4139" s="20" customFormat="1" hidden="1" spans="1:44">
      <c r="A4139" s="17" t="s">
        <v>34</v>
      </c>
      <c r="B4139" s="19">
        <v>938</v>
      </c>
      <c r="C4139" s="183">
        <v>45168</v>
      </c>
      <c r="D4139" s="17" t="s">
        <v>52</v>
      </c>
      <c r="E4139" s="17" t="s">
        <v>1113</v>
      </c>
      <c r="F4139" s="17" t="s">
        <v>54</v>
      </c>
      <c r="G4139" s="17"/>
      <c r="H4139" s="19" t="s">
        <v>1114</v>
      </c>
      <c r="I4139" s="19"/>
      <c r="J4139" s="17" t="s">
        <v>82</v>
      </c>
      <c r="K4139" s="19">
        <v>1100</v>
      </c>
      <c r="L4139" s="19">
        <v>32</v>
      </c>
      <c r="M4139" s="19">
        <v>2200</v>
      </c>
      <c r="N4139" s="19" t="s">
        <v>66</v>
      </c>
      <c r="O4139" s="19" t="s">
        <v>141</v>
      </c>
      <c r="P4139" s="99">
        <v>1873</v>
      </c>
      <c r="Q4139" s="19">
        <v>1870</v>
      </c>
      <c r="R4139" s="19">
        <f>+P4139-Q4139</f>
        <v>3</v>
      </c>
      <c r="S4139" s="19">
        <f>1100-40</f>
        <v>1060</v>
      </c>
      <c r="T4139" s="19" t="s">
        <v>42</v>
      </c>
      <c r="U4139" s="102" t="s">
        <v>1286</v>
      </c>
      <c r="V4139" s="253">
        <v>44935</v>
      </c>
      <c r="W4139" s="17" t="s">
        <v>44</v>
      </c>
      <c r="X4139" s="17"/>
      <c r="Y4139" s="68">
        <v>45283</v>
      </c>
      <c r="Z4139" s="17" t="s">
        <v>191</v>
      </c>
      <c r="AA4139" s="17" t="s">
        <v>46</v>
      </c>
      <c r="AB4139" s="17" t="s">
        <v>1231</v>
      </c>
      <c r="AC4139" s="66">
        <v>45283</v>
      </c>
      <c r="AD4139" s="65">
        <v>1504</v>
      </c>
      <c r="AE4139" s="17" t="s">
        <v>74</v>
      </c>
      <c r="AF4139" s="17"/>
      <c r="AG4139" s="17"/>
      <c r="AH4139" s="17"/>
      <c r="AI4139" s="17"/>
      <c r="AJ4139" s="17"/>
      <c r="AK4139" s="17"/>
      <c r="AL4139" s="17"/>
      <c r="AM4139" s="17"/>
      <c r="AN4139" s="17"/>
      <c r="AO4139" s="17"/>
      <c r="AP4139" s="17"/>
      <c r="AQ4139" s="17"/>
      <c r="AR4139" s="17"/>
    </row>
    <row r="4140" s="20" customFormat="1" hidden="1" spans="1:44">
      <c r="A4140" s="17" t="s">
        <v>34</v>
      </c>
      <c r="B4140" s="19">
        <v>938</v>
      </c>
      <c r="C4140" s="183">
        <v>45168</v>
      </c>
      <c r="D4140" s="17" t="s">
        <v>52</v>
      </c>
      <c r="E4140" s="17" t="s">
        <v>1113</v>
      </c>
      <c r="F4140" s="17" t="s">
        <v>54</v>
      </c>
      <c r="G4140" s="17"/>
      <c r="H4140" s="19" t="s">
        <v>1114</v>
      </c>
      <c r="I4140" s="19"/>
      <c r="J4140" s="17" t="s">
        <v>82</v>
      </c>
      <c r="K4140" s="19">
        <v>205</v>
      </c>
      <c r="L4140" s="19">
        <v>35</v>
      </c>
      <c r="M4140" s="19">
        <v>2200</v>
      </c>
      <c r="N4140" s="19" t="s">
        <v>66</v>
      </c>
      <c r="O4140" s="19" t="s">
        <v>141</v>
      </c>
      <c r="P4140" s="99">
        <v>1528</v>
      </c>
      <c r="Q4140" s="19">
        <f>134+134</f>
        <v>268</v>
      </c>
      <c r="R4140" s="21"/>
      <c r="S4140" s="19">
        <f t="shared" ref="S4140:S4151" si="197">1110-40</f>
        <v>1070</v>
      </c>
      <c r="T4140" s="19" t="s">
        <v>42</v>
      </c>
      <c r="U4140" s="102" t="s">
        <v>1286</v>
      </c>
      <c r="V4140" s="253">
        <v>44935</v>
      </c>
      <c r="W4140" s="17" t="s">
        <v>44</v>
      </c>
      <c r="X4140" s="17"/>
      <c r="Y4140" s="68">
        <v>45283</v>
      </c>
      <c r="Z4140" s="17" t="s">
        <v>191</v>
      </c>
      <c r="AA4140" s="17" t="s">
        <v>46</v>
      </c>
      <c r="AB4140" s="17" t="s">
        <v>1256</v>
      </c>
      <c r="AC4140" s="66">
        <v>45322</v>
      </c>
      <c r="AD4140" s="65">
        <v>1522</v>
      </c>
      <c r="AE4140" s="17" t="s">
        <v>1177</v>
      </c>
      <c r="AF4140" s="17"/>
      <c r="AG4140" s="17"/>
      <c r="AH4140" s="17"/>
      <c r="AI4140" s="17"/>
      <c r="AJ4140" s="17"/>
      <c r="AK4140" s="17"/>
      <c r="AL4140" s="17"/>
      <c r="AM4140" s="17"/>
      <c r="AN4140" s="17"/>
      <c r="AO4140" s="17"/>
      <c r="AP4140" s="17"/>
      <c r="AQ4140" s="17"/>
      <c r="AR4140" s="17"/>
    </row>
    <row r="4141" s="20" customFormat="1" hidden="1" spans="1:44">
      <c r="A4141" s="17" t="s">
        <v>34</v>
      </c>
      <c r="B4141" s="19">
        <v>938</v>
      </c>
      <c r="C4141" s="183">
        <v>45168</v>
      </c>
      <c r="D4141" s="17" t="s">
        <v>52</v>
      </c>
      <c r="E4141" s="17" t="s">
        <v>1113</v>
      </c>
      <c r="F4141" s="17" t="s">
        <v>54</v>
      </c>
      <c r="G4141" s="17"/>
      <c r="H4141" s="19" t="s">
        <v>1114</v>
      </c>
      <c r="I4141" s="19"/>
      <c r="J4141" s="17" t="s">
        <v>82</v>
      </c>
      <c r="K4141" s="19">
        <v>205</v>
      </c>
      <c r="L4141" s="19">
        <v>35</v>
      </c>
      <c r="M4141" s="19">
        <v>2200</v>
      </c>
      <c r="N4141" s="19" t="s">
        <v>66</v>
      </c>
      <c r="O4141" s="19" t="s">
        <v>141</v>
      </c>
      <c r="P4141" s="99"/>
      <c r="Q4141" s="19">
        <v>1224</v>
      </c>
      <c r="R4141" s="99">
        <f>+P4140-Q4140-Q4141</f>
        <v>36</v>
      </c>
      <c r="S4141" s="19">
        <f t="shared" si="197"/>
        <v>1070</v>
      </c>
      <c r="T4141" s="19" t="s">
        <v>42</v>
      </c>
      <c r="U4141" s="102" t="s">
        <v>1286</v>
      </c>
      <c r="V4141" s="253">
        <v>44935</v>
      </c>
      <c r="W4141" s="17" t="s">
        <v>44</v>
      </c>
      <c r="X4141" s="17"/>
      <c r="Y4141" s="68">
        <v>45283</v>
      </c>
      <c r="Z4141" s="17" t="s">
        <v>191</v>
      </c>
      <c r="AA4141" s="17" t="s">
        <v>46</v>
      </c>
      <c r="AB4141" s="17" t="s">
        <v>1248</v>
      </c>
      <c r="AC4141" s="217">
        <v>45364</v>
      </c>
      <c r="AD4141" s="65">
        <v>1539</v>
      </c>
      <c r="AE4141" s="17" t="s">
        <v>1177</v>
      </c>
      <c r="AF4141" s="17"/>
      <c r="AG4141" s="17"/>
      <c r="AH4141" s="17"/>
      <c r="AI4141" s="17"/>
      <c r="AJ4141" s="17"/>
      <c r="AK4141" s="17"/>
      <c r="AL4141" s="17"/>
      <c r="AM4141" s="17"/>
      <c r="AN4141" s="17"/>
      <c r="AO4141" s="17"/>
      <c r="AP4141" s="17"/>
      <c r="AQ4141" s="17"/>
      <c r="AR4141" s="17"/>
    </row>
    <row r="4142" s="20" customFormat="1" hidden="1" spans="1:44">
      <c r="A4142" s="17" t="s">
        <v>34</v>
      </c>
      <c r="B4142" s="19">
        <v>938</v>
      </c>
      <c r="C4142" s="183">
        <v>45168</v>
      </c>
      <c r="D4142" s="17" t="s">
        <v>52</v>
      </c>
      <c r="E4142" s="17" t="s">
        <v>1113</v>
      </c>
      <c r="F4142" s="17" t="s">
        <v>54</v>
      </c>
      <c r="G4142" s="17"/>
      <c r="H4142" s="19" t="s">
        <v>1114</v>
      </c>
      <c r="I4142" s="19"/>
      <c r="J4142" s="17" t="s">
        <v>82</v>
      </c>
      <c r="K4142" s="19">
        <v>230</v>
      </c>
      <c r="L4142" s="19">
        <v>35</v>
      </c>
      <c r="M4142" s="19">
        <v>2200</v>
      </c>
      <c r="N4142" s="19" t="s">
        <v>66</v>
      </c>
      <c r="O4142" s="19" t="s">
        <v>141</v>
      </c>
      <c r="P4142" s="99">
        <v>571</v>
      </c>
      <c r="Q4142" s="19">
        <v>300</v>
      </c>
      <c r="R4142" s="21"/>
      <c r="S4142" s="19">
        <f t="shared" si="197"/>
        <v>1070</v>
      </c>
      <c r="T4142" s="19" t="s">
        <v>42</v>
      </c>
      <c r="U4142" s="102" t="s">
        <v>1286</v>
      </c>
      <c r="V4142" s="253">
        <v>44935</v>
      </c>
      <c r="W4142" s="17" t="s">
        <v>44</v>
      </c>
      <c r="X4142" s="17"/>
      <c r="Y4142" s="68">
        <v>45283</v>
      </c>
      <c r="Z4142" s="17" t="s">
        <v>191</v>
      </c>
      <c r="AA4142" s="17" t="s">
        <v>46</v>
      </c>
      <c r="AB4142" s="17" t="s">
        <v>1237</v>
      </c>
      <c r="AC4142" s="217">
        <v>45627</v>
      </c>
      <c r="AD4142" s="65">
        <v>1516</v>
      </c>
      <c r="AE4142" s="17" t="s">
        <v>48</v>
      </c>
      <c r="AF4142" s="17"/>
      <c r="AG4142" s="17"/>
      <c r="AH4142" s="17"/>
      <c r="AI4142" s="17"/>
      <c r="AJ4142" s="17"/>
      <c r="AK4142" s="17"/>
      <c r="AL4142" s="17"/>
      <c r="AM4142" s="17"/>
      <c r="AN4142" s="17"/>
      <c r="AO4142" s="17"/>
      <c r="AP4142" s="17"/>
      <c r="AQ4142" s="17"/>
      <c r="AR4142" s="17"/>
    </row>
    <row r="4143" s="20" customFormat="1" hidden="1" spans="1:44">
      <c r="A4143" s="17" t="s">
        <v>34</v>
      </c>
      <c r="B4143" s="19">
        <v>938</v>
      </c>
      <c r="C4143" s="183">
        <v>45168</v>
      </c>
      <c r="D4143" s="17" t="s">
        <v>52</v>
      </c>
      <c r="E4143" s="17" t="s">
        <v>1113</v>
      </c>
      <c r="F4143" s="17" t="s">
        <v>54</v>
      </c>
      <c r="G4143" s="17"/>
      <c r="H4143" s="19" t="s">
        <v>1114</v>
      </c>
      <c r="I4143" s="19"/>
      <c r="J4143" s="17" t="s">
        <v>82</v>
      </c>
      <c r="K4143" s="19">
        <v>230</v>
      </c>
      <c r="L4143" s="19">
        <v>35</v>
      </c>
      <c r="M4143" s="19">
        <v>2200</v>
      </c>
      <c r="N4143" s="19" t="s">
        <v>66</v>
      </c>
      <c r="O4143" s="19" t="s">
        <v>141</v>
      </c>
      <c r="P4143" s="99"/>
      <c r="Q4143" s="19">
        <v>447</v>
      </c>
      <c r="R4143" s="99">
        <f>+P4142-Q4142-Q4143</f>
        <v>-176</v>
      </c>
      <c r="S4143" s="19">
        <f t="shared" si="197"/>
        <v>1070</v>
      </c>
      <c r="T4143" s="19" t="s">
        <v>42</v>
      </c>
      <c r="U4143" s="102" t="s">
        <v>1286</v>
      </c>
      <c r="V4143" s="253">
        <v>44935</v>
      </c>
      <c r="W4143" s="17" t="s">
        <v>44</v>
      </c>
      <c r="X4143" s="17"/>
      <c r="Y4143" s="68">
        <v>45283</v>
      </c>
      <c r="Z4143" s="17" t="s">
        <v>191</v>
      </c>
      <c r="AA4143" s="17" t="s">
        <v>46</v>
      </c>
      <c r="AB4143" s="17" t="s">
        <v>1248</v>
      </c>
      <c r="AC4143" s="217">
        <v>45364</v>
      </c>
      <c r="AD4143" s="65">
        <v>1539</v>
      </c>
      <c r="AE4143" s="17" t="s">
        <v>48</v>
      </c>
      <c r="AF4143" s="17"/>
      <c r="AG4143" s="17"/>
      <c r="AH4143" s="17"/>
      <c r="AI4143" s="17"/>
      <c r="AJ4143" s="17"/>
      <c r="AK4143" s="17"/>
      <c r="AL4143" s="17"/>
      <c r="AM4143" s="17"/>
      <c r="AN4143" s="17"/>
      <c r="AO4143" s="17"/>
      <c r="AP4143" s="17"/>
      <c r="AQ4143" s="17"/>
      <c r="AR4143" s="17"/>
    </row>
    <row r="4144" s="21" customFormat="1" hidden="1" spans="1:44">
      <c r="A4144" s="17" t="s">
        <v>34</v>
      </c>
      <c r="B4144" s="19">
        <v>938</v>
      </c>
      <c r="C4144" s="183">
        <v>45168</v>
      </c>
      <c r="D4144" s="17" t="s">
        <v>52</v>
      </c>
      <c r="E4144" s="17" t="s">
        <v>1113</v>
      </c>
      <c r="F4144" s="17" t="s">
        <v>54</v>
      </c>
      <c r="G4144" s="17"/>
      <c r="H4144" s="19" t="s">
        <v>1114</v>
      </c>
      <c r="I4144" s="19"/>
      <c r="J4144" s="17" t="s">
        <v>82</v>
      </c>
      <c r="K4144" s="19">
        <v>255</v>
      </c>
      <c r="L4144" s="19">
        <v>35</v>
      </c>
      <c r="M4144" s="19">
        <v>2200</v>
      </c>
      <c r="N4144" s="19" t="s">
        <v>66</v>
      </c>
      <c r="O4144" s="19" t="s">
        <v>141</v>
      </c>
      <c r="P4144" s="99">
        <v>1583</v>
      </c>
      <c r="Q4144" s="19">
        <v>1680</v>
      </c>
      <c r="R4144" s="19">
        <f>+P4144-Q4144</f>
        <v>-97</v>
      </c>
      <c r="S4144" s="19">
        <f t="shared" si="197"/>
        <v>1070</v>
      </c>
      <c r="T4144" s="19" t="s">
        <v>42</v>
      </c>
      <c r="U4144" s="102" t="s">
        <v>1286</v>
      </c>
      <c r="V4144" s="253">
        <v>44935</v>
      </c>
      <c r="W4144" s="17" t="s">
        <v>44</v>
      </c>
      <c r="X4144" s="17"/>
      <c r="Y4144" s="68">
        <v>45283</v>
      </c>
      <c r="Z4144" s="17" t="s">
        <v>191</v>
      </c>
      <c r="AA4144" s="17" t="s">
        <v>46</v>
      </c>
      <c r="AB4144" s="17" t="s">
        <v>1248</v>
      </c>
      <c r="AC4144" s="217">
        <v>45364</v>
      </c>
      <c r="AD4144" s="65">
        <v>1539</v>
      </c>
      <c r="AE4144" s="17" t="s">
        <v>1177</v>
      </c>
      <c r="AF4144" s="17"/>
      <c r="AG4144" s="17"/>
      <c r="AH4144" s="17"/>
      <c r="AI4144" s="17"/>
      <c r="AJ4144" s="17"/>
      <c r="AK4144" s="17"/>
      <c r="AL4144" s="17"/>
      <c r="AM4144" s="17"/>
      <c r="AN4144" s="17"/>
      <c r="AO4144" s="17"/>
      <c r="AP4144" s="17"/>
      <c r="AQ4144" s="17"/>
      <c r="AR4144" s="17"/>
    </row>
    <row r="4145" s="21" customFormat="1" hidden="1" spans="1:44">
      <c r="A4145" s="17" t="s">
        <v>34</v>
      </c>
      <c r="B4145" s="19">
        <v>938</v>
      </c>
      <c r="C4145" s="183">
        <v>45168</v>
      </c>
      <c r="D4145" s="17" t="s">
        <v>52</v>
      </c>
      <c r="E4145" s="17" t="s">
        <v>1113</v>
      </c>
      <c r="F4145" s="17" t="s">
        <v>54</v>
      </c>
      <c r="G4145" s="17"/>
      <c r="H4145" s="19" t="s">
        <v>1114</v>
      </c>
      <c r="I4145" s="19"/>
      <c r="J4145" s="17" t="s">
        <v>82</v>
      </c>
      <c r="K4145" s="19">
        <v>280</v>
      </c>
      <c r="L4145" s="19">
        <v>35</v>
      </c>
      <c r="M4145" s="19">
        <v>2200</v>
      </c>
      <c r="N4145" s="19" t="s">
        <v>66</v>
      </c>
      <c r="O4145" s="19" t="s">
        <v>141</v>
      </c>
      <c r="P4145" s="99">
        <v>522</v>
      </c>
      <c r="Q4145" s="19">
        <v>540</v>
      </c>
      <c r="R4145" s="19">
        <f>+P4145-Q4145</f>
        <v>-18</v>
      </c>
      <c r="S4145" s="19">
        <f t="shared" si="197"/>
        <v>1070</v>
      </c>
      <c r="T4145" s="19" t="s">
        <v>42</v>
      </c>
      <c r="U4145" s="102" t="s">
        <v>1286</v>
      </c>
      <c r="V4145" s="253">
        <v>44935</v>
      </c>
      <c r="W4145" s="17" t="s">
        <v>44</v>
      </c>
      <c r="X4145" s="17"/>
      <c r="Y4145" s="68">
        <v>45283</v>
      </c>
      <c r="Z4145" s="17" t="s">
        <v>191</v>
      </c>
      <c r="AA4145" s="17" t="s">
        <v>46</v>
      </c>
      <c r="AB4145" s="17" t="s">
        <v>1248</v>
      </c>
      <c r="AC4145" s="217">
        <v>45364</v>
      </c>
      <c r="AD4145" s="65">
        <v>1539</v>
      </c>
      <c r="AE4145" s="17" t="s">
        <v>48</v>
      </c>
      <c r="AF4145" s="17"/>
      <c r="AG4145" s="17"/>
      <c r="AH4145" s="17"/>
      <c r="AI4145" s="17"/>
      <c r="AJ4145" s="17"/>
      <c r="AK4145" s="17"/>
      <c r="AL4145" s="17"/>
      <c r="AM4145" s="17"/>
      <c r="AN4145" s="17"/>
      <c r="AO4145" s="17"/>
      <c r="AP4145" s="17"/>
      <c r="AQ4145" s="17"/>
      <c r="AR4145" s="17"/>
    </row>
    <row r="4146" s="20" customFormat="1" hidden="1" spans="1:44">
      <c r="A4146" s="17" t="s">
        <v>34</v>
      </c>
      <c r="B4146" s="19">
        <v>938</v>
      </c>
      <c r="C4146" s="183">
        <v>45168</v>
      </c>
      <c r="D4146" s="17" t="s">
        <v>52</v>
      </c>
      <c r="E4146" s="17" t="s">
        <v>1113</v>
      </c>
      <c r="F4146" s="17" t="s">
        <v>54</v>
      </c>
      <c r="G4146" s="17"/>
      <c r="H4146" s="19" t="s">
        <v>1114</v>
      </c>
      <c r="I4146" s="19"/>
      <c r="J4146" s="17" t="s">
        <v>82</v>
      </c>
      <c r="K4146" s="19">
        <v>305</v>
      </c>
      <c r="L4146" s="19">
        <v>35</v>
      </c>
      <c r="M4146" s="19">
        <v>2200</v>
      </c>
      <c r="N4146" s="19" t="s">
        <v>66</v>
      </c>
      <c r="O4146" s="19" t="s">
        <v>141</v>
      </c>
      <c r="P4146" s="99">
        <v>1704</v>
      </c>
      <c r="Q4146" s="19">
        <v>1224</v>
      </c>
      <c r="R4146" s="21"/>
      <c r="S4146" s="19">
        <f t="shared" si="197"/>
        <v>1070</v>
      </c>
      <c r="T4146" s="19" t="s">
        <v>42</v>
      </c>
      <c r="U4146" s="102" t="s">
        <v>1286</v>
      </c>
      <c r="V4146" s="253">
        <v>44935</v>
      </c>
      <c r="W4146" s="17" t="s">
        <v>44</v>
      </c>
      <c r="X4146" s="17"/>
      <c r="Y4146" s="68">
        <v>45283</v>
      </c>
      <c r="Z4146" s="17" t="s">
        <v>191</v>
      </c>
      <c r="AA4146" s="17" t="s">
        <v>46</v>
      </c>
      <c r="AB4146" s="17" t="s">
        <v>1251</v>
      </c>
      <c r="AC4146" s="217">
        <v>45566</v>
      </c>
      <c r="AD4146" s="65">
        <v>1515</v>
      </c>
      <c r="AE4146" s="17" t="s">
        <v>1177</v>
      </c>
      <c r="AF4146" s="17"/>
      <c r="AG4146" s="17"/>
      <c r="AH4146" s="17"/>
      <c r="AI4146" s="17"/>
      <c r="AJ4146" s="17"/>
      <c r="AK4146" s="17"/>
      <c r="AL4146" s="17"/>
      <c r="AM4146" s="17"/>
      <c r="AN4146" s="17"/>
      <c r="AO4146" s="17"/>
      <c r="AP4146" s="17"/>
      <c r="AQ4146" s="17"/>
      <c r="AR4146" s="17"/>
    </row>
    <row r="4147" s="20" customFormat="1" hidden="1" spans="1:44">
      <c r="A4147" s="17" t="s">
        <v>34</v>
      </c>
      <c r="B4147" s="19">
        <v>938</v>
      </c>
      <c r="C4147" s="183">
        <v>45168</v>
      </c>
      <c r="D4147" s="17" t="s">
        <v>52</v>
      </c>
      <c r="E4147" s="17" t="s">
        <v>1113</v>
      </c>
      <c r="F4147" s="17" t="s">
        <v>54</v>
      </c>
      <c r="G4147" s="17"/>
      <c r="H4147" s="19" t="s">
        <v>1114</v>
      </c>
      <c r="I4147" s="19"/>
      <c r="J4147" s="17" t="s">
        <v>82</v>
      </c>
      <c r="K4147" s="19">
        <v>305</v>
      </c>
      <c r="L4147" s="19">
        <v>35</v>
      </c>
      <c r="M4147" s="19">
        <v>2200</v>
      </c>
      <c r="N4147" s="19" t="s">
        <v>66</v>
      </c>
      <c r="O4147" s="19" t="s">
        <v>141</v>
      </c>
      <c r="P4147" s="99"/>
      <c r="Q4147" s="19">
        <f>202+199+199</f>
        <v>600</v>
      </c>
      <c r="R4147" s="99">
        <f>+P4146-Q4146-Q4147</f>
        <v>-120</v>
      </c>
      <c r="S4147" s="19">
        <f t="shared" si="197"/>
        <v>1070</v>
      </c>
      <c r="T4147" s="19" t="s">
        <v>42</v>
      </c>
      <c r="U4147" s="102" t="s">
        <v>1286</v>
      </c>
      <c r="V4147" s="253">
        <v>44935</v>
      </c>
      <c r="W4147" s="17" t="s">
        <v>44</v>
      </c>
      <c r="X4147" s="17"/>
      <c r="Y4147" s="68">
        <v>45283</v>
      </c>
      <c r="Z4147" s="17" t="s">
        <v>191</v>
      </c>
      <c r="AA4147" s="17" t="s">
        <v>46</v>
      </c>
      <c r="AB4147" s="17" t="s">
        <v>1250</v>
      </c>
      <c r="AC4147" s="217">
        <v>45351</v>
      </c>
      <c r="AD4147" s="65">
        <v>1533</v>
      </c>
      <c r="AE4147" s="17" t="s">
        <v>1177</v>
      </c>
      <c r="AF4147" s="17"/>
      <c r="AG4147" s="17"/>
      <c r="AH4147" s="17"/>
      <c r="AI4147" s="17"/>
      <c r="AJ4147" s="17"/>
      <c r="AK4147" s="17"/>
      <c r="AL4147" s="17"/>
      <c r="AM4147" s="17"/>
      <c r="AN4147" s="17"/>
      <c r="AO4147" s="17"/>
      <c r="AP4147" s="17"/>
      <c r="AQ4147" s="17"/>
      <c r="AR4147" s="17"/>
    </row>
    <row r="4148" s="20" customFormat="1" hidden="1" spans="1:44">
      <c r="A4148" s="17" t="s">
        <v>34</v>
      </c>
      <c r="B4148" s="19">
        <v>938</v>
      </c>
      <c r="C4148" s="183">
        <v>45168</v>
      </c>
      <c r="D4148" s="17" t="s">
        <v>52</v>
      </c>
      <c r="E4148" s="17" t="s">
        <v>1113</v>
      </c>
      <c r="F4148" s="17" t="s">
        <v>54</v>
      </c>
      <c r="G4148" s="17"/>
      <c r="H4148" s="19" t="s">
        <v>1114</v>
      </c>
      <c r="I4148" s="19"/>
      <c r="J4148" s="17" t="s">
        <v>82</v>
      </c>
      <c r="K4148" s="19">
        <v>355</v>
      </c>
      <c r="L4148" s="19">
        <v>35</v>
      </c>
      <c r="M4148" s="19">
        <v>2200</v>
      </c>
      <c r="N4148" s="19" t="s">
        <v>66</v>
      </c>
      <c r="O4148" s="19" t="s">
        <v>141</v>
      </c>
      <c r="P4148" s="99">
        <v>1543</v>
      </c>
      <c r="Q4148" s="19">
        <v>1641</v>
      </c>
      <c r="R4148" s="19">
        <f t="shared" ref="R4148:R4155" si="198">+P4148-Q4148</f>
        <v>-98</v>
      </c>
      <c r="S4148" s="19">
        <f t="shared" si="197"/>
        <v>1070</v>
      </c>
      <c r="T4148" s="19" t="s">
        <v>42</v>
      </c>
      <c r="U4148" s="102" t="s">
        <v>1286</v>
      </c>
      <c r="V4148" s="253">
        <v>44935</v>
      </c>
      <c r="W4148" s="17" t="s">
        <v>44</v>
      </c>
      <c r="X4148" s="17"/>
      <c r="Y4148" s="68">
        <v>45283</v>
      </c>
      <c r="Z4148" s="17" t="s">
        <v>191</v>
      </c>
      <c r="AA4148" s="17" t="s">
        <v>46</v>
      </c>
      <c r="AB4148" s="17" t="s">
        <v>1251</v>
      </c>
      <c r="AC4148" s="217">
        <v>45566</v>
      </c>
      <c r="AD4148" s="65">
        <v>1515</v>
      </c>
      <c r="AE4148" s="17" t="s">
        <v>1177</v>
      </c>
      <c r="AF4148" s="17"/>
      <c r="AG4148" s="17"/>
      <c r="AH4148" s="17"/>
      <c r="AI4148" s="17"/>
      <c r="AJ4148" s="17"/>
      <c r="AK4148" s="17"/>
      <c r="AL4148" s="17"/>
      <c r="AM4148" s="17"/>
      <c r="AN4148" s="17"/>
      <c r="AO4148" s="17"/>
      <c r="AP4148" s="17"/>
      <c r="AQ4148" s="17"/>
      <c r="AR4148" s="17"/>
    </row>
    <row r="4149" s="20" customFormat="1" hidden="1" spans="1:44">
      <c r="A4149" s="17" t="s">
        <v>34</v>
      </c>
      <c r="B4149" s="19">
        <v>938</v>
      </c>
      <c r="C4149" s="183">
        <v>45168</v>
      </c>
      <c r="D4149" s="17" t="s">
        <v>52</v>
      </c>
      <c r="E4149" s="17" t="s">
        <v>1113</v>
      </c>
      <c r="F4149" s="17" t="s">
        <v>54</v>
      </c>
      <c r="G4149" s="17"/>
      <c r="H4149" s="19" t="s">
        <v>1114</v>
      </c>
      <c r="I4149" s="19"/>
      <c r="J4149" s="17" t="s">
        <v>82</v>
      </c>
      <c r="K4149" s="19">
        <v>405</v>
      </c>
      <c r="L4149" s="19">
        <v>35</v>
      </c>
      <c r="M4149" s="19">
        <v>2200</v>
      </c>
      <c r="N4149" s="19" t="s">
        <v>66</v>
      </c>
      <c r="O4149" s="19" t="s">
        <v>141</v>
      </c>
      <c r="P4149" s="99">
        <v>1509</v>
      </c>
      <c r="Q4149" s="19">
        <v>1596</v>
      </c>
      <c r="R4149" s="19">
        <f t="shared" si="198"/>
        <v>-87</v>
      </c>
      <c r="S4149" s="19">
        <f t="shared" si="197"/>
        <v>1070</v>
      </c>
      <c r="T4149" s="19" t="s">
        <v>42</v>
      </c>
      <c r="U4149" s="102" t="s">
        <v>1286</v>
      </c>
      <c r="V4149" s="253">
        <v>44935</v>
      </c>
      <c r="W4149" s="17" t="s">
        <v>44</v>
      </c>
      <c r="X4149" s="17"/>
      <c r="Y4149" s="68">
        <v>45283</v>
      </c>
      <c r="Z4149" s="17" t="s">
        <v>191</v>
      </c>
      <c r="AA4149" s="17" t="s">
        <v>46</v>
      </c>
      <c r="AB4149" s="17" t="s">
        <v>1251</v>
      </c>
      <c r="AC4149" s="217">
        <v>45566</v>
      </c>
      <c r="AD4149" s="65">
        <v>1515</v>
      </c>
      <c r="AE4149" s="17" t="s">
        <v>1177</v>
      </c>
      <c r="AF4149" s="17"/>
      <c r="AG4149" s="17"/>
      <c r="AH4149" s="17"/>
      <c r="AI4149" s="17"/>
      <c r="AJ4149" s="17"/>
      <c r="AK4149" s="17"/>
      <c r="AL4149" s="17"/>
      <c r="AM4149" s="17"/>
      <c r="AN4149" s="17"/>
      <c r="AO4149" s="17"/>
      <c r="AP4149" s="17"/>
      <c r="AQ4149" s="17"/>
      <c r="AR4149" s="17"/>
    </row>
    <row r="4150" s="20" customFormat="1" hidden="1" spans="1:44">
      <c r="A4150" s="17" t="s">
        <v>34</v>
      </c>
      <c r="B4150" s="19">
        <v>938</v>
      </c>
      <c r="C4150" s="183">
        <v>45168</v>
      </c>
      <c r="D4150" s="17" t="s">
        <v>52</v>
      </c>
      <c r="E4150" s="17" t="s">
        <v>1113</v>
      </c>
      <c r="F4150" s="17" t="s">
        <v>54</v>
      </c>
      <c r="G4150" s="17"/>
      <c r="H4150" s="19" t="s">
        <v>1114</v>
      </c>
      <c r="I4150" s="19"/>
      <c r="J4150" s="17" t="s">
        <v>82</v>
      </c>
      <c r="K4150" s="19">
        <v>455</v>
      </c>
      <c r="L4150" s="19">
        <v>35</v>
      </c>
      <c r="M4150" s="19">
        <v>2200</v>
      </c>
      <c r="N4150" s="19" t="s">
        <v>66</v>
      </c>
      <c r="O4150" s="19" t="s">
        <v>141</v>
      </c>
      <c r="P4150" s="99">
        <v>1130</v>
      </c>
      <c r="Q4150" s="19">
        <v>1194</v>
      </c>
      <c r="R4150" s="19">
        <f t="shared" si="198"/>
        <v>-64</v>
      </c>
      <c r="S4150" s="19">
        <f t="shared" si="197"/>
        <v>1070</v>
      </c>
      <c r="T4150" s="19" t="s">
        <v>42</v>
      </c>
      <c r="U4150" s="102" t="s">
        <v>1286</v>
      </c>
      <c r="V4150" s="253">
        <v>44935</v>
      </c>
      <c r="W4150" s="17" t="s">
        <v>44</v>
      </c>
      <c r="X4150" s="17"/>
      <c r="Y4150" s="68">
        <v>45283</v>
      </c>
      <c r="Z4150" s="17" t="s">
        <v>191</v>
      </c>
      <c r="AA4150" s="17" t="s">
        <v>46</v>
      </c>
      <c r="AB4150" s="17" t="s">
        <v>1251</v>
      </c>
      <c r="AC4150" s="217">
        <v>45566</v>
      </c>
      <c r="AD4150" s="65">
        <v>1515</v>
      </c>
      <c r="AE4150" s="17" t="s">
        <v>74</v>
      </c>
      <c r="AF4150" s="17"/>
      <c r="AG4150" s="17"/>
      <c r="AH4150" s="17"/>
      <c r="AI4150" s="17"/>
      <c r="AJ4150" s="17"/>
      <c r="AK4150" s="17"/>
      <c r="AL4150" s="17"/>
      <c r="AM4150" s="17"/>
      <c r="AN4150" s="17"/>
      <c r="AO4150" s="17"/>
      <c r="AP4150" s="17"/>
      <c r="AQ4150" s="17"/>
      <c r="AR4150" s="17"/>
    </row>
    <row r="4151" s="20" customFormat="1" hidden="1" spans="1:44">
      <c r="A4151" s="17" t="s">
        <v>34</v>
      </c>
      <c r="B4151" s="19">
        <v>938</v>
      </c>
      <c r="C4151" s="183">
        <v>45168</v>
      </c>
      <c r="D4151" s="17" t="s">
        <v>52</v>
      </c>
      <c r="E4151" s="17" t="s">
        <v>1113</v>
      </c>
      <c r="F4151" s="17" t="s">
        <v>54</v>
      </c>
      <c r="G4151" s="17"/>
      <c r="H4151" s="19" t="s">
        <v>1114</v>
      </c>
      <c r="I4151" s="19"/>
      <c r="J4151" s="17" t="s">
        <v>82</v>
      </c>
      <c r="K4151" s="19">
        <v>505</v>
      </c>
      <c r="L4151" s="19">
        <v>35</v>
      </c>
      <c r="M4151" s="19">
        <v>2200</v>
      </c>
      <c r="N4151" s="19" t="s">
        <v>66</v>
      </c>
      <c r="O4151" s="19" t="s">
        <v>141</v>
      </c>
      <c r="P4151" s="99">
        <v>941</v>
      </c>
      <c r="Q4151" s="19">
        <v>995</v>
      </c>
      <c r="R4151" s="19">
        <f t="shared" si="198"/>
        <v>-54</v>
      </c>
      <c r="S4151" s="19">
        <f t="shared" si="197"/>
        <v>1070</v>
      </c>
      <c r="T4151" s="19" t="s">
        <v>42</v>
      </c>
      <c r="U4151" s="102" t="s">
        <v>1286</v>
      </c>
      <c r="V4151" s="253">
        <v>44935</v>
      </c>
      <c r="W4151" s="17" t="s">
        <v>44</v>
      </c>
      <c r="X4151" s="17"/>
      <c r="Y4151" s="68">
        <v>45283</v>
      </c>
      <c r="Z4151" s="17" t="s">
        <v>191</v>
      </c>
      <c r="AA4151" s="17" t="s">
        <v>46</v>
      </c>
      <c r="AB4151" s="17" t="s">
        <v>1251</v>
      </c>
      <c r="AC4151" s="217">
        <v>45566</v>
      </c>
      <c r="AD4151" s="65">
        <v>1515</v>
      </c>
      <c r="AE4151" s="17" t="s">
        <v>74</v>
      </c>
      <c r="AF4151" s="17"/>
      <c r="AG4151" s="17"/>
      <c r="AH4151" s="17"/>
      <c r="AI4151" s="17"/>
      <c r="AJ4151" s="17"/>
      <c r="AK4151" s="17"/>
      <c r="AL4151" s="17"/>
      <c r="AM4151" s="17"/>
      <c r="AN4151" s="17"/>
      <c r="AO4151" s="17"/>
      <c r="AP4151" s="17"/>
      <c r="AQ4151" s="17"/>
      <c r="AR4151" s="17"/>
    </row>
    <row r="4152" s="21" customFormat="1" hidden="1" spans="1:44">
      <c r="A4152" s="17" t="s">
        <v>34</v>
      </c>
      <c r="B4152" s="19">
        <v>938</v>
      </c>
      <c r="C4152" s="183">
        <v>45168</v>
      </c>
      <c r="D4152" s="17" t="s">
        <v>52</v>
      </c>
      <c r="E4152" s="17" t="s">
        <v>1113</v>
      </c>
      <c r="F4152" s="17" t="s">
        <v>54</v>
      </c>
      <c r="G4152" s="17"/>
      <c r="H4152" s="19" t="s">
        <v>1114</v>
      </c>
      <c r="I4152" s="19"/>
      <c r="J4152" s="17" t="s">
        <v>82</v>
      </c>
      <c r="K4152" s="19">
        <v>1100</v>
      </c>
      <c r="L4152" s="19">
        <v>35</v>
      </c>
      <c r="M4152" s="19">
        <v>2200</v>
      </c>
      <c r="N4152" s="19" t="s">
        <v>66</v>
      </c>
      <c r="O4152" s="19" t="s">
        <v>141</v>
      </c>
      <c r="P4152" s="99">
        <v>1366</v>
      </c>
      <c r="Q4152" s="19">
        <f>713+715</f>
        <v>1428</v>
      </c>
      <c r="R4152" s="19">
        <f t="shared" si="198"/>
        <v>-62</v>
      </c>
      <c r="S4152" s="19">
        <v>1020</v>
      </c>
      <c r="T4152" s="19" t="s">
        <v>42</v>
      </c>
      <c r="U4152" s="102" t="s">
        <v>1286</v>
      </c>
      <c r="V4152" s="253">
        <v>44935</v>
      </c>
      <c r="W4152" s="17" t="s">
        <v>44</v>
      </c>
      <c r="X4152" s="17"/>
      <c r="Y4152" s="68">
        <v>45283</v>
      </c>
      <c r="Z4152" s="17" t="s">
        <v>191</v>
      </c>
      <c r="AA4152" s="17" t="s">
        <v>46</v>
      </c>
      <c r="AB4152" s="17" t="s">
        <v>1248</v>
      </c>
      <c r="AC4152" s="217">
        <v>45364</v>
      </c>
      <c r="AD4152" s="65">
        <v>1539</v>
      </c>
      <c r="AE4152" s="17" t="s">
        <v>74</v>
      </c>
      <c r="AF4152" s="17"/>
      <c r="AG4152" s="17"/>
      <c r="AH4152" s="17"/>
      <c r="AI4152" s="17"/>
      <c r="AJ4152" s="17"/>
      <c r="AK4152" s="17"/>
      <c r="AL4152" s="17"/>
      <c r="AM4152" s="17"/>
      <c r="AN4152" s="17"/>
      <c r="AO4152" s="17"/>
      <c r="AP4152" s="17"/>
      <c r="AQ4152" s="17"/>
      <c r="AR4152" s="17"/>
    </row>
    <row r="4153" s="21" customFormat="1" hidden="1" spans="1:44">
      <c r="A4153" s="17" t="s">
        <v>34</v>
      </c>
      <c r="B4153" s="19">
        <v>938</v>
      </c>
      <c r="C4153" s="183">
        <v>45168</v>
      </c>
      <c r="D4153" s="17" t="s">
        <v>52</v>
      </c>
      <c r="E4153" s="17" t="s">
        <v>1113</v>
      </c>
      <c r="F4153" s="17" t="s">
        <v>54</v>
      </c>
      <c r="G4153" s="17"/>
      <c r="H4153" s="19" t="s">
        <v>1114</v>
      </c>
      <c r="I4153" s="19"/>
      <c r="J4153" s="17" t="s">
        <v>82</v>
      </c>
      <c r="K4153" s="19">
        <v>205</v>
      </c>
      <c r="L4153" s="19">
        <v>40</v>
      </c>
      <c r="M4153" s="19">
        <v>2200</v>
      </c>
      <c r="N4153" s="19" t="s">
        <v>66</v>
      </c>
      <c r="O4153" s="19" t="s">
        <v>141</v>
      </c>
      <c r="P4153" s="99">
        <v>2910</v>
      </c>
      <c r="Q4153" s="19">
        <v>0</v>
      </c>
      <c r="R4153" s="19">
        <f t="shared" si="198"/>
        <v>2910</v>
      </c>
      <c r="S4153" s="19">
        <f>1110-40</f>
        <v>1070</v>
      </c>
      <c r="T4153" s="19" t="s">
        <v>42</v>
      </c>
      <c r="U4153" s="102" t="s">
        <v>1286</v>
      </c>
      <c r="V4153" s="253">
        <v>44935</v>
      </c>
      <c r="W4153" s="17" t="s">
        <v>44</v>
      </c>
      <c r="X4153" s="17"/>
      <c r="Y4153" s="68">
        <v>45283</v>
      </c>
      <c r="Z4153" s="17" t="s">
        <v>191</v>
      </c>
      <c r="AA4153" s="17" t="s">
        <v>46</v>
      </c>
      <c r="AB4153" s="17"/>
      <c r="AC4153" s="102"/>
      <c r="AD4153" s="65"/>
      <c r="AE4153" s="17" t="s">
        <v>1287</v>
      </c>
      <c r="AF4153" s="17"/>
      <c r="AG4153" s="17" t="s">
        <v>1288</v>
      </c>
      <c r="AH4153" s="17"/>
      <c r="AI4153" s="17"/>
      <c r="AJ4153" s="17"/>
      <c r="AK4153" s="17"/>
      <c r="AL4153" s="17"/>
      <c r="AM4153" s="17"/>
      <c r="AN4153" s="17"/>
      <c r="AO4153" s="17"/>
      <c r="AP4153" s="17"/>
      <c r="AQ4153" s="17"/>
      <c r="AR4153" s="17"/>
    </row>
    <row r="4154" s="20" customFormat="1" hidden="1" spans="1:44">
      <c r="A4154" s="17" t="s">
        <v>34</v>
      </c>
      <c r="B4154" s="19">
        <v>938</v>
      </c>
      <c r="C4154" s="183">
        <v>45168</v>
      </c>
      <c r="D4154" s="17" t="s">
        <v>52</v>
      </c>
      <c r="E4154" s="17" t="s">
        <v>1113</v>
      </c>
      <c r="F4154" s="17" t="s">
        <v>54</v>
      </c>
      <c r="G4154" s="17"/>
      <c r="H4154" s="19" t="s">
        <v>1114</v>
      </c>
      <c r="I4154" s="19"/>
      <c r="J4154" s="17" t="s">
        <v>82</v>
      </c>
      <c r="K4154" s="19">
        <v>230</v>
      </c>
      <c r="L4154" s="19">
        <v>40</v>
      </c>
      <c r="M4154" s="19">
        <v>2200</v>
      </c>
      <c r="N4154" s="19" t="s">
        <v>66</v>
      </c>
      <c r="O4154" s="19" t="s">
        <v>141</v>
      </c>
      <c r="P4154" s="99">
        <v>490</v>
      </c>
      <c r="Q4154" s="19">
        <v>337</v>
      </c>
      <c r="R4154" s="19">
        <f t="shared" si="198"/>
        <v>153</v>
      </c>
      <c r="S4154" s="19">
        <f>1110-40</f>
        <v>1070</v>
      </c>
      <c r="T4154" s="19" t="s">
        <v>42</v>
      </c>
      <c r="U4154" s="102" t="s">
        <v>1286</v>
      </c>
      <c r="V4154" s="253">
        <v>44935</v>
      </c>
      <c r="W4154" s="17" t="s">
        <v>44</v>
      </c>
      <c r="X4154" s="17"/>
      <c r="Y4154" s="68">
        <v>45283</v>
      </c>
      <c r="Z4154" s="17" t="s">
        <v>191</v>
      </c>
      <c r="AA4154" s="17" t="s">
        <v>46</v>
      </c>
      <c r="AB4154" s="17" t="s">
        <v>1237</v>
      </c>
      <c r="AC4154" s="217">
        <v>45627</v>
      </c>
      <c r="AD4154" s="65">
        <v>1516</v>
      </c>
      <c r="AE4154" s="17" t="s">
        <v>48</v>
      </c>
      <c r="AF4154" s="17"/>
      <c r="AG4154" s="17"/>
      <c r="AH4154" s="17"/>
      <c r="AI4154" s="17"/>
      <c r="AJ4154" s="17"/>
      <c r="AK4154" s="17"/>
      <c r="AL4154" s="17"/>
      <c r="AM4154" s="17"/>
      <c r="AN4154" s="17"/>
      <c r="AO4154" s="17"/>
      <c r="AP4154" s="17"/>
      <c r="AQ4154" s="17"/>
      <c r="AR4154" s="17"/>
    </row>
    <row r="4155" s="21" customFormat="1" hidden="1" spans="1:44">
      <c r="A4155" s="17" t="s">
        <v>34</v>
      </c>
      <c r="B4155" s="19">
        <v>938</v>
      </c>
      <c r="C4155" s="183">
        <v>45168</v>
      </c>
      <c r="D4155" s="17" t="s">
        <v>52</v>
      </c>
      <c r="E4155" s="17" t="s">
        <v>1113</v>
      </c>
      <c r="F4155" s="17" t="s">
        <v>54</v>
      </c>
      <c r="G4155" s="17"/>
      <c r="H4155" s="19" t="s">
        <v>1114</v>
      </c>
      <c r="I4155" s="19"/>
      <c r="J4155" s="17" t="s">
        <v>82</v>
      </c>
      <c r="K4155" s="19">
        <v>255</v>
      </c>
      <c r="L4155" s="19">
        <v>40</v>
      </c>
      <c r="M4155" s="19">
        <v>2200</v>
      </c>
      <c r="N4155" s="19" t="s">
        <v>66</v>
      </c>
      <c r="O4155" s="19" t="s">
        <v>141</v>
      </c>
      <c r="P4155" s="99">
        <v>3257</v>
      </c>
      <c r="Q4155" s="19">
        <v>1106</v>
      </c>
      <c r="R4155" s="19">
        <f t="shared" si="198"/>
        <v>2151</v>
      </c>
      <c r="S4155" s="19">
        <f>1110-40-40</f>
        <v>1030</v>
      </c>
      <c r="T4155" s="19" t="s">
        <v>42</v>
      </c>
      <c r="U4155" s="102" t="s">
        <v>1286</v>
      </c>
      <c r="V4155" s="253">
        <v>44935</v>
      </c>
      <c r="W4155" s="17" t="s">
        <v>44</v>
      </c>
      <c r="X4155" s="17"/>
      <c r="Y4155" s="68">
        <v>45283</v>
      </c>
      <c r="Z4155" s="17" t="s">
        <v>191</v>
      </c>
      <c r="AA4155" s="17" t="s">
        <v>46</v>
      </c>
      <c r="AB4155" s="17" t="s">
        <v>1249</v>
      </c>
      <c r="AC4155" s="217">
        <v>45380</v>
      </c>
      <c r="AD4155" s="65">
        <v>1547</v>
      </c>
      <c r="AE4155" s="17" t="s">
        <v>1289</v>
      </c>
      <c r="AF4155" s="17"/>
      <c r="AG4155" s="17"/>
      <c r="AH4155" s="17"/>
      <c r="AI4155" s="17"/>
      <c r="AJ4155" s="17"/>
      <c r="AK4155" s="17"/>
      <c r="AL4155" s="17"/>
      <c r="AM4155" s="17"/>
      <c r="AN4155" s="17"/>
      <c r="AO4155" s="17"/>
      <c r="AP4155" s="17"/>
      <c r="AQ4155" s="17"/>
      <c r="AR4155" s="17"/>
    </row>
    <row r="4156" s="20" customFormat="1" hidden="1" spans="1:44">
      <c r="A4156" s="17" t="s">
        <v>34</v>
      </c>
      <c r="B4156" s="19">
        <v>938</v>
      </c>
      <c r="C4156" s="183">
        <v>45168</v>
      </c>
      <c r="D4156" s="17" t="s">
        <v>52</v>
      </c>
      <c r="E4156" s="17" t="s">
        <v>1113</v>
      </c>
      <c r="F4156" s="17" t="s">
        <v>54</v>
      </c>
      <c r="G4156" s="17"/>
      <c r="H4156" s="19" t="s">
        <v>1114</v>
      </c>
      <c r="I4156" s="19"/>
      <c r="J4156" s="17" t="s">
        <v>82</v>
      </c>
      <c r="K4156" s="19">
        <v>280</v>
      </c>
      <c r="L4156" s="19">
        <v>40</v>
      </c>
      <c r="M4156" s="19">
        <v>2200</v>
      </c>
      <c r="N4156" s="19" t="s">
        <v>66</v>
      </c>
      <c r="O4156" s="19" t="s">
        <v>141</v>
      </c>
      <c r="P4156" s="99">
        <v>596</v>
      </c>
      <c r="Q4156" s="19">
        <v>204</v>
      </c>
      <c r="R4156" s="21"/>
      <c r="S4156" s="19">
        <f t="shared" ref="S4156:S4164" si="199">1110-40</f>
        <v>1070</v>
      </c>
      <c r="T4156" s="19" t="s">
        <v>42</v>
      </c>
      <c r="U4156" s="102" t="s">
        <v>1286</v>
      </c>
      <c r="V4156" s="253">
        <v>44935</v>
      </c>
      <c r="W4156" s="17" t="s">
        <v>44</v>
      </c>
      <c r="X4156" s="17"/>
      <c r="Y4156" s="68">
        <v>45283</v>
      </c>
      <c r="Z4156" s="17" t="s">
        <v>191</v>
      </c>
      <c r="AA4156" s="17" t="s">
        <v>46</v>
      </c>
      <c r="AB4156" s="17" t="s">
        <v>1237</v>
      </c>
      <c r="AC4156" s="217">
        <v>45627</v>
      </c>
      <c r="AD4156" s="65">
        <v>1516</v>
      </c>
      <c r="AE4156" s="17" t="s">
        <v>48</v>
      </c>
      <c r="AF4156" s="17"/>
      <c r="AG4156" s="17"/>
      <c r="AH4156" s="17"/>
      <c r="AI4156" s="17"/>
      <c r="AJ4156" s="17"/>
      <c r="AK4156" s="17"/>
      <c r="AL4156" s="17"/>
      <c r="AM4156" s="17"/>
      <c r="AN4156" s="17"/>
      <c r="AO4156" s="17"/>
      <c r="AP4156" s="17"/>
      <c r="AQ4156" s="17"/>
      <c r="AR4156" s="17"/>
    </row>
    <row r="4157" s="20" customFormat="1" hidden="1" spans="1:44">
      <c r="A4157" s="17" t="s">
        <v>34</v>
      </c>
      <c r="B4157" s="19">
        <v>938</v>
      </c>
      <c r="C4157" s="183">
        <v>45168</v>
      </c>
      <c r="D4157" s="17" t="s">
        <v>52</v>
      </c>
      <c r="E4157" s="17" t="s">
        <v>1113</v>
      </c>
      <c r="F4157" s="17" t="s">
        <v>54</v>
      </c>
      <c r="G4157" s="17"/>
      <c r="H4157" s="19" t="s">
        <v>1114</v>
      </c>
      <c r="I4157" s="19"/>
      <c r="J4157" s="17" t="s">
        <v>82</v>
      </c>
      <c r="K4157" s="19">
        <v>280</v>
      </c>
      <c r="L4157" s="19">
        <v>40</v>
      </c>
      <c r="M4157" s="19">
        <v>2200</v>
      </c>
      <c r="N4157" s="19" t="s">
        <v>66</v>
      </c>
      <c r="O4157" s="19" t="s">
        <v>141</v>
      </c>
      <c r="P4157" s="99"/>
      <c r="Q4157" s="19">
        <v>204</v>
      </c>
      <c r="R4157" s="99">
        <f>+P4156-Q4156-Q4157</f>
        <v>188</v>
      </c>
      <c r="S4157" s="19">
        <f t="shared" si="199"/>
        <v>1070</v>
      </c>
      <c r="T4157" s="19" t="s">
        <v>42</v>
      </c>
      <c r="U4157" s="102" t="s">
        <v>1286</v>
      </c>
      <c r="V4157" s="253">
        <v>44935</v>
      </c>
      <c r="W4157" s="17" t="s">
        <v>44</v>
      </c>
      <c r="X4157" s="17"/>
      <c r="Y4157" s="68">
        <v>45283</v>
      </c>
      <c r="Z4157" s="17" t="s">
        <v>191</v>
      </c>
      <c r="AA4157" s="17" t="s">
        <v>46</v>
      </c>
      <c r="AB4157" s="17" t="s">
        <v>1250</v>
      </c>
      <c r="AC4157" s="217">
        <v>45351</v>
      </c>
      <c r="AD4157" s="65">
        <v>1533</v>
      </c>
      <c r="AE4157" s="17" t="s">
        <v>48</v>
      </c>
      <c r="AF4157" s="17"/>
      <c r="AG4157" s="17"/>
      <c r="AH4157" s="17"/>
      <c r="AI4157" s="17"/>
      <c r="AJ4157" s="17"/>
      <c r="AK4157" s="17"/>
      <c r="AL4157" s="17"/>
      <c r="AM4157" s="17"/>
      <c r="AN4157" s="17"/>
      <c r="AO4157" s="17"/>
      <c r="AP4157" s="17"/>
      <c r="AQ4157" s="17"/>
      <c r="AR4157" s="17"/>
    </row>
    <row r="4158" s="20" customFormat="1" hidden="1" spans="1:44">
      <c r="A4158" s="17" t="s">
        <v>34</v>
      </c>
      <c r="B4158" s="19">
        <v>938</v>
      </c>
      <c r="C4158" s="183">
        <v>45168</v>
      </c>
      <c r="D4158" s="17" t="s">
        <v>52</v>
      </c>
      <c r="E4158" s="17" t="s">
        <v>1113</v>
      </c>
      <c r="F4158" s="17" t="s">
        <v>54</v>
      </c>
      <c r="G4158" s="17"/>
      <c r="H4158" s="19" t="s">
        <v>1114</v>
      </c>
      <c r="I4158" s="19"/>
      <c r="J4158" s="17" t="s">
        <v>82</v>
      </c>
      <c r="K4158" s="19">
        <v>305</v>
      </c>
      <c r="L4158" s="19">
        <v>40</v>
      </c>
      <c r="M4158" s="19">
        <v>2200</v>
      </c>
      <c r="N4158" s="19" t="s">
        <v>66</v>
      </c>
      <c r="O4158" s="19" t="s">
        <v>141</v>
      </c>
      <c r="P4158" s="99">
        <v>3463</v>
      </c>
      <c r="Q4158" s="19">
        <v>3576</v>
      </c>
      <c r="R4158" s="19">
        <f t="shared" ref="R4158:R4165" si="200">+P4158-Q4158</f>
        <v>-113</v>
      </c>
      <c r="S4158" s="19">
        <f t="shared" si="199"/>
        <v>1070</v>
      </c>
      <c r="T4158" s="19" t="s">
        <v>42</v>
      </c>
      <c r="U4158" s="102" t="s">
        <v>1286</v>
      </c>
      <c r="V4158" s="253">
        <v>44935</v>
      </c>
      <c r="W4158" s="17" t="s">
        <v>44</v>
      </c>
      <c r="X4158" s="17"/>
      <c r="Y4158" s="68">
        <v>45283</v>
      </c>
      <c r="Z4158" s="17" t="s">
        <v>191</v>
      </c>
      <c r="AA4158" s="17" t="s">
        <v>46</v>
      </c>
      <c r="AB4158" s="17" t="s">
        <v>1251</v>
      </c>
      <c r="AC4158" s="217">
        <v>45566</v>
      </c>
      <c r="AD4158" s="65">
        <v>1515</v>
      </c>
      <c r="AE4158" s="17" t="s">
        <v>1289</v>
      </c>
      <c r="AF4158" s="17"/>
      <c r="AG4158" s="17"/>
      <c r="AH4158" s="17"/>
      <c r="AI4158" s="17"/>
      <c r="AJ4158" s="17"/>
      <c r="AK4158" s="17"/>
      <c r="AL4158" s="17"/>
      <c r="AM4158" s="17"/>
      <c r="AN4158" s="17"/>
      <c r="AO4158" s="17"/>
      <c r="AP4158" s="17"/>
      <c r="AQ4158" s="17"/>
      <c r="AR4158" s="17"/>
    </row>
    <row r="4159" s="20" customFormat="1" hidden="1" spans="1:44">
      <c r="A4159" s="17" t="s">
        <v>34</v>
      </c>
      <c r="B4159" s="19">
        <v>938</v>
      </c>
      <c r="C4159" s="183">
        <v>45168</v>
      </c>
      <c r="D4159" s="17" t="s">
        <v>52</v>
      </c>
      <c r="E4159" s="17" t="s">
        <v>1113</v>
      </c>
      <c r="F4159" s="17" t="s">
        <v>54</v>
      </c>
      <c r="G4159" s="17"/>
      <c r="H4159" s="19" t="s">
        <v>1114</v>
      </c>
      <c r="I4159" s="19"/>
      <c r="J4159" s="17" t="s">
        <v>82</v>
      </c>
      <c r="K4159" s="19">
        <v>355</v>
      </c>
      <c r="L4159" s="19">
        <v>40</v>
      </c>
      <c r="M4159" s="19">
        <v>2200</v>
      </c>
      <c r="N4159" s="19" t="s">
        <v>66</v>
      </c>
      <c r="O4159" s="19" t="s">
        <v>141</v>
      </c>
      <c r="P4159" s="99">
        <v>3527</v>
      </c>
      <c r="Q4159" s="19">
        <v>3629</v>
      </c>
      <c r="R4159" s="19">
        <f t="shared" si="200"/>
        <v>-102</v>
      </c>
      <c r="S4159" s="19">
        <f t="shared" si="199"/>
        <v>1070</v>
      </c>
      <c r="T4159" s="19" t="s">
        <v>42</v>
      </c>
      <c r="U4159" s="102" t="s">
        <v>1286</v>
      </c>
      <c r="V4159" s="253">
        <v>44935</v>
      </c>
      <c r="W4159" s="17" t="s">
        <v>44</v>
      </c>
      <c r="X4159" s="17"/>
      <c r="Y4159" s="68">
        <v>45283</v>
      </c>
      <c r="Z4159" s="17" t="s">
        <v>191</v>
      </c>
      <c r="AA4159" s="17" t="s">
        <v>46</v>
      </c>
      <c r="AB4159" s="17" t="s">
        <v>1236</v>
      </c>
      <c r="AC4159" s="66">
        <v>45288</v>
      </c>
      <c r="AD4159" s="65">
        <v>1511</v>
      </c>
      <c r="AE4159" s="17" t="s">
        <v>1289</v>
      </c>
      <c r="AF4159" s="17"/>
      <c r="AG4159" s="17"/>
      <c r="AH4159" s="17"/>
      <c r="AI4159" s="17"/>
      <c r="AJ4159" s="17"/>
      <c r="AK4159" s="17"/>
      <c r="AL4159" s="17"/>
      <c r="AM4159" s="17"/>
      <c r="AN4159" s="17"/>
      <c r="AO4159" s="17"/>
      <c r="AP4159" s="17"/>
      <c r="AQ4159" s="17"/>
      <c r="AR4159" s="17"/>
    </row>
    <row r="4160" s="20" customFormat="1" hidden="1" spans="1:44">
      <c r="A4160" s="17" t="s">
        <v>34</v>
      </c>
      <c r="B4160" s="19">
        <v>938</v>
      </c>
      <c r="C4160" s="183">
        <v>45168</v>
      </c>
      <c r="D4160" s="17" t="s">
        <v>52</v>
      </c>
      <c r="E4160" s="17" t="s">
        <v>1113</v>
      </c>
      <c r="F4160" s="17" t="s">
        <v>54</v>
      </c>
      <c r="G4160" s="17"/>
      <c r="H4160" s="19" t="s">
        <v>1114</v>
      </c>
      <c r="I4160" s="19"/>
      <c r="J4160" s="17" t="s">
        <v>82</v>
      </c>
      <c r="K4160" s="19">
        <v>405</v>
      </c>
      <c r="L4160" s="98">
        <v>40</v>
      </c>
      <c r="M4160" s="19">
        <v>2200</v>
      </c>
      <c r="N4160" s="19" t="s">
        <v>66</v>
      </c>
      <c r="O4160" s="19" t="s">
        <v>141</v>
      </c>
      <c r="P4160" s="99">
        <v>2587</v>
      </c>
      <c r="Q4160" s="19">
        <v>2668</v>
      </c>
      <c r="R4160" s="19">
        <f t="shared" si="200"/>
        <v>-81</v>
      </c>
      <c r="S4160" s="19">
        <f t="shared" si="199"/>
        <v>1070</v>
      </c>
      <c r="T4160" s="19" t="s">
        <v>42</v>
      </c>
      <c r="U4160" s="102" t="s">
        <v>1286</v>
      </c>
      <c r="V4160" s="253">
        <v>44935</v>
      </c>
      <c r="W4160" s="17" t="s">
        <v>44</v>
      </c>
      <c r="X4160" s="17"/>
      <c r="Y4160" s="68">
        <v>45283</v>
      </c>
      <c r="Z4160" s="17" t="s">
        <v>191</v>
      </c>
      <c r="AA4160" s="17" t="s">
        <v>46</v>
      </c>
      <c r="AB4160" s="17" t="s">
        <v>1236</v>
      </c>
      <c r="AC4160" s="66">
        <v>45288</v>
      </c>
      <c r="AD4160" s="65">
        <v>1511</v>
      </c>
      <c r="AE4160" s="17" t="s">
        <v>1178</v>
      </c>
      <c r="AF4160" s="17"/>
      <c r="AG4160" s="17"/>
      <c r="AH4160" s="17"/>
      <c r="AI4160" s="17"/>
      <c r="AJ4160" s="17"/>
      <c r="AK4160" s="17"/>
      <c r="AL4160" s="17"/>
      <c r="AM4160" s="17"/>
      <c r="AN4160" s="17"/>
      <c r="AO4160" s="17"/>
      <c r="AP4160" s="17"/>
      <c r="AQ4160" s="17"/>
      <c r="AR4160" s="17"/>
    </row>
    <row r="4161" s="20" customFormat="1" hidden="1" spans="1:44">
      <c r="A4161" s="17" t="s">
        <v>34</v>
      </c>
      <c r="B4161" s="19">
        <v>938</v>
      </c>
      <c r="C4161" s="183">
        <v>45168</v>
      </c>
      <c r="D4161" s="17" t="s">
        <v>52</v>
      </c>
      <c r="E4161" s="17" t="s">
        <v>1113</v>
      </c>
      <c r="F4161" s="17" t="s">
        <v>54</v>
      </c>
      <c r="G4161" s="17"/>
      <c r="H4161" s="19" t="s">
        <v>1114</v>
      </c>
      <c r="I4161" s="19"/>
      <c r="J4161" s="17" t="s">
        <v>82</v>
      </c>
      <c r="K4161" s="19">
        <v>455</v>
      </c>
      <c r="L4161" s="98">
        <v>40</v>
      </c>
      <c r="M4161" s="19">
        <v>2200</v>
      </c>
      <c r="N4161" s="19" t="s">
        <v>66</v>
      </c>
      <c r="O4161" s="19" t="s">
        <v>141</v>
      </c>
      <c r="P4161" s="99">
        <v>1937</v>
      </c>
      <c r="Q4161" s="19">
        <v>2000</v>
      </c>
      <c r="R4161" s="19">
        <f t="shared" si="200"/>
        <v>-63</v>
      </c>
      <c r="S4161" s="19">
        <f t="shared" si="199"/>
        <v>1070</v>
      </c>
      <c r="T4161" s="19" t="s">
        <v>42</v>
      </c>
      <c r="U4161" s="102" t="s">
        <v>1286</v>
      </c>
      <c r="V4161" s="253">
        <v>44935</v>
      </c>
      <c r="W4161" s="17" t="s">
        <v>44</v>
      </c>
      <c r="X4161" s="17"/>
      <c r="Y4161" s="68">
        <v>45283</v>
      </c>
      <c r="Z4161" s="17" t="s">
        <v>191</v>
      </c>
      <c r="AA4161" s="17" t="s">
        <v>46</v>
      </c>
      <c r="AB4161" s="17" t="s">
        <v>1236</v>
      </c>
      <c r="AC4161" s="66">
        <v>45288</v>
      </c>
      <c r="AD4161" s="65">
        <v>1511</v>
      </c>
      <c r="AE4161" s="17" t="s">
        <v>74</v>
      </c>
      <c r="AF4161" s="17"/>
      <c r="AG4161" s="17"/>
      <c r="AH4161" s="17"/>
      <c r="AI4161" s="17"/>
      <c r="AJ4161" s="17"/>
      <c r="AK4161" s="17"/>
      <c r="AL4161" s="17"/>
      <c r="AM4161" s="17"/>
      <c r="AN4161" s="17"/>
      <c r="AO4161" s="17"/>
      <c r="AP4161" s="17"/>
      <c r="AQ4161" s="17"/>
      <c r="AR4161" s="17"/>
    </row>
    <row r="4162" s="20" customFormat="1" hidden="1" spans="1:44">
      <c r="A4162" s="17" t="s">
        <v>34</v>
      </c>
      <c r="B4162" s="19">
        <v>938</v>
      </c>
      <c r="C4162" s="183">
        <v>45168</v>
      </c>
      <c r="D4162" s="17" t="s">
        <v>52</v>
      </c>
      <c r="E4162" s="17" t="s">
        <v>1113</v>
      </c>
      <c r="F4162" s="17" t="s">
        <v>54</v>
      </c>
      <c r="G4162" s="17"/>
      <c r="H4162" s="19" t="s">
        <v>1114</v>
      </c>
      <c r="I4162" s="19"/>
      <c r="J4162" s="17" t="s">
        <v>82</v>
      </c>
      <c r="K4162" s="19">
        <v>505</v>
      </c>
      <c r="L4162" s="98">
        <v>40</v>
      </c>
      <c r="M4162" s="19">
        <v>2200</v>
      </c>
      <c r="N4162" s="19" t="s">
        <v>66</v>
      </c>
      <c r="O4162" s="19" t="s">
        <v>141</v>
      </c>
      <c r="P4162" s="99">
        <v>2150</v>
      </c>
      <c r="Q4162" s="19">
        <v>2155</v>
      </c>
      <c r="R4162" s="19">
        <f t="shared" si="200"/>
        <v>-5</v>
      </c>
      <c r="S4162" s="19">
        <f t="shared" si="199"/>
        <v>1070</v>
      </c>
      <c r="T4162" s="19" t="s">
        <v>42</v>
      </c>
      <c r="U4162" s="102" t="s">
        <v>1286</v>
      </c>
      <c r="V4162" s="253">
        <v>44935</v>
      </c>
      <c r="W4162" s="17" t="s">
        <v>44</v>
      </c>
      <c r="X4162" s="17"/>
      <c r="Y4162" s="68">
        <v>45283</v>
      </c>
      <c r="Z4162" s="17" t="s">
        <v>191</v>
      </c>
      <c r="AA4162" s="17" t="s">
        <v>46</v>
      </c>
      <c r="AB4162" s="17" t="s">
        <v>1253</v>
      </c>
      <c r="AC4162" s="66">
        <v>45307</v>
      </c>
      <c r="AD4162" s="65">
        <v>1520</v>
      </c>
      <c r="AE4162" s="17" t="s">
        <v>74</v>
      </c>
      <c r="AF4162" s="17"/>
      <c r="AG4162" s="17"/>
      <c r="AH4162" s="17"/>
      <c r="AI4162" s="17"/>
      <c r="AJ4162" s="17"/>
      <c r="AK4162" s="17"/>
      <c r="AL4162" s="17"/>
      <c r="AM4162" s="17"/>
      <c r="AN4162" s="17"/>
      <c r="AO4162" s="17"/>
      <c r="AP4162" s="17"/>
      <c r="AQ4162" s="17"/>
      <c r="AR4162" s="17"/>
    </row>
    <row r="4163" s="20" customFormat="1" hidden="1" spans="1:44">
      <c r="A4163" s="17" t="s">
        <v>34</v>
      </c>
      <c r="B4163" s="19">
        <v>938</v>
      </c>
      <c r="C4163" s="183">
        <v>45168</v>
      </c>
      <c r="D4163" s="17" t="s">
        <v>52</v>
      </c>
      <c r="E4163" s="17" t="s">
        <v>1113</v>
      </c>
      <c r="F4163" s="17" t="s">
        <v>54</v>
      </c>
      <c r="G4163" s="17"/>
      <c r="H4163" s="19" t="s">
        <v>1114</v>
      </c>
      <c r="I4163" s="19"/>
      <c r="J4163" s="17" t="s">
        <v>82</v>
      </c>
      <c r="K4163" s="19">
        <v>555</v>
      </c>
      <c r="L4163" s="19">
        <v>40</v>
      </c>
      <c r="M4163" s="19">
        <v>2200</v>
      </c>
      <c r="N4163" s="19" t="s">
        <v>66</v>
      </c>
      <c r="O4163" s="19" t="s">
        <v>141</v>
      </c>
      <c r="P4163" s="99">
        <v>1969</v>
      </c>
      <c r="Q4163" s="19">
        <f>1180+787</f>
        <v>1967</v>
      </c>
      <c r="R4163" s="19">
        <f t="shared" si="200"/>
        <v>2</v>
      </c>
      <c r="S4163" s="19">
        <f t="shared" si="199"/>
        <v>1070</v>
      </c>
      <c r="T4163" s="19" t="s">
        <v>42</v>
      </c>
      <c r="U4163" s="102" t="s">
        <v>1286</v>
      </c>
      <c r="V4163" s="253">
        <v>44935</v>
      </c>
      <c r="W4163" s="17" t="s">
        <v>44</v>
      </c>
      <c r="X4163" s="17"/>
      <c r="Y4163" s="68">
        <v>45283</v>
      </c>
      <c r="Z4163" s="17" t="s">
        <v>191</v>
      </c>
      <c r="AA4163" s="17" t="s">
        <v>46</v>
      </c>
      <c r="AB4163" s="17" t="s">
        <v>1253</v>
      </c>
      <c r="AC4163" s="66">
        <v>45307</v>
      </c>
      <c r="AD4163" s="65">
        <v>1520</v>
      </c>
      <c r="AE4163" s="17" t="s">
        <v>74</v>
      </c>
      <c r="AF4163" s="17"/>
      <c r="AG4163" s="17"/>
      <c r="AH4163" s="17"/>
      <c r="AI4163" s="17"/>
      <c r="AJ4163" s="17"/>
      <c r="AK4163" s="17"/>
      <c r="AL4163" s="17"/>
      <c r="AM4163" s="17"/>
      <c r="AN4163" s="17"/>
      <c r="AO4163" s="17"/>
      <c r="AP4163" s="17"/>
      <c r="AQ4163" s="17"/>
      <c r="AR4163" s="17"/>
    </row>
    <row r="4164" s="20" customFormat="1" hidden="1" spans="1:44">
      <c r="A4164" s="17" t="s">
        <v>34</v>
      </c>
      <c r="B4164" s="19">
        <v>938</v>
      </c>
      <c r="C4164" s="183">
        <v>45168</v>
      </c>
      <c r="D4164" s="17" t="s">
        <v>52</v>
      </c>
      <c r="E4164" s="17" t="s">
        <v>1113</v>
      </c>
      <c r="F4164" s="17" t="s">
        <v>54</v>
      </c>
      <c r="G4164" s="17"/>
      <c r="H4164" s="19" t="s">
        <v>1114</v>
      </c>
      <c r="I4164" s="19"/>
      <c r="J4164" s="17" t="s">
        <v>82</v>
      </c>
      <c r="K4164" s="19">
        <v>605</v>
      </c>
      <c r="L4164" s="19">
        <v>40</v>
      </c>
      <c r="M4164" s="19">
        <v>2200</v>
      </c>
      <c r="N4164" s="19" t="s">
        <v>66</v>
      </c>
      <c r="O4164" s="19" t="s">
        <v>141</v>
      </c>
      <c r="P4164" s="99">
        <v>2147</v>
      </c>
      <c r="Q4164" s="19">
        <f>429+427+427+428+427</f>
        <v>2138</v>
      </c>
      <c r="R4164" s="19">
        <f t="shared" si="200"/>
        <v>9</v>
      </c>
      <c r="S4164" s="19">
        <f t="shared" si="199"/>
        <v>1070</v>
      </c>
      <c r="T4164" s="19" t="s">
        <v>42</v>
      </c>
      <c r="U4164" s="102" t="s">
        <v>1286</v>
      </c>
      <c r="V4164" s="253">
        <v>44935</v>
      </c>
      <c r="W4164" s="17" t="s">
        <v>44</v>
      </c>
      <c r="X4164" s="17"/>
      <c r="Y4164" s="68">
        <v>45283</v>
      </c>
      <c r="Z4164" s="17" t="s">
        <v>191</v>
      </c>
      <c r="AA4164" s="17" t="s">
        <v>46</v>
      </c>
      <c r="AB4164" s="17" t="s">
        <v>1285</v>
      </c>
      <c r="AC4164" s="66">
        <v>45315</v>
      </c>
      <c r="AD4164" s="65">
        <v>1521</v>
      </c>
      <c r="AE4164" s="17" t="s">
        <v>74</v>
      </c>
      <c r="AF4164" s="17"/>
      <c r="AG4164" s="17"/>
      <c r="AH4164" s="17"/>
      <c r="AI4164" s="17"/>
      <c r="AJ4164" s="17"/>
      <c r="AK4164" s="17"/>
      <c r="AL4164" s="17"/>
      <c r="AM4164" s="17"/>
      <c r="AN4164" s="17"/>
      <c r="AO4164" s="17"/>
      <c r="AP4164" s="17"/>
      <c r="AQ4164" s="17"/>
      <c r="AR4164" s="17"/>
    </row>
    <row r="4165" s="21" customFormat="1" hidden="1" spans="1:44">
      <c r="A4165" s="17" t="s">
        <v>34</v>
      </c>
      <c r="B4165" s="19">
        <v>938</v>
      </c>
      <c r="C4165" s="183">
        <v>45168</v>
      </c>
      <c r="D4165" s="17" t="s">
        <v>52</v>
      </c>
      <c r="E4165" s="17" t="s">
        <v>1113</v>
      </c>
      <c r="F4165" s="17" t="s">
        <v>54</v>
      </c>
      <c r="G4165" s="17"/>
      <c r="H4165" s="19" t="s">
        <v>1114</v>
      </c>
      <c r="I4165" s="19"/>
      <c r="J4165" s="17" t="s">
        <v>82</v>
      </c>
      <c r="K4165" s="19">
        <v>1100</v>
      </c>
      <c r="L4165" s="19">
        <v>40</v>
      </c>
      <c r="M4165" s="19">
        <v>2200</v>
      </c>
      <c r="N4165" s="19" t="s">
        <v>66</v>
      </c>
      <c r="O4165" s="19" t="s">
        <v>141</v>
      </c>
      <c r="P4165" s="99">
        <v>3122</v>
      </c>
      <c r="Q4165" s="19">
        <v>0</v>
      </c>
      <c r="R4165" s="19">
        <f t="shared" si="200"/>
        <v>3122</v>
      </c>
      <c r="S4165" s="19">
        <f>1100-40</f>
        <v>1060</v>
      </c>
      <c r="T4165" s="19" t="s">
        <v>42</v>
      </c>
      <c r="U4165" s="102" t="s">
        <v>1286</v>
      </c>
      <c r="V4165" s="253">
        <v>44935</v>
      </c>
      <c r="W4165" s="17" t="s">
        <v>44</v>
      </c>
      <c r="X4165" s="17"/>
      <c r="Y4165" s="68">
        <v>45283</v>
      </c>
      <c r="Z4165" s="17" t="s">
        <v>191</v>
      </c>
      <c r="AA4165" s="17" t="s">
        <v>46</v>
      </c>
      <c r="AB4165" s="17"/>
      <c r="AC4165" s="102"/>
      <c r="AD4165" s="65"/>
      <c r="AE4165" s="17" t="s">
        <v>74</v>
      </c>
      <c r="AF4165" s="17"/>
      <c r="AG4165" s="17" t="s">
        <v>1290</v>
      </c>
      <c r="AH4165" s="17"/>
      <c r="AI4165" s="17"/>
      <c r="AJ4165" s="17"/>
      <c r="AK4165" s="17"/>
      <c r="AL4165" s="17"/>
      <c r="AM4165" s="17"/>
      <c r="AN4165" s="17"/>
      <c r="AO4165" s="17"/>
      <c r="AP4165" s="17"/>
      <c r="AQ4165" s="17"/>
      <c r="AR4165" s="17"/>
    </row>
    <row r="4166" s="20" customFormat="1" hidden="1" spans="1:44">
      <c r="A4166" s="17" t="s">
        <v>34</v>
      </c>
      <c r="B4166" s="19">
        <v>938</v>
      </c>
      <c r="C4166" s="183">
        <v>45168</v>
      </c>
      <c r="D4166" s="17" t="s">
        <v>52</v>
      </c>
      <c r="E4166" s="17" t="s">
        <v>1113</v>
      </c>
      <c r="F4166" s="17" t="s">
        <v>54</v>
      </c>
      <c r="G4166" s="17"/>
      <c r="H4166" s="19" t="s">
        <v>1114</v>
      </c>
      <c r="I4166" s="19"/>
      <c r="J4166" s="17" t="s">
        <v>82</v>
      </c>
      <c r="K4166" s="19">
        <v>205</v>
      </c>
      <c r="L4166" s="19">
        <v>50</v>
      </c>
      <c r="M4166" s="19">
        <v>2200</v>
      </c>
      <c r="N4166" s="19" t="s">
        <v>66</v>
      </c>
      <c r="O4166" s="19" t="s">
        <v>141</v>
      </c>
      <c r="P4166" s="99">
        <v>2910</v>
      </c>
      <c r="Q4166" s="19">
        <v>1519</v>
      </c>
      <c r="R4166" s="17"/>
      <c r="S4166" s="19">
        <f>1110-40</f>
        <v>1070</v>
      </c>
      <c r="T4166" s="19" t="s">
        <v>42</v>
      </c>
      <c r="U4166" s="102" t="s">
        <v>1286</v>
      </c>
      <c r="V4166" s="253">
        <v>44935</v>
      </c>
      <c r="W4166" s="17" t="s">
        <v>44</v>
      </c>
      <c r="X4166" s="17"/>
      <c r="Y4166" s="68">
        <v>45283</v>
      </c>
      <c r="Z4166" s="17" t="s">
        <v>191</v>
      </c>
      <c r="AA4166" s="17" t="s">
        <v>46</v>
      </c>
      <c r="AB4166" s="17" t="s">
        <v>1251</v>
      </c>
      <c r="AC4166" s="217">
        <v>45566</v>
      </c>
      <c r="AD4166" s="65">
        <v>1515</v>
      </c>
      <c r="AE4166" s="17" t="s">
        <v>1287</v>
      </c>
      <c r="AF4166" s="17"/>
      <c r="AG4166" s="17"/>
      <c r="AH4166" s="17"/>
      <c r="AI4166" s="17"/>
      <c r="AJ4166" s="17"/>
      <c r="AK4166" s="17"/>
      <c r="AL4166" s="17"/>
      <c r="AM4166" s="17"/>
      <c r="AN4166" s="17"/>
      <c r="AO4166" s="17"/>
      <c r="AP4166" s="17"/>
      <c r="AQ4166" s="17"/>
      <c r="AR4166" s="17"/>
    </row>
    <row r="4167" s="20" customFormat="1" hidden="1" spans="1:44">
      <c r="A4167" s="17" t="s">
        <v>34</v>
      </c>
      <c r="B4167" s="19">
        <v>938</v>
      </c>
      <c r="C4167" s="183">
        <v>45168</v>
      </c>
      <c r="D4167" s="17" t="s">
        <v>52</v>
      </c>
      <c r="E4167" s="17" t="s">
        <v>1113</v>
      </c>
      <c r="F4167" s="17" t="s">
        <v>54</v>
      </c>
      <c r="G4167" s="17"/>
      <c r="H4167" s="19" t="s">
        <v>1114</v>
      </c>
      <c r="I4167" s="19"/>
      <c r="J4167" s="17" t="s">
        <v>82</v>
      </c>
      <c r="K4167" s="19">
        <v>205</v>
      </c>
      <c r="L4167" s="19">
        <v>50</v>
      </c>
      <c r="M4167" s="19">
        <v>2200</v>
      </c>
      <c r="N4167" s="19" t="s">
        <v>66</v>
      </c>
      <c r="O4167" s="19" t="s">
        <v>141</v>
      </c>
      <c r="P4167" s="99"/>
      <c r="Q4167" s="19">
        <f>189+188+190</f>
        <v>567</v>
      </c>
      <c r="R4167" s="21"/>
      <c r="S4167" s="19">
        <f>1110-40</f>
        <v>1070</v>
      </c>
      <c r="T4167" s="19" t="s">
        <v>42</v>
      </c>
      <c r="U4167" s="102" t="s">
        <v>1286</v>
      </c>
      <c r="V4167" s="253">
        <v>44935</v>
      </c>
      <c r="W4167" s="17" t="s">
        <v>44</v>
      </c>
      <c r="X4167" s="17"/>
      <c r="Y4167" s="68">
        <v>45283</v>
      </c>
      <c r="Z4167" s="17" t="s">
        <v>191</v>
      </c>
      <c r="AA4167" s="17" t="s">
        <v>46</v>
      </c>
      <c r="AB4167" s="17" t="s">
        <v>1256</v>
      </c>
      <c r="AC4167" s="66">
        <v>45322</v>
      </c>
      <c r="AD4167" s="65">
        <v>1522</v>
      </c>
      <c r="AE4167" s="17" t="s">
        <v>1287</v>
      </c>
      <c r="AF4167" s="17"/>
      <c r="AG4167" s="17"/>
      <c r="AH4167" s="17"/>
      <c r="AI4167" s="17"/>
      <c r="AJ4167" s="17"/>
      <c r="AK4167" s="17"/>
      <c r="AL4167" s="17"/>
      <c r="AM4167" s="17"/>
      <c r="AN4167" s="17"/>
      <c r="AO4167" s="17"/>
      <c r="AP4167" s="17"/>
      <c r="AQ4167" s="17"/>
      <c r="AR4167" s="17"/>
    </row>
    <row r="4168" s="20" customFormat="1" hidden="1" spans="1:44">
      <c r="A4168" s="17" t="s">
        <v>34</v>
      </c>
      <c r="B4168" s="19">
        <v>938</v>
      </c>
      <c r="C4168" s="183">
        <v>45168</v>
      </c>
      <c r="D4168" s="17" t="s">
        <v>52</v>
      </c>
      <c r="E4168" s="17" t="s">
        <v>1113</v>
      </c>
      <c r="F4168" s="17" t="s">
        <v>54</v>
      </c>
      <c r="G4168" s="17"/>
      <c r="H4168" s="19" t="s">
        <v>1114</v>
      </c>
      <c r="I4168" s="19"/>
      <c r="J4168" s="17" t="s">
        <v>82</v>
      </c>
      <c r="K4168" s="19">
        <v>205</v>
      </c>
      <c r="L4168" s="19">
        <v>50</v>
      </c>
      <c r="M4168" s="19">
        <v>2200</v>
      </c>
      <c r="N4168" s="19" t="s">
        <v>66</v>
      </c>
      <c r="O4168" s="19" t="s">
        <v>141</v>
      </c>
      <c r="P4168" s="99"/>
      <c r="Q4168" s="19">
        <f>751+186</f>
        <v>937</v>
      </c>
      <c r="R4168" s="99">
        <f>+P4166-Q4166-Q4167-Q4168</f>
        <v>-113</v>
      </c>
      <c r="S4168" s="19">
        <f>1110-40-40</f>
        <v>1030</v>
      </c>
      <c r="T4168" s="19" t="s">
        <v>42</v>
      </c>
      <c r="U4168" s="102" t="s">
        <v>1286</v>
      </c>
      <c r="V4168" s="253">
        <v>44935</v>
      </c>
      <c r="W4168" s="17" t="s">
        <v>44</v>
      </c>
      <c r="X4168" s="17"/>
      <c r="Y4168" s="68">
        <v>45283</v>
      </c>
      <c r="Z4168" s="17" t="s">
        <v>191</v>
      </c>
      <c r="AA4168" s="17" t="s">
        <v>46</v>
      </c>
      <c r="AB4168" s="17" t="s">
        <v>1249</v>
      </c>
      <c r="AC4168" s="217">
        <v>45380</v>
      </c>
      <c r="AD4168" s="65">
        <v>1547</v>
      </c>
      <c r="AE4168" s="17" t="s">
        <v>1287</v>
      </c>
      <c r="AF4168" s="17"/>
      <c r="AG4168" s="17"/>
      <c r="AH4168" s="17"/>
      <c r="AI4168" s="17"/>
      <c r="AJ4168" s="17"/>
      <c r="AK4168" s="17"/>
      <c r="AL4168" s="17"/>
      <c r="AM4168" s="17"/>
      <c r="AN4168" s="17"/>
      <c r="AO4168" s="17"/>
      <c r="AP4168" s="17"/>
      <c r="AQ4168" s="17"/>
      <c r="AR4168" s="17"/>
    </row>
    <row r="4169" s="21" customFormat="1" hidden="1" spans="1:44">
      <c r="A4169" s="17" t="s">
        <v>34</v>
      </c>
      <c r="B4169" s="19">
        <v>938</v>
      </c>
      <c r="C4169" s="183">
        <v>45168</v>
      </c>
      <c r="D4169" s="17" t="s">
        <v>52</v>
      </c>
      <c r="E4169" s="17" t="s">
        <v>1113</v>
      </c>
      <c r="F4169" s="17" t="s">
        <v>54</v>
      </c>
      <c r="G4169" s="17"/>
      <c r="H4169" s="19" t="s">
        <v>1114</v>
      </c>
      <c r="I4169" s="19"/>
      <c r="J4169" s="17" t="s">
        <v>82</v>
      </c>
      <c r="K4169" s="19">
        <v>230</v>
      </c>
      <c r="L4169" s="19">
        <v>50</v>
      </c>
      <c r="M4169" s="19">
        <v>2200</v>
      </c>
      <c r="N4169" s="19" t="s">
        <v>66</v>
      </c>
      <c r="O4169" s="19" t="s">
        <v>141</v>
      </c>
      <c r="P4169" s="99">
        <v>612</v>
      </c>
      <c r="Q4169" s="19">
        <v>0</v>
      </c>
      <c r="R4169" s="19">
        <f>+P4169-Q4169</f>
        <v>612</v>
      </c>
      <c r="S4169" s="19">
        <f>1110-40</f>
        <v>1070</v>
      </c>
      <c r="T4169" s="19" t="s">
        <v>42</v>
      </c>
      <c r="U4169" s="102" t="s">
        <v>1286</v>
      </c>
      <c r="V4169" s="253">
        <v>44935</v>
      </c>
      <c r="W4169" s="17" t="s">
        <v>44</v>
      </c>
      <c r="X4169" s="17"/>
      <c r="Y4169" s="68">
        <v>45283</v>
      </c>
      <c r="Z4169" s="17" t="s">
        <v>191</v>
      </c>
      <c r="AA4169" s="17" t="s">
        <v>46</v>
      </c>
      <c r="AB4169" s="17"/>
      <c r="AC4169" s="102"/>
      <c r="AD4169" s="65"/>
      <c r="AE4169" s="17" t="s">
        <v>48</v>
      </c>
      <c r="AF4169" s="17"/>
      <c r="AG4169" s="17" t="s">
        <v>1290</v>
      </c>
      <c r="AH4169" s="17"/>
      <c r="AI4169" s="17"/>
      <c r="AJ4169" s="17"/>
      <c r="AK4169" s="17"/>
      <c r="AL4169" s="17"/>
      <c r="AM4169" s="17"/>
      <c r="AN4169" s="17"/>
      <c r="AO4169" s="17"/>
      <c r="AP4169" s="17"/>
      <c r="AQ4169" s="17"/>
      <c r="AR4169" s="17"/>
    </row>
    <row r="4170" s="20" customFormat="1" hidden="1" spans="1:44">
      <c r="A4170" s="17" t="s">
        <v>34</v>
      </c>
      <c r="B4170" s="19">
        <v>938</v>
      </c>
      <c r="C4170" s="183">
        <v>45168</v>
      </c>
      <c r="D4170" s="17" t="s">
        <v>52</v>
      </c>
      <c r="E4170" s="17" t="s">
        <v>1113</v>
      </c>
      <c r="F4170" s="17" t="s">
        <v>54</v>
      </c>
      <c r="G4170" s="17"/>
      <c r="H4170" s="19" t="s">
        <v>1114</v>
      </c>
      <c r="I4170" s="19"/>
      <c r="J4170" s="17" t="s">
        <v>82</v>
      </c>
      <c r="K4170" s="19">
        <v>255</v>
      </c>
      <c r="L4170" s="19">
        <v>50</v>
      </c>
      <c r="M4170" s="19">
        <v>2200</v>
      </c>
      <c r="N4170" s="19" t="s">
        <v>66</v>
      </c>
      <c r="O4170" s="19" t="s">
        <v>141</v>
      </c>
      <c r="P4170" s="99">
        <v>3393</v>
      </c>
      <c r="Q4170" s="19">
        <f>458+1162+1169</f>
        <v>2789</v>
      </c>
      <c r="R4170" s="17"/>
      <c r="S4170" s="19">
        <f>1110-40</f>
        <v>1070</v>
      </c>
      <c r="T4170" s="19" t="s">
        <v>42</v>
      </c>
      <c r="U4170" s="102" t="s">
        <v>1286</v>
      </c>
      <c r="V4170" s="253">
        <v>44935</v>
      </c>
      <c r="W4170" s="17" t="s">
        <v>44</v>
      </c>
      <c r="X4170" s="17"/>
      <c r="Y4170" s="68">
        <v>45283</v>
      </c>
      <c r="Z4170" s="17" t="s">
        <v>191</v>
      </c>
      <c r="AA4170" s="17" t="s">
        <v>46</v>
      </c>
      <c r="AB4170" s="17" t="s">
        <v>1236</v>
      </c>
      <c r="AC4170" s="66">
        <v>45288</v>
      </c>
      <c r="AD4170" s="65">
        <v>1511</v>
      </c>
      <c r="AE4170" s="17" t="s">
        <v>1289</v>
      </c>
      <c r="AF4170" s="17"/>
      <c r="AG4170" s="17"/>
      <c r="AH4170" s="17"/>
      <c r="AI4170" s="17"/>
      <c r="AJ4170" s="17"/>
      <c r="AK4170" s="17"/>
      <c r="AL4170" s="17"/>
      <c r="AM4170" s="17"/>
      <c r="AN4170" s="17"/>
      <c r="AO4170" s="17"/>
      <c r="AP4170" s="17"/>
      <c r="AQ4170" s="17"/>
      <c r="AR4170" s="17"/>
    </row>
    <row r="4171" s="20" customFormat="1" hidden="1" spans="1:44">
      <c r="A4171" s="17" t="s">
        <v>34</v>
      </c>
      <c r="B4171" s="19">
        <v>938</v>
      </c>
      <c r="C4171" s="183">
        <v>45168</v>
      </c>
      <c r="D4171" s="17" t="s">
        <v>52</v>
      </c>
      <c r="E4171" s="17" t="s">
        <v>1113</v>
      </c>
      <c r="F4171" s="17" t="s">
        <v>54</v>
      </c>
      <c r="G4171" s="17"/>
      <c r="H4171" s="19" t="s">
        <v>1114</v>
      </c>
      <c r="I4171" s="19"/>
      <c r="J4171" s="17" t="s">
        <v>82</v>
      </c>
      <c r="K4171" s="19">
        <v>255</v>
      </c>
      <c r="L4171" s="19">
        <v>50</v>
      </c>
      <c r="M4171" s="19">
        <v>2200</v>
      </c>
      <c r="N4171" s="19" t="s">
        <v>66</v>
      </c>
      <c r="O4171" s="19" t="s">
        <v>141</v>
      </c>
      <c r="P4171" s="99"/>
      <c r="Q4171" s="19">
        <f>228+237</f>
        <v>465</v>
      </c>
      <c r="R4171" s="21"/>
      <c r="S4171" s="19">
        <f>1110-40</f>
        <v>1070</v>
      </c>
      <c r="T4171" s="19" t="s">
        <v>42</v>
      </c>
      <c r="U4171" s="102" t="s">
        <v>1286</v>
      </c>
      <c r="V4171" s="253">
        <v>44935</v>
      </c>
      <c r="W4171" s="17" t="s">
        <v>44</v>
      </c>
      <c r="X4171" s="17"/>
      <c r="Y4171" s="68">
        <v>45283</v>
      </c>
      <c r="Z4171" s="17" t="s">
        <v>191</v>
      </c>
      <c r="AA4171" s="17" t="s">
        <v>46</v>
      </c>
      <c r="AB4171" s="17" t="s">
        <v>1256</v>
      </c>
      <c r="AC4171" s="66">
        <v>45322</v>
      </c>
      <c r="AD4171" s="65">
        <v>1522</v>
      </c>
      <c r="AE4171" s="17" t="s">
        <v>1289</v>
      </c>
      <c r="AF4171" s="17"/>
      <c r="AG4171" s="17"/>
      <c r="AH4171" s="17"/>
      <c r="AI4171" s="17"/>
      <c r="AJ4171" s="17"/>
      <c r="AK4171" s="17"/>
      <c r="AL4171" s="17"/>
      <c r="AM4171" s="17"/>
      <c r="AN4171" s="17"/>
      <c r="AO4171" s="17"/>
      <c r="AP4171" s="17"/>
      <c r="AQ4171" s="17"/>
      <c r="AR4171" s="17"/>
    </row>
    <row r="4172" s="20" customFormat="1" hidden="1" spans="1:44">
      <c r="A4172" s="17" t="s">
        <v>34</v>
      </c>
      <c r="B4172" s="19">
        <v>938</v>
      </c>
      <c r="C4172" s="183">
        <v>45168</v>
      </c>
      <c r="D4172" s="17" t="s">
        <v>52</v>
      </c>
      <c r="E4172" s="17" t="s">
        <v>1113</v>
      </c>
      <c r="F4172" s="17" t="s">
        <v>54</v>
      </c>
      <c r="G4172" s="17"/>
      <c r="H4172" s="19" t="s">
        <v>1114</v>
      </c>
      <c r="I4172" s="19"/>
      <c r="J4172" s="17" t="s">
        <v>82</v>
      </c>
      <c r="K4172" s="19">
        <v>255</v>
      </c>
      <c r="L4172" s="19">
        <v>50</v>
      </c>
      <c r="M4172" s="19">
        <v>2200</v>
      </c>
      <c r="N4172" s="19" t="s">
        <v>66</v>
      </c>
      <c r="O4172" s="19" t="s">
        <v>141</v>
      </c>
      <c r="P4172" s="99"/>
      <c r="Q4172" s="19">
        <v>232</v>
      </c>
      <c r="R4172" s="99">
        <f>+P4170-Q4170-Q4171-Q4172</f>
        <v>-93</v>
      </c>
      <c r="S4172" s="19">
        <f>1110-40-40</f>
        <v>1030</v>
      </c>
      <c r="T4172" s="19" t="s">
        <v>42</v>
      </c>
      <c r="U4172" s="102" t="s">
        <v>1286</v>
      </c>
      <c r="V4172" s="253">
        <v>44935</v>
      </c>
      <c r="W4172" s="17" t="s">
        <v>44</v>
      </c>
      <c r="X4172" s="17"/>
      <c r="Y4172" s="68">
        <v>45283</v>
      </c>
      <c r="Z4172" s="17" t="s">
        <v>191</v>
      </c>
      <c r="AA4172" s="17" t="s">
        <v>46</v>
      </c>
      <c r="AB4172" s="17" t="s">
        <v>1249</v>
      </c>
      <c r="AC4172" s="217">
        <v>45380</v>
      </c>
      <c r="AD4172" s="65">
        <v>1547</v>
      </c>
      <c r="AE4172" s="17" t="s">
        <v>1289</v>
      </c>
      <c r="AF4172" s="17"/>
      <c r="AG4172" s="17"/>
      <c r="AH4172" s="17"/>
      <c r="AI4172" s="17"/>
      <c r="AJ4172" s="17"/>
      <c r="AK4172" s="17"/>
      <c r="AL4172" s="17"/>
      <c r="AM4172" s="17"/>
      <c r="AN4172" s="17"/>
      <c r="AO4172" s="17"/>
      <c r="AP4172" s="17"/>
      <c r="AQ4172" s="17"/>
      <c r="AR4172" s="17"/>
    </row>
    <row r="4173" s="21" customFormat="1" hidden="1" spans="1:44">
      <c r="A4173" s="17" t="s">
        <v>34</v>
      </c>
      <c r="B4173" s="19">
        <v>938</v>
      </c>
      <c r="C4173" s="183">
        <v>45168</v>
      </c>
      <c r="D4173" s="17" t="s">
        <v>52</v>
      </c>
      <c r="E4173" s="17" t="s">
        <v>1113</v>
      </c>
      <c r="F4173" s="17" t="s">
        <v>54</v>
      </c>
      <c r="G4173" s="17"/>
      <c r="H4173" s="19" t="s">
        <v>1114</v>
      </c>
      <c r="I4173" s="19"/>
      <c r="J4173" s="17" t="s">
        <v>82</v>
      </c>
      <c r="K4173" s="19">
        <v>280</v>
      </c>
      <c r="L4173" s="19">
        <v>50</v>
      </c>
      <c r="M4173" s="19">
        <v>2200</v>
      </c>
      <c r="N4173" s="19" t="s">
        <v>66</v>
      </c>
      <c r="O4173" s="19" t="s">
        <v>141</v>
      </c>
      <c r="P4173" s="99">
        <v>497</v>
      </c>
      <c r="Q4173" s="19">
        <v>0</v>
      </c>
      <c r="R4173" s="19">
        <f>+P4173-Q4173</f>
        <v>497</v>
      </c>
      <c r="S4173" s="19">
        <f>1110-40</f>
        <v>1070</v>
      </c>
      <c r="T4173" s="19" t="s">
        <v>42</v>
      </c>
      <c r="U4173" s="102" t="s">
        <v>1286</v>
      </c>
      <c r="V4173" s="253">
        <v>44935</v>
      </c>
      <c r="W4173" s="17" t="s">
        <v>44</v>
      </c>
      <c r="X4173" s="17"/>
      <c r="Y4173" s="68">
        <v>45283</v>
      </c>
      <c r="Z4173" s="17" t="s">
        <v>191</v>
      </c>
      <c r="AA4173" s="17" t="s">
        <v>46</v>
      </c>
      <c r="AB4173" s="17"/>
      <c r="AC4173" s="102"/>
      <c r="AD4173" s="65"/>
      <c r="AE4173" s="17" t="s">
        <v>48</v>
      </c>
      <c r="AF4173" s="17"/>
      <c r="AG4173" s="17" t="s">
        <v>1290</v>
      </c>
      <c r="AH4173" s="17"/>
      <c r="AI4173" s="17"/>
      <c r="AJ4173" s="17"/>
      <c r="AK4173" s="17"/>
      <c r="AL4173" s="17"/>
      <c r="AM4173" s="17"/>
      <c r="AN4173" s="17"/>
      <c r="AO4173" s="17"/>
      <c r="AP4173" s="17"/>
      <c r="AQ4173" s="17"/>
      <c r="AR4173" s="17"/>
    </row>
    <row r="4174" s="20" customFormat="1" hidden="1" spans="1:44">
      <c r="A4174" s="17" t="s">
        <v>34</v>
      </c>
      <c r="B4174" s="19">
        <v>938</v>
      </c>
      <c r="C4174" s="183">
        <v>45168</v>
      </c>
      <c r="D4174" s="17" t="s">
        <v>52</v>
      </c>
      <c r="E4174" s="17" t="s">
        <v>1113</v>
      </c>
      <c r="F4174" s="17" t="s">
        <v>54</v>
      </c>
      <c r="G4174" s="17"/>
      <c r="H4174" s="19" t="s">
        <v>1114</v>
      </c>
      <c r="I4174" s="19"/>
      <c r="J4174" s="17" t="s">
        <v>82</v>
      </c>
      <c r="K4174" s="19">
        <v>305</v>
      </c>
      <c r="L4174" s="19">
        <v>50</v>
      </c>
      <c r="M4174" s="19">
        <v>2200</v>
      </c>
      <c r="N4174" s="19" t="s">
        <v>66</v>
      </c>
      <c r="O4174" s="19" t="s">
        <v>141</v>
      </c>
      <c r="P4174" s="99">
        <v>4058</v>
      </c>
      <c r="Q4174" s="19">
        <f>1662+828+833</f>
        <v>3323</v>
      </c>
      <c r="R4174" s="21"/>
      <c r="S4174" s="19">
        <f>1110-40</f>
        <v>1070</v>
      </c>
      <c r="T4174" s="19" t="s">
        <v>42</v>
      </c>
      <c r="U4174" s="102" t="s">
        <v>1286</v>
      </c>
      <c r="V4174" s="253">
        <v>44935</v>
      </c>
      <c r="W4174" s="17" t="s">
        <v>44</v>
      </c>
      <c r="X4174" s="17"/>
      <c r="Y4174" s="68">
        <v>45283</v>
      </c>
      <c r="Z4174" s="17" t="s">
        <v>191</v>
      </c>
      <c r="AA4174" s="17" t="s">
        <v>46</v>
      </c>
      <c r="AB4174" s="17" t="s">
        <v>1236</v>
      </c>
      <c r="AC4174" s="66">
        <v>45288</v>
      </c>
      <c r="AD4174" s="65">
        <v>1511</v>
      </c>
      <c r="AE4174" s="17" t="s">
        <v>1289</v>
      </c>
      <c r="AF4174" s="17"/>
      <c r="AG4174" s="17"/>
      <c r="AH4174" s="17"/>
      <c r="AI4174" s="17"/>
      <c r="AJ4174" s="17"/>
      <c r="AK4174" s="17"/>
      <c r="AL4174" s="17"/>
      <c r="AM4174" s="17"/>
      <c r="AN4174" s="17"/>
      <c r="AO4174" s="17"/>
      <c r="AP4174" s="17"/>
      <c r="AQ4174" s="17"/>
      <c r="AR4174" s="17"/>
    </row>
    <row r="4175" s="20" customFormat="1" hidden="1" spans="1:44">
      <c r="A4175" s="17" t="s">
        <v>34</v>
      </c>
      <c r="B4175" s="19">
        <v>938</v>
      </c>
      <c r="C4175" s="183">
        <v>45168</v>
      </c>
      <c r="D4175" s="17" t="s">
        <v>52</v>
      </c>
      <c r="E4175" s="17" t="s">
        <v>1113</v>
      </c>
      <c r="F4175" s="17" t="s">
        <v>54</v>
      </c>
      <c r="G4175" s="17"/>
      <c r="H4175" s="19" t="s">
        <v>1114</v>
      </c>
      <c r="I4175" s="19"/>
      <c r="J4175" s="17" t="s">
        <v>82</v>
      </c>
      <c r="K4175" s="19">
        <v>305</v>
      </c>
      <c r="L4175" s="19">
        <v>50</v>
      </c>
      <c r="M4175" s="19">
        <v>2200</v>
      </c>
      <c r="N4175" s="19" t="s">
        <v>66</v>
      </c>
      <c r="O4175" s="19" t="s">
        <v>141</v>
      </c>
      <c r="P4175" s="99"/>
      <c r="Q4175" s="19">
        <v>829</v>
      </c>
      <c r="R4175" s="99">
        <f>+P4174-Q4174-Q4175</f>
        <v>-94</v>
      </c>
      <c r="S4175" s="19">
        <f>1110-40-40</f>
        <v>1030</v>
      </c>
      <c r="T4175" s="19" t="s">
        <v>42</v>
      </c>
      <c r="U4175" s="102" t="s">
        <v>1286</v>
      </c>
      <c r="V4175" s="253">
        <v>44935</v>
      </c>
      <c r="W4175" s="17" t="s">
        <v>44</v>
      </c>
      <c r="X4175" s="17"/>
      <c r="Y4175" s="68">
        <v>45283</v>
      </c>
      <c r="Z4175" s="17" t="s">
        <v>191</v>
      </c>
      <c r="AA4175" s="17" t="s">
        <v>46</v>
      </c>
      <c r="AB4175" s="17" t="s">
        <v>1249</v>
      </c>
      <c r="AC4175" s="217">
        <v>45380</v>
      </c>
      <c r="AD4175" s="65">
        <v>1547</v>
      </c>
      <c r="AE4175" s="17" t="s">
        <v>1289</v>
      </c>
      <c r="AF4175" s="17"/>
      <c r="AG4175" s="17"/>
      <c r="AH4175" s="17"/>
      <c r="AI4175" s="17"/>
      <c r="AJ4175" s="17"/>
      <c r="AK4175" s="17"/>
      <c r="AL4175" s="17"/>
      <c r="AM4175" s="17"/>
      <c r="AN4175" s="17"/>
      <c r="AO4175" s="17"/>
      <c r="AP4175" s="17"/>
      <c r="AQ4175" s="17"/>
      <c r="AR4175" s="17"/>
    </row>
    <row r="4176" s="20" customFormat="1" hidden="1" spans="1:44">
      <c r="A4176" s="17" t="s">
        <v>34</v>
      </c>
      <c r="B4176" s="19">
        <v>938</v>
      </c>
      <c r="C4176" s="183">
        <v>45168</v>
      </c>
      <c r="D4176" s="17" t="s">
        <v>52</v>
      </c>
      <c r="E4176" s="17" t="s">
        <v>1113</v>
      </c>
      <c r="F4176" s="17" t="s">
        <v>54</v>
      </c>
      <c r="G4176" s="17"/>
      <c r="H4176" s="19" t="s">
        <v>1114</v>
      </c>
      <c r="I4176" s="19"/>
      <c r="J4176" s="17" t="s">
        <v>82</v>
      </c>
      <c r="K4176" s="19">
        <v>355</v>
      </c>
      <c r="L4176" s="19">
        <v>50</v>
      </c>
      <c r="M4176" s="19">
        <v>2200</v>
      </c>
      <c r="N4176" s="19" t="s">
        <v>66</v>
      </c>
      <c r="O4176" s="19" t="s">
        <v>141</v>
      </c>
      <c r="P4176" s="99">
        <v>3464</v>
      </c>
      <c r="Q4176" s="19">
        <v>969</v>
      </c>
      <c r="R4176" s="17"/>
      <c r="S4176" s="19">
        <f t="shared" ref="S4176:S4181" si="201">1110-40</f>
        <v>1070</v>
      </c>
      <c r="T4176" s="19" t="s">
        <v>42</v>
      </c>
      <c r="U4176" s="102" t="s">
        <v>1286</v>
      </c>
      <c r="V4176" s="253">
        <v>44935</v>
      </c>
      <c r="W4176" s="17" t="s">
        <v>44</v>
      </c>
      <c r="X4176" s="17"/>
      <c r="Y4176" s="68">
        <v>45283</v>
      </c>
      <c r="Z4176" s="17" t="s">
        <v>191</v>
      </c>
      <c r="AA4176" s="17" t="s">
        <v>46</v>
      </c>
      <c r="AB4176" s="17" t="s">
        <v>1251</v>
      </c>
      <c r="AC4176" s="217">
        <v>45566</v>
      </c>
      <c r="AD4176" s="65">
        <v>1515</v>
      </c>
      <c r="AE4176" s="17" t="s">
        <v>1289</v>
      </c>
      <c r="AF4176" s="17"/>
      <c r="AG4176" s="17"/>
      <c r="AH4176" s="17"/>
      <c r="AI4176" s="17"/>
      <c r="AJ4176" s="17"/>
      <c r="AK4176" s="17"/>
      <c r="AL4176" s="17"/>
      <c r="AM4176" s="17"/>
      <c r="AN4176" s="17"/>
      <c r="AO4176" s="17"/>
      <c r="AP4176" s="17"/>
      <c r="AQ4176" s="17"/>
      <c r="AR4176" s="17"/>
    </row>
    <row r="4177" s="20" customFormat="1" hidden="1" spans="1:44">
      <c r="A4177" s="17" t="s">
        <v>34</v>
      </c>
      <c r="B4177" s="19">
        <v>938</v>
      </c>
      <c r="C4177" s="183">
        <v>45168</v>
      </c>
      <c r="D4177" s="17" t="s">
        <v>52</v>
      </c>
      <c r="E4177" s="17" t="s">
        <v>1113</v>
      </c>
      <c r="F4177" s="17" t="s">
        <v>54</v>
      </c>
      <c r="G4177" s="17"/>
      <c r="H4177" s="19" t="s">
        <v>1114</v>
      </c>
      <c r="I4177" s="19"/>
      <c r="J4177" s="17" t="s">
        <v>82</v>
      </c>
      <c r="K4177" s="19">
        <v>355</v>
      </c>
      <c r="L4177" s="19">
        <v>50</v>
      </c>
      <c r="M4177" s="19">
        <v>2200</v>
      </c>
      <c r="N4177" s="19" t="s">
        <v>66</v>
      </c>
      <c r="O4177" s="19" t="s">
        <v>141</v>
      </c>
      <c r="P4177" s="99"/>
      <c r="Q4177" s="19">
        <v>2917</v>
      </c>
      <c r="R4177" s="99">
        <f>+P4176-Q4176-Q4177</f>
        <v>-422</v>
      </c>
      <c r="S4177" s="19">
        <f t="shared" si="201"/>
        <v>1070</v>
      </c>
      <c r="T4177" s="19" t="s">
        <v>42</v>
      </c>
      <c r="U4177" s="102" t="s">
        <v>1286</v>
      </c>
      <c r="V4177" s="253">
        <v>44935</v>
      </c>
      <c r="W4177" s="17" t="s">
        <v>44</v>
      </c>
      <c r="X4177" s="17"/>
      <c r="Y4177" s="68">
        <v>45283</v>
      </c>
      <c r="Z4177" s="17" t="s">
        <v>191</v>
      </c>
      <c r="AA4177" s="17" t="s">
        <v>46</v>
      </c>
      <c r="AB4177" s="17" t="s">
        <v>1237</v>
      </c>
      <c r="AC4177" s="217">
        <v>45627</v>
      </c>
      <c r="AD4177" s="65">
        <v>1516</v>
      </c>
      <c r="AE4177" s="17" t="s">
        <v>1289</v>
      </c>
      <c r="AF4177" s="17"/>
      <c r="AG4177" s="17"/>
      <c r="AH4177" s="17"/>
      <c r="AI4177" s="17"/>
      <c r="AJ4177" s="17"/>
      <c r="AK4177" s="17"/>
      <c r="AL4177" s="17"/>
      <c r="AM4177" s="17"/>
      <c r="AN4177" s="17"/>
      <c r="AO4177" s="17"/>
      <c r="AP4177" s="17"/>
      <c r="AQ4177" s="17"/>
      <c r="AR4177" s="17"/>
    </row>
    <row r="4178" s="20" customFormat="1" hidden="1" spans="1:44">
      <c r="A4178" s="17" t="s">
        <v>34</v>
      </c>
      <c r="B4178" s="19">
        <v>938</v>
      </c>
      <c r="C4178" s="183">
        <v>45168</v>
      </c>
      <c r="D4178" s="17" t="s">
        <v>52</v>
      </c>
      <c r="E4178" s="17" t="s">
        <v>1113</v>
      </c>
      <c r="F4178" s="17" t="s">
        <v>54</v>
      </c>
      <c r="G4178" s="17"/>
      <c r="H4178" s="19" t="s">
        <v>1114</v>
      </c>
      <c r="I4178" s="19"/>
      <c r="J4178" s="17" t="s">
        <v>82</v>
      </c>
      <c r="K4178" s="19">
        <v>405</v>
      </c>
      <c r="L4178" s="19">
        <v>50</v>
      </c>
      <c r="M4178" s="19">
        <v>2200</v>
      </c>
      <c r="N4178" s="19" t="s">
        <v>66</v>
      </c>
      <c r="O4178" s="19" t="s">
        <v>141</v>
      </c>
      <c r="P4178" s="99">
        <v>2874</v>
      </c>
      <c r="Q4178" s="19">
        <v>2944</v>
      </c>
      <c r="R4178" s="19">
        <f>+P4178-Q4178</f>
        <v>-70</v>
      </c>
      <c r="S4178" s="19">
        <f t="shared" si="201"/>
        <v>1070</v>
      </c>
      <c r="T4178" s="19" t="s">
        <v>42</v>
      </c>
      <c r="U4178" s="102" t="s">
        <v>1286</v>
      </c>
      <c r="V4178" s="253">
        <v>44935</v>
      </c>
      <c r="W4178" s="17" t="s">
        <v>44</v>
      </c>
      <c r="X4178" s="17"/>
      <c r="Y4178" s="68">
        <v>45283</v>
      </c>
      <c r="Z4178" s="17" t="s">
        <v>191</v>
      </c>
      <c r="AA4178" s="17" t="s">
        <v>46</v>
      </c>
      <c r="AB4178" s="17" t="s">
        <v>1251</v>
      </c>
      <c r="AC4178" s="217">
        <v>45566</v>
      </c>
      <c r="AD4178" s="65">
        <v>1515</v>
      </c>
      <c r="AE4178" s="17" t="s">
        <v>1291</v>
      </c>
      <c r="AF4178" s="17"/>
      <c r="AG4178" s="17"/>
      <c r="AH4178" s="17"/>
      <c r="AI4178" s="17"/>
      <c r="AJ4178" s="17"/>
      <c r="AK4178" s="17"/>
      <c r="AL4178" s="17"/>
      <c r="AM4178" s="17"/>
      <c r="AN4178" s="17"/>
      <c r="AO4178" s="17"/>
      <c r="AP4178" s="17"/>
      <c r="AQ4178" s="17"/>
      <c r="AR4178" s="17"/>
    </row>
    <row r="4179" s="20" customFormat="1" hidden="1" spans="1:44">
      <c r="A4179" s="17" t="s">
        <v>34</v>
      </c>
      <c r="B4179" s="19">
        <v>938</v>
      </c>
      <c r="C4179" s="183">
        <v>45168</v>
      </c>
      <c r="D4179" s="17" t="s">
        <v>52</v>
      </c>
      <c r="E4179" s="17" t="s">
        <v>1113</v>
      </c>
      <c r="F4179" s="17" t="s">
        <v>54</v>
      </c>
      <c r="G4179" s="17"/>
      <c r="H4179" s="19" t="s">
        <v>1114</v>
      </c>
      <c r="I4179" s="19"/>
      <c r="J4179" s="17" t="s">
        <v>82</v>
      </c>
      <c r="K4179" s="19">
        <v>455</v>
      </c>
      <c r="L4179" s="19">
        <v>50</v>
      </c>
      <c r="M4179" s="19">
        <v>2200</v>
      </c>
      <c r="N4179" s="19" t="s">
        <v>66</v>
      </c>
      <c r="O4179" s="19" t="s">
        <v>141</v>
      </c>
      <c r="P4179" s="99">
        <v>2422</v>
      </c>
      <c r="Q4179" s="19">
        <v>405</v>
      </c>
      <c r="R4179" s="17"/>
      <c r="S4179" s="19">
        <f t="shared" si="201"/>
        <v>1070</v>
      </c>
      <c r="T4179" s="19" t="s">
        <v>42</v>
      </c>
      <c r="U4179" s="102" t="s">
        <v>1286</v>
      </c>
      <c r="V4179" s="253">
        <v>44935</v>
      </c>
      <c r="W4179" s="17" t="s">
        <v>44</v>
      </c>
      <c r="X4179" s="17"/>
      <c r="Y4179" s="68">
        <v>45283</v>
      </c>
      <c r="Z4179" s="17" t="s">
        <v>191</v>
      </c>
      <c r="AA4179" s="17" t="s">
        <v>46</v>
      </c>
      <c r="AB4179" s="17" t="s">
        <v>1244</v>
      </c>
      <c r="AC4179" s="66">
        <v>45286</v>
      </c>
      <c r="AD4179" s="65">
        <v>1505</v>
      </c>
      <c r="AE4179" s="17" t="s">
        <v>74</v>
      </c>
      <c r="AF4179" s="17"/>
      <c r="AG4179" s="17"/>
      <c r="AH4179" s="17"/>
      <c r="AI4179" s="17"/>
      <c r="AJ4179" s="17"/>
      <c r="AK4179" s="17"/>
      <c r="AL4179" s="17"/>
      <c r="AM4179" s="17"/>
      <c r="AN4179" s="17"/>
      <c r="AO4179" s="17"/>
      <c r="AP4179" s="17"/>
      <c r="AQ4179" s="17"/>
      <c r="AR4179" s="17"/>
    </row>
    <row r="4180" s="20" customFormat="1" hidden="1" spans="1:44">
      <c r="A4180" s="17" t="s">
        <v>34</v>
      </c>
      <c r="B4180" s="19">
        <v>938</v>
      </c>
      <c r="C4180" s="183">
        <v>45168</v>
      </c>
      <c r="D4180" s="17" t="s">
        <v>52</v>
      </c>
      <c r="E4180" s="17" t="s">
        <v>1113</v>
      </c>
      <c r="F4180" s="17" t="s">
        <v>54</v>
      </c>
      <c r="G4180" s="17"/>
      <c r="H4180" s="19" t="s">
        <v>1114</v>
      </c>
      <c r="I4180" s="19"/>
      <c r="J4180" s="17" t="s">
        <v>82</v>
      </c>
      <c r="K4180" s="19">
        <v>455</v>
      </c>
      <c r="L4180" s="19">
        <v>50</v>
      </c>
      <c r="M4180" s="19">
        <v>2200</v>
      </c>
      <c r="N4180" s="19" t="s">
        <v>66</v>
      </c>
      <c r="O4180" s="19" t="s">
        <v>141</v>
      </c>
      <c r="P4180" s="99"/>
      <c r="Q4180" s="19">
        <v>1227</v>
      </c>
      <c r="R4180" s="99">
        <f>+P4179-Q4179-Q4180</f>
        <v>790</v>
      </c>
      <c r="S4180" s="19">
        <f t="shared" si="201"/>
        <v>1070</v>
      </c>
      <c r="T4180" s="19" t="s">
        <v>42</v>
      </c>
      <c r="U4180" s="102" t="s">
        <v>1286</v>
      </c>
      <c r="V4180" s="253">
        <v>44935</v>
      </c>
      <c r="W4180" s="17" t="s">
        <v>44</v>
      </c>
      <c r="X4180" s="17"/>
      <c r="Y4180" s="68">
        <v>45283</v>
      </c>
      <c r="Z4180" s="17" t="s">
        <v>191</v>
      </c>
      <c r="AA4180" s="17" t="s">
        <v>46</v>
      </c>
      <c r="AB4180" s="17" t="s">
        <v>1236</v>
      </c>
      <c r="AC4180" s="66">
        <v>45288</v>
      </c>
      <c r="AD4180" s="65">
        <v>1511</v>
      </c>
      <c r="AE4180" s="17" t="s">
        <v>74</v>
      </c>
      <c r="AF4180" s="17"/>
      <c r="AG4180" s="17"/>
      <c r="AH4180" s="17"/>
      <c r="AI4180" s="17"/>
      <c r="AJ4180" s="17"/>
      <c r="AK4180" s="17"/>
      <c r="AL4180" s="17"/>
      <c r="AM4180" s="17"/>
      <c r="AN4180" s="17"/>
      <c r="AO4180" s="17"/>
      <c r="AP4180" s="17"/>
      <c r="AQ4180" s="17"/>
      <c r="AR4180" s="17"/>
    </row>
    <row r="4181" s="20" customFormat="1" hidden="1" spans="1:44">
      <c r="A4181" s="17" t="s">
        <v>34</v>
      </c>
      <c r="B4181" s="19">
        <v>938</v>
      </c>
      <c r="C4181" s="183">
        <v>45168</v>
      </c>
      <c r="D4181" s="17" t="s">
        <v>52</v>
      </c>
      <c r="E4181" s="17" t="s">
        <v>1113</v>
      </c>
      <c r="F4181" s="17" t="s">
        <v>54</v>
      </c>
      <c r="G4181" s="17"/>
      <c r="H4181" s="19" t="s">
        <v>1114</v>
      </c>
      <c r="I4181" s="19"/>
      <c r="J4181" s="17" t="s">
        <v>82</v>
      </c>
      <c r="K4181" s="19">
        <v>505</v>
      </c>
      <c r="L4181" s="19">
        <v>50</v>
      </c>
      <c r="M4181" s="19">
        <v>2200</v>
      </c>
      <c r="N4181" s="19" t="s">
        <v>66</v>
      </c>
      <c r="O4181" s="19" t="s">
        <v>141</v>
      </c>
      <c r="P4181" s="99">
        <v>1792</v>
      </c>
      <c r="Q4181" s="19">
        <v>917</v>
      </c>
      <c r="R4181" s="21"/>
      <c r="S4181" s="19">
        <f t="shared" si="201"/>
        <v>1070</v>
      </c>
      <c r="T4181" s="19" t="s">
        <v>42</v>
      </c>
      <c r="U4181" s="102" t="s">
        <v>1286</v>
      </c>
      <c r="V4181" s="253">
        <v>44935</v>
      </c>
      <c r="W4181" s="17" t="s">
        <v>44</v>
      </c>
      <c r="X4181" s="17"/>
      <c r="Y4181" s="68">
        <v>45283</v>
      </c>
      <c r="Z4181" s="17" t="s">
        <v>191</v>
      </c>
      <c r="AA4181" s="17" t="s">
        <v>46</v>
      </c>
      <c r="AB4181" s="17" t="s">
        <v>1237</v>
      </c>
      <c r="AC4181" s="217">
        <v>45627</v>
      </c>
      <c r="AD4181" s="65">
        <v>1516</v>
      </c>
      <c r="AE4181" s="17" t="s">
        <v>74</v>
      </c>
      <c r="AF4181" s="17"/>
      <c r="AG4181" s="17"/>
      <c r="AH4181" s="17"/>
      <c r="AI4181" s="17"/>
      <c r="AJ4181" s="17"/>
      <c r="AK4181" s="17"/>
      <c r="AL4181" s="17"/>
      <c r="AM4181" s="17"/>
      <c r="AN4181" s="17"/>
      <c r="AO4181" s="17"/>
      <c r="AP4181" s="17"/>
      <c r="AQ4181" s="17"/>
      <c r="AR4181" s="17"/>
    </row>
    <row r="4182" s="20" customFormat="1" hidden="1" spans="1:44">
      <c r="A4182" s="17" t="s">
        <v>34</v>
      </c>
      <c r="B4182" s="19">
        <v>938</v>
      </c>
      <c r="C4182" s="183">
        <v>45168</v>
      </c>
      <c r="D4182" s="17" t="s">
        <v>52</v>
      </c>
      <c r="E4182" s="17" t="s">
        <v>1113</v>
      </c>
      <c r="F4182" s="17" t="s">
        <v>54</v>
      </c>
      <c r="G4182" s="17"/>
      <c r="H4182" s="19" t="s">
        <v>1114</v>
      </c>
      <c r="I4182" s="19"/>
      <c r="J4182" s="17" t="s">
        <v>82</v>
      </c>
      <c r="K4182" s="19">
        <v>505</v>
      </c>
      <c r="L4182" s="19">
        <v>50</v>
      </c>
      <c r="M4182" s="19">
        <v>2200</v>
      </c>
      <c r="N4182" s="19" t="s">
        <v>66</v>
      </c>
      <c r="O4182" s="19" t="s">
        <v>141</v>
      </c>
      <c r="P4182" s="99"/>
      <c r="Q4182" s="19">
        <v>460</v>
      </c>
      <c r="R4182" s="99">
        <f>+P4181-Q4181-Q4182</f>
        <v>415</v>
      </c>
      <c r="S4182" s="19">
        <v>1030</v>
      </c>
      <c r="T4182" s="19" t="s">
        <v>42</v>
      </c>
      <c r="U4182" s="102" t="s">
        <v>1286</v>
      </c>
      <c r="V4182" s="253">
        <v>44935</v>
      </c>
      <c r="W4182" s="17" t="s">
        <v>44</v>
      </c>
      <c r="X4182" s="17"/>
      <c r="Y4182" s="68">
        <v>45283</v>
      </c>
      <c r="Z4182" s="17" t="s">
        <v>191</v>
      </c>
      <c r="AA4182" s="17" t="s">
        <v>46</v>
      </c>
      <c r="AB4182" s="17" t="s">
        <v>1248</v>
      </c>
      <c r="AC4182" s="217">
        <v>45364</v>
      </c>
      <c r="AD4182" s="65">
        <v>1539</v>
      </c>
      <c r="AE4182" s="17" t="s">
        <v>74</v>
      </c>
      <c r="AF4182" s="17"/>
      <c r="AG4182" s="17"/>
      <c r="AH4182" s="17"/>
      <c r="AI4182" s="17"/>
      <c r="AJ4182" s="17"/>
      <c r="AK4182" s="17"/>
      <c r="AL4182" s="17"/>
      <c r="AM4182" s="17"/>
      <c r="AN4182" s="17"/>
      <c r="AO4182" s="17"/>
      <c r="AP4182" s="17"/>
      <c r="AQ4182" s="17"/>
      <c r="AR4182" s="17"/>
    </row>
    <row r="4183" s="20" customFormat="1" hidden="1" spans="1:44">
      <c r="A4183" s="17" t="s">
        <v>34</v>
      </c>
      <c r="B4183" s="19">
        <v>938</v>
      </c>
      <c r="C4183" s="183">
        <v>45168</v>
      </c>
      <c r="D4183" s="17" t="s">
        <v>52</v>
      </c>
      <c r="E4183" s="17" t="s">
        <v>1113</v>
      </c>
      <c r="F4183" s="17" t="s">
        <v>54</v>
      </c>
      <c r="G4183" s="17"/>
      <c r="H4183" s="19" t="s">
        <v>1114</v>
      </c>
      <c r="I4183" s="19"/>
      <c r="J4183" s="17" t="s">
        <v>82</v>
      </c>
      <c r="K4183" s="19">
        <v>510</v>
      </c>
      <c r="L4183" s="19">
        <v>50</v>
      </c>
      <c r="M4183" s="19">
        <v>2200</v>
      </c>
      <c r="N4183" s="19" t="s">
        <v>66</v>
      </c>
      <c r="O4183" s="19" t="s">
        <v>141</v>
      </c>
      <c r="P4183" s="99">
        <v>2262</v>
      </c>
      <c r="Q4183" s="19">
        <v>458</v>
      </c>
      <c r="R4183" s="21"/>
      <c r="S4183" s="19">
        <f>1110-40</f>
        <v>1070</v>
      </c>
      <c r="T4183" s="19" t="s">
        <v>42</v>
      </c>
      <c r="U4183" s="102" t="s">
        <v>1286</v>
      </c>
      <c r="V4183" s="253">
        <v>44935</v>
      </c>
      <c r="W4183" s="17" t="s">
        <v>44</v>
      </c>
      <c r="X4183" s="17"/>
      <c r="Y4183" s="68">
        <v>45283</v>
      </c>
      <c r="Z4183" s="17" t="s">
        <v>191</v>
      </c>
      <c r="AA4183" s="17" t="s">
        <v>46</v>
      </c>
      <c r="AB4183" s="17" t="s">
        <v>1236</v>
      </c>
      <c r="AC4183" s="66">
        <v>45288</v>
      </c>
      <c r="AD4183" s="65">
        <v>1511</v>
      </c>
      <c r="AE4183" s="17" t="s">
        <v>48</v>
      </c>
      <c r="AF4183" s="17"/>
      <c r="AG4183" s="17"/>
      <c r="AH4183" s="17"/>
      <c r="AI4183" s="17"/>
      <c r="AJ4183" s="17"/>
      <c r="AK4183" s="17"/>
      <c r="AL4183" s="17"/>
      <c r="AM4183" s="17"/>
      <c r="AN4183" s="17"/>
      <c r="AO4183" s="17"/>
      <c r="AP4183" s="17"/>
      <c r="AQ4183" s="17"/>
      <c r="AR4183" s="17"/>
    </row>
    <row r="4184" s="20" customFormat="1" hidden="1" spans="1:44">
      <c r="A4184" s="17" t="s">
        <v>34</v>
      </c>
      <c r="B4184" s="19">
        <v>938</v>
      </c>
      <c r="C4184" s="183">
        <v>45168</v>
      </c>
      <c r="D4184" s="17" t="s">
        <v>52</v>
      </c>
      <c r="E4184" s="17" t="s">
        <v>1113</v>
      </c>
      <c r="F4184" s="17" t="s">
        <v>54</v>
      </c>
      <c r="G4184" s="17"/>
      <c r="H4184" s="19" t="s">
        <v>1114</v>
      </c>
      <c r="I4184" s="19"/>
      <c r="J4184" s="17" t="s">
        <v>82</v>
      </c>
      <c r="K4184" s="19">
        <v>510</v>
      </c>
      <c r="L4184" s="19">
        <v>50</v>
      </c>
      <c r="M4184" s="19">
        <v>2200</v>
      </c>
      <c r="N4184" s="19" t="s">
        <v>66</v>
      </c>
      <c r="O4184" s="19" t="s">
        <v>141</v>
      </c>
      <c r="P4184" s="99"/>
      <c r="Q4184" s="19">
        <f>466+466+465+465</f>
        <v>1862</v>
      </c>
      <c r="R4184" s="99">
        <f>+P4183-Q4183-Q4184</f>
        <v>-58</v>
      </c>
      <c r="S4184" s="19">
        <f>1110-40</f>
        <v>1070</v>
      </c>
      <c r="T4184" s="19" t="s">
        <v>42</v>
      </c>
      <c r="U4184" s="102" t="s">
        <v>1286</v>
      </c>
      <c r="V4184" s="253">
        <v>44935</v>
      </c>
      <c r="W4184" s="17" t="s">
        <v>44</v>
      </c>
      <c r="X4184" s="17"/>
      <c r="Y4184" s="68">
        <v>45283</v>
      </c>
      <c r="Z4184" s="17" t="s">
        <v>191</v>
      </c>
      <c r="AA4184" s="17" t="s">
        <v>46</v>
      </c>
      <c r="AB4184" s="17" t="s">
        <v>1261</v>
      </c>
      <c r="AC4184" s="66">
        <v>45364</v>
      </c>
      <c r="AD4184" s="65">
        <v>1538</v>
      </c>
      <c r="AE4184" s="17" t="s">
        <v>48</v>
      </c>
      <c r="AF4184" s="17"/>
      <c r="AG4184" s="17"/>
      <c r="AH4184" s="17"/>
      <c r="AI4184" s="17"/>
      <c r="AJ4184" s="17"/>
      <c r="AK4184" s="17"/>
      <c r="AL4184" s="17"/>
      <c r="AM4184" s="17"/>
      <c r="AN4184" s="17"/>
      <c r="AO4184" s="17"/>
      <c r="AP4184" s="17"/>
      <c r="AQ4184" s="17"/>
      <c r="AR4184" s="17"/>
    </row>
    <row r="4185" s="21" customFormat="1" hidden="1" spans="1:44">
      <c r="A4185" s="17" t="s">
        <v>34</v>
      </c>
      <c r="B4185" s="19">
        <v>938</v>
      </c>
      <c r="C4185" s="183">
        <v>45168</v>
      </c>
      <c r="D4185" s="17" t="s">
        <v>52</v>
      </c>
      <c r="E4185" s="17" t="s">
        <v>1113</v>
      </c>
      <c r="F4185" s="17" t="s">
        <v>54</v>
      </c>
      <c r="G4185" s="17"/>
      <c r="H4185" s="19" t="s">
        <v>1114</v>
      </c>
      <c r="I4185" s="19"/>
      <c r="J4185" s="17" t="s">
        <v>82</v>
      </c>
      <c r="K4185" s="19">
        <v>555</v>
      </c>
      <c r="L4185" s="19">
        <v>50</v>
      </c>
      <c r="M4185" s="19">
        <v>2200</v>
      </c>
      <c r="N4185" s="19" t="s">
        <v>66</v>
      </c>
      <c r="O4185" s="19" t="s">
        <v>141</v>
      </c>
      <c r="P4185" s="99">
        <v>1969</v>
      </c>
      <c r="Q4185" s="19">
        <f>509+491+495</f>
        <v>1495</v>
      </c>
      <c r="R4185" s="254"/>
      <c r="S4185" s="19">
        <f>1110-40</f>
        <v>1070</v>
      </c>
      <c r="T4185" s="19" t="s">
        <v>42</v>
      </c>
      <c r="U4185" s="102" t="s">
        <v>1286</v>
      </c>
      <c r="V4185" s="253">
        <v>44935</v>
      </c>
      <c r="W4185" s="17" t="s">
        <v>44</v>
      </c>
      <c r="X4185" s="17"/>
      <c r="Y4185" s="68">
        <v>45283</v>
      </c>
      <c r="Z4185" s="17" t="s">
        <v>191</v>
      </c>
      <c r="AA4185" s="17" t="s">
        <v>46</v>
      </c>
      <c r="AB4185" s="17" t="s">
        <v>1248</v>
      </c>
      <c r="AC4185" s="217">
        <v>45364</v>
      </c>
      <c r="AD4185" s="65">
        <v>1539</v>
      </c>
      <c r="AE4185" s="17" t="s">
        <v>74</v>
      </c>
      <c r="AF4185" s="17"/>
      <c r="AG4185" s="17"/>
      <c r="AH4185" s="17"/>
      <c r="AI4185" s="17"/>
      <c r="AJ4185" s="17"/>
      <c r="AK4185" s="17"/>
      <c r="AL4185" s="17"/>
      <c r="AM4185" s="17"/>
      <c r="AN4185" s="17"/>
      <c r="AO4185" s="17"/>
      <c r="AP4185" s="17"/>
      <c r="AQ4185" s="17"/>
      <c r="AR4185" s="17"/>
    </row>
    <row r="4186" s="21" customFormat="1" hidden="1" spans="1:44">
      <c r="A4186" s="17" t="s">
        <v>34</v>
      </c>
      <c r="B4186" s="19">
        <v>938</v>
      </c>
      <c r="C4186" s="183">
        <v>45168</v>
      </c>
      <c r="D4186" s="17" t="s">
        <v>52</v>
      </c>
      <c r="E4186" s="17" t="s">
        <v>1113</v>
      </c>
      <c r="F4186" s="17" t="s">
        <v>54</v>
      </c>
      <c r="G4186" s="17"/>
      <c r="H4186" s="19" t="s">
        <v>1114</v>
      </c>
      <c r="I4186" s="19"/>
      <c r="J4186" s="17" t="s">
        <v>82</v>
      </c>
      <c r="K4186" s="19">
        <v>555</v>
      </c>
      <c r="L4186" s="19">
        <v>50</v>
      </c>
      <c r="M4186" s="19">
        <v>2200</v>
      </c>
      <c r="N4186" s="19" t="s">
        <v>66</v>
      </c>
      <c r="O4186" s="19" t="s">
        <v>141</v>
      </c>
      <c r="P4186" s="99"/>
      <c r="Q4186" s="19">
        <v>499</v>
      </c>
      <c r="R4186" s="99">
        <f>+P4185-Q4185-Q4186</f>
        <v>-25</v>
      </c>
      <c r="S4186" s="19">
        <f>1110-40-40</f>
        <v>1030</v>
      </c>
      <c r="T4186" s="19" t="s">
        <v>42</v>
      </c>
      <c r="U4186" s="102" t="s">
        <v>1286</v>
      </c>
      <c r="V4186" s="253">
        <v>44935</v>
      </c>
      <c r="W4186" s="17" t="s">
        <v>44</v>
      </c>
      <c r="X4186" s="17"/>
      <c r="Y4186" s="68">
        <v>45283</v>
      </c>
      <c r="Z4186" s="17" t="s">
        <v>191</v>
      </c>
      <c r="AA4186" s="17" t="s">
        <v>46</v>
      </c>
      <c r="AB4186" s="17" t="s">
        <v>1240</v>
      </c>
      <c r="AC4186" s="217">
        <v>45372</v>
      </c>
      <c r="AD4186" s="65">
        <v>1542</v>
      </c>
      <c r="AE4186" s="17" t="s">
        <v>74</v>
      </c>
      <c r="AF4186" s="17"/>
      <c r="AG4186" s="17"/>
      <c r="AH4186" s="17"/>
      <c r="AI4186" s="17"/>
      <c r="AJ4186" s="17"/>
      <c r="AK4186" s="17"/>
      <c r="AL4186" s="17"/>
      <c r="AM4186" s="17"/>
      <c r="AN4186" s="17"/>
      <c r="AO4186" s="17"/>
      <c r="AP4186" s="17"/>
      <c r="AQ4186" s="17"/>
      <c r="AR4186" s="17"/>
    </row>
    <row r="4187" s="21" customFormat="1" hidden="1" spans="1:44">
      <c r="A4187" s="17" t="s">
        <v>34</v>
      </c>
      <c r="B4187" s="19">
        <v>938</v>
      </c>
      <c r="C4187" s="183">
        <v>45168</v>
      </c>
      <c r="D4187" s="17" t="s">
        <v>52</v>
      </c>
      <c r="E4187" s="17" t="s">
        <v>1113</v>
      </c>
      <c r="F4187" s="17" t="s">
        <v>54</v>
      </c>
      <c r="G4187" s="17"/>
      <c r="H4187" s="19" t="s">
        <v>1114</v>
      </c>
      <c r="I4187" s="19"/>
      <c r="J4187" s="17" t="s">
        <v>82</v>
      </c>
      <c r="K4187" s="19">
        <v>605</v>
      </c>
      <c r="L4187" s="19">
        <v>50</v>
      </c>
      <c r="M4187" s="19">
        <v>2200</v>
      </c>
      <c r="N4187" s="19" t="s">
        <v>66</v>
      </c>
      <c r="O4187" s="19" t="s">
        <v>141</v>
      </c>
      <c r="P4187" s="99">
        <v>2147</v>
      </c>
      <c r="Q4187" s="19">
        <f>547+547+547+547</f>
        <v>2188</v>
      </c>
      <c r="R4187" s="19">
        <f>+P4187-Q4187</f>
        <v>-41</v>
      </c>
      <c r="S4187" s="19">
        <f>1110-40</f>
        <v>1070</v>
      </c>
      <c r="T4187" s="19" t="s">
        <v>42</v>
      </c>
      <c r="U4187" s="102" t="s">
        <v>1286</v>
      </c>
      <c r="V4187" s="253">
        <v>44935</v>
      </c>
      <c r="W4187" s="17" t="s">
        <v>44</v>
      </c>
      <c r="X4187" s="17"/>
      <c r="Y4187" s="68">
        <v>45283</v>
      </c>
      <c r="Z4187" s="17" t="s">
        <v>191</v>
      </c>
      <c r="AA4187" s="17" t="s">
        <v>46</v>
      </c>
      <c r="AB4187" s="17" t="s">
        <v>1261</v>
      </c>
      <c r="AC4187" s="66">
        <v>45364</v>
      </c>
      <c r="AD4187" s="65">
        <v>1538</v>
      </c>
      <c r="AE4187" s="17" t="s">
        <v>74</v>
      </c>
      <c r="AF4187" s="17"/>
      <c r="AG4187" s="17"/>
      <c r="AH4187" s="17"/>
      <c r="AI4187" s="17"/>
      <c r="AJ4187" s="17"/>
      <c r="AK4187" s="17"/>
      <c r="AL4187" s="17"/>
      <c r="AM4187" s="17"/>
      <c r="AN4187" s="17"/>
      <c r="AO4187" s="17"/>
      <c r="AP4187" s="17"/>
      <c r="AQ4187" s="17"/>
      <c r="AR4187" s="17"/>
    </row>
    <row r="4188" s="20" customFormat="1" hidden="1" spans="1:44">
      <c r="A4188" s="17" t="s">
        <v>34</v>
      </c>
      <c r="B4188" s="19">
        <v>938</v>
      </c>
      <c r="C4188" s="183">
        <v>45168</v>
      </c>
      <c r="D4188" s="17" t="s">
        <v>52</v>
      </c>
      <c r="E4188" s="17" t="s">
        <v>1113</v>
      </c>
      <c r="F4188" s="17" t="s">
        <v>54</v>
      </c>
      <c r="G4188" s="17"/>
      <c r="H4188" s="19" t="s">
        <v>1114</v>
      </c>
      <c r="I4188" s="19"/>
      <c r="J4188" s="17" t="s">
        <v>82</v>
      </c>
      <c r="K4188" s="19">
        <v>1100</v>
      </c>
      <c r="L4188" s="19">
        <v>50</v>
      </c>
      <c r="M4188" s="19">
        <v>2200</v>
      </c>
      <c r="N4188" s="19" t="s">
        <v>66</v>
      </c>
      <c r="O4188" s="19" t="s">
        <v>141</v>
      </c>
      <c r="P4188" s="99">
        <v>1952</v>
      </c>
      <c r="Q4188" s="19">
        <v>982</v>
      </c>
      <c r="R4188" s="21"/>
      <c r="S4188" s="19">
        <f>1100-40</f>
        <v>1060</v>
      </c>
      <c r="T4188" s="19" t="s">
        <v>42</v>
      </c>
      <c r="U4188" s="102" t="s">
        <v>1286</v>
      </c>
      <c r="V4188" s="253">
        <v>44935</v>
      </c>
      <c r="W4188" s="17" t="s">
        <v>44</v>
      </c>
      <c r="X4188" s="17"/>
      <c r="Y4188" s="68">
        <v>45283</v>
      </c>
      <c r="Z4188" s="17" t="s">
        <v>191</v>
      </c>
      <c r="AA4188" s="17" t="s">
        <v>46</v>
      </c>
      <c r="AB4188" s="17" t="s">
        <v>1251</v>
      </c>
      <c r="AC4188" s="217">
        <v>45566</v>
      </c>
      <c r="AD4188" s="65">
        <v>1515</v>
      </c>
      <c r="AE4188" s="17" t="s">
        <v>74</v>
      </c>
      <c r="AF4188" s="17"/>
      <c r="AG4188" s="17"/>
      <c r="AH4188" s="17"/>
      <c r="AI4188" s="17"/>
      <c r="AJ4188" s="17"/>
      <c r="AK4188" s="17"/>
      <c r="AL4188" s="17"/>
      <c r="AM4188" s="17"/>
      <c r="AN4188" s="17"/>
      <c r="AO4188" s="17"/>
      <c r="AP4188" s="17"/>
      <c r="AQ4188" s="17"/>
      <c r="AR4188" s="17"/>
    </row>
    <row r="4189" s="20" customFormat="1" hidden="1" spans="1:44">
      <c r="A4189" s="17" t="s">
        <v>34</v>
      </c>
      <c r="B4189" s="19">
        <v>938</v>
      </c>
      <c r="C4189" s="183">
        <v>45168</v>
      </c>
      <c r="D4189" s="17" t="s">
        <v>52</v>
      </c>
      <c r="E4189" s="17" t="s">
        <v>1113</v>
      </c>
      <c r="F4189" s="17" t="s">
        <v>54</v>
      </c>
      <c r="G4189" s="17"/>
      <c r="H4189" s="19" t="s">
        <v>1114</v>
      </c>
      <c r="I4189" s="19"/>
      <c r="J4189" s="17" t="s">
        <v>82</v>
      </c>
      <c r="K4189" s="19">
        <v>1100</v>
      </c>
      <c r="L4189" s="19">
        <v>50</v>
      </c>
      <c r="M4189" s="19">
        <v>2200</v>
      </c>
      <c r="N4189" s="19" t="s">
        <v>66</v>
      </c>
      <c r="O4189" s="19" t="s">
        <v>141</v>
      </c>
      <c r="P4189" s="99"/>
      <c r="Q4189" s="19">
        <v>993</v>
      </c>
      <c r="R4189" s="99">
        <f>+P4188-Q4188-Q4189</f>
        <v>-23</v>
      </c>
      <c r="S4189" s="19">
        <f>1100-40</f>
        <v>1060</v>
      </c>
      <c r="T4189" s="19" t="s">
        <v>42</v>
      </c>
      <c r="U4189" s="102" t="s">
        <v>1286</v>
      </c>
      <c r="V4189" s="253">
        <v>44935</v>
      </c>
      <c r="W4189" s="17" t="s">
        <v>44</v>
      </c>
      <c r="X4189" s="17"/>
      <c r="Y4189" s="68">
        <v>45283</v>
      </c>
      <c r="Z4189" s="17" t="s">
        <v>191</v>
      </c>
      <c r="AA4189" s="17" t="s">
        <v>46</v>
      </c>
      <c r="AB4189" s="17" t="s">
        <v>1261</v>
      </c>
      <c r="AC4189" s="66">
        <v>45364</v>
      </c>
      <c r="AD4189" s="65">
        <v>1538</v>
      </c>
      <c r="AE4189" s="17" t="s">
        <v>74</v>
      </c>
      <c r="AF4189" s="17"/>
      <c r="AG4189" s="17"/>
      <c r="AH4189" s="17"/>
      <c r="AI4189" s="17"/>
      <c r="AJ4189" s="17"/>
      <c r="AK4189" s="17"/>
      <c r="AL4189" s="17"/>
      <c r="AM4189" s="17"/>
      <c r="AN4189" s="17"/>
      <c r="AO4189" s="17"/>
      <c r="AP4189" s="17"/>
      <c r="AQ4189" s="17"/>
      <c r="AR4189" s="17"/>
    </row>
    <row r="4190" s="20" customFormat="1" hidden="1" spans="1:44">
      <c r="A4190" s="17" t="s">
        <v>34</v>
      </c>
      <c r="B4190" s="19">
        <v>938</v>
      </c>
      <c r="C4190" s="183">
        <v>45168</v>
      </c>
      <c r="D4190" s="17" t="s">
        <v>52</v>
      </c>
      <c r="E4190" s="17" t="s">
        <v>1113</v>
      </c>
      <c r="F4190" s="17" t="s">
        <v>54</v>
      </c>
      <c r="G4190" s="17"/>
      <c r="H4190" s="19" t="s">
        <v>1114</v>
      </c>
      <c r="I4190" s="19"/>
      <c r="J4190" s="17" t="s">
        <v>82</v>
      </c>
      <c r="K4190" s="19">
        <v>205</v>
      </c>
      <c r="L4190" s="19">
        <v>65</v>
      </c>
      <c r="M4190" s="19">
        <v>2200</v>
      </c>
      <c r="N4190" s="19" t="s">
        <v>66</v>
      </c>
      <c r="O4190" s="19" t="s">
        <v>141</v>
      </c>
      <c r="P4190" s="99">
        <v>3073</v>
      </c>
      <c r="Q4190" s="19">
        <v>979</v>
      </c>
      <c r="R4190" s="17"/>
      <c r="S4190" s="19">
        <f>1110-40</f>
        <v>1070</v>
      </c>
      <c r="T4190" s="19" t="s">
        <v>42</v>
      </c>
      <c r="U4190" s="102" t="s">
        <v>1286</v>
      </c>
      <c r="V4190" s="253">
        <v>44935</v>
      </c>
      <c r="W4190" s="17" t="s">
        <v>44</v>
      </c>
      <c r="X4190" s="17"/>
      <c r="Y4190" s="68">
        <v>45283</v>
      </c>
      <c r="Z4190" s="17" t="s">
        <v>191</v>
      </c>
      <c r="AA4190" s="17" t="s">
        <v>46</v>
      </c>
      <c r="AB4190" s="17" t="s">
        <v>1237</v>
      </c>
      <c r="AC4190" s="217">
        <v>45627</v>
      </c>
      <c r="AD4190" s="65">
        <v>1516</v>
      </c>
      <c r="AE4190" s="17" t="s">
        <v>1287</v>
      </c>
      <c r="AF4190" s="17"/>
      <c r="AG4190" s="17"/>
      <c r="AH4190" s="17"/>
      <c r="AI4190" s="17"/>
      <c r="AJ4190" s="17"/>
      <c r="AK4190" s="17"/>
      <c r="AL4190" s="17"/>
      <c r="AM4190" s="17"/>
      <c r="AN4190" s="17"/>
      <c r="AO4190" s="17"/>
      <c r="AP4190" s="17"/>
      <c r="AQ4190" s="17"/>
      <c r="AR4190" s="17"/>
    </row>
    <row r="4191" s="20" customFormat="1" hidden="1" spans="1:44">
      <c r="A4191" s="17" t="s">
        <v>34</v>
      </c>
      <c r="B4191" s="19">
        <v>938</v>
      </c>
      <c r="C4191" s="183">
        <v>45168</v>
      </c>
      <c r="D4191" s="17" t="s">
        <v>52</v>
      </c>
      <c r="E4191" s="17" t="s">
        <v>1113</v>
      </c>
      <c r="F4191" s="17" t="s">
        <v>54</v>
      </c>
      <c r="G4191" s="17"/>
      <c r="H4191" s="19" t="s">
        <v>1114</v>
      </c>
      <c r="I4191" s="19"/>
      <c r="J4191" s="17" t="s">
        <v>82</v>
      </c>
      <c r="K4191" s="19">
        <v>205</v>
      </c>
      <c r="L4191" s="19">
        <v>65</v>
      </c>
      <c r="M4191" s="19">
        <v>2200</v>
      </c>
      <c r="N4191" s="19" t="s">
        <v>66</v>
      </c>
      <c r="O4191" s="19" t="s">
        <v>141</v>
      </c>
      <c r="P4191" s="99"/>
      <c r="Q4191" s="19">
        <v>240</v>
      </c>
      <c r="R4191" s="254"/>
      <c r="S4191" s="19">
        <f>1110-40</f>
        <v>1070</v>
      </c>
      <c r="T4191" s="19" t="s">
        <v>42</v>
      </c>
      <c r="U4191" s="102" t="s">
        <v>1286</v>
      </c>
      <c r="V4191" s="253">
        <v>44935</v>
      </c>
      <c r="W4191" s="17" t="s">
        <v>44</v>
      </c>
      <c r="X4191" s="17"/>
      <c r="Y4191" s="68">
        <v>45283</v>
      </c>
      <c r="Z4191" s="17" t="s">
        <v>191</v>
      </c>
      <c r="AA4191" s="17" t="s">
        <v>46</v>
      </c>
      <c r="AB4191" s="17" t="s">
        <v>1256</v>
      </c>
      <c r="AC4191" s="66">
        <v>45322</v>
      </c>
      <c r="AD4191" s="65">
        <v>1522</v>
      </c>
      <c r="AE4191" s="17" t="s">
        <v>1287</v>
      </c>
      <c r="AF4191" s="17"/>
      <c r="AG4191" s="17"/>
      <c r="AH4191" s="17"/>
      <c r="AI4191" s="17"/>
      <c r="AJ4191" s="17"/>
      <c r="AK4191" s="17"/>
      <c r="AL4191" s="17"/>
      <c r="AM4191" s="17"/>
      <c r="AN4191" s="17"/>
      <c r="AO4191" s="17"/>
      <c r="AP4191" s="17"/>
      <c r="AQ4191" s="17"/>
      <c r="AR4191" s="17"/>
    </row>
    <row r="4192" s="20" customFormat="1" hidden="1" spans="1:44">
      <c r="A4192" s="17" t="s">
        <v>34</v>
      </c>
      <c r="B4192" s="19">
        <v>938</v>
      </c>
      <c r="C4192" s="183">
        <v>45168</v>
      </c>
      <c r="D4192" s="17" t="s">
        <v>52</v>
      </c>
      <c r="E4192" s="17" t="s">
        <v>1113</v>
      </c>
      <c r="F4192" s="17" t="s">
        <v>54</v>
      </c>
      <c r="G4192" s="17"/>
      <c r="H4192" s="19" t="s">
        <v>1114</v>
      </c>
      <c r="I4192" s="19"/>
      <c r="J4192" s="17" t="s">
        <v>82</v>
      </c>
      <c r="K4192" s="19">
        <v>205</v>
      </c>
      <c r="L4192" s="19">
        <v>65</v>
      </c>
      <c r="M4192" s="19">
        <v>2200</v>
      </c>
      <c r="N4192" s="19" t="s">
        <v>66</v>
      </c>
      <c r="O4192" s="19" t="s">
        <v>141</v>
      </c>
      <c r="P4192" s="99"/>
      <c r="Q4192" s="19">
        <f>485+479</f>
        <v>964</v>
      </c>
      <c r="R4192" s="305"/>
      <c r="S4192" s="19">
        <f>1110-40-40</f>
        <v>1030</v>
      </c>
      <c r="T4192" s="19" t="s">
        <v>42</v>
      </c>
      <c r="U4192" s="102" t="s">
        <v>1286</v>
      </c>
      <c r="V4192" s="253">
        <v>44935</v>
      </c>
      <c r="W4192" s="17" t="s">
        <v>44</v>
      </c>
      <c r="X4192" s="17"/>
      <c r="Y4192" s="68">
        <v>45283</v>
      </c>
      <c r="Z4192" s="17" t="s">
        <v>191</v>
      </c>
      <c r="AA4192" s="17" t="s">
        <v>46</v>
      </c>
      <c r="AB4192" s="17" t="s">
        <v>1249</v>
      </c>
      <c r="AC4192" s="217">
        <v>45380</v>
      </c>
      <c r="AD4192" s="65">
        <v>1547</v>
      </c>
      <c r="AE4192" s="17" t="s">
        <v>1287</v>
      </c>
      <c r="AF4192" s="17"/>
      <c r="AG4192" s="17"/>
      <c r="AH4192" s="17"/>
      <c r="AI4192" s="17"/>
      <c r="AJ4192" s="17"/>
      <c r="AK4192" s="17"/>
      <c r="AL4192" s="17"/>
      <c r="AM4192" s="17"/>
      <c r="AN4192" s="17"/>
      <c r="AO4192" s="17"/>
      <c r="AP4192" s="17"/>
      <c r="AQ4192" s="17"/>
      <c r="AR4192" s="17"/>
    </row>
    <row r="4193" s="20" customFormat="1" hidden="1" spans="1:44">
      <c r="A4193" s="17" t="s">
        <v>34</v>
      </c>
      <c r="B4193" s="19">
        <v>938</v>
      </c>
      <c r="C4193" s="183">
        <v>45168</v>
      </c>
      <c r="D4193" s="17" t="s">
        <v>52</v>
      </c>
      <c r="E4193" s="17" t="s">
        <v>1113</v>
      </c>
      <c r="F4193" s="17" t="s">
        <v>54</v>
      </c>
      <c r="G4193" s="17"/>
      <c r="H4193" s="19" t="s">
        <v>1114</v>
      </c>
      <c r="I4193" s="19"/>
      <c r="J4193" s="17" t="s">
        <v>82</v>
      </c>
      <c r="K4193" s="19">
        <v>205</v>
      </c>
      <c r="L4193" s="19">
        <v>65</v>
      </c>
      <c r="M4193" s="19">
        <v>2200</v>
      </c>
      <c r="N4193" s="19" t="s">
        <v>66</v>
      </c>
      <c r="O4193" s="19" t="s">
        <v>141</v>
      </c>
      <c r="P4193" s="99"/>
      <c r="Q4193" s="19">
        <f>244+736</f>
        <v>980</v>
      </c>
      <c r="R4193" s="99">
        <f>+P4190-Q4190-Q4191-Q4192-Q4193</f>
        <v>-90</v>
      </c>
      <c r="S4193" s="19">
        <v>1030</v>
      </c>
      <c r="T4193" s="19" t="s">
        <v>42</v>
      </c>
      <c r="U4193" s="102" t="s">
        <v>1286</v>
      </c>
      <c r="V4193" s="253">
        <v>44935</v>
      </c>
      <c r="W4193" s="17" t="s">
        <v>44</v>
      </c>
      <c r="X4193" s="17"/>
      <c r="Y4193" s="68">
        <v>45283</v>
      </c>
      <c r="Z4193" s="17" t="s">
        <v>191</v>
      </c>
      <c r="AA4193" s="17" t="s">
        <v>46</v>
      </c>
      <c r="AB4193" s="17" t="s">
        <v>1245</v>
      </c>
      <c r="AC4193" s="66">
        <v>45379</v>
      </c>
      <c r="AD4193" s="65">
        <v>1546</v>
      </c>
      <c r="AE4193" s="17" t="s">
        <v>1287</v>
      </c>
      <c r="AF4193" s="17"/>
      <c r="AG4193" s="17"/>
      <c r="AH4193" s="17"/>
      <c r="AI4193" s="17"/>
      <c r="AJ4193" s="17"/>
      <c r="AK4193" s="17"/>
      <c r="AL4193" s="17"/>
      <c r="AM4193" s="17"/>
      <c r="AN4193" s="17"/>
      <c r="AO4193" s="17"/>
      <c r="AP4193" s="17"/>
      <c r="AQ4193" s="17"/>
      <c r="AR4193" s="17"/>
    </row>
    <row r="4194" s="20" customFormat="1" hidden="1" spans="1:44">
      <c r="A4194" s="17" t="s">
        <v>34</v>
      </c>
      <c r="B4194" s="19">
        <v>938</v>
      </c>
      <c r="C4194" s="183">
        <v>45168</v>
      </c>
      <c r="D4194" s="17" t="s">
        <v>52</v>
      </c>
      <c r="E4194" s="17" t="s">
        <v>1113</v>
      </c>
      <c r="F4194" s="17" t="s">
        <v>54</v>
      </c>
      <c r="G4194" s="17"/>
      <c r="H4194" s="19" t="s">
        <v>1114</v>
      </c>
      <c r="I4194" s="19"/>
      <c r="J4194" s="17" t="s">
        <v>82</v>
      </c>
      <c r="K4194" s="19">
        <v>230</v>
      </c>
      <c r="L4194" s="19">
        <v>65</v>
      </c>
      <c r="M4194" s="19">
        <v>2200</v>
      </c>
      <c r="N4194" s="19" t="s">
        <v>66</v>
      </c>
      <c r="O4194" s="19" t="s">
        <v>141</v>
      </c>
      <c r="P4194" s="99">
        <v>530</v>
      </c>
      <c r="Q4194" s="19">
        <f>274+274</f>
        <v>548</v>
      </c>
      <c r="R4194" s="19">
        <f>+P4194-Q4194</f>
        <v>-18</v>
      </c>
      <c r="S4194" s="19">
        <f>1110-40</f>
        <v>1070</v>
      </c>
      <c r="T4194" s="19" t="s">
        <v>42</v>
      </c>
      <c r="U4194" s="102" t="s">
        <v>1286</v>
      </c>
      <c r="V4194" s="253">
        <v>44935</v>
      </c>
      <c r="W4194" s="17" t="s">
        <v>44</v>
      </c>
      <c r="X4194" s="17"/>
      <c r="Y4194" s="68">
        <v>45283</v>
      </c>
      <c r="Z4194" s="17" t="s">
        <v>191</v>
      </c>
      <c r="AA4194" s="17" t="s">
        <v>46</v>
      </c>
      <c r="AB4194" s="17" t="s">
        <v>1233</v>
      </c>
      <c r="AC4194" s="66">
        <v>45288</v>
      </c>
      <c r="AD4194" s="65">
        <v>1506</v>
      </c>
      <c r="AE4194" s="17" t="s">
        <v>48</v>
      </c>
      <c r="AF4194" s="17"/>
      <c r="AG4194" s="17"/>
      <c r="AH4194" s="17"/>
      <c r="AI4194" s="17"/>
      <c r="AJ4194" s="17"/>
      <c r="AK4194" s="17"/>
      <c r="AL4194" s="17"/>
      <c r="AM4194" s="17"/>
      <c r="AN4194" s="17"/>
      <c r="AO4194" s="17"/>
      <c r="AP4194" s="17"/>
      <c r="AQ4194" s="17"/>
      <c r="AR4194" s="17"/>
    </row>
    <row r="4195" s="20" customFormat="1" hidden="1" spans="1:44">
      <c r="A4195" s="17" t="s">
        <v>34</v>
      </c>
      <c r="B4195" s="19">
        <v>938</v>
      </c>
      <c r="C4195" s="183">
        <v>45168</v>
      </c>
      <c r="D4195" s="17" t="s">
        <v>52</v>
      </c>
      <c r="E4195" s="17" t="s">
        <v>1113</v>
      </c>
      <c r="F4195" s="17" t="s">
        <v>54</v>
      </c>
      <c r="G4195" s="17"/>
      <c r="H4195" s="19" t="s">
        <v>1114</v>
      </c>
      <c r="I4195" s="19"/>
      <c r="J4195" s="17" t="s">
        <v>82</v>
      </c>
      <c r="K4195" s="19">
        <v>255</v>
      </c>
      <c r="L4195" s="19">
        <v>65</v>
      </c>
      <c r="M4195" s="19">
        <v>2200</v>
      </c>
      <c r="N4195" s="19" t="s">
        <v>66</v>
      </c>
      <c r="O4195" s="19" t="s">
        <v>141</v>
      </c>
      <c r="P4195" s="99">
        <v>2941</v>
      </c>
      <c r="Q4195" s="19">
        <v>303</v>
      </c>
      <c r="R4195" s="17"/>
      <c r="S4195" s="19">
        <f>1110-40</f>
        <v>1070</v>
      </c>
      <c r="T4195" s="19" t="s">
        <v>42</v>
      </c>
      <c r="U4195" s="102" t="s">
        <v>1286</v>
      </c>
      <c r="V4195" s="253">
        <v>44935</v>
      </c>
      <c r="W4195" s="17" t="s">
        <v>44</v>
      </c>
      <c r="X4195" s="17"/>
      <c r="Y4195" s="68">
        <v>45283</v>
      </c>
      <c r="Z4195" s="17" t="s">
        <v>191</v>
      </c>
      <c r="AA4195" s="17" t="s">
        <v>46</v>
      </c>
      <c r="AB4195" s="17" t="s">
        <v>1244</v>
      </c>
      <c r="AC4195" s="66">
        <v>45286</v>
      </c>
      <c r="AD4195" s="65">
        <v>1505</v>
      </c>
      <c r="AE4195" s="17" t="s">
        <v>1287</v>
      </c>
      <c r="AF4195" s="17"/>
      <c r="AG4195" s="17"/>
      <c r="AH4195" s="17"/>
      <c r="AI4195" s="17"/>
      <c r="AJ4195" s="17"/>
      <c r="AK4195" s="17"/>
      <c r="AL4195" s="17"/>
      <c r="AM4195" s="17"/>
      <c r="AN4195" s="17"/>
      <c r="AO4195" s="17"/>
      <c r="AP4195" s="17"/>
      <c r="AQ4195" s="17"/>
      <c r="AR4195" s="17"/>
    </row>
    <row r="4196" s="20" customFormat="1" hidden="1" spans="1:44">
      <c r="A4196" s="17" t="s">
        <v>34</v>
      </c>
      <c r="B4196" s="19">
        <v>938</v>
      </c>
      <c r="C4196" s="183">
        <v>45168</v>
      </c>
      <c r="D4196" s="17" t="s">
        <v>52</v>
      </c>
      <c r="E4196" s="17" t="s">
        <v>1113</v>
      </c>
      <c r="F4196" s="17" t="s">
        <v>54</v>
      </c>
      <c r="G4196" s="17"/>
      <c r="H4196" s="19" t="s">
        <v>1114</v>
      </c>
      <c r="I4196" s="19"/>
      <c r="J4196" s="17" t="s">
        <v>82</v>
      </c>
      <c r="K4196" s="19">
        <v>255</v>
      </c>
      <c r="L4196" s="19">
        <v>65</v>
      </c>
      <c r="M4196" s="19">
        <v>2200</v>
      </c>
      <c r="N4196" s="19" t="s">
        <v>66</v>
      </c>
      <c r="O4196" s="19" t="s">
        <v>141</v>
      </c>
      <c r="P4196" s="99"/>
      <c r="Q4196" s="19">
        <v>1215</v>
      </c>
      <c r="R4196" s="254"/>
      <c r="S4196" s="19">
        <f>1110-40</f>
        <v>1070</v>
      </c>
      <c r="T4196" s="19" t="s">
        <v>42</v>
      </c>
      <c r="U4196" s="102" t="s">
        <v>1286</v>
      </c>
      <c r="V4196" s="253">
        <v>44935</v>
      </c>
      <c r="W4196" s="17" t="s">
        <v>44</v>
      </c>
      <c r="X4196" s="17"/>
      <c r="Y4196" s="68">
        <v>45283</v>
      </c>
      <c r="Z4196" s="17" t="s">
        <v>191</v>
      </c>
      <c r="AA4196" s="17" t="s">
        <v>46</v>
      </c>
      <c r="AB4196" s="17" t="s">
        <v>1237</v>
      </c>
      <c r="AC4196" s="217">
        <v>45627</v>
      </c>
      <c r="AD4196" s="65">
        <v>1516</v>
      </c>
      <c r="AE4196" s="17" t="s">
        <v>1287</v>
      </c>
      <c r="AF4196" s="17"/>
      <c r="AG4196" s="17"/>
      <c r="AH4196" s="17"/>
      <c r="AI4196" s="17"/>
      <c r="AJ4196" s="17"/>
      <c r="AK4196" s="17"/>
      <c r="AL4196" s="17"/>
      <c r="AM4196" s="17"/>
      <c r="AN4196" s="17"/>
      <c r="AO4196" s="17"/>
      <c r="AP4196" s="17"/>
      <c r="AQ4196" s="17"/>
      <c r="AR4196" s="17"/>
    </row>
    <row r="4197" s="20" customFormat="1" hidden="1" spans="1:44">
      <c r="A4197" s="17" t="s">
        <v>34</v>
      </c>
      <c r="B4197" s="19">
        <v>938</v>
      </c>
      <c r="C4197" s="183">
        <v>45168</v>
      </c>
      <c r="D4197" s="17" t="s">
        <v>52</v>
      </c>
      <c r="E4197" s="17" t="s">
        <v>1113</v>
      </c>
      <c r="F4197" s="17" t="s">
        <v>54</v>
      </c>
      <c r="G4197" s="17"/>
      <c r="H4197" s="19" t="s">
        <v>1114</v>
      </c>
      <c r="I4197" s="19"/>
      <c r="J4197" s="17" t="s">
        <v>82</v>
      </c>
      <c r="K4197" s="19">
        <v>255</v>
      </c>
      <c r="L4197" s="19">
        <v>65</v>
      </c>
      <c r="M4197" s="19">
        <v>2200</v>
      </c>
      <c r="N4197" s="19" t="s">
        <v>66</v>
      </c>
      <c r="O4197" s="19" t="s">
        <v>141</v>
      </c>
      <c r="P4197" s="99"/>
      <c r="Q4197" s="19">
        <v>299</v>
      </c>
      <c r="R4197" s="21"/>
      <c r="S4197" s="19">
        <f>1110-40-40</f>
        <v>1030</v>
      </c>
      <c r="T4197" s="19" t="s">
        <v>42</v>
      </c>
      <c r="U4197" s="102" t="s">
        <v>1286</v>
      </c>
      <c r="V4197" s="253">
        <v>44935</v>
      </c>
      <c r="W4197" s="17" t="s">
        <v>44</v>
      </c>
      <c r="X4197" s="17"/>
      <c r="Y4197" s="68">
        <v>45283</v>
      </c>
      <c r="Z4197" s="17" t="s">
        <v>191</v>
      </c>
      <c r="AA4197" s="17" t="s">
        <v>46</v>
      </c>
      <c r="AB4197" s="17" t="s">
        <v>1249</v>
      </c>
      <c r="AC4197" s="217">
        <v>45380</v>
      </c>
      <c r="AD4197" s="65">
        <v>1547</v>
      </c>
      <c r="AE4197" s="17" t="s">
        <v>1287</v>
      </c>
      <c r="AF4197" s="17"/>
      <c r="AG4197" s="17"/>
      <c r="AH4197" s="17"/>
      <c r="AI4197" s="17"/>
      <c r="AJ4197" s="17"/>
      <c r="AK4197" s="17"/>
      <c r="AL4197" s="17"/>
      <c r="AM4197" s="17"/>
      <c r="AN4197" s="17"/>
      <c r="AO4197" s="17"/>
      <c r="AP4197" s="17"/>
      <c r="AQ4197" s="17"/>
      <c r="AR4197" s="17"/>
    </row>
    <row r="4198" s="20" customFormat="1" hidden="1" spans="1:44">
      <c r="A4198" s="17" t="s">
        <v>34</v>
      </c>
      <c r="B4198" s="19">
        <v>938</v>
      </c>
      <c r="C4198" s="183">
        <v>45168</v>
      </c>
      <c r="D4198" s="17" t="s">
        <v>52</v>
      </c>
      <c r="E4198" s="17" t="s">
        <v>1113</v>
      </c>
      <c r="F4198" s="17" t="s">
        <v>54</v>
      </c>
      <c r="G4198" s="17"/>
      <c r="H4198" s="19" t="s">
        <v>1114</v>
      </c>
      <c r="I4198" s="19"/>
      <c r="J4198" s="17" t="s">
        <v>82</v>
      </c>
      <c r="K4198" s="19">
        <v>255</v>
      </c>
      <c r="L4198" s="19">
        <v>65</v>
      </c>
      <c r="M4198" s="19">
        <v>2200</v>
      </c>
      <c r="N4198" s="19" t="s">
        <v>66</v>
      </c>
      <c r="O4198" s="19" t="s">
        <v>141</v>
      </c>
      <c r="P4198" s="99"/>
      <c r="Q4198" s="19">
        <f>600+603</f>
        <v>1203</v>
      </c>
      <c r="R4198" s="99">
        <f>+P4195-Q4195-Q4196-Q4197-Q4198</f>
        <v>-79</v>
      </c>
      <c r="S4198" s="19">
        <v>1030</v>
      </c>
      <c r="T4198" s="19" t="s">
        <v>42</v>
      </c>
      <c r="U4198" s="102" t="s">
        <v>1286</v>
      </c>
      <c r="V4198" s="253">
        <v>44935</v>
      </c>
      <c r="W4198" s="17" t="s">
        <v>44</v>
      </c>
      <c r="X4198" s="17"/>
      <c r="Y4198" s="68">
        <v>45283</v>
      </c>
      <c r="Z4198" s="17" t="s">
        <v>191</v>
      </c>
      <c r="AA4198" s="17" t="s">
        <v>46</v>
      </c>
      <c r="AB4198" s="17" t="s">
        <v>1245</v>
      </c>
      <c r="AC4198" s="66">
        <v>45379</v>
      </c>
      <c r="AD4198" s="65">
        <v>1546</v>
      </c>
      <c r="AE4198" s="17" t="s">
        <v>1287</v>
      </c>
      <c r="AF4198" s="17"/>
      <c r="AG4198" s="17"/>
      <c r="AH4198" s="17"/>
      <c r="AI4198" s="17"/>
      <c r="AJ4198" s="17"/>
      <c r="AK4198" s="17"/>
      <c r="AL4198" s="17"/>
      <c r="AM4198" s="17"/>
      <c r="AN4198" s="17"/>
      <c r="AO4198" s="17"/>
      <c r="AP4198" s="17"/>
      <c r="AQ4198" s="17"/>
      <c r="AR4198" s="17"/>
    </row>
    <row r="4199" s="20" customFormat="1" hidden="1" spans="1:44">
      <c r="A4199" s="17" t="s">
        <v>34</v>
      </c>
      <c r="B4199" s="19">
        <v>938</v>
      </c>
      <c r="C4199" s="183">
        <v>45168</v>
      </c>
      <c r="D4199" s="17" t="s">
        <v>52</v>
      </c>
      <c r="E4199" s="17" t="s">
        <v>1113</v>
      </c>
      <c r="F4199" s="17" t="s">
        <v>54</v>
      </c>
      <c r="G4199" s="17"/>
      <c r="H4199" s="19" t="s">
        <v>1114</v>
      </c>
      <c r="I4199" s="19"/>
      <c r="J4199" s="17" t="s">
        <v>82</v>
      </c>
      <c r="K4199" s="19">
        <v>280</v>
      </c>
      <c r="L4199" s="19">
        <v>65</v>
      </c>
      <c r="M4199" s="19">
        <v>2200</v>
      </c>
      <c r="N4199" s="19" t="s">
        <v>66</v>
      </c>
      <c r="O4199" s="19" t="s">
        <v>141</v>
      </c>
      <c r="P4199" s="99">
        <v>646</v>
      </c>
      <c r="Q4199" s="19">
        <v>331</v>
      </c>
      <c r="R4199" s="17"/>
      <c r="S4199" s="19">
        <f>1110-40</f>
        <v>1070</v>
      </c>
      <c r="T4199" s="19" t="s">
        <v>42</v>
      </c>
      <c r="U4199" s="102" t="s">
        <v>1286</v>
      </c>
      <c r="V4199" s="253">
        <v>44935</v>
      </c>
      <c r="W4199" s="17" t="s">
        <v>44</v>
      </c>
      <c r="X4199" s="17"/>
      <c r="Y4199" s="68">
        <v>45283</v>
      </c>
      <c r="Z4199" s="17" t="s">
        <v>191</v>
      </c>
      <c r="AA4199" s="17" t="s">
        <v>46</v>
      </c>
      <c r="AB4199" s="17" t="s">
        <v>1233</v>
      </c>
      <c r="AC4199" s="66">
        <v>45288</v>
      </c>
      <c r="AD4199" s="65">
        <v>1506</v>
      </c>
      <c r="AE4199" s="17" t="s">
        <v>48</v>
      </c>
      <c r="AF4199" s="17"/>
      <c r="AG4199" s="17"/>
      <c r="AH4199" s="17"/>
      <c r="AI4199" s="17"/>
      <c r="AJ4199" s="17"/>
      <c r="AK4199" s="17"/>
      <c r="AL4199" s="17"/>
      <c r="AM4199" s="17"/>
      <c r="AN4199" s="17"/>
      <c r="AO4199" s="17"/>
      <c r="AP4199" s="17"/>
      <c r="AQ4199" s="17"/>
      <c r="AR4199" s="17"/>
    </row>
    <row r="4200" s="20" customFormat="1" hidden="1" spans="1:44">
      <c r="A4200" s="17" t="s">
        <v>34</v>
      </c>
      <c r="B4200" s="19">
        <v>938</v>
      </c>
      <c r="C4200" s="183">
        <v>45168</v>
      </c>
      <c r="D4200" s="17" t="s">
        <v>52</v>
      </c>
      <c r="E4200" s="17" t="s">
        <v>1113</v>
      </c>
      <c r="F4200" s="17" t="s">
        <v>54</v>
      </c>
      <c r="G4200" s="17"/>
      <c r="H4200" s="19" t="s">
        <v>1114</v>
      </c>
      <c r="I4200" s="19"/>
      <c r="J4200" s="17" t="s">
        <v>82</v>
      </c>
      <c r="K4200" s="19">
        <v>280</v>
      </c>
      <c r="L4200" s="19">
        <v>65</v>
      </c>
      <c r="M4200" s="19">
        <v>2200</v>
      </c>
      <c r="N4200" s="19" t="s">
        <v>66</v>
      </c>
      <c r="O4200" s="19" t="s">
        <v>141</v>
      </c>
      <c r="P4200" s="99"/>
      <c r="Q4200" s="19">
        <v>331</v>
      </c>
      <c r="R4200" s="99">
        <f>+P4199-Q4199-Q4200</f>
        <v>-16</v>
      </c>
      <c r="S4200" s="19">
        <f>1110-40</f>
        <v>1070</v>
      </c>
      <c r="T4200" s="19" t="s">
        <v>42</v>
      </c>
      <c r="U4200" s="102" t="s">
        <v>1286</v>
      </c>
      <c r="V4200" s="253">
        <v>44935</v>
      </c>
      <c r="W4200" s="17" t="s">
        <v>44</v>
      </c>
      <c r="X4200" s="17"/>
      <c r="Y4200" s="68">
        <v>45283</v>
      </c>
      <c r="Z4200" s="17" t="s">
        <v>191</v>
      </c>
      <c r="AA4200" s="17" t="s">
        <v>46</v>
      </c>
      <c r="AB4200" s="17" t="s">
        <v>1282</v>
      </c>
      <c r="AC4200" s="217">
        <v>45017</v>
      </c>
      <c r="AD4200" s="65">
        <v>1512</v>
      </c>
      <c r="AE4200" s="17" t="s">
        <v>48</v>
      </c>
      <c r="AF4200" s="17"/>
      <c r="AG4200" s="17"/>
      <c r="AH4200" s="17"/>
      <c r="AI4200" s="17"/>
      <c r="AJ4200" s="17"/>
      <c r="AK4200" s="17"/>
      <c r="AL4200" s="17"/>
      <c r="AM4200" s="17"/>
      <c r="AN4200" s="17"/>
      <c r="AO4200" s="17"/>
      <c r="AP4200" s="17"/>
      <c r="AQ4200" s="17"/>
      <c r="AR4200" s="17"/>
    </row>
    <row r="4201" s="21" customFormat="1" hidden="1" spans="1:44">
      <c r="A4201" s="17" t="s">
        <v>34</v>
      </c>
      <c r="B4201" s="19">
        <v>938</v>
      </c>
      <c r="C4201" s="183">
        <v>45168</v>
      </c>
      <c r="D4201" s="17" t="s">
        <v>52</v>
      </c>
      <c r="E4201" s="17" t="s">
        <v>1113</v>
      </c>
      <c r="F4201" s="17" t="s">
        <v>54</v>
      </c>
      <c r="G4201" s="17"/>
      <c r="H4201" s="19" t="s">
        <v>1114</v>
      </c>
      <c r="I4201" s="19"/>
      <c r="J4201" s="17" t="s">
        <v>82</v>
      </c>
      <c r="K4201" s="19">
        <v>305</v>
      </c>
      <c r="L4201" s="19">
        <v>65</v>
      </c>
      <c r="M4201" s="19">
        <v>2200</v>
      </c>
      <c r="N4201" s="19" t="s">
        <v>66</v>
      </c>
      <c r="O4201" s="19" t="s">
        <v>141</v>
      </c>
      <c r="P4201" s="99">
        <v>2814</v>
      </c>
      <c r="Q4201" s="19">
        <f>361+363+361+363+361</f>
        <v>1809</v>
      </c>
      <c r="S4201" s="19">
        <f>1110-40</f>
        <v>1070</v>
      </c>
      <c r="T4201" s="19" t="s">
        <v>42</v>
      </c>
      <c r="U4201" s="102" t="s">
        <v>1286</v>
      </c>
      <c r="V4201" s="253">
        <v>44935</v>
      </c>
      <c r="W4201" s="17" t="s">
        <v>44</v>
      </c>
      <c r="X4201" s="17"/>
      <c r="Y4201" s="68">
        <v>45283</v>
      </c>
      <c r="Z4201" s="17" t="s">
        <v>191</v>
      </c>
      <c r="AA4201" s="17" t="s">
        <v>46</v>
      </c>
      <c r="AB4201" s="17" t="s">
        <v>1250</v>
      </c>
      <c r="AC4201" s="217">
        <v>45351</v>
      </c>
      <c r="AD4201" s="65">
        <v>1533</v>
      </c>
      <c r="AE4201" s="17" t="s">
        <v>1287</v>
      </c>
      <c r="AF4201" s="17"/>
      <c r="AG4201" s="17"/>
      <c r="AH4201" s="17"/>
      <c r="AI4201" s="17"/>
      <c r="AJ4201" s="17"/>
      <c r="AK4201" s="17"/>
      <c r="AL4201" s="17"/>
      <c r="AM4201" s="17"/>
      <c r="AN4201" s="17"/>
      <c r="AO4201" s="17"/>
      <c r="AP4201" s="17"/>
      <c r="AQ4201" s="17"/>
      <c r="AR4201" s="17"/>
    </row>
    <row r="4202" s="21" customFormat="1" hidden="1" spans="1:44">
      <c r="A4202" s="17" t="s">
        <v>34</v>
      </c>
      <c r="B4202" s="19">
        <v>938</v>
      </c>
      <c r="C4202" s="183">
        <v>45168</v>
      </c>
      <c r="D4202" s="17" t="s">
        <v>52</v>
      </c>
      <c r="E4202" s="17" t="s">
        <v>1113</v>
      </c>
      <c r="F4202" s="17" t="s">
        <v>54</v>
      </c>
      <c r="G4202" s="17"/>
      <c r="H4202" s="19" t="s">
        <v>1114</v>
      </c>
      <c r="I4202" s="19"/>
      <c r="J4202" s="17" t="s">
        <v>82</v>
      </c>
      <c r="K4202" s="19">
        <v>305</v>
      </c>
      <c r="L4202" s="19">
        <v>65</v>
      </c>
      <c r="M4202" s="19">
        <v>2200</v>
      </c>
      <c r="N4202" s="19" t="s">
        <v>66</v>
      </c>
      <c r="O4202" s="19" t="s">
        <v>141</v>
      </c>
      <c r="P4202" s="99"/>
      <c r="Q4202" s="19">
        <v>723</v>
      </c>
      <c r="R4202" s="99">
        <f>+P4201-Q4201-Q4202</f>
        <v>282</v>
      </c>
      <c r="S4202" s="19">
        <v>1030</v>
      </c>
      <c r="T4202" s="19" t="s">
        <v>42</v>
      </c>
      <c r="U4202" s="102" t="s">
        <v>1286</v>
      </c>
      <c r="V4202" s="253">
        <v>44935</v>
      </c>
      <c r="W4202" s="17" t="s">
        <v>44</v>
      </c>
      <c r="X4202" s="17"/>
      <c r="Y4202" s="68">
        <v>45283</v>
      </c>
      <c r="Z4202" s="17" t="s">
        <v>191</v>
      </c>
      <c r="AA4202" s="17" t="s">
        <v>46</v>
      </c>
      <c r="AB4202" s="17" t="s">
        <v>1245</v>
      </c>
      <c r="AC4202" s="66">
        <v>45379</v>
      </c>
      <c r="AD4202" s="65">
        <v>1546</v>
      </c>
      <c r="AE4202" s="17" t="s">
        <v>1287</v>
      </c>
      <c r="AF4202" s="17"/>
      <c r="AG4202" s="17"/>
      <c r="AH4202" s="17"/>
      <c r="AI4202" s="17"/>
      <c r="AJ4202" s="17"/>
      <c r="AK4202" s="17"/>
      <c r="AL4202" s="17"/>
      <c r="AM4202" s="17"/>
      <c r="AN4202" s="17"/>
      <c r="AO4202" s="17"/>
      <c r="AP4202" s="17"/>
      <c r="AQ4202" s="17"/>
      <c r="AR4202" s="17"/>
    </row>
    <row r="4203" s="20" customFormat="1" hidden="1" spans="1:44">
      <c r="A4203" s="17" t="s">
        <v>34</v>
      </c>
      <c r="B4203" s="19">
        <v>938</v>
      </c>
      <c r="C4203" s="183">
        <v>45168</v>
      </c>
      <c r="D4203" s="17" t="s">
        <v>52</v>
      </c>
      <c r="E4203" s="17" t="s">
        <v>1113</v>
      </c>
      <c r="F4203" s="17" t="s">
        <v>54</v>
      </c>
      <c r="G4203" s="17"/>
      <c r="H4203" s="19" t="s">
        <v>1114</v>
      </c>
      <c r="I4203" s="19"/>
      <c r="J4203" s="17" t="s">
        <v>82</v>
      </c>
      <c r="K4203" s="19">
        <v>355</v>
      </c>
      <c r="L4203" s="19">
        <v>65</v>
      </c>
      <c r="M4203" s="19">
        <v>2200</v>
      </c>
      <c r="N4203" s="19" t="s">
        <v>66</v>
      </c>
      <c r="O4203" s="19" t="s">
        <v>141</v>
      </c>
      <c r="P4203" s="99">
        <v>2866</v>
      </c>
      <c r="Q4203" s="19">
        <v>2949</v>
      </c>
      <c r="R4203" s="17"/>
      <c r="S4203" s="19">
        <f t="shared" ref="S4203:S4217" si="202">1110-40</f>
        <v>1070</v>
      </c>
      <c r="T4203" s="19" t="s">
        <v>42</v>
      </c>
      <c r="U4203" s="102" t="s">
        <v>1286</v>
      </c>
      <c r="V4203" s="253">
        <v>44935</v>
      </c>
      <c r="W4203" s="17" t="s">
        <v>44</v>
      </c>
      <c r="X4203" s="17"/>
      <c r="Y4203" s="68">
        <v>45283</v>
      </c>
      <c r="Z4203" s="17" t="s">
        <v>191</v>
      </c>
      <c r="AA4203" s="17" t="s">
        <v>46</v>
      </c>
      <c r="AB4203" s="17" t="s">
        <v>1244</v>
      </c>
      <c r="AC4203" s="66">
        <v>45286</v>
      </c>
      <c r="AD4203" s="65">
        <v>1505</v>
      </c>
      <c r="AE4203" s="17" t="s">
        <v>1287</v>
      </c>
      <c r="AF4203" s="17"/>
      <c r="AG4203" s="17"/>
      <c r="AH4203" s="17"/>
      <c r="AI4203" s="17"/>
      <c r="AJ4203" s="17"/>
      <c r="AK4203" s="17"/>
      <c r="AL4203" s="17"/>
      <c r="AM4203" s="17"/>
      <c r="AN4203" s="17"/>
      <c r="AO4203" s="17"/>
      <c r="AP4203" s="17"/>
      <c r="AQ4203" s="17"/>
      <c r="AR4203" s="17"/>
    </row>
    <row r="4204" s="20" customFormat="1" hidden="1" spans="1:44">
      <c r="A4204" s="17" t="s">
        <v>34</v>
      </c>
      <c r="B4204" s="19">
        <v>938</v>
      </c>
      <c r="C4204" s="183">
        <v>45168</v>
      </c>
      <c r="D4204" s="17" t="s">
        <v>52</v>
      </c>
      <c r="E4204" s="17" t="s">
        <v>1113</v>
      </c>
      <c r="F4204" s="17" t="s">
        <v>54</v>
      </c>
      <c r="G4204" s="17"/>
      <c r="H4204" s="19" t="s">
        <v>1114</v>
      </c>
      <c r="I4204" s="19"/>
      <c r="J4204" s="17" t="s">
        <v>82</v>
      </c>
      <c r="K4204" s="19">
        <v>355</v>
      </c>
      <c r="L4204" s="19">
        <v>65</v>
      </c>
      <c r="M4204" s="19">
        <v>2200</v>
      </c>
      <c r="N4204" s="19" t="s">
        <v>66</v>
      </c>
      <c r="O4204" s="19" t="s">
        <v>141</v>
      </c>
      <c r="P4204" s="99"/>
      <c r="Q4204" s="19">
        <v>419</v>
      </c>
      <c r="R4204" s="17"/>
      <c r="S4204" s="19">
        <f t="shared" si="202"/>
        <v>1070</v>
      </c>
      <c r="T4204" s="19" t="s">
        <v>42</v>
      </c>
      <c r="U4204" s="102" t="s">
        <v>1286</v>
      </c>
      <c r="V4204" s="253">
        <v>44935</v>
      </c>
      <c r="W4204" s="17" t="s">
        <v>44</v>
      </c>
      <c r="X4204" s="17"/>
      <c r="Y4204" s="68">
        <v>45283</v>
      </c>
      <c r="Z4204" s="17" t="s">
        <v>191</v>
      </c>
      <c r="AA4204" s="17" t="s">
        <v>46</v>
      </c>
      <c r="AB4204" s="17" t="s">
        <v>1233</v>
      </c>
      <c r="AC4204" s="66">
        <v>45288</v>
      </c>
      <c r="AD4204" s="65">
        <v>1506</v>
      </c>
      <c r="AE4204" s="17" t="s">
        <v>1287</v>
      </c>
      <c r="AF4204" s="17"/>
      <c r="AG4204" s="17"/>
      <c r="AH4204" s="17"/>
      <c r="AI4204" s="17"/>
      <c r="AJ4204" s="17"/>
      <c r="AK4204" s="17"/>
      <c r="AL4204" s="17"/>
      <c r="AM4204" s="17"/>
      <c r="AN4204" s="17"/>
      <c r="AO4204" s="17"/>
      <c r="AP4204" s="17"/>
      <c r="AQ4204" s="17"/>
      <c r="AR4204" s="17"/>
    </row>
    <row r="4205" s="20" customFormat="1" hidden="1" spans="1:44">
      <c r="A4205" s="17" t="s">
        <v>34</v>
      </c>
      <c r="B4205" s="19">
        <v>938</v>
      </c>
      <c r="C4205" s="183">
        <v>45168</v>
      </c>
      <c r="D4205" s="17" t="s">
        <v>52</v>
      </c>
      <c r="E4205" s="17" t="s">
        <v>1113</v>
      </c>
      <c r="F4205" s="17" t="s">
        <v>54</v>
      </c>
      <c r="G4205" s="17"/>
      <c r="H4205" s="19" t="s">
        <v>1114</v>
      </c>
      <c r="I4205" s="19"/>
      <c r="J4205" s="17" t="s">
        <v>82</v>
      </c>
      <c r="K4205" s="19">
        <v>355</v>
      </c>
      <c r="L4205" s="19">
        <v>65</v>
      </c>
      <c r="M4205" s="19">
        <v>2200</v>
      </c>
      <c r="N4205" s="19" t="s">
        <v>66</v>
      </c>
      <c r="O4205" s="19" t="s">
        <v>141</v>
      </c>
      <c r="P4205" s="99"/>
      <c r="Q4205" s="19">
        <v>419</v>
      </c>
      <c r="R4205" s="17"/>
      <c r="S4205" s="19">
        <f t="shared" si="202"/>
        <v>1070</v>
      </c>
      <c r="T4205" s="19" t="s">
        <v>42</v>
      </c>
      <c r="U4205" s="102" t="s">
        <v>1286</v>
      </c>
      <c r="V4205" s="253">
        <v>44935</v>
      </c>
      <c r="W4205" s="17" t="s">
        <v>44</v>
      </c>
      <c r="X4205" s="17"/>
      <c r="Y4205" s="68">
        <v>45283</v>
      </c>
      <c r="Z4205" s="17" t="s">
        <v>191</v>
      </c>
      <c r="AA4205" s="17" t="s">
        <v>46</v>
      </c>
      <c r="AB4205" s="17" t="s">
        <v>1260</v>
      </c>
      <c r="AC4205" s="66">
        <v>45288</v>
      </c>
      <c r="AD4205" s="65">
        <v>1507</v>
      </c>
      <c r="AE4205" s="17" t="s">
        <v>1287</v>
      </c>
      <c r="AF4205" s="17"/>
      <c r="AG4205" s="17"/>
      <c r="AH4205" s="17"/>
      <c r="AI4205" s="17"/>
      <c r="AJ4205" s="17"/>
      <c r="AK4205" s="17"/>
      <c r="AL4205" s="17"/>
      <c r="AM4205" s="17"/>
      <c r="AN4205" s="17"/>
      <c r="AO4205" s="17"/>
      <c r="AP4205" s="17"/>
      <c r="AQ4205" s="17"/>
      <c r="AR4205" s="17"/>
    </row>
    <row r="4206" s="20" customFormat="1" hidden="1" spans="1:44">
      <c r="A4206" s="17" t="s">
        <v>34</v>
      </c>
      <c r="B4206" s="19">
        <v>938</v>
      </c>
      <c r="C4206" s="183">
        <v>45168</v>
      </c>
      <c r="D4206" s="17" t="s">
        <v>52</v>
      </c>
      <c r="E4206" s="17" t="s">
        <v>1113</v>
      </c>
      <c r="F4206" s="17" t="s">
        <v>54</v>
      </c>
      <c r="G4206" s="17"/>
      <c r="H4206" s="19" t="s">
        <v>1114</v>
      </c>
      <c r="I4206" s="19"/>
      <c r="J4206" s="17" t="s">
        <v>82</v>
      </c>
      <c r="K4206" s="19">
        <v>355</v>
      </c>
      <c r="L4206" s="19">
        <v>65</v>
      </c>
      <c r="M4206" s="19">
        <v>2200</v>
      </c>
      <c r="N4206" s="19" t="s">
        <v>66</v>
      </c>
      <c r="O4206" s="19" t="s">
        <v>141</v>
      </c>
      <c r="P4206" s="99"/>
      <c r="Q4206" s="19">
        <v>419</v>
      </c>
      <c r="R4206" s="17"/>
      <c r="S4206" s="19">
        <f t="shared" si="202"/>
        <v>1070</v>
      </c>
      <c r="T4206" s="19" t="s">
        <v>42</v>
      </c>
      <c r="U4206" s="102" t="s">
        <v>1286</v>
      </c>
      <c r="V4206" s="253">
        <v>44935</v>
      </c>
      <c r="W4206" s="17" t="s">
        <v>44</v>
      </c>
      <c r="X4206" s="17"/>
      <c r="Y4206" s="68">
        <v>45283</v>
      </c>
      <c r="Z4206" s="17" t="s">
        <v>191</v>
      </c>
      <c r="AA4206" s="17" t="s">
        <v>46</v>
      </c>
      <c r="AB4206" s="17" t="s">
        <v>1260</v>
      </c>
      <c r="AC4206" s="66">
        <v>45288</v>
      </c>
      <c r="AD4206" s="65">
        <v>1507</v>
      </c>
      <c r="AE4206" s="17" t="s">
        <v>1287</v>
      </c>
      <c r="AF4206" s="17"/>
      <c r="AG4206" s="17"/>
      <c r="AH4206" s="17"/>
      <c r="AI4206" s="17"/>
      <c r="AJ4206" s="17"/>
      <c r="AK4206" s="17"/>
      <c r="AL4206" s="17"/>
      <c r="AM4206" s="17"/>
      <c r="AN4206" s="17"/>
      <c r="AO4206" s="17"/>
      <c r="AP4206" s="17"/>
      <c r="AQ4206" s="17"/>
      <c r="AR4206" s="17"/>
    </row>
    <row r="4207" s="20" customFormat="1" hidden="1" spans="1:44">
      <c r="A4207" s="17" t="s">
        <v>34</v>
      </c>
      <c r="B4207" s="19">
        <v>938</v>
      </c>
      <c r="C4207" s="183">
        <v>45168</v>
      </c>
      <c r="D4207" s="17" t="s">
        <v>52</v>
      </c>
      <c r="E4207" s="17" t="s">
        <v>1113</v>
      </c>
      <c r="F4207" s="17" t="s">
        <v>54</v>
      </c>
      <c r="G4207" s="17"/>
      <c r="H4207" s="19" t="s">
        <v>1114</v>
      </c>
      <c r="I4207" s="19"/>
      <c r="J4207" s="17" t="s">
        <v>82</v>
      </c>
      <c r="K4207" s="19">
        <v>355</v>
      </c>
      <c r="L4207" s="19">
        <v>65</v>
      </c>
      <c r="M4207" s="19">
        <v>2200</v>
      </c>
      <c r="N4207" s="19" t="s">
        <v>66</v>
      </c>
      <c r="O4207" s="19" t="s">
        <v>141</v>
      </c>
      <c r="P4207" s="99"/>
      <c r="Q4207" s="19">
        <v>419</v>
      </c>
      <c r="R4207" s="99">
        <f>+P4203-Q4203-Q4204-Q4205-Q4206-Q4207</f>
        <v>-1759</v>
      </c>
      <c r="S4207" s="19">
        <f t="shared" si="202"/>
        <v>1070</v>
      </c>
      <c r="T4207" s="19" t="s">
        <v>42</v>
      </c>
      <c r="U4207" s="102" t="s">
        <v>1286</v>
      </c>
      <c r="V4207" s="253">
        <v>44935</v>
      </c>
      <c r="W4207" s="17" t="s">
        <v>44</v>
      </c>
      <c r="X4207" s="17"/>
      <c r="Y4207" s="68">
        <v>45283</v>
      </c>
      <c r="Z4207" s="17" t="s">
        <v>191</v>
      </c>
      <c r="AA4207" s="17" t="s">
        <v>46</v>
      </c>
      <c r="AB4207" s="17" t="s">
        <v>1237</v>
      </c>
      <c r="AC4207" s="217">
        <v>45627</v>
      </c>
      <c r="AD4207" s="65">
        <v>1516</v>
      </c>
      <c r="AE4207" s="17" t="s">
        <v>1287</v>
      </c>
      <c r="AF4207" s="17"/>
      <c r="AG4207" s="17"/>
      <c r="AH4207" s="17"/>
      <c r="AI4207" s="17"/>
      <c r="AJ4207" s="17"/>
      <c r="AK4207" s="17"/>
      <c r="AL4207" s="17"/>
      <c r="AM4207" s="17"/>
      <c r="AN4207" s="17"/>
      <c r="AO4207" s="17"/>
      <c r="AP4207" s="17"/>
      <c r="AQ4207" s="17"/>
      <c r="AR4207" s="17"/>
    </row>
    <row r="4208" s="20" customFormat="1" hidden="1" spans="1:44">
      <c r="A4208" s="17" t="s">
        <v>34</v>
      </c>
      <c r="B4208" s="19">
        <v>938</v>
      </c>
      <c r="C4208" s="183">
        <v>45168</v>
      </c>
      <c r="D4208" s="17" t="s">
        <v>52</v>
      </c>
      <c r="E4208" s="17" t="s">
        <v>1113</v>
      </c>
      <c r="F4208" s="17" t="s">
        <v>54</v>
      </c>
      <c r="G4208" s="17"/>
      <c r="H4208" s="19" t="s">
        <v>1114</v>
      </c>
      <c r="I4208" s="19"/>
      <c r="J4208" s="17" t="s">
        <v>82</v>
      </c>
      <c r="K4208" s="19">
        <v>405</v>
      </c>
      <c r="L4208" s="91">
        <v>65</v>
      </c>
      <c r="M4208" s="19">
        <v>2200</v>
      </c>
      <c r="N4208" s="19" t="s">
        <v>66</v>
      </c>
      <c r="O4208" s="19" t="s">
        <v>141</v>
      </c>
      <c r="P4208" s="91">
        <v>2335</v>
      </c>
      <c r="Q4208" s="19">
        <v>479</v>
      </c>
      <c r="R4208" s="17"/>
      <c r="S4208" s="19">
        <f t="shared" si="202"/>
        <v>1070</v>
      </c>
      <c r="T4208" s="19" t="s">
        <v>42</v>
      </c>
      <c r="U4208" s="102" t="s">
        <v>1286</v>
      </c>
      <c r="V4208" s="253">
        <v>44935</v>
      </c>
      <c r="W4208" s="17" t="s">
        <v>44</v>
      </c>
      <c r="X4208" s="17"/>
      <c r="Y4208" s="68">
        <v>45283</v>
      </c>
      <c r="Z4208" s="17" t="s">
        <v>191</v>
      </c>
      <c r="AA4208" s="17" t="s">
        <v>46</v>
      </c>
      <c r="AB4208" s="17" t="s">
        <v>1233</v>
      </c>
      <c r="AC4208" s="66">
        <v>45288</v>
      </c>
      <c r="AD4208" s="65">
        <v>1506</v>
      </c>
      <c r="AE4208" s="17" t="s">
        <v>1178</v>
      </c>
      <c r="AF4208" s="17"/>
      <c r="AG4208" s="17"/>
      <c r="AH4208" s="17"/>
      <c r="AI4208" s="17"/>
      <c r="AJ4208" s="17"/>
      <c r="AK4208" s="17"/>
      <c r="AL4208" s="17"/>
      <c r="AM4208" s="17"/>
      <c r="AN4208" s="17"/>
      <c r="AO4208" s="17"/>
      <c r="AP4208" s="17"/>
      <c r="AQ4208" s="17"/>
      <c r="AR4208" s="17"/>
    </row>
    <row r="4209" s="20" customFormat="1" hidden="1" spans="1:44">
      <c r="A4209" s="17" t="s">
        <v>34</v>
      </c>
      <c r="B4209" s="19">
        <v>938</v>
      </c>
      <c r="C4209" s="183">
        <v>45168</v>
      </c>
      <c r="D4209" s="17" t="s">
        <v>52</v>
      </c>
      <c r="E4209" s="17" t="s">
        <v>1113</v>
      </c>
      <c r="F4209" s="17" t="s">
        <v>54</v>
      </c>
      <c r="G4209" s="17"/>
      <c r="H4209" s="19" t="s">
        <v>1114</v>
      </c>
      <c r="I4209" s="19"/>
      <c r="J4209" s="17" t="s">
        <v>82</v>
      </c>
      <c r="K4209" s="19">
        <v>405</v>
      </c>
      <c r="L4209" s="91">
        <v>65</v>
      </c>
      <c r="M4209" s="19">
        <v>2200</v>
      </c>
      <c r="N4209" s="19" t="s">
        <v>66</v>
      </c>
      <c r="O4209" s="19" t="s">
        <v>141</v>
      </c>
      <c r="P4209" s="91"/>
      <c r="Q4209" s="19">
        <v>1428</v>
      </c>
      <c r="R4209" s="17"/>
      <c r="S4209" s="19">
        <f t="shared" si="202"/>
        <v>1070</v>
      </c>
      <c r="T4209" s="19" t="s">
        <v>42</v>
      </c>
      <c r="U4209" s="102" t="s">
        <v>1286</v>
      </c>
      <c r="V4209" s="253">
        <v>44935</v>
      </c>
      <c r="W4209" s="17" t="s">
        <v>44</v>
      </c>
      <c r="X4209" s="17"/>
      <c r="Y4209" s="68">
        <v>45283</v>
      </c>
      <c r="Z4209" s="17" t="s">
        <v>191</v>
      </c>
      <c r="AA4209" s="17" t="s">
        <v>46</v>
      </c>
      <c r="AB4209" s="17" t="s">
        <v>1260</v>
      </c>
      <c r="AC4209" s="66">
        <v>45288</v>
      </c>
      <c r="AD4209" s="65">
        <v>1507</v>
      </c>
      <c r="AE4209" s="17" t="s">
        <v>1178</v>
      </c>
      <c r="AF4209" s="17"/>
      <c r="AG4209" s="17"/>
      <c r="AH4209" s="17"/>
      <c r="AI4209" s="17"/>
      <c r="AJ4209" s="17"/>
      <c r="AK4209" s="17"/>
      <c r="AL4209" s="17"/>
      <c r="AM4209" s="17"/>
      <c r="AN4209" s="17"/>
      <c r="AO4209" s="17"/>
      <c r="AP4209" s="17"/>
      <c r="AQ4209" s="17"/>
      <c r="AR4209" s="17"/>
    </row>
    <row r="4210" s="20" customFormat="1" hidden="1" spans="1:44">
      <c r="A4210" s="17" t="s">
        <v>34</v>
      </c>
      <c r="B4210" s="19">
        <v>938</v>
      </c>
      <c r="C4210" s="183">
        <v>45168</v>
      </c>
      <c r="D4210" s="17" t="s">
        <v>52</v>
      </c>
      <c r="E4210" s="17" t="s">
        <v>1113</v>
      </c>
      <c r="F4210" s="17" t="s">
        <v>54</v>
      </c>
      <c r="G4210" s="17"/>
      <c r="H4210" s="19" t="s">
        <v>1114</v>
      </c>
      <c r="I4210" s="19"/>
      <c r="J4210" s="17" t="s">
        <v>82</v>
      </c>
      <c r="K4210" s="19">
        <v>405</v>
      </c>
      <c r="L4210" s="91">
        <v>65</v>
      </c>
      <c r="M4210" s="19">
        <v>2200</v>
      </c>
      <c r="N4210" s="19" t="s">
        <v>66</v>
      </c>
      <c r="O4210" s="19" t="s">
        <v>141</v>
      </c>
      <c r="P4210" s="91"/>
      <c r="Q4210" s="19">
        <v>477</v>
      </c>
      <c r="R4210" s="19">
        <f>+P4208-Q4208-Q4209-Q4210</f>
        <v>-49</v>
      </c>
      <c r="S4210" s="19">
        <f t="shared" si="202"/>
        <v>1070</v>
      </c>
      <c r="T4210" s="19" t="s">
        <v>42</v>
      </c>
      <c r="U4210" s="102" t="s">
        <v>1286</v>
      </c>
      <c r="V4210" s="253">
        <v>44935</v>
      </c>
      <c r="W4210" s="17" t="s">
        <v>44</v>
      </c>
      <c r="X4210" s="17"/>
      <c r="Y4210" s="68">
        <v>45283</v>
      </c>
      <c r="Z4210" s="17" t="s">
        <v>191</v>
      </c>
      <c r="AA4210" s="17" t="s">
        <v>46</v>
      </c>
      <c r="AB4210" s="17" t="s">
        <v>1282</v>
      </c>
      <c r="AC4210" s="217">
        <v>45017</v>
      </c>
      <c r="AD4210" s="65">
        <v>1512</v>
      </c>
      <c r="AE4210" s="17" t="s">
        <v>1178</v>
      </c>
      <c r="AF4210" s="17"/>
      <c r="AG4210" s="17"/>
      <c r="AH4210" s="17"/>
      <c r="AI4210" s="17"/>
      <c r="AJ4210" s="17"/>
      <c r="AK4210" s="17"/>
      <c r="AL4210" s="17"/>
      <c r="AM4210" s="17"/>
      <c r="AN4210" s="17"/>
      <c r="AO4210" s="17"/>
      <c r="AP4210" s="17"/>
      <c r="AQ4210" s="17"/>
      <c r="AR4210" s="17"/>
    </row>
    <row r="4211" s="20" customFormat="1" hidden="1" spans="1:44">
      <c r="A4211" s="17" t="s">
        <v>34</v>
      </c>
      <c r="B4211" s="19">
        <v>938</v>
      </c>
      <c r="C4211" s="183">
        <v>45168</v>
      </c>
      <c r="D4211" s="17" t="s">
        <v>52</v>
      </c>
      <c r="E4211" s="17" t="s">
        <v>1113</v>
      </c>
      <c r="F4211" s="17" t="s">
        <v>54</v>
      </c>
      <c r="G4211" s="17"/>
      <c r="H4211" s="19" t="s">
        <v>1114</v>
      </c>
      <c r="I4211" s="19"/>
      <c r="J4211" s="17" t="s">
        <v>82</v>
      </c>
      <c r="K4211" s="19">
        <v>455</v>
      </c>
      <c r="L4211" s="91">
        <v>65</v>
      </c>
      <c r="M4211" s="19">
        <v>2200</v>
      </c>
      <c r="N4211" s="19" t="s">
        <v>66</v>
      </c>
      <c r="O4211" s="19" t="s">
        <v>141</v>
      </c>
      <c r="P4211" s="91">
        <v>2099</v>
      </c>
      <c r="Q4211" s="19">
        <f>538+538+538</f>
        <v>1614</v>
      </c>
      <c r="R4211" s="17"/>
      <c r="S4211" s="19">
        <f t="shared" si="202"/>
        <v>1070</v>
      </c>
      <c r="T4211" s="19" t="s">
        <v>42</v>
      </c>
      <c r="U4211" s="102" t="s">
        <v>1286</v>
      </c>
      <c r="V4211" s="253">
        <v>44935</v>
      </c>
      <c r="W4211" s="17" t="s">
        <v>44</v>
      </c>
      <c r="X4211" s="17"/>
      <c r="Y4211" s="68">
        <v>45283</v>
      </c>
      <c r="Z4211" s="17" t="s">
        <v>191</v>
      </c>
      <c r="AA4211" s="17" t="s">
        <v>46</v>
      </c>
      <c r="AB4211" s="17" t="s">
        <v>1233</v>
      </c>
      <c r="AC4211" s="66">
        <v>45288</v>
      </c>
      <c r="AD4211" s="65">
        <v>1506</v>
      </c>
      <c r="AE4211" s="17" t="s">
        <v>74</v>
      </c>
      <c r="AF4211" s="17"/>
      <c r="AG4211" s="17"/>
      <c r="AH4211" s="17"/>
      <c r="AI4211" s="17"/>
      <c r="AJ4211" s="17"/>
      <c r="AK4211" s="17"/>
      <c r="AL4211" s="17"/>
      <c r="AM4211" s="17"/>
      <c r="AN4211" s="17"/>
      <c r="AO4211" s="17"/>
      <c r="AP4211" s="17"/>
      <c r="AQ4211" s="17"/>
      <c r="AR4211" s="17"/>
    </row>
    <row r="4212" s="20" customFormat="1" hidden="1" spans="1:44">
      <c r="A4212" s="17" t="s">
        <v>34</v>
      </c>
      <c r="B4212" s="19">
        <v>938</v>
      </c>
      <c r="C4212" s="183">
        <v>45168</v>
      </c>
      <c r="D4212" s="17" t="s">
        <v>52</v>
      </c>
      <c r="E4212" s="17" t="s">
        <v>1113</v>
      </c>
      <c r="F4212" s="17" t="s">
        <v>54</v>
      </c>
      <c r="G4212" s="17"/>
      <c r="H4212" s="19" t="s">
        <v>1114</v>
      </c>
      <c r="I4212" s="19"/>
      <c r="J4212" s="17" t="s">
        <v>82</v>
      </c>
      <c r="K4212" s="19">
        <v>455</v>
      </c>
      <c r="L4212" s="91">
        <v>65</v>
      </c>
      <c r="M4212" s="19">
        <v>2200</v>
      </c>
      <c r="N4212" s="19" t="s">
        <v>66</v>
      </c>
      <c r="O4212" s="19" t="s">
        <v>141</v>
      </c>
      <c r="P4212" s="91"/>
      <c r="Q4212" s="19">
        <v>535</v>
      </c>
      <c r="R4212" s="19">
        <f>+P4211-Q4211-Q4212</f>
        <v>-50</v>
      </c>
      <c r="S4212" s="19">
        <f t="shared" si="202"/>
        <v>1070</v>
      </c>
      <c r="T4212" s="19" t="s">
        <v>42</v>
      </c>
      <c r="U4212" s="102" t="s">
        <v>1286</v>
      </c>
      <c r="V4212" s="253">
        <v>44935</v>
      </c>
      <c r="W4212" s="17" t="s">
        <v>44</v>
      </c>
      <c r="X4212" s="17"/>
      <c r="Y4212" s="68">
        <v>45283</v>
      </c>
      <c r="Z4212" s="17" t="s">
        <v>191</v>
      </c>
      <c r="AA4212" s="17" t="s">
        <v>46</v>
      </c>
      <c r="AB4212" s="17" t="s">
        <v>1260</v>
      </c>
      <c r="AC4212" s="66">
        <v>45288</v>
      </c>
      <c r="AD4212" s="65">
        <v>1507</v>
      </c>
      <c r="AE4212" s="17" t="s">
        <v>74</v>
      </c>
      <c r="AF4212" s="17"/>
      <c r="AG4212" s="17"/>
      <c r="AH4212" s="17"/>
      <c r="AI4212" s="17"/>
      <c r="AJ4212" s="17"/>
      <c r="AK4212" s="17"/>
      <c r="AL4212" s="17"/>
      <c r="AM4212" s="17"/>
      <c r="AN4212" s="17"/>
      <c r="AO4212" s="17"/>
      <c r="AP4212" s="17"/>
      <c r="AQ4212" s="17"/>
      <c r="AR4212" s="17"/>
    </row>
    <row r="4213" s="20" customFormat="1" hidden="1" spans="1:44">
      <c r="A4213" s="17" t="s">
        <v>34</v>
      </c>
      <c r="B4213" s="19">
        <v>938</v>
      </c>
      <c r="C4213" s="183">
        <v>45168</v>
      </c>
      <c r="D4213" s="17" t="s">
        <v>52</v>
      </c>
      <c r="E4213" s="17" t="s">
        <v>1113</v>
      </c>
      <c r="F4213" s="17" t="s">
        <v>54</v>
      </c>
      <c r="G4213" s="17"/>
      <c r="H4213" s="19" t="s">
        <v>1114</v>
      </c>
      <c r="I4213" s="19"/>
      <c r="J4213" s="17" t="s">
        <v>82</v>
      </c>
      <c r="K4213" s="19">
        <v>505</v>
      </c>
      <c r="L4213" s="91">
        <v>65</v>
      </c>
      <c r="M4213" s="19">
        <v>2200</v>
      </c>
      <c r="N4213" s="19" t="s">
        <v>66</v>
      </c>
      <c r="O4213" s="19" t="s">
        <v>141</v>
      </c>
      <c r="P4213" s="91">
        <v>2329</v>
      </c>
      <c r="Q4213" s="19">
        <f>599+599+597</f>
        <v>1795</v>
      </c>
      <c r="R4213" s="17"/>
      <c r="S4213" s="19">
        <f t="shared" si="202"/>
        <v>1070</v>
      </c>
      <c r="T4213" s="19" t="s">
        <v>42</v>
      </c>
      <c r="U4213" s="102" t="s">
        <v>1286</v>
      </c>
      <c r="V4213" s="253">
        <v>44935</v>
      </c>
      <c r="W4213" s="17" t="s">
        <v>44</v>
      </c>
      <c r="X4213" s="17"/>
      <c r="Y4213" s="68">
        <v>45283</v>
      </c>
      <c r="Z4213" s="17" t="s">
        <v>191</v>
      </c>
      <c r="AA4213" s="17" t="s">
        <v>46</v>
      </c>
      <c r="AB4213" s="17" t="s">
        <v>1233</v>
      </c>
      <c r="AC4213" s="66">
        <v>45288</v>
      </c>
      <c r="AD4213" s="65">
        <v>1506</v>
      </c>
      <c r="AE4213" s="17" t="s">
        <v>74</v>
      </c>
      <c r="AF4213" s="17"/>
      <c r="AG4213" s="17"/>
      <c r="AH4213" s="17"/>
      <c r="AI4213" s="17"/>
      <c r="AJ4213" s="17"/>
      <c r="AK4213" s="17"/>
      <c r="AL4213" s="17"/>
      <c r="AM4213" s="17"/>
      <c r="AN4213" s="17"/>
      <c r="AO4213" s="17"/>
      <c r="AP4213" s="17"/>
      <c r="AQ4213" s="17"/>
      <c r="AR4213" s="17"/>
    </row>
    <row r="4214" s="20" customFormat="1" hidden="1" spans="1:44">
      <c r="A4214" s="17" t="s">
        <v>34</v>
      </c>
      <c r="B4214" s="19">
        <v>938</v>
      </c>
      <c r="C4214" s="183">
        <v>45168</v>
      </c>
      <c r="D4214" s="17" t="s">
        <v>52</v>
      </c>
      <c r="E4214" s="17" t="s">
        <v>1113</v>
      </c>
      <c r="F4214" s="17" t="s">
        <v>54</v>
      </c>
      <c r="G4214" s="17"/>
      <c r="H4214" s="19" t="s">
        <v>1114</v>
      </c>
      <c r="I4214" s="19"/>
      <c r="J4214" s="17" t="s">
        <v>82</v>
      </c>
      <c r="K4214" s="19">
        <v>505</v>
      </c>
      <c r="L4214" s="91">
        <v>65</v>
      </c>
      <c r="M4214" s="19">
        <v>2200</v>
      </c>
      <c r="N4214" s="19" t="s">
        <v>66</v>
      </c>
      <c r="O4214" s="19" t="s">
        <v>141</v>
      </c>
      <c r="P4214" s="91"/>
      <c r="Q4214" s="19">
        <v>591</v>
      </c>
      <c r="R4214" s="17"/>
      <c r="S4214" s="19">
        <f t="shared" si="202"/>
        <v>1070</v>
      </c>
      <c r="T4214" s="19" t="s">
        <v>42</v>
      </c>
      <c r="U4214" s="102" t="s">
        <v>1286</v>
      </c>
      <c r="V4214" s="253">
        <v>44935</v>
      </c>
      <c r="W4214" s="17" t="s">
        <v>44</v>
      </c>
      <c r="X4214" s="17"/>
      <c r="Y4214" s="68">
        <v>45283</v>
      </c>
      <c r="Z4214" s="17" t="s">
        <v>191</v>
      </c>
      <c r="AA4214" s="17" t="s">
        <v>46</v>
      </c>
      <c r="AB4214" s="17" t="s">
        <v>1260</v>
      </c>
      <c r="AC4214" s="66">
        <v>45288</v>
      </c>
      <c r="AD4214" s="65">
        <v>1507</v>
      </c>
      <c r="AE4214" s="17" t="s">
        <v>74</v>
      </c>
      <c r="AF4214" s="17"/>
      <c r="AG4214" s="17"/>
      <c r="AH4214" s="17"/>
      <c r="AI4214" s="17"/>
      <c r="AJ4214" s="17"/>
      <c r="AK4214" s="17"/>
      <c r="AL4214" s="17"/>
      <c r="AM4214" s="17"/>
      <c r="AN4214" s="17"/>
      <c r="AO4214" s="17"/>
      <c r="AP4214" s="17"/>
      <c r="AQ4214" s="17"/>
      <c r="AR4214" s="17"/>
    </row>
    <row r="4215" s="20" customFormat="1" hidden="1" spans="1:44">
      <c r="A4215" s="17" t="s">
        <v>34</v>
      </c>
      <c r="B4215" s="19">
        <v>938</v>
      </c>
      <c r="C4215" s="183">
        <v>45168</v>
      </c>
      <c r="D4215" s="17" t="s">
        <v>52</v>
      </c>
      <c r="E4215" s="17" t="s">
        <v>1113</v>
      </c>
      <c r="F4215" s="17" t="s">
        <v>54</v>
      </c>
      <c r="G4215" s="17"/>
      <c r="H4215" s="19" t="s">
        <v>1114</v>
      </c>
      <c r="I4215" s="19"/>
      <c r="J4215" s="17" t="s">
        <v>82</v>
      </c>
      <c r="K4215" s="19">
        <v>505</v>
      </c>
      <c r="L4215" s="91">
        <v>65</v>
      </c>
      <c r="M4215" s="19">
        <v>2200</v>
      </c>
      <c r="N4215" s="19" t="s">
        <v>66</v>
      </c>
      <c r="O4215" s="19" t="s">
        <v>141</v>
      </c>
      <c r="P4215" s="91"/>
      <c r="Q4215" s="19">
        <v>613</v>
      </c>
      <c r="R4215" s="19">
        <f>+P4213-Q4213-Q4214-Q4215</f>
        <v>-670</v>
      </c>
      <c r="S4215" s="19">
        <f t="shared" si="202"/>
        <v>1070</v>
      </c>
      <c r="T4215" s="19" t="s">
        <v>42</v>
      </c>
      <c r="U4215" s="102" t="s">
        <v>1286</v>
      </c>
      <c r="V4215" s="253">
        <v>44935</v>
      </c>
      <c r="W4215" s="17" t="s">
        <v>44</v>
      </c>
      <c r="X4215" s="17"/>
      <c r="Y4215" s="68">
        <v>45283</v>
      </c>
      <c r="Z4215" s="17" t="s">
        <v>191</v>
      </c>
      <c r="AA4215" s="17" t="s">
        <v>46</v>
      </c>
      <c r="AB4215" s="17" t="s">
        <v>1237</v>
      </c>
      <c r="AC4215" s="217">
        <v>45627</v>
      </c>
      <c r="AD4215" s="65">
        <v>1516</v>
      </c>
      <c r="AE4215" s="17" t="s">
        <v>74</v>
      </c>
      <c r="AF4215" s="17"/>
      <c r="AG4215" s="17"/>
      <c r="AH4215" s="17"/>
      <c r="AI4215" s="17"/>
      <c r="AJ4215" s="17"/>
      <c r="AK4215" s="17"/>
      <c r="AL4215" s="17"/>
      <c r="AM4215" s="17"/>
      <c r="AN4215" s="17"/>
      <c r="AO4215" s="17"/>
      <c r="AP4215" s="17"/>
      <c r="AQ4215" s="17"/>
      <c r="AR4215" s="17"/>
    </row>
    <row r="4216" s="20" customFormat="1" hidden="1" spans="1:44">
      <c r="A4216" s="17" t="s">
        <v>34</v>
      </c>
      <c r="B4216" s="19">
        <v>938</v>
      </c>
      <c r="C4216" s="183">
        <v>45168</v>
      </c>
      <c r="D4216" s="17" t="s">
        <v>52</v>
      </c>
      <c r="E4216" s="17" t="s">
        <v>1113</v>
      </c>
      <c r="F4216" s="17" t="s">
        <v>54</v>
      </c>
      <c r="G4216" s="17"/>
      <c r="H4216" s="19" t="s">
        <v>1114</v>
      </c>
      <c r="I4216" s="19"/>
      <c r="J4216" s="17" t="s">
        <v>82</v>
      </c>
      <c r="K4216" s="19">
        <v>555</v>
      </c>
      <c r="L4216" s="91">
        <v>65</v>
      </c>
      <c r="M4216" s="19">
        <v>2200</v>
      </c>
      <c r="N4216" s="19" t="s">
        <v>66</v>
      </c>
      <c r="O4216" s="19" t="s">
        <v>141</v>
      </c>
      <c r="P4216" s="91">
        <v>1920</v>
      </c>
      <c r="Q4216" s="19">
        <f>653+653+653</f>
        <v>1959</v>
      </c>
      <c r="R4216" s="19">
        <f>+P4216-Q4216</f>
        <v>-39</v>
      </c>
      <c r="S4216" s="19">
        <f t="shared" si="202"/>
        <v>1070</v>
      </c>
      <c r="T4216" s="19" t="s">
        <v>42</v>
      </c>
      <c r="U4216" s="102" t="s">
        <v>1286</v>
      </c>
      <c r="V4216" s="253">
        <v>44935</v>
      </c>
      <c r="W4216" s="17" t="s">
        <v>44</v>
      </c>
      <c r="X4216" s="17"/>
      <c r="Y4216" s="68">
        <v>45283</v>
      </c>
      <c r="Z4216" s="17" t="s">
        <v>191</v>
      </c>
      <c r="AA4216" s="17" t="s">
        <v>46</v>
      </c>
      <c r="AB4216" s="17" t="s">
        <v>1260</v>
      </c>
      <c r="AC4216" s="66">
        <v>45288</v>
      </c>
      <c r="AD4216" s="65">
        <v>1507</v>
      </c>
      <c r="AE4216" s="17" t="s">
        <v>74</v>
      </c>
      <c r="AF4216" s="17"/>
      <c r="AG4216" s="17"/>
      <c r="AH4216" s="17"/>
      <c r="AI4216" s="17"/>
      <c r="AJ4216" s="17"/>
      <c r="AK4216" s="17"/>
      <c r="AL4216" s="17"/>
      <c r="AM4216" s="17"/>
      <c r="AN4216" s="17"/>
      <c r="AO4216" s="17"/>
      <c r="AP4216" s="17"/>
      <c r="AQ4216" s="17"/>
      <c r="AR4216" s="17"/>
    </row>
    <row r="4217" s="20" customFormat="1" hidden="1" spans="1:44">
      <c r="A4217" s="17" t="s">
        <v>34</v>
      </c>
      <c r="B4217" s="19">
        <v>938</v>
      </c>
      <c r="C4217" s="183">
        <v>45168</v>
      </c>
      <c r="D4217" s="17" t="s">
        <v>52</v>
      </c>
      <c r="E4217" s="17" t="s">
        <v>1113</v>
      </c>
      <c r="F4217" s="17" t="s">
        <v>54</v>
      </c>
      <c r="G4217" s="17"/>
      <c r="H4217" s="19" t="s">
        <v>1114</v>
      </c>
      <c r="I4217" s="19"/>
      <c r="J4217" s="17" t="s">
        <v>82</v>
      </c>
      <c r="K4217" s="19">
        <v>605</v>
      </c>
      <c r="L4217" s="91">
        <v>65</v>
      </c>
      <c r="M4217" s="19">
        <v>2200</v>
      </c>
      <c r="N4217" s="19" t="s">
        <v>66</v>
      </c>
      <c r="O4217" s="19" t="s">
        <v>141</v>
      </c>
      <c r="P4217" s="91">
        <v>2093</v>
      </c>
      <c r="Q4217" s="19">
        <f>1427+712</f>
        <v>2139</v>
      </c>
      <c r="R4217" s="19">
        <f>+P4217-Q4217</f>
        <v>-46</v>
      </c>
      <c r="S4217" s="19">
        <f t="shared" si="202"/>
        <v>1070</v>
      </c>
      <c r="T4217" s="19" t="s">
        <v>42</v>
      </c>
      <c r="U4217" s="102" t="s">
        <v>1286</v>
      </c>
      <c r="V4217" s="253">
        <v>44935</v>
      </c>
      <c r="W4217" s="17" t="s">
        <v>44</v>
      </c>
      <c r="X4217" s="17"/>
      <c r="Y4217" s="68">
        <v>45283</v>
      </c>
      <c r="Z4217" s="17" t="s">
        <v>191</v>
      </c>
      <c r="AA4217" s="17" t="s">
        <v>46</v>
      </c>
      <c r="AB4217" s="17" t="s">
        <v>1260</v>
      </c>
      <c r="AC4217" s="66">
        <v>45288</v>
      </c>
      <c r="AD4217" s="65">
        <v>1507</v>
      </c>
      <c r="AE4217" s="17" t="s">
        <v>74</v>
      </c>
      <c r="AF4217" s="17"/>
      <c r="AG4217" s="17"/>
      <c r="AH4217" s="17"/>
      <c r="AI4217" s="17"/>
      <c r="AJ4217" s="17"/>
      <c r="AK4217" s="17"/>
      <c r="AL4217" s="17"/>
      <c r="AM4217" s="17"/>
      <c r="AN4217" s="17"/>
      <c r="AO4217" s="17"/>
      <c r="AP4217" s="17"/>
      <c r="AQ4217" s="17"/>
      <c r="AR4217" s="17"/>
    </row>
    <row r="4218" s="20" customFormat="1" hidden="1" spans="1:44">
      <c r="A4218" s="17" t="s">
        <v>34</v>
      </c>
      <c r="B4218" s="19">
        <v>938</v>
      </c>
      <c r="C4218" s="183">
        <v>45168</v>
      </c>
      <c r="D4218" s="17" t="s">
        <v>52</v>
      </c>
      <c r="E4218" s="17" t="s">
        <v>1113</v>
      </c>
      <c r="F4218" s="17" t="s">
        <v>54</v>
      </c>
      <c r="G4218" s="17"/>
      <c r="H4218" s="19" t="s">
        <v>1114</v>
      </c>
      <c r="I4218" s="19"/>
      <c r="J4218" s="17" t="s">
        <v>82</v>
      </c>
      <c r="K4218" s="19">
        <v>1100</v>
      </c>
      <c r="L4218" s="91">
        <v>65</v>
      </c>
      <c r="M4218" s="19">
        <v>2200</v>
      </c>
      <c r="N4218" s="19" t="s">
        <v>66</v>
      </c>
      <c r="O4218" s="19" t="s">
        <v>141</v>
      </c>
      <c r="P4218" s="91">
        <v>2537</v>
      </c>
      <c r="Q4218" s="19">
        <f>1283+1291</f>
        <v>2574</v>
      </c>
      <c r="R4218" s="19">
        <f>+P4218-Q4218</f>
        <v>-37</v>
      </c>
      <c r="S4218" s="19">
        <f>1100-40</f>
        <v>1060</v>
      </c>
      <c r="T4218" s="19" t="s">
        <v>42</v>
      </c>
      <c r="U4218" s="102" t="s">
        <v>1286</v>
      </c>
      <c r="V4218" s="253">
        <v>44935</v>
      </c>
      <c r="W4218" s="17" t="s">
        <v>44</v>
      </c>
      <c r="X4218" s="17"/>
      <c r="Y4218" s="68">
        <v>45283</v>
      </c>
      <c r="Z4218" s="17" t="s">
        <v>191</v>
      </c>
      <c r="AA4218" s="17" t="s">
        <v>46</v>
      </c>
      <c r="AB4218" s="17" t="s">
        <v>1260</v>
      </c>
      <c r="AC4218" s="66">
        <v>45288</v>
      </c>
      <c r="AD4218" s="65">
        <v>1507</v>
      </c>
      <c r="AE4218" s="17" t="s">
        <v>74</v>
      </c>
      <c r="AF4218" s="17"/>
      <c r="AG4218" s="17"/>
      <c r="AH4218" s="17"/>
      <c r="AI4218" s="17"/>
      <c r="AJ4218" s="17"/>
      <c r="AK4218" s="17"/>
      <c r="AL4218" s="17"/>
      <c r="AM4218" s="17"/>
      <c r="AN4218" s="17"/>
      <c r="AO4218" s="17"/>
      <c r="AP4218" s="17"/>
      <c r="AQ4218" s="17"/>
      <c r="AR4218" s="17"/>
    </row>
    <row r="4219" s="20" customFormat="1" hidden="1" spans="1:44">
      <c r="A4219" s="17" t="s">
        <v>34</v>
      </c>
      <c r="B4219" s="19">
        <v>938</v>
      </c>
      <c r="C4219" s="183">
        <v>45168</v>
      </c>
      <c r="D4219" s="17" t="s">
        <v>52</v>
      </c>
      <c r="E4219" s="17" t="s">
        <v>1113</v>
      </c>
      <c r="F4219" s="17" t="s">
        <v>54</v>
      </c>
      <c r="G4219" s="17"/>
      <c r="H4219" s="19" t="s">
        <v>1114</v>
      </c>
      <c r="I4219" s="19"/>
      <c r="J4219" s="17" t="s">
        <v>82</v>
      </c>
      <c r="K4219" s="19">
        <v>205</v>
      </c>
      <c r="L4219" s="91">
        <v>80</v>
      </c>
      <c r="M4219" s="19">
        <v>2200</v>
      </c>
      <c r="N4219" s="19" t="s">
        <v>66</v>
      </c>
      <c r="O4219" s="19" t="s">
        <v>141</v>
      </c>
      <c r="P4219" s="91">
        <v>1746</v>
      </c>
      <c r="Q4219" s="19">
        <v>902</v>
      </c>
      <c r="R4219" s="21"/>
      <c r="S4219" s="19">
        <f t="shared" ref="S4219:S4232" si="203">1110-40</f>
        <v>1070</v>
      </c>
      <c r="T4219" s="19" t="s">
        <v>42</v>
      </c>
      <c r="U4219" s="102" t="s">
        <v>1286</v>
      </c>
      <c r="V4219" s="253">
        <v>44935</v>
      </c>
      <c r="W4219" s="17" t="s">
        <v>44</v>
      </c>
      <c r="X4219" s="17"/>
      <c r="Y4219" s="68">
        <v>45283</v>
      </c>
      <c r="Z4219" s="17" t="s">
        <v>191</v>
      </c>
      <c r="AA4219" s="17" t="s">
        <v>46</v>
      </c>
      <c r="AB4219" s="17" t="s">
        <v>1237</v>
      </c>
      <c r="AC4219" s="217">
        <v>45627</v>
      </c>
      <c r="AD4219" s="65">
        <v>1516</v>
      </c>
      <c r="AE4219" s="17" t="s">
        <v>74</v>
      </c>
      <c r="AF4219" s="17"/>
      <c r="AG4219" s="17"/>
      <c r="AH4219" s="17"/>
      <c r="AI4219" s="17"/>
      <c r="AJ4219" s="17"/>
      <c r="AK4219" s="17"/>
      <c r="AL4219" s="17"/>
      <c r="AM4219" s="17"/>
      <c r="AN4219" s="17"/>
      <c r="AO4219" s="17"/>
      <c r="AP4219" s="17"/>
      <c r="AQ4219" s="17"/>
      <c r="AR4219" s="17"/>
    </row>
    <row r="4220" s="20" customFormat="1" hidden="1" spans="1:44">
      <c r="A4220" s="17" t="s">
        <v>34</v>
      </c>
      <c r="B4220" s="19">
        <v>938</v>
      </c>
      <c r="C4220" s="183">
        <v>45168</v>
      </c>
      <c r="D4220" s="17" t="s">
        <v>52</v>
      </c>
      <c r="E4220" s="17" t="s">
        <v>1113</v>
      </c>
      <c r="F4220" s="17" t="s">
        <v>54</v>
      </c>
      <c r="G4220" s="17"/>
      <c r="H4220" s="19" t="s">
        <v>1114</v>
      </c>
      <c r="I4220" s="19"/>
      <c r="J4220" s="17" t="s">
        <v>82</v>
      </c>
      <c r="K4220" s="19">
        <v>205</v>
      </c>
      <c r="L4220" s="91">
        <v>80</v>
      </c>
      <c r="M4220" s="19">
        <v>2200</v>
      </c>
      <c r="N4220" s="19" t="s">
        <v>66</v>
      </c>
      <c r="O4220" s="19" t="s">
        <v>141</v>
      </c>
      <c r="P4220" s="91"/>
      <c r="Q4220" s="19">
        <f>299+303+310</f>
        <v>912</v>
      </c>
      <c r="R4220" s="19">
        <f>+P4219-Q4219-Q4220</f>
        <v>-68</v>
      </c>
      <c r="S4220" s="19">
        <f t="shared" si="203"/>
        <v>1070</v>
      </c>
      <c r="T4220" s="19" t="s">
        <v>42</v>
      </c>
      <c r="U4220" s="102" t="s">
        <v>1286</v>
      </c>
      <c r="V4220" s="253">
        <v>44935</v>
      </c>
      <c r="W4220" s="17" t="s">
        <v>44</v>
      </c>
      <c r="X4220" s="17"/>
      <c r="Y4220" s="68">
        <v>45283</v>
      </c>
      <c r="Z4220" s="17" t="s">
        <v>191</v>
      </c>
      <c r="AA4220" s="17" t="s">
        <v>46</v>
      </c>
      <c r="AB4220" s="17" t="s">
        <v>1261</v>
      </c>
      <c r="AC4220" s="66">
        <v>45364</v>
      </c>
      <c r="AD4220" s="65">
        <v>1538</v>
      </c>
      <c r="AE4220" s="17" t="s">
        <v>74</v>
      </c>
      <c r="AF4220" s="17"/>
      <c r="AG4220" s="17"/>
      <c r="AH4220" s="17"/>
      <c r="AI4220" s="17"/>
      <c r="AJ4220" s="17"/>
      <c r="AK4220" s="17"/>
      <c r="AL4220" s="17"/>
      <c r="AM4220" s="17"/>
      <c r="AN4220" s="17"/>
      <c r="AO4220" s="17"/>
      <c r="AP4220" s="17"/>
      <c r="AQ4220" s="17"/>
      <c r="AR4220" s="17"/>
    </row>
    <row r="4221" s="20" customFormat="1" hidden="1" spans="1:44">
      <c r="A4221" s="17" t="s">
        <v>34</v>
      </c>
      <c r="B4221" s="19">
        <v>938</v>
      </c>
      <c r="C4221" s="183">
        <v>45168</v>
      </c>
      <c r="D4221" s="17" t="s">
        <v>52</v>
      </c>
      <c r="E4221" s="17" t="s">
        <v>1113</v>
      </c>
      <c r="F4221" s="17" t="s">
        <v>54</v>
      </c>
      <c r="G4221" s="17"/>
      <c r="H4221" s="19" t="s">
        <v>1114</v>
      </c>
      <c r="I4221" s="19"/>
      <c r="J4221" s="17" t="s">
        <v>82</v>
      </c>
      <c r="K4221" s="19">
        <v>255</v>
      </c>
      <c r="L4221" s="91">
        <v>80</v>
      </c>
      <c r="M4221" s="19">
        <v>2200</v>
      </c>
      <c r="N4221" s="19" t="s">
        <v>66</v>
      </c>
      <c r="O4221" s="19" t="s">
        <v>141</v>
      </c>
      <c r="P4221" s="91">
        <v>1810</v>
      </c>
      <c r="Q4221" s="19">
        <v>747</v>
      </c>
      <c r="R4221" s="21"/>
      <c r="S4221" s="19">
        <f t="shared" si="203"/>
        <v>1070</v>
      </c>
      <c r="T4221" s="19" t="s">
        <v>42</v>
      </c>
      <c r="U4221" s="102" t="s">
        <v>1286</v>
      </c>
      <c r="V4221" s="253">
        <v>44935</v>
      </c>
      <c r="W4221" s="17" t="s">
        <v>44</v>
      </c>
      <c r="X4221" s="17"/>
      <c r="Y4221" s="68">
        <v>45283</v>
      </c>
      <c r="Z4221" s="17" t="s">
        <v>191</v>
      </c>
      <c r="AA4221" s="17" t="s">
        <v>46</v>
      </c>
      <c r="AB4221" s="17" t="s">
        <v>1236</v>
      </c>
      <c r="AC4221" s="66">
        <v>45288</v>
      </c>
      <c r="AD4221" s="65">
        <v>1508</v>
      </c>
      <c r="AE4221" s="17" t="s">
        <v>74</v>
      </c>
      <c r="AF4221" s="17"/>
      <c r="AG4221" s="17"/>
      <c r="AH4221" s="17"/>
      <c r="AI4221" s="17"/>
      <c r="AJ4221" s="17"/>
      <c r="AK4221" s="17"/>
      <c r="AL4221" s="17"/>
      <c r="AM4221" s="17"/>
      <c r="AN4221" s="17"/>
      <c r="AO4221" s="17"/>
      <c r="AP4221" s="17"/>
      <c r="AQ4221" s="17"/>
      <c r="AR4221" s="17"/>
    </row>
    <row r="4222" s="20" customFormat="1" hidden="1" spans="1:44">
      <c r="A4222" s="17" t="s">
        <v>34</v>
      </c>
      <c r="B4222" s="19">
        <v>938</v>
      </c>
      <c r="C4222" s="183">
        <v>45168</v>
      </c>
      <c r="D4222" s="17" t="s">
        <v>52</v>
      </c>
      <c r="E4222" s="17" t="s">
        <v>1113</v>
      </c>
      <c r="F4222" s="17" t="s">
        <v>54</v>
      </c>
      <c r="G4222" s="17"/>
      <c r="H4222" s="19" t="s">
        <v>1114</v>
      </c>
      <c r="I4222" s="19"/>
      <c r="J4222" s="17" t="s">
        <v>82</v>
      </c>
      <c r="K4222" s="19">
        <v>255</v>
      </c>
      <c r="L4222" s="91">
        <v>80</v>
      </c>
      <c r="M4222" s="19">
        <v>2200</v>
      </c>
      <c r="N4222" s="19" t="s">
        <v>66</v>
      </c>
      <c r="O4222" s="19" t="s">
        <v>141</v>
      </c>
      <c r="P4222" s="91"/>
      <c r="Q4222" s="19">
        <f>374+372+372+374+374</f>
        <v>1866</v>
      </c>
      <c r="R4222" s="19">
        <f>+P4221-Q4221-Q4222</f>
        <v>-803</v>
      </c>
      <c r="S4222" s="19">
        <f t="shared" si="203"/>
        <v>1070</v>
      </c>
      <c r="T4222" s="19" t="s">
        <v>42</v>
      </c>
      <c r="U4222" s="102" t="s">
        <v>1286</v>
      </c>
      <c r="V4222" s="253">
        <v>44935</v>
      </c>
      <c r="W4222" s="17" t="s">
        <v>44</v>
      </c>
      <c r="X4222" s="17"/>
      <c r="Y4222" s="68">
        <v>45283</v>
      </c>
      <c r="Z4222" s="17" t="s">
        <v>191</v>
      </c>
      <c r="AA4222" s="17" t="s">
        <v>46</v>
      </c>
      <c r="AB4222" s="17" t="s">
        <v>1261</v>
      </c>
      <c r="AC4222" s="66">
        <v>45364</v>
      </c>
      <c r="AD4222" s="65">
        <v>1538</v>
      </c>
      <c r="AE4222" s="17" t="s">
        <v>74</v>
      </c>
      <c r="AF4222" s="17"/>
      <c r="AG4222" s="17"/>
      <c r="AH4222" s="17"/>
      <c r="AI4222" s="17"/>
      <c r="AJ4222" s="17"/>
      <c r="AK4222" s="17"/>
      <c r="AL4222" s="17"/>
      <c r="AM4222" s="17"/>
      <c r="AN4222" s="17"/>
      <c r="AO4222" s="17"/>
      <c r="AP4222" s="17"/>
      <c r="AQ4222" s="17"/>
      <c r="AR4222" s="17"/>
    </row>
    <row r="4223" s="20" customFormat="1" hidden="1" spans="1:44">
      <c r="A4223" s="17" t="s">
        <v>34</v>
      </c>
      <c r="B4223" s="19">
        <v>938</v>
      </c>
      <c r="C4223" s="183">
        <v>45168</v>
      </c>
      <c r="D4223" s="17" t="s">
        <v>52</v>
      </c>
      <c r="E4223" s="17" t="s">
        <v>1113</v>
      </c>
      <c r="F4223" s="17" t="s">
        <v>54</v>
      </c>
      <c r="G4223" s="17"/>
      <c r="H4223" s="19" t="s">
        <v>1114</v>
      </c>
      <c r="I4223" s="19"/>
      <c r="J4223" s="17" t="s">
        <v>82</v>
      </c>
      <c r="K4223" s="19">
        <v>305</v>
      </c>
      <c r="L4223" s="91">
        <v>80</v>
      </c>
      <c r="M4223" s="19">
        <v>2200</v>
      </c>
      <c r="N4223" s="19" t="s">
        <v>66</v>
      </c>
      <c r="O4223" s="19" t="s">
        <v>141</v>
      </c>
      <c r="P4223" s="91">
        <v>3030</v>
      </c>
      <c r="Q4223" s="19">
        <v>1342</v>
      </c>
      <c r="R4223" s="17"/>
      <c r="S4223" s="19">
        <f t="shared" si="203"/>
        <v>1070</v>
      </c>
      <c r="T4223" s="19" t="s">
        <v>42</v>
      </c>
      <c r="U4223" s="102" t="s">
        <v>1286</v>
      </c>
      <c r="V4223" s="253">
        <v>44935</v>
      </c>
      <c r="W4223" s="17" t="s">
        <v>44</v>
      </c>
      <c r="X4223" s="17"/>
      <c r="Y4223" s="68">
        <v>45283</v>
      </c>
      <c r="Z4223" s="17" t="s">
        <v>191</v>
      </c>
      <c r="AA4223" s="17" t="s">
        <v>46</v>
      </c>
      <c r="AB4223" s="17" t="s">
        <v>1282</v>
      </c>
      <c r="AC4223" s="217">
        <v>45017</v>
      </c>
      <c r="AD4223" s="65">
        <v>1512</v>
      </c>
      <c r="AE4223" s="17" t="s">
        <v>74</v>
      </c>
      <c r="AF4223" s="17"/>
      <c r="AG4223" s="17"/>
      <c r="AH4223" s="17"/>
      <c r="AI4223" s="17"/>
      <c r="AJ4223" s="17"/>
      <c r="AK4223" s="17"/>
      <c r="AL4223" s="17"/>
      <c r="AM4223" s="17"/>
      <c r="AN4223" s="17"/>
      <c r="AO4223" s="17"/>
      <c r="AP4223" s="17"/>
      <c r="AQ4223" s="17"/>
      <c r="AR4223" s="17"/>
    </row>
    <row r="4224" s="20" customFormat="1" hidden="1" spans="1:44">
      <c r="A4224" s="17" t="s">
        <v>34</v>
      </c>
      <c r="B4224" s="19">
        <v>938</v>
      </c>
      <c r="C4224" s="183">
        <v>45168</v>
      </c>
      <c r="D4224" s="17" t="s">
        <v>52</v>
      </c>
      <c r="E4224" s="17" t="s">
        <v>1113</v>
      </c>
      <c r="F4224" s="17" t="s">
        <v>54</v>
      </c>
      <c r="G4224" s="17"/>
      <c r="H4224" s="19" t="s">
        <v>1114</v>
      </c>
      <c r="I4224" s="19"/>
      <c r="J4224" s="17" t="s">
        <v>82</v>
      </c>
      <c r="K4224" s="19">
        <v>305</v>
      </c>
      <c r="L4224" s="91">
        <v>80</v>
      </c>
      <c r="M4224" s="19">
        <v>2200</v>
      </c>
      <c r="N4224" s="19" t="s">
        <v>66</v>
      </c>
      <c r="O4224" s="19" t="s">
        <v>141</v>
      </c>
      <c r="P4224" s="91"/>
      <c r="Q4224" s="19">
        <v>442</v>
      </c>
      <c r="R4224" s="17"/>
      <c r="S4224" s="19">
        <f t="shared" si="203"/>
        <v>1070</v>
      </c>
      <c r="T4224" s="19" t="s">
        <v>42</v>
      </c>
      <c r="U4224" s="102" t="s">
        <v>1286</v>
      </c>
      <c r="V4224" s="253">
        <v>44935</v>
      </c>
      <c r="W4224" s="17" t="s">
        <v>44</v>
      </c>
      <c r="X4224" s="17"/>
      <c r="Y4224" s="68">
        <v>45283</v>
      </c>
      <c r="Z4224" s="17" t="s">
        <v>191</v>
      </c>
      <c r="AA4224" s="17" t="s">
        <v>46</v>
      </c>
      <c r="AB4224" s="17" t="s">
        <v>1251</v>
      </c>
      <c r="AC4224" s="217">
        <v>45566</v>
      </c>
      <c r="AD4224" s="65">
        <v>1515</v>
      </c>
      <c r="AE4224" s="17" t="s">
        <v>74</v>
      </c>
      <c r="AF4224" s="17"/>
      <c r="AG4224" s="17"/>
      <c r="AH4224" s="17"/>
      <c r="AI4224" s="17"/>
      <c r="AJ4224" s="17"/>
      <c r="AK4224" s="17"/>
      <c r="AL4224" s="17"/>
      <c r="AM4224" s="17"/>
      <c r="AN4224" s="17"/>
      <c r="AO4224" s="17"/>
      <c r="AP4224" s="17"/>
      <c r="AQ4224" s="17"/>
      <c r="AR4224" s="17"/>
    </row>
    <row r="4225" s="20" customFormat="1" hidden="1" spans="1:44">
      <c r="A4225" s="17" t="s">
        <v>34</v>
      </c>
      <c r="B4225" s="19">
        <v>938</v>
      </c>
      <c r="C4225" s="183">
        <v>45168</v>
      </c>
      <c r="D4225" s="17" t="s">
        <v>52</v>
      </c>
      <c r="E4225" s="17" t="s">
        <v>1113</v>
      </c>
      <c r="F4225" s="17" t="s">
        <v>54</v>
      </c>
      <c r="G4225" s="17"/>
      <c r="H4225" s="19" t="s">
        <v>1114</v>
      </c>
      <c r="I4225" s="19"/>
      <c r="J4225" s="17" t="s">
        <v>82</v>
      </c>
      <c r="K4225" s="19">
        <v>305</v>
      </c>
      <c r="L4225" s="91">
        <v>80</v>
      </c>
      <c r="M4225" s="19">
        <v>2200</v>
      </c>
      <c r="N4225" s="19" t="s">
        <v>66</v>
      </c>
      <c r="O4225" s="19" t="s">
        <v>141</v>
      </c>
      <c r="P4225" s="91"/>
      <c r="Q4225" s="19">
        <v>445</v>
      </c>
      <c r="R4225" s="254"/>
      <c r="S4225" s="19">
        <f t="shared" si="203"/>
        <v>1070</v>
      </c>
      <c r="T4225" s="19" t="s">
        <v>42</v>
      </c>
      <c r="U4225" s="102" t="s">
        <v>1286</v>
      </c>
      <c r="V4225" s="253">
        <v>44935</v>
      </c>
      <c r="W4225" s="17" t="s">
        <v>44</v>
      </c>
      <c r="X4225" s="17"/>
      <c r="Y4225" s="68">
        <v>45283</v>
      </c>
      <c r="Z4225" s="17" t="s">
        <v>191</v>
      </c>
      <c r="AA4225" s="17" t="s">
        <v>46</v>
      </c>
      <c r="AB4225" s="17" t="s">
        <v>1285</v>
      </c>
      <c r="AC4225" s="66">
        <v>45315</v>
      </c>
      <c r="AD4225" s="65">
        <v>1521</v>
      </c>
      <c r="AE4225" s="17" t="s">
        <v>74</v>
      </c>
      <c r="AF4225" s="17"/>
      <c r="AG4225" s="17"/>
      <c r="AH4225" s="17"/>
      <c r="AI4225" s="17"/>
      <c r="AJ4225" s="17"/>
      <c r="AK4225" s="17"/>
      <c r="AL4225" s="17"/>
      <c r="AM4225" s="17"/>
      <c r="AN4225" s="17"/>
      <c r="AO4225" s="17"/>
      <c r="AP4225" s="17"/>
      <c r="AQ4225" s="17"/>
      <c r="AR4225" s="17"/>
    </row>
    <row r="4226" s="20" customFormat="1" hidden="1" spans="1:44">
      <c r="A4226" s="17" t="s">
        <v>34</v>
      </c>
      <c r="B4226" s="19">
        <v>938</v>
      </c>
      <c r="C4226" s="183">
        <v>45168</v>
      </c>
      <c r="D4226" s="17" t="s">
        <v>52</v>
      </c>
      <c r="E4226" s="17" t="s">
        <v>1113</v>
      </c>
      <c r="F4226" s="17" t="s">
        <v>54</v>
      </c>
      <c r="G4226" s="17"/>
      <c r="H4226" s="19" t="s">
        <v>1114</v>
      </c>
      <c r="I4226" s="19"/>
      <c r="J4226" s="17" t="s">
        <v>82</v>
      </c>
      <c r="K4226" s="19">
        <v>305</v>
      </c>
      <c r="L4226" s="91">
        <v>80</v>
      </c>
      <c r="M4226" s="19">
        <v>2200</v>
      </c>
      <c r="N4226" s="19" t="s">
        <v>66</v>
      </c>
      <c r="O4226" s="19" t="s">
        <v>141</v>
      </c>
      <c r="P4226" s="91"/>
      <c r="Q4226" s="19">
        <v>446</v>
      </c>
      <c r="R4226" s="19">
        <f>+P4223-Q4223-Q4224-Q4225-Q4226</f>
        <v>355</v>
      </c>
      <c r="S4226" s="19">
        <f t="shared" si="203"/>
        <v>1070</v>
      </c>
      <c r="T4226" s="19" t="s">
        <v>42</v>
      </c>
      <c r="U4226" s="102" t="s">
        <v>1286</v>
      </c>
      <c r="V4226" s="253">
        <v>44935</v>
      </c>
      <c r="W4226" s="17" t="s">
        <v>44</v>
      </c>
      <c r="X4226" s="17"/>
      <c r="Y4226" s="68">
        <v>45283</v>
      </c>
      <c r="Z4226" s="17" t="s">
        <v>191</v>
      </c>
      <c r="AA4226" s="17" t="s">
        <v>46</v>
      </c>
      <c r="AB4226" s="17" t="s">
        <v>1250</v>
      </c>
      <c r="AC4226" s="217">
        <v>45351</v>
      </c>
      <c r="AD4226" s="65">
        <v>1533</v>
      </c>
      <c r="AE4226" s="17" t="s">
        <v>74</v>
      </c>
      <c r="AF4226" s="17"/>
      <c r="AG4226" s="17"/>
      <c r="AH4226" s="17"/>
      <c r="AI4226" s="17"/>
      <c r="AJ4226" s="17"/>
      <c r="AK4226" s="17"/>
      <c r="AL4226" s="17"/>
      <c r="AM4226" s="17"/>
      <c r="AN4226" s="17"/>
      <c r="AO4226" s="17"/>
      <c r="AP4226" s="17"/>
      <c r="AQ4226" s="17"/>
      <c r="AR4226" s="17"/>
    </row>
    <row r="4227" s="20" customFormat="1" hidden="1" spans="1:44">
      <c r="A4227" s="17" t="s">
        <v>34</v>
      </c>
      <c r="B4227" s="19">
        <v>938</v>
      </c>
      <c r="C4227" s="183">
        <v>45168</v>
      </c>
      <c r="D4227" s="17" t="s">
        <v>52</v>
      </c>
      <c r="E4227" s="17" t="s">
        <v>1113</v>
      </c>
      <c r="F4227" s="17" t="s">
        <v>54</v>
      </c>
      <c r="G4227" s="17"/>
      <c r="H4227" s="19" t="s">
        <v>1114</v>
      </c>
      <c r="I4227" s="19"/>
      <c r="J4227" s="17" t="s">
        <v>82</v>
      </c>
      <c r="K4227" s="19">
        <v>355</v>
      </c>
      <c r="L4227" s="91">
        <v>80</v>
      </c>
      <c r="M4227" s="19">
        <v>2200</v>
      </c>
      <c r="N4227" s="19" t="s">
        <v>66</v>
      </c>
      <c r="O4227" s="19" t="s">
        <v>141</v>
      </c>
      <c r="P4227" s="91">
        <v>2015</v>
      </c>
      <c r="Q4227" s="19">
        <v>2064</v>
      </c>
      <c r="R4227" s="21"/>
      <c r="S4227" s="19">
        <f t="shared" si="203"/>
        <v>1070</v>
      </c>
      <c r="T4227" s="19" t="s">
        <v>42</v>
      </c>
      <c r="U4227" s="102" t="s">
        <v>1286</v>
      </c>
      <c r="V4227" s="253">
        <v>44935</v>
      </c>
      <c r="W4227" s="17" t="s">
        <v>44</v>
      </c>
      <c r="X4227" s="17"/>
      <c r="Y4227" s="68">
        <v>45283</v>
      </c>
      <c r="Z4227" s="17" t="s">
        <v>191</v>
      </c>
      <c r="AA4227" s="17" t="s">
        <v>46</v>
      </c>
      <c r="AB4227" s="17" t="s">
        <v>1251</v>
      </c>
      <c r="AC4227" s="217">
        <v>45566</v>
      </c>
      <c r="AD4227" s="65">
        <v>1515</v>
      </c>
      <c r="AE4227" s="17" t="s">
        <v>74</v>
      </c>
      <c r="AF4227" s="17"/>
      <c r="AG4227" s="17"/>
      <c r="AH4227" s="17"/>
      <c r="AI4227" s="17"/>
      <c r="AJ4227" s="17"/>
      <c r="AK4227" s="17"/>
      <c r="AL4227" s="17"/>
      <c r="AM4227" s="17"/>
      <c r="AN4227" s="17"/>
      <c r="AO4227" s="17"/>
      <c r="AP4227" s="17"/>
      <c r="AQ4227" s="17"/>
      <c r="AR4227" s="17"/>
    </row>
    <row r="4228" s="20" customFormat="1" hidden="1" spans="1:44">
      <c r="A4228" s="17" t="s">
        <v>34</v>
      </c>
      <c r="B4228" s="19">
        <v>938</v>
      </c>
      <c r="C4228" s="183">
        <v>45168</v>
      </c>
      <c r="D4228" s="17" t="s">
        <v>52</v>
      </c>
      <c r="E4228" s="17" t="s">
        <v>1113</v>
      </c>
      <c r="F4228" s="17" t="s">
        <v>54</v>
      </c>
      <c r="G4228" s="17"/>
      <c r="H4228" s="19" t="s">
        <v>1114</v>
      </c>
      <c r="I4228" s="19"/>
      <c r="J4228" s="17" t="s">
        <v>82</v>
      </c>
      <c r="K4228" s="19">
        <v>355</v>
      </c>
      <c r="L4228" s="91">
        <v>80</v>
      </c>
      <c r="M4228" s="19">
        <v>2200</v>
      </c>
      <c r="N4228" s="19" t="s">
        <v>66</v>
      </c>
      <c r="O4228" s="19" t="s">
        <v>141</v>
      </c>
      <c r="P4228" s="91"/>
      <c r="Q4228" s="19">
        <v>514</v>
      </c>
      <c r="R4228" s="19">
        <f>+P4227-Q4227-Q4228</f>
        <v>-563</v>
      </c>
      <c r="S4228" s="19">
        <f t="shared" si="203"/>
        <v>1070</v>
      </c>
      <c r="T4228" s="19" t="s">
        <v>42</v>
      </c>
      <c r="U4228" s="102" t="s">
        <v>1286</v>
      </c>
      <c r="V4228" s="253">
        <v>44935</v>
      </c>
      <c r="W4228" s="17" t="s">
        <v>44</v>
      </c>
      <c r="X4228" s="17"/>
      <c r="Y4228" s="68">
        <v>45283</v>
      </c>
      <c r="Z4228" s="17" t="s">
        <v>191</v>
      </c>
      <c r="AA4228" s="17" t="s">
        <v>46</v>
      </c>
      <c r="AB4228" s="17" t="s">
        <v>1261</v>
      </c>
      <c r="AC4228" s="66">
        <v>45364</v>
      </c>
      <c r="AD4228" s="65">
        <v>1538</v>
      </c>
      <c r="AE4228" s="17" t="s">
        <v>74</v>
      </c>
      <c r="AF4228" s="17"/>
      <c r="AG4228" s="17"/>
      <c r="AH4228" s="17"/>
      <c r="AI4228" s="17"/>
      <c r="AJ4228" s="17"/>
      <c r="AK4228" s="17"/>
      <c r="AL4228" s="17"/>
      <c r="AM4228" s="17"/>
      <c r="AN4228" s="17"/>
      <c r="AO4228" s="17"/>
      <c r="AP4228" s="17"/>
      <c r="AQ4228" s="17"/>
      <c r="AR4228" s="17"/>
    </row>
    <row r="4229" s="20" customFormat="1" hidden="1" spans="1:44">
      <c r="A4229" s="17" t="s">
        <v>34</v>
      </c>
      <c r="B4229" s="19">
        <v>938</v>
      </c>
      <c r="C4229" s="183">
        <v>45168</v>
      </c>
      <c r="D4229" s="17" t="s">
        <v>52</v>
      </c>
      <c r="E4229" s="17" t="s">
        <v>1113</v>
      </c>
      <c r="F4229" s="17" t="s">
        <v>54</v>
      </c>
      <c r="G4229" s="17"/>
      <c r="H4229" s="19" t="s">
        <v>1114</v>
      </c>
      <c r="I4229" s="19"/>
      <c r="J4229" s="17" t="s">
        <v>82</v>
      </c>
      <c r="K4229" s="19">
        <v>405</v>
      </c>
      <c r="L4229" s="91">
        <v>80</v>
      </c>
      <c r="M4229" s="19">
        <v>2200</v>
      </c>
      <c r="N4229" s="19" t="s">
        <v>66</v>
      </c>
      <c r="O4229" s="19" t="s">
        <v>141</v>
      </c>
      <c r="P4229" s="91">
        <v>2299</v>
      </c>
      <c r="Q4229" s="19">
        <v>1756</v>
      </c>
      <c r="R4229" s="19">
        <f>+P4229-Q4229</f>
        <v>543</v>
      </c>
      <c r="S4229" s="19">
        <f t="shared" si="203"/>
        <v>1070</v>
      </c>
      <c r="T4229" s="19" t="s">
        <v>42</v>
      </c>
      <c r="U4229" s="102" t="s">
        <v>1286</v>
      </c>
      <c r="V4229" s="253">
        <v>44935</v>
      </c>
      <c r="W4229" s="17" t="s">
        <v>44</v>
      </c>
      <c r="X4229" s="17"/>
      <c r="Y4229" s="68">
        <v>45283</v>
      </c>
      <c r="Z4229" s="17" t="s">
        <v>191</v>
      </c>
      <c r="AA4229" s="17" t="s">
        <v>46</v>
      </c>
      <c r="AB4229" s="17" t="s">
        <v>1236</v>
      </c>
      <c r="AC4229" s="66">
        <v>45288</v>
      </c>
      <c r="AD4229" s="65">
        <v>1508</v>
      </c>
      <c r="AE4229" s="17" t="s">
        <v>74</v>
      </c>
      <c r="AF4229" s="17"/>
      <c r="AG4229" s="17"/>
      <c r="AH4229" s="17"/>
      <c r="AI4229" s="17"/>
      <c r="AJ4229" s="17"/>
      <c r="AK4229" s="17"/>
      <c r="AL4229" s="17"/>
      <c r="AM4229" s="17"/>
      <c r="AN4229" s="17"/>
      <c r="AO4229" s="17"/>
      <c r="AP4229" s="17"/>
      <c r="AQ4229" s="17"/>
      <c r="AR4229" s="17"/>
    </row>
    <row r="4230" s="20" customFormat="1" hidden="1" spans="1:44">
      <c r="A4230" s="17" t="s">
        <v>34</v>
      </c>
      <c r="B4230" s="19">
        <v>938</v>
      </c>
      <c r="C4230" s="183">
        <v>45168</v>
      </c>
      <c r="D4230" s="17" t="s">
        <v>52</v>
      </c>
      <c r="E4230" s="17" t="s">
        <v>1113</v>
      </c>
      <c r="F4230" s="17" t="s">
        <v>54</v>
      </c>
      <c r="G4230" s="17"/>
      <c r="H4230" s="19" t="s">
        <v>1114</v>
      </c>
      <c r="I4230" s="19"/>
      <c r="J4230" s="17" t="s">
        <v>82</v>
      </c>
      <c r="K4230" s="19">
        <v>455</v>
      </c>
      <c r="L4230" s="91">
        <v>80</v>
      </c>
      <c r="M4230" s="19">
        <v>2200</v>
      </c>
      <c r="N4230" s="19" t="s">
        <v>66</v>
      </c>
      <c r="O4230" s="19" t="s">
        <v>141</v>
      </c>
      <c r="P4230" s="91">
        <v>1937</v>
      </c>
      <c r="Q4230" s="19">
        <v>1979</v>
      </c>
      <c r="R4230" s="19">
        <f>+P4230-Q4230</f>
        <v>-42</v>
      </c>
      <c r="S4230" s="19">
        <f t="shared" si="203"/>
        <v>1070</v>
      </c>
      <c r="T4230" s="19" t="s">
        <v>42</v>
      </c>
      <c r="U4230" s="102" t="s">
        <v>1286</v>
      </c>
      <c r="V4230" s="253">
        <v>44935</v>
      </c>
      <c r="W4230" s="17" t="s">
        <v>44</v>
      </c>
      <c r="X4230" s="17"/>
      <c r="Y4230" s="68">
        <v>45283</v>
      </c>
      <c r="Z4230" s="17" t="s">
        <v>191</v>
      </c>
      <c r="AA4230" s="17" t="s">
        <v>46</v>
      </c>
      <c r="AB4230" s="17" t="s">
        <v>1236</v>
      </c>
      <c r="AC4230" s="66">
        <v>45288</v>
      </c>
      <c r="AD4230" s="65">
        <v>1508</v>
      </c>
      <c r="AE4230" s="17" t="s">
        <v>74</v>
      </c>
      <c r="AF4230" s="17"/>
      <c r="AG4230" s="17"/>
      <c r="AH4230" s="17"/>
      <c r="AI4230" s="17"/>
      <c r="AJ4230" s="17"/>
      <c r="AK4230" s="17"/>
      <c r="AL4230" s="17"/>
      <c r="AM4230" s="17"/>
      <c r="AN4230" s="17"/>
      <c r="AO4230" s="17"/>
      <c r="AP4230" s="17"/>
      <c r="AQ4230" s="17"/>
      <c r="AR4230" s="17"/>
    </row>
    <row r="4231" s="20" customFormat="1" hidden="1" spans="1:44">
      <c r="A4231" s="17" t="s">
        <v>34</v>
      </c>
      <c r="B4231" s="19">
        <v>938</v>
      </c>
      <c r="C4231" s="183">
        <v>45168</v>
      </c>
      <c r="D4231" s="17" t="s">
        <v>52</v>
      </c>
      <c r="E4231" s="17" t="s">
        <v>1113</v>
      </c>
      <c r="F4231" s="17" t="s">
        <v>54</v>
      </c>
      <c r="G4231" s="17"/>
      <c r="H4231" s="19" t="s">
        <v>1114</v>
      </c>
      <c r="I4231" s="19"/>
      <c r="J4231" s="17" t="s">
        <v>82</v>
      </c>
      <c r="K4231" s="19">
        <v>505</v>
      </c>
      <c r="L4231" s="91">
        <v>80</v>
      </c>
      <c r="M4231" s="19">
        <v>2200</v>
      </c>
      <c r="N4231" s="19" t="s">
        <v>66</v>
      </c>
      <c r="O4231" s="19" t="s">
        <v>141</v>
      </c>
      <c r="P4231" s="91">
        <v>2150</v>
      </c>
      <c r="Q4231" s="19">
        <v>732</v>
      </c>
      <c r="R4231" s="17"/>
      <c r="S4231" s="19">
        <f t="shared" si="203"/>
        <v>1070</v>
      </c>
      <c r="T4231" s="19" t="s">
        <v>42</v>
      </c>
      <c r="U4231" s="102" t="s">
        <v>1286</v>
      </c>
      <c r="V4231" s="253">
        <v>44935</v>
      </c>
      <c r="W4231" s="17" t="s">
        <v>44</v>
      </c>
      <c r="X4231" s="17"/>
      <c r="Y4231" s="68">
        <v>45283</v>
      </c>
      <c r="Z4231" s="17" t="s">
        <v>191</v>
      </c>
      <c r="AA4231" s="17" t="s">
        <v>46</v>
      </c>
      <c r="AB4231" s="17" t="s">
        <v>1260</v>
      </c>
      <c r="AC4231" s="66">
        <v>45288</v>
      </c>
      <c r="AD4231" s="65">
        <v>1507</v>
      </c>
      <c r="AE4231" s="17" t="s">
        <v>74</v>
      </c>
      <c r="AF4231" s="17"/>
      <c r="AG4231" s="17"/>
      <c r="AH4231" s="17"/>
      <c r="AI4231" s="17"/>
      <c r="AJ4231" s="17"/>
      <c r="AK4231" s="17"/>
      <c r="AL4231" s="17"/>
      <c r="AM4231" s="17"/>
      <c r="AN4231" s="17"/>
      <c r="AO4231" s="17"/>
      <c r="AP4231" s="17"/>
      <c r="AQ4231" s="17"/>
      <c r="AR4231" s="17"/>
    </row>
    <row r="4232" s="20" customFormat="1" hidden="1" spans="1:44">
      <c r="A4232" s="17" t="s">
        <v>34</v>
      </c>
      <c r="B4232" s="19">
        <v>938</v>
      </c>
      <c r="C4232" s="183">
        <v>45168</v>
      </c>
      <c r="D4232" s="17" t="s">
        <v>52</v>
      </c>
      <c r="E4232" s="17" t="s">
        <v>1113</v>
      </c>
      <c r="F4232" s="17" t="s">
        <v>54</v>
      </c>
      <c r="G4232" s="17"/>
      <c r="H4232" s="19" t="s">
        <v>1114</v>
      </c>
      <c r="I4232" s="19"/>
      <c r="J4232" s="17" t="s">
        <v>82</v>
      </c>
      <c r="K4232" s="19">
        <v>505</v>
      </c>
      <c r="L4232" s="91">
        <v>80</v>
      </c>
      <c r="M4232" s="19">
        <v>2200</v>
      </c>
      <c r="N4232" s="19" t="s">
        <v>66</v>
      </c>
      <c r="O4232" s="19" t="s">
        <v>141</v>
      </c>
      <c r="P4232" s="91"/>
      <c r="Q4232" s="19">
        <v>736</v>
      </c>
      <c r="R4232" s="19">
        <f>+P4231-Q4231-Q4232</f>
        <v>682</v>
      </c>
      <c r="S4232" s="19">
        <f t="shared" si="203"/>
        <v>1070</v>
      </c>
      <c r="T4232" s="19" t="s">
        <v>42</v>
      </c>
      <c r="U4232" s="102" t="s">
        <v>1286</v>
      </c>
      <c r="V4232" s="253">
        <v>44935</v>
      </c>
      <c r="W4232" s="17" t="s">
        <v>44</v>
      </c>
      <c r="X4232" s="17"/>
      <c r="Y4232" s="68">
        <v>45283</v>
      </c>
      <c r="Z4232" s="17" t="s">
        <v>191</v>
      </c>
      <c r="AA4232" s="17" t="s">
        <v>46</v>
      </c>
      <c r="AB4232" s="17" t="s">
        <v>1237</v>
      </c>
      <c r="AC4232" s="217">
        <v>45627</v>
      </c>
      <c r="AD4232" s="65">
        <v>1516</v>
      </c>
      <c r="AE4232" s="17" t="s">
        <v>74</v>
      </c>
      <c r="AF4232" s="17"/>
      <c r="AG4232" s="17"/>
      <c r="AH4232" s="17"/>
      <c r="AI4232" s="17"/>
      <c r="AJ4232" s="17"/>
      <c r="AK4232" s="17"/>
      <c r="AL4232" s="17"/>
      <c r="AM4232" s="17"/>
      <c r="AN4232" s="17"/>
      <c r="AO4232" s="17"/>
      <c r="AP4232" s="17"/>
      <c r="AQ4232" s="17"/>
      <c r="AR4232" s="17"/>
    </row>
    <row r="4233" s="20" customFormat="1" hidden="1" spans="1:44">
      <c r="A4233" s="17" t="s">
        <v>34</v>
      </c>
      <c r="B4233" s="19">
        <v>938</v>
      </c>
      <c r="C4233" s="183">
        <v>45168</v>
      </c>
      <c r="D4233" s="17" t="s">
        <v>52</v>
      </c>
      <c r="E4233" s="17" t="s">
        <v>1113</v>
      </c>
      <c r="F4233" s="17" t="s">
        <v>54</v>
      </c>
      <c r="G4233" s="17"/>
      <c r="H4233" s="19" t="s">
        <v>1114</v>
      </c>
      <c r="I4233" s="19"/>
      <c r="J4233" s="17" t="s">
        <v>82</v>
      </c>
      <c r="K4233" s="19">
        <v>1100</v>
      </c>
      <c r="L4233" s="91">
        <v>80</v>
      </c>
      <c r="M4233" s="19">
        <v>2200</v>
      </c>
      <c r="N4233" s="19" t="s">
        <v>66</v>
      </c>
      <c r="O4233" s="19" t="s">
        <v>141</v>
      </c>
      <c r="P4233" s="91">
        <v>3122</v>
      </c>
      <c r="Q4233" s="19">
        <f>1585+1584</f>
        <v>3169</v>
      </c>
      <c r="R4233" s="19">
        <f>+P4233-Q4233</f>
        <v>-47</v>
      </c>
      <c r="S4233" s="19">
        <f>1100-40</f>
        <v>1060</v>
      </c>
      <c r="T4233" s="19" t="s">
        <v>42</v>
      </c>
      <c r="U4233" s="102" t="s">
        <v>1286</v>
      </c>
      <c r="V4233" s="253">
        <v>44935</v>
      </c>
      <c r="W4233" s="17" t="s">
        <v>44</v>
      </c>
      <c r="X4233" s="17"/>
      <c r="Y4233" s="68">
        <v>45283</v>
      </c>
      <c r="Z4233" s="17" t="s">
        <v>191</v>
      </c>
      <c r="AA4233" s="17" t="s">
        <v>46</v>
      </c>
      <c r="AB4233" s="17" t="s">
        <v>1236</v>
      </c>
      <c r="AC4233" s="66">
        <v>45288</v>
      </c>
      <c r="AD4233" s="65">
        <v>1508</v>
      </c>
      <c r="AE4233" s="17" t="s">
        <v>74</v>
      </c>
      <c r="AF4233" s="17"/>
      <c r="AG4233" s="17"/>
      <c r="AH4233" s="17"/>
      <c r="AI4233" s="17"/>
      <c r="AJ4233" s="17"/>
      <c r="AK4233" s="17"/>
      <c r="AL4233" s="17"/>
      <c r="AM4233" s="17"/>
      <c r="AN4233" s="17"/>
      <c r="AO4233" s="17"/>
      <c r="AP4233" s="17"/>
      <c r="AQ4233" s="17"/>
      <c r="AR4233" s="17"/>
    </row>
    <row r="4234" s="20" customFormat="1" hidden="1" spans="1:44">
      <c r="A4234" s="17" t="s">
        <v>34</v>
      </c>
      <c r="B4234" s="19">
        <v>938</v>
      </c>
      <c r="C4234" s="183">
        <v>45168</v>
      </c>
      <c r="D4234" s="17" t="s">
        <v>52</v>
      </c>
      <c r="E4234" s="17" t="s">
        <v>1113</v>
      </c>
      <c r="F4234" s="17" t="s">
        <v>54</v>
      </c>
      <c r="G4234" s="17"/>
      <c r="H4234" s="19" t="s">
        <v>1114</v>
      </c>
      <c r="I4234" s="19"/>
      <c r="J4234" s="17" t="s">
        <v>82</v>
      </c>
      <c r="K4234" s="19">
        <v>205</v>
      </c>
      <c r="L4234" s="91">
        <v>105</v>
      </c>
      <c r="M4234" s="19">
        <v>2200</v>
      </c>
      <c r="N4234" s="19" t="s">
        <v>66</v>
      </c>
      <c r="O4234" s="19" t="s">
        <v>141</v>
      </c>
      <c r="P4234" s="91">
        <v>764</v>
      </c>
      <c r="Q4234" s="19">
        <v>802</v>
      </c>
      <c r="R4234" s="19">
        <f>+P4234-Q4234</f>
        <v>-38</v>
      </c>
      <c r="S4234" s="19">
        <f t="shared" ref="S4234:S4242" si="204">1110-40</f>
        <v>1070</v>
      </c>
      <c r="T4234" s="19" t="s">
        <v>42</v>
      </c>
      <c r="U4234" s="102" t="s">
        <v>1286</v>
      </c>
      <c r="V4234" s="253">
        <v>44935</v>
      </c>
      <c r="W4234" s="17" t="s">
        <v>44</v>
      </c>
      <c r="X4234" s="17"/>
      <c r="Y4234" s="68">
        <v>45283</v>
      </c>
      <c r="Z4234" s="17" t="s">
        <v>191</v>
      </c>
      <c r="AA4234" s="17" t="s">
        <v>46</v>
      </c>
      <c r="AB4234" s="17" t="s">
        <v>1244</v>
      </c>
      <c r="AC4234" s="66">
        <v>45286</v>
      </c>
      <c r="AD4234" s="65">
        <v>1505</v>
      </c>
      <c r="AE4234" s="17" t="s">
        <v>74</v>
      </c>
      <c r="AF4234" s="17"/>
      <c r="AG4234" s="17"/>
      <c r="AH4234" s="17"/>
      <c r="AI4234" s="17"/>
      <c r="AJ4234" s="17"/>
      <c r="AK4234" s="17"/>
      <c r="AL4234" s="17"/>
      <c r="AM4234" s="17"/>
      <c r="AN4234" s="17"/>
      <c r="AO4234" s="17"/>
      <c r="AP4234" s="17"/>
      <c r="AQ4234" s="17"/>
      <c r="AR4234" s="17"/>
    </row>
    <row r="4235" s="20" customFormat="1" hidden="1" spans="1:44">
      <c r="A4235" s="17" t="s">
        <v>34</v>
      </c>
      <c r="B4235" s="19">
        <v>938</v>
      </c>
      <c r="C4235" s="183">
        <v>45168</v>
      </c>
      <c r="D4235" s="17" t="s">
        <v>52</v>
      </c>
      <c r="E4235" s="17" t="s">
        <v>1113</v>
      </c>
      <c r="F4235" s="17" t="s">
        <v>54</v>
      </c>
      <c r="G4235" s="17"/>
      <c r="H4235" s="19" t="s">
        <v>1114</v>
      </c>
      <c r="I4235" s="19"/>
      <c r="J4235" s="17" t="s">
        <v>82</v>
      </c>
      <c r="K4235" s="19">
        <v>255</v>
      </c>
      <c r="L4235" s="91">
        <v>105</v>
      </c>
      <c r="M4235" s="19">
        <v>2200</v>
      </c>
      <c r="N4235" s="19" t="s">
        <v>66</v>
      </c>
      <c r="O4235" s="19" t="s">
        <v>141</v>
      </c>
      <c r="P4235" s="91">
        <v>1900</v>
      </c>
      <c r="Q4235" s="19">
        <v>1966</v>
      </c>
      <c r="R4235" s="19">
        <f>+P4235-Q4235</f>
        <v>-66</v>
      </c>
      <c r="S4235" s="19">
        <f t="shared" si="204"/>
        <v>1070</v>
      </c>
      <c r="T4235" s="19" t="s">
        <v>42</v>
      </c>
      <c r="U4235" s="102" t="s">
        <v>1286</v>
      </c>
      <c r="V4235" s="253">
        <v>44935</v>
      </c>
      <c r="W4235" s="17" t="s">
        <v>44</v>
      </c>
      <c r="X4235" s="17"/>
      <c r="Y4235" s="68">
        <v>45283</v>
      </c>
      <c r="Z4235" s="17" t="s">
        <v>191</v>
      </c>
      <c r="AA4235" s="17" t="s">
        <v>46</v>
      </c>
      <c r="AB4235" s="17" t="s">
        <v>1244</v>
      </c>
      <c r="AC4235" s="66">
        <v>45286</v>
      </c>
      <c r="AD4235" s="65">
        <v>1505</v>
      </c>
      <c r="AE4235" s="17" t="s">
        <v>74</v>
      </c>
      <c r="AF4235" s="17"/>
      <c r="AG4235" s="17"/>
      <c r="AH4235" s="17"/>
      <c r="AI4235" s="17"/>
      <c r="AJ4235" s="17"/>
      <c r="AK4235" s="17"/>
      <c r="AL4235" s="17"/>
      <c r="AM4235" s="17"/>
      <c r="AN4235" s="17"/>
      <c r="AO4235" s="17"/>
      <c r="AP4235" s="17"/>
      <c r="AQ4235" s="17"/>
      <c r="AR4235" s="17"/>
    </row>
    <row r="4236" s="20" customFormat="1" hidden="1" spans="1:44">
      <c r="A4236" s="17" t="s">
        <v>34</v>
      </c>
      <c r="B4236" s="19">
        <v>938</v>
      </c>
      <c r="C4236" s="183">
        <v>45168</v>
      </c>
      <c r="D4236" s="17" t="s">
        <v>52</v>
      </c>
      <c r="E4236" s="17" t="s">
        <v>1113</v>
      </c>
      <c r="F4236" s="17" t="s">
        <v>54</v>
      </c>
      <c r="G4236" s="17"/>
      <c r="H4236" s="19" t="s">
        <v>1114</v>
      </c>
      <c r="I4236" s="19"/>
      <c r="J4236" s="17" t="s">
        <v>82</v>
      </c>
      <c r="K4236" s="19">
        <v>305</v>
      </c>
      <c r="L4236" s="91">
        <v>105</v>
      </c>
      <c r="M4236" s="19">
        <v>2200</v>
      </c>
      <c r="N4236" s="19" t="s">
        <v>66</v>
      </c>
      <c r="O4236" s="19" t="s">
        <v>141</v>
      </c>
      <c r="P4236" s="91">
        <v>2273</v>
      </c>
      <c r="Q4236" s="19">
        <f>581+1155</f>
        <v>1736</v>
      </c>
      <c r="R4236" s="17"/>
      <c r="S4236" s="19">
        <f t="shared" si="204"/>
        <v>1070</v>
      </c>
      <c r="T4236" s="19" t="s">
        <v>42</v>
      </c>
      <c r="U4236" s="102" t="s">
        <v>1286</v>
      </c>
      <c r="V4236" s="253">
        <v>44935</v>
      </c>
      <c r="W4236" s="17" t="s">
        <v>44</v>
      </c>
      <c r="X4236" s="17"/>
      <c r="Y4236" s="68">
        <v>45283</v>
      </c>
      <c r="Z4236" s="17" t="s">
        <v>191</v>
      </c>
      <c r="AA4236" s="17" t="s">
        <v>46</v>
      </c>
      <c r="AB4236" s="17" t="s">
        <v>1237</v>
      </c>
      <c r="AC4236" s="217">
        <v>45627</v>
      </c>
      <c r="AD4236" s="65">
        <v>1516</v>
      </c>
      <c r="AE4236" s="17" t="s">
        <v>74</v>
      </c>
      <c r="AF4236" s="17"/>
      <c r="AG4236" s="17"/>
      <c r="AH4236" s="17"/>
      <c r="AI4236" s="17"/>
      <c r="AJ4236" s="17"/>
      <c r="AK4236" s="17"/>
      <c r="AL4236" s="17"/>
      <c r="AM4236" s="17"/>
      <c r="AN4236" s="17"/>
      <c r="AO4236" s="17"/>
      <c r="AP4236" s="17"/>
      <c r="AQ4236" s="17"/>
      <c r="AR4236" s="17"/>
    </row>
    <row r="4237" s="20" customFormat="1" hidden="1" spans="1:44">
      <c r="A4237" s="17" t="s">
        <v>34</v>
      </c>
      <c r="B4237" s="19">
        <v>938</v>
      </c>
      <c r="C4237" s="183">
        <v>45168</v>
      </c>
      <c r="D4237" s="17" t="s">
        <v>52</v>
      </c>
      <c r="E4237" s="17" t="s">
        <v>1113</v>
      </c>
      <c r="F4237" s="17" t="s">
        <v>54</v>
      </c>
      <c r="G4237" s="17"/>
      <c r="H4237" s="19" t="s">
        <v>1114</v>
      </c>
      <c r="I4237" s="19"/>
      <c r="J4237" s="17" t="s">
        <v>82</v>
      </c>
      <c r="K4237" s="19">
        <v>305</v>
      </c>
      <c r="L4237" s="91">
        <v>105</v>
      </c>
      <c r="M4237" s="19">
        <v>2200</v>
      </c>
      <c r="N4237" s="19" t="s">
        <v>66</v>
      </c>
      <c r="O4237" s="19" t="s">
        <v>141</v>
      </c>
      <c r="P4237" s="91"/>
      <c r="Q4237" s="19">
        <v>581</v>
      </c>
      <c r="R4237" s="19">
        <f>+P4236-Q4236-Q4237</f>
        <v>-44</v>
      </c>
      <c r="S4237" s="19">
        <f t="shared" si="204"/>
        <v>1070</v>
      </c>
      <c r="T4237" s="19" t="s">
        <v>42</v>
      </c>
      <c r="U4237" s="102" t="s">
        <v>1286</v>
      </c>
      <c r="V4237" s="253">
        <v>44935</v>
      </c>
      <c r="W4237" s="17" t="s">
        <v>44</v>
      </c>
      <c r="X4237" s="17"/>
      <c r="Y4237" s="68">
        <v>45283</v>
      </c>
      <c r="Z4237" s="17" t="s">
        <v>191</v>
      </c>
      <c r="AA4237" s="17" t="s">
        <v>46</v>
      </c>
      <c r="AB4237" s="17" t="s">
        <v>1256</v>
      </c>
      <c r="AC4237" s="66">
        <v>45322</v>
      </c>
      <c r="AD4237" s="65">
        <v>1522</v>
      </c>
      <c r="AE4237" s="17" t="s">
        <v>74</v>
      </c>
      <c r="AF4237" s="17"/>
      <c r="AG4237" s="17"/>
      <c r="AH4237" s="17"/>
      <c r="AI4237" s="17"/>
      <c r="AJ4237" s="17"/>
      <c r="AK4237" s="17"/>
      <c r="AL4237" s="17"/>
      <c r="AM4237" s="17"/>
      <c r="AN4237" s="17"/>
      <c r="AO4237" s="17"/>
      <c r="AP4237" s="17"/>
      <c r="AQ4237" s="17"/>
      <c r="AR4237" s="17"/>
    </row>
    <row r="4238" s="20" customFormat="1" hidden="1" spans="1:44">
      <c r="A4238" s="17" t="s">
        <v>34</v>
      </c>
      <c r="B4238" s="19">
        <v>938</v>
      </c>
      <c r="C4238" s="183">
        <v>45168</v>
      </c>
      <c r="D4238" s="17" t="s">
        <v>52</v>
      </c>
      <c r="E4238" s="17" t="s">
        <v>1113</v>
      </c>
      <c r="F4238" s="17" t="s">
        <v>54</v>
      </c>
      <c r="G4238" s="17"/>
      <c r="H4238" s="19" t="s">
        <v>1114</v>
      </c>
      <c r="I4238" s="19"/>
      <c r="J4238" s="17" t="s">
        <v>82</v>
      </c>
      <c r="K4238" s="19">
        <v>355</v>
      </c>
      <c r="L4238" s="91">
        <v>105</v>
      </c>
      <c r="M4238" s="19">
        <v>2200</v>
      </c>
      <c r="N4238" s="19" t="s">
        <v>66</v>
      </c>
      <c r="O4238" s="19" t="s">
        <v>141</v>
      </c>
      <c r="P4238" s="91">
        <v>1984</v>
      </c>
      <c r="Q4238" s="19">
        <v>660</v>
      </c>
      <c r="R4238" s="17"/>
      <c r="S4238" s="19">
        <f t="shared" si="204"/>
        <v>1070</v>
      </c>
      <c r="T4238" s="19" t="s">
        <v>42</v>
      </c>
      <c r="U4238" s="102" t="s">
        <v>1286</v>
      </c>
      <c r="V4238" s="253">
        <v>44935</v>
      </c>
      <c r="W4238" s="17" t="s">
        <v>44</v>
      </c>
      <c r="X4238" s="17"/>
      <c r="Y4238" s="68">
        <v>45283</v>
      </c>
      <c r="Z4238" s="17" t="s">
        <v>191</v>
      </c>
      <c r="AA4238" s="17" t="s">
        <v>46</v>
      </c>
      <c r="AB4238" s="17" t="s">
        <v>1246</v>
      </c>
      <c r="AC4238" s="66">
        <v>45276</v>
      </c>
      <c r="AD4238" s="65">
        <v>1499</v>
      </c>
      <c r="AE4238" s="17" t="s">
        <v>74</v>
      </c>
      <c r="AF4238" s="17"/>
      <c r="AG4238" s="17"/>
      <c r="AH4238" s="17"/>
      <c r="AI4238" s="17"/>
      <c r="AJ4238" s="17"/>
      <c r="AK4238" s="17"/>
      <c r="AL4238" s="17"/>
      <c r="AM4238" s="17"/>
      <c r="AN4238" s="17"/>
      <c r="AO4238" s="17"/>
      <c r="AP4238" s="17"/>
      <c r="AQ4238" s="17"/>
      <c r="AR4238" s="17"/>
    </row>
    <row r="4239" s="20" customFormat="1" hidden="1" spans="1:44">
      <c r="A4239" s="17" t="s">
        <v>34</v>
      </c>
      <c r="B4239" s="19">
        <v>938</v>
      </c>
      <c r="C4239" s="183">
        <v>45168</v>
      </c>
      <c r="D4239" s="17" t="s">
        <v>52</v>
      </c>
      <c r="E4239" s="17" t="s">
        <v>1113</v>
      </c>
      <c r="F4239" s="17" t="s">
        <v>54</v>
      </c>
      <c r="G4239" s="17"/>
      <c r="H4239" s="19" t="s">
        <v>1114</v>
      </c>
      <c r="I4239" s="19"/>
      <c r="J4239" s="17" t="s">
        <v>82</v>
      </c>
      <c r="K4239" s="19">
        <v>355</v>
      </c>
      <c r="L4239" s="91">
        <v>105</v>
      </c>
      <c r="M4239" s="19">
        <v>2200</v>
      </c>
      <c r="N4239" s="19" t="s">
        <v>66</v>
      </c>
      <c r="O4239" s="19" t="s">
        <v>141</v>
      </c>
      <c r="P4239" s="91"/>
      <c r="Q4239" s="19">
        <f>662+662+660+670</f>
        <v>2654</v>
      </c>
      <c r="R4239" s="19">
        <f>+P4238-Q4238-Q4239</f>
        <v>-1330</v>
      </c>
      <c r="S4239" s="19">
        <f t="shared" si="204"/>
        <v>1070</v>
      </c>
      <c r="T4239" s="19" t="s">
        <v>42</v>
      </c>
      <c r="U4239" s="102" t="s">
        <v>1286</v>
      </c>
      <c r="V4239" s="253">
        <v>44935</v>
      </c>
      <c r="W4239" s="17" t="s">
        <v>44</v>
      </c>
      <c r="X4239" s="17"/>
      <c r="Y4239" s="68">
        <v>45283</v>
      </c>
      <c r="Z4239" s="17" t="s">
        <v>191</v>
      </c>
      <c r="AA4239" s="17" t="s">
        <v>46</v>
      </c>
      <c r="AB4239" s="17" t="s">
        <v>1241</v>
      </c>
      <c r="AC4239" s="66">
        <v>45283</v>
      </c>
      <c r="AD4239" s="65">
        <v>1503</v>
      </c>
      <c r="AE4239" s="17" t="s">
        <v>74</v>
      </c>
      <c r="AF4239" s="17"/>
      <c r="AG4239" s="17"/>
      <c r="AH4239" s="17"/>
      <c r="AI4239" s="17"/>
      <c r="AJ4239" s="17"/>
      <c r="AK4239" s="17"/>
      <c r="AL4239" s="17"/>
      <c r="AM4239" s="17"/>
      <c r="AN4239" s="17"/>
      <c r="AO4239" s="17"/>
      <c r="AP4239" s="17"/>
      <c r="AQ4239" s="17"/>
      <c r="AR4239" s="17"/>
    </row>
    <row r="4240" s="20" customFormat="1" hidden="1" spans="1:44">
      <c r="A4240" s="17" t="s">
        <v>34</v>
      </c>
      <c r="B4240" s="19">
        <v>938</v>
      </c>
      <c r="C4240" s="183">
        <v>45168</v>
      </c>
      <c r="D4240" s="17" t="s">
        <v>52</v>
      </c>
      <c r="E4240" s="17" t="s">
        <v>1113</v>
      </c>
      <c r="F4240" s="17" t="s">
        <v>54</v>
      </c>
      <c r="G4240" s="17"/>
      <c r="H4240" s="19" t="s">
        <v>1114</v>
      </c>
      <c r="I4240" s="19"/>
      <c r="J4240" s="17" t="s">
        <v>82</v>
      </c>
      <c r="K4240" s="19">
        <v>405</v>
      </c>
      <c r="L4240" s="91">
        <v>105</v>
      </c>
      <c r="M4240" s="19">
        <v>2200</v>
      </c>
      <c r="N4240" s="19" t="s">
        <v>66</v>
      </c>
      <c r="O4240" s="19" t="s">
        <v>141</v>
      </c>
      <c r="P4240" s="91">
        <v>2263</v>
      </c>
      <c r="Q4240" s="19">
        <f>760+755+752</f>
        <v>2267</v>
      </c>
      <c r="R4240" s="19">
        <f>+P4240-Q4240</f>
        <v>-4</v>
      </c>
      <c r="S4240" s="19">
        <f t="shared" si="204"/>
        <v>1070</v>
      </c>
      <c r="T4240" s="19" t="s">
        <v>42</v>
      </c>
      <c r="U4240" s="102" t="s">
        <v>1286</v>
      </c>
      <c r="V4240" s="253">
        <v>44935</v>
      </c>
      <c r="W4240" s="17" t="s">
        <v>44</v>
      </c>
      <c r="X4240" s="17"/>
      <c r="Y4240" s="68">
        <v>45283</v>
      </c>
      <c r="Z4240" s="17" t="s">
        <v>191</v>
      </c>
      <c r="AA4240" s="17" t="s">
        <v>46</v>
      </c>
      <c r="AB4240" s="17" t="s">
        <v>1241</v>
      </c>
      <c r="AC4240" s="66">
        <v>45283</v>
      </c>
      <c r="AD4240" s="65">
        <v>1503</v>
      </c>
      <c r="AE4240" s="17" t="s">
        <v>74</v>
      </c>
      <c r="AF4240" s="17"/>
      <c r="AG4240" s="17"/>
      <c r="AH4240" s="17"/>
      <c r="AI4240" s="17"/>
      <c r="AJ4240" s="17"/>
      <c r="AK4240" s="17"/>
      <c r="AL4240" s="17"/>
      <c r="AM4240" s="17"/>
      <c r="AN4240" s="17"/>
      <c r="AO4240" s="17"/>
      <c r="AP4240" s="17"/>
      <c r="AQ4240" s="17"/>
      <c r="AR4240" s="17"/>
    </row>
    <row r="4241" s="20" customFormat="1" hidden="1" spans="1:44">
      <c r="A4241" s="17" t="s">
        <v>34</v>
      </c>
      <c r="B4241" s="19">
        <v>938</v>
      </c>
      <c r="C4241" s="183">
        <v>45168</v>
      </c>
      <c r="D4241" s="17" t="s">
        <v>52</v>
      </c>
      <c r="E4241" s="17" t="s">
        <v>1113</v>
      </c>
      <c r="F4241" s="17" t="s">
        <v>54</v>
      </c>
      <c r="G4241" s="17"/>
      <c r="H4241" s="19" t="s">
        <v>1114</v>
      </c>
      <c r="I4241" s="19"/>
      <c r="J4241" s="17" t="s">
        <v>82</v>
      </c>
      <c r="K4241" s="19">
        <v>455</v>
      </c>
      <c r="L4241" s="91">
        <v>105</v>
      </c>
      <c r="M4241" s="19">
        <v>2200</v>
      </c>
      <c r="N4241" s="19" t="s">
        <v>66</v>
      </c>
      <c r="O4241" s="19" t="s">
        <v>141</v>
      </c>
      <c r="P4241" s="91">
        <v>2543</v>
      </c>
      <c r="Q4241" s="19">
        <f>850+856+850</f>
        <v>2556</v>
      </c>
      <c r="R4241" s="19">
        <f>+P4241-Q4241</f>
        <v>-13</v>
      </c>
      <c r="S4241" s="19">
        <f t="shared" si="204"/>
        <v>1070</v>
      </c>
      <c r="T4241" s="19" t="s">
        <v>42</v>
      </c>
      <c r="U4241" s="102" t="s">
        <v>1286</v>
      </c>
      <c r="V4241" s="253">
        <v>44935</v>
      </c>
      <c r="W4241" s="17" t="s">
        <v>44</v>
      </c>
      <c r="X4241" s="17"/>
      <c r="Y4241" s="68">
        <v>45283</v>
      </c>
      <c r="Z4241" s="17" t="s">
        <v>191</v>
      </c>
      <c r="AA4241" s="17" t="s">
        <v>46</v>
      </c>
      <c r="AB4241" s="17" t="s">
        <v>1241</v>
      </c>
      <c r="AC4241" s="66">
        <v>45283</v>
      </c>
      <c r="AD4241" s="65">
        <v>1503</v>
      </c>
      <c r="AE4241" s="17" t="s">
        <v>74</v>
      </c>
      <c r="AF4241" s="17"/>
      <c r="AG4241" s="17"/>
      <c r="AH4241" s="17"/>
      <c r="AI4241" s="17"/>
      <c r="AJ4241" s="17"/>
      <c r="AK4241" s="17"/>
      <c r="AL4241" s="17"/>
      <c r="AM4241" s="17"/>
      <c r="AN4241" s="17"/>
      <c r="AO4241" s="17"/>
      <c r="AP4241" s="17"/>
      <c r="AQ4241" s="17"/>
      <c r="AR4241" s="17"/>
    </row>
    <row r="4242" s="20" customFormat="1" hidden="1" spans="1:44">
      <c r="A4242" s="17" t="s">
        <v>34</v>
      </c>
      <c r="B4242" s="19">
        <v>938</v>
      </c>
      <c r="C4242" s="183">
        <v>45168</v>
      </c>
      <c r="D4242" s="17" t="s">
        <v>52</v>
      </c>
      <c r="E4242" s="17" t="s">
        <v>1113</v>
      </c>
      <c r="F4242" s="17" t="s">
        <v>54</v>
      </c>
      <c r="G4242" s="17"/>
      <c r="H4242" s="19" t="s">
        <v>1114</v>
      </c>
      <c r="I4242" s="19"/>
      <c r="J4242" s="17" t="s">
        <v>82</v>
      </c>
      <c r="K4242" s="19">
        <v>505</v>
      </c>
      <c r="L4242" s="91">
        <v>105</v>
      </c>
      <c r="M4242" s="19">
        <v>2200</v>
      </c>
      <c r="N4242" s="19" t="s">
        <v>66</v>
      </c>
      <c r="O4242" s="19" t="s">
        <v>141</v>
      </c>
      <c r="P4242" s="91">
        <v>1881</v>
      </c>
      <c r="Q4242" s="19">
        <f>945+949</f>
        <v>1894</v>
      </c>
      <c r="R4242" s="19">
        <f>+P4242-Q4242</f>
        <v>-13</v>
      </c>
      <c r="S4242" s="19">
        <f t="shared" si="204"/>
        <v>1070</v>
      </c>
      <c r="T4242" s="19" t="s">
        <v>42</v>
      </c>
      <c r="U4242" s="102" t="s">
        <v>1286</v>
      </c>
      <c r="V4242" s="253">
        <v>44935</v>
      </c>
      <c r="W4242" s="17" t="s">
        <v>44</v>
      </c>
      <c r="X4242" s="17"/>
      <c r="Y4242" s="68">
        <v>45283</v>
      </c>
      <c r="Z4242" s="17" t="s">
        <v>191</v>
      </c>
      <c r="AA4242" s="17" t="s">
        <v>46</v>
      </c>
      <c r="AB4242" s="17" t="s">
        <v>1242</v>
      </c>
      <c r="AC4242" s="217">
        <v>45089</v>
      </c>
      <c r="AD4242" s="65">
        <v>1496</v>
      </c>
      <c r="AE4242" s="17" t="s">
        <v>74</v>
      </c>
      <c r="AF4242" s="17"/>
      <c r="AG4242" s="17"/>
      <c r="AH4242" s="17"/>
      <c r="AI4242" s="17"/>
      <c r="AJ4242" s="17"/>
      <c r="AK4242" s="17"/>
      <c r="AL4242" s="17"/>
      <c r="AM4242" s="17"/>
      <c r="AN4242" s="17"/>
      <c r="AO4242" s="17"/>
      <c r="AP4242" s="17"/>
      <c r="AQ4242" s="17"/>
      <c r="AR4242" s="17"/>
    </row>
    <row r="4243" s="20" customFormat="1" hidden="1" spans="1:44">
      <c r="A4243" s="17" t="s">
        <v>34</v>
      </c>
      <c r="B4243" s="19">
        <v>938</v>
      </c>
      <c r="C4243" s="183">
        <v>45168</v>
      </c>
      <c r="D4243" s="17" t="s">
        <v>52</v>
      </c>
      <c r="E4243" s="17" t="s">
        <v>1113</v>
      </c>
      <c r="F4243" s="17" t="s">
        <v>54</v>
      </c>
      <c r="G4243" s="17"/>
      <c r="H4243" s="19" t="s">
        <v>1114</v>
      </c>
      <c r="I4243" s="19"/>
      <c r="J4243" s="17" t="s">
        <v>82</v>
      </c>
      <c r="K4243" s="19">
        <v>1100</v>
      </c>
      <c r="L4243" s="91">
        <v>105</v>
      </c>
      <c r="M4243" s="19">
        <v>2200</v>
      </c>
      <c r="N4243" s="19" t="s">
        <v>66</v>
      </c>
      <c r="O4243" s="19" t="s">
        <v>141</v>
      </c>
      <c r="P4243" s="91">
        <v>4098</v>
      </c>
      <c r="Q4243" s="19">
        <v>2040</v>
      </c>
      <c r="R4243" s="17"/>
      <c r="S4243" s="19">
        <f>1100-40</f>
        <v>1060</v>
      </c>
      <c r="T4243" s="19" t="s">
        <v>42</v>
      </c>
      <c r="U4243" s="102" t="s">
        <v>1286</v>
      </c>
      <c r="V4243" s="253">
        <v>44935</v>
      </c>
      <c r="W4243" s="17" t="s">
        <v>44</v>
      </c>
      <c r="X4243" s="17"/>
      <c r="Y4243" s="68">
        <v>45283</v>
      </c>
      <c r="Z4243" s="17" t="s">
        <v>191</v>
      </c>
      <c r="AA4243" s="17" t="s">
        <v>46</v>
      </c>
      <c r="AB4243" s="17" t="s">
        <v>1246</v>
      </c>
      <c r="AC4243" s="66">
        <v>45276</v>
      </c>
      <c r="AD4243" s="65">
        <v>1499</v>
      </c>
      <c r="AE4243" s="17" t="s">
        <v>74</v>
      </c>
      <c r="AF4243" s="18"/>
      <c r="AG4243" s="18"/>
      <c r="AH4243" s="18"/>
      <c r="AI4243" s="18"/>
      <c r="AJ4243" s="18"/>
      <c r="AK4243" s="18"/>
      <c r="AL4243" s="18"/>
      <c r="AM4243" s="18"/>
      <c r="AN4243" s="18"/>
      <c r="AO4243" s="18"/>
      <c r="AP4243" s="18"/>
      <c r="AQ4243" s="18"/>
      <c r="AR4243" s="18"/>
    </row>
    <row r="4244" s="20" customFormat="1" hidden="1" spans="1:44">
      <c r="A4244" s="17" t="s">
        <v>34</v>
      </c>
      <c r="B4244" s="19">
        <v>938</v>
      </c>
      <c r="C4244" s="183">
        <v>45168</v>
      </c>
      <c r="D4244" s="17" t="s">
        <v>52</v>
      </c>
      <c r="E4244" s="17" t="s">
        <v>1113</v>
      </c>
      <c r="F4244" s="17" t="s">
        <v>54</v>
      </c>
      <c r="G4244" s="17"/>
      <c r="H4244" s="19" t="s">
        <v>1114</v>
      </c>
      <c r="I4244" s="19"/>
      <c r="J4244" s="17" t="s">
        <v>82</v>
      </c>
      <c r="K4244" s="19">
        <v>1100</v>
      </c>
      <c r="L4244" s="91">
        <v>105</v>
      </c>
      <c r="M4244" s="19">
        <v>2200</v>
      </c>
      <c r="N4244" s="19" t="s">
        <v>66</v>
      </c>
      <c r="O4244" s="19" t="s">
        <v>141</v>
      </c>
      <c r="P4244" s="91"/>
      <c r="Q4244" s="19">
        <v>2044</v>
      </c>
      <c r="R4244" s="19">
        <f>+P4243-Q4243-Q4244</f>
        <v>14</v>
      </c>
      <c r="S4244" s="19">
        <f>1100-40</f>
        <v>1060</v>
      </c>
      <c r="T4244" s="19" t="s">
        <v>42</v>
      </c>
      <c r="U4244" s="102" t="s">
        <v>1286</v>
      </c>
      <c r="V4244" s="253">
        <v>44935</v>
      </c>
      <c r="W4244" s="17" t="s">
        <v>44</v>
      </c>
      <c r="X4244" s="17"/>
      <c r="Y4244" s="68">
        <v>45283</v>
      </c>
      <c r="Z4244" s="17" t="s">
        <v>191</v>
      </c>
      <c r="AA4244" s="17" t="s">
        <v>46</v>
      </c>
      <c r="AB4244" s="17" t="s">
        <v>1241</v>
      </c>
      <c r="AC4244" s="66">
        <v>45283</v>
      </c>
      <c r="AD4244" s="65">
        <v>1503</v>
      </c>
      <c r="AE4244" s="17" t="s">
        <v>74</v>
      </c>
      <c r="AF4244" s="17"/>
      <c r="AG4244" s="17"/>
      <c r="AH4244" s="17"/>
      <c r="AI4244" s="17"/>
      <c r="AJ4244" s="17"/>
      <c r="AK4244" s="17"/>
      <c r="AL4244" s="17"/>
      <c r="AM4244" s="17"/>
      <c r="AN4244" s="17"/>
      <c r="AO4244" s="17"/>
      <c r="AP4244" s="17"/>
      <c r="AQ4244" s="17"/>
      <c r="AR4244" s="17"/>
    </row>
    <row r="4245" s="21" customFormat="1" hidden="1" spans="1:44">
      <c r="A4245" s="17" t="s">
        <v>34</v>
      </c>
      <c r="B4245" s="19">
        <v>939</v>
      </c>
      <c r="C4245" s="222">
        <v>45086</v>
      </c>
      <c r="D4245" s="17" t="s">
        <v>52</v>
      </c>
      <c r="E4245" s="17" t="s">
        <v>1113</v>
      </c>
      <c r="F4245" s="17" t="s">
        <v>54</v>
      </c>
      <c r="G4245" s="17"/>
      <c r="H4245" s="19" t="s">
        <v>1114</v>
      </c>
      <c r="I4245" s="19"/>
      <c r="J4245" s="17" t="s">
        <v>49</v>
      </c>
      <c r="K4245" s="19">
        <v>2200</v>
      </c>
      <c r="L4245" s="91">
        <v>130</v>
      </c>
      <c r="M4245" s="19">
        <v>9000</v>
      </c>
      <c r="N4245" s="19" t="s">
        <v>66</v>
      </c>
      <c r="O4245" s="19" t="s">
        <v>141</v>
      </c>
      <c r="P4245" s="91">
        <v>20206</v>
      </c>
      <c r="Q4245" s="19">
        <v>0</v>
      </c>
      <c r="R4245" s="19">
        <f>+P4245-Q4245</f>
        <v>20206</v>
      </c>
      <c r="S4245" s="19">
        <v>1320</v>
      </c>
      <c r="T4245" s="19" t="s">
        <v>42</v>
      </c>
      <c r="U4245" s="102" t="s">
        <v>1292</v>
      </c>
      <c r="V4245" s="253">
        <v>45147</v>
      </c>
      <c r="W4245" s="17" t="s">
        <v>44</v>
      </c>
      <c r="X4245" s="17"/>
      <c r="Y4245" s="68">
        <v>45253</v>
      </c>
      <c r="Z4245" s="17" t="s">
        <v>191</v>
      </c>
      <c r="AA4245" s="17" t="s">
        <v>46</v>
      </c>
      <c r="AB4245" s="17"/>
      <c r="AC4245" s="102"/>
      <c r="AD4245" s="65"/>
      <c r="AE4245" s="17" t="s">
        <v>129</v>
      </c>
      <c r="AF4245" s="17"/>
      <c r="AG4245" s="17" t="s">
        <v>1293</v>
      </c>
      <c r="AH4245" s="17"/>
      <c r="AI4245" s="17"/>
      <c r="AJ4245" s="17"/>
      <c r="AK4245" s="17"/>
      <c r="AL4245" s="17"/>
      <c r="AM4245" s="17"/>
      <c r="AN4245" s="17"/>
      <c r="AO4245" s="17"/>
      <c r="AP4245" s="17"/>
      <c r="AQ4245" s="17"/>
      <c r="AR4245" s="17"/>
    </row>
    <row r="4246" s="21" customFormat="1" hidden="1" spans="1:44">
      <c r="A4246" s="17" t="s">
        <v>34</v>
      </c>
      <c r="B4246" s="19">
        <v>939</v>
      </c>
      <c r="C4246" s="222">
        <v>45086</v>
      </c>
      <c r="D4246" s="17" t="s">
        <v>52</v>
      </c>
      <c r="E4246" s="17" t="s">
        <v>1113</v>
      </c>
      <c r="F4246" s="17" t="s">
        <v>54</v>
      </c>
      <c r="G4246" s="17"/>
      <c r="H4246" s="19" t="s">
        <v>1114</v>
      </c>
      <c r="I4246" s="19"/>
      <c r="J4246" s="17" t="s">
        <v>49</v>
      </c>
      <c r="K4246" s="19">
        <v>2200</v>
      </c>
      <c r="L4246" s="91">
        <v>140</v>
      </c>
      <c r="M4246" s="19">
        <v>8000</v>
      </c>
      <c r="N4246" s="19" t="s">
        <v>66</v>
      </c>
      <c r="O4246" s="19" t="s">
        <v>141</v>
      </c>
      <c r="P4246" s="91">
        <v>19342</v>
      </c>
      <c r="Q4246" s="19">
        <v>0</v>
      </c>
      <c r="R4246" s="19">
        <f>+P4246-Q4246</f>
        <v>19342</v>
      </c>
      <c r="S4246" s="19">
        <v>1320</v>
      </c>
      <c r="T4246" s="19" t="s">
        <v>42</v>
      </c>
      <c r="U4246" s="102" t="s">
        <v>1292</v>
      </c>
      <c r="V4246" s="253">
        <v>45147</v>
      </c>
      <c r="W4246" s="17" t="s">
        <v>44</v>
      </c>
      <c r="X4246" s="17"/>
      <c r="Y4246" s="68">
        <v>45253</v>
      </c>
      <c r="Z4246" s="17" t="s">
        <v>191</v>
      </c>
      <c r="AA4246" s="17" t="s">
        <v>46</v>
      </c>
      <c r="AB4246" s="17"/>
      <c r="AC4246" s="102"/>
      <c r="AD4246" s="65"/>
      <c r="AE4246" s="17" t="s">
        <v>129</v>
      </c>
      <c r="AF4246" s="17"/>
      <c r="AG4246" s="17" t="s">
        <v>1293</v>
      </c>
      <c r="AH4246" s="17"/>
      <c r="AI4246" s="17"/>
      <c r="AJ4246" s="17"/>
      <c r="AK4246" s="17"/>
      <c r="AL4246" s="17"/>
      <c r="AM4246" s="17"/>
      <c r="AN4246" s="17"/>
      <c r="AO4246" s="17"/>
      <c r="AP4246" s="17"/>
      <c r="AQ4246" s="17"/>
      <c r="AR4246" s="17"/>
    </row>
    <row r="4247" s="21" customFormat="1" hidden="1" spans="1:44">
      <c r="A4247" s="17" t="s">
        <v>34</v>
      </c>
      <c r="B4247" s="19">
        <v>939</v>
      </c>
      <c r="C4247" s="222">
        <v>45086</v>
      </c>
      <c r="D4247" s="17" t="s">
        <v>52</v>
      </c>
      <c r="E4247" s="17" t="s">
        <v>1113</v>
      </c>
      <c r="F4247" s="17" t="s">
        <v>54</v>
      </c>
      <c r="G4247" s="17"/>
      <c r="H4247" s="19" t="s">
        <v>1114</v>
      </c>
      <c r="I4247" s="19"/>
      <c r="J4247" s="17" t="s">
        <v>49</v>
      </c>
      <c r="K4247" s="19">
        <v>2200</v>
      </c>
      <c r="L4247" s="91">
        <v>150</v>
      </c>
      <c r="M4247" s="19">
        <v>7500</v>
      </c>
      <c r="N4247" s="19" t="s">
        <v>66</v>
      </c>
      <c r="O4247" s="19" t="s">
        <v>141</v>
      </c>
      <c r="P4247" s="91">
        <v>19429</v>
      </c>
      <c r="Q4247" s="19">
        <v>11060</v>
      </c>
      <c r="S4247" s="19">
        <v>1320</v>
      </c>
      <c r="T4247" s="19" t="s">
        <v>42</v>
      </c>
      <c r="U4247" s="102" t="s">
        <v>1292</v>
      </c>
      <c r="V4247" s="253">
        <v>45147</v>
      </c>
      <c r="W4247" s="17" t="s">
        <v>44</v>
      </c>
      <c r="X4247" s="17"/>
      <c r="Y4247" s="68">
        <v>45253</v>
      </c>
      <c r="Z4247" s="17" t="s">
        <v>191</v>
      </c>
      <c r="AA4247" s="17" t="s">
        <v>46</v>
      </c>
      <c r="AB4247" s="17" t="s">
        <v>1250</v>
      </c>
      <c r="AC4247" s="217">
        <v>45351</v>
      </c>
      <c r="AD4247" s="65">
        <v>1533</v>
      </c>
      <c r="AE4247" s="17" t="s">
        <v>129</v>
      </c>
      <c r="AF4247" s="17"/>
      <c r="AG4247" s="17"/>
      <c r="AH4247" s="17"/>
      <c r="AI4247" s="17"/>
      <c r="AJ4247" s="17"/>
      <c r="AK4247" s="17"/>
      <c r="AL4247" s="17"/>
      <c r="AM4247" s="17"/>
      <c r="AN4247" s="17"/>
      <c r="AO4247" s="17"/>
      <c r="AP4247" s="17"/>
      <c r="AQ4247" s="17"/>
      <c r="AR4247" s="17"/>
    </row>
    <row r="4248" s="21" customFormat="1" hidden="1" spans="1:44">
      <c r="A4248" s="17" t="s">
        <v>34</v>
      </c>
      <c r="B4248" s="19">
        <v>939</v>
      </c>
      <c r="C4248" s="222">
        <v>45086</v>
      </c>
      <c r="D4248" s="17" t="s">
        <v>52</v>
      </c>
      <c r="E4248" s="17" t="s">
        <v>1113</v>
      </c>
      <c r="F4248" s="17" t="s">
        <v>54</v>
      </c>
      <c r="G4248" s="17"/>
      <c r="H4248" s="19" t="s">
        <v>1114</v>
      </c>
      <c r="I4248" s="19"/>
      <c r="J4248" s="17" t="s">
        <v>49</v>
      </c>
      <c r="K4248" s="19">
        <v>2200</v>
      </c>
      <c r="L4248" s="91">
        <v>150</v>
      </c>
      <c r="M4248" s="19">
        <v>7500</v>
      </c>
      <c r="N4248" s="19" t="s">
        <v>66</v>
      </c>
      <c r="O4248" s="19" t="s">
        <v>141</v>
      </c>
      <c r="P4248" s="91"/>
      <c r="Q4248" s="19">
        <v>11030</v>
      </c>
      <c r="R4248" s="19">
        <f>+P4247-Q4247-Q4248</f>
        <v>-2661</v>
      </c>
      <c r="S4248" s="19">
        <v>1320</v>
      </c>
      <c r="T4248" s="19" t="s">
        <v>42</v>
      </c>
      <c r="U4248" s="102" t="s">
        <v>1292</v>
      </c>
      <c r="V4248" s="253">
        <v>45147</v>
      </c>
      <c r="W4248" s="17" t="s">
        <v>44</v>
      </c>
      <c r="X4248" s="17"/>
      <c r="Y4248" s="68">
        <v>45253</v>
      </c>
      <c r="Z4248" s="17" t="s">
        <v>191</v>
      </c>
      <c r="AA4248" s="17" t="s">
        <v>46</v>
      </c>
      <c r="AB4248" s="17" t="s">
        <v>1294</v>
      </c>
      <c r="AC4248" s="217">
        <v>45352</v>
      </c>
      <c r="AD4248" s="65">
        <v>1534</v>
      </c>
      <c r="AE4248" s="17" t="s">
        <v>129</v>
      </c>
      <c r="AF4248" s="17"/>
      <c r="AG4248" s="17"/>
      <c r="AH4248" s="17"/>
      <c r="AI4248" s="17"/>
      <c r="AJ4248" s="17"/>
      <c r="AK4248" s="17"/>
      <c r="AL4248" s="17"/>
      <c r="AM4248" s="17"/>
      <c r="AN4248" s="17"/>
      <c r="AO4248" s="17"/>
      <c r="AP4248" s="17"/>
      <c r="AQ4248" s="17"/>
      <c r="AR4248" s="17"/>
    </row>
    <row r="4249" s="21" customFormat="1" hidden="1" spans="1:44">
      <c r="A4249" s="17" t="s">
        <v>34</v>
      </c>
      <c r="B4249" s="19">
        <v>939</v>
      </c>
      <c r="C4249" s="222">
        <v>45086</v>
      </c>
      <c r="D4249" s="17" t="s">
        <v>52</v>
      </c>
      <c r="E4249" s="17" t="s">
        <v>1113</v>
      </c>
      <c r="F4249" s="17" t="s">
        <v>54</v>
      </c>
      <c r="G4249" s="17"/>
      <c r="H4249" s="19" t="s">
        <v>1114</v>
      </c>
      <c r="I4249" s="19"/>
      <c r="J4249" s="17" t="s">
        <v>49</v>
      </c>
      <c r="K4249" s="19">
        <v>2200</v>
      </c>
      <c r="L4249" s="91">
        <v>155</v>
      </c>
      <c r="M4249" s="19">
        <v>7500</v>
      </c>
      <c r="N4249" s="19" t="s">
        <v>66</v>
      </c>
      <c r="O4249" s="19" t="s">
        <v>141</v>
      </c>
      <c r="P4249" s="91">
        <v>20076</v>
      </c>
      <c r="Q4249" s="19">
        <f>10200+10180</f>
        <v>20380</v>
      </c>
      <c r="R4249" s="19">
        <f>+P4249-Q4249</f>
        <v>-304</v>
      </c>
      <c r="S4249" s="19">
        <f>1355+20</f>
        <v>1375</v>
      </c>
      <c r="T4249" s="19" t="s">
        <v>42</v>
      </c>
      <c r="U4249" s="102" t="s">
        <v>1292</v>
      </c>
      <c r="V4249" s="253">
        <v>45147</v>
      </c>
      <c r="W4249" s="17" t="s">
        <v>44</v>
      </c>
      <c r="X4249" s="17"/>
      <c r="Y4249" s="68">
        <v>45253</v>
      </c>
      <c r="Z4249" s="17" t="s">
        <v>191</v>
      </c>
      <c r="AA4249" s="17" t="s">
        <v>46</v>
      </c>
      <c r="AB4249" s="17" t="s">
        <v>1245</v>
      </c>
      <c r="AC4249" s="66">
        <v>45379</v>
      </c>
      <c r="AD4249" s="65">
        <v>1546</v>
      </c>
      <c r="AE4249" s="17" t="s">
        <v>129</v>
      </c>
      <c r="AF4249" s="17"/>
      <c r="AG4249" s="17"/>
      <c r="AH4249" s="17"/>
      <c r="AI4249" s="17"/>
      <c r="AJ4249" s="17"/>
      <c r="AK4249" s="17"/>
      <c r="AL4249" s="17"/>
      <c r="AM4249" s="17"/>
      <c r="AN4249" s="17"/>
      <c r="AO4249" s="17"/>
      <c r="AP4249" s="17"/>
      <c r="AQ4249" s="17"/>
      <c r="AR4249" s="17"/>
    </row>
    <row r="4250" s="21" customFormat="1" hidden="1" spans="1:44">
      <c r="A4250" s="17" t="s">
        <v>34</v>
      </c>
      <c r="B4250" s="19">
        <v>939</v>
      </c>
      <c r="C4250" s="222">
        <v>45086</v>
      </c>
      <c r="D4250" s="17" t="s">
        <v>52</v>
      </c>
      <c r="E4250" s="17" t="s">
        <v>1113</v>
      </c>
      <c r="F4250" s="17" t="s">
        <v>54</v>
      </c>
      <c r="G4250" s="17"/>
      <c r="H4250" s="19" t="s">
        <v>1114</v>
      </c>
      <c r="I4250" s="19"/>
      <c r="J4250" s="17" t="s">
        <v>49</v>
      </c>
      <c r="K4250" s="19">
        <v>2200</v>
      </c>
      <c r="L4250" s="91">
        <v>165</v>
      </c>
      <c r="M4250" s="19">
        <v>7000</v>
      </c>
      <c r="N4250" s="19" t="s">
        <v>66</v>
      </c>
      <c r="O4250" s="19" t="s">
        <v>141</v>
      </c>
      <c r="P4250" s="91">
        <v>19947</v>
      </c>
      <c r="Q4250" s="19">
        <v>10930</v>
      </c>
      <c r="S4250" s="19">
        <f>1355+20</f>
        <v>1375</v>
      </c>
      <c r="T4250" s="19" t="s">
        <v>42</v>
      </c>
      <c r="U4250" s="102" t="s">
        <v>1292</v>
      </c>
      <c r="V4250" s="253">
        <v>45147</v>
      </c>
      <c r="W4250" s="17" t="s">
        <v>44</v>
      </c>
      <c r="X4250" s="17"/>
      <c r="Y4250" s="68">
        <v>45253</v>
      </c>
      <c r="Z4250" s="17" t="s">
        <v>191</v>
      </c>
      <c r="AA4250" s="17" t="s">
        <v>46</v>
      </c>
      <c r="AB4250" s="17" t="s">
        <v>1240</v>
      </c>
      <c r="AC4250" s="217">
        <v>45372</v>
      </c>
      <c r="AD4250" s="65">
        <v>1542</v>
      </c>
      <c r="AE4250" s="17" t="s">
        <v>129</v>
      </c>
      <c r="AF4250" s="17"/>
      <c r="AG4250" s="17"/>
      <c r="AH4250" s="17"/>
      <c r="AI4250" s="17"/>
      <c r="AJ4250" s="17"/>
      <c r="AK4250" s="17"/>
      <c r="AL4250" s="17"/>
      <c r="AM4250" s="17"/>
      <c r="AN4250" s="17"/>
      <c r="AO4250" s="17"/>
      <c r="AP4250" s="17"/>
      <c r="AQ4250" s="17"/>
      <c r="AR4250" s="17"/>
    </row>
    <row r="4251" s="21" customFormat="1" hidden="1" spans="1:44">
      <c r="A4251" s="17" t="s">
        <v>34</v>
      </c>
      <c r="B4251" s="19">
        <v>939</v>
      </c>
      <c r="C4251" s="222">
        <v>45086</v>
      </c>
      <c r="D4251" s="17" t="s">
        <v>52</v>
      </c>
      <c r="E4251" s="17" t="s">
        <v>1113</v>
      </c>
      <c r="F4251" s="17" t="s">
        <v>54</v>
      </c>
      <c r="G4251" s="17"/>
      <c r="H4251" s="19" t="s">
        <v>1114</v>
      </c>
      <c r="I4251" s="19"/>
      <c r="J4251" s="17" t="s">
        <v>49</v>
      </c>
      <c r="K4251" s="19">
        <v>2200</v>
      </c>
      <c r="L4251" s="91">
        <v>165</v>
      </c>
      <c r="M4251" s="19">
        <v>7000</v>
      </c>
      <c r="N4251" s="19" t="s">
        <v>66</v>
      </c>
      <c r="O4251" s="19" t="s">
        <v>141</v>
      </c>
      <c r="P4251" s="91"/>
      <c r="Q4251" s="19">
        <v>10890</v>
      </c>
      <c r="R4251" s="19">
        <f>+P4250-Q4250-Q4251</f>
        <v>-1873</v>
      </c>
      <c r="S4251" s="19">
        <f>1355+20</f>
        <v>1375</v>
      </c>
      <c r="T4251" s="19" t="s">
        <v>42</v>
      </c>
      <c r="U4251" s="102" t="s">
        <v>1292</v>
      </c>
      <c r="V4251" s="253">
        <v>45147</v>
      </c>
      <c r="W4251" s="17" t="s">
        <v>44</v>
      </c>
      <c r="X4251" s="17"/>
      <c r="Y4251" s="68">
        <v>45253</v>
      </c>
      <c r="Z4251" s="17" t="s">
        <v>191</v>
      </c>
      <c r="AA4251" s="17" t="s">
        <v>46</v>
      </c>
      <c r="AB4251" s="17" t="s">
        <v>1284</v>
      </c>
      <c r="AC4251" s="66">
        <v>45372</v>
      </c>
      <c r="AD4251" s="65">
        <v>1543</v>
      </c>
      <c r="AE4251" s="17" t="s">
        <v>129</v>
      </c>
      <c r="AF4251" s="17"/>
      <c r="AG4251" s="17"/>
      <c r="AH4251" s="17"/>
      <c r="AI4251" s="17"/>
      <c r="AJ4251" s="17"/>
      <c r="AK4251" s="17"/>
      <c r="AL4251" s="17"/>
      <c r="AM4251" s="17"/>
      <c r="AN4251" s="17"/>
      <c r="AO4251" s="17"/>
      <c r="AP4251" s="17"/>
      <c r="AQ4251" s="17"/>
      <c r="AR4251" s="17"/>
    </row>
    <row r="4252" s="21" customFormat="1" hidden="1" spans="1:44">
      <c r="A4252" s="17" t="s">
        <v>34</v>
      </c>
      <c r="B4252" s="19">
        <v>939</v>
      </c>
      <c r="C4252" s="222">
        <v>45086</v>
      </c>
      <c r="D4252" s="17" t="s">
        <v>52</v>
      </c>
      <c r="E4252" s="17" t="s">
        <v>1113</v>
      </c>
      <c r="F4252" s="17" t="s">
        <v>54</v>
      </c>
      <c r="G4252" s="17"/>
      <c r="H4252" s="19" t="s">
        <v>1114</v>
      </c>
      <c r="I4252" s="19"/>
      <c r="J4252" s="17" t="s">
        <v>49</v>
      </c>
      <c r="K4252" s="19">
        <v>2200</v>
      </c>
      <c r="L4252" s="91">
        <v>180</v>
      </c>
      <c r="M4252" s="19">
        <v>6500</v>
      </c>
      <c r="N4252" s="19" t="s">
        <v>66</v>
      </c>
      <c r="O4252" s="19" t="s">
        <v>141</v>
      </c>
      <c r="P4252" s="91">
        <v>20206</v>
      </c>
      <c r="Q4252" s="19">
        <f>10850+10800</f>
        <v>21650</v>
      </c>
      <c r="R4252" s="19">
        <f>+P4252-Q4252</f>
        <v>-1444</v>
      </c>
      <c r="S4252" s="19">
        <f>1355+20</f>
        <v>1375</v>
      </c>
      <c r="T4252" s="19" t="s">
        <v>42</v>
      </c>
      <c r="U4252" s="102" t="s">
        <v>1292</v>
      </c>
      <c r="V4252" s="253">
        <v>45147</v>
      </c>
      <c r="W4252" s="17" t="s">
        <v>44</v>
      </c>
      <c r="X4252" s="17"/>
      <c r="Y4252" s="68">
        <v>45253</v>
      </c>
      <c r="Z4252" s="17" t="s">
        <v>191</v>
      </c>
      <c r="AA4252" s="17" t="s">
        <v>46</v>
      </c>
      <c r="AB4252" s="17" t="s">
        <v>1240</v>
      </c>
      <c r="AC4252" s="217">
        <v>45372</v>
      </c>
      <c r="AD4252" s="65">
        <v>1542</v>
      </c>
      <c r="AE4252" s="17" t="s">
        <v>129</v>
      </c>
      <c r="AF4252" s="17"/>
      <c r="AG4252" s="17"/>
      <c r="AH4252" s="17"/>
      <c r="AI4252" s="17"/>
      <c r="AJ4252" s="17"/>
      <c r="AK4252" s="17"/>
      <c r="AL4252" s="17"/>
      <c r="AM4252" s="17"/>
      <c r="AN4252" s="17"/>
      <c r="AO4252" s="17"/>
      <c r="AP4252" s="17"/>
      <c r="AQ4252" s="17"/>
      <c r="AR4252" s="17"/>
    </row>
    <row r="4253" s="21" customFormat="1" hidden="1" spans="1:44">
      <c r="A4253" s="17" t="s">
        <v>34</v>
      </c>
      <c r="B4253" s="19">
        <v>939</v>
      </c>
      <c r="C4253" s="222">
        <v>45086</v>
      </c>
      <c r="D4253" s="17" t="s">
        <v>52</v>
      </c>
      <c r="E4253" s="17" t="s">
        <v>1113</v>
      </c>
      <c r="F4253" s="17" t="s">
        <v>54</v>
      </c>
      <c r="G4253" s="17"/>
      <c r="H4253" s="19" t="s">
        <v>1114</v>
      </c>
      <c r="I4253" s="19"/>
      <c r="J4253" s="17" t="s">
        <v>49</v>
      </c>
      <c r="K4253" s="19">
        <v>2200</v>
      </c>
      <c r="L4253" s="91">
        <v>190</v>
      </c>
      <c r="M4253" s="19">
        <v>6000</v>
      </c>
      <c r="N4253" s="19" t="s">
        <v>66</v>
      </c>
      <c r="O4253" s="19" t="s">
        <v>141</v>
      </c>
      <c r="P4253" s="91">
        <v>19688</v>
      </c>
      <c r="Q4253" s="19">
        <f>11180+11050</f>
        <v>22230</v>
      </c>
      <c r="R4253" s="19">
        <f>+P4253-Q4253</f>
        <v>-2542</v>
      </c>
      <c r="S4253" s="19">
        <f>1385+20</f>
        <v>1405</v>
      </c>
      <c r="T4253" s="19" t="s">
        <v>42</v>
      </c>
      <c r="U4253" s="102" t="s">
        <v>1292</v>
      </c>
      <c r="V4253" s="253">
        <v>45147</v>
      </c>
      <c r="W4253" s="17" t="s">
        <v>44</v>
      </c>
      <c r="X4253" s="17"/>
      <c r="Y4253" s="68">
        <v>45253</v>
      </c>
      <c r="Z4253" s="17" t="s">
        <v>191</v>
      </c>
      <c r="AA4253" s="17" t="s">
        <v>46</v>
      </c>
      <c r="AB4253" s="17" t="s">
        <v>1284</v>
      </c>
      <c r="AC4253" s="66">
        <v>45372</v>
      </c>
      <c r="AD4253" s="65">
        <v>1543</v>
      </c>
      <c r="AE4253" s="17" t="s">
        <v>129</v>
      </c>
      <c r="AF4253" s="17"/>
      <c r="AG4253" s="17"/>
      <c r="AH4253" s="17"/>
      <c r="AI4253" s="17"/>
      <c r="AJ4253" s="17"/>
      <c r="AK4253" s="17"/>
      <c r="AL4253" s="17"/>
      <c r="AM4253" s="17"/>
      <c r="AN4253" s="17"/>
      <c r="AO4253" s="17"/>
      <c r="AP4253" s="17"/>
      <c r="AQ4253" s="17"/>
      <c r="AR4253" s="17"/>
    </row>
    <row r="4254" s="21" customFormat="1" hidden="1" spans="1:44">
      <c r="A4254" s="17" t="s">
        <v>34</v>
      </c>
      <c r="B4254" s="19">
        <v>939</v>
      </c>
      <c r="C4254" s="222">
        <v>45086</v>
      </c>
      <c r="D4254" s="17" t="s">
        <v>52</v>
      </c>
      <c r="E4254" s="17" t="s">
        <v>1113</v>
      </c>
      <c r="F4254" s="17" t="s">
        <v>54</v>
      </c>
      <c r="G4254" s="17"/>
      <c r="H4254" s="19" t="s">
        <v>1114</v>
      </c>
      <c r="I4254" s="19"/>
      <c r="J4254" s="17" t="s">
        <v>49</v>
      </c>
      <c r="K4254" s="19">
        <v>2200</v>
      </c>
      <c r="L4254" s="91">
        <v>205</v>
      </c>
      <c r="M4254" s="19">
        <v>5500</v>
      </c>
      <c r="N4254" s="19" t="s">
        <v>66</v>
      </c>
      <c r="O4254" s="19" t="s">
        <v>141</v>
      </c>
      <c r="P4254" s="91">
        <v>19472</v>
      </c>
      <c r="Q4254" s="19">
        <v>13610</v>
      </c>
      <c r="S4254" s="19">
        <v>1410</v>
      </c>
      <c r="T4254" s="19" t="s">
        <v>42</v>
      </c>
      <c r="U4254" s="102" t="s">
        <v>1292</v>
      </c>
      <c r="V4254" s="253">
        <v>45147</v>
      </c>
      <c r="W4254" s="17" t="s">
        <v>44</v>
      </c>
      <c r="X4254" s="17"/>
      <c r="Y4254" s="68">
        <v>45253</v>
      </c>
      <c r="Z4254" s="17" t="s">
        <v>191</v>
      </c>
      <c r="AA4254" s="17" t="s">
        <v>46</v>
      </c>
      <c r="AB4254" s="17" t="s">
        <v>1250</v>
      </c>
      <c r="AC4254" s="217">
        <v>45351</v>
      </c>
      <c r="AD4254" s="65">
        <v>1533</v>
      </c>
      <c r="AE4254" s="17" t="s">
        <v>129</v>
      </c>
      <c r="AF4254" s="17"/>
      <c r="AG4254" s="17"/>
      <c r="AH4254" s="17"/>
      <c r="AI4254" s="17"/>
      <c r="AJ4254" s="17"/>
      <c r="AK4254" s="17"/>
      <c r="AL4254" s="17"/>
      <c r="AM4254" s="17"/>
      <c r="AN4254" s="17"/>
      <c r="AO4254" s="17"/>
      <c r="AP4254" s="17"/>
      <c r="AQ4254" s="17"/>
      <c r="AR4254" s="17"/>
    </row>
    <row r="4255" s="21" customFormat="1" hidden="1" spans="1:44">
      <c r="A4255" s="17" t="s">
        <v>34</v>
      </c>
      <c r="B4255" s="19">
        <v>939</v>
      </c>
      <c r="C4255" s="222">
        <v>45086</v>
      </c>
      <c r="D4255" s="17" t="s">
        <v>52</v>
      </c>
      <c r="E4255" s="17" t="s">
        <v>1113</v>
      </c>
      <c r="F4255" s="17" t="s">
        <v>54</v>
      </c>
      <c r="G4255" s="17"/>
      <c r="H4255" s="19" t="s">
        <v>1114</v>
      </c>
      <c r="I4255" s="19"/>
      <c r="J4255" s="17" t="s">
        <v>49</v>
      </c>
      <c r="K4255" s="19">
        <v>2200</v>
      </c>
      <c r="L4255" s="91">
        <v>205</v>
      </c>
      <c r="M4255" s="19">
        <v>5500</v>
      </c>
      <c r="N4255" s="19" t="s">
        <v>66</v>
      </c>
      <c r="O4255" s="19" t="s">
        <v>141</v>
      </c>
      <c r="P4255" s="91"/>
      <c r="Q4255" s="19">
        <v>10440</v>
      </c>
      <c r="R4255" s="19">
        <f>+P4254-Q4254-Q4255</f>
        <v>-4578</v>
      </c>
      <c r="S4255" s="19">
        <v>1390</v>
      </c>
      <c r="T4255" s="19" t="s">
        <v>42</v>
      </c>
      <c r="U4255" s="102" t="s">
        <v>1292</v>
      </c>
      <c r="V4255" s="253">
        <v>45147</v>
      </c>
      <c r="W4255" s="17" t="s">
        <v>44</v>
      </c>
      <c r="X4255" s="17"/>
      <c r="Y4255" s="68">
        <v>45253</v>
      </c>
      <c r="Z4255" s="17" t="s">
        <v>191</v>
      </c>
      <c r="AA4255" s="17" t="s">
        <v>46</v>
      </c>
      <c r="AB4255" s="17" t="s">
        <v>1295</v>
      </c>
      <c r="AC4255" s="217">
        <v>45364</v>
      </c>
      <c r="AD4255" s="65">
        <v>1537</v>
      </c>
      <c r="AE4255" s="17" t="s">
        <v>129</v>
      </c>
      <c r="AF4255" s="17"/>
      <c r="AG4255" s="17"/>
      <c r="AH4255" s="17"/>
      <c r="AI4255" s="17"/>
      <c r="AJ4255" s="17"/>
      <c r="AK4255" s="17"/>
      <c r="AL4255" s="17"/>
      <c r="AM4255" s="17"/>
      <c r="AN4255" s="17"/>
      <c r="AO4255" s="17"/>
      <c r="AP4255" s="17"/>
      <c r="AQ4255" s="17"/>
      <c r="AR4255" s="17"/>
    </row>
    <row r="4256" s="21" customFormat="1" hidden="1" spans="1:44">
      <c r="A4256" s="17" t="s">
        <v>34</v>
      </c>
      <c r="B4256" s="19">
        <v>939</v>
      </c>
      <c r="C4256" s="222">
        <v>45086</v>
      </c>
      <c r="D4256" s="17" t="s">
        <v>52</v>
      </c>
      <c r="E4256" s="17" t="s">
        <v>1113</v>
      </c>
      <c r="F4256" s="17" t="s">
        <v>54</v>
      </c>
      <c r="G4256" s="17"/>
      <c r="H4256" s="19" t="s">
        <v>1114</v>
      </c>
      <c r="I4256" s="19"/>
      <c r="J4256" s="17" t="s">
        <v>49</v>
      </c>
      <c r="K4256" s="19">
        <v>2200</v>
      </c>
      <c r="L4256" s="91">
        <v>210</v>
      </c>
      <c r="M4256" s="19">
        <v>5500</v>
      </c>
      <c r="N4256" s="19" t="s">
        <v>66</v>
      </c>
      <c r="O4256" s="19" t="s">
        <v>141</v>
      </c>
      <c r="P4256" s="91">
        <v>19947</v>
      </c>
      <c r="Q4256" s="19">
        <v>12130</v>
      </c>
      <c r="S4256" s="19">
        <v>1410</v>
      </c>
      <c r="T4256" s="19" t="s">
        <v>42</v>
      </c>
      <c r="U4256" s="102" t="s">
        <v>1292</v>
      </c>
      <c r="V4256" s="253">
        <v>45147</v>
      </c>
      <c r="W4256" s="17" t="s">
        <v>44</v>
      </c>
      <c r="X4256" s="17"/>
      <c r="Y4256" s="68">
        <v>45253</v>
      </c>
      <c r="Z4256" s="17" t="s">
        <v>191</v>
      </c>
      <c r="AA4256" s="17" t="s">
        <v>46</v>
      </c>
      <c r="AB4256" s="17" t="s">
        <v>1294</v>
      </c>
      <c r="AC4256" s="217">
        <v>45352</v>
      </c>
      <c r="AD4256" s="65">
        <v>1534</v>
      </c>
      <c r="AE4256" s="17" t="s">
        <v>129</v>
      </c>
      <c r="AF4256" s="17"/>
      <c r="AG4256" s="17"/>
      <c r="AH4256" s="17"/>
      <c r="AI4256" s="17"/>
      <c r="AJ4256" s="17"/>
      <c r="AK4256" s="17"/>
      <c r="AL4256" s="17"/>
      <c r="AM4256" s="17"/>
      <c r="AN4256" s="17"/>
      <c r="AO4256" s="17"/>
      <c r="AP4256" s="17"/>
      <c r="AQ4256" s="17"/>
      <c r="AR4256" s="17"/>
    </row>
    <row r="4257" s="21" customFormat="1" hidden="1" spans="1:44">
      <c r="A4257" s="17" t="s">
        <v>34</v>
      </c>
      <c r="B4257" s="19">
        <v>939</v>
      </c>
      <c r="C4257" s="222">
        <v>45086</v>
      </c>
      <c r="D4257" s="17" t="s">
        <v>52</v>
      </c>
      <c r="E4257" s="17" t="s">
        <v>1113</v>
      </c>
      <c r="F4257" s="17" t="s">
        <v>54</v>
      </c>
      <c r="G4257" s="17"/>
      <c r="H4257" s="19" t="s">
        <v>1114</v>
      </c>
      <c r="I4257" s="19"/>
      <c r="J4257" s="17" t="s">
        <v>49</v>
      </c>
      <c r="K4257" s="19">
        <v>2200</v>
      </c>
      <c r="L4257" s="91">
        <v>210</v>
      </c>
      <c r="M4257" s="19">
        <v>5500</v>
      </c>
      <c r="N4257" s="19" t="s">
        <v>66</v>
      </c>
      <c r="O4257" s="19" t="s">
        <v>141</v>
      </c>
      <c r="P4257" s="91"/>
      <c r="Q4257" s="19">
        <v>12190</v>
      </c>
      <c r="R4257" s="19">
        <f>+P4256-Q4256-Q4257</f>
        <v>-4373</v>
      </c>
      <c r="S4257" s="19">
        <v>1390</v>
      </c>
      <c r="T4257" s="19" t="s">
        <v>42</v>
      </c>
      <c r="U4257" s="102" t="s">
        <v>1292</v>
      </c>
      <c r="V4257" s="253">
        <v>45147</v>
      </c>
      <c r="W4257" s="17" t="s">
        <v>44</v>
      </c>
      <c r="X4257" s="17"/>
      <c r="Y4257" s="68">
        <v>45253</v>
      </c>
      <c r="Z4257" s="17" t="s">
        <v>191</v>
      </c>
      <c r="AA4257" s="17" t="s">
        <v>46</v>
      </c>
      <c r="AB4257" s="17" t="s">
        <v>1295</v>
      </c>
      <c r="AC4257" s="217">
        <v>45364</v>
      </c>
      <c r="AD4257" s="65">
        <v>1537</v>
      </c>
      <c r="AE4257" s="17" t="s">
        <v>129</v>
      </c>
      <c r="AF4257" s="17"/>
      <c r="AG4257" s="17"/>
      <c r="AH4257" s="17"/>
      <c r="AI4257" s="17"/>
      <c r="AJ4257" s="17"/>
      <c r="AK4257" s="17"/>
      <c r="AL4257" s="17"/>
      <c r="AM4257" s="17"/>
      <c r="AN4257" s="17"/>
      <c r="AO4257" s="17"/>
      <c r="AP4257" s="17"/>
      <c r="AQ4257" s="17"/>
      <c r="AR4257" s="17"/>
    </row>
    <row r="4258" s="21" customFormat="1" hidden="1" spans="1:44">
      <c r="A4258" s="17" t="s">
        <v>34</v>
      </c>
      <c r="B4258" s="19">
        <v>939</v>
      </c>
      <c r="C4258" s="222">
        <v>45086</v>
      </c>
      <c r="D4258" s="17" t="s">
        <v>52</v>
      </c>
      <c r="E4258" s="17" t="s">
        <v>1113</v>
      </c>
      <c r="F4258" s="17" t="s">
        <v>54</v>
      </c>
      <c r="G4258" s="17"/>
      <c r="H4258" s="19" t="s">
        <v>1114</v>
      </c>
      <c r="I4258" s="19"/>
      <c r="J4258" s="17" t="s">
        <v>49</v>
      </c>
      <c r="K4258" s="19">
        <v>2200</v>
      </c>
      <c r="L4258" s="91">
        <v>230</v>
      </c>
      <c r="M4258" s="19">
        <v>5500</v>
      </c>
      <c r="N4258" s="19" t="s">
        <v>66</v>
      </c>
      <c r="O4258" s="19" t="s">
        <v>141</v>
      </c>
      <c r="P4258" s="91">
        <v>21847</v>
      </c>
      <c r="Q4258" s="19">
        <v>11550</v>
      </c>
      <c r="S4258" s="19">
        <v>1410</v>
      </c>
      <c r="T4258" s="19" t="s">
        <v>42</v>
      </c>
      <c r="U4258" s="102" t="s">
        <v>1292</v>
      </c>
      <c r="V4258" s="253">
        <v>45147</v>
      </c>
      <c r="W4258" s="17" t="s">
        <v>44</v>
      </c>
      <c r="X4258" s="17"/>
      <c r="Y4258" s="68">
        <v>45253</v>
      </c>
      <c r="Z4258" s="17" t="s">
        <v>191</v>
      </c>
      <c r="AA4258" s="17" t="s">
        <v>46</v>
      </c>
      <c r="AB4258" s="17" t="s">
        <v>1294</v>
      </c>
      <c r="AC4258" s="217">
        <v>45352</v>
      </c>
      <c r="AD4258" s="65">
        <v>1534</v>
      </c>
      <c r="AE4258" s="17" t="s">
        <v>129</v>
      </c>
      <c r="AF4258" s="17"/>
      <c r="AG4258" s="17"/>
      <c r="AH4258" s="17"/>
      <c r="AI4258" s="17"/>
      <c r="AJ4258" s="17"/>
      <c r="AK4258" s="17"/>
      <c r="AL4258" s="17"/>
      <c r="AM4258" s="17"/>
      <c r="AN4258" s="17"/>
      <c r="AO4258" s="17"/>
      <c r="AP4258" s="17"/>
      <c r="AQ4258" s="17"/>
      <c r="AR4258" s="17"/>
    </row>
    <row r="4259" s="21" customFormat="1" hidden="1" spans="1:44">
      <c r="A4259" s="17" t="s">
        <v>34</v>
      </c>
      <c r="B4259" s="19">
        <v>939</v>
      </c>
      <c r="C4259" s="222">
        <v>45086</v>
      </c>
      <c r="D4259" s="17" t="s">
        <v>52</v>
      </c>
      <c r="E4259" s="17" t="s">
        <v>1113</v>
      </c>
      <c r="F4259" s="17" t="s">
        <v>54</v>
      </c>
      <c r="G4259" s="17"/>
      <c r="H4259" s="19" t="s">
        <v>1114</v>
      </c>
      <c r="I4259" s="19"/>
      <c r="J4259" s="17" t="s">
        <v>49</v>
      </c>
      <c r="K4259" s="19">
        <v>2200</v>
      </c>
      <c r="L4259" s="91">
        <v>230</v>
      </c>
      <c r="M4259" s="19">
        <v>5500</v>
      </c>
      <c r="N4259" s="19" t="s">
        <v>66</v>
      </c>
      <c r="O4259" s="19" t="s">
        <v>141</v>
      </c>
      <c r="P4259" s="91"/>
      <c r="Q4259" s="19">
        <v>11530</v>
      </c>
      <c r="R4259" s="19">
        <f>+P4258-Q4258-Q4259</f>
        <v>-1233</v>
      </c>
      <c r="S4259" s="19">
        <v>1390</v>
      </c>
      <c r="T4259" s="19" t="s">
        <v>42</v>
      </c>
      <c r="U4259" s="102" t="s">
        <v>1292</v>
      </c>
      <c r="V4259" s="253">
        <v>45147</v>
      </c>
      <c r="W4259" s="17" t="s">
        <v>44</v>
      </c>
      <c r="X4259" s="17"/>
      <c r="Y4259" s="68">
        <v>45253</v>
      </c>
      <c r="Z4259" s="17" t="s">
        <v>191</v>
      </c>
      <c r="AA4259" s="17" t="s">
        <v>46</v>
      </c>
      <c r="AB4259" s="17" t="s">
        <v>1295</v>
      </c>
      <c r="AC4259" s="217">
        <v>45364</v>
      </c>
      <c r="AD4259" s="65">
        <v>1537</v>
      </c>
      <c r="AE4259" s="17" t="s">
        <v>129</v>
      </c>
      <c r="AF4259" s="17"/>
      <c r="AG4259" s="17"/>
      <c r="AH4259" s="17"/>
      <c r="AI4259" s="17"/>
      <c r="AJ4259" s="17"/>
      <c r="AK4259" s="17"/>
      <c r="AL4259" s="17"/>
      <c r="AM4259" s="17"/>
      <c r="AN4259" s="17"/>
      <c r="AO4259" s="17"/>
      <c r="AP4259" s="17"/>
      <c r="AQ4259" s="17"/>
      <c r="AR4259" s="17"/>
    </row>
    <row r="4260" s="17" customFormat="1" hidden="1" spans="1:44">
      <c r="A4260" s="17" t="s">
        <v>34</v>
      </c>
      <c r="B4260" s="19">
        <v>940</v>
      </c>
      <c r="C4260" s="222">
        <v>45239</v>
      </c>
      <c r="D4260" s="17" t="s">
        <v>52</v>
      </c>
      <c r="E4260" s="17" t="s">
        <v>322</v>
      </c>
      <c r="F4260" s="17" t="s">
        <v>54</v>
      </c>
      <c r="H4260" s="19">
        <v>1.2714</v>
      </c>
      <c r="I4260" s="19"/>
      <c r="J4260" s="17" t="s">
        <v>82</v>
      </c>
      <c r="K4260" s="19">
        <v>305</v>
      </c>
      <c r="L4260" s="91">
        <v>305</v>
      </c>
      <c r="M4260" s="19">
        <v>5800</v>
      </c>
      <c r="N4260" s="19" t="s">
        <v>66</v>
      </c>
      <c r="O4260" s="19" t="s">
        <v>50</v>
      </c>
      <c r="P4260" s="91">
        <v>3000</v>
      </c>
      <c r="Q4260" s="19">
        <v>4130</v>
      </c>
      <c r="R4260" s="19">
        <f t="shared" ref="R4260:R4267" si="205">+P4260-Q4260</f>
        <v>-1130</v>
      </c>
      <c r="S4260" s="19">
        <f>1995-30</f>
        <v>1965</v>
      </c>
      <c r="T4260" s="19" t="s">
        <v>42</v>
      </c>
      <c r="U4260" s="102" t="s">
        <v>1296</v>
      </c>
      <c r="V4260" s="253" t="s">
        <v>1297</v>
      </c>
      <c r="W4260" s="17" t="s">
        <v>69</v>
      </c>
      <c r="Y4260" s="68">
        <v>45222</v>
      </c>
      <c r="Z4260" s="17" t="s">
        <v>191</v>
      </c>
      <c r="AA4260" s="17" t="s">
        <v>46</v>
      </c>
      <c r="AB4260" s="17" t="s">
        <v>1160</v>
      </c>
      <c r="AC4260" s="102" t="s">
        <v>1161</v>
      </c>
      <c r="AD4260" s="65">
        <v>1490</v>
      </c>
      <c r="AE4260" s="17" t="s">
        <v>48</v>
      </c>
    </row>
    <row r="4261" s="17" customFormat="1" hidden="1" spans="1:44">
      <c r="A4261" s="17" t="s">
        <v>34</v>
      </c>
      <c r="B4261" s="19">
        <v>940</v>
      </c>
      <c r="C4261" s="222">
        <v>45239</v>
      </c>
      <c r="D4261" s="17" t="s">
        <v>52</v>
      </c>
      <c r="E4261" s="17" t="s">
        <v>322</v>
      </c>
      <c r="F4261" s="17" t="s">
        <v>54</v>
      </c>
      <c r="H4261" s="19">
        <v>1.2714</v>
      </c>
      <c r="I4261" s="19"/>
      <c r="J4261" s="17" t="s">
        <v>82</v>
      </c>
      <c r="K4261" s="19">
        <v>355</v>
      </c>
      <c r="L4261" s="91">
        <v>355</v>
      </c>
      <c r="M4261" s="19">
        <v>5800</v>
      </c>
      <c r="N4261" s="19" t="s">
        <v>66</v>
      </c>
      <c r="O4261" s="19" t="s">
        <v>50</v>
      </c>
      <c r="P4261" s="91">
        <v>4000</v>
      </c>
      <c r="Q4261" s="19">
        <v>5000</v>
      </c>
      <c r="R4261" s="19">
        <f t="shared" si="205"/>
        <v>-1000</v>
      </c>
      <c r="S4261" s="19">
        <f>1995-30</f>
        <v>1965</v>
      </c>
      <c r="T4261" s="19" t="s">
        <v>42</v>
      </c>
      <c r="U4261" s="102" t="s">
        <v>1296</v>
      </c>
      <c r="V4261" s="253" t="s">
        <v>1297</v>
      </c>
      <c r="W4261" s="17" t="s">
        <v>69</v>
      </c>
      <c r="Y4261" s="68">
        <v>45222</v>
      </c>
      <c r="Z4261" s="17" t="s">
        <v>191</v>
      </c>
      <c r="AA4261" s="17" t="s">
        <v>46</v>
      </c>
      <c r="AB4261" s="17" t="s">
        <v>1160</v>
      </c>
      <c r="AC4261" s="102" t="s">
        <v>1161</v>
      </c>
      <c r="AD4261" s="65">
        <v>1490</v>
      </c>
      <c r="AE4261" s="17" t="s">
        <v>48</v>
      </c>
    </row>
    <row r="4262" s="17" customFormat="1" hidden="1" spans="1:44">
      <c r="A4262" s="17" t="s">
        <v>34</v>
      </c>
      <c r="B4262" s="19">
        <v>940</v>
      </c>
      <c r="C4262" s="222">
        <v>45239</v>
      </c>
      <c r="D4262" s="17" t="s">
        <v>52</v>
      </c>
      <c r="E4262" s="17" t="s">
        <v>322</v>
      </c>
      <c r="F4262" s="17" t="s">
        <v>54</v>
      </c>
      <c r="H4262" s="19">
        <v>1.2714</v>
      </c>
      <c r="I4262" s="19"/>
      <c r="J4262" s="17" t="s">
        <v>82</v>
      </c>
      <c r="K4262" s="19">
        <v>355</v>
      </c>
      <c r="L4262" s="91">
        <v>305</v>
      </c>
      <c r="M4262" s="19">
        <v>5800</v>
      </c>
      <c r="N4262" s="19" t="s">
        <v>66</v>
      </c>
      <c r="O4262" s="19" t="s">
        <v>50</v>
      </c>
      <c r="P4262" s="91">
        <v>4000</v>
      </c>
      <c r="Q4262" s="19">
        <v>4620</v>
      </c>
      <c r="R4262" s="19">
        <f t="shared" si="205"/>
        <v>-620</v>
      </c>
      <c r="S4262" s="19">
        <f>1995-30</f>
        <v>1965</v>
      </c>
      <c r="T4262" s="19" t="s">
        <v>42</v>
      </c>
      <c r="U4262" s="102" t="s">
        <v>1296</v>
      </c>
      <c r="V4262" s="253" t="s">
        <v>1297</v>
      </c>
      <c r="W4262" s="17" t="s">
        <v>69</v>
      </c>
      <c r="Y4262" s="68">
        <v>45222</v>
      </c>
      <c r="Z4262" s="17" t="s">
        <v>191</v>
      </c>
      <c r="AA4262" s="17" t="s">
        <v>46</v>
      </c>
      <c r="AB4262" s="17" t="s">
        <v>1160</v>
      </c>
      <c r="AC4262" s="102" t="s">
        <v>1161</v>
      </c>
      <c r="AD4262" s="65">
        <v>1490</v>
      </c>
      <c r="AE4262" s="17" t="s">
        <v>48</v>
      </c>
    </row>
    <row r="4263" s="17" customFormat="1" hidden="1" spans="1:44">
      <c r="A4263" s="17" t="s">
        <v>34</v>
      </c>
      <c r="B4263" s="19">
        <v>940</v>
      </c>
      <c r="C4263" s="222">
        <v>45239</v>
      </c>
      <c r="D4263" s="17" t="s">
        <v>52</v>
      </c>
      <c r="E4263" s="17" t="s">
        <v>322</v>
      </c>
      <c r="F4263" s="17" t="s">
        <v>54</v>
      </c>
      <c r="H4263" s="19">
        <v>1.2714</v>
      </c>
      <c r="I4263" s="19"/>
      <c r="J4263" s="17" t="s">
        <v>39</v>
      </c>
      <c r="K4263" s="19">
        <v>305</v>
      </c>
      <c r="L4263" s="91"/>
      <c r="M4263" s="19">
        <v>5800</v>
      </c>
      <c r="N4263" s="19" t="s">
        <v>66</v>
      </c>
      <c r="O4263" s="19" t="s">
        <v>50</v>
      </c>
      <c r="P4263" s="91">
        <v>3000</v>
      </c>
      <c r="Q4263" s="19">
        <f>2520+2600</f>
        <v>5120</v>
      </c>
      <c r="R4263" s="19">
        <f t="shared" si="205"/>
        <v>-2120</v>
      </c>
      <c r="S4263" s="19">
        <f>1935-30</f>
        <v>1905</v>
      </c>
      <c r="T4263" s="19" t="s">
        <v>42</v>
      </c>
      <c r="U4263" s="102" t="s">
        <v>1296</v>
      </c>
      <c r="V4263" s="253" t="s">
        <v>1297</v>
      </c>
      <c r="W4263" s="17" t="s">
        <v>69</v>
      </c>
      <c r="Y4263" s="68">
        <v>45222</v>
      </c>
      <c r="Z4263" s="17" t="s">
        <v>191</v>
      </c>
      <c r="AA4263" s="17" t="s">
        <v>46</v>
      </c>
      <c r="AB4263" s="17" t="s">
        <v>1160</v>
      </c>
      <c r="AC4263" s="102" t="s">
        <v>1161</v>
      </c>
      <c r="AD4263" s="65">
        <v>1490</v>
      </c>
      <c r="AE4263" s="17" t="s">
        <v>48</v>
      </c>
    </row>
    <row r="4264" s="17" customFormat="1" hidden="1" spans="1:44">
      <c r="A4264" s="17" t="s">
        <v>34</v>
      </c>
      <c r="B4264" s="19">
        <v>940</v>
      </c>
      <c r="C4264" s="222">
        <v>45239</v>
      </c>
      <c r="D4264" s="17" t="s">
        <v>52</v>
      </c>
      <c r="E4264" s="17" t="s">
        <v>322</v>
      </c>
      <c r="F4264" s="17" t="s">
        <v>54</v>
      </c>
      <c r="H4264" s="19">
        <v>1.2714</v>
      </c>
      <c r="I4264" s="19"/>
      <c r="J4264" s="17" t="s">
        <v>39</v>
      </c>
      <c r="K4264" s="19">
        <v>355</v>
      </c>
      <c r="L4264" s="91"/>
      <c r="M4264" s="19">
        <v>5800</v>
      </c>
      <c r="N4264" s="19" t="s">
        <v>66</v>
      </c>
      <c r="O4264" s="19" t="s">
        <v>50</v>
      </c>
      <c r="P4264" s="91">
        <v>4000</v>
      </c>
      <c r="Q4264" s="19">
        <v>4500</v>
      </c>
      <c r="R4264" s="19">
        <f t="shared" si="205"/>
        <v>-500</v>
      </c>
      <c r="S4264" s="19">
        <f>1935-30</f>
        <v>1905</v>
      </c>
      <c r="T4264" s="19" t="s">
        <v>42</v>
      </c>
      <c r="U4264" s="102" t="s">
        <v>1296</v>
      </c>
      <c r="V4264" s="253" t="s">
        <v>1297</v>
      </c>
      <c r="W4264" s="17" t="s">
        <v>69</v>
      </c>
      <c r="Y4264" s="68">
        <v>45222</v>
      </c>
      <c r="Z4264" s="17" t="s">
        <v>191</v>
      </c>
      <c r="AA4264" s="17" t="s">
        <v>46</v>
      </c>
      <c r="AB4264" s="17" t="s">
        <v>1160</v>
      </c>
      <c r="AC4264" s="102" t="s">
        <v>1161</v>
      </c>
      <c r="AD4264" s="65">
        <v>1490</v>
      </c>
      <c r="AE4264" s="17" t="s">
        <v>48</v>
      </c>
    </row>
    <row r="4265" s="17" customFormat="1" hidden="1" spans="1:44">
      <c r="A4265" s="17" t="s">
        <v>34</v>
      </c>
      <c r="B4265" s="19">
        <v>941</v>
      </c>
      <c r="C4265" s="222" t="s">
        <v>1298</v>
      </c>
      <c r="D4265" s="17" t="s">
        <v>52</v>
      </c>
      <c r="E4265" s="17" t="s">
        <v>1113</v>
      </c>
      <c r="F4265" s="17" t="s">
        <v>54</v>
      </c>
      <c r="H4265" s="19">
        <v>1.2311</v>
      </c>
      <c r="I4265" s="19"/>
      <c r="J4265" s="17" t="s">
        <v>49</v>
      </c>
      <c r="K4265" s="17">
        <v>2090</v>
      </c>
      <c r="L4265" s="91">
        <v>130</v>
      </c>
      <c r="M4265" s="19">
        <v>5000</v>
      </c>
      <c r="N4265" s="19" t="s">
        <v>66</v>
      </c>
      <c r="O4265" s="19" t="s">
        <v>141</v>
      </c>
      <c r="P4265" s="91">
        <v>11226</v>
      </c>
      <c r="Q4265" s="19">
        <f>10850</f>
        <v>10850</v>
      </c>
      <c r="R4265" s="19">
        <f t="shared" si="205"/>
        <v>376</v>
      </c>
      <c r="S4265" s="19">
        <f>1140-15</f>
        <v>1125</v>
      </c>
      <c r="T4265" s="19" t="s">
        <v>42</v>
      </c>
      <c r="U4265" s="102" t="s">
        <v>1299</v>
      </c>
      <c r="V4265" s="253" t="s">
        <v>1300</v>
      </c>
      <c r="W4265" s="17" t="s">
        <v>44</v>
      </c>
      <c r="Y4265" s="68">
        <v>45222</v>
      </c>
      <c r="Z4265" s="17" t="s">
        <v>191</v>
      </c>
      <c r="AA4265" s="17" t="s">
        <v>46</v>
      </c>
      <c r="AB4265" s="17" t="s">
        <v>1142</v>
      </c>
      <c r="AC4265" s="102" t="s">
        <v>1143</v>
      </c>
      <c r="AD4265" s="65">
        <v>1465</v>
      </c>
      <c r="AE4265" s="17" t="s">
        <v>48</v>
      </c>
    </row>
    <row r="4266" s="17" customFormat="1" hidden="1" spans="1:44">
      <c r="A4266" s="17" t="s">
        <v>34</v>
      </c>
      <c r="B4266" s="19">
        <v>941</v>
      </c>
      <c r="C4266" s="222" t="s">
        <v>1298</v>
      </c>
      <c r="D4266" s="17" t="s">
        <v>52</v>
      </c>
      <c r="E4266" s="17" t="s">
        <v>1113</v>
      </c>
      <c r="F4266" s="17" t="s">
        <v>54</v>
      </c>
      <c r="H4266" s="19">
        <v>1.2311</v>
      </c>
      <c r="I4266" s="19"/>
      <c r="J4266" s="17" t="s">
        <v>49</v>
      </c>
      <c r="K4266" s="17">
        <v>2090</v>
      </c>
      <c r="L4266" s="91">
        <v>140</v>
      </c>
      <c r="M4266" s="19">
        <v>4590</v>
      </c>
      <c r="N4266" s="19" t="s">
        <v>66</v>
      </c>
      <c r="O4266" s="19" t="s">
        <v>141</v>
      </c>
      <c r="P4266" s="91">
        <v>12089</v>
      </c>
      <c r="Q4266" s="19">
        <v>10635</v>
      </c>
      <c r="R4266" s="19">
        <f t="shared" si="205"/>
        <v>1454</v>
      </c>
      <c r="S4266" s="19">
        <f>1140-15</f>
        <v>1125</v>
      </c>
      <c r="T4266" s="19" t="s">
        <v>42</v>
      </c>
      <c r="U4266" s="102" t="s">
        <v>1299</v>
      </c>
      <c r="V4266" s="253" t="s">
        <v>1300</v>
      </c>
      <c r="W4266" s="17" t="s">
        <v>44</v>
      </c>
      <c r="Y4266" s="68">
        <v>45222</v>
      </c>
      <c r="Z4266" s="17" t="s">
        <v>191</v>
      </c>
      <c r="AA4266" s="17" t="s">
        <v>46</v>
      </c>
      <c r="AB4266" s="17" t="s">
        <v>1142</v>
      </c>
      <c r="AC4266" s="102" t="s">
        <v>1143</v>
      </c>
      <c r="AD4266" s="65">
        <v>1465</v>
      </c>
      <c r="AE4266" s="17" t="s">
        <v>48</v>
      </c>
    </row>
    <row r="4267" s="17" customFormat="1" hidden="1" spans="1:44">
      <c r="A4267" s="17" t="s">
        <v>34</v>
      </c>
      <c r="B4267" s="19">
        <v>941</v>
      </c>
      <c r="C4267" s="222" t="s">
        <v>1298</v>
      </c>
      <c r="D4267" s="17" t="s">
        <v>52</v>
      </c>
      <c r="E4267" s="17" t="s">
        <v>1113</v>
      </c>
      <c r="F4267" s="17" t="s">
        <v>54</v>
      </c>
      <c r="H4267" s="19">
        <v>1.2311</v>
      </c>
      <c r="I4267" s="19"/>
      <c r="J4267" s="17" t="s">
        <v>49</v>
      </c>
      <c r="K4267" s="17">
        <v>2200</v>
      </c>
      <c r="L4267" s="91">
        <v>150</v>
      </c>
      <c r="M4267" s="19">
        <v>5800</v>
      </c>
      <c r="N4267" s="19" t="s">
        <v>66</v>
      </c>
      <c r="O4267" s="19" t="s">
        <v>141</v>
      </c>
      <c r="P4267" s="91">
        <v>12953</v>
      </c>
      <c r="Q4267" s="19">
        <v>11640</v>
      </c>
      <c r="R4267" s="19">
        <f t="shared" si="205"/>
        <v>1313</v>
      </c>
      <c r="S4267" s="19">
        <f>1140-15</f>
        <v>1125</v>
      </c>
      <c r="T4267" s="19" t="s">
        <v>42</v>
      </c>
      <c r="U4267" s="102" t="s">
        <v>1299</v>
      </c>
      <c r="V4267" s="253" t="s">
        <v>1300</v>
      </c>
      <c r="W4267" s="17" t="s">
        <v>44</v>
      </c>
      <c r="Y4267" s="68">
        <v>45222</v>
      </c>
      <c r="Z4267" s="17" t="s">
        <v>191</v>
      </c>
      <c r="AA4267" s="17" t="s">
        <v>46</v>
      </c>
      <c r="AB4267" s="17" t="s">
        <v>1140</v>
      </c>
      <c r="AC4267" s="102" t="s">
        <v>1141</v>
      </c>
      <c r="AD4267" s="65">
        <v>1468</v>
      </c>
      <c r="AE4267" s="17" t="s">
        <v>48</v>
      </c>
    </row>
    <row r="4268" s="17" customFormat="1" hidden="1" spans="1:44">
      <c r="A4268" s="17" t="s">
        <v>34</v>
      </c>
      <c r="B4268" s="19">
        <v>941</v>
      </c>
      <c r="C4268" s="222" t="s">
        <v>1298</v>
      </c>
      <c r="D4268" s="17" t="s">
        <v>52</v>
      </c>
      <c r="E4268" s="17" t="s">
        <v>1113</v>
      </c>
      <c r="F4268" s="17" t="s">
        <v>54</v>
      </c>
      <c r="H4268" s="19">
        <v>1.2311</v>
      </c>
      <c r="I4268" s="19"/>
      <c r="J4268" s="17" t="s">
        <v>49</v>
      </c>
      <c r="K4268" s="17">
        <v>2090</v>
      </c>
      <c r="L4268" s="91">
        <v>180</v>
      </c>
      <c r="M4268" s="19">
        <v>2550</v>
      </c>
      <c r="N4268" s="19" t="s">
        <v>66</v>
      </c>
      <c r="O4268" s="19" t="s">
        <v>141</v>
      </c>
      <c r="P4268" s="91">
        <v>18652</v>
      </c>
      <c r="Q4268" s="19">
        <v>7645</v>
      </c>
      <c r="S4268" s="19">
        <f>1180-15</f>
        <v>1165</v>
      </c>
      <c r="T4268" s="19" t="s">
        <v>42</v>
      </c>
      <c r="U4268" s="102" t="s">
        <v>1299</v>
      </c>
      <c r="V4268" s="253" t="s">
        <v>1300</v>
      </c>
      <c r="W4268" s="17" t="s">
        <v>44</v>
      </c>
      <c r="Y4268" s="68">
        <v>45222</v>
      </c>
      <c r="Z4268" s="17" t="s">
        <v>191</v>
      </c>
      <c r="AA4268" s="17" t="s">
        <v>46</v>
      </c>
      <c r="AB4268" s="17" t="s">
        <v>1140</v>
      </c>
      <c r="AC4268" s="102" t="s">
        <v>1141</v>
      </c>
      <c r="AD4268" s="65">
        <v>1468</v>
      </c>
      <c r="AE4268" s="17" t="s">
        <v>48</v>
      </c>
    </row>
    <row r="4269" s="17" customFormat="1" hidden="1" spans="1:44">
      <c r="A4269" s="17" t="s">
        <v>34</v>
      </c>
      <c r="B4269" s="19">
        <v>941</v>
      </c>
      <c r="C4269" s="222" t="s">
        <v>1298</v>
      </c>
      <c r="D4269" s="17" t="s">
        <v>52</v>
      </c>
      <c r="E4269" s="17" t="s">
        <v>1113</v>
      </c>
      <c r="F4269" s="17" t="s">
        <v>54</v>
      </c>
      <c r="H4269" s="19">
        <v>1.2311</v>
      </c>
      <c r="I4269" s="19"/>
      <c r="J4269" s="17" t="s">
        <v>49</v>
      </c>
      <c r="K4269" s="17">
        <v>2090</v>
      </c>
      <c r="L4269" s="91">
        <v>180</v>
      </c>
      <c r="M4269" s="19">
        <v>2550</v>
      </c>
      <c r="N4269" s="19" t="s">
        <v>66</v>
      </c>
      <c r="O4269" s="19" t="s">
        <v>141</v>
      </c>
      <c r="P4269" s="91"/>
      <c r="Q4269" s="19">
        <v>11980</v>
      </c>
      <c r="R4269" s="19">
        <f>+P4268-Q4268-Q4269</f>
        <v>-973</v>
      </c>
      <c r="S4269" s="19">
        <f>1180-15</f>
        <v>1165</v>
      </c>
      <c r="T4269" s="19" t="s">
        <v>42</v>
      </c>
      <c r="U4269" s="102" t="s">
        <v>1299</v>
      </c>
      <c r="V4269" s="253" t="s">
        <v>1300</v>
      </c>
      <c r="W4269" s="17" t="s">
        <v>44</v>
      </c>
      <c r="Y4269" s="68">
        <v>45222</v>
      </c>
      <c r="Z4269" s="17" t="s">
        <v>191</v>
      </c>
      <c r="AA4269" s="17" t="s">
        <v>46</v>
      </c>
      <c r="AB4269" s="17" t="s">
        <v>1226</v>
      </c>
      <c r="AC4269" s="102" t="s">
        <v>1227</v>
      </c>
      <c r="AD4269" s="65">
        <v>1494</v>
      </c>
      <c r="AE4269" s="17" t="s">
        <v>48</v>
      </c>
    </row>
    <row r="4270" s="17" customFormat="1" hidden="1" spans="1:44">
      <c r="A4270" s="17" t="s">
        <v>34</v>
      </c>
      <c r="B4270" s="19">
        <v>941</v>
      </c>
      <c r="C4270" s="222" t="s">
        <v>1298</v>
      </c>
      <c r="D4270" s="17" t="s">
        <v>52</v>
      </c>
      <c r="E4270" s="17" t="s">
        <v>1113</v>
      </c>
      <c r="F4270" s="17" t="s">
        <v>54</v>
      </c>
      <c r="H4270" s="19">
        <v>1.2311</v>
      </c>
      <c r="I4270" s="19"/>
      <c r="J4270" s="17" t="s">
        <v>49</v>
      </c>
      <c r="K4270" s="17">
        <v>2090</v>
      </c>
      <c r="L4270" s="91">
        <v>195</v>
      </c>
      <c r="M4270" s="19">
        <v>3000</v>
      </c>
      <c r="N4270" s="19" t="s">
        <v>66</v>
      </c>
      <c r="O4270" s="19" t="s">
        <v>141</v>
      </c>
      <c r="P4270" s="91">
        <v>20206</v>
      </c>
      <c r="Q4270" s="19">
        <v>9678</v>
      </c>
      <c r="S4270" s="19">
        <f>1200-15</f>
        <v>1185</v>
      </c>
      <c r="T4270" s="19" t="s">
        <v>42</v>
      </c>
      <c r="U4270" s="102" t="s">
        <v>1299</v>
      </c>
      <c r="V4270" s="253" t="s">
        <v>1300</v>
      </c>
      <c r="W4270" s="17" t="s">
        <v>44</v>
      </c>
      <c r="Y4270" s="68">
        <v>45222</v>
      </c>
      <c r="Z4270" s="17" t="s">
        <v>191</v>
      </c>
      <c r="AA4270" s="17" t="s">
        <v>46</v>
      </c>
      <c r="AB4270" s="17" t="s">
        <v>1142</v>
      </c>
      <c r="AC4270" s="102" t="s">
        <v>1143</v>
      </c>
      <c r="AD4270" s="65">
        <v>1465</v>
      </c>
      <c r="AE4270" s="17" t="s">
        <v>48</v>
      </c>
    </row>
    <row r="4271" s="17" customFormat="1" hidden="1" spans="1:44">
      <c r="A4271" s="17" t="s">
        <v>34</v>
      </c>
      <c r="B4271" s="19">
        <v>941</v>
      </c>
      <c r="C4271" s="222" t="s">
        <v>1298</v>
      </c>
      <c r="D4271" s="17" t="s">
        <v>52</v>
      </c>
      <c r="E4271" s="17" t="s">
        <v>1113</v>
      </c>
      <c r="F4271" s="17" t="s">
        <v>54</v>
      </c>
      <c r="H4271" s="19">
        <v>1.2311</v>
      </c>
      <c r="I4271" s="19"/>
      <c r="J4271" s="17" t="s">
        <v>49</v>
      </c>
      <c r="K4271" s="17">
        <v>2090</v>
      </c>
      <c r="L4271" s="91">
        <v>195</v>
      </c>
      <c r="M4271" s="19">
        <v>3000</v>
      </c>
      <c r="N4271" s="19" t="s">
        <v>66</v>
      </c>
      <c r="O4271" s="19" t="s">
        <v>141</v>
      </c>
      <c r="P4271" s="91"/>
      <c r="Q4271" s="19">
        <v>9725</v>
      </c>
      <c r="R4271" s="19">
        <f>+P4270-Q4270-Q4271</f>
        <v>803</v>
      </c>
      <c r="S4271" s="19">
        <f>1200-15</f>
        <v>1185</v>
      </c>
      <c r="T4271" s="19" t="s">
        <v>42</v>
      </c>
      <c r="U4271" s="102" t="s">
        <v>1299</v>
      </c>
      <c r="V4271" s="253" t="s">
        <v>1300</v>
      </c>
      <c r="W4271" s="17" t="s">
        <v>44</v>
      </c>
      <c r="Y4271" s="68">
        <v>45222</v>
      </c>
      <c r="Z4271" s="17" t="s">
        <v>191</v>
      </c>
      <c r="AA4271" s="17" t="s">
        <v>46</v>
      </c>
      <c r="AB4271" s="17" t="s">
        <v>1226</v>
      </c>
      <c r="AC4271" s="102" t="s">
        <v>1227</v>
      </c>
      <c r="AD4271" s="65">
        <v>1494</v>
      </c>
      <c r="AE4271" s="17" t="s">
        <v>48</v>
      </c>
    </row>
    <row r="4272" s="17" customFormat="1" hidden="1" spans="1:44">
      <c r="A4272" s="17" t="s">
        <v>34</v>
      </c>
      <c r="B4272" s="19">
        <v>941</v>
      </c>
      <c r="C4272" s="222" t="s">
        <v>1298</v>
      </c>
      <c r="D4272" s="17" t="s">
        <v>52</v>
      </c>
      <c r="E4272" s="17" t="s">
        <v>1113</v>
      </c>
      <c r="F4272" s="17" t="s">
        <v>54</v>
      </c>
      <c r="H4272" s="19">
        <v>1.2311</v>
      </c>
      <c r="I4272" s="19"/>
      <c r="J4272" s="17" t="s">
        <v>49</v>
      </c>
      <c r="K4272" s="17">
        <v>2090</v>
      </c>
      <c r="L4272" s="91">
        <v>210</v>
      </c>
      <c r="M4272" s="19">
        <v>3000</v>
      </c>
      <c r="N4272" s="19" t="s">
        <v>66</v>
      </c>
      <c r="O4272" s="19" t="s">
        <v>141</v>
      </c>
      <c r="P4272" s="91">
        <v>21760</v>
      </c>
      <c r="Q4272" s="19">
        <f>10465+10480</f>
        <v>20945</v>
      </c>
      <c r="R4272" s="19">
        <f>+P4272-Q4272</f>
        <v>815</v>
      </c>
      <c r="S4272" s="19">
        <f>1215-15</f>
        <v>1200</v>
      </c>
      <c r="T4272" s="19" t="s">
        <v>42</v>
      </c>
      <c r="U4272" s="102" t="s">
        <v>1299</v>
      </c>
      <c r="V4272" s="253" t="s">
        <v>1300</v>
      </c>
      <c r="W4272" s="17" t="s">
        <v>44</v>
      </c>
      <c r="Y4272" s="68">
        <v>45222</v>
      </c>
      <c r="Z4272" s="17" t="s">
        <v>191</v>
      </c>
      <c r="AA4272" s="17" t="s">
        <v>46</v>
      </c>
      <c r="AB4272" s="17" t="s">
        <v>1142</v>
      </c>
      <c r="AC4272" s="102" t="s">
        <v>1143</v>
      </c>
      <c r="AD4272" s="65">
        <v>1465</v>
      </c>
      <c r="AE4272" s="17" t="s">
        <v>48</v>
      </c>
    </row>
    <row r="4273" s="17" customFormat="1" hidden="1" spans="1:44">
      <c r="A4273" s="17" t="s">
        <v>34</v>
      </c>
      <c r="B4273" s="19">
        <v>941</v>
      </c>
      <c r="C4273" s="222" t="s">
        <v>1298</v>
      </c>
      <c r="D4273" s="17" t="s">
        <v>52</v>
      </c>
      <c r="E4273" s="17" t="s">
        <v>1113</v>
      </c>
      <c r="F4273" s="17" t="s">
        <v>54</v>
      </c>
      <c r="H4273" s="19">
        <v>1.2311</v>
      </c>
      <c r="I4273" s="19"/>
      <c r="J4273" s="17" t="s">
        <v>49</v>
      </c>
      <c r="K4273" s="17">
        <v>2250</v>
      </c>
      <c r="L4273" s="91">
        <v>135</v>
      </c>
      <c r="M4273" s="19">
        <v>3210</v>
      </c>
      <c r="N4273" s="19" t="s">
        <v>66</v>
      </c>
      <c r="O4273" s="19" t="s">
        <v>141</v>
      </c>
      <c r="P4273" s="91">
        <v>11657</v>
      </c>
      <c r="Q4273" s="19">
        <v>7830</v>
      </c>
      <c r="R4273" s="19">
        <f>+P4273-Q4273</f>
        <v>3827</v>
      </c>
      <c r="S4273" s="19">
        <f>1010-15</f>
        <v>995</v>
      </c>
      <c r="T4273" s="19" t="s">
        <v>42</v>
      </c>
      <c r="U4273" s="102" t="s">
        <v>1299</v>
      </c>
      <c r="V4273" s="253" t="s">
        <v>1300</v>
      </c>
      <c r="W4273" s="17" t="s">
        <v>44</v>
      </c>
      <c r="Y4273" s="68">
        <v>45222</v>
      </c>
      <c r="Z4273" s="17" t="s">
        <v>191</v>
      </c>
      <c r="AA4273" s="17" t="s">
        <v>46</v>
      </c>
      <c r="AB4273" s="17" t="s">
        <v>1142</v>
      </c>
      <c r="AC4273" s="102" t="s">
        <v>1143</v>
      </c>
      <c r="AD4273" s="65">
        <v>1465</v>
      </c>
      <c r="AE4273" s="17" t="s">
        <v>48</v>
      </c>
    </row>
    <row r="4274" s="17" customFormat="1" hidden="1" spans="1:44">
      <c r="A4274" s="17" t="s">
        <v>34</v>
      </c>
      <c r="B4274" s="19">
        <v>941</v>
      </c>
      <c r="C4274" s="222" t="s">
        <v>1298</v>
      </c>
      <c r="D4274" s="17" t="s">
        <v>52</v>
      </c>
      <c r="E4274" s="17" t="s">
        <v>1113</v>
      </c>
      <c r="F4274" s="17" t="s">
        <v>54</v>
      </c>
      <c r="H4274" s="19">
        <v>1.2311</v>
      </c>
      <c r="I4274" s="19"/>
      <c r="J4274" s="17" t="s">
        <v>49</v>
      </c>
      <c r="K4274" s="17">
        <v>2090</v>
      </c>
      <c r="L4274" s="91">
        <v>150</v>
      </c>
      <c r="M4274" s="19">
        <v>4700</v>
      </c>
      <c r="N4274" s="19" t="s">
        <v>66</v>
      </c>
      <c r="O4274" s="19" t="s">
        <v>141</v>
      </c>
      <c r="P4274" s="91">
        <v>12953</v>
      </c>
      <c r="Q4274" s="19">
        <v>12680</v>
      </c>
      <c r="R4274" s="19">
        <f>+P4274-Q4274</f>
        <v>273</v>
      </c>
      <c r="S4274" s="19">
        <f>1010-15</f>
        <v>995</v>
      </c>
      <c r="T4274" s="19" t="s">
        <v>42</v>
      </c>
      <c r="U4274" s="102" t="s">
        <v>1299</v>
      </c>
      <c r="V4274" s="253" t="s">
        <v>1300</v>
      </c>
      <c r="W4274" s="17" t="s">
        <v>44</v>
      </c>
      <c r="Y4274" s="68">
        <v>45222</v>
      </c>
      <c r="Z4274" s="17" t="s">
        <v>191</v>
      </c>
      <c r="AA4274" s="17" t="s">
        <v>46</v>
      </c>
      <c r="AB4274" s="17" t="s">
        <v>1136</v>
      </c>
      <c r="AC4274" s="217">
        <v>44937</v>
      </c>
      <c r="AD4274" s="65">
        <v>1476</v>
      </c>
      <c r="AE4274" s="17" t="s">
        <v>48</v>
      </c>
    </row>
    <row r="4275" s="17" customFormat="1" hidden="1" spans="1:44">
      <c r="A4275" s="17" t="s">
        <v>34</v>
      </c>
      <c r="B4275" s="19">
        <v>941</v>
      </c>
      <c r="C4275" s="222" t="s">
        <v>1298</v>
      </c>
      <c r="D4275" s="17" t="s">
        <v>52</v>
      </c>
      <c r="E4275" s="17" t="s">
        <v>1113</v>
      </c>
      <c r="F4275" s="17" t="s">
        <v>54</v>
      </c>
      <c r="H4275" s="19">
        <v>1.2311</v>
      </c>
      <c r="I4275" s="19"/>
      <c r="J4275" s="17" t="s">
        <v>49</v>
      </c>
      <c r="K4275" s="17">
        <v>2250</v>
      </c>
      <c r="L4275" s="91">
        <v>165</v>
      </c>
      <c r="M4275" s="19">
        <v>3000</v>
      </c>
      <c r="N4275" s="19" t="s">
        <v>66</v>
      </c>
      <c r="O4275" s="19" t="s">
        <v>141</v>
      </c>
      <c r="P4275" s="91">
        <v>14248</v>
      </c>
      <c r="Q4275" s="19">
        <v>8705</v>
      </c>
      <c r="R4275" s="19">
        <f>+P4275-Q4275</f>
        <v>5543</v>
      </c>
      <c r="S4275" s="19">
        <f>1030-15</f>
        <v>1015</v>
      </c>
      <c r="T4275" s="19" t="s">
        <v>42</v>
      </c>
      <c r="U4275" s="102" t="s">
        <v>1299</v>
      </c>
      <c r="V4275" s="253" t="s">
        <v>1300</v>
      </c>
      <c r="W4275" s="17" t="s">
        <v>44</v>
      </c>
      <c r="Y4275" s="68">
        <v>45222</v>
      </c>
      <c r="Z4275" s="17" t="s">
        <v>191</v>
      </c>
      <c r="AA4275" s="17" t="s">
        <v>46</v>
      </c>
      <c r="AB4275" s="17" t="s">
        <v>1140</v>
      </c>
      <c r="AC4275" s="102" t="s">
        <v>1141</v>
      </c>
      <c r="AD4275" s="65">
        <v>1468</v>
      </c>
      <c r="AE4275" s="17" t="s">
        <v>48</v>
      </c>
    </row>
    <row r="4276" s="20" customFormat="1" hidden="1" spans="1:44">
      <c r="A4276" s="17" t="s">
        <v>34</v>
      </c>
      <c r="B4276" s="19">
        <v>942</v>
      </c>
      <c r="C4276" s="183">
        <v>45189</v>
      </c>
      <c r="D4276" s="17" t="s">
        <v>137</v>
      </c>
      <c r="E4276" s="17" t="s">
        <v>138</v>
      </c>
      <c r="F4276" s="17" t="s">
        <v>139</v>
      </c>
      <c r="G4276" s="17"/>
      <c r="H4276" s="19">
        <v>1.2738</v>
      </c>
      <c r="I4276" s="19"/>
      <c r="J4276" s="17" t="s">
        <v>49</v>
      </c>
      <c r="K4276" s="19">
        <v>2000</v>
      </c>
      <c r="L4276" s="91">
        <v>56</v>
      </c>
      <c r="M4276" s="19">
        <v>5500</v>
      </c>
      <c r="N4276" s="19" t="s">
        <v>66</v>
      </c>
      <c r="O4276" s="19" t="s">
        <v>141</v>
      </c>
      <c r="P4276" s="91">
        <v>14507</v>
      </c>
      <c r="Q4276" s="19">
        <v>5009</v>
      </c>
      <c r="R4276" s="17"/>
      <c r="S4276" s="19">
        <v>1520</v>
      </c>
      <c r="T4276" s="19" t="s">
        <v>94</v>
      </c>
      <c r="U4276" s="102">
        <v>60391</v>
      </c>
      <c r="V4276" s="101">
        <v>45191</v>
      </c>
      <c r="W4276" s="17" t="s">
        <v>44</v>
      </c>
      <c r="X4276" s="17"/>
      <c r="Y4276" s="68">
        <v>45253</v>
      </c>
      <c r="Z4276" s="17" t="s">
        <v>1301</v>
      </c>
      <c r="AA4276" s="17" t="s">
        <v>1169</v>
      </c>
      <c r="AB4276" s="17">
        <v>4001380081</v>
      </c>
      <c r="AC4276" s="217">
        <v>45405</v>
      </c>
      <c r="AD4276" s="65">
        <v>1484</v>
      </c>
      <c r="AE4276" s="17" t="s">
        <v>48</v>
      </c>
      <c r="AF4276" s="17"/>
      <c r="AG4276" s="17" t="s">
        <v>1168</v>
      </c>
      <c r="AH4276" s="17"/>
      <c r="AI4276" s="17"/>
      <c r="AJ4276" s="17"/>
      <c r="AK4276" s="17"/>
      <c r="AL4276" s="17"/>
      <c r="AM4276" s="17"/>
      <c r="AN4276" s="17"/>
      <c r="AO4276" s="17"/>
      <c r="AP4276" s="17"/>
      <c r="AQ4276" s="17"/>
      <c r="AR4276" s="17"/>
    </row>
    <row r="4277" s="20" customFormat="1" hidden="1" spans="1:44">
      <c r="A4277" s="17" t="s">
        <v>34</v>
      </c>
      <c r="B4277" s="19">
        <v>942</v>
      </c>
      <c r="C4277" s="183">
        <v>45189</v>
      </c>
      <c r="D4277" s="17" t="s">
        <v>137</v>
      </c>
      <c r="E4277" s="17" t="s">
        <v>138</v>
      </c>
      <c r="F4277" s="17" t="s">
        <v>139</v>
      </c>
      <c r="G4277" s="17"/>
      <c r="H4277" s="19">
        <v>1.2738</v>
      </c>
      <c r="I4277" s="19"/>
      <c r="J4277" s="17" t="s">
        <v>49</v>
      </c>
      <c r="K4277" s="19">
        <v>2000</v>
      </c>
      <c r="L4277" s="91">
        <v>56</v>
      </c>
      <c r="M4277" s="19">
        <v>5500</v>
      </c>
      <c r="N4277" s="19" t="s">
        <v>66</v>
      </c>
      <c r="O4277" s="19" t="s">
        <v>141</v>
      </c>
      <c r="P4277" s="91"/>
      <c r="Q4277" s="19">
        <v>5069</v>
      </c>
      <c r="R4277" s="21"/>
      <c r="S4277" s="19">
        <v>1520</v>
      </c>
      <c r="T4277" s="19" t="s">
        <v>94</v>
      </c>
      <c r="U4277" s="102">
        <v>60391</v>
      </c>
      <c r="V4277" s="101">
        <v>45191</v>
      </c>
      <c r="W4277" s="17" t="s">
        <v>44</v>
      </c>
      <c r="X4277" s="17"/>
      <c r="Y4277" s="68">
        <v>45253</v>
      </c>
      <c r="Z4277" s="17" t="s">
        <v>1301</v>
      </c>
      <c r="AA4277" s="17" t="s">
        <v>171</v>
      </c>
      <c r="AB4277" s="17">
        <v>4001380122</v>
      </c>
      <c r="AC4277" s="217">
        <v>45462</v>
      </c>
      <c r="AD4277" s="65">
        <v>1487</v>
      </c>
      <c r="AE4277" s="17" t="s">
        <v>48</v>
      </c>
      <c r="AF4277" s="17"/>
      <c r="AG4277" s="17" t="s">
        <v>1168</v>
      </c>
      <c r="AH4277" s="17"/>
      <c r="AI4277" s="17"/>
      <c r="AJ4277" s="17"/>
      <c r="AK4277" s="17"/>
      <c r="AL4277" s="17"/>
      <c r="AM4277" s="17"/>
      <c r="AN4277" s="17"/>
      <c r="AO4277" s="17"/>
      <c r="AP4277" s="17"/>
      <c r="AQ4277" s="17"/>
      <c r="AR4277" s="17"/>
    </row>
    <row r="4278" s="20" customFormat="1" hidden="1" spans="1:44">
      <c r="A4278" s="17" t="s">
        <v>34</v>
      </c>
      <c r="B4278" s="19">
        <v>942</v>
      </c>
      <c r="C4278" s="183">
        <v>45189</v>
      </c>
      <c r="D4278" s="17" t="s">
        <v>137</v>
      </c>
      <c r="E4278" s="17" t="s">
        <v>138</v>
      </c>
      <c r="F4278" s="17" t="s">
        <v>139</v>
      </c>
      <c r="G4278" s="17"/>
      <c r="H4278" s="19">
        <v>1.2738</v>
      </c>
      <c r="I4278" s="19"/>
      <c r="J4278" s="17" t="s">
        <v>49</v>
      </c>
      <c r="K4278" s="19">
        <v>2000</v>
      </c>
      <c r="L4278" s="91">
        <v>56</v>
      </c>
      <c r="M4278" s="19">
        <v>5500</v>
      </c>
      <c r="N4278" s="19" t="s">
        <v>66</v>
      </c>
      <c r="O4278" s="19" t="s">
        <v>141</v>
      </c>
      <c r="P4278" s="91"/>
      <c r="Q4278" s="19">
        <v>5049</v>
      </c>
      <c r="R4278" s="290">
        <f>+P4276-Q4276-Q4277-Q4278</f>
        <v>-620</v>
      </c>
      <c r="S4278" s="19">
        <v>1520</v>
      </c>
      <c r="T4278" s="19" t="s">
        <v>94</v>
      </c>
      <c r="U4278" s="102">
        <v>60391</v>
      </c>
      <c r="V4278" s="101">
        <v>45191</v>
      </c>
      <c r="W4278" s="17" t="s">
        <v>44</v>
      </c>
      <c r="X4278" s="17"/>
      <c r="Y4278" s="68">
        <v>45253</v>
      </c>
      <c r="Z4278" s="17" t="s">
        <v>998</v>
      </c>
      <c r="AA4278" s="17" t="s">
        <v>46</v>
      </c>
      <c r="AB4278" s="17">
        <v>4001380050</v>
      </c>
      <c r="AC4278" s="217">
        <v>45708</v>
      </c>
      <c r="AD4278" s="65">
        <v>1590</v>
      </c>
      <c r="AE4278" s="17" t="s">
        <v>48</v>
      </c>
      <c r="AF4278" s="17"/>
      <c r="AG4278" s="17" t="s">
        <v>1168</v>
      </c>
      <c r="AH4278" s="17"/>
      <c r="AI4278" s="17"/>
      <c r="AJ4278" s="17"/>
      <c r="AK4278" s="17"/>
      <c r="AL4278" s="17"/>
      <c r="AM4278" s="17"/>
      <c r="AN4278" s="17"/>
      <c r="AO4278" s="17"/>
      <c r="AP4278" s="17"/>
      <c r="AQ4278" s="17"/>
      <c r="AR4278" s="17"/>
    </row>
    <row r="4279" s="20" customFormat="1" hidden="1" spans="1:44">
      <c r="A4279" s="17" t="s">
        <v>34</v>
      </c>
      <c r="B4279" s="19">
        <v>942</v>
      </c>
      <c r="C4279" s="183">
        <v>45189</v>
      </c>
      <c r="D4279" s="17" t="s">
        <v>137</v>
      </c>
      <c r="E4279" s="17" t="s">
        <v>138</v>
      </c>
      <c r="F4279" s="17" t="s">
        <v>139</v>
      </c>
      <c r="G4279" s="17"/>
      <c r="H4279" s="19">
        <v>1.2738</v>
      </c>
      <c r="I4279" s="19"/>
      <c r="J4279" s="17" t="s">
        <v>49</v>
      </c>
      <c r="K4279" s="19">
        <v>2000</v>
      </c>
      <c r="L4279" s="91">
        <v>60</v>
      </c>
      <c r="M4279" s="19">
        <v>5500</v>
      </c>
      <c r="N4279" s="19" t="s">
        <v>66</v>
      </c>
      <c r="O4279" s="19" t="s">
        <v>141</v>
      </c>
      <c r="P4279" s="91">
        <v>15543</v>
      </c>
      <c r="Q4279" s="19">
        <v>5360</v>
      </c>
      <c r="R4279" s="17"/>
      <c r="S4279" s="19">
        <v>1520</v>
      </c>
      <c r="T4279" s="19" t="s">
        <v>94</v>
      </c>
      <c r="U4279" s="102">
        <v>60391</v>
      </c>
      <c r="V4279" s="101">
        <v>45191</v>
      </c>
      <c r="W4279" s="17" t="s">
        <v>44</v>
      </c>
      <c r="X4279" s="17"/>
      <c r="Y4279" s="68">
        <v>45253</v>
      </c>
      <c r="Z4279" s="17" t="s">
        <v>1301</v>
      </c>
      <c r="AA4279" s="17" t="s">
        <v>1187</v>
      </c>
      <c r="AB4279" s="17">
        <v>4001380082</v>
      </c>
      <c r="AC4279" s="217">
        <v>45405</v>
      </c>
      <c r="AD4279" s="65">
        <v>1483</v>
      </c>
      <c r="AE4279" s="17" t="s">
        <v>1188</v>
      </c>
      <c r="AF4279" s="17" t="s">
        <v>1209</v>
      </c>
      <c r="AG4279" s="17" t="s">
        <v>1168</v>
      </c>
      <c r="AH4279" s="17"/>
      <c r="AI4279" s="17"/>
      <c r="AJ4279" s="17"/>
      <c r="AK4279" s="17"/>
      <c r="AL4279" s="17"/>
      <c r="AM4279" s="17"/>
      <c r="AN4279" s="17"/>
      <c r="AO4279" s="17"/>
      <c r="AP4279" s="17"/>
      <c r="AQ4279" s="17"/>
      <c r="AR4279" s="17"/>
    </row>
    <row r="4280" s="20" customFormat="1" hidden="1" spans="1:44">
      <c r="A4280" s="17" t="s">
        <v>34</v>
      </c>
      <c r="B4280" s="19">
        <v>942</v>
      </c>
      <c r="C4280" s="183">
        <v>45189</v>
      </c>
      <c r="D4280" s="17" t="s">
        <v>137</v>
      </c>
      <c r="E4280" s="17" t="s">
        <v>138</v>
      </c>
      <c r="F4280" s="17" t="s">
        <v>139</v>
      </c>
      <c r="G4280" s="17"/>
      <c r="H4280" s="19">
        <v>1.2738</v>
      </c>
      <c r="I4280" s="19"/>
      <c r="J4280" s="17" t="s">
        <v>49</v>
      </c>
      <c r="K4280" s="19">
        <v>2000</v>
      </c>
      <c r="L4280" s="91">
        <v>60</v>
      </c>
      <c r="M4280" s="19">
        <v>5500</v>
      </c>
      <c r="N4280" s="19" t="s">
        <v>66</v>
      </c>
      <c r="O4280" s="19" t="s">
        <v>141</v>
      </c>
      <c r="P4280" s="91"/>
      <c r="Q4280" s="19">
        <v>5347</v>
      </c>
      <c r="R4280" s="242">
        <f>+P4279-Q4279-Q4280</f>
        <v>4836</v>
      </c>
      <c r="S4280" s="19">
        <v>1520</v>
      </c>
      <c r="T4280" s="19" t="s">
        <v>94</v>
      </c>
      <c r="U4280" s="102">
        <v>60391</v>
      </c>
      <c r="V4280" s="101">
        <v>45191</v>
      </c>
      <c r="W4280" s="17" t="s">
        <v>44</v>
      </c>
      <c r="X4280" s="17"/>
      <c r="Y4280" s="68">
        <v>45253</v>
      </c>
      <c r="Z4280" s="17" t="s">
        <v>1301</v>
      </c>
      <c r="AA4280" s="17" t="s">
        <v>1169</v>
      </c>
      <c r="AB4280" s="17">
        <v>4001380081</v>
      </c>
      <c r="AC4280" s="217">
        <v>45405</v>
      </c>
      <c r="AD4280" s="65">
        <v>1484</v>
      </c>
      <c r="AE4280" s="17" t="s">
        <v>48</v>
      </c>
      <c r="AF4280" s="17"/>
      <c r="AG4280" s="17" t="s">
        <v>1168</v>
      </c>
      <c r="AH4280" s="17"/>
      <c r="AI4280" s="17"/>
      <c r="AJ4280" s="17"/>
      <c r="AK4280" s="17"/>
      <c r="AL4280" s="17"/>
      <c r="AM4280" s="17"/>
      <c r="AN4280" s="17"/>
      <c r="AO4280" s="17"/>
      <c r="AP4280" s="17"/>
      <c r="AQ4280" s="17"/>
      <c r="AR4280" s="17"/>
    </row>
    <row r="4281" s="21" customFormat="1" hidden="1" spans="1:44">
      <c r="A4281" s="17" t="s">
        <v>34</v>
      </c>
      <c r="B4281" s="19">
        <v>942</v>
      </c>
      <c r="C4281" s="183">
        <v>45189</v>
      </c>
      <c r="D4281" s="17" t="s">
        <v>137</v>
      </c>
      <c r="E4281" s="17" t="s">
        <v>138</v>
      </c>
      <c r="F4281" s="17" t="s">
        <v>139</v>
      </c>
      <c r="G4281" s="17"/>
      <c r="H4281" s="19">
        <v>1.2738</v>
      </c>
      <c r="I4281" s="19"/>
      <c r="J4281" s="17" t="s">
        <v>49</v>
      </c>
      <c r="K4281" s="19">
        <v>2000</v>
      </c>
      <c r="L4281" s="91">
        <v>65</v>
      </c>
      <c r="M4281" s="19">
        <v>5500</v>
      </c>
      <c r="N4281" s="19" t="s">
        <v>66</v>
      </c>
      <c r="O4281" s="19" t="s">
        <v>141</v>
      </c>
      <c r="P4281" s="91">
        <v>11226</v>
      </c>
      <c r="Q4281" s="19">
        <v>5925</v>
      </c>
      <c r="S4281" s="19">
        <v>1520</v>
      </c>
      <c r="T4281" s="19" t="s">
        <v>94</v>
      </c>
      <c r="U4281" s="102">
        <v>60391</v>
      </c>
      <c r="V4281" s="101">
        <v>45191</v>
      </c>
      <c r="W4281" s="17" t="s">
        <v>44</v>
      </c>
      <c r="X4281" s="17"/>
      <c r="Y4281" s="68">
        <v>45253</v>
      </c>
      <c r="Z4281" s="17" t="s">
        <v>998</v>
      </c>
      <c r="AA4281" s="17" t="s">
        <v>46</v>
      </c>
      <c r="AB4281" s="17">
        <v>4001380050</v>
      </c>
      <c r="AC4281" s="217">
        <v>45708</v>
      </c>
      <c r="AD4281" s="65">
        <v>1590</v>
      </c>
      <c r="AE4281" s="17" t="s">
        <v>48</v>
      </c>
      <c r="AF4281" s="17"/>
      <c r="AG4281" s="17" t="s">
        <v>1168</v>
      </c>
      <c r="AH4281" s="17"/>
      <c r="AI4281" s="17"/>
      <c r="AJ4281" s="17"/>
      <c r="AK4281" s="17"/>
      <c r="AL4281" s="17"/>
      <c r="AM4281" s="17"/>
      <c r="AN4281" s="17"/>
      <c r="AO4281" s="17"/>
      <c r="AP4281" s="17"/>
      <c r="AQ4281" s="17"/>
      <c r="AR4281" s="17"/>
    </row>
    <row r="4282" s="21" customFormat="1" hidden="1" spans="1:44">
      <c r="A4282" s="17" t="s">
        <v>34</v>
      </c>
      <c r="B4282" s="19">
        <v>942</v>
      </c>
      <c r="C4282" s="183">
        <v>45189</v>
      </c>
      <c r="D4282" s="17" t="s">
        <v>137</v>
      </c>
      <c r="E4282" s="17" t="s">
        <v>138</v>
      </c>
      <c r="F4282" s="17" t="s">
        <v>139</v>
      </c>
      <c r="G4282" s="17"/>
      <c r="H4282" s="19">
        <v>1.2738</v>
      </c>
      <c r="I4282" s="19"/>
      <c r="J4282" s="17" t="s">
        <v>49</v>
      </c>
      <c r="K4282" s="19">
        <v>2000</v>
      </c>
      <c r="L4282" s="91">
        <v>65</v>
      </c>
      <c r="M4282" s="19">
        <v>5525</v>
      </c>
      <c r="N4282" s="19" t="s">
        <v>66</v>
      </c>
      <c r="O4282" s="19" t="s">
        <v>141</v>
      </c>
      <c r="P4282" s="91"/>
      <c r="Q4282" s="19">
        <v>5861</v>
      </c>
      <c r="R4282" s="147">
        <f>+P4281-Q4281-Q4282</f>
        <v>-560</v>
      </c>
      <c r="S4282" s="19">
        <v>1520</v>
      </c>
      <c r="T4282" s="19" t="s">
        <v>94</v>
      </c>
      <c r="U4282" s="102">
        <v>60391</v>
      </c>
      <c r="V4282" s="101">
        <v>45191</v>
      </c>
      <c r="W4282" s="17" t="s">
        <v>44</v>
      </c>
      <c r="X4282" s="17"/>
      <c r="Y4282" s="68">
        <v>45253</v>
      </c>
      <c r="Z4282" s="17" t="s">
        <v>1186</v>
      </c>
      <c r="AA4282" s="17" t="s">
        <v>1187</v>
      </c>
      <c r="AB4282" s="17">
        <v>4001380079</v>
      </c>
      <c r="AC4282" s="217">
        <v>45754</v>
      </c>
      <c r="AD4282" s="65">
        <v>1666</v>
      </c>
      <c r="AE4282" s="17" t="s">
        <v>1188</v>
      </c>
      <c r="AF4282" s="17" t="s">
        <v>1189</v>
      </c>
      <c r="AG4282" s="17" t="s">
        <v>1168</v>
      </c>
      <c r="AH4282" s="17"/>
      <c r="AI4282" s="17"/>
      <c r="AJ4282" s="17"/>
      <c r="AK4282" s="17"/>
      <c r="AL4282" s="17"/>
      <c r="AM4282" s="17"/>
      <c r="AN4282" s="17"/>
      <c r="AO4282" s="17"/>
      <c r="AP4282" s="17"/>
      <c r="AQ4282" s="17"/>
      <c r="AR4282" s="17"/>
    </row>
    <row r="4283" s="21" customFormat="1" hidden="1" spans="1:44">
      <c r="A4283" s="17" t="s">
        <v>34</v>
      </c>
      <c r="B4283" s="19">
        <v>942</v>
      </c>
      <c r="C4283" s="183">
        <v>45189</v>
      </c>
      <c r="D4283" s="17" t="s">
        <v>137</v>
      </c>
      <c r="E4283" s="17" t="s">
        <v>138</v>
      </c>
      <c r="F4283" s="17" t="s">
        <v>139</v>
      </c>
      <c r="G4283" s="17"/>
      <c r="H4283" s="19">
        <v>1.2738</v>
      </c>
      <c r="I4283" s="19"/>
      <c r="J4283" s="17" t="s">
        <v>49</v>
      </c>
      <c r="K4283" s="19">
        <v>2000</v>
      </c>
      <c r="L4283" s="91">
        <v>70</v>
      </c>
      <c r="M4283" s="19">
        <v>5500</v>
      </c>
      <c r="N4283" s="19" t="s">
        <v>66</v>
      </c>
      <c r="O4283" s="19" t="s">
        <v>141</v>
      </c>
      <c r="P4283" s="91">
        <v>12089</v>
      </c>
      <c r="Q4283" s="19">
        <v>6360</v>
      </c>
      <c r="R4283" s="254"/>
      <c r="S4283" s="19">
        <v>1520</v>
      </c>
      <c r="T4283" s="19" t="s">
        <v>94</v>
      </c>
      <c r="U4283" s="102">
        <v>60391</v>
      </c>
      <c r="V4283" s="101">
        <v>45191</v>
      </c>
      <c r="W4283" s="17" t="s">
        <v>44</v>
      </c>
      <c r="X4283" s="17"/>
      <c r="Y4283" s="68">
        <v>45253</v>
      </c>
      <c r="Z4283" s="17" t="s">
        <v>998</v>
      </c>
      <c r="AA4283" s="17" t="s">
        <v>46</v>
      </c>
      <c r="AB4283" s="17">
        <v>4001380078</v>
      </c>
      <c r="AC4283" s="217">
        <v>45747</v>
      </c>
      <c r="AD4283" s="65">
        <v>1593</v>
      </c>
      <c r="AE4283" s="17" t="s">
        <v>129</v>
      </c>
      <c r="AF4283" s="17"/>
      <c r="AG4283" s="17" t="s">
        <v>1168</v>
      </c>
      <c r="AH4283" s="17"/>
      <c r="AI4283" s="17"/>
      <c r="AJ4283" s="17"/>
      <c r="AK4283" s="17"/>
      <c r="AL4283" s="17"/>
      <c r="AM4283" s="17"/>
      <c r="AN4283" s="17"/>
      <c r="AO4283" s="17"/>
      <c r="AP4283" s="17"/>
      <c r="AQ4283" s="17"/>
      <c r="AR4283" s="17"/>
    </row>
    <row r="4284" s="21" customFormat="1" hidden="1" spans="1:44">
      <c r="A4284" s="17" t="s">
        <v>34</v>
      </c>
      <c r="B4284" s="19">
        <v>942</v>
      </c>
      <c r="C4284" s="183">
        <v>45189</v>
      </c>
      <c r="D4284" s="17" t="s">
        <v>137</v>
      </c>
      <c r="E4284" s="17" t="s">
        <v>138</v>
      </c>
      <c r="F4284" s="17" t="s">
        <v>139</v>
      </c>
      <c r="G4284" s="17"/>
      <c r="H4284" s="19">
        <v>1.2738</v>
      </c>
      <c r="I4284" s="19"/>
      <c r="J4284" s="17" t="s">
        <v>49</v>
      </c>
      <c r="K4284" s="19">
        <v>2000</v>
      </c>
      <c r="L4284" s="91">
        <v>70</v>
      </c>
      <c r="M4284" s="19">
        <v>5500</v>
      </c>
      <c r="N4284" s="19" t="s">
        <v>66</v>
      </c>
      <c r="O4284" s="19" t="s">
        <v>141</v>
      </c>
      <c r="P4284" s="91"/>
      <c r="Q4284" s="19">
        <v>6241</v>
      </c>
      <c r="R4284" s="19">
        <f>+P4283-Q4283-Q4284</f>
        <v>-512</v>
      </c>
      <c r="S4284" s="19">
        <v>1520</v>
      </c>
      <c r="T4284" s="19" t="s">
        <v>94</v>
      </c>
      <c r="U4284" s="102">
        <v>60391</v>
      </c>
      <c r="V4284" s="101">
        <v>45191</v>
      </c>
      <c r="W4284" s="17" t="s">
        <v>44</v>
      </c>
      <c r="X4284" s="17"/>
      <c r="Y4284" s="68">
        <v>45253</v>
      </c>
      <c r="Z4284" s="17" t="s">
        <v>1186</v>
      </c>
      <c r="AA4284" s="17" t="s">
        <v>1187</v>
      </c>
      <c r="AB4284" s="17">
        <v>4001380079</v>
      </c>
      <c r="AC4284" s="217">
        <v>45754</v>
      </c>
      <c r="AD4284" s="65">
        <v>1666</v>
      </c>
      <c r="AE4284" s="17" t="s">
        <v>1188</v>
      </c>
      <c r="AF4284" s="17" t="s">
        <v>1189</v>
      </c>
      <c r="AG4284" s="17" t="s">
        <v>1168</v>
      </c>
      <c r="AH4284" s="17"/>
      <c r="AI4284" s="17"/>
      <c r="AJ4284" s="17"/>
      <c r="AK4284" s="17"/>
      <c r="AL4284" s="17"/>
      <c r="AM4284" s="17"/>
      <c r="AN4284" s="17"/>
      <c r="AO4284" s="17"/>
      <c r="AP4284" s="17"/>
      <c r="AQ4284" s="17"/>
      <c r="AR4284" s="17"/>
    </row>
    <row r="4285" s="17" customFormat="1" hidden="1" spans="1:44">
      <c r="A4285" s="17" t="s">
        <v>34</v>
      </c>
      <c r="B4285" s="19">
        <v>943</v>
      </c>
      <c r="C4285" s="222" t="s">
        <v>1302</v>
      </c>
      <c r="D4285" s="17" t="s">
        <v>52</v>
      </c>
      <c r="E4285" s="17" t="s">
        <v>1113</v>
      </c>
      <c r="F4285" s="17" t="s">
        <v>54</v>
      </c>
      <c r="H4285" s="19">
        <v>1.2311</v>
      </c>
      <c r="I4285" s="19"/>
      <c r="J4285" s="17" t="s">
        <v>49</v>
      </c>
      <c r="K4285" s="17">
        <v>2200</v>
      </c>
      <c r="L4285" s="91">
        <v>40</v>
      </c>
      <c r="M4285" s="19">
        <v>5500</v>
      </c>
      <c r="N4285" s="19" t="s">
        <v>66</v>
      </c>
      <c r="O4285" s="19" t="s">
        <v>141</v>
      </c>
      <c r="P4285" s="91">
        <v>3799</v>
      </c>
      <c r="Q4285" s="19">
        <v>3960</v>
      </c>
      <c r="R4285" s="19">
        <f t="shared" ref="R4285:R4316" si="206">+P4285-Q4285</f>
        <v>-161</v>
      </c>
      <c r="S4285" s="19">
        <v>975</v>
      </c>
      <c r="T4285" s="19" t="s">
        <v>42</v>
      </c>
      <c r="U4285" s="102" t="s">
        <v>1303</v>
      </c>
      <c r="V4285" s="253" t="s">
        <v>1304</v>
      </c>
      <c r="W4285" s="17" t="s">
        <v>44</v>
      </c>
      <c r="Y4285" s="68">
        <v>45222</v>
      </c>
      <c r="Z4285" s="17" t="s">
        <v>191</v>
      </c>
      <c r="AA4285" s="17" t="s">
        <v>46</v>
      </c>
      <c r="AB4285" s="17" t="s">
        <v>1138</v>
      </c>
      <c r="AC4285" s="102" t="s">
        <v>1139</v>
      </c>
      <c r="AD4285" s="65">
        <v>1473</v>
      </c>
      <c r="AE4285" s="17" t="s">
        <v>48</v>
      </c>
    </row>
    <row r="4286" s="17" customFormat="1" hidden="1" spans="1:44">
      <c r="A4286" s="17" t="s">
        <v>34</v>
      </c>
      <c r="B4286" s="19">
        <v>943</v>
      </c>
      <c r="C4286" s="222" t="s">
        <v>1302</v>
      </c>
      <c r="D4286" s="17" t="s">
        <v>52</v>
      </c>
      <c r="E4286" s="17" t="s">
        <v>1113</v>
      </c>
      <c r="F4286" s="17" t="s">
        <v>54</v>
      </c>
      <c r="H4286" s="19">
        <v>1.2311</v>
      </c>
      <c r="I4286" s="19"/>
      <c r="J4286" s="17" t="s">
        <v>49</v>
      </c>
      <c r="K4286" s="17">
        <v>2200</v>
      </c>
      <c r="L4286" s="91">
        <v>45</v>
      </c>
      <c r="M4286" s="19">
        <v>5500</v>
      </c>
      <c r="N4286" s="19" t="s">
        <v>66</v>
      </c>
      <c r="O4286" s="19" t="s">
        <v>141</v>
      </c>
      <c r="P4286" s="91">
        <v>4274</v>
      </c>
      <c r="Q4286" s="19">
        <v>4545</v>
      </c>
      <c r="R4286" s="19">
        <f t="shared" si="206"/>
        <v>-271</v>
      </c>
      <c r="S4286" s="19">
        <v>975</v>
      </c>
      <c r="T4286" s="19" t="s">
        <v>42</v>
      </c>
      <c r="U4286" s="102" t="s">
        <v>1303</v>
      </c>
      <c r="V4286" s="253" t="s">
        <v>1304</v>
      </c>
      <c r="W4286" s="17" t="s">
        <v>44</v>
      </c>
      <c r="Y4286" s="68">
        <v>45222</v>
      </c>
      <c r="Z4286" s="17" t="s">
        <v>191</v>
      </c>
      <c r="AA4286" s="17" t="s">
        <v>46</v>
      </c>
      <c r="AB4286" s="17" t="s">
        <v>1138</v>
      </c>
      <c r="AC4286" s="102" t="s">
        <v>1139</v>
      </c>
      <c r="AD4286" s="65">
        <v>1473</v>
      </c>
      <c r="AE4286" s="17" t="s">
        <v>48</v>
      </c>
    </row>
    <row r="4287" s="17" customFormat="1" hidden="1" spans="1:44">
      <c r="A4287" s="17" t="s">
        <v>34</v>
      </c>
      <c r="B4287" s="19">
        <v>943</v>
      </c>
      <c r="C4287" s="222" t="s">
        <v>1302</v>
      </c>
      <c r="D4287" s="17" t="s">
        <v>52</v>
      </c>
      <c r="E4287" s="17" t="s">
        <v>1113</v>
      </c>
      <c r="F4287" s="17" t="s">
        <v>54</v>
      </c>
      <c r="H4287" s="19">
        <v>1.2311</v>
      </c>
      <c r="I4287" s="19"/>
      <c r="J4287" s="17" t="s">
        <v>49</v>
      </c>
      <c r="K4287" s="17">
        <v>2200</v>
      </c>
      <c r="L4287" s="91">
        <v>56</v>
      </c>
      <c r="M4287" s="19">
        <v>5500</v>
      </c>
      <c r="N4287" s="19" t="s">
        <v>66</v>
      </c>
      <c r="O4287" s="19" t="s">
        <v>141</v>
      </c>
      <c r="P4287" s="91">
        <v>5319</v>
      </c>
      <c r="Q4287" s="19">
        <v>5820</v>
      </c>
      <c r="R4287" s="19">
        <f t="shared" si="206"/>
        <v>-501</v>
      </c>
      <c r="S4287" s="19">
        <v>975</v>
      </c>
      <c r="T4287" s="19" t="s">
        <v>42</v>
      </c>
      <c r="U4287" s="102" t="s">
        <v>1303</v>
      </c>
      <c r="V4287" s="253" t="s">
        <v>1304</v>
      </c>
      <c r="W4287" s="17" t="s">
        <v>44</v>
      </c>
      <c r="Y4287" s="68">
        <v>45222</v>
      </c>
      <c r="Z4287" s="17" t="s">
        <v>191</v>
      </c>
      <c r="AA4287" s="17" t="s">
        <v>46</v>
      </c>
      <c r="AB4287" s="17" t="s">
        <v>1138</v>
      </c>
      <c r="AC4287" s="102" t="s">
        <v>1139</v>
      </c>
      <c r="AD4287" s="65">
        <v>1473</v>
      </c>
      <c r="AE4287" s="17" t="s">
        <v>48</v>
      </c>
    </row>
    <row r="4288" s="17" customFormat="1" hidden="1" spans="1:44">
      <c r="A4288" s="17" t="s">
        <v>34</v>
      </c>
      <c r="B4288" s="19">
        <v>943</v>
      </c>
      <c r="C4288" s="222" t="s">
        <v>1302</v>
      </c>
      <c r="D4288" s="17" t="s">
        <v>52</v>
      </c>
      <c r="E4288" s="17" t="s">
        <v>1113</v>
      </c>
      <c r="F4288" s="17" t="s">
        <v>54</v>
      </c>
      <c r="H4288" s="19">
        <v>1.2311</v>
      </c>
      <c r="I4288" s="19"/>
      <c r="J4288" s="17" t="s">
        <v>49</v>
      </c>
      <c r="K4288" s="17">
        <v>2200</v>
      </c>
      <c r="L4288" s="91">
        <v>65</v>
      </c>
      <c r="M4288" s="19">
        <v>5500</v>
      </c>
      <c r="N4288" s="19" t="s">
        <v>66</v>
      </c>
      <c r="O4288" s="19" t="s">
        <v>141</v>
      </c>
      <c r="P4288" s="91">
        <v>6174</v>
      </c>
      <c r="Q4288" s="19">
        <v>6430</v>
      </c>
      <c r="R4288" s="19">
        <f t="shared" si="206"/>
        <v>-256</v>
      </c>
      <c r="S4288" s="19">
        <v>975</v>
      </c>
      <c r="T4288" s="19" t="s">
        <v>42</v>
      </c>
      <c r="U4288" s="102" t="s">
        <v>1303</v>
      </c>
      <c r="V4288" s="253" t="s">
        <v>1304</v>
      </c>
      <c r="W4288" s="17" t="s">
        <v>44</v>
      </c>
      <c r="Y4288" s="68">
        <v>45222</v>
      </c>
      <c r="Z4288" s="17" t="s">
        <v>191</v>
      </c>
      <c r="AA4288" s="17" t="s">
        <v>46</v>
      </c>
      <c r="AB4288" s="17" t="s">
        <v>1138</v>
      </c>
      <c r="AC4288" s="102" t="s">
        <v>1139</v>
      </c>
      <c r="AD4288" s="65">
        <v>1473</v>
      </c>
      <c r="AE4288" s="17" t="s">
        <v>48</v>
      </c>
    </row>
    <row r="4289" s="17" customFormat="1" hidden="1" spans="1:31">
      <c r="A4289" s="17" t="s">
        <v>34</v>
      </c>
      <c r="B4289" s="19">
        <v>943</v>
      </c>
      <c r="C4289" s="222" t="s">
        <v>1302</v>
      </c>
      <c r="D4289" s="17" t="s">
        <v>52</v>
      </c>
      <c r="E4289" s="17" t="s">
        <v>1113</v>
      </c>
      <c r="F4289" s="17" t="s">
        <v>54</v>
      </c>
      <c r="H4289" s="19">
        <v>1.2311</v>
      </c>
      <c r="I4289" s="19"/>
      <c r="J4289" s="17" t="s">
        <v>49</v>
      </c>
      <c r="K4289" s="17">
        <v>2200</v>
      </c>
      <c r="L4289" s="91">
        <v>71</v>
      </c>
      <c r="M4289" s="19">
        <v>5500</v>
      </c>
      <c r="N4289" s="19" t="s">
        <v>66</v>
      </c>
      <c r="O4289" s="19" t="s">
        <v>141</v>
      </c>
      <c r="P4289" s="91">
        <v>6744</v>
      </c>
      <c r="Q4289" s="19">
        <v>6495</v>
      </c>
      <c r="R4289" s="19">
        <f t="shared" si="206"/>
        <v>249</v>
      </c>
      <c r="S4289" s="19">
        <v>975</v>
      </c>
      <c r="T4289" s="19" t="s">
        <v>42</v>
      </c>
      <c r="U4289" s="102" t="s">
        <v>1303</v>
      </c>
      <c r="V4289" s="253" t="s">
        <v>1304</v>
      </c>
      <c r="W4289" s="17" t="s">
        <v>44</v>
      </c>
      <c r="Y4289" s="68">
        <v>45222</v>
      </c>
      <c r="Z4289" s="17" t="s">
        <v>191</v>
      </c>
      <c r="AA4289" s="17" t="s">
        <v>46</v>
      </c>
      <c r="AB4289" s="17" t="s">
        <v>1138</v>
      </c>
      <c r="AC4289" s="102" t="s">
        <v>1139</v>
      </c>
      <c r="AD4289" s="65">
        <v>1473</v>
      </c>
      <c r="AE4289" s="17" t="s">
        <v>48</v>
      </c>
    </row>
    <row r="4290" s="17" customFormat="1" hidden="1" spans="1:31">
      <c r="A4290" s="17" t="s">
        <v>34</v>
      </c>
      <c r="B4290" s="19">
        <v>943</v>
      </c>
      <c r="C4290" s="222" t="s">
        <v>1302</v>
      </c>
      <c r="D4290" s="17" t="s">
        <v>52</v>
      </c>
      <c r="E4290" s="17" t="s">
        <v>1113</v>
      </c>
      <c r="F4290" s="17" t="s">
        <v>54</v>
      </c>
      <c r="H4290" s="19">
        <v>1.2311</v>
      </c>
      <c r="I4290" s="19"/>
      <c r="J4290" s="17" t="s">
        <v>49</v>
      </c>
      <c r="K4290" s="17">
        <v>2200</v>
      </c>
      <c r="L4290" s="91">
        <v>80</v>
      </c>
      <c r="M4290" s="19">
        <v>5500</v>
      </c>
      <c r="N4290" s="19" t="s">
        <v>66</v>
      </c>
      <c r="O4290" s="19" t="s">
        <v>141</v>
      </c>
      <c r="P4290" s="91">
        <v>7599</v>
      </c>
      <c r="Q4290" s="19">
        <v>7750</v>
      </c>
      <c r="R4290" s="19">
        <f t="shared" si="206"/>
        <v>-151</v>
      </c>
      <c r="S4290" s="19">
        <v>975</v>
      </c>
      <c r="T4290" s="19" t="s">
        <v>42</v>
      </c>
      <c r="U4290" s="102" t="s">
        <v>1303</v>
      </c>
      <c r="V4290" s="253" t="s">
        <v>1304</v>
      </c>
      <c r="W4290" s="17" t="s">
        <v>44</v>
      </c>
      <c r="Y4290" s="68">
        <v>45222</v>
      </c>
      <c r="Z4290" s="17" t="s">
        <v>191</v>
      </c>
      <c r="AA4290" s="17" t="s">
        <v>46</v>
      </c>
      <c r="AB4290" s="17" t="s">
        <v>1138</v>
      </c>
      <c r="AC4290" s="102" t="s">
        <v>1139</v>
      </c>
      <c r="AD4290" s="65">
        <v>1473</v>
      </c>
      <c r="AE4290" s="17" t="s">
        <v>48</v>
      </c>
    </row>
    <row r="4291" s="17" customFormat="1" hidden="1" spans="1:31">
      <c r="A4291" s="17" t="s">
        <v>34</v>
      </c>
      <c r="B4291" s="19">
        <v>943</v>
      </c>
      <c r="C4291" s="222" t="s">
        <v>1302</v>
      </c>
      <c r="D4291" s="17" t="s">
        <v>52</v>
      </c>
      <c r="E4291" s="17" t="s">
        <v>1113</v>
      </c>
      <c r="F4291" s="17" t="s">
        <v>54</v>
      </c>
      <c r="H4291" s="19">
        <v>1.2311</v>
      </c>
      <c r="I4291" s="19"/>
      <c r="J4291" s="17" t="s">
        <v>49</v>
      </c>
      <c r="K4291" s="17">
        <v>2200</v>
      </c>
      <c r="L4291" s="91">
        <v>90</v>
      </c>
      <c r="M4291" s="19">
        <v>5500</v>
      </c>
      <c r="N4291" s="19" t="s">
        <v>66</v>
      </c>
      <c r="O4291" s="19" t="s">
        <v>141</v>
      </c>
      <c r="P4291" s="91">
        <v>8549</v>
      </c>
      <c r="Q4291" s="19">
        <v>8820</v>
      </c>
      <c r="R4291" s="19">
        <f t="shared" si="206"/>
        <v>-271</v>
      </c>
      <c r="S4291" s="19">
        <v>975</v>
      </c>
      <c r="T4291" s="19" t="s">
        <v>42</v>
      </c>
      <c r="U4291" s="102" t="s">
        <v>1303</v>
      </c>
      <c r="V4291" s="253" t="s">
        <v>1304</v>
      </c>
      <c r="W4291" s="17" t="s">
        <v>44</v>
      </c>
      <c r="Y4291" s="68">
        <v>45222</v>
      </c>
      <c r="Z4291" s="17" t="s">
        <v>191</v>
      </c>
      <c r="AA4291" s="17" t="s">
        <v>46</v>
      </c>
      <c r="AB4291" s="17" t="s">
        <v>1138</v>
      </c>
      <c r="AC4291" s="102" t="s">
        <v>1139</v>
      </c>
      <c r="AD4291" s="65">
        <v>1473</v>
      </c>
      <c r="AE4291" s="17" t="s">
        <v>48</v>
      </c>
    </row>
    <row r="4292" s="17" customFormat="1" hidden="1" spans="1:31">
      <c r="A4292" s="17" t="s">
        <v>34</v>
      </c>
      <c r="B4292" s="19">
        <v>946</v>
      </c>
      <c r="C4292" s="222" t="s">
        <v>1141</v>
      </c>
      <c r="D4292" s="17" t="s">
        <v>52</v>
      </c>
      <c r="E4292" s="17" t="s">
        <v>1113</v>
      </c>
      <c r="F4292" s="17" t="s">
        <v>54</v>
      </c>
      <c r="H4292" s="19">
        <v>1.2311</v>
      </c>
      <c r="I4292" s="19"/>
      <c r="J4292" s="17" t="s">
        <v>49</v>
      </c>
      <c r="K4292" s="17">
        <v>2200</v>
      </c>
      <c r="L4292" s="91">
        <v>32</v>
      </c>
      <c r="M4292" s="19">
        <v>5800</v>
      </c>
      <c r="N4292" s="19" t="s">
        <v>66</v>
      </c>
      <c r="O4292" s="19" t="s">
        <v>141</v>
      </c>
      <c r="P4292" s="91">
        <v>3040</v>
      </c>
      <c r="Q4292" s="19">
        <v>3144</v>
      </c>
      <c r="R4292" s="19">
        <f t="shared" si="206"/>
        <v>-104</v>
      </c>
      <c r="S4292" s="19">
        <v>930</v>
      </c>
      <c r="T4292" s="19" t="s">
        <v>42</v>
      </c>
      <c r="U4292" s="102" t="s">
        <v>1305</v>
      </c>
      <c r="V4292" s="253" t="s">
        <v>1141</v>
      </c>
      <c r="W4292" s="17" t="s">
        <v>44</v>
      </c>
      <c r="Y4292" s="68">
        <v>45253</v>
      </c>
      <c r="Z4292" s="17" t="s">
        <v>191</v>
      </c>
      <c r="AA4292" s="17" t="s">
        <v>46</v>
      </c>
      <c r="AB4292" s="17" t="s">
        <v>1136</v>
      </c>
      <c r="AC4292" s="217">
        <v>44937</v>
      </c>
      <c r="AD4292" s="65">
        <v>1476</v>
      </c>
      <c r="AE4292" s="17" t="s">
        <v>48</v>
      </c>
    </row>
    <row r="4293" s="17" customFormat="1" hidden="1" spans="1:31">
      <c r="A4293" s="17" t="s">
        <v>34</v>
      </c>
      <c r="B4293" s="19">
        <v>946</v>
      </c>
      <c r="C4293" s="222" t="s">
        <v>1141</v>
      </c>
      <c r="D4293" s="17" t="s">
        <v>52</v>
      </c>
      <c r="E4293" s="17" t="s">
        <v>1113</v>
      </c>
      <c r="F4293" s="17" t="s">
        <v>54</v>
      </c>
      <c r="H4293" s="19">
        <v>1.2311</v>
      </c>
      <c r="I4293" s="19"/>
      <c r="J4293" s="17" t="s">
        <v>49</v>
      </c>
      <c r="K4293" s="17">
        <v>2200</v>
      </c>
      <c r="L4293" s="91">
        <v>36</v>
      </c>
      <c r="M4293" s="19">
        <v>5800</v>
      </c>
      <c r="N4293" s="19" t="s">
        <v>66</v>
      </c>
      <c r="O4293" s="19" t="s">
        <v>141</v>
      </c>
      <c r="P4293" s="91">
        <v>3419</v>
      </c>
      <c r="Q4293" s="19">
        <v>3940</v>
      </c>
      <c r="R4293" s="19">
        <f t="shared" si="206"/>
        <v>-521</v>
      </c>
      <c r="S4293" s="19">
        <v>930</v>
      </c>
      <c r="T4293" s="19" t="s">
        <v>42</v>
      </c>
      <c r="U4293" s="102" t="s">
        <v>1305</v>
      </c>
      <c r="V4293" s="253" t="s">
        <v>1141</v>
      </c>
      <c r="W4293" s="17" t="s">
        <v>44</v>
      </c>
      <c r="Y4293" s="68">
        <v>45253</v>
      </c>
      <c r="Z4293" s="17" t="s">
        <v>191</v>
      </c>
      <c r="AA4293" s="17" t="s">
        <v>46</v>
      </c>
      <c r="AB4293" s="17" t="s">
        <v>1136</v>
      </c>
      <c r="AC4293" s="217">
        <v>44937</v>
      </c>
      <c r="AD4293" s="65">
        <v>1476</v>
      </c>
      <c r="AE4293" s="17" t="s">
        <v>48</v>
      </c>
    </row>
    <row r="4294" s="17" customFormat="1" hidden="1" spans="1:31">
      <c r="A4294" s="17" t="s">
        <v>34</v>
      </c>
      <c r="B4294" s="19">
        <v>946</v>
      </c>
      <c r="C4294" s="222" t="s">
        <v>1141</v>
      </c>
      <c r="D4294" s="17" t="s">
        <v>52</v>
      </c>
      <c r="E4294" s="17" t="s">
        <v>1113</v>
      </c>
      <c r="F4294" s="17" t="s">
        <v>54</v>
      </c>
      <c r="H4294" s="19">
        <v>1.2311</v>
      </c>
      <c r="I4294" s="19"/>
      <c r="J4294" s="17" t="s">
        <v>49</v>
      </c>
      <c r="K4294" s="17">
        <v>2200</v>
      </c>
      <c r="L4294" s="91">
        <v>40</v>
      </c>
      <c r="M4294" s="19">
        <v>5800</v>
      </c>
      <c r="N4294" s="19" t="s">
        <v>66</v>
      </c>
      <c r="O4294" s="19" t="s">
        <v>141</v>
      </c>
      <c r="P4294" s="91">
        <v>7599</v>
      </c>
      <c r="Q4294" s="19">
        <f>3820+3800</f>
        <v>7620</v>
      </c>
      <c r="R4294" s="19">
        <f t="shared" si="206"/>
        <v>-21</v>
      </c>
      <c r="S4294" s="19">
        <v>930</v>
      </c>
      <c r="T4294" s="19" t="s">
        <v>42</v>
      </c>
      <c r="U4294" s="102" t="s">
        <v>1305</v>
      </c>
      <c r="V4294" s="253" t="s">
        <v>1141</v>
      </c>
      <c r="W4294" s="17" t="s">
        <v>44</v>
      </c>
      <c r="Y4294" s="68">
        <v>45253</v>
      </c>
      <c r="Z4294" s="17" t="s">
        <v>191</v>
      </c>
      <c r="AA4294" s="17" t="s">
        <v>46</v>
      </c>
      <c r="AB4294" s="17" t="s">
        <v>1136</v>
      </c>
      <c r="AC4294" s="217">
        <v>44937</v>
      </c>
      <c r="AD4294" s="65">
        <v>1476</v>
      </c>
      <c r="AE4294" s="17" t="s">
        <v>48</v>
      </c>
    </row>
    <row r="4295" s="17" customFormat="1" hidden="1" spans="1:31">
      <c r="A4295" s="17" t="s">
        <v>34</v>
      </c>
      <c r="B4295" s="19">
        <v>946</v>
      </c>
      <c r="C4295" s="222" t="s">
        <v>1141</v>
      </c>
      <c r="D4295" s="17" t="s">
        <v>52</v>
      </c>
      <c r="E4295" s="17" t="s">
        <v>1113</v>
      </c>
      <c r="F4295" s="17" t="s">
        <v>54</v>
      </c>
      <c r="H4295" s="19">
        <v>1.2311</v>
      </c>
      <c r="I4295" s="19"/>
      <c r="J4295" s="17" t="s">
        <v>49</v>
      </c>
      <c r="K4295" s="17">
        <v>2200</v>
      </c>
      <c r="L4295" s="91">
        <v>50</v>
      </c>
      <c r="M4295" s="19">
        <v>5800</v>
      </c>
      <c r="N4295" s="19" t="s">
        <v>66</v>
      </c>
      <c r="O4295" s="19" t="s">
        <v>141</v>
      </c>
      <c r="P4295" s="91">
        <v>9499</v>
      </c>
      <c r="Q4295" s="19">
        <f>3159+3149</f>
        <v>6308</v>
      </c>
      <c r="R4295" s="19">
        <f t="shared" si="206"/>
        <v>3191</v>
      </c>
      <c r="S4295" s="19">
        <v>930</v>
      </c>
      <c r="T4295" s="19" t="s">
        <v>42</v>
      </c>
      <c r="U4295" s="102" t="s">
        <v>1305</v>
      </c>
      <c r="V4295" s="253" t="s">
        <v>1141</v>
      </c>
      <c r="W4295" s="17" t="s">
        <v>44</v>
      </c>
      <c r="Y4295" s="68">
        <v>45253</v>
      </c>
      <c r="Z4295" s="17" t="s">
        <v>191</v>
      </c>
      <c r="AA4295" s="17" t="s">
        <v>46</v>
      </c>
      <c r="AB4295" s="17" t="s">
        <v>1136</v>
      </c>
      <c r="AC4295" s="217">
        <v>44937</v>
      </c>
      <c r="AD4295" s="65">
        <v>1476</v>
      </c>
      <c r="AE4295" s="17" t="s">
        <v>48</v>
      </c>
    </row>
    <row r="4296" s="17" customFormat="1" hidden="1" spans="1:31">
      <c r="A4296" s="17" t="s">
        <v>34</v>
      </c>
      <c r="B4296" s="19">
        <v>946</v>
      </c>
      <c r="C4296" s="222" t="s">
        <v>1141</v>
      </c>
      <c r="D4296" s="17" t="s">
        <v>52</v>
      </c>
      <c r="E4296" s="17" t="s">
        <v>1113</v>
      </c>
      <c r="F4296" s="17" t="s">
        <v>54</v>
      </c>
      <c r="H4296" s="19">
        <v>1.2311</v>
      </c>
      <c r="I4296" s="19"/>
      <c r="J4296" s="17" t="s">
        <v>49</v>
      </c>
      <c r="K4296" s="17">
        <v>2200</v>
      </c>
      <c r="L4296" s="91">
        <v>105</v>
      </c>
      <c r="M4296" s="19">
        <v>4500</v>
      </c>
      <c r="N4296" s="19" t="s">
        <v>66</v>
      </c>
      <c r="O4296" s="19" t="s">
        <v>141</v>
      </c>
      <c r="P4296" s="91">
        <v>14507</v>
      </c>
      <c r="Q4296" s="19">
        <v>14755</v>
      </c>
      <c r="R4296" s="19">
        <f t="shared" si="206"/>
        <v>-248</v>
      </c>
      <c r="S4296" s="19">
        <v>930</v>
      </c>
      <c r="T4296" s="19" t="s">
        <v>42</v>
      </c>
      <c r="U4296" s="102" t="s">
        <v>1305</v>
      </c>
      <c r="V4296" s="253" t="s">
        <v>1141</v>
      </c>
      <c r="W4296" s="17" t="s">
        <v>44</v>
      </c>
      <c r="Y4296" s="68">
        <v>45253</v>
      </c>
      <c r="Z4296" s="17" t="s">
        <v>191</v>
      </c>
      <c r="AA4296" s="17" t="s">
        <v>46</v>
      </c>
      <c r="AB4296" s="17" t="s">
        <v>1136</v>
      </c>
      <c r="AC4296" s="217">
        <v>44937</v>
      </c>
      <c r="AD4296" s="65">
        <v>1476</v>
      </c>
      <c r="AE4296" s="17" t="s">
        <v>48</v>
      </c>
    </row>
    <row r="4297" s="17" customFormat="1" hidden="1" spans="1:31">
      <c r="A4297" s="17" t="s">
        <v>34</v>
      </c>
      <c r="B4297" s="19">
        <v>947</v>
      </c>
      <c r="C4297" s="222" t="s">
        <v>1306</v>
      </c>
      <c r="D4297" s="17" t="s">
        <v>52</v>
      </c>
      <c r="E4297" s="17" t="s">
        <v>1113</v>
      </c>
      <c r="F4297" s="17" t="s">
        <v>54</v>
      </c>
      <c r="H4297" s="19">
        <v>1.2738</v>
      </c>
      <c r="I4297" s="19"/>
      <c r="J4297" s="17" t="s">
        <v>49</v>
      </c>
      <c r="K4297" s="17">
        <v>2200</v>
      </c>
      <c r="L4297" s="91">
        <v>32</v>
      </c>
      <c r="M4297" s="19">
        <v>5000</v>
      </c>
      <c r="N4297" s="19" t="s">
        <v>66</v>
      </c>
      <c r="O4297" s="19" t="s">
        <v>141</v>
      </c>
      <c r="P4297" s="91">
        <v>2763</v>
      </c>
      <c r="Q4297" s="19">
        <v>2773</v>
      </c>
      <c r="R4297" s="19">
        <f t="shared" si="206"/>
        <v>-10</v>
      </c>
      <c r="S4297" s="19">
        <f>1220+40</f>
        <v>1260</v>
      </c>
      <c r="T4297" s="19" t="s">
        <v>42</v>
      </c>
      <c r="U4297" s="102" t="s">
        <v>1307</v>
      </c>
      <c r="V4297" s="253" t="s">
        <v>1102</v>
      </c>
      <c r="W4297" s="17" t="s">
        <v>69</v>
      </c>
      <c r="Y4297" s="68">
        <v>45253</v>
      </c>
      <c r="Z4297" s="17" t="s">
        <v>191</v>
      </c>
      <c r="AA4297" s="17" t="s">
        <v>46</v>
      </c>
      <c r="AB4297" s="17" t="s">
        <v>1228</v>
      </c>
      <c r="AC4297" s="102" t="s">
        <v>1217</v>
      </c>
      <c r="AD4297" s="65">
        <v>1475</v>
      </c>
      <c r="AE4297" s="17" t="s">
        <v>48</v>
      </c>
    </row>
    <row r="4298" s="17" customFormat="1" hidden="1" spans="1:31">
      <c r="A4298" s="17" t="s">
        <v>34</v>
      </c>
      <c r="B4298" s="19">
        <v>947</v>
      </c>
      <c r="C4298" s="222" t="s">
        <v>1306</v>
      </c>
      <c r="D4298" s="17" t="s">
        <v>52</v>
      </c>
      <c r="E4298" s="17" t="s">
        <v>1113</v>
      </c>
      <c r="F4298" s="17" t="s">
        <v>54</v>
      </c>
      <c r="H4298" s="19">
        <v>1.2738</v>
      </c>
      <c r="I4298" s="19"/>
      <c r="J4298" s="17" t="s">
        <v>49</v>
      </c>
      <c r="K4298" s="17">
        <v>2200</v>
      </c>
      <c r="L4298" s="91">
        <v>45</v>
      </c>
      <c r="M4298" s="19">
        <v>5000</v>
      </c>
      <c r="N4298" s="19" t="s">
        <v>66</v>
      </c>
      <c r="O4298" s="19" t="s">
        <v>141</v>
      </c>
      <c r="P4298" s="91">
        <v>3886</v>
      </c>
      <c r="Q4298" s="19">
        <v>3158</v>
      </c>
      <c r="R4298" s="19">
        <f t="shared" si="206"/>
        <v>728</v>
      </c>
      <c r="S4298" s="19">
        <v>1220</v>
      </c>
      <c r="T4298" s="19" t="s">
        <v>42</v>
      </c>
      <c r="U4298" s="102" t="s">
        <v>1307</v>
      </c>
      <c r="V4298" s="253" t="s">
        <v>1102</v>
      </c>
      <c r="W4298" s="17" t="s">
        <v>44</v>
      </c>
      <c r="Y4298" s="68">
        <v>45253</v>
      </c>
      <c r="Z4298" s="17" t="s">
        <v>191</v>
      </c>
      <c r="AA4298" s="17" t="s">
        <v>46</v>
      </c>
      <c r="AB4298" s="17" t="s">
        <v>1229</v>
      </c>
      <c r="AC4298" s="217">
        <v>45118</v>
      </c>
      <c r="AD4298" s="65">
        <v>1478</v>
      </c>
      <c r="AE4298" s="17" t="s">
        <v>48</v>
      </c>
    </row>
    <row r="4299" s="17" customFormat="1" hidden="1" spans="1:31">
      <c r="A4299" s="17" t="s">
        <v>34</v>
      </c>
      <c r="B4299" s="19">
        <v>947</v>
      </c>
      <c r="C4299" s="222" t="s">
        <v>1306</v>
      </c>
      <c r="D4299" s="17" t="s">
        <v>52</v>
      </c>
      <c r="E4299" s="17" t="s">
        <v>1113</v>
      </c>
      <c r="F4299" s="17" t="s">
        <v>54</v>
      </c>
      <c r="H4299" s="19">
        <v>1.2738</v>
      </c>
      <c r="I4299" s="19"/>
      <c r="J4299" s="17" t="s">
        <v>49</v>
      </c>
      <c r="K4299" s="17">
        <v>2200</v>
      </c>
      <c r="L4299" s="91">
        <v>50</v>
      </c>
      <c r="M4299" s="19">
        <v>5000</v>
      </c>
      <c r="N4299" s="19" t="s">
        <v>66</v>
      </c>
      <c r="O4299" s="19" t="s">
        <v>141</v>
      </c>
      <c r="P4299" s="91">
        <v>4318</v>
      </c>
      <c r="Q4299" s="19">
        <v>4540</v>
      </c>
      <c r="R4299" s="19">
        <f t="shared" si="206"/>
        <v>-222</v>
      </c>
      <c r="S4299" s="19">
        <f t="shared" ref="S4299:S4304" si="207">1220+40</f>
        <v>1260</v>
      </c>
      <c r="T4299" s="19" t="s">
        <v>42</v>
      </c>
      <c r="U4299" s="102" t="s">
        <v>1307</v>
      </c>
      <c r="V4299" s="253" t="s">
        <v>1102</v>
      </c>
      <c r="W4299" s="17" t="s">
        <v>69</v>
      </c>
      <c r="Y4299" s="68">
        <v>45253</v>
      </c>
      <c r="Z4299" s="17" t="s">
        <v>191</v>
      </c>
      <c r="AA4299" s="17" t="s">
        <v>46</v>
      </c>
      <c r="AB4299" s="17" t="s">
        <v>1228</v>
      </c>
      <c r="AC4299" s="102" t="s">
        <v>1217</v>
      </c>
      <c r="AD4299" s="65">
        <v>1475</v>
      </c>
      <c r="AE4299" s="17" t="s">
        <v>48</v>
      </c>
    </row>
    <row r="4300" s="17" customFormat="1" hidden="1" spans="1:31">
      <c r="A4300" s="17" t="s">
        <v>34</v>
      </c>
      <c r="B4300" s="19">
        <v>947</v>
      </c>
      <c r="C4300" s="222" t="s">
        <v>1306</v>
      </c>
      <c r="D4300" s="17" t="s">
        <v>52</v>
      </c>
      <c r="E4300" s="17" t="s">
        <v>1113</v>
      </c>
      <c r="F4300" s="17" t="s">
        <v>54</v>
      </c>
      <c r="H4300" s="19">
        <v>1.2738</v>
      </c>
      <c r="I4300" s="19"/>
      <c r="J4300" s="17" t="s">
        <v>49</v>
      </c>
      <c r="K4300" s="17">
        <v>2200</v>
      </c>
      <c r="L4300" s="91">
        <v>56</v>
      </c>
      <c r="M4300" s="19">
        <v>5000</v>
      </c>
      <c r="N4300" s="19" t="s">
        <v>66</v>
      </c>
      <c r="O4300" s="19" t="s">
        <v>141</v>
      </c>
      <c r="P4300" s="91">
        <v>4836</v>
      </c>
      <c r="Q4300" s="19">
        <v>4146</v>
      </c>
      <c r="R4300" s="19">
        <f t="shared" si="206"/>
        <v>690</v>
      </c>
      <c r="S4300" s="19">
        <f t="shared" si="207"/>
        <v>1260</v>
      </c>
      <c r="T4300" s="19" t="s">
        <v>42</v>
      </c>
      <c r="U4300" s="102" t="s">
        <v>1307</v>
      </c>
      <c r="V4300" s="253" t="s">
        <v>1102</v>
      </c>
      <c r="W4300" s="17" t="s">
        <v>69</v>
      </c>
      <c r="Y4300" s="68">
        <v>45253</v>
      </c>
      <c r="Z4300" s="17" t="s">
        <v>191</v>
      </c>
      <c r="AA4300" s="17" t="s">
        <v>46</v>
      </c>
      <c r="AB4300" s="17" t="s">
        <v>1228</v>
      </c>
      <c r="AC4300" s="102" t="s">
        <v>1217</v>
      </c>
      <c r="AD4300" s="65">
        <v>1475</v>
      </c>
      <c r="AE4300" s="17" t="s">
        <v>48</v>
      </c>
    </row>
    <row r="4301" s="17" customFormat="1" hidden="1" spans="1:31">
      <c r="A4301" s="17" t="s">
        <v>34</v>
      </c>
      <c r="B4301" s="19">
        <v>947</v>
      </c>
      <c r="C4301" s="222" t="s">
        <v>1306</v>
      </c>
      <c r="D4301" s="17" t="s">
        <v>52</v>
      </c>
      <c r="E4301" s="17" t="s">
        <v>1113</v>
      </c>
      <c r="F4301" s="17" t="s">
        <v>54</v>
      </c>
      <c r="H4301" s="19">
        <v>1.2738</v>
      </c>
      <c r="I4301" s="19"/>
      <c r="J4301" s="17" t="s">
        <v>49</v>
      </c>
      <c r="K4301" s="17">
        <v>2200</v>
      </c>
      <c r="L4301" s="91">
        <v>60</v>
      </c>
      <c r="M4301" s="19">
        <v>5000</v>
      </c>
      <c r="N4301" s="19" t="s">
        <v>66</v>
      </c>
      <c r="O4301" s="19" t="s">
        <v>141</v>
      </c>
      <c r="P4301" s="91">
        <v>5181</v>
      </c>
      <c r="Q4301" s="19">
        <v>4990</v>
      </c>
      <c r="R4301" s="19">
        <f t="shared" si="206"/>
        <v>191</v>
      </c>
      <c r="S4301" s="19">
        <f t="shared" si="207"/>
        <v>1260</v>
      </c>
      <c r="T4301" s="19" t="s">
        <v>42</v>
      </c>
      <c r="U4301" s="102" t="s">
        <v>1307</v>
      </c>
      <c r="V4301" s="253" t="s">
        <v>1102</v>
      </c>
      <c r="W4301" s="17" t="s">
        <v>69</v>
      </c>
      <c r="Y4301" s="68">
        <v>45253</v>
      </c>
      <c r="Z4301" s="17" t="s">
        <v>191</v>
      </c>
      <c r="AA4301" s="17" t="s">
        <v>46</v>
      </c>
      <c r="AB4301" s="17" t="s">
        <v>1228</v>
      </c>
      <c r="AC4301" s="102" t="s">
        <v>1217</v>
      </c>
      <c r="AD4301" s="65">
        <v>1475</v>
      </c>
      <c r="AE4301" s="17" t="s">
        <v>48</v>
      </c>
    </row>
    <row r="4302" s="17" customFormat="1" hidden="1" spans="1:31">
      <c r="A4302" s="17" t="s">
        <v>34</v>
      </c>
      <c r="B4302" s="19">
        <v>947</v>
      </c>
      <c r="C4302" s="222" t="s">
        <v>1306</v>
      </c>
      <c r="D4302" s="17" t="s">
        <v>52</v>
      </c>
      <c r="E4302" s="17" t="s">
        <v>1113</v>
      </c>
      <c r="F4302" s="17" t="s">
        <v>54</v>
      </c>
      <c r="H4302" s="19">
        <v>1.2738</v>
      </c>
      <c r="I4302" s="19"/>
      <c r="J4302" s="17" t="s">
        <v>49</v>
      </c>
      <c r="K4302" s="17">
        <v>2200</v>
      </c>
      <c r="L4302" s="91">
        <v>70</v>
      </c>
      <c r="M4302" s="19">
        <v>5000</v>
      </c>
      <c r="N4302" s="19" t="s">
        <v>66</v>
      </c>
      <c r="O4302" s="19" t="s">
        <v>141</v>
      </c>
      <c r="P4302" s="91">
        <v>6045</v>
      </c>
      <c r="Q4302" s="19">
        <v>5874</v>
      </c>
      <c r="R4302" s="19">
        <f t="shared" si="206"/>
        <v>171</v>
      </c>
      <c r="S4302" s="19">
        <f t="shared" si="207"/>
        <v>1260</v>
      </c>
      <c r="T4302" s="19" t="s">
        <v>42</v>
      </c>
      <c r="U4302" s="102" t="s">
        <v>1307</v>
      </c>
      <c r="V4302" s="253" t="s">
        <v>1102</v>
      </c>
      <c r="W4302" s="17" t="s">
        <v>69</v>
      </c>
      <c r="Y4302" s="68">
        <v>45253</v>
      </c>
      <c r="Z4302" s="17" t="s">
        <v>191</v>
      </c>
      <c r="AA4302" s="17" t="s">
        <v>46</v>
      </c>
      <c r="AB4302" s="17" t="s">
        <v>1228</v>
      </c>
      <c r="AC4302" s="102" t="s">
        <v>1217</v>
      </c>
      <c r="AD4302" s="65">
        <v>1475</v>
      </c>
      <c r="AE4302" s="17" t="s">
        <v>48</v>
      </c>
    </row>
    <row r="4303" s="17" customFormat="1" hidden="1" spans="1:31">
      <c r="A4303" s="17" t="s">
        <v>34</v>
      </c>
      <c r="B4303" s="19">
        <v>947</v>
      </c>
      <c r="C4303" s="222" t="s">
        <v>1306</v>
      </c>
      <c r="D4303" s="17" t="s">
        <v>52</v>
      </c>
      <c r="E4303" s="17" t="s">
        <v>1113</v>
      </c>
      <c r="F4303" s="17" t="s">
        <v>54</v>
      </c>
      <c r="H4303" s="19">
        <v>1.2738</v>
      </c>
      <c r="I4303" s="19"/>
      <c r="J4303" s="17" t="s">
        <v>49</v>
      </c>
      <c r="K4303" s="17">
        <v>2200</v>
      </c>
      <c r="L4303" s="91">
        <v>90</v>
      </c>
      <c r="M4303" s="19">
        <v>5000</v>
      </c>
      <c r="N4303" s="19" t="s">
        <v>66</v>
      </c>
      <c r="O4303" s="19" t="s">
        <v>141</v>
      </c>
      <c r="P4303" s="91">
        <v>7772</v>
      </c>
      <c r="Q4303" s="19">
        <v>7962</v>
      </c>
      <c r="R4303" s="19">
        <f t="shared" si="206"/>
        <v>-190</v>
      </c>
      <c r="S4303" s="19">
        <f t="shared" si="207"/>
        <v>1260</v>
      </c>
      <c r="T4303" s="19" t="s">
        <v>42</v>
      </c>
      <c r="U4303" s="102" t="s">
        <v>1307</v>
      </c>
      <c r="V4303" s="253" t="s">
        <v>1102</v>
      </c>
      <c r="W4303" s="17" t="s">
        <v>69</v>
      </c>
      <c r="Y4303" s="68">
        <v>45253</v>
      </c>
      <c r="Z4303" s="17" t="s">
        <v>191</v>
      </c>
      <c r="AA4303" s="17" t="s">
        <v>46</v>
      </c>
      <c r="AB4303" s="17" t="s">
        <v>1228</v>
      </c>
      <c r="AC4303" s="102" t="s">
        <v>1217</v>
      </c>
      <c r="AD4303" s="65">
        <v>1475</v>
      </c>
      <c r="AE4303" s="17" t="s">
        <v>48</v>
      </c>
    </row>
    <row r="4304" s="17" customFormat="1" hidden="1" spans="1:31">
      <c r="A4304" s="17" t="s">
        <v>34</v>
      </c>
      <c r="B4304" s="19">
        <v>947</v>
      </c>
      <c r="C4304" s="222" t="s">
        <v>1306</v>
      </c>
      <c r="D4304" s="17" t="s">
        <v>52</v>
      </c>
      <c r="E4304" s="17" t="s">
        <v>1113</v>
      </c>
      <c r="F4304" s="17" t="s">
        <v>54</v>
      </c>
      <c r="H4304" s="19">
        <v>1.2738</v>
      </c>
      <c r="I4304" s="19"/>
      <c r="J4304" s="17" t="s">
        <v>49</v>
      </c>
      <c r="K4304" s="17">
        <v>2200</v>
      </c>
      <c r="L4304" s="91">
        <v>105</v>
      </c>
      <c r="M4304" s="19">
        <v>5000</v>
      </c>
      <c r="N4304" s="19" t="s">
        <v>66</v>
      </c>
      <c r="O4304" s="19" t="s">
        <v>141</v>
      </c>
      <c r="P4304" s="91">
        <v>9067</v>
      </c>
      <c r="Q4304" s="19">
        <v>9326</v>
      </c>
      <c r="R4304" s="19">
        <f t="shared" si="206"/>
        <v>-259</v>
      </c>
      <c r="S4304" s="19">
        <f t="shared" si="207"/>
        <v>1260</v>
      </c>
      <c r="T4304" s="19" t="s">
        <v>42</v>
      </c>
      <c r="U4304" s="102" t="s">
        <v>1307</v>
      </c>
      <c r="V4304" s="253" t="s">
        <v>1102</v>
      </c>
      <c r="W4304" s="17" t="s">
        <v>69</v>
      </c>
      <c r="Y4304" s="68">
        <v>45253</v>
      </c>
      <c r="Z4304" s="17" t="s">
        <v>191</v>
      </c>
      <c r="AA4304" s="17" t="s">
        <v>46</v>
      </c>
      <c r="AB4304" s="17" t="s">
        <v>1228</v>
      </c>
      <c r="AC4304" s="102" t="s">
        <v>1217</v>
      </c>
      <c r="AD4304" s="65">
        <v>1475</v>
      </c>
      <c r="AE4304" s="17" t="s">
        <v>48</v>
      </c>
    </row>
    <row r="4305" s="17" customFormat="1" hidden="1" spans="1:44">
      <c r="B4305" s="19">
        <v>948</v>
      </c>
      <c r="C4305" s="222" t="s">
        <v>1102</v>
      </c>
      <c r="D4305" s="17" t="s">
        <v>52</v>
      </c>
      <c r="E4305" s="17" t="s">
        <v>53</v>
      </c>
      <c r="F4305" s="17" t="s">
        <v>54</v>
      </c>
      <c r="H4305" s="17" t="s">
        <v>1308</v>
      </c>
      <c r="J4305" s="17" t="s">
        <v>39</v>
      </c>
      <c r="K4305" s="17">
        <v>65</v>
      </c>
      <c r="L4305" s="91"/>
      <c r="M4305" s="19">
        <v>4000</v>
      </c>
      <c r="N4305" s="19" t="s">
        <v>40</v>
      </c>
      <c r="O4305" s="19" t="s">
        <v>98</v>
      </c>
      <c r="P4305" s="91">
        <v>1500</v>
      </c>
      <c r="Q4305" s="19"/>
      <c r="R4305" s="19">
        <f t="shared" si="206"/>
        <v>1500</v>
      </c>
      <c r="S4305" s="19">
        <v>1250</v>
      </c>
      <c r="T4305" s="19" t="s">
        <v>42</v>
      </c>
      <c r="U4305" s="102"/>
      <c r="V4305" s="253"/>
      <c r="W4305" s="17" t="s">
        <v>69</v>
      </c>
      <c r="Y4305" s="68">
        <v>45253</v>
      </c>
      <c r="Z4305" s="17" t="s">
        <v>191</v>
      </c>
      <c r="AA4305" s="17" t="s">
        <v>46</v>
      </c>
      <c r="AC4305" s="102"/>
      <c r="AD4305" s="65"/>
      <c r="AG4305" s="17" t="s">
        <v>1309</v>
      </c>
    </row>
    <row r="4306" s="17" customFormat="1" hidden="1" spans="1:44">
      <c r="B4306" s="19">
        <v>948</v>
      </c>
      <c r="C4306" s="222" t="s">
        <v>1102</v>
      </c>
      <c r="D4306" s="17" t="s">
        <v>52</v>
      </c>
      <c r="E4306" s="17" t="s">
        <v>53</v>
      </c>
      <c r="F4306" s="17" t="s">
        <v>54</v>
      </c>
      <c r="H4306" s="17" t="s">
        <v>1308</v>
      </c>
      <c r="J4306" s="17" t="s">
        <v>39</v>
      </c>
      <c r="K4306" s="17">
        <v>75</v>
      </c>
      <c r="L4306" s="91"/>
      <c r="M4306" s="19">
        <v>4000</v>
      </c>
      <c r="N4306" s="19" t="s">
        <v>40</v>
      </c>
      <c r="O4306" s="19" t="s">
        <v>98</v>
      </c>
      <c r="P4306" s="91">
        <v>1000</v>
      </c>
      <c r="Q4306" s="19"/>
      <c r="R4306" s="19">
        <f t="shared" si="206"/>
        <v>1000</v>
      </c>
      <c r="S4306" s="19">
        <v>1250</v>
      </c>
      <c r="T4306" s="19" t="s">
        <v>42</v>
      </c>
      <c r="U4306" s="102"/>
      <c r="V4306" s="253"/>
      <c r="W4306" s="17" t="s">
        <v>69</v>
      </c>
      <c r="Y4306" s="68">
        <v>45253</v>
      </c>
      <c r="Z4306" s="17" t="s">
        <v>191</v>
      </c>
      <c r="AA4306" s="17" t="s">
        <v>46</v>
      </c>
      <c r="AC4306" s="102"/>
      <c r="AD4306" s="65"/>
      <c r="AG4306" s="17" t="s">
        <v>1309</v>
      </c>
    </row>
    <row r="4307" s="17" customFormat="1" hidden="1" spans="1:44">
      <c r="B4307" s="19">
        <v>948</v>
      </c>
      <c r="C4307" s="222" t="s">
        <v>1102</v>
      </c>
      <c r="D4307" s="17" t="s">
        <v>52</v>
      </c>
      <c r="E4307" s="17" t="s">
        <v>53</v>
      </c>
      <c r="F4307" s="17" t="s">
        <v>54</v>
      </c>
      <c r="H4307" s="17" t="s">
        <v>1308</v>
      </c>
      <c r="J4307" s="17" t="s">
        <v>39</v>
      </c>
      <c r="K4307" s="17">
        <v>140</v>
      </c>
      <c r="L4307" s="91"/>
      <c r="M4307" s="19">
        <v>4000</v>
      </c>
      <c r="N4307" s="19" t="s">
        <v>40</v>
      </c>
      <c r="O4307" s="19" t="s">
        <v>98</v>
      </c>
      <c r="P4307" s="91">
        <v>1000</v>
      </c>
      <c r="Q4307" s="19"/>
      <c r="R4307" s="19">
        <f t="shared" si="206"/>
        <v>1000</v>
      </c>
      <c r="S4307" s="19">
        <v>1250</v>
      </c>
      <c r="T4307" s="19" t="s">
        <v>42</v>
      </c>
      <c r="U4307" s="102"/>
      <c r="V4307" s="253"/>
      <c r="W4307" s="17" t="s">
        <v>69</v>
      </c>
      <c r="Y4307" s="68">
        <v>45253</v>
      </c>
      <c r="Z4307" s="17" t="s">
        <v>191</v>
      </c>
      <c r="AA4307" s="17" t="s">
        <v>46</v>
      </c>
      <c r="AC4307" s="102"/>
      <c r="AD4307" s="65"/>
      <c r="AG4307" s="17" t="s">
        <v>1309</v>
      </c>
    </row>
    <row r="4308" s="17" customFormat="1" hidden="1" spans="1:44">
      <c r="B4308" s="19">
        <v>948</v>
      </c>
      <c r="C4308" s="222" t="s">
        <v>1102</v>
      </c>
      <c r="D4308" s="17" t="s">
        <v>52</v>
      </c>
      <c r="E4308" s="17" t="s">
        <v>53</v>
      </c>
      <c r="F4308" s="17" t="s">
        <v>54</v>
      </c>
      <c r="H4308" s="17" t="s">
        <v>1308</v>
      </c>
      <c r="J4308" s="17" t="s">
        <v>39</v>
      </c>
      <c r="K4308" s="17">
        <v>280</v>
      </c>
      <c r="L4308" s="91"/>
      <c r="M4308" s="19">
        <v>4000</v>
      </c>
      <c r="N4308" s="19" t="s">
        <v>40</v>
      </c>
      <c r="O4308" s="19" t="s">
        <v>98</v>
      </c>
      <c r="P4308" s="91">
        <v>2000</v>
      </c>
      <c r="Q4308" s="19"/>
      <c r="R4308" s="19">
        <f t="shared" si="206"/>
        <v>2000</v>
      </c>
      <c r="S4308" s="19">
        <v>1250</v>
      </c>
      <c r="T4308" s="19" t="s">
        <v>42</v>
      </c>
      <c r="U4308" s="102"/>
      <c r="V4308" s="253"/>
      <c r="W4308" s="17" t="s">
        <v>69</v>
      </c>
      <c r="Y4308" s="68">
        <v>45253</v>
      </c>
      <c r="Z4308" s="17" t="s">
        <v>191</v>
      </c>
      <c r="AA4308" s="17" t="s">
        <v>46</v>
      </c>
      <c r="AC4308" s="102"/>
      <c r="AD4308" s="65"/>
      <c r="AG4308" s="17" t="s">
        <v>1309</v>
      </c>
    </row>
    <row r="4309" s="21" customFormat="1" hidden="1" spans="1:44">
      <c r="A4309" s="17" t="s">
        <v>34</v>
      </c>
      <c r="B4309" s="19">
        <v>949</v>
      </c>
      <c r="C4309" s="183">
        <v>45224</v>
      </c>
      <c r="D4309" s="17" t="s">
        <v>35</v>
      </c>
      <c r="E4309" s="17" t="s">
        <v>71</v>
      </c>
      <c r="F4309" s="17" t="s">
        <v>72</v>
      </c>
      <c r="G4309" s="17"/>
      <c r="H4309" s="19">
        <v>1.2379</v>
      </c>
      <c r="I4309" s="19"/>
      <c r="J4309" s="17" t="s">
        <v>39</v>
      </c>
      <c r="K4309" s="19">
        <v>16</v>
      </c>
      <c r="L4309" s="91"/>
      <c r="M4309" s="19">
        <v>5800</v>
      </c>
      <c r="N4309" s="19" t="s">
        <v>40</v>
      </c>
      <c r="O4309" s="19" t="s">
        <v>84</v>
      </c>
      <c r="P4309" s="19">
        <v>1000</v>
      </c>
      <c r="Q4309" s="19">
        <v>734</v>
      </c>
      <c r="R4309" s="19">
        <f t="shared" si="206"/>
        <v>266</v>
      </c>
      <c r="S4309" s="19">
        <f>3365+100</f>
        <v>3465</v>
      </c>
      <c r="T4309" s="19" t="s">
        <v>42</v>
      </c>
      <c r="U4309" s="102" t="s">
        <v>1310</v>
      </c>
      <c r="V4309" s="101">
        <v>45225</v>
      </c>
      <c r="W4309" s="17" t="s">
        <v>69</v>
      </c>
      <c r="X4309" s="17"/>
      <c r="Y4309" s="68">
        <v>45346</v>
      </c>
      <c r="Z4309" s="17" t="s">
        <v>1311</v>
      </c>
      <c r="AA4309" s="17" t="s">
        <v>46</v>
      </c>
      <c r="AB4309" s="17" t="s">
        <v>1312</v>
      </c>
      <c r="AC4309" s="217">
        <v>45358</v>
      </c>
      <c r="AD4309" s="65">
        <v>1535</v>
      </c>
      <c r="AE4309" s="17" t="s">
        <v>48</v>
      </c>
      <c r="AF4309" s="17"/>
      <c r="AG4309" s="17"/>
      <c r="AH4309" s="17"/>
      <c r="AI4309" s="17"/>
      <c r="AJ4309" s="17"/>
      <c r="AK4309" s="17"/>
      <c r="AL4309" s="17"/>
      <c r="AM4309" s="17"/>
      <c r="AN4309" s="17"/>
      <c r="AO4309" s="17"/>
      <c r="AP4309" s="17"/>
      <c r="AQ4309" s="17"/>
      <c r="AR4309" s="17"/>
    </row>
    <row r="4310" s="21" customFormat="1" hidden="1" spans="1:44">
      <c r="A4310" s="17" t="s">
        <v>34</v>
      </c>
      <c r="B4310" s="19">
        <v>949</v>
      </c>
      <c r="C4310" s="183">
        <v>45224</v>
      </c>
      <c r="D4310" s="17" t="s">
        <v>35</v>
      </c>
      <c r="E4310" s="17" t="s">
        <v>71</v>
      </c>
      <c r="F4310" s="17" t="s">
        <v>72</v>
      </c>
      <c r="G4310" s="17"/>
      <c r="H4310" s="19">
        <v>1.2379</v>
      </c>
      <c r="I4310" s="19"/>
      <c r="J4310" s="17" t="s">
        <v>39</v>
      </c>
      <c r="K4310" s="19">
        <v>18</v>
      </c>
      <c r="L4310" s="91"/>
      <c r="M4310" s="19">
        <v>5800</v>
      </c>
      <c r="N4310" s="19" t="s">
        <v>40</v>
      </c>
      <c r="O4310" s="19" t="s">
        <v>84</v>
      </c>
      <c r="P4310" s="19">
        <v>1000</v>
      </c>
      <c r="Q4310" s="19">
        <v>943</v>
      </c>
      <c r="R4310" s="19">
        <f t="shared" si="206"/>
        <v>57</v>
      </c>
      <c r="S4310" s="19">
        <f>3200+100</f>
        <v>3300</v>
      </c>
      <c r="T4310" s="19" t="s">
        <v>42</v>
      </c>
      <c r="U4310" s="102" t="s">
        <v>1310</v>
      </c>
      <c r="V4310" s="101">
        <v>45225</v>
      </c>
      <c r="W4310" s="17" t="s">
        <v>69</v>
      </c>
      <c r="X4310" s="17"/>
      <c r="Y4310" s="68">
        <v>45346</v>
      </c>
      <c r="Z4310" s="17" t="s">
        <v>1311</v>
      </c>
      <c r="AA4310" s="17" t="s">
        <v>46</v>
      </c>
      <c r="AB4310" s="17" t="s">
        <v>1312</v>
      </c>
      <c r="AC4310" s="217">
        <v>45358</v>
      </c>
      <c r="AD4310" s="65">
        <v>1535</v>
      </c>
      <c r="AE4310" s="17" t="s">
        <v>48</v>
      </c>
      <c r="AF4310" s="17"/>
      <c r="AG4310" s="17"/>
      <c r="AH4310" s="17"/>
      <c r="AI4310" s="17"/>
      <c r="AJ4310" s="17"/>
      <c r="AK4310" s="17"/>
      <c r="AL4310" s="17"/>
      <c r="AM4310" s="17"/>
      <c r="AN4310" s="17"/>
      <c r="AO4310" s="17"/>
      <c r="AP4310" s="17"/>
      <c r="AQ4310" s="17"/>
      <c r="AR4310" s="17"/>
    </row>
    <row r="4311" s="21" customFormat="1" hidden="1" spans="1:44">
      <c r="A4311" s="17" t="s">
        <v>34</v>
      </c>
      <c r="B4311" s="19">
        <v>949</v>
      </c>
      <c r="C4311" s="183">
        <v>45224</v>
      </c>
      <c r="D4311" s="17" t="s">
        <v>35</v>
      </c>
      <c r="E4311" s="17" t="s">
        <v>71</v>
      </c>
      <c r="F4311" s="17" t="s">
        <v>72</v>
      </c>
      <c r="G4311" s="17"/>
      <c r="H4311" s="19">
        <v>1.2379</v>
      </c>
      <c r="I4311" s="19"/>
      <c r="J4311" s="17" t="s">
        <v>39</v>
      </c>
      <c r="K4311" s="19">
        <v>20</v>
      </c>
      <c r="L4311" s="91"/>
      <c r="M4311" s="19">
        <v>5800</v>
      </c>
      <c r="N4311" s="19" t="s">
        <v>40</v>
      </c>
      <c r="O4311" s="19" t="s">
        <v>84</v>
      </c>
      <c r="P4311" s="19">
        <v>1000</v>
      </c>
      <c r="Q4311" s="19">
        <v>784</v>
      </c>
      <c r="R4311" s="19">
        <f t="shared" si="206"/>
        <v>216</v>
      </c>
      <c r="S4311" s="19">
        <f>3200+100</f>
        <v>3300</v>
      </c>
      <c r="T4311" s="19" t="s">
        <v>42</v>
      </c>
      <c r="U4311" s="102" t="s">
        <v>1310</v>
      </c>
      <c r="V4311" s="101">
        <v>45225</v>
      </c>
      <c r="W4311" s="17" t="s">
        <v>69</v>
      </c>
      <c r="X4311" s="17"/>
      <c r="Y4311" s="68">
        <v>45346</v>
      </c>
      <c r="Z4311" s="17" t="s">
        <v>1311</v>
      </c>
      <c r="AA4311" s="17" t="s">
        <v>46</v>
      </c>
      <c r="AB4311" s="17" t="s">
        <v>1312</v>
      </c>
      <c r="AC4311" s="217">
        <v>45358</v>
      </c>
      <c r="AD4311" s="65">
        <v>1535</v>
      </c>
      <c r="AE4311" s="17" t="s">
        <v>48</v>
      </c>
      <c r="AF4311" s="17"/>
      <c r="AG4311" s="17"/>
      <c r="AH4311" s="17"/>
      <c r="AI4311" s="17"/>
      <c r="AJ4311" s="17"/>
      <c r="AK4311" s="17"/>
      <c r="AL4311" s="17"/>
      <c r="AM4311" s="17"/>
      <c r="AN4311" s="17"/>
      <c r="AO4311" s="17"/>
      <c r="AP4311" s="17"/>
      <c r="AQ4311" s="17"/>
      <c r="AR4311" s="17"/>
    </row>
    <row r="4312" s="21" customFormat="1" hidden="1" spans="1:44">
      <c r="A4312" s="17" t="s">
        <v>34</v>
      </c>
      <c r="B4312" s="19">
        <v>949</v>
      </c>
      <c r="C4312" s="183">
        <v>45224</v>
      </c>
      <c r="D4312" s="17" t="s">
        <v>35</v>
      </c>
      <c r="E4312" s="17" t="s">
        <v>71</v>
      </c>
      <c r="F4312" s="17" t="s">
        <v>72</v>
      </c>
      <c r="G4312" s="17"/>
      <c r="H4312" s="19">
        <v>1.2379</v>
      </c>
      <c r="I4312" s="19"/>
      <c r="J4312" s="17" t="s">
        <v>39</v>
      </c>
      <c r="K4312" s="19">
        <v>22</v>
      </c>
      <c r="L4312" s="91"/>
      <c r="M4312" s="19">
        <v>5800</v>
      </c>
      <c r="N4312" s="19" t="s">
        <v>40</v>
      </c>
      <c r="O4312" s="19" t="s">
        <v>84</v>
      </c>
      <c r="P4312" s="19">
        <v>1500</v>
      </c>
      <c r="Q4312" s="19">
        <f>518+741</f>
        <v>1259</v>
      </c>
      <c r="R4312" s="19">
        <f t="shared" si="206"/>
        <v>241</v>
      </c>
      <c r="S4312" s="19">
        <f>3200+100</f>
        <v>3300</v>
      </c>
      <c r="T4312" s="19" t="s">
        <v>42</v>
      </c>
      <c r="U4312" s="102" t="s">
        <v>1310</v>
      </c>
      <c r="V4312" s="101">
        <v>45225</v>
      </c>
      <c r="W4312" s="17" t="s">
        <v>69</v>
      </c>
      <c r="X4312" s="17"/>
      <c r="Y4312" s="68">
        <v>45346</v>
      </c>
      <c r="Z4312" s="17" t="s">
        <v>1311</v>
      </c>
      <c r="AA4312" s="17" t="s">
        <v>46</v>
      </c>
      <c r="AB4312" s="17" t="s">
        <v>1312</v>
      </c>
      <c r="AC4312" s="217">
        <v>45358</v>
      </c>
      <c r="AD4312" s="65">
        <v>1535</v>
      </c>
      <c r="AE4312" s="17" t="s">
        <v>1313</v>
      </c>
      <c r="AF4312" s="17"/>
      <c r="AG4312" s="17"/>
      <c r="AH4312" s="17"/>
      <c r="AI4312" s="17"/>
      <c r="AJ4312" s="17"/>
      <c r="AK4312" s="17"/>
      <c r="AL4312" s="17"/>
      <c r="AM4312" s="17"/>
      <c r="AN4312" s="17"/>
      <c r="AO4312" s="17"/>
      <c r="AP4312" s="17"/>
      <c r="AQ4312" s="17"/>
      <c r="AR4312" s="17"/>
    </row>
    <row r="4313" s="21" customFormat="1" hidden="1" spans="1:44">
      <c r="A4313" s="17" t="s">
        <v>34</v>
      </c>
      <c r="B4313" s="19">
        <v>949</v>
      </c>
      <c r="C4313" s="183">
        <v>45224</v>
      </c>
      <c r="D4313" s="17" t="s">
        <v>35</v>
      </c>
      <c r="E4313" s="17" t="s">
        <v>71</v>
      </c>
      <c r="F4313" s="17" t="s">
        <v>72</v>
      </c>
      <c r="G4313" s="17"/>
      <c r="H4313" s="19">
        <v>1.2379</v>
      </c>
      <c r="I4313" s="19"/>
      <c r="J4313" s="17" t="s">
        <v>39</v>
      </c>
      <c r="K4313" s="19">
        <v>26</v>
      </c>
      <c r="L4313" s="91"/>
      <c r="M4313" s="19">
        <v>5800</v>
      </c>
      <c r="N4313" s="19" t="s">
        <v>40</v>
      </c>
      <c r="O4313" s="19" t="s">
        <v>84</v>
      </c>
      <c r="P4313" s="19">
        <v>2000</v>
      </c>
      <c r="Q4313" s="19">
        <f>690+790+651</f>
        <v>2131</v>
      </c>
      <c r="R4313" s="19">
        <f t="shared" si="206"/>
        <v>-131</v>
      </c>
      <c r="S4313" s="19">
        <f>3200+100</f>
        <v>3300</v>
      </c>
      <c r="T4313" s="19" t="s">
        <v>42</v>
      </c>
      <c r="U4313" s="102" t="s">
        <v>1310</v>
      </c>
      <c r="V4313" s="101">
        <v>45225</v>
      </c>
      <c r="W4313" s="17" t="s">
        <v>69</v>
      </c>
      <c r="X4313" s="17"/>
      <c r="Y4313" s="68">
        <v>45346</v>
      </c>
      <c r="Z4313" s="17" t="s">
        <v>1311</v>
      </c>
      <c r="AA4313" s="17" t="s">
        <v>46</v>
      </c>
      <c r="AB4313" s="17" t="s">
        <v>1312</v>
      </c>
      <c r="AC4313" s="217">
        <v>45358</v>
      </c>
      <c r="AD4313" s="65">
        <v>1535</v>
      </c>
      <c r="AE4313" s="17" t="s">
        <v>1313</v>
      </c>
      <c r="AF4313" s="17"/>
      <c r="AG4313" s="17"/>
      <c r="AH4313" s="17"/>
      <c r="AI4313" s="17"/>
      <c r="AJ4313" s="17"/>
      <c r="AK4313" s="17"/>
      <c r="AL4313" s="17"/>
      <c r="AM4313" s="17"/>
      <c r="AN4313" s="17"/>
      <c r="AO4313" s="17"/>
      <c r="AP4313" s="17"/>
      <c r="AQ4313" s="17"/>
      <c r="AR4313" s="17"/>
    </row>
    <row r="4314" s="21" customFormat="1" hidden="1" spans="1:44">
      <c r="A4314" s="17" t="s">
        <v>34</v>
      </c>
      <c r="B4314" s="19">
        <v>949</v>
      </c>
      <c r="C4314" s="183">
        <v>45224</v>
      </c>
      <c r="D4314" s="17" t="s">
        <v>35</v>
      </c>
      <c r="E4314" s="17" t="s">
        <v>71</v>
      </c>
      <c r="F4314" s="17" t="s">
        <v>72</v>
      </c>
      <c r="G4314" s="17"/>
      <c r="H4314" s="19">
        <v>1.2379</v>
      </c>
      <c r="I4314" s="19"/>
      <c r="J4314" s="17" t="s">
        <v>39</v>
      </c>
      <c r="K4314" s="19">
        <v>28</v>
      </c>
      <c r="L4314" s="91"/>
      <c r="M4314" s="19">
        <v>5800</v>
      </c>
      <c r="N4314" s="19" t="s">
        <v>40</v>
      </c>
      <c r="O4314" s="19" t="s">
        <v>84</v>
      </c>
      <c r="P4314" s="19">
        <v>1000</v>
      </c>
      <c r="Q4314" s="19">
        <v>784</v>
      </c>
      <c r="R4314" s="19">
        <f t="shared" si="206"/>
        <v>216</v>
      </c>
      <c r="S4314" s="19">
        <f>3200+100</f>
        <v>3300</v>
      </c>
      <c r="T4314" s="19" t="s">
        <v>42</v>
      </c>
      <c r="U4314" s="102" t="s">
        <v>1310</v>
      </c>
      <c r="V4314" s="101">
        <v>45225</v>
      </c>
      <c r="W4314" s="17" t="s">
        <v>69</v>
      </c>
      <c r="X4314" s="17"/>
      <c r="Y4314" s="68">
        <v>45346</v>
      </c>
      <c r="Z4314" s="17" t="s">
        <v>1311</v>
      </c>
      <c r="AA4314" s="17" t="s">
        <v>46</v>
      </c>
      <c r="AB4314" s="17" t="s">
        <v>1312</v>
      </c>
      <c r="AC4314" s="217">
        <v>45358</v>
      </c>
      <c r="AD4314" s="65">
        <v>1535</v>
      </c>
      <c r="AE4314" s="17" t="s">
        <v>48</v>
      </c>
      <c r="AF4314" s="17"/>
      <c r="AG4314" s="17"/>
      <c r="AH4314" s="17"/>
      <c r="AI4314" s="17"/>
      <c r="AJ4314" s="17"/>
      <c r="AK4314" s="17"/>
      <c r="AL4314" s="17"/>
      <c r="AM4314" s="17"/>
      <c r="AN4314" s="17"/>
      <c r="AO4314" s="17"/>
      <c r="AP4314" s="17"/>
      <c r="AQ4314" s="17"/>
      <c r="AR4314" s="17"/>
    </row>
    <row r="4315" s="21" customFormat="1" hidden="1" spans="1:44">
      <c r="A4315" s="17" t="s">
        <v>34</v>
      </c>
      <c r="B4315" s="19">
        <v>949</v>
      </c>
      <c r="C4315" s="183">
        <v>45224</v>
      </c>
      <c r="D4315" s="17" t="s">
        <v>35</v>
      </c>
      <c r="E4315" s="17" t="s">
        <v>71</v>
      </c>
      <c r="F4315" s="17" t="s">
        <v>72</v>
      </c>
      <c r="G4315" s="17"/>
      <c r="H4315" s="19">
        <v>1.2379</v>
      </c>
      <c r="I4315" s="19"/>
      <c r="J4315" s="17" t="s">
        <v>39</v>
      </c>
      <c r="K4315" s="19">
        <v>32</v>
      </c>
      <c r="L4315" s="91"/>
      <c r="M4315" s="19">
        <v>5800</v>
      </c>
      <c r="N4315" s="19" t="s">
        <v>40</v>
      </c>
      <c r="O4315" s="19" t="s">
        <v>84</v>
      </c>
      <c r="P4315" s="19">
        <v>2000</v>
      </c>
      <c r="Q4315" s="19">
        <f>986+1187</f>
        <v>2173</v>
      </c>
      <c r="R4315" s="19">
        <f t="shared" si="206"/>
        <v>-173</v>
      </c>
      <c r="S4315" s="19">
        <f>2755+100</f>
        <v>2855</v>
      </c>
      <c r="T4315" s="19" t="s">
        <v>42</v>
      </c>
      <c r="U4315" s="102" t="s">
        <v>1310</v>
      </c>
      <c r="V4315" s="101">
        <v>45225</v>
      </c>
      <c r="W4315" s="17" t="s">
        <v>69</v>
      </c>
      <c r="X4315" s="17"/>
      <c r="Y4315" s="68">
        <v>45346</v>
      </c>
      <c r="Z4315" s="17" t="s">
        <v>1311</v>
      </c>
      <c r="AA4315" s="17" t="s">
        <v>46</v>
      </c>
      <c r="AB4315" s="17" t="s">
        <v>1312</v>
      </c>
      <c r="AC4315" s="217">
        <v>45358</v>
      </c>
      <c r="AD4315" s="65">
        <v>1535</v>
      </c>
      <c r="AE4315" s="17" t="s">
        <v>48</v>
      </c>
      <c r="AF4315" s="17"/>
      <c r="AG4315" s="17"/>
      <c r="AH4315" s="17"/>
      <c r="AI4315" s="17"/>
      <c r="AJ4315" s="17"/>
      <c r="AK4315" s="17"/>
      <c r="AL4315" s="17"/>
      <c r="AM4315" s="17"/>
      <c r="AN4315" s="17"/>
      <c r="AO4315" s="17"/>
      <c r="AP4315" s="17"/>
      <c r="AQ4315" s="17"/>
      <c r="AR4315" s="17"/>
    </row>
    <row r="4316" s="21" customFormat="1" hidden="1" spans="1:44">
      <c r="A4316" s="17" t="s">
        <v>34</v>
      </c>
      <c r="B4316" s="19">
        <v>949</v>
      </c>
      <c r="C4316" s="183">
        <v>45224</v>
      </c>
      <c r="D4316" s="17" t="s">
        <v>35</v>
      </c>
      <c r="E4316" s="17" t="s">
        <v>71</v>
      </c>
      <c r="F4316" s="17" t="s">
        <v>72</v>
      </c>
      <c r="G4316" s="17"/>
      <c r="H4316" s="19">
        <v>1.2379</v>
      </c>
      <c r="I4316" s="19"/>
      <c r="J4316" s="17" t="s">
        <v>39</v>
      </c>
      <c r="K4316" s="19">
        <v>36</v>
      </c>
      <c r="L4316" s="91"/>
      <c r="M4316" s="19">
        <v>5800</v>
      </c>
      <c r="N4316" s="19" t="s">
        <v>40</v>
      </c>
      <c r="O4316" s="19" t="s">
        <v>84</v>
      </c>
      <c r="P4316" s="19">
        <v>2000</v>
      </c>
      <c r="Q4316" s="19">
        <f>1060+1040</f>
        <v>2100</v>
      </c>
      <c r="R4316" s="19">
        <f t="shared" si="206"/>
        <v>-100</v>
      </c>
      <c r="S4316" s="19">
        <f>2755+100</f>
        <v>2855</v>
      </c>
      <c r="T4316" s="19" t="s">
        <v>42</v>
      </c>
      <c r="U4316" s="102" t="s">
        <v>1310</v>
      </c>
      <c r="V4316" s="101">
        <v>45225</v>
      </c>
      <c r="W4316" s="17" t="s">
        <v>69</v>
      </c>
      <c r="X4316" s="17"/>
      <c r="Y4316" s="68">
        <v>45346</v>
      </c>
      <c r="Z4316" s="17" t="s">
        <v>1311</v>
      </c>
      <c r="AA4316" s="17" t="s">
        <v>46</v>
      </c>
      <c r="AB4316" s="17" t="s">
        <v>1312</v>
      </c>
      <c r="AC4316" s="217">
        <v>45358</v>
      </c>
      <c r="AD4316" s="65">
        <v>1535</v>
      </c>
      <c r="AE4316" s="17" t="s">
        <v>48</v>
      </c>
      <c r="AF4316" s="17"/>
      <c r="AG4316" s="17"/>
      <c r="AH4316" s="17"/>
      <c r="AI4316" s="17"/>
      <c r="AJ4316" s="17"/>
      <c r="AK4316" s="17"/>
      <c r="AL4316" s="17"/>
      <c r="AM4316" s="17"/>
      <c r="AN4316" s="17"/>
      <c r="AO4316" s="17"/>
      <c r="AP4316" s="17"/>
      <c r="AQ4316" s="17"/>
      <c r="AR4316" s="17"/>
    </row>
    <row r="4317" s="21" customFormat="1" hidden="1" spans="1:44">
      <c r="A4317" s="17" t="s">
        <v>34</v>
      </c>
      <c r="B4317" s="19">
        <v>949</v>
      </c>
      <c r="C4317" s="183">
        <v>45224</v>
      </c>
      <c r="D4317" s="17" t="s">
        <v>35</v>
      </c>
      <c r="E4317" s="17" t="s">
        <v>71</v>
      </c>
      <c r="F4317" s="17" t="s">
        <v>72</v>
      </c>
      <c r="G4317" s="17"/>
      <c r="H4317" s="19">
        <v>1.2379</v>
      </c>
      <c r="I4317" s="19"/>
      <c r="J4317" s="17" t="s">
        <v>39</v>
      </c>
      <c r="K4317" s="19">
        <v>41</v>
      </c>
      <c r="L4317" s="91"/>
      <c r="M4317" s="19">
        <v>5800</v>
      </c>
      <c r="N4317" s="19" t="s">
        <v>40</v>
      </c>
      <c r="O4317" s="19" t="s">
        <v>84</v>
      </c>
      <c r="P4317" s="19">
        <v>2000</v>
      </c>
      <c r="Q4317" s="19">
        <f>882+922</f>
        <v>1804</v>
      </c>
      <c r="R4317" s="19">
        <f t="shared" ref="R4317:R4348" si="208">+P4317-Q4317</f>
        <v>196</v>
      </c>
      <c r="S4317" s="19">
        <f>2755+100</f>
        <v>2855</v>
      </c>
      <c r="T4317" s="19" t="s">
        <v>42</v>
      </c>
      <c r="U4317" s="102" t="s">
        <v>1310</v>
      </c>
      <c r="V4317" s="101">
        <v>45225</v>
      </c>
      <c r="W4317" s="17" t="s">
        <v>69</v>
      </c>
      <c r="X4317" s="17"/>
      <c r="Y4317" s="68">
        <v>45346</v>
      </c>
      <c r="Z4317" s="17" t="s">
        <v>1311</v>
      </c>
      <c r="AA4317" s="17" t="s">
        <v>46</v>
      </c>
      <c r="AB4317" s="17" t="s">
        <v>1312</v>
      </c>
      <c r="AC4317" s="217">
        <v>45358</v>
      </c>
      <c r="AD4317" s="65">
        <v>1535</v>
      </c>
      <c r="AE4317" s="17" t="s">
        <v>48</v>
      </c>
      <c r="AF4317" s="17"/>
      <c r="AG4317" s="17"/>
      <c r="AH4317" s="17"/>
      <c r="AI4317" s="17"/>
      <c r="AJ4317" s="17"/>
      <c r="AK4317" s="17"/>
      <c r="AL4317" s="17"/>
      <c r="AM4317" s="17"/>
      <c r="AN4317" s="17"/>
      <c r="AO4317" s="17"/>
      <c r="AP4317" s="17"/>
      <c r="AQ4317" s="17"/>
      <c r="AR4317" s="17"/>
    </row>
    <row r="4318" s="21" customFormat="1" hidden="1" spans="1:44">
      <c r="A4318" s="17" t="s">
        <v>34</v>
      </c>
      <c r="B4318" s="19">
        <v>949</v>
      </c>
      <c r="C4318" s="183">
        <v>45224</v>
      </c>
      <c r="D4318" s="17" t="s">
        <v>35</v>
      </c>
      <c r="E4318" s="17" t="s">
        <v>71</v>
      </c>
      <c r="F4318" s="17" t="s">
        <v>72</v>
      </c>
      <c r="G4318" s="17"/>
      <c r="H4318" s="19">
        <v>1.2379</v>
      </c>
      <c r="I4318" s="19"/>
      <c r="J4318" s="17" t="s">
        <v>39</v>
      </c>
      <c r="K4318" s="19">
        <v>45</v>
      </c>
      <c r="L4318" s="91"/>
      <c r="M4318" s="19">
        <v>5800</v>
      </c>
      <c r="N4318" s="19" t="s">
        <v>40</v>
      </c>
      <c r="O4318" s="19" t="s">
        <v>84</v>
      </c>
      <c r="P4318" s="19">
        <v>2000</v>
      </c>
      <c r="Q4318" s="19">
        <f>1215+1215</f>
        <v>2430</v>
      </c>
      <c r="R4318" s="19">
        <f t="shared" si="208"/>
        <v>-430</v>
      </c>
      <c r="S4318" s="19">
        <f>2755+100</f>
        <v>2855</v>
      </c>
      <c r="T4318" s="19" t="s">
        <v>42</v>
      </c>
      <c r="U4318" s="102" t="s">
        <v>1310</v>
      </c>
      <c r="V4318" s="101">
        <v>45225</v>
      </c>
      <c r="W4318" s="17" t="s">
        <v>69</v>
      </c>
      <c r="X4318" s="17"/>
      <c r="Y4318" s="68">
        <v>45346</v>
      </c>
      <c r="Z4318" s="17" t="s">
        <v>1311</v>
      </c>
      <c r="AA4318" s="17" t="s">
        <v>46</v>
      </c>
      <c r="AB4318" s="17" t="s">
        <v>1312</v>
      </c>
      <c r="AC4318" s="217">
        <v>45358</v>
      </c>
      <c r="AD4318" s="65">
        <v>1535</v>
      </c>
      <c r="AE4318" s="17" t="s">
        <v>48</v>
      </c>
      <c r="AF4318" s="17"/>
      <c r="AG4318" s="17"/>
      <c r="AH4318" s="17"/>
      <c r="AI4318" s="17"/>
      <c r="AJ4318" s="17"/>
      <c r="AK4318" s="17"/>
      <c r="AL4318" s="17"/>
      <c r="AM4318" s="17"/>
      <c r="AN4318" s="17"/>
      <c r="AO4318" s="17"/>
      <c r="AP4318" s="17"/>
      <c r="AQ4318" s="17"/>
      <c r="AR4318" s="17"/>
    </row>
    <row r="4319" s="21" customFormat="1" hidden="1" spans="1:44">
      <c r="A4319" s="17" t="s">
        <v>34</v>
      </c>
      <c r="B4319" s="19">
        <v>949</v>
      </c>
      <c r="C4319" s="183">
        <v>45224</v>
      </c>
      <c r="D4319" s="17" t="s">
        <v>35</v>
      </c>
      <c r="E4319" s="17" t="s">
        <v>71</v>
      </c>
      <c r="F4319" s="17" t="s">
        <v>72</v>
      </c>
      <c r="G4319" s="17"/>
      <c r="H4319" s="19">
        <v>1.2379</v>
      </c>
      <c r="I4319" s="19"/>
      <c r="J4319" s="17" t="s">
        <v>39</v>
      </c>
      <c r="K4319" s="19">
        <v>51</v>
      </c>
      <c r="L4319" s="91"/>
      <c r="M4319" s="19">
        <v>5800</v>
      </c>
      <c r="N4319" s="19" t="s">
        <v>40</v>
      </c>
      <c r="O4319" s="19" t="s">
        <v>84</v>
      </c>
      <c r="P4319" s="19">
        <v>2000</v>
      </c>
      <c r="Q4319" s="19">
        <f>1022+1022</f>
        <v>2044</v>
      </c>
      <c r="R4319" s="19">
        <f t="shared" si="208"/>
        <v>-44</v>
      </c>
      <c r="S4319" s="19">
        <f>2615+100</f>
        <v>2715</v>
      </c>
      <c r="T4319" s="19" t="s">
        <v>42</v>
      </c>
      <c r="U4319" s="102" t="s">
        <v>1310</v>
      </c>
      <c r="V4319" s="101">
        <v>45225</v>
      </c>
      <c r="W4319" s="17" t="s">
        <v>69</v>
      </c>
      <c r="X4319" s="17"/>
      <c r="Y4319" s="68">
        <v>45346</v>
      </c>
      <c r="Z4319" s="17" t="s">
        <v>1311</v>
      </c>
      <c r="AA4319" s="17" t="s">
        <v>46</v>
      </c>
      <c r="AB4319" s="17" t="s">
        <v>1312</v>
      </c>
      <c r="AC4319" s="217">
        <v>45358</v>
      </c>
      <c r="AD4319" s="65">
        <v>1535</v>
      </c>
      <c r="AE4319" s="17" t="s">
        <v>1313</v>
      </c>
      <c r="AF4319" s="17"/>
      <c r="AG4319" s="17"/>
      <c r="AH4319" s="17"/>
      <c r="AI4319" s="17"/>
      <c r="AJ4319" s="17"/>
      <c r="AK4319" s="17"/>
      <c r="AL4319" s="17"/>
      <c r="AM4319" s="17"/>
      <c r="AN4319" s="17"/>
      <c r="AO4319" s="17"/>
      <c r="AP4319" s="17"/>
      <c r="AQ4319" s="17"/>
      <c r="AR4319" s="17"/>
    </row>
    <row r="4320" s="21" customFormat="1" hidden="1" spans="1:44">
      <c r="A4320" s="17" t="s">
        <v>34</v>
      </c>
      <c r="B4320" s="19">
        <v>949</v>
      </c>
      <c r="C4320" s="183">
        <v>45224</v>
      </c>
      <c r="D4320" s="17" t="s">
        <v>35</v>
      </c>
      <c r="E4320" s="17" t="s">
        <v>71</v>
      </c>
      <c r="F4320" s="17" t="s">
        <v>72</v>
      </c>
      <c r="G4320" s="17"/>
      <c r="H4320" s="19">
        <v>1.2379</v>
      </c>
      <c r="I4320" s="19"/>
      <c r="J4320" s="17" t="s">
        <v>39</v>
      </c>
      <c r="K4320" s="19">
        <v>56</v>
      </c>
      <c r="L4320" s="91"/>
      <c r="M4320" s="19">
        <v>5800</v>
      </c>
      <c r="N4320" s="19" t="s">
        <v>40</v>
      </c>
      <c r="O4320" s="19" t="s">
        <v>84</v>
      </c>
      <c r="P4320" s="19">
        <v>2000</v>
      </c>
      <c r="Q4320" s="19">
        <v>1940</v>
      </c>
      <c r="R4320" s="19">
        <f t="shared" si="208"/>
        <v>60</v>
      </c>
      <c r="S4320" s="19">
        <f>2615+100</f>
        <v>2715</v>
      </c>
      <c r="T4320" s="19" t="s">
        <v>42</v>
      </c>
      <c r="U4320" s="102" t="s">
        <v>1310</v>
      </c>
      <c r="V4320" s="101">
        <v>45225</v>
      </c>
      <c r="W4320" s="17" t="s">
        <v>69</v>
      </c>
      <c r="X4320" s="17"/>
      <c r="Y4320" s="68">
        <v>45346</v>
      </c>
      <c r="Z4320" s="17" t="s">
        <v>1311</v>
      </c>
      <c r="AA4320" s="17" t="s">
        <v>46</v>
      </c>
      <c r="AB4320" s="17" t="s">
        <v>1312</v>
      </c>
      <c r="AC4320" s="217">
        <v>45358</v>
      </c>
      <c r="AD4320" s="65">
        <v>1535</v>
      </c>
      <c r="AE4320" s="17" t="s">
        <v>48</v>
      </c>
      <c r="AF4320" s="17"/>
      <c r="AG4320" s="17"/>
      <c r="AH4320" s="17"/>
      <c r="AI4320" s="17"/>
      <c r="AJ4320" s="17"/>
      <c r="AK4320" s="17"/>
      <c r="AL4320" s="17"/>
      <c r="AM4320" s="17"/>
      <c r="AN4320" s="17"/>
      <c r="AO4320" s="17"/>
      <c r="AP4320" s="17"/>
      <c r="AQ4320" s="17"/>
      <c r="AR4320" s="17"/>
    </row>
    <row r="4321" s="21" customFormat="1" hidden="1" spans="1:44">
      <c r="A4321" s="17" t="s">
        <v>34</v>
      </c>
      <c r="B4321" s="19">
        <v>949</v>
      </c>
      <c r="C4321" s="183">
        <v>45224</v>
      </c>
      <c r="D4321" s="17" t="s">
        <v>35</v>
      </c>
      <c r="E4321" s="17" t="s">
        <v>71</v>
      </c>
      <c r="F4321" s="17" t="s">
        <v>72</v>
      </c>
      <c r="G4321" s="17"/>
      <c r="H4321" s="19">
        <v>1.2379</v>
      </c>
      <c r="I4321" s="19"/>
      <c r="J4321" s="17" t="s">
        <v>39</v>
      </c>
      <c r="K4321" s="19">
        <v>61</v>
      </c>
      <c r="L4321" s="91"/>
      <c r="M4321" s="19">
        <v>5800</v>
      </c>
      <c r="N4321" s="19" t="s">
        <v>40</v>
      </c>
      <c r="O4321" s="19" t="s">
        <v>84</v>
      </c>
      <c r="P4321" s="19">
        <v>2000</v>
      </c>
      <c r="Q4321" s="19">
        <f>1056+1060</f>
        <v>2116</v>
      </c>
      <c r="R4321" s="19">
        <f t="shared" si="208"/>
        <v>-116</v>
      </c>
      <c r="S4321" s="19">
        <f>2615+100</f>
        <v>2715</v>
      </c>
      <c r="T4321" s="19" t="s">
        <v>42</v>
      </c>
      <c r="U4321" s="102" t="s">
        <v>1310</v>
      </c>
      <c r="V4321" s="101">
        <v>45225</v>
      </c>
      <c r="W4321" s="17" t="s">
        <v>69</v>
      </c>
      <c r="X4321" s="17"/>
      <c r="Y4321" s="68">
        <v>45346</v>
      </c>
      <c r="Z4321" s="17" t="s">
        <v>1311</v>
      </c>
      <c r="AA4321" s="17" t="s">
        <v>46</v>
      </c>
      <c r="AB4321" s="17" t="s">
        <v>1312</v>
      </c>
      <c r="AC4321" s="217">
        <v>45358</v>
      </c>
      <c r="AD4321" s="65">
        <v>1535</v>
      </c>
      <c r="AE4321" s="17" t="s">
        <v>1313</v>
      </c>
      <c r="AF4321" s="17"/>
      <c r="AG4321" s="17"/>
      <c r="AH4321" s="17"/>
      <c r="AI4321" s="17"/>
      <c r="AJ4321" s="17"/>
      <c r="AK4321" s="17"/>
      <c r="AL4321" s="17"/>
      <c r="AM4321" s="17"/>
      <c r="AN4321" s="17"/>
      <c r="AO4321" s="17"/>
      <c r="AP4321" s="17"/>
      <c r="AQ4321" s="17"/>
      <c r="AR4321" s="17"/>
    </row>
    <row r="4322" s="21" customFormat="1" hidden="1" spans="1:44">
      <c r="A4322" s="17" t="s">
        <v>34</v>
      </c>
      <c r="B4322" s="19">
        <v>949</v>
      </c>
      <c r="C4322" s="183">
        <v>45224</v>
      </c>
      <c r="D4322" s="17" t="s">
        <v>35</v>
      </c>
      <c r="E4322" s="17" t="s">
        <v>71</v>
      </c>
      <c r="F4322" s="17" t="s">
        <v>72</v>
      </c>
      <c r="G4322" s="17"/>
      <c r="H4322" s="19">
        <v>1.2379</v>
      </c>
      <c r="I4322" s="19"/>
      <c r="J4322" s="17" t="s">
        <v>39</v>
      </c>
      <c r="K4322" s="19">
        <v>66</v>
      </c>
      <c r="L4322" s="91"/>
      <c r="M4322" s="19">
        <v>5800</v>
      </c>
      <c r="N4322" s="19" t="s">
        <v>40</v>
      </c>
      <c r="O4322" s="19" t="s">
        <v>84</v>
      </c>
      <c r="P4322" s="19">
        <v>2000</v>
      </c>
      <c r="Q4322" s="19">
        <f>450+900</f>
        <v>1350</v>
      </c>
      <c r="R4322" s="19">
        <f t="shared" si="208"/>
        <v>650</v>
      </c>
      <c r="S4322" s="19">
        <f>2615+100-10</f>
        <v>2705</v>
      </c>
      <c r="T4322" s="19" t="s">
        <v>42</v>
      </c>
      <c r="U4322" s="102" t="s">
        <v>1310</v>
      </c>
      <c r="V4322" s="101">
        <v>45225</v>
      </c>
      <c r="W4322" s="17" t="s">
        <v>69</v>
      </c>
      <c r="X4322" s="17"/>
      <c r="Y4322" s="68">
        <v>45346</v>
      </c>
      <c r="Z4322" s="17" t="s">
        <v>1311</v>
      </c>
      <c r="AA4322" s="17" t="s">
        <v>46</v>
      </c>
      <c r="AB4322" s="17" t="s">
        <v>1314</v>
      </c>
      <c r="AC4322" s="217">
        <v>45498</v>
      </c>
      <c r="AD4322" s="65">
        <v>1610</v>
      </c>
      <c r="AE4322" s="17" t="s">
        <v>1313</v>
      </c>
      <c r="AF4322" s="17" t="s">
        <v>1315</v>
      </c>
      <c r="AG4322" s="17"/>
      <c r="AH4322" s="17"/>
      <c r="AI4322" s="17"/>
      <c r="AJ4322" s="17"/>
      <c r="AK4322" s="17"/>
      <c r="AL4322" s="17"/>
      <c r="AM4322" s="17"/>
      <c r="AN4322" s="17"/>
      <c r="AO4322" s="17"/>
      <c r="AP4322" s="17"/>
      <c r="AQ4322" s="17"/>
      <c r="AR4322" s="17"/>
    </row>
    <row r="4323" s="21" customFormat="1" hidden="1" spans="1:44">
      <c r="A4323" s="17" t="s">
        <v>34</v>
      </c>
      <c r="B4323" s="19">
        <v>949</v>
      </c>
      <c r="C4323" s="183">
        <v>45224</v>
      </c>
      <c r="D4323" s="17" t="s">
        <v>35</v>
      </c>
      <c r="E4323" s="17" t="s">
        <v>71</v>
      </c>
      <c r="F4323" s="17" t="s">
        <v>72</v>
      </c>
      <c r="G4323" s="17"/>
      <c r="H4323" s="19">
        <v>1.2379</v>
      </c>
      <c r="I4323" s="19"/>
      <c r="J4323" s="17" t="s">
        <v>39</v>
      </c>
      <c r="K4323" s="19">
        <v>71</v>
      </c>
      <c r="L4323" s="91"/>
      <c r="M4323" s="19">
        <v>5800</v>
      </c>
      <c r="N4323" s="19" t="s">
        <v>40</v>
      </c>
      <c r="O4323" s="19" t="s">
        <v>84</v>
      </c>
      <c r="P4323" s="19">
        <v>2000</v>
      </c>
      <c r="Q4323" s="19">
        <v>1316</v>
      </c>
      <c r="R4323" s="19">
        <f t="shared" si="208"/>
        <v>684</v>
      </c>
      <c r="S4323" s="19">
        <f>2615+100</f>
        <v>2715</v>
      </c>
      <c r="T4323" s="19" t="s">
        <v>42</v>
      </c>
      <c r="U4323" s="102" t="s">
        <v>1310</v>
      </c>
      <c r="V4323" s="101">
        <v>45225</v>
      </c>
      <c r="W4323" s="17" t="s">
        <v>69</v>
      </c>
      <c r="X4323" s="17"/>
      <c r="Y4323" s="68">
        <v>45346</v>
      </c>
      <c r="Z4323" s="17" t="s">
        <v>1311</v>
      </c>
      <c r="AA4323" s="17" t="s">
        <v>46</v>
      </c>
      <c r="AB4323" s="17" t="s">
        <v>1312</v>
      </c>
      <c r="AC4323" s="217">
        <v>45358</v>
      </c>
      <c r="AD4323" s="65">
        <v>1535</v>
      </c>
      <c r="AE4323" s="17" t="s">
        <v>48</v>
      </c>
      <c r="AF4323" s="17"/>
      <c r="AG4323" s="17"/>
      <c r="AH4323" s="17"/>
      <c r="AI4323" s="17"/>
      <c r="AJ4323" s="17"/>
      <c r="AK4323" s="17"/>
      <c r="AL4323" s="17"/>
      <c r="AM4323" s="17"/>
      <c r="AN4323" s="17"/>
      <c r="AO4323" s="17"/>
      <c r="AP4323" s="17"/>
      <c r="AQ4323" s="17"/>
      <c r="AR4323" s="17"/>
    </row>
    <row r="4324" s="21" customFormat="1" hidden="1" spans="1:44">
      <c r="A4324" s="17" t="s">
        <v>34</v>
      </c>
      <c r="B4324" s="19">
        <v>949</v>
      </c>
      <c r="C4324" s="183">
        <v>45224</v>
      </c>
      <c r="D4324" s="17" t="s">
        <v>35</v>
      </c>
      <c r="E4324" s="17" t="s">
        <v>71</v>
      </c>
      <c r="F4324" s="17" t="s">
        <v>72</v>
      </c>
      <c r="G4324" s="17"/>
      <c r="H4324" s="19">
        <v>1.2379</v>
      </c>
      <c r="I4324" s="19"/>
      <c r="J4324" s="17" t="s">
        <v>39</v>
      </c>
      <c r="K4324" s="19">
        <v>76</v>
      </c>
      <c r="L4324" s="91"/>
      <c r="M4324" s="19">
        <v>5800</v>
      </c>
      <c r="N4324" s="19" t="s">
        <v>40</v>
      </c>
      <c r="O4324" s="19" t="s">
        <v>84</v>
      </c>
      <c r="P4324" s="19">
        <v>2000</v>
      </c>
      <c r="Q4324" s="19">
        <v>1932</v>
      </c>
      <c r="R4324" s="19">
        <f t="shared" si="208"/>
        <v>68</v>
      </c>
      <c r="S4324" s="19">
        <f>2615+100-10</f>
        <v>2705</v>
      </c>
      <c r="T4324" s="19" t="s">
        <v>42</v>
      </c>
      <c r="U4324" s="102" t="s">
        <v>1310</v>
      </c>
      <c r="V4324" s="101">
        <v>45225</v>
      </c>
      <c r="W4324" s="17" t="s">
        <v>69</v>
      </c>
      <c r="X4324" s="17"/>
      <c r="Y4324" s="68">
        <v>45346</v>
      </c>
      <c r="Z4324" s="17" t="s">
        <v>1311</v>
      </c>
      <c r="AA4324" s="17" t="s">
        <v>46</v>
      </c>
      <c r="AB4324" s="17" t="s">
        <v>1314</v>
      </c>
      <c r="AC4324" s="217">
        <v>45498</v>
      </c>
      <c r="AD4324" s="65">
        <v>1610</v>
      </c>
      <c r="AE4324" s="17" t="s">
        <v>48</v>
      </c>
      <c r="AF4324" s="17" t="s">
        <v>1315</v>
      </c>
      <c r="AG4324" s="17"/>
      <c r="AH4324" s="17"/>
      <c r="AI4324" s="17"/>
      <c r="AJ4324" s="17"/>
      <c r="AK4324" s="17"/>
      <c r="AL4324" s="17"/>
      <c r="AM4324" s="17"/>
      <c r="AN4324" s="17"/>
      <c r="AO4324" s="17"/>
      <c r="AP4324" s="17"/>
      <c r="AQ4324" s="17"/>
      <c r="AR4324" s="17"/>
    </row>
    <row r="4325" s="21" customFormat="1" hidden="1" spans="1:44">
      <c r="A4325" s="17" t="s">
        <v>34</v>
      </c>
      <c r="B4325" s="19">
        <v>949</v>
      </c>
      <c r="C4325" s="183">
        <v>45224</v>
      </c>
      <c r="D4325" s="17" t="s">
        <v>35</v>
      </c>
      <c r="E4325" s="17" t="s">
        <v>71</v>
      </c>
      <c r="F4325" s="17" t="s">
        <v>72</v>
      </c>
      <c r="G4325" s="17"/>
      <c r="H4325" s="19">
        <v>1.2379</v>
      </c>
      <c r="I4325" s="19"/>
      <c r="J4325" s="17" t="s">
        <v>39</v>
      </c>
      <c r="K4325" s="19">
        <v>81</v>
      </c>
      <c r="L4325" s="91"/>
      <c r="M4325" s="19">
        <v>5800</v>
      </c>
      <c r="N4325" s="19" t="s">
        <v>40</v>
      </c>
      <c r="O4325" s="19" t="s">
        <v>84</v>
      </c>
      <c r="P4325" s="19">
        <v>3000</v>
      </c>
      <c r="Q4325" s="19">
        <f>1380+1352</f>
        <v>2732</v>
      </c>
      <c r="R4325" s="19">
        <f t="shared" si="208"/>
        <v>268</v>
      </c>
      <c r="S4325" s="19">
        <f>2615+100-10</f>
        <v>2705</v>
      </c>
      <c r="T4325" s="19" t="s">
        <v>42</v>
      </c>
      <c r="U4325" s="102" t="s">
        <v>1310</v>
      </c>
      <c r="V4325" s="101">
        <v>45225</v>
      </c>
      <c r="W4325" s="17" t="s">
        <v>69</v>
      </c>
      <c r="X4325" s="17"/>
      <c r="Y4325" s="68">
        <v>45346</v>
      </c>
      <c r="Z4325" s="17" t="s">
        <v>1311</v>
      </c>
      <c r="AA4325" s="17" t="s">
        <v>46</v>
      </c>
      <c r="AB4325" s="17" t="s">
        <v>1314</v>
      </c>
      <c r="AC4325" s="217">
        <v>45498</v>
      </c>
      <c r="AD4325" s="65">
        <v>1610</v>
      </c>
      <c r="AE4325" s="17" t="s">
        <v>1313</v>
      </c>
      <c r="AF4325" s="17" t="s">
        <v>1315</v>
      </c>
      <c r="AG4325" s="17"/>
      <c r="AH4325" s="17"/>
      <c r="AI4325" s="17"/>
      <c r="AJ4325" s="17"/>
      <c r="AK4325" s="17"/>
      <c r="AL4325" s="17"/>
      <c r="AM4325" s="17"/>
      <c r="AN4325" s="17"/>
      <c r="AO4325" s="17"/>
      <c r="AP4325" s="17"/>
      <c r="AQ4325" s="17"/>
      <c r="AR4325" s="17"/>
    </row>
    <row r="4326" s="21" customFormat="1" hidden="1" spans="1:44">
      <c r="A4326" s="17" t="s">
        <v>34</v>
      </c>
      <c r="B4326" s="19">
        <v>949</v>
      </c>
      <c r="C4326" s="183">
        <v>45224</v>
      </c>
      <c r="D4326" s="17" t="s">
        <v>35</v>
      </c>
      <c r="E4326" s="17" t="s">
        <v>71</v>
      </c>
      <c r="F4326" s="17" t="s">
        <v>72</v>
      </c>
      <c r="G4326" s="17"/>
      <c r="H4326" s="19">
        <v>1.2379</v>
      </c>
      <c r="I4326" s="19"/>
      <c r="J4326" s="17" t="s">
        <v>39</v>
      </c>
      <c r="K4326" s="19">
        <v>83</v>
      </c>
      <c r="L4326" s="91"/>
      <c r="M4326" s="19">
        <v>5800</v>
      </c>
      <c r="N4326" s="19" t="s">
        <v>40</v>
      </c>
      <c r="O4326" s="19" t="s">
        <v>84</v>
      </c>
      <c r="P4326" s="19">
        <v>8000</v>
      </c>
      <c r="Q4326" s="19">
        <f>1400+1426+1430+1430+1408</f>
        <v>7094</v>
      </c>
      <c r="R4326" s="19">
        <f t="shared" si="208"/>
        <v>906</v>
      </c>
      <c r="S4326" s="19">
        <f>2615+100-10</f>
        <v>2705</v>
      </c>
      <c r="T4326" s="19" t="s">
        <v>42</v>
      </c>
      <c r="U4326" s="102" t="s">
        <v>1310</v>
      </c>
      <c r="V4326" s="101">
        <v>45225</v>
      </c>
      <c r="W4326" s="17" t="s">
        <v>69</v>
      </c>
      <c r="X4326" s="17"/>
      <c r="Y4326" s="68">
        <v>45346</v>
      </c>
      <c r="Z4326" s="17" t="s">
        <v>1311</v>
      </c>
      <c r="AA4326" s="17" t="s">
        <v>46</v>
      </c>
      <c r="AB4326" s="17" t="s">
        <v>1314</v>
      </c>
      <c r="AC4326" s="217">
        <v>45498</v>
      </c>
      <c r="AD4326" s="65">
        <v>1610</v>
      </c>
      <c r="AE4326" s="17" t="s">
        <v>48</v>
      </c>
      <c r="AF4326" s="17" t="s">
        <v>1315</v>
      </c>
      <c r="AG4326" s="17"/>
      <c r="AH4326" s="17"/>
      <c r="AI4326" s="17"/>
      <c r="AJ4326" s="17"/>
      <c r="AK4326" s="17"/>
      <c r="AL4326" s="17"/>
      <c r="AM4326" s="17"/>
      <c r="AN4326" s="17"/>
      <c r="AO4326" s="17"/>
      <c r="AP4326" s="17"/>
      <c r="AQ4326" s="17"/>
      <c r="AR4326" s="17"/>
    </row>
    <row r="4327" s="21" customFormat="1" hidden="1" spans="1:44">
      <c r="A4327" s="17" t="s">
        <v>34</v>
      </c>
      <c r="B4327" s="19">
        <v>949</v>
      </c>
      <c r="C4327" s="183">
        <v>45224</v>
      </c>
      <c r="D4327" s="17" t="s">
        <v>35</v>
      </c>
      <c r="E4327" s="17" t="s">
        <v>71</v>
      </c>
      <c r="F4327" s="17" t="s">
        <v>72</v>
      </c>
      <c r="G4327" s="17"/>
      <c r="H4327" s="19">
        <v>1.2379</v>
      </c>
      <c r="I4327" s="19"/>
      <c r="J4327" s="17" t="s">
        <v>39</v>
      </c>
      <c r="K4327" s="19">
        <v>85</v>
      </c>
      <c r="L4327" s="91"/>
      <c r="M4327" s="19">
        <v>5800</v>
      </c>
      <c r="N4327" s="19" t="s">
        <v>40</v>
      </c>
      <c r="O4327" s="19" t="s">
        <v>84</v>
      </c>
      <c r="P4327" s="19">
        <v>1000</v>
      </c>
      <c r="Q4327" s="19">
        <v>1448</v>
      </c>
      <c r="R4327" s="19">
        <f t="shared" si="208"/>
        <v>-448</v>
      </c>
      <c r="S4327" s="19">
        <f>2615+100</f>
        <v>2715</v>
      </c>
      <c r="T4327" s="19" t="s">
        <v>42</v>
      </c>
      <c r="U4327" s="102" t="s">
        <v>1310</v>
      </c>
      <c r="V4327" s="101">
        <v>45225</v>
      </c>
      <c r="W4327" s="17" t="s">
        <v>69</v>
      </c>
      <c r="X4327" s="17"/>
      <c r="Y4327" s="68">
        <v>45346</v>
      </c>
      <c r="Z4327" s="17" t="s">
        <v>1311</v>
      </c>
      <c r="AA4327" s="17" t="s">
        <v>46</v>
      </c>
      <c r="AB4327" s="17" t="s">
        <v>1312</v>
      </c>
      <c r="AC4327" s="217">
        <v>45358</v>
      </c>
      <c r="AD4327" s="65">
        <v>1535</v>
      </c>
      <c r="AE4327" s="17" t="s">
        <v>48</v>
      </c>
      <c r="AF4327" s="17"/>
      <c r="AG4327" s="17"/>
      <c r="AH4327" s="17"/>
      <c r="AI4327" s="17"/>
      <c r="AJ4327" s="17"/>
      <c r="AK4327" s="17"/>
      <c r="AL4327" s="17"/>
      <c r="AM4327" s="17"/>
      <c r="AN4327" s="17"/>
      <c r="AO4327" s="17"/>
      <c r="AP4327" s="17"/>
      <c r="AQ4327" s="17"/>
      <c r="AR4327" s="17"/>
    </row>
    <row r="4328" s="21" customFormat="1" hidden="1" spans="1:44">
      <c r="A4328" s="17" t="s">
        <v>34</v>
      </c>
      <c r="B4328" s="19">
        <v>949</v>
      </c>
      <c r="C4328" s="183">
        <v>45224</v>
      </c>
      <c r="D4328" s="17" t="s">
        <v>35</v>
      </c>
      <c r="E4328" s="17" t="s">
        <v>71</v>
      </c>
      <c r="F4328" s="17" t="s">
        <v>72</v>
      </c>
      <c r="G4328" s="17"/>
      <c r="H4328" s="19">
        <v>1.2379</v>
      </c>
      <c r="I4328" s="19"/>
      <c r="J4328" s="17" t="s">
        <v>39</v>
      </c>
      <c r="K4328" s="19">
        <v>91</v>
      </c>
      <c r="L4328" s="91"/>
      <c r="M4328" s="19">
        <v>5800</v>
      </c>
      <c r="N4328" s="19" t="s">
        <v>40</v>
      </c>
      <c r="O4328" s="19" t="s">
        <v>84</v>
      </c>
      <c r="P4328" s="19">
        <v>2000</v>
      </c>
      <c r="Q4328" s="19">
        <v>1956</v>
      </c>
      <c r="R4328" s="19">
        <f t="shared" si="208"/>
        <v>44</v>
      </c>
      <c r="S4328" s="19">
        <f t="shared" ref="S4328:S4333" si="209">2475+100</f>
        <v>2575</v>
      </c>
      <c r="T4328" s="19" t="s">
        <v>42</v>
      </c>
      <c r="U4328" s="102" t="s">
        <v>1310</v>
      </c>
      <c r="V4328" s="101">
        <v>45225</v>
      </c>
      <c r="W4328" s="17" t="s">
        <v>69</v>
      </c>
      <c r="X4328" s="17"/>
      <c r="Y4328" s="68">
        <v>45346</v>
      </c>
      <c r="Z4328" s="17" t="s">
        <v>1311</v>
      </c>
      <c r="AA4328" s="17" t="s">
        <v>46</v>
      </c>
      <c r="AB4328" s="17" t="s">
        <v>1312</v>
      </c>
      <c r="AC4328" s="217">
        <v>45358</v>
      </c>
      <c r="AD4328" s="65">
        <v>1535</v>
      </c>
      <c r="AE4328" s="17" t="s">
        <v>48</v>
      </c>
      <c r="AF4328" s="17"/>
      <c r="AG4328" s="17"/>
      <c r="AH4328" s="17"/>
      <c r="AI4328" s="17"/>
      <c r="AJ4328" s="17"/>
      <c r="AK4328" s="17"/>
      <c r="AL4328" s="17"/>
      <c r="AM4328" s="17"/>
      <c r="AN4328" s="17"/>
      <c r="AO4328" s="17"/>
      <c r="AP4328" s="17"/>
      <c r="AQ4328" s="17"/>
      <c r="AR4328" s="17"/>
    </row>
    <row r="4329" s="21" customFormat="1" hidden="1" spans="1:44">
      <c r="A4329" s="17" t="s">
        <v>34</v>
      </c>
      <c r="B4329" s="19">
        <v>949</v>
      </c>
      <c r="C4329" s="183">
        <v>45224</v>
      </c>
      <c r="D4329" s="17" t="s">
        <v>35</v>
      </c>
      <c r="E4329" s="17" t="s">
        <v>71</v>
      </c>
      <c r="F4329" s="17" t="s">
        <v>72</v>
      </c>
      <c r="G4329" s="17"/>
      <c r="H4329" s="19">
        <v>1.2379</v>
      </c>
      <c r="I4329" s="19"/>
      <c r="J4329" s="17" t="s">
        <v>39</v>
      </c>
      <c r="K4329" s="19">
        <v>95</v>
      </c>
      <c r="L4329" s="91"/>
      <c r="M4329" s="19">
        <v>5800</v>
      </c>
      <c r="N4329" s="19" t="s">
        <v>40</v>
      </c>
      <c r="O4329" s="19" t="s">
        <v>84</v>
      </c>
      <c r="P4329" s="19">
        <v>1000</v>
      </c>
      <c r="Q4329" s="19">
        <v>1012</v>
      </c>
      <c r="R4329" s="19">
        <f t="shared" si="208"/>
        <v>-12</v>
      </c>
      <c r="S4329" s="19">
        <f t="shared" si="209"/>
        <v>2575</v>
      </c>
      <c r="T4329" s="19" t="s">
        <v>42</v>
      </c>
      <c r="U4329" s="102" t="s">
        <v>1310</v>
      </c>
      <c r="V4329" s="101">
        <v>45225</v>
      </c>
      <c r="W4329" s="17" t="s">
        <v>69</v>
      </c>
      <c r="X4329" s="17"/>
      <c r="Y4329" s="68">
        <v>45346</v>
      </c>
      <c r="Z4329" s="17" t="s">
        <v>1311</v>
      </c>
      <c r="AA4329" s="17" t="s">
        <v>46</v>
      </c>
      <c r="AB4329" s="17" t="s">
        <v>1312</v>
      </c>
      <c r="AC4329" s="217">
        <v>45358</v>
      </c>
      <c r="AD4329" s="65">
        <v>1535</v>
      </c>
      <c r="AE4329" s="17" t="s">
        <v>48</v>
      </c>
      <c r="AF4329" s="17"/>
      <c r="AG4329" s="17"/>
      <c r="AH4329" s="17"/>
      <c r="AI4329" s="17"/>
      <c r="AJ4329" s="17"/>
      <c r="AK4329" s="17"/>
      <c r="AL4329" s="17"/>
      <c r="AM4329" s="17"/>
      <c r="AN4329" s="17"/>
      <c r="AO4329" s="17"/>
      <c r="AP4329" s="17"/>
      <c r="AQ4329" s="17"/>
      <c r="AR4329" s="17"/>
    </row>
    <row r="4330" s="21" customFormat="1" hidden="1" spans="1:44">
      <c r="A4330" s="17" t="s">
        <v>34</v>
      </c>
      <c r="B4330" s="19">
        <v>949</v>
      </c>
      <c r="C4330" s="183">
        <v>45224</v>
      </c>
      <c r="D4330" s="17" t="s">
        <v>35</v>
      </c>
      <c r="E4330" s="17" t="s">
        <v>71</v>
      </c>
      <c r="F4330" s="17" t="s">
        <v>72</v>
      </c>
      <c r="G4330" s="17"/>
      <c r="H4330" s="19">
        <v>1.2379</v>
      </c>
      <c r="I4330" s="19"/>
      <c r="J4330" s="17" t="s">
        <v>39</v>
      </c>
      <c r="K4330" s="19">
        <v>100</v>
      </c>
      <c r="L4330" s="91"/>
      <c r="M4330" s="19">
        <v>5800</v>
      </c>
      <c r="N4330" s="19" t="s">
        <v>40</v>
      </c>
      <c r="O4330" s="19" t="s">
        <v>84</v>
      </c>
      <c r="P4330" s="19">
        <v>5000</v>
      </c>
      <c r="Q4330" s="19">
        <f>1514+1792+1784</f>
        <v>5090</v>
      </c>
      <c r="R4330" s="19">
        <f t="shared" si="208"/>
        <v>-90</v>
      </c>
      <c r="S4330" s="19">
        <f t="shared" si="209"/>
        <v>2575</v>
      </c>
      <c r="T4330" s="19" t="s">
        <v>42</v>
      </c>
      <c r="U4330" s="102" t="s">
        <v>1310</v>
      </c>
      <c r="V4330" s="101">
        <v>45225</v>
      </c>
      <c r="W4330" s="17" t="s">
        <v>69</v>
      </c>
      <c r="X4330" s="17"/>
      <c r="Y4330" s="68">
        <v>45346</v>
      </c>
      <c r="Z4330" s="17" t="s">
        <v>1311</v>
      </c>
      <c r="AA4330" s="17" t="s">
        <v>46</v>
      </c>
      <c r="AB4330" s="17" t="s">
        <v>1312</v>
      </c>
      <c r="AC4330" s="217">
        <v>45358</v>
      </c>
      <c r="AD4330" s="65">
        <v>1535</v>
      </c>
      <c r="AE4330" s="17" t="s">
        <v>48</v>
      </c>
      <c r="AF4330" s="17"/>
      <c r="AG4330" s="17"/>
      <c r="AH4330" s="17"/>
      <c r="AI4330" s="17"/>
      <c r="AJ4330" s="17"/>
      <c r="AK4330" s="17"/>
      <c r="AL4330" s="17"/>
      <c r="AM4330" s="17"/>
      <c r="AN4330" s="17"/>
      <c r="AO4330" s="17"/>
      <c r="AP4330" s="17"/>
      <c r="AQ4330" s="17"/>
      <c r="AR4330" s="17"/>
    </row>
    <row r="4331" s="21" customFormat="1" hidden="1" spans="1:44">
      <c r="A4331" s="17" t="s">
        <v>34</v>
      </c>
      <c r="B4331" s="19">
        <v>949</v>
      </c>
      <c r="C4331" s="183">
        <v>45224</v>
      </c>
      <c r="D4331" s="17" t="s">
        <v>35</v>
      </c>
      <c r="E4331" s="17" t="s">
        <v>71</v>
      </c>
      <c r="F4331" s="17" t="s">
        <v>72</v>
      </c>
      <c r="G4331" s="17"/>
      <c r="H4331" s="19">
        <v>1.2379</v>
      </c>
      <c r="I4331" s="19"/>
      <c r="J4331" s="17" t="s">
        <v>39</v>
      </c>
      <c r="K4331" s="19">
        <v>101</v>
      </c>
      <c r="L4331" s="91"/>
      <c r="M4331" s="19">
        <v>5800</v>
      </c>
      <c r="N4331" s="19" t="s">
        <v>40</v>
      </c>
      <c r="O4331" s="19" t="s">
        <v>84</v>
      </c>
      <c r="P4331" s="19">
        <v>2000</v>
      </c>
      <c r="Q4331" s="19">
        <v>1967</v>
      </c>
      <c r="R4331" s="19">
        <f t="shared" si="208"/>
        <v>33</v>
      </c>
      <c r="S4331" s="19">
        <f t="shared" si="209"/>
        <v>2575</v>
      </c>
      <c r="T4331" s="19" t="s">
        <v>42</v>
      </c>
      <c r="U4331" s="102" t="s">
        <v>1310</v>
      </c>
      <c r="V4331" s="101">
        <v>45225</v>
      </c>
      <c r="W4331" s="17" t="s">
        <v>69</v>
      </c>
      <c r="X4331" s="17"/>
      <c r="Y4331" s="68">
        <v>45346</v>
      </c>
      <c r="Z4331" s="17" t="s">
        <v>1311</v>
      </c>
      <c r="AA4331" s="17" t="s">
        <v>46</v>
      </c>
      <c r="AB4331" s="17" t="s">
        <v>1312</v>
      </c>
      <c r="AC4331" s="217">
        <v>45358</v>
      </c>
      <c r="AD4331" s="65">
        <v>1535</v>
      </c>
      <c r="AE4331" s="17" t="s">
        <v>48</v>
      </c>
      <c r="AF4331" s="17"/>
      <c r="AG4331" s="17"/>
      <c r="AH4331" s="17"/>
      <c r="AI4331" s="17"/>
      <c r="AJ4331" s="17"/>
      <c r="AK4331" s="17"/>
      <c r="AL4331" s="17"/>
      <c r="AM4331" s="17"/>
      <c r="AN4331" s="17"/>
      <c r="AO4331" s="17"/>
      <c r="AP4331" s="17"/>
      <c r="AQ4331" s="17"/>
      <c r="AR4331" s="17"/>
    </row>
    <row r="4332" s="21" customFormat="1" hidden="1" spans="1:44">
      <c r="A4332" s="17" t="s">
        <v>34</v>
      </c>
      <c r="B4332" s="19">
        <v>949</v>
      </c>
      <c r="C4332" s="183">
        <v>45224</v>
      </c>
      <c r="D4332" s="17" t="s">
        <v>35</v>
      </c>
      <c r="E4332" s="17" t="s">
        <v>71</v>
      </c>
      <c r="F4332" s="17" t="s">
        <v>72</v>
      </c>
      <c r="G4332" s="17"/>
      <c r="H4332" s="19">
        <v>1.2379</v>
      </c>
      <c r="I4332" s="19"/>
      <c r="J4332" s="17" t="s">
        <v>39</v>
      </c>
      <c r="K4332" s="19">
        <v>105</v>
      </c>
      <c r="L4332" s="91"/>
      <c r="M4332" s="19">
        <v>5800</v>
      </c>
      <c r="N4332" s="19" t="s">
        <v>40</v>
      </c>
      <c r="O4332" s="19" t="s">
        <v>84</v>
      </c>
      <c r="P4332" s="19">
        <v>2000</v>
      </c>
      <c r="Q4332" s="19">
        <v>1992</v>
      </c>
      <c r="R4332" s="19">
        <f t="shared" si="208"/>
        <v>8</v>
      </c>
      <c r="S4332" s="19">
        <f t="shared" si="209"/>
        <v>2575</v>
      </c>
      <c r="T4332" s="19" t="s">
        <v>42</v>
      </c>
      <c r="U4332" s="102" t="s">
        <v>1310</v>
      </c>
      <c r="V4332" s="101">
        <v>45225</v>
      </c>
      <c r="W4332" s="17" t="s">
        <v>69</v>
      </c>
      <c r="X4332" s="17"/>
      <c r="Y4332" s="68">
        <v>45346</v>
      </c>
      <c r="Z4332" s="17" t="s">
        <v>1311</v>
      </c>
      <c r="AA4332" s="17" t="s">
        <v>46</v>
      </c>
      <c r="AB4332" s="17" t="s">
        <v>1312</v>
      </c>
      <c r="AC4332" s="217">
        <v>45358</v>
      </c>
      <c r="AD4332" s="65">
        <v>1535</v>
      </c>
      <c r="AE4332" s="17" t="s">
        <v>1313</v>
      </c>
      <c r="AF4332" s="17"/>
      <c r="AG4332" s="17"/>
      <c r="AH4332" s="17"/>
      <c r="AI4332" s="17"/>
      <c r="AJ4332" s="17"/>
      <c r="AK4332" s="17"/>
      <c r="AL4332" s="17"/>
      <c r="AM4332" s="17"/>
      <c r="AN4332" s="17"/>
      <c r="AO4332" s="17"/>
      <c r="AP4332" s="17"/>
      <c r="AQ4332" s="17"/>
      <c r="AR4332" s="17"/>
    </row>
    <row r="4333" s="21" customFormat="1" hidden="1" spans="1:44">
      <c r="A4333" s="17" t="s">
        <v>34</v>
      </c>
      <c r="B4333" s="19">
        <v>949</v>
      </c>
      <c r="C4333" s="183">
        <v>45224</v>
      </c>
      <c r="D4333" s="17" t="s">
        <v>35</v>
      </c>
      <c r="E4333" s="17" t="s">
        <v>71</v>
      </c>
      <c r="F4333" s="17" t="s">
        <v>72</v>
      </c>
      <c r="G4333" s="17"/>
      <c r="H4333" s="19">
        <v>1.2379</v>
      </c>
      <c r="I4333" s="19"/>
      <c r="J4333" s="17" t="s">
        <v>39</v>
      </c>
      <c r="K4333" s="19">
        <v>111</v>
      </c>
      <c r="L4333" s="91"/>
      <c r="M4333" s="19">
        <v>5800</v>
      </c>
      <c r="N4333" s="19" t="s">
        <v>40</v>
      </c>
      <c r="O4333" s="19" t="s">
        <v>84</v>
      </c>
      <c r="P4333" s="19">
        <v>2000</v>
      </c>
      <c r="Q4333" s="19">
        <f>757+1009</f>
        <v>1766</v>
      </c>
      <c r="R4333" s="19">
        <f t="shared" si="208"/>
        <v>234</v>
      </c>
      <c r="S4333" s="19">
        <f t="shared" si="209"/>
        <v>2575</v>
      </c>
      <c r="T4333" s="19" t="s">
        <v>42</v>
      </c>
      <c r="U4333" s="102" t="s">
        <v>1310</v>
      </c>
      <c r="V4333" s="101">
        <v>45225</v>
      </c>
      <c r="W4333" s="17" t="s">
        <v>69</v>
      </c>
      <c r="X4333" s="17"/>
      <c r="Y4333" s="68">
        <v>45346</v>
      </c>
      <c r="Z4333" s="17" t="s">
        <v>1311</v>
      </c>
      <c r="AA4333" s="17" t="s">
        <v>46</v>
      </c>
      <c r="AB4333" s="17" t="s">
        <v>1312</v>
      </c>
      <c r="AC4333" s="217">
        <v>45358</v>
      </c>
      <c r="AD4333" s="65">
        <v>1535</v>
      </c>
      <c r="AE4333" s="17" t="s">
        <v>1313</v>
      </c>
      <c r="AF4333" s="17"/>
      <c r="AG4333" s="17"/>
      <c r="AH4333" s="17"/>
      <c r="AI4333" s="17"/>
      <c r="AJ4333" s="17"/>
      <c r="AK4333" s="17"/>
      <c r="AL4333" s="17"/>
      <c r="AM4333" s="17"/>
      <c r="AN4333" s="17"/>
      <c r="AO4333" s="17"/>
      <c r="AP4333" s="17"/>
      <c r="AQ4333" s="17"/>
      <c r="AR4333" s="17"/>
    </row>
    <row r="4334" s="21" customFormat="1" hidden="1" spans="1:44">
      <c r="A4334" s="17" t="s">
        <v>34</v>
      </c>
      <c r="B4334" s="19">
        <v>949</v>
      </c>
      <c r="C4334" s="183">
        <v>45224</v>
      </c>
      <c r="D4334" s="17" t="s">
        <v>35</v>
      </c>
      <c r="E4334" s="17" t="s">
        <v>71</v>
      </c>
      <c r="F4334" s="17" t="s">
        <v>72</v>
      </c>
      <c r="G4334" s="17"/>
      <c r="H4334" s="19">
        <v>1.2379</v>
      </c>
      <c r="I4334" s="19"/>
      <c r="J4334" s="17" t="s">
        <v>39</v>
      </c>
      <c r="K4334" s="19">
        <v>123</v>
      </c>
      <c r="L4334" s="91"/>
      <c r="M4334" s="19">
        <v>5800</v>
      </c>
      <c r="N4334" s="19" t="s">
        <v>40</v>
      </c>
      <c r="O4334" s="19" t="s">
        <v>84</v>
      </c>
      <c r="P4334" s="19">
        <v>8000</v>
      </c>
      <c r="Q4334" s="19">
        <f>1780+1838+1818+1790</f>
        <v>7226</v>
      </c>
      <c r="R4334" s="19">
        <f t="shared" si="208"/>
        <v>774</v>
      </c>
      <c r="S4334" s="19">
        <f>2475+100-10</f>
        <v>2565</v>
      </c>
      <c r="T4334" s="19" t="s">
        <v>42</v>
      </c>
      <c r="U4334" s="102" t="s">
        <v>1310</v>
      </c>
      <c r="V4334" s="101">
        <v>45225</v>
      </c>
      <c r="W4334" s="17" t="s">
        <v>69</v>
      </c>
      <c r="X4334" s="17"/>
      <c r="Y4334" s="68">
        <v>45346</v>
      </c>
      <c r="Z4334" s="17" t="s">
        <v>1311</v>
      </c>
      <c r="AA4334" s="17" t="s">
        <v>46</v>
      </c>
      <c r="AB4334" s="17" t="s">
        <v>1314</v>
      </c>
      <c r="AC4334" s="217">
        <v>45498</v>
      </c>
      <c r="AD4334" s="65">
        <v>1610</v>
      </c>
      <c r="AE4334" s="17" t="s">
        <v>48</v>
      </c>
      <c r="AF4334" s="17" t="s">
        <v>1315</v>
      </c>
      <c r="AG4334" s="17"/>
      <c r="AH4334" s="17"/>
      <c r="AI4334" s="17"/>
      <c r="AJ4334" s="17"/>
      <c r="AK4334" s="17"/>
      <c r="AL4334" s="17"/>
      <c r="AM4334" s="17"/>
      <c r="AN4334" s="17"/>
      <c r="AO4334" s="17"/>
      <c r="AP4334" s="17"/>
      <c r="AQ4334" s="17"/>
      <c r="AR4334" s="17"/>
    </row>
    <row r="4335" s="21" customFormat="1" hidden="1" spans="1:44">
      <c r="A4335" s="17" t="s">
        <v>34</v>
      </c>
      <c r="B4335" s="19">
        <v>949</v>
      </c>
      <c r="C4335" s="183">
        <v>45224</v>
      </c>
      <c r="D4335" s="17" t="s">
        <v>35</v>
      </c>
      <c r="E4335" s="17" t="s">
        <v>71</v>
      </c>
      <c r="F4335" s="17" t="s">
        <v>72</v>
      </c>
      <c r="G4335" s="17"/>
      <c r="H4335" s="19">
        <v>1.2379</v>
      </c>
      <c r="I4335" s="19"/>
      <c r="J4335" s="17" t="s">
        <v>39</v>
      </c>
      <c r="K4335" s="19">
        <v>125</v>
      </c>
      <c r="L4335" s="91"/>
      <c r="M4335" s="19">
        <v>5800</v>
      </c>
      <c r="N4335" s="19" t="s">
        <v>40</v>
      </c>
      <c r="O4335" s="19" t="s">
        <v>84</v>
      </c>
      <c r="P4335" s="19">
        <v>3000</v>
      </c>
      <c r="Q4335" s="19">
        <f>1340+1358</f>
        <v>2698</v>
      </c>
      <c r="R4335" s="19">
        <f t="shared" si="208"/>
        <v>302</v>
      </c>
      <c r="S4335" s="19">
        <f>2475+100-10</f>
        <v>2565</v>
      </c>
      <c r="T4335" s="19" t="s">
        <v>42</v>
      </c>
      <c r="U4335" s="102" t="s">
        <v>1310</v>
      </c>
      <c r="V4335" s="101">
        <v>45225</v>
      </c>
      <c r="W4335" s="17" t="s">
        <v>69</v>
      </c>
      <c r="X4335" s="17"/>
      <c r="Y4335" s="68">
        <v>45346</v>
      </c>
      <c r="Z4335" s="17" t="s">
        <v>1311</v>
      </c>
      <c r="AA4335" s="17" t="s">
        <v>46</v>
      </c>
      <c r="AB4335" s="17" t="s">
        <v>1314</v>
      </c>
      <c r="AC4335" s="217">
        <v>45498</v>
      </c>
      <c r="AD4335" s="65">
        <v>1610</v>
      </c>
      <c r="AE4335" s="17" t="s">
        <v>48</v>
      </c>
      <c r="AF4335" s="17" t="s">
        <v>1315</v>
      </c>
      <c r="AG4335" s="17"/>
      <c r="AH4335" s="17"/>
      <c r="AI4335" s="17"/>
      <c r="AJ4335" s="17"/>
      <c r="AK4335" s="17"/>
      <c r="AL4335" s="17"/>
      <c r="AM4335" s="17"/>
      <c r="AN4335" s="17"/>
      <c r="AO4335" s="17"/>
      <c r="AP4335" s="17"/>
      <c r="AQ4335" s="17"/>
      <c r="AR4335" s="17"/>
    </row>
    <row r="4336" s="21" customFormat="1" hidden="1" spans="1:44">
      <c r="A4336" s="17" t="s">
        <v>34</v>
      </c>
      <c r="B4336" s="19">
        <v>949</v>
      </c>
      <c r="C4336" s="183">
        <v>45224</v>
      </c>
      <c r="D4336" s="17" t="s">
        <v>35</v>
      </c>
      <c r="E4336" s="17" t="s">
        <v>71</v>
      </c>
      <c r="F4336" s="17" t="s">
        <v>72</v>
      </c>
      <c r="G4336" s="17"/>
      <c r="H4336" s="19">
        <v>1.2379</v>
      </c>
      <c r="I4336" s="19"/>
      <c r="J4336" s="17" t="s">
        <v>39</v>
      </c>
      <c r="K4336" s="19">
        <v>131</v>
      </c>
      <c r="L4336" s="91"/>
      <c r="M4336" s="19">
        <v>5800</v>
      </c>
      <c r="N4336" s="19" t="s">
        <v>40</v>
      </c>
      <c r="O4336" s="19" t="s">
        <v>84</v>
      </c>
      <c r="P4336" s="19">
        <v>1000</v>
      </c>
      <c r="Q4336" s="19">
        <f>982+422+278</f>
        <v>1682</v>
      </c>
      <c r="R4336" s="19">
        <f t="shared" si="208"/>
        <v>-682</v>
      </c>
      <c r="S4336" s="19">
        <f>2475+100-10</f>
        <v>2565</v>
      </c>
      <c r="T4336" s="19" t="s">
        <v>42</v>
      </c>
      <c r="U4336" s="102" t="s">
        <v>1310</v>
      </c>
      <c r="V4336" s="101">
        <v>45225</v>
      </c>
      <c r="W4336" s="17" t="s">
        <v>69</v>
      </c>
      <c r="X4336" s="17"/>
      <c r="Y4336" s="68">
        <v>45346</v>
      </c>
      <c r="Z4336" s="17" t="s">
        <v>1311</v>
      </c>
      <c r="AA4336" s="17" t="s">
        <v>46</v>
      </c>
      <c r="AB4336" s="17" t="s">
        <v>1314</v>
      </c>
      <c r="AC4336" s="217">
        <v>45498</v>
      </c>
      <c r="AD4336" s="65">
        <v>1610</v>
      </c>
      <c r="AE4336" s="17" t="s">
        <v>48</v>
      </c>
      <c r="AF4336" s="17" t="s">
        <v>1315</v>
      </c>
      <c r="AG4336" s="17"/>
      <c r="AH4336" s="17"/>
      <c r="AI4336" s="17"/>
      <c r="AJ4336" s="17"/>
      <c r="AK4336" s="17"/>
      <c r="AL4336" s="17"/>
      <c r="AM4336" s="17"/>
      <c r="AN4336" s="17"/>
      <c r="AO4336" s="17"/>
      <c r="AP4336" s="17"/>
      <c r="AQ4336" s="17"/>
      <c r="AR4336" s="17"/>
    </row>
    <row r="4337" s="21" customFormat="1" hidden="1" spans="1:44">
      <c r="A4337" s="17" t="s">
        <v>34</v>
      </c>
      <c r="B4337" s="19">
        <v>949</v>
      </c>
      <c r="C4337" s="183">
        <v>45224</v>
      </c>
      <c r="D4337" s="17" t="s">
        <v>35</v>
      </c>
      <c r="E4337" s="17" t="s">
        <v>71</v>
      </c>
      <c r="F4337" s="17" t="s">
        <v>72</v>
      </c>
      <c r="G4337" s="17"/>
      <c r="H4337" s="19">
        <v>1.2379</v>
      </c>
      <c r="I4337" s="19"/>
      <c r="J4337" s="17" t="s">
        <v>39</v>
      </c>
      <c r="K4337" s="19">
        <v>141</v>
      </c>
      <c r="L4337" s="91"/>
      <c r="M4337" s="19">
        <v>5800</v>
      </c>
      <c r="N4337" s="19" t="s">
        <v>40</v>
      </c>
      <c r="O4337" s="19" t="s">
        <v>84</v>
      </c>
      <c r="P4337" s="19">
        <v>1000</v>
      </c>
      <c r="Q4337" s="19">
        <v>1014</v>
      </c>
      <c r="R4337" s="19">
        <f t="shared" si="208"/>
        <v>-14</v>
      </c>
      <c r="S4337" s="19">
        <f>2475+100-10</f>
        <v>2565</v>
      </c>
      <c r="T4337" s="19" t="s">
        <v>42</v>
      </c>
      <c r="U4337" s="102" t="s">
        <v>1310</v>
      </c>
      <c r="V4337" s="101">
        <v>45225</v>
      </c>
      <c r="W4337" s="17" t="s">
        <v>69</v>
      </c>
      <c r="X4337" s="17"/>
      <c r="Y4337" s="68">
        <v>45346</v>
      </c>
      <c r="Z4337" s="17" t="s">
        <v>1311</v>
      </c>
      <c r="AA4337" s="17" t="s">
        <v>46</v>
      </c>
      <c r="AB4337" s="17" t="s">
        <v>1314</v>
      </c>
      <c r="AC4337" s="217">
        <v>45498</v>
      </c>
      <c r="AD4337" s="65">
        <v>1610</v>
      </c>
      <c r="AE4337" s="17" t="s">
        <v>48</v>
      </c>
      <c r="AF4337" s="17" t="s">
        <v>1315</v>
      </c>
      <c r="AG4337" s="17"/>
      <c r="AH4337" s="17"/>
      <c r="AI4337" s="17"/>
      <c r="AJ4337" s="17"/>
      <c r="AK4337" s="17"/>
      <c r="AL4337" s="17"/>
      <c r="AM4337" s="17"/>
      <c r="AN4337" s="17"/>
      <c r="AO4337" s="17"/>
      <c r="AP4337" s="17"/>
      <c r="AQ4337" s="17"/>
      <c r="AR4337" s="17"/>
    </row>
    <row r="4338" s="20" customFormat="1" hidden="1" spans="1:44">
      <c r="A4338" s="17" t="s">
        <v>34</v>
      </c>
      <c r="B4338" s="19">
        <v>950</v>
      </c>
      <c r="C4338" s="183">
        <v>45224</v>
      </c>
      <c r="D4338" s="17" t="s">
        <v>35</v>
      </c>
      <c r="E4338" s="17" t="s">
        <v>71</v>
      </c>
      <c r="F4338" s="17" t="s">
        <v>72</v>
      </c>
      <c r="G4338" s="17"/>
      <c r="H4338" s="19">
        <v>1.2379</v>
      </c>
      <c r="I4338" s="19"/>
      <c r="J4338" s="17" t="s">
        <v>39</v>
      </c>
      <c r="K4338" s="19">
        <v>151</v>
      </c>
      <c r="L4338" s="91"/>
      <c r="M4338" s="19">
        <v>5800</v>
      </c>
      <c r="N4338" s="19" t="s">
        <v>40</v>
      </c>
      <c r="O4338" s="19" t="s">
        <v>84</v>
      </c>
      <c r="P4338" s="19">
        <v>2000</v>
      </c>
      <c r="Q4338" s="19">
        <v>2410</v>
      </c>
      <c r="R4338" s="19">
        <f t="shared" si="208"/>
        <v>-410</v>
      </c>
      <c r="S4338" s="19">
        <f t="shared" ref="S4338:S4343" si="210">2355+100-50-15</f>
        <v>2390</v>
      </c>
      <c r="T4338" s="19" t="s">
        <v>42</v>
      </c>
      <c r="U4338" s="102" t="s">
        <v>1316</v>
      </c>
      <c r="V4338" s="101">
        <v>45225</v>
      </c>
      <c r="W4338" s="17" t="s">
        <v>44</v>
      </c>
      <c r="X4338" s="17"/>
      <c r="Y4338" s="68">
        <v>45346</v>
      </c>
      <c r="Z4338" s="17" t="s">
        <v>1317</v>
      </c>
      <c r="AA4338" s="17" t="s">
        <v>46</v>
      </c>
      <c r="AB4338" s="17" t="s">
        <v>1318</v>
      </c>
      <c r="AC4338" s="217">
        <v>45281</v>
      </c>
      <c r="AD4338" s="65">
        <v>1509</v>
      </c>
      <c r="AE4338" s="17" t="s">
        <v>1319</v>
      </c>
      <c r="AF4338" s="17"/>
      <c r="AG4338" s="17"/>
      <c r="AH4338" s="17"/>
      <c r="AI4338" s="17"/>
      <c r="AJ4338" s="17"/>
      <c r="AK4338" s="17"/>
      <c r="AL4338" s="17"/>
      <c r="AM4338" s="17"/>
      <c r="AN4338" s="17"/>
      <c r="AO4338" s="17"/>
      <c r="AP4338" s="17"/>
      <c r="AQ4338" s="17"/>
      <c r="AR4338" s="17"/>
    </row>
    <row r="4339" s="20" customFormat="1" hidden="1" spans="1:44">
      <c r="A4339" s="17" t="s">
        <v>34</v>
      </c>
      <c r="B4339" s="19">
        <v>950</v>
      </c>
      <c r="C4339" s="183">
        <v>45224</v>
      </c>
      <c r="D4339" s="17" t="s">
        <v>35</v>
      </c>
      <c r="E4339" s="17" t="s">
        <v>71</v>
      </c>
      <c r="F4339" s="17" t="s">
        <v>72</v>
      </c>
      <c r="G4339" s="17"/>
      <c r="H4339" s="19">
        <v>1.2379</v>
      </c>
      <c r="I4339" s="19"/>
      <c r="J4339" s="17" t="s">
        <v>39</v>
      </c>
      <c r="K4339" s="19">
        <v>162</v>
      </c>
      <c r="L4339" s="91"/>
      <c r="M4339" s="19">
        <v>5800</v>
      </c>
      <c r="N4339" s="19" t="s">
        <v>40</v>
      </c>
      <c r="O4339" s="19" t="s">
        <v>84</v>
      </c>
      <c r="P4339" s="19">
        <v>3000</v>
      </c>
      <c r="Q4339" s="19">
        <v>2300</v>
      </c>
      <c r="R4339" s="19">
        <f t="shared" si="208"/>
        <v>700</v>
      </c>
      <c r="S4339" s="19">
        <f t="shared" si="210"/>
        <v>2390</v>
      </c>
      <c r="T4339" s="19" t="s">
        <v>42</v>
      </c>
      <c r="U4339" s="102" t="s">
        <v>1316</v>
      </c>
      <c r="V4339" s="101">
        <v>45225</v>
      </c>
      <c r="W4339" s="17" t="s">
        <v>44</v>
      </c>
      <c r="X4339" s="17"/>
      <c r="Y4339" s="68">
        <v>45346</v>
      </c>
      <c r="Z4339" s="17" t="s">
        <v>1317</v>
      </c>
      <c r="AA4339" s="17" t="s">
        <v>46</v>
      </c>
      <c r="AB4339" s="17" t="s">
        <v>1318</v>
      </c>
      <c r="AC4339" s="217">
        <v>45281</v>
      </c>
      <c r="AD4339" s="65">
        <v>1509</v>
      </c>
      <c r="AE4339" s="17" t="s">
        <v>1320</v>
      </c>
      <c r="AF4339" s="17"/>
      <c r="AG4339" s="17"/>
      <c r="AH4339" s="17"/>
      <c r="AI4339" s="17"/>
      <c r="AJ4339" s="17"/>
      <c r="AK4339" s="17"/>
      <c r="AL4339" s="17"/>
      <c r="AM4339" s="17"/>
      <c r="AN4339" s="17"/>
      <c r="AO4339" s="17"/>
      <c r="AP4339" s="17"/>
      <c r="AQ4339" s="17"/>
      <c r="AR4339" s="17"/>
    </row>
    <row r="4340" s="20" customFormat="1" hidden="1" spans="1:44">
      <c r="A4340" s="17" t="s">
        <v>34</v>
      </c>
      <c r="B4340" s="19">
        <v>950</v>
      </c>
      <c r="C4340" s="183">
        <v>45224</v>
      </c>
      <c r="D4340" s="17" t="s">
        <v>35</v>
      </c>
      <c r="E4340" s="17" t="s">
        <v>71</v>
      </c>
      <c r="F4340" s="17" t="s">
        <v>72</v>
      </c>
      <c r="G4340" s="17"/>
      <c r="H4340" s="19">
        <v>1.2379</v>
      </c>
      <c r="I4340" s="19"/>
      <c r="J4340" s="17" t="s">
        <v>39</v>
      </c>
      <c r="K4340" s="19">
        <v>202</v>
      </c>
      <c r="L4340" s="91"/>
      <c r="M4340" s="19">
        <v>5800</v>
      </c>
      <c r="N4340" s="19" t="s">
        <v>40</v>
      </c>
      <c r="O4340" s="19" t="s">
        <v>84</v>
      </c>
      <c r="P4340" s="19">
        <v>3000</v>
      </c>
      <c r="Q4340" s="19">
        <v>2820</v>
      </c>
      <c r="R4340" s="19">
        <f t="shared" si="208"/>
        <v>180</v>
      </c>
      <c r="S4340" s="19">
        <f t="shared" si="210"/>
        <v>2390</v>
      </c>
      <c r="T4340" s="19" t="s">
        <v>42</v>
      </c>
      <c r="U4340" s="102" t="s">
        <v>1316</v>
      </c>
      <c r="V4340" s="101">
        <v>45225</v>
      </c>
      <c r="W4340" s="17" t="s">
        <v>44</v>
      </c>
      <c r="X4340" s="17"/>
      <c r="Y4340" s="68">
        <v>45346</v>
      </c>
      <c r="Z4340" s="17" t="s">
        <v>1317</v>
      </c>
      <c r="AA4340" s="17" t="s">
        <v>46</v>
      </c>
      <c r="AB4340" s="17" t="s">
        <v>1318</v>
      </c>
      <c r="AC4340" s="217">
        <v>45281</v>
      </c>
      <c r="AD4340" s="65">
        <v>1509</v>
      </c>
      <c r="AE4340" s="17" t="s">
        <v>1319</v>
      </c>
      <c r="AF4340" s="17"/>
      <c r="AG4340" s="17"/>
      <c r="AH4340" s="17"/>
      <c r="AI4340" s="17"/>
      <c r="AJ4340" s="17"/>
      <c r="AK4340" s="17"/>
      <c r="AL4340" s="17"/>
      <c r="AM4340" s="17"/>
      <c r="AN4340" s="17"/>
      <c r="AO4340" s="17"/>
      <c r="AP4340" s="17"/>
      <c r="AQ4340" s="17"/>
      <c r="AR4340" s="17"/>
    </row>
    <row r="4341" s="20" customFormat="1" hidden="1" spans="1:44">
      <c r="A4341" s="17" t="s">
        <v>34</v>
      </c>
      <c r="B4341" s="19">
        <v>950</v>
      </c>
      <c r="C4341" s="183">
        <v>45224</v>
      </c>
      <c r="D4341" s="17" t="s">
        <v>35</v>
      </c>
      <c r="E4341" s="17" t="s">
        <v>71</v>
      </c>
      <c r="F4341" s="17" t="s">
        <v>72</v>
      </c>
      <c r="G4341" s="17"/>
      <c r="H4341" s="19">
        <v>1.2379</v>
      </c>
      <c r="I4341" s="19"/>
      <c r="J4341" s="17" t="s">
        <v>39</v>
      </c>
      <c r="K4341" s="19">
        <v>222</v>
      </c>
      <c r="L4341" s="91"/>
      <c r="M4341" s="19">
        <v>5800</v>
      </c>
      <c r="N4341" s="19" t="s">
        <v>40</v>
      </c>
      <c r="O4341" s="19" t="s">
        <v>84</v>
      </c>
      <c r="P4341" s="19">
        <v>3000</v>
      </c>
      <c r="Q4341" s="19">
        <v>2945</v>
      </c>
      <c r="R4341" s="19">
        <f t="shared" si="208"/>
        <v>55</v>
      </c>
      <c r="S4341" s="19">
        <f t="shared" si="210"/>
        <v>2390</v>
      </c>
      <c r="T4341" s="19" t="s">
        <v>42</v>
      </c>
      <c r="U4341" s="102" t="s">
        <v>1316</v>
      </c>
      <c r="V4341" s="101">
        <v>45225</v>
      </c>
      <c r="W4341" s="17" t="s">
        <v>44</v>
      </c>
      <c r="X4341" s="17"/>
      <c r="Y4341" s="68">
        <v>45346</v>
      </c>
      <c r="Z4341" s="17" t="s">
        <v>1317</v>
      </c>
      <c r="AA4341" s="17" t="s">
        <v>46</v>
      </c>
      <c r="AB4341" s="17" t="s">
        <v>1318</v>
      </c>
      <c r="AC4341" s="217">
        <v>45281</v>
      </c>
      <c r="AD4341" s="65">
        <v>1509</v>
      </c>
      <c r="AE4341" s="17" t="s">
        <v>48</v>
      </c>
      <c r="AF4341" s="17"/>
      <c r="AG4341" s="17"/>
      <c r="AH4341" s="17"/>
      <c r="AI4341" s="17"/>
      <c r="AJ4341" s="17"/>
      <c r="AK4341" s="17"/>
      <c r="AL4341" s="17"/>
      <c r="AM4341" s="17"/>
      <c r="AN4341" s="17"/>
      <c r="AO4341" s="17"/>
      <c r="AP4341" s="17"/>
      <c r="AQ4341" s="17"/>
      <c r="AR4341" s="17"/>
    </row>
    <row r="4342" s="20" customFormat="1" hidden="1" spans="1:44">
      <c r="A4342" s="17" t="s">
        <v>34</v>
      </c>
      <c r="B4342" s="19">
        <v>950</v>
      </c>
      <c r="C4342" s="183">
        <v>45224</v>
      </c>
      <c r="D4342" s="17" t="s">
        <v>35</v>
      </c>
      <c r="E4342" s="17" t="s">
        <v>71</v>
      </c>
      <c r="F4342" s="17" t="s">
        <v>72</v>
      </c>
      <c r="G4342" s="17"/>
      <c r="H4342" s="19">
        <v>1.2379</v>
      </c>
      <c r="I4342" s="19"/>
      <c r="J4342" s="17" t="s">
        <v>39</v>
      </c>
      <c r="K4342" s="19">
        <v>242</v>
      </c>
      <c r="L4342" s="91"/>
      <c r="M4342" s="19">
        <v>5800</v>
      </c>
      <c r="N4342" s="19" t="s">
        <v>40</v>
      </c>
      <c r="O4342" s="19" t="s">
        <v>50</v>
      </c>
      <c r="P4342" s="19">
        <v>2500</v>
      </c>
      <c r="Q4342" s="19">
        <v>3870</v>
      </c>
      <c r="R4342" s="19">
        <f t="shared" si="208"/>
        <v>-1370</v>
      </c>
      <c r="S4342" s="19">
        <f t="shared" si="210"/>
        <v>2390</v>
      </c>
      <c r="T4342" s="19" t="s">
        <v>42</v>
      </c>
      <c r="U4342" s="102" t="s">
        <v>1316</v>
      </c>
      <c r="V4342" s="101">
        <v>45225</v>
      </c>
      <c r="W4342" s="17" t="s">
        <v>44</v>
      </c>
      <c r="X4342" s="17"/>
      <c r="Y4342" s="68">
        <v>45346</v>
      </c>
      <c r="Z4342" s="17" t="s">
        <v>1317</v>
      </c>
      <c r="AA4342" s="17" t="s">
        <v>46</v>
      </c>
      <c r="AB4342" s="17" t="s">
        <v>1318</v>
      </c>
      <c r="AC4342" s="217">
        <v>45281</v>
      </c>
      <c r="AD4342" s="65">
        <v>1509</v>
      </c>
      <c r="AE4342" s="17" t="s">
        <v>1321</v>
      </c>
      <c r="AF4342" s="17"/>
      <c r="AG4342" s="17"/>
      <c r="AH4342" s="17"/>
      <c r="AI4342" s="17"/>
      <c r="AJ4342" s="17"/>
      <c r="AK4342" s="17"/>
      <c r="AL4342" s="17"/>
      <c r="AM4342" s="17"/>
      <c r="AN4342" s="17"/>
      <c r="AO4342" s="17"/>
      <c r="AP4342" s="17"/>
      <c r="AQ4342" s="17"/>
      <c r="AR4342" s="17"/>
    </row>
    <row r="4343" s="20" customFormat="1" hidden="1" spans="1:44">
      <c r="A4343" s="17" t="s">
        <v>34</v>
      </c>
      <c r="B4343" s="19">
        <v>950</v>
      </c>
      <c r="C4343" s="183">
        <v>45224</v>
      </c>
      <c r="D4343" s="17" t="s">
        <v>35</v>
      </c>
      <c r="E4343" s="17" t="s">
        <v>71</v>
      </c>
      <c r="F4343" s="17" t="s">
        <v>72</v>
      </c>
      <c r="G4343" s="17"/>
      <c r="H4343" s="19">
        <v>1.2379</v>
      </c>
      <c r="I4343" s="19"/>
      <c r="J4343" s="17" t="s">
        <v>39</v>
      </c>
      <c r="K4343" s="19">
        <v>262</v>
      </c>
      <c r="L4343" s="91"/>
      <c r="M4343" s="19">
        <v>5800</v>
      </c>
      <c r="N4343" s="19" t="s">
        <v>40</v>
      </c>
      <c r="O4343" s="19" t="s">
        <v>50</v>
      </c>
      <c r="P4343" s="19">
        <v>3000</v>
      </c>
      <c r="Q4343" s="19">
        <v>4120</v>
      </c>
      <c r="R4343" s="19">
        <f t="shared" si="208"/>
        <v>-1120</v>
      </c>
      <c r="S4343" s="19">
        <f t="shared" si="210"/>
        <v>2390</v>
      </c>
      <c r="T4343" s="19" t="s">
        <v>42</v>
      </c>
      <c r="U4343" s="102" t="s">
        <v>1316</v>
      </c>
      <c r="V4343" s="101">
        <v>45225</v>
      </c>
      <c r="W4343" s="17" t="s">
        <v>44</v>
      </c>
      <c r="X4343" s="17"/>
      <c r="Y4343" s="68">
        <v>45346</v>
      </c>
      <c r="Z4343" s="17" t="s">
        <v>1317</v>
      </c>
      <c r="AA4343" s="17" t="s">
        <v>46</v>
      </c>
      <c r="AB4343" s="17" t="s">
        <v>1318</v>
      </c>
      <c r="AC4343" s="217">
        <v>45281</v>
      </c>
      <c r="AD4343" s="65">
        <v>1509</v>
      </c>
      <c r="AE4343" s="17" t="s">
        <v>48</v>
      </c>
      <c r="AF4343" s="17"/>
      <c r="AG4343" s="17"/>
      <c r="AH4343" s="17"/>
      <c r="AI4343" s="17"/>
      <c r="AJ4343" s="17"/>
      <c r="AK4343" s="17"/>
      <c r="AL4343" s="17"/>
      <c r="AM4343" s="17"/>
      <c r="AN4343" s="17"/>
      <c r="AO4343" s="17"/>
      <c r="AP4343" s="17"/>
      <c r="AQ4343" s="17"/>
      <c r="AR4343" s="17"/>
    </row>
    <row r="4344" s="21" customFormat="1" hidden="1" spans="1:44">
      <c r="A4344" s="17" t="s">
        <v>34</v>
      </c>
      <c r="B4344" s="19">
        <v>950</v>
      </c>
      <c r="C4344" s="183">
        <v>45224</v>
      </c>
      <c r="D4344" s="17" t="s">
        <v>35</v>
      </c>
      <c r="E4344" s="17" t="s">
        <v>71</v>
      </c>
      <c r="F4344" s="17" t="s">
        <v>72</v>
      </c>
      <c r="G4344" s="17"/>
      <c r="H4344" s="19">
        <v>1.2379</v>
      </c>
      <c r="I4344" s="19"/>
      <c r="J4344" s="17" t="s">
        <v>39</v>
      </c>
      <c r="K4344" s="19">
        <v>282</v>
      </c>
      <c r="L4344" s="91"/>
      <c r="M4344" s="19">
        <v>5800</v>
      </c>
      <c r="N4344" s="19" t="s">
        <v>40</v>
      </c>
      <c r="O4344" s="19" t="s">
        <v>50</v>
      </c>
      <c r="P4344" s="19">
        <v>3000</v>
      </c>
      <c r="Q4344" s="19">
        <f>2110+1940</f>
        <v>4050</v>
      </c>
      <c r="R4344" s="19">
        <f t="shared" si="208"/>
        <v>-1050</v>
      </c>
      <c r="S4344" s="19">
        <f>2355+100</f>
        <v>2455</v>
      </c>
      <c r="T4344" s="19" t="s">
        <v>42</v>
      </c>
      <c r="U4344" s="102" t="s">
        <v>1316</v>
      </c>
      <c r="V4344" s="101">
        <v>45225</v>
      </c>
      <c r="W4344" s="17" t="s">
        <v>69</v>
      </c>
      <c r="X4344" s="17"/>
      <c r="Y4344" s="68">
        <v>45346</v>
      </c>
      <c r="Z4344" s="17" t="s">
        <v>1317</v>
      </c>
      <c r="AA4344" s="17" t="s">
        <v>46</v>
      </c>
      <c r="AB4344" s="17" t="s">
        <v>1312</v>
      </c>
      <c r="AC4344" s="217">
        <v>45358</v>
      </c>
      <c r="AD4344" s="65">
        <v>1535</v>
      </c>
      <c r="AE4344" s="17" t="s">
        <v>1322</v>
      </c>
      <c r="AF4344" s="17"/>
      <c r="AG4344" s="17"/>
      <c r="AH4344" s="17"/>
      <c r="AI4344" s="17"/>
      <c r="AJ4344" s="17"/>
      <c r="AK4344" s="17"/>
      <c r="AL4344" s="17"/>
      <c r="AM4344" s="17"/>
      <c r="AN4344" s="17"/>
      <c r="AO4344" s="17"/>
      <c r="AP4344" s="17"/>
      <c r="AQ4344" s="17"/>
      <c r="AR4344" s="17"/>
    </row>
    <row r="4345" s="20" customFormat="1" hidden="1" spans="1:44">
      <c r="A4345" s="17" t="s">
        <v>34</v>
      </c>
      <c r="B4345" s="19">
        <v>950</v>
      </c>
      <c r="C4345" s="183">
        <v>45224</v>
      </c>
      <c r="D4345" s="17" t="s">
        <v>35</v>
      </c>
      <c r="E4345" s="17" t="s">
        <v>71</v>
      </c>
      <c r="F4345" s="17" t="s">
        <v>72</v>
      </c>
      <c r="G4345" s="17"/>
      <c r="H4345" s="19">
        <v>1.2379</v>
      </c>
      <c r="I4345" s="19"/>
      <c r="J4345" s="17" t="s">
        <v>39</v>
      </c>
      <c r="K4345" s="19">
        <v>302</v>
      </c>
      <c r="L4345" s="91"/>
      <c r="M4345" s="19">
        <v>5800</v>
      </c>
      <c r="N4345" s="19" t="s">
        <v>40</v>
      </c>
      <c r="O4345" s="19" t="s">
        <v>50</v>
      </c>
      <c r="P4345" s="19">
        <v>3000</v>
      </c>
      <c r="Q4345" s="19">
        <v>4085</v>
      </c>
      <c r="R4345" s="19">
        <f t="shared" si="208"/>
        <v>-1085</v>
      </c>
      <c r="S4345" s="19">
        <f>2355+100-50-15</f>
        <v>2390</v>
      </c>
      <c r="T4345" s="19" t="s">
        <v>42</v>
      </c>
      <c r="U4345" s="102" t="s">
        <v>1316</v>
      </c>
      <c r="V4345" s="101">
        <v>45225</v>
      </c>
      <c r="W4345" s="17" t="s">
        <v>44</v>
      </c>
      <c r="X4345" s="17"/>
      <c r="Y4345" s="68">
        <v>45346</v>
      </c>
      <c r="Z4345" s="17" t="s">
        <v>1317</v>
      </c>
      <c r="AA4345" s="17" t="s">
        <v>46</v>
      </c>
      <c r="AB4345" s="17" t="s">
        <v>1318</v>
      </c>
      <c r="AC4345" s="217">
        <v>45281</v>
      </c>
      <c r="AD4345" s="65">
        <v>1509</v>
      </c>
      <c r="AE4345" s="17" t="s">
        <v>1319</v>
      </c>
      <c r="AF4345" s="17"/>
      <c r="AG4345" s="17"/>
      <c r="AH4345" s="17"/>
      <c r="AI4345" s="17"/>
      <c r="AJ4345" s="17"/>
      <c r="AK4345" s="17"/>
      <c r="AL4345" s="17"/>
      <c r="AM4345" s="17"/>
      <c r="AN4345" s="17"/>
      <c r="AO4345" s="17"/>
      <c r="AP4345" s="17"/>
      <c r="AQ4345" s="17"/>
      <c r="AR4345" s="17"/>
    </row>
    <row r="4346" s="21" customFormat="1" hidden="1" spans="1:44">
      <c r="A4346" s="17" t="s">
        <v>34</v>
      </c>
      <c r="B4346" s="19">
        <v>950</v>
      </c>
      <c r="C4346" s="183">
        <v>45224</v>
      </c>
      <c r="D4346" s="17" t="s">
        <v>35</v>
      </c>
      <c r="E4346" s="17" t="s">
        <v>71</v>
      </c>
      <c r="F4346" s="17" t="s">
        <v>72</v>
      </c>
      <c r="G4346" s="17"/>
      <c r="H4346" s="19">
        <v>1.2379</v>
      </c>
      <c r="I4346" s="19"/>
      <c r="J4346" s="17" t="s">
        <v>39</v>
      </c>
      <c r="K4346" s="19">
        <v>332</v>
      </c>
      <c r="L4346" s="91"/>
      <c r="M4346" s="19">
        <v>5800</v>
      </c>
      <c r="N4346" s="19" t="s">
        <v>40</v>
      </c>
      <c r="O4346" s="19" t="s">
        <v>50</v>
      </c>
      <c r="P4346" s="19">
        <v>6000</v>
      </c>
      <c r="Q4346" s="19">
        <f>2420+2495</f>
        <v>4915</v>
      </c>
      <c r="R4346" s="19">
        <f t="shared" si="208"/>
        <v>1085</v>
      </c>
      <c r="S4346" s="19">
        <f>2355+100</f>
        <v>2455</v>
      </c>
      <c r="T4346" s="19" t="s">
        <v>42</v>
      </c>
      <c r="U4346" s="102" t="s">
        <v>1316</v>
      </c>
      <c r="V4346" s="101">
        <v>45225</v>
      </c>
      <c r="W4346" s="17" t="s">
        <v>69</v>
      </c>
      <c r="X4346" s="17"/>
      <c r="Y4346" s="68">
        <v>45346</v>
      </c>
      <c r="Z4346" s="17" t="s">
        <v>1317</v>
      </c>
      <c r="AA4346" s="17" t="s">
        <v>46</v>
      </c>
      <c r="AB4346" s="17" t="s">
        <v>1312</v>
      </c>
      <c r="AC4346" s="217">
        <v>45358</v>
      </c>
      <c r="AD4346" s="65">
        <v>1535</v>
      </c>
      <c r="AE4346" s="17" t="s">
        <v>1319</v>
      </c>
      <c r="AF4346" s="17"/>
      <c r="AG4346" s="17"/>
      <c r="AH4346" s="17"/>
      <c r="AI4346" s="17"/>
      <c r="AJ4346" s="17"/>
      <c r="AK4346" s="17"/>
      <c r="AL4346" s="17"/>
      <c r="AM4346" s="17"/>
      <c r="AN4346" s="17"/>
      <c r="AO4346" s="17"/>
      <c r="AP4346" s="17"/>
      <c r="AQ4346" s="17"/>
      <c r="AR4346" s="17"/>
    </row>
    <row r="4347" s="20" customFormat="1" hidden="1" spans="1:44">
      <c r="A4347" s="17" t="s">
        <v>34</v>
      </c>
      <c r="B4347" s="19">
        <v>950</v>
      </c>
      <c r="C4347" s="183">
        <v>45224</v>
      </c>
      <c r="D4347" s="17" t="s">
        <v>35</v>
      </c>
      <c r="E4347" s="17" t="s">
        <v>71</v>
      </c>
      <c r="F4347" s="17" t="s">
        <v>72</v>
      </c>
      <c r="G4347" s="17"/>
      <c r="H4347" s="19">
        <v>1.2379</v>
      </c>
      <c r="I4347" s="19"/>
      <c r="J4347" s="17" t="s">
        <v>39</v>
      </c>
      <c r="K4347" s="19">
        <v>382</v>
      </c>
      <c r="L4347" s="91"/>
      <c r="M4347" s="19">
        <v>5800</v>
      </c>
      <c r="N4347" s="19" t="s">
        <v>40</v>
      </c>
      <c r="O4347" s="19" t="s">
        <v>50</v>
      </c>
      <c r="P4347" s="19">
        <v>6000</v>
      </c>
      <c r="Q4347" s="19">
        <v>4555</v>
      </c>
      <c r="R4347" s="19">
        <f t="shared" si="208"/>
        <v>1445</v>
      </c>
      <c r="S4347" s="19">
        <f>2355+100-50-15</f>
        <v>2390</v>
      </c>
      <c r="T4347" s="19" t="s">
        <v>42</v>
      </c>
      <c r="U4347" s="102" t="s">
        <v>1316</v>
      </c>
      <c r="V4347" s="101">
        <v>45225</v>
      </c>
      <c r="W4347" s="17" t="s">
        <v>44</v>
      </c>
      <c r="X4347" s="17"/>
      <c r="Y4347" s="68">
        <v>45346</v>
      </c>
      <c r="Z4347" s="17" t="s">
        <v>1317</v>
      </c>
      <c r="AA4347" s="17" t="s">
        <v>46</v>
      </c>
      <c r="AB4347" s="17" t="s">
        <v>1318</v>
      </c>
      <c r="AC4347" s="217">
        <v>45281</v>
      </c>
      <c r="AD4347" s="65">
        <v>1509</v>
      </c>
      <c r="AE4347" s="17" t="s">
        <v>1320</v>
      </c>
      <c r="AF4347" s="17"/>
      <c r="AG4347" s="17"/>
      <c r="AH4347" s="17"/>
      <c r="AI4347" s="17"/>
      <c r="AJ4347" s="17"/>
      <c r="AK4347" s="17"/>
      <c r="AL4347" s="17"/>
      <c r="AM4347" s="17"/>
      <c r="AN4347" s="17"/>
      <c r="AO4347" s="17"/>
      <c r="AP4347" s="17"/>
      <c r="AQ4347" s="17"/>
      <c r="AR4347" s="17"/>
    </row>
    <row r="4348" s="20" customFormat="1" hidden="1" spans="1:44">
      <c r="A4348" s="17" t="s">
        <v>34</v>
      </c>
      <c r="B4348" s="19">
        <v>950</v>
      </c>
      <c r="C4348" s="183">
        <v>45224</v>
      </c>
      <c r="D4348" s="17" t="s">
        <v>35</v>
      </c>
      <c r="E4348" s="17" t="s">
        <v>71</v>
      </c>
      <c r="F4348" s="17" t="s">
        <v>72</v>
      </c>
      <c r="G4348" s="17"/>
      <c r="H4348" s="19">
        <v>1.2379</v>
      </c>
      <c r="I4348" s="19"/>
      <c r="J4348" s="17" t="s">
        <v>39</v>
      </c>
      <c r="K4348" s="19">
        <v>403</v>
      </c>
      <c r="L4348" s="91"/>
      <c r="M4348" s="19">
        <v>5800</v>
      </c>
      <c r="N4348" s="19" t="s">
        <v>40</v>
      </c>
      <c r="O4348" s="19" t="s">
        <v>50</v>
      </c>
      <c r="P4348" s="19">
        <v>6000</v>
      </c>
      <c r="Q4348" s="19">
        <v>5740</v>
      </c>
      <c r="R4348" s="19">
        <f t="shared" si="208"/>
        <v>260</v>
      </c>
      <c r="S4348" s="19">
        <f>2395+100-50-15</f>
        <v>2430</v>
      </c>
      <c r="T4348" s="19" t="s">
        <v>42</v>
      </c>
      <c r="U4348" s="102" t="s">
        <v>1316</v>
      </c>
      <c r="V4348" s="101">
        <v>45225</v>
      </c>
      <c r="W4348" s="17" t="s">
        <v>44</v>
      </c>
      <c r="X4348" s="17"/>
      <c r="Y4348" s="68">
        <v>45346</v>
      </c>
      <c r="Z4348" s="17" t="s">
        <v>1317</v>
      </c>
      <c r="AA4348" s="17" t="s">
        <v>46</v>
      </c>
      <c r="AB4348" s="17" t="s">
        <v>1318</v>
      </c>
      <c r="AC4348" s="217">
        <v>45281</v>
      </c>
      <c r="AD4348" s="65">
        <v>1509</v>
      </c>
      <c r="AE4348" s="17" t="s">
        <v>1320</v>
      </c>
      <c r="AF4348" s="17"/>
      <c r="AG4348" s="17"/>
      <c r="AH4348" s="17"/>
      <c r="AI4348" s="17"/>
      <c r="AJ4348" s="17"/>
      <c r="AK4348" s="17"/>
      <c r="AL4348" s="17"/>
      <c r="AM4348" s="17"/>
      <c r="AN4348" s="17"/>
      <c r="AO4348" s="17"/>
      <c r="AP4348" s="17"/>
      <c r="AQ4348" s="17"/>
      <c r="AR4348" s="17"/>
    </row>
    <row r="4349" s="20" customFormat="1" hidden="1" spans="1:44">
      <c r="A4349" s="17" t="s">
        <v>34</v>
      </c>
      <c r="B4349" s="19">
        <v>951</v>
      </c>
      <c r="C4349" s="183">
        <v>45224</v>
      </c>
      <c r="D4349" s="17" t="s">
        <v>35</v>
      </c>
      <c r="E4349" s="17" t="s">
        <v>71</v>
      </c>
      <c r="F4349" s="17" t="s">
        <v>72</v>
      </c>
      <c r="G4349" s="17"/>
      <c r="H4349" s="19">
        <v>1.2379</v>
      </c>
      <c r="I4349" s="19"/>
      <c r="J4349" s="17" t="s">
        <v>82</v>
      </c>
      <c r="K4349" s="19">
        <v>310</v>
      </c>
      <c r="L4349" s="17">
        <v>20</v>
      </c>
      <c r="M4349" s="19">
        <v>5800</v>
      </c>
      <c r="N4349" s="19" t="s">
        <v>40</v>
      </c>
      <c r="O4349" s="19" t="s">
        <v>141</v>
      </c>
      <c r="P4349" s="19">
        <v>1500</v>
      </c>
      <c r="Q4349" s="19">
        <v>850</v>
      </c>
      <c r="R4349" s="19">
        <f t="shared" ref="R4349:R4380" si="211">+P4349-Q4349</f>
        <v>650</v>
      </c>
      <c r="S4349" s="19">
        <f t="shared" ref="S4349:S4360" si="212">2350+100-50-15</f>
        <v>2385</v>
      </c>
      <c r="T4349" s="19" t="s">
        <v>42</v>
      </c>
      <c r="U4349" s="102" t="s">
        <v>1323</v>
      </c>
      <c r="V4349" s="101">
        <v>45225</v>
      </c>
      <c r="W4349" s="17" t="s">
        <v>44</v>
      </c>
      <c r="X4349" s="17"/>
      <c r="Y4349" s="68">
        <v>45346</v>
      </c>
      <c r="Z4349" s="17" t="s">
        <v>1317</v>
      </c>
      <c r="AA4349" s="17" t="s">
        <v>46</v>
      </c>
      <c r="AB4349" s="17" t="s">
        <v>1318</v>
      </c>
      <c r="AC4349" s="217">
        <v>45281</v>
      </c>
      <c r="AD4349" s="65">
        <v>1509</v>
      </c>
      <c r="AE4349" s="17" t="s">
        <v>48</v>
      </c>
      <c r="AF4349" s="17"/>
      <c r="AG4349" s="17"/>
      <c r="AH4349" s="17"/>
      <c r="AI4349" s="17"/>
      <c r="AJ4349" s="17"/>
      <c r="AK4349" s="17"/>
      <c r="AL4349" s="17"/>
      <c r="AM4349" s="17"/>
      <c r="AN4349" s="17"/>
      <c r="AO4349" s="17"/>
      <c r="AP4349" s="17"/>
      <c r="AQ4349" s="17"/>
      <c r="AR4349" s="17"/>
    </row>
    <row r="4350" s="20" customFormat="1" hidden="1" spans="1:44">
      <c r="A4350" s="17" t="s">
        <v>34</v>
      </c>
      <c r="B4350" s="19">
        <v>951</v>
      </c>
      <c r="C4350" s="183">
        <v>45224</v>
      </c>
      <c r="D4350" s="17" t="s">
        <v>35</v>
      </c>
      <c r="E4350" s="17" t="s">
        <v>71</v>
      </c>
      <c r="F4350" s="17" t="s">
        <v>72</v>
      </c>
      <c r="G4350" s="17"/>
      <c r="H4350" s="19">
        <v>1.2379</v>
      </c>
      <c r="I4350" s="19"/>
      <c r="J4350" s="17" t="s">
        <v>82</v>
      </c>
      <c r="K4350" s="19">
        <v>410</v>
      </c>
      <c r="L4350" s="17">
        <v>20</v>
      </c>
      <c r="M4350" s="19">
        <v>5800</v>
      </c>
      <c r="N4350" s="19" t="s">
        <v>40</v>
      </c>
      <c r="O4350" s="19" t="s">
        <v>141</v>
      </c>
      <c r="P4350" s="19">
        <v>1500</v>
      </c>
      <c r="Q4350" s="19">
        <v>2020</v>
      </c>
      <c r="R4350" s="19">
        <f t="shared" si="211"/>
        <v>-520</v>
      </c>
      <c r="S4350" s="19">
        <f t="shared" si="212"/>
        <v>2385</v>
      </c>
      <c r="T4350" s="19" t="s">
        <v>42</v>
      </c>
      <c r="U4350" s="102" t="s">
        <v>1323</v>
      </c>
      <c r="V4350" s="101">
        <v>45225</v>
      </c>
      <c r="W4350" s="17" t="s">
        <v>44</v>
      </c>
      <c r="X4350" s="17"/>
      <c r="Y4350" s="68">
        <v>45346</v>
      </c>
      <c r="Z4350" s="17" t="s">
        <v>1317</v>
      </c>
      <c r="AA4350" s="17" t="s">
        <v>46</v>
      </c>
      <c r="AB4350" s="17" t="s">
        <v>1318</v>
      </c>
      <c r="AC4350" s="217">
        <v>45281</v>
      </c>
      <c r="AD4350" s="65">
        <v>1509</v>
      </c>
      <c r="AE4350" s="17" t="s">
        <v>48</v>
      </c>
      <c r="AF4350" s="17"/>
      <c r="AG4350" s="17"/>
      <c r="AH4350" s="17"/>
      <c r="AI4350" s="17"/>
      <c r="AJ4350" s="17"/>
      <c r="AK4350" s="17"/>
      <c r="AL4350" s="17"/>
      <c r="AM4350" s="17"/>
      <c r="AN4350" s="17"/>
      <c r="AO4350" s="17"/>
      <c r="AP4350" s="17"/>
      <c r="AQ4350" s="17"/>
      <c r="AR4350" s="17"/>
    </row>
    <row r="4351" s="20" customFormat="1" hidden="1" spans="1:44">
      <c r="A4351" s="17" t="s">
        <v>34</v>
      </c>
      <c r="B4351" s="19">
        <v>951</v>
      </c>
      <c r="C4351" s="183">
        <v>45224</v>
      </c>
      <c r="D4351" s="17" t="s">
        <v>35</v>
      </c>
      <c r="E4351" s="17" t="s">
        <v>71</v>
      </c>
      <c r="F4351" s="17" t="s">
        <v>72</v>
      </c>
      <c r="G4351" s="17"/>
      <c r="H4351" s="19">
        <v>1.2379</v>
      </c>
      <c r="I4351" s="19"/>
      <c r="J4351" s="17" t="s">
        <v>82</v>
      </c>
      <c r="K4351" s="19">
        <v>410</v>
      </c>
      <c r="L4351" s="17">
        <v>25</v>
      </c>
      <c r="M4351" s="19">
        <v>5800</v>
      </c>
      <c r="N4351" s="19" t="s">
        <v>40</v>
      </c>
      <c r="O4351" s="19" t="s">
        <v>141</v>
      </c>
      <c r="P4351" s="19">
        <v>1500</v>
      </c>
      <c r="Q4351" s="19">
        <v>1894</v>
      </c>
      <c r="R4351" s="19">
        <f t="shared" si="211"/>
        <v>-394</v>
      </c>
      <c r="S4351" s="19">
        <f t="shared" si="212"/>
        <v>2385</v>
      </c>
      <c r="T4351" s="19" t="s">
        <v>42</v>
      </c>
      <c r="U4351" s="102" t="s">
        <v>1323</v>
      </c>
      <c r="V4351" s="101">
        <v>45225</v>
      </c>
      <c r="W4351" s="17" t="s">
        <v>44</v>
      </c>
      <c r="X4351" s="17"/>
      <c r="Y4351" s="68">
        <v>45346</v>
      </c>
      <c r="Z4351" s="17" t="s">
        <v>1317</v>
      </c>
      <c r="AA4351" s="17" t="s">
        <v>46</v>
      </c>
      <c r="AB4351" s="17" t="s">
        <v>1318</v>
      </c>
      <c r="AC4351" s="217">
        <v>45281</v>
      </c>
      <c r="AD4351" s="65">
        <v>1509</v>
      </c>
      <c r="AE4351" s="17" t="s">
        <v>48</v>
      </c>
      <c r="AF4351" s="17"/>
      <c r="AG4351" s="17"/>
      <c r="AH4351" s="17"/>
      <c r="AI4351" s="17"/>
      <c r="AJ4351" s="17"/>
      <c r="AK4351" s="17"/>
      <c r="AL4351" s="17"/>
      <c r="AM4351" s="17"/>
      <c r="AN4351" s="17"/>
      <c r="AO4351" s="17"/>
      <c r="AP4351" s="17"/>
      <c r="AQ4351" s="17"/>
      <c r="AR4351" s="17"/>
    </row>
    <row r="4352" s="20" customFormat="1" hidden="1" spans="1:44">
      <c r="A4352" s="17" t="s">
        <v>34</v>
      </c>
      <c r="B4352" s="19">
        <v>951</v>
      </c>
      <c r="C4352" s="183">
        <v>45224</v>
      </c>
      <c r="D4352" s="17" t="s">
        <v>35</v>
      </c>
      <c r="E4352" s="17" t="s">
        <v>71</v>
      </c>
      <c r="F4352" s="17" t="s">
        <v>72</v>
      </c>
      <c r="G4352" s="17"/>
      <c r="H4352" s="19">
        <v>1.2379</v>
      </c>
      <c r="I4352" s="19"/>
      <c r="J4352" s="17" t="s">
        <v>82</v>
      </c>
      <c r="K4352" s="19">
        <v>510</v>
      </c>
      <c r="L4352" s="17">
        <v>25</v>
      </c>
      <c r="M4352" s="19">
        <v>5800</v>
      </c>
      <c r="N4352" s="19" t="s">
        <v>40</v>
      </c>
      <c r="O4352" s="19" t="s">
        <v>141</v>
      </c>
      <c r="P4352" s="19">
        <v>1500</v>
      </c>
      <c r="Q4352" s="19">
        <v>1340</v>
      </c>
      <c r="R4352" s="19">
        <f t="shared" si="211"/>
        <v>160</v>
      </c>
      <c r="S4352" s="19">
        <f t="shared" si="212"/>
        <v>2385</v>
      </c>
      <c r="T4352" s="19" t="s">
        <v>42</v>
      </c>
      <c r="U4352" s="102" t="s">
        <v>1323</v>
      </c>
      <c r="V4352" s="101">
        <v>45225</v>
      </c>
      <c r="W4352" s="17" t="s">
        <v>44</v>
      </c>
      <c r="X4352" s="17"/>
      <c r="Y4352" s="68">
        <v>45346</v>
      </c>
      <c r="Z4352" s="17" t="s">
        <v>1317</v>
      </c>
      <c r="AA4352" s="17" t="s">
        <v>46</v>
      </c>
      <c r="AB4352" s="17" t="s">
        <v>1318</v>
      </c>
      <c r="AC4352" s="217">
        <v>45281</v>
      </c>
      <c r="AD4352" s="65">
        <v>1509</v>
      </c>
      <c r="AE4352" s="17" t="s">
        <v>48</v>
      </c>
      <c r="AF4352" s="17"/>
      <c r="AG4352" s="17"/>
      <c r="AH4352" s="17"/>
      <c r="AI4352" s="17"/>
      <c r="AJ4352" s="17"/>
      <c r="AK4352" s="17"/>
      <c r="AL4352" s="17"/>
      <c r="AM4352" s="17"/>
      <c r="AN4352" s="17"/>
      <c r="AO4352" s="17"/>
      <c r="AP4352" s="17"/>
      <c r="AQ4352" s="17"/>
      <c r="AR4352" s="17"/>
    </row>
    <row r="4353" s="20" customFormat="1" hidden="1" spans="1:44">
      <c r="A4353" s="17" t="s">
        <v>34</v>
      </c>
      <c r="B4353" s="19">
        <v>951</v>
      </c>
      <c r="C4353" s="183">
        <v>45224</v>
      </c>
      <c r="D4353" s="17" t="s">
        <v>35</v>
      </c>
      <c r="E4353" s="17" t="s">
        <v>71</v>
      </c>
      <c r="F4353" s="17" t="s">
        <v>72</v>
      </c>
      <c r="G4353" s="17"/>
      <c r="H4353" s="19">
        <v>1.2379</v>
      </c>
      <c r="I4353" s="19"/>
      <c r="J4353" s="17" t="s">
        <v>82</v>
      </c>
      <c r="K4353" s="19">
        <v>610</v>
      </c>
      <c r="L4353" s="17">
        <v>25</v>
      </c>
      <c r="M4353" s="19">
        <v>5800</v>
      </c>
      <c r="N4353" s="19" t="s">
        <v>40</v>
      </c>
      <c r="O4353" s="19" t="s">
        <v>141</v>
      </c>
      <c r="P4353" s="19">
        <v>1500</v>
      </c>
      <c r="Q4353" s="19">
        <v>1328</v>
      </c>
      <c r="R4353" s="19">
        <f t="shared" si="211"/>
        <v>172</v>
      </c>
      <c r="S4353" s="19">
        <f t="shared" si="212"/>
        <v>2385</v>
      </c>
      <c r="T4353" s="19" t="s">
        <v>42</v>
      </c>
      <c r="U4353" s="102" t="s">
        <v>1323</v>
      </c>
      <c r="V4353" s="101">
        <v>45225</v>
      </c>
      <c r="W4353" s="17" t="s">
        <v>44</v>
      </c>
      <c r="X4353" s="17"/>
      <c r="Y4353" s="68">
        <v>45346</v>
      </c>
      <c r="Z4353" s="17" t="s">
        <v>1317</v>
      </c>
      <c r="AA4353" s="17" t="s">
        <v>46</v>
      </c>
      <c r="AB4353" s="17" t="s">
        <v>1318</v>
      </c>
      <c r="AC4353" s="217">
        <v>45281</v>
      </c>
      <c r="AD4353" s="65">
        <v>1509</v>
      </c>
      <c r="AE4353" s="17" t="s">
        <v>48</v>
      </c>
      <c r="AF4353" s="17"/>
      <c r="AG4353" s="17"/>
      <c r="AH4353" s="17"/>
      <c r="AI4353" s="17"/>
      <c r="AJ4353" s="17"/>
      <c r="AK4353" s="17"/>
      <c r="AL4353" s="17"/>
      <c r="AM4353" s="17"/>
      <c r="AN4353" s="17"/>
      <c r="AO4353" s="17"/>
      <c r="AP4353" s="17"/>
      <c r="AQ4353" s="17"/>
      <c r="AR4353" s="17"/>
    </row>
    <row r="4354" s="20" customFormat="1" hidden="1" spans="1:44">
      <c r="A4354" s="17" t="s">
        <v>34</v>
      </c>
      <c r="B4354" s="19">
        <v>951</v>
      </c>
      <c r="C4354" s="183">
        <v>45224</v>
      </c>
      <c r="D4354" s="17" t="s">
        <v>35</v>
      </c>
      <c r="E4354" s="17" t="s">
        <v>71</v>
      </c>
      <c r="F4354" s="17" t="s">
        <v>72</v>
      </c>
      <c r="G4354" s="17"/>
      <c r="H4354" s="19">
        <v>1.2379</v>
      </c>
      <c r="I4354" s="19"/>
      <c r="J4354" s="17" t="s">
        <v>82</v>
      </c>
      <c r="K4354" s="19">
        <v>305</v>
      </c>
      <c r="L4354" s="17">
        <v>32</v>
      </c>
      <c r="M4354" s="19">
        <v>5800</v>
      </c>
      <c r="N4354" s="19" t="s">
        <v>40</v>
      </c>
      <c r="O4354" s="19" t="s">
        <v>141</v>
      </c>
      <c r="P4354" s="19">
        <v>2000</v>
      </c>
      <c r="Q4354" s="19">
        <v>1488</v>
      </c>
      <c r="R4354" s="19">
        <f t="shared" si="211"/>
        <v>512</v>
      </c>
      <c r="S4354" s="19">
        <f t="shared" si="212"/>
        <v>2385</v>
      </c>
      <c r="T4354" s="19" t="s">
        <v>42</v>
      </c>
      <c r="U4354" s="102" t="s">
        <v>1323</v>
      </c>
      <c r="V4354" s="101">
        <v>45225</v>
      </c>
      <c r="W4354" s="17" t="s">
        <v>44</v>
      </c>
      <c r="X4354" s="17"/>
      <c r="Y4354" s="68">
        <v>45346</v>
      </c>
      <c r="Z4354" s="17" t="s">
        <v>1317</v>
      </c>
      <c r="AA4354" s="17" t="s">
        <v>46</v>
      </c>
      <c r="AB4354" s="17" t="s">
        <v>1318</v>
      </c>
      <c r="AC4354" s="217">
        <v>45281</v>
      </c>
      <c r="AD4354" s="65">
        <v>1509</v>
      </c>
      <c r="AE4354" s="17" t="s">
        <v>48</v>
      </c>
      <c r="AF4354" s="17"/>
      <c r="AG4354" s="17"/>
      <c r="AH4354" s="17"/>
      <c r="AI4354" s="17"/>
      <c r="AJ4354" s="17"/>
      <c r="AK4354" s="17"/>
      <c r="AL4354" s="17"/>
      <c r="AM4354" s="17"/>
      <c r="AN4354" s="17"/>
      <c r="AO4354" s="17"/>
      <c r="AP4354" s="17"/>
      <c r="AQ4354" s="17"/>
      <c r="AR4354" s="17"/>
    </row>
    <row r="4355" s="20" customFormat="1" hidden="1" spans="1:44">
      <c r="A4355" s="17" t="s">
        <v>34</v>
      </c>
      <c r="B4355" s="19">
        <v>951</v>
      </c>
      <c r="C4355" s="183">
        <v>45224</v>
      </c>
      <c r="D4355" s="17" t="s">
        <v>35</v>
      </c>
      <c r="E4355" s="17" t="s">
        <v>71</v>
      </c>
      <c r="F4355" s="17" t="s">
        <v>72</v>
      </c>
      <c r="G4355" s="17"/>
      <c r="H4355" s="19">
        <v>1.2379</v>
      </c>
      <c r="I4355" s="19"/>
      <c r="J4355" s="17" t="s">
        <v>82</v>
      </c>
      <c r="K4355" s="19">
        <v>410</v>
      </c>
      <c r="L4355" s="17">
        <v>32</v>
      </c>
      <c r="M4355" s="19">
        <v>5800</v>
      </c>
      <c r="N4355" s="19" t="s">
        <v>40</v>
      </c>
      <c r="O4355" s="19" t="s">
        <v>141</v>
      </c>
      <c r="P4355" s="19">
        <v>1500</v>
      </c>
      <c r="Q4355" s="19">
        <v>1912</v>
      </c>
      <c r="R4355" s="19">
        <f t="shared" si="211"/>
        <v>-412</v>
      </c>
      <c r="S4355" s="19">
        <f t="shared" si="212"/>
        <v>2385</v>
      </c>
      <c r="T4355" s="19" t="s">
        <v>42</v>
      </c>
      <c r="U4355" s="102" t="s">
        <v>1323</v>
      </c>
      <c r="V4355" s="101">
        <v>45225</v>
      </c>
      <c r="W4355" s="17" t="s">
        <v>44</v>
      </c>
      <c r="X4355" s="17"/>
      <c r="Y4355" s="68">
        <v>45346</v>
      </c>
      <c r="Z4355" s="17" t="s">
        <v>1317</v>
      </c>
      <c r="AA4355" s="17" t="s">
        <v>46</v>
      </c>
      <c r="AB4355" s="17" t="s">
        <v>1318</v>
      </c>
      <c r="AC4355" s="217">
        <v>45281</v>
      </c>
      <c r="AD4355" s="65">
        <v>1509</v>
      </c>
      <c r="AE4355" s="17" t="s">
        <v>48</v>
      </c>
      <c r="AF4355" s="17"/>
      <c r="AG4355" s="17"/>
      <c r="AH4355" s="17"/>
      <c r="AI4355" s="17"/>
      <c r="AJ4355" s="17"/>
      <c r="AK4355" s="17"/>
      <c r="AL4355" s="17"/>
      <c r="AM4355" s="17"/>
      <c r="AN4355" s="17"/>
      <c r="AO4355" s="17"/>
      <c r="AP4355" s="17"/>
      <c r="AQ4355" s="17"/>
      <c r="AR4355" s="17"/>
    </row>
    <row r="4356" s="20" customFormat="1" hidden="1" spans="1:44">
      <c r="A4356" s="17" t="s">
        <v>34</v>
      </c>
      <c r="B4356" s="19">
        <v>951</v>
      </c>
      <c r="C4356" s="183">
        <v>45224</v>
      </c>
      <c r="D4356" s="17" t="s">
        <v>35</v>
      </c>
      <c r="E4356" s="17" t="s">
        <v>71</v>
      </c>
      <c r="F4356" s="17" t="s">
        <v>72</v>
      </c>
      <c r="G4356" s="17"/>
      <c r="H4356" s="19">
        <v>1.2379</v>
      </c>
      <c r="I4356" s="19"/>
      <c r="J4356" s="17" t="s">
        <v>82</v>
      </c>
      <c r="K4356" s="19">
        <v>610</v>
      </c>
      <c r="L4356" s="17">
        <v>32</v>
      </c>
      <c r="M4356" s="19">
        <v>5800</v>
      </c>
      <c r="N4356" s="19" t="s">
        <v>40</v>
      </c>
      <c r="O4356" s="19" t="s">
        <v>141</v>
      </c>
      <c r="P4356" s="19">
        <v>1500</v>
      </c>
      <c r="Q4356" s="19">
        <v>712</v>
      </c>
      <c r="R4356" s="19">
        <f t="shared" si="211"/>
        <v>788</v>
      </c>
      <c r="S4356" s="19">
        <f t="shared" si="212"/>
        <v>2385</v>
      </c>
      <c r="T4356" s="19" t="s">
        <v>42</v>
      </c>
      <c r="U4356" s="102" t="s">
        <v>1323</v>
      </c>
      <c r="V4356" s="101">
        <v>45225</v>
      </c>
      <c r="W4356" s="17" t="s">
        <v>44</v>
      </c>
      <c r="X4356" s="17"/>
      <c r="Y4356" s="68">
        <v>45346</v>
      </c>
      <c r="Z4356" s="17" t="s">
        <v>1317</v>
      </c>
      <c r="AA4356" s="17" t="s">
        <v>46</v>
      </c>
      <c r="AB4356" s="17" t="s">
        <v>1318</v>
      </c>
      <c r="AC4356" s="217">
        <v>45281</v>
      </c>
      <c r="AD4356" s="65">
        <v>1509</v>
      </c>
      <c r="AE4356" s="17" t="s">
        <v>48</v>
      </c>
      <c r="AF4356" s="17"/>
      <c r="AG4356" s="17"/>
      <c r="AH4356" s="17"/>
      <c r="AI4356" s="17"/>
      <c r="AJ4356" s="17"/>
      <c r="AK4356" s="17"/>
      <c r="AL4356" s="17"/>
      <c r="AM4356" s="17"/>
      <c r="AN4356" s="17"/>
      <c r="AO4356" s="17"/>
      <c r="AP4356" s="17"/>
      <c r="AQ4356" s="17"/>
      <c r="AR4356" s="17"/>
    </row>
    <row r="4357" s="20" customFormat="1" hidden="1" spans="1:44">
      <c r="A4357" s="17" t="s">
        <v>34</v>
      </c>
      <c r="B4357" s="19">
        <v>951</v>
      </c>
      <c r="C4357" s="183">
        <v>45224</v>
      </c>
      <c r="D4357" s="17" t="s">
        <v>35</v>
      </c>
      <c r="E4357" s="17" t="s">
        <v>71</v>
      </c>
      <c r="F4357" s="17" t="s">
        <v>72</v>
      </c>
      <c r="G4357" s="17"/>
      <c r="H4357" s="19">
        <v>1.2379</v>
      </c>
      <c r="I4357" s="19"/>
      <c r="J4357" s="17" t="s">
        <v>82</v>
      </c>
      <c r="K4357" s="19">
        <v>510</v>
      </c>
      <c r="L4357" s="17">
        <v>40</v>
      </c>
      <c r="M4357" s="19">
        <v>5800</v>
      </c>
      <c r="N4357" s="19" t="s">
        <v>40</v>
      </c>
      <c r="O4357" s="19" t="s">
        <v>141</v>
      </c>
      <c r="P4357" s="19">
        <v>1500</v>
      </c>
      <c r="Q4357" s="19">
        <v>1228</v>
      </c>
      <c r="R4357" s="19">
        <f t="shared" si="211"/>
        <v>272</v>
      </c>
      <c r="S4357" s="19">
        <f t="shared" si="212"/>
        <v>2385</v>
      </c>
      <c r="T4357" s="19" t="s">
        <v>42</v>
      </c>
      <c r="U4357" s="102" t="s">
        <v>1323</v>
      </c>
      <c r="V4357" s="101">
        <v>45225</v>
      </c>
      <c r="W4357" s="17" t="s">
        <v>44</v>
      </c>
      <c r="X4357" s="17"/>
      <c r="Y4357" s="68">
        <v>45346</v>
      </c>
      <c r="Z4357" s="17" t="s">
        <v>1317</v>
      </c>
      <c r="AA4357" s="17" t="s">
        <v>46</v>
      </c>
      <c r="AB4357" s="17" t="s">
        <v>1318</v>
      </c>
      <c r="AC4357" s="217">
        <v>45281</v>
      </c>
      <c r="AD4357" s="65">
        <v>1509</v>
      </c>
      <c r="AE4357" s="17" t="s">
        <v>48</v>
      </c>
      <c r="AF4357" s="17"/>
      <c r="AG4357" s="17"/>
      <c r="AH4357" s="17"/>
      <c r="AI4357" s="17"/>
      <c r="AJ4357" s="17"/>
      <c r="AK4357" s="17"/>
      <c r="AL4357" s="17"/>
      <c r="AM4357" s="17"/>
      <c r="AN4357" s="17"/>
      <c r="AO4357" s="17"/>
      <c r="AP4357" s="17"/>
      <c r="AQ4357" s="17"/>
      <c r="AR4357" s="17"/>
    </row>
    <row r="4358" s="20" customFormat="1" hidden="1" spans="1:44">
      <c r="A4358" s="17" t="s">
        <v>34</v>
      </c>
      <c r="B4358" s="19">
        <v>951</v>
      </c>
      <c r="C4358" s="183">
        <v>45224</v>
      </c>
      <c r="D4358" s="17" t="s">
        <v>35</v>
      </c>
      <c r="E4358" s="17" t="s">
        <v>71</v>
      </c>
      <c r="F4358" s="17" t="s">
        <v>72</v>
      </c>
      <c r="G4358" s="17"/>
      <c r="H4358" s="19">
        <v>1.2379</v>
      </c>
      <c r="I4358" s="19"/>
      <c r="J4358" s="17" t="s">
        <v>82</v>
      </c>
      <c r="K4358" s="242">
        <v>610</v>
      </c>
      <c r="L4358" s="17">
        <v>40</v>
      </c>
      <c r="M4358" s="19">
        <v>5800</v>
      </c>
      <c r="N4358" s="19" t="s">
        <v>40</v>
      </c>
      <c r="O4358" s="19" t="s">
        <v>141</v>
      </c>
      <c r="P4358" s="19">
        <v>1500</v>
      </c>
      <c r="Q4358" s="19">
        <v>952</v>
      </c>
      <c r="R4358" s="19">
        <f t="shared" si="211"/>
        <v>548</v>
      </c>
      <c r="S4358" s="19">
        <f t="shared" si="212"/>
        <v>2385</v>
      </c>
      <c r="T4358" s="19" t="s">
        <v>42</v>
      </c>
      <c r="U4358" s="102" t="s">
        <v>1323</v>
      </c>
      <c r="V4358" s="101">
        <v>45225</v>
      </c>
      <c r="W4358" s="17" t="s">
        <v>44</v>
      </c>
      <c r="X4358" s="17"/>
      <c r="Y4358" s="68">
        <v>45346</v>
      </c>
      <c r="Z4358" s="17" t="s">
        <v>1317</v>
      </c>
      <c r="AA4358" s="17" t="s">
        <v>46</v>
      </c>
      <c r="AB4358" s="17" t="s">
        <v>1318</v>
      </c>
      <c r="AC4358" s="217">
        <v>45281</v>
      </c>
      <c r="AD4358" s="65">
        <v>1509</v>
      </c>
      <c r="AE4358" s="17" t="s">
        <v>48</v>
      </c>
      <c r="AF4358" s="17"/>
      <c r="AG4358" s="17"/>
      <c r="AH4358" s="17"/>
      <c r="AI4358" s="17"/>
      <c r="AJ4358" s="17"/>
      <c r="AK4358" s="17"/>
      <c r="AL4358" s="17"/>
      <c r="AM4358" s="17"/>
      <c r="AN4358" s="17"/>
      <c r="AO4358" s="17"/>
      <c r="AP4358" s="17"/>
      <c r="AQ4358" s="17"/>
      <c r="AR4358" s="17"/>
    </row>
    <row r="4359" s="20" customFormat="1" hidden="1" spans="1:44">
      <c r="A4359" s="17" t="s">
        <v>34</v>
      </c>
      <c r="B4359" s="19">
        <v>951</v>
      </c>
      <c r="C4359" s="183">
        <v>45224</v>
      </c>
      <c r="D4359" s="17" t="s">
        <v>35</v>
      </c>
      <c r="E4359" s="17" t="s">
        <v>71</v>
      </c>
      <c r="F4359" s="17" t="s">
        <v>72</v>
      </c>
      <c r="G4359" s="17"/>
      <c r="H4359" s="19">
        <v>1.2379</v>
      </c>
      <c r="I4359" s="19"/>
      <c r="J4359" s="17" t="s">
        <v>82</v>
      </c>
      <c r="K4359" s="19">
        <v>610</v>
      </c>
      <c r="L4359" s="17">
        <v>45</v>
      </c>
      <c r="M4359" s="19">
        <v>5800</v>
      </c>
      <c r="N4359" s="19" t="s">
        <v>40</v>
      </c>
      <c r="O4359" s="19" t="s">
        <v>141</v>
      </c>
      <c r="P4359" s="19">
        <v>1500</v>
      </c>
      <c r="Q4359" s="19">
        <v>1540</v>
      </c>
      <c r="R4359" s="19">
        <f t="shared" si="211"/>
        <v>-40</v>
      </c>
      <c r="S4359" s="19">
        <f t="shared" si="212"/>
        <v>2385</v>
      </c>
      <c r="T4359" s="19" t="s">
        <v>42</v>
      </c>
      <c r="U4359" s="102" t="s">
        <v>1323</v>
      </c>
      <c r="V4359" s="101">
        <v>45225</v>
      </c>
      <c r="W4359" s="17" t="s">
        <v>44</v>
      </c>
      <c r="X4359" s="17"/>
      <c r="Y4359" s="68">
        <v>45346</v>
      </c>
      <c r="Z4359" s="17" t="s">
        <v>1317</v>
      </c>
      <c r="AA4359" s="17" t="s">
        <v>46</v>
      </c>
      <c r="AB4359" s="17" t="s">
        <v>1318</v>
      </c>
      <c r="AC4359" s="217">
        <v>45281</v>
      </c>
      <c r="AD4359" s="65">
        <v>1509</v>
      </c>
      <c r="AE4359" s="17" t="s">
        <v>48</v>
      </c>
      <c r="AF4359" s="17"/>
      <c r="AG4359" s="17"/>
      <c r="AH4359" s="17"/>
      <c r="AI4359" s="17"/>
      <c r="AJ4359" s="17"/>
      <c r="AK4359" s="17"/>
      <c r="AL4359" s="17"/>
      <c r="AM4359" s="17"/>
      <c r="AN4359" s="17"/>
      <c r="AO4359" s="17"/>
      <c r="AP4359" s="17"/>
      <c r="AQ4359" s="17"/>
      <c r="AR4359" s="17"/>
    </row>
    <row r="4360" s="20" customFormat="1" hidden="1" spans="1:44">
      <c r="A4360" s="17" t="s">
        <v>34</v>
      </c>
      <c r="B4360" s="19">
        <v>951</v>
      </c>
      <c r="C4360" s="183">
        <v>45224</v>
      </c>
      <c r="D4360" s="17" t="s">
        <v>35</v>
      </c>
      <c r="E4360" s="17" t="s">
        <v>71</v>
      </c>
      <c r="F4360" s="17" t="s">
        <v>72</v>
      </c>
      <c r="G4360" s="17"/>
      <c r="H4360" s="19">
        <v>1.2379</v>
      </c>
      <c r="I4360" s="19"/>
      <c r="J4360" s="17" t="s">
        <v>82</v>
      </c>
      <c r="K4360" s="19">
        <v>305</v>
      </c>
      <c r="L4360" s="17">
        <v>50</v>
      </c>
      <c r="M4360" s="19">
        <v>5800</v>
      </c>
      <c r="N4360" s="19" t="s">
        <v>40</v>
      </c>
      <c r="O4360" s="19" t="s">
        <v>141</v>
      </c>
      <c r="P4360" s="19">
        <v>1000</v>
      </c>
      <c r="Q4360" s="19">
        <f>868+1036</f>
        <v>1904</v>
      </c>
      <c r="R4360" s="19">
        <f t="shared" si="211"/>
        <v>-904</v>
      </c>
      <c r="S4360" s="19">
        <f t="shared" si="212"/>
        <v>2385</v>
      </c>
      <c r="T4360" s="19" t="s">
        <v>42</v>
      </c>
      <c r="U4360" s="102" t="s">
        <v>1323</v>
      </c>
      <c r="V4360" s="101">
        <v>45225</v>
      </c>
      <c r="W4360" s="17" t="s">
        <v>44</v>
      </c>
      <c r="X4360" s="17"/>
      <c r="Y4360" s="68">
        <v>45346</v>
      </c>
      <c r="Z4360" s="17" t="s">
        <v>1317</v>
      </c>
      <c r="AA4360" s="17" t="s">
        <v>46</v>
      </c>
      <c r="AB4360" s="17" t="s">
        <v>1318</v>
      </c>
      <c r="AC4360" s="217">
        <v>45281</v>
      </c>
      <c r="AD4360" s="65">
        <v>1509</v>
      </c>
      <c r="AE4360" s="17" t="s">
        <v>48</v>
      </c>
      <c r="AF4360" s="17"/>
      <c r="AG4360" s="17"/>
      <c r="AH4360" s="17"/>
      <c r="AI4360" s="17"/>
      <c r="AJ4360" s="17"/>
      <c r="AK4360" s="17"/>
      <c r="AL4360" s="17"/>
      <c r="AM4360" s="17"/>
      <c r="AN4360" s="17"/>
      <c r="AO4360" s="17"/>
      <c r="AP4360" s="17"/>
      <c r="AQ4360" s="17"/>
      <c r="AR4360" s="17"/>
    </row>
    <row r="4361" s="21" customFormat="1" hidden="1" spans="1:44">
      <c r="A4361" s="17" t="s">
        <v>34</v>
      </c>
      <c r="B4361" s="19">
        <v>951</v>
      </c>
      <c r="C4361" s="183">
        <v>45224</v>
      </c>
      <c r="D4361" s="17" t="s">
        <v>35</v>
      </c>
      <c r="E4361" s="17" t="s">
        <v>71</v>
      </c>
      <c r="F4361" s="17" t="s">
        <v>72</v>
      </c>
      <c r="G4361" s="17"/>
      <c r="H4361" s="19">
        <v>1.2379</v>
      </c>
      <c r="I4361" s="19"/>
      <c r="J4361" s="17" t="s">
        <v>82</v>
      </c>
      <c r="K4361" s="19">
        <v>410</v>
      </c>
      <c r="L4361" s="19">
        <v>50</v>
      </c>
      <c r="M4361" s="19">
        <v>5800</v>
      </c>
      <c r="N4361" s="19" t="s">
        <v>40</v>
      </c>
      <c r="O4361" s="19" t="s">
        <v>141</v>
      </c>
      <c r="P4361" s="19">
        <v>1500</v>
      </c>
      <c r="Q4361" s="19">
        <v>1898</v>
      </c>
      <c r="R4361" s="19">
        <f t="shared" si="211"/>
        <v>-398</v>
      </c>
      <c r="S4361" s="19">
        <f>2350+100</f>
        <v>2450</v>
      </c>
      <c r="T4361" s="19" t="s">
        <v>42</v>
      </c>
      <c r="U4361" s="102" t="s">
        <v>1323</v>
      </c>
      <c r="V4361" s="101">
        <v>45225</v>
      </c>
      <c r="W4361" s="17" t="s">
        <v>69</v>
      </c>
      <c r="X4361" s="17"/>
      <c r="Y4361" s="68">
        <v>45346</v>
      </c>
      <c r="Z4361" s="17" t="s">
        <v>1317</v>
      </c>
      <c r="AA4361" s="17" t="s">
        <v>46</v>
      </c>
      <c r="AB4361" s="17" t="s">
        <v>1312</v>
      </c>
      <c r="AC4361" s="217">
        <v>45358</v>
      </c>
      <c r="AD4361" s="65">
        <v>1535</v>
      </c>
      <c r="AE4361" s="17" t="s">
        <v>48</v>
      </c>
      <c r="AF4361" s="17"/>
      <c r="AG4361" s="17"/>
      <c r="AH4361" s="17"/>
      <c r="AI4361" s="17"/>
      <c r="AJ4361" s="17"/>
      <c r="AK4361" s="17"/>
      <c r="AL4361" s="17"/>
      <c r="AM4361" s="17"/>
      <c r="AN4361" s="17"/>
      <c r="AO4361" s="17"/>
      <c r="AP4361" s="17"/>
      <c r="AQ4361" s="17"/>
      <c r="AR4361" s="17"/>
    </row>
    <row r="4362" s="20" customFormat="1" hidden="1" spans="1:44">
      <c r="A4362" s="17" t="s">
        <v>34</v>
      </c>
      <c r="B4362" s="19">
        <v>951</v>
      </c>
      <c r="C4362" s="183">
        <v>45224</v>
      </c>
      <c r="D4362" s="17" t="s">
        <v>35</v>
      </c>
      <c r="E4362" s="17" t="s">
        <v>71</v>
      </c>
      <c r="F4362" s="17" t="s">
        <v>72</v>
      </c>
      <c r="G4362" s="17"/>
      <c r="H4362" s="19">
        <v>1.2379</v>
      </c>
      <c r="I4362" s="19"/>
      <c r="J4362" s="17" t="s">
        <v>82</v>
      </c>
      <c r="K4362" s="19">
        <v>510</v>
      </c>
      <c r="L4362" s="17">
        <v>50</v>
      </c>
      <c r="M4362" s="19">
        <v>5800</v>
      </c>
      <c r="N4362" s="19" t="s">
        <v>40</v>
      </c>
      <c r="O4362" s="19" t="s">
        <v>141</v>
      </c>
      <c r="P4362" s="19">
        <v>1500</v>
      </c>
      <c r="Q4362" s="19">
        <v>1414</v>
      </c>
      <c r="R4362" s="19">
        <f t="shared" si="211"/>
        <v>86</v>
      </c>
      <c r="S4362" s="19">
        <f t="shared" ref="S4362:S4369" si="213">2350+100-50-15</f>
        <v>2385</v>
      </c>
      <c r="T4362" s="19" t="s">
        <v>42</v>
      </c>
      <c r="U4362" s="102" t="s">
        <v>1323</v>
      </c>
      <c r="V4362" s="101">
        <v>45225</v>
      </c>
      <c r="W4362" s="17" t="s">
        <v>44</v>
      </c>
      <c r="X4362" s="17"/>
      <c r="Y4362" s="68">
        <v>45346</v>
      </c>
      <c r="Z4362" s="17" t="s">
        <v>1317</v>
      </c>
      <c r="AA4362" s="17" t="s">
        <v>46</v>
      </c>
      <c r="AB4362" s="17" t="s">
        <v>1318</v>
      </c>
      <c r="AC4362" s="217">
        <v>45281</v>
      </c>
      <c r="AD4362" s="65">
        <v>1509</v>
      </c>
      <c r="AE4362" s="17" t="s">
        <v>48</v>
      </c>
      <c r="AF4362" s="17"/>
      <c r="AG4362" s="17"/>
      <c r="AH4362" s="17"/>
      <c r="AI4362" s="17"/>
      <c r="AJ4362" s="17"/>
      <c r="AK4362" s="17"/>
      <c r="AL4362" s="17"/>
      <c r="AM4362" s="17"/>
      <c r="AN4362" s="17"/>
      <c r="AO4362" s="17"/>
      <c r="AP4362" s="17"/>
      <c r="AQ4362" s="17"/>
      <c r="AR4362" s="17"/>
    </row>
    <row r="4363" s="20" customFormat="1" hidden="1" spans="1:44">
      <c r="A4363" s="17" t="s">
        <v>34</v>
      </c>
      <c r="B4363" s="19">
        <v>951</v>
      </c>
      <c r="C4363" s="183">
        <v>45224</v>
      </c>
      <c r="D4363" s="17" t="s">
        <v>35</v>
      </c>
      <c r="E4363" s="17" t="s">
        <v>71</v>
      </c>
      <c r="F4363" s="17" t="s">
        <v>72</v>
      </c>
      <c r="G4363" s="17"/>
      <c r="H4363" s="19">
        <v>1.2379</v>
      </c>
      <c r="I4363" s="19"/>
      <c r="J4363" s="17" t="s">
        <v>82</v>
      </c>
      <c r="K4363" s="19">
        <v>610</v>
      </c>
      <c r="L4363" s="17">
        <v>61</v>
      </c>
      <c r="M4363" s="19">
        <v>5800</v>
      </c>
      <c r="N4363" s="19" t="s">
        <v>40</v>
      </c>
      <c r="O4363" s="19" t="s">
        <v>141</v>
      </c>
      <c r="P4363" s="19">
        <v>3000</v>
      </c>
      <c r="Q4363" s="19">
        <v>2938</v>
      </c>
      <c r="R4363" s="19">
        <f t="shared" si="211"/>
        <v>62</v>
      </c>
      <c r="S4363" s="19">
        <f t="shared" si="213"/>
        <v>2385</v>
      </c>
      <c r="T4363" s="19" t="s">
        <v>42</v>
      </c>
      <c r="U4363" s="102" t="s">
        <v>1323</v>
      </c>
      <c r="V4363" s="101">
        <v>45225</v>
      </c>
      <c r="W4363" s="17" t="s">
        <v>44</v>
      </c>
      <c r="X4363" s="17"/>
      <c r="Y4363" s="68">
        <v>45346</v>
      </c>
      <c r="Z4363" s="17" t="s">
        <v>1317</v>
      </c>
      <c r="AA4363" s="17" t="s">
        <v>46</v>
      </c>
      <c r="AB4363" s="17" t="s">
        <v>1318</v>
      </c>
      <c r="AC4363" s="217">
        <v>45281</v>
      </c>
      <c r="AD4363" s="65">
        <v>1509</v>
      </c>
      <c r="AE4363" s="17" t="s">
        <v>48</v>
      </c>
      <c r="AF4363" s="17"/>
      <c r="AG4363" s="17"/>
      <c r="AH4363" s="17"/>
      <c r="AI4363" s="17"/>
      <c r="AJ4363" s="17"/>
      <c r="AK4363" s="17"/>
      <c r="AL4363" s="17"/>
      <c r="AM4363" s="17"/>
      <c r="AN4363" s="17"/>
      <c r="AO4363" s="17"/>
      <c r="AP4363" s="17"/>
      <c r="AQ4363" s="17"/>
      <c r="AR4363" s="17"/>
    </row>
    <row r="4364" s="20" customFormat="1" hidden="1" spans="1:44">
      <c r="A4364" s="17" t="s">
        <v>34</v>
      </c>
      <c r="B4364" s="19">
        <v>951</v>
      </c>
      <c r="C4364" s="183">
        <v>45224</v>
      </c>
      <c r="D4364" s="17" t="s">
        <v>35</v>
      </c>
      <c r="E4364" s="17" t="s">
        <v>71</v>
      </c>
      <c r="F4364" s="17" t="s">
        <v>72</v>
      </c>
      <c r="G4364" s="17"/>
      <c r="H4364" s="19">
        <v>1.2379</v>
      </c>
      <c r="I4364" s="19"/>
      <c r="J4364" s="17" t="s">
        <v>82</v>
      </c>
      <c r="K4364" s="19">
        <v>305</v>
      </c>
      <c r="L4364" s="17">
        <v>65</v>
      </c>
      <c r="M4364" s="19">
        <v>5800</v>
      </c>
      <c r="N4364" s="19" t="s">
        <v>40</v>
      </c>
      <c r="O4364" s="19" t="s">
        <v>141</v>
      </c>
      <c r="P4364" s="19">
        <v>1000</v>
      </c>
      <c r="Q4364" s="19">
        <v>1222</v>
      </c>
      <c r="R4364" s="19">
        <f t="shared" si="211"/>
        <v>-222</v>
      </c>
      <c r="S4364" s="19">
        <f t="shared" si="213"/>
        <v>2385</v>
      </c>
      <c r="T4364" s="19" t="s">
        <v>42</v>
      </c>
      <c r="U4364" s="102" t="s">
        <v>1323</v>
      </c>
      <c r="V4364" s="101">
        <v>45225</v>
      </c>
      <c r="W4364" s="17" t="s">
        <v>44</v>
      </c>
      <c r="X4364" s="17"/>
      <c r="Y4364" s="68">
        <v>45346</v>
      </c>
      <c r="Z4364" s="17" t="s">
        <v>1317</v>
      </c>
      <c r="AA4364" s="17" t="s">
        <v>46</v>
      </c>
      <c r="AB4364" s="17" t="s">
        <v>1318</v>
      </c>
      <c r="AC4364" s="217">
        <v>45281</v>
      </c>
      <c r="AD4364" s="65">
        <v>1509</v>
      </c>
      <c r="AE4364" s="17" t="s">
        <v>48</v>
      </c>
      <c r="AF4364" s="17"/>
      <c r="AG4364" s="17"/>
      <c r="AH4364" s="17"/>
      <c r="AI4364" s="17"/>
      <c r="AJ4364" s="17"/>
      <c r="AK4364" s="17"/>
      <c r="AL4364" s="17"/>
      <c r="AM4364" s="17"/>
      <c r="AN4364" s="17"/>
      <c r="AO4364" s="17"/>
      <c r="AP4364" s="17"/>
      <c r="AQ4364" s="17"/>
      <c r="AR4364" s="17"/>
    </row>
    <row r="4365" s="20" customFormat="1" hidden="1" spans="1:44">
      <c r="A4365" s="17" t="s">
        <v>34</v>
      </c>
      <c r="B4365" s="19">
        <v>951</v>
      </c>
      <c r="C4365" s="183">
        <v>45224</v>
      </c>
      <c r="D4365" s="17" t="s">
        <v>35</v>
      </c>
      <c r="E4365" s="17" t="s">
        <v>71</v>
      </c>
      <c r="F4365" s="17" t="s">
        <v>72</v>
      </c>
      <c r="G4365" s="17"/>
      <c r="H4365" s="19">
        <v>1.2379</v>
      </c>
      <c r="I4365" s="19"/>
      <c r="J4365" s="17" t="s">
        <v>82</v>
      </c>
      <c r="K4365" s="19">
        <v>610</v>
      </c>
      <c r="L4365" s="17">
        <v>65</v>
      </c>
      <c r="M4365" s="19">
        <v>5800</v>
      </c>
      <c r="N4365" s="19" t="s">
        <v>40</v>
      </c>
      <c r="O4365" s="19" t="s">
        <v>141</v>
      </c>
      <c r="P4365" s="19">
        <v>3000</v>
      </c>
      <c r="Q4365" s="19">
        <v>2870</v>
      </c>
      <c r="R4365" s="19">
        <f t="shared" si="211"/>
        <v>130</v>
      </c>
      <c r="S4365" s="19">
        <f t="shared" si="213"/>
        <v>2385</v>
      </c>
      <c r="T4365" s="19" t="s">
        <v>42</v>
      </c>
      <c r="U4365" s="102" t="s">
        <v>1323</v>
      </c>
      <c r="V4365" s="101">
        <v>45225</v>
      </c>
      <c r="W4365" s="17" t="s">
        <v>44</v>
      </c>
      <c r="X4365" s="17"/>
      <c r="Y4365" s="68">
        <v>45346</v>
      </c>
      <c r="Z4365" s="17" t="s">
        <v>1317</v>
      </c>
      <c r="AA4365" s="17" t="s">
        <v>46</v>
      </c>
      <c r="AB4365" s="17" t="s">
        <v>1318</v>
      </c>
      <c r="AC4365" s="217">
        <v>45281</v>
      </c>
      <c r="AD4365" s="65">
        <v>1509</v>
      </c>
      <c r="AE4365" s="17" t="s">
        <v>48</v>
      </c>
      <c r="AF4365" s="17"/>
      <c r="AG4365" s="17"/>
      <c r="AH4365" s="17"/>
      <c r="AI4365" s="17"/>
      <c r="AJ4365" s="17"/>
      <c r="AK4365" s="17"/>
      <c r="AL4365" s="17"/>
      <c r="AM4365" s="17"/>
      <c r="AN4365" s="17"/>
      <c r="AO4365" s="17"/>
      <c r="AP4365" s="17"/>
      <c r="AQ4365" s="17"/>
      <c r="AR4365" s="17"/>
    </row>
    <row r="4366" s="20" customFormat="1" hidden="1" spans="1:44">
      <c r="A4366" s="17" t="s">
        <v>34</v>
      </c>
      <c r="B4366" s="19">
        <v>951</v>
      </c>
      <c r="C4366" s="183">
        <v>45224</v>
      </c>
      <c r="D4366" s="17" t="s">
        <v>35</v>
      </c>
      <c r="E4366" s="17" t="s">
        <v>71</v>
      </c>
      <c r="F4366" s="17" t="s">
        <v>72</v>
      </c>
      <c r="G4366" s="17"/>
      <c r="H4366" s="19">
        <v>1.2379</v>
      </c>
      <c r="I4366" s="19"/>
      <c r="J4366" s="17" t="s">
        <v>82</v>
      </c>
      <c r="K4366" s="19">
        <v>610</v>
      </c>
      <c r="L4366" s="17">
        <v>71</v>
      </c>
      <c r="M4366" s="19">
        <v>5800</v>
      </c>
      <c r="N4366" s="19" t="s">
        <v>40</v>
      </c>
      <c r="O4366" s="19" t="s">
        <v>141</v>
      </c>
      <c r="P4366" s="19">
        <v>3000</v>
      </c>
      <c r="Q4366" s="19">
        <f>1388+1484+1064</f>
        <v>3936</v>
      </c>
      <c r="R4366" s="19">
        <f t="shared" si="211"/>
        <v>-936</v>
      </c>
      <c r="S4366" s="19">
        <f t="shared" si="213"/>
        <v>2385</v>
      </c>
      <c r="T4366" s="19" t="s">
        <v>42</v>
      </c>
      <c r="U4366" s="102" t="s">
        <v>1323</v>
      </c>
      <c r="V4366" s="101">
        <v>45225</v>
      </c>
      <c r="W4366" s="17" t="s">
        <v>44</v>
      </c>
      <c r="X4366" s="17"/>
      <c r="Y4366" s="68">
        <v>45346</v>
      </c>
      <c r="Z4366" s="17" t="s">
        <v>1317</v>
      </c>
      <c r="AA4366" s="17" t="s">
        <v>46</v>
      </c>
      <c r="AB4366" s="17" t="s">
        <v>1318</v>
      </c>
      <c r="AC4366" s="217">
        <v>45281</v>
      </c>
      <c r="AD4366" s="65">
        <v>1509</v>
      </c>
      <c r="AE4366" s="17" t="s">
        <v>48</v>
      </c>
      <c r="AF4366" s="17"/>
      <c r="AG4366" s="17"/>
      <c r="AH4366" s="17"/>
      <c r="AI4366" s="17"/>
      <c r="AJ4366" s="17"/>
      <c r="AK4366" s="17"/>
      <c r="AL4366" s="17"/>
      <c r="AM4366" s="17"/>
      <c r="AN4366" s="17"/>
      <c r="AO4366" s="17"/>
      <c r="AP4366" s="17"/>
      <c r="AQ4366" s="17"/>
      <c r="AR4366" s="17"/>
    </row>
    <row r="4367" s="20" customFormat="1" hidden="1" spans="1:44">
      <c r="A4367" s="17" t="s">
        <v>34</v>
      </c>
      <c r="B4367" s="19">
        <v>951</v>
      </c>
      <c r="C4367" s="183">
        <v>45224</v>
      </c>
      <c r="D4367" s="17" t="s">
        <v>35</v>
      </c>
      <c r="E4367" s="17" t="s">
        <v>71</v>
      </c>
      <c r="F4367" s="17" t="s">
        <v>72</v>
      </c>
      <c r="G4367" s="17"/>
      <c r="H4367" s="19">
        <v>1.2379</v>
      </c>
      <c r="I4367" s="19"/>
      <c r="J4367" s="17" t="s">
        <v>82</v>
      </c>
      <c r="K4367" s="19">
        <v>610</v>
      </c>
      <c r="L4367" s="17">
        <v>80</v>
      </c>
      <c r="M4367" s="19">
        <v>5800</v>
      </c>
      <c r="N4367" s="19" t="s">
        <v>40</v>
      </c>
      <c r="O4367" s="19" t="s">
        <v>141</v>
      </c>
      <c r="P4367" s="19">
        <v>3000</v>
      </c>
      <c r="Q4367" s="19">
        <f>1432+1424</f>
        <v>2856</v>
      </c>
      <c r="R4367" s="19">
        <f t="shared" si="211"/>
        <v>144</v>
      </c>
      <c r="S4367" s="19">
        <f t="shared" si="213"/>
        <v>2385</v>
      </c>
      <c r="T4367" s="19" t="s">
        <v>42</v>
      </c>
      <c r="U4367" s="102" t="s">
        <v>1323</v>
      </c>
      <c r="V4367" s="101">
        <v>45225</v>
      </c>
      <c r="W4367" s="17" t="s">
        <v>44</v>
      </c>
      <c r="X4367" s="17"/>
      <c r="Y4367" s="68">
        <v>45346</v>
      </c>
      <c r="Z4367" s="17" t="s">
        <v>1317</v>
      </c>
      <c r="AA4367" s="17" t="s">
        <v>46</v>
      </c>
      <c r="AB4367" s="17" t="s">
        <v>1318</v>
      </c>
      <c r="AC4367" s="217">
        <v>45281</v>
      </c>
      <c r="AD4367" s="65">
        <v>1509</v>
      </c>
      <c r="AE4367" s="17" t="s">
        <v>48</v>
      </c>
      <c r="AF4367" s="17"/>
      <c r="AG4367" s="17"/>
      <c r="AH4367" s="17"/>
      <c r="AI4367" s="17"/>
      <c r="AJ4367" s="17"/>
      <c r="AK4367" s="17"/>
      <c r="AL4367" s="17"/>
      <c r="AM4367" s="17"/>
      <c r="AN4367" s="17"/>
      <c r="AO4367" s="17"/>
      <c r="AP4367" s="17"/>
      <c r="AQ4367" s="17"/>
      <c r="AR4367" s="17"/>
    </row>
    <row r="4368" s="20" customFormat="1" hidden="1" spans="1:44">
      <c r="A4368" s="17" t="s">
        <v>34</v>
      </c>
      <c r="B4368" s="19">
        <v>951</v>
      </c>
      <c r="C4368" s="183">
        <v>45224</v>
      </c>
      <c r="D4368" s="17" t="s">
        <v>35</v>
      </c>
      <c r="E4368" s="17" t="s">
        <v>71</v>
      </c>
      <c r="F4368" s="17" t="s">
        <v>72</v>
      </c>
      <c r="G4368" s="17"/>
      <c r="H4368" s="19">
        <v>1.2379</v>
      </c>
      <c r="I4368" s="19"/>
      <c r="J4368" s="17" t="s">
        <v>82</v>
      </c>
      <c r="K4368" s="19">
        <v>610</v>
      </c>
      <c r="L4368" s="17">
        <v>91</v>
      </c>
      <c r="M4368" s="19">
        <v>5800</v>
      </c>
      <c r="N4368" s="19" t="s">
        <v>40</v>
      </c>
      <c r="O4368" s="19" t="s">
        <v>141</v>
      </c>
      <c r="P4368" s="19">
        <v>3000</v>
      </c>
      <c r="Q4368" s="19">
        <f>1538+1620</f>
        <v>3158</v>
      </c>
      <c r="R4368" s="19">
        <f t="shared" si="211"/>
        <v>-158</v>
      </c>
      <c r="S4368" s="19">
        <f t="shared" si="213"/>
        <v>2385</v>
      </c>
      <c r="T4368" s="19" t="s">
        <v>42</v>
      </c>
      <c r="U4368" s="102" t="s">
        <v>1323</v>
      </c>
      <c r="V4368" s="101">
        <v>45225</v>
      </c>
      <c r="W4368" s="17" t="s">
        <v>44</v>
      </c>
      <c r="X4368" s="17"/>
      <c r="Y4368" s="68">
        <v>45346</v>
      </c>
      <c r="Z4368" s="17" t="s">
        <v>1317</v>
      </c>
      <c r="AA4368" s="17" t="s">
        <v>46</v>
      </c>
      <c r="AB4368" s="17" t="s">
        <v>1318</v>
      </c>
      <c r="AC4368" s="217">
        <v>45281</v>
      </c>
      <c r="AD4368" s="65">
        <v>1509</v>
      </c>
      <c r="AE4368" s="17" t="s">
        <v>48</v>
      </c>
      <c r="AF4368" s="17"/>
      <c r="AG4368" s="17"/>
      <c r="AH4368" s="17"/>
      <c r="AI4368" s="17"/>
      <c r="AJ4368" s="17"/>
      <c r="AK4368" s="17"/>
      <c r="AL4368" s="17"/>
      <c r="AM4368" s="17"/>
      <c r="AN4368" s="17"/>
      <c r="AO4368" s="17"/>
      <c r="AP4368" s="17"/>
      <c r="AQ4368" s="17"/>
      <c r="AR4368" s="17"/>
    </row>
    <row r="4369" s="20" customFormat="1" hidden="1" spans="1:44">
      <c r="A4369" s="17" t="s">
        <v>34</v>
      </c>
      <c r="B4369" s="19">
        <v>951</v>
      </c>
      <c r="C4369" s="183">
        <v>45224</v>
      </c>
      <c r="D4369" s="17" t="s">
        <v>35</v>
      </c>
      <c r="E4369" s="17" t="s">
        <v>71</v>
      </c>
      <c r="F4369" s="17" t="s">
        <v>72</v>
      </c>
      <c r="G4369" s="17"/>
      <c r="H4369" s="19">
        <v>1.2379</v>
      </c>
      <c r="I4369" s="19"/>
      <c r="J4369" s="17" t="s">
        <v>82</v>
      </c>
      <c r="K4369" s="19">
        <v>610</v>
      </c>
      <c r="L4369" s="17">
        <v>105</v>
      </c>
      <c r="M4369" s="19">
        <v>5800</v>
      </c>
      <c r="N4369" s="19" t="s">
        <v>40</v>
      </c>
      <c r="O4369" s="19" t="s">
        <v>141</v>
      </c>
      <c r="P4369" s="19">
        <v>3000</v>
      </c>
      <c r="Q4369" s="19">
        <v>2824</v>
      </c>
      <c r="R4369" s="19">
        <f t="shared" si="211"/>
        <v>176</v>
      </c>
      <c r="S4369" s="19">
        <f t="shared" si="213"/>
        <v>2385</v>
      </c>
      <c r="T4369" s="19" t="s">
        <v>42</v>
      </c>
      <c r="U4369" s="102" t="s">
        <v>1323</v>
      </c>
      <c r="V4369" s="101">
        <v>45225</v>
      </c>
      <c r="W4369" s="17" t="s">
        <v>44</v>
      </c>
      <c r="X4369" s="17"/>
      <c r="Y4369" s="68">
        <v>45346</v>
      </c>
      <c r="Z4369" s="17" t="s">
        <v>1317</v>
      </c>
      <c r="AA4369" s="17" t="s">
        <v>46</v>
      </c>
      <c r="AB4369" s="17" t="s">
        <v>1318</v>
      </c>
      <c r="AC4369" s="217">
        <v>45281</v>
      </c>
      <c r="AD4369" s="65">
        <v>1509</v>
      </c>
      <c r="AE4369" s="17" t="s">
        <v>48</v>
      </c>
      <c r="AF4369" s="17"/>
      <c r="AG4369" s="17"/>
      <c r="AH4369" s="17"/>
      <c r="AI4369" s="17"/>
      <c r="AJ4369" s="17"/>
      <c r="AK4369" s="17"/>
      <c r="AL4369" s="17"/>
      <c r="AM4369" s="17"/>
      <c r="AN4369" s="17"/>
      <c r="AO4369" s="17"/>
      <c r="AP4369" s="17"/>
      <c r="AQ4369" s="17"/>
      <c r="AR4369" s="17"/>
    </row>
    <row r="4370" s="21" customFormat="1" hidden="1" spans="1:44">
      <c r="A4370" s="17" t="s">
        <v>34</v>
      </c>
      <c r="B4370" s="19">
        <v>952</v>
      </c>
      <c r="C4370" s="183">
        <v>45224</v>
      </c>
      <c r="D4370" s="17" t="s">
        <v>35</v>
      </c>
      <c r="E4370" s="17" t="s">
        <v>71</v>
      </c>
      <c r="F4370" s="17" t="s">
        <v>72</v>
      </c>
      <c r="G4370" s="17"/>
      <c r="H4370" s="19">
        <v>1.2379</v>
      </c>
      <c r="I4370" s="19"/>
      <c r="J4370" s="17" t="s">
        <v>82</v>
      </c>
      <c r="K4370" s="19">
        <v>205</v>
      </c>
      <c r="L4370" s="19">
        <v>20</v>
      </c>
      <c r="M4370" s="19">
        <v>5800</v>
      </c>
      <c r="N4370" s="19" t="s">
        <v>40</v>
      </c>
      <c r="O4370" s="19" t="s">
        <v>141</v>
      </c>
      <c r="P4370" s="19">
        <v>1000</v>
      </c>
      <c r="Q4370" s="19">
        <v>830</v>
      </c>
      <c r="R4370" s="19">
        <f t="shared" si="211"/>
        <v>170</v>
      </c>
      <c r="S4370" s="19">
        <f t="shared" ref="S4370:S4387" si="214">2465+100</f>
        <v>2565</v>
      </c>
      <c r="T4370" s="19" t="s">
        <v>42</v>
      </c>
      <c r="U4370" s="102" t="s">
        <v>1324</v>
      </c>
      <c r="V4370" s="101">
        <v>45225</v>
      </c>
      <c r="W4370" s="17" t="s">
        <v>69</v>
      </c>
      <c r="X4370" s="17"/>
      <c r="Y4370" s="68">
        <v>45346</v>
      </c>
      <c r="Z4370" s="17" t="s">
        <v>1317</v>
      </c>
      <c r="AA4370" s="17" t="s">
        <v>46</v>
      </c>
      <c r="AB4370" s="17" t="s">
        <v>1312</v>
      </c>
      <c r="AC4370" s="217">
        <v>45358</v>
      </c>
      <c r="AD4370" s="65">
        <v>1535</v>
      </c>
      <c r="AE4370" s="17" t="s">
        <v>48</v>
      </c>
      <c r="AF4370" s="17"/>
      <c r="AG4370" s="17"/>
      <c r="AH4370" s="17"/>
      <c r="AI4370" s="17"/>
      <c r="AJ4370" s="17"/>
      <c r="AK4370" s="17"/>
      <c r="AL4370" s="17"/>
      <c r="AM4370" s="17"/>
      <c r="AN4370" s="17"/>
      <c r="AO4370" s="17"/>
      <c r="AP4370" s="17"/>
      <c r="AQ4370" s="17"/>
      <c r="AR4370" s="17"/>
    </row>
    <row r="4371" s="21" customFormat="1" hidden="1" spans="1:44">
      <c r="A4371" s="17" t="s">
        <v>34</v>
      </c>
      <c r="B4371" s="19">
        <v>952</v>
      </c>
      <c r="C4371" s="183">
        <v>45224</v>
      </c>
      <c r="D4371" s="17" t="s">
        <v>35</v>
      </c>
      <c r="E4371" s="17" t="s">
        <v>71</v>
      </c>
      <c r="F4371" s="17" t="s">
        <v>72</v>
      </c>
      <c r="G4371" s="17"/>
      <c r="H4371" s="19">
        <v>1.2379</v>
      </c>
      <c r="I4371" s="19"/>
      <c r="J4371" s="17" t="s">
        <v>82</v>
      </c>
      <c r="K4371" s="19">
        <v>255</v>
      </c>
      <c r="L4371" s="19">
        <v>20</v>
      </c>
      <c r="M4371" s="19">
        <v>5800</v>
      </c>
      <c r="N4371" s="19" t="s">
        <v>40</v>
      </c>
      <c r="O4371" s="19" t="s">
        <v>141</v>
      </c>
      <c r="P4371" s="19">
        <v>1000</v>
      </c>
      <c r="Q4371" s="19">
        <v>820</v>
      </c>
      <c r="R4371" s="19">
        <f t="shared" si="211"/>
        <v>180</v>
      </c>
      <c r="S4371" s="19">
        <f t="shared" si="214"/>
        <v>2565</v>
      </c>
      <c r="T4371" s="19" t="s">
        <v>42</v>
      </c>
      <c r="U4371" s="102" t="s">
        <v>1324</v>
      </c>
      <c r="V4371" s="101">
        <v>45225</v>
      </c>
      <c r="W4371" s="17" t="s">
        <v>69</v>
      </c>
      <c r="X4371" s="17"/>
      <c r="Y4371" s="68">
        <v>45346</v>
      </c>
      <c r="Z4371" s="17" t="s">
        <v>1317</v>
      </c>
      <c r="AA4371" s="17" t="s">
        <v>46</v>
      </c>
      <c r="AB4371" s="17" t="s">
        <v>1312</v>
      </c>
      <c r="AC4371" s="217">
        <v>45358</v>
      </c>
      <c r="AD4371" s="65">
        <v>1535</v>
      </c>
      <c r="AE4371" s="17" t="s">
        <v>48</v>
      </c>
      <c r="AF4371" s="17"/>
      <c r="AG4371" s="17"/>
      <c r="AH4371" s="17"/>
      <c r="AI4371" s="17"/>
      <c r="AJ4371" s="17"/>
      <c r="AK4371" s="17"/>
      <c r="AL4371" s="17"/>
      <c r="AM4371" s="17"/>
      <c r="AN4371" s="17"/>
      <c r="AO4371" s="17"/>
      <c r="AP4371" s="17"/>
      <c r="AQ4371" s="17"/>
      <c r="AR4371" s="17"/>
    </row>
    <row r="4372" s="21" customFormat="1" hidden="1" spans="1:44">
      <c r="A4372" s="17" t="s">
        <v>34</v>
      </c>
      <c r="B4372" s="19">
        <v>952</v>
      </c>
      <c r="C4372" s="183">
        <v>45224</v>
      </c>
      <c r="D4372" s="17" t="s">
        <v>35</v>
      </c>
      <c r="E4372" s="17" t="s">
        <v>71</v>
      </c>
      <c r="F4372" s="17" t="s">
        <v>72</v>
      </c>
      <c r="G4372" s="17"/>
      <c r="H4372" s="19">
        <v>1.2379</v>
      </c>
      <c r="I4372" s="19"/>
      <c r="J4372" s="17" t="s">
        <v>82</v>
      </c>
      <c r="K4372" s="19">
        <v>180</v>
      </c>
      <c r="L4372" s="19">
        <v>25</v>
      </c>
      <c r="M4372" s="19">
        <v>5800</v>
      </c>
      <c r="N4372" s="19" t="s">
        <v>40</v>
      </c>
      <c r="O4372" s="19" t="s">
        <v>141</v>
      </c>
      <c r="P4372" s="19">
        <v>1000</v>
      </c>
      <c r="Q4372" s="19">
        <v>1250</v>
      </c>
      <c r="R4372" s="19">
        <f t="shared" si="211"/>
        <v>-250</v>
      </c>
      <c r="S4372" s="19">
        <f t="shared" si="214"/>
        <v>2565</v>
      </c>
      <c r="T4372" s="19" t="s">
        <v>42</v>
      </c>
      <c r="U4372" s="102" t="s">
        <v>1324</v>
      </c>
      <c r="V4372" s="101">
        <v>45225</v>
      </c>
      <c r="W4372" s="17" t="s">
        <v>69</v>
      </c>
      <c r="X4372" s="17"/>
      <c r="Y4372" s="68">
        <v>45346</v>
      </c>
      <c r="Z4372" s="17" t="s">
        <v>1317</v>
      </c>
      <c r="AA4372" s="17" t="s">
        <v>46</v>
      </c>
      <c r="AB4372" s="17" t="s">
        <v>1312</v>
      </c>
      <c r="AC4372" s="217">
        <v>45358</v>
      </c>
      <c r="AD4372" s="65">
        <v>1535</v>
      </c>
      <c r="AE4372" s="17" t="s">
        <v>48</v>
      </c>
      <c r="AF4372" s="17"/>
      <c r="AG4372" s="17"/>
      <c r="AH4372" s="17"/>
      <c r="AI4372" s="17"/>
      <c r="AJ4372" s="17"/>
      <c r="AK4372" s="17"/>
      <c r="AL4372" s="17"/>
      <c r="AM4372" s="17"/>
      <c r="AN4372" s="17"/>
      <c r="AO4372" s="17"/>
      <c r="AP4372" s="17"/>
      <c r="AQ4372" s="17"/>
      <c r="AR4372" s="17"/>
    </row>
    <row r="4373" s="21" customFormat="1" hidden="1" spans="1:44">
      <c r="A4373" s="17" t="s">
        <v>34</v>
      </c>
      <c r="B4373" s="19">
        <v>952</v>
      </c>
      <c r="C4373" s="183">
        <v>45224</v>
      </c>
      <c r="D4373" s="17" t="s">
        <v>35</v>
      </c>
      <c r="E4373" s="17" t="s">
        <v>71</v>
      </c>
      <c r="F4373" s="17" t="s">
        <v>72</v>
      </c>
      <c r="G4373" s="17"/>
      <c r="H4373" s="19">
        <v>1.2379</v>
      </c>
      <c r="I4373" s="19"/>
      <c r="J4373" s="17" t="s">
        <v>82</v>
      </c>
      <c r="K4373" s="19">
        <v>155</v>
      </c>
      <c r="L4373" s="19">
        <v>32</v>
      </c>
      <c r="M4373" s="19">
        <v>5800</v>
      </c>
      <c r="N4373" s="19" t="s">
        <v>40</v>
      </c>
      <c r="O4373" s="19" t="s">
        <v>141</v>
      </c>
      <c r="P4373" s="19">
        <v>1000</v>
      </c>
      <c r="Q4373" s="19">
        <v>835</v>
      </c>
      <c r="R4373" s="19">
        <f t="shared" si="211"/>
        <v>165</v>
      </c>
      <c r="S4373" s="19">
        <f t="shared" si="214"/>
        <v>2565</v>
      </c>
      <c r="T4373" s="19" t="s">
        <v>42</v>
      </c>
      <c r="U4373" s="102" t="s">
        <v>1324</v>
      </c>
      <c r="V4373" s="101">
        <v>45225</v>
      </c>
      <c r="W4373" s="17" t="s">
        <v>69</v>
      </c>
      <c r="X4373" s="17"/>
      <c r="Y4373" s="68">
        <v>45346</v>
      </c>
      <c r="Z4373" s="17" t="s">
        <v>1317</v>
      </c>
      <c r="AA4373" s="17" t="s">
        <v>46</v>
      </c>
      <c r="AB4373" s="17" t="s">
        <v>1312</v>
      </c>
      <c r="AC4373" s="217">
        <v>45358</v>
      </c>
      <c r="AD4373" s="65">
        <v>1535</v>
      </c>
      <c r="AE4373" s="17" t="s">
        <v>48</v>
      </c>
      <c r="AF4373" s="17"/>
      <c r="AG4373" s="17"/>
      <c r="AH4373" s="17"/>
      <c r="AI4373" s="17"/>
      <c r="AJ4373" s="17"/>
      <c r="AK4373" s="17"/>
      <c r="AL4373" s="17"/>
      <c r="AM4373" s="17"/>
      <c r="AN4373" s="17"/>
      <c r="AO4373" s="17"/>
      <c r="AP4373" s="17"/>
      <c r="AQ4373" s="17"/>
      <c r="AR4373" s="17"/>
    </row>
    <row r="4374" s="21" customFormat="1" hidden="1" spans="1:44">
      <c r="A4374" s="17" t="s">
        <v>34</v>
      </c>
      <c r="B4374" s="19">
        <v>952</v>
      </c>
      <c r="C4374" s="183">
        <v>45224</v>
      </c>
      <c r="D4374" s="17" t="s">
        <v>35</v>
      </c>
      <c r="E4374" s="17" t="s">
        <v>71</v>
      </c>
      <c r="F4374" s="17" t="s">
        <v>72</v>
      </c>
      <c r="G4374" s="17"/>
      <c r="H4374" s="19">
        <v>1.2379</v>
      </c>
      <c r="I4374" s="19"/>
      <c r="J4374" s="17" t="s">
        <v>82</v>
      </c>
      <c r="K4374" s="19">
        <v>205</v>
      </c>
      <c r="L4374" s="19">
        <v>32</v>
      </c>
      <c r="M4374" s="19">
        <v>5800</v>
      </c>
      <c r="N4374" s="19" t="s">
        <v>40</v>
      </c>
      <c r="O4374" s="19" t="s">
        <v>141</v>
      </c>
      <c r="P4374" s="19">
        <v>2000</v>
      </c>
      <c r="Q4374" s="19">
        <f>785+840</f>
        <v>1625</v>
      </c>
      <c r="R4374" s="19">
        <f t="shared" si="211"/>
        <v>375</v>
      </c>
      <c r="S4374" s="19">
        <f t="shared" si="214"/>
        <v>2565</v>
      </c>
      <c r="T4374" s="19" t="s">
        <v>42</v>
      </c>
      <c r="U4374" s="102" t="s">
        <v>1324</v>
      </c>
      <c r="V4374" s="101">
        <v>45225</v>
      </c>
      <c r="W4374" s="17" t="s">
        <v>69</v>
      </c>
      <c r="X4374" s="17"/>
      <c r="Y4374" s="68">
        <v>45346</v>
      </c>
      <c r="Z4374" s="17" t="s">
        <v>1317</v>
      </c>
      <c r="AA4374" s="17" t="s">
        <v>46</v>
      </c>
      <c r="AB4374" s="17" t="s">
        <v>1312</v>
      </c>
      <c r="AC4374" s="217">
        <v>45358</v>
      </c>
      <c r="AD4374" s="65">
        <v>1535</v>
      </c>
      <c r="AE4374" s="17" t="s">
        <v>48</v>
      </c>
      <c r="AF4374" s="17"/>
      <c r="AG4374" s="17"/>
      <c r="AH4374" s="17"/>
      <c r="AI4374" s="17"/>
      <c r="AJ4374" s="17"/>
      <c r="AK4374" s="17"/>
      <c r="AL4374" s="17"/>
      <c r="AM4374" s="17"/>
      <c r="AN4374" s="17"/>
      <c r="AO4374" s="17"/>
      <c r="AP4374" s="17"/>
      <c r="AQ4374" s="17"/>
      <c r="AR4374" s="17"/>
    </row>
    <row r="4375" s="21" customFormat="1" hidden="1" spans="1:44">
      <c r="A4375" s="17" t="s">
        <v>34</v>
      </c>
      <c r="B4375" s="19">
        <v>952</v>
      </c>
      <c r="C4375" s="183">
        <v>45224</v>
      </c>
      <c r="D4375" s="17" t="s">
        <v>35</v>
      </c>
      <c r="E4375" s="17" t="s">
        <v>71</v>
      </c>
      <c r="F4375" s="17" t="s">
        <v>72</v>
      </c>
      <c r="G4375" s="17"/>
      <c r="H4375" s="19">
        <v>1.2379</v>
      </c>
      <c r="I4375" s="19"/>
      <c r="J4375" s="17" t="s">
        <v>82</v>
      </c>
      <c r="K4375" s="19">
        <v>255</v>
      </c>
      <c r="L4375" s="19">
        <v>32</v>
      </c>
      <c r="M4375" s="19">
        <v>5800</v>
      </c>
      <c r="N4375" s="19" t="s">
        <v>40</v>
      </c>
      <c r="O4375" s="19" t="s">
        <v>141</v>
      </c>
      <c r="P4375" s="19">
        <v>2000</v>
      </c>
      <c r="Q4375" s="19">
        <f>850+840</f>
        <v>1690</v>
      </c>
      <c r="R4375" s="19">
        <f t="shared" si="211"/>
        <v>310</v>
      </c>
      <c r="S4375" s="19">
        <f t="shared" si="214"/>
        <v>2565</v>
      </c>
      <c r="T4375" s="19" t="s">
        <v>42</v>
      </c>
      <c r="U4375" s="102" t="s">
        <v>1324</v>
      </c>
      <c r="V4375" s="101">
        <v>45225</v>
      </c>
      <c r="W4375" s="17" t="s">
        <v>69</v>
      </c>
      <c r="X4375" s="17"/>
      <c r="Y4375" s="68">
        <v>45346</v>
      </c>
      <c r="Z4375" s="17" t="s">
        <v>1317</v>
      </c>
      <c r="AA4375" s="17" t="s">
        <v>46</v>
      </c>
      <c r="AB4375" s="17" t="s">
        <v>1312</v>
      </c>
      <c r="AC4375" s="217">
        <v>45358</v>
      </c>
      <c r="AD4375" s="65">
        <v>1535</v>
      </c>
      <c r="AE4375" s="17" t="s">
        <v>48</v>
      </c>
      <c r="AF4375" s="17"/>
      <c r="AG4375" s="17"/>
      <c r="AH4375" s="17"/>
      <c r="AI4375" s="17"/>
      <c r="AJ4375" s="17"/>
      <c r="AK4375" s="17"/>
      <c r="AL4375" s="17"/>
      <c r="AM4375" s="17"/>
      <c r="AN4375" s="17"/>
      <c r="AO4375" s="17"/>
      <c r="AP4375" s="17"/>
      <c r="AQ4375" s="17"/>
      <c r="AR4375" s="17"/>
    </row>
    <row r="4376" s="21" customFormat="1" hidden="1" spans="1:44">
      <c r="A4376" s="17" t="s">
        <v>34</v>
      </c>
      <c r="B4376" s="19">
        <v>952</v>
      </c>
      <c r="C4376" s="183">
        <v>45224</v>
      </c>
      <c r="D4376" s="17" t="s">
        <v>35</v>
      </c>
      <c r="E4376" s="17" t="s">
        <v>71</v>
      </c>
      <c r="F4376" s="17" t="s">
        <v>72</v>
      </c>
      <c r="G4376" s="17"/>
      <c r="H4376" s="19">
        <v>1.2379</v>
      </c>
      <c r="I4376" s="19"/>
      <c r="J4376" s="17" t="s">
        <v>82</v>
      </c>
      <c r="K4376" s="19">
        <v>155</v>
      </c>
      <c r="L4376" s="19">
        <v>40</v>
      </c>
      <c r="M4376" s="19">
        <v>5800</v>
      </c>
      <c r="N4376" s="19" t="s">
        <v>40</v>
      </c>
      <c r="O4376" s="19" t="s">
        <v>141</v>
      </c>
      <c r="P4376" s="19">
        <v>1000</v>
      </c>
      <c r="Q4376" s="19">
        <v>830</v>
      </c>
      <c r="R4376" s="19">
        <f t="shared" si="211"/>
        <v>170</v>
      </c>
      <c r="S4376" s="19">
        <f t="shared" si="214"/>
        <v>2565</v>
      </c>
      <c r="T4376" s="19" t="s">
        <v>42</v>
      </c>
      <c r="U4376" s="102" t="s">
        <v>1324</v>
      </c>
      <c r="V4376" s="101">
        <v>45225</v>
      </c>
      <c r="W4376" s="17" t="s">
        <v>69</v>
      </c>
      <c r="X4376" s="17"/>
      <c r="Y4376" s="68">
        <v>45346</v>
      </c>
      <c r="Z4376" s="17" t="s">
        <v>1317</v>
      </c>
      <c r="AA4376" s="17" t="s">
        <v>46</v>
      </c>
      <c r="AB4376" s="17" t="s">
        <v>1312</v>
      </c>
      <c r="AC4376" s="217">
        <v>45358</v>
      </c>
      <c r="AD4376" s="65">
        <v>1535</v>
      </c>
      <c r="AE4376" s="17" t="s">
        <v>48</v>
      </c>
      <c r="AF4376" s="17"/>
      <c r="AG4376" s="17"/>
      <c r="AH4376" s="17"/>
      <c r="AI4376" s="17"/>
      <c r="AJ4376" s="17"/>
      <c r="AK4376" s="17"/>
      <c r="AL4376" s="17"/>
      <c r="AM4376" s="17"/>
      <c r="AN4376" s="17"/>
      <c r="AO4376" s="17"/>
      <c r="AP4376" s="17"/>
      <c r="AQ4376" s="17"/>
      <c r="AR4376" s="17"/>
    </row>
    <row r="4377" s="21" customFormat="1" hidden="1" spans="1:44">
      <c r="A4377" s="17" t="s">
        <v>34</v>
      </c>
      <c r="B4377" s="19">
        <v>952</v>
      </c>
      <c r="C4377" s="183">
        <v>45224</v>
      </c>
      <c r="D4377" s="17" t="s">
        <v>35</v>
      </c>
      <c r="E4377" s="17" t="s">
        <v>71</v>
      </c>
      <c r="F4377" s="17" t="s">
        <v>72</v>
      </c>
      <c r="G4377" s="17"/>
      <c r="H4377" s="19">
        <v>1.2379</v>
      </c>
      <c r="I4377" s="19"/>
      <c r="J4377" s="17" t="s">
        <v>82</v>
      </c>
      <c r="K4377" s="19">
        <v>205</v>
      </c>
      <c r="L4377" s="19">
        <v>40</v>
      </c>
      <c r="M4377" s="19">
        <v>5800</v>
      </c>
      <c r="N4377" s="19" t="s">
        <v>40</v>
      </c>
      <c r="O4377" s="19" t="s">
        <v>141</v>
      </c>
      <c r="P4377" s="19">
        <v>1000</v>
      </c>
      <c r="Q4377" s="19">
        <v>835</v>
      </c>
      <c r="R4377" s="19">
        <f t="shared" si="211"/>
        <v>165</v>
      </c>
      <c r="S4377" s="19">
        <f t="shared" si="214"/>
        <v>2565</v>
      </c>
      <c r="T4377" s="19" t="s">
        <v>42</v>
      </c>
      <c r="U4377" s="102" t="s">
        <v>1324</v>
      </c>
      <c r="V4377" s="101">
        <v>45225</v>
      </c>
      <c r="W4377" s="17" t="s">
        <v>69</v>
      </c>
      <c r="X4377" s="17"/>
      <c r="Y4377" s="68">
        <v>45346</v>
      </c>
      <c r="Z4377" s="17" t="s">
        <v>1317</v>
      </c>
      <c r="AA4377" s="17" t="s">
        <v>46</v>
      </c>
      <c r="AB4377" s="17" t="s">
        <v>1312</v>
      </c>
      <c r="AC4377" s="217">
        <v>45358</v>
      </c>
      <c r="AD4377" s="65">
        <v>1535</v>
      </c>
      <c r="AE4377" s="17" t="s">
        <v>48</v>
      </c>
      <c r="AF4377" s="17"/>
      <c r="AG4377" s="17"/>
      <c r="AH4377" s="17"/>
      <c r="AI4377" s="17"/>
      <c r="AJ4377" s="17"/>
      <c r="AK4377" s="17"/>
      <c r="AL4377" s="17"/>
      <c r="AM4377" s="17"/>
      <c r="AN4377" s="17"/>
      <c r="AO4377" s="17"/>
      <c r="AP4377" s="17"/>
      <c r="AQ4377" s="17"/>
      <c r="AR4377" s="17"/>
    </row>
    <row r="4378" s="21" customFormat="1" hidden="1" spans="1:44">
      <c r="A4378" s="17" t="s">
        <v>34</v>
      </c>
      <c r="B4378" s="19">
        <v>952</v>
      </c>
      <c r="C4378" s="183">
        <v>45224</v>
      </c>
      <c r="D4378" s="17" t="s">
        <v>35</v>
      </c>
      <c r="E4378" s="17" t="s">
        <v>71</v>
      </c>
      <c r="F4378" s="17" t="s">
        <v>72</v>
      </c>
      <c r="G4378" s="17"/>
      <c r="H4378" s="19">
        <v>1.2379</v>
      </c>
      <c r="I4378" s="19"/>
      <c r="J4378" s="17" t="s">
        <v>82</v>
      </c>
      <c r="K4378" s="19">
        <v>255</v>
      </c>
      <c r="L4378" s="19">
        <v>40</v>
      </c>
      <c r="M4378" s="19">
        <v>5800</v>
      </c>
      <c r="N4378" s="19" t="s">
        <v>40</v>
      </c>
      <c r="O4378" s="19" t="s">
        <v>141</v>
      </c>
      <c r="P4378" s="19">
        <v>1000</v>
      </c>
      <c r="Q4378" s="19">
        <v>785</v>
      </c>
      <c r="R4378" s="19">
        <f t="shared" si="211"/>
        <v>215</v>
      </c>
      <c r="S4378" s="19">
        <f t="shared" si="214"/>
        <v>2565</v>
      </c>
      <c r="T4378" s="19" t="s">
        <v>42</v>
      </c>
      <c r="U4378" s="102" t="s">
        <v>1324</v>
      </c>
      <c r="V4378" s="101">
        <v>45225</v>
      </c>
      <c r="W4378" s="17" t="s">
        <v>69</v>
      </c>
      <c r="X4378" s="17"/>
      <c r="Y4378" s="68">
        <v>45346</v>
      </c>
      <c r="Z4378" s="17" t="s">
        <v>1317</v>
      </c>
      <c r="AA4378" s="17" t="s">
        <v>46</v>
      </c>
      <c r="AB4378" s="17" t="s">
        <v>1312</v>
      </c>
      <c r="AC4378" s="217">
        <v>45358</v>
      </c>
      <c r="AD4378" s="65">
        <v>1535</v>
      </c>
      <c r="AE4378" s="17" t="s">
        <v>48</v>
      </c>
      <c r="AF4378" s="17"/>
      <c r="AG4378" s="17"/>
      <c r="AH4378" s="17"/>
      <c r="AI4378" s="17"/>
      <c r="AJ4378" s="17"/>
      <c r="AK4378" s="17"/>
      <c r="AL4378" s="17"/>
      <c r="AM4378" s="17"/>
      <c r="AN4378" s="17"/>
      <c r="AO4378" s="17"/>
      <c r="AP4378" s="17"/>
      <c r="AQ4378" s="17"/>
      <c r="AR4378" s="17"/>
    </row>
    <row r="4379" s="21" customFormat="1" hidden="1" spans="1:44">
      <c r="A4379" s="17" t="s">
        <v>34</v>
      </c>
      <c r="B4379" s="19">
        <v>952</v>
      </c>
      <c r="C4379" s="183">
        <v>45224</v>
      </c>
      <c r="D4379" s="17" t="s">
        <v>35</v>
      </c>
      <c r="E4379" s="17" t="s">
        <v>71</v>
      </c>
      <c r="F4379" s="17" t="s">
        <v>72</v>
      </c>
      <c r="G4379" s="17"/>
      <c r="H4379" s="19">
        <v>1.2379</v>
      </c>
      <c r="I4379" s="19"/>
      <c r="J4379" s="17" t="s">
        <v>82</v>
      </c>
      <c r="K4379" s="19">
        <v>155</v>
      </c>
      <c r="L4379" s="19">
        <v>50</v>
      </c>
      <c r="M4379" s="19">
        <v>5800</v>
      </c>
      <c r="N4379" s="19" t="s">
        <v>40</v>
      </c>
      <c r="O4379" s="19" t="s">
        <v>141</v>
      </c>
      <c r="P4379" s="19">
        <v>1000</v>
      </c>
      <c r="Q4379" s="19">
        <v>840</v>
      </c>
      <c r="R4379" s="19">
        <f t="shared" si="211"/>
        <v>160</v>
      </c>
      <c r="S4379" s="19">
        <f t="shared" si="214"/>
        <v>2565</v>
      </c>
      <c r="T4379" s="19" t="s">
        <v>42</v>
      </c>
      <c r="U4379" s="102" t="s">
        <v>1324</v>
      </c>
      <c r="V4379" s="101">
        <v>45225</v>
      </c>
      <c r="W4379" s="17" t="s">
        <v>69</v>
      </c>
      <c r="X4379" s="17"/>
      <c r="Y4379" s="68">
        <v>45346</v>
      </c>
      <c r="Z4379" s="17" t="s">
        <v>1317</v>
      </c>
      <c r="AA4379" s="17" t="s">
        <v>46</v>
      </c>
      <c r="AB4379" s="17" t="s">
        <v>1312</v>
      </c>
      <c r="AC4379" s="217">
        <v>45358</v>
      </c>
      <c r="AD4379" s="65">
        <v>1535</v>
      </c>
      <c r="AE4379" s="17" t="s">
        <v>48</v>
      </c>
      <c r="AF4379" s="17"/>
      <c r="AG4379" s="17"/>
      <c r="AH4379" s="17"/>
      <c r="AI4379" s="17"/>
      <c r="AJ4379" s="17"/>
      <c r="AK4379" s="17"/>
      <c r="AL4379" s="17"/>
      <c r="AM4379" s="17"/>
      <c r="AN4379" s="17"/>
      <c r="AO4379" s="17"/>
      <c r="AP4379" s="17"/>
      <c r="AQ4379" s="17"/>
      <c r="AR4379" s="17"/>
    </row>
    <row r="4380" s="21" customFormat="1" hidden="1" spans="1:44">
      <c r="A4380" s="17" t="s">
        <v>34</v>
      </c>
      <c r="B4380" s="19">
        <v>952</v>
      </c>
      <c r="C4380" s="183">
        <v>45224</v>
      </c>
      <c r="D4380" s="17" t="s">
        <v>35</v>
      </c>
      <c r="E4380" s="17" t="s">
        <v>71</v>
      </c>
      <c r="F4380" s="17" t="s">
        <v>72</v>
      </c>
      <c r="G4380" s="17"/>
      <c r="H4380" s="19">
        <v>1.2379</v>
      </c>
      <c r="I4380" s="19"/>
      <c r="J4380" s="17" t="s">
        <v>82</v>
      </c>
      <c r="K4380" s="19">
        <v>205</v>
      </c>
      <c r="L4380" s="19">
        <v>50</v>
      </c>
      <c r="M4380" s="19">
        <v>5800</v>
      </c>
      <c r="N4380" s="19" t="s">
        <v>40</v>
      </c>
      <c r="O4380" s="19" t="s">
        <v>141</v>
      </c>
      <c r="P4380" s="19">
        <v>2000</v>
      </c>
      <c r="Q4380" s="19">
        <v>1660</v>
      </c>
      <c r="R4380" s="19">
        <f t="shared" si="211"/>
        <v>340</v>
      </c>
      <c r="S4380" s="19">
        <f t="shared" si="214"/>
        <v>2565</v>
      </c>
      <c r="T4380" s="19" t="s">
        <v>42</v>
      </c>
      <c r="U4380" s="102" t="s">
        <v>1324</v>
      </c>
      <c r="V4380" s="101">
        <v>45225</v>
      </c>
      <c r="W4380" s="17" t="s">
        <v>69</v>
      </c>
      <c r="X4380" s="17"/>
      <c r="Y4380" s="68">
        <v>45346</v>
      </c>
      <c r="Z4380" s="17" t="s">
        <v>1317</v>
      </c>
      <c r="AA4380" s="17" t="s">
        <v>46</v>
      </c>
      <c r="AB4380" s="17" t="s">
        <v>1312</v>
      </c>
      <c r="AC4380" s="217">
        <v>45358</v>
      </c>
      <c r="AD4380" s="65">
        <v>1535</v>
      </c>
      <c r="AE4380" s="17" t="s">
        <v>48</v>
      </c>
      <c r="AF4380" s="17"/>
      <c r="AG4380" s="17"/>
      <c r="AH4380" s="17"/>
      <c r="AI4380" s="17"/>
      <c r="AJ4380" s="17"/>
      <c r="AK4380" s="17"/>
      <c r="AL4380" s="17"/>
      <c r="AM4380" s="17"/>
      <c r="AN4380" s="17"/>
      <c r="AO4380" s="17"/>
      <c r="AP4380" s="17"/>
      <c r="AQ4380" s="17"/>
      <c r="AR4380" s="17"/>
    </row>
    <row r="4381" s="21" customFormat="1" hidden="1" spans="1:44">
      <c r="A4381" s="17" t="s">
        <v>34</v>
      </c>
      <c r="B4381" s="19">
        <v>952</v>
      </c>
      <c r="C4381" s="183">
        <v>45224</v>
      </c>
      <c r="D4381" s="17" t="s">
        <v>35</v>
      </c>
      <c r="E4381" s="17" t="s">
        <v>71</v>
      </c>
      <c r="F4381" s="17" t="s">
        <v>72</v>
      </c>
      <c r="G4381" s="17"/>
      <c r="H4381" s="19">
        <v>1.2379</v>
      </c>
      <c r="I4381" s="19"/>
      <c r="J4381" s="17" t="s">
        <v>82</v>
      </c>
      <c r="K4381" s="19">
        <v>255</v>
      </c>
      <c r="L4381" s="19">
        <v>50</v>
      </c>
      <c r="M4381" s="19">
        <v>5800</v>
      </c>
      <c r="N4381" s="19" t="s">
        <v>40</v>
      </c>
      <c r="O4381" s="19" t="s">
        <v>141</v>
      </c>
      <c r="P4381" s="19">
        <v>2000</v>
      </c>
      <c r="Q4381" s="19">
        <f>850+840</f>
        <v>1690</v>
      </c>
      <c r="R4381" s="19">
        <f t="shared" ref="R4381:R4412" si="215">+P4381-Q4381</f>
        <v>310</v>
      </c>
      <c r="S4381" s="19">
        <f t="shared" si="214"/>
        <v>2565</v>
      </c>
      <c r="T4381" s="19" t="s">
        <v>42</v>
      </c>
      <c r="U4381" s="102" t="s">
        <v>1324</v>
      </c>
      <c r="V4381" s="101">
        <v>45225</v>
      </c>
      <c r="W4381" s="17" t="s">
        <v>69</v>
      </c>
      <c r="X4381" s="17"/>
      <c r="Y4381" s="68">
        <v>45346</v>
      </c>
      <c r="Z4381" s="17" t="s">
        <v>1317</v>
      </c>
      <c r="AA4381" s="17" t="s">
        <v>46</v>
      </c>
      <c r="AB4381" s="17" t="s">
        <v>1312</v>
      </c>
      <c r="AC4381" s="217">
        <v>45358</v>
      </c>
      <c r="AD4381" s="65">
        <v>1535</v>
      </c>
      <c r="AE4381" s="17" t="s">
        <v>48</v>
      </c>
      <c r="AF4381" s="17"/>
      <c r="AG4381" s="17"/>
      <c r="AH4381" s="17"/>
      <c r="AI4381" s="17"/>
      <c r="AJ4381" s="17"/>
      <c r="AK4381" s="17"/>
      <c r="AL4381" s="17"/>
      <c r="AM4381" s="17"/>
      <c r="AN4381" s="17"/>
      <c r="AO4381" s="17"/>
      <c r="AP4381" s="17"/>
      <c r="AQ4381" s="17"/>
      <c r="AR4381" s="17"/>
    </row>
    <row r="4382" s="21" customFormat="1" hidden="1" spans="1:44">
      <c r="A4382" s="17" t="s">
        <v>34</v>
      </c>
      <c r="B4382" s="19">
        <v>952</v>
      </c>
      <c r="C4382" s="183">
        <v>45224</v>
      </c>
      <c r="D4382" s="17" t="s">
        <v>35</v>
      </c>
      <c r="E4382" s="17" t="s">
        <v>71</v>
      </c>
      <c r="F4382" s="17" t="s">
        <v>72</v>
      </c>
      <c r="G4382" s="17"/>
      <c r="H4382" s="19">
        <v>1.2379</v>
      </c>
      <c r="I4382" s="19"/>
      <c r="J4382" s="17" t="s">
        <v>82</v>
      </c>
      <c r="K4382" s="19">
        <v>155</v>
      </c>
      <c r="L4382" s="19">
        <v>65</v>
      </c>
      <c r="M4382" s="19">
        <v>5800</v>
      </c>
      <c r="N4382" s="19" t="s">
        <v>40</v>
      </c>
      <c r="O4382" s="19" t="s">
        <v>141</v>
      </c>
      <c r="P4382" s="19">
        <v>1000</v>
      </c>
      <c r="Q4382" s="19">
        <v>830</v>
      </c>
      <c r="R4382" s="19">
        <f t="shared" si="215"/>
        <v>170</v>
      </c>
      <c r="S4382" s="19">
        <f t="shared" si="214"/>
        <v>2565</v>
      </c>
      <c r="T4382" s="19" t="s">
        <v>42</v>
      </c>
      <c r="U4382" s="102" t="s">
        <v>1324</v>
      </c>
      <c r="V4382" s="101">
        <v>45225</v>
      </c>
      <c r="W4382" s="17" t="s">
        <v>69</v>
      </c>
      <c r="X4382" s="17"/>
      <c r="Y4382" s="68">
        <v>45346</v>
      </c>
      <c r="Z4382" s="17" t="s">
        <v>1317</v>
      </c>
      <c r="AA4382" s="17" t="s">
        <v>46</v>
      </c>
      <c r="AB4382" s="17" t="s">
        <v>1312</v>
      </c>
      <c r="AC4382" s="217">
        <v>45358</v>
      </c>
      <c r="AD4382" s="65">
        <v>1535</v>
      </c>
      <c r="AE4382" s="17" t="s">
        <v>48</v>
      </c>
      <c r="AF4382" s="17"/>
      <c r="AG4382" s="17"/>
      <c r="AH4382" s="17"/>
      <c r="AI4382" s="17"/>
      <c r="AJ4382" s="17"/>
      <c r="AK4382" s="17"/>
      <c r="AL4382" s="17"/>
      <c r="AM4382" s="17"/>
      <c r="AN4382" s="17"/>
      <c r="AO4382" s="17"/>
      <c r="AP4382" s="17"/>
      <c r="AQ4382" s="17"/>
      <c r="AR4382" s="17"/>
    </row>
    <row r="4383" s="21" customFormat="1" hidden="1" spans="1:44">
      <c r="A4383" s="17" t="s">
        <v>34</v>
      </c>
      <c r="B4383" s="19">
        <v>952</v>
      </c>
      <c r="C4383" s="183">
        <v>45224</v>
      </c>
      <c r="D4383" s="17" t="s">
        <v>35</v>
      </c>
      <c r="E4383" s="17" t="s">
        <v>71</v>
      </c>
      <c r="F4383" s="17" t="s">
        <v>72</v>
      </c>
      <c r="G4383" s="17"/>
      <c r="H4383" s="19">
        <v>1.2379</v>
      </c>
      <c r="I4383" s="19"/>
      <c r="J4383" s="17" t="s">
        <v>82</v>
      </c>
      <c r="K4383" s="19">
        <v>205</v>
      </c>
      <c r="L4383" s="19">
        <v>65</v>
      </c>
      <c r="M4383" s="19">
        <v>5800</v>
      </c>
      <c r="N4383" s="19" t="s">
        <v>40</v>
      </c>
      <c r="O4383" s="19" t="s">
        <v>141</v>
      </c>
      <c r="P4383" s="19">
        <v>1000</v>
      </c>
      <c r="Q4383" s="19">
        <v>1725</v>
      </c>
      <c r="R4383" s="19">
        <f t="shared" si="215"/>
        <v>-725</v>
      </c>
      <c r="S4383" s="19">
        <f t="shared" si="214"/>
        <v>2565</v>
      </c>
      <c r="T4383" s="19" t="s">
        <v>42</v>
      </c>
      <c r="U4383" s="102" t="s">
        <v>1324</v>
      </c>
      <c r="V4383" s="101">
        <v>45225</v>
      </c>
      <c r="W4383" s="17" t="s">
        <v>69</v>
      </c>
      <c r="X4383" s="17"/>
      <c r="Y4383" s="68">
        <v>45346</v>
      </c>
      <c r="Z4383" s="17" t="s">
        <v>1317</v>
      </c>
      <c r="AA4383" s="17" t="s">
        <v>46</v>
      </c>
      <c r="AB4383" s="17" t="s">
        <v>1312</v>
      </c>
      <c r="AC4383" s="217">
        <v>45358</v>
      </c>
      <c r="AD4383" s="65">
        <v>1535</v>
      </c>
      <c r="AE4383" s="17" t="s">
        <v>48</v>
      </c>
      <c r="AF4383" s="17"/>
      <c r="AG4383" s="17"/>
      <c r="AH4383" s="17"/>
      <c r="AI4383" s="17"/>
      <c r="AJ4383" s="17"/>
      <c r="AK4383" s="17"/>
      <c r="AL4383" s="17"/>
      <c r="AM4383" s="17"/>
      <c r="AN4383" s="17"/>
      <c r="AO4383" s="17"/>
      <c r="AP4383" s="17"/>
      <c r="AQ4383" s="17"/>
      <c r="AR4383" s="17"/>
    </row>
    <row r="4384" s="21" customFormat="1" hidden="1" spans="1:44">
      <c r="A4384" s="17" t="s">
        <v>34</v>
      </c>
      <c r="B4384" s="19">
        <v>952</v>
      </c>
      <c r="C4384" s="183">
        <v>45224</v>
      </c>
      <c r="D4384" s="17" t="s">
        <v>35</v>
      </c>
      <c r="E4384" s="17" t="s">
        <v>71</v>
      </c>
      <c r="F4384" s="17" t="s">
        <v>72</v>
      </c>
      <c r="G4384" s="17"/>
      <c r="H4384" s="19">
        <v>1.2379</v>
      </c>
      <c r="I4384" s="19"/>
      <c r="J4384" s="17" t="s">
        <v>82</v>
      </c>
      <c r="K4384" s="19">
        <v>255</v>
      </c>
      <c r="L4384" s="19">
        <v>65</v>
      </c>
      <c r="M4384" s="19">
        <v>5800</v>
      </c>
      <c r="N4384" s="19" t="s">
        <v>40</v>
      </c>
      <c r="O4384" s="19" t="s">
        <v>141</v>
      </c>
      <c r="P4384" s="19">
        <v>1000</v>
      </c>
      <c r="Q4384" s="19">
        <f>830+830</f>
        <v>1660</v>
      </c>
      <c r="R4384" s="19">
        <f t="shared" si="215"/>
        <v>-660</v>
      </c>
      <c r="S4384" s="19">
        <f t="shared" si="214"/>
        <v>2565</v>
      </c>
      <c r="T4384" s="19" t="s">
        <v>42</v>
      </c>
      <c r="U4384" s="102" t="s">
        <v>1324</v>
      </c>
      <c r="V4384" s="101">
        <v>45225</v>
      </c>
      <c r="W4384" s="17" t="s">
        <v>69</v>
      </c>
      <c r="X4384" s="17"/>
      <c r="Y4384" s="68">
        <v>45346</v>
      </c>
      <c r="Z4384" s="17" t="s">
        <v>1317</v>
      </c>
      <c r="AA4384" s="17" t="s">
        <v>46</v>
      </c>
      <c r="AB4384" s="17" t="s">
        <v>1312</v>
      </c>
      <c r="AC4384" s="217">
        <v>45358</v>
      </c>
      <c r="AD4384" s="65">
        <v>1535</v>
      </c>
      <c r="AE4384" s="17" t="s">
        <v>48</v>
      </c>
      <c r="AF4384" s="17"/>
      <c r="AG4384" s="17"/>
      <c r="AH4384" s="17"/>
      <c r="AI4384" s="17"/>
      <c r="AJ4384" s="17"/>
      <c r="AK4384" s="17"/>
      <c r="AL4384" s="17"/>
      <c r="AM4384" s="17"/>
      <c r="AN4384" s="17"/>
      <c r="AO4384" s="17"/>
      <c r="AP4384" s="17"/>
      <c r="AQ4384" s="17"/>
      <c r="AR4384" s="17"/>
    </row>
    <row r="4385" s="21" customFormat="1" hidden="1" spans="1:44">
      <c r="A4385" s="17" t="s">
        <v>34</v>
      </c>
      <c r="B4385" s="19">
        <v>952</v>
      </c>
      <c r="C4385" s="183">
        <v>45224</v>
      </c>
      <c r="D4385" s="17" t="s">
        <v>35</v>
      </c>
      <c r="E4385" s="17" t="s">
        <v>71</v>
      </c>
      <c r="F4385" s="17" t="s">
        <v>72</v>
      </c>
      <c r="G4385" s="17"/>
      <c r="H4385" s="19">
        <v>1.2379</v>
      </c>
      <c r="I4385" s="19"/>
      <c r="J4385" s="17" t="s">
        <v>82</v>
      </c>
      <c r="K4385" s="19">
        <v>155</v>
      </c>
      <c r="L4385" s="19">
        <v>80</v>
      </c>
      <c r="M4385" s="19">
        <v>5800</v>
      </c>
      <c r="N4385" s="19" t="s">
        <v>40</v>
      </c>
      <c r="O4385" s="19" t="s">
        <v>141</v>
      </c>
      <c r="P4385" s="19">
        <v>1000</v>
      </c>
      <c r="Q4385" s="19">
        <v>1655</v>
      </c>
      <c r="R4385" s="19">
        <f t="shared" si="215"/>
        <v>-655</v>
      </c>
      <c r="S4385" s="19">
        <f t="shared" si="214"/>
        <v>2565</v>
      </c>
      <c r="T4385" s="19" t="s">
        <v>42</v>
      </c>
      <c r="U4385" s="102" t="s">
        <v>1324</v>
      </c>
      <c r="V4385" s="101">
        <v>45225</v>
      </c>
      <c r="W4385" s="17" t="s">
        <v>69</v>
      </c>
      <c r="X4385" s="17"/>
      <c r="Y4385" s="68">
        <v>45346</v>
      </c>
      <c r="Z4385" s="17" t="s">
        <v>1317</v>
      </c>
      <c r="AA4385" s="17" t="s">
        <v>46</v>
      </c>
      <c r="AB4385" s="17" t="s">
        <v>1312</v>
      </c>
      <c r="AC4385" s="217">
        <v>45358</v>
      </c>
      <c r="AD4385" s="65">
        <v>1535</v>
      </c>
      <c r="AE4385" s="17" t="s">
        <v>48</v>
      </c>
      <c r="AF4385" s="17"/>
      <c r="AG4385" s="17"/>
      <c r="AH4385" s="17"/>
      <c r="AI4385" s="17"/>
      <c r="AJ4385" s="17"/>
      <c r="AK4385" s="17"/>
      <c r="AL4385" s="17"/>
      <c r="AM4385" s="17"/>
      <c r="AN4385" s="17"/>
      <c r="AO4385" s="17"/>
      <c r="AP4385" s="17"/>
      <c r="AQ4385" s="17"/>
      <c r="AR4385" s="17"/>
    </row>
    <row r="4386" s="21" customFormat="1" hidden="1" spans="1:44">
      <c r="A4386" s="17" t="s">
        <v>34</v>
      </c>
      <c r="B4386" s="19">
        <v>952</v>
      </c>
      <c r="C4386" s="183">
        <v>45224</v>
      </c>
      <c r="D4386" s="17" t="s">
        <v>35</v>
      </c>
      <c r="E4386" s="17" t="s">
        <v>71</v>
      </c>
      <c r="F4386" s="17" t="s">
        <v>72</v>
      </c>
      <c r="G4386" s="17"/>
      <c r="H4386" s="19">
        <v>1.2379</v>
      </c>
      <c r="I4386" s="19"/>
      <c r="J4386" s="17" t="s">
        <v>82</v>
      </c>
      <c r="K4386" s="19">
        <v>205</v>
      </c>
      <c r="L4386" s="19">
        <v>80</v>
      </c>
      <c r="M4386" s="19">
        <v>5800</v>
      </c>
      <c r="N4386" s="19" t="s">
        <v>40</v>
      </c>
      <c r="O4386" s="19" t="s">
        <v>141</v>
      </c>
      <c r="P4386" s="19">
        <v>1000</v>
      </c>
      <c r="Q4386" s="19">
        <f>425+1290</f>
        <v>1715</v>
      </c>
      <c r="R4386" s="19">
        <f t="shared" si="215"/>
        <v>-715</v>
      </c>
      <c r="S4386" s="19">
        <f t="shared" si="214"/>
        <v>2565</v>
      </c>
      <c r="T4386" s="19" t="s">
        <v>42</v>
      </c>
      <c r="U4386" s="102" t="s">
        <v>1324</v>
      </c>
      <c r="V4386" s="101">
        <v>45225</v>
      </c>
      <c r="W4386" s="17" t="s">
        <v>69</v>
      </c>
      <c r="X4386" s="17"/>
      <c r="Y4386" s="68">
        <v>45346</v>
      </c>
      <c r="Z4386" s="17" t="s">
        <v>1317</v>
      </c>
      <c r="AA4386" s="17" t="s">
        <v>46</v>
      </c>
      <c r="AB4386" s="17" t="s">
        <v>1312</v>
      </c>
      <c r="AC4386" s="217">
        <v>45358</v>
      </c>
      <c r="AD4386" s="65">
        <v>1535</v>
      </c>
      <c r="AE4386" s="17" t="s">
        <v>48</v>
      </c>
      <c r="AF4386" s="17"/>
      <c r="AG4386" s="17"/>
      <c r="AH4386" s="17"/>
      <c r="AI4386" s="17"/>
      <c r="AJ4386" s="17"/>
      <c r="AK4386" s="17"/>
      <c r="AL4386" s="17"/>
      <c r="AM4386" s="17"/>
      <c r="AN4386" s="17"/>
      <c r="AO4386" s="17"/>
      <c r="AP4386" s="17"/>
      <c r="AQ4386" s="17"/>
      <c r="AR4386" s="17"/>
    </row>
    <row r="4387" s="21" customFormat="1" hidden="1" spans="1:44">
      <c r="A4387" s="17" t="s">
        <v>34</v>
      </c>
      <c r="B4387" s="19">
        <v>952</v>
      </c>
      <c r="C4387" s="183">
        <v>45224</v>
      </c>
      <c r="D4387" s="17" t="s">
        <v>35</v>
      </c>
      <c r="E4387" s="17" t="s">
        <v>71</v>
      </c>
      <c r="F4387" s="17" t="s">
        <v>72</v>
      </c>
      <c r="G4387" s="17"/>
      <c r="H4387" s="19">
        <v>1.2379</v>
      </c>
      <c r="I4387" s="19"/>
      <c r="J4387" s="17" t="s">
        <v>82</v>
      </c>
      <c r="K4387" s="19">
        <v>255</v>
      </c>
      <c r="L4387" s="19">
        <v>80</v>
      </c>
      <c r="M4387" s="19">
        <v>5800</v>
      </c>
      <c r="N4387" s="19" t="s">
        <v>40</v>
      </c>
      <c r="O4387" s="19" t="s">
        <v>141</v>
      </c>
      <c r="P4387" s="19">
        <v>1000</v>
      </c>
      <c r="Q4387" s="19">
        <v>1700</v>
      </c>
      <c r="R4387" s="19">
        <f t="shared" si="215"/>
        <v>-700</v>
      </c>
      <c r="S4387" s="19">
        <f t="shared" si="214"/>
        <v>2565</v>
      </c>
      <c r="T4387" s="19" t="s">
        <v>42</v>
      </c>
      <c r="U4387" s="102" t="s">
        <v>1324</v>
      </c>
      <c r="V4387" s="101">
        <v>45225</v>
      </c>
      <c r="W4387" s="17" t="s">
        <v>69</v>
      </c>
      <c r="X4387" s="17"/>
      <c r="Y4387" s="68">
        <v>45346</v>
      </c>
      <c r="Z4387" s="17" t="s">
        <v>1317</v>
      </c>
      <c r="AA4387" s="17" t="s">
        <v>46</v>
      </c>
      <c r="AB4387" s="17" t="s">
        <v>1312</v>
      </c>
      <c r="AC4387" s="217">
        <v>45358</v>
      </c>
      <c r="AD4387" s="65">
        <v>1535</v>
      </c>
      <c r="AE4387" s="17" t="s">
        <v>48</v>
      </c>
      <c r="AF4387" s="17"/>
      <c r="AG4387" s="17"/>
      <c r="AH4387" s="17"/>
      <c r="AI4387" s="17"/>
      <c r="AJ4387" s="17"/>
      <c r="AK4387" s="17"/>
      <c r="AL4387" s="17"/>
      <c r="AM4387" s="17"/>
      <c r="AN4387" s="17"/>
      <c r="AO4387" s="17"/>
      <c r="AP4387" s="17"/>
      <c r="AQ4387" s="17"/>
      <c r="AR4387" s="17"/>
    </row>
    <row r="4388" s="21" customFormat="1" hidden="1" spans="1:44">
      <c r="A4388" s="17" t="s">
        <v>34</v>
      </c>
      <c r="B4388" s="19">
        <v>953</v>
      </c>
      <c r="C4388" s="183">
        <v>45225</v>
      </c>
      <c r="D4388" s="17" t="s">
        <v>52</v>
      </c>
      <c r="E4388" s="17" t="s">
        <v>53</v>
      </c>
      <c r="F4388" s="17" t="s">
        <v>54</v>
      </c>
      <c r="G4388" s="17"/>
      <c r="H4388" s="124">
        <v>1.251</v>
      </c>
      <c r="I4388" s="124"/>
      <c r="J4388" s="17" t="s">
        <v>82</v>
      </c>
      <c r="K4388" s="295">
        <v>105</v>
      </c>
      <c r="L4388" s="295">
        <v>10</v>
      </c>
      <c r="M4388" s="19">
        <v>5800</v>
      </c>
      <c r="N4388" s="19" t="s">
        <v>40</v>
      </c>
      <c r="O4388" s="19" t="s">
        <v>141</v>
      </c>
      <c r="P4388" s="19">
        <v>1000</v>
      </c>
      <c r="Q4388" s="19">
        <f>560+490</f>
        <v>1050</v>
      </c>
      <c r="R4388" s="19">
        <f t="shared" si="215"/>
        <v>-50</v>
      </c>
      <c r="S4388" s="19">
        <v>1825</v>
      </c>
      <c r="T4388" s="19" t="s">
        <v>42</v>
      </c>
      <c r="U4388" s="102" t="s">
        <v>1325</v>
      </c>
      <c r="V4388" s="101">
        <v>45225</v>
      </c>
      <c r="W4388" s="17" t="s">
        <v>58</v>
      </c>
      <c r="X4388" s="17"/>
      <c r="Y4388" s="68">
        <v>45283</v>
      </c>
      <c r="Z4388" s="17" t="s">
        <v>1326</v>
      </c>
      <c r="AA4388" s="17" t="s">
        <v>46</v>
      </c>
      <c r="AB4388" s="17" t="s">
        <v>1325</v>
      </c>
      <c r="AC4388" s="217">
        <v>45374</v>
      </c>
      <c r="AD4388" s="65">
        <v>1545</v>
      </c>
      <c r="AE4388" s="17" t="s">
        <v>48</v>
      </c>
      <c r="AF4388" s="17"/>
      <c r="AG4388" s="17"/>
      <c r="AH4388" s="17"/>
      <c r="AI4388" s="17"/>
      <c r="AJ4388" s="17"/>
      <c r="AK4388" s="17"/>
      <c r="AL4388" s="17"/>
      <c r="AM4388" s="17"/>
      <c r="AN4388" s="17"/>
      <c r="AO4388" s="17"/>
      <c r="AP4388" s="17"/>
      <c r="AQ4388" s="17"/>
      <c r="AR4388" s="17"/>
    </row>
    <row r="4389" s="21" customFormat="1" hidden="1" spans="1:44">
      <c r="A4389" s="17" t="s">
        <v>34</v>
      </c>
      <c r="B4389" s="19">
        <v>953</v>
      </c>
      <c r="C4389" s="183">
        <v>45225</v>
      </c>
      <c r="D4389" s="17" t="s">
        <v>52</v>
      </c>
      <c r="E4389" s="17" t="s">
        <v>53</v>
      </c>
      <c r="F4389" s="17" t="s">
        <v>54</v>
      </c>
      <c r="G4389" s="17"/>
      <c r="H4389" s="124">
        <v>1.251</v>
      </c>
      <c r="I4389" s="124"/>
      <c r="J4389" s="17" t="s">
        <v>82</v>
      </c>
      <c r="K4389" s="295">
        <v>130</v>
      </c>
      <c r="L4389" s="295">
        <v>10</v>
      </c>
      <c r="M4389" s="19">
        <v>5800</v>
      </c>
      <c r="N4389" s="19" t="s">
        <v>40</v>
      </c>
      <c r="O4389" s="19" t="s">
        <v>141</v>
      </c>
      <c r="P4389" s="19">
        <v>1000</v>
      </c>
      <c r="Q4389" s="19">
        <v>1035</v>
      </c>
      <c r="R4389" s="19">
        <f t="shared" si="215"/>
        <v>-35</v>
      </c>
      <c r="S4389" s="19">
        <v>1825</v>
      </c>
      <c r="T4389" s="19" t="s">
        <v>42</v>
      </c>
      <c r="U4389" s="102" t="s">
        <v>1325</v>
      </c>
      <c r="V4389" s="101">
        <v>45225</v>
      </c>
      <c r="W4389" s="17" t="s">
        <v>58</v>
      </c>
      <c r="X4389" s="17"/>
      <c r="Y4389" s="68">
        <v>45283</v>
      </c>
      <c r="Z4389" s="17" t="s">
        <v>1326</v>
      </c>
      <c r="AA4389" s="17" t="s">
        <v>46</v>
      </c>
      <c r="AB4389" s="17" t="s">
        <v>1325</v>
      </c>
      <c r="AC4389" s="217">
        <v>45374</v>
      </c>
      <c r="AD4389" s="65">
        <v>1545</v>
      </c>
      <c r="AE4389" s="17" t="s">
        <v>48</v>
      </c>
      <c r="AF4389" s="17"/>
      <c r="AG4389" s="17"/>
      <c r="AH4389" s="17"/>
      <c r="AI4389" s="17"/>
      <c r="AJ4389" s="17"/>
      <c r="AK4389" s="17"/>
      <c r="AL4389" s="17"/>
      <c r="AM4389" s="17"/>
      <c r="AN4389" s="17"/>
      <c r="AO4389" s="17"/>
      <c r="AP4389" s="17"/>
      <c r="AQ4389" s="17"/>
      <c r="AR4389" s="17"/>
    </row>
    <row r="4390" s="21" customFormat="1" hidden="1" spans="1:44">
      <c r="A4390" s="17" t="s">
        <v>34</v>
      </c>
      <c r="B4390" s="19">
        <v>953</v>
      </c>
      <c r="C4390" s="183">
        <v>45225</v>
      </c>
      <c r="D4390" s="17" t="s">
        <v>52</v>
      </c>
      <c r="E4390" s="17" t="s">
        <v>53</v>
      </c>
      <c r="F4390" s="17" t="s">
        <v>54</v>
      </c>
      <c r="G4390" s="17"/>
      <c r="H4390" s="124">
        <v>1.251</v>
      </c>
      <c r="I4390" s="124"/>
      <c r="J4390" s="17" t="s">
        <v>82</v>
      </c>
      <c r="K4390" s="295">
        <v>155</v>
      </c>
      <c r="L4390" s="295">
        <v>10</v>
      </c>
      <c r="M4390" s="19">
        <v>5800</v>
      </c>
      <c r="N4390" s="19" t="s">
        <v>40</v>
      </c>
      <c r="O4390" s="19" t="s">
        <v>141</v>
      </c>
      <c r="P4390" s="19">
        <v>1000</v>
      </c>
      <c r="Q4390" s="19">
        <f>1180+35</f>
        <v>1215</v>
      </c>
      <c r="R4390" s="19">
        <f t="shared" si="215"/>
        <v>-215</v>
      </c>
      <c r="S4390" s="19">
        <v>1825</v>
      </c>
      <c r="T4390" s="19" t="s">
        <v>42</v>
      </c>
      <c r="U4390" s="102" t="s">
        <v>1325</v>
      </c>
      <c r="V4390" s="101">
        <v>45225</v>
      </c>
      <c r="W4390" s="17" t="s">
        <v>58</v>
      </c>
      <c r="X4390" s="17"/>
      <c r="Y4390" s="68">
        <v>45283</v>
      </c>
      <c r="Z4390" s="17" t="s">
        <v>1326</v>
      </c>
      <c r="AA4390" s="17" t="s">
        <v>46</v>
      </c>
      <c r="AB4390" s="17" t="s">
        <v>1325</v>
      </c>
      <c r="AC4390" s="217">
        <v>45374</v>
      </c>
      <c r="AD4390" s="65">
        <v>1545</v>
      </c>
      <c r="AE4390" s="17" t="s">
        <v>48</v>
      </c>
      <c r="AF4390" s="17"/>
      <c r="AG4390" s="17"/>
      <c r="AH4390" s="17"/>
      <c r="AI4390" s="17"/>
      <c r="AJ4390" s="17"/>
      <c r="AK4390" s="17"/>
      <c r="AL4390" s="17"/>
      <c r="AM4390" s="17"/>
      <c r="AN4390" s="17"/>
      <c r="AO4390" s="17"/>
      <c r="AP4390" s="17"/>
      <c r="AQ4390" s="17"/>
      <c r="AR4390" s="17"/>
    </row>
    <row r="4391" s="21" customFormat="1" hidden="1" spans="1:44">
      <c r="A4391" s="17" t="s">
        <v>34</v>
      </c>
      <c r="B4391" s="19">
        <v>953</v>
      </c>
      <c r="C4391" s="183">
        <v>45225</v>
      </c>
      <c r="D4391" s="17" t="s">
        <v>52</v>
      </c>
      <c r="E4391" s="17" t="s">
        <v>53</v>
      </c>
      <c r="F4391" s="17" t="s">
        <v>54</v>
      </c>
      <c r="G4391" s="17"/>
      <c r="H4391" s="124">
        <v>1.251</v>
      </c>
      <c r="I4391" s="124"/>
      <c r="J4391" s="17" t="s">
        <v>82</v>
      </c>
      <c r="K4391" s="295">
        <v>205</v>
      </c>
      <c r="L4391" s="295">
        <v>10</v>
      </c>
      <c r="M4391" s="19">
        <v>5800</v>
      </c>
      <c r="N4391" s="19" t="s">
        <v>40</v>
      </c>
      <c r="O4391" s="19" t="s">
        <v>141</v>
      </c>
      <c r="P4391" s="19">
        <v>1000</v>
      </c>
      <c r="Q4391" s="19">
        <f>665+670+45</f>
        <v>1380</v>
      </c>
      <c r="R4391" s="19">
        <f t="shared" si="215"/>
        <v>-380</v>
      </c>
      <c r="S4391" s="19">
        <v>1825</v>
      </c>
      <c r="T4391" s="19" t="s">
        <v>42</v>
      </c>
      <c r="U4391" s="102" t="s">
        <v>1325</v>
      </c>
      <c r="V4391" s="101">
        <v>45225</v>
      </c>
      <c r="W4391" s="17" t="s">
        <v>58</v>
      </c>
      <c r="X4391" s="17"/>
      <c r="Y4391" s="68">
        <v>45283</v>
      </c>
      <c r="Z4391" s="17" t="s">
        <v>1326</v>
      </c>
      <c r="AA4391" s="17" t="s">
        <v>46</v>
      </c>
      <c r="AB4391" s="17" t="s">
        <v>1325</v>
      </c>
      <c r="AC4391" s="217">
        <v>45374</v>
      </c>
      <c r="AD4391" s="65">
        <v>1545</v>
      </c>
      <c r="AE4391" s="17" t="s">
        <v>48</v>
      </c>
      <c r="AF4391" s="17"/>
      <c r="AG4391" s="17"/>
      <c r="AH4391" s="17"/>
      <c r="AI4391" s="17"/>
      <c r="AJ4391" s="17"/>
      <c r="AK4391" s="17"/>
      <c r="AL4391" s="17"/>
      <c r="AM4391" s="17"/>
      <c r="AN4391" s="17"/>
      <c r="AO4391" s="17"/>
      <c r="AP4391" s="17"/>
      <c r="AQ4391" s="17"/>
      <c r="AR4391" s="17"/>
    </row>
    <row r="4392" s="21" customFormat="1" hidden="1" spans="1:44">
      <c r="A4392" s="17" t="s">
        <v>34</v>
      </c>
      <c r="B4392" s="19">
        <v>953</v>
      </c>
      <c r="C4392" s="183">
        <v>45225</v>
      </c>
      <c r="D4392" s="17" t="s">
        <v>52</v>
      </c>
      <c r="E4392" s="17" t="s">
        <v>53</v>
      </c>
      <c r="F4392" s="17" t="s">
        <v>54</v>
      </c>
      <c r="G4392" s="17"/>
      <c r="H4392" s="124">
        <v>1.251</v>
      </c>
      <c r="I4392" s="124"/>
      <c r="J4392" s="17" t="s">
        <v>82</v>
      </c>
      <c r="K4392" s="295">
        <v>610</v>
      </c>
      <c r="L4392" s="295">
        <v>10</v>
      </c>
      <c r="M4392" s="19">
        <v>5800</v>
      </c>
      <c r="N4392" s="19" t="s">
        <v>40</v>
      </c>
      <c r="O4392" s="19" t="s">
        <v>141</v>
      </c>
      <c r="P4392" s="19">
        <v>1000</v>
      </c>
      <c r="Q4392" s="19">
        <f>130+130+130+130+130+130+125+125+125+130+130</f>
        <v>1415</v>
      </c>
      <c r="R4392" s="19">
        <f t="shared" si="215"/>
        <v>-415</v>
      </c>
      <c r="S4392" s="19">
        <v>1825</v>
      </c>
      <c r="T4392" s="19" t="s">
        <v>42</v>
      </c>
      <c r="U4392" s="102" t="s">
        <v>1325</v>
      </c>
      <c r="V4392" s="101">
        <v>45225</v>
      </c>
      <c r="W4392" s="17" t="s">
        <v>58</v>
      </c>
      <c r="X4392" s="17"/>
      <c r="Y4392" s="68">
        <v>45283</v>
      </c>
      <c r="Z4392" s="17" t="s">
        <v>1326</v>
      </c>
      <c r="AA4392" s="17" t="s">
        <v>46</v>
      </c>
      <c r="AB4392" s="17" t="s">
        <v>1325</v>
      </c>
      <c r="AC4392" s="217">
        <v>45374</v>
      </c>
      <c r="AD4392" s="65">
        <v>1545</v>
      </c>
      <c r="AE4392" s="17" t="s">
        <v>48</v>
      </c>
      <c r="AF4392" s="17"/>
      <c r="AG4392" s="17"/>
      <c r="AH4392" s="17"/>
      <c r="AI4392" s="17"/>
      <c r="AJ4392" s="17"/>
      <c r="AK4392" s="17"/>
      <c r="AL4392" s="17"/>
      <c r="AM4392" s="17"/>
      <c r="AN4392" s="17"/>
      <c r="AO4392" s="17"/>
      <c r="AP4392" s="17"/>
      <c r="AQ4392" s="17"/>
      <c r="AR4392" s="17"/>
    </row>
    <row r="4393" s="21" customFormat="1" hidden="1" spans="1:44">
      <c r="A4393" s="17" t="s">
        <v>34</v>
      </c>
      <c r="B4393" s="19">
        <v>953</v>
      </c>
      <c r="C4393" s="183">
        <v>45225</v>
      </c>
      <c r="D4393" s="17" t="s">
        <v>52</v>
      </c>
      <c r="E4393" s="17" t="s">
        <v>53</v>
      </c>
      <c r="F4393" s="17" t="s">
        <v>54</v>
      </c>
      <c r="G4393" s="17"/>
      <c r="H4393" s="124">
        <v>1.251</v>
      </c>
      <c r="I4393" s="124"/>
      <c r="J4393" s="17" t="s">
        <v>82</v>
      </c>
      <c r="K4393" s="295">
        <v>80</v>
      </c>
      <c r="L4393" s="295">
        <v>13</v>
      </c>
      <c r="M4393" s="19">
        <v>5800</v>
      </c>
      <c r="N4393" s="19" t="s">
        <v>40</v>
      </c>
      <c r="O4393" s="19" t="s">
        <v>141</v>
      </c>
      <c r="P4393" s="19">
        <v>1000</v>
      </c>
      <c r="Q4393" s="19">
        <v>860</v>
      </c>
      <c r="R4393" s="19">
        <f t="shared" si="215"/>
        <v>140</v>
      </c>
      <c r="S4393" s="19">
        <v>1825</v>
      </c>
      <c r="T4393" s="19" t="s">
        <v>42</v>
      </c>
      <c r="U4393" s="102" t="s">
        <v>1325</v>
      </c>
      <c r="V4393" s="101">
        <v>45225</v>
      </c>
      <c r="W4393" s="17" t="s">
        <v>58</v>
      </c>
      <c r="X4393" s="17"/>
      <c r="Y4393" s="68">
        <v>45283</v>
      </c>
      <c r="Z4393" s="17" t="s">
        <v>1326</v>
      </c>
      <c r="AA4393" s="17" t="s">
        <v>46</v>
      </c>
      <c r="AB4393" s="17" t="s">
        <v>1325</v>
      </c>
      <c r="AC4393" s="217">
        <v>45374</v>
      </c>
      <c r="AD4393" s="65">
        <v>1545</v>
      </c>
      <c r="AE4393" s="17" t="s">
        <v>48</v>
      </c>
      <c r="AF4393" s="17"/>
      <c r="AG4393" s="17"/>
      <c r="AH4393" s="17"/>
      <c r="AI4393" s="17"/>
      <c r="AJ4393" s="17"/>
      <c r="AK4393" s="17"/>
      <c r="AL4393" s="17"/>
      <c r="AM4393" s="17"/>
      <c r="AN4393" s="17"/>
      <c r="AO4393" s="17"/>
      <c r="AP4393" s="17"/>
      <c r="AQ4393" s="17"/>
      <c r="AR4393" s="17"/>
    </row>
    <row r="4394" s="21" customFormat="1" hidden="1" spans="1:44">
      <c r="A4394" s="17" t="s">
        <v>34</v>
      </c>
      <c r="B4394" s="19">
        <v>953</v>
      </c>
      <c r="C4394" s="183">
        <v>45225</v>
      </c>
      <c r="D4394" s="17" t="s">
        <v>52</v>
      </c>
      <c r="E4394" s="17" t="s">
        <v>53</v>
      </c>
      <c r="F4394" s="17" t="s">
        <v>54</v>
      </c>
      <c r="G4394" s="17"/>
      <c r="H4394" s="124">
        <v>1.251</v>
      </c>
      <c r="I4394" s="124"/>
      <c r="J4394" s="17" t="s">
        <v>82</v>
      </c>
      <c r="K4394" s="295">
        <v>105</v>
      </c>
      <c r="L4394" s="295">
        <v>13</v>
      </c>
      <c r="M4394" s="19">
        <v>5800</v>
      </c>
      <c r="N4394" s="19" t="s">
        <v>40</v>
      </c>
      <c r="O4394" s="19" t="s">
        <v>141</v>
      </c>
      <c r="P4394" s="19">
        <v>1000</v>
      </c>
      <c r="Q4394" s="19">
        <f>550+555</f>
        <v>1105</v>
      </c>
      <c r="R4394" s="19">
        <f t="shared" si="215"/>
        <v>-105</v>
      </c>
      <c r="S4394" s="19">
        <v>1825</v>
      </c>
      <c r="T4394" s="19" t="s">
        <v>42</v>
      </c>
      <c r="U4394" s="102" t="s">
        <v>1325</v>
      </c>
      <c r="V4394" s="101">
        <v>45225</v>
      </c>
      <c r="W4394" s="17" t="s">
        <v>58</v>
      </c>
      <c r="X4394" s="17"/>
      <c r="Y4394" s="68">
        <v>45283</v>
      </c>
      <c r="Z4394" s="17" t="s">
        <v>1326</v>
      </c>
      <c r="AA4394" s="17" t="s">
        <v>46</v>
      </c>
      <c r="AB4394" s="17" t="s">
        <v>1325</v>
      </c>
      <c r="AC4394" s="217">
        <v>45374</v>
      </c>
      <c r="AD4394" s="65">
        <v>1545</v>
      </c>
      <c r="AE4394" s="17" t="s">
        <v>48</v>
      </c>
      <c r="AF4394" s="17"/>
      <c r="AG4394" s="17"/>
      <c r="AH4394" s="17"/>
      <c r="AI4394" s="17"/>
      <c r="AJ4394" s="17"/>
      <c r="AK4394" s="17"/>
      <c r="AL4394" s="17"/>
      <c r="AM4394" s="17"/>
      <c r="AN4394" s="17"/>
      <c r="AO4394" s="17"/>
      <c r="AP4394" s="17"/>
      <c r="AQ4394" s="17"/>
      <c r="AR4394" s="17"/>
    </row>
    <row r="4395" s="21" customFormat="1" hidden="1" spans="1:44">
      <c r="A4395" s="17" t="s">
        <v>34</v>
      </c>
      <c r="B4395" s="19">
        <v>953</v>
      </c>
      <c r="C4395" s="183">
        <v>45225</v>
      </c>
      <c r="D4395" s="17" t="s">
        <v>52</v>
      </c>
      <c r="E4395" s="17" t="s">
        <v>53</v>
      </c>
      <c r="F4395" s="17" t="s">
        <v>54</v>
      </c>
      <c r="G4395" s="17"/>
      <c r="H4395" s="124">
        <v>1.251</v>
      </c>
      <c r="I4395" s="124"/>
      <c r="J4395" s="17" t="s">
        <v>82</v>
      </c>
      <c r="K4395" s="295">
        <v>130</v>
      </c>
      <c r="L4395" s="295">
        <v>13</v>
      </c>
      <c r="M4395" s="19">
        <v>5800</v>
      </c>
      <c r="N4395" s="19" t="s">
        <v>40</v>
      </c>
      <c r="O4395" s="19" t="s">
        <v>141</v>
      </c>
      <c r="P4395" s="19">
        <v>1000</v>
      </c>
      <c r="Q4395" s="19">
        <f>880+75+120</f>
        <v>1075</v>
      </c>
      <c r="R4395" s="19">
        <f t="shared" si="215"/>
        <v>-75</v>
      </c>
      <c r="S4395" s="19">
        <v>1825</v>
      </c>
      <c r="T4395" s="19" t="s">
        <v>42</v>
      </c>
      <c r="U4395" s="102" t="s">
        <v>1325</v>
      </c>
      <c r="V4395" s="101">
        <v>45225</v>
      </c>
      <c r="W4395" s="17" t="s">
        <v>58</v>
      </c>
      <c r="X4395" s="17"/>
      <c r="Y4395" s="68">
        <v>45283</v>
      </c>
      <c r="Z4395" s="17" t="s">
        <v>1326</v>
      </c>
      <c r="AA4395" s="17" t="s">
        <v>46</v>
      </c>
      <c r="AB4395" s="17" t="s">
        <v>1325</v>
      </c>
      <c r="AC4395" s="217">
        <v>45374</v>
      </c>
      <c r="AD4395" s="65">
        <v>1545</v>
      </c>
      <c r="AE4395" s="17" t="s">
        <v>48</v>
      </c>
      <c r="AF4395" s="17"/>
      <c r="AG4395" s="17"/>
      <c r="AH4395" s="17"/>
      <c r="AI4395" s="17"/>
      <c r="AJ4395" s="17"/>
      <c r="AK4395" s="17"/>
      <c r="AL4395" s="17"/>
      <c r="AM4395" s="17"/>
      <c r="AN4395" s="17"/>
      <c r="AO4395" s="17"/>
      <c r="AP4395" s="17"/>
      <c r="AQ4395" s="17"/>
      <c r="AR4395" s="17"/>
    </row>
    <row r="4396" s="21" customFormat="1" hidden="1" spans="1:44">
      <c r="A4396" s="17" t="s">
        <v>34</v>
      </c>
      <c r="B4396" s="19">
        <v>953</v>
      </c>
      <c r="C4396" s="183">
        <v>45225</v>
      </c>
      <c r="D4396" s="17" t="s">
        <v>52</v>
      </c>
      <c r="E4396" s="17" t="s">
        <v>53</v>
      </c>
      <c r="F4396" s="17" t="s">
        <v>54</v>
      </c>
      <c r="G4396" s="17"/>
      <c r="H4396" s="124">
        <v>1.251</v>
      </c>
      <c r="I4396" s="124"/>
      <c r="J4396" s="17" t="s">
        <v>82</v>
      </c>
      <c r="K4396" s="295">
        <v>155</v>
      </c>
      <c r="L4396" s="295">
        <v>13</v>
      </c>
      <c r="M4396" s="19">
        <v>5800</v>
      </c>
      <c r="N4396" s="19" t="s">
        <v>40</v>
      </c>
      <c r="O4396" s="19" t="s">
        <v>141</v>
      </c>
      <c r="P4396" s="19">
        <v>1000</v>
      </c>
      <c r="Q4396" s="19">
        <v>1065</v>
      </c>
      <c r="R4396" s="19">
        <f t="shared" si="215"/>
        <v>-65</v>
      </c>
      <c r="S4396" s="19">
        <v>1825</v>
      </c>
      <c r="T4396" s="19" t="s">
        <v>42</v>
      </c>
      <c r="U4396" s="102" t="s">
        <v>1325</v>
      </c>
      <c r="V4396" s="101">
        <v>45225</v>
      </c>
      <c r="W4396" s="17" t="s">
        <v>58</v>
      </c>
      <c r="X4396" s="17"/>
      <c r="Y4396" s="68">
        <v>45283</v>
      </c>
      <c r="Z4396" s="17" t="s">
        <v>1326</v>
      </c>
      <c r="AA4396" s="17" t="s">
        <v>46</v>
      </c>
      <c r="AB4396" s="17" t="s">
        <v>1325</v>
      </c>
      <c r="AC4396" s="217">
        <v>45374</v>
      </c>
      <c r="AD4396" s="65">
        <v>1545</v>
      </c>
      <c r="AE4396" s="17" t="s">
        <v>48</v>
      </c>
      <c r="AF4396" s="17"/>
      <c r="AG4396" s="17"/>
      <c r="AH4396" s="17"/>
      <c r="AI4396" s="17"/>
      <c r="AJ4396" s="17"/>
      <c r="AK4396" s="17"/>
      <c r="AL4396" s="17"/>
      <c r="AM4396" s="17"/>
      <c r="AN4396" s="17"/>
      <c r="AO4396" s="17"/>
      <c r="AP4396" s="17"/>
      <c r="AQ4396" s="17"/>
      <c r="AR4396" s="17"/>
    </row>
    <row r="4397" s="21" customFormat="1" hidden="1" spans="1:44">
      <c r="A4397" s="17" t="s">
        <v>34</v>
      </c>
      <c r="B4397" s="19">
        <v>953</v>
      </c>
      <c r="C4397" s="183">
        <v>45225</v>
      </c>
      <c r="D4397" s="17" t="s">
        <v>52</v>
      </c>
      <c r="E4397" s="17" t="s">
        <v>53</v>
      </c>
      <c r="F4397" s="17" t="s">
        <v>54</v>
      </c>
      <c r="G4397" s="17"/>
      <c r="H4397" s="124">
        <v>1.251</v>
      </c>
      <c r="I4397" s="124"/>
      <c r="J4397" s="17" t="s">
        <v>82</v>
      </c>
      <c r="K4397" s="295">
        <v>205</v>
      </c>
      <c r="L4397" s="295">
        <v>13</v>
      </c>
      <c r="M4397" s="19">
        <v>5800</v>
      </c>
      <c r="N4397" s="19" t="s">
        <v>40</v>
      </c>
      <c r="O4397" s="19" t="s">
        <v>141</v>
      </c>
      <c r="P4397" s="19">
        <v>1000</v>
      </c>
      <c r="Q4397" s="19">
        <f>500+505</f>
        <v>1005</v>
      </c>
      <c r="R4397" s="19">
        <f t="shared" si="215"/>
        <v>-5</v>
      </c>
      <c r="S4397" s="19">
        <v>1825</v>
      </c>
      <c r="T4397" s="19" t="s">
        <v>42</v>
      </c>
      <c r="U4397" s="102" t="s">
        <v>1325</v>
      </c>
      <c r="V4397" s="101">
        <v>45225</v>
      </c>
      <c r="W4397" s="17" t="s">
        <v>58</v>
      </c>
      <c r="X4397" s="17"/>
      <c r="Y4397" s="68">
        <v>45283</v>
      </c>
      <c r="Z4397" s="17" t="s">
        <v>1326</v>
      </c>
      <c r="AA4397" s="17" t="s">
        <v>46</v>
      </c>
      <c r="AB4397" s="17" t="s">
        <v>1325</v>
      </c>
      <c r="AC4397" s="217">
        <v>45374</v>
      </c>
      <c r="AD4397" s="65">
        <v>1545</v>
      </c>
      <c r="AE4397" s="17" t="s">
        <v>48</v>
      </c>
      <c r="AF4397" s="17"/>
      <c r="AG4397" s="17"/>
      <c r="AH4397" s="17"/>
      <c r="AI4397" s="17"/>
      <c r="AJ4397" s="17"/>
      <c r="AK4397" s="17"/>
      <c r="AL4397" s="17"/>
      <c r="AM4397" s="17"/>
      <c r="AN4397" s="17"/>
      <c r="AO4397" s="17"/>
      <c r="AP4397" s="17"/>
      <c r="AQ4397" s="17"/>
      <c r="AR4397" s="17"/>
    </row>
    <row r="4398" s="21" customFormat="1" hidden="1" spans="1:44">
      <c r="A4398" s="17" t="s">
        <v>34</v>
      </c>
      <c r="B4398" s="19">
        <v>953</v>
      </c>
      <c r="C4398" s="183">
        <v>45225</v>
      </c>
      <c r="D4398" s="17" t="s">
        <v>52</v>
      </c>
      <c r="E4398" s="17" t="s">
        <v>53</v>
      </c>
      <c r="F4398" s="17" t="s">
        <v>54</v>
      </c>
      <c r="G4398" s="17"/>
      <c r="H4398" s="124">
        <v>1.251</v>
      </c>
      <c r="I4398" s="124"/>
      <c r="J4398" s="17" t="s">
        <v>82</v>
      </c>
      <c r="K4398" s="295">
        <v>255</v>
      </c>
      <c r="L4398" s="295">
        <v>13</v>
      </c>
      <c r="M4398" s="19">
        <v>5800</v>
      </c>
      <c r="N4398" s="19" t="s">
        <v>40</v>
      </c>
      <c r="O4398" s="19" t="s">
        <v>141</v>
      </c>
      <c r="P4398" s="19">
        <v>1000</v>
      </c>
      <c r="Q4398" s="19">
        <f>735+140</f>
        <v>875</v>
      </c>
      <c r="R4398" s="19">
        <f t="shared" si="215"/>
        <v>125</v>
      </c>
      <c r="S4398" s="19">
        <v>1825</v>
      </c>
      <c r="T4398" s="19" t="s">
        <v>42</v>
      </c>
      <c r="U4398" s="102" t="s">
        <v>1325</v>
      </c>
      <c r="V4398" s="101">
        <v>45225</v>
      </c>
      <c r="W4398" s="17" t="s">
        <v>58</v>
      </c>
      <c r="X4398" s="17"/>
      <c r="Y4398" s="68">
        <v>45283</v>
      </c>
      <c r="Z4398" s="17" t="s">
        <v>1326</v>
      </c>
      <c r="AA4398" s="17" t="s">
        <v>46</v>
      </c>
      <c r="AB4398" s="17" t="s">
        <v>1325</v>
      </c>
      <c r="AC4398" s="217">
        <v>45374</v>
      </c>
      <c r="AD4398" s="65">
        <v>1545</v>
      </c>
      <c r="AE4398" s="17" t="s">
        <v>48</v>
      </c>
      <c r="AF4398" s="17"/>
      <c r="AG4398" s="17"/>
      <c r="AH4398" s="17"/>
      <c r="AI4398" s="17"/>
      <c r="AJ4398" s="17"/>
      <c r="AK4398" s="17"/>
      <c r="AL4398" s="17"/>
      <c r="AM4398" s="17"/>
      <c r="AN4398" s="17"/>
      <c r="AO4398" s="17"/>
      <c r="AP4398" s="17"/>
      <c r="AQ4398" s="17"/>
      <c r="AR4398" s="17"/>
    </row>
    <row r="4399" s="21" customFormat="1" hidden="1" spans="1:44">
      <c r="A4399" s="17" t="s">
        <v>34</v>
      </c>
      <c r="B4399" s="19">
        <v>953</v>
      </c>
      <c r="C4399" s="183">
        <v>45225</v>
      </c>
      <c r="D4399" s="17" t="s">
        <v>52</v>
      </c>
      <c r="E4399" s="17" t="s">
        <v>53</v>
      </c>
      <c r="F4399" s="17" t="s">
        <v>54</v>
      </c>
      <c r="G4399" s="17"/>
      <c r="H4399" s="124">
        <v>1.251</v>
      </c>
      <c r="I4399" s="124"/>
      <c r="J4399" s="17" t="s">
        <v>82</v>
      </c>
      <c r="K4399" s="295">
        <v>610</v>
      </c>
      <c r="L4399" s="295">
        <v>13</v>
      </c>
      <c r="M4399" s="19">
        <v>5800</v>
      </c>
      <c r="N4399" s="19" t="s">
        <v>40</v>
      </c>
      <c r="O4399" s="19" t="s">
        <v>141</v>
      </c>
      <c r="P4399" s="19">
        <v>1000</v>
      </c>
      <c r="Q4399" s="19">
        <f>160+160+155+170</f>
        <v>645</v>
      </c>
      <c r="R4399" s="19">
        <f t="shared" si="215"/>
        <v>355</v>
      </c>
      <c r="S4399" s="19">
        <v>1825</v>
      </c>
      <c r="T4399" s="19" t="s">
        <v>42</v>
      </c>
      <c r="U4399" s="102" t="s">
        <v>1325</v>
      </c>
      <c r="V4399" s="101">
        <v>45225</v>
      </c>
      <c r="W4399" s="17" t="s">
        <v>58</v>
      </c>
      <c r="X4399" s="17"/>
      <c r="Y4399" s="68">
        <v>45283</v>
      </c>
      <c r="Z4399" s="17" t="s">
        <v>1326</v>
      </c>
      <c r="AA4399" s="17" t="s">
        <v>46</v>
      </c>
      <c r="AB4399" s="17" t="s">
        <v>1325</v>
      </c>
      <c r="AC4399" s="217">
        <v>45374</v>
      </c>
      <c r="AD4399" s="65">
        <v>1545</v>
      </c>
      <c r="AE4399" s="17" t="s">
        <v>48</v>
      </c>
      <c r="AF4399" s="17"/>
      <c r="AG4399" s="17"/>
      <c r="AH4399" s="17"/>
      <c r="AI4399" s="17"/>
      <c r="AJ4399" s="17"/>
      <c r="AK4399" s="17"/>
      <c r="AL4399" s="17"/>
      <c r="AM4399" s="17"/>
      <c r="AN4399" s="17"/>
      <c r="AO4399" s="17"/>
      <c r="AP4399" s="17"/>
      <c r="AQ4399" s="17"/>
      <c r="AR4399" s="17"/>
    </row>
    <row r="4400" s="21" customFormat="1" hidden="1" spans="1:44">
      <c r="A4400" s="17" t="s">
        <v>34</v>
      </c>
      <c r="B4400" s="19">
        <v>953</v>
      </c>
      <c r="C4400" s="183">
        <v>45225</v>
      </c>
      <c r="D4400" s="17" t="s">
        <v>52</v>
      </c>
      <c r="E4400" s="17" t="s">
        <v>53</v>
      </c>
      <c r="F4400" s="17" t="s">
        <v>54</v>
      </c>
      <c r="G4400" s="17"/>
      <c r="H4400" s="124">
        <v>1.251</v>
      </c>
      <c r="I4400" s="124"/>
      <c r="J4400" s="17" t="s">
        <v>82</v>
      </c>
      <c r="K4400" s="295">
        <v>80</v>
      </c>
      <c r="L4400" s="295">
        <v>16</v>
      </c>
      <c r="M4400" s="19">
        <v>5800</v>
      </c>
      <c r="N4400" s="19" t="s">
        <v>40</v>
      </c>
      <c r="O4400" s="19" t="s">
        <v>141</v>
      </c>
      <c r="P4400" s="19">
        <v>1000</v>
      </c>
      <c r="Q4400" s="19">
        <f>650+515</f>
        <v>1165</v>
      </c>
      <c r="R4400" s="19">
        <f t="shared" si="215"/>
        <v>-165</v>
      </c>
      <c r="S4400" s="19">
        <v>1775</v>
      </c>
      <c r="T4400" s="19" t="s">
        <v>42</v>
      </c>
      <c r="U4400" s="102" t="s">
        <v>1325</v>
      </c>
      <c r="V4400" s="101">
        <v>45225</v>
      </c>
      <c r="W4400" s="17" t="s">
        <v>58</v>
      </c>
      <c r="X4400" s="17"/>
      <c r="Y4400" s="68">
        <v>45283</v>
      </c>
      <c r="Z4400" s="17" t="s">
        <v>1326</v>
      </c>
      <c r="AA4400" s="17" t="s">
        <v>46</v>
      </c>
      <c r="AB4400" s="17" t="s">
        <v>1325</v>
      </c>
      <c r="AC4400" s="217">
        <v>45374</v>
      </c>
      <c r="AD4400" s="65">
        <v>1545</v>
      </c>
      <c r="AE4400" s="17" t="s">
        <v>48</v>
      </c>
      <c r="AF4400" s="17"/>
      <c r="AG4400" s="17"/>
      <c r="AH4400" s="17"/>
      <c r="AI4400" s="17"/>
      <c r="AJ4400" s="17"/>
      <c r="AK4400" s="17"/>
      <c r="AL4400" s="17"/>
      <c r="AM4400" s="17"/>
      <c r="AN4400" s="17"/>
      <c r="AO4400" s="17"/>
      <c r="AP4400" s="17"/>
      <c r="AQ4400" s="17"/>
      <c r="AR4400" s="17"/>
    </row>
    <row r="4401" s="21" customFormat="1" hidden="1" spans="1:44">
      <c r="A4401" s="17" t="s">
        <v>34</v>
      </c>
      <c r="B4401" s="19">
        <v>953</v>
      </c>
      <c r="C4401" s="183">
        <v>45225</v>
      </c>
      <c r="D4401" s="17" t="s">
        <v>52</v>
      </c>
      <c r="E4401" s="17" t="s">
        <v>53</v>
      </c>
      <c r="F4401" s="17" t="s">
        <v>54</v>
      </c>
      <c r="G4401" s="17"/>
      <c r="H4401" s="124">
        <v>1.251</v>
      </c>
      <c r="I4401" s="124"/>
      <c r="J4401" s="17" t="s">
        <v>82</v>
      </c>
      <c r="K4401" s="295">
        <v>105</v>
      </c>
      <c r="L4401" s="295">
        <v>16</v>
      </c>
      <c r="M4401" s="19">
        <v>5800</v>
      </c>
      <c r="N4401" s="19" t="s">
        <v>40</v>
      </c>
      <c r="O4401" s="19" t="s">
        <v>141</v>
      </c>
      <c r="P4401" s="19">
        <v>1000</v>
      </c>
      <c r="Q4401" s="19">
        <v>895</v>
      </c>
      <c r="R4401" s="19">
        <f t="shared" si="215"/>
        <v>105</v>
      </c>
      <c r="S4401" s="19">
        <v>1775</v>
      </c>
      <c r="T4401" s="19" t="s">
        <v>42</v>
      </c>
      <c r="U4401" s="102" t="s">
        <v>1325</v>
      </c>
      <c r="V4401" s="101">
        <v>45225</v>
      </c>
      <c r="W4401" s="17" t="s">
        <v>58</v>
      </c>
      <c r="X4401" s="17"/>
      <c r="Y4401" s="68">
        <v>45283</v>
      </c>
      <c r="Z4401" s="17" t="s">
        <v>1326</v>
      </c>
      <c r="AA4401" s="17" t="s">
        <v>46</v>
      </c>
      <c r="AB4401" s="17" t="s">
        <v>1325</v>
      </c>
      <c r="AC4401" s="217">
        <v>45374</v>
      </c>
      <c r="AD4401" s="65">
        <v>1545</v>
      </c>
      <c r="AE4401" s="17" t="s">
        <v>48</v>
      </c>
      <c r="AF4401" s="17"/>
      <c r="AG4401" s="17"/>
      <c r="AH4401" s="17"/>
      <c r="AI4401" s="17"/>
      <c r="AJ4401" s="17"/>
      <c r="AK4401" s="17"/>
      <c r="AL4401" s="17"/>
      <c r="AM4401" s="17"/>
      <c r="AN4401" s="17"/>
      <c r="AO4401" s="17"/>
      <c r="AP4401" s="17"/>
      <c r="AQ4401" s="17"/>
      <c r="AR4401" s="17"/>
    </row>
    <row r="4402" s="21" customFormat="1" hidden="1" spans="1:44">
      <c r="A4402" s="17" t="s">
        <v>34</v>
      </c>
      <c r="B4402" s="19">
        <v>953</v>
      </c>
      <c r="C4402" s="183">
        <v>45225</v>
      </c>
      <c r="D4402" s="17" t="s">
        <v>52</v>
      </c>
      <c r="E4402" s="17" t="s">
        <v>53</v>
      </c>
      <c r="F4402" s="17" t="s">
        <v>54</v>
      </c>
      <c r="G4402" s="17"/>
      <c r="H4402" s="124">
        <v>1.251</v>
      </c>
      <c r="I4402" s="124"/>
      <c r="J4402" s="17" t="s">
        <v>82</v>
      </c>
      <c r="K4402" s="295">
        <v>130</v>
      </c>
      <c r="L4402" s="295">
        <v>16</v>
      </c>
      <c r="M4402" s="19">
        <v>5800</v>
      </c>
      <c r="N4402" s="19" t="s">
        <v>40</v>
      </c>
      <c r="O4402" s="19" t="s">
        <v>141</v>
      </c>
      <c r="P4402" s="19">
        <v>1000</v>
      </c>
      <c r="Q4402" s="19">
        <f>680+440</f>
        <v>1120</v>
      </c>
      <c r="R4402" s="19">
        <f t="shared" si="215"/>
        <v>-120</v>
      </c>
      <c r="S4402" s="19">
        <v>1775</v>
      </c>
      <c r="T4402" s="19" t="s">
        <v>42</v>
      </c>
      <c r="U4402" s="102" t="s">
        <v>1325</v>
      </c>
      <c r="V4402" s="101">
        <v>45225</v>
      </c>
      <c r="W4402" s="17" t="s">
        <v>58</v>
      </c>
      <c r="X4402" s="17"/>
      <c r="Y4402" s="68">
        <v>45283</v>
      </c>
      <c r="Z4402" s="17" t="s">
        <v>1326</v>
      </c>
      <c r="AA4402" s="17" t="s">
        <v>46</v>
      </c>
      <c r="AB4402" s="17" t="s">
        <v>1325</v>
      </c>
      <c r="AC4402" s="217">
        <v>45374</v>
      </c>
      <c r="AD4402" s="65">
        <v>1545</v>
      </c>
      <c r="AE4402" s="17" t="s">
        <v>48</v>
      </c>
      <c r="AF4402" s="17"/>
      <c r="AG4402" s="17"/>
      <c r="AH4402" s="17"/>
      <c r="AI4402" s="17"/>
      <c r="AJ4402" s="17"/>
      <c r="AK4402" s="17"/>
      <c r="AL4402" s="17"/>
      <c r="AM4402" s="17"/>
      <c r="AN4402" s="17"/>
      <c r="AO4402" s="17"/>
      <c r="AP4402" s="17"/>
      <c r="AQ4402" s="17"/>
      <c r="AR4402" s="17"/>
    </row>
    <row r="4403" s="21" customFormat="1" hidden="1" spans="1:44">
      <c r="A4403" s="17" t="s">
        <v>34</v>
      </c>
      <c r="B4403" s="19">
        <v>953</v>
      </c>
      <c r="C4403" s="183">
        <v>45225</v>
      </c>
      <c r="D4403" s="17" t="s">
        <v>52</v>
      </c>
      <c r="E4403" s="17" t="s">
        <v>53</v>
      </c>
      <c r="F4403" s="17" t="s">
        <v>54</v>
      </c>
      <c r="G4403" s="17"/>
      <c r="H4403" s="124">
        <v>1.251</v>
      </c>
      <c r="I4403" s="124"/>
      <c r="J4403" s="17" t="s">
        <v>82</v>
      </c>
      <c r="K4403" s="295">
        <v>155</v>
      </c>
      <c r="L4403" s="295">
        <v>16</v>
      </c>
      <c r="M4403" s="19">
        <v>5800</v>
      </c>
      <c r="N4403" s="19" t="s">
        <v>40</v>
      </c>
      <c r="O4403" s="19" t="s">
        <v>141</v>
      </c>
      <c r="P4403" s="19">
        <v>1000</v>
      </c>
      <c r="Q4403" s="19">
        <v>1045</v>
      </c>
      <c r="R4403" s="19">
        <f t="shared" si="215"/>
        <v>-45</v>
      </c>
      <c r="S4403" s="19">
        <v>1775</v>
      </c>
      <c r="T4403" s="19" t="s">
        <v>42</v>
      </c>
      <c r="U4403" s="102" t="s">
        <v>1325</v>
      </c>
      <c r="V4403" s="101">
        <v>45225</v>
      </c>
      <c r="W4403" s="17" t="s">
        <v>58</v>
      </c>
      <c r="X4403" s="17"/>
      <c r="Y4403" s="68">
        <v>45283</v>
      </c>
      <c r="Z4403" s="17" t="s">
        <v>1326</v>
      </c>
      <c r="AA4403" s="17" t="s">
        <v>46</v>
      </c>
      <c r="AB4403" s="17" t="s">
        <v>1325</v>
      </c>
      <c r="AC4403" s="217">
        <v>45374</v>
      </c>
      <c r="AD4403" s="65">
        <v>1545</v>
      </c>
      <c r="AE4403" s="17" t="s">
        <v>48</v>
      </c>
      <c r="AF4403" s="17"/>
      <c r="AG4403" s="17"/>
      <c r="AH4403" s="17"/>
      <c r="AI4403" s="17"/>
      <c r="AJ4403" s="17"/>
      <c r="AK4403" s="17"/>
      <c r="AL4403" s="17"/>
      <c r="AM4403" s="17"/>
      <c r="AN4403" s="17"/>
      <c r="AO4403" s="17"/>
      <c r="AP4403" s="17"/>
      <c r="AQ4403" s="17"/>
      <c r="AR4403" s="17"/>
    </row>
    <row r="4404" s="21" customFormat="1" hidden="1" spans="1:44">
      <c r="A4404" s="17" t="s">
        <v>34</v>
      </c>
      <c r="B4404" s="19">
        <v>953</v>
      </c>
      <c r="C4404" s="183">
        <v>45225</v>
      </c>
      <c r="D4404" s="17" t="s">
        <v>52</v>
      </c>
      <c r="E4404" s="17" t="s">
        <v>53</v>
      </c>
      <c r="F4404" s="17" t="s">
        <v>54</v>
      </c>
      <c r="G4404" s="17"/>
      <c r="H4404" s="124">
        <v>1.251</v>
      </c>
      <c r="I4404" s="124"/>
      <c r="J4404" s="17" t="s">
        <v>82</v>
      </c>
      <c r="K4404" s="295">
        <v>205</v>
      </c>
      <c r="L4404" s="295">
        <v>16</v>
      </c>
      <c r="M4404" s="19">
        <v>5800</v>
      </c>
      <c r="N4404" s="19" t="s">
        <v>40</v>
      </c>
      <c r="O4404" s="19" t="s">
        <v>141</v>
      </c>
      <c r="P4404" s="19">
        <v>1000</v>
      </c>
      <c r="Q4404" s="19">
        <f>680+465</f>
        <v>1145</v>
      </c>
      <c r="R4404" s="19">
        <f t="shared" si="215"/>
        <v>-145</v>
      </c>
      <c r="S4404" s="19">
        <v>1775</v>
      </c>
      <c r="T4404" s="19" t="s">
        <v>42</v>
      </c>
      <c r="U4404" s="102" t="s">
        <v>1325</v>
      </c>
      <c r="V4404" s="101">
        <v>45225</v>
      </c>
      <c r="W4404" s="17" t="s">
        <v>58</v>
      </c>
      <c r="X4404" s="17"/>
      <c r="Y4404" s="68">
        <v>45283</v>
      </c>
      <c r="Z4404" s="17" t="s">
        <v>1326</v>
      </c>
      <c r="AA4404" s="17" t="s">
        <v>46</v>
      </c>
      <c r="AB4404" s="17" t="s">
        <v>1325</v>
      </c>
      <c r="AC4404" s="217">
        <v>45374</v>
      </c>
      <c r="AD4404" s="65">
        <v>1545</v>
      </c>
      <c r="AE4404" s="17" t="s">
        <v>48</v>
      </c>
      <c r="AF4404" s="17"/>
      <c r="AG4404" s="17"/>
      <c r="AH4404" s="17"/>
      <c r="AI4404" s="17"/>
      <c r="AJ4404" s="17"/>
      <c r="AK4404" s="17"/>
      <c r="AL4404" s="17"/>
      <c r="AM4404" s="17"/>
      <c r="AN4404" s="17"/>
      <c r="AO4404" s="17"/>
      <c r="AP4404" s="17"/>
      <c r="AQ4404" s="17"/>
      <c r="AR4404" s="17"/>
    </row>
    <row r="4405" s="21" customFormat="1" hidden="1" spans="1:44">
      <c r="A4405" s="17" t="s">
        <v>34</v>
      </c>
      <c r="B4405" s="19">
        <v>953</v>
      </c>
      <c r="C4405" s="183">
        <v>45225</v>
      </c>
      <c r="D4405" s="17" t="s">
        <v>52</v>
      </c>
      <c r="E4405" s="17" t="s">
        <v>53</v>
      </c>
      <c r="F4405" s="17" t="s">
        <v>54</v>
      </c>
      <c r="G4405" s="17"/>
      <c r="H4405" s="124">
        <v>1.251</v>
      </c>
      <c r="I4405" s="124"/>
      <c r="J4405" s="17" t="s">
        <v>82</v>
      </c>
      <c r="K4405" s="295">
        <v>255</v>
      </c>
      <c r="L4405" s="295">
        <v>16</v>
      </c>
      <c r="M4405" s="19">
        <v>5800</v>
      </c>
      <c r="N4405" s="19" t="s">
        <v>40</v>
      </c>
      <c r="O4405" s="19" t="s">
        <v>141</v>
      </c>
      <c r="P4405" s="19">
        <v>1000</v>
      </c>
      <c r="Q4405" s="19">
        <f>490+85</f>
        <v>575</v>
      </c>
      <c r="R4405" s="19">
        <f t="shared" si="215"/>
        <v>425</v>
      </c>
      <c r="S4405" s="19">
        <v>1775</v>
      </c>
      <c r="T4405" s="19" t="s">
        <v>42</v>
      </c>
      <c r="U4405" s="102" t="s">
        <v>1325</v>
      </c>
      <c r="V4405" s="101">
        <v>45225</v>
      </c>
      <c r="W4405" s="17" t="s">
        <v>58</v>
      </c>
      <c r="X4405" s="17"/>
      <c r="Y4405" s="68">
        <v>45283</v>
      </c>
      <c r="Z4405" s="17" t="s">
        <v>1326</v>
      </c>
      <c r="AA4405" s="17" t="s">
        <v>46</v>
      </c>
      <c r="AB4405" s="17" t="s">
        <v>1325</v>
      </c>
      <c r="AC4405" s="217">
        <v>45374</v>
      </c>
      <c r="AD4405" s="65">
        <v>1545</v>
      </c>
      <c r="AE4405" s="17" t="s">
        <v>48</v>
      </c>
      <c r="AF4405" s="17"/>
      <c r="AG4405" s="17"/>
      <c r="AH4405" s="17"/>
      <c r="AI4405" s="17"/>
      <c r="AJ4405" s="17"/>
      <c r="AK4405" s="17"/>
      <c r="AL4405" s="17"/>
      <c r="AM4405" s="17"/>
      <c r="AN4405" s="17"/>
      <c r="AO4405" s="17"/>
      <c r="AP4405" s="17"/>
      <c r="AQ4405" s="17"/>
      <c r="AR4405" s="17"/>
    </row>
    <row r="4406" s="21" customFormat="1" hidden="1" spans="1:44">
      <c r="A4406" s="17" t="s">
        <v>34</v>
      </c>
      <c r="B4406" s="19">
        <v>953</v>
      </c>
      <c r="C4406" s="183">
        <v>45225</v>
      </c>
      <c r="D4406" s="17" t="s">
        <v>52</v>
      </c>
      <c r="E4406" s="17" t="s">
        <v>53</v>
      </c>
      <c r="F4406" s="17" t="s">
        <v>54</v>
      </c>
      <c r="G4406" s="17"/>
      <c r="H4406" s="124">
        <v>1.251</v>
      </c>
      <c r="I4406" s="124"/>
      <c r="J4406" s="17" t="s">
        <v>82</v>
      </c>
      <c r="K4406" s="295">
        <v>610</v>
      </c>
      <c r="L4406" s="295">
        <v>16</v>
      </c>
      <c r="M4406" s="19">
        <v>5800</v>
      </c>
      <c r="N4406" s="19" t="s">
        <v>40</v>
      </c>
      <c r="O4406" s="19" t="s">
        <v>141</v>
      </c>
      <c r="P4406" s="19">
        <v>1000</v>
      </c>
      <c r="Q4406" s="19">
        <f>190+200+190+195</f>
        <v>775</v>
      </c>
      <c r="R4406" s="19">
        <f t="shared" si="215"/>
        <v>225</v>
      </c>
      <c r="S4406" s="19">
        <v>1775</v>
      </c>
      <c r="T4406" s="19" t="s">
        <v>42</v>
      </c>
      <c r="U4406" s="102" t="s">
        <v>1325</v>
      </c>
      <c r="V4406" s="101">
        <v>45225</v>
      </c>
      <c r="W4406" s="17" t="s">
        <v>58</v>
      </c>
      <c r="X4406" s="17"/>
      <c r="Y4406" s="68">
        <v>45283</v>
      </c>
      <c r="Z4406" s="17" t="s">
        <v>1326</v>
      </c>
      <c r="AA4406" s="17" t="s">
        <v>46</v>
      </c>
      <c r="AB4406" s="17" t="s">
        <v>1325</v>
      </c>
      <c r="AC4406" s="217">
        <v>45374</v>
      </c>
      <c r="AD4406" s="65">
        <v>1545</v>
      </c>
      <c r="AE4406" s="17" t="s">
        <v>48</v>
      </c>
      <c r="AF4406" s="17"/>
      <c r="AG4406" s="17"/>
      <c r="AH4406" s="17"/>
      <c r="AI4406" s="17"/>
      <c r="AJ4406" s="17"/>
      <c r="AK4406" s="17"/>
      <c r="AL4406" s="17"/>
      <c r="AM4406" s="17"/>
      <c r="AN4406" s="17"/>
      <c r="AO4406" s="17"/>
      <c r="AP4406" s="17"/>
      <c r="AQ4406" s="17"/>
      <c r="AR4406" s="17"/>
    </row>
    <row r="4407" s="21" customFormat="1" hidden="1" spans="1:44">
      <c r="A4407" s="17" t="s">
        <v>34</v>
      </c>
      <c r="B4407" s="19">
        <v>953</v>
      </c>
      <c r="C4407" s="183">
        <v>45225</v>
      </c>
      <c r="D4407" s="17" t="s">
        <v>52</v>
      </c>
      <c r="E4407" s="17" t="s">
        <v>53</v>
      </c>
      <c r="F4407" s="17" t="s">
        <v>54</v>
      </c>
      <c r="G4407" s="17"/>
      <c r="H4407" s="124">
        <v>1.251</v>
      </c>
      <c r="I4407" s="124"/>
      <c r="J4407" s="17" t="s">
        <v>82</v>
      </c>
      <c r="K4407" s="295">
        <v>105</v>
      </c>
      <c r="L4407" s="295">
        <v>20</v>
      </c>
      <c r="M4407" s="19">
        <v>5800</v>
      </c>
      <c r="N4407" s="19" t="s">
        <v>40</v>
      </c>
      <c r="O4407" s="19" t="s">
        <v>141</v>
      </c>
      <c r="P4407" s="19">
        <v>1000</v>
      </c>
      <c r="Q4407" s="19">
        <v>440</v>
      </c>
      <c r="R4407" s="19">
        <f t="shared" si="215"/>
        <v>560</v>
      </c>
      <c r="S4407" s="19">
        <v>1775</v>
      </c>
      <c r="T4407" s="19" t="s">
        <v>42</v>
      </c>
      <c r="U4407" s="102" t="s">
        <v>1325</v>
      </c>
      <c r="V4407" s="101">
        <v>45225</v>
      </c>
      <c r="W4407" s="17" t="s">
        <v>58</v>
      </c>
      <c r="X4407" s="17"/>
      <c r="Y4407" s="68">
        <v>45283</v>
      </c>
      <c r="Z4407" s="17" t="s">
        <v>1326</v>
      </c>
      <c r="AA4407" s="17" t="s">
        <v>46</v>
      </c>
      <c r="AB4407" s="17" t="s">
        <v>1325</v>
      </c>
      <c r="AC4407" s="217">
        <v>45374</v>
      </c>
      <c r="AD4407" s="65">
        <v>1545</v>
      </c>
      <c r="AE4407" s="17" t="s">
        <v>48</v>
      </c>
      <c r="AF4407" s="17"/>
      <c r="AG4407" s="17"/>
      <c r="AH4407" s="17"/>
      <c r="AI4407" s="17"/>
      <c r="AJ4407" s="17"/>
      <c r="AK4407" s="17"/>
      <c r="AL4407" s="17"/>
      <c r="AM4407" s="17"/>
      <c r="AN4407" s="17"/>
      <c r="AO4407" s="17"/>
      <c r="AP4407" s="17"/>
      <c r="AQ4407" s="17"/>
      <c r="AR4407" s="17"/>
    </row>
    <row r="4408" s="21" customFormat="1" hidden="1" spans="1:44">
      <c r="A4408" s="17" t="s">
        <v>34</v>
      </c>
      <c r="B4408" s="19">
        <v>953</v>
      </c>
      <c r="C4408" s="183">
        <v>45225</v>
      </c>
      <c r="D4408" s="17" t="s">
        <v>52</v>
      </c>
      <c r="E4408" s="17" t="s">
        <v>53</v>
      </c>
      <c r="F4408" s="17" t="s">
        <v>54</v>
      </c>
      <c r="G4408" s="17"/>
      <c r="H4408" s="124">
        <v>1.251</v>
      </c>
      <c r="I4408" s="124"/>
      <c r="J4408" s="17" t="s">
        <v>82</v>
      </c>
      <c r="K4408" s="295">
        <v>130</v>
      </c>
      <c r="L4408" s="295">
        <v>20</v>
      </c>
      <c r="M4408" s="19">
        <v>5800</v>
      </c>
      <c r="N4408" s="19" t="s">
        <v>40</v>
      </c>
      <c r="O4408" s="19" t="s">
        <v>141</v>
      </c>
      <c r="P4408" s="19">
        <v>1000</v>
      </c>
      <c r="Q4408" s="19">
        <f>430+110</f>
        <v>540</v>
      </c>
      <c r="R4408" s="19">
        <f t="shared" si="215"/>
        <v>460</v>
      </c>
      <c r="S4408" s="19">
        <v>1775</v>
      </c>
      <c r="T4408" s="19" t="s">
        <v>42</v>
      </c>
      <c r="U4408" s="102" t="s">
        <v>1325</v>
      </c>
      <c r="V4408" s="101">
        <v>45225</v>
      </c>
      <c r="W4408" s="17" t="s">
        <v>58</v>
      </c>
      <c r="X4408" s="17"/>
      <c r="Y4408" s="68">
        <v>45283</v>
      </c>
      <c r="Z4408" s="17" t="s">
        <v>1326</v>
      </c>
      <c r="AA4408" s="17" t="s">
        <v>46</v>
      </c>
      <c r="AB4408" s="17" t="s">
        <v>1325</v>
      </c>
      <c r="AC4408" s="217">
        <v>45374</v>
      </c>
      <c r="AD4408" s="65">
        <v>1545</v>
      </c>
      <c r="AE4408" s="17" t="s">
        <v>48</v>
      </c>
      <c r="AF4408" s="17"/>
      <c r="AG4408" s="17"/>
      <c r="AH4408" s="17"/>
      <c r="AI4408" s="17"/>
      <c r="AJ4408" s="17"/>
      <c r="AK4408" s="17"/>
      <c r="AL4408" s="17"/>
      <c r="AM4408" s="17"/>
      <c r="AN4408" s="17"/>
      <c r="AO4408" s="17"/>
      <c r="AP4408" s="17"/>
      <c r="AQ4408" s="17"/>
      <c r="AR4408" s="17"/>
    </row>
    <row r="4409" s="21" customFormat="1" hidden="1" spans="1:44">
      <c r="A4409" s="17" t="s">
        <v>34</v>
      </c>
      <c r="B4409" s="19">
        <v>953</v>
      </c>
      <c r="C4409" s="183">
        <v>45225</v>
      </c>
      <c r="D4409" s="17" t="s">
        <v>52</v>
      </c>
      <c r="E4409" s="17" t="s">
        <v>53</v>
      </c>
      <c r="F4409" s="17" t="s">
        <v>54</v>
      </c>
      <c r="G4409" s="17"/>
      <c r="H4409" s="124">
        <v>1.251</v>
      </c>
      <c r="I4409" s="124"/>
      <c r="J4409" s="17" t="s">
        <v>82</v>
      </c>
      <c r="K4409" s="295">
        <v>155</v>
      </c>
      <c r="L4409" s="295">
        <v>20</v>
      </c>
      <c r="M4409" s="19">
        <v>5800</v>
      </c>
      <c r="N4409" s="19" t="s">
        <v>40</v>
      </c>
      <c r="O4409" s="19" t="s">
        <v>141</v>
      </c>
      <c r="P4409" s="19">
        <v>1000</v>
      </c>
      <c r="Q4409" s="19">
        <v>510</v>
      </c>
      <c r="R4409" s="19">
        <f t="shared" si="215"/>
        <v>490</v>
      </c>
      <c r="S4409" s="19">
        <v>1775</v>
      </c>
      <c r="T4409" s="19" t="s">
        <v>42</v>
      </c>
      <c r="U4409" s="102" t="s">
        <v>1325</v>
      </c>
      <c r="V4409" s="101">
        <v>45225</v>
      </c>
      <c r="W4409" s="17" t="s">
        <v>58</v>
      </c>
      <c r="X4409" s="17"/>
      <c r="Y4409" s="68">
        <v>45283</v>
      </c>
      <c r="Z4409" s="17" t="s">
        <v>1326</v>
      </c>
      <c r="AA4409" s="17" t="s">
        <v>46</v>
      </c>
      <c r="AB4409" s="17" t="s">
        <v>1325</v>
      </c>
      <c r="AC4409" s="217">
        <v>45374</v>
      </c>
      <c r="AD4409" s="65">
        <v>1545</v>
      </c>
      <c r="AE4409" s="17" t="s">
        <v>48</v>
      </c>
      <c r="AF4409" s="17"/>
      <c r="AG4409" s="17"/>
      <c r="AH4409" s="17"/>
      <c r="AI4409" s="17"/>
      <c r="AJ4409" s="17"/>
      <c r="AK4409" s="17"/>
      <c r="AL4409" s="17"/>
      <c r="AM4409" s="17"/>
      <c r="AN4409" s="17"/>
      <c r="AO4409" s="17"/>
      <c r="AP4409" s="17"/>
      <c r="AQ4409" s="17"/>
      <c r="AR4409" s="17"/>
    </row>
    <row r="4410" s="21" customFormat="1" hidden="1" spans="1:44">
      <c r="A4410" s="17" t="s">
        <v>34</v>
      </c>
      <c r="B4410" s="19">
        <v>953</v>
      </c>
      <c r="C4410" s="183">
        <v>45225</v>
      </c>
      <c r="D4410" s="17" t="s">
        <v>52</v>
      </c>
      <c r="E4410" s="17" t="s">
        <v>53</v>
      </c>
      <c r="F4410" s="17" t="s">
        <v>54</v>
      </c>
      <c r="G4410" s="17"/>
      <c r="H4410" s="124">
        <v>1.251</v>
      </c>
      <c r="I4410" s="124"/>
      <c r="J4410" s="17" t="s">
        <v>82</v>
      </c>
      <c r="K4410" s="295">
        <v>205</v>
      </c>
      <c r="L4410" s="295">
        <v>20</v>
      </c>
      <c r="M4410" s="19">
        <v>5800</v>
      </c>
      <c r="N4410" s="19" t="s">
        <v>40</v>
      </c>
      <c r="O4410" s="19" t="s">
        <v>141</v>
      </c>
      <c r="P4410" s="19">
        <v>2000</v>
      </c>
      <c r="Q4410" s="19">
        <v>815</v>
      </c>
      <c r="R4410" s="19">
        <f t="shared" si="215"/>
        <v>1185</v>
      </c>
      <c r="S4410" s="19">
        <v>1775</v>
      </c>
      <c r="T4410" s="19" t="s">
        <v>42</v>
      </c>
      <c r="U4410" s="102" t="s">
        <v>1325</v>
      </c>
      <c r="V4410" s="101">
        <v>45225</v>
      </c>
      <c r="W4410" s="17" t="s">
        <v>58</v>
      </c>
      <c r="X4410" s="17"/>
      <c r="Y4410" s="68">
        <v>45283</v>
      </c>
      <c r="Z4410" s="17" t="s">
        <v>1326</v>
      </c>
      <c r="AA4410" s="17" t="s">
        <v>46</v>
      </c>
      <c r="AB4410" s="17" t="s">
        <v>1325</v>
      </c>
      <c r="AC4410" s="217">
        <v>45374</v>
      </c>
      <c r="AD4410" s="65">
        <v>1545</v>
      </c>
      <c r="AE4410" s="17" t="s">
        <v>48</v>
      </c>
      <c r="AF4410" s="17"/>
      <c r="AG4410" s="17"/>
      <c r="AH4410" s="17"/>
      <c r="AI4410" s="17"/>
      <c r="AJ4410" s="17"/>
      <c r="AK4410" s="17"/>
      <c r="AL4410" s="17"/>
      <c r="AM4410" s="17"/>
      <c r="AN4410" s="17"/>
      <c r="AO4410" s="17"/>
      <c r="AP4410" s="17"/>
      <c r="AQ4410" s="17"/>
      <c r="AR4410" s="17"/>
    </row>
    <row r="4411" s="21" customFormat="1" hidden="1" spans="1:44">
      <c r="A4411" s="17" t="s">
        <v>34</v>
      </c>
      <c r="B4411" s="19">
        <v>953</v>
      </c>
      <c r="C4411" s="183">
        <v>45225</v>
      </c>
      <c r="D4411" s="17" t="s">
        <v>52</v>
      </c>
      <c r="E4411" s="17" t="s">
        <v>53</v>
      </c>
      <c r="F4411" s="17" t="s">
        <v>54</v>
      </c>
      <c r="G4411" s="17"/>
      <c r="H4411" s="124">
        <v>1.251</v>
      </c>
      <c r="I4411" s="124"/>
      <c r="J4411" s="17" t="s">
        <v>82</v>
      </c>
      <c r="K4411" s="295">
        <v>255</v>
      </c>
      <c r="L4411" s="295">
        <v>20</v>
      </c>
      <c r="M4411" s="19">
        <v>5800</v>
      </c>
      <c r="N4411" s="19" t="s">
        <v>40</v>
      </c>
      <c r="O4411" s="19" t="s">
        <v>141</v>
      </c>
      <c r="P4411" s="19">
        <v>1000</v>
      </c>
      <c r="Q4411" s="19">
        <v>490</v>
      </c>
      <c r="R4411" s="19">
        <f t="shared" si="215"/>
        <v>510</v>
      </c>
      <c r="S4411" s="19">
        <v>1775</v>
      </c>
      <c r="T4411" s="19" t="s">
        <v>42</v>
      </c>
      <c r="U4411" s="102" t="s">
        <v>1325</v>
      </c>
      <c r="V4411" s="101">
        <v>45225</v>
      </c>
      <c r="W4411" s="17" t="s">
        <v>58</v>
      </c>
      <c r="X4411" s="17"/>
      <c r="Y4411" s="68">
        <v>45283</v>
      </c>
      <c r="Z4411" s="17" t="s">
        <v>1326</v>
      </c>
      <c r="AA4411" s="17" t="s">
        <v>46</v>
      </c>
      <c r="AB4411" s="17" t="s">
        <v>1325</v>
      </c>
      <c r="AC4411" s="217">
        <v>45374</v>
      </c>
      <c r="AD4411" s="65">
        <v>1545</v>
      </c>
      <c r="AE4411" s="17" t="s">
        <v>48</v>
      </c>
      <c r="AF4411" s="17"/>
      <c r="AG4411" s="17"/>
      <c r="AH4411" s="17"/>
      <c r="AI4411" s="17"/>
      <c r="AJ4411" s="17"/>
      <c r="AK4411" s="17"/>
      <c r="AL4411" s="17"/>
      <c r="AM4411" s="17"/>
      <c r="AN4411" s="17"/>
      <c r="AO4411" s="17"/>
      <c r="AP4411" s="17"/>
      <c r="AQ4411" s="17"/>
      <c r="AR4411" s="17"/>
    </row>
    <row r="4412" s="21" customFormat="1" hidden="1" spans="1:44">
      <c r="A4412" s="17" t="s">
        <v>34</v>
      </c>
      <c r="B4412" s="19">
        <v>953</v>
      </c>
      <c r="C4412" s="183">
        <v>45225</v>
      </c>
      <c r="D4412" s="17" t="s">
        <v>52</v>
      </c>
      <c r="E4412" s="17" t="s">
        <v>53</v>
      </c>
      <c r="F4412" s="17" t="s">
        <v>54</v>
      </c>
      <c r="G4412" s="17"/>
      <c r="H4412" s="124">
        <v>1.251</v>
      </c>
      <c r="I4412" s="124"/>
      <c r="J4412" s="17" t="s">
        <v>82</v>
      </c>
      <c r="K4412" s="295">
        <v>610</v>
      </c>
      <c r="L4412" s="295">
        <v>20</v>
      </c>
      <c r="M4412" s="19">
        <v>5800</v>
      </c>
      <c r="N4412" s="19" t="s">
        <v>40</v>
      </c>
      <c r="O4412" s="19" t="s">
        <v>141</v>
      </c>
      <c r="P4412" s="19">
        <v>1000</v>
      </c>
      <c r="Q4412" s="19">
        <f>240+230</f>
        <v>470</v>
      </c>
      <c r="R4412" s="19">
        <f t="shared" si="215"/>
        <v>530</v>
      </c>
      <c r="S4412" s="19">
        <v>1775</v>
      </c>
      <c r="T4412" s="19" t="s">
        <v>42</v>
      </c>
      <c r="U4412" s="102" t="s">
        <v>1325</v>
      </c>
      <c r="V4412" s="101">
        <v>45225</v>
      </c>
      <c r="W4412" s="17" t="s">
        <v>58</v>
      </c>
      <c r="X4412" s="17"/>
      <c r="Y4412" s="68">
        <v>45283</v>
      </c>
      <c r="Z4412" s="17" t="s">
        <v>1326</v>
      </c>
      <c r="AA4412" s="17" t="s">
        <v>46</v>
      </c>
      <c r="AB4412" s="17" t="s">
        <v>1325</v>
      </c>
      <c r="AC4412" s="217">
        <v>45374</v>
      </c>
      <c r="AD4412" s="65">
        <v>1545</v>
      </c>
      <c r="AE4412" s="17" t="s">
        <v>48</v>
      </c>
      <c r="AF4412" s="17"/>
      <c r="AG4412" s="17"/>
      <c r="AH4412" s="17"/>
      <c r="AI4412" s="17"/>
      <c r="AJ4412" s="17"/>
      <c r="AK4412" s="17"/>
      <c r="AL4412" s="17"/>
      <c r="AM4412" s="17"/>
      <c r="AN4412" s="17"/>
      <c r="AO4412" s="17"/>
      <c r="AP4412" s="17"/>
      <c r="AQ4412" s="17"/>
      <c r="AR4412" s="17"/>
    </row>
    <row r="4413" s="17" customFormat="1" hidden="1" spans="1:44">
      <c r="A4413" s="17" t="s">
        <v>34</v>
      </c>
      <c r="B4413" s="19">
        <v>954</v>
      </c>
      <c r="C4413" s="183" t="s">
        <v>1327</v>
      </c>
      <c r="D4413" s="17" t="s">
        <v>52</v>
      </c>
      <c r="E4413" s="17" t="s">
        <v>53</v>
      </c>
      <c r="F4413" s="17" t="s">
        <v>54</v>
      </c>
      <c r="H4413" s="306">
        <v>1.208</v>
      </c>
      <c r="I4413" s="306"/>
      <c r="J4413" s="17" t="s">
        <v>39</v>
      </c>
      <c r="K4413" s="19">
        <v>65</v>
      </c>
      <c r="L4413" s="91"/>
      <c r="M4413" s="19">
        <v>5800</v>
      </c>
      <c r="N4413" s="19" t="s">
        <v>40</v>
      </c>
      <c r="O4413" s="19" t="s">
        <v>1017</v>
      </c>
      <c r="P4413" s="19">
        <v>3000</v>
      </c>
      <c r="Q4413" s="19">
        <v>2504</v>
      </c>
      <c r="R4413" s="19">
        <f t="shared" ref="R4413:R4444" si="216">+P4413-Q4413</f>
        <v>496</v>
      </c>
      <c r="S4413" s="19">
        <v>1275</v>
      </c>
      <c r="T4413" s="19" t="s">
        <v>42</v>
      </c>
      <c r="U4413" s="102" t="s">
        <v>1328</v>
      </c>
      <c r="V4413" s="186" t="s">
        <v>1327</v>
      </c>
      <c r="W4413" s="17" t="s">
        <v>58</v>
      </c>
      <c r="Y4413" s="68">
        <v>45283</v>
      </c>
      <c r="Z4413" s="17" t="s">
        <v>1326</v>
      </c>
      <c r="AA4413" s="17" t="s">
        <v>46</v>
      </c>
      <c r="AB4413" s="17" t="s">
        <v>1328</v>
      </c>
      <c r="AC4413" s="102" t="s">
        <v>1269</v>
      </c>
      <c r="AD4413" s="65">
        <v>1502</v>
      </c>
      <c r="AE4413" s="17" t="s">
        <v>48</v>
      </c>
    </row>
    <row r="4414" s="17" customFormat="1" hidden="1" spans="1:44">
      <c r="A4414" s="17" t="s">
        <v>34</v>
      </c>
      <c r="B4414" s="19">
        <v>954</v>
      </c>
      <c r="C4414" s="183" t="s">
        <v>1327</v>
      </c>
      <c r="D4414" s="17" t="s">
        <v>52</v>
      </c>
      <c r="E4414" s="17" t="s">
        <v>53</v>
      </c>
      <c r="F4414" s="17" t="s">
        <v>54</v>
      </c>
      <c r="H4414" s="306">
        <v>1.208</v>
      </c>
      <c r="I4414" s="306"/>
      <c r="J4414" s="17" t="s">
        <v>39</v>
      </c>
      <c r="K4414" s="19">
        <v>75</v>
      </c>
      <c r="L4414" s="91"/>
      <c r="M4414" s="19">
        <v>5800</v>
      </c>
      <c r="N4414" s="19" t="s">
        <v>40</v>
      </c>
      <c r="O4414" s="19" t="s">
        <v>1017</v>
      </c>
      <c r="P4414" s="19">
        <v>3000</v>
      </c>
      <c r="Q4414" s="19">
        <v>3408</v>
      </c>
      <c r="R4414" s="19">
        <f t="shared" si="216"/>
        <v>-408</v>
      </c>
      <c r="S4414" s="19">
        <v>1275</v>
      </c>
      <c r="T4414" s="19" t="s">
        <v>42</v>
      </c>
      <c r="U4414" s="102" t="s">
        <v>1328</v>
      </c>
      <c r="V4414" s="186" t="s">
        <v>1327</v>
      </c>
      <c r="W4414" s="17" t="s">
        <v>58</v>
      </c>
      <c r="Y4414" s="68">
        <v>45283</v>
      </c>
      <c r="Z4414" s="17" t="s">
        <v>1326</v>
      </c>
      <c r="AA4414" s="17" t="s">
        <v>46</v>
      </c>
      <c r="AB4414" s="17" t="s">
        <v>1328</v>
      </c>
      <c r="AC4414" s="102" t="s">
        <v>1269</v>
      </c>
      <c r="AD4414" s="65">
        <v>1502</v>
      </c>
      <c r="AE4414" s="17" t="s">
        <v>48</v>
      </c>
    </row>
    <row r="4415" s="17" customFormat="1" hidden="1" spans="1:44">
      <c r="A4415" s="17" t="s">
        <v>34</v>
      </c>
      <c r="B4415" s="19">
        <v>954</v>
      </c>
      <c r="C4415" s="183" t="s">
        <v>1327</v>
      </c>
      <c r="D4415" s="17" t="s">
        <v>52</v>
      </c>
      <c r="E4415" s="17" t="s">
        <v>53</v>
      </c>
      <c r="F4415" s="17" t="s">
        <v>54</v>
      </c>
      <c r="H4415" s="306">
        <v>1.208</v>
      </c>
      <c r="I4415" s="306"/>
      <c r="J4415" s="17" t="s">
        <v>39</v>
      </c>
      <c r="K4415" s="19">
        <v>80</v>
      </c>
      <c r="L4415" s="91"/>
      <c r="M4415" s="19">
        <v>5800</v>
      </c>
      <c r="N4415" s="19" t="s">
        <v>40</v>
      </c>
      <c r="O4415" s="19" t="s">
        <v>1017</v>
      </c>
      <c r="P4415" s="19">
        <v>2000</v>
      </c>
      <c r="Q4415" s="19">
        <v>2268</v>
      </c>
      <c r="R4415" s="19">
        <f t="shared" si="216"/>
        <v>-268</v>
      </c>
      <c r="S4415" s="19">
        <v>1275</v>
      </c>
      <c r="T4415" s="19" t="s">
        <v>42</v>
      </c>
      <c r="U4415" s="102" t="s">
        <v>1328</v>
      </c>
      <c r="V4415" s="186" t="s">
        <v>1327</v>
      </c>
      <c r="W4415" s="17" t="s">
        <v>58</v>
      </c>
      <c r="Y4415" s="68">
        <v>45283</v>
      </c>
      <c r="Z4415" s="17" t="s">
        <v>1326</v>
      </c>
      <c r="AA4415" s="17" t="s">
        <v>46</v>
      </c>
      <c r="AB4415" s="17" t="s">
        <v>1328</v>
      </c>
      <c r="AC4415" s="102" t="s">
        <v>1269</v>
      </c>
      <c r="AD4415" s="65">
        <v>1502</v>
      </c>
      <c r="AE4415" s="17" t="s">
        <v>48</v>
      </c>
    </row>
    <row r="4416" s="17" customFormat="1" hidden="1" spans="1:44">
      <c r="A4416" s="17" t="s">
        <v>34</v>
      </c>
      <c r="B4416" s="19">
        <v>954</v>
      </c>
      <c r="C4416" s="183" t="s">
        <v>1327</v>
      </c>
      <c r="D4416" s="17" t="s">
        <v>52</v>
      </c>
      <c r="E4416" s="17" t="s">
        <v>53</v>
      </c>
      <c r="F4416" s="17" t="s">
        <v>54</v>
      </c>
      <c r="H4416" s="306">
        <v>1.208</v>
      </c>
      <c r="I4416" s="306"/>
      <c r="J4416" s="17" t="s">
        <v>39</v>
      </c>
      <c r="K4416" s="19">
        <v>85</v>
      </c>
      <c r="L4416" s="91"/>
      <c r="M4416" s="19">
        <v>5800</v>
      </c>
      <c r="N4416" s="19" t="s">
        <v>40</v>
      </c>
      <c r="O4416" s="19" t="s">
        <v>1017</v>
      </c>
      <c r="P4416" s="19">
        <v>2000</v>
      </c>
      <c r="Q4416" s="19">
        <v>2502</v>
      </c>
      <c r="R4416" s="19">
        <f t="shared" si="216"/>
        <v>-502</v>
      </c>
      <c r="S4416" s="19">
        <v>1275</v>
      </c>
      <c r="T4416" s="19" t="s">
        <v>42</v>
      </c>
      <c r="U4416" s="102" t="s">
        <v>1328</v>
      </c>
      <c r="V4416" s="186" t="s">
        <v>1327</v>
      </c>
      <c r="W4416" s="17" t="s">
        <v>58</v>
      </c>
      <c r="Y4416" s="68">
        <v>45283</v>
      </c>
      <c r="Z4416" s="17" t="s">
        <v>1326</v>
      </c>
      <c r="AA4416" s="17" t="s">
        <v>46</v>
      </c>
      <c r="AB4416" s="17" t="s">
        <v>1328</v>
      </c>
      <c r="AC4416" s="102" t="s">
        <v>1269</v>
      </c>
      <c r="AD4416" s="65">
        <v>1502</v>
      </c>
      <c r="AE4416" s="17" t="s">
        <v>48</v>
      </c>
    </row>
    <row r="4417" s="17" customFormat="1" hidden="1" spans="1:31">
      <c r="A4417" s="17" t="s">
        <v>34</v>
      </c>
      <c r="B4417" s="19">
        <v>954</v>
      </c>
      <c r="C4417" s="183" t="s">
        <v>1327</v>
      </c>
      <c r="D4417" s="17" t="s">
        <v>52</v>
      </c>
      <c r="E4417" s="17" t="s">
        <v>53</v>
      </c>
      <c r="F4417" s="17" t="s">
        <v>54</v>
      </c>
      <c r="H4417" s="306">
        <v>1.208</v>
      </c>
      <c r="I4417" s="306"/>
      <c r="J4417" s="17" t="s">
        <v>39</v>
      </c>
      <c r="K4417" s="19">
        <v>90</v>
      </c>
      <c r="L4417" s="91"/>
      <c r="M4417" s="19">
        <v>5800</v>
      </c>
      <c r="N4417" s="19" t="s">
        <v>40</v>
      </c>
      <c r="O4417" s="19" t="s">
        <v>1017</v>
      </c>
      <c r="P4417" s="19">
        <v>1000</v>
      </c>
      <c r="Q4417" s="19">
        <v>124</v>
      </c>
      <c r="R4417" s="19">
        <f t="shared" si="216"/>
        <v>876</v>
      </c>
      <c r="S4417" s="19">
        <v>1275</v>
      </c>
      <c r="T4417" s="19" t="s">
        <v>42</v>
      </c>
      <c r="U4417" s="102" t="s">
        <v>1328</v>
      </c>
      <c r="V4417" s="186" t="s">
        <v>1327</v>
      </c>
      <c r="W4417" s="17" t="s">
        <v>58</v>
      </c>
      <c r="Y4417" s="68">
        <v>45283</v>
      </c>
      <c r="Z4417" s="17" t="s">
        <v>1326</v>
      </c>
      <c r="AA4417" s="17" t="s">
        <v>46</v>
      </c>
      <c r="AB4417" s="17" t="s">
        <v>1328</v>
      </c>
      <c r="AC4417" s="102" t="s">
        <v>1269</v>
      </c>
      <c r="AD4417" s="65">
        <v>1502</v>
      </c>
      <c r="AE4417" s="17" t="s">
        <v>48</v>
      </c>
    </row>
    <row r="4418" s="17" customFormat="1" hidden="1" spans="1:31">
      <c r="A4418" s="17" t="s">
        <v>34</v>
      </c>
      <c r="B4418" s="19">
        <v>954</v>
      </c>
      <c r="C4418" s="183" t="s">
        <v>1327</v>
      </c>
      <c r="D4418" s="17" t="s">
        <v>52</v>
      </c>
      <c r="E4418" s="17" t="s">
        <v>53</v>
      </c>
      <c r="F4418" s="17" t="s">
        <v>54</v>
      </c>
      <c r="H4418" s="306">
        <v>1.208</v>
      </c>
      <c r="I4418" s="306"/>
      <c r="J4418" s="17" t="s">
        <v>39</v>
      </c>
      <c r="K4418" s="19">
        <v>100</v>
      </c>
      <c r="L4418" s="91"/>
      <c r="M4418" s="19">
        <v>5800</v>
      </c>
      <c r="N4418" s="19" t="s">
        <v>40</v>
      </c>
      <c r="O4418" s="19" t="s">
        <v>1017</v>
      </c>
      <c r="P4418" s="19">
        <v>1000</v>
      </c>
      <c r="Q4418" s="19">
        <v>1514</v>
      </c>
      <c r="R4418" s="19">
        <f t="shared" si="216"/>
        <v>-514</v>
      </c>
      <c r="S4418" s="19">
        <v>1275</v>
      </c>
      <c r="T4418" s="19" t="s">
        <v>42</v>
      </c>
      <c r="U4418" s="102" t="s">
        <v>1328</v>
      </c>
      <c r="V4418" s="186" t="s">
        <v>1327</v>
      </c>
      <c r="W4418" s="17" t="s">
        <v>58</v>
      </c>
      <c r="Y4418" s="68">
        <v>45283</v>
      </c>
      <c r="Z4418" s="17" t="s">
        <v>1326</v>
      </c>
      <c r="AA4418" s="17" t="s">
        <v>46</v>
      </c>
      <c r="AB4418" s="17" t="s">
        <v>1328</v>
      </c>
      <c r="AC4418" s="102" t="s">
        <v>1269</v>
      </c>
      <c r="AD4418" s="65">
        <v>1502</v>
      </c>
      <c r="AE4418" s="17" t="s">
        <v>48</v>
      </c>
    </row>
    <row r="4419" s="17" customFormat="1" hidden="1" spans="1:31">
      <c r="A4419" s="17" t="s">
        <v>34</v>
      </c>
      <c r="B4419" s="19">
        <v>954</v>
      </c>
      <c r="C4419" s="183" t="s">
        <v>1327</v>
      </c>
      <c r="D4419" s="17" t="s">
        <v>52</v>
      </c>
      <c r="E4419" s="17" t="s">
        <v>53</v>
      </c>
      <c r="F4419" s="17" t="s">
        <v>54</v>
      </c>
      <c r="H4419" s="306">
        <v>1.208</v>
      </c>
      <c r="I4419" s="306"/>
      <c r="J4419" s="17" t="s">
        <v>39</v>
      </c>
      <c r="K4419" s="19">
        <v>105</v>
      </c>
      <c r="L4419" s="91"/>
      <c r="M4419" s="19">
        <v>5800</v>
      </c>
      <c r="N4419" s="19" t="s">
        <v>40</v>
      </c>
      <c r="O4419" s="19" t="s">
        <v>1017</v>
      </c>
      <c r="P4419" s="19">
        <v>1000</v>
      </c>
      <c r="Q4419" s="19">
        <f>238+148+152+246</f>
        <v>784</v>
      </c>
      <c r="R4419" s="19">
        <f t="shared" si="216"/>
        <v>216</v>
      </c>
      <c r="S4419" s="19">
        <v>1275</v>
      </c>
      <c r="T4419" s="19" t="s">
        <v>42</v>
      </c>
      <c r="U4419" s="102" t="s">
        <v>1328</v>
      </c>
      <c r="V4419" s="186" t="s">
        <v>1327</v>
      </c>
      <c r="W4419" s="17" t="s">
        <v>58</v>
      </c>
      <c r="Y4419" s="68">
        <v>45283</v>
      </c>
      <c r="Z4419" s="17" t="s">
        <v>1326</v>
      </c>
      <c r="AA4419" s="17" t="s">
        <v>46</v>
      </c>
      <c r="AB4419" s="17" t="s">
        <v>1328</v>
      </c>
      <c r="AC4419" s="102" t="s">
        <v>1269</v>
      </c>
      <c r="AD4419" s="65">
        <v>1502</v>
      </c>
      <c r="AE4419" s="17" t="s">
        <v>48</v>
      </c>
    </row>
    <row r="4420" s="17" customFormat="1" hidden="1" spans="1:31">
      <c r="A4420" s="17" t="s">
        <v>34</v>
      </c>
      <c r="B4420" s="19">
        <v>954</v>
      </c>
      <c r="C4420" s="183" t="s">
        <v>1327</v>
      </c>
      <c r="D4420" s="17" t="s">
        <v>52</v>
      </c>
      <c r="E4420" s="17" t="s">
        <v>53</v>
      </c>
      <c r="F4420" s="17" t="s">
        <v>54</v>
      </c>
      <c r="H4420" s="306">
        <v>1.208</v>
      </c>
      <c r="I4420" s="306"/>
      <c r="J4420" s="17" t="s">
        <v>39</v>
      </c>
      <c r="K4420" s="19">
        <v>110</v>
      </c>
      <c r="L4420" s="91"/>
      <c r="M4420" s="19">
        <v>5800</v>
      </c>
      <c r="N4420" s="19" t="s">
        <v>40</v>
      </c>
      <c r="O4420" s="19" t="s">
        <v>1017</v>
      </c>
      <c r="P4420" s="19">
        <v>1000</v>
      </c>
      <c r="Q4420" s="19">
        <f>280+294+286</f>
        <v>860</v>
      </c>
      <c r="R4420" s="19">
        <f t="shared" si="216"/>
        <v>140</v>
      </c>
      <c r="S4420" s="19">
        <v>1275</v>
      </c>
      <c r="T4420" s="19" t="s">
        <v>42</v>
      </c>
      <c r="U4420" s="102" t="s">
        <v>1328</v>
      </c>
      <c r="V4420" s="186" t="s">
        <v>1327</v>
      </c>
      <c r="W4420" s="17" t="s">
        <v>58</v>
      </c>
      <c r="Y4420" s="68">
        <v>45283</v>
      </c>
      <c r="Z4420" s="17" t="s">
        <v>1326</v>
      </c>
      <c r="AA4420" s="17" t="s">
        <v>46</v>
      </c>
      <c r="AB4420" s="17" t="s">
        <v>1328</v>
      </c>
      <c r="AC4420" s="102" t="s">
        <v>1269</v>
      </c>
      <c r="AD4420" s="65">
        <v>1502</v>
      </c>
      <c r="AE4420" s="17" t="s">
        <v>48</v>
      </c>
    </row>
    <row r="4421" s="17" customFormat="1" hidden="1" spans="1:31">
      <c r="A4421" s="17" t="s">
        <v>34</v>
      </c>
      <c r="B4421" s="19">
        <v>954</v>
      </c>
      <c r="C4421" s="183" t="s">
        <v>1327</v>
      </c>
      <c r="D4421" s="17" t="s">
        <v>52</v>
      </c>
      <c r="E4421" s="17" t="s">
        <v>53</v>
      </c>
      <c r="F4421" s="17" t="s">
        <v>54</v>
      </c>
      <c r="H4421" s="306">
        <v>1.208</v>
      </c>
      <c r="I4421" s="306"/>
      <c r="J4421" s="17" t="s">
        <v>39</v>
      </c>
      <c r="K4421" s="19">
        <v>120</v>
      </c>
      <c r="L4421" s="91"/>
      <c r="M4421" s="19">
        <v>5800</v>
      </c>
      <c r="N4421" s="19" t="s">
        <v>40</v>
      </c>
      <c r="O4421" s="19" t="s">
        <v>1017</v>
      </c>
      <c r="P4421" s="19">
        <v>1000</v>
      </c>
      <c r="Q4421" s="19">
        <f>368+368+368</f>
        <v>1104</v>
      </c>
      <c r="R4421" s="19">
        <f t="shared" si="216"/>
        <v>-104</v>
      </c>
      <c r="S4421" s="19">
        <v>1275</v>
      </c>
      <c r="T4421" s="19" t="s">
        <v>42</v>
      </c>
      <c r="U4421" s="102" t="s">
        <v>1328</v>
      </c>
      <c r="V4421" s="186" t="s">
        <v>1327</v>
      </c>
      <c r="W4421" s="17" t="s">
        <v>58</v>
      </c>
      <c r="Y4421" s="68">
        <v>45283</v>
      </c>
      <c r="Z4421" s="17" t="s">
        <v>1326</v>
      </c>
      <c r="AA4421" s="17" t="s">
        <v>46</v>
      </c>
      <c r="AB4421" s="17" t="s">
        <v>1328</v>
      </c>
      <c r="AC4421" s="102" t="s">
        <v>1269</v>
      </c>
      <c r="AD4421" s="65">
        <v>1502</v>
      </c>
      <c r="AE4421" s="17" t="s">
        <v>48</v>
      </c>
    </row>
    <row r="4422" s="17" customFormat="1" hidden="1" spans="1:31">
      <c r="A4422" s="17" t="s">
        <v>34</v>
      </c>
      <c r="B4422" s="19">
        <v>954</v>
      </c>
      <c r="C4422" s="183" t="s">
        <v>1327</v>
      </c>
      <c r="D4422" s="17" t="s">
        <v>52</v>
      </c>
      <c r="E4422" s="17" t="s">
        <v>53</v>
      </c>
      <c r="F4422" s="17" t="s">
        <v>54</v>
      </c>
      <c r="H4422" s="306">
        <v>1.208</v>
      </c>
      <c r="I4422" s="306"/>
      <c r="J4422" s="17" t="s">
        <v>39</v>
      </c>
      <c r="K4422" s="19">
        <v>130</v>
      </c>
      <c r="L4422" s="91"/>
      <c r="M4422" s="19">
        <v>5800</v>
      </c>
      <c r="N4422" s="19" t="s">
        <v>40</v>
      </c>
      <c r="O4422" s="19" t="s">
        <v>1017</v>
      </c>
      <c r="P4422" s="19">
        <v>1000</v>
      </c>
      <c r="Q4422" s="19">
        <f>290+382+378</f>
        <v>1050</v>
      </c>
      <c r="R4422" s="19">
        <f t="shared" si="216"/>
        <v>-50</v>
      </c>
      <c r="S4422" s="19">
        <v>1275</v>
      </c>
      <c r="T4422" s="19" t="s">
        <v>42</v>
      </c>
      <c r="U4422" s="102" t="s">
        <v>1328</v>
      </c>
      <c r="V4422" s="186" t="s">
        <v>1327</v>
      </c>
      <c r="W4422" s="17" t="s">
        <v>58</v>
      </c>
      <c r="Y4422" s="68">
        <v>45283</v>
      </c>
      <c r="Z4422" s="17" t="s">
        <v>1326</v>
      </c>
      <c r="AA4422" s="17" t="s">
        <v>46</v>
      </c>
      <c r="AB4422" s="17" t="s">
        <v>1328</v>
      </c>
      <c r="AC4422" s="102" t="s">
        <v>1269</v>
      </c>
      <c r="AD4422" s="65">
        <v>1502</v>
      </c>
      <c r="AE4422" s="17" t="s">
        <v>48</v>
      </c>
    </row>
    <row r="4423" s="17" customFormat="1" hidden="1" spans="1:31">
      <c r="A4423" s="17" t="s">
        <v>34</v>
      </c>
      <c r="B4423" s="19">
        <v>954</v>
      </c>
      <c r="C4423" s="183" t="s">
        <v>1327</v>
      </c>
      <c r="D4423" s="17" t="s">
        <v>52</v>
      </c>
      <c r="E4423" s="17" t="s">
        <v>53</v>
      </c>
      <c r="F4423" s="17" t="s">
        <v>54</v>
      </c>
      <c r="H4423" s="306">
        <v>1.208</v>
      </c>
      <c r="I4423" s="306"/>
      <c r="J4423" s="17" t="s">
        <v>39</v>
      </c>
      <c r="K4423" s="19">
        <v>140</v>
      </c>
      <c r="L4423" s="91"/>
      <c r="M4423" s="19">
        <v>5800</v>
      </c>
      <c r="N4423" s="19" t="s">
        <v>40</v>
      </c>
      <c r="O4423" s="19" t="s">
        <v>1017</v>
      </c>
      <c r="P4423" s="19">
        <v>1000</v>
      </c>
      <c r="Q4423" s="19">
        <f>502+462</f>
        <v>964</v>
      </c>
      <c r="R4423" s="19">
        <f t="shared" si="216"/>
        <v>36</v>
      </c>
      <c r="S4423" s="19">
        <v>1275</v>
      </c>
      <c r="T4423" s="19" t="s">
        <v>42</v>
      </c>
      <c r="U4423" s="102" t="s">
        <v>1328</v>
      </c>
      <c r="V4423" s="186" t="s">
        <v>1327</v>
      </c>
      <c r="W4423" s="17" t="s">
        <v>58</v>
      </c>
      <c r="Y4423" s="68">
        <v>45283</v>
      </c>
      <c r="Z4423" s="17" t="s">
        <v>1326</v>
      </c>
      <c r="AA4423" s="17" t="s">
        <v>46</v>
      </c>
      <c r="AB4423" s="17" t="s">
        <v>1328</v>
      </c>
      <c r="AC4423" s="102" t="s">
        <v>1269</v>
      </c>
      <c r="AD4423" s="65">
        <v>1502</v>
      </c>
      <c r="AE4423" s="17" t="s">
        <v>48</v>
      </c>
    </row>
    <row r="4424" s="17" customFormat="1" hidden="1" spans="1:31">
      <c r="A4424" s="17" t="s">
        <v>34</v>
      </c>
      <c r="B4424" s="19">
        <v>954</v>
      </c>
      <c r="C4424" s="183" t="s">
        <v>1327</v>
      </c>
      <c r="D4424" s="17" t="s">
        <v>52</v>
      </c>
      <c r="E4424" s="17" t="s">
        <v>53</v>
      </c>
      <c r="F4424" s="17" t="s">
        <v>54</v>
      </c>
      <c r="H4424" s="306">
        <v>1.208</v>
      </c>
      <c r="I4424" s="306"/>
      <c r="J4424" s="17" t="s">
        <v>39</v>
      </c>
      <c r="K4424" s="19">
        <v>150</v>
      </c>
      <c r="L4424" s="91"/>
      <c r="M4424" s="19">
        <v>5800</v>
      </c>
      <c r="N4424" s="19" t="s">
        <v>40</v>
      </c>
      <c r="O4424" s="19" t="s">
        <v>1017</v>
      </c>
      <c r="P4424" s="19">
        <v>1000</v>
      </c>
      <c r="Q4424" s="19">
        <v>524</v>
      </c>
      <c r="R4424" s="19">
        <f t="shared" si="216"/>
        <v>476</v>
      </c>
      <c r="S4424" s="19">
        <v>1275</v>
      </c>
      <c r="T4424" s="19" t="s">
        <v>42</v>
      </c>
      <c r="U4424" s="102" t="s">
        <v>1328</v>
      </c>
      <c r="V4424" s="186" t="s">
        <v>1327</v>
      </c>
      <c r="W4424" s="17" t="s">
        <v>58</v>
      </c>
      <c r="Y4424" s="68">
        <v>45283</v>
      </c>
      <c r="Z4424" s="17" t="s">
        <v>1326</v>
      </c>
      <c r="AA4424" s="17" t="s">
        <v>46</v>
      </c>
      <c r="AB4424" s="17" t="s">
        <v>1328</v>
      </c>
      <c r="AC4424" s="102" t="s">
        <v>1269</v>
      </c>
      <c r="AD4424" s="65">
        <v>1502</v>
      </c>
      <c r="AE4424" s="17" t="s">
        <v>48</v>
      </c>
    </row>
    <row r="4425" s="17" customFormat="1" hidden="1" spans="1:31">
      <c r="A4425" s="17" t="s">
        <v>34</v>
      </c>
      <c r="B4425" s="19">
        <v>954</v>
      </c>
      <c r="C4425" s="183" t="s">
        <v>1327</v>
      </c>
      <c r="D4425" s="17" t="s">
        <v>52</v>
      </c>
      <c r="E4425" s="17" t="s">
        <v>53</v>
      </c>
      <c r="F4425" s="17" t="s">
        <v>54</v>
      </c>
      <c r="H4425" s="306">
        <v>1.208</v>
      </c>
      <c r="I4425" s="306"/>
      <c r="J4425" s="17" t="s">
        <v>39</v>
      </c>
      <c r="K4425" s="19">
        <v>160</v>
      </c>
      <c r="L4425" s="91"/>
      <c r="M4425" s="19">
        <v>5800</v>
      </c>
      <c r="N4425" s="19" t="s">
        <v>40</v>
      </c>
      <c r="O4425" s="19" t="s">
        <v>1017</v>
      </c>
      <c r="P4425" s="19">
        <v>1000</v>
      </c>
      <c r="Q4425" s="19">
        <f>660+648</f>
        <v>1308</v>
      </c>
      <c r="R4425" s="19">
        <f t="shared" si="216"/>
        <v>-308</v>
      </c>
      <c r="S4425" s="19">
        <v>1275</v>
      </c>
      <c r="T4425" s="19" t="s">
        <v>42</v>
      </c>
      <c r="U4425" s="102" t="s">
        <v>1328</v>
      </c>
      <c r="V4425" s="186" t="s">
        <v>1327</v>
      </c>
      <c r="W4425" s="17" t="s">
        <v>58</v>
      </c>
      <c r="Y4425" s="68">
        <v>45283</v>
      </c>
      <c r="Z4425" s="17" t="s">
        <v>1326</v>
      </c>
      <c r="AA4425" s="17" t="s">
        <v>46</v>
      </c>
      <c r="AB4425" s="17" t="s">
        <v>1328</v>
      </c>
      <c r="AC4425" s="102" t="s">
        <v>1269</v>
      </c>
      <c r="AD4425" s="65">
        <v>1502</v>
      </c>
      <c r="AE4425" s="17" t="s">
        <v>48</v>
      </c>
    </row>
    <row r="4426" s="17" customFormat="1" hidden="1" spans="1:31">
      <c r="A4426" s="17" t="s">
        <v>34</v>
      </c>
      <c r="B4426" s="19">
        <v>954</v>
      </c>
      <c r="C4426" s="183" t="s">
        <v>1327</v>
      </c>
      <c r="D4426" s="17" t="s">
        <v>52</v>
      </c>
      <c r="E4426" s="17" t="s">
        <v>53</v>
      </c>
      <c r="F4426" s="17" t="s">
        <v>54</v>
      </c>
      <c r="H4426" s="306">
        <v>1.208</v>
      </c>
      <c r="I4426" s="306"/>
      <c r="J4426" s="17" t="s">
        <v>39</v>
      </c>
      <c r="K4426" s="19">
        <v>170</v>
      </c>
      <c r="L4426" s="91"/>
      <c r="M4426" s="19">
        <v>5800</v>
      </c>
      <c r="N4426" s="19" t="s">
        <v>40</v>
      </c>
      <c r="O4426" s="19" t="s">
        <v>1017</v>
      </c>
      <c r="P4426" s="19">
        <v>1000</v>
      </c>
      <c r="Q4426" s="19">
        <v>658</v>
      </c>
      <c r="R4426" s="19">
        <f t="shared" si="216"/>
        <v>342</v>
      </c>
      <c r="S4426" s="19">
        <v>1275</v>
      </c>
      <c r="T4426" s="19" t="s">
        <v>42</v>
      </c>
      <c r="U4426" s="102" t="s">
        <v>1328</v>
      </c>
      <c r="V4426" s="186" t="s">
        <v>1327</v>
      </c>
      <c r="W4426" s="17" t="s">
        <v>58</v>
      </c>
      <c r="Y4426" s="68">
        <v>45283</v>
      </c>
      <c r="Z4426" s="17" t="s">
        <v>1326</v>
      </c>
      <c r="AA4426" s="17" t="s">
        <v>46</v>
      </c>
      <c r="AB4426" s="17" t="s">
        <v>1328</v>
      </c>
      <c r="AC4426" s="102" t="s">
        <v>1269</v>
      </c>
      <c r="AD4426" s="65">
        <v>1502</v>
      </c>
      <c r="AE4426" s="17" t="s">
        <v>48</v>
      </c>
    </row>
    <row r="4427" s="17" customFormat="1" hidden="1" spans="1:31">
      <c r="A4427" s="17" t="s">
        <v>34</v>
      </c>
      <c r="B4427" s="19">
        <v>954</v>
      </c>
      <c r="C4427" s="183" t="s">
        <v>1327</v>
      </c>
      <c r="D4427" s="17" t="s">
        <v>52</v>
      </c>
      <c r="E4427" s="17" t="s">
        <v>53</v>
      </c>
      <c r="F4427" s="17" t="s">
        <v>54</v>
      </c>
      <c r="H4427" s="306">
        <v>1.208</v>
      </c>
      <c r="I4427" s="306"/>
      <c r="J4427" s="17" t="s">
        <v>39</v>
      </c>
      <c r="K4427" s="19">
        <v>180</v>
      </c>
      <c r="L4427" s="91"/>
      <c r="M4427" s="19">
        <v>5800</v>
      </c>
      <c r="N4427" s="19" t="s">
        <v>40</v>
      </c>
      <c r="O4427" s="19" t="s">
        <v>1017</v>
      </c>
      <c r="P4427" s="19">
        <v>1000</v>
      </c>
      <c r="Q4427" s="19">
        <v>1006</v>
      </c>
      <c r="R4427" s="19">
        <f t="shared" si="216"/>
        <v>-6</v>
      </c>
      <c r="S4427" s="19">
        <v>1275</v>
      </c>
      <c r="T4427" s="19" t="s">
        <v>42</v>
      </c>
      <c r="U4427" s="102" t="s">
        <v>1328</v>
      </c>
      <c r="V4427" s="186" t="s">
        <v>1327</v>
      </c>
      <c r="W4427" s="17" t="s">
        <v>58</v>
      </c>
      <c r="Y4427" s="68">
        <v>45283</v>
      </c>
      <c r="Z4427" s="17" t="s">
        <v>1326</v>
      </c>
      <c r="AA4427" s="17" t="s">
        <v>46</v>
      </c>
      <c r="AB4427" s="17" t="s">
        <v>1328</v>
      </c>
      <c r="AC4427" s="102" t="s">
        <v>1269</v>
      </c>
      <c r="AD4427" s="65">
        <v>1502</v>
      </c>
      <c r="AE4427" s="17" t="s">
        <v>48</v>
      </c>
    </row>
    <row r="4428" s="17" customFormat="1" hidden="1" spans="1:31">
      <c r="A4428" s="17" t="s">
        <v>34</v>
      </c>
      <c r="B4428" s="19">
        <v>954</v>
      </c>
      <c r="C4428" s="183" t="s">
        <v>1327</v>
      </c>
      <c r="D4428" s="17" t="s">
        <v>52</v>
      </c>
      <c r="E4428" s="17" t="s">
        <v>53</v>
      </c>
      <c r="F4428" s="17" t="s">
        <v>54</v>
      </c>
      <c r="H4428" s="306">
        <v>1.208</v>
      </c>
      <c r="I4428" s="306"/>
      <c r="J4428" s="17" t="s">
        <v>39</v>
      </c>
      <c r="K4428" s="19">
        <v>190</v>
      </c>
      <c r="L4428" s="91"/>
      <c r="M4428" s="19">
        <v>5800</v>
      </c>
      <c r="N4428" s="19" t="s">
        <v>40</v>
      </c>
      <c r="O4428" s="19" t="s">
        <v>1017</v>
      </c>
      <c r="P4428" s="19">
        <v>1000</v>
      </c>
      <c r="Q4428" s="19">
        <v>864</v>
      </c>
      <c r="R4428" s="19">
        <f t="shared" si="216"/>
        <v>136</v>
      </c>
      <c r="S4428" s="19">
        <v>1275</v>
      </c>
      <c r="T4428" s="19" t="s">
        <v>42</v>
      </c>
      <c r="U4428" s="102" t="s">
        <v>1328</v>
      </c>
      <c r="V4428" s="186" t="s">
        <v>1327</v>
      </c>
      <c r="W4428" s="17" t="s">
        <v>58</v>
      </c>
      <c r="Y4428" s="68">
        <v>45283</v>
      </c>
      <c r="Z4428" s="17" t="s">
        <v>1326</v>
      </c>
      <c r="AA4428" s="17" t="s">
        <v>46</v>
      </c>
      <c r="AB4428" s="17" t="s">
        <v>1328</v>
      </c>
      <c r="AC4428" s="102" t="s">
        <v>1269</v>
      </c>
      <c r="AD4428" s="65">
        <v>1502</v>
      </c>
      <c r="AE4428" s="17" t="s">
        <v>48</v>
      </c>
    </row>
    <row r="4429" s="17" customFormat="1" hidden="1" spans="1:31">
      <c r="A4429" s="17" t="s">
        <v>34</v>
      </c>
      <c r="B4429" s="19">
        <v>954</v>
      </c>
      <c r="C4429" s="183" t="s">
        <v>1327</v>
      </c>
      <c r="D4429" s="17" t="s">
        <v>52</v>
      </c>
      <c r="E4429" s="17" t="s">
        <v>53</v>
      </c>
      <c r="F4429" s="17" t="s">
        <v>54</v>
      </c>
      <c r="H4429" s="306">
        <v>1.208</v>
      </c>
      <c r="I4429" s="306"/>
      <c r="J4429" s="17" t="s">
        <v>39</v>
      </c>
      <c r="K4429" s="19">
        <v>200</v>
      </c>
      <c r="L4429" s="91"/>
      <c r="M4429" s="19">
        <v>5800</v>
      </c>
      <c r="N4429" s="19" t="s">
        <v>40</v>
      </c>
      <c r="O4429" s="19" t="s">
        <v>1017</v>
      </c>
      <c r="P4429" s="19">
        <v>1000</v>
      </c>
      <c r="Q4429" s="19">
        <v>976</v>
      </c>
      <c r="R4429" s="19">
        <f t="shared" si="216"/>
        <v>24</v>
      </c>
      <c r="S4429" s="19">
        <v>1275</v>
      </c>
      <c r="T4429" s="19" t="s">
        <v>42</v>
      </c>
      <c r="U4429" s="102" t="s">
        <v>1328</v>
      </c>
      <c r="V4429" s="186" t="s">
        <v>1327</v>
      </c>
      <c r="W4429" s="17" t="s">
        <v>58</v>
      </c>
      <c r="Y4429" s="68">
        <v>45283</v>
      </c>
      <c r="Z4429" s="17" t="s">
        <v>1326</v>
      </c>
      <c r="AA4429" s="17" t="s">
        <v>46</v>
      </c>
      <c r="AB4429" s="17" t="s">
        <v>1328</v>
      </c>
      <c r="AC4429" s="102" t="s">
        <v>1269</v>
      </c>
      <c r="AD4429" s="65">
        <v>1502</v>
      </c>
      <c r="AE4429" s="17" t="s">
        <v>48</v>
      </c>
    </row>
    <row r="4430" s="17" customFormat="1" hidden="1" spans="1:31">
      <c r="A4430" s="17" t="s">
        <v>34</v>
      </c>
      <c r="B4430" s="19">
        <v>954</v>
      </c>
      <c r="C4430" s="183" t="s">
        <v>1327</v>
      </c>
      <c r="D4430" s="17" t="s">
        <v>52</v>
      </c>
      <c r="E4430" s="17" t="s">
        <v>53</v>
      </c>
      <c r="F4430" s="17" t="s">
        <v>54</v>
      </c>
      <c r="H4430" s="306">
        <v>1.208</v>
      </c>
      <c r="I4430" s="306"/>
      <c r="J4430" s="17" t="s">
        <v>39</v>
      </c>
      <c r="K4430" s="19">
        <v>210</v>
      </c>
      <c r="L4430" s="91"/>
      <c r="M4430" s="19">
        <v>5800</v>
      </c>
      <c r="N4430" s="19" t="s">
        <v>40</v>
      </c>
      <c r="O4430" s="19" t="s">
        <v>1017</v>
      </c>
      <c r="P4430" s="19">
        <v>1000</v>
      </c>
      <c r="Q4430" s="19">
        <v>972</v>
      </c>
      <c r="R4430" s="19">
        <f t="shared" si="216"/>
        <v>28</v>
      </c>
      <c r="S4430" s="19">
        <v>1275</v>
      </c>
      <c r="T4430" s="19" t="s">
        <v>42</v>
      </c>
      <c r="U4430" s="102" t="s">
        <v>1328</v>
      </c>
      <c r="V4430" s="186" t="s">
        <v>1327</v>
      </c>
      <c r="W4430" s="17" t="s">
        <v>58</v>
      </c>
      <c r="Y4430" s="68">
        <v>45283</v>
      </c>
      <c r="Z4430" s="17" t="s">
        <v>1326</v>
      </c>
      <c r="AA4430" s="17" t="s">
        <v>46</v>
      </c>
      <c r="AB4430" s="17" t="s">
        <v>1328</v>
      </c>
      <c r="AC4430" s="102" t="s">
        <v>1269</v>
      </c>
      <c r="AD4430" s="65">
        <v>1502</v>
      </c>
      <c r="AE4430" s="17" t="s">
        <v>48</v>
      </c>
    </row>
    <row r="4431" s="17" customFormat="1" hidden="1" spans="1:31">
      <c r="A4431" s="17" t="s">
        <v>34</v>
      </c>
      <c r="B4431" s="19">
        <v>954</v>
      </c>
      <c r="C4431" s="183" t="s">
        <v>1327</v>
      </c>
      <c r="D4431" s="17" t="s">
        <v>52</v>
      </c>
      <c r="E4431" s="17" t="s">
        <v>53</v>
      </c>
      <c r="F4431" s="17" t="s">
        <v>54</v>
      </c>
      <c r="H4431" s="306">
        <v>1.208</v>
      </c>
      <c r="I4431" s="306"/>
      <c r="J4431" s="17" t="s">
        <v>39</v>
      </c>
      <c r="K4431" s="19">
        <v>275</v>
      </c>
      <c r="L4431" s="91"/>
      <c r="M4431" s="19">
        <v>5800</v>
      </c>
      <c r="N4431" s="19" t="s">
        <v>40</v>
      </c>
      <c r="O4431" s="19" t="s">
        <v>1017</v>
      </c>
      <c r="P4431" s="19">
        <v>1000</v>
      </c>
      <c r="Q4431" s="19">
        <v>1778</v>
      </c>
      <c r="R4431" s="19">
        <f t="shared" si="216"/>
        <v>-778</v>
      </c>
      <c r="S4431" s="19">
        <v>1275</v>
      </c>
      <c r="T4431" s="19" t="s">
        <v>42</v>
      </c>
      <c r="U4431" s="102" t="s">
        <v>1328</v>
      </c>
      <c r="V4431" s="186" t="s">
        <v>1327</v>
      </c>
      <c r="W4431" s="17" t="s">
        <v>58</v>
      </c>
      <c r="Y4431" s="68">
        <v>45283</v>
      </c>
      <c r="Z4431" s="17" t="s">
        <v>1326</v>
      </c>
      <c r="AA4431" s="17" t="s">
        <v>46</v>
      </c>
      <c r="AB4431" s="17" t="s">
        <v>1328</v>
      </c>
      <c r="AC4431" s="102" t="s">
        <v>1269</v>
      </c>
      <c r="AD4431" s="65">
        <v>1502</v>
      </c>
      <c r="AE4431" s="17" t="s">
        <v>48</v>
      </c>
    </row>
    <row r="4432" s="17" customFormat="1" hidden="1" spans="1:31">
      <c r="A4432" s="17" t="s">
        <v>34</v>
      </c>
      <c r="B4432" s="19">
        <v>954</v>
      </c>
      <c r="C4432" s="183" t="s">
        <v>1327</v>
      </c>
      <c r="D4432" s="17" t="s">
        <v>52</v>
      </c>
      <c r="E4432" s="17" t="s">
        <v>53</v>
      </c>
      <c r="F4432" s="17" t="s">
        <v>54</v>
      </c>
      <c r="H4432" s="306">
        <v>1.208</v>
      </c>
      <c r="I4432" s="307"/>
      <c r="J4432" s="22" t="s">
        <v>39</v>
      </c>
      <c r="K4432" s="19">
        <v>280</v>
      </c>
      <c r="L4432" s="91"/>
      <c r="M4432" s="19">
        <v>5800</v>
      </c>
      <c r="N4432" s="19" t="s">
        <v>40</v>
      </c>
      <c r="O4432" s="19" t="s">
        <v>1017</v>
      </c>
      <c r="P4432" s="19">
        <v>1000</v>
      </c>
      <c r="Q4432" s="19">
        <v>1750</v>
      </c>
      <c r="R4432" s="19">
        <f t="shared" si="216"/>
        <v>-750</v>
      </c>
      <c r="S4432" s="19">
        <v>1275</v>
      </c>
      <c r="T4432" s="19" t="s">
        <v>42</v>
      </c>
      <c r="U4432" s="102" t="s">
        <v>1328</v>
      </c>
      <c r="V4432" s="186" t="s">
        <v>1327</v>
      </c>
      <c r="W4432" s="17" t="s">
        <v>58</v>
      </c>
      <c r="Y4432" s="68">
        <v>45283</v>
      </c>
      <c r="Z4432" s="17" t="s">
        <v>1326</v>
      </c>
      <c r="AA4432" s="17" t="s">
        <v>46</v>
      </c>
      <c r="AB4432" s="17" t="s">
        <v>1328</v>
      </c>
      <c r="AC4432" s="102" t="s">
        <v>1269</v>
      </c>
      <c r="AD4432" s="65">
        <v>1502</v>
      </c>
      <c r="AE4432" s="17" t="s">
        <v>48</v>
      </c>
    </row>
    <row r="4433" s="21" customFormat="1" hidden="1" spans="1:44">
      <c r="A4433" s="17" t="s">
        <v>34</v>
      </c>
      <c r="B4433" s="19">
        <v>955</v>
      </c>
      <c r="C4433" s="183">
        <v>45225</v>
      </c>
      <c r="D4433" s="17" t="s">
        <v>52</v>
      </c>
      <c r="E4433" s="17" t="s">
        <v>53</v>
      </c>
      <c r="F4433" s="17" t="s">
        <v>54</v>
      </c>
      <c r="G4433" s="17"/>
      <c r="H4433" s="124" t="s">
        <v>55</v>
      </c>
      <c r="I4433" s="124"/>
      <c r="J4433" s="17" t="s">
        <v>82</v>
      </c>
      <c r="K4433" s="295">
        <v>510</v>
      </c>
      <c r="L4433" s="295">
        <v>50</v>
      </c>
      <c r="M4433" s="19">
        <v>5800</v>
      </c>
      <c r="N4433" s="19" t="s">
        <v>40</v>
      </c>
      <c r="O4433" s="19" t="s">
        <v>50</v>
      </c>
      <c r="P4433" s="19">
        <v>1000</v>
      </c>
      <c r="Q4433" s="19">
        <f>596+610</f>
        <v>1206</v>
      </c>
      <c r="R4433" s="19">
        <f t="shared" si="216"/>
        <v>-206</v>
      </c>
      <c r="S4433" s="19">
        <v>2030</v>
      </c>
      <c r="T4433" s="19" t="s">
        <v>42</v>
      </c>
      <c r="U4433" s="102" t="s">
        <v>1329</v>
      </c>
      <c r="V4433" s="101">
        <v>45225</v>
      </c>
      <c r="W4433" s="17" t="s">
        <v>58</v>
      </c>
      <c r="X4433" s="17"/>
      <c r="Y4433" s="68">
        <v>45283</v>
      </c>
      <c r="Z4433" s="17" t="s">
        <v>1326</v>
      </c>
      <c r="AA4433" s="17" t="s">
        <v>46</v>
      </c>
      <c r="AB4433" s="17" t="s">
        <v>1329</v>
      </c>
      <c r="AC4433" s="217">
        <v>45323</v>
      </c>
      <c r="AD4433" s="65">
        <v>1526</v>
      </c>
      <c r="AE4433" s="17" t="s">
        <v>48</v>
      </c>
      <c r="AF4433" s="17"/>
      <c r="AG4433" s="17"/>
      <c r="AH4433" s="17"/>
      <c r="AI4433" s="17"/>
      <c r="AJ4433" s="17"/>
      <c r="AK4433" s="17"/>
      <c r="AL4433" s="17"/>
      <c r="AM4433" s="17"/>
      <c r="AN4433" s="17"/>
      <c r="AO4433" s="17"/>
      <c r="AP4433" s="17"/>
      <c r="AQ4433" s="17"/>
      <c r="AR4433" s="17"/>
    </row>
    <row r="4434" s="20" customFormat="1" hidden="1" spans="1:44">
      <c r="A4434" s="18"/>
      <c r="B4434" s="75">
        <v>955</v>
      </c>
      <c r="C4434" s="213">
        <v>45225</v>
      </c>
      <c r="D4434" s="18" t="s">
        <v>52</v>
      </c>
      <c r="E4434" s="18" t="s">
        <v>53</v>
      </c>
      <c r="F4434" s="18" t="s">
        <v>54</v>
      </c>
      <c r="G4434" s="18"/>
      <c r="H4434" s="294" t="s">
        <v>55</v>
      </c>
      <c r="I4434" s="294"/>
      <c r="J4434" s="18" t="s">
        <v>82</v>
      </c>
      <c r="K4434" s="308">
        <v>510</v>
      </c>
      <c r="L4434" s="308">
        <v>60</v>
      </c>
      <c r="M4434" s="75">
        <v>5800</v>
      </c>
      <c r="N4434" s="75" t="s">
        <v>40</v>
      </c>
      <c r="O4434" s="75" t="s">
        <v>50</v>
      </c>
      <c r="P4434" s="75">
        <v>1000</v>
      </c>
      <c r="Q4434" s="75"/>
      <c r="R4434" s="75">
        <f t="shared" si="216"/>
        <v>1000</v>
      </c>
      <c r="S4434" s="75">
        <v>2030</v>
      </c>
      <c r="T4434" s="75" t="s">
        <v>42</v>
      </c>
      <c r="U4434" s="137" t="s">
        <v>1329</v>
      </c>
      <c r="V4434" s="135">
        <v>45225</v>
      </c>
      <c r="W4434" s="18" t="s">
        <v>58</v>
      </c>
      <c r="X4434" s="18"/>
      <c r="Y4434" s="114">
        <v>45283</v>
      </c>
      <c r="Z4434" s="18" t="s">
        <v>1326</v>
      </c>
      <c r="AA4434" s="18" t="s">
        <v>46</v>
      </c>
      <c r="AB4434" s="18"/>
      <c r="AC4434" s="137"/>
      <c r="AD4434" s="77"/>
      <c r="AE4434" s="18" t="s">
        <v>48</v>
      </c>
      <c r="AF4434" s="18" t="s">
        <v>737</v>
      </c>
      <c r="AG4434" s="18"/>
      <c r="AH4434" s="18"/>
      <c r="AI4434" s="18"/>
      <c r="AJ4434" s="18"/>
      <c r="AK4434" s="18"/>
      <c r="AL4434" s="18"/>
      <c r="AM4434" s="18"/>
      <c r="AN4434" s="18"/>
      <c r="AO4434" s="18"/>
      <c r="AP4434" s="18"/>
      <c r="AQ4434" s="18"/>
      <c r="AR4434" s="18"/>
    </row>
    <row r="4435" s="21" customFormat="1" hidden="1" spans="1:44">
      <c r="A4435" s="17" t="s">
        <v>34</v>
      </c>
      <c r="B4435" s="19">
        <v>955</v>
      </c>
      <c r="C4435" s="183">
        <v>45225</v>
      </c>
      <c r="D4435" s="17" t="s">
        <v>52</v>
      </c>
      <c r="E4435" s="17" t="s">
        <v>53</v>
      </c>
      <c r="F4435" s="17" t="s">
        <v>54</v>
      </c>
      <c r="G4435" s="17"/>
      <c r="H4435" s="124" t="s">
        <v>55</v>
      </c>
      <c r="I4435" s="124"/>
      <c r="J4435" s="17" t="s">
        <v>82</v>
      </c>
      <c r="K4435" s="295">
        <v>510</v>
      </c>
      <c r="L4435" s="295">
        <v>65</v>
      </c>
      <c r="M4435" s="19">
        <v>5800</v>
      </c>
      <c r="N4435" s="19" t="s">
        <v>40</v>
      </c>
      <c r="O4435" s="19" t="s">
        <v>50</v>
      </c>
      <c r="P4435" s="19">
        <v>1000</v>
      </c>
      <c r="Q4435" s="19">
        <v>1008</v>
      </c>
      <c r="R4435" s="19">
        <f t="shared" si="216"/>
        <v>-8</v>
      </c>
      <c r="S4435" s="19">
        <v>2030</v>
      </c>
      <c r="T4435" s="19" t="s">
        <v>42</v>
      </c>
      <c r="U4435" s="102" t="s">
        <v>1329</v>
      </c>
      <c r="V4435" s="101">
        <v>45225</v>
      </c>
      <c r="W4435" s="17" t="s">
        <v>58</v>
      </c>
      <c r="X4435" s="17"/>
      <c r="Y4435" s="68">
        <v>45283</v>
      </c>
      <c r="Z4435" s="17" t="s">
        <v>1326</v>
      </c>
      <c r="AA4435" s="17" t="s">
        <v>46</v>
      </c>
      <c r="AB4435" s="17" t="s">
        <v>1329</v>
      </c>
      <c r="AC4435" s="217">
        <v>45323</v>
      </c>
      <c r="AD4435" s="65">
        <v>1526</v>
      </c>
      <c r="AE4435" s="17" t="s">
        <v>48</v>
      </c>
      <c r="AF4435" s="17"/>
      <c r="AG4435" s="17"/>
      <c r="AH4435" s="17"/>
      <c r="AI4435" s="17"/>
      <c r="AJ4435" s="17"/>
      <c r="AK4435" s="17"/>
      <c r="AL4435" s="17"/>
      <c r="AM4435" s="17"/>
      <c r="AN4435" s="17"/>
      <c r="AO4435" s="17"/>
      <c r="AP4435" s="17"/>
      <c r="AQ4435" s="17"/>
      <c r="AR4435" s="17"/>
    </row>
    <row r="4436" s="21" customFormat="1" hidden="1" spans="1:44">
      <c r="A4436" s="17" t="s">
        <v>34</v>
      </c>
      <c r="B4436" s="19">
        <v>955</v>
      </c>
      <c r="C4436" s="183">
        <v>45225</v>
      </c>
      <c r="D4436" s="17" t="s">
        <v>52</v>
      </c>
      <c r="E4436" s="17" t="s">
        <v>53</v>
      </c>
      <c r="F4436" s="17" t="s">
        <v>54</v>
      </c>
      <c r="G4436" s="17"/>
      <c r="H4436" s="124" t="s">
        <v>55</v>
      </c>
      <c r="I4436" s="124"/>
      <c r="J4436" s="17" t="s">
        <v>82</v>
      </c>
      <c r="K4436" s="295">
        <v>510</v>
      </c>
      <c r="L4436" s="295">
        <v>75</v>
      </c>
      <c r="M4436" s="19">
        <v>5800</v>
      </c>
      <c r="N4436" s="19" t="s">
        <v>40</v>
      </c>
      <c r="O4436" s="19" t="s">
        <v>50</v>
      </c>
      <c r="P4436" s="19">
        <v>1000</v>
      </c>
      <c r="Q4436" s="19">
        <v>1108</v>
      </c>
      <c r="R4436" s="19">
        <f t="shared" si="216"/>
        <v>-108</v>
      </c>
      <c r="S4436" s="19">
        <v>2030</v>
      </c>
      <c r="T4436" s="19" t="s">
        <v>42</v>
      </c>
      <c r="U4436" s="102" t="s">
        <v>1329</v>
      </c>
      <c r="V4436" s="101">
        <v>45225</v>
      </c>
      <c r="W4436" s="17" t="s">
        <v>58</v>
      </c>
      <c r="X4436" s="17"/>
      <c r="Y4436" s="68">
        <v>45283</v>
      </c>
      <c r="Z4436" s="17" t="s">
        <v>1326</v>
      </c>
      <c r="AA4436" s="17" t="s">
        <v>46</v>
      </c>
      <c r="AB4436" s="17" t="s">
        <v>1329</v>
      </c>
      <c r="AC4436" s="217">
        <v>45323</v>
      </c>
      <c r="AD4436" s="65">
        <v>1526</v>
      </c>
      <c r="AE4436" s="17" t="s">
        <v>48</v>
      </c>
      <c r="AF4436" s="17"/>
      <c r="AG4436" s="17"/>
      <c r="AH4436" s="17"/>
      <c r="AI4436" s="17"/>
      <c r="AJ4436" s="17"/>
      <c r="AK4436" s="17"/>
      <c r="AL4436" s="17"/>
      <c r="AM4436" s="17"/>
      <c r="AN4436" s="17"/>
      <c r="AO4436" s="17"/>
      <c r="AP4436" s="17"/>
      <c r="AQ4436" s="17"/>
      <c r="AR4436" s="17"/>
    </row>
    <row r="4437" s="20" customFormat="1" hidden="1" spans="1:44">
      <c r="A4437" s="18"/>
      <c r="B4437" s="75">
        <v>955</v>
      </c>
      <c r="C4437" s="213">
        <v>45225</v>
      </c>
      <c r="D4437" s="18" t="s">
        <v>52</v>
      </c>
      <c r="E4437" s="18" t="s">
        <v>53</v>
      </c>
      <c r="F4437" s="18" t="s">
        <v>54</v>
      </c>
      <c r="G4437" s="18"/>
      <c r="H4437" s="294" t="s">
        <v>55</v>
      </c>
      <c r="I4437" s="294"/>
      <c r="J4437" s="18" t="s">
        <v>82</v>
      </c>
      <c r="K4437" s="308">
        <v>510</v>
      </c>
      <c r="L4437" s="308">
        <v>80</v>
      </c>
      <c r="M4437" s="75">
        <v>5800</v>
      </c>
      <c r="N4437" s="75" t="s">
        <v>40</v>
      </c>
      <c r="O4437" s="75" t="s">
        <v>50</v>
      </c>
      <c r="P4437" s="75">
        <v>1000</v>
      </c>
      <c r="Q4437" s="75"/>
      <c r="R4437" s="75">
        <f t="shared" si="216"/>
        <v>1000</v>
      </c>
      <c r="S4437" s="75">
        <v>2030</v>
      </c>
      <c r="T4437" s="75" t="s">
        <v>42</v>
      </c>
      <c r="U4437" s="137" t="s">
        <v>1329</v>
      </c>
      <c r="V4437" s="135">
        <v>45225</v>
      </c>
      <c r="W4437" s="18" t="s">
        <v>58</v>
      </c>
      <c r="X4437" s="18"/>
      <c r="Y4437" s="114">
        <v>45283</v>
      </c>
      <c r="Z4437" s="18" t="s">
        <v>1326</v>
      </c>
      <c r="AA4437" s="18" t="s">
        <v>46</v>
      </c>
      <c r="AB4437" s="18"/>
      <c r="AC4437" s="137"/>
      <c r="AD4437" s="77"/>
      <c r="AE4437" s="18" t="s">
        <v>48</v>
      </c>
      <c r="AF4437" s="18" t="s">
        <v>737</v>
      </c>
      <c r="AG4437" s="18"/>
      <c r="AH4437" s="18"/>
      <c r="AI4437" s="18"/>
      <c r="AJ4437" s="18"/>
      <c r="AK4437" s="18"/>
      <c r="AL4437" s="18"/>
      <c r="AM4437" s="18"/>
      <c r="AN4437" s="18"/>
      <c r="AO4437" s="18"/>
      <c r="AP4437" s="18"/>
      <c r="AQ4437" s="18"/>
      <c r="AR4437" s="18"/>
    </row>
    <row r="4438" s="21" customFormat="1" hidden="1" spans="1:44">
      <c r="A4438" s="17" t="s">
        <v>34</v>
      </c>
      <c r="B4438" s="19">
        <v>955</v>
      </c>
      <c r="C4438" s="183">
        <v>45225</v>
      </c>
      <c r="D4438" s="17" t="s">
        <v>52</v>
      </c>
      <c r="E4438" s="17" t="s">
        <v>53</v>
      </c>
      <c r="F4438" s="17" t="s">
        <v>54</v>
      </c>
      <c r="G4438" s="17"/>
      <c r="H4438" s="124" t="s">
        <v>55</v>
      </c>
      <c r="I4438" s="124"/>
      <c r="J4438" s="17" t="s">
        <v>82</v>
      </c>
      <c r="K4438" s="295">
        <v>510</v>
      </c>
      <c r="L4438" s="295">
        <v>90</v>
      </c>
      <c r="M4438" s="19">
        <v>5800</v>
      </c>
      <c r="N4438" s="19" t="s">
        <v>40</v>
      </c>
      <c r="O4438" s="19" t="s">
        <v>50</v>
      </c>
      <c r="P4438" s="19">
        <v>1000</v>
      </c>
      <c r="Q4438" s="19">
        <v>1394</v>
      </c>
      <c r="R4438" s="19">
        <f t="shared" si="216"/>
        <v>-394</v>
      </c>
      <c r="S4438" s="19">
        <v>2030</v>
      </c>
      <c r="T4438" s="19" t="s">
        <v>42</v>
      </c>
      <c r="U4438" s="102" t="s">
        <v>1329</v>
      </c>
      <c r="V4438" s="101">
        <v>45225</v>
      </c>
      <c r="W4438" s="17" t="s">
        <v>58</v>
      </c>
      <c r="X4438" s="17"/>
      <c r="Y4438" s="68">
        <v>45283</v>
      </c>
      <c r="Z4438" s="17" t="s">
        <v>1326</v>
      </c>
      <c r="AA4438" s="17" t="s">
        <v>46</v>
      </c>
      <c r="AB4438" s="17" t="s">
        <v>1329</v>
      </c>
      <c r="AC4438" s="217">
        <v>45323</v>
      </c>
      <c r="AD4438" s="65">
        <v>1526</v>
      </c>
      <c r="AE4438" s="17" t="s">
        <v>48</v>
      </c>
      <c r="AF4438" s="17"/>
      <c r="AG4438" s="17"/>
      <c r="AH4438" s="17"/>
      <c r="AI4438" s="17"/>
      <c r="AJ4438" s="17"/>
      <c r="AK4438" s="17"/>
      <c r="AL4438" s="17"/>
      <c r="AM4438" s="17"/>
      <c r="AN4438" s="17"/>
      <c r="AO4438" s="17"/>
      <c r="AP4438" s="17"/>
      <c r="AQ4438" s="17"/>
      <c r="AR4438" s="17"/>
    </row>
    <row r="4439" s="21" customFormat="1" hidden="1" spans="1:44">
      <c r="A4439" s="17" t="s">
        <v>34</v>
      </c>
      <c r="B4439" s="19">
        <v>955</v>
      </c>
      <c r="C4439" s="183">
        <v>45225</v>
      </c>
      <c r="D4439" s="17" t="s">
        <v>52</v>
      </c>
      <c r="E4439" s="17" t="s">
        <v>53</v>
      </c>
      <c r="F4439" s="17" t="s">
        <v>54</v>
      </c>
      <c r="G4439" s="17"/>
      <c r="H4439" s="124" t="s">
        <v>55</v>
      </c>
      <c r="I4439" s="124"/>
      <c r="J4439" s="17" t="s">
        <v>82</v>
      </c>
      <c r="K4439" s="295">
        <v>510</v>
      </c>
      <c r="L4439" s="295">
        <v>105</v>
      </c>
      <c r="M4439" s="19">
        <v>5800</v>
      </c>
      <c r="N4439" s="19" t="s">
        <v>40</v>
      </c>
      <c r="O4439" s="19" t="s">
        <v>50</v>
      </c>
      <c r="P4439" s="19">
        <v>2000</v>
      </c>
      <c r="Q4439" s="19">
        <v>1672</v>
      </c>
      <c r="R4439" s="19">
        <f t="shared" si="216"/>
        <v>328</v>
      </c>
      <c r="S4439" s="19">
        <v>2030</v>
      </c>
      <c r="T4439" s="19" t="s">
        <v>42</v>
      </c>
      <c r="U4439" s="102" t="s">
        <v>1329</v>
      </c>
      <c r="V4439" s="101">
        <v>45225</v>
      </c>
      <c r="W4439" s="17" t="s">
        <v>58</v>
      </c>
      <c r="X4439" s="17"/>
      <c r="Y4439" s="68">
        <v>45283</v>
      </c>
      <c r="Z4439" s="17" t="s">
        <v>1326</v>
      </c>
      <c r="AA4439" s="17" t="s">
        <v>46</v>
      </c>
      <c r="AB4439" s="17" t="s">
        <v>1329</v>
      </c>
      <c r="AC4439" s="217">
        <v>45323</v>
      </c>
      <c r="AD4439" s="65">
        <v>1526</v>
      </c>
      <c r="AE4439" s="17" t="s">
        <v>48</v>
      </c>
      <c r="AF4439" s="17"/>
      <c r="AG4439" s="17"/>
      <c r="AH4439" s="17"/>
      <c r="AI4439" s="17"/>
      <c r="AJ4439" s="17"/>
      <c r="AK4439" s="17"/>
      <c r="AL4439" s="17"/>
      <c r="AM4439" s="17"/>
      <c r="AN4439" s="17"/>
      <c r="AO4439" s="17"/>
      <c r="AP4439" s="17"/>
      <c r="AQ4439" s="17"/>
      <c r="AR4439" s="17"/>
    </row>
    <row r="4440" s="21" customFormat="1" hidden="1" spans="1:44">
      <c r="A4440" s="17" t="s">
        <v>34</v>
      </c>
      <c r="B4440" s="19">
        <v>955</v>
      </c>
      <c r="C4440" s="183">
        <v>45225</v>
      </c>
      <c r="D4440" s="17" t="s">
        <v>52</v>
      </c>
      <c r="E4440" s="17" t="s">
        <v>53</v>
      </c>
      <c r="F4440" s="17" t="s">
        <v>54</v>
      </c>
      <c r="G4440" s="17"/>
      <c r="H4440" s="124" t="s">
        <v>55</v>
      </c>
      <c r="I4440" s="124"/>
      <c r="J4440" s="17" t="s">
        <v>82</v>
      </c>
      <c r="K4440" s="295">
        <v>510</v>
      </c>
      <c r="L4440" s="295">
        <v>120</v>
      </c>
      <c r="M4440" s="19">
        <v>5800</v>
      </c>
      <c r="N4440" s="19" t="s">
        <v>40</v>
      </c>
      <c r="O4440" s="19" t="s">
        <v>50</v>
      </c>
      <c r="P4440" s="19">
        <v>2000</v>
      </c>
      <c r="Q4440" s="19">
        <v>1756</v>
      </c>
      <c r="R4440" s="19">
        <f t="shared" si="216"/>
        <v>244</v>
      </c>
      <c r="S4440" s="19">
        <v>2030</v>
      </c>
      <c r="T4440" s="19" t="s">
        <v>42</v>
      </c>
      <c r="U4440" s="102" t="s">
        <v>1329</v>
      </c>
      <c r="V4440" s="101">
        <v>45225</v>
      </c>
      <c r="W4440" s="17" t="s">
        <v>58</v>
      </c>
      <c r="X4440" s="17"/>
      <c r="Y4440" s="68">
        <v>45283</v>
      </c>
      <c r="Z4440" s="17" t="s">
        <v>1326</v>
      </c>
      <c r="AA4440" s="17" t="s">
        <v>46</v>
      </c>
      <c r="AB4440" s="17" t="s">
        <v>1329</v>
      </c>
      <c r="AC4440" s="217">
        <v>45323</v>
      </c>
      <c r="AD4440" s="65">
        <v>1526</v>
      </c>
      <c r="AE4440" s="17" t="s">
        <v>48</v>
      </c>
      <c r="AF4440" s="17"/>
      <c r="AG4440" s="17"/>
      <c r="AH4440" s="17"/>
      <c r="AI4440" s="17"/>
      <c r="AJ4440" s="17"/>
      <c r="AK4440" s="17"/>
      <c r="AL4440" s="17"/>
      <c r="AM4440" s="17"/>
      <c r="AN4440" s="17"/>
      <c r="AO4440" s="17"/>
      <c r="AP4440" s="17"/>
      <c r="AQ4440" s="17"/>
      <c r="AR4440" s="17"/>
    </row>
    <row r="4441" s="21" customFormat="1" hidden="1" spans="1:44">
      <c r="A4441" s="17" t="s">
        <v>34</v>
      </c>
      <c r="B4441" s="19">
        <v>955</v>
      </c>
      <c r="C4441" s="183">
        <v>45225</v>
      </c>
      <c r="D4441" s="17" t="s">
        <v>52</v>
      </c>
      <c r="E4441" s="17" t="s">
        <v>53</v>
      </c>
      <c r="F4441" s="17" t="s">
        <v>54</v>
      </c>
      <c r="G4441" s="17"/>
      <c r="H4441" s="124" t="s">
        <v>55</v>
      </c>
      <c r="I4441" s="124"/>
      <c r="J4441" s="17" t="s">
        <v>82</v>
      </c>
      <c r="K4441" s="295">
        <v>510</v>
      </c>
      <c r="L4441" s="295">
        <v>130</v>
      </c>
      <c r="M4441" s="19">
        <v>5800</v>
      </c>
      <c r="N4441" s="19" t="s">
        <v>40</v>
      </c>
      <c r="O4441" s="19" t="s">
        <v>50</v>
      </c>
      <c r="P4441" s="19">
        <v>2000</v>
      </c>
      <c r="Q4441" s="19">
        <v>1972</v>
      </c>
      <c r="R4441" s="19">
        <f t="shared" si="216"/>
        <v>28</v>
      </c>
      <c r="S4441" s="19">
        <v>2030</v>
      </c>
      <c r="T4441" s="19" t="s">
        <v>42</v>
      </c>
      <c r="U4441" s="102" t="s">
        <v>1329</v>
      </c>
      <c r="V4441" s="101">
        <v>45225</v>
      </c>
      <c r="W4441" s="17" t="s">
        <v>58</v>
      </c>
      <c r="X4441" s="17"/>
      <c r="Y4441" s="68">
        <v>45283</v>
      </c>
      <c r="Z4441" s="17" t="s">
        <v>1326</v>
      </c>
      <c r="AA4441" s="17" t="s">
        <v>46</v>
      </c>
      <c r="AB4441" s="17" t="s">
        <v>1329</v>
      </c>
      <c r="AC4441" s="217">
        <v>45323</v>
      </c>
      <c r="AD4441" s="65">
        <v>1526</v>
      </c>
      <c r="AE4441" s="17" t="s">
        <v>48</v>
      </c>
      <c r="AF4441" s="17"/>
      <c r="AG4441" s="17"/>
      <c r="AH4441" s="17"/>
      <c r="AI4441" s="17"/>
      <c r="AJ4441" s="17"/>
      <c r="AK4441" s="17"/>
      <c r="AL4441" s="17"/>
      <c r="AM4441" s="17"/>
      <c r="AN4441" s="17"/>
      <c r="AO4441" s="17"/>
      <c r="AP4441" s="17"/>
      <c r="AQ4441" s="17"/>
      <c r="AR4441" s="17"/>
    </row>
    <row r="4442" s="21" customFormat="1" hidden="1" spans="1:44">
      <c r="A4442" s="17" t="s">
        <v>34</v>
      </c>
      <c r="B4442" s="19">
        <v>955</v>
      </c>
      <c r="C4442" s="183">
        <v>45225</v>
      </c>
      <c r="D4442" s="17" t="s">
        <v>52</v>
      </c>
      <c r="E4442" s="17" t="s">
        <v>53</v>
      </c>
      <c r="F4442" s="17" t="s">
        <v>54</v>
      </c>
      <c r="G4442" s="17"/>
      <c r="H4442" s="124" t="s">
        <v>55</v>
      </c>
      <c r="I4442" s="124"/>
      <c r="J4442" s="17" t="s">
        <v>82</v>
      </c>
      <c r="K4442" s="295">
        <v>510</v>
      </c>
      <c r="L4442" s="295">
        <v>150</v>
      </c>
      <c r="M4442" s="19">
        <v>5800</v>
      </c>
      <c r="N4442" s="19" t="s">
        <v>40</v>
      </c>
      <c r="O4442" s="19" t="s">
        <v>50</v>
      </c>
      <c r="P4442" s="19">
        <v>2000</v>
      </c>
      <c r="Q4442" s="19">
        <v>2918</v>
      </c>
      <c r="R4442" s="19">
        <f t="shared" si="216"/>
        <v>-918</v>
      </c>
      <c r="S4442" s="19">
        <v>2030</v>
      </c>
      <c r="T4442" s="19" t="s">
        <v>42</v>
      </c>
      <c r="U4442" s="102" t="s">
        <v>1329</v>
      </c>
      <c r="V4442" s="101">
        <v>45225</v>
      </c>
      <c r="W4442" s="17" t="s">
        <v>58</v>
      </c>
      <c r="X4442" s="17"/>
      <c r="Y4442" s="68">
        <v>45283</v>
      </c>
      <c r="Z4442" s="17" t="s">
        <v>1326</v>
      </c>
      <c r="AA4442" s="17" t="s">
        <v>46</v>
      </c>
      <c r="AB4442" s="17" t="s">
        <v>1329</v>
      </c>
      <c r="AC4442" s="217">
        <v>45323</v>
      </c>
      <c r="AD4442" s="65">
        <v>1526</v>
      </c>
      <c r="AE4442" s="17" t="s">
        <v>48</v>
      </c>
      <c r="AF4442" s="17"/>
      <c r="AG4442" s="17"/>
      <c r="AH4442" s="17"/>
      <c r="AI4442" s="17"/>
      <c r="AJ4442" s="17"/>
      <c r="AK4442" s="17"/>
      <c r="AL4442" s="17"/>
      <c r="AM4442" s="17"/>
      <c r="AN4442" s="17"/>
      <c r="AO4442" s="17"/>
      <c r="AP4442" s="17"/>
      <c r="AQ4442" s="17"/>
      <c r="AR4442" s="17"/>
    </row>
    <row r="4443" s="20" customFormat="1" hidden="1" spans="1:44">
      <c r="A4443" s="18"/>
      <c r="B4443" s="75">
        <v>955</v>
      </c>
      <c r="C4443" s="213">
        <v>45225</v>
      </c>
      <c r="D4443" s="18" t="s">
        <v>52</v>
      </c>
      <c r="E4443" s="18" t="s">
        <v>53</v>
      </c>
      <c r="F4443" s="18" t="s">
        <v>54</v>
      </c>
      <c r="G4443" s="18"/>
      <c r="H4443" s="294" t="s">
        <v>55</v>
      </c>
      <c r="I4443" s="294"/>
      <c r="J4443" s="18" t="s">
        <v>82</v>
      </c>
      <c r="K4443" s="308">
        <v>510</v>
      </c>
      <c r="L4443" s="308">
        <v>160</v>
      </c>
      <c r="M4443" s="75">
        <v>5800</v>
      </c>
      <c r="N4443" s="75" t="s">
        <v>40</v>
      </c>
      <c r="O4443" s="75" t="s">
        <v>50</v>
      </c>
      <c r="P4443" s="75">
        <v>2000</v>
      </c>
      <c r="Q4443" s="75"/>
      <c r="R4443" s="75">
        <f t="shared" si="216"/>
        <v>2000</v>
      </c>
      <c r="S4443" s="75">
        <v>2030</v>
      </c>
      <c r="T4443" s="75" t="s">
        <v>42</v>
      </c>
      <c r="U4443" s="137" t="s">
        <v>1329</v>
      </c>
      <c r="V4443" s="135">
        <v>45225</v>
      </c>
      <c r="W4443" s="18" t="s">
        <v>58</v>
      </c>
      <c r="X4443" s="18"/>
      <c r="Y4443" s="114">
        <v>45283</v>
      </c>
      <c r="Z4443" s="18" t="s">
        <v>1326</v>
      </c>
      <c r="AA4443" s="18" t="s">
        <v>46</v>
      </c>
      <c r="AB4443" s="18"/>
      <c r="AC4443" s="137"/>
      <c r="AD4443" s="77"/>
      <c r="AE4443" s="18" t="s">
        <v>48</v>
      </c>
      <c r="AF4443" s="18" t="s">
        <v>737</v>
      </c>
      <c r="AG4443" s="18"/>
      <c r="AH4443" s="18"/>
      <c r="AI4443" s="18"/>
      <c r="AJ4443" s="18"/>
      <c r="AK4443" s="18"/>
      <c r="AL4443" s="18"/>
      <c r="AM4443" s="18"/>
      <c r="AN4443" s="18"/>
      <c r="AO4443" s="18"/>
      <c r="AP4443" s="18"/>
      <c r="AQ4443" s="18"/>
      <c r="AR4443" s="18"/>
    </row>
    <row r="4444" s="21" customFormat="1" hidden="1" spans="1:44">
      <c r="A4444" s="17" t="s">
        <v>34</v>
      </c>
      <c r="B4444" s="19">
        <v>955</v>
      </c>
      <c r="C4444" s="183">
        <v>45225</v>
      </c>
      <c r="D4444" s="17" t="s">
        <v>52</v>
      </c>
      <c r="E4444" s="17" t="s">
        <v>53</v>
      </c>
      <c r="F4444" s="17" t="s">
        <v>54</v>
      </c>
      <c r="G4444" s="17"/>
      <c r="H4444" s="124" t="s">
        <v>55</v>
      </c>
      <c r="I4444" s="124"/>
      <c r="J4444" s="17" t="s">
        <v>82</v>
      </c>
      <c r="K4444" s="295">
        <v>510</v>
      </c>
      <c r="L4444" s="295">
        <v>180</v>
      </c>
      <c r="M4444" s="19">
        <v>5800</v>
      </c>
      <c r="N4444" s="19" t="s">
        <v>40</v>
      </c>
      <c r="O4444" s="19" t="s">
        <v>50</v>
      </c>
      <c r="P4444" s="19">
        <v>3000</v>
      </c>
      <c r="Q4444" s="19">
        <v>3770</v>
      </c>
      <c r="R4444" s="19">
        <f t="shared" si="216"/>
        <v>-770</v>
      </c>
      <c r="S4444" s="19">
        <v>2030</v>
      </c>
      <c r="T4444" s="19" t="s">
        <v>42</v>
      </c>
      <c r="U4444" s="102" t="s">
        <v>1329</v>
      </c>
      <c r="V4444" s="101">
        <v>45225</v>
      </c>
      <c r="W4444" s="17" t="s">
        <v>58</v>
      </c>
      <c r="X4444" s="17"/>
      <c r="Y4444" s="68">
        <v>45283</v>
      </c>
      <c r="Z4444" s="17" t="s">
        <v>1326</v>
      </c>
      <c r="AA4444" s="17" t="s">
        <v>46</v>
      </c>
      <c r="AB4444" s="17" t="s">
        <v>1329</v>
      </c>
      <c r="AC4444" s="217">
        <v>45323</v>
      </c>
      <c r="AD4444" s="65">
        <v>1526</v>
      </c>
      <c r="AE4444" s="17" t="s">
        <v>48</v>
      </c>
      <c r="AF4444" s="17"/>
      <c r="AG4444" s="17"/>
      <c r="AH4444" s="17"/>
      <c r="AI4444" s="17"/>
      <c r="AJ4444" s="17"/>
      <c r="AK4444" s="17"/>
      <c r="AL4444" s="17"/>
      <c r="AM4444" s="17"/>
      <c r="AN4444" s="17"/>
      <c r="AO4444" s="17"/>
      <c r="AP4444" s="17"/>
      <c r="AQ4444" s="17"/>
      <c r="AR4444" s="17"/>
    </row>
    <row r="4445" s="21" customFormat="1" hidden="1" spans="1:44">
      <c r="A4445" s="17" t="s">
        <v>34</v>
      </c>
      <c r="B4445" s="19">
        <v>955</v>
      </c>
      <c r="C4445" s="183">
        <v>45225</v>
      </c>
      <c r="D4445" s="17" t="s">
        <v>52</v>
      </c>
      <c r="E4445" s="17" t="s">
        <v>53</v>
      </c>
      <c r="F4445" s="17" t="s">
        <v>54</v>
      </c>
      <c r="G4445" s="17"/>
      <c r="H4445" s="124" t="s">
        <v>55</v>
      </c>
      <c r="I4445" s="124"/>
      <c r="J4445" s="17" t="s">
        <v>82</v>
      </c>
      <c r="K4445" s="295">
        <v>510</v>
      </c>
      <c r="L4445" s="295">
        <v>205</v>
      </c>
      <c r="M4445" s="19">
        <v>5800</v>
      </c>
      <c r="N4445" s="19" t="s">
        <v>40</v>
      </c>
      <c r="O4445" s="19" t="s">
        <v>50</v>
      </c>
      <c r="P4445" s="19">
        <v>3000</v>
      </c>
      <c r="Q4445" s="19">
        <v>4646</v>
      </c>
      <c r="R4445" s="19">
        <f t="shared" ref="R4445:R4446" si="217">+P4445-Q4445</f>
        <v>-1646</v>
      </c>
      <c r="S4445" s="19">
        <v>2030</v>
      </c>
      <c r="T4445" s="19" t="s">
        <v>42</v>
      </c>
      <c r="U4445" s="102" t="s">
        <v>1329</v>
      </c>
      <c r="V4445" s="101">
        <v>45225</v>
      </c>
      <c r="W4445" s="17" t="s">
        <v>58</v>
      </c>
      <c r="X4445" s="17"/>
      <c r="Y4445" s="68">
        <v>45283</v>
      </c>
      <c r="Z4445" s="17" t="s">
        <v>1326</v>
      </c>
      <c r="AA4445" s="17" t="s">
        <v>46</v>
      </c>
      <c r="AB4445" s="17" t="s">
        <v>1329</v>
      </c>
      <c r="AC4445" s="217">
        <v>45323</v>
      </c>
      <c r="AD4445" s="65">
        <v>1526</v>
      </c>
      <c r="AE4445" s="17" t="s">
        <v>48</v>
      </c>
      <c r="AF4445" s="17"/>
      <c r="AG4445" s="17"/>
      <c r="AH4445" s="17"/>
      <c r="AI4445" s="17"/>
      <c r="AJ4445" s="17"/>
      <c r="AK4445" s="17"/>
      <c r="AL4445" s="17"/>
      <c r="AM4445" s="17"/>
      <c r="AN4445" s="17"/>
      <c r="AO4445" s="17"/>
      <c r="AP4445" s="17"/>
      <c r="AQ4445" s="17"/>
      <c r="AR4445" s="17"/>
    </row>
    <row r="4446" s="21" customFormat="1" hidden="1" spans="1:44">
      <c r="A4446" s="17" t="s">
        <v>34</v>
      </c>
      <c r="B4446" s="19">
        <v>955</v>
      </c>
      <c r="C4446" s="183">
        <v>45225</v>
      </c>
      <c r="D4446" s="17" t="s">
        <v>52</v>
      </c>
      <c r="E4446" s="17" t="s">
        <v>53</v>
      </c>
      <c r="F4446" s="17" t="s">
        <v>54</v>
      </c>
      <c r="G4446" s="17"/>
      <c r="H4446" s="124" t="s">
        <v>55</v>
      </c>
      <c r="I4446" s="124"/>
      <c r="J4446" s="17" t="s">
        <v>82</v>
      </c>
      <c r="K4446" s="295">
        <v>510</v>
      </c>
      <c r="L4446" s="295">
        <v>255</v>
      </c>
      <c r="M4446" s="19">
        <v>5800</v>
      </c>
      <c r="N4446" s="19" t="s">
        <v>40</v>
      </c>
      <c r="O4446" s="19" t="s">
        <v>50</v>
      </c>
      <c r="P4446" s="19">
        <v>3000</v>
      </c>
      <c r="Q4446" s="19">
        <v>4802</v>
      </c>
      <c r="R4446" s="19">
        <f t="shared" si="217"/>
        <v>-1802</v>
      </c>
      <c r="S4446" s="19">
        <v>2030</v>
      </c>
      <c r="T4446" s="19" t="s">
        <v>42</v>
      </c>
      <c r="U4446" s="102" t="s">
        <v>1329</v>
      </c>
      <c r="V4446" s="101">
        <v>45225</v>
      </c>
      <c r="W4446" s="17" t="s">
        <v>58</v>
      </c>
      <c r="X4446" s="17"/>
      <c r="Y4446" s="68">
        <v>45283</v>
      </c>
      <c r="Z4446" s="17" t="s">
        <v>1326</v>
      </c>
      <c r="AA4446" s="17" t="s">
        <v>46</v>
      </c>
      <c r="AB4446" s="17" t="s">
        <v>1329</v>
      </c>
      <c r="AC4446" s="217">
        <v>45323</v>
      </c>
      <c r="AD4446" s="65">
        <v>1526</v>
      </c>
      <c r="AE4446" s="17" t="s">
        <v>48</v>
      </c>
      <c r="AF4446" s="17"/>
      <c r="AG4446" s="17"/>
      <c r="AH4446" s="17"/>
      <c r="AI4446" s="17"/>
      <c r="AJ4446" s="17"/>
      <c r="AK4446" s="17"/>
      <c r="AL4446" s="17"/>
      <c r="AM4446" s="17"/>
      <c r="AN4446" s="17"/>
      <c r="AO4446" s="17"/>
      <c r="AP4446" s="17"/>
      <c r="AQ4446" s="17"/>
      <c r="AR4446" s="17"/>
    </row>
    <row r="4447" s="21" customFormat="1" hidden="1" spans="1:44">
      <c r="A4447" s="17" t="s">
        <v>34</v>
      </c>
      <c r="B4447" s="19">
        <v>956</v>
      </c>
      <c r="C4447" s="183">
        <v>45225</v>
      </c>
      <c r="D4447" s="17" t="s">
        <v>52</v>
      </c>
      <c r="E4447" s="17" t="s">
        <v>53</v>
      </c>
      <c r="F4447" s="17" t="s">
        <v>54</v>
      </c>
      <c r="G4447" s="17"/>
      <c r="H4447" s="124">
        <v>1.2379</v>
      </c>
      <c r="I4447" s="124"/>
      <c r="J4447" s="17" t="s">
        <v>82</v>
      </c>
      <c r="K4447" s="295">
        <v>130</v>
      </c>
      <c r="L4447" s="295">
        <v>32</v>
      </c>
      <c r="M4447" s="19">
        <v>5800</v>
      </c>
      <c r="N4447" s="19" t="s">
        <v>40</v>
      </c>
      <c r="O4447" s="19" t="s">
        <v>98</v>
      </c>
      <c r="P4447" s="19"/>
      <c r="Q4447" s="19">
        <f>108+108+108+108</f>
        <v>432</v>
      </c>
      <c r="R4447" s="19"/>
      <c r="S4447" s="19">
        <v>2025</v>
      </c>
      <c r="T4447" s="19" t="s">
        <v>42</v>
      </c>
      <c r="U4447" s="102" t="s">
        <v>1330</v>
      </c>
      <c r="V4447" s="101">
        <v>45225</v>
      </c>
      <c r="W4447" s="17" t="s">
        <v>58</v>
      </c>
      <c r="X4447" s="17"/>
      <c r="Y4447" s="68">
        <v>45283</v>
      </c>
      <c r="Z4447" s="17" t="s">
        <v>1326</v>
      </c>
      <c r="AA4447" s="17" t="s">
        <v>46</v>
      </c>
      <c r="AB4447" s="17" t="s">
        <v>1331</v>
      </c>
      <c r="AC4447" s="217">
        <v>45425</v>
      </c>
      <c r="AD4447" s="65">
        <v>1571</v>
      </c>
      <c r="AE4447" s="17" t="s">
        <v>48</v>
      </c>
      <c r="AF4447" s="17"/>
      <c r="AG4447" s="17"/>
      <c r="AH4447" s="17"/>
      <c r="AI4447" s="17"/>
      <c r="AJ4447" s="17"/>
      <c r="AK4447" s="17"/>
      <c r="AL4447" s="17"/>
      <c r="AM4447" s="17"/>
      <c r="AN4447" s="17"/>
      <c r="AO4447" s="17"/>
      <c r="AP4447" s="17"/>
      <c r="AQ4447" s="17"/>
      <c r="AR4447" s="17"/>
    </row>
    <row r="4448" s="21" customFormat="1" hidden="1" spans="1:44">
      <c r="A4448" s="17"/>
      <c r="B4448" s="19">
        <v>956</v>
      </c>
      <c r="C4448" s="183">
        <v>45225</v>
      </c>
      <c r="D4448" s="17" t="s">
        <v>52</v>
      </c>
      <c r="E4448" s="17" t="s">
        <v>53</v>
      </c>
      <c r="F4448" s="17" t="s">
        <v>54</v>
      </c>
      <c r="G4448" s="17"/>
      <c r="H4448" s="124">
        <v>1.2379</v>
      </c>
      <c r="I4448" s="124"/>
      <c r="J4448" s="17" t="s">
        <v>82</v>
      </c>
      <c r="K4448" s="295">
        <v>155</v>
      </c>
      <c r="L4448" s="295">
        <v>32</v>
      </c>
      <c r="M4448" s="19">
        <v>5800</v>
      </c>
      <c r="N4448" s="19" t="s">
        <v>40</v>
      </c>
      <c r="O4448" s="19" t="s">
        <v>98</v>
      </c>
      <c r="P4448" s="19">
        <v>1000</v>
      </c>
      <c r="Q4448" s="19"/>
      <c r="R4448" s="19">
        <f>+P4448-Q4448</f>
        <v>1000</v>
      </c>
      <c r="S4448" s="19">
        <v>2025</v>
      </c>
      <c r="T4448" s="19" t="s">
        <v>42</v>
      </c>
      <c r="U4448" s="102" t="s">
        <v>1330</v>
      </c>
      <c r="V4448" s="101">
        <v>45225</v>
      </c>
      <c r="W4448" s="17" t="s">
        <v>58</v>
      </c>
      <c r="X4448" s="17"/>
      <c r="Y4448" s="68">
        <v>45283</v>
      </c>
      <c r="Z4448" s="17" t="s">
        <v>1326</v>
      </c>
      <c r="AA4448" s="17" t="s">
        <v>46</v>
      </c>
      <c r="AB4448" s="17"/>
      <c r="AC4448" s="102"/>
      <c r="AD4448" s="65"/>
      <c r="AE4448" s="17" t="s">
        <v>48</v>
      </c>
      <c r="AF4448" s="17" t="s">
        <v>1332</v>
      </c>
      <c r="AG4448" s="17"/>
      <c r="AH4448" s="17"/>
      <c r="AI4448" s="17"/>
      <c r="AJ4448" s="17"/>
      <c r="AK4448" s="17"/>
      <c r="AL4448" s="17"/>
      <c r="AM4448" s="17"/>
      <c r="AN4448" s="17"/>
      <c r="AO4448" s="17"/>
      <c r="AP4448" s="17"/>
      <c r="AQ4448" s="17"/>
      <c r="AR4448" s="17"/>
    </row>
    <row r="4449" s="21" customFormat="1" hidden="1" spans="1:44">
      <c r="A4449" s="17" t="s">
        <v>34</v>
      </c>
      <c r="B4449" s="19">
        <v>956</v>
      </c>
      <c r="C4449" s="183">
        <v>45225</v>
      </c>
      <c r="D4449" s="17" t="s">
        <v>52</v>
      </c>
      <c r="E4449" s="17" t="s">
        <v>53</v>
      </c>
      <c r="F4449" s="17" t="s">
        <v>54</v>
      </c>
      <c r="G4449" s="17"/>
      <c r="H4449" s="124">
        <v>1.2379</v>
      </c>
      <c r="I4449" s="124"/>
      <c r="J4449" s="17" t="s">
        <v>82</v>
      </c>
      <c r="K4449" s="295">
        <v>185</v>
      </c>
      <c r="L4449" s="295">
        <v>32</v>
      </c>
      <c r="M4449" s="19">
        <v>5800</v>
      </c>
      <c r="N4449" s="19" t="s">
        <v>40</v>
      </c>
      <c r="O4449" s="19" t="s">
        <v>98</v>
      </c>
      <c r="P4449" s="19"/>
      <c r="Q4449" s="19">
        <f>180+168</f>
        <v>348</v>
      </c>
      <c r="R4449" s="19"/>
      <c r="S4449" s="19">
        <v>2025</v>
      </c>
      <c r="T4449" s="19" t="s">
        <v>42</v>
      </c>
      <c r="U4449" s="102" t="s">
        <v>1330</v>
      </c>
      <c r="V4449" s="101">
        <v>45225</v>
      </c>
      <c r="W4449" s="17" t="s">
        <v>58</v>
      </c>
      <c r="X4449" s="17"/>
      <c r="Y4449" s="68">
        <v>45283</v>
      </c>
      <c r="Z4449" s="17" t="s">
        <v>1326</v>
      </c>
      <c r="AA4449" s="17" t="s">
        <v>46</v>
      </c>
      <c r="AB4449" s="17" t="s">
        <v>1331</v>
      </c>
      <c r="AC4449" s="217">
        <v>45425</v>
      </c>
      <c r="AD4449" s="65">
        <v>1571</v>
      </c>
      <c r="AE4449" s="17" t="s">
        <v>48</v>
      </c>
      <c r="AF4449" s="17"/>
      <c r="AG4449" s="17"/>
      <c r="AH4449" s="17"/>
      <c r="AI4449" s="17"/>
      <c r="AJ4449" s="17"/>
      <c r="AK4449" s="17"/>
      <c r="AL4449" s="17"/>
      <c r="AM4449" s="17"/>
      <c r="AN4449" s="17"/>
      <c r="AO4449" s="17"/>
      <c r="AP4449" s="17"/>
      <c r="AQ4449" s="17"/>
      <c r="AR4449" s="17"/>
    </row>
    <row r="4450" s="21" customFormat="1" hidden="1" spans="1:44">
      <c r="A4450" s="17" t="s">
        <v>34</v>
      </c>
      <c r="B4450" s="19">
        <v>956</v>
      </c>
      <c r="C4450" s="183">
        <v>45225</v>
      </c>
      <c r="D4450" s="17" t="s">
        <v>52</v>
      </c>
      <c r="E4450" s="17" t="s">
        <v>53</v>
      </c>
      <c r="F4450" s="17" t="s">
        <v>54</v>
      </c>
      <c r="G4450" s="17"/>
      <c r="H4450" s="124">
        <v>1.2379</v>
      </c>
      <c r="I4450" s="124"/>
      <c r="J4450" s="17" t="s">
        <v>82</v>
      </c>
      <c r="K4450" s="295">
        <v>205</v>
      </c>
      <c r="L4450" s="295">
        <v>32</v>
      </c>
      <c r="M4450" s="19">
        <v>5800</v>
      </c>
      <c r="N4450" s="19" t="s">
        <v>40</v>
      </c>
      <c r="O4450" s="19" t="s">
        <v>98</v>
      </c>
      <c r="P4450" s="19">
        <v>1000</v>
      </c>
      <c r="Q4450" s="19">
        <f>127+156+205+179</f>
        <v>667</v>
      </c>
      <c r="R4450" s="19">
        <f>+P4450-Q4450</f>
        <v>333</v>
      </c>
      <c r="S4450" s="19">
        <v>2025</v>
      </c>
      <c r="T4450" s="19" t="s">
        <v>42</v>
      </c>
      <c r="U4450" s="102" t="s">
        <v>1330</v>
      </c>
      <c r="V4450" s="101">
        <v>45225</v>
      </c>
      <c r="W4450" s="17" t="s">
        <v>58</v>
      </c>
      <c r="X4450" s="17"/>
      <c r="Y4450" s="68">
        <v>45283</v>
      </c>
      <c r="Z4450" s="17" t="s">
        <v>1326</v>
      </c>
      <c r="AA4450" s="17" t="s">
        <v>46</v>
      </c>
      <c r="AB4450" s="17" t="s">
        <v>1333</v>
      </c>
      <c r="AC4450" s="217">
        <v>45371</v>
      </c>
      <c r="AD4450" s="65">
        <v>1541</v>
      </c>
      <c r="AE4450" s="17" t="s">
        <v>48</v>
      </c>
      <c r="AF4450" s="17"/>
      <c r="AG4450" s="17"/>
      <c r="AH4450" s="17"/>
      <c r="AI4450" s="17"/>
      <c r="AJ4450" s="17"/>
      <c r="AK4450" s="17"/>
      <c r="AL4450" s="17"/>
      <c r="AM4450" s="17"/>
      <c r="AN4450" s="17"/>
      <c r="AO4450" s="17"/>
      <c r="AP4450" s="17"/>
      <c r="AQ4450" s="17"/>
      <c r="AR4450" s="17"/>
    </row>
    <row r="4451" s="21" customFormat="1" hidden="1" spans="1:44">
      <c r="A4451" s="17" t="s">
        <v>34</v>
      </c>
      <c r="B4451" s="19">
        <v>956</v>
      </c>
      <c r="C4451" s="183">
        <v>45225</v>
      </c>
      <c r="D4451" s="17" t="s">
        <v>52</v>
      </c>
      <c r="E4451" s="17" t="s">
        <v>53</v>
      </c>
      <c r="F4451" s="17" t="s">
        <v>54</v>
      </c>
      <c r="G4451" s="17"/>
      <c r="H4451" s="124">
        <v>1.2379</v>
      </c>
      <c r="I4451" s="124"/>
      <c r="J4451" s="17" t="s">
        <v>82</v>
      </c>
      <c r="K4451" s="295">
        <v>210</v>
      </c>
      <c r="L4451" s="295">
        <v>32</v>
      </c>
      <c r="M4451" s="19">
        <v>5800</v>
      </c>
      <c r="N4451" s="19" t="s">
        <v>40</v>
      </c>
      <c r="O4451" s="19" t="s">
        <v>98</v>
      </c>
      <c r="P4451" s="19"/>
      <c r="Q4451" s="19">
        <f>156+152+152+148+135</f>
        <v>743</v>
      </c>
      <c r="R4451" s="19"/>
      <c r="S4451" s="19">
        <v>2025</v>
      </c>
      <c r="T4451" s="19" t="s">
        <v>42</v>
      </c>
      <c r="U4451" s="102" t="s">
        <v>1330</v>
      </c>
      <c r="V4451" s="101">
        <v>45225</v>
      </c>
      <c r="W4451" s="17" t="s">
        <v>58</v>
      </c>
      <c r="X4451" s="17"/>
      <c r="Y4451" s="68">
        <v>45283</v>
      </c>
      <c r="Z4451" s="17" t="s">
        <v>1326</v>
      </c>
      <c r="AA4451" s="17" t="s">
        <v>46</v>
      </c>
      <c r="AB4451" s="17" t="s">
        <v>1331</v>
      </c>
      <c r="AC4451" s="217">
        <v>45425</v>
      </c>
      <c r="AD4451" s="65">
        <v>1571</v>
      </c>
      <c r="AE4451" s="17" t="s">
        <v>48</v>
      </c>
      <c r="AF4451" s="17"/>
      <c r="AG4451" s="17"/>
      <c r="AH4451" s="17"/>
      <c r="AI4451" s="17"/>
      <c r="AJ4451" s="17"/>
      <c r="AK4451" s="17"/>
      <c r="AL4451" s="17"/>
      <c r="AM4451" s="17"/>
      <c r="AN4451" s="17"/>
      <c r="AO4451" s="17"/>
      <c r="AP4451" s="17"/>
      <c r="AQ4451" s="17"/>
      <c r="AR4451" s="17"/>
    </row>
    <row r="4452" s="21" customFormat="1" hidden="1" spans="1:44">
      <c r="A4452" s="17" t="s">
        <v>34</v>
      </c>
      <c r="B4452" s="19">
        <v>956</v>
      </c>
      <c r="C4452" s="183">
        <v>45225</v>
      </c>
      <c r="D4452" s="17" t="s">
        <v>52</v>
      </c>
      <c r="E4452" s="17" t="s">
        <v>53</v>
      </c>
      <c r="F4452" s="17" t="s">
        <v>54</v>
      </c>
      <c r="G4452" s="17"/>
      <c r="H4452" s="124">
        <v>1.2379</v>
      </c>
      <c r="I4452" s="124"/>
      <c r="J4452" s="17" t="s">
        <v>82</v>
      </c>
      <c r="K4452" s="295">
        <v>255</v>
      </c>
      <c r="L4452" s="295">
        <v>32</v>
      </c>
      <c r="M4452" s="19">
        <v>5800</v>
      </c>
      <c r="N4452" s="19" t="s">
        <v>40</v>
      </c>
      <c r="O4452" s="19" t="s">
        <v>98</v>
      </c>
      <c r="P4452" s="19">
        <v>1000</v>
      </c>
      <c r="Q4452" s="19">
        <v>166</v>
      </c>
      <c r="S4452" s="19">
        <v>2025</v>
      </c>
      <c r="T4452" s="19" t="s">
        <v>42</v>
      </c>
      <c r="U4452" s="102" t="s">
        <v>1330</v>
      </c>
      <c r="V4452" s="101">
        <v>45225</v>
      </c>
      <c r="W4452" s="17" t="s">
        <v>58</v>
      </c>
      <c r="X4452" s="17"/>
      <c r="Y4452" s="68">
        <v>45283</v>
      </c>
      <c r="Z4452" s="17" t="s">
        <v>1326</v>
      </c>
      <c r="AA4452" s="17" t="s">
        <v>46</v>
      </c>
      <c r="AB4452" s="17" t="s">
        <v>1333</v>
      </c>
      <c r="AC4452" s="217">
        <v>45371</v>
      </c>
      <c r="AD4452" s="65">
        <v>1541</v>
      </c>
      <c r="AE4452" s="17" t="s">
        <v>48</v>
      </c>
      <c r="AF4452" s="17"/>
      <c r="AG4452" s="17"/>
      <c r="AH4452" s="17"/>
      <c r="AI4452" s="17"/>
      <c r="AJ4452" s="17"/>
      <c r="AK4452" s="17"/>
      <c r="AL4452" s="17"/>
      <c r="AM4452" s="17"/>
      <c r="AN4452" s="17"/>
      <c r="AO4452" s="17"/>
      <c r="AP4452" s="17"/>
      <c r="AQ4452" s="17"/>
      <c r="AR4452" s="17"/>
    </row>
    <row r="4453" s="21" customFormat="1" hidden="1" spans="1:44">
      <c r="A4453" s="17" t="s">
        <v>34</v>
      </c>
      <c r="B4453" s="19">
        <v>956</v>
      </c>
      <c r="C4453" s="183">
        <v>45225</v>
      </c>
      <c r="D4453" s="17" t="s">
        <v>52</v>
      </c>
      <c r="E4453" s="17" t="s">
        <v>53</v>
      </c>
      <c r="F4453" s="17" t="s">
        <v>54</v>
      </c>
      <c r="G4453" s="17"/>
      <c r="H4453" s="124">
        <v>1.2379</v>
      </c>
      <c r="I4453" s="124"/>
      <c r="J4453" s="17" t="s">
        <v>82</v>
      </c>
      <c r="K4453" s="295">
        <v>255</v>
      </c>
      <c r="L4453" s="295">
        <v>32</v>
      </c>
      <c r="M4453" s="19">
        <v>5800</v>
      </c>
      <c r="N4453" s="19" t="s">
        <v>40</v>
      </c>
      <c r="O4453" s="19" t="s">
        <v>98</v>
      </c>
      <c r="P4453" s="19"/>
      <c r="Q4453" s="19">
        <f>205+185</f>
        <v>390</v>
      </c>
      <c r="R4453" s="19">
        <f>+P4452-Q4452-Q4453</f>
        <v>444</v>
      </c>
      <c r="S4453" s="19">
        <v>2025</v>
      </c>
      <c r="T4453" s="19" t="s">
        <v>42</v>
      </c>
      <c r="U4453" s="102" t="s">
        <v>1330</v>
      </c>
      <c r="V4453" s="101">
        <v>45225</v>
      </c>
      <c r="W4453" s="17" t="s">
        <v>58</v>
      </c>
      <c r="X4453" s="17"/>
      <c r="Y4453" s="68">
        <v>45283</v>
      </c>
      <c r="Z4453" s="17" t="s">
        <v>1326</v>
      </c>
      <c r="AA4453" s="17" t="s">
        <v>46</v>
      </c>
      <c r="AB4453" s="17" t="s">
        <v>1331</v>
      </c>
      <c r="AC4453" s="217">
        <v>45425</v>
      </c>
      <c r="AD4453" s="65">
        <v>1571</v>
      </c>
      <c r="AE4453" s="17" t="s">
        <v>48</v>
      </c>
      <c r="AF4453" s="17"/>
      <c r="AG4453" s="17"/>
      <c r="AH4453" s="17"/>
      <c r="AI4453" s="17"/>
      <c r="AJ4453" s="17"/>
      <c r="AK4453" s="17"/>
      <c r="AL4453" s="17"/>
      <c r="AM4453" s="17"/>
      <c r="AN4453" s="17"/>
      <c r="AO4453" s="17"/>
      <c r="AP4453" s="17"/>
      <c r="AQ4453" s="17"/>
      <c r="AR4453" s="17"/>
    </row>
    <row r="4454" s="20" customFormat="1" hidden="1" spans="1:44">
      <c r="A4454" s="17" t="s">
        <v>34</v>
      </c>
      <c r="B4454" s="19">
        <v>956</v>
      </c>
      <c r="C4454" s="183">
        <v>45225</v>
      </c>
      <c r="D4454" s="17" t="s">
        <v>52</v>
      </c>
      <c r="E4454" s="17" t="s">
        <v>53</v>
      </c>
      <c r="F4454" s="17" t="s">
        <v>54</v>
      </c>
      <c r="G4454" s="17"/>
      <c r="H4454" s="124">
        <v>1.2379</v>
      </c>
      <c r="I4454" s="124"/>
      <c r="J4454" s="17" t="s">
        <v>82</v>
      </c>
      <c r="K4454" s="295">
        <v>305</v>
      </c>
      <c r="L4454" s="295">
        <v>32</v>
      </c>
      <c r="M4454" s="19">
        <v>5800</v>
      </c>
      <c r="N4454" s="19" t="s">
        <v>40</v>
      </c>
      <c r="O4454" s="19" t="s">
        <v>98</v>
      </c>
      <c r="P4454" s="19">
        <v>1000</v>
      </c>
      <c r="Q4454" s="19">
        <f>243+237</f>
        <v>480</v>
      </c>
      <c r="R4454" s="21"/>
      <c r="S4454" s="19">
        <v>2025</v>
      </c>
      <c r="T4454" s="19" t="s">
        <v>42</v>
      </c>
      <c r="U4454" s="102" t="s">
        <v>1330</v>
      </c>
      <c r="V4454" s="101">
        <v>45225</v>
      </c>
      <c r="W4454" s="17" t="s">
        <v>58</v>
      </c>
      <c r="X4454" s="17"/>
      <c r="Y4454" s="68">
        <v>45283</v>
      </c>
      <c r="Z4454" s="17" t="s">
        <v>1326</v>
      </c>
      <c r="AA4454" s="17" t="s">
        <v>46</v>
      </c>
      <c r="AB4454" s="17" t="s">
        <v>1330</v>
      </c>
      <c r="AC4454" s="217">
        <v>45323</v>
      </c>
      <c r="AD4454" s="65">
        <v>1524</v>
      </c>
      <c r="AE4454" s="17" t="s">
        <v>48</v>
      </c>
      <c r="AF4454" s="17"/>
      <c r="AG4454" s="17"/>
      <c r="AH4454" s="17"/>
      <c r="AI4454" s="17"/>
      <c r="AJ4454" s="17"/>
      <c r="AK4454" s="17"/>
      <c r="AL4454" s="17"/>
      <c r="AM4454" s="17"/>
      <c r="AN4454" s="17"/>
      <c r="AO4454" s="17"/>
      <c r="AP4454" s="17"/>
      <c r="AQ4454" s="17"/>
      <c r="AR4454" s="17"/>
    </row>
    <row r="4455" s="20" customFormat="1" hidden="1" spans="1:44">
      <c r="A4455" s="17" t="s">
        <v>34</v>
      </c>
      <c r="B4455" s="19">
        <v>956</v>
      </c>
      <c r="C4455" s="183">
        <v>45225</v>
      </c>
      <c r="D4455" s="17" t="s">
        <v>52</v>
      </c>
      <c r="E4455" s="17" t="s">
        <v>53</v>
      </c>
      <c r="F4455" s="17" t="s">
        <v>54</v>
      </c>
      <c r="G4455" s="17"/>
      <c r="H4455" s="124">
        <v>1.2379</v>
      </c>
      <c r="I4455" s="124"/>
      <c r="J4455" s="17" t="s">
        <v>82</v>
      </c>
      <c r="K4455" s="295">
        <v>305</v>
      </c>
      <c r="L4455" s="295">
        <v>32</v>
      </c>
      <c r="M4455" s="19">
        <v>5800</v>
      </c>
      <c r="N4455" s="19" t="s">
        <v>40</v>
      </c>
      <c r="O4455" s="19" t="s">
        <v>98</v>
      </c>
      <c r="P4455" s="19"/>
      <c r="Q4455" s="19">
        <v>241</v>
      </c>
      <c r="R4455" s="19">
        <f>+P4454-Q4454-Q4455</f>
        <v>279</v>
      </c>
      <c r="S4455" s="19">
        <v>2025</v>
      </c>
      <c r="T4455" s="19" t="s">
        <v>42</v>
      </c>
      <c r="U4455" s="102" t="s">
        <v>1330</v>
      </c>
      <c r="V4455" s="101">
        <v>45225</v>
      </c>
      <c r="W4455" s="17" t="s">
        <v>58</v>
      </c>
      <c r="X4455" s="17"/>
      <c r="Y4455" s="68">
        <v>45283</v>
      </c>
      <c r="Z4455" s="17" t="s">
        <v>1326</v>
      </c>
      <c r="AA4455" s="17" t="s">
        <v>46</v>
      </c>
      <c r="AB4455" s="17" t="s">
        <v>1333</v>
      </c>
      <c r="AC4455" s="217">
        <v>45371</v>
      </c>
      <c r="AD4455" s="65">
        <v>1541</v>
      </c>
      <c r="AE4455" s="17" t="s">
        <v>48</v>
      </c>
      <c r="AF4455" s="17"/>
      <c r="AG4455" s="17"/>
      <c r="AH4455" s="17"/>
      <c r="AI4455" s="17"/>
      <c r="AJ4455" s="17"/>
      <c r="AK4455" s="17"/>
      <c r="AL4455" s="17"/>
      <c r="AM4455" s="17"/>
      <c r="AN4455" s="17"/>
      <c r="AO4455" s="17"/>
      <c r="AP4455" s="17"/>
      <c r="AQ4455" s="17"/>
      <c r="AR4455" s="17"/>
    </row>
    <row r="4456" s="20" customFormat="1" hidden="1" spans="1:44">
      <c r="A4456" s="17" t="s">
        <v>34</v>
      </c>
      <c r="B4456" s="19">
        <v>956</v>
      </c>
      <c r="C4456" s="183">
        <v>45225</v>
      </c>
      <c r="D4456" s="17" t="s">
        <v>52</v>
      </c>
      <c r="E4456" s="17" t="s">
        <v>53</v>
      </c>
      <c r="F4456" s="17" t="s">
        <v>54</v>
      </c>
      <c r="G4456" s="17"/>
      <c r="H4456" s="124">
        <v>1.2379</v>
      </c>
      <c r="I4456" s="124"/>
      <c r="J4456" s="17" t="s">
        <v>82</v>
      </c>
      <c r="K4456" s="295">
        <v>405</v>
      </c>
      <c r="L4456" s="295">
        <v>32</v>
      </c>
      <c r="M4456" s="19">
        <v>5800</v>
      </c>
      <c r="N4456" s="19" t="s">
        <v>40</v>
      </c>
      <c r="O4456" s="19" t="s">
        <v>98</v>
      </c>
      <c r="P4456" s="19">
        <v>1000</v>
      </c>
      <c r="Q4456" s="19">
        <f>363+369+339</f>
        <v>1071</v>
      </c>
      <c r="R4456" s="21"/>
      <c r="S4456" s="19">
        <v>2025</v>
      </c>
      <c r="T4456" s="19" t="s">
        <v>42</v>
      </c>
      <c r="U4456" s="102" t="s">
        <v>1330</v>
      </c>
      <c r="V4456" s="101">
        <v>45225</v>
      </c>
      <c r="W4456" s="17" t="s">
        <v>58</v>
      </c>
      <c r="X4456" s="17"/>
      <c r="Y4456" s="68">
        <v>45283</v>
      </c>
      <c r="Z4456" s="17" t="s">
        <v>1326</v>
      </c>
      <c r="AA4456" s="17" t="s">
        <v>46</v>
      </c>
      <c r="AB4456" s="17" t="s">
        <v>1330</v>
      </c>
      <c r="AC4456" s="217">
        <v>45323</v>
      </c>
      <c r="AD4456" s="65">
        <v>1524</v>
      </c>
      <c r="AE4456" s="17" t="s">
        <v>48</v>
      </c>
      <c r="AF4456" s="17"/>
      <c r="AG4456" s="17"/>
      <c r="AH4456" s="17"/>
      <c r="AI4456" s="17"/>
      <c r="AJ4456" s="17"/>
      <c r="AK4456" s="17"/>
      <c r="AL4456" s="17"/>
      <c r="AM4456" s="17"/>
      <c r="AN4456" s="17"/>
      <c r="AO4456" s="17"/>
      <c r="AP4456" s="17"/>
      <c r="AQ4456" s="17"/>
      <c r="AR4456" s="17"/>
    </row>
    <row r="4457" s="20" customFormat="1" hidden="1" spans="1:44">
      <c r="A4457" s="17" t="s">
        <v>34</v>
      </c>
      <c r="B4457" s="19">
        <v>956</v>
      </c>
      <c r="C4457" s="183">
        <v>45225</v>
      </c>
      <c r="D4457" s="17" t="s">
        <v>52</v>
      </c>
      <c r="E4457" s="17" t="s">
        <v>53</v>
      </c>
      <c r="F4457" s="17" t="s">
        <v>54</v>
      </c>
      <c r="G4457" s="17"/>
      <c r="H4457" s="124">
        <v>1.2379</v>
      </c>
      <c r="I4457" s="124"/>
      <c r="J4457" s="17" t="s">
        <v>82</v>
      </c>
      <c r="K4457" s="295">
        <v>405</v>
      </c>
      <c r="L4457" s="295">
        <v>32</v>
      </c>
      <c r="M4457" s="19">
        <v>5800</v>
      </c>
      <c r="N4457" s="19" t="s">
        <v>40</v>
      </c>
      <c r="O4457" s="19" t="s">
        <v>98</v>
      </c>
      <c r="P4457" s="19"/>
      <c r="Q4457" s="19">
        <v>379</v>
      </c>
      <c r="R4457" s="19">
        <f>+P4456-Q4456-Q4457</f>
        <v>-450</v>
      </c>
      <c r="S4457" s="19">
        <v>2025</v>
      </c>
      <c r="T4457" s="19" t="s">
        <v>42</v>
      </c>
      <c r="U4457" s="102" t="s">
        <v>1330</v>
      </c>
      <c r="V4457" s="101">
        <v>45225</v>
      </c>
      <c r="W4457" s="17" t="s">
        <v>58</v>
      </c>
      <c r="X4457" s="17"/>
      <c r="Y4457" s="68">
        <v>45283</v>
      </c>
      <c r="Z4457" s="17" t="s">
        <v>1326</v>
      </c>
      <c r="AA4457" s="17" t="s">
        <v>46</v>
      </c>
      <c r="AB4457" s="17" t="s">
        <v>1331</v>
      </c>
      <c r="AC4457" s="217">
        <v>45425</v>
      </c>
      <c r="AD4457" s="65">
        <v>1571</v>
      </c>
      <c r="AE4457" s="17" t="s">
        <v>48</v>
      </c>
      <c r="AF4457" s="17"/>
      <c r="AG4457" s="17"/>
      <c r="AH4457" s="17"/>
      <c r="AI4457" s="17"/>
      <c r="AJ4457" s="17"/>
      <c r="AK4457" s="17"/>
      <c r="AL4457" s="17"/>
      <c r="AM4457" s="17"/>
      <c r="AN4457" s="17"/>
      <c r="AO4457" s="17"/>
      <c r="AP4457" s="17"/>
      <c r="AQ4457" s="17"/>
      <c r="AR4457" s="17"/>
    </row>
    <row r="4458" s="21" customFormat="1" hidden="1" spans="1:44">
      <c r="A4458" s="17" t="s">
        <v>34</v>
      </c>
      <c r="B4458" s="19">
        <v>956</v>
      </c>
      <c r="C4458" s="183">
        <v>45225</v>
      </c>
      <c r="D4458" s="17" t="s">
        <v>52</v>
      </c>
      <c r="E4458" s="17" t="s">
        <v>53</v>
      </c>
      <c r="F4458" s="17" t="s">
        <v>54</v>
      </c>
      <c r="G4458" s="17"/>
      <c r="H4458" s="124">
        <v>1.2379</v>
      </c>
      <c r="I4458" s="124"/>
      <c r="J4458" s="17" t="s">
        <v>82</v>
      </c>
      <c r="K4458" s="295">
        <v>505</v>
      </c>
      <c r="L4458" s="295">
        <v>32</v>
      </c>
      <c r="M4458" s="19">
        <v>5800</v>
      </c>
      <c r="N4458" s="19" t="s">
        <v>40</v>
      </c>
      <c r="O4458" s="19" t="s">
        <v>98</v>
      </c>
      <c r="P4458" s="19">
        <v>1000</v>
      </c>
      <c r="Q4458" s="19">
        <f>363+322+355</f>
        <v>1040</v>
      </c>
      <c r="R4458" s="19">
        <f>+P4458-Q4458</f>
        <v>-40</v>
      </c>
      <c r="S4458" s="19">
        <v>2025</v>
      </c>
      <c r="T4458" s="19" t="s">
        <v>42</v>
      </c>
      <c r="U4458" s="102" t="s">
        <v>1330</v>
      </c>
      <c r="V4458" s="101">
        <v>45225</v>
      </c>
      <c r="W4458" s="17" t="s">
        <v>58</v>
      </c>
      <c r="X4458" s="17"/>
      <c r="Y4458" s="68">
        <v>45283</v>
      </c>
      <c r="Z4458" s="17" t="s">
        <v>1326</v>
      </c>
      <c r="AA4458" s="17" t="s">
        <v>46</v>
      </c>
      <c r="AB4458" s="17" t="s">
        <v>1331</v>
      </c>
      <c r="AC4458" s="217">
        <v>45425</v>
      </c>
      <c r="AD4458" s="65">
        <v>1571</v>
      </c>
      <c r="AE4458" s="17" t="s">
        <v>48</v>
      </c>
      <c r="AF4458" s="17"/>
      <c r="AG4458" s="17"/>
      <c r="AH4458" s="17"/>
      <c r="AI4458" s="17"/>
      <c r="AJ4458" s="17"/>
      <c r="AK4458" s="17"/>
      <c r="AL4458" s="17"/>
      <c r="AM4458" s="17"/>
      <c r="AN4458" s="17"/>
      <c r="AO4458" s="17"/>
      <c r="AP4458" s="17"/>
      <c r="AQ4458" s="17"/>
      <c r="AR4458" s="17"/>
    </row>
    <row r="4459" s="21" customFormat="1" hidden="1" spans="1:44">
      <c r="A4459" s="17" t="s">
        <v>34</v>
      </c>
      <c r="B4459" s="19">
        <v>956</v>
      </c>
      <c r="C4459" s="183">
        <v>45225</v>
      </c>
      <c r="D4459" s="17" t="s">
        <v>52</v>
      </c>
      <c r="E4459" s="17" t="s">
        <v>53</v>
      </c>
      <c r="F4459" s="17" t="s">
        <v>54</v>
      </c>
      <c r="G4459" s="17"/>
      <c r="H4459" s="124">
        <v>1.2379</v>
      </c>
      <c r="I4459" s="124"/>
      <c r="J4459" s="17" t="s">
        <v>82</v>
      </c>
      <c r="K4459" s="295">
        <v>130</v>
      </c>
      <c r="L4459" s="295">
        <v>40</v>
      </c>
      <c r="M4459" s="19">
        <v>5800</v>
      </c>
      <c r="N4459" s="19" t="s">
        <v>40</v>
      </c>
      <c r="O4459" s="19" t="s">
        <v>98</v>
      </c>
      <c r="P4459" s="19"/>
      <c r="Q4459" s="19">
        <f>136+110+108+110</f>
        <v>464</v>
      </c>
      <c r="R4459" s="19"/>
      <c r="S4459" s="19">
        <v>2025</v>
      </c>
      <c r="T4459" s="19" t="s">
        <v>42</v>
      </c>
      <c r="U4459" s="102" t="s">
        <v>1330</v>
      </c>
      <c r="V4459" s="101">
        <v>45225</v>
      </c>
      <c r="W4459" s="17" t="s">
        <v>58</v>
      </c>
      <c r="X4459" s="17"/>
      <c r="Y4459" s="68">
        <v>45283</v>
      </c>
      <c r="Z4459" s="17" t="s">
        <v>1326</v>
      </c>
      <c r="AA4459" s="17" t="s">
        <v>46</v>
      </c>
      <c r="AB4459" s="17" t="s">
        <v>1331</v>
      </c>
      <c r="AC4459" s="217">
        <v>45425</v>
      </c>
      <c r="AD4459" s="65">
        <v>1571</v>
      </c>
      <c r="AE4459" s="17" t="s">
        <v>48</v>
      </c>
      <c r="AF4459" s="17"/>
      <c r="AG4459" s="17"/>
      <c r="AH4459" s="17"/>
      <c r="AI4459" s="17"/>
      <c r="AJ4459" s="17"/>
      <c r="AK4459" s="17"/>
      <c r="AL4459" s="17"/>
      <c r="AM4459" s="17"/>
      <c r="AN4459" s="17"/>
      <c r="AO4459" s="17"/>
      <c r="AP4459" s="17"/>
      <c r="AQ4459" s="17"/>
      <c r="AR4459" s="17"/>
    </row>
    <row r="4460" s="21" customFormat="1" hidden="1" spans="1:44">
      <c r="A4460" s="17" t="s">
        <v>34</v>
      </c>
      <c r="B4460" s="19">
        <v>956</v>
      </c>
      <c r="C4460" s="183">
        <v>45225</v>
      </c>
      <c r="D4460" s="17" t="s">
        <v>52</v>
      </c>
      <c r="E4460" s="17" t="s">
        <v>53</v>
      </c>
      <c r="F4460" s="17" t="s">
        <v>54</v>
      </c>
      <c r="G4460" s="17"/>
      <c r="H4460" s="124">
        <v>1.2379</v>
      </c>
      <c r="I4460" s="124"/>
      <c r="J4460" s="17" t="s">
        <v>82</v>
      </c>
      <c r="K4460" s="295">
        <v>155</v>
      </c>
      <c r="L4460" s="295">
        <v>40</v>
      </c>
      <c r="M4460" s="19">
        <v>5800</v>
      </c>
      <c r="N4460" s="19" t="s">
        <v>40</v>
      </c>
      <c r="O4460" s="19" t="s">
        <v>98</v>
      </c>
      <c r="P4460" s="19">
        <v>800</v>
      </c>
      <c r="Q4460" s="19">
        <v>130</v>
      </c>
      <c r="R4460" s="19">
        <f>+P4460-Q4460</f>
        <v>670</v>
      </c>
      <c r="S4460" s="19">
        <v>2025</v>
      </c>
      <c r="T4460" s="19" t="s">
        <v>42</v>
      </c>
      <c r="U4460" s="102" t="s">
        <v>1330</v>
      </c>
      <c r="V4460" s="101">
        <v>45225</v>
      </c>
      <c r="W4460" s="17" t="s">
        <v>58</v>
      </c>
      <c r="X4460" s="17"/>
      <c r="Y4460" s="68">
        <v>45283</v>
      </c>
      <c r="Z4460" s="17" t="s">
        <v>1326</v>
      </c>
      <c r="AA4460" s="17" t="s">
        <v>46</v>
      </c>
      <c r="AB4460" s="17" t="s">
        <v>1331</v>
      </c>
      <c r="AC4460" s="217">
        <v>45425</v>
      </c>
      <c r="AD4460" s="65">
        <v>1571</v>
      </c>
      <c r="AE4460" s="17" t="s">
        <v>48</v>
      </c>
      <c r="AF4460" s="17"/>
      <c r="AG4460" s="17"/>
      <c r="AH4460" s="17"/>
      <c r="AI4460" s="17"/>
      <c r="AJ4460" s="17"/>
      <c r="AK4460" s="17"/>
      <c r="AL4460" s="17"/>
      <c r="AM4460" s="17"/>
      <c r="AN4460" s="17"/>
      <c r="AO4460" s="17"/>
      <c r="AP4460" s="17"/>
      <c r="AQ4460" s="17"/>
      <c r="AR4460" s="17"/>
    </row>
    <row r="4461" s="21" customFormat="1" hidden="1" spans="1:44">
      <c r="A4461" s="17" t="s">
        <v>34</v>
      </c>
      <c r="B4461" s="19">
        <v>956</v>
      </c>
      <c r="C4461" s="183">
        <v>45225</v>
      </c>
      <c r="D4461" s="17" t="s">
        <v>52</v>
      </c>
      <c r="E4461" s="17" t="s">
        <v>53</v>
      </c>
      <c r="F4461" s="17" t="s">
        <v>54</v>
      </c>
      <c r="G4461" s="17"/>
      <c r="H4461" s="124">
        <v>1.2379</v>
      </c>
      <c r="I4461" s="124"/>
      <c r="J4461" s="17" t="s">
        <v>82</v>
      </c>
      <c r="K4461" s="295">
        <v>180</v>
      </c>
      <c r="L4461" s="295">
        <v>40</v>
      </c>
      <c r="M4461" s="19">
        <v>5800</v>
      </c>
      <c r="N4461" s="19" t="s">
        <v>40</v>
      </c>
      <c r="O4461" s="19" t="s">
        <v>98</v>
      </c>
      <c r="P4461" s="19"/>
      <c r="Q4461" s="19">
        <f>178+172+140+174+180</f>
        <v>844</v>
      </c>
      <c r="R4461" s="19"/>
      <c r="S4461" s="19">
        <v>2025</v>
      </c>
      <c r="T4461" s="19" t="s">
        <v>42</v>
      </c>
      <c r="U4461" s="102" t="s">
        <v>1330</v>
      </c>
      <c r="V4461" s="101">
        <v>45225</v>
      </c>
      <c r="W4461" s="17" t="s">
        <v>58</v>
      </c>
      <c r="X4461" s="17"/>
      <c r="Y4461" s="68">
        <v>45283</v>
      </c>
      <c r="Z4461" s="17" t="s">
        <v>1326</v>
      </c>
      <c r="AA4461" s="17" t="s">
        <v>46</v>
      </c>
      <c r="AB4461" s="17" t="s">
        <v>1331</v>
      </c>
      <c r="AC4461" s="217">
        <v>45425</v>
      </c>
      <c r="AD4461" s="65">
        <v>1571</v>
      </c>
      <c r="AE4461" s="17" t="s">
        <v>48</v>
      </c>
      <c r="AF4461" s="17"/>
      <c r="AG4461" s="17"/>
      <c r="AH4461" s="17"/>
      <c r="AI4461" s="17"/>
      <c r="AJ4461" s="17"/>
      <c r="AK4461" s="17"/>
      <c r="AL4461" s="17"/>
      <c r="AM4461" s="17"/>
      <c r="AN4461" s="17"/>
      <c r="AO4461" s="17"/>
      <c r="AP4461" s="17"/>
      <c r="AQ4461" s="17"/>
      <c r="AR4461" s="17"/>
    </row>
    <row r="4462" s="21" customFormat="1" hidden="1" spans="1:44">
      <c r="A4462" s="17" t="s">
        <v>34</v>
      </c>
      <c r="B4462" s="19">
        <v>956</v>
      </c>
      <c r="C4462" s="183">
        <v>45225</v>
      </c>
      <c r="D4462" s="17" t="s">
        <v>52</v>
      </c>
      <c r="E4462" s="17" t="s">
        <v>53</v>
      </c>
      <c r="F4462" s="17" t="s">
        <v>54</v>
      </c>
      <c r="G4462" s="17"/>
      <c r="H4462" s="124">
        <v>1.2379</v>
      </c>
      <c r="I4462" s="124"/>
      <c r="J4462" s="17" t="s">
        <v>82</v>
      </c>
      <c r="K4462" s="295">
        <v>205</v>
      </c>
      <c r="L4462" s="295">
        <v>40</v>
      </c>
      <c r="M4462" s="19">
        <v>5800</v>
      </c>
      <c r="N4462" s="19" t="s">
        <v>40</v>
      </c>
      <c r="O4462" s="19" t="s">
        <v>98</v>
      </c>
      <c r="P4462" s="19">
        <v>1000</v>
      </c>
      <c r="Q4462" s="19">
        <f>166+204</f>
        <v>370</v>
      </c>
      <c r="R4462" s="19">
        <f>+P4462-Q4462</f>
        <v>630</v>
      </c>
      <c r="S4462" s="19">
        <v>2025</v>
      </c>
      <c r="T4462" s="19" t="s">
        <v>42</v>
      </c>
      <c r="U4462" s="102" t="s">
        <v>1330</v>
      </c>
      <c r="V4462" s="101">
        <v>45225</v>
      </c>
      <c r="W4462" s="17" t="s">
        <v>58</v>
      </c>
      <c r="X4462" s="17"/>
      <c r="Y4462" s="68">
        <v>45283</v>
      </c>
      <c r="Z4462" s="17" t="s">
        <v>1326</v>
      </c>
      <c r="AA4462" s="17" t="s">
        <v>46</v>
      </c>
      <c r="AB4462" s="17" t="s">
        <v>1333</v>
      </c>
      <c r="AC4462" s="217">
        <v>45371</v>
      </c>
      <c r="AD4462" s="65">
        <v>1541</v>
      </c>
      <c r="AE4462" s="17" t="s">
        <v>48</v>
      </c>
      <c r="AF4462" s="17"/>
      <c r="AG4462" s="17"/>
      <c r="AH4462" s="17"/>
      <c r="AI4462" s="17"/>
      <c r="AJ4462" s="17"/>
      <c r="AK4462" s="17"/>
      <c r="AL4462" s="17"/>
      <c r="AM4462" s="17"/>
      <c r="AN4462" s="17"/>
      <c r="AO4462" s="17"/>
      <c r="AP4462" s="17"/>
      <c r="AQ4462" s="17"/>
      <c r="AR4462" s="17"/>
    </row>
    <row r="4463" s="21" customFormat="1" hidden="1" spans="1:44">
      <c r="A4463" s="17" t="s">
        <v>34</v>
      </c>
      <c r="B4463" s="19">
        <v>956</v>
      </c>
      <c r="C4463" s="183">
        <v>45225</v>
      </c>
      <c r="D4463" s="17" t="s">
        <v>52</v>
      </c>
      <c r="E4463" s="17" t="s">
        <v>53</v>
      </c>
      <c r="F4463" s="17" t="s">
        <v>54</v>
      </c>
      <c r="G4463" s="17"/>
      <c r="H4463" s="124">
        <v>1.2379</v>
      </c>
      <c r="I4463" s="124"/>
      <c r="J4463" s="17" t="s">
        <v>82</v>
      </c>
      <c r="K4463" s="295">
        <v>210</v>
      </c>
      <c r="L4463" s="295">
        <v>40</v>
      </c>
      <c r="M4463" s="19">
        <v>5800</v>
      </c>
      <c r="N4463" s="19" t="s">
        <v>40</v>
      </c>
      <c r="O4463" s="19" t="s">
        <v>98</v>
      </c>
      <c r="P4463" s="19"/>
      <c r="Q4463" s="19">
        <f>214+224+242</f>
        <v>680</v>
      </c>
      <c r="R4463" s="19"/>
      <c r="S4463" s="19">
        <v>2025</v>
      </c>
      <c r="T4463" s="19" t="s">
        <v>42</v>
      </c>
      <c r="U4463" s="102" t="s">
        <v>1330</v>
      </c>
      <c r="V4463" s="101">
        <v>45225</v>
      </c>
      <c r="W4463" s="17" t="s">
        <v>58</v>
      </c>
      <c r="X4463" s="17"/>
      <c r="Y4463" s="68">
        <v>45283</v>
      </c>
      <c r="Z4463" s="17" t="s">
        <v>1326</v>
      </c>
      <c r="AA4463" s="17" t="s">
        <v>46</v>
      </c>
      <c r="AB4463" s="17" t="s">
        <v>1331</v>
      </c>
      <c r="AC4463" s="217">
        <v>45425</v>
      </c>
      <c r="AD4463" s="65">
        <v>1571</v>
      </c>
      <c r="AE4463" s="17" t="s">
        <v>48</v>
      </c>
      <c r="AF4463" s="17"/>
      <c r="AG4463" s="17"/>
      <c r="AH4463" s="17"/>
      <c r="AI4463" s="17"/>
      <c r="AJ4463" s="17"/>
      <c r="AK4463" s="17"/>
      <c r="AL4463" s="17"/>
      <c r="AM4463" s="17"/>
      <c r="AN4463" s="17"/>
      <c r="AO4463" s="17"/>
      <c r="AP4463" s="17"/>
      <c r="AQ4463" s="17"/>
      <c r="AR4463" s="17"/>
    </row>
    <row r="4464" s="21" customFormat="1" hidden="1" spans="1:44">
      <c r="A4464" s="17" t="s">
        <v>34</v>
      </c>
      <c r="B4464" s="19">
        <v>956</v>
      </c>
      <c r="C4464" s="183">
        <v>45225</v>
      </c>
      <c r="D4464" s="17" t="s">
        <v>52</v>
      </c>
      <c r="E4464" s="17" t="s">
        <v>53</v>
      </c>
      <c r="F4464" s="17" t="s">
        <v>54</v>
      </c>
      <c r="G4464" s="17"/>
      <c r="H4464" s="124">
        <v>1.2379</v>
      </c>
      <c r="I4464" s="124"/>
      <c r="J4464" s="17" t="s">
        <v>82</v>
      </c>
      <c r="K4464" s="295">
        <v>255</v>
      </c>
      <c r="L4464" s="295">
        <v>40</v>
      </c>
      <c r="M4464" s="19">
        <v>5800</v>
      </c>
      <c r="N4464" s="19" t="s">
        <v>40</v>
      </c>
      <c r="O4464" s="19" t="s">
        <v>98</v>
      </c>
      <c r="P4464" s="19">
        <v>1000</v>
      </c>
      <c r="Q4464" s="19">
        <f>240+282+197</f>
        <v>719</v>
      </c>
      <c r="R4464" s="19">
        <f>+P4464-Q4464</f>
        <v>281</v>
      </c>
      <c r="S4464" s="19">
        <v>2025</v>
      </c>
      <c r="T4464" s="19" t="s">
        <v>42</v>
      </c>
      <c r="U4464" s="102" t="s">
        <v>1330</v>
      </c>
      <c r="V4464" s="101">
        <v>45225</v>
      </c>
      <c r="W4464" s="17" t="s">
        <v>58</v>
      </c>
      <c r="X4464" s="17"/>
      <c r="Y4464" s="68">
        <v>45283</v>
      </c>
      <c r="Z4464" s="17" t="s">
        <v>1326</v>
      </c>
      <c r="AA4464" s="17" t="s">
        <v>46</v>
      </c>
      <c r="AB4464" s="17" t="s">
        <v>1331</v>
      </c>
      <c r="AC4464" s="217">
        <v>45425</v>
      </c>
      <c r="AD4464" s="65">
        <v>1571</v>
      </c>
      <c r="AE4464" s="17" t="s">
        <v>48</v>
      </c>
      <c r="AF4464" s="17"/>
      <c r="AG4464" s="17"/>
      <c r="AH4464" s="17"/>
      <c r="AI4464" s="17"/>
      <c r="AJ4464" s="17"/>
      <c r="AK4464" s="17"/>
      <c r="AL4464" s="17"/>
      <c r="AM4464" s="17"/>
      <c r="AN4464" s="17"/>
      <c r="AO4464" s="17"/>
      <c r="AP4464" s="17"/>
      <c r="AQ4464" s="17"/>
      <c r="AR4464" s="17"/>
    </row>
    <row r="4465" s="20" customFormat="1" hidden="1" spans="1:44">
      <c r="A4465" s="17" t="s">
        <v>34</v>
      </c>
      <c r="B4465" s="19">
        <v>956</v>
      </c>
      <c r="C4465" s="183">
        <v>45225</v>
      </c>
      <c r="D4465" s="17" t="s">
        <v>52</v>
      </c>
      <c r="E4465" s="17" t="s">
        <v>53</v>
      </c>
      <c r="F4465" s="17" t="s">
        <v>54</v>
      </c>
      <c r="G4465" s="17"/>
      <c r="H4465" s="124">
        <v>1.2379</v>
      </c>
      <c r="I4465" s="124"/>
      <c r="J4465" s="17" t="s">
        <v>82</v>
      </c>
      <c r="K4465" s="295">
        <v>305</v>
      </c>
      <c r="L4465" s="295">
        <v>40</v>
      </c>
      <c r="M4465" s="19">
        <v>5800</v>
      </c>
      <c r="N4465" s="19" t="s">
        <v>40</v>
      </c>
      <c r="O4465" s="19" t="s">
        <v>98</v>
      </c>
      <c r="P4465" s="19">
        <v>1300</v>
      </c>
      <c r="Q4465" s="19">
        <f>368+357</f>
        <v>725</v>
      </c>
      <c r="R4465" s="254"/>
      <c r="S4465" s="19">
        <v>2025</v>
      </c>
      <c r="T4465" s="19" t="s">
        <v>42</v>
      </c>
      <c r="U4465" s="102" t="s">
        <v>1330</v>
      </c>
      <c r="V4465" s="101">
        <v>45225</v>
      </c>
      <c r="W4465" s="17" t="s">
        <v>58</v>
      </c>
      <c r="X4465" s="17"/>
      <c r="Y4465" s="68">
        <v>45283</v>
      </c>
      <c r="Z4465" s="17" t="s">
        <v>1326</v>
      </c>
      <c r="AA4465" s="17" t="s">
        <v>46</v>
      </c>
      <c r="AB4465" s="17" t="s">
        <v>1330</v>
      </c>
      <c r="AC4465" s="217">
        <v>45323</v>
      </c>
      <c r="AD4465" s="65">
        <v>1524</v>
      </c>
      <c r="AE4465" s="17" t="s">
        <v>48</v>
      </c>
      <c r="AF4465" s="17"/>
      <c r="AG4465" s="17"/>
      <c r="AH4465" s="17"/>
      <c r="AI4465" s="17"/>
      <c r="AJ4465" s="17"/>
      <c r="AK4465" s="17"/>
      <c r="AL4465" s="17"/>
      <c r="AM4465" s="17"/>
      <c r="AN4465" s="17"/>
      <c r="AO4465" s="17"/>
      <c r="AP4465" s="17"/>
      <c r="AQ4465" s="17"/>
      <c r="AR4465" s="17"/>
    </row>
    <row r="4466" s="20" customFormat="1" hidden="1" spans="1:44">
      <c r="A4466" s="17" t="s">
        <v>34</v>
      </c>
      <c r="B4466" s="19">
        <v>956</v>
      </c>
      <c r="C4466" s="183">
        <v>45225</v>
      </c>
      <c r="D4466" s="17" t="s">
        <v>52</v>
      </c>
      <c r="E4466" s="17" t="s">
        <v>53</v>
      </c>
      <c r="F4466" s="17" t="s">
        <v>54</v>
      </c>
      <c r="G4466" s="17"/>
      <c r="H4466" s="124">
        <v>1.2379</v>
      </c>
      <c r="I4466" s="124"/>
      <c r="J4466" s="17" t="s">
        <v>82</v>
      </c>
      <c r="K4466" s="295">
        <v>305</v>
      </c>
      <c r="L4466" s="295">
        <v>40</v>
      </c>
      <c r="M4466" s="19">
        <v>5800</v>
      </c>
      <c r="N4466" s="19" t="s">
        <v>40</v>
      </c>
      <c r="O4466" s="19" t="s">
        <v>98</v>
      </c>
      <c r="P4466" s="19"/>
      <c r="Q4466" s="19">
        <v>359</v>
      </c>
      <c r="R4466" s="21"/>
      <c r="S4466" s="19">
        <v>2025</v>
      </c>
      <c r="T4466" s="19" t="s">
        <v>42</v>
      </c>
      <c r="U4466" s="102" t="s">
        <v>1330</v>
      </c>
      <c r="V4466" s="101">
        <v>45225</v>
      </c>
      <c r="W4466" s="17" t="s">
        <v>58</v>
      </c>
      <c r="X4466" s="17"/>
      <c r="Y4466" s="68">
        <v>45283</v>
      </c>
      <c r="Z4466" s="17" t="s">
        <v>1326</v>
      </c>
      <c r="AA4466" s="17" t="s">
        <v>46</v>
      </c>
      <c r="AB4466" s="17" t="s">
        <v>1333</v>
      </c>
      <c r="AC4466" s="217">
        <v>45371</v>
      </c>
      <c r="AD4466" s="65">
        <v>1541</v>
      </c>
      <c r="AE4466" s="17" t="s">
        <v>48</v>
      </c>
      <c r="AF4466" s="17"/>
      <c r="AG4466" s="17"/>
      <c r="AH4466" s="17"/>
      <c r="AI4466" s="17"/>
      <c r="AJ4466" s="17"/>
      <c r="AK4466" s="17"/>
      <c r="AL4466" s="17"/>
      <c r="AM4466" s="17"/>
      <c r="AN4466" s="17"/>
      <c r="AO4466" s="17"/>
      <c r="AP4466" s="17"/>
      <c r="AQ4466" s="17"/>
      <c r="AR4466" s="17"/>
    </row>
    <row r="4467" s="20" customFormat="1" hidden="1" spans="1:44">
      <c r="A4467" s="17" t="s">
        <v>34</v>
      </c>
      <c r="B4467" s="19">
        <v>956</v>
      </c>
      <c r="C4467" s="183">
        <v>45225</v>
      </c>
      <c r="D4467" s="17" t="s">
        <v>52</v>
      </c>
      <c r="E4467" s="17" t="s">
        <v>53</v>
      </c>
      <c r="F4467" s="17" t="s">
        <v>54</v>
      </c>
      <c r="G4467" s="17"/>
      <c r="H4467" s="124">
        <v>1.2379</v>
      </c>
      <c r="I4467" s="124"/>
      <c r="J4467" s="17" t="s">
        <v>82</v>
      </c>
      <c r="K4467" s="295">
        <v>305</v>
      </c>
      <c r="L4467" s="295">
        <v>40</v>
      </c>
      <c r="M4467" s="19">
        <v>5800</v>
      </c>
      <c r="N4467" s="19" t="s">
        <v>40</v>
      </c>
      <c r="O4467" s="19" t="s">
        <v>98</v>
      </c>
      <c r="P4467" s="19"/>
      <c r="Q4467" s="19">
        <v>376</v>
      </c>
      <c r="R4467" s="19">
        <f>+P4465-Q4465-Q4466-Q4467</f>
        <v>-160</v>
      </c>
      <c r="S4467" s="19">
        <v>2025</v>
      </c>
      <c r="T4467" s="19" t="s">
        <v>42</v>
      </c>
      <c r="U4467" s="102" t="s">
        <v>1330</v>
      </c>
      <c r="V4467" s="101">
        <v>45225</v>
      </c>
      <c r="W4467" s="17" t="s">
        <v>58</v>
      </c>
      <c r="X4467" s="17"/>
      <c r="Y4467" s="68">
        <v>45283</v>
      </c>
      <c r="Z4467" s="17" t="s">
        <v>1326</v>
      </c>
      <c r="AA4467" s="17" t="s">
        <v>46</v>
      </c>
      <c r="AB4467" s="17" t="s">
        <v>1331</v>
      </c>
      <c r="AC4467" s="217">
        <v>45425</v>
      </c>
      <c r="AD4467" s="65">
        <v>1571</v>
      </c>
      <c r="AE4467" s="17" t="s">
        <v>48</v>
      </c>
      <c r="AF4467" s="17"/>
      <c r="AG4467" s="17"/>
      <c r="AH4467" s="17"/>
      <c r="AI4467" s="17"/>
      <c r="AJ4467" s="17"/>
      <c r="AK4467" s="17"/>
      <c r="AL4467" s="17"/>
      <c r="AM4467" s="17"/>
      <c r="AN4467" s="17"/>
      <c r="AO4467" s="17"/>
      <c r="AP4467" s="17"/>
      <c r="AQ4467" s="17"/>
      <c r="AR4467" s="17"/>
    </row>
    <row r="4468" s="21" customFormat="1" hidden="1" spans="1:44">
      <c r="A4468" s="17" t="s">
        <v>34</v>
      </c>
      <c r="B4468" s="19">
        <v>956</v>
      </c>
      <c r="C4468" s="183">
        <v>45225</v>
      </c>
      <c r="D4468" s="17" t="s">
        <v>52</v>
      </c>
      <c r="E4468" s="17" t="s">
        <v>53</v>
      </c>
      <c r="F4468" s="17" t="s">
        <v>54</v>
      </c>
      <c r="G4468" s="17"/>
      <c r="H4468" s="124">
        <v>1.2379</v>
      </c>
      <c r="I4468" s="124"/>
      <c r="J4468" s="17" t="s">
        <v>82</v>
      </c>
      <c r="K4468" s="295">
        <v>405</v>
      </c>
      <c r="L4468" s="295">
        <v>40</v>
      </c>
      <c r="M4468" s="19">
        <v>5800</v>
      </c>
      <c r="N4468" s="19" t="s">
        <v>40</v>
      </c>
      <c r="O4468" s="19" t="s">
        <v>98</v>
      </c>
      <c r="P4468" s="19">
        <v>1300</v>
      </c>
      <c r="Q4468" s="19">
        <f>522+528</f>
        <v>1050</v>
      </c>
      <c r="S4468" s="19">
        <v>2025</v>
      </c>
      <c r="T4468" s="19" t="s">
        <v>42</v>
      </c>
      <c r="U4468" s="102" t="s">
        <v>1330</v>
      </c>
      <c r="V4468" s="101">
        <v>45225</v>
      </c>
      <c r="W4468" s="17" t="s">
        <v>58</v>
      </c>
      <c r="X4468" s="17"/>
      <c r="Y4468" s="68">
        <v>45283</v>
      </c>
      <c r="Z4468" s="17" t="s">
        <v>1326</v>
      </c>
      <c r="AA4468" s="17" t="s">
        <v>46</v>
      </c>
      <c r="AB4468" s="17" t="s">
        <v>1333</v>
      </c>
      <c r="AC4468" s="217">
        <v>45371</v>
      </c>
      <c r="AD4468" s="65">
        <v>1541</v>
      </c>
      <c r="AE4468" s="17" t="s">
        <v>48</v>
      </c>
      <c r="AF4468" s="17"/>
      <c r="AG4468" s="17"/>
      <c r="AH4468" s="17"/>
      <c r="AI4468" s="17"/>
      <c r="AJ4468" s="17"/>
      <c r="AK4468" s="17"/>
      <c r="AL4468" s="17"/>
      <c r="AM4468" s="17"/>
      <c r="AN4468" s="17"/>
      <c r="AO4468" s="17"/>
      <c r="AP4468" s="17"/>
      <c r="AQ4468" s="17"/>
      <c r="AR4468" s="17"/>
    </row>
    <row r="4469" s="21" customFormat="1" hidden="1" spans="1:44">
      <c r="A4469" s="17" t="s">
        <v>34</v>
      </c>
      <c r="B4469" s="19">
        <v>956</v>
      </c>
      <c r="C4469" s="183">
        <v>45225</v>
      </c>
      <c r="D4469" s="17" t="s">
        <v>52</v>
      </c>
      <c r="E4469" s="17" t="s">
        <v>53</v>
      </c>
      <c r="F4469" s="17" t="s">
        <v>54</v>
      </c>
      <c r="G4469" s="17"/>
      <c r="H4469" s="124">
        <v>1.2379</v>
      </c>
      <c r="I4469" s="124"/>
      <c r="J4469" s="17" t="s">
        <v>82</v>
      </c>
      <c r="K4469" s="295">
        <v>405</v>
      </c>
      <c r="L4469" s="295">
        <v>40</v>
      </c>
      <c r="M4469" s="19">
        <v>5800</v>
      </c>
      <c r="N4469" s="19" t="s">
        <v>40</v>
      </c>
      <c r="O4469" s="19" t="s">
        <v>98</v>
      </c>
      <c r="P4469" s="19"/>
      <c r="Q4469" s="19">
        <v>454</v>
      </c>
      <c r="R4469" s="19">
        <f>+P4468-Q4468-Q4469</f>
        <v>-204</v>
      </c>
      <c r="S4469" s="19">
        <v>2025</v>
      </c>
      <c r="T4469" s="19" t="s">
        <v>42</v>
      </c>
      <c r="U4469" s="102" t="s">
        <v>1330</v>
      </c>
      <c r="V4469" s="101">
        <v>45225</v>
      </c>
      <c r="W4469" s="17" t="s">
        <v>58</v>
      </c>
      <c r="X4469" s="17"/>
      <c r="Y4469" s="68">
        <v>45283</v>
      </c>
      <c r="Z4469" s="17" t="s">
        <v>1326</v>
      </c>
      <c r="AA4469" s="17" t="s">
        <v>46</v>
      </c>
      <c r="AB4469" s="17" t="s">
        <v>1331</v>
      </c>
      <c r="AC4469" s="217">
        <v>45425</v>
      </c>
      <c r="AD4469" s="65">
        <v>1571</v>
      </c>
      <c r="AE4469" s="17" t="s">
        <v>48</v>
      </c>
      <c r="AF4469" s="17"/>
      <c r="AG4469" s="17"/>
      <c r="AH4469" s="17"/>
      <c r="AI4469" s="17"/>
      <c r="AJ4469" s="17"/>
      <c r="AK4469" s="17"/>
      <c r="AL4469" s="17"/>
      <c r="AM4469" s="17"/>
      <c r="AN4469" s="17"/>
      <c r="AO4469" s="17"/>
      <c r="AP4469" s="17"/>
      <c r="AQ4469" s="17"/>
      <c r="AR4469" s="17"/>
    </row>
    <row r="4470" s="21" customFormat="1" hidden="1" spans="1:44">
      <c r="A4470" s="17" t="s">
        <v>34</v>
      </c>
      <c r="B4470" s="19">
        <v>956</v>
      </c>
      <c r="C4470" s="183">
        <v>45225</v>
      </c>
      <c r="D4470" s="17" t="s">
        <v>52</v>
      </c>
      <c r="E4470" s="17" t="s">
        <v>53</v>
      </c>
      <c r="F4470" s="17" t="s">
        <v>54</v>
      </c>
      <c r="G4470" s="17"/>
      <c r="H4470" s="124">
        <v>1.2379</v>
      </c>
      <c r="I4470" s="124"/>
      <c r="J4470" s="17" t="s">
        <v>82</v>
      </c>
      <c r="K4470" s="295">
        <v>460</v>
      </c>
      <c r="L4470" s="295">
        <v>40</v>
      </c>
      <c r="M4470" s="19">
        <v>5800</v>
      </c>
      <c r="N4470" s="19" t="s">
        <v>40</v>
      </c>
      <c r="O4470" s="19" t="s">
        <v>98</v>
      </c>
      <c r="P4470" s="19"/>
      <c r="Q4470" s="19">
        <v>465</v>
      </c>
      <c r="R4470" s="19"/>
      <c r="S4470" s="19">
        <v>2025</v>
      </c>
      <c r="T4470" s="19" t="s">
        <v>42</v>
      </c>
      <c r="U4470" s="102" t="s">
        <v>1330</v>
      </c>
      <c r="V4470" s="101">
        <v>45225</v>
      </c>
      <c r="W4470" s="17" t="s">
        <v>58</v>
      </c>
      <c r="X4470" s="17"/>
      <c r="Y4470" s="68">
        <v>45283</v>
      </c>
      <c r="Z4470" s="17" t="s">
        <v>1326</v>
      </c>
      <c r="AA4470" s="17" t="s">
        <v>46</v>
      </c>
      <c r="AB4470" s="17" t="s">
        <v>1331</v>
      </c>
      <c r="AC4470" s="217">
        <v>45425</v>
      </c>
      <c r="AD4470" s="65">
        <v>1571</v>
      </c>
      <c r="AE4470" s="17" t="s">
        <v>48</v>
      </c>
      <c r="AF4470" s="17"/>
      <c r="AG4470" s="17"/>
      <c r="AH4470" s="17"/>
      <c r="AI4470" s="17"/>
      <c r="AJ4470" s="17"/>
      <c r="AK4470" s="17"/>
      <c r="AL4470" s="17"/>
      <c r="AM4470" s="17"/>
      <c r="AN4470" s="17"/>
      <c r="AO4470" s="17"/>
      <c r="AP4470" s="17"/>
      <c r="AQ4470" s="17"/>
      <c r="AR4470" s="17"/>
    </row>
    <row r="4471" s="21" customFormat="1" hidden="1" spans="1:44">
      <c r="A4471" s="17" t="s">
        <v>34</v>
      </c>
      <c r="B4471" s="19">
        <v>956</v>
      </c>
      <c r="C4471" s="183">
        <v>45225</v>
      </c>
      <c r="D4471" s="17" t="s">
        <v>52</v>
      </c>
      <c r="E4471" s="17" t="s">
        <v>53</v>
      </c>
      <c r="F4471" s="17" t="s">
        <v>54</v>
      </c>
      <c r="G4471" s="17"/>
      <c r="H4471" s="124">
        <v>1.2379</v>
      </c>
      <c r="I4471" s="124"/>
      <c r="J4471" s="17" t="s">
        <v>82</v>
      </c>
      <c r="K4471" s="295">
        <v>505</v>
      </c>
      <c r="L4471" s="295">
        <v>40</v>
      </c>
      <c r="M4471" s="19">
        <v>5800</v>
      </c>
      <c r="N4471" s="19" t="s">
        <v>40</v>
      </c>
      <c r="O4471" s="19" t="s">
        <v>98</v>
      </c>
      <c r="P4471" s="19">
        <v>1400</v>
      </c>
      <c r="Q4471" s="19">
        <v>507</v>
      </c>
      <c r="S4471" s="19">
        <v>2025</v>
      </c>
      <c r="T4471" s="19" t="s">
        <v>42</v>
      </c>
      <c r="U4471" s="102" t="s">
        <v>1330</v>
      </c>
      <c r="V4471" s="101">
        <v>45225</v>
      </c>
      <c r="W4471" s="17" t="s">
        <v>58</v>
      </c>
      <c r="X4471" s="17"/>
      <c r="Y4471" s="68">
        <v>45283</v>
      </c>
      <c r="Z4471" s="17" t="s">
        <v>1326</v>
      </c>
      <c r="AA4471" s="17" t="s">
        <v>46</v>
      </c>
      <c r="AB4471" s="17" t="s">
        <v>1333</v>
      </c>
      <c r="AC4471" s="217">
        <v>45371</v>
      </c>
      <c r="AD4471" s="65">
        <v>1541</v>
      </c>
      <c r="AE4471" s="17" t="s">
        <v>48</v>
      </c>
      <c r="AF4471" s="17"/>
      <c r="AG4471" s="17"/>
      <c r="AH4471" s="17"/>
      <c r="AI4471" s="17"/>
      <c r="AJ4471" s="17"/>
      <c r="AK4471" s="17"/>
      <c r="AL4471" s="17"/>
      <c r="AM4471" s="17"/>
      <c r="AN4471" s="17"/>
      <c r="AO4471" s="17"/>
      <c r="AP4471" s="17"/>
      <c r="AQ4471" s="17"/>
      <c r="AR4471" s="17"/>
    </row>
    <row r="4472" s="21" customFormat="1" hidden="1" spans="1:44">
      <c r="A4472" s="17" t="s">
        <v>34</v>
      </c>
      <c r="B4472" s="19">
        <v>956</v>
      </c>
      <c r="C4472" s="183">
        <v>45225</v>
      </c>
      <c r="D4472" s="17" t="s">
        <v>52</v>
      </c>
      <c r="E4472" s="17" t="s">
        <v>53</v>
      </c>
      <c r="F4472" s="17" t="s">
        <v>54</v>
      </c>
      <c r="G4472" s="17"/>
      <c r="H4472" s="124">
        <v>1.2379</v>
      </c>
      <c r="I4472" s="124"/>
      <c r="J4472" s="17" t="s">
        <v>82</v>
      </c>
      <c r="K4472" s="295">
        <v>505</v>
      </c>
      <c r="L4472" s="295">
        <v>40</v>
      </c>
      <c r="M4472" s="19">
        <v>5800</v>
      </c>
      <c r="N4472" s="19" t="s">
        <v>40</v>
      </c>
      <c r="O4472" s="19" t="s">
        <v>98</v>
      </c>
      <c r="P4472" s="19"/>
      <c r="Q4472" s="19">
        <v>507</v>
      </c>
      <c r="R4472" s="19">
        <f>+P4471-Q4471-Q4472</f>
        <v>386</v>
      </c>
      <c r="S4472" s="19">
        <v>2025</v>
      </c>
      <c r="T4472" s="19" t="s">
        <v>42</v>
      </c>
      <c r="U4472" s="102" t="s">
        <v>1330</v>
      </c>
      <c r="V4472" s="101">
        <v>45225</v>
      </c>
      <c r="W4472" s="17" t="s">
        <v>58</v>
      </c>
      <c r="X4472" s="17"/>
      <c r="Y4472" s="68">
        <v>45283</v>
      </c>
      <c r="Z4472" s="17" t="s">
        <v>1326</v>
      </c>
      <c r="AA4472" s="17" t="s">
        <v>46</v>
      </c>
      <c r="AB4472" s="17" t="s">
        <v>1331</v>
      </c>
      <c r="AC4472" s="217">
        <v>45425</v>
      </c>
      <c r="AD4472" s="65">
        <v>1571</v>
      </c>
      <c r="AE4472" s="17" t="s">
        <v>48</v>
      </c>
      <c r="AF4472" s="17"/>
      <c r="AG4472" s="17"/>
      <c r="AH4472" s="17"/>
      <c r="AI4472" s="17"/>
      <c r="AJ4472" s="17"/>
      <c r="AK4472" s="17"/>
      <c r="AL4472" s="17"/>
      <c r="AM4472" s="17"/>
      <c r="AN4472" s="17"/>
      <c r="AO4472" s="17"/>
      <c r="AP4472" s="17"/>
      <c r="AQ4472" s="17"/>
      <c r="AR4472" s="17"/>
    </row>
    <row r="4473" s="21" customFormat="1" hidden="1" spans="1:44">
      <c r="A4473" s="17" t="s">
        <v>34</v>
      </c>
      <c r="B4473" s="19">
        <v>956</v>
      </c>
      <c r="C4473" s="183">
        <v>45225</v>
      </c>
      <c r="D4473" s="17" t="s">
        <v>52</v>
      </c>
      <c r="E4473" s="17" t="s">
        <v>53</v>
      </c>
      <c r="F4473" s="17" t="s">
        <v>54</v>
      </c>
      <c r="G4473" s="17"/>
      <c r="H4473" s="124">
        <v>1.2379</v>
      </c>
      <c r="I4473" s="124"/>
      <c r="J4473" s="17" t="s">
        <v>82</v>
      </c>
      <c r="K4473" s="295">
        <v>130</v>
      </c>
      <c r="L4473" s="295">
        <v>50</v>
      </c>
      <c r="M4473" s="19">
        <v>5800</v>
      </c>
      <c r="N4473" s="19" t="s">
        <v>40</v>
      </c>
      <c r="O4473" s="19" t="s">
        <v>98</v>
      </c>
      <c r="P4473" s="19"/>
      <c r="Q4473" s="19">
        <f>166+168+170+120</f>
        <v>624</v>
      </c>
      <c r="R4473" s="19"/>
      <c r="S4473" s="19">
        <v>2025</v>
      </c>
      <c r="T4473" s="19" t="s">
        <v>42</v>
      </c>
      <c r="U4473" s="102" t="s">
        <v>1330</v>
      </c>
      <c r="V4473" s="101">
        <v>45225</v>
      </c>
      <c r="W4473" s="17" t="s">
        <v>58</v>
      </c>
      <c r="X4473" s="17"/>
      <c r="Y4473" s="68">
        <v>45283</v>
      </c>
      <c r="Z4473" s="17" t="s">
        <v>1326</v>
      </c>
      <c r="AA4473" s="17" t="s">
        <v>46</v>
      </c>
      <c r="AB4473" s="17" t="s">
        <v>1331</v>
      </c>
      <c r="AC4473" s="217">
        <v>45425</v>
      </c>
      <c r="AD4473" s="65">
        <v>1571</v>
      </c>
      <c r="AE4473" s="17" t="s">
        <v>48</v>
      </c>
      <c r="AF4473" s="17"/>
      <c r="AG4473" s="17"/>
      <c r="AH4473" s="17"/>
      <c r="AI4473" s="17"/>
      <c r="AJ4473" s="17"/>
      <c r="AK4473" s="17"/>
      <c r="AL4473" s="17"/>
      <c r="AM4473" s="17"/>
      <c r="AN4473" s="17"/>
      <c r="AO4473" s="17"/>
      <c r="AP4473" s="17"/>
      <c r="AQ4473" s="17"/>
      <c r="AR4473" s="17"/>
    </row>
    <row r="4474" s="21" customFormat="1" hidden="1" spans="1:44">
      <c r="A4474" s="17" t="s">
        <v>34</v>
      </c>
      <c r="B4474" s="19">
        <v>956</v>
      </c>
      <c r="C4474" s="183">
        <v>45225</v>
      </c>
      <c r="D4474" s="17" t="s">
        <v>52</v>
      </c>
      <c r="E4474" s="17" t="s">
        <v>53</v>
      </c>
      <c r="F4474" s="17" t="s">
        <v>54</v>
      </c>
      <c r="G4474" s="17"/>
      <c r="H4474" s="124">
        <v>1.2379</v>
      </c>
      <c r="I4474" s="124"/>
      <c r="J4474" s="17" t="s">
        <v>82</v>
      </c>
      <c r="K4474" s="295">
        <v>155</v>
      </c>
      <c r="L4474" s="295">
        <v>50</v>
      </c>
      <c r="M4474" s="19">
        <v>5800</v>
      </c>
      <c r="N4474" s="19" t="s">
        <v>40</v>
      </c>
      <c r="O4474" s="19" t="s">
        <v>98</v>
      </c>
      <c r="P4474" s="19">
        <v>1000</v>
      </c>
      <c r="Q4474" s="19">
        <v>155</v>
      </c>
      <c r="R4474" s="254"/>
      <c r="S4474" s="19">
        <v>2025</v>
      </c>
      <c r="T4474" s="19" t="s">
        <v>42</v>
      </c>
      <c r="U4474" s="102" t="s">
        <v>1330</v>
      </c>
      <c r="V4474" s="101">
        <v>45225</v>
      </c>
      <c r="W4474" s="17" t="s">
        <v>58</v>
      </c>
      <c r="X4474" s="17"/>
      <c r="Y4474" s="68">
        <v>45283</v>
      </c>
      <c r="Z4474" s="17" t="s">
        <v>1326</v>
      </c>
      <c r="AA4474" s="17" t="s">
        <v>46</v>
      </c>
      <c r="AB4474" s="17" t="s">
        <v>1333</v>
      </c>
      <c r="AC4474" s="217">
        <v>45371</v>
      </c>
      <c r="AD4474" s="65">
        <v>1541</v>
      </c>
      <c r="AE4474" s="17" t="s">
        <v>48</v>
      </c>
      <c r="AF4474" s="17"/>
      <c r="AG4474" s="17"/>
      <c r="AH4474" s="17"/>
      <c r="AI4474" s="17"/>
      <c r="AJ4474" s="17"/>
      <c r="AK4474" s="17"/>
      <c r="AL4474" s="17"/>
      <c r="AM4474" s="17"/>
      <c r="AN4474" s="17"/>
      <c r="AO4474" s="17"/>
      <c r="AP4474" s="17"/>
      <c r="AQ4474" s="17"/>
      <c r="AR4474" s="17"/>
    </row>
    <row r="4475" s="21" customFormat="1" hidden="1" spans="1:44">
      <c r="A4475" s="17" t="s">
        <v>34</v>
      </c>
      <c r="B4475" s="19">
        <v>956</v>
      </c>
      <c r="C4475" s="183">
        <v>45225</v>
      </c>
      <c r="D4475" s="17" t="s">
        <v>52</v>
      </c>
      <c r="E4475" s="17" t="s">
        <v>53</v>
      </c>
      <c r="F4475" s="17" t="s">
        <v>54</v>
      </c>
      <c r="G4475" s="17"/>
      <c r="H4475" s="124">
        <v>1.2379</v>
      </c>
      <c r="I4475" s="124"/>
      <c r="J4475" s="17" t="s">
        <v>82</v>
      </c>
      <c r="K4475" s="295">
        <v>155</v>
      </c>
      <c r="L4475" s="295">
        <v>50</v>
      </c>
      <c r="M4475" s="19">
        <v>5800</v>
      </c>
      <c r="N4475" s="19" t="s">
        <v>40</v>
      </c>
      <c r="O4475" s="19" t="s">
        <v>98</v>
      </c>
      <c r="P4475" s="19"/>
      <c r="Q4475" s="19">
        <f>234+244+190+146+154+196</f>
        <v>1164</v>
      </c>
      <c r="R4475" s="19">
        <f>+P4474-Q4474-Q4475</f>
        <v>-319</v>
      </c>
      <c r="S4475" s="19">
        <v>2025</v>
      </c>
      <c r="T4475" s="19" t="s">
        <v>42</v>
      </c>
      <c r="U4475" s="102" t="s">
        <v>1330</v>
      </c>
      <c r="V4475" s="101">
        <v>45225</v>
      </c>
      <c r="W4475" s="17" t="s">
        <v>58</v>
      </c>
      <c r="X4475" s="17"/>
      <c r="Y4475" s="68">
        <v>45283</v>
      </c>
      <c r="Z4475" s="17" t="s">
        <v>1326</v>
      </c>
      <c r="AA4475" s="17" t="s">
        <v>46</v>
      </c>
      <c r="AB4475" s="17" t="s">
        <v>1331</v>
      </c>
      <c r="AC4475" s="217">
        <v>45425</v>
      </c>
      <c r="AD4475" s="65">
        <v>1571</v>
      </c>
      <c r="AE4475" s="17" t="s">
        <v>48</v>
      </c>
      <c r="AF4475" s="17"/>
      <c r="AG4475" s="17"/>
      <c r="AH4475" s="17"/>
      <c r="AI4475" s="17"/>
      <c r="AJ4475" s="17"/>
      <c r="AK4475" s="17"/>
      <c r="AL4475" s="17"/>
      <c r="AM4475" s="17"/>
      <c r="AN4475" s="17"/>
      <c r="AO4475" s="17"/>
      <c r="AP4475" s="17"/>
      <c r="AQ4475" s="17"/>
      <c r="AR4475" s="17"/>
    </row>
    <row r="4476" s="21" customFormat="1" hidden="1" spans="1:44">
      <c r="A4476" s="17" t="s">
        <v>34</v>
      </c>
      <c r="B4476" s="19">
        <v>956</v>
      </c>
      <c r="C4476" s="183">
        <v>45225</v>
      </c>
      <c r="D4476" s="17" t="s">
        <v>52</v>
      </c>
      <c r="E4476" s="17" t="s">
        <v>53</v>
      </c>
      <c r="F4476" s="17" t="s">
        <v>54</v>
      </c>
      <c r="G4476" s="17"/>
      <c r="H4476" s="124">
        <v>1.2379</v>
      </c>
      <c r="I4476" s="124"/>
      <c r="J4476" s="17" t="s">
        <v>82</v>
      </c>
      <c r="K4476" s="295">
        <v>205</v>
      </c>
      <c r="L4476" s="295">
        <v>50</v>
      </c>
      <c r="M4476" s="19">
        <v>5800</v>
      </c>
      <c r="N4476" s="19" t="s">
        <v>40</v>
      </c>
      <c r="O4476" s="19" t="s">
        <v>98</v>
      </c>
      <c r="P4476" s="19">
        <v>1200</v>
      </c>
      <c r="Q4476" s="19">
        <v>231</v>
      </c>
      <c r="R4476" s="19">
        <f>+P4476-Q4476</f>
        <v>969</v>
      </c>
      <c r="S4476" s="19">
        <v>2025</v>
      </c>
      <c r="T4476" s="19" t="s">
        <v>42</v>
      </c>
      <c r="U4476" s="102" t="s">
        <v>1330</v>
      </c>
      <c r="V4476" s="101">
        <v>45225</v>
      </c>
      <c r="W4476" s="17" t="s">
        <v>58</v>
      </c>
      <c r="X4476" s="17"/>
      <c r="Y4476" s="68">
        <v>45283</v>
      </c>
      <c r="Z4476" s="17" t="s">
        <v>1326</v>
      </c>
      <c r="AA4476" s="17" t="s">
        <v>46</v>
      </c>
      <c r="AB4476" s="17" t="s">
        <v>1333</v>
      </c>
      <c r="AC4476" s="217">
        <v>45371</v>
      </c>
      <c r="AD4476" s="65">
        <v>1541</v>
      </c>
      <c r="AE4476" s="17" t="s">
        <v>48</v>
      </c>
      <c r="AF4476" s="17"/>
      <c r="AG4476" s="17"/>
      <c r="AH4476" s="17"/>
      <c r="AI4476" s="17"/>
      <c r="AJ4476" s="17"/>
      <c r="AK4476" s="17"/>
      <c r="AL4476" s="17"/>
      <c r="AM4476" s="17"/>
      <c r="AN4476" s="17"/>
      <c r="AO4476" s="17"/>
      <c r="AP4476" s="17"/>
      <c r="AQ4476" s="17"/>
      <c r="AR4476" s="17"/>
    </row>
    <row r="4477" s="20" customFormat="1" hidden="1" spans="1:44">
      <c r="A4477" s="17" t="s">
        <v>34</v>
      </c>
      <c r="B4477" s="19">
        <v>956</v>
      </c>
      <c r="C4477" s="183">
        <v>45225</v>
      </c>
      <c r="D4477" s="17" t="s">
        <v>52</v>
      </c>
      <c r="E4477" s="17" t="s">
        <v>53</v>
      </c>
      <c r="F4477" s="17" t="s">
        <v>54</v>
      </c>
      <c r="G4477" s="17"/>
      <c r="H4477" s="124">
        <v>1.2379</v>
      </c>
      <c r="I4477" s="124"/>
      <c r="J4477" s="17" t="s">
        <v>82</v>
      </c>
      <c r="K4477" s="295">
        <v>255</v>
      </c>
      <c r="L4477" s="295">
        <v>50</v>
      </c>
      <c r="M4477" s="19">
        <v>5800</v>
      </c>
      <c r="N4477" s="19" t="s">
        <v>40</v>
      </c>
      <c r="O4477" s="19" t="s">
        <v>98</v>
      </c>
      <c r="P4477" s="19">
        <v>1400</v>
      </c>
      <c r="Q4477" s="19">
        <f>377+380+379+388+379</f>
        <v>1903</v>
      </c>
      <c r="R4477" s="19">
        <f>+P4477-Q4477</f>
        <v>-503</v>
      </c>
      <c r="S4477" s="19">
        <v>2025</v>
      </c>
      <c r="T4477" s="19" t="s">
        <v>42</v>
      </c>
      <c r="U4477" s="102" t="s">
        <v>1330</v>
      </c>
      <c r="V4477" s="101">
        <v>45225</v>
      </c>
      <c r="W4477" s="17" t="s">
        <v>58</v>
      </c>
      <c r="X4477" s="17"/>
      <c r="Y4477" s="68">
        <v>45283</v>
      </c>
      <c r="Z4477" s="17" t="s">
        <v>1326</v>
      </c>
      <c r="AA4477" s="17" t="s">
        <v>46</v>
      </c>
      <c r="AB4477" s="17" t="s">
        <v>1330</v>
      </c>
      <c r="AC4477" s="217">
        <v>45323</v>
      </c>
      <c r="AD4477" s="65">
        <v>1524</v>
      </c>
      <c r="AE4477" s="17" t="s">
        <v>48</v>
      </c>
      <c r="AF4477" s="17"/>
      <c r="AG4477" s="17"/>
      <c r="AH4477" s="17"/>
      <c r="AI4477" s="17"/>
      <c r="AJ4477" s="17"/>
      <c r="AK4477" s="17"/>
      <c r="AL4477" s="17"/>
      <c r="AM4477" s="17"/>
      <c r="AN4477" s="17"/>
      <c r="AO4477" s="17"/>
      <c r="AP4477" s="17"/>
      <c r="AQ4477" s="17"/>
      <c r="AR4477" s="17"/>
    </row>
    <row r="4478" s="20" customFormat="1" hidden="1" spans="1:44">
      <c r="A4478" s="17" t="s">
        <v>34</v>
      </c>
      <c r="B4478" s="19">
        <v>956</v>
      </c>
      <c r="C4478" s="183">
        <v>45225</v>
      </c>
      <c r="D4478" s="17" t="s">
        <v>52</v>
      </c>
      <c r="E4478" s="17" t="s">
        <v>53</v>
      </c>
      <c r="F4478" s="17" t="s">
        <v>54</v>
      </c>
      <c r="G4478" s="17"/>
      <c r="H4478" s="124">
        <v>1.2379</v>
      </c>
      <c r="I4478" s="124"/>
      <c r="J4478" s="17" t="s">
        <v>82</v>
      </c>
      <c r="K4478" s="295">
        <v>305</v>
      </c>
      <c r="L4478" s="295">
        <v>50</v>
      </c>
      <c r="M4478" s="19">
        <v>5800</v>
      </c>
      <c r="N4478" s="19" t="s">
        <v>40</v>
      </c>
      <c r="O4478" s="19" t="s">
        <v>98</v>
      </c>
      <c r="P4478" s="19">
        <v>1000</v>
      </c>
      <c r="Q4478" s="19">
        <f>463+460+383</f>
        <v>1306</v>
      </c>
      <c r="R4478" s="19">
        <f>+P4478-Q4478</f>
        <v>-306</v>
      </c>
      <c r="S4478" s="19">
        <v>2025</v>
      </c>
      <c r="T4478" s="19" t="s">
        <v>42</v>
      </c>
      <c r="U4478" s="102" t="s">
        <v>1330</v>
      </c>
      <c r="V4478" s="101">
        <v>45225</v>
      </c>
      <c r="W4478" s="17" t="s">
        <v>58</v>
      </c>
      <c r="X4478" s="17"/>
      <c r="Y4478" s="68">
        <v>45283</v>
      </c>
      <c r="Z4478" s="17" t="s">
        <v>1326</v>
      </c>
      <c r="AA4478" s="17" t="s">
        <v>46</v>
      </c>
      <c r="AB4478" s="17" t="s">
        <v>1330</v>
      </c>
      <c r="AC4478" s="217">
        <v>45323</v>
      </c>
      <c r="AD4478" s="65">
        <v>1524</v>
      </c>
      <c r="AE4478" s="17" t="s">
        <v>48</v>
      </c>
      <c r="AF4478" s="17"/>
      <c r="AG4478" s="17"/>
      <c r="AH4478" s="17"/>
      <c r="AI4478" s="17"/>
      <c r="AJ4478" s="17"/>
      <c r="AK4478" s="17"/>
      <c r="AL4478" s="17"/>
      <c r="AM4478" s="17"/>
      <c r="AN4478" s="17"/>
      <c r="AO4478" s="17"/>
      <c r="AP4478" s="17"/>
      <c r="AQ4478" s="17"/>
      <c r="AR4478" s="17"/>
    </row>
    <row r="4479" s="20" customFormat="1" hidden="1" spans="1:44">
      <c r="A4479" s="17" t="s">
        <v>34</v>
      </c>
      <c r="B4479" s="19">
        <v>956</v>
      </c>
      <c r="C4479" s="183">
        <v>45225</v>
      </c>
      <c r="D4479" s="17" t="s">
        <v>52</v>
      </c>
      <c r="E4479" s="17" t="s">
        <v>53</v>
      </c>
      <c r="F4479" s="17" t="s">
        <v>54</v>
      </c>
      <c r="G4479" s="17"/>
      <c r="H4479" s="124">
        <v>1.2379</v>
      </c>
      <c r="I4479" s="124"/>
      <c r="J4479" s="17" t="s">
        <v>82</v>
      </c>
      <c r="K4479" s="295">
        <v>360</v>
      </c>
      <c r="L4479" s="295">
        <v>50</v>
      </c>
      <c r="M4479" s="19">
        <v>5800</v>
      </c>
      <c r="N4479" s="19" t="s">
        <v>40</v>
      </c>
      <c r="O4479" s="19" t="s">
        <v>98</v>
      </c>
      <c r="P4479" s="19"/>
      <c r="Q4479" s="19">
        <v>653</v>
      </c>
      <c r="R4479" s="19"/>
      <c r="S4479" s="19">
        <v>2025</v>
      </c>
      <c r="T4479" s="19" t="s">
        <v>42</v>
      </c>
      <c r="U4479" s="102" t="s">
        <v>1330</v>
      </c>
      <c r="V4479" s="101">
        <v>45225</v>
      </c>
      <c r="W4479" s="17" t="s">
        <v>58</v>
      </c>
      <c r="X4479" s="17"/>
      <c r="Y4479" s="68">
        <v>45283</v>
      </c>
      <c r="Z4479" s="17" t="s">
        <v>1326</v>
      </c>
      <c r="AA4479" s="17" t="s">
        <v>46</v>
      </c>
      <c r="AB4479" s="17" t="s">
        <v>1331</v>
      </c>
      <c r="AC4479" s="217">
        <v>45425</v>
      </c>
      <c r="AD4479" s="65">
        <v>1571</v>
      </c>
      <c r="AE4479" s="17" t="s">
        <v>48</v>
      </c>
      <c r="AF4479" s="17"/>
      <c r="AG4479" s="17"/>
      <c r="AH4479" s="17"/>
      <c r="AI4479" s="17"/>
      <c r="AJ4479" s="17"/>
      <c r="AK4479" s="17"/>
      <c r="AL4479" s="17"/>
      <c r="AM4479" s="17"/>
      <c r="AN4479" s="17"/>
      <c r="AO4479" s="17"/>
      <c r="AP4479" s="17"/>
      <c r="AQ4479" s="17"/>
      <c r="AR4479" s="17"/>
    </row>
    <row r="4480" s="21" customFormat="1" hidden="1" spans="1:44">
      <c r="A4480" s="17" t="s">
        <v>34</v>
      </c>
      <c r="B4480" s="19">
        <v>956</v>
      </c>
      <c r="C4480" s="183">
        <v>45225</v>
      </c>
      <c r="D4480" s="17" t="s">
        <v>52</v>
      </c>
      <c r="E4480" s="17" t="s">
        <v>53</v>
      </c>
      <c r="F4480" s="17" t="s">
        <v>54</v>
      </c>
      <c r="G4480" s="17"/>
      <c r="H4480" s="124">
        <v>1.2379</v>
      </c>
      <c r="I4480" s="124"/>
      <c r="J4480" s="17" t="s">
        <v>82</v>
      </c>
      <c r="K4480" s="295">
        <v>405</v>
      </c>
      <c r="L4480" s="295">
        <v>50</v>
      </c>
      <c r="M4480" s="19">
        <v>5800</v>
      </c>
      <c r="N4480" s="19" t="s">
        <v>40</v>
      </c>
      <c r="O4480" s="19" t="s">
        <v>98</v>
      </c>
      <c r="P4480" s="19">
        <v>1000</v>
      </c>
      <c r="Q4480" s="19">
        <v>738</v>
      </c>
      <c r="R4480" s="19">
        <f>+P4480-Q4480</f>
        <v>262</v>
      </c>
      <c r="S4480" s="19">
        <v>2025</v>
      </c>
      <c r="T4480" s="19" t="s">
        <v>42</v>
      </c>
      <c r="U4480" s="102" t="s">
        <v>1330</v>
      </c>
      <c r="V4480" s="101">
        <v>45225</v>
      </c>
      <c r="W4480" s="17" t="s">
        <v>58</v>
      </c>
      <c r="X4480" s="17"/>
      <c r="Y4480" s="68">
        <v>45283</v>
      </c>
      <c r="Z4480" s="17" t="s">
        <v>1326</v>
      </c>
      <c r="AA4480" s="17" t="s">
        <v>46</v>
      </c>
      <c r="AB4480" s="17" t="s">
        <v>1333</v>
      </c>
      <c r="AC4480" s="217">
        <v>45371</v>
      </c>
      <c r="AD4480" s="65">
        <v>1541</v>
      </c>
      <c r="AE4480" s="17" t="s">
        <v>48</v>
      </c>
      <c r="AF4480" s="17"/>
      <c r="AG4480" s="17"/>
      <c r="AH4480" s="17"/>
      <c r="AI4480" s="17"/>
      <c r="AJ4480" s="17"/>
      <c r="AK4480" s="17"/>
      <c r="AL4480" s="17"/>
      <c r="AM4480" s="17"/>
      <c r="AN4480" s="17"/>
      <c r="AO4480" s="17"/>
      <c r="AP4480" s="17"/>
      <c r="AQ4480" s="17"/>
      <c r="AR4480" s="17"/>
    </row>
    <row r="4481" s="21" customFormat="1" hidden="1" spans="1:44">
      <c r="A4481" s="17" t="s">
        <v>34</v>
      </c>
      <c r="B4481" s="19">
        <v>956</v>
      </c>
      <c r="C4481" s="183">
        <v>45225</v>
      </c>
      <c r="D4481" s="17" t="s">
        <v>52</v>
      </c>
      <c r="E4481" s="17" t="s">
        <v>53</v>
      </c>
      <c r="F4481" s="17" t="s">
        <v>54</v>
      </c>
      <c r="G4481" s="17"/>
      <c r="H4481" s="124">
        <v>1.2379</v>
      </c>
      <c r="I4481" s="124"/>
      <c r="J4481" s="17" t="s">
        <v>82</v>
      </c>
      <c r="K4481" s="295">
        <v>460</v>
      </c>
      <c r="L4481" s="295">
        <v>50</v>
      </c>
      <c r="M4481" s="19">
        <v>5800</v>
      </c>
      <c r="N4481" s="19" t="s">
        <v>40</v>
      </c>
      <c r="O4481" s="19" t="s">
        <v>98</v>
      </c>
      <c r="P4481" s="19"/>
      <c r="Q4481" s="19">
        <v>685</v>
      </c>
      <c r="R4481" s="19"/>
      <c r="S4481" s="19">
        <v>2025</v>
      </c>
      <c r="T4481" s="19" t="s">
        <v>42</v>
      </c>
      <c r="U4481" s="102" t="s">
        <v>1330</v>
      </c>
      <c r="V4481" s="101">
        <v>45225</v>
      </c>
      <c r="W4481" s="17" t="s">
        <v>58</v>
      </c>
      <c r="X4481" s="17"/>
      <c r="Y4481" s="68">
        <v>45283</v>
      </c>
      <c r="Z4481" s="17" t="s">
        <v>1326</v>
      </c>
      <c r="AA4481" s="17" t="s">
        <v>46</v>
      </c>
      <c r="AB4481" s="17" t="s">
        <v>1331</v>
      </c>
      <c r="AC4481" s="217">
        <v>45425</v>
      </c>
      <c r="AD4481" s="65">
        <v>1571</v>
      </c>
      <c r="AE4481" s="17" t="s">
        <v>48</v>
      </c>
      <c r="AF4481" s="17"/>
      <c r="AG4481" s="17"/>
      <c r="AH4481" s="17"/>
      <c r="AI4481" s="17"/>
      <c r="AJ4481" s="17"/>
      <c r="AK4481" s="17"/>
      <c r="AL4481" s="17"/>
      <c r="AM4481" s="17"/>
      <c r="AN4481" s="17"/>
      <c r="AO4481" s="17"/>
      <c r="AP4481" s="17"/>
      <c r="AQ4481" s="17"/>
      <c r="AR4481" s="17"/>
    </row>
    <row r="4482" s="21" customFormat="1" hidden="1" spans="1:44">
      <c r="A4482" s="17" t="s">
        <v>34</v>
      </c>
      <c r="B4482" s="19">
        <v>956</v>
      </c>
      <c r="C4482" s="183">
        <v>45225</v>
      </c>
      <c r="D4482" s="17" t="s">
        <v>52</v>
      </c>
      <c r="E4482" s="17" t="s">
        <v>53</v>
      </c>
      <c r="F4482" s="17" t="s">
        <v>54</v>
      </c>
      <c r="G4482" s="17"/>
      <c r="H4482" s="124">
        <v>1.2379</v>
      </c>
      <c r="I4482" s="124"/>
      <c r="J4482" s="17" t="s">
        <v>82</v>
      </c>
      <c r="K4482" s="295">
        <v>505</v>
      </c>
      <c r="L4482" s="295">
        <v>50</v>
      </c>
      <c r="M4482" s="19">
        <v>5800</v>
      </c>
      <c r="N4482" s="19" t="s">
        <v>40</v>
      </c>
      <c r="O4482" s="19" t="s">
        <v>98</v>
      </c>
      <c r="P4482" s="19">
        <v>1600</v>
      </c>
      <c r="Q4482" s="19">
        <v>729</v>
      </c>
      <c r="R4482" s="19">
        <f>+P4482-Q4482</f>
        <v>871</v>
      </c>
      <c r="S4482" s="19">
        <v>2025</v>
      </c>
      <c r="T4482" s="19" t="s">
        <v>42</v>
      </c>
      <c r="U4482" s="102" t="s">
        <v>1330</v>
      </c>
      <c r="V4482" s="101">
        <v>45225</v>
      </c>
      <c r="W4482" s="17" t="s">
        <v>58</v>
      </c>
      <c r="X4482" s="17"/>
      <c r="Y4482" s="68">
        <v>45283</v>
      </c>
      <c r="Z4482" s="17" t="s">
        <v>1326</v>
      </c>
      <c r="AA4482" s="17" t="s">
        <v>46</v>
      </c>
      <c r="AB4482" s="17" t="s">
        <v>1333</v>
      </c>
      <c r="AC4482" s="217">
        <v>45371</v>
      </c>
      <c r="AD4482" s="65">
        <v>1541</v>
      </c>
      <c r="AE4482" s="17" t="s">
        <v>48</v>
      </c>
      <c r="AF4482" s="17"/>
      <c r="AG4482" s="17"/>
      <c r="AH4482" s="17"/>
      <c r="AI4482" s="17"/>
      <c r="AJ4482" s="17"/>
      <c r="AK4482" s="17"/>
      <c r="AL4482" s="17"/>
      <c r="AM4482" s="17"/>
      <c r="AN4482" s="17"/>
      <c r="AO4482" s="17"/>
      <c r="AP4482" s="17"/>
      <c r="AQ4482" s="17"/>
      <c r="AR4482" s="17"/>
    </row>
    <row r="4483" s="21" customFormat="1" hidden="1" spans="1:44">
      <c r="A4483" s="17" t="s">
        <v>34</v>
      </c>
      <c r="B4483" s="19">
        <v>956</v>
      </c>
      <c r="C4483" s="183">
        <v>45225</v>
      </c>
      <c r="D4483" s="17" t="s">
        <v>52</v>
      </c>
      <c r="E4483" s="17" t="s">
        <v>53</v>
      </c>
      <c r="F4483" s="17" t="s">
        <v>54</v>
      </c>
      <c r="G4483" s="17"/>
      <c r="H4483" s="124">
        <v>1.2379</v>
      </c>
      <c r="I4483" s="124"/>
      <c r="J4483" s="17" t="s">
        <v>82</v>
      </c>
      <c r="K4483" s="295">
        <v>130</v>
      </c>
      <c r="L4483" s="295">
        <v>65</v>
      </c>
      <c r="M4483" s="19">
        <v>5800</v>
      </c>
      <c r="N4483" s="19" t="s">
        <v>40</v>
      </c>
      <c r="O4483" s="19" t="s">
        <v>98</v>
      </c>
      <c r="P4483" s="19"/>
      <c r="Q4483" s="19">
        <v>227</v>
      </c>
      <c r="R4483" s="19"/>
      <c r="S4483" s="19">
        <v>2025</v>
      </c>
      <c r="T4483" s="19" t="s">
        <v>42</v>
      </c>
      <c r="U4483" s="102" t="s">
        <v>1330</v>
      </c>
      <c r="V4483" s="101">
        <v>45225</v>
      </c>
      <c r="W4483" s="17" t="s">
        <v>58</v>
      </c>
      <c r="X4483" s="17"/>
      <c r="Y4483" s="68">
        <v>45283</v>
      </c>
      <c r="Z4483" s="17" t="s">
        <v>1326</v>
      </c>
      <c r="AA4483" s="17" t="s">
        <v>46</v>
      </c>
      <c r="AB4483" s="17" t="s">
        <v>1331</v>
      </c>
      <c r="AC4483" s="217">
        <v>45425</v>
      </c>
      <c r="AD4483" s="65">
        <v>1571</v>
      </c>
      <c r="AE4483" s="17" t="s">
        <v>48</v>
      </c>
      <c r="AF4483" s="17"/>
      <c r="AG4483" s="17"/>
      <c r="AH4483" s="17"/>
      <c r="AI4483" s="17"/>
      <c r="AJ4483" s="17"/>
      <c r="AK4483" s="17"/>
      <c r="AL4483" s="17"/>
      <c r="AM4483" s="17"/>
      <c r="AN4483" s="17"/>
      <c r="AO4483" s="17"/>
      <c r="AP4483" s="17"/>
      <c r="AQ4483" s="17"/>
      <c r="AR4483" s="17"/>
    </row>
    <row r="4484" s="21" customFormat="1" hidden="1" spans="1:44">
      <c r="A4484" s="17" t="s">
        <v>34</v>
      </c>
      <c r="B4484" s="19">
        <v>956</v>
      </c>
      <c r="C4484" s="183">
        <v>45225</v>
      </c>
      <c r="D4484" s="17" t="s">
        <v>52</v>
      </c>
      <c r="E4484" s="17" t="s">
        <v>53</v>
      </c>
      <c r="F4484" s="17" t="s">
        <v>54</v>
      </c>
      <c r="G4484" s="17"/>
      <c r="H4484" s="124">
        <v>1.2379</v>
      </c>
      <c r="I4484" s="124"/>
      <c r="J4484" s="17" t="s">
        <v>82</v>
      </c>
      <c r="K4484" s="295">
        <v>155</v>
      </c>
      <c r="L4484" s="295">
        <v>65</v>
      </c>
      <c r="M4484" s="19">
        <v>5800</v>
      </c>
      <c r="N4484" s="19" t="s">
        <v>40</v>
      </c>
      <c r="O4484" s="19" t="s">
        <v>98</v>
      </c>
      <c r="P4484" s="19">
        <v>1000</v>
      </c>
      <c r="Q4484" s="19">
        <v>186</v>
      </c>
      <c r="R4484" s="19">
        <f>+P4484-Q4484</f>
        <v>814</v>
      </c>
      <c r="S4484" s="19">
        <v>2025</v>
      </c>
      <c r="T4484" s="19" t="s">
        <v>42</v>
      </c>
      <c r="U4484" s="102" t="s">
        <v>1330</v>
      </c>
      <c r="V4484" s="101">
        <v>45225</v>
      </c>
      <c r="W4484" s="17" t="s">
        <v>58</v>
      </c>
      <c r="X4484" s="17"/>
      <c r="Y4484" s="68">
        <v>45283</v>
      </c>
      <c r="Z4484" s="17" t="s">
        <v>1326</v>
      </c>
      <c r="AA4484" s="17" t="s">
        <v>46</v>
      </c>
      <c r="AB4484" s="17" t="s">
        <v>1333</v>
      </c>
      <c r="AC4484" s="217">
        <v>45371</v>
      </c>
      <c r="AD4484" s="65">
        <v>1541</v>
      </c>
      <c r="AE4484" s="17" t="s">
        <v>48</v>
      </c>
      <c r="AF4484" s="17"/>
      <c r="AG4484" s="17"/>
      <c r="AH4484" s="17"/>
      <c r="AI4484" s="17"/>
      <c r="AJ4484" s="17"/>
      <c r="AK4484" s="17"/>
      <c r="AL4484" s="17"/>
      <c r="AM4484" s="17"/>
      <c r="AN4484" s="17"/>
      <c r="AO4484" s="17"/>
      <c r="AP4484" s="17"/>
      <c r="AQ4484" s="17"/>
      <c r="AR4484" s="17"/>
    </row>
    <row r="4485" s="21" customFormat="1" hidden="1" spans="1:44">
      <c r="A4485" s="17" t="s">
        <v>34</v>
      </c>
      <c r="B4485" s="19">
        <v>956</v>
      </c>
      <c r="C4485" s="183">
        <v>45225</v>
      </c>
      <c r="D4485" s="17" t="s">
        <v>52</v>
      </c>
      <c r="E4485" s="17" t="s">
        <v>53</v>
      </c>
      <c r="F4485" s="17" t="s">
        <v>54</v>
      </c>
      <c r="G4485" s="17"/>
      <c r="H4485" s="124">
        <v>1.2379</v>
      </c>
      <c r="I4485" s="124"/>
      <c r="J4485" s="17" t="s">
        <v>82</v>
      </c>
      <c r="K4485" s="295">
        <v>180</v>
      </c>
      <c r="L4485" s="295">
        <v>65</v>
      </c>
      <c r="M4485" s="19">
        <v>5800</v>
      </c>
      <c r="N4485" s="19" t="s">
        <v>40</v>
      </c>
      <c r="O4485" s="19" t="s">
        <v>98</v>
      </c>
      <c r="P4485" s="19"/>
      <c r="Q4485" s="19">
        <v>213</v>
      </c>
      <c r="R4485" s="19"/>
      <c r="S4485" s="19">
        <v>2025</v>
      </c>
      <c r="T4485" s="19" t="s">
        <v>42</v>
      </c>
      <c r="U4485" s="102" t="s">
        <v>1330</v>
      </c>
      <c r="V4485" s="101">
        <v>45225</v>
      </c>
      <c r="W4485" s="17" t="s">
        <v>58</v>
      </c>
      <c r="X4485" s="17"/>
      <c r="Y4485" s="68">
        <v>45283</v>
      </c>
      <c r="Z4485" s="17" t="s">
        <v>1326</v>
      </c>
      <c r="AA4485" s="17" t="s">
        <v>46</v>
      </c>
      <c r="AB4485" s="17" t="s">
        <v>1331</v>
      </c>
      <c r="AC4485" s="217">
        <v>45425</v>
      </c>
      <c r="AD4485" s="65">
        <v>1571</v>
      </c>
      <c r="AE4485" s="17" t="s">
        <v>48</v>
      </c>
      <c r="AF4485" s="17"/>
      <c r="AG4485" s="17"/>
      <c r="AH4485" s="17"/>
      <c r="AI4485" s="17"/>
      <c r="AJ4485" s="17"/>
      <c r="AK4485" s="17"/>
      <c r="AL4485" s="17"/>
      <c r="AM4485" s="17"/>
      <c r="AN4485" s="17"/>
      <c r="AO4485" s="17"/>
      <c r="AP4485" s="17"/>
      <c r="AQ4485" s="17"/>
      <c r="AR4485" s="17"/>
    </row>
    <row r="4486" s="20" customFormat="1" hidden="1" spans="1:44">
      <c r="A4486" s="17" t="s">
        <v>34</v>
      </c>
      <c r="B4486" s="19">
        <v>956</v>
      </c>
      <c r="C4486" s="183">
        <v>45225</v>
      </c>
      <c r="D4486" s="17" t="s">
        <v>52</v>
      </c>
      <c r="E4486" s="17" t="s">
        <v>53</v>
      </c>
      <c r="F4486" s="17" t="s">
        <v>54</v>
      </c>
      <c r="G4486" s="17"/>
      <c r="H4486" s="124">
        <v>1.2379</v>
      </c>
      <c r="I4486" s="124"/>
      <c r="J4486" s="17" t="s">
        <v>82</v>
      </c>
      <c r="K4486" s="295">
        <v>205</v>
      </c>
      <c r="L4486" s="295">
        <v>65</v>
      </c>
      <c r="M4486" s="19">
        <v>5800</v>
      </c>
      <c r="N4486" s="19" t="s">
        <v>40</v>
      </c>
      <c r="O4486" s="19" t="s">
        <v>98</v>
      </c>
      <c r="P4486" s="19">
        <v>1000</v>
      </c>
      <c r="Q4486" s="19">
        <v>548</v>
      </c>
      <c r="R4486" s="19">
        <f>+P4486-Q4486</f>
        <v>452</v>
      </c>
      <c r="S4486" s="19">
        <v>2025</v>
      </c>
      <c r="T4486" s="19" t="s">
        <v>42</v>
      </c>
      <c r="U4486" s="102" t="s">
        <v>1330</v>
      </c>
      <c r="V4486" s="101">
        <v>45225</v>
      </c>
      <c r="W4486" s="17" t="s">
        <v>58</v>
      </c>
      <c r="X4486" s="17"/>
      <c r="Y4486" s="68">
        <v>45283</v>
      </c>
      <c r="Z4486" s="17" t="s">
        <v>1326</v>
      </c>
      <c r="AA4486" s="17" t="s">
        <v>46</v>
      </c>
      <c r="AB4486" s="17" t="s">
        <v>1330</v>
      </c>
      <c r="AC4486" s="217">
        <v>45323</v>
      </c>
      <c r="AD4486" s="65">
        <v>1524</v>
      </c>
      <c r="AE4486" s="17" t="s">
        <v>48</v>
      </c>
      <c r="AF4486" s="17"/>
      <c r="AG4486" s="17"/>
      <c r="AH4486" s="17"/>
      <c r="AI4486" s="17"/>
      <c r="AJ4486" s="17"/>
      <c r="AK4486" s="17"/>
      <c r="AL4486" s="17"/>
      <c r="AM4486" s="17"/>
      <c r="AN4486" s="17"/>
      <c r="AO4486" s="17"/>
      <c r="AP4486" s="17"/>
      <c r="AQ4486" s="17"/>
      <c r="AR4486" s="17"/>
    </row>
    <row r="4487" s="21" customFormat="1" hidden="1" spans="1:44">
      <c r="A4487" s="17" t="s">
        <v>34</v>
      </c>
      <c r="B4487" s="19">
        <v>956</v>
      </c>
      <c r="C4487" s="183">
        <v>45225</v>
      </c>
      <c r="D4487" s="17" t="s">
        <v>52</v>
      </c>
      <c r="E4487" s="17" t="s">
        <v>53</v>
      </c>
      <c r="F4487" s="17" t="s">
        <v>54</v>
      </c>
      <c r="G4487" s="17"/>
      <c r="H4487" s="124">
        <v>1.2379</v>
      </c>
      <c r="I4487" s="124"/>
      <c r="J4487" s="17" t="s">
        <v>82</v>
      </c>
      <c r="K4487" s="295">
        <v>255</v>
      </c>
      <c r="L4487" s="295">
        <v>65</v>
      </c>
      <c r="M4487" s="19">
        <v>5800</v>
      </c>
      <c r="N4487" s="19" t="s">
        <v>40</v>
      </c>
      <c r="O4487" s="19" t="s">
        <v>98</v>
      </c>
      <c r="P4487" s="19">
        <v>1000</v>
      </c>
      <c r="Q4487" s="19">
        <v>548</v>
      </c>
      <c r="R4487" s="19">
        <f>+P4487-Q4487</f>
        <v>452</v>
      </c>
      <c r="S4487" s="19">
        <v>2025</v>
      </c>
      <c r="T4487" s="19" t="s">
        <v>42</v>
      </c>
      <c r="U4487" s="102" t="s">
        <v>1330</v>
      </c>
      <c r="V4487" s="101">
        <v>45225</v>
      </c>
      <c r="W4487" s="17" t="s">
        <v>58</v>
      </c>
      <c r="X4487" s="17"/>
      <c r="Y4487" s="68">
        <v>45283</v>
      </c>
      <c r="Z4487" s="17" t="s">
        <v>1326</v>
      </c>
      <c r="AA4487" s="17" t="s">
        <v>46</v>
      </c>
      <c r="AB4487" s="17" t="s">
        <v>1333</v>
      </c>
      <c r="AC4487" s="217">
        <v>45371</v>
      </c>
      <c r="AD4487" s="65">
        <v>1541</v>
      </c>
      <c r="AE4487" s="17" t="s">
        <v>48</v>
      </c>
      <c r="AF4487" s="17"/>
      <c r="AG4487" s="17"/>
      <c r="AH4487" s="17"/>
      <c r="AI4487" s="17"/>
      <c r="AJ4487" s="17"/>
      <c r="AK4487" s="17"/>
      <c r="AL4487" s="17"/>
      <c r="AM4487" s="17"/>
      <c r="AN4487" s="17"/>
      <c r="AO4487" s="17"/>
      <c r="AP4487" s="17"/>
      <c r="AQ4487" s="17"/>
      <c r="AR4487" s="17"/>
    </row>
    <row r="4488" s="21" customFormat="1" hidden="1" spans="1:44">
      <c r="A4488" s="17" t="s">
        <v>34</v>
      </c>
      <c r="B4488" s="19">
        <v>956</v>
      </c>
      <c r="C4488" s="183">
        <v>45225</v>
      </c>
      <c r="D4488" s="17" t="s">
        <v>52</v>
      </c>
      <c r="E4488" s="17" t="s">
        <v>53</v>
      </c>
      <c r="F4488" s="17" t="s">
        <v>54</v>
      </c>
      <c r="G4488" s="17"/>
      <c r="H4488" s="124">
        <v>1.2379</v>
      </c>
      <c r="I4488" s="124"/>
      <c r="J4488" s="17" t="s">
        <v>82</v>
      </c>
      <c r="K4488" s="295">
        <v>305</v>
      </c>
      <c r="L4488" s="295">
        <v>65</v>
      </c>
      <c r="M4488" s="19">
        <v>5800</v>
      </c>
      <c r="N4488" s="19" t="s">
        <v>40</v>
      </c>
      <c r="O4488" s="19" t="s">
        <v>98</v>
      </c>
      <c r="P4488" s="19">
        <v>1400</v>
      </c>
      <c r="Q4488" s="19">
        <v>732</v>
      </c>
      <c r="S4488" s="19">
        <v>2025</v>
      </c>
      <c r="T4488" s="19" t="s">
        <v>42</v>
      </c>
      <c r="U4488" s="102" t="s">
        <v>1330</v>
      </c>
      <c r="V4488" s="101">
        <v>45225</v>
      </c>
      <c r="W4488" s="17" t="s">
        <v>58</v>
      </c>
      <c r="X4488" s="17"/>
      <c r="Y4488" s="68">
        <v>45283</v>
      </c>
      <c r="Z4488" s="17" t="s">
        <v>1326</v>
      </c>
      <c r="AA4488" s="17" t="s">
        <v>46</v>
      </c>
      <c r="AB4488" s="17" t="s">
        <v>1330</v>
      </c>
      <c r="AC4488" s="217">
        <v>45323</v>
      </c>
      <c r="AD4488" s="65">
        <v>1524</v>
      </c>
      <c r="AE4488" s="17" t="s">
        <v>48</v>
      </c>
      <c r="AF4488" s="17"/>
      <c r="AG4488" s="17"/>
      <c r="AH4488" s="17"/>
      <c r="AI4488" s="17"/>
      <c r="AJ4488" s="17"/>
      <c r="AK4488" s="17"/>
      <c r="AL4488" s="17"/>
      <c r="AM4488" s="17"/>
      <c r="AN4488" s="17"/>
      <c r="AO4488" s="17"/>
      <c r="AP4488" s="17"/>
      <c r="AQ4488" s="17"/>
      <c r="AR4488" s="17"/>
    </row>
    <row r="4489" s="21" customFormat="1" hidden="1" spans="1:44">
      <c r="A4489" s="17" t="s">
        <v>34</v>
      </c>
      <c r="B4489" s="19">
        <v>956</v>
      </c>
      <c r="C4489" s="183">
        <v>45225</v>
      </c>
      <c r="D4489" s="17" t="s">
        <v>52</v>
      </c>
      <c r="E4489" s="17" t="s">
        <v>53</v>
      </c>
      <c r="F4489" s="17" t="s">
        <v>54</v>
      </c>
      <c r="G4489" s="17"/>
      <c r="H4489" s="124">
        <v>1.2379</v>
      </c>
      <c r="I4489" s="124"/>
      <c r="J4489" s="17" t="s">
        <v>82</v>
      </c>
      <c r="K4489" s="295">
        <v>305</v>
      </c>
      <c r="L4489" s="295">
        <v>65</v>
      </c>
      <c r="M4489" s="19">
        <v>5800</v>
      </c>
      <c r="N4489" s="19" t="s">
        <v>40</v>
      </c>
      <c r="O4489" s="19" t="s">
        <v>98</v>
      </c>
      <c r="P4489" s="19"/>
      <c r="Q4489" s="19">
        <v>746</v>
      </c>
      <c r="R4489" s="19">
        <f>+P4488-Q4488-Q4489</f>
        <v>-78</v>
      </c>
      <c r="S4489" s="19">
        <v>2025</v>
      </c>
      <c r="T4489" s="19" t="s">
        <v>42</v>
      </c>
      <c r="U4489" s="102" t="s">
        <v>1330</v>
      </c>
      <c r="V4489" s="101">
        <v>45225</v>
      </c>
      <c r="W4489" s="17" t="s">
        <v>58</v>
      </c>
      <c r="X4489" s="17"/>
      <c r="Y4489" s="68">
        <v>45283</v>
      </c>
      <c r="Z4489" s="17" t="s">
        <v>1326</v>
      </c>
      <c r="AA4489" s="17" t="s">
        <v>46</v>
      </c>
      <c r="AB4489" s="17" t="s">
        <v>1331</v>
      </c>
      <c r="AC4489" s="217">
        <v>45425</v>
      </c>
      <c r="AD4489" s="65">
        <v>1571</v>
      </c>
      <c r="AE4489" s="17" t="s">
        <v>48</v>
      </c>
      <c r="AF4489" s="17"/>
      <c r="AG4489" s="17"/>
      <c r="AH4489" s="17"/>
      <c r="AI4489" s="17"/>
      <c r="AJ4489" s="17"/>
      <c r="AK4489" s="17"/>
      <c r="AL4489" s="17"/>
      <c r="AM4489" s="17"/>
      <c r="AN4489" s="17"/>
      <c r="AO4489" s="17"/>
      <c r="AP4489" s="17"/>
      <c r="AQ4489" s="17"/>
      <c r="AR4489" s="17"/>
    </row>
    <row r="4490" s="21" customFormat="1" hidden="1" spans="1:44">
      <c r="A4490" s="17" t="s">
        <v>34</v>
      </c>
      <c r="B4490" s="19">
        <v>956</v>
      </c>
      <c r="C4490" s="183">
        <v>45225</v>
      </c>
      <c r="D4490" s="17" t="s">
        <v>52</v>
      </c>
      <c r="E4490" s="17" t="s">
        <v>53</v>
      </c>
      <c r="F4490" s="17" t="s">
        <v>54</v>
      </c>
      <c r="G4490" s="17"/>
      <c r="H4490" s="124">
        <v>1.2379</v>
      </c>
      <c r="I4490" s="124"/>
      <c r="J4490" s="17" t="s">
        <v>82</v>
      </c>
      <c r="K4490" s="295">
        <v>405</v>
      </c>
      <c r="L4490" s="295">
        <v>65</v>
      </c>
      <c r="M4490" s="19">
        <v>5800</v>
      </c>
      <c r="N4490" s="19" t="s">
        <v>40</v>
      </c>
      <c r="O4490" s="19" t="s">
        <v>98</v>
      </c>
      <c r="P4490" s="19">
        <v>2000</v>
      </c>
      <c r="Q4490" s="19">
        <f>694+800</f>
        <v>1494</v>
      </c>
      <c r="R4490" s="19">
        <f>+P4490-Q4490</f>
        <v>506</v>
      </c>
      <c r="S4490" s="19">
        <v>2025</v>
      </c>
      <c r="T4490" s="19" t="s">
        <v>42</v>
      </c>
      <c r="U4490" s="102" t="s">
        <v>1330</v>
      </c>
      <c r="V4490" s="101">
        <v>45225</v>
      </c>
      <c r="W4490" s="17" t="s">
        <v>58</v>
      </c>
      <c r="X4490" s="17"/>
      <c r="Y4490" s="68">
        <v>45283</v>
      </c>
      <c r="Z4490" s="17" t="s">
        <v>1326</v>
      </c>
      <c r="AA4490" s="17" t="s">
        <v>46</v>
      </c>
      <c r="AB4490" s="17" t="s">
        <v>1333</v>
      </c>
      <c r="AC4490" s="217">
        <v>45371</v>
      </c>
      <c r="AD4490" s="65">
        <v>1541</v>
      </c>
      <c r="AE4490" s="17" t="s">
        <v>48</v>
      </c>
      <c r="AF4490" s="17"/>
      <c r="AG4490" s="17"/>
      <c r="AH4490" s="17"/>
      <c r="AI4490" s="17"/>
      <c r="AJ4490" s="17"/>
      <c r="AK4490" s="17"/>
      <c r="AL4490" s="17"/>
      <c r="AM4490" s="17"/>
      <c r="AN4490" s="17"/>
      <c r="AO4490" s="17"/>
      <c r="AP4490" s="17"/>
      <c r="AQ4490" s="17"/>
      <c r="AR4490" s="17"/>
    </row>
    <row r="4491" s="20" customFormat="1" hidden="1" spans="1:44">
      <c r="A4491" s="17" t="s">
        <v>34</v>
      </c>
      <c r="B4491" s="19">
        <v>956</v>
      </c>
      <c r="C4491" s="183">
        <v>45225</v>
      </c>
      <c r="D4491" s="17" t="s">
        <v>52</v>
      </c>
      <c r="E4491" s="17" t="s">
        <v>53</v>
      </c>
      <c r="F4491" s="17" t="s">
        <v>54</v>
      </c>
      <c r="G4491" s="17"/>
      <c r="H4491" s="124">
        <v>1.2379</v>
      </c>
      <c r="I4491" s="124"/>
      <c r="J4491" s="17" t="s">
        <v>82</v>
      </c>
      <c r="K4491" s="295">
        <v>505</v>
      </c>
      <c r="L4491" s="295">
        <v>65</v>
      </c>
      <c r="M4491" s="19">
        <v>5800</v>
      </c>
      <c r="N4491" s="19" t="s">
        <v>40</v>
      </c>
      <c r="O4491" s="19" t="s">
        <v>98</v>
      </c>
      <c r="P4491" s="19">
        <v>2000</v>
      </c>
      <c r="Q4491" s="19">
        <v>916</v>
      </c>
      <c r="R4491" s="21"/>
      <c r="S4491" s="19">
        <v>2025</v>
      </c>
      <c r="T4491" s="19" t="s">
        <v>42</v>
      </c>
      <c r="U4491" s="102" t="s">
        <v>1330</v>
      </c>
      <c r="V4491" s="101">
        <v>45225</v>
      </c>
      <c r="W4491" s="17" t="s">
        <v>58</v>
      </c>
      <c r="X4491" s="17"/>
      <c r="Y4491" s="68">
        <v>45283</v>
      </c>
      <c r="Z4491" s="17" t="s">
        <v>1326</v>
      </c>
      <c r="AA4491" s="17" t="s">
        <v>46</v>
      </c>
      <c r="AB4491" s="17" t="s">
        <v>1330</v>
      </c>
      <c r="AC4491" s="217">
        <v>45323</v>
      </c>
      <c r="AD4491" s="65">
        <v>1524</v>
      </c>
      <c r="AE4491" s="17" t="s">
        <v>48</v>
      </c>
      <c r="AF4491" s="17"/>
      <c r="AG4491" s="17"/>
      <c r="AH4491" s="17"/>
      <c r="AI4491" s="17"/>
      <c r="AJ4491" s="17"/>
      <c r="AK4491" s="17"/>
      <c r="AL4491" s="17"/>
      <c r="AM4491" s="17"/>
      <c r="AN4491" s="17"/>
      <c r="AO4491" s="17"/>
      <c r="AP4491" s="17"/>
      <c r="AQ4491" s="17"/>
      <c r="AR4491" s="17"/>
    </row>
    <row r="4492" s="20" customFormat="1" hidden="1" spans="1:44">
      <c r="A4492" s="17" t="s">
        <v>34</v>
      </c>
      <c r="B4492" s="19">
        <v>956</v>
      </c>
      <c r="C4492" s="183">
        <v>45225</v>
      </c>
      <c r="D4492" s="17" t="s">
        <v>52</v>
      </c>
      <c r="E4492" s="17" t="s">
        <v>53</v>
      </c>
      <c r="F4492" s="17" t="s">
        <v>54</v>
      </c>
      <c r="G4492" s="17"/>
      <c r="H4492" s="124">
        <v>1.2379</v>
      </c>
      <c r="I4492" s="124"/>
      <c r="J4492" s="17" t="s">
        <v>82</v>
      </c>
      <c r="K4492" s="295">
        <v>505</v>
      </c>
      <c r="L4492" s="295">
        <v>65</v>
      </c>
      <c r="M4492" s="19">
        <v>5800</v>
      </c>
      <c r="N4492" s="19" t="s">
        <v>40</v>
      </c>
      <c r="O4492" s="19" t="s">
        <v>98</v>
      </c>
      <c r="P4492" s="19"/>
      <c r="Q4492" s="19">
        <v>858</v>
      </c>
      <c r="R4492" s="19">
        <f>+P4491-Q4491-Q4492</f>
        <v>226</v>
      </c>
      <c r="S4492" s="19">
        <v>2025</v>
      </c>
      <c r="T4492" s="19" t="s">
        <v>42</v>
      </c>
      <c r="U4492" s="102" t="s">
        <v>1330</v>
      </c>
      <c r="V4492" s="101">
        <v>45225</v>
      </c>
      <c r="W4492" s="17" t="s">
        <v>58</v>
      </c>
      <c r="X4492" s="17"/>
      <c r="Y4492" s="68">
        <v>45283</v>
      </c>
      <c r="Z4492" s="17" t="s">
        <v>1326</v>
      </c>
      <c r="AA4492" s="17" t="s">
        <v>46</v>
      </c>
      <c r="AB4492" s="17" t="s">
        <v>1333</v>
      </c>
      <c r="AC4492" s="217">
        <v>45371</v>
      </c>
      <c r="AD4492" s="65">
        <v>1541</v>
      </c>
      <c r="AE4492" s="17" t="s">
        <v>48</v>
      </c>
      <c r="AF4492" s="17"/>
      <c r="AG4492" s="17"/>
      <c r="AH4492" s="17"/>
      <c r="AI4492" s="17"/>
      <c r="AJ4492" s="17"/>
      <c r="AK4492" s="17"/>
      <c r="AL4492" s="17"/>
      <c r="AM4492" s="17"/>
      <c r="AN4492" s="17"/>
      <c r="AO4492" s="17"/>
      <c r="AP4492" s="17"/>
      <c r="AQ4492" s="17"/>
      <c r="AR4492" s="17"/>
    </row>
    <row r="4493" s="20" customFormat="1" hidden="1" spans="1:44">
      <c r="A4493" s="17" t="s">
        <v>34</v>
      </c>
      <c r="B4493" s="19">
        <v>956</v>
      </c>
      <c r="C4493" s="183">
        <v>45225</v>
      </c>
      <c r="D4493" s="17" t="s">
        <v>52</v>
      </c>
      <c r="E4493" s="17" t="s">
        <v>53</v>
      </c>
      <c r="F4493" s="17" t="s">
        <v>54</v>
      </c>
      <c r="G4493" s="17"/>
      <c r="H4493" s="124">
        <v>1.2379</v>
      </c>
      <c r="I4493" s="124"/>
      <c r="J4493" s="17" t="s">
        <v>82</v>
      </c>
      <c r="K4493" s="295">
        <v>205</v>
      </c>
      <c r="L4493" s="295">
        <v>80</v>
      </c>
      <c r="M4493" s="19">
        <v>5800</v>
      </c>
      <c r="N4493" s="19" t="s">
        <v>40</v>
      </c>
      <c r="O4493" s="19" t="s">
        <v>98</v>
      </c>
      <c r="P4493" s="19">
        <v>1000</v>
      </c>
      <c r="Q4493" s="19">
        <v>533</v>
      </c>
      <c r="R4493" s="21"/>
      <c r="S4493" s="19">
        <v>2025</v>
      </c>
      <c r="T4493" s="19" t="s">
        <v>42</v>
      </c>
      <c r="U4493" s="102" t="s">
        <v>1330</v>
      </c>
      <c r="V4493" s="101">
        <v>45225</v>
      </c>
      <c r="W4493" s="17" t="s">
        <v>58</v>
      </c>
      <c r="X4493" s="17"/>
      <c r="Y4493" s="68">
        <v>45283</v>
      </c>
      <c r="Z4493" s="17" t="s">
        <v>1326</v>
      </c>
      <c r="AA4493" s="17" t="s">
        <v>46</v>
      </c>
      <c r="AB4493" s="17" t="s">
        <v>1330</v>
      </c>
      <c r="AC4493" s="217">
        <v>45323</v>
      </c>
      <c r="AD4493" s="65">
        <v>1524</v>
      </c>
      <c r="AE4493" s="17" t="s">
        <v>48</v>
      </c>
      <c r="AF4493" s="17"/>
      <c r="AG4493" s="17"/>
      <c r="AH4493" s="17"/>
      <c r="AI4493" s="17"/>
      <c r="AJ4493" s="17"/>
      <c r="AK4493" s="17"/>
      <c r="AL4493" s="17"/>
      <c r="AM4493" s="17"/>
      <c r="AN4493" s="17"/>
      <c r="AO4493" s="17"/>
      <c r="AP4493" s="17"/>
      <c r="AQ4493" s="17"/>
      <c r="AR4493" s="17"/>
    </row>
    <row r="4494" s="20" customFormat="1" hidden="1" spans="1:44">
      <c r="A4494" s="17" t="s">
        <v>34</v>
      </c>
      <c r="B4494" s="19">
        <v>956</v>
      </c>
      <c r="C4494" s="183">
        <v>45225</v>
      </c>
      <c r="D4494" s="17" t="s">
        <v>52</v>
      </c>
      <c r="E4494" s="17" t="s">
        <v>53</v>
      </c>
      <c r="F4494" s="17" t="s">
        <v>54</v>
      </c>
      <c r="G4494" s="17"/>
      <c r="H4494" s="124">
        <v>1.2379</v>
      </c>
      <c r="I4494" s="124"/>
      <c r="J4494" s="17" t="s">
        <v>82</v>
      </c>
      <c r="K4494" s="295">
        <v>205</v>
      </c>
      <c r="L4494" s="295">
        <v>80</v>
      </c>
      <c r="M4494" s="19">
        <v>5800</v>
      </c>
      <c r="N4494" s="19" t="s">
        <v>40</v>
      </c>
      <c r="O4494" s="19" t="s">
        <v>98</v>
      </c>
      <c r="P4494" s="19"/>
      <c r="Q4494" s="19">
        <v>536</v>
      </c>
      <c r="R4494" s="19">
        <f>+P4493-Q4493-Q4494</f>
        <v>-69</v>
      </c>
      <c r="S4494" s="19">
        <v>2025</v>
      </c>
      <c r="T4494" s="19" t="s">
        <v>42</v>
      </c>
      <c r="U4494" s="102" t="s">
        <v>1330</v>
      </c>
      <c r="V4494" s="101">
        <v>45225</v>
      </c>
      <c r="W4494" s="17" t="s">
        <v>58</v>
      </c>
      <c r="X4494" s="17"/>
      <c r="Y4494" s="68">
        <v>45283</v>
      </c>
      <c r="Z4494" s="17" t="s">
        <v>1326</v>
      </c>
      <c r="AA4494" s="17" t="s">
        <v>46</v>
      </c>
      <c r="AB4494" s="17" t="s">
        <v>1333</v>
      </c>
      <c r="AC4494" s="217">
        <v>45371</v>
      </c>
      <c r="AD4494" s="65">
        <v>1541</v>
      </c>
      <c r="AE4494" s="17" t="s">
        <v>48</v>
      </c>
      <c r="AF4494" s="17"/>
      <c r="AG4494" s="17"/>
      <c r="AH4494" s="17"/>
      <c r="AI4494" s="17"/>
      <c r="AJ4494" s="17"/>
      <c r="AK4494" s="17"/>
      <c r="AL4494" s="17"/>
      <c r="AM4494" s="17"/>
      <c r="AN4494" s="17"/>
      <c r="AO4494" s="17"/>
      <c r="AP4494" s="17"/>
      <c r="AQ4494" s="17"/>
      <c r="AR4494" s="17"/>
    </row>
    <row r="4495" s="21" customFormat="1" hidden="1" spans="1:44">
      <c r="A4495" s="17" t="s">
        <v>34</v>
      </c>
      <c r="B4495" s="19">
        <v>956</v>
      </c>
      <c r="C4495" s="183">
        <v>45225</v>
      </c>
      <c r="D4495" s="17" t="s">
        <v>52</v>
      </c>
      <c r="E4495" s="17" t="s">
        <v>53</v>
      </c>
      <c r="F4495" s="17" t="s">
        <v>54</v>
      </c>
      <c r="G4495" s="17"/>
      <c r="H4495" s="124">
        <v>1.2379</v>
      </c>
      <c r="I4495" s="124"/>
      <c r="J4495" s="17" t="s">
        <v>82</v>
      </c>
      <c r="K4495" s="295">
        <v>255</v>
      </c>
      <c r="L4495" s="295">
        <v>80</v>
      </c>
      <c r="M4495" s="19">
        <v>5800</v>
      </c>
      <c r="N4495" s="19" t="s">
        <v>40</v>
      </c>
      <c r="O4495" s="19" t="s">
        <v>98</v>
      </c>
      <c r="P4495" s="19">
        <v>1000</v>
      </c>
      <c r="Q4495" s="19">
        <v>726</v>
      </c>
      <c r="S4495" s="19">
        <v>2025</v>
      </c>
      <c r="T4495" s="19" t="s">
        <v>42</v>
      </c>
      <c r="U4495" s="102" t="s">
        <v>1330</v>
      </c>
      <c r="V4495" s="101">
        <v>45225</v>
      </c>
      <c r="W4495" s="17" t="s">
        <v>58</v>
      </c>
      <c r="X4495" s="17"/>
      <c r="Y4495" s="68">
        <v>45283</v>
      </c>
      <c r="Z4495" s="17" t="s">
        <v>1326</v>
      </c>
      <c r="AA4495" s="17" t="s">
        <v>46</v>
      </c>
      <c r="AB4495" s="17" t="s">
        <v>1333</v>
      </c>
      <c r="AC4495" s="217">
        <v>45371</v>
      </c>
      <c r="AD4495" s="65">
        <v>1541</v>
      </c>
      <c r="AE4495" s="17" t="s">
        <v>48</v>
      </c>
      <c r="AF4495" s="17"/>
      <c r="AG4495" s="17"/>
      <c r="AH4495" s="17"/>
      <c r="AI4495" s="17"/>
      <c r="AJ4495" s="17"/>
      <c r="AK4495" s="17"/>
      <c r="AL4495" s="17"/>
      <c r="AM4495" s="17"/>
      <c r="AN4495" s="17"/>
      <c r="AO4495" s="17"/>
      <c r="AP4495" s="17"/>
      <c r="AQ4495" s="17"/>
      <c r="AR4495" s="17"/>
    </row>
    <row r="4496" s="21" customFormat="1" hidden="1" spans="1:44">
      <c r="A4496" s="17" t="s">
        <v>34</v>
      </c>
      <c r="B4496" s="19">
        <v>956</v>
      </c>
      <c r="C4496" s="183">
        <v>45225</v>
      </c>
      <c r="D4496" s="17" t="s">
        <v>52</v>
      </c>
      <c r="E4496" s="17" t="s">
        <v>53</v>
      </c>
      <c r="F4496" s="17" t="s">
        <v>54</v>
      </c>
      <c r="G4496" s="17"/>
      <c r="H4496" s="124">
        <v>1.2379</v>
      </c>
      <c r="I4496" s="124"/>
      <c r="J4496" s="17" t="s">
        <v>82</v>
      </c>
      <c r="K4496" s="295">
        <v>255</v>
      </c>
      <c r="L4496" s="295">
        <v>80</v>
      </c>
      <c r="M4496" s="19">
        <v>5800</v>
      </c>
      <c r="N4496" s="19" t="s">
        <v>40</v>
      </c>
      <c r="O4496" s="19" t="s">
        <v>98</v>
      </c>
      <c r="P4496" s="19"/>
      <c r="Q4496" s="19">
        <v>718</v>
      </c>
      <c r="R4496" s="19">
        <f>+P4495-Q4495-Q4496</f>
        <v>-444</v>
      </c>
      <c r="S4496" s="19">
        <v>2025</v>
      </c>
      <c r="T4496" s="19" t="s">
        <v>42</v>
      </c>
      <c r="U4496" s="102" t="s">
        <v>1330</v>
      </c>
      <c r="V4496" s="101">
        <v>45225</v>
      </c>
      <c r="W4496" s="17" t="s">
        <v>58</v>
      </c>
      <c r="X4496" s="17"/>
      <c r="Y4496" s="68">
        <v>45283</v>
      </c>
      <c r="Z4496" s="17" t="s">
        <v>1326</v>
      </c>
      <c r="AA4496" s="17" t="s">
        <v>46</v>
      </c>
      <c r="AB4496" s="17" t="s">
        <v>1331</v>
      </c>
      <c r="AC4496" s="217">
        <v>45425</v>
      </c>
      <c r="AD4496" s="65">
        <v>1571</v>
      </c>
      <c r="AE4496" s="17" t="s">
        <v>48</v>
      </c>
      <c r="AF4496" s="17"/>
      <c r="AG4496" s="17"/>
      <c r="AH4496" s="17"/>
      <c r="AI4496" s="17"/>
      <c r="AJ4496" s="17"/>
      <c r="AK4496" s="17"/>
      <c r="AL4496" s="17"/>
      <c r="AM4496" s="17"/>
      <c r="AN4496" s="17"/>
      <c r="AO4496" s="17"/>
      <c r="AP4496" s="17"/>
      <c r="AQ4496" s="17"/>
      <c r="AR4496" s="17"/>
    </row>
    <row r="4497" s="20" customFormat="1" hidden="1" spans="1:44">
      <c r="A4497" s="17" t="s">
        <v>34</v>
      </c>
      <c r="B4497" s="19">
        <v>956</v>
      </c>
      <c r="C4497" s="183">
        <v>45225</v>
      </c>
      <c r="D4497" s="17" t="s">
        <v>52</v>
      </c>
      <c r="E4497" s="17" t="s">
        <v>53</v>
      </c>
      <c r="F4497" s="17" t="s">
        <v>54</v>
      </c>
      <c r="G4497" s="17"/>
      <c r="H4497" s="124">
        <v>1.2379</v>
      </c>
      <c r="I4497" s="124"/>
      <c r="J4497" s="17" t="s">
        <v>82</v>
      </c>
      <c r="K4497" s="295">
        <v>305</v>
      </c>
      <c r="L4497" s="295">
        <v>80</v>
      </c>
      <c r="M4497" s="19">
        <v>5800</v>
      </c>
      <c r="N4497" s="19" t="s">
        <v>40</v>
      </c>
      <c r="O4497" s="19" t="s">
        <v>98</v>
      </c>
      <c r="P4497" s="19">
        <v>1000</v>
      </c>
      <c r="Q4497" s="19">
        <v>734</v>
      </c>
      <c r="R4497" s="21"/>
      <c r="S4497" s="19">
        <v>2025</v>
      </c>
      <c r="T4497" s="19" t="s">
        <v>42</v>
      </c>
      <c r="U4497" s="102" t="s">
        <v>1330</v>
      </c>
      <c r="V4497" s="101">
        <v>45225</v>
      </c>
      <c r="W4497" s="17" t="s">
        <v>58</v>
      </c>
      <c r="X4497" s="17"/>
      <c r="Y4497" s="68">
        <v>45283</v>
      </c>
      <c r="Z4497" s="17" t="s">
        <v>1326</v>
      </c>
      <c r="AA4497" s="17" t="s">
        <v>46</v>
      </c>
      <c r="AB4497" s="17" t="s">
        <v>1330</v>
      </c>
      <c r="AC4497" s="217">
        <v>45323</v>
      </c>
      <c r="AD4497" s="65">
        <v>1524</v>
      </c>
      <c r="AE4497" s="17" t="s">
        <v>48</v>
      </c>
      <c r="AF4497" s="17"/>
      <c r="AG4497" s="17"/>
      <c r="AH4497" s="17"/>
      <c r="AI4497" s="17"/>
      <c r="AJ4497" s="17"/>
      <c r="AK4497" s="17"/>
      <c r="AL4497" s="17"/>
      <c r="AM4497" s="17"/>
      <c r="AN4497" s="17"/>
      <c r="AO4497" s="17"/>
      <c r="AP4497" s="17"/>
      <c r="AQ4497" s="17"/>
      <c r="AR4497" s="17"/>
    </row>
    <row r="4498" s="20" customFormat="1" hidden="1" spans="1:44">
      <c r="A4498" s="17" t="s">
        <v>34</v>
      </c>
      <c r="B4498" s="19">
        <v>956</v>
      </c>
      <c r="C4498" s="183">
        <v>45225</v>
      </c>
      <c r="D4498" s="17" t="s">
        <v>52</v>
      </c>
      <c r="E4498" s="17" t="s">
        <v>53</v>
      </c>
      <c r="F4498" s="17" t="s">
        <v>54</v>
      </c>
      <c r="G4498" s="17"/>
      <c r="H4498" s="124">
        <v>1.2379</v>
      </c>
      <c r="I4498" s="124"/>
      <c r="J4498" s="17" t="s">
        <v>82</v>
      </c>
      <c r="K4498" s="295">
        <v>305</v>
      </c>
      <c r="L4498" s="295">
        <v>80</v>
      </c>
      <c r="M4498" s="19">
        <v>5800</v>
      </c>
      <c r="N4498" s="19" t="s">
        <v>40</v>
      </c>
      <c r="O4498" s="19" t="s">
        <v>98</v>
      </c>
      <c r="P4498" s="19"/>
      <c r="Q4498" s="19">
        <v>722</v>
      </c>
      <c r="R4498" s="19">
        <f>+P4497-Q4497-Q4498</f>
        <v>-456</v>
      </c>
      <c r="S4498" s="19">
        <v>2025</v>
      </c>
      <c r="T4498" s="19" t="s">
        <v>42</v>
      </c>
      <c r="U4498" s="102" t="s">
        <v>1330</v>
      </c>
      <c r="V4498" s="101">
        <v>45225</v>
      </c>
      <c r="W4498" s="17" t="s">
        <v>58</v>
      </c>
      <c r="X4498" s="17"/>
      <c r="Y4498" s="68">
        <v>45283</v>
      </c>
      <c r="Z4498" s="17" t="s">
        <v>1326</v>
      </c>
      <c r="AA4498" s="17" t="s">
        <v>46</v>
      </c>
      <c r="AB4498" s="17" t="s">
        <v>1333</v>
      </c>
      <c r="AC4498" s="217">
        <v>45371</v>
      </c>
      <c r="AD4498" s="65">
        <v>1541</v>
      </c>
      <c r="AE4498" s="17" t="s">
        <v>48</v>
      </c>
      <c r="AF4498" s="17"/>
      <c r="AG4498" s="17"/>
      <c r="AH4498" s="17"/>
      <c r="AI4498" s="17"/>
      <c r="AJ4498" s="17"/>
      <c r="AK4498" s="17"/>
      <c r="AL4498" s="17"/>
      <c r="AM4498" s="17"/>
      <c r="AN4498" s="17"/>
      <c r="AO4498" s="17"/>
      <c r="AP4498" s="17"/>
      <c r="AQ4498" s="17"/>
      <c r="AR4498" s="17"/>
    </row>
    <row r="4499" s="20" customFormat="1" hidden="1" spans="1:44">
      <c r="A4499" s="17" t="s">
        <v>34</v>
      </c>
      <c r="B4499" s="19">
        <v>956</v>
      </c>
      <c r="C4499" s="183">
        <v>45225</v>
      </c>
      <c r="D4499" s="17" t="s">
        <v>52</v>
      </c>
      <c r="E4499" s="17" t="s">
        <v>53</v>
      </c>
      <c r="F4499" s="17" t="s">
        <v>54</v>
      </c>
      <c r="G4499" s="17"/>
      <c r="H4499" s="124">
        <v>1.2379</v>
      </c>
      <c r="I4499" s="124"/>
      <c r="J4499" s="17" t="s">
        <v>82</v>
      </c>
      <c r="K4499" s="295">
        <v>405</v>
      </c>
      <c r="L4499" s="295">
        <v>80</v>
      </c>
      <c r="M4499" s="19">
        <v>5800</v>
      </c>
      <c r="N4499" s="19" t="s">
        <v>40</v>
      </c>
      <c r="O4499" s="19" t="s">
        <v>98</v>
      </c>
      <c r="P4499" s="19">
        <v>2000</v>
      </c>
      <c r="Q4499" s="19">
        <f>805+1017</f>
        <v>1822</v>
      </c>
      <c r="R4499" s="19">
        <f>+P4499-Q4499</f>
        <v>178</v>
      </c>
      <c r="S4499" s="19">
        <v>2025</v>
      </c>
      <c r="T4499" s="19" t="s">
        <v>42</v>
      </c>
      <c r="U4499" s="102" t="s">
        <v>1330</v>
      </c>
      <c r="V4499" s="101">
        <v>45225</v>
      </c>
      <c r="W4499" s="17" t="s">
        <v>58</v>
      </c>
      <c r="X4499" s="17"/>
      <c r="Y4499" s="68">
        <v>45283</v>
      </c>
      <c r="Z4499" s="17" t="s">
        <v>1326</v>
      </c>
      <c r="AA4499" s="17" t="s">
        <v>46</v>
      </c>
      <c r="AB4499" s="17" t="s">
        <v>1330</v>
      </c>
      <c r="AC4499" s="217">
        <v>45323</v>
      </c>
      <c r="AD4499" s="65">
        <v>1524</v>
      </c>
      <c r="AE4499" s="17" t="s">
        <v>48</v>
      </c>
      <c r="AF4499" s="17"/>
      <c r="AG4499" s="17"/>
      <c r="AH4499" s="17"/>
      <c r="AI4499" s="17"/>
      <c r="AJ4499" s="17"/>
      <c r="AK4499" s="17"/>
      <c r="AL4499" s="17"/>
      <c r="AM4499" s="17"/>
      <c r="AN4499" s="17"/>
      <c r="AO4499" s="17"/>
      <c r="AP4499" s="17"/>
      <c r="AQ4499" s="17"/>
      <c r="AR4499" s="17"/>
    </row>
    <row r="4500" s="20" customFormat="1" hidden="1" spans="1:44">
      <c r="A4500" s="17" t="s">
        <v>34</v>
      </c>
      <c r="B4500" s="19">
        <v>956</v>
      </c>
      <c r="C4500" s="183">
        <v>45225</v>
      </c>
      <c r="D4500" s="17" t="s">
        <v>52</v>
      </c>
      <c r="E4500" s="17" t="s">
        <v>53</v>
      </c>
      <c r="F4500" s="17" t="s">
        <v>54</v>
      </c>
      <c r="G4500" s="17"/>
      <c r="H4500" s="124">
        <v>1.2379</v>
      </c>
      <c r="I4500" s="124"/>
      <c r="J4500" s="17" t="s">
        <v>82</v>
      </c>
      <c r="K4500" s="295">
        <v>505</v>
      </c>
      <c r="L4500" s="295">
        <v>80</v>
      </c>
      <c r="M4500" s="19">
        <v>5800</v>
      </c>
      <c r="N4500" s="19" t="s">
        <v>40</v>
      </c>
      <c r="O4500" s="19" t="s">
        <v>98</v>
      </c>
      <c r="P4500" s="19">
        <v>2000</v>
      </c>
      <c r="Q4500" s="19">
        <f>1273+1083</f>
        <v>2356</v>
      </c>
      <c r="R4500" s="19">
        <f>+P4500-Q4500</f>
        <v>-356</v>
      </c>
      <c r="S4500" s="19">
        <v>2025</v>
      </c>
      <c r="T4500" s="19" t="s">
        <v>42</v>
      </c>
      <c r="U4500" s="102" t="s">
        <v>1330</v>
      </c>
      <c r="V4500" s="101">
        <v>45225</v>
      </c>
      <c r="W4500" s="17" t="s">
        <v>58</v>
      </c>
      <c r="X4500" s="17"/>
      <c r="Y4500" s="68">
        <v>45283</v>
      </c>
      <c r="Z4500" s="17" t="s">
        <v>1326</v>
      </c>
      <c r="AA4500" s="17" t="s">
        <v>46</v>
      </c>
      <c r="AB4500" s="17" t="s">
        <v>1330</v>
      </c>
      <c r="AC4500" s="217">
        <v>45323</v>
      </c>
      <c r="AD4500" s="65">
        <v>1524</v>
      </c>
      <c r="AE4500" s="17" t="s">
        <v>48</v>
      </c>
      <c r="AF4500" s="17"/>
      <c r="AG4500" s="17"/>
      <c r="AH4500" s="17"/>
      <c r="AI4500" s="17"/>
      <c r="AJ4500" s="17"/>
      <c r="AK4500" s="17"/>
      <c r="AL4500" s="17"/>
      <c r="AM4500" s="17"/>
      <c r="AN4500" s="17"/>
      <c r="AO4500" s="17"/>
      <c r="AP4500" s="17"/>
      <c r="AQ4500" s="17"/>
      <c r="AR4500" s="17"/>
    </row>
    <row r="4501" s="20" customFormat="1" hidden="1" spans="1:44">
      <c r="A4501" s="18"/>
      <c r="B4501" s="75">
        <v>956</v>
      </c>
      <c r="C4501" s="213">
        <v>45225</v>
      </c>
      <c r="D4501" s="18" t="s">
        <v>52</v>
      </c>
      <c r="E4501" s="18" t="s">
        <v>53</v>
      </c>
      <c r="F4501" s="18" t="s">
        <v>54</v>
      </c>
      <c r="G4501" s="18"/>
      <c r="H4501" s="294">
        <v>1.2379</v>
      </c>
      <c r="I4501" s="294"/>
      <c r="J4501" s="18" t="s">
        <v>82</v>
      </c>
      <c r="K4501" s="308">
        <v>130</v>
      </c>
      <c r="L4501" s="308">
        <v>105</v>
      </c>
      <c r="M4501" s="75">
        <v>5800</v>
      </c>
      <c r="N4501" s="75" t="s">
        <v>40</v>
      </c>
      <c r="O4501" s="75" t="s">
        <v>98</v>
      </c>
      <c r="P4501" s="75">
        <v>1000</v>
      </c>
      <c r="Q4501" s="75"/>
      <c r="R4501" s="75">
        <f>+P4501-Q4501</f>
        <v>1000</v>
      </c>
      <c r="S4501" s="75">
        <v>2025</v>
      </c>
      <c r="T4501" s="75" t="s">
        <v>42</v>
      </c>
      <c r="U4501" s="137" t="s">
        <v>1330</v>
      </c>
      <c r="V4501" s="135">
        <v>45225</v>
      </c>
      <c r="W4501" s="18" t="s">
        <v>58</v>
      </c>
      <c r="X4501" s="18"/>
      <c r="Y4501" s="114">
        <v>45283</v>
      </c>
      <c r="Z4501" s="18" t="s">
        <v>1326</v>
      </c>
      <c r="AA4501" s="18" t="s">
        <v>46</v>
      </c>
      <c r="AB4501" s="18"/>
      <c r="AC4501" s="137"/>
      <c r="AD4501" s="77"/>
      <c r="AE4501" s="18" t="s">
        <v>48</v>
      </c>
      <c r="AF4501" s="18" t="s">
        <v>1</v>
      </c>
      <c r="AG4501" s="18"/>
      <c r="AH4501" s="18"/>
      <c r="AI4501" s="18"/>
      <c r="AJ4501" s="18"/>
      <c r="AK4501" s="18"/>
      <c r="AL4501" s="18"/>
      <c r="AM4501" s="18"/>
      <c r="AN4501" s="18"/>
      <c r="AO4501" s="18"/>
      <c r="AP4501" s="18"/>
      <c r="AQ4501" s="18"/>
      <c r="AR4501" s="18"/>
    </row>
    <row r="4502" s="21" customFormat="1" hidden="1" spans="1:44">
      <c r="A4502" s="17" t="s">
        <v>34</v>
      </c>
      <c r="B4502" s="19">
        <v>956</v>
      </c>
      <c r="C4502" s="183">
        <v>45225</v>
      </c>
      <c r="D4502" s="17" t="s">
        <v>52</v>
      </c>
      <c r="E4502" s="17" t="s">
        <v>53</v>
      </c>
      <c r="F4502" s="17" t="s">
        <v>54</v>
      </c>
      <c r="G4502" s="17"/>
      <c r="H4502" s="124">
        <v>1.2379</v>
      </c>
      <c r="I4502" s="124"/>
      <c r="J4502" s="17" t="s">
        <v>82</v>
      </c>
      <c r="K4502" s="295">
        <v>155</v>
      </c>
      <c r="L4502" s="295">
        <v>105</v>
      </c>
      <c r="M4502" s="19">
        <v>5800</v>
      </c>
      <c r="N4502" s="19" t="s">
        <v>40</v>
      </c>
      <c r="O4502" s="19" t="s">
        <v>98</v>
      </c>
      <c r="P4502" s="19">
        <v>1000</v>
      </c>
      <c r="Q4502" s="19">
        <f>487+331</f>
        <v>818</v>
      </c>
      <c r="R4502" s="19">
        <f>+P4502-Q4502</f>
        <v>182</v>
      </c>
      <c r="S4502" s="19">
        <v>2025</v>
      </c>
      <c r="T4502" s="19" t="s">
        <v>42</v>
      </c>
      <c r="U4502" s="102" t="s">
        <v>1330</v>
      </c>
      <c r="V4502" s="101">
        <v>45225</v>
      </c>
      <c r="W4502" s="17" t="s">
        <v>58</v>
      </c>
      <c r="X4502" s="17"/>
      <c r="Y4502" s="68">
        <v>45283</v>
      </c>
      <c r="Z4502" s="17" t="s">
        <v>1326</v>
      </c>
      <c r="AA4502" s="17" t="s">
        <v>46</v>
      </c>
      <c r="AB4502" s="17" t="s">
        <v>1333</v>
      </c>
      <c r="AC4502" s="217">
        <v>45371</v>
      </c>
      <c r="AD4502" s="65">
        <v>1541</v>
      </c>
      <c r="AE4502" s="17" t="s">
        <v>48</v>
      </c>
      <c r="AF4502" s="17"/>
      <c r="AG4502" s="17"/>
      <c r="AH4502" s="17"/>
      <c r="AI4502" s="17"/>
      <c r="AJ4502" s="17"/>
      <c r="AK4502" s="17"/>
      <c r="AL4502" s="17"/>
      <c r="AM4502" s="17"/>
      <c r="AN4502" s="17"/>
      <c r="AO4502" s="17"/>
      <c r="AP4502" s="17"/>
      <c r="AQ4502" s="17"/>
      <c r="AR4502" s="17"/>
    </row>
    <row r="4503" s="20" customFormat="1" hidden="1" spans="1:44">
      <c r="A4503" s="17" t="s">
        <v>34</v>
      </c>
      <c r="B4503" s="19">
        <v>956</v>
      </c>
      <c r="C4503" s="183">
        <v>45225</v>
      </c>
      <c r="D4503" s="17" t="s">
        <v>52</v>
      </c>
      <c r="E4503" s="17" t="s">
        <v>53</v>
      </c>
      <c r="F4503" s="17" t="s">
        <v>54</v>
      </c>
      <c r="G4503" s="17"/>
      <c r="H4503" s="124">
        <v>1.2379</v>
      </c>
      <c r="I4503" s="124"/>
      <c r="J4503" s="17" t="s">
        <v>82</v>
      </c>
      <c r="K4503" s="295">
        <v>205</v>
      </c>
      <c r="L4503" s="295">
        <v>105</v>
      </c>
      <c r="M4503" s="19">
        <v>5800</v>
      </c>
      <c r="N4503" s="19" t="s">
        <v>40</v>
      </c>
      <c r="O4503" s="19" t="s">
        <v>98</v>
      </c>
      <c r="P4503" s="19">
        <v>1000</v>
      </c>
      <c r="Q4503" s="19">
        <f>713+720</f>
        <v>1433</v>
      </c>
      <c r="R4503" s="19">
        <f>+P4503-Q4503</f>
        <v>-433</v>
      </c>
      <c r="S4503" s="19">
        <v>2025</v>
      </c>
      <c r="T4503" s="19" t="s">
        <v>42</v>
      </c>
      <c r="U4503" s="102" t="s">
        <v>1330</v>
      </c>
      <c r="V4503" s="101">
        <v>45225</v>
      </c>
      <c r="W4503" s="17" t="s">
        <v>58</v>
      </c>
      <c r="X4503" s="17"/>
      <c r="Y4503" s="68">
        <v>45283</v>
      </c>
      <c r="Z4503" s="17" t="s">
        <v>1326</v>
      </c>
      <c r="AA4503" s="17" t="s">
        <v>46</v>
      </c>
      <c r="AB4503" s="17" t="s">
        <v>1330</v>
      </c>
      <c r="AC4503" s="217">
        <v>45323</v>
      </c>
      <c r="AD4503" s="65">
        <v>1524</v>
      </c>
      <c r="AE4503" s="17" t="s">
        <v>48</v>
      </c>
      <c r="AF4503" s="17"/>
      <c r="AG4503" s="17"/>
      <c r="AH4503" s="17"/>
      <c r="AI4503" s="17"/>
      <c r="AJ4503" s="17"/>
      <c r="AK4503" s="17"/>
      <c r="AL4503" s="17"/>
      <c r="AM4503" s="17"/>
      <c r="AN4503" s="17"/>
      <c r="AO4503" s="17"/>
      <c r="AP4503" s="17"/>
      <c r="AQ4503" s="17"/>
      <c r="AR4503" s="17"/>
    </row>
    <row r="4504" s="20" customFormat="1" hidden="1" spans="1:44">
      <c r="A4504" s="17" t="s">
        <v>34</v>
      </c>
      <c r="B4504" s="19">
        <v>956</v>
      </c>
      <c r="C4504" s="183">
        <v>45225</v>
      </c>
      <c r="D4504" s="17" t="s">
        <v>52</v>
      </c>
      <c r="E4504" s="17" t="s">
        <v>53</v>
      </c>
      <c r="F4504" s="17" t="s">
        <v>54</v>
      </c>
      <c r="G4504" s="17"/>
      <c r="H4504" s="124">
        <v>1.2379</v>
      </c>
      <c r="I4504" s="124"/>
      <c r="J4504" s="17" t="s">
        <v>82</v>
      </c>
      <c r="K4504" s="295">
        <v>255</v>
      </c>
      <c r="L4504" s="295">
        <v>105</v>
      </c>
      <c r="M4504" s="19">
        <v>5800</v>
      </c>
      <c r="N4504" s="19" t="s">
        <v>40</v>
      </c>
      <c r="O4504" s="19" t="s">
        <v>98</v>
      </c>
      <c r="P4504" s="19">
        <v>1200</v>
      </c>
      <c r="Q4504" s="19">
        <v>839</v>
      </c>
      <c r="R4504" s="21"/>
      <c r="S4504" s="19">
        <v>2025</v>
      </c>
      <c r="T4504" s="19" t="s">
        <v>42</v>
      </c>
      <c r="U4504" s="102" t="s">
        <v>1330</v>
      </c>
      <c r="V4504" s="101">
        <v>45225</v>
      </c>
      <c r="W4504" s="17" t="s">
        <v>58</v>
      </c>
      <c r="X4504" s="17"/>
      <c r="Y4504" s="68">
        <v>45283</v>
      </c>
      <c r="Z4504" s="17" t="s">
        <v>1326</v>
      </c>
      <c r="AA4504" s="17" t="s">
        <v>46</v>
      </c>
      <c r="AB4504" s="17" t="s">
        <v>1330</v>
      </c>
      <c r="AC4504" s="217">
        <v>45323</v>
      </c>
      <c r="AD4504" s="65">
        <v>1524</v>
      </c>
      <c r="AE4504" s="17" t="s">
        <v>48</v>
      </c>
      <c r="AF4504" s="17"/>
      <c r="AG4504" s="17"/>
      <c r="AH4504" s="17"/>
      <c r="AI4504" s="17"/>
      <c r="AJ4504" s="17"/>
      <c r="AK4504" s="17"/>
      <c r="AL4504" s="17"/>
      <c r="AM4504" s="17"/>
      <c r="AN4504" s="17"/>
      <c r="AO4504" s="17"/>
      <c r="AP4504" s="17"/>
      <c r="AQ4504" s="17"/>
      <c r="AR4504" s="17"/>
    </row>
    <row r="4505" s="20" customFormat="1" hidden="1" spans="1:44">
      <c r="A4505" s="17" t="s">
        <v>34</v>
      </c>
      <c r="B4505" s="19">
        <v>956</v>
      </c>
      <c r="C4505" s="183">
        <v>45225</v>
      </c>
      <c r="D4505" s="17" t="s">
        <v>52</v>
      </c>
      <c r="E4505" s="17" t="s">
        <v>53</v>
      </c>
      <c r="F4505" s="17" t="s">
        <v>54</v>
      </c>
      <c r="G4505" s="17"/>
      <c r="H4505" s="124">
        <v>1.2379</v>
      </c>
      <c r="I4505" s="124"/>
      <c r="J4505" s="17" t="s">
        <v>82</v>
      </c>
      <c r="K4505" s="295">
        <v>255</v>
      </c>
      <c r="L4505" s="295">
        <v>105</v>
      </c>
      <c r="M4505" s="19">
        <v>5800</v>
      </c>
      <c r="N4505" s="19" t="s">
        <v>40</v>
      </c>
      <c r="O4505" s="19" t="s">
        <v>98</v>
      </c>
      <c r="P4505" s="19"/>
      <c r="Q4505" s="19">
        <v>620</v>
      </c>
      <c r="R4505" s="19">
        <f>+P4504-Q4504-Q4505</f>
        <v>-259</v>
      </c>
      <c r="S4505" s="19">
        <v>2025</v>
      </c>
      <c r="T4505" s="19" t="s">
        <v>42</v>
      </c>
      <c r="U4505" s="102" t="s">
        <v>1330</v>
      </c>
      <c r="V4505" s="101">
        <v>45225</v>
      </c>
      <c r="W4505" s="17" t="s">
        <v>58</v>
      </c>
      <c r="X4505" s="17"/>
      <c r="Y4505" s="68">
        <v>45283</v>
      </c>
      <c r="Z4505" s="17" t="s">
        <v>1326</v>
      </c>
      <c r="AA4505" s="17" t="s">
        <v>46</v>
      </c>
      <c r="AB4505" s="17" t="s">
        <v>1333</v>
      </c>
      <c r="AC4505" s="217">
        <v>45371</v>
      </c>
      <c r="AD4505" s="65">
        <v>1541</v>
      </c>
      <c r="AE4505" s="17" t="s">
        <v>48</v>
      </c>
      <c r="AF4505" s="17"/>
      <c r="AG4505" s="17"/>
      <c r="AH4505" s="17"/>
      <c r="AI4505" s="17"/>
      <c r="AJ4505" s="17"/>
      <c r="AK4505" s="17"/>
      <c r="AL4505" s="17"/>
      <c r="AM4505" s="17"/>
      <c r="AN4505" s="17"/>
      <c r="AO4505" s="17"/>
      <c r="AP4505" s="17"/>
      <c r="AQ4505" s="17"/>
      <c r="AR4505" s="17"/>
    </row>
    <row r="4506" s="21" customFormat="1" hidden="1" spans="1:44">
      <c r="A4506" s="17" t="s">
        <v>34</v>
      </c>
      <c r="B4506" s="19">
        <v>956</v>
      </c>
      <c r="C4506" s="183">
        <v>45225</v>
      </c>
      <c r="D4506" s="17" t="s">
        <v>52</v>
      </c>
      <c r="E4506" s="17" t="s">
        <v>53</v>
      </c>
      <c r="F4506" s="17" t="s">
        <v>54</v>
      </c>
      <c r="G4506" s="17"/>
      <c r="H4506" s="124">
        <v>1.2379</v>
      </c>
      <c r="I4506" s="124"/>
      <c r="J4506" s="17" t="s">
        <v>82</v>
      </c>
      <c r="K4506" s="295">
        <v>305</v>
      </c>
      <c r="L4506" s="295">
        <v>105</v>
      </c>
      <c r="M4506" s="19">
        <v>5800</v>
      </c>
      <c r="N4506" s="19" t="s">
        <v>40</v>
      </c>
      <c r="O4506" s="19" t="s">
        <v>98</v>
      </c>
      <c r="P4506" s="19">
        <v>1500</v>
      </c>
      <c r="Q4506" s="19">
        <f>1035+1055</f>
        <v>2090</v>
      </c>
      <c r="R4506" s="19">
        <f>+P4506-Q4506</f>
        <v>-590</v>
      </c>
      <c r="S4506" s="19">
        <v>2025</v>
      </c>
      <c r="T4506" s="19" t="s">
        <v>42</v>
      </c>
      <c r="U4506" s="102" t="s">
        <v>1330</v>
      </c>
      <c r="V4506" s="101">
        <v>45225</v>
      </c>
      <c r="W4506" s="17" t="s">
        <v>58</v>
      </c>
      <c r="X4506" s="17"/>
      <c r="Y4506" s="68">
        <v>45283</v>
      </c>
      <c r="Z4506" s="17" t="s">
        <v>1326</v>
      </c>
      <c r="AA4506" s="17" t="s">
        <v>46</v>
      </c>
      <c r="AB4506" s="17" t="s">
        <v>1333</v>
      </c>
      <c r="AC4506" s="217">
        <v>45371</v>
      </c>
      <c r="AD4506" s="65">
        <v>1541</v>
      </c>
      <c r="AE4506" s="17" t="s">
        <v>48</v>
      </c>
      <c r="AF4506" s="17"/>
      <c r="AG4506" s="17"/>
      <c r="AH4506" s="17"/>
      <c r="AI4506" s="17"/>
      <c r="AJ4506" s="17"/>
      <c r="AK4506" s="17"/>
      <c r="AL4506" s="17"/>
      <c r="AM4506" s="17"/>
      <c r="AN4506" s="17"/>
      <c r="AO4506" s="17"/>
      <c r="AP4506" s="17"/>
      <c r="AQ4506" s="17"/>
      <c r="AR4506" s="17"/>
    </row>
    <row r="4507" s="20" customFormat="1" hidden="1" spans="1:44">
      <c r="A4507" s="17" t="s">
        <v>34</v>
      </c>
      <c r="B4507" s="19">
        <v>956</v>
      </c>
      <c r="C4507" s="183">
        <v>45225</v>
      </c>
      <c r="D4507" s="17" t="s">
        <v>52</v>
      </c>
      <c r="E4507" s="17" t="s">
        <v>53</v>
      </c>
      <c r="F4507" s="17" t="s">
        <v>54</v>
      </c>
      <c r="G4507" s="17"/>
      <c r="H4507" s="124">
        <v>1.2379</v>
      </c>
      <c r="I4507" s="124"/>
      <c r="J4507" s="17" t="s">
        <v>82</v>
      </c>
      <c r="K4507" s="295">
        <v>405</v>
      </c>
      <c r="L4507" s="295">
        <v>105</v>
      </c>
      <c r="M4507" s="19">
        <v>5800</v>
      </c>
      <c r="N4507" s="19" t="s">
        <v>40</v>
      </c>
      <c r="O4507" s="19" t="s">
        <v>98</v>
      </c>
      <c r="P4507" s="19">
        <v>2000</v>
      </c>
      <c r="Q4507" s="19">
        <v>1411</v>
      </c>
      <c r="R4507" s="21"/>
      <c r="S4507" s="19">
        <v>2025</v>
      </c>
      <c r="T4507" s="19" t="s">
        <v>42</v>
      </c>
      <c r="U4507" s="102" t="s">
        <v>1330</v>
      </c>
      <c r="V4507" s="101">
        <v>45225</v>
      </c>
      <c r="W4507" s="17" t="s">
        <v>58</v>
      </c>
      <c r="X4507" s="17"/>
      <c r="Y4507" s="68">
        <v>45283</v>
      </c>
      <c r="Z4507" s="17" t="s">
        <v>1326</v>
      </c>
      <c r="AA4507" s="17" t="s">
        <v>46</v>
      </c>
      <c r="AB4507" s="17" t="s">
        <v>1330</v>
      </c>
      <c r="AC4507" s="217">
        <v>45323</v>
      </c>
      <c r="AD4507" s="65">
        <v>1524</v>
      </c>
      <c r="AE4507" s="17" t="s">
        <v>48</v>
      </c>
      <c r="AF4507" s="17"/>
      <c r="AG4507" s="17"/>
      <c r="AH4507" s="17"/>
      <c r="AI4507" s="17"/>
      <c r="AJ4507" s="17"/>
      <c r="AK4507" s="17"/>
      <c r="AL4507" s="17"/>
      <c r="AM4507" s="17"/>
      <c r="AN4507" s="17"/>
      <c r="AO4507" s="17"/>
      <c r="AP4507" s="17"/>
      <c r="AQ4507" s="17"/>
      <c r="AR4507" s="17"/>
    </row>
    <row r="4508" s="20" customFormat="1" hidden="1" spans="1:44">
      <c r="A4508" s="17" t="s">
        <v>34</v>
      </c>
      <c r="B4508" s="19">
        <v>956</v>
      </c>
      <c r="C4508" s="183">
        <v>45225</v>
      </c>
      <c r="D4508" s="17" t="s">
        <v>52</v>
      </c>
      <c r="E4508" s="17" t="s">
        <v>53</v>
      </c>
      <c r="F4508" s="17" t="s">
        <v>54</v>
      </c>
      <c r="G4508" s="17"/>
      <c r="H4508" s="124">
        <v>1.2379</v>
      </c>
      <c r="I4508" s="124"/>
      <c r="J4508" s="17" t="s">
        <v>82</v>
      </c>
      <c r="K4508" s="295">
        <v>405</v>
      </c>
      <c r="L4508" s="295">
        <v>105</v>
      </c>
      <c r="M4508" s="19">
        <v>5800</v>
      </c>
      <c r="N4508" s="19" t="s">
        <v>40</v>
      </c>
      <c r="O4508" s="19" t="s">
        <v>98</v>
      </c>
      <c r="P4508" s="19"/>
      <c r="Q4508" s="19">
        <v>1695</v>
      </c>
      <c r="R4508" s="19">
        <f>+P4507-Q4507-Q4508</f>
        <v>-1106</v>
      </c>
      <c r="S4508" s="19">
        <v>2025</v>
      </c>
      <c r="T4508" s="19" t="s">
        <v>42</v>
      </c>
      <c r="U4508" s="102" t="s">
        <v>1330</v>
      </c>
      <c r="V4508" s="101">
        <v>45225</v>
      </c>
      <c r="W4508" s="17" t="s">
        <v>58</v>
      </c>
      <c r="X4508" s="17"/>
      <c r="Y4508" s="68">
        <v>45283</v>
      </c>
      <c r="Z4508" s="17" t="s">
        <v>1326</v>
      </c>
      <c r="AA4508" s="17" t="s">
        <v>46</v>
      </c>
      <c r="AB4508" s="17" t="s">
        <v>1333</v>
      </c>
      <c r="AC4508" s="217">
        <v>45371</v>
      </c>
      <c r="AD4508" s="65">
        <v>1541</v>
      </c>
      <c r="AE4508" s="17" t="s">
        <v>48</v>
      </c>
      <c r="AF4508" s="17"/>
      <c r="AG4508" s="17"/>
      <c r="AH4508" s="17"/>
      <c r="AI4508" s="17"/>
      <c r="AJ4508" s="17"/>
      <c r="AK4508" s="17"/>
      <c r="AL4508" s="17"/>
      <c r="AM4508" s="17"/>
      <c r="AN4508" s="17"/>
      <c r="AO4508" s="17"/>
      <c r="AP4508" s="17"/>
      <c r="AQ4508" s="17"/>
      <c r="AR4508" s="17"/>
    </row>
    <row r="4509" s="21" customFormat="1" hidden="1" spans="1:44">
      <c r="A4509" s="17" t="s">
        <v>34</v>
      </c>
      <c r="B4509" s="19">
        <v>956</v>
      </c>
      <c r="C4509" s="183">
        <v>45225</v>
      </c>
      <c r="D4509" s="17" t="s">
        <v>52</v>
      </c>
      <c r="E4509" s="17" t="s">
        <v>53</v>
      </c>
      <c r="F4509" s="17" t="s">
        <v>54</v>
      </c>
      <c r="G4509" s="17"/>
      <c r="H4509" s="124">
        <v>1.2379</v>
      </c>
      <c r="I4509" s="124"/>
      <c r="J4509" s="17" t="s">
        <v>82</v>
      </c>
      <c r="K4509" s="295">
        <v>505</v>
      </c>
      <c r="L4509" s="295">
        <v>105</v>
      </c>
      <c r="M4509" s="19">
        <v>5800</v>
      </c>
      <c r="N4509" s="19" t="s">
        <v>40</v>
      </c>
      <c r="O4509" s="19" t="s">
        <v>98</v>
      </c>
      <c r="P4509" s="19">
        <v>2500</v>
      </c>
      <c r="Q4509" s="19">
        <v>1991</v>
      </c>
      <c r="S4509" s="19">
        <v>2025</v>
      </c>
      <c r="T4509" s="19" t="s">
        <v>42</v>
      </c>
      <c r="U4509" s="102" t="s">
        <v>1330</v>
      </c>
      <c r="V4509" s="101">
        <v>45225</v>
      </c>
      <c r="W4509" s="17" t="s">
        <v>58</v>
      </c>
      <c r="X4509" s="17"/>
      <c r="Y4509" s="68">
        <v>45283</v>
      </c>
      <c r="Z4509" s="17" t="s">
        <v>1326</v>
      </c>
      <c r="AA4509" s="17" t="s">
        <v>46</v>
      </c>
      <c r="AB4509" s="17" t="s">
        <v>1333</v>
      </c>
      <c r="AC4509" s="217">
        <v>45371</v>
      </c>
      <c r="AD4509" s="65">
        <v>1541</v>
      </c>
      <c r="AE4509" s="17" t="s">
        <v>48</v>
      </c>
      <c r="AF4509" s="17"/>
      <c r="AG4509" s="17"/>
      <c r="AH4509" s="17"/>
      <c r="AI4509" s="17"/>
      <c r="AJ4509" s="17"/>
      <c r="AK4509" s="17"/>
      <c r="AL4509" s="17"/>
      <c r="AM4509" s="17"/>
      <c r="AN4509" s="17"/>
      <c r="AO4509" s="17"/>
      <c r="AP4509" s="17"/>
      <c r="AQ4509" s="17"/>
      <c r="AR4509" s="17"/>
    </row>
    <row r="4510" s="21" customFormat="1" hidden="1" spans="1:44">
      <c r="A4510" s="17" t="s">
        <v>34</v>
      </c>
      <c r="B4510" s="19">
        <v>956</v>
      </c>
      <c r="C4510" s="183">
        <v>45225</v>
      </c>
      <c r="D4510" s="17" t="s">
        <v>52</v>
      </c>
      <c r="E4510" s="17" t="s">
        <v>53</v>
      </c>
      <c r="F4510" s="17" t="s">
        <v>54</v>
      </c>
      <c r="G4510" s="17"/>
      <c r="H4510" s="124">
        <v>1.2379</v>
      </c>
      <c r="I4510" s="124"/>
      <c r="J4510" s="17" t="s">
        <v>82</v>
      </c>
      <c r="K4510" s="295">
        <v>505</v>
      </c>
      <c r="L4510" s="295">
        <v>105</v>
      </c>
      <c r="M4510" s="19">
        <v>5800</v>
      </c>
      <c r="N4510" s="19" t="s">
        <v>40</v>
      </c>
      <c r="O4510" s="19" t="s">
        <v>98</v>
      </c>
      <c r="P4510" s="19"/>
      <c r="Q4510" s="19">
        <v>1932</v>
      </c>
      <c r="R4510" s="19">
        <f>+P4509-Q4509-Q4510</f>
        <v>-1423</v>
      </c>
      <c r="S4510" s="19">
        <v>2025</v>
      </c>
      <c r="T4510" s="19" t="s">
        <v>42</v>
      </c>
      <c r="U4510" s="102" t="s">
        <v>1330</v>
      </c>
      <c r="V4510" s="101">
        <v>45225</v>
      </c>
      <c r="W4510" s="17" t="s">
        <v>58</v>
      </c>
      <c r="X4510" s="17"/>
      <c r="Y4510" s="68">
        <v>45283</v>
      </c>
      <c r="Z4510" s="17" t="s">
        <v>1326</v>
      </c>
      <c r="AA4510" s="17" t="s">
        <v>46</v>
      </c>
      <c r="AB4510" s="17" t="s">
        <v>1331</v>
      </c>
      <c r="AC4510" s="217">
        <v>45425</v>
      </c>
      <c r="AD4510" s="65">
        <v>1571</v>
      </c>
      <c r="AE4510" s="17" t="s">
        <v>48</v>
      </c>
      <c r="AF4510" s="17"/>
      <c r="AG4510" s="17"/>
      <c r="AH4510" s="17"/>
      <c r="AI4510" s="17"/>
      <c r="AJ4510" s="17"/>
      <c r="AK4510" s="17"/>
      <c r="AL4510" s="17"/>
      <c r="AM4510" s="17"/>
      <c r="AN4510" s="17"/>
      <c r="AO4510" s="17"/>
      <c r="AP4510" s="17"/>
      <c r="AQ4510" s="17"/>
      <c r="AR4510" s="17"/>
    </row>
    <row r="4511" s="20" customFormat="1" hidden="1" spans="1:44">
      <c r="A4511" s="18"/>
      <c r="B4511" s="75">
        <v>956</v>
      </c>
      <c r="C4511" s="213">
        <v>45225</v>
      </c>
      <c r="D4511" s="18" t="s">
        <v>52</v>
      </c>
      <c r="E4511" s="18" t="s">
        <v>53</v>
      </c>
      <c r="F4511" s="18" t="s">
        <v>54</v>
      </c>
      <c r="G4511" s="18"/>
      <c r="H4511" s="294">
        <v>1.2379</v>
      </c>
      <c r="I4511" s="294"/>
      <c r="J4511" s="18" t="s">
        <v>82</v>
      </c>
      <c r="K4511" s="308">
        <v>130</v>
      </c>
      <c r="L4511" s="308">
        <v>130</v>
      </c>
      <c r="M4511" s="75">
        <v>5800</v>
      </c>
      <c r="N4511" s="75" t="s">
        <v>40</v>
      </c>
      <c r="O4511" s="75" t="s">
        <v>98</v>
      </c>
      <c r="P4511" s="75">
        <v>1500</v>
      </c>
      <c r="Q4511" s="75"/>
      <c r="R4511" s="75">
        <f>+P4511-Q4511</f>
        <v>1500</v>
      </c>
      <c r="S4511" s="75">
        <v>2025</v>
      </c>
      <c r="T4511" s="75" t="s">
        <v>42</v>
      </c>
      <c r="U4511" s="137" t="s">
        <v>1330</v>
      </c>
      <c r="V4511" s="135">
        <v>45225</v>
      </c>
      <c r="W4511" s="18" t="s">
        <v>58</v>
      </c>
      <c r="X4511" s="18"/>
      <c r="Y4511" s="114">
        <v>45283</v>
      </c>
      <c r="Z4511" s="18" t="s">
        <v>1326</v>
      </c>
      <c r="AA4511" s="18" t="s">
        <v>46</v>
      </c>
      <c r="AB4511" s="18"/>
      <c r="AC4511" s="137"/>
      <c r="AD4511" s="77"/>
      <c r="AE4511" s="18" t="s">
        <v>48</v>
      </c>
      <c r="AF4511" s="18" t="s">
        <v>1</v>
      </c>
      <c r="AG4511" s="18"/>
      <c r="AH4511" s="18"/>
      <c r="AI4511" s="18"/>
      <c r="AJ4511" s="18"/>
      <c r="AK4511" s="18"/>
      <c r="AL4511" s="18"/>
      <c r="AM4511" s="18"/>
      <c r="AN4511" s="18"/>
      <c r="AO4511" s="18"/>
      <c r="AP4511" s="18"/>
      <c r="AQ4511" s="18"/>
      <c r="AR4511" s="18"/>
    </row>
    <row r="4512" s="20" customFormat="1" hidden="1" spans="1:44">
      <c r="A4512" s="18"/>
      <c r="B4512" s="75">
        <v>956</v>
      </c>
      <c r="C4512" s="213">
        <v>45225</v>
      </c>
      <c r="D4512" s="18" t="s">
        <v>52</v>
      </c>
      <c r="E4512" s="18" t="s">
        <v>53</v>
      </c>
      <c r="F4512" s="18" t="s">
        <v>54</v>
      </c>
      <c r="G4512" s="18"/>
      <c r="H4512" s="294">
        <v>1.2379</v>
      </c>
      <c r="I4512" s="294"/>
      <c r="J4512" s="18" t="s">
        <v>82</v>
      </c>
      <c r="K4512" s="308">
        <v>155</v>
      </c>
      <c r="L4512" s="308">
        <v>130</v>
      </c>
      <c r="M4512" s="75">
        <v>5800</v>
      </c>
      <c r="N4512" s="75" t="s">
        <v>40</v>
      </c>
      <c r="O4512" s="75" t="s">
        <v>98</v>
      </c>
      <c r="P4512" s="75">
        <v>1400</v>
      </c>
      <c r="Q4512" s="75"/>
      <c r="R4512" s="75">
        <f>+P4512-Q4512</f>
        <v>1400</v>
      </c>
      <c r="S4512" s="75">
        <v>2025</v>
      </c>
      <c r="T4512" s="75" t="s">
        <v>42</v>
      </c>
      <c r="U4512" s="137" t="s">
        <v>1330</v>
      </c>
      <c r="V4512" s="135">
        <v>45225</v>
      </c>
      <c r="W4512" s="18" t="s">
        <v>58</v>
      </c>
      <c r="X4512" s="18"/>
      <c r="Y4512" s="114">
        <v>45283</v>
      </c>
      <c r="Z4512" s="18" t="s">
        <v>1326</v>
      </c>
      <c r="AA4512" s="18" t="s">
        <v>46</v>
      </c>
      <c r="AB4512" s="18"/>
      <c r="AC4512" s="137"/>
      <c r="AD4512" s="77"/>
      <c r="AE4512" s="18" t="s">
        <v>48</v>
      </c>
      <c r="AF4512" s="18" t="s">
        <v>1</v>
      </c>
      <c r="AG4512" s="18"/>
      <c r="AH4512" s="18"/>
      <c r="AI4512" s="18"/>
      <c r="AJ4512" s="18"/>
      <c r="AK4512" s="18"/>
      <c r="AL4512" s="18"/>
      <c r="AM4512" s="18"/>
      <c r="AN4512" s="18"/>
      <c r="AO4512" s="18"/>
      <c r="AP4512" s="18"/>
      <c r="AQ4512" s="18"/>
      <c r="AR4512" s="18"/>
    </row>
    <row r="4513" s="21" customFormat="1" hidden="1" spans="1:44">
      <c r="A4513" s="17" t="s">
        <v>34</v>
      </c>
      <c r="B4513" s="19">
        <v>956</v>
      </c>
      <c r="C4513" s="183">
        <v>45225</v>
      </c>
      <c r="D4513" s="17" t="s">
        <v>52</v>
      </c>
      <c r="E4513" s="17" t="s">
        <v>53</v>
      </c>
      <c r="F4513" s="17" t="s">
        <v>54</v>
      </c>
      <c r="G4513" s="17"/>
      <c r="H4513" s="124">
        <v>1.2379</v>
      </c>
      <c r="I4513" s="124"/>
      <c r="J4513" s="17" t="s">
        <v>82</v>
      </c>
      <c r="K4513" s="295">
        <v>205</v>
      </c>
      <c r="L4513" s="295">
        <v>130</v>
      </c>
      <c r="M4513" s="19">
        <v>5800</v>
      </c>
      <c r="N4513" s="19" t="s">
        <v>40</v>
      </c>
      <c r="O4513" s="19" t="s">
        <v>98</v>
      </c>
      <c r="P4513" s="19">
        <v>2100</v>
      </c>
      <c r="Q4513" s="19">
        <f>786+906</f>
        <v>1692</v>
      </c>
      <c r="R4513" s="19">
        <f>+P4513-Q4513</f>
        <v>408</v>
      </c>
      <c r="S4513" s="19">
        <v>2025</v>
      </c>
      <c r="T4513" s="19" t="s">
        <v>42</v>
      </c>
      <c r="U4513" s="102" t="s">
        <v>1330</v>
      </c>
      <c r="V4513" s="101">
        <v>45225</v>
      </c>
      <c r="W4513" s="17" t="s">
        <v>58</v>
      </c>
      <c r="X4513" s="17"/>
      <c r="Y4513" s="68">
        <v>45283</v>
      </c>
      <c r="Z4513" s="17" t="s">
        <v>1326</v>
      </c>
      <c r="AA4513" s="17" t="s">
        <v>46</v>
      </c>
      <c r="AB4513" s="17" t="s">
        <v>1333</v>
      </c>
      <c r="AC4513" s="217">
        <v>45371</v>
      </c>
      <c r="AD4513" s="65">
        <v>1541</v>
      </c>
      <c r="AE4513" s="17" t="s">
        <v>48</v>
      </c>
      <c r="AF4513" s="17"/>
      <c r="AG4513" s="17"/>
      <c r="AH4513" s="17"/>
      <c r="AI4513" s="17"/>
      <c r="AJ4513" s="17"/>
      <c r="AK4513" s="17"/>
      <c r="AL4513" s="17"/>
      <c r="AM4513" s="17"/>
      <c r="AN4513" s="17"/>
      <c r="AO4513" s="17"/>
      <c r="AP4513" s="17"/>
      <c r="AQ4513" s="17"/>
      <c r="AR4513" s="17"/>
    </row>
    <row r="4514" s="21" customFormat="1" hidden="1" spans="1:44">
      <c r="A4514" s="17" t="s">
        <v>34</v>
      </c>
      <c r="B4514" s="19">
        <v>956</v>
      </c>
      <c r="C4514" s="183">
        <v>45225</v>
      </c>
      <c r="D4514" s="17" t="s">
        <v>52</v>
      </c>
      <c r="E4514" s="17" t="s">
        <v>53</v>
      </c>
      <c r="F4514" s="17" t="s">
        <v>54</v>
      </c>
      <c r="G4514" s="17"/>
      <c r="H4514" s="124">
        <v>1.2379</v>
      </c>
      <c r="I4514" s="124"/>
      <c r="J4514" s="17" t="s">
        <v>82</v>
      </c>
      <c r="K4514" s="295">
        <v>255</v>
      </c>
      <c r="L4514" s="295">
        <v>130</v>
      </c>
      <c r="M4514" s="19">
        <v>5800</v>
      </c>
      <c r="N4514" s="19" t="s">
        <v>40</v>
      </c>
      <c r="O4514" s="19" t="s">
        <v>98</v>
      </c>
      <c r="P4514" s="19">
        <v>2100</v>
      </c>
      <c r="Q4514" s="19">
        <v>1126</v>
      </c>
      <c r="S4514" s="19">
        <v>2025</v>
      </c>
      <c r="T4514" s="19" t="s">
        <v>42</v>
      </c>
      <c r="U4514" s="102" t="s">
        <v>1330</v>
      </c>
      <c r="V4514" s="101">
        <v>45225</v>
      </c>
      <c r="W4514" s="17" t="s">
        <v>58</v>
      </c>
      <c r="X4514" s="17"/>
      <c r="Y4514" s="68">
        <v>45283</v>
      </c>
      <c r="Z4514" s="17" t="s">
        <v>1326</v>
      </c>
      <c r="AA4514" s="17" t="s">
        <v>46</v>
      </c>
      <c r="AB4514" s="17" t="s">
        <v>1333</v>
      </c>
      <c r="AC4514" s="217">
        <v>45371</v>
      </c>
      <c r="AD4514" s="65">
        <v>1541</v>
      </c>
      <c r="AE4514" s="17" t="s">
        <v>48</v>
      </c>
      <c r="AF4514" s="17"/>
      <c r="AG4514" s="17"/>
      <c r="AH4514" s="17"/>
      <c r="AI4514" s="17"/>
      <c r="AJ4514" s="17"/>
      <c r="AK4514" s="17"/>
      <c r="AL4514" s="17"/>
      <c r="AM4514" s="17"/>
      <c r="AN4514" s="17"/>
      <c r="AO4514" s="17"/>
      <c r="AP4514" s="17"/>
      <c r="AQ4514" s="17"/>
      <c r="AR4514" s="17"/>
    </row>
    <row r="4515" s="21" customFormat="1" hidden="1" spans="1:44">
      <c r="A4515" s="17" t="s">
        <v>34</v>
      </c>
      <c r="B4515" s="19">
        <v>956</v>
      </c>
      <c r="C4515" s="183">
        <v>45225</v>
      </c>
      <c r="D4515" s="17" t="s">
        <v>52</v>
      </c>
      <c r="E4515" s="17" t="s">
        <v>53</v>
      </c>
      <c r="F4515" s="17" t="s">
        <v>54</v>
      </c>
      <c r="G4515" s="17"/>
      <c r="H4515" s="124">
        <v>1.2379</v>
      </c>
      <c r="I4515" s="124"/>
      <c r="J4515" s="17" t="s">
        <v>82</v>
      </c>
      <c r="K4515" s="295">
        <v>255</v>
      </c>
      <c r="L4515" s="295">
        <v>130</v>
      </c>
      <c r="M4515" s="19">
        <v>5800</v>
      </c>
      <c r="N4515" s="19" t="s">
        <v>40</v>
      </c>
      <c r="O4515" s="19" t="s">
        <v>98</v>
      </c>
      <c r="P4515" s="19"/>
      <c r="Q4515" s="19">
        <v>1096</v>
      </c>
      <c r="R4515" s="19">
        <f>+P4514-Q4514-Q4515</f>
        <v>-122</v>
      </c>
      <c r="S4515" s="19">
        <v>2025</v>
      </c>
      <c r="T4515" s="19" t="s">
        <v>42</v>
      </c>
      <c r="U4515" s="102" t="s">
        <v>1330</v>
      </c>
      <c r="V4515" s="101">
        <v>45225</v>
      </c>
      <c r="W4515" s="17" t="s">
        <v>58</v>
      </c>
      <c r="X4515" s="17"/>
      <c r="Y4515" s="68">
        <v>45283</v>
      </c>
      <c r="Z4515" s="17" t="s">
        <v>1326</v>
      </c>
      <c r="AA4515" s="17" t="s">
        <v>46</v>
      </c>
      <c r="AB4515" s="17" t="s">
        <v>1331</v>
      </c>
      <c r="AC4515" s="217">
        <v>45425</v>
      </c>
      <c r="AD4515" s="65">
        <v>1571</v>
      </c>
      <c r="AE4515" s="17" t="s">
        <v>48</v>
      </c>
      <c r="AF4515" s="17"/>
      <c r="AG4515" s="17"/>
      <c r="AH4515" s="17"/>
      <c r="AI4515" s="17"/>
      <c r="AJ4515" s="17"/>
      <c r="AK4515" s="17"/>
      <c r="AL4515" s="17"/>
      <c r="AM4515" s="17"/>
      <c r="AN4515" s="17"/>
      <c r="AO4515" s="17"/>
      <c r="AP4515" s="17"/>
      <c r="AQ4515" s="17"/>
      <c r="AR4515" s="17"/>
    </row>
    <row r="4516" s="20" customFormat="1" hidden="1" spans="1:44">
      <c r="A4516" s="17" t="s">
        <v>34</v>
      </c>
      <c r="B4516" s="19">
        <v>956</v>
      </c>
      <c r="C4516" s="183">
        <v>45225</v>
      </c>
      <c r="D4516" s="17" t="s">
        <v>52</v>
      </c>
      <c r="E4516" s="17" t="s">
        <v>53</v>
      </c>
      <c r="F4516" s="17" t="s">
        <v>54</v>
      </c>
      <c r="G4516" s="17"/>
      <c r="H4516" s="124">
        <v>1.2379</v>
      </c>
      <c r="I4516" s="124"/>
      <c r="J4516" s="17" t="s">
        <v>82</v>
      </c>
      <c r="K4516" s="295">
        <v>305</v>
      </c>
      <c r="L4516" s="295">
        <v>130</v>
      </c>
      <c r="M4516" s="19">
        <v>5800</v>
      </c>
      <c r="N4516" s="19" t="s">
        <v>40</v>
      </c>
      <c r="O4516" s="19" t="s">
        <v>98</v>
      </c>
      <c r="P4516" s="19">
        <v>2600</v>
      </c>
      <c r="Q4516" s="19">
        <v>1122</v>
      </c>
      <c r="R4516" s="21"/>
      <c r="S4516" s="19">
        <v>2025</v>
      </c>
      <c r="T4516" s="19" t="s">
        <v>42</v>
      </c>
      <c r="U4516" s="102" t="s">
        <v>1330</v>
      </c>
      <c r="V4516" s="101">
        <v>45225</v>
      </c>
      <c r="W4516" s="17" t="s">
        <v>58</v>
      </c>
      <c r="X4516" s="17"/>
      <c r="Y4516" s="68">
        <v>45283</v>
      </c>
      <c r="Z4516" s="17" t="s">
        <v>1326</v>
      </c>
      <c r="AA4516" s="17" t="s">
        <v>46</v>
      </c>
      <c r="AB4516" s="17" t="s">
        <v>1330</v>
      </c>
      <c r="AC4516" s="217">
        <v>45323</v>
      </c>
      <c r="AD4516" s="65">
        <v>1524</v>
      </c>
      <c r="AE4516" s="17" t="s">
        <v>48</v>
      </c>
      <c r="AF4516" s="17"/>
      <c r="AG4516" s="17"/>
      <c r="AH4516" s="17"/>
      <c r="AI4516" s="17"/>
      <c r="AJ4516" s="17"/>
      <c r="AK4516" s="17"/>
      <c r="AL4516" s="17"/>
      <c r="AM4516" s="17"/>
      <c r="AN4516" s="17"/>
      <c r="AO4516" s="17"/>
      <c r="AP4516" s="17"/>
      <c r="AQ4516" s="17"/>
      <c r="AR4516" s="17"/>
    </row>
    <row r="4517" s="20" customFormat="1" hidden="1" spans="1:44">
      <c r="A4517" s="17" t="s">
        <v>34</v>
      </c>
      <c r="B4517" s="19">
        <v>956</v>
      </c>
      <c r="C4517" s="183">
        <v>45225</v>
      </c>
      <c r="D4517" s="17" t="s">
        <v>52</v>
      </c>
      <c r="E4517" s="17" t="s">
        <v>53</v>
      </c>
      <c r="F4517" s="17" t="s">
        <v>54</v>
      </c>
      <c r="G4517" s="17"/>
      <c r="H4517" s="124">
        <v>1.2379</v>
      </c>
      <c r="I4517" s="124"/>
      <c r="J4517" s="17" t="s">
        <v>82</v>
      </c>
      <c r="K4517" s="295">
        <v>305</v>
      </c>
      <c r="L4517" s="295">
        <v>130</v>
      </c>
      <c r="M4517" s="19">
        <v>5800</v>
      </c>
      <c r="N4517" s="19" t="s">
        <v>40</v>
      </c>
      <c r="O4517" s="19" t="s">
        <v>98</v>
      </c>
      <c r="P4517" s="19"/>
      <c r="Q4517" s="19">
        <v>1207</v>
      </c>
      <c r="R4517" s="19">
        <f>+P4516-Q4516-Q4517</f>
        <v>271</v>
      </c>
      <c r="S4517" s="19">
        <v>2025</v>
      </c>
      <c r="T4517" s="19" t="s">
        <v>42</v>
      </c>
      <c r="U4517" s="102" t="s">
        <v>1330</v>
      </c>
      <c r="V4517" s="101">
        <v>45225</v>
      </c>
      <c r="W4517" s="17" t="s">
        <v>58</v>
      </c>
      <c r="X4517" s="17"/>
      <c r="Y4517" s="68">
        <v>45283</v>
      </c>
      <c r="Z4517" s="17" t="s">
        <v>1326</v>
      </c>
      <c r="AA4517" s="17" t="s">
        <v>46</v>
      </c>
      <c r="AB4517" s="17" t="s">
        <v>1331</v>
      </c>
      <c r="AC4517" s="217">
        <v>45425</v>
      </c>
      <c r="AD4517" s="65">
        <v>1571</v>
      </c>
      <c r="AE4517" s="17" t="s">
        <v>48</v>
      </c>
      <c r="AF4517" s="17"/>
      <c r="AG4517" s="17"/>
      <c r="AH4517" s="17"/>
      <c r="AI4517" s="17"/>
      <c r="AJ4517" s="17"/>
      <c r="AK4517" s="17"/>
      <c r="AL4517" s="17"/>
      <c r="AM4517" s="17"/>
      <c r="AN4517" s="17"/>
      <c r="AO4517" s="17"/>
      <c r="AP4517" s="17"/>
      <c r="AQ4517" s="17"/>
      <c r="AR4517" s="17"/>
    </row>
    <row r="4518" s="21" customFormat="1" hidden="1" spans="1:44">
      <c r="A4518" s="17" t="s">
        <v>34</v>
      </c>
      <c r="B4518" s="19">
        <v>956</v>
      </c>
      <c r="C4518" s="183">
        <v>45225</v>
      </c>
      <c r="D4518" s="17" t="s">
        <v>52</v>
      </c>
      <c r="E4518" s="17" t="s">
        <v>53</v>
      </c>
      <c r="F4518" s="17" t="s">
        <v>54</v>
      </c>
      <c r="G4518" s="17"/>
      <c r="H4518" s="124">
        <v>1.2379</v>
      </c>
      <c r="I4518" s="124"/>
      <c r="J4518" s="17" t="s">
        <v>82</v>
      </c>
      <c r="K4518" s="295">
        <v>405</v>
      </c>
      <c r="L4518" s="295">
        <v>130</v>
      </c>
      <c r="M4518" s="19">
        <v>5800</v>
      </c>
      <c r="N4518" s="19" t="s">
        <v>40</v>
      </c>
      <c r="O4518" s="19" t="s">
        <v>98</v>
      </c>
      <c r="P4518" s="19">
        <v>2000</v>
      </c>
      <c r="Q4518" s="19">
        <v>1640</v>
      </c>
      <c r="R4518" s="19">
        <f t="shared" ref="R4518:R4525" si="218">+P4518-Q4518</f>
        <v>360</v>
      </c>
      <c r="S4518" s="19">
        <v>2025</v>
      </c>
      <c r="T4518" s="19" t="s">
        <v>42</v>
      </c>
      <c r="U4518" s="102" t="s">
        <v>1330</v>
      </c>
      <c r="V4518" s="101">
        <v>45225</v>
      </c>
      <c r="W4518" s="17" t="s">
        <v>58</v>
      </c>
      <c r="X4518" s="17"/>
      <c r="Y4518" s="68">
        <v>45283</v>
      </c>
      <c r="Z4518" s="17" t="s">
        <v>1326</v>
      </c>
      <c r="AA4518" s="17" t="s">
        <v>46</v>
      </c>
      <c r="AB4518" s="17" t="s">
        <v>1333</v>
      </c>
      <c r="AC4518" s="217">
        <v>45371</v>
      </c>
      <c r="AD4518" s="65">
        <v>1541</v>
      </c>
      <c r="AE4518" s="17" t="s">
        <v>48</v>
      </c>
      <c r="AF4518" s="17"/>
      <c r="AG4518" s="17"/>
      <c r="AH4518" s="17"/>
      <c r="AI4518" s="17"/>
      <c r="AJ4518" s="17"/>
      <c r="AK4518" s="17"/>
      <c r="AL4518" s="17"/>
      <c r="AM4518" s="17"/>
      <c r="AN4518" s="17"/>
      <c r="AO4518" s="17"/>
      <c r="AP4518" s="17"/>
      <c r="AQ4518" s="17"/>
      <c r="AR4518" s="17"/>
    </row>
    <row r="4519" s="20" customFormat="1" hidden="1" spans="1:44">
      <c r="A4519" s="17" t="s">
        <v>34</v>
      </c>
      <c r="B4519" s="19">
        <v>956</v>
      </c>
      <c r="C4519" s="183">
        <v>45225</v>
      </c>
      <c r="D4519" s="17" t="s">
        <v>52</v>
      </c>
      <c r="E4519" s="17" t="s">
        <v>53</v>
      </c>
      <c r="F4519" s="17" t="s">
        <v>54</v>
      </c>
      <c r="G4519" s="17"/>
      <c r="H4519" s="124">
        <v>1.2379</v>
      </c>
      <c r="I4519" s="124"/>
      <c r="J4519" s="17" t="s">
        <v>82</v>
      </c>
      <c r="K4519" s="295">
        <v>505</v>
      </c>
      <c r="L4519" s="295">
        <v>130</v>
      </c>
      <c r="M4519" s="19">
        <v>5800</v>
      </c>
      <c r="N4519" s="19" t="s">
        <v>40</v>
      </c>
      <c r="O4519" s="19" t="s">
        <v>98</v>
      </c>
      <c r="P4519" s="19">
        <v>2100</v>
      </c>
      <c r="Q4519" s="19">
        <f>1452+1296</f>
        <v>2748</v>
      </c>
      <c r="R4519" s="19">
        <f t="shared" si="218"/>
        <v>-648</v>
      </c>
      <c r="S4519" s="19">
        <v>2025</v>
      </c>
      <c r="T4519" s="19" t="s">
        <v>42</v>
      </c>
      <c r="U4519" s="102" t="s">
        <v>1330</v>
      </c>
      <c r="V4519" s="101">
        <v>45225</v>
      </c>
      <c r="W4519" s="17" t="s">
        <v>58</v>
      </c>
      <c r="X4519" s="17"/>
      <c r="Y4519" s="68">
        <v>45283</v>
      </c>
      <c r="Z4519" s="17" t="s">
        <v>1326</v>
      </c>
      <c r="AA4519" s="17" t="s">
        <v>46</v>
      </c>
      <c r="AB4519" s="17" t="s">
        <v>1330</v>
      </c>
      <c r="AC4519" s="217">
        <v>45323</v>
      </c>
      <c r="AD4519" s="65">
        <v>1524</v>
      </c>
      <c r="AE4519" s="17" t="s">
        <v>48</v>
      </c>
      <c r="AF4519" s="17"/>
      <c r="AG4519" s="17"/>
      <c r="AH4519" s="17"/>
      <c r="AI4519" s="17"/>
      <c r="AJ4519" s="17"/>
      <c r="AK4519" s="17"/>
      <c r="AL4519" s="17"/>
      <c r="AM4519" s="17"/>
      <c r="AN4519" s="17"/>
      <c r="AO4519" s="17"/>
      <c r="AP4519" s="17"/>
      <c r="AQ4519" s="17"/>
      <c r="AR4519" s="17"/>
    </row>
    <row r="4520" s="20" customFormat="1" hidden="1" spans="1:44">
      <c r="A4520" s="17" t="s">
        <v>34</v>
      </c>
      <c r="B4520" s="19">
        <v>956</v>
      </c>
      <c r="C4520" s="183">
        <v>45225</v>
      </c>
      <c r="D4520" s="17" t="s">
        <v>52</v>
      </c>
      <c r="E4520" s="17" t="s">
        <v>53</v>
      </c>
      <c r="F4520" s="17" t="s">
        <v>54</v>
      </c>
      <c r="G4520" s="17"/>
      <c r="H4520" s="124">
        <v>1.2379</v>
      </c>
      <c r="I4520" s="124"/>
      <c r="J4520" s="17" t="s">
        <v>82</v>
      </c>
      <c r="K4520" s="295">
        <v>505</v>
      </c>
      <c r="L4520" s="295">
        <v>155</v>
      </c>
      <c r="M4520" s="19">
        <v>5800</v>
      </c>
      <c r="N4520" s="19" t="s">
        <v>40</v>
      </c>
      <c r="O4520" s="19" t="s">
        <v>98</v>
      </c>
      <c r="P4520" s="19">
        <v>2500</v>
      </c>
      <c r="Q4520" s="19">
        <v>1482</v>
      </c>
      <c r="R4520" s="19">
        <f t="shared" si="218"/>
        <v>1018</v>
      </c>
      <c r="S4520" s="19">
        <v>2025</v>
      </c>
      <c r="T4520" s="19" t="s">
        <v>42</v>
      </c>
      <c r="U4520" s="102" t="s">
        <v>1330</v>
      </c>
      <c r="V4520" s="101">
        <v>45225</v>
      </c>
      <c r="W4520" s="17" t="s">
        <v>58</v>
      </c>
      <c r="X4520" s="17"/>
      <c r="Y4520" s="68">
        <v>45283</v>
      </c>
      <c r="Z4520" s="17" t="s">
        <v>1326</v>
      </c>
      <c r="AA4520" s="17" t="s">
        <v>46</v>
      </c>
      <c r="AB4520" s="17" t="s">
        <v>1330</v>
      </c>
      <c r="AC4520" s="217">
        <v>45323</v>
      </c>
      <c r="AD4520" s="65">
        <v>1524</v>
      </c>
      <c r="AE4520" s="17" t="s">
        <v>48</v>
      </c>
      <c r="AF4520" s="17"/>
      <c r="AG4520" s="17"/>
      <c r="AH4520" s="17"/>
      <c r="AI4520" s="17"/>
      <c r="AJ4520" s="17"/>
      <c r="AK4520" s="17"/>
      <c r="AL4520" s="17"/>
      <c r="AM4520" s="17"/>
      <c r="AN4520" s="17"/>
      <c r="AO4520" s="17"/>
      <c r="AP4520" s="17"/>
      <c r="AQ4520" s="17"/>
      <c r="AR4520" s="17"/>
    </row>
    <row r="4521" s="20" customFormat="1" hidden="1" spans="1:44">
      <c r="A4521" s="17" t="s">
        <v>34</v>
      </c>
      <c r="B4521" s="19">
        <v>956</v>
      </c>
      <c r="C4521" s="183">
        <v>45225</v>
      </c>
      <c r="D4521" s="17" t="s">
        <v>52</v>
      </c>
      <c r="E4521" s="17" t="s">
        <v>53</v>
      </c>
      <c r="F4521" s="17" t="s">
        <v>54</v>
      </c>
      <c r="G4521" s="17"/>
      <c r="H4521" s="124">
        <v>1.2379</v>
      </c>
      <c r="I4521" s="124"/>
      <c r="J4521" s="17" t="s">
        <v>82</v>
      </c>
      <c r="K4521" s="295">
        <v>610</v>
      </c>
      <c r="L4521" s="295">
        <v>180</v>
      </c>
      <c r="M4521" s="19">
        <v>5800</v>
      </c>
      <c r="N4521" s="19" t="s">
        <v>40</v>
      </c>
      <c r="O4521" s="19" t="s">
        <v>98</v>
      </c>
      <c r="P4521" s="19">
        <v>3600</v>
      </c>
      <c r="Q4521" s="19">
        <v>4362</v>
      </c>
      <c r="R4521" s="19">
        <f t="shared" si="218"/>
        <v>-762</v>
      </c>
      <c r="S4521" s="19">
        <v>2025</v>
      </c>
      <c r="T4521" s="19" t="s">
        <v>42</v>
      </c>
      <c r="U4521" s="102" t="s">
        <v>1330</v>
      </c>
      <c r="V4521" s="101">
        <v>45225</v>
      </c>
      <c r="W4521" s="17" t="s">
        <v>58</v>
      </c>
      <c r="X4521" s="17"/>
      <c r="Y4521" s="68">
        <v>45283</v>
      </c>
      <c r="Z4521" s="17" t="s">
        <v>1326</v>
      </c>
      <c r="AA4521" s="17" t="s">
        <v>46</v>
      </c>
      <c r="AB4521" s="17" t="s">
        <v>1330</v>
      </c>
      <c r="AC4521" s="217">
        <v>45323</v>
      </c>
      <c r="AD4521" s="65">
        <v>1524</v>
      </c>
      <c r="AE4521" s="17" t="s">
        <v>48</v>
      </c>
      <c r="AF4521" s="17"/>
      <c r="AG4521" s="17"/>
      <c r="AH4521" s="17"/>
      <c r="AI4521" s="17"/>
      <c r="AJ4521" s="17"/>
      <c r="AK4521" s="17"/>
      <c r="AL4521" s="17"/>
      <c r="AM4521" s="17"/>
      <c r="AN4521" s="17"/>
      <c r="AO4521" s="17"/>
      <c r="AP4521" s="17"/>
      <c r="AQ4521" s="17"/>
      <c r="AR4521" s="17"/>
    </row>
    <row r="4522" s="21" customFormat="1" hidden="1" spans="1:44">
      <c r="A4522" s="17" t="s">
        <v>34</v>
      </c>
      <c r="B4522" s="19">
        <v>956</v>
      </c>
      <c r="C4522" s="183">
        <v>45225</v>
      </c>
      <c r="D4522" s="17" t="s">
        <v>52</v>
      </c>
      <c r="E4522" s="17" t="s">
        <v>53</v>
      </c>
      <c r="F4522" s="17" t="s">
        <v>54</v>
      </c>
      <c r="G4522" s="17"/>
      <c r="H4522" s="124">
        <v>1.2379</v>
      </c>
      <c r="I4522" s="124"/>
      <c r="J4522" s="17" t="s">
        <v>82</v>
      </c>
      <c r="K4522" s="295">
        <v>610</v>
      </c>
      <c r="L4522" s="295">
        <v>205</v>
      </c>
      <c r="M4522" s="19">
        <v>5800</v>
      </c>
      <c r="N4522" s="19" t="s">
        <v>40</v>
      </c>
      <c r="O4522" s="19" t="s">
        <v>98</v>
      </c>
      <c r="P4522" s="19">
        <v>4500</v>
      </c>
      <c r="Q4522" s="19">
        <v>4412</v>
      </c>
      <c r="R4522" s="19">
        <f t="shared" si="218"/>
        <v>88</v>
      </c>
      <c r="S4522" s="19">
        <v>2025</v>
      </c>
      <c r="T4522" s="19" t="s">
        <v>42</v>
      </c>
      <c r="U4522" s="102" t="s">
        <v>1330</v>
      </c>
      <c r="V4522" s="101">
        <v>45225</v>
      </c>
      <c r="W4522" s="17" t="s">
        <v>58</v>
      </c>
      <c r="X4522" s="17"/>
      <c r="Y4522" s="68">
        <v>45283</v>
      </c>
      <c r="Z4522" s="17" t="s">
        <v>1326</v>
      </c>
      <c r="AA4522" s="17" t="s">
        <v>46</v>
      </c>
      <c r="AB4522" s="17" t="s">
        <v>1331</v>
      </c>
      <c r="AC4522" s="217">
        <v>45425</v>
      </c>
      <c r="AD4522" s="65">
        <v>1571</v>
      </c>
      <c r="AE4522" s="17" t="s">
        <v>48</v>
      </c>
      <c r="AF4522" s="17"/>
      <c r="AG4522" s="17"/>
      <c r="AH4522" s="17"/>
      <c r="AI4522" s="17"/>
      <c r="AJ4522" s="17"/>
      <c r="AK4522" s="17"/>
      <c r="AL4522" s="17"/>
      <c r="AM4522" s="17"/>
      <c r="AN4522" s="17"/>
      <c r="AO4522" s="17"/>
      <c r="AP4522" s="17"/>
      <c r="AQ4522" s="17"/>
      <c r="AR4522" s="17"/>
    </row>
    <row r="4523" s="21" customFormat="1" hidden="1" spans="1:44">
      <c r="A4523" s="17" t="s">
        <v>34</v>
      </c>
      <c r="B4523" s="19">
        <v>956</v>
      </c>
      <c r="C4523" s="183">
        <v>45225</v>
      </c>
      <c r="D4523" s="17" t="s">
        <v>52</v>
      </c>
      <c r="E4523" s="17" t="s">
        <v>53</v>
      </c>
      <c r="F4523" s="17" t="s">
        <v>54</v>
      </c>
      <c r="G4523" s="17"/>
      <c r="H4523" s="124">
        <v>1.2379</v>
      </c>
      <c r="I4523" s="124"/>
      <c r="J4523" s="17" t="s">
        <v>82</v>
      </c>
      <c r="K4523" s="295">
        <v>610</v>
      </c>
      <c r="L4523" s="295">
        <v>255</v>
      </c>
      <c r="M4523" s="19">
        <v>5800</v>
      </c>
      <c r="N4523" s="19" t="s">
        <v>40</v>
      </c>
      <c r="O4523" s="19" t="s">
        <v>98</v>
      </c>
      <c r="P4523" s="19">
        <v>4500</v>
      </c>
      <c r="Q4523" s="19">
        <v>4533</v>
      </c>
      <c r="R4523" s="19">
        <f t="shared" si="218"/>
        <v>-33</v>
      </c>
      <c r="S4523" s="19">
        <v>2100</v>
      </c>
      <c r="T4523" s="19" t="s">
        <v>42</v>
      </c>
      <c r="U4523" s="102" t="s">
        <v>1330</v>
      </c>
      <c r="V4523" s="101">
        <v>45225</v>
      </c>
      <c r="W4523" s="17" t="s">
        <v>58</v>
      </c>
      <c r="X4523" s="17"/>
      <c r="Y4523" s="68">
        <v>45283</v>
      </c>
      <c r="Z4523" s="17" t="s">
        <v>1326</v>
      </c>
      <c r="AA4523" s="17" t="s">
        <v>46</v>
      </c>
      <c r="AB4523" s="17" t="s">
        <v>1333</v>
      </c>
      <c r="AC4523" s="217">
        <v>45371</v>
      </c>
      <c r="AD4523" s="65">
        <v>1541</v>
      </c>
      <c r="AE4523" s="17" t="s">
        <v>48</v>
      </c>
      <c r="AF4523" s="17"/>
      <c r="AG4523" s="17"/>
      <c r="AH4523" s="17"/>
      <c r="AI4523" s="17"/>
      <c r="AJ4523" s="17"/>
      <c r="AK4523" s="17"/>
      <c r="AL4523" s="17"/>
      <c r="AM4523" s="17"/>
      <c r="AN4523" s="17"/>
      <c r="AO4523" s="17"/>
      <c r="AP4523" s="17"/>
      <c r="AQ4523" s="17"/>
      <c r="AR4523" s="17"/>
    </row>
    <row r="4524" s="21" customFormat="1" hidden="1" spans="1:44">
      <c r="A4524" s="17" t="s">
        <v>34</v>
      </c>
      <c r="B4524" s="19">
        <v>956</v>
      </c>
      <c r="C4524" s="183">
        <v>45225</v>
      </c>
      <c r="D4524" s="17" t="s">
        <v>52</v>
      </c>
      <c r="E4524" s="17" t="s">
        <v>53</v>
      </c>
      <c r="F4524" s="17" t="s">
        <v>54</v>
      </c>
      <c r="G4524" s="17"/>
      <c r="H4524" s="124">
        <v>1.2379</v>
      </c>
      <c r="I4524" s="124"/>
      <c r="J4524" s="17" t="s">
        <v>82</v>
      </c>
      <c r="K4524" s="295">
        <v>610</v>
      </c>
      <c r="L4524" s="295">
        <v>305</v>
      </c>
      <c r="M4524" s="19">
        <v>5800</v>
      </c>
      <c r="N4524" s="19" t="s">
        <v>40</v>
      </c>
      <c r="O4524" s="19" t="s">
        <v>98</v>
      </c>
      <c r="P4524" s="19">
        <v>4500</v>
      </c>
      <c r="Q4524" s="19">
        <v>4992</v>
      </c>
      <c r="R4524" s="19">
        <f t="shared" si="218"/>
        <v>-492</v>
      </c>
      <c r="S4524" s="19">
        <v>2100</v>
      </c>
      <c r="T4524" s="19" t="s">
        <v>42</v>
      </c>
      <c r="U4524" s="102" t="s">
        <v>1330</v>
      </c>
      <c r="V4524" s="101">
        <v>45225</v>
      </c>
      <c r="W4524" s="17" t="s">
        <v>58</v>
      </c>
      <c r="X4524" s="17"/>
      <c r="Y4524" s="68">
        <v>45283</v>
      </c>
      <c r="Z4524" s="17" t="s">
        <v>1326</v>
      </c>
      <c r="AA4524" s="17" t="s">
        <v>46</v>
      </c>
      <c r="AB4524" s="17" t="s">
        <v>1331</v>
      </c>
      <c r="AC4524" s="217">
        <v>45425</v>
      </c>
      <c r="AD4524" s="65">
        <v>1571</v>
      </c>
      <c r="AE4524" s="17" t="s">
        <v>48</v>
      </c>
      <c r="AF4524" s="17"/>
      <c r="AG4524" s="17"/>
      <c r="AH4524" s="17"/>
      <c r="AI4524" s="17"/>
      <c r="AJ4524" s="17"/>
      <c r="AK4524" s="17"/>
      <c r="AL4524" s="17"/>
      <c r="AM4524" s="17"/>
      <c r="AN4524" s="17"/>
      <c r="AO4524" s="17"/>
      <c r="AP4524" s="17"/>
      <c r="AQ4524" s="17"/>
      <c r="AR4524" s="17"/>
    </row>
    <row r="4525" s="21" customFormat="1" ht="15.6" hidden="1" spans="1:44">
      <c r="A4525" s="17" t="s">
        <v>34</v>
      </c>
      <c r="B4525" s="19">
        <v>957</v>
      </c>
      <c r="C4525" s="183">
        <v>45225</v>
      </c>
      <c r="D4525" s="17" t="s">
        <v>52</v>
      </c>
      <c r="E4525" s="17" t="s">
        <v>1113</v>
      </c>
      <c r="F4525" s="17" t="s">
        <v>54</v>
      </c>
      <c r="G4525" s="17"/>
      <c r="H4525" s="19" t="s">
        <v>1114</v>
      </c>
      <c r="I4525" s="19"/>
      <c r="J4525" s="17" t="s">
        <v>82</v>
      </c>
      <c r="K4525" s="19">
        <v>205</v>
      </c>
      <c r="L4525" s="19">
        <v>25</v>
      </c>
      <c r="M4525" s="19">
        <v>2200</v>
      </c>
      <c r="N4525" s="19" t="s">
        <v>66</v>
      </c>
      <c r="O4525" s="19" t="s">
        <v>141</v>
      </c>
      <c r="P4525" s="99">
        <v>543</v>
      </c>
      <c r="Q4525" s="19">
        <v>555</v>
      </c>
      <c r="R4525" s="19">
        <f t="shared" si="218"/>
        <v>-12</v>
      </c>
      <c r="S4525" s="274">
        <f>1030+80-20</f>
        <v>1090</v>
      </c>
      <c r="T4525" s="19" t="s">
        <v>42</v>
      </c>
      <c r="U4525" s="102" t="s">
        <v>1334</v>
      </c>
      <c r="V4525" s="101">
        <v>45247</v>
      </c>
      <c r="W4525" s="17" t="s">
        <v>69</v>
      </c>
      <c r="X4525" s="17"/>
      <c r="Y4525" s="68">
        <v>45292</v>
      </c>
      <c r="Z4525" s="17" t="s">
        <v>191</v>
      </c>
      <c r="AA4525" s="17" t="s">
        <v>46</v>
      </c>
      <c r="AB4525" s="17" t="s">
        <v>1335</v>
      </c>
      <c r="AC4525" s="217">
        <v>45443</v>
      </c>
      <c r="AD4525" s="65">
        <v>1581</v>
      </c>
      <c r="AE4525" s="17" t="s">
        <v>74</v>
      </c>
      <c r="AF4525" s="17"/>
      <c r="AG4525" s="17"/>
      <c r="AH4525" s="17"/>
      <c r="AI4525" s="17"/>
      <c r="AJ4525" s="17"/>
      <c r="AK4525" s="17"/>
      <c r="AL4525" s="17"/>
      <c r="AM4525" s="17"/>
      <c r="AN4525" s="17"/>
      <c r="AO4525" s="17"/>
      <c r="AP4525" s="17"/>
      <c r="AQ4525" s="17"/>
      <c r="AR4525" s="17"/>
    </row>
    <row r="4526" s="21" customFormat="1" ht="15.6" hidden="1" spans="1:44">
      <c r="A4526" s="17" t="s">
        <v>34</v>
      </c>
      <c r="B4526" s="19">
        <v>957</v>
      </c>
      <c r="C4526" s="183">
        <v>45225</v>
      </c>
      <c r="D4526" s="17" t="s">
        <v>52</v>
      </c>
      <c r="E4526" s="17" t="s">
        <v>1113</v>
      </c>
      <c r="F4526" s="17" t="s">
        <v>54</v>
      </c>
      <c r="G4526" s="17"/>
      <c r="H4526" s="19" t="s">
        <v>1114</v>
      </c>
      <c r="I4526" s="19"/>
      <c r="J4526" s="17" t="s">
        <v>82</v>
      </c>
      <c r="K4526" s="19">
        <v>255</v>
      </c>
      <c r="L4526" s="19">
        <v>25</v>
      </c>
      <c r="M4526" s="19">
        <v>2200</v>
      </c>
      <c r="N4526" s="19" t="s">
        <v>66</v>
      </c>
      <c r="O4526" s="19" t="s">
        <v>141</v>
      </c>
      <c r="P4526" s="99">
        <v>563</v>
      </c>
      <c r="Q4526" s="98">
        <f>119+118</f>
        <v>237</v>
      </c>
      <c r="R4526" s="254"/>
      <c r="S4526" s="274">
        <v>1030</v>
      </c>
      <c r="T4526" s="19" t="s">
        <v>42</v>
      </c>
      <c r="U4526" s="102" t="s">
        <v>1334</v>
      </c>
      <c r="V4526" s="101">
        <v>45247</v>
      </c>
      <c r="W4526" s="17" t="s">
        <v>44</v>
      </c>
      <c r="X4526" s="17"/>
      <c r="Y4526" s="68">
        <v>45292</v>
      </c>
      <c r="Z4526" s="17" t="s">
        <v>191</v>
      </c>
      <c r="AA4526" s="17" t="s">
        <v>46</v>
      </c>
      <c r="AB4526" s="17" t="s">
        <v>1245</v>
      </c>
      <c r="AC4526" s="66">
        <v>45379</v>
      </c>
      <c r="AD4526" s="65">
        <v>1546</v>
      </c>
      <c r="AE4526" s="17" t="s">
        <v>74</v>
      </c>
      <c r="AF4526" s="17"/>
      <c r="AG4526" s="17"/>
      <c r="AH4526" s="17"/>
      <c r="AI4526" s="17"/>
      <c r="AJ4526" s="17"/>
      <c r="AK4526" s="17"/>
      <c r="AL4526" s="17"/>
      <c r="AM4526" s="17"/>
      <c r="AN4526" s="17"/>
      <c r="AO4526" s="17"/>
      <c r="AP4526" s="17"/>
      <c r="AQ4526" s="17"/>
      <c r="AR4526" s="17"/>
    </row>
    <row r="4527" s="21" customFormat="1" ht="15.6" hidden="1" spans="1:44">
      <c r="A4527" s="17" t="s">
        <v>34</v>
      </c>
      <c r="B4527" s="19">
        <v>957</v>
      </c>
      <c r="C4527" s="183">
        <v>45225</v>
      </c>
      <c r="D4527" s="17" t="s">
        <v>52</v>
      </c>
      <c r="E4527" s="17" t="s">
        <v>1113</v>
      </c>
      <c r="F4527" s="17" t="s">
        <v>54</v>
      </c>
      <c r="G4527" s="17"/>
      <c r="H4527" s="19" t="s">
        <v>1114</v>
      </c>
      <c r="I4527" s="19"/>
      <c r="J4527" s="17" t="s">
        <v>82</v>
      </c>
      <c r="K4527" s="19">
        <v>255</v>
      </c>
      <c r="L4527" s="19">
        <v>25</v>
      </c>
      <c r="M4527" s="19">
        <v>2200</v>
      </c>
      <c r="N4527" s="19" t="s">
        <v>66</v>
      </c>
      <c r="O4527" s="19" t="s">
        <v>141</v>
      </c>
      <c r="P4527" s="99"/>
      <c r="Q4527" s="98">
        <v>119</v>
      </c>
      <c r="S4527" s="274">
        <f>1030+80-20</f>
        <v>1090</v>
      </c>
      <c r="T4527" s="19" t="s">
        <v>42</v>
      </c>
      <c r="U4527" s="102" t="s">
        <v>1334</v>
      </c>
      <c r="V4527" s="101">
        <v>45247</v>
      </c>
      <c r="W4527" s="17" t="s">
        <v>69</v>
      </c>
      <c r="X4527" s="17"/>
      <c r="Y4527" s="68">
        <v>45292</v>
      </c>
      <c r="Z4527" s="17" t="s">
        <v>191</v>
      </c>
      <c r="AA4527" s="17" t="s">
        <v>46</v>
      </c>
      <c r="AB4527" s="17" t="s">
        <v>1336</v>
      </c>
      <c r="AC4527" s="66">
        <v>45435</v>
      </c>
      <c r="AD4527" s="65">
        <v>1577</v>
      </c>
      <c r="AE4527" s="17" t="s">
        <v>74</v>
      </c>
      <c r="AF4527" s="17"/>
      <c r="AG4527" s="17"/>
      <c r="AH4527" s="17"/>
      <c r="AI4527" s="17"/>
      <c r="AJ4527" s="17"/>
      <c r="AK4527" s="17"/>
      <c r="AL4527" s="17"/>
      <c r="AM4527" s="17"/>
      <c r="AN4527" s="17"/>
      <c r="AO4527" s="17"/>
      <c r="AP4527" s="17"/>
      <c r="AQ4527" s="17"/>
      <c r="AR4527" s="17"/>
    </row>
    <row r="4528" s="21" customFormat="1" ht="15.6" hidden="1" spans="1:44">
      <c r="A4528" s="17" t="s">
        <v>34</v>
      </c>
      <c r="B4528" s="19">
        <v>957</v>
      </c>
      <c r="C4528" s="183">
        <v>45225</v>
      </c>
      <c r="D4528" s="17" t="s">
        <v>52</v>
      </c>
      <c r="E4528" s="17" t="s">
        <v>1113</v>
      </c>
      <c r="F4528" s="17" t="s">
        <v>54</v>
      </c>
      <c r="G4528" s="17"/>
      <c r="H4528" s="19" t="s">
        <v>1114</v>
      </c>
      <c r="I4528" s="19"/>
      <c r="J4528" s="17" t="s">
        <v>82</v>
      </c>
      <c r="K4528" s="19">
        <v>255</v>
      </c>
      <c r="L4528" s="19">
        <v>25</v>
      </c>
      <c r="M4528" s="19">
        <v>2200</v>
      </c>
      <c r="N4528" s="19" t="s">
        <v>66</v>
      </c>
      <c r="O4528" s="19" t="s">
        <v>141</v>
      </c>
      <c r="P4528" s="99"/>
      <c r="Q4528" s="98">
        <v>231</v>
      </c>
      <c r="R4528" s="99">
        <f>+P4526-Q4526-Q4527-Q4528</f>
        <v>-24</v>
      </c>
      <c r="S4528" s="274">
        <f>1030+80-20</f>
        <v>1090</v>
      </c>
      <c r="T4528" s="19" t="s">
        <v>42</v>
      </c>
      <c r="U4528" s="102" t="s">
        <v>1334</v>
      </c>
      <c r="V4528" s="101">
        <v>45247</v>
      </c>
      <c r="W4528" s="17" t="s">
        <v>69</v>
      </c>
      <c r="X4528" s="17"/>
      <c r="Y4528" s="68">
        <v>45292</v>
      </c>
      <c r="Z4528" s="17" t="s">
        <v>191</v>
      </c>
      <c r="AA4528" s="17" t="s">
        <v>46</v>
      </c>
      <c r="AB4528" s="17" t="s">
        <v>1335</v>
      </c>
      <c r="AC4528" s="217">
        <v>45443</v>
      </c>
      <c r="AD4528" s="65">
        <v>1581</v>
      </c>
      <c r="AE4528" s="17" t="s">
        <v>74</v>
      </c>
      <c r="AF4528" s="17"/>
      <c r="AG4528" s="17"/>
      <c r="AH4528" s="17"/>
      <c r="AI4528" s="17"/>
      <c r="AJ4528" s="17"/>
      <c r="AK4528" s="17"/>
      <c r="AL4528" s="17"/>
      <c r="AM4528" s="17"/>
      <c r="AN4528" s="17"/>
      <c r="AO4528" s="17"/>
      <c r="AP4528" s="17"/>
      <c r="AQ4528" s="17"/>
      <c r="AR4528" s="17"/>
    </row>
    <row r="4529" s="21" customFormat="1" ht="15.6" hidden="1" spans="1:44">
      <c r="A4529" s="17" t="s">
        <v>34</v>
      </c>
      <c r="B4529" s="19">
        <v>957</v>
      </c>
      <c r="C4529" s="183">
        <v>45225</v>
      </c>
      <c r="D4529" s="17" t="s">
        <v>52</v>
      </c>
      <c r="E4529" s="17" t="s">
        <v>1113</v>
      </c>
      <c r="F4529" s="17" t="s">
        <v>54</v>
      </c>
      <c r="G4529" s="17"/>
      <c r="H4529" s="19" t="s">
        <v>1114</v>
      </c>
      <c r="I4529" s="19"/>
      <c r="J4529" s="17" t="s">
        <v>82</v>
      </c>
      <c r="K4529" s="19">
        <v>305</v>
      </c>
      <c r="L4529" s="19">
        <v>25</v>
      </c>
      <c r="M4529" s="19">
        <v>2200</v>
      </c>
      <c r="N4529" s="19" t="s">
        <v>66</v>
      </c>
      <c r="O4529" s="19" t="s">
        <v>141</v>
      </c>
      <c r="P4529" s="99">
        <v>539</v>
      </c>
      <c r="Q4529" s="98">
        <v>142</v>
      </c>
      <c r="R4529" s="254"/>
      <c r="S4529" s="274">
        <v>1030</v>
      </c>
      <c r="T4529" s="19" t="s">
        <v>42</v>
      </c>
      <c r="U4529" s="102" t="s">
        <v>1334</v>
      </c>
      <c r="V4529" s="101">
        <v>45247</v>
      </c>
      <c r="W4529" s="17" t="s">
        <v>44</v>
      </c>
      <c r="X4529" s="17"/>
      <c r="Y4529" s="68">
        <v>45292</v>
      </c>
      <c r="Z4529" s="17" t="s">
        <v>191</v>
      </c>
      <c r="AA4529" s="17" t="s">
        <v>46</v>
      </c>
      <c r="AB4529" s="17" t="s">
        <v>1249</v>
      </c>
      <c r="AC4529" s="217">
        <v>45380</v>
      </c>
      <c r="AD4529" s="65">
        <v>1547</v>
      </c>
      <c r="AE4529" s="17" t="s">
        <v>74</v>
      </c>
      <c r="AF4529" s="17"/>
      <c r="AG4529" s="17"/>
      <c r="AH4529" s="17"/>
      <c r="AI4529" s="17"/>
      <c r="AJ4529" s="17"/>
      <c r="AK4529" s="17"/>
      <c r="AL4529" s="17"/>
      <c r="AM4529" s="17"/>
      <c r="AN4529" s="17"/>
      <c r="AO4529" s="17"/>
      <c r="AP4529" s="17"/>
      <c r="AQ4529" s="17"/>
      <c r="AR4529" s="17"/>
    </row>
    <row r="4530" s="21" customFormat="1" ht="15.6" hidden="1" spans="1:44">
      <c r="A4530" s="17" t="s">
        <v>34</v>
      </c>
      <c r="B4530" s="19">
        <v>957</v>
      </c>
      <c r="C4530" s="183">
        <v>45225</v>
      </c>
      <c r="D4530" s="17" t="s">
        <v>52</v>
      </c>
      <c r="E4530" s="17" t="s">
        <v>1113</v>
      </c>
      <c r="F4530" s="17" t="s">
        <v>54</v>
      </c>
      <c r="G4530" s="17"/>
      <c r="H4530" s="19" t="s">
        <v>1114</v>
      </c>
      <c r="I4530" s="19"/>
      <c r="J4530" s="17" t="s">
        <v>82</v>
      </c>
      <c r="K4530" s="19">
        <v>305</v>
      </c>
      <c r="L4530" s="19">
        <v>25</v>
      </c>
      <c r="M4530" s="19">
        <v>2200</v>
      </c>
      <c r="N4530" s="19" t="s">
        <v>66</v>
      </c>
      <c r="O4530" s="19" t="s">
        <v>141</v>
      </c>
      <c r="P4530" s="99"/>
      <c r="Q4530" s="98">
        <v>284</v>
      </c>
      <c r="S4530" s="274">
        <v>1030</v>
      </c>
      <c r="T4530" s="19" t="s">
        <v>42</v>
      </c>
      <c r="U4530" s="102" t="s">
        <v>1334</v>
      </c>
      <c r="V4530" s="101">
        <v>45247</v>
      </c>
      <c r="W4530" s="17" t="s">
        <v>44</v>
      </c>
      <c r="X4530" s="17"/>
      <c r="Y4530" s="68">
        <v>45292</v>
      </c>
      <c r="Z4530" s="17" t="s">
        <v>191</v>
      </c>
      <c r="AA4530" s="17" t="s">
        <v>46</v>
      </c>
      <c r="AB4530" s="17" t="s">
        <v>1245</v>
      </c>
      <c r="AC4530" s="66">
        <v>45379</v>
      </c>
      <c r="AD4530" s="65">
        <v>1546</v>
      </c>
      <c r="AE4530" s="17" t="s">
        <v>74</v>
      </c>
      <c r="AF4530" s="17"/>
      <c r="AG4530" s="17"/>
      <c r="AH4530" s="17"/>
      <c r="AI4530" s="17"/>
      <c r="AJ4530" s="17"/>
      <c r="AK4530" s="17"/>
      <c r="AL4530" s="17"/>
      <c r="AM4530" s="17"/>
      <c r="AN4530" s="17"/>
      <c r="AO4530" s="17"/>
      <c r="AP4530" s="17"/>
      <c r="AQ4530" s="17"/>
      <c r="AR4530" s="17"/>
    </row>
    <row r="4531" s="21" customFormat="1" ht="15.6" hidden="1" spans="1:44">
      <c r="A4531" s="17" t="s">
        <v>34</v>
      </c>
      <c r="B4531" s="19">
        <v>957</v>
      </c>
      <c r="C4531" s="183">
        <v>45225</v>
      </c>
      <c r="D4531" s="17" t="s">
        <v>52</v>
      </c>
      <c r="E4531" s="17" t="s">
        <v>1113</v>
      </c>
      <c r="F4531" s="17" t="s">
        <v>54</v>
      </c>
      <c r="G4531" s="17"/>
      <c r="H4531" s="19" t="s">
        <v>1114</v>
      </c>
      <c r="I4531" s="19"/>
      <c r="J4531" s="17" t="s">
        <v>82</v>
      </c>
      <c r="K4531" s="19">
        <v>305</v>
      </c>
      <c r="L4531" s="19">
        <v>25</v>
      </c>
      <c r="M4531" s="19">
        <v>2200</v>
      </c>
      <c r="N4531" s="19" t="s">
        <v>66</v>
      </c>
      <c r="O4531" s="19" t="s">
        <v>141</v>
      </c>
      <c r="P4531" s="99"/>
      <c r="Q4531" s="98">
        <v>136</v>
      </c>
      <c r="R4531" s="99">
        <f>+P4529-Q4529-Q4530-Q4531</f>
        <v>-23</v>
      </c>
      <c r="S4531" s="274">
        <f>1030+80-20</f>
        <v>1090</v>
      </c>
      <c r="T4531" s="19" t="s">
        <v>42</v>
      </c>
      <c r="U4531" s="102" t="s">
        <v>1334</v>
      </c>
      <c r="V4531" s="101">
        <v>45247</v>
      </c>
      <c r="W4531" s="17" t="s">
        <v>69</v>
      </c>
      <c r="X4531" s="17"/>
      <c r="Y4531" s="68">
        <v>45292</v>
      </c>
      <c r="Z4531" s="17" t="s">
        <v>191</v>
      </c>
      <c r="AA4531" s="17" t="s">
        <v>46</v>
      </c>
      <c r="AB4531" s="17" t="s">
        <v>1335</v>
      </c>
      <c r="AC4531" s="217">
        <v>45443</v>
      </c>
      <c r="AD4531" s="65">
        <v>1581</v>
      </c>
      <c r="AE4531" s="17" t="s">
        <v>74</v>
      </c>
      <c r="AF4531" s="17"/>
      <c r="AG4531" s="17"/>
      <c r="AH4531" s="17"/>
      <c r="AI4531" s="17"/>
      <c r="AJ4531" s="17"/>
      <c r="AK4531" s="17"/>
      <c r="AL4531" s="17"/>
      <c r="AM4531" s="17"/>
      <c r="AN4531" s="17"/>
      <c r="AO4531" s="17"/>
      <c r="AP4531" s="17"/>
      <c r="AQ4531" s="17"/>
      <c r="AR4531" s="17"/>
    </row>
    <row r="4532" s="21" customFormat="1" ht="15.6" hidden="1" spans="1:44">
      <c r="A4532" s="17" t="s">
        <v>34</v>
      </c>
      <c r="B4532" s="19">
        <v>957</v>
      </c>
      <c r="C4532" s="183">
        <v>45225</v>
      </c>
      <c r="D4532" s="17" t="s">
        <v>52</v>
      </c>
      <c r="E4532" s="17" t="s">
        <v>1113</v>
      </c>
      <c r="F4532" s="17" t="s">
        <v>54</v>
      </c>
      <c r="G4532" s="17"/>
      <c r="H4532" s="19" t="s">
        <v>1114</v>
      </c>
      <c r="I4532" s="19"/>
      <c r="J4532" s="17" t="s">
        <v>82</v>
      </c>
      <c r="K4532" s="19">
        <v>355</v>
      </c>
      <c r="L4532" s="19">
        <v>25</v>
      </c>
      <c r="M4532" s="19">
        <v>2200</v>
      </c>
      <c r="N4532" s="19" t="s">
        <v>66</v>
      </c>
      <c r="O4532" s="19" t="s">
        <v>141</v>
      </c>
      <c r="P4532" s="99">
        <v>470</v>
      </c>
      <c r="Q4532" s="98">
        <f>327+165</f>
        <v>492</v>
      </c>
      <c r="R4532" s="19">
        <f>+P4532-Q4532</f>
        <v>-22</v>
      </c>
      <c r="S4532" s="274">
        <v>1030</v>
      </c>
      <c r="T4532" s="19" t="s">
        <v>42</v>
      </c>
      <c r="U4532" s="102" t="s">
        <v>1334</v>
      </c>
      <c r="V4532" s="101">
        <v>45247</v>
      </c>
      <c r="W4532" s="17" t="s">
        <v>44</v>
      </c>
      <c r="X4532" s="17"/>
      <c r="Y4532" s="68">
        <v>45292</v>
      </c>
      <c r="Z4532" s="17" t="s">
        <v>191</v>
      </c>
      <c r="AA4532" s="17" t="s">
        <v>46</v>
      </c>
      <c r="AB4532" s="17" t="s">
        <v>1245</v>
      </c>
      <c r="AC4532" s="66">
        <v>45379</v>
      </c>
      <c r="AD4532" s="65">
        <v>1546</v>
      </c>
      <c r="AE4532" s="17" t="s">
        <v>74</v>
      </c>
      <c r="AF4532" s="17"/>
      <c r="AG4532" s="17"/>
      <c r="AH4532" s="17"/>
      <c r="AI4532" s="17"/>
      <c r="AJ4532" s="17"/>
      <c r="AK4532" s="17"/>
      <c r="AL4532" s="17"/>
      <c r="AM4532" s="17"/>
      <c r="AN4532" s="17"/>
      <c r="AO4532" s="17"/>
      <c r="AP4532" s="17"/>
      <c r="AQ4532" s="17"/>
      <c r="AR4532" s="17"/>
    </row>
    <row r="4533" s="21" customFormat="1" ht="15.6" hidden="1" spans="1:44">
      <c r="A4533" s="17" t="s">
        <v>34</v>
      </c>
      <c r="B4533" s="19">
        <v>957</v>
      </c>
      <c r="C4533" s="183">
        <v>45225</v>
      </c>
      <c r="D4533" s="17" t="s">
        <v>52</v>
      </c>
      <c r="E4533" s="17" t="s">
        <v>1113</v>
      </c>
      <c r="F4533" s="17" t="s">
        <v>54</v>
      </c>
      <c r="G4533" s="17"/>
      <c r="H4533" s="19" t="s">
        <v>1114</v>
      </c>
      <c r="I4533" s="19"/>
      <c r="J4533" s="17" t="s">
        <v>82</v>
      </c>
      <c r="K4533" s="19">
        <v>405</v>
      </c>
      <c r="L4533" s="19">
        <v>25</v>
      </c>
      <c r="M4533" s="19">
        <v>2200</v>
      </c>
      <c r="N4533" s="19" t="s">
        <v>66</v>
      </c>
      <c r="O4533" s="19" t="s">
        <v>141</v>
      </c>
      <c r="P4533" s="99">
        <v>536</v>
      </c>
      <c r="Q4533" s="98">
        <v>375</v>
      </c>
      <c r="S4533" s="274">
        <v>1030</v>
      </c>
      <c r="T4533" s="19" t="s">
        <v>42</v>
      </c>
      <c r="U4533" s="102" t="s">
        <v>1334</v>
      </c>
      <c r="V4533" s="101">
        <v>45247</v>
      </c>
      <c r="W4533" s="17" t="s">
        <v>44</v>
      </c>
      <c r="X4533" s="17"/>
      <c r="Y4533" s="68">
        <v>45292</v>
      </c>
      <c r="Z4533" s="17" t="s">
        <v>191</v>
      </c>
      <c r="AA4533" s="17" t="s">
        <v>46</v>
      </c>
      <c r="AB4533" s="17" t="s">
        <v>1245</v>
      </c>
      <c r="AC4533" s="66">
        <v>45379</v>
      </c>
      <c r="AD4533" s="65">
        <v>1546</v>
      </c>
      <c r="AE4533" s="17" t="s">
        <v>74</v>
      </c>
      <c r="AF4533" s="17"/>
      <c r="AG4533" s="17"/>
      <c r="AH4533" s="17"/>
      <c r="AI4533" s="17"/>
      <c r="AJ4533" s="17"/>
      <c r="AK4533" s="17"/>
      <c r="AL4533" s="17"/>
      <c r="AM4533" s="17"/>
      <c r="AN4533" s="17"/>
      <c r="AO4533" s="17"/>
      <c r="AP4533" s="17"/>
      <c r="AQ4533" s="17"/>
      <c r="AR4533" s="17"/>
    </row>
    <row r="4534" s="21" customFormat="1" ht="15.6" hidden="1" spans="1:44">
      <c r="A4534" s="17" t="s">
        <v>34</v>
      </c>
      <c r="B4534" s="19">
        <v>957</v>
      </c>
      <c r="C4534" s="183">
        <v>45225</v>
      </c>
      <c r="D4534" s="17" t="s">
        <v>52</v>
      </c>
      <c r="E4534" s="17" t="s">
        <v>1113</v>
      </c>
      <c r="F4534" s="17" t="s">
        <v>54</v>
      </c>
      <c r="G4534" s="17"/>
      <c r="H4534" s="19" t="s">
        <v>1114</v>
      </c>
      <c r="I4534" s="19"/>
      <c r="J4534" s="17" t="s">
        <v>82</v>
      </c>
      <c r="K4534" s="19">
        <v>405</v>
      </c>
      <c r="L4534" s="19">
        <v>25</v>
      </c>
      <c r="M4534" s="19">
        <v>2200</v>
      </c>
      <c r="N4534" s="19" t="s">
        <v>66</v>
      </c>
      <c r="O4534" s="19" t="s">
        <v>141</v>
      </c>
      <c r="P4534" s="99"/>
      <c r="Q4534" s="98">
        <v>178</v>
      </c>
      <c r="R4534" s="99">
        <f>+P4533-Q4533-Q4534</f>
        <v>-17</v>
      </c>
      <c r="S4534" s="274">
        <f>1030+80-20</f>
        <v>1090</v>
      </c>
      <c r="T4534" s="19" t="s">
        <v>42</v>
      </c>
      <c r="U4534" s="102" t="s">
        <v>1334</v>
      </c>
      <c r="V4534" s="101">
        <v>45247</v>
      </c>
      <c r="W4534" s="17" t="s">
        <v>69</v>
      </c>
      <c r="X4534" s="17"/>
      <c r="Y4534" s="68">
        <v>45292</v>
      </c>
      <c r="Z4534" s="17" t="s">
        <v>191</v>
      </c>
      <c r="AA4534" s="17" t="s">
        <v>46</v>
      </c>
      <c r="AB4534" s="17" t="s">
        <v>1335</v>
      </c>
      <c r="AC4534" s="217">
        <v>45443</v>
      </c>
      <c r="AD4534" s="65">
        <v>1581</v>
      </c>
      <c r="AE4534" s="17" t="s">
        <v>74</v>
      </c>
      <c r="AF4534" s="17"/>
      <c r="AG4534" s="17"/>
      <c r="AH4534" s="17"/>
      <c r="AI4534" s="17"/>
      <c r="AJ4534" s="17"/>
      <c r="AK4534" s="17"/>
      <c r="AL4534" s="17"/>
      <c r="AM4534" s="17"/>
      <c r="AN4534" s="17"/>
      <c r="AO4534" s="17"/>
      <c r="AP4534" s="17"/>
      <c r="AQ4534" s="17"/>
      <c r="AR4534" s="17"/>
    </row>
    <row r="4535" s="21" customFormat="1" ht="15.6" hidden="1" spans="1:44">
      <c r="A4535" s="17" t="s">
        <v>34</v>
      </c>
      <c r="B4535" s="19">
        <v>957</v>
      </c>
      <c r="C4535" s="183">
        <v>45225</v>
      </c>
      <c r="D4535" s="17" t="s">
        <v>52</v>
      </c>
      <c r="E4535" s="17" t="s">
        <v>1113</v>
      </c>
      <c r="F4535" s="17" t="s">
        <v>54</v>
      </c>
      <c r="G4535" s="17"/>
      <c r="H4535" s="19" t="s">
        <v>1114</v>
      </c>
      <c r="I4535" s="19"/>
      <c r="J4535" s="17" t="s">
        <v>82</v>
      </c>
      <c r="K4535" s="19">
        <v>455</v>
      </c>
      <c r="L4535" s="19">
        <v>25</v>
      </c>
      <c r="M4535" s="19">
        <v>2200</v>
      </c>
      <c r="N4535" s="19" t="s">
        <v>66</v>
      </c>
      <c r="O4535" s="19" t="s">
        <v>141</v>
      </c>
      <c r="P4535" s="99">
        <v>603</v>
      </c>
      <c r="Q4535" s="98">
        <v>606</v>
      </c>
      <c r="R4535" s="19">
        <f>+P4535-Q4535</f>
        <v>-3</v>
      </c>
      <c r="S4535" s="274">
        <f>1030+80-20</f>
        <v>1090</v>
      </c>
      <c r="T4535" s="19" t="s">
        <v>42</v>
      </c>
      <c r="U4535" s="102" t="s">
        <v>1334</v>
      </c>
      <c r="V4535" s="101">
        <v>45247</v>
      </c>
      <c r="W4535" s="17" t="s">
        <v>69</v>
      </c>
      <c r="X4535" s="17"/>
      <c r="Y4535" s="68">
        <v>45292</v>
      </c>
      <c r="Z4535" s="17" t="s">
        <v>191</v>
      </c>
      <c r="AA4535" s="17" t="s">
        <v>46</v>
      </c>
      <c r="AB4535" s="17" t="s">
        <v>1335</v>
      </c>
      <c r="AC4535" s="217">
        <v>45443</v>
      </c>
      <c r="AD4535" s="65">
        <v>1581</v>
      </c>
      <c r="AE4535" s="17" t="s">
        <v>74</v>
      </c>
      <c r="AF4535" s="17"/>
      <c r="AG4535" s="17"/>
      <c r="AH4535" s="17"/>
      <c r="AI4535" s="17"/>
      <c r="AJ4535" s="17"/>
      <c r="AK4535" s="17"/>
      <c r="AL4535" s="17"/>
      <c r="AM4535" s="17"/>
      <c r="AN4535" s="17"/>
      <c r="AO4535" s="17"/>
      <c r="AP4535" s="17"/>
      <c r="AQ4535" s="17"/>
      <c r="AR4535" s="17"/>
    </row>
    <row r="4536" s="21" customFormat="1" ht="15.6" hidden="1" spans="1:44">
      <c r="A4536" s="17" t="s">
        <v>34</v>
      </c>
      <c r="B4536" s="19">
        <v>957</v>
      </c>
      <c r="C4536" s="183">
        <v>45225</v>
      </c>
      <c r="D4536" s="17" t="s">
        <v>52</v>
      </c>
      <c r="E4536" s="17" t="s">
        <v>1113</v>
      </c>
      <c r="F4536" s="17" t="s">
        <v>54</v>
      </c>
      <c r="G4536" s="17"/>
      <c r="H4536" s="19" t="s">
        <v>1114</v>
      </c>
      <c r="I4536" s="19"/>
      <c r="J4536" s="17" t="s">
        <v>82</v>
      </c>
      <c r="K4536" s="19">
        <v>505</v>
      </c>
      <c r="L4536" s="19">
        <v>25</v>
      </c>
      <c r="M4536" s="19">
        <v>2200</v>
      </c>
      <c r="N4536" s="19" t="s">
        <v>66</v>
      </c>
      <c r="O4536" s="19" t="s">
        <v>141</v>
      </c>
      <c r="P4536" s="99">
        <v>446</v>
      </c>
      <c r="Q4536" s="98">
        <v>464</v>
      </c>
      <c r="R4536" s="19">
        <f>+P4536-Q4536</f>
        <v>-18</v>
      </c>
      <c r="S4536" s="274">
        <f>1030+80-20</f>
        <v>1090</v>
      </c>
      <c r="T4536" s="19" t="s">
        <v>42</v>
      </c>
      <c r="U4536" s="102" t="s">
        <v>1334</v>
      </c>
      <c r="V4536" s="101">
        <v>45247</v>
      </c>
      <c r="W4536" s="17" t="s">
        <v>69</v>
      </c>
      <c r="X4536" s="17"/>
      <c r="Y4536" s="68">
        <v>45292</v>
      </c>
      <c r="Z4536" s="17" t="s">
        <v>191</v>
      </c>
      <c r="AA4536" s="17" t="s">
        <v>46</v>
      </c>
      <c r="AB4536" s="17" t="s">
        <v>1336</v>
      </c>
      <c r="AC4536" s="66">
        <v>45435</v>
      </c>
      <c r="AD4536" s="65">
        <v>1577</v>
      </c>
      <c r="AE4536" s="17" t="s">
        <v>74</v>
      </c>
      <c r="AF4536" s="17"/>
      <c r="AG4536" s="17"/>
      <c r="AH4536" s="17"/>
      <c r="AI4536" s="17"/>
      <c r="AJ4536" s="17"/>
      <c r="AK4536" s="17"/>
      <c r="AL4536" s="17"/>
      <c r="AM4536" s="17"/>
      <c r="AN4536" s="17"/>
      <c r="AO4536" s="17"/>
      <c r="AP4536" s="17"/>
      <c r="AQ4536" s="17"/>
      <c r="AR4536" s="17"/>
    </row>
    <row r="4537" s="21" customFormat="1" ht="15.6" hidden="1" spans="1:44">
      <c r="A4537" s="17" t="s">
        <v>34</v>
      </c>
      <c r="B4537" s="19">
        <v>957</v>
      </c>
      <c r="C4537" s="183">
        <v>45225</v>
      </c>
      <c r="D4537" s="17" t="s">
        <v>52</v>
      </c>
      <c r="E4537" s="17" t="s">
        <v>1113</v>
      </c>
      <c r="F4537" s="17" t="s">
        <v>54</v>
      </c>
      <c r="G4537" s="17"/>
      <c r="H4537" s="19" t="s">
        <v>1114</v>
      </c>
      <c r="I4537" s="19"/>
      <c r="J4537" s="17" t="s">
        <v>82</v>
      </c>
      <c r="K4537" s="19">
        <v>205</v>
      </c>
      <c r="L4537" s="19">
        <v>32</v>
      </c>
      <c r="M4537" s="19">
        <v>2200</v>
      </c>
      <c r="N4537" s="19" t="s">
        <v>66</v>
      </c>
      <c r="O4537" s="19" t="s">
        <v>141</v>
      </c>
      <c r="P4537" s="19">
        <v>463</v>
      </c>
      <c r="Q4537" s="98">
        <f>138+119+131+359</f>
        <v>747</v>
      </c>
      <c r="R4537" s="19">
        <f>+P4537-Q4537</f>
        <v>-284</v>
      </c>
      <c r="S4537" s="274">
        <v>1030</v>
      </c>
      <c r="T4537" s="19" t="s">
        <v>42</v>
      </c>
      <c r="U4537" s="102" t="s">
        <v>1334</v>
      </c>
      <c r="V4537" s="101">
        <v>45247</v>
      </c>
      <c r="W4537" s="17" t="s">
        <v>44</v>
      </c>
      <c r="X4537" s="17"/>
      <c r="Y4537" s="68">
        <v>45292</v>
      </c>
      <c r="Z4537" s="17" t="s">
        <v>191</v>
      </c>
      <c r="AA4537" s="17" t="s">
        <v>46</v>
      </c>
      <c r="AB4537" s="17" t="s">
        <v>1245</v>
      </c>
      <c r="AC4537" s="66">
        <v>45379</v>
      </c>
      <c r="AD4537" s="65">
        <v>1546</v>
      </c>
      <c r="AE4537" s="17" t="s">
        <v>74</v>
      </c>
      <c r="AF4537" s="17"/>
      <c r="AG4537" s="17"/>
      <c r="AH4537" s="17"/>
      <c r="AI4537" s="17"/>
      <c r="AJ4537" s="17"/>
      <c r="AK4537" s="17"/>
      <c r="AL4537" s="17"/>
      <c r="AM4537" s="17"/>
      <c r="AN4537" s="17"/>
      <c r="AO4537" s="17"/>
      <c r="AP4537" s="17"/>
      <c r="AQ4537" s="17"/>
      <c r="AR4537" s="17"/>
    </row>
    <row r="4538" s="21" customFormat="1" ht="15.6" hidden="1" spans="1:44">
      <c r="A4538" s="17" t="s">
        <v>34</v>
      </c>
      <c r="B4538" s="19">
        <v>957</v>
      </c>
      <c r="C4538" s="183">
        <v>45225</v>
      </c>
      <c r="D4538" s="17" t="s">
        <v>52</v>
      </c>
      <c r="E4538" s="17" t="s">
        <v>1113</v>
      </c>
      <c r="F4538" s="17" t="s">
        <v>54</v>
      </c>
      <c r="G4538" s="17"/>
      <c r="H4538" s="19" t="s">
        <v>1114</v>
      </c>
      <c r="I4538" s="19"/>
      <c r="J4538" s="17" t="s">
        <v>82</v>
      </c>
      <c r="K4538" s="19">
        <v>255</v>
      </c>
      <c r="L4538" s="19">
        <v>32</v>
      </c>
      <c r="M4538" s="19">
        <v>2200</v>
      </c>
      <c r="N4538" s="19" t="s">
        <v>66</v>
      </c>
      <c r="O4538" s="19" t="s">
        <v>141</v>
      </c>
      <c r="P4538" s="19">
        <v>577</v>
      </c>
      <c r="Q4538" s="98">
        <f>446+148</f>
        <v>594</v>
      </c>
      <c r="R4538" s="19">
        <f>+P4538-Q4538</f>
        <v>-17</v>
      </c>
      <c r="S4538" s="274">
        <v>1030</v>
      </c>
      <c r="T4538" s="19" t="s">
        <v>42</v>
      </c>
      <c r="U4538" s="102" t="s">
        <v>1334</v>
      </c>
      <c r="V4538" s="101">
        <v>45247</v>
      </c>
      <c r="W4538" s="17" t="s">
        <v>44</v>
      </c>
      <c r="X4538" s="17"/>
      <c r="Y4538" s="68">
        <v>45292</v>
      </c>
      <c r="Z4538" s="17" t="s">
        <v>191</v>
      </c>
      <c r="AA4538" s="17" t="s">
        <v>46</v>
      </c>
      <c r="AB4538" s="17" t="s">
        <v>1245</v>
      </c>
      <c r="AC4538" s="66">
        <v>45379</v>
      </c>
      <c r="AD4538" s="65">
        <v>1546</v>
      </c>
      <c r="AE4538" s="17" t="s">
        <v>74</v>
      </c>
      <c r="AF4538" s="17"/>
      <c r="AG4538" s="17"/>
      <c r="AH4538" s="17"/>
      <c r="AI4538" s="17"/>
      <c r="AJ4538" s="17"/>
      <c r="AK4538" s="17"/>
      <c r="AL4538" s="17"/>
      <c r="AM4538" s="17"/>
      <c r="AN4538" s="17"/>
      <c r="AO4538" s="17"/>
      <c r="AP4538" s="17"/>
      <c r="AQ4538" s="17"/>
      <c r="AR4538" s="17"/>
    </row>
    <row r="4539" s="21" customFormat="1" ht="15.6" hidden="1" spans="1:44">
      <c r="A4539" s="17" t="s">
        <v>34</v>
      </c>
      <c r="B4539" s="19">
        <v>957</v>
      </c>
      <c r="C4539" s="183">
        <v>45225</v>
      </c>
      <c r="D4539" s="17" t="s">
        <v>52</v>
      </c>
      <c r="E4539" s="17" t="s">
        <v>1113</v>
      </c>
      <c r="F4539" s="17" t="s">
        <v>54</v>
      </c>
      <c r="G4539" s="17"/>
      <c r="H4539" s="19" t="s">
        <v>1114</v>
      </c>
      <c r="I4539" s="19"/>
      <c r="J4539" s="17" t="s">
        <v>82</v>
      </c>
      <c r="K4539" s="19">
        <v>305</v>
      </c>
      <c r="L4539" s="19">
        <v>32</v>
      </c>
      <c r="M4539" s="19">
        <v>2200</v>
      </c>
      <c r="N4539" s="19" t="s">
        <v>66</v>
      </c>
      <c r="O4539" s="19" t="s">
        <v>141</v>
      </c>
      <c r="P4539" s="19">
        <v>517</v>
      </c>
      <c r="Q4539" s="98">
        <v>179</v>
      </c>
      <c r="R4539" s="254"/>
      <c r="S4539" s="274">
        <v>1030</v>
      </c>
      <c r="T4539" s="19" t="s">
        <v>42</v>
      </c>
      <c r="U4539" s="102" t="s">
        <v>1334</v>
      </c>
      <c r="V4539" s="101">
        <v>45247</v>
      </c>
      <c r="W4539" s="17" t="s">
        <v>44</v>
      </c>
      <c r="X4539" s="17"/>
      <c r="Y4539" s="68">
        <v>45292</v>
      </c>
      <c r="Z4539" s="17" t="s">
        <v>191</v>
      </c>
      <c r="AA4539" s="17" t="s">
        <v>46</v>
      </c>
      <c r="AB4539" s="17" t="s">
        <v>1249</v>
      </c>
      <c r="AC4539" s="217">
        <v>45380</v>
      </c>
      <c r="AD4539" s="65">
        <v>1547</v>
      </c>
      <c r="AE4539" s="17" t="s">
        <v>74</v>
      </c>
      <c r="AF4539" s="17"/>
      <c r="AG4539" s="17"/>
      <c r="AH4539" s="17"/>
      <c r="AI4539" s="17"/>
      <c r="AJ4539" s="17"/>
      <c r="AK4539" s="17"/>
      <c r="AL4539" s="17"/>
      <c r="AM4539" s="17"/>
      <c r="AN4539" s="17"/>
      <c r="AO4539" s="17"/>
      <c r="AP4539" s="17"/>
      <c r="AQ4539" s="17"/>
      <c r="AR4539" s="17"/>
    </row>
    <row r="4540" s="21" customFormat="1" ht="15.6" hidden="1" spans="1:44">
      <c r="A4540" s="17" t="s">
        <v>34</v>
      </c>
      <c r="B4540" s="19">
        <v>957</v>
      </c>
      <c r="C4540" s="183">
        <v>45225</v>
      </c>
      <c r="D4540" s="17" t="s">
        <v>52</v>
      </c>
      <c r="E4540" s="17" t="s">
        <v>1113</v>
      </c>
      <c r="F4540" s="17" t="s">
        <v>54</v>
      </c>
      <c r="G4540" s="17"/>
      <c r="H4540" s="19" t="s">
        <v>1114</v>
      </c>
      <c r="I4540" s="19"/>
      <c r="J4540" s="17" t="s">
        <v>82</v>
      </c>
      <c r="K4540" s="19">
        <v>305</v>
      </c>
      <c r="L4540" s="19">
        <v>32</v>
      </c>
      <c r="M4540" s="19">
        <v>2200</v>
      </c>
      <c r="N4540" s="19" t="s">
        <v>66</v>
      </c>
      <c r="O4540" s="19" t="s">
        <v>141</v>
      </c>
      <c r="P4540" s="19"/>
      <c r="Q4540" s="98">
        <f>201+354</f>
        <v>555</v>
      </c>
      <c r="R4540" s="93">
        <f>+P4539-Q4539-Q4540</f>
        <v>-217</v>
      </c>
      <c r="S4540" s="274">
        <v>1030</v>
      </c>
      <c r="T4540" s="19" t="s">
        <v>42</v>
      </c>
      <c r="U4540" s="102" t="s">
        <v>1334</v>
      </c>
      <c r="V4540" s="101">
        <v>45247</v>
      </c>
      <c r="W4540" s="17" t="s">
        <v>44</v>
      </c>
      <c r="X4540" s="17"/>
      <c r="Y4540" s="68">
        <v>45292</v>
      </c>
      <c r="Z4540" s="17" t="s">
        <v>191</v>
      </c>
      <c r="AA4540" s="17" t="s">
        <v>46</v>
      </c>
      <c r="AB4540" s="17" t="s">
        <v>1245</v>
      </c>
      <c r="AC4540" s="66">
        <v>45379</v>
      </c>
      <c r="AD4540" s="65">
        <v>1546</v>
      </c>
      <c r="AE4540" s="17" t="s">
        <v>74</v>
      </c>
      <c r="AF4540" s="17"/>
      <c r="AG4540" s="17"/>
      <c r="AH4540" s="17"/>
      <c r="AI4540" s="17"/>
      <c r="AJ4540" s="17"/>
      <c r="AK4540" s="17"/>
      <c r="AL4540" s="17"/>
      <c r="AM4540" s="17"/>
      <c r="AN4540" s="17"/>
      <c r="AO4540" s="17"/>
      <c r="AP4540" s="17"/>
      <c r="AQ4540" s="17"/>
      <c r="AR4540" s="17"/>
    </row>
    <row r="4541" s="21" customFormat="1" ht="15.6" hidden="1" spans="1:44">
      <c r="A4541" s="17" t="s">
        <v>34</v>
      </c>
      <c r="B4541" s="19">
        <v>957</v>
      </c>
      <c r="C4541" s="183">
        <v>45225</v>
      </c>
      <c r="D4541" s="17" t="s">
        <v>52</v>
      </c>
      <c r="E4541" s="17" t="s">
        <v>1113</v>
      </c>
      <c r="F4541" s="17" t="s">
        <v>54</v>
      </c>
      <c r="G4541" s="17"/>
      <c r="H4541" s="19" t="s">
        <v>1114</v>
      </c>
      <c r="I4541" s="19"/>
      <c r="J4541" s="17" t="s">
        <v>82</v>
      </c>
      <c r="K4541" s="19">
        <v>355</v>
      </c>
      <c r="L4541" s="19">
        <v>32</v>
      </c>
      <c r="M4541" s="19">
        <v>2200</v>
      </c>
      <c r="N4541" s="19" t="s">
        <v>66</v>
      </c>
      <c r="O4541" s="19" t="s">
        <v>141</v>
      </c>
      <c r="P4541" s="19">
        <v>602</v>
      </c>
      <c r="Q4541" s="98">
        <f>411+208</f>
        <v>619</v>
      </c>
      <c r="S4541" s="274">
        <v>1030</v>
      </c>
      <c r="T4541" s="19" t="s">
        <v>42</v>
      </c>
      <c r="U4541" s="102" t="s">
        <v>1334</v>
      </c>
      <c r="V4541" s="101">
        <v>45247</v>
      </c>
      <c r="W4541" s="17" t="s">
        <v>44</v>
      </c>
      <c r="X4541" s="17"/>
      <c r="Y4541" s="68">
        <v>45292</v>
      </c>
      <c r="Z4541" s="17" t="s">
        <v>191</v>
      </c>
      <c r="AA4541" s="17" t="s">
        <v>46</v>
      </c>
      <c r="AB4541" s="17" t="s">
        <v>1245</v>
      </c>
      <c r="AC4541" s="66">
        <v>45379</v>
      </c>
      <c r="AD4541" s="65">
        <v>1546</v>
      </c>
      <c r="AE4541" s="17" t="s">
        <v>74</v>
      </c>
      <c r="AF4541" s="17"/>
      <c r="AG4541" s="17"/>
      <c r="AH4541" s="17"/>
      <c r="AI4541" s="17"/>
      <c r="AJ4541" s="17"/>
      <c r="AK4541" s="17"/>
      <c r="AL4541" s="17"/>
      <c r="AM4541" s="17"/>
      <c r="AN4541" s="17"/>
      <c r="AO4541" s="17"/>
      <c r="AP4541" s="17"/>
      <c r="AQ4541" s="17"/>
      <c r="AR4541" s="17"/>
    </row>
    <row r="4542" s="21" customFormat="1" ht="15.6" hidden="1" spans="1:44">
      <c r="A4542" s="17" t="s">
        <v>34</v>
      </c>
      <c r="B4542" s="19">
        <v>957</v>
      </c>
      <c r="C4542" s="183">
        <v>45225</v>
      </c>
      <c r="D4542" s="17" t="s">
        <v>52</v>
      </c>
      <c r="E4542" s="17" t="s">
        <v>1113</v>
      </c>
      <c r="F4542" s="17" t="s">
        <v>54</v>
      </c>
      <c r="G4542" s="17"/>
      <c r="H4542" s="19" t="s">
        <v>1114</v>
      </c>
      <c r="I4542" s="19"/>
      <c r="J4542" s="17" t="s">
        <v>82</v>
      </c>
      <c r="K4542" s="19">
        <v>355</v>
      </c>
      <c r="L4542" s="19">
        <v>32</v>
      </c>
      <c r="M4542" s="19">
        <v>2200</v>
      </c>
      <c r="N4542" s="19" t="s">
        <v>66</v>
      </c>
      <c r="O4542" s="19" t="s">
        <v>141</v>
      </c>
      <c r="P4542" s="19"/>
      <c r="Q4542" s="98">
        <v>203</v>
      </c>
      <c r="R4542" s="19">
        <f>+P4541-Q4541-Q4542</f>
        <v>-220</v>
      </c>
      <c r="S4542" s="274">
        <f>1030+80-20</f>
        <v>1090</v>
      </c>
      <c r="T4542" s="19" t="s">
        <v>42</v>
      </c>
      <c r="U4542" s="102" t="s">
        <v>1334</v>
      </c>
      <c r="V4542" s="101">
        <v>45247</v>
      </c>
      <c r="W4542" s="17" t="s">
        <v>69</v>
      </c>
      <c r="X4542" s="17"/>
      <c r="Y4542" s="68">
        <v>45292</v>
      </c>
      <c r="Z4542" s="17" t="s">
        <v>191</v>
      </c>
      <c r="AA4542" s="17" t="s">
        <v>46</v>
      </c>
      <c r="AB4542" s="17" t="s">
        <v>1335</v>
      </c>
      <c r="AC4542" s="217">
        <v>45443</v>
      </c>
      <c r="AD4542" s="65">
        <v>1581</v>
      </c>
      <c r="AE4542" s="17" t="s">
        <v>74</v>
      </c>
      <c r="AF4542" s="17"/>
      <c r="AG4542" s="17"/>
      <c r="AH4542" s="17"/>
      <c r="AI4542" s="17"/>
      <c r="AJ4542" s="17"/>
      <c r="AK4542" s="17"/>
      <c r="AL4542" s="17"/>
      <c r="AM4542" s="17"/>
      <c r="AN4542" s="17"/>
      <c r="AO4542" s="17"/>
      <c r="AP4542" s="17"/>
      <c r="AQ4542" s="17"/>
      <c r="AR4542" s="17"/>
    </row>
    <row r="4543" s="21" customFormat="1" ht="15.6" hidden="1" spans="1:44">
      <c r="A4543" s="17" t="s">
        <v>34</v>
      </c>
      <c r="B4543" s="19">
        <v>957</v>
      </c>
      <c r="C4543" s="183">
        <v>45225</v>
      </c>
      <c r="D4543" s="17" t="s">
        <v>52</v>
      </c>
      <c r="E4543" s="17" t="s">
        <v>1113</v>
      </c>
      <c r="F4543" s="17" t="s">
        <v>54</v>
      </c>
      <c r="G4543" s="17"/>
      <c r="H4543" s="19" t="s">
        <v>1114</v>
      </c>
      <c r="I4543" s="19"/>
      <c r="J4543" s="17" t="s">
        <v>82</v>
      </c>
      <c r="K4543" s="19">
        <v>405</v>
      </c>
      <c r="L4543" s="19">
        <v>32</v>
      </c>
      <c r="M4543" s="19">
        <v>2200</v>
      </c>
      <c r="N4543" s="19" t="s">
        <v>66</v>
      </c>
      <c r="O4543" s="19" t="s">
        <v>141</v>
      </c>
      <c r="P4543" s="19">
        <v>458</v>
      </c>
      <c r="Q4543" s="98">
        <v>474</v>
      </c>
      <c r="R4543" s="19">
        <f>+P4543-Q4543</f>
        <v>-16</v>
      </c>
      <c r="S4543" s="274">
        <v>1030</v>
      </c>
      <c r="T4543" s="19" t="s">
        <v>42</v>
      </c>
      <c r="U4543" s="102" t="s">
        <v>1334</v>
      </c>
      <c r="V4543" s="101">
        <v>45247</v>
      </c>
      <c r="W4543" s="17" t="s">
        <v>44</v>
      </c>
      <c r="X4543" s="17"/>
      <c r="Y4543" s="68">
        <v>45292</v>
      </c>
      <c r="Z4543" s="17" t="s">
        <v>191</v>
      </c>
      <c r="AA4543" s="17" t="s">
        <v>46</v>
      </c>
      <c r="AB4543" s="17" t="s">
        <v>1245</v>
      </c>
      <c r="AC4543" s="66">
        <v>45379</v>
      </c>
      <c r="AD4543" s="65">
        <v>1546</v>
      </c>
      <c r="AE4543" s="17" t="s">
        <v>74</v>
      </c>
      <c r="AF4543" s="17"/>
      <c r="AG4543" s="17"/>
      <c r="AH4543" s="17"/>
      <c r="AI4543" s="17"/>
      <c r="AJ4543" s="17"/>
      <c r="AK4543" s="17"/>
      <c r="AL4543" s="17"/>
      <c r="AM4543" s="17"/>
      <c r="AN4543" s="17"/>
      <c r="AO4543" s="17"/>
      <c r="AP4543" s="17"/>
      <c r="AQ4543" s="17"/>
      <c r="AR4543" s="17"/>
    </row>
    <row r="4544" s="21" customFormat="1" ht="15.6" hidden="1" spans="1:44">
      <c r="A4544" s="17" t="s">
        <v>34</v>
      </c>
      <c r="B4544" s="19">
        <v>957</v>
      </c>
      <c r="C4544" s="183">
        <v>45225</v>
      </c>
      <c r="D4544" s="17" t="s">
        <v>52</v>
      </c>
      <c r="E4544" s="17" t="s">
        <v>1113</v>
      </c>
      <c r="F4544" s="17" t="s">
        <v>54</v>
      </c>
      <c r="G4544" s="17"/>
      <c r="H4544" s="19" t="s">
        <v>1114</v>
      </c>
      <c r="I4544" s="19"/>
      <c r="J4544" s="17" t="s">
        <v>82</v>
      </c>
      <c r="K4544" s="19">
        <v>455</v>
      </c>
      <c r="L4544" s="19">
        <v>32</v>
      </c>
      <c r="M4544" s="19">
        <v>2200</v>
      </c>
      <c r="N4544" s="19" t="s">
        <v>66</v>
      </c>
      <c r="O4544" s="19" t="s">
        <v>141</v>
      </c>
      <c r="P4544" s="19">
        <v>514</v>
      </c>
      <c r="Q4544" s="98">
        <v>535</v>
      </c>
      <c r="R4544" s="19">
        <f>+P4544-Q4544</f>
        <v>-21</v>
      </c>
      <c r="S4544" s="274">
        <v>1030</v>
      </c>
      <c r="T4544" s="19" t="s">
        <v>42</v>
      </c>
      <c r="U4544" s="102" t="s">
        <v>1334</v>
      </c>
      <c r="V4544" s="101">
        <v>45247</v>
      </c>
      <c r="W4544" s="17" t="s">
        <v>44</v>
      </c>
      <c r="X4544" s="17"/>
      <c r="Y4544" s="68">
        <v>45292</v>
      </c>
      <c r="Z4544" s="17" t="s">
        <v>191</v>
      </c>
      <c r="AA4544" s="17" t="s">
        <v>46</v>
      </c>
      <c r="AB4544" s="17" t="s">
        <v>1245</v>
      </c>
      <c r="AC4544" s="66">
        <v>45379</v>
      </c>
      <c r="AD4544" s="65">
        <v>1546</v>
      </c>
      <c r="AE4544" s="17" t="s">
        <v>74</v>
      </c>
      <c r="AF4544" s="17"/>
      <c r="AG4544" s="17"/>
      <c r="AH4544" s="17"/>
      <c r="AI4544" s="17"/>
      <c r="AJ4544" s="17"/>
      <c r="AK4544" s="17"/>
      <c r="AL4544" s="17"/>
      <c r="AM4544" s="17"/>
      <c r="AN4544" s="17"/>
      <c r="AO4544" s="17"/>
      <c r="AP4544" s="17"/>
      <c r="AQ4544" s="17"/>
      <c r="AR4544" s="17"/>
    </row>
    <row r="4545" s="21" customFormat="1" ht="15.6" hidden="1" spans="1:44">
      <c r="A4545" s="17" t="s">
        <v>34</v>
      </c>
      <c r="B4545" s="19">
        <v>957</v>
      </c>
      <c r="C4545" s="183">
        <v>45225</v>
      </c>
      <c r="D4545" s="17" t="s">
        <v>52</v>
      </c>
      <c r="E4545" s="17" t="s">
        <v>1113</v>
      </c>
      <c r="F4545" s="17" t="s">
        <v>54</v>
      </c>
      <c r="G4545" s="17"/>
      <c r="H4545" s="19" t="s">
        <v>1114</v>
      </c>
      <c r="I4545" s="19"/>
      <c r="J4545" s="17" t="s">
        <v>82</v>
      </c>
      <c r="K4545" s="19">
        <v>505</v>
      </c>
      <c r="L4545" s="19">
        <v>32</v>
      </c>
      <c r="M4545" s="19">
        <v>2200</v>
      </c>
      <c r="N4545" s="19" t="s">
        <v>66</v>
      </c>
      <c r="O4545" s="19" t="s">
        <v>141</v>
      </c>
      <c r="P4545" s="19">
        <v>571</v>
      </c>
      <c r="Q4545" s="98">
        <v>595</v>
      </c>
      <c r="R4545" s="19">
        <f>+P4545-Q4545</f>
        <v>-24</v>
      </c>
      <c r="S4545" s="274">
        <v>1030</v>
      </c>
      <c r="T4545" s="19" t="s">
        <v>42</v>
      </c>
      <c r="U4545" s="102" t="s">
        <v>1334</v>
      </c>
      <c r="V4545" s="101">
        <v>45247</v>
      </c>
      <c r="W4545" s="17" t="s">
        <v>44</v>
      </c>
      <c r="X4545" s="17"/>
      <c r="Y4545" s="68">
        <v>45292</v>
      </c>
      <c r="Z4545" s="17" t="s">
        <v>191</v>
      </c>
      <c r="AA4545" s="17" t="s">
        <v>46</v>
      </c>
      <c r="AB4545" s="17" t="s">
        <v>1245</v>
      </c>
      <c r="AC4545" s="66">
        <v>45379</v>
      </c>
      <c r="AD4545" s="65">
        <v>1546</v>
      </c>
      <c r="AE4545" s="17" t="s">
        <v>74</v>
      </c>
      <c r="AF4545" s="17"/>
      <c r="AG4545" s="17"/>
      <c r="AH4545" s="17"/>
      <c r="AI4545" s="17"/>
      <c r="AJ4545" s="17"/>
      <c r="AK4545" s="17"/>
      <c r="AL4545" s="17"/>
      <c r="AM4545" s="17"/>
      <c r="AN4545" s="17"/>
      <c r="AO4545" s="17"/>
      <c r="AP4545" s="17"/>
      <c r="AQ4545" s="17"/>
      <c r="AR4545" s="17"/>
    </row>
    <row r="4546" s="21" customFormat="1" ht="15.6" hidden="1" spans="1:44">
      <c r="A4546" s="17" t="s">
        <v>34</v>
      </c>
      <c r="B4546" s="19">
        <v>957</v>
      </c>
      <c r="C4546" s="183">
        <v>45225</v>
      </c>
      <c r="D4546" s="17" t="s">
        <v>52</v>
      </c>
      <c r="E4546" s="17" t="s">
        <v>1113</v>
      </c>
      <c r="F4546" s="17" t="s">
        <v>54</v>
      </c>
      <c r="G4546" s="17"/>
      <c r="H4546" s="19" t="s">
        <v>1114</v>
      </c>
      <c r="I4546" s="19"/>
      <c r="J4546" s="17" t="s">
        <v>82</v>
      </c>
      <c r="K4546" s="19">
        <v>355</v>
      </c>
      <c r="L4546" s="19">
        <v>35</v>
      </c>
      <c r="M4546" s="19">
        <v>2200</v>
      </c>
      <c r="N4546" s="19" t="s">
        <v>66</v>
      </c>
      <c r="O4546" s="19" t="s">
        <v>141</v>
      </c>
      <c r="P4546" s="19">
        <v>439</v>
      </c>
      <c r="Q4546" s="98">
        <v>231</v>
      </c>
      <c r="S4546" s="274">
        <v>1030</v>
      </c>
      <c r="T4546" s="19" t="s">
        <v>42</v>
      </c>
      <c r="U4546" s="102" t="s">
        <v>1334</v>
      </c>
      <c r="V4546" s="101">
        <v>45247</v>
      </c>
      <c r="W4546" s="17" t="s">
        <v>44</v>
      </c>
      <c r="X4546" s="17"/>
      <c r="Y4546" s="68">
        <v>45292</v>
      </c>
      <c r="Z4546" s="17" t="s">
        <v>191</v>
      </c>
      <c r="AA4546" s="17" t="s">
        <v>46</v>
      </c>
      <c r="AB4546" s="17" t="s">
        <v>1245</v>
      </c>
      <c r="AC4546" s="66">
        <v>45379</v>
      </c>
      <c r="AD4546" s="65">
        <v>1546</v>
      </c>
      <c r="AE4546" s="17" t="s">
        <v>74</v>
      </c>
      <c r="AF4546" s="17"/>
      <c r="AG4546" s="17"/>
      <c r="AH4546" s="17"/>
      <c r="AI4546" s="17"/>
      <c r="AJ4546" s="17"/>
      <c r="AK4546" s="17"/>
      <c r="AL4546" s="17"/>
      <c r="AM4546" s="17"/>
      <c r="AN4546" s="17"/>
      <c r="AO4546" s="17"/>
      <c r="AP4546" s="17"/>
      <c r="AQ4546" s="17"/>
      <c r="AR4546" s="17"/>
    </row>
    <row r="4547" s="21" customFormat="1" ht="15.6" hidden="1" spans="1:44">
      <c r="A4547" s="17" t="s">
        <v>34</v>
      </c>
      <c r="B4547" s="19">
        <v>957</v>
      </c>
      <c r="C4547" s="183">
        <v>45225</v>
      </c>
      <c r="D4547" s="17" t="s">
        <v>52</v>
      </c>
      <c r="E4547" s="17" t="s">
        <v>1113</v>
      </c>
      <c r="F4547" s="17" t="s">
        <v>54</v>
      </c>
      <c r="G4547" s="17"/>
      <c r="H4547" s="19" t="s">
        <v>1114</v>
      </c>
      <c r="I4547" s="19"/>
      <c r="J4547" s="17" t="s">
        <v>82</v>
      </c>
      <c r="K4547" s="19">
        <v>355</v>
      </c>
      <c r="L4547" s="19">
        <v>35</v>
      </c>
      <c r="M4547" s="19">
        <v>2200</v>
      </c>
      <c r="N4547" s="19" t="s">
        <v>66</v>
      </c>
      <c r="O4547" s="19" t="s">
        <v>141</v>
      </c>
      <c r="P4547" s="19"/>
      <c r="Q4547" s="98">
        <v>233</v>
      </c>
      <c r="R4547" s="19">
        <f>+P4546-Q4546-Q4547</f>
        <v>-25</v>
      </c>
      <c r="S4547" s="274">
        <f>1030+80-20</f>
        <v>1090</v>
      </c>
      <c r="T4547" s="19" t="s">
        <v>42</v>
      </c>
      <c r="U4547" s="102" t="s">
        <v>1334</v>
      </c>
      <c r="V4547" s="101">
        <v>45247</v>
      </c>
      <c r="W4547" s="17" t="s">
        <v>69</v>
      </c>
      <c r="X4547" s="17"/>
      <c r="Y4547" s="68">
        <v>45292</v>
      </c>
      <c r="Z4547" s="17" t="s">
        <v>191</v>
      </c>
      <c r="AA4547" s="17" t="s">
        <v>46</v>
      </c>
      <c r="AB4547" s="17" t="s">
        <v>1336</v>
      </c>
      <c r="AC4547" s="66">
        <v>45435</v>
      </c>
      <c r="AD4547" s="65">
        <v>1577</v>
      </c>
      <c r="AE4547" s="17" t="s">
        <v>74</v>
      </c>
      <c r="AF4547" s="17"/>
      <c r="AG4547" s="17"/>
      <c r="AH4547" s="17"/>
      <c r="AI4547" s="17"/>
      <c r="AJ4547" s="17"/>
      <c r="AK4547" s="17"/>
      <c r="AL4547" s="17"/>
      <c r="AM4547" s="17"/>
      <c r="AN4547" s="17"/>
      <c r="AO4547" s="17"/>
      <c r="AP4547" s="17"/>
      <c r="AQ4547" s="17"/>
      <c r="AR4547" s="17"/>
    </row>
    <row r="4548" s="21" customFormat="1" ht="15.6" hidden="1" spans="1:44">
      <c r="A4548" s="17" t="s">
        <v>34</v>
      </c>
      <c r="B4548" s="19">
        <v>957</v>
      </c>
      <c r="C4548" s="183">
        <v>45225</v>
      </c>
      <c r="D4548" s="17" t="s">
        <v>52</v>
      </c>
      <c r="E4548" s="17" t="s">
        <v>1113</v>
      </c>
      <c r="F4548" s="17" t="s">
        <v>54</v>
      </c>
      <c r="G4548" s="17"/>
      <c r="H4548" s="19" t="s">
        <v>1114</v>
      </c>
      <c r="I4548" s="19"/>
      <c r="J4548" s="17" t="s">
        <v>82</v>
      </c>
      <c r="K4548" s="19">
        <v>405</v>
      </c>
      <c r="L4548" s="19">
        <v>35</v>
      </c>
      <c r="M4548" s="19">
        <v>2200</v>
      </c>
      <c r="N4548" s="19" t="s">
        <v>66</v>
      </c>
      <c r="O4548" s="19" t="s">
        <v>141</v>
      </c>
      <c r="P4548" s="19">
        <v>501</v>
      </c>
      <c r="Q4548" s="98">
        <v>526</v>
      </c>
      <c r="R4548" s="19">
        <f>+P4548-Q4548</f>
        <v>-25</v>
      </c>
      <c r="S4548" s="274">
        <v>1030</v>
      </c>
      <c r="T4548" s="19" t="s">
        <v>42</v>
      </c>
      <c r="U4548" s="102" t="s">
        <v>1334</v>
      </c>
      <c r="V4548" s="101">
        <v>45247</v>
      </c>
      <c r="W4548" s="17" t="s">
        <v>44</v>
      </c>
      <c r="X4548" s="17"/>
      <c r="Y4548" s="68">
        <v>45292</v>
      </c>
      <c r="Z4548" s="17" t="s">
        <v>191</v>
      </c>
      <c r="AA4548" s="17" t="s">
        <v>46</v>
      </c>
      <c r="AB4548" s="17" t="s">
        <v>1245</v>
      </c>
      <c r="AC4548" s="66">
        <v>45379</v>
      </c>
      <c r="AD4548" s="65">
        <v>1546</v>
      </c>
      <c r="AE4548" s="17" t="s">
        <v>74</v>
      </c>
      <c r="AF4548" s="17"/>
      <c r="AG4548" s="17"/>
      <c r="AH4548" s="17"/>
      <c r="AI4548" s="17"/>
      <c r="AJ4548" s="17"/>
      <c r="AK4548" s="17"/>
      <c r="AL4548" s="17"/>
      <c r="AM4548" s="17"/>
      <c r="AN4548" s="17"/>
      <c r="AO4548" s="17"/>
      <c r="AP4548" s="17"/>
      <c r="AQ4548" s="17"/>
      <c r="AR4548" s="17"/>
    </row>
    <row r="4549" s="21" customFormat="1" ht="15.6" hidden="1" spans="1:44">
      <c r="A4549" s="17" t="s">
        <v>34</v>
      </c>
      <c r="B4549" s="19">
        <v>957</v>
      </c>
      <c r="C4549" s="183">
        <v>45225</v>
      </c>
      <c r="D4549" s="17" t="s">
        <v>52</v>
      </c>
      <c r="E4549" s="17" t="s">
        <v>1113</v>
      </c>
      <c r="F4549" s="17" t="s">
        <v>54</v>
      </c>
      <c r="G4549" s="17"/>
      <c r="H4549" s="19" t="s">
        <v>1114</v>
      </c>
      <c r="I4549" s="19"/>
      <c r="J4549" s="17" t="s">
        <v>82</v>
      </c>
      <c r="K4549" s="19">
        <v>455</v>
      </c>
      <c r="L4549" s="19">
        <v>35</v>
      </c>
      <c r="M4549" s="19">
        <v>2200</v>
      </c>
      <c r="N4549" s="19" t="s">
        <v>66</v>
      </c>
      <c r="O4549" s="19" t="s">
        <v>141</v>
      </c>
      <c r="P4549" s="19">
        <v>563</v>
      </c>
      <c r="Q4549" s="98">
        <v>592</v>
      </c>
      <c r="R4549" s="19">
        <f>+P4549-Q4549</f>
        <v>-29</v>
      </c>
      <c r="S4549" s="274">
        <v>1030</v>
      </c>
      <c r="T4549" s="19" t="s">
        <v>42</v>
      </c>
      <c r="U4549" s="102" t="s">
        <v>1334</v>
      </c>
      <c r="V4549" s="101">
        <v>45247</v>
      </c>
      <c r="W4549" s="17" t="s">
        <v>44</v>
      </c>
      <c r="X4549" s="17"/>
      <c r="Y4549" s="68">
        <v>45292</v>
      </c>
      <c r="Z4549" s="17" t="s">
        <v>191</v>
      </c>
      <c r="AA4549" s="17" t="s">
        <v>46</v>
      </c>
      <c r="AB4549" s="17" t="s">
        <v>1245</v>
      </c>
      <c r="AC4549" s="66">
        <v>45379</v>
      </c>
      <c r="AD4549" s="65">
        <v>1546</v>
      </c>
      <c r="AE4549" s="17" t="s">
        <v>74</v>
      </c>
      <c r="AF4549" s="17"/>
      <c r="AG4549" s="17"/>
      <c r="AH4549" s="17"/>
      <c r="AI4549" s="17"/>
      <c r="AJ4549" s="17"/>
      <c r="AK4549" s="17"/>
      <c r="AL4549" s="17"/>
      <c r="AM4549" s="17"/>
      <c r="AN4549" s="17"/>
      <c r="AO4549" s="17"/>
      <c r="AP4549" s="17"/>
      <c r="AQ4549" s="17"/>
      <c r="AR4549" s="17"/>
    </row>
    <row r="4550" s="21" customFormat="1" ht="15.6" hidden="1" spans="1:44">
      <c r="A4550" s="17" t="s">
        <v>34</v>
      </c>
      <c r="B4550" s="19">
        <v>957</v>
      </c>
      <c r="C4550" s="183">
        <v>45225</v>
      </c>
      <c r="D4550" s="17" t="s">
        <v>52</v>
      </c>
      <c r="E4550" s="17" t="s">
        <v>1113</v>
      </c>
      <c r="F4550" s="17" t="s">
        <v>54</v>
      </c>
      <c r="G4550" s="17"/>
      <c r="H4550" s="19" t="s">
        <v>1114</v>
      </c>
      <c r="I4550" s="19"/>
      <c r="J4550" s="17" t="s">
        <v>82</v>
      </c>
      <c r="K4550" s="19">
        <v>505</v>
      </c>
      <c r="L4550" s="19">
        <v>35</v>
      </c>
      <c r="M4550" s="19">
        <v>2200</v>
      </c>
      <c r="N4550" s="19" t="s">
        <v>66</v>
      </c>
      <c r="O4550" s="19" t="s">
        <v>141</v>
      </c>
      <c r="P4550" s="19">
        <v>624</v>
      </c>
      <c r="Q4550" s="98">
        <v>656</v>
      </c>
      <c r="R4550" s="19">
        <f>+P4550-Q4550</f>
        <v>-32</v>
      </c>
      <c r="S4550" s="274">
        <v>1030</v>
      </c>
      <c r="T4550" s="19" t="s">
        <v>42</v>
      </c>
      <c r="U4550" s="102" t="s">
        <v>1334</v>
      </c>
      <c r="V4550" s="101">
        <v>45247</v>
      </c>
      <c r="W4550" s="17" t="s">
        <v>44</v>
      </c>
      <c r="X4550" s="17"/>
      <c r="Y4550" s="68">
        <v>45292</v>
      </c>
      <c r="Z4550" s="17" t="s">
        <v>191</v>
      </c>
      <c r="AA4550" s="17" t="s">
        <v>46</v>
      </c>
      <c r="AB4550" s="17" t="s">
        <v>1245</v>
      </c>
      <c r="AC4550" s="66">
        <v>45379</v>
      </c>
      <c r="AD4550" s="65">
        <v>1546</v>
      </c>
      <c r="AE4550" s="17" t="s">
        <v>74</v>
      </c>
      <c r="AF4550" s="17"/>
      <c r="AG4550" s="17"/>
      <c r="AH4550" s="17"/>
      <c r="AI4550" s="17"/>
      <c r="AJ4550" s="17"/>
      <c r="AK4550" s="17"/>
      <c r="AL4550" s="17"/>
      <c r="AM4550" s="17"/>
      <c r="AN4550" s="17"/>
      <c r="AO4550" s="17"/>
      <c r="AP4550" s="17"/>
      <c r="AQ4550" s="17"/>
      <c r="AR4550" s="17"/>
    </row>
    <row r="4551" s="21" customFormat="1" ht="15.6" hidden="1" spans="1:44">
      <c r="A4551" s="17" t="s">
        <v>34</v>
      </c>
      <c r="B4551" s="19">
        <v>957</v>
      </c>
      <c r="C4551" s="183">
        <v>45225</v>
      </c>
      <c r="D4551" s="17" t="s">
        <v>52</v>
      </c>
      <c r="E4551" s="17" t="s">
        <v>1113</v>
      </c>
      <c r="F4551" s="17" t="s">
        <v>54</v>
      </c>
      <c r="G4551" s="17"/>
      <c r="H4551" s="19" t="s">
        <v>1114</v>
      </c>
      <c r="I4551" s="19"/>
      <c r="J4551" s="17" t="s">
        <v>82</v>
      </c>
      <c r="K4551" s="19">
        <v>205</v>
      </c>
      <c r="L4551" s="19">
        <v>40</v>
      </c>
      <c r="M4551" s="19">
        <v>2200</v>
      </c>
      <c r="N4551" s="19" t="s">
        <v>66</v>
      </c>
      <c r="O4551" s="19" t="s">
        <v>141</v>
      </c>
      <c r="P4551" s="19">
        <v>2897</v>
      </c>
      <c r="Q4551" s="19">
        <v>753</v>
      </c>
      <c r="R4551" s="254"/>
      <c r="S4551" s="274">
        <v>1030</v>
      </c>
      <c r="T4551" s="19" t="s">
        <v>42</v>
      </c>
      <c r="U4551" s="102" t="s">
        <v>1334</v>
      </c>
      <c r="V4551" s="101">
        <v>45247</v>
      </c>
      <c r="W4551" s="17" t="s">
        <v>44</v>
      </c>
      <c r="X4551" s="17"/>
      <c r="Y4551" s="68">
        <v>45292</v>
      </c>
      <c r="Z4551" s="17" t="s">
        <v>191</v>
      </c>
      <c r="AA4551" s="17" t="s">
        <v>46</v>
      </c>
      <c r="AB4551" s="17" t="s">
        <v>1249</v>
      </c>
      <c r="AC4551" s="217">
        <v>45380</v>
      </c>
      <c r="AD4551" s="65">
        <v>1547</v>
      </c>
      <c r="AE4551" s="17" t="s">
        <v>74</v>
      </c>
      <c r="AF4551" s="17"/>
      <c r="AG4551" s="17"/>
      <c r="AH4551" s="17"/>
      <c r="AI4551" s="17"/>
      <c r="AJ4551" s="17"/>
      <c r="AK4551" s="17"/>
      <c r="AL4551" s="17"/>
      <c r="AM4551" s="17"/>
      <c r="AN4551" s="17"/>
      <c r="AO4551" s="17"/>
      <c r="AP4551" s="17"/>
      <c r="AQ4551" s="17"/>
      <c r="AR4551" s="17"/>
    </row>
    <row r="4552" s="21" customFormat="1" ht="15.6" hidden="1" spans="1:44">
      <c r="A4552" s="17" t="s">
        <v>34</v>
      </c>
      <c r="B4552" s="19">
        <v>957</v>
      </c>
      <c r="C4552" s="183">
        <v>45225</v>
      </c>
      <c r="D4552" s="17" t="s">
        <v>52</v>
      </c>
      <c r="E4552" s="17" t="s">
        <v>1113</v>
      </c>
      <c r="F4552" s="17" t="s">
        <v>54</v>
      </c>
      <c r="G4552" s="17"/>
      <c r="H4552" s="19" t="s">
        <v>1114</v>
      </c>
      <c r="I4552" s="19"/>
      <c r="J4552" s="17" t="s">
        <v>82</v>
      </c>
      <c r="K4552" s="19">
        <v>205</v>
      </c>
      <c r="L4552" s="19">
        <v>40</v>
      </c>
      <c r="M4552" s="19">
        <v>2200</v>
      </c>
      <c r="N4552" s="19" t="s">
        <v>66</v>
      </c>
      <c r="O4552" s="19" t="s">
        <v>141</v>
      </c>
      <c r="P4552" s="19"/>
      <c r="Q4552" s="19">
        <v>149</v>
      </c>
      <c r="S4552" s="274">
        <v>1030</v>
      </c>
      <c r="T4552" s="19" t="s">
        <v>42</v>
      </c>
      <c r="U4552" s="102" t="s">
        <v>1334</v>
      </c>
      <c r="V4552" s="101">
        <v>45247</v>
      </c>
      <c r="W4552" s="17" t="s">
        <v>44</v>
      </c>
      <c r="X4552" s="17"/>
      <c r="Y4552" s="68">
        <v>45292</v>
      </c>
      <c r="Z4552" s="17" t="s">
        <v>191</v>
      </c>
      <c r="AA4552" s="17" t="s">
        <v>46</v>
      </c>
      <c r="AB4552" s="17" t="s">
        <v>1337</v>
      </c>
      <c r="AC4552" s="217">
        <v>45400</v>
      </c>
      <c r="AD4552" s="65">
        <v>1563</v>
      </c>
      <c r="AE4552" s="17" t="s">
        <v>74</v>
      </c>
      <c r="AF4552" s="17"/>
      <c r="AG4552" s="17"/>
      <c r="AH4552" s="17"/>
      <c r="AI4552" s="17"/>
      <c r="AJ4552" s="17"/>
      <c r="AK4552" s="17"/>
      <c r="AL4552" s="17"/>
      <c r="AM4552" s="17"/>
      <c r="AN4552" s="17"/>
      <c r="AO4552" s="17"/>
      <c r="AP4552" s="17"/>
      <c r="AQ4552" s="17"/>
      <c r="AR4552" s="17"/>
    </row>
    <row r="4553" s="21" customFormat="1" ht="15.6" hidden="1" spans="1:44">
      <c r="A4553" s="17" t="s">
        <v>34</v>
      </c>
      <c r="B4553" s="19">
        <v>957</v>
      </c>
      <c r="C4553" s="183">
        <v>45225</v>
      </c>
      <c r="D4553" s="17" t="s">
        <v>52</v>
      </c>
      <c r="E4553" s="17" t="s">
        <v>1113</v>
      </c>
      <c r="F4553" s="17" t="s">
        <v>54</v>
      </c>
      <c r="G4553" s="17"/>
      <c r="H4553" s="19" t="s">
        <v>1114</v>
      </c>
      <c r="I4553" s="19"/>
      <c r="J4553" s="17" t="s">
        <v>82</v>
      </c>
      <c r="K4553" s="19">
        <v>205</v>
      </c>
      <c r="L4553" s="19">
        <v>40</v>
      </c>
      <c r="M4553" s="19">
        <v>2200</v>
      </c>
      <c r="N4553" s="19" t="s">
        <v>66</v>
      </c>
      <c r="O4553" s="19" t="s">
        <v>141</v>
      </c>
      <c r="P4553" s="19"/>
      <c r="Q4553" s="19">
        <v>336</v>
      </c>
      <c r="R4553" s="93">
        <f>+P4551-Q4551-Q4552-Q4553</f>
        <v>1659</v>
      </c>
      <c r="S4553" s="274">
        <v>1030</v>
      </c>
      <c r="T4553" s="19" t="s">
        <v>42</v>
      </c>
      <c r="U4553" s="102" t="s">
        <v>1334</v>
      </c>
      <c r="V4553" s="101">
        <v>45247</v>
      </c>
      <c r="W4553" s="17" t="s">
        <v>44</v>
      </c>
      <c r="X4553" s="17"/>
      <c r="Y4553" s="68">
        <v>45292</v>
      </c>
      <c r="Z4553" s="17" t="s">
        <v>191</v>
      </c>
      <c r="AA4553" s="17" t="s">
        <v>46</v>
      </c>
      <c r="AB4553" s="17"/>
      <c r="AC4553" s="217"/>
      <c r="AD4553" s="65"/>
      <c r="AE4553" s="17" t="s">
        <v>74</v>
      </c>
      <c r="AF4553" s="17" t="s">
        <v>1332</v>
      </c>
      <c r="AG4553" s="17"/>
      <c r="AH4553" s="17"/>
      <c r="AI4553" s="17"/>
      <c r="AJ4553" s="17"/>
      <c r="AK4553" s="17"/>
      <c r="AL4553" s="17"/>
      <c r="AM4553" s="17"/>
      <c r="AN4553" s="17"/>
      <c r="AO4553" s="17"/>
      <c r="AP4553" s="17"/>
      <c r="AQ4553" s="17"/>
      <c r="AR4553" s="17"/>
    </row>
    <row r="4554" s="21" customFormat="1" ht="15.6" hidden="1" spans="1:44">
      <c r="A4554" s="17" t="s">
        <v>34</v>
      </c>
      <c r="B4554" s="19">
        <v>957</v>
      </c>
      <c r="C4554" s="183">
        <v>45225</v>
      </c>
      <c r="D4554" s="17" t="s">
        <v>52</v>
      </c>
      <c r="E4554" s="17" t="s">
        <v>1113</v>
      </c>
      <c r="F4554" s="17" t="s">
        <v>54</v>
      </c>
      <c r="G4554" s="17"/>
      <c r="H4554" s="19" t="s">
        <v>1114</v>
      </c>
      <c r="I4554" s="19"/>
      <c r="J4554" s="17" t="s">
        <v>82</v>
      </c>
      <c r="K4554" s="19">
        <v>255</v>
      </c>
      <c r="L4554" s="19">
        <v>40</v>
      </c>
      <c r="M4554" s="19">
        <v>2200</v>
      </c>
      <c r="N4554" s="19" t="s">
        <v>66</v>
      </c>
      <c r="O4554" s="19" t="s">
        <v>141</v>
      </c>
      <c r="P4554" s="19">
        <v>3963</v>
      </c>
      <c r="Q4554" s="19">
        <v>1121</v>
      </c>
      <c r="S4554" s="274">
        <v>1030</v>
      </c>
      <c r="T4554" s="19" t="s">
        <v>42</v>
      </c>
      <c r="U4554" s="102" t="s">
        <v>1334</v>
      </c>
      <c r="V4554" s="101">
        <v>45247</v>
      </c>
      <c r="W4554" s="17" t="s">
        <v>44</v>
      </c>
      <c r="X4554" s="17"/>
      <c r="Y4554" s="68">
        <v>45292</v>
      </c>
      <c r="Z4554" s="17" t="s">
        <v>191</v>
      </c>
      <c r="AA4554" s="17" t="s">
        <v>46</v>
      </c>
      <c r="AB4554" s="17" t="s">
        <v>1338</v>
      </c>
      <c r="AC4554" s="217">
        <v>45395</v>
      </c>
      <c r="AD4554" s="65">
        <v>1557</v>
      </c>
      <c r="AE4554" s="17" t="s">
        <v>74</v>
      </c>
      <c r="AF4554" s="17"/>
      <c r="AG4554" s="17"/>
      <c r="AH4554" s="17"/>
      <c r="AI4554" s="17"/>
      <c r="AJ4554" s="17"/>
      <c r="AK4554" s="17"/>
      <c r="AL4554" s="17"/>
      <c r="AM4554" s="17"/>
      <c r="AN4554" s="17"/>
      <c r="AO4554" s="17"/>
      <c r="AP4554" s="17"/>
      <c r="AQ4554" s="17"/>
      <c r="AR4554" s="17"/>
    </row>
    <row r="4555" s="21" customFormat="1" ht="15.6" hidden="1" spans="1:44">
      <c r="A4555" s="17" t="s">
        <v>34</v>
      </c>
      <c r="B4555" s="19">
        <v>957</v>
      </c>
      <c r="C4555" s="183">
        <v>45225</v>
      </c>
      <c r="D4555" s="17" t="s">
        <v>52</v>
      </c>
      <c r="E4555" s="17" t="s">
        <v>1113</v>
      </c>
      <c r="F4555" s="17" t="s">
        <v>54</v>
      </c>
      <c r="G4555" s="17"/>
      <c r="H4555" s="19" t="s">
        <v>1114</v>
      </c>
      <c r="I4555" s="19"/>
      <c r="J4555" s="17" t="s">
        <v>82</v>
      </c>
      <c r="K4555" s="19">
        <v>255</v>
      </c>
      <c r="L4555" s="19">
        <v>40</v>
      </c>
      <c r="M4555" s="19">
        <v>2200</v>
      </c>
      <c r="N4555" s="19" t="s">
        <v>66</v>
      </c>
      <c r="O4555" s="19" t="s">
        <v>141</v>
      </c>
      <c r="P4555" s="19"/>
      <c r="Q4555" s="19">
        <v>1133</v>
      </c>
      <c r="R4555" s="19">
        <f>+P4554-Q4554-Q4555</f>
        <v>1709</v>
      </c>
      <c r="S4555" s="274">
        <f>1030+80-20</f>
        <v>1090</v>
      </c>
      <c r="T4555" s="19" t="s">
        <v>42</v>
      </c>
      <c r="U4555" s="102" t="s">
        <v>1334</v>
      </c>
      <c r="V4555" s="101">
        <v>45247</v>
      </c>
      <c r="W4555" s="17" t="s">
        <v>69</v>
      </c>
      <c r="X4555" s="17"/>
      <c r="Y4555" s="68">
        <v>45292</v>
      </c>
      <c r="Z4555" s="17" t="s">
        <v>191</v>
      </c>
      <c r="AA4555" s="17" t="s">
        <v>46</v>
      </c>
      <c r="AB4555" s="17" t="s">
        <v>1339</v>
      </c>
      <c r="AC4555" s="217">
        <v>45433</v>
      </c>
      <c r="AD4555" s="65">
        <v>1570</v>
      </c>
      <c r="AE4555" s="17" t="s">
        <v>74</v>
      </c>
      <c r="AF4555" s="17"/>
      <c r="AG4555" s="17"/>
      <c r="AH4555" s="17"/>
      <c r="AI4555" s="17"/>
      <c r="AJ4555" s="17"/>
      <c r="AK4555" s="17"/>
      <c r="AL4555" s="17"/>
      <c r="AM4555" s="17"/>
      <c r="AN4555" s="17"/>
      <c r="AO4555" s="17"/>
      <c r="AP4555" s="17"/>
      <c r="AQ4555" s="17"/>
      <c r="AR4555" s="17"/>
    </row>
    <row r="4556" s="21" customFormat="1" ht="15.6" hidden="1" spans="1:44">
      <c r="A4556" s="17" t="s">
        <v>34</v>
      </c>
      <c r="B4556" s="19">
        <v>957</v>
      </c>
      <c r="C4556" s="183">
        <v>45225</v>
      </c>
      <c r="D4556" s="17" t="s">
        <v>52</v>
      </c>
      <c r="E4556" s="17" t="s">
        <v>1113</v>
      </c>
      <c r="F4556" s="17" t="s">
        <v>54</v>
      </c>
      <c r="G4556" s="17"/>
      <c r="H4556" s="19" t="s">
        <v>1114</v>
      </c>
      <c r="I4556" s="19"/>
      <c r="J4556" s="17" t="s">
        <v>82</v>
      </c>
      <c r="K4556" s="19">
        <v>305</v>
      </c>
      <c r="L4556" s="98">
        <v>40</v>
      </c>
      <c r="M4556" s="19">
        <v>2200</v>
      </c>
      <c r="N4556" s="19" t="s">
        <v>66</v>
      </c>
      <c r="O4556" s="19" t="s">
        <v>141</v>
      </c>
      <c r="P4556" s="19">
        <v>4094</v>
      </c>
      <c r="Q4556" s="19">
        <f>1113+1115</f>
        <v>2228</v>
      </c>
      <c r="R4556" s="254"/>
      <c r="S4556" s="274">
        <v>1030</v>
      </c>
      <c r="T4556" s="19" t="s">
        <v>42</v>
      </c>
      <c r="U4556" s="102" t="s">
        <v>1334</v>
      </c>
      <c r="V4556" s="101">
        <v>45247</v>
      </c>
      <c r="W4556" s="17" t="s">
        <v>44</v>
      </c>
      <c r="X4556" s="17"/>
      <c r="Y4556" s="68">
        <v>45292</v>
      </c>
      <c r="Z4556" s="17" t="s">
        <v>191</v>
      </c>
      <c r="AA4556" s="17" t="s">
        <v>46</v>
      </c>
      <c r="AB4556" s="17" t="s">
        <v>1249</v>
      </c>
      <c r="AC4556" s="217">
        <v>45380</v>
      </c>
      <c r="AD4556" s="65">
        <v>1547</v>
      </c>
      <c r="AE4556" s="17" t="s">
        <v>74</v>
      </c>
      <c r="AF4556" s="17"/>
      <c r="AG4556" s="17"/>
      <c r="AH4556" s="17"/>
      <c r="AI4556" s="17"/>
      <c r="AJ4556" s="17"/>
      <c r="AK4556" s="17"/>
      <c r="AL4556" s="17"/>
      <c r="AM4556" s="17"/>
      <c r="AN4556" s="17"/>
      <c r="AO4556" s="17"/>
      <c r="AP4556" s="17"/>
      <c r="AQ4556" s="17"/>
      <c r="AR4556" s="17"/>
    </row>
    <row r="4557" s="21" customFormat="1" ht="15.6" hidden="1" spans="1:44">
      <c r="A4557" s="17"/>
      <c r="B4557" s="19">
        <v>957</v>
      </c>
      <c r="C4557" s="183">
        <v>45225</v>
      </c>
      <c r="D4557" s="17" t="s">
        <v>52</v>
      </c>
      <c r="E4557" s="17" t="s">
        <v>1113</v>
      </c>
      <c r="F4557" s="17" t="s">
        <v>54</v>
      </c>
      <c r="G4557" s="17"/>
      <c r="H4557" s="19" t="s">
        <v>1114</v>
      </c>
      <c r="I4557" s="19"/>
      <c r="J4557" s="17" t="s">
        <v>82</v>
      </c>
      <c r="K4557" s="19">
        <v>305</v>
      </c>
      <c r="L4557" s="98">
        <v>40</v>
      </c>
      <c r="M4557" s="19">
        <v>2200</v>
      </c>
      <c r="N4557" s="19" t="s">
        <v>66</v>
      </c>
      <c r="O4557" s="19" t="s">
        <v>141</v>
      </c>
      <c r="P4557" s="19"/>
      <c r="Q4557" s="19">
        <v>662</v>
      </c>
      <c r="R4557" s="254"/>
      <c r="S4557" s="274">
        <v>1030</v>
      </c>
      <c r="T4557" s="19" t="s">
        <v>42</v>
      </c>
      <c r="U4557" s="102" t="s">
        <v>1334</v>
      </c>
      <c r="V4557" s="101">
        <v>45247</v>
      </c>
      <c r="W4557" s="17" t="s">
        <v>44</v>
      </c>
      <c r="X4557" s="17"/>
      <c r="Y4557" s="68">
        <v>45292</v>
      </c>
      <c r="Z4557" s="17" t="s">
        <v>191</v>
      </c>
      <c r="AA4557" s="17" t="s">
        <v>46</v>
      </c>
      <c r="AB4557" s="17" t="s">
        <v>1337</v>
      </c>
      <c r="AC4557" s="217">
        <v>45400</v>
      </c>
      <c r="AD4557" s="65">
        <v>1563</v>
      </c>
      <c r="AE4557" s="17" t="s">
        <v>74</v>
      </c>
      <c r="AF4557" s="17"/>
      <c r="AG4557" s="17"/>
      <c r="AH4557" s="17"/>
      <c r="AI4557" s="17"/>
      <c r="AJ4557" s="17"/>
      <c r="AK4557" s="17"/>
      <c r="AL4557" s="17"/>
      <c r="AM4557" s="17"/>
      <c r="AN4557" s="17"/>
      <c r="AO4557" s="17"/>
      <c r="AP4557" s="17"/>
      <c r="AQ4557" s="17"/>
      <c r="AR4557" s="17"/>
    </row>
    <row r="4558" s="21" customFormat="1" ht="15.6" hidden="1" spans="1:44">
      <c r="A4558" s="17" t="s">
        <v>34</v>
      </c>
      <c r="B4558" s="19">
        <v>957</v>
      </c>
      <c r="C4558" s="183">
        <v>45225</v>
      </c>
      <c r="D4558" s="17" t="s">
        <v>52</v>
      </c>
      <c r="E4558" s="17" t="s">
        <v>1113</v>
      </c>
      <c r="F4558" s="17" t="s">
        <v>54</v>
      </c>
      <c r="G4558" s="17"/>
      <c r="H4558" s="19" t="s">
        <v>1114</v>
      </c>
      <c r="I4558" s="19"/>
      <c r="J4558" s="17" t="s">
        <v>82</v>
      </c>
      <c r="K4558" s="19">
        <v>305</v>
      </c>
      <c r="L4558" s="98">
        <v>40</v>
      </c>
      <c r="M4558" s="19">
        <v>2200</v>
      </c>
      <c r="N4558" s="19" t="s">
        <v>66</v>
      </c>
      <c r="O4558" s="19" t="s">
        <v>141</v>
      </c>
      <c r="P4558" s="19"/>
      <c r="Q4558" s="146">
        <v>221</v>
      </c>
      <c r="R4558" s="93">
        <f>+P4556-Q4556-Q4557-Q4558</f>
        <v>983</v>
      </c>
      <c r="S4558" s="274">
        <f>1030+80</f>
        <v>1110</v>
      </c>
      <c r="T4558" s="19" t="s">
        <v>42</v>
      </c>
      <c r="U4558" s="102" t="s">
        <v>1334</v>
      </c>
      <c r="V4558" s="101">
        <v>45247</v>
      </c>
      <c r="W4558" s="17" t="s">
        <v>69</v>
      </c>
      <c r="X4558" s="17"/>
      <c r="Y4558" s="68">
        <v>45292</v>
      </c>
      <c r="Z4558" s="17" t="s">
        <v>191</v>
      </c>
      <c r="AA4558" s="17" t="s">
        <v>46</v>
      </c>
      <c r="AB4558" s="17" t="s">
        <v>1340</v>
      </c>
      <c r="AC4558" s="217">
        <v>45498</v>
      </c>
      <c r="AD4558" s="65">
        <v>1603</v>
      </c>
      <c r="AE4558" s="17" t="s">
        <v>74</v>
      </c>
      <c r="AF4558" s="17"/>
      <c r="AG4558" s="17"/>
      <c r="AH4558" s="17"/>
      <c r="AI4558" s="17"/>
      <c r="AJ4558" s="17"/>
      <c r="AK4558" s="17"/>
      <c r="AL4558" s="17"/>
      <c r="AM4558" s="17"/>
      <c r="AN4558" s="17"/>
      <c r="AO4558" s="17"/>
      <c r="AP4558" s="17"/>
      <c r="AQ4558" s="17"/>
      <c r="AR4558" s="17"/>
    </row>
    <row r="4559" s="21" customFormat="1" ht="15.6" hidden="1" spans="1:44">
      <c r="A4559" s="17" t="s">
        <v>34</v>
      </c>
      <c r="B4559" s="19">
        <v>957</v>
      </c>
      <c r="C4559" s="183">
        <v>45225</v>
      </c>
      <c r="D4559" s="17" t="s">
        <v>52</v>
      </c>
      <c r="E4559" s="17" t="s">
        <v>1113</v>
      </c>
      <c r="F4559" s="17" t="s">
        <v>54</v>
      </c>
      <c r="G4559" s="17"/>
      <c r="H4559" s="19" t="s">
        <v>1114</v>
      </c>
      <c r="I4559" s="19"/>
      <c r="J4559" s="17" t="s">
        <v>82</v>
      </c>
      <c r="K4559" s="19">
        <v>355</v>
      </c>
      <c r="L4559" s="19">
        <v>40</v>
      </c>
      <c r="M4559" s="19">
        <v>2200</v>
      </c>
      <c r="N4559" s="19" t="s">
        <v>66</v>
      </c>
      <c r="O4559" s="19" t="s">
        <v>141</v>
      </c>
      <c r="P4559" s="19">
        <v>4013</v>
      </c>
      <c r="Q4559" s="19">
        <v>2068</v>
      </c>
      <c r="R4559" s="254"/>
      <c r="S4559" s="274">
        <v>1030</v>
      </c>
      <c r="T4559" s="19" t="s">
        <v>42</v>
      </c>
      <c r="U4559" s="102" t="s">
        <v>1334</v>
      </c>
      <c r="V4559" s="101">
        <v>45247</v>
      </c>
      <c r="W4559" s="17" t="s">
        <v>44</v>
      </c>
      <c r="X4559" s="17"/>
      <c r="Y4559" s="68">
        <v>45292</v>
      </c>
      <c r="Z4559" s="17" t="s">
        <v>191</v>
      </c>
      <c r="AA4559" s="17" t="s">
        <v>46</v>
      </c>
      <c r="AB4559" s="17" t="s">
        <v>1249</v>
      </c>
      <c r="AC4559" s="217">
        <v>45380</v>
      </c>
      <c r="AD4559" s="65">
        <v>1547</v>
      </c>
      <c r="AE4559" s="17" t="s">
        <v>74</v>
      </c>
      <c r="AF4559" s="17"/>
      <c r="AG4559" s="17"/>
      <c r="AH4559" s="17"/>
      <c r="AI4559" s="17"/>
      <c r="AJ4559" s="17"/>
      <c r="AK4559" s="17"/>
      <c r="AL4559" s="17"/>
      <c r="AM4559" s="17"/>
      <c r="AN4559" s="17"/>
      <c r="AO4559" s="17"/>
      <c r="AP4559" s="17"/>
      <c r="AQ4559" s="17"/>
      <c r="AR4559" s="17"/>
    </row>
    <row r="4560" s="21" customFormat="1" ht="15.6" hidden="1" spans="1:44">
      <c r="A4560" s="17" t="s">
        <v>34</v>
      </c>
      <c r="B4560" s="19">
        <v>957</v>
      </c>
      <c r="C4560" s="183">
        <v>45225</v>
      </c>
      <c r="D4560" s="17" t="s">
        <v>52</v>
      </c>
      <c r="E4560" s="17" t="s">
        <v>1113</v>
      </c>
      <c r="F4560" s="17" t="s">
        <v>54</v>
      </c>
      <c r="G4560" s="17"/>
      <c r="H4560" s="19" t="s">
        <v>1114</v>
      </c>
      <c r="I4560" s="19"/>
      <c r="J4560" s="17" t="s">
        <v>82</v>
      </c>
      <c r="K4560" s="19">
        <v>355</v>
      </c>
      <c r="L4560" s="19">
        <v>40</v>
      </c>
      <c r="M4560" s="19">
        <v>2200</v>
      </c>
      <c r="N4560" s="19" t="s">
        <v>66</v>
      </c>
      <c r="O4560" s="19" t="s">
        <v>141</v>
      </c>
      <c r="P4560" s="19"/>
      <c r="Q4560" s="19">
        <v>1045</v>
      </c>
      <c r="R4560" s="254"/>
      <c r="S4560" s="274">
        <v>1030</v>
      </c>
      <c r="T4560" s="19" t="s">
        <v>42</v>
      </c>
      <c r="U4560" s="102" t="s">
        <v>1334</v>
      </c>
      <c r="V4560" s="101">
        <v>45247</v>
      </c>
      <c r="W4560" s="17" t="s">
        <v>44</v>
      </c>
      <c r="X4560" s="17"/>
      <c r="Y4560" s="68">
        <v>45292</v>
      </c>
      <c r="Z4560" s="17" t="s">
        <v>191</v>
      </c>
      <c r="AA4560" s="17" t="s">
        <v>46</v>
      </c>
      <c r="AB4560" s="17" t="s">
        <v>1338</v>
      </c>
      <c r="AC4560" s="217">
        <v>45395</v>
      </c>
      <c r="AD4560" s="65">
        <v>1557</v>
      </c>
      <c r="AE4560" s="17" t="s">
        <v>74</v>
      </c>
      <c r="AF4560" s="17"/>
      <c r="AG4560" s="17"/>
      <c r="AH4560" s="17"/>
      <c r="AI4560" s="17"/>
      <c r="AJ4560" s="17"/>
      <c r="AK4560" s="17"/>
      <c r="AL4560" s="17"/>
      <c r="AM4560" s="17"/>
      <c r="AN4560" s="17"/>
      <c r="AO4560" s="17"/>
      <c r="AP4560" s="17"/>
      <c r="AQ4560" s="17"/>
      <c r="AR4560" s="17"/>
    </row>
    <row r="4561" s="21" customFormat="1" ht="15.6" hidden="1" spans="1:44">
      <c r="A4561" s="17" t="s">
        <v>34</v>
      </c>
      <c r="B4561" s="19">
        <v>957</v>
      </c>
      <c r="C4561" s="183">
        <v>45225</v>
      </c>
      <c r="D4561" s="17" t="s">
        <v>52</v>
      </c>
      <c r="E4561" s="17" t="s">
        <v>1113</v>
      </c>
      <c r="F4561" s="17" t="s">
        <v>54</v>
      </c>
      <c r="G4561" s="17"/>
      <c r="H4561" s="19" t="s">
        <v>1114</v>
      </c>
      <c r="I4561" s="19"/>
      <c r="J4561" s="17" t="s">
        <v>82</v>
      </c>
      <c r="K4561" s="19">
        <v>355</v>
      </c>
      <c r="L4561" s="19">
        <v>40</v>
      </c>
      <c r="M4561" s="19">
        <v>2200</v>
      </c>
      <c r="N4561" s="19" t="s">
        <v>66</v>
      </c>
      <c r="O4561" s="19" t="s">
        <v>141</v>
      </c>
      <c r="P4561" s="19"/>
      <c r="Q4561" s="19">
        <v>783</v>
      </c>
      <c r="S4561" s="274">
        <v>1030</v>
      </c>
      <c r="T4561" s="19" t="s">
        <v>42</v>
      </c>
      <c r="U4561" s="102" t="s">
        <v>1334</v>
      </c>
      <c r="V4561" s="101">
        <v>45247</v>
      </c>
      <c r="W4561" s="17" t="s">
        <v>44</v>
      </c>
      <c r="X4561" s="17"/>
      <c r="Y4561" s="68">
        <v>45292</v>
      </c>
      <c r="Z4561" s="17" t="s">
        <v>191</v>
      </c>
      <c r="AA4561" s="17" t="s">
        <v>46</v>
      </c>
      <c r="AB4561" s="17" t="s">
        <v>1341</v>
      </c>
      <c r="AC4561" s="217">
        <v>45400</v>
      </c>
      <c r="AD4561" s="65">
        <v>1562</v>
      </c>
      <c r="AE4561" s="17" t="s">
        <v>74</v>
      </c>
      <c r="AF4561" s="17"/>
      <c r="AG4561" s="17"/>
      <c r="AH4561" s="17"/>
      <c r="AI4561" s="17"/>
      <c r="AJ4561" s="17"/>
      <c r="AK4561" s="17"/>
      <c r="AL4561" s="17"/>
      <c r="AM4561" s="17"/>
      <c r="AN4561" s="17"/>
      <c r="AO4561" s="17"/>
      <c r="AP4561" s="17"/>
      <c r="AQ4561" s="17"/>
      <c r="AR4561" s="17"/>
    </row>
    <row r="4562" s="21" customFormat="1" ht="15.6" hidden="1" spans="1:44">
      <c r="A4562" s="17" t="s">
        <v>34</v>
      </c>
      <c r="B4562" s="19">
        <v>957</v>
      </c>
      <c r="C4562" s="183">
        <v>45225</v>
      </c>
      <c r="D4562" s="17" t="s">
        <v>52</v>
      </c>
      <c r="E4562" s="17" t="s">
        <v>1113</v>
      </c>
      <c r="F4562" s="17" t="s">
        <v>54</v>
      </c>
      <c r="G4562" s="17"/>
      <c r="H4562" s="19" t="s">
        <v>1114</v>
      </c>
      <c r="I4562" s="19"/>
      <c r="J4562" s="17" t="s">
        <v>82</v>
      </c>
      <c r="K4562" s="19">
        <v>355</v>
      </c>
      <c r="L4562" s="19">
        <v>40</v>
      </c>
      <c r="M4562" s="19">
        <v>2200</v>
      </c>
      <c r="N4562" s="19" t="s">
        <v>66</v>
      </c>
      <c r="O4562" s="19" t="s">
        <v>141</v>
      </c>
      <c r="P4562" s="19"/>
      <c r="Q4562" s="146">
        <v>251</v>
      </c>
      <c r="R4562" s="19">
        <f>+P4559-Q4559-Q4560-Q4561-Q4562</f>
        <v>-134</v>
      </c>
      <c r="S4562" s="274">
        <f>1030+80</f>
        <v>1110</v>
      </c>
      <c r="T4562" s="19" t="s">
        <v>42</v>
      </c>
      <c r="U4562" s="102" t="s">
        <v>1334</v>
      </c>
      <c r="V4562" s="101">
        <v>45247</v>
      </c>
      <c r="W4562" s="17" t="s">
        <v>69</v>
      </c>
      <c r="X4562" s="17"/>
      <c r="Y4562" s="68">
        <v>45292</v>
      </c>
      <c r="Z4562" s="17" t="s">
        <v>191</v>
      </c>
      <c r="AA4562" s="17" t="s">
        <v>46</v>
      </c>
      <c r="AB4562" s="17" t="s">
        <v>1340</v>
      </c>
      <c r="AC4562" s="217">
        <v>45498</v>
      </c>
      <c r="AD4562" s="65">
        <v>1603</v>
      </c>
      <c r="AE4562" s="17" t="s">
        <v>74</v>
      </c>
      <c r="AF4562" s="17"/>
      <c r="AG4562" s="17"/>
      <c r="AH4562" s="17"/>
      <c r="AI4562" s="17"/>
      <c r="AJ4562" s="17"/>
      <c r="AK4562" s="17"/>
      <c r="AL4562" s="17"/>
      <c r="AM4562" s="17"/>
      <c r="AN4562" s="17"/>
      <c r="AO4562" s="17"/>
      <c r="AP4562" s="17"/>
      <c r="AQ4562" s="17"/>
      <c r="AR4562" s="17"/>
    </row>
    <row r="4563" s="21" customFormat="1" ht="15.6" hidden="1" spans="1:44">
      <c r="A4563" s="17" t="s">
        <v>34</v>
      </c>
      <c r="B4563" s="19">
        <v>957</v>
      </c>
      <c r="C4563" s="183">
        <v>45225</v>
      </c>
      <c r="D4563" s="17" t="s">
        <v>52</v>
      </c>
      <c r="E4563" s="17" t="s">
        <v>1113</v>
      </c>
      <c r="F4563" s="17" t="s">
        <v>54</v>
      </c>
      <c r="G4563" s="17"/>
      <c r="H4563" s="19" t="s">
        <v>1114</v>
      </c>
      <c r="I4563" s="19"/>
      <c r="J4563" s="17" t="s">
        <v>82</v>
      </c>
      <c r="K4563" s="19">
        <v>405</v>
      </c>
      <c r="L4563" s="19">
        <v>40</v>
      </c>
      <c r="M4563" s="19">
        <v>2200</v>
      </c>
      <c r="N4563" s="19" t="s">
        <v>66</v>
      </c>
      <c r="O4563" s="19" t="s">
        <v>141</v>
      </c>
      <c r="P4563" s="19">
        <v>3147</v>
      </c>
      <c r="Q4563" s="19">
        <v>593</v>
      </c>
      <c r="R4563" s="254"/>
      <c r="S4563" s="274">
        <v>1030</v>
      </c>
      <c r="T4563" s="19" t="s">
        <v>42</v>
      </c>
      <c r="U4563" s="102" t="s">
        <v>1334</v>
      </c>
      <c r="V4563" s="101">
        <v>45247</v>
      </c>
      <c r="W4563" s="17" t="s">
        <v>44</v>
      </c>
      <c r="X4563" s="17"/>
      <c r="Y4563" s="68">
        <v>45292</v>
      </c>
      <c r="Z4563" s="17" t="s">
        <v>191</v>
      </c>
      <c r="AA4563" s="17" t="s">
        <v>46</v>
      </c>
      <c r="AB4563" s="17" t="s">
        <v>1338</v>
      </c>
      <c r="AC4563" s="217">
        <v>45395</v>
      </c>
      <c r="AD4563" s="65">
        <v>1557</v>
      </c>
      <c r="AE4563" s="17" t="s">
        <v>74</v>
      </c>
      <c r="AF4563" s="17"/>
      <c r="AG4563" s="17"/>
      <c r="AH4563" s="17"/>
      <c r="AI4563" s="17"/>
      <c r="AJ4563" s="17"/>
      <c r="AK4563" s="17"/>
      <c r="AL4563" s="17"/>
      <c r="AM4563" s="17"/>
      <c r="AN4563" s="17"/>
      <c r="AO4563" s="17"/>
      <c r="AP4563" s="17"/>
      <c r="AQ4563" s="17"/>
      <c r="AR4563" s="17"/>
    </row>
    <row r="4564" s="21" customFormat="1" ht="15.6" hidden="1" spans="1:44">
      <c r="A4564" s="17" t="s">
        <v>34</v>
      </c>
      <c r="B4564" s="19">
        <v>957</v>
      </c>
      <c r="C4564" s="183">
        <v>45225</v>
      </c>
      <c r="D4564" s="17" t="s">
        <v>52</v>
      </c>
      <c r="E4564" s="17" t="s">
        <v>1113</v>
      </c>
      <c r="F4564" s="17" t="s">
        <v>54</v>
      </c>
      <c r="G4564" s="17"/>
      <c r="H4564" s="19" t="s">
        <v>1114</v>
      </c>
      <c r="I4564" s="19"/>
      <c r="J4564" s="17" t="s">
        <v>82</v>
      </c>
      <c r="K4564" s="19">
        <v>405</v>
      </c>
      <c r="L4564" s="19">
        <v>40</v>
      </c>
      <c r="M4564" s="19">
        <v>2200</v>
      </c>
      <c r="N4564" s="19" t="s">
        <v>66</v>
      </c>
      <c r="O4564" s="19" t="s">
        <v>141</v>
      </c>
      <c r="P4564" s="19"/>
      <c r="Q4564" s="19">
        <v>888</v>
      </c>
      <c r="R4564" s="254"/>
      <c r="S4564" s="274">
        <v>1030</v>
      </c>
      <c r="T4564" s="19" t="s">
        <v>42</v>
      </c>
      <c r="U4564" s="102" t="s">
        <v>1334</v>
      </c>
      <c r="V4564" s="101">
        <v>45247</v>
      </c>
      <c r="W4564" s="17" t="s">
        <v>44</v>
      </c>
      <c r="X4564" s="17"/>
      <c r="Y4564" s="68">
        <v>45292</v>
      </c>
      <c r="Z4564" s="17" t="s">
        <v>191</v>
      </c>
      <c r="AA4564" s="17" t="s">
        <v>46</v>
      </c>
      <c r="AB4564" s="17" t="s">
        <v>1341</v>
      </c>
      <c r="AC4564" s="217">
        <v>45400</v>
      </c>
      <c r="AD4564" s="65">
        <v>1562</v>
      </c>
      <c r="AE4564" s="17" t="s">
        <v>74</v>
      </c>
      <c r="AF4564" s="17"/>
      <c r="AG4564" s="17"/>
      <c r="AH4564" s="17"/>
      <c r="AI4564" s="17"/>
      <c r="AJ4564" s="17"/>
      <c r="AK4564" s="17"/>
      <c r="AL4564" s="17"/>
      <c r="AM4564" s="17"/>
      <c r="AN4564" s="17"/>
      <c r="AO4564" s="17"/>
      <c r="AP4564" s="17"/>
      <c r="AQ4564" s="17"/>
      <c r="AR4564" s="17"/>
    </row>
    <row r="4565" s="21" customFormat="1" ht="15.6" hidden="1" spans="1:44">
      <c r="A4565" s="17" t="s">
        <v>34</v>
      </c>
      <c r="B4565" s="19">
        <v>957</v>
      </c>
      <c r="C4565" s="183">
        <v>45225</v>
      </c>
      <c r="D4565" s="17" t="s">
        <v>52</v>
      </c>
      <c r="E4565" s="17" t="s">
        <v>1113</v>
      </c>
      <c r="F4565" s="17" t="s">
        <v>54</v>
      </c>
      <c r="G4565" s="17"/>
      <c r="H4565" s="19" t="s">
        <v>1114</v>
      </c>
      <c r="I4565" s="19"/>
      <c r="J4565" s="17" t="s">
        <v>82</v>
      </c>
      <c r="K4565" s="19">
        <v>405</v>
      </c>
      <c r="L4565" s="19">
        <v>40</v>
      </c>
      <c r="M4565" s="19">
        <v>2200</v>
      </c>
      <c r="N4565" s="19" t="s">
        <v>66</v>
      </c>
      <c r="O4565" s="19" t="s">
        <v>141</v>
      </c>
      <c r="P4565" s="19"/>
      <c r="Q4565" s="19">
        <f>297+586</f>
        <v>883</v>
      </c>
      <c r="R4565" s="19">
        <f>+P4563-Q4563-Q4564-Q4565-Q4566</f>
        <v>487</v>
      </c>
      <c r="S4565" s="274">
        <v>1030</v>
      </c>
      <c r="T4565" s="19" t="s">
        <v>42</v>
      </c>
      <c r="U4565" s="102" t="s">
        <v>1334</v>
      </c>
      <c r="V4565" s="101">
        <v>45247</v>
      </c>
      <c r="W4565" s="17" t="s">
        <v>44</v>
      </c>
      <c r="X4565" s="17"/>
      <c r="Y4565" s="68">
        <v>45292</v>
      </c>
      <c r="Z4565" s="17" t="s">
        <v>191</v>
      </c>
      <c r="AA4565" s="17" t="s">
        <v>46</v>
      </c>
      <c r="AB4565" s="17" t="s">
        <v>1337</v>
      </c>
      <c r="AC4565" s="217">
        <v>45400</v>
      </c>
      <c r="AD4565" s="65">
        <v>1563</v>
      </c>
      <c r="AE4565" s="17" t="s">
        <v>74</v>
      </c>
      <c r="AF4565" s="17"/>
      <c r="AG4565" s="17"/>
      <c r="AH4565" s="17"/>
      <c r="AI4565" s="17"/>
      <c r="AJ4565" s="17"/>
      <c r="AK4565" s="17"/>
      <c r="AL4565" s="17"/>
      <c r="AM4565" s="17"/>
      <c r="AN4565" s="17"/>
      <c r="AO4565" s="17"/>
      <c r="AP4565" s="17"/>
      <c r="AQ4565" s="17"/>
      <c r="AR4565" s="17"/>
    </row>
    <row r="4566" s="21" customFormat="1" ht="15.6" hidden="1" spans="1:44">
      <c r="A4566" s="17" t="s">
        <v>34</v>
      </c>
      <c r="B4566" s="19">
        <v>957</v>
      </c>
      <c r="C4566" s="183">
        <v>45225</v>
      </c>
      <c r="D4566" s="17" t="s">
        <v>52</v>
      </c>
      <c r="E4566" s="17" t="s">
        <v>1113</v>
      </c>
      <c r="F4566" s="17" t="s">
        <v>54</v>
      </c>
      <c r="G4566" s="17"/>
      <c r="H4566" s="19" t="s">
        <v>1114</v>
      </c>
      <c r="I4566" s="19"/>
      <c r="J4566" s="17" t="s">
        <v>82</v>
      </c>
      <c r="K4566" s="19">
        <v>405</v>
      </c>
      <c r="L4566" s="19">
        <v>40</v>
      </c>
      <c r="M4566" s="19">
        <v>2200</v>
      </c>
      <c r="N4566" s="19" t="s">
        <v>66</v>
      </c>
      <c r="O4566" s="19" t="s">
        <v>141</v>
      </c>
      <c r="P4566" s="19"/>
      <c r="Q4566" s="146">
        <v>296</v>
      </c>
      <c r="S4566" s="274">
        <f>1030+80</f>
        <v>1110</v>
      </c>
      <c r="T4566" s="19" t="s">
        <v>42</v>
      </c>
      <c r="U4566" s="102" t="s">
        <v>1334</v>
      </c>
      <c r="V4566" s="101">
        <v>45247</v>
      </c>
      <c r="W4566" s="17" t="s">
        <v>69</v>
      </c>
      <c r="X4566" s="17"/>
      <c r="Y4566" s="68">
        <v>45292</v>
      </c>
      <c r="Z4566" s="17" t="s">
        <v>191</v>
      </c>
      <c r="AA4566" s="17" t="s">
        <v>46</v>
      </c>
      <c r="AB4566" s="17" t="s">
        <v>1340</v>
      </c>
      <c r="AC4566" s="217">
        <v>45498</v>
      </c>
      <c r="AD4566" s="65">
        <v>1603</v>
      </c>
      <c r="AE4566" s="17" t="s">
        <v>74</v>
      </c>
      <c r="AF4566" s="17"/>
      <c r="AG4566" s="17"/>
      <c r="AH4566" s="17"/>
      <c r="AI4566" s="17"/>
      <c r="AJ4566" s="17"/>
      <c r="AK4566" s="17"/>
      <c r="AL4566" s="17"/>
      <c r="AM4566" s="17"/>
      <c r="AN4566" s="17"/>
      <c r="AO4566" s="17"/>
      <c r="AP4566" s="17"/>
      <c r="AQ4566" s="17"/>
      <c r="AR4566" s="17"/>
    </row>
    <row r="4567" s="21" customFormat="1" ht="15.6" hidden="1" spans="1:44">
      <c r="A4567" s="17" t="s">
        <v>34</v>
      </c>
      <c r="B4567" s="19">
        <v>957</v>
      </c>
      <c r="C4567" s="183">
        <v>45225</v>
      </c>
      <c r="D4567" s="17" t="s">
        <v>52</v>
      </c>
      <c r="E4567" s="17" t="s">
        <v>1113</v>
      </c>
      <c r="F4567" s="17" t="s">
        <v>54</v>
      </c>
      <c r="G4567" s="17"/>
      <c r="H4567" s="19" t="s">
        <v>1114</v>
      </c>
      <c r="I4567" s="19"/>
      <c r="J4567" s="17" t="s">
        <v>82</v>
      </c>
      <c r="K4567" s="19">
        <v>455</v>
      </c>
      <c r="L4567" s="19">
        <v>40</v>
      </c>
      <c r="M4567" s="19">
        <v>2200</v>
      </c>
      <c r="N4567" s="19" t="s">
        <v>66</v>
      </c>
      <c r="O4567" s="19" t="s">
        <v>141</v>
      </c>
      <c r="P4567" s="19">
        <v>2572</v>
      </c>
      <c r="Q4567" s="19">
        <f>666+2001</f>
        <v>2667</v>
      </c>
      <c r="R4567" s="19">
        <f>+P4567-Q4567</f>
        <v>-95</v>
      </c>
      <c r="S4567" s="274">
        <v>1030</v>
      </c>
      <c r="T4567" s="19" t="s">
        <v>42</v>
      </c>
      <c r="U4567" s="102" t="s">
        <v>1334</v>
      </c>
      <c r="V4567" s="101">
        <v>45247</v>
      </c>
      <c r="W4567" s="17" t="s">
        <v>44</v>
      </c>
      <c r="X4567" s="17"/>
      <c r="Y4567" s="68">
        <v>45292</v>
      </c>
      <c r="Z4567" s="17" t="s">
        <v>191</v>
      </c>
      <c r="AA4567" s="17" t="s">
        <v>46</v>
      </c>
      <c r="AB4567" s="17" t="s">
        <v>1338</v>
      </c>
      <c r="AC4567" s="217">
        <v>45395</v>
      </c>
      <c r="AD4567" s="65">
        <v>1557</v>
      </c>
      <c r="AE4567" s="17" t="s">
        <v>74</v>
      </c>
      <c r="AI4567" s="17"/>
      <c r="AJ4567" s="17"/>
      <c r="AK4567" s="17"/>
      <c r="AL4567" s="17"/>
      <c r="AM4567" s="17"/>
      <c r="AN4567" s="17"/>
      <c r="AO4567" s="17"/>
      <c r="AP4567" s="17"/>
      <c r="AQ4567" s="17"/>
      <c r="AR4567" s="17"/>
    </row>
    <row r="4568" s="21" customFormat="1" ht="15.6" hidden="1" spans="1:44">
      <c r="A4568" s="17" t="s">
        <v>34</v>
      </c>
      <c r="B4568" s="19">
        <v>957</v>
      </c>
      <c r="C4568" s="183">
        <v>45225</v>
      </c>
      <c r="D4568" s="17" t="s">
        <v>52</v>
      </c>
      <c r="E4568" s="17" t="s">
        <v>1113</v>
      </c>
      <c r="F4568" s="17" t="s">
        <v>54</v>
      </c>
      <c r="G4568" s="17"/>
      <c r="H4568" s="19" t="s">
        <v>1114</v>
      </c>
      <c r="I4568" s="19"/>
      <c r="J4568" s="17" t="s">
        <v>82</v>
      </c>
      <c r="K4568" s="19">
        <v>505</v>
      </c>
      <c r="L4568" s="19">
        <v>40</v>
      </c>
      <c r="M4568" s="19">
        <v>2200</v>
      </c>
      <c r="N4568" s="19" t="s">
        <v>66</v>
      </c>
      <c r="O4568" s="19" t="s">
        <v>141</v>
      </c>
      <c r="P4568" s="19">
        <v>2497</v>
      </c>
      <c r="Q4568" s="19">
        <f>371+371+737</f>
        <v>1479</v>
      </c>
      <c r="R4568" s="254"/>
      <c r="S4568" s="274">
        <v>1030</v>
      </c>
      <c r="T4568" s="19" t="s">
        <v>42</v>
      </c>
      <c r="U4568" s="102" t="s">
        <v>1334</v>
      </c>
      <c r="V4568" s="101">
        <v>45247</v>
      </c>
      <c r="W4568" s="17" t="s">
        <v>44</v>
      </c>
      <c r="X4568" s="17"/>
      <c r="Y4568" s="68">
        <v>45292</v>
      </c>
      <c r="Z4568" s="17" t="s">
        <v>191</v>
      </c>
      <c r="AA4568" s="17" t="s">
        <v>46</v>
      </c>
      <c r="AB4568" s="17" t="s">
        <v>1338</v>
      </c>
      <c r="AC4568" s="217">
        <v>45395</v>
      </c>
      <c r="AD4568" s="65">
        <v>1557</v>
      </c>
      <c r="AE4568" s="17" t="s">
        <v>74</v>
      </c>
      <c r="AF4568" s="17"/>
      <c r="AG4568" s="17"/>
      <c r="AH4568" s="17"/>
      <c r="AI4568" s="17"/>
      <c r="AJ4568" s="17"/>
      <c r="AK4568" s="17"/>
      <c r="AL4568" s="17"/>
      <c r="AM4568" s="17"/>
      <c r="AN4568" s="17"/>
      <c r="AO4568" s="17"/>
      <c r="AP4568" s="17"/>
      <c r="AQ4568" s="17"/>
      <c r="AR4568" s="17"/>
    </row>
    <row r="4569" s="21" customFormat="1" ht="15.6" hidden="1" spans="1:44">
      <c r="A4569" s="17" t="s">
        <v>34</v>
      </c>
      <c r="B4569" s="19">
        <v>957</v>
      </c>
      <c r="C4569" s="183">
        <v>45225</v>
      </c>
      <c r="D4569" s="17" t="s">
        <v>52</v>
      </c>
      <c r="E4569" s="17" t="s">
        <v>1113</v>
      </c>
      <c r="F4569" s="17" t="s">
        <v>54</v>
      </c>
      <c r="G4569" s="17"/>
      <c r="H4569" s="19" t="s">
        <v>1114</v>
      </c>
      <c r="I4569" s="19"/>
      <c r="J4569" s="17" t="s">
        <v>82</v>
      </c>
      <c r="K4569" s="19">
        <v>505</v>
      </c>
      <c r="L4569" s="19">
        <v>40</v>
      </c>
      <c r="M4569" s="19">
        <v>2200</v>
      </c>
      <c r="N4569" s="19" t="s">
        <v>66</v>
      </c>
      <c r="O4569" s="19" t="s">
        <v>141</v>
      </c>
      <c r="P4569" s="19"/>
      <c r="Q4569" s="19">
        <v>371</v>
      </c>
      <c r="S4569" s="274">
        <v>1030</v>
      </c>
      <c r="T4569" s="19" t="s">
        <v>42</v>
      </c>
      <c r="U4569" s="102" t="s">
        <v>1334</v>
      </c>
      <c r="V4569" s="101">
        <v>45247</v>
      </c>
      <c r="W4569" s="17" t="s">
        <v>44</v>
      </c>
      <c r="X4569" s="17"/>
      <c r="Y4569" s="68">
        <v>45292</v>
      </c>
      <c r="Z4569" s="17" t="s">
        <v>191</v>
      </c>
      <c r="AA4569" s="17" t="s">
        <v>46</v>
      </c>
      <c r="AB4569" s="17" t="s">
        <v>1337</v>
      </c>
      <c r="AC4569" s="217">
        <v>45400</v>
      </c>
      <c r="AD4569" s="65">
        <v>1563</v>
      </c>
      <c r="AE4569" s="17" t="s">
        <v>74</v>
      </c>
      <c r="AF4569" s="17"/>
      <c r="AG4569" s="17"/>
      <c r="AH4569" s="17"/>
      <c r="AI4569" s="17"/>
      <c r="AJ4569" s="17"/>
      <c r="AK4569" s="17"/>
      <c r="AL4569" s="17"/>
      <c r="AM4569" s="17"/>
      <c r="AN4569" s="17"/>
      <c r="AO4569" s="17"/>
      <c r="AP4569" s="17"/>
      <c r="AQ4569" s="17"/>
      <c r="AR4569" s="17"/>
    </row>
    <row r="4570" s="21" customFormat="1" ht="15.6" hidden="1" spans="1:44">
      <c r="A4570" s="17" t="s">
        <v>34</v>
      </c>
      <c r="B4570" s="19">
        <v>957</v>
      </c>
      <c r="C4570" s="183">
        <v>45225</v>
      </c>
      <c r="D4570" s="17" t="s">
        <v>52</v>
      </c>
      <c r="E4570" s="17" t="s">
        <v>1113</v>
      </c>
      <c r="F4570" s="17" t="s">
        <v>54</v>
      </c>
      <c r="G4570" s="17"/>
      <c r="H4570" s="19" t="s">
        <v>1114</v>
      </c>
      <c r="I4570" s="19"/>
      <c r="J4570" s="17" t="s">
        <v>82</v>
      </c>
      <c r="K4570" s="19">
        <v>505</v>
      </c>
      <c r="L4570" s="19">
        <v>40</v>
      </c>
      <c r="M4570" s="19">
        <v>2200</v>
      </c>
      <c r="N4570" s="19" t="s">
        <v>66</v>
      </c>
      <c r="O4570" s="19" t="s">
        <v>141</v>
      </c>
      <c r="P4570" s="19"/>
      <c r="Q4570" s="19">
        <f>370+372</f>
        <v>742</v>
      </c>
      <c r="R4570" s="19">
        <f>+P4568-Q4568-Q4569-Q4570</f>
        <v>-95</v>
      </c>
      <c r="S4570" s="274">
        <f>1030+80-20</f>
        <v>1090</v>
      </c>
      <c r="T4570" s="19" t="s">
        <v>42</v>
      </c>
      <c r="U4570" s="102" t="s">
        <v>1334</v>
      </c>
      <c r="V4570" s="101">
        <v>45247</v>
      </c>
      <c r="W4570" s="17" t="s">
        <v>69</v>
      </c>
      <c r="X4570" s="17"/>
      <c r="Y4570" s="68">
        <v>45292</v>
      </c>
      <c r="Z4570" s="17" t="s">
        <v>191</v>
      </c>
      <c r="AA4570" s="17" t="s">
        <v>46</v>
      </c>
      <c r="AB4570" s="17" t="s">
        <v>1339</v>
      </c>
      <c r="AC4570" s="217">
        <v>45433</v>
      </c>
      <c r="AD4570" s="65">
        <v>1570</v>
      </c>
      <c r="AE4570" s="17" t="s">
        <v>74</v>
      </c>
      <c r="AF4570" s="17"/>
      <c r="AG4570" s="17"/>
      <c r="AH4570" s="17"/>
      <c r="AI4570" s="17"/>
      <c r="AJ4570" s="17"/>
      <c r="AK4570" s="17"/>
      <c r="AL4570" s="17"/>
      <c r="AM4570" s="17"/>
      <c r="AN4570" s="17"/>
      <c r="AO4570" s="17"/>
      <c r="AP4570" s="17"/>
      <c r="AQ4570" s="17"/>
      <c r="AR4570" s="17"/>
    </row>
    <row r="4571" s="21" customFormat="1" ht="15.6" hidden="1" spans="1:44">
      <c r="A4571" s="17" t="s">
        <v>34</v>
      </c>
      <c r="B4571" s="19">
        <v>957</v>
      </c>
      <c r="C4571" s="183">
        <v>45225</v>
      </c>
      <c r="D4571" s="17" t="s">
        <v>52</v>
      </c>
      <c r="E4571" s="17" t="s">
        <v>1113</v>
      </c>
      <c r="F4571" s="17" t="s">
        <v>54</v>
      </c>
      <c r="G4571" s="17"/>
      <c r="H4571" s="19" t="s">
        <v>1114</v>
      </c>
      <c r="I4571" s="19"/>
      <c r="J4571" s="17" t="s">
        <v>82</v>
      </c>
      <c r="K4571" s="19">
        <v>555</v>
      </c>
      <c r="L4571" s="19">
        <v>40</v>
      </c>
      <c r="M4571" s="19">
        <v>2200</v>
      </c>
      <c r="N4571" s="19" t="s">
        <v>66</v>
      </c>
      <c r="O4571" s="19" t="s">
        <v>141</v>
      </c>
      <c r="P4571" s="19">
        <v>1961</v>
      </c>
      <c r="Q4571" s="309">
        <f>407+405</f>
        <v>812</v>
      </c>
      <c r="R4571" s="254"/>
      <c r="S4571" s="274">
        <v>1030</v>
      </c>
      <c r="T4571" s="19" t="s">
        <v>42</v>
      </c>
      <c r="U4571" s="102" t="s">
        <v>1334</v>
      </c>
      <c r="V4571" s="101">
        <v>45247</v>
      </c>
      <c r="W4571" s="17" t="s">
        <v>44</v>
      </c>
      <c r="X4571" s="17"/>
      <c r="Y4571" s="68">
        <v>45292</v>
      </c>
      <c r="Z4571" s="17" t="s">
        <v>191</v>
      </c>
      <c r="AA4571" s="17" t="s">
        <v>46</v>
      </c>
      <c r="AB4571" s="17" t="s">
        <v>1240</v>
      </c>
      <c r="AC4571" s="217">
        <v>45372</v>
      </c>
      <c r="AD4571" s="65">
        <v>1542</v>
      </c>
      <c r="AE4571" s="17" t="s">
        <v>74</v>
      </c>
      <c r="AF4571" s="17"/>
      <c r="AG4571" s="17"/>
      <c r="AH4571" s="17"/>
      <c r="AI4571" s="17"/>
      <c r="AJ4571" s="17"/>
      <c r="AK4571" s="17"/>
      <c r="AL4571" s="17"/>
      <c r="AM4571" s="17"/>
      <c r="AN4571" s="17"/>
      <c r="AO4571" s="17"/>
      <c r="AP4571" s="17"/>
      <c r="AQ4571" s="17"/>
      <c r="AR4571" s="17"/>
    </row>
    <row r="4572" s="21" customFormat="1" ht="15.6" hidden="1" spans="1:44">
      <c r="A4572" s="17" t="s">
        <v>34</v>
      </c>
      <c r="B4572" s="19">
        <v>957</v>
      </c>
      <c r="C4572" s="183">
        <v>45225</v>
      </c>
      <c r="D4572" s="17" t="s">
        <v>52</v>
      </c>
      <c r="E4572" s="17" t="s">
        <v>1113</v>
      </c>
      <c r="F4572" s="17" t="s">
        <v>54</v>
      </c>
      <c r="G4572" s="17"/>
      <c r="H4572" s="19" t="s">
        <v>1114</v>
      </c>
      <c r="I4572" s="19"/>
      <c r="J4572" s="17" t="s">
        <v>82</v>
      </c>
      <c r="K4572" s="19">
        <v>555</v>
      </c>
      <c r="L4572" s="19">
        <v>40</v>
      </c>
      <c r="M4572" s="19">
        <v>2200</v>
      </c>
      <c r="N4572" s="19" t="s">
        <v>66</v>
      </c>
      <c r="O4572" s="19" t="s">
        <v>141</v>
      </c>
      <c r="Q4572" s="19">
        <v>407</v>
      </c>
      <c r="R4572" s="19">
        <f>+P4571-Q4571-Q4572</f>
        <v>742</v>
      </c>
      <c r="S4572" s="274">
        <v>1030</v>
      </c>
      <c r="T4572" s="19" t="s">
        <v>42</v>
      </c>
      <c r="U4572" s="102" t="s">
        <v>1334</v>
      </c>
      <c r="V4572" s="101">
        <v>45247</v>
      </c>
      <c r="W4572" s="17" t="s">
        <v>44</v>
      </c>
      <c r="X4572" s="17"/>
      <c r="Y4572" s="68">
        <v>45292</v>
      </c>
      <c r="Z4572" s="17" t="s">
        <v>191</v>
      </c>
      <c r="AA4572" s="17" t="s">
        <v>46</v>
      </c>
      <c r="AB4572" s="17" t="s">
        <v>1338</v>
      </c>
      <c r="AC4572" s="217">
        <v>45395</v>
      </c>
      <c r="AD4572" s="65">
        <v>1557</v>
      </c>
      <c r="AE4572" s="17" t="s">
        <v>74</v>
      </c>
      <c r="AF4572" s="17"/>
      <c r="AG4572" s="17"/>
      <c r="AH4572" s="17"/>
      <c r="AI4572" s="17"/>
      <c r="AJ4572" s="17"/>
      <c r="AK4572" s="17"/>
      <c r="AL4572" s="17"/>
      <c r="AM4572" s="17"/>
      <c r="AN4572" s="17"/>
      <c r="AO4572" s="17"/>
      <c r="AP4572" s="17"/>
      <c r="AQ4572" s="17"/>
      <c r="AR4572" s="17"/>
    </row>
    <row r="4573" s="21" customFormat="1" ht="15.6" hidden="1" spans="1:44">
      <c r="A4573" s="17" t="s">
        <v>34</v>
      </c>
      <c r="B4573" s="19">
        <v>957</v>
      </c>
      <c r="C4573" s="183">
        <v>45225</v>
      </c>
      <c r="D4573" s="17" t="s">
        <v>52</v>
      </c>
      <c r="E4573" s="17" t="s">
        <v>1113</v>
      </c>
      <c r="F4573" s="17" t="s">
        <v>54</v>
      </c>
      <c r="G4573" s="17"/>
      <c r="H4573" s="19" t="s">
        <v>1114</v>
      </c>
      <c r="I4573" s="19"/>
      <c r="J4573" s="17" t="s">
        <v>82</v>
      </c>
      <c r="K4573" s="19">
        <v>305</v>
      </c>
      <c r="L4573" s="19">
        <v>50</v>
      </c>
      <c r="M4573" s="19">
        <v>2200</v>
      </c>
      <c r="N4573" s="19" t="s">
        <v>66</v>
      </c>
      <c r="O4573" s="19" t="s">
        <v>141</v>
      </c>
      <c r="P4573" s="19">
        <v>4579</v>
      </c>
      <c r="Q4573" s="19">
        <f>1379+556</f>
        <v>1935</v>
      </c>
      <c r="R4573" s="254"/>
      <c r="S4573" s="274">
        <v>1030</v>
      </c>
      <c r="T4573" s="19" t="s">
        <v>42</v>
      </c>
      <c r="U4573" s="102" t="s">
        <v>1334</v>
      </c>
      <c r="V4573" s="101">
        <v>45247</v>
      </c>
      <c r="W4573" s="17" t="s">
        <v>44</v>
      </c>
      <c r="X4573" s="17"/>
      <c r="Y4573" s="68">
        <v>45292</v>
      </c>
      <c r="Z4573" s="17" t="s">
        <v>191</v>
      </c>
      <c r="AA4573" s="17" t="s">
        <v>46</v>
      </c>
      <c r="AB4573" s="17" t="s">
        <v>1249</v>
      </c>
      <c r="AC4573" s="217">
        <v>45380</v>
      </c>
      <c r="AD4573" s="65">
        <v>1547</v>
      </c>
      <c r="AE4573" s="17" t="s">
        <v>74</v>
      </c>
      <c r="AF4573" s="17"/>
      <c r="AG4573" s="17"/>
      <c r="AH4573" s="17"/>
      <c r="AI4573" s="17"/>
      <c r="AJ4573" s="17"/>
      <c r="AK4573" s="17"/>
      <c r="AL4573" s="17"/>
      <c r="AM4573" s="17"/>
      <c r="AN4573" s="17"/>
      <c r="AO4573" s="17"/>
      <c r="AP4573" s="17"/>
      <c r="AQ4573" s="17"/>
      <c r="AR4573" s="17"/>
    </row>
    <row r="4574" s="21" customFormat="1" ht="15.6" hidden="1" spans="1:44">
      <c r="A4574" s="17" t="s">
        <v>34</v>
      </c>
      <c r="B4574" s="19">
        <v>957</v>
      </c>
      <c r="C4574" s="183">
        <v>45225</v>
      </c>
      <c r="D4574" s="17" t="s">
        <v>52</v>
      </c>
      <c r="E4574" s="17" t="s">
        <v>1113</v>
      </c>
      <c r="F4574" s="17" t="s">
        <v>54</v>
      </c>
      <c r="G4574" s="17"/>
      <c r="H4574" s="19" t="s">
        <v>1114</v>
      </c>
      <c r="I4574" s="19"/>
      <c r="J4574" s="17" t="s">
        <v>82</v>
      </c>
      <c r="K4574" s="19">
        <v>305</v>
      </c>
      <c r="L4574" s="19">
        <v>50</v>
      </c>
      <c r="M4574" s="19">
        <v>2200</v>
      </c>
      <c r="N4574" s="19" t="s">
        <v>66</v>
      </c>
      <c r="O4574" s="19" t="s">
        <v>141</v>
      </c>
      <c r="P4574" s="19"/>
      <c r="Q4574" s="19">
        <v>1124</v>
      </c>
      <c r="R4574" s="254"/>
      <c r="S4574" s="274">
        <v>1030</v>
      </c>
      <c r="T4574" s="19" t="s">
        <v>42</v>
      </c>
      <c r="U4574" s="102" t="s">
        <v>1334</v>
      </c>
      <c r="V4574" s="101">
        <v>45247</v>
      </c>
      <c r="W4574" s="17" t="s">
        <v>44</v>
      </c>
      <c r="X4574" s="17"/>
      <c r="Y4574" s="68">
        <v>45292</v>
      </c>
      <c r="Z4574" s="17" t="s">
        <v>191</v>
      </c>
      <c r="AA4574" s="17" t="s">
        <v>46</v>
      </c>
      <c r="AB4574" s="17" t="s">
        <v>1342</v>
      </c>
      <c r="AC4574" s="217">
        <v>45394</v>
      </c>
      <c r="AD4574" s="65">
        <v>1555</v>
      </c>
      <c r="AE4574" s="17" t="s">
        <v>74</v>
      </c>
      <c r="AF4574" s="17"/>
      <c r="AG4574" s="17"/>
      <c r="AH4574" s="17"/>
      <c r="AI4574" s="17"/>
      <c r="AJ4574" s="17"/>
      <c r="AK4574" s="17"/>
      <c r="AL4574" s="17"/>
      <c r="AM4574" s="17"/>
      <c r="AN4574" s="17"/>
      <c r="AO4574" s="17"/>
      <c r="AP4574" s="17"/>
      <c r="AQ4574" s="17"/>
      <c r="AR4574" s="17"/>
    </row>
    <row r="4575" s="21" customFormat="1" ht="15.6" hidden="1" spans="1:44">
      <c r="A4575" s="17" t="s">
        <v>34</v>
      </c>
      <c r="B4575" s="19">
        <v>957</v>
      </c>
      <c r="C4575" s="183">
        <v>45225</v>
      </c>
      <c r="D4575" s="17" t="s">
        <v>52</v>
      </c>
      <c r="E4575" s="17" t="s">
        <v>1113</v>
      </c>
      <c r="F4575" s="17" t="s">
        <v>54</v>
      </c>
      <c r="G4575" s="17"/>
      <c r="H4575" s="19" t="s">
        <v>1114</v>
      </c>
      <c r="I4575" s="19"/>
      <c r="J4575" s="17" t="s">
        <v>82</v>
      </c>
      <c r="K4575" s="19">
        <v>305</v>
      </c>
      <c r="L4575" s="19">
        <v>50</v>
      </c>
      <c r="M4575" s="19">
        <v>2200</v>
      </c>
      <c r="N4575" s="19" t="s">
        <v>66</v>
      </c>
      <c r="O4575" s="19" t="s">
        <v>141</v>
      </c>
      <c r="P4575" s="19"/>
      <c r="Q4575" s="19">
        <v>1102</v>
      </c>
      <c r="R4575" s="254"/>
      <c r="S4575" s="310">
        <f>1030+40</f>
        <v>1070</v>
      </c>
      <c r="T4575" s="19" t="s">
        <v>42</v>
      </c>
      <c r="U4575" s="102" t="s">
        <v>1334</v>
      </c>
      <c r="V4575" s="101">
        <v>45247</v>
      </c>
      <c r="W4575" s="17" t="s">
        <v>69</v>
      </c>
      <c r="X4575" s="17"/>
      <c r="Y4575" s="68">
        <v>45292</v>
      </c>
      <c r="Z4575" s="17" t="s">
        <v>191</v>
      </c>
      <c r="AA4575" s="17" t="s">
        <v>46</v>
      </c>
      <c r="AB4575" s="17" t="s">
        <v>1343</v>
      </c>
      <c r="AC4575" s="217">
        <v>45433</v>
      </c>
      <c r="AD4575" s="65">
        <v>1575</v>
      </c>
      <c r="AE4575" s="17" t="s">
        <v>74</v>
      </c>
      <c r="AF4575" s="17"/>
      <c r="AG4575" s="17"/>
      <c r="AH4575" s="17"/>
      <c r="AI4575" s="17"/>
      <c r="AJ4575" s="17"/>
      <c r="AK4575" s="17"/>
      <c r="AL4575" s="17"/>
      <c r="AM4575" s="17"/>
      <c r="AN4575" s="17"/>
      <c r="AO4575" s="17"/>
      <c r="AP4575" s="17"/>
      <c r="AQ4575" s="17"/>
      <c r="AR4575" s="17"/>
    </row>
    <row r="4576" s="21" customFormat="1" ht="15.6" hidden="1" spans="1:44">
      <c r="A4576" s="17" t="s">
        <v>34</v>
      </c>
      <c r="B4576" s="19">
        <v>957</v>
      </c>
      <c r="C4576" s="183">
        <v>45225</v>
      </c>
      <c r="D4576" s="17" t="s">
        <v>52</v>
      </c>
      <c r="E4576" s="17" t="s">
        <v>1113</v>
      </c>
      <c r="F4576" s="17" t="s">
        <v>54</v>
      </c>
      <c r="G4576" s="17"/>
      <c r="H4576" s="19" t="s">
        <v>1114</v>
      </c>
      <c r="I4576" s="19"/>
      <c r="J4576" s="17" t="s">
        <v>82</v>
      </c>
      <c r="K4576" s="19">
        <v>305</v>
      </c>
      <c r="L4576" s="19">
        <v>50</v>
      </c>
      <c r="M4576" s="19">
        <v>2200</v>
      </c>
      <c r="N4576" s="19" t="s">
        <v>66</v>
      </c>
      <c r="O4576" s="19" t="s">
        <v>141</v>
      </c>
      <c r="P4576" s="19"/>
      <c r="Q4576" s="146">
        <v>543</v>
      </c>
      <c r="R4576" s="93">
        <f>+P4573-Q4573-Q4574-Q4575-Q4576</f>
        <v>-125</v>
      </c>
      <c r="S4576" s="311">
        <f>1030+80</f>
        <v>1110</v>
      </c>
      <c r="T4576" s="19" t="s">
        <v>42</v>
      </c>
      <c r="U4576" s="102" t="s">
        <v>1334</v>
      </c>
      <c r="V4576" s="101">
        <v>45247</v>
      </c>
      <c r="W4576" s="17" t="s">
        <v>69</v>
      </c>
      <c r="X4576" s="17"/>
      <c r="Y4576" s="68">
        <v>45292</v>
      </c>
      <c r="Z4576" s="17" t="s">
        <v>191</v>
      </c>
      <c r="AA4576" s="17" t="s">
        <v>46</v>
      </c>
      <c r="AB4576" s="17" t="s">
        <v>1340</v>
      </c>
      <c r="AC4576" s="217">
        <v>45498</v>
      </c>
      <c r="AD4576" s="65">
        <v>1603</v>
      </c>
      <c r="AE4576" s="17" t="s">
        <v>74</v>
      </c>
      <c r="AF4576" s="17"/>
      <c r="AG4576" s="17"/>
      <c r="AH4576" s="17"/>
      <c r="AI4576" s="17"/>
      <c r="AJ4576" s="17"/>
      <c r="AK4576" s="17"/>
      <c r="AL4576" s="17"/>
      <c r="AM4576" s="17"/>
      <c r="AN4576" s="17"/>
      <c r="AO4576" s="17"/>
      <c r="AP4576" s="17"/>
      <c r="AQ4576" s="17"/>
      <c r="AR4576" s="17"/>
    </row>
    <row r="4577" s="21" customFormat="1" ht="15.6" hidden="1" spans="1:44">
      <c r="A4577" s="17" t="s">
        <v>34</v>
      </c>
      <c r="B4577" s="19">
        <v>957</v>
      </c>
      <c r="C4577" s="183">
        <v>45225</v>
      </c>
      <c r="D4577" s="17" t="s">
        <v>52</v>
      </c>
      <c r="E4577" s="17" t="s">
        <v>1113</v>
      </c>
      <c r="F4577" s="17" t="s">
        <v>54</v>
      </c>
      <c r="G4577" s="17"/>
      <c r="H4577" s="19" t="s">
        <v>1114</v>
      </c>
      <c r="I4577" s="19"/>
      <c r="J4577" s="17" t="s">
        <v>82</v>
      </c>
      <c r="K4577" s="19">
        <v>505</v>
      </c>
      <c r="L4577" s="19">
        <v>50</v>
      </c>
      <c r="M4577" s="19">
        <v>2200</v>
      </c>
      <c r="N4577" s="19" t="s">
        <v>66</v>
      </c>
      <c r="O4577" s="19" t="s">
        <v>141</v>
      </c>
      <c r="P4577" s="19">
        <v>3122</v>
      </c>
      <c r="Q4577" s="19">
        <f>457+454</f>
        <v>911</v>
      </c>
      <c r="R4577" s="254"/>
      <c r="S4577" s="274">
        <v>1030</v>
      </c>
      <c r="T4577" s="19" t="s">
        <v>42</v>
      </c>
      <c r="U4577" s="102" t="s">
        <v>1334</v>
      </c>
      <c r="V4577" s="101">
        <v>45247</v>
      </c>
      <c r="W4577" s="17" t="s">
        <v>44</v>
      </c>
      <c r="X4577" s="17"/>
      <c r="Y4577" s="68">
        <v>45292</v>
      </c>
      <c r="Z4577" s="17" t="s">
        <v>191</v>
      </c>
      <c r="AA4577" s="17" t="s">
        <v>46</v>
      </c>
      <c r="AB4577" s="17" t="s">
        <v>1338</v>
      </c>
      <c r="AC4577" s="217">
        <v>45395</v>
      </c>
      <c r="AD4577" s="65">
        <v>1557</v>
      </c>
      <c r="AE4577" s="17" t="s">
        <v>74</v>
      </c>
      <c r="AF4577" s="17"/>
      <c r="AG4577" s="17"/>
      <c r="AH4577" s="17"/>
      <c r="AI4577" s="17"/>
      <c r="AJ4577" s="17"/>
      <c r="AK4577" s="17"/>
      <c r="AL4577" s="17"/>
      <c r="AM4577" s="17"/>
      <c r="AN4577" s="17"/>
      <c r="AO4577" s="17"/>
      <c r="AP4577" s="17"/>
      <c r="AQ4577" s="17"/>
      <c r="AR4577" s="17"/>
    </row>
    <row r="4578" s="21" customFormat="1" ht="15.6" hidden="1" spans="1:44">
      <c r="A4578" s="17" t="s">
        <v>34</v>
      </c>
      <c r="B4578" s="19">
        <v>957</v>
      </c>
      <c r="C4578" s="183">
        <v>45225</v>
      </c>
      <c r="D4578" s="17" t="s">
        <v>52</v>
      </c>
      <c r="E4578" s="17" t="s">
        <v>1113</v>
      </c>
      <c r="F4578" s="17" t="s">
        <v>54</v>
      </c>
      <c r="G4578" s="17"/>
      <c r="H4578" s="19" t="s">
        <v>1114</v>
      </c>
      <c r="I4578" s="19"/>
      <c r="J4578" s="17" t="s">
        <v>82</v>
      </c>
      <c r="K4578" s="19">
        <v>505</v>
      </c>
      <c r="L4578" s="19">
        <v>50</v>
      </c>
      <c r="M4578" s="19">
        <v>2200</v>
      </c>
      <c r="N4578" s="19" t="s">
        <v>66</v>
      </c>
      <c r="O4578" s="19" t="s">
        <v>141</v>
      </c>
      <c r="P4578" s="19"/>
      <c r="Q4578" s="19">
        <v>457</v>
      </c>
      <c r="R4578" s="254"/>
      <c r="S4578" s="274">
        <v>1030</v>
      </c>
      <c r="T4578" s="19" t="s">
        <v>42</v>
      </c>
      <c r="U4578" s="102" t="s">
        <v>1334</v>
      </c>
      <c r="V4578" s="101">
        <v>45247</v>
      </c>
      <c r="W4578" s="17" t="s">
        <v>44</v>
      </c>
      <c r="X4578" s="17"/>
      <c r="Y4578" s="68">
        <v>45292</v>
      </c>
      <c r="Z4578" s="17" t="s">
        <v>191</v>
      </c>
      <c r="AA4578" s="17" t="s">
        <v>46</v>
      </c>
      <c r="AB4578" s="17" t="s">
        <v>1341</v>
      </c>
      <c r="AC4578" s="217">
        <v>45400</v>
      </c>
      <c r="AD4578" s="65">
        <v>1562</v>
      </c>
      <c r="AE4578" s="17" t="s">
        <v>74</v>
      </c>
      <c r="AF4578" s="17"/>
      <c r="AG4578" s="17"/>
      <c r="AH4578" s="17"/>
      <c r="AI4578" s="17"/>
      <c r="AJ4578" s="17"/>
      <c r="AK4578" s="17"/>
      <c r="AL4578" s="17"/>
      <c r="AM4578" s="17"/>
      <c r="AN4578" s="17"/>
      <c r="AO4578" s="17"/>
      <c r="AP4578" s="17"/>
      <c r="AQ4578" s="17"/>
      <c r="AR4578" s="17"/>
    </row>
    <row r="4579" s="21" customFormat="1" ht="15.6" hidden="1" spans="1:44">
      <c r="A4579" s="17" t="s">
        <v>34</v>
      </c>
      <c r="B4579" s="19">
        <v>957</v>
      </c>
      <c r="C4579" s="183">
        <v>45225</v>
      </c>
      <c r="D4579" s="17" t="s">
        <v>52</v>
      </c>
      <c r="E4579" s="17" t="s">
        <v>1113</v>
      </c>
      <c r="F4579" s="17" t="s">
        <v>54</v>
      </c>
      <c r="G4579" s="17"/>
      <c r="H4579" s="19" t="s">
        <v>1114</v>
      </c>
      <c r="I4579" s="19"/>
      <c r="J4579" s="17" t="s">
        <v>82</v>
      </c>
      <c r="K4579" s="19">
        <v>505</v>
      </c>
      <c r="L4579" s="19">
        <v>50</v>
      </c>
      <c r="M4579" s="19">
        <v>2200</v>
      </c>
      <c r="N4579" s="19" t="s">
        <v>66</v>
      </c>
      <c r="O4579" s="19" t="s">
        <v>141</v>
      </c>
      <c r="P4579" s="19"/>
      <c r="Q4579" s="19">
        <v>456</v>
      </c>
      <c r="R4579" s="254"/>
      <c r="S4579" s="274">
        <v>1030</v>
      </c>
      <c r="T4579" s="19" t="s">
        <v>42</v>
      </c>
      <c r="U4579" s="102" t="s">
        <v>1334</v>
      </c>
      <c r="V4579" s="101">
        <v>45247</v>
      </c>
      <c r="W4579" s="17" t="s">
        <v>44</v>
      </c>
      <c r="X4579" s="17"/>
      <c r="Y4579" s="68">
        <v>45292</v>
      </c>
      <c r="Z4579" s="17" t="s">
        <v>191</v>
      </c>
      <c r="AA4579" s="17" t="s">
        <v>46</v>
      </c>
      <c r="AB4579" s="17" t="s">
        <v>1337</v>
      </c>
      <c r="AC4579" s="217">
        <v>45400</v>
      </c>
      <c r="AD4579" s="65">
        <v>1563</v>
      </c>
      <c r="AE4579" s="17" t="s">
        <v>74</v>
      </c>
      <c r="AF4579" s="17"/>
      <c r="AG4579" s="17"/>
      <c r="AH4579" s="17"/>
      <c r="AI4579" s="17"/>
      <c r="AJ4579" s="17"/>
      <c r="AK4579" s="17"/>
      <c r="AL4579" s="17"/>
      <c r="AM4579" s="17"/>
      <c r="AN4579" s="17"/>
      <c r="AO4579" s="17"/>
      <c r="AP4579" s="17"/>
      <c r="AQ4579" s="17"/>
      <c r="AR4579" s="17"/>
    </row>
    <row r="4580" s="21" customFormat="1" ht="15.6" hidden="1" spans="1:44">
      <c r="A4580" s="17" t="s">
        <v>34</v>
      </c>
      <c r="B4580" s="19">
        <v>957</v>
      </c>
      <c r="C4580" s="183">
        <v>45225</v>
      </c>
      <c r="D4580" s="17" t="s">
        <v>52</v>
      </c>
      <c r="E4580" s="17" t="s">
        <v>1113</v>
      </c>
      <c r="F4580" s="17" t="s">
        <v>54</v>
      </c>
      <c r="G4580" s="17"/>
      <c r="H4580" s="19" t="s">
        <v>1114</v>
      </c>
      <c r="I4580" s="19"/>
      <c r="J4580" s="17" t="s">
        <v>82</v>
      </c>
      <c r="K4580" s="19">
        <v>505</v>
      </c>
      <c r="L4580" s="19">
        <v>50</v>
      </c>
      <c r="M4580" s="19">
        <v>2200</v>
      </c>
      <c r="N4580" s="19" t="s">
        <v>66</v>
      </c>
      <c r="O4580" s="19" t="s">
        <v>141</v>
      </c>
      <c r="P4580" s="19"/>
      <c r="Q4580" s="19">
        <v>454</v>
      </c>
      <c r="S4580" s="310">
        <f>1030+40</f>
        <v>1070</v>
      </c>
      <c r="T4580" s="19" t="s">
        <v>42</v>
      </c>
      <c r="U4580" s="102" t="s">
        <v>1334</v>
      </c>
      <c r="V4580" s="101">
        <v>45247</v>
      </c>
      <c r="W4580" s="17" t="s">
        <v>69</v>
      </c>
      <c r="X4580" s="17"/>
      <c r="Y4580" s="68">
        <v>45292</v>
      </c>
      <c r="Z4580" s="17" t="s">
        <v>191</v>
      </c>
      <c r="AA4580" s="17" t="s">
        <v>46</v>
      </c>
      <c r="AB4580" s="17" t="s">
        <v>1343</v>
      </c>
      <c r="AC4580" s="217">
        <v>45433</v>
      </c>
      <c r="AD4580" s="65">
        <v>1575</v>
      </c>
      <c r="AE4580" s="17" t="s">
        <v>74</v>
      </c>
      <c r="AF4580" s="17"/>
      <c r="AG4580" s="17"/>
      <c r="AH4580" s="17"/>
      <c r="AI4580" s="17"/>
      <c r="AJ4580" s="17"/>
      <c r="AK4580" s="17"/>
      <c r="AL4580" s="17"/>
      <c r="AM4580" s="17"/>
      <c r="AN4580" s="17"/>
      <c r="AO4580" s="17"/>
      <c r="AP4580" s="17"/>
      <c r="AQ4580" s="17"/>
      <c r="AR4580" s="17"/>
    </row>
    <row r="4581" s="21" customFormat="1" ht="15.6" hidden="1" spans="1:44">
      <c r="A4581" s="17" t="s">
        <v>34</v>
      </c>
      <c r="B4581" s="19">
        <v>957</v>
      </c>
      <c r="C4581" s="183">
        <v>45225</v>
      </c>
      <c r="D4581" s="17" t="s">
        <v>52</v>
      </c>
      <c r="E4581" s="17" t="s">
        <v>1113</v>
      </c>
      <c r="F4581" s="17" t="s">
        <v>54</v>
      </c>
      <c r="G4581" s="17"/>
      <c r="H4581" s="19" t="s">
        <v>1114</v>
      </c>
      <c r="I4581" s="19"/>
      <c r="J4581" s="17" t="s">
        <v>82</v>
      </c>
      <c r="K4581" s="19">
        <v>505</v>
      </c>
      <c r="L4581" s="19">
        <v>50</v>
      </c>
      <c r="M4581" s="19">
        <v>2200</v>
      </c>
      <c r="N4581" s="19" t="s">
        <v>66</v>
      </c>
      <c r="O4581" s="19" t="s">
        <v>141</v>
      </c>
      <c r="P4581" s="19"/>
      <c r="Q4581" s="146">
        <v>441</v>
      </c>
      <c r="R4581" s="19">
        <f>+P4577-Q4577-Q4578-Q4579-Q4580-Q4581</f>
        <v>403</v>
      </c>
      <c r="S4581" s="311">
        <f>1030+80</f>
        <v>1110</v>
      </c>
      <c r="T4581" s="19" t="s">
        <v>42</v>
      </c>
      <c r="U4581" s="102" t="s">
        <v>1334</v>
      </c>
      <c r="V4581" s="101">
        <v>45247</v>
      </c>
      <c r="W4581" s="17" t="s">
        <v>69</v>
      </c>
      <c r="X4581" s="17"/>
      <c r="Y4581" s="68">
        <v>45292</v>
      </c>
      <c r="Z4581" s="17" t="s">
        <v>191</v>
      </c>
      <c r="AA4581" s="17" t="s">
        <v>46</v>
      </c>
      <c r="AB4581" s="17" t="s">
        <v>1340</v>
      </c>
      <c r="AC4581" s="217">
        <v>45498</v>
      </c>
      <c r="AD4581" s="65">
        <v>1603</v>
      </c>
      <c r="AE4581" s="17" t="s">
        <v>74</v>
      </c>
      <c r="AF4581" s="17"/>
      <c r="AG4581" s="17"/>
      <c r="AH4581" s="17"/>
      <c r="AI4581" s="17"/>
      <c r="AJ4581" s="17"/>
      <c r="AK4581" s="17"/>
      <c r="AL4581" s="17"/>
      <c r="AM4581" s="17"/>
      <c r="AN4581" s="17"/>
      <c r="AO4581" s="17"/>
      <c r="AP4581" s="17"/>
      <c r="AQ4581" s="17"/>
      <c r="AR4581" s="17"/>
    </row>
    <row r="4582" s="21" customFormat="1" ht="15.6" hidden="1" spans="1:44">
      <c r="A4582" s="17" t="s">
        <v>34</v>
      </c>
      <c r="B4582" s="19">
        <v>957</v>
      </c>
      <c r="C4582" s="183">
        <v>45225</v>
      </c>
      <c r="D4582" s="17" t="s">
        <v>52</v>
      </c>
      <c r="E4582" s="17" t="s">
        <v>1113</v>
      </c>
      <c r="F4582" s="17" t="s">
        <v>54</v>
      </c>
      <c r="G4582" s="17"/>
      <c r="H4582" s="19" t="s">
        <v>1114</v>
      </c>
      <c r="I4582" s="19"/>
      <c r="J4582" s="17" t="s">
        <v>82</v>
      </c>
      <c r="K4582" s="19">
        <v>605</v>
      </c>
      <c r="L4582" s="19">
        <v>50</v>
      </c>
      <c r="M4582" s="19">
        <v>2200</v>
      </c>
      <c r="N4582" s="19" t="s">
        <v>66</v>
      </c>
      <c r="O4582" s="19" t="s">
        <v>141</v>
      </c>
      <c r="P4582" s="19">
        <v>2137</v>
      </c>
      <c r="Q4582" s="19">
        <v>542</v>
      </c>
      <c r="S4582" s="274">
        <v>1030</v>
      </c>
      <c r="T4582" s="19" t="s">
        <v>42</v>
      </c>
      <c r="U4582" s="102" t="s">
        <v>1334</v>
      </c>
      <c r="V4582" s="101">
        <v>45247</v>
      </c>
      <c r="W4582" s="17" t="s">
        <v>44</v>
      </c>
      <c r="X4582" s="17"/>
      <c r="Y4582" s="68">
        <v>45292</v>
      </c>
      <c r="Z4582" s="17" t="s">
        <v>191</v>
      </c>
      <c r="AA4582" s="17" t="s">
        <v>46</v>
      </c>
      <c r="AB4582" s="17" t="s">
        <v>1284</v>
      </c>
      <c r="AC4582" s="66">
        <v>45372</v>
      </c>
      <c r="AD4582" s="65">
        <v>1543</v>
      </c>
      <c r="AE4582" s="17" t="s">
        <v>74</v>
      </c>
      <c r="AF4582" s="17"/>
      <c r="AG4582" s="17"/>
      <c r="AH4582" s="17"/>
      <c r="AI4582" s="17"/>
      <c r="AJ4582" s="17"/>
      <c r="AK4582" s="17"/>
      <c r="AL4582" s="17"/>
      <c r="AM4582" s="17"/>
      <c r="AN4582" s="17"/>
      <c r="AO4582" s="17"/>
      <c r="AP4582" s="17"/>
      <c r="AQ4582" s="17"/>
      <c r="AR4582" s="17"/>
    </row>
    <row r="4583" s="21" customFormat="1" ht="15.6" hidden="1" spans="1:44">
      <c r="A4583" s="17" t="s">
        <v>34</v>
      </c>
      <c r="B4583" s="19">
        <v>957</v>
      </c>
      <c r="C4583" s="183">
        <v>45225</v>
      </c>
      <c r="D4583" s="17" t="s">
        <v>52</v>
      </c>
      <c r="E4583" s="17" t="s">
        <v>1113</v>
      </c>
      <c r="F4583" s="17" t="s">
        <v>54</v>
      </c>
      <c r="G4583" s="17"/>
      <c r="H4583" s="19" t="s">
        <v>1114</v>
      </c>
      <c r="I4583" s="19"/>
      <c r="J4583" s="17" t="s">
        <v>82</v>
      </c>
      <c r="K4583" s="19">
        <v>605</v>
      </c>
      <c r="L4583" s="19">
        <v>50</v>
      </c>
      <c r="M4583" s="19">
        <v>2200</v>
      </c>
      <c r="N4583" s="19" t="s">
        <v>66</v>
      </c>
      <c r="O4583" s="19" t="s">
        <v>141</v>
      </c>
      <c r="P4583" s="19"/>
      <c r="Q4583" s="19">
        <v>1633</v>
      </c>
      <c r="R4583" s="19">
        <f>+P4582-Q4582-Q4583</f>
        <v>-38</v>
      </c>
      <c r="S4583" s="274">
        <v>1030</v>
      </c>
      <c r="T4583" s="19" t="s">
        <v>42</v>
      </c>
      <c r="U4583" s="102" t="s">
        <v>1334</v>
      </c>
      <c r="V4583" s="101">
        <v>45247</v>
      </c>
      <c r="W4583" s="17" t="s">
        <v>44</v>
      </c>
      <c r="X4583" s="17"/>
      <c r="Y4583" s="68">
        <v>45292</v>
      </c>
      <c r="Z4583" s="17" t="s">
        <v>191</v>
      </c>
      <c r="AA4583" s="17" t="s">
        <v>46</v>
      </c>
      <c r="AB4583" s="17" t="s">
        <v>1342</v>
      </c>
      <c r="AC4583" s="217">
        <v>45394</v>
      </c>
      <c r="AD4583" s="65">
        <v>1555</v>
      </c>
      <c r="AE4583" s="17" t="s">
        <v>74</v>
      </c>
      <c r="AF4583" s="17"/>
      <c r="AG4583" s="17"/>
      <c r="AH4583" s="17"/>
      <c r="AI4583" s="17"/>
      <c r="AJ4583" s="17"/>
      <c r="AK4583" s="17"/>
      <c r="AL4583" s="17"/>
      <c r="AM4583" s="17"/>
      <c r="AN4583" s="17"/>
      <c r="AO4583" s="17"/>
      <c r="AP4583" s="17"/>
      <c r="AQ4583" s="17"/>
      <c r="AR4583" s="17"/>
    </row>
    <row r="4584" s="21" customFormat="1" ht="15.6" hidden="1" spans="1:44">
      <c r="A4584" s="17" t="s">
        <v>34</v>
      </c>
      <c r="B4584" s="19">
        <v>957</v>
      </c>
      <c r="C4584" s="183">
        <v>45225</v>
      </c>
      <c r="D4584" s="17" t="s">
        <v>52</v>
      </c>
      <c r="E4584" s="17" t="s">
        <v>1113</v>
      </c>
      <c r="F4584" s="17" t="s">
        <v>54</v>
      </c>
      <c r="G4584" s="17"/>
      <c r="H4584" s="19" t="s">
        <v>1114</v>
      </c>
      <c r="I4584" s="19"/>
      <c r="J4584" s="17" t="s">
        <v>82</v>
      </c>
      <c r="K4584" s="19">
        <v>255</v>
      </c>
      <c r="L4584" s="19">
        <v>65</v>
      </c>
      <c r="M4584" s="19">
        <v>2200</v>
      </c>
      <c r="N4584" s="19" t="s">
        <v>66</v>
      </c>
      <c r="O4584" s="19" t="s">
        <v>141</v>
      </c>
      <c r="P4584" s="19">
        <v>4099</v>
      </c>
      <c r="Q4584" s="19">
        <f>901+889</f>
        <v>1790</v>
      </c>
      <c r="R4584" s="254"/>
      <c r="S4584" s="274">
        <v>1030</v>
      </c>
      <c r="T4584" s="19" t="s">
        <v>42</v>
      </c>
      <c r="U4584" s="102" t="s">
        <v>1334</v>
      </c>
      <c r="V4584" s="101">
        <v>45247</v>
      </c>
      <c r="W4584" s="17" t="s">
        <v>44</v>
      </c>
      <c r="X4584" s="17"/>
      <c r="Y4584" s="68">
        <v>45292</v>
      </c>
      <c r="Z4584" s="17" t="s">
        <v>191</v>
      </c>
      <c r="AA4584" s="17" t="s">
        <v>46</v>
      </c>
      <c r="AB4584" s="17" t="s">
        <v>1249</v>
      </c>
      <c r="AC4584" s="217">
        <v>45380</v>
      </c>
      <c r="AD4584" s="65">
        <v>1547</v>
      </c>
      <c r="AE4584" s="17" t="s">
        <v>74</v>
      </c>
      <c r="AF4584" s="17"/>
      <c r="AG4584" s="17"/>
      <c r="AH4584" s="17"/>
      <c r="AI4584" s="17"/>
      <c r="AJ4584" s="17"/>
      <c r="AK4584" s="17"/>
      <c r="AL4584" s="17"/>
      <c r="AM4584" s="17"/>
      <c r="AN4584" s="17"/>
      <c r="AO4584" s="17"/>
      <c r="AP4584" s="17"/>
      <c r="AQ4584" s="17"/>
      <c r="AR4584" s="17"/>
    </row>
    <row r="4585" s="21" customFormat="1" ht="15.6" hidden="1" spans="1:44">
      <c r="A4585" s="17" t="s">
        <v>34</v>
      </c>
      <c r="B4585" s="19">
        <v>957</v>
      </c>
      <c r="C4585" s="183">
        <v>45225</v>
      </c>
      <c r="D4585" s="17" t="s">
        <v>52</v>
      </c>
      <c r="E4585" s="17" t="s">
        <v>1113</v>
      </c>
      <c r="F4585" s="17" t="s">
        <v>54</v>
      </c>
      <c r="G4585" s="17"/>
      <c r="H4585" s="19" t="s">
        <v>1114</v>
      </c>
      <c r="I4585" s="19"/>
      <c r="J4585" s="17" t="s">
        <v>82</v>
      </c>
      <c r="K4585" s="19">
        <v>255</v>
      </c>
      <c r="L4585" s="19">
        <v>65</v>
      </c>
      <c r="M4585" s="19">
        <v>2200</v>
      </c>
      <c r="N4585" s="19" t="s">
        <v>66</v>
      </c>
      <c r="O4585" s="19" t="s">
        <v>141</v>
      </c>
      <c r="P4585" s="19"/>
      <c r="Q4585" s="19">
        <v>594</v>
      </c>
      <c r="R4585" s="254"/>
      <c r="S4585" s="274">
        <v>1030</v>
      </c>
      <c r="T4585" s="19" t="s">
        <v>42</v>
      </c>
      <c r="U4585" s="102" t="s">
        <v>1334</v>
      </c>
      <c r="V4585" s="101">
        <v>45247</v>
      </c>
      <c r="W4585" s="17" t="s">
        <v>44</v>
      </c>
      <c r="X4585" s="17"/>
      <c r="Y4585" s="68">
        <v>45292</v>
      </c>
      <c r="Z4585" s="17" t="s">
        <v>191</v>
      </c>
      <c r="AA4585" s="17" t="s">
        <v>46</v>
      </c>
      <c r="AB4585" s="17" t="s">
        <v>1338</v>
      </c>
      <c r="AC4585" s="217">
        <v>45395</v>
      </c>
      <c r="AD4585" s="65">
        <v>1557</v>
      </c>
      <c r="AE4585" s="17" t="s">
        <v>74</v>
      </c>
      <c r="AF4585" s="17"/>
      <c r="AG4585" s="17"/>
      <c r="AH4585" s="17"/>
      <c r="AI4585" s="17"/>
      <c r="AJ4585" s="17"/>
      <c r="AK4585" s="17"/>
      <c r="AL4585" s="17"/>
      <c r="AM4585" s="17"/>
      <c r="AN4585" s="17"/>
      <c r="AO4585" s="17"/>
      <c r="AP4585" s="17"/>
      <c r="AQ4585" s="17"/>
      <c r="AR4585" s="17"/>
    </row>
    <row r="4586" s="21" customFormat="1" ht="15.6" hidden="1" spans="1:44">
      <c r="A4586" s="17" t="s">
        <v>34</v>
      </c>
      <c r="B4586" s="19">
        <v>957</v>
      </c>
      <c r="C4586" s="183">
        <v>45225</v>
      </c>
      <c r="D4586" s="17" t="s">
        <v>52</v>
      </c>
      <c r="E4586" s="17" t="s">
        <v>1113</v>
      </c>
      <c r="F4586" s="17" t="s">
        <v>54</v>
      </c>
      <c r="G4586" s="17"/>
      <c r="H4586" s="19" t="s">
        <v>1114</v>
      </c>
      <c r="I4586" s="19"/>
      <c r="J4586" s="17" t="s">
        <v>82</v>
      </c>
      <c r="K4586" s="19">
        <v>255</v>
      </c>
      <c r="L4586" s="19">
        <v>65</v>
      </c>
      <c r="M4586" s="19">
        <v>2200</v>
      </c>
      <c r="N4586" s="19" t="s">
        <v>66</v>
      </c>
      <c r="O4586" s="19" t="s">
        <v>141</v>
      </c>
      <c r="P4586" s="19"/>
      <c r="Q4586" s="19">
        <v>596</v>
      </c>
      <c r="S4586" s="274">
        <v>1030</v>
      </c>
      <c r="T4586" s="19" t="s">
        <v>42</v>
      </c>
      <c r="U4586" s="102" t="s">
        <v>1334</v>
      </c>
      <c r="V4586" s="101">
        <v>45247</v>
      </c>
      <c r="W4586" s="17" t="s">
        <v>44</v>
      </c>
      <c r="X4586" s="17"/>
      <c r="Y4586" s="68">
        <v>45292</v>
      </c>
      <c r="Z4586" s="17" t="s">
        <v>191</v>
      </c>
      <c r="AA4586" s="17" t="s">
        <v>46</v>
      </c>
      <c r="AB4586" s="17" t="s">
        <v>1341</v>
      </c>
      <c r="AC4586" s="217">
        <v>45400</v>
      </c>
      <c r="AD4586" s="65">
        <v>1562</v>
      </c>
      <c r="AE4586" s="17" t="s">
        <v>74</v>
      </c>
      <c r="AF4586" s="17"/>
      <c r="AG4586" s="17"/>
      <c r="AH4586" s="17"/>
      <c r="AI4586" s="17"/>
      <c r="AJ4586" s="17"/>
      <c r="AK4586" s="17"/>
      <c r="AL4586" s="17"/>
      <c r="AM4586" s="17"/>
      <c r="AN4586" s="17"/>
      <c r="AO4586" s="17"/>
      <c r="AP4586" s="17"/>
      <c r="AQ4586" s="17"/>
      <c r="AR4586" s="17"/>
    </row>
    <row r="4587" s="21" customFormat="1" ht="15.6" hidden="1" spans="1:44">
      <c r="A4587" s="17" t="s">
        <v>34</v>
      </c>
      <c r="B4587" s="19">
        <v>957</v>
      </c>
      <c r="C4587" s="183">
        <v>45225</v>
      </c>
      <c r="D4587" s="17" t="s">
        <v>52</v>
      </c>
      <c r="E4587" s="17" t="s">
        <v>1113</v>
      </c>
      <c r="F4587" s="17" t="s">
        <v>54</v>
      </c>
      <c r="G4587" s="17"/>
      <c r="H4587" s="19" t="s">
        <v>1114</v>
      </c>
      <c r="I4587" s="19"/>
      <c r="J4587" s="17" t="s">
        <v>82</v>
      </c>
      <c r="K4587" s="19">
        <v>255</v>
      </c>
      <c r="L4587" s="19">
        <v>65</v>
      </c>
      <c r="M4587" s="19">
        <v>2200</v>
      </c>
      <c r="N4587" s="19" t="s">
        <v>66</v>
      </c>
      <c r="O4587" s="19" t="s">
        <v>141</v>
      </c>
      <c r="P4587" s="19"/>
      <c r="Q4587" s="19">
        <v>1180</v>
      </c>
      <c r="R4587" s="19">
        <f>+P4584-Q4584-Q4585-Q4586-Q4587</f>
        <v>-61</v>
      </c>
      <c r="S4587" s="274">
        <f>1030+80-20</f>
        <v>1090</v>
      </c>
      <c r="T4587" s="19" t="s">
        <v>42</v>
      </c>
      <c r="U4587" s="102" t="s">
        <v>1334</v>
      </c>
      <c r="V4587" s="101">
        <v>45247</v>
      </c>
      <c r="W4587" s="17" t="s">
        <v>69</v>
      </c>
      <c r="X4587" s="17"/>
      <c r="Y4587" s="68">
        <v>45292</v>
      </c>
      <c r="Z4587" s="17" t="s">
        <v>191</v>
      </c>
      <c r="AA4587" s="17" t="s">
        <v>46</v>
      </c>
      <c r="AB4587" s="17" t="s">
        <v>1336</v>
      </c>
      <c r="AC4587" s="66">
        <v>45435</v>
      </c>
      <c r="AD4587" s="65">
        <v>1577</v>
      </c>
      <c r="AE4587" s="17" t="s">
        <v>74</v>
      </c>
      <c r="AF4587" s="17"/>
      <c r="AG4587" s="17"/>
      <c r="AH4587" s="17"/>
      <c r="AI4587" s="17"/>
      <c r="AJ4587" s="17"/>
      <c r="AK4587" s="17"/>
      <c r="AL4587" s="17"/>
      <c r="AM4587" s="17"/>
      <c r="AN4587" s="17"/>
      <c r="AO4587" s="17"/>
      <c r="AP4587" s="17"/>
      <c r="AQ4587" s="17"/>
      <c r="AR4587" s="17"/>
    </row>
    <row r="4588" s="21" customFormat="1" ht="15.6" hidden="1" spans="1:44">
      <c r="A4588" s="17" t="s">
        <v>34</v>
      </c>
      <c r="B4588" s="19">
        <v>957</v>
      </c>
      <c r="C4588" s="183">
        <v>45225</v>
      </c>
      <c r="D4588" s="17" t="s">
        <v>52</v>
      </c>
      <c r="E4588" s="17" t="s">
        <v>1113</v>
      </c>
      <c r="F4588" s="17" t="s">
        <v>54</v>
      </c>
      <c r="G4588" s="17"/>
      <c r="H4588" s="19" t="s">
        <v>1114</v>
      </c>
      <c r="I4588" s="19"/>
      <c r="J4588" s="17" t="s">
        <v>82</v>
      </c>
      <c r="K4588" s="19">
        <v>305</v>
      </c>
      <c r="L4588" s="19">
        <v>65</v>
      </c>
      <c r="M4588" s="19">
        <v>2200</v>
      </c>
      <c r="N4588" s="19" t="s">
        <v>66</v>
      </c>
      <c r="O4588" s="19" t="s">
        <v>141</v>
      </c>
      <c r="P4588" s="19">
        <v>4202</v>
      </c>
      <c r="Q4588" s="19">
        <f>1074+1431</f>
        <v>2505</v>
      </c>
      <c r="R4588" s="254"/>
      <c r="S4588" s="274">
        <v>1030</v>
      </c>
      <c r="T4588" s="19" t="s">
        <v>42</v>
      </c>
      <c r="U4588" s="102" t="s">
        <v>1334</v>
      </c>
      <c r="V4588" s="101">
        <v>45247</v>
      </c>
      <c r="W4588" s="17" t="s">
        <v>44</v>
      </c>
      <c r="X4588" s="17"/>
      <c r="Y4588" s="68">
        <v>45292</v>
      </c>
      <c r="Z4588" s="17" t="s">
        <v>191</v>
      </c>
      <c r="AA4588" s="17" t="s">
        <v>46</v>
      </c>
      <c r="AB4588" s="17" t="s">
        <v>1249</v>
      </c>
      <c r="AC4588" s="217">
        <v>45380</v>
      </c>
      <c r="AD4588" s="65">
        <v>1547</v>
      </c>
      <c r="AE4588" s="17" t="s">
        <v>74</v>
      </c>
      <c r="AF4588" s="17"/>
      <c r="AG4588" s="17"/>
      <c r="AH4588" s="17"/>
      <c r="AI4588" s="17"/>
      <c r="AJ4588" s="17"/>
      <c r="AK4588" s="17"/>
      <c r="AL4588" s="17"/>
      <c r="AM4588" s="17"/>
      <c r="AN4588" s="17"/>
      <c r="AO4588" s="17"/>
      <c r="AP4588" s="17"/>
      <c r="AQ4588" s="17"/>
      <c r="AR4588" s="17"/>
    </row>
    <row r="4589" s="21" customFormat="1" ht="15.6" hidden="1" spans="1:44">
      <c r="A4589" s="17" t="s">
        <v>34</v>
      </c>
      <c r="B4589" s="19">
        <v>957</v>
      </c>
      <c r="C4589" s="183">
        <v>45225</v>
      </c>
      <c r="D4589" s="17" t="s">
        <v>52</v>
      </c>
      <c r="E4589" s="17" t="s">
        <v>1113</v>
      </c>
      <c r="F4589" s="17" t="s">
        <v>54</v>
      </c>
      <c r="G4589" s="17"/>
      <c r="H4589" s="19" t="s">
        <v>1114</v>
      </c>
      <c r="I4589" s="19"/>
      <c r="J4589" s="17" t="s">
        <v>82</v>
      </c>
      <c r="K4589" s="19">
        <v>305</v>
      </c>
      <c r="L4589" s="19">
        <v>65</v>
      </c>
      <c r="M4589" s="19">
        <v>2200</v>
      </c>
      <c r="N4589" s="19" t="s">
        <v>66</v>
      </c>
      <c r="O4589" s="19" t="s">
        <v>141</v>
      </c>
      <c r="P4589" s="19"/>
      <c r="Q4589" s="19">
        <v>1072</v>
      </c>
      <c r="R4589" s="254"/>
      <c r="S4589" s="274">
        <v>1030</v>
      </c>
      <c r="T4589" s="19" t="s">
        <v>42</v>
      </c>
      <c r="U4589" s="102" t="s">
        <v>1334</v>
      </c>
      <c r="V4589" s="101">
        <v>45247</v>
      </c>
      <c r="W4589" s="17" t="s">
        <v>44</v>
      </c>
      <c r="X4589" s="17"/>
      <c r="Y4589" s="68">
        <v>45292</v>
      </c>
      <c r="Z4589" s="17" t="s">
        <v>191</v>
      </c>
      <c r="AA4589" s="17" t="s">
        <v>46</v>
      </c>
      <c r="AB4589" s="17" t="s">
        <v>1337</v>
      </c>
      <c r="AC4589" s="217">
        <v>45400</v>
      </c>
      <c r="AD4589" s="65">
        <v>1563</v>
      </c>
      <c r="AE4589" s="17" t="s">
        <v>74</v>
      </c>
      <c r="AF4589" s="17"/>
      <c r="AG4589" s="17"/>
      <c r="AH4589" s="17"/>
      <c r="AI4589" s="17"/>
      <c r="AJ4589" s="17"/>
      <c r="AK4589" s="17"/>
      <c r="AL4589" s="17"/>
      <c r="AM4589" s="17"/>
      <c r="AN4589" s="17"/>
      <c r="AO4589" s="17"/>
      <c r="AP4589" s="17"/>
      <c r="AQ4589" s="17"/>
      <c r="AR4589" s="17"/>
    </row>
    <row r="4590" s="21" customFormat="1" ht="15.6" hidden="1" spans="1:44">
      <c r="A4590" s="17" t="s">
        <v>34</v>
      </c>
      <c r="B4590" s="19">
        <v>957</v>
      </c>
      <c r="C4590" s="183">
        <v>45225</v>
      </c>
      <c r="D4590" s="17" t="s">
        <v>52</v>
      </c>
      <c r="E4590" s="17" t="s">
        <v>1113</v>
      </c>
      <c r="F4590" s="17" t="s">
        <v>54</v>
      </c>
      <c r="G4590" s="17"/>
      <c r="H4590" s="19" t="s">
        <v>1114</v>
      </c>
      <c r="I4590" s="19"/>
      <c r="J4590" s="17" t="s">
        <v>82</v>
      </c>
      <c r="K4590" s="19">
        <v>305</v>
      </c>
      <c r="L4590" s="19">
        <v>65</v>
      </c>
      <c r="M4590" s="19">
        <v>2200</v>
      </c>
      <c r="N4590" s="19" t="s">
        <v>66</v>
      </c>
      <c r="O4590" s="19" t="s">
        <v>141</v>
      </c>
      <c r="P4590" s="19"/>
      <c r="Q4590" s="146">
        <v>695</v>
      </c>
      <c r="R4590" s="93">
        <f>+P4588-Q4588-Q4589-Q4590</f>
        <v>-70</v>
      </c>
      <c r="S4590" s="311">
        <f>1030+80</f>
        <v>1110</v>
      </c>
      <c r="T4590" s="19" t="s">
        <v>42</v>
      </c>
      <c r="U4590" s="102" t="s">
        <v>1334</v>
      </c>
      <c r="V4590" s="101">
        <v>45247</v>
      </c>
      <c r="W4590" s="17" t="s">
        <v>69</v>
      </c>
      <c r="X4590" s="17"/>
      <c r="Y4590" s="68">
        <v>45292</v>
      </c>
      <c r="Z4590" s="17" t="s">
        <v>191</v>
      </c>
      <c r="AA4590" s="17" t="s">
        <v>46</v>
      </c>
      <c r="AB4590" s="17" t="s">
        <v>1340</v>
      </c>
      <c r="AC4590" s="217">
        <v>45498</v>
      </c>
      <c r="AD4590" s="65">
        <v>1603</v>
      </c>
      <c r="AE4590" s="17" t="s">
        <v>74</v>
      </c>
      <c r="AF4590" s="17"/>
      <c r="AG4590" s="17"/>
      <c r="AH4590" s="17"/>
      <c r="AI4590" s="17"/>
      <c r="AJ4590" s="17"/>
      <c r="AK4590" s="17"/>
      <c r="AL4590" s="17"/>
      <c r="AM4590" s="17"/>
      <c r="AN4590" s="17"/>
      <c r="AO4590" s="17"/>
      <c r="AP4590" s="17"/>
      <c r="AQ4590" s="17"/>
      <c r="AR4590" s="17"/>
    </row>
    <row r="4591" s="21" customFormat="1" ht="15.6" hidden="1" spans="1:44">
      <c r="A4591" s="17" t="s">
        <v>34</v>
      </c>
      <c r="B4591" s="19">
        <v>957</v>
      </c>
      <c r="C4591" s="183">
        <v>45225</v>
      </c>
      <c r="D4591" s="17" t="s">
        <v>52</v>
      </c>
      <c r="E4591" s="17" t="s">
        <v>1113</v>
      </c>
      <c r="F4591" s="17" t="s">
        <v>54</v>
      </c>
      <c r="G4591" s="17"/>
      <c r="H4591" s="19" t="s">
        <v>1114</v>
      </c>
      <c r="I4591" s="19"/>
      <c r="J4591" s="17" t="s">
        <v>82</v>
      </c>
      <c r="K4591" s="19">
        <v>355</v>
      </c>
      <c r="L4591" s="19">
        <v>65</v>
      </c>
      <c r="M4591" s="19">
        <v>2200</v>
      </c>
      <c r="N4591" s="19" t="s">
        <v>66</v>
      </c>
      <c r="O4591" s="19" t="s">
        <v>141</v>
      </c>
      <c r="P4591" s="19">
        <v>4076</v>
      </c>
      <c r="Q4591" s="19">
        <v>1655</v>
      </c>
      <c r="R4591" s="254"/>
      <c r="S4591" s="274">
        <v>1030</v>
      </c>
      <c r="T4591" s="19" t="s">
        <v>42</v>
      </c>
      <c r="U4591" s="102" t="s">
        <v>1334</v>
      </c>
      <c r="V4591" s="101">
        <v>45247</v>
      </c>
      <c r="W4591" s="17" t="s">
        <v>44</v>
      </c>
      <c r="X4591" s="17"/>
      <c r="Y4591" s="68">
        <v>45292</v>
      </c>
      <c r="Z4591" s="17" t="s">
        <v>191</v>
      </c>
      <c r="AA4591" s="17" t="s">
        <v>46</v>
      </c>
      <c r="AB4591" s="17" t="s">
        <v>1249</v>
      </c>
      <c r="AC4591" s="217">
        <v>45380</v>
      </c>
      <c r="AD4591" s="65">
        <v>1547</v>
      </c>
      <c r="AE4591" s="17" t="s">
        <v>74</v>
      </c>
      <c r="AF4591" s="17"/>
      <c r="AG4591" s="17"/>
      <c r="AH4591" s="17"/>
      <c r="AI4591" s="17"/>
      <c r="AJ4591" s="17"/>
      <c r="AK4591" s="17"/>
      <c r="AL4591" s="17"/>
      <c r="AM4591" s="17"/>
      <c r="AN4591" s="17"/>
      <c r="AO4591" s="17"/>
      <c r="AP4591" s="17"/>
      <c r="AQ4591" s="17"/>
      <c r="AR4591" s="17"/>
    </row>
    <row r="4592" s="21" customFormat="1" ht="15.6" hidden="1" spans="1:44">
      <c r="A4592" s="17" t="s">
        <v>34</v>
      </c>
      <c r="B4592" s="19">
        <v>957</v>
      </c>
      <c r="C4592" s="183">
        <v>45225</v>
      </c>
      <c r="D4592" s="17" t="s">
        <v>52</v>
      </c>
      <c r="E4592" s="17" t="s">
        <v>1113</v>
      </c>
      <c r="F4592" s="17" t="s">
        <v>54</v>
      </c>
      <c r="G4592" s="17"/>
      <c r="H4592" s="19" t="s">
        <v>1114</v>
      </c>
      <c r="I4592" s="19"/>
      <c r="J4592" s="17" t="s">
        <v>82</v>
      </c>
      <c r="K4592" s="19">
        <v>355</v>
      </c>
      <c r="L4592" s="19">
        <v>65</v>
      </c>
      <c r="M4592" s="19">
        <v>2200</v>
      </c>
      <c r="N4592" s="19" t="s">
        <v>66</v>
      </c>
      <c r="O4592" s="19" t="s">
        <v>141</v>
      </c>
      <c r="P4592" s="19"/>
      <c r="Q4592" s="98">
        <f>834+418</f>
        <v>1252</v>
      </c>
      <c r="R4592" s="254"/>
      <c r="S4592" s="274">
        <v>1030</v>
      </c>
      <c r="T4592" s="19" t="s">
        <v>42</v>
      </c>
      <c r="U4592" s="102" t="s">
        <v>1334</v>
      </c>
      <c r="V4592" s="101">
        <v>45247</v>
      </c>
      <c r="W4592" s="17" t="s">
        <v>44</v>
      </c>
      <c r="X4592" s="17"/>
      <c r="Y4592" s="68">
        <v>45292</v>
      </c>
      <c r="Z4592" s="17" t="s">
        <v>191</v>
      </c>
      <c r="AA4592" s="17" t="s">
        <v>46</v>
      </c>
      <c r="AB4592" s="17" t="s">
        <v>1245</v>
      </c>
      <c r="AC4592" s="66">
        <v>45379</v>
      </c>
      <c r="AD4592" s="65">
        <v>1546</v>
      </c>
      <c r="AE4592" s="17" t="s">
        <v>74</v>
      </c>
      <c r="AF4592" s="17"/>
      <c r="AG4592" s="17"/>
      <c r="AH4592" s="17"/>
      <c r="AI4592" s="17"/>
      <c r="AJ4592" s="17"/>
      <c r="AK4592" s="17"/>
      <c r="AL4592" s="17"/>
      <c r="AM4592" s="17"/>
      <c r="AN4592" s="17"/>
      <c r="AO4592" s="17"/>
      <c r="AP4592" s="17"/>
      <c r="AQ4592" s="17"/>
      <c r="AR4592" s="17"/>
    </row>
    <row r="4593" s="21" customFormat="1" ht="15.6" hidden="1" spans="1:44">
      <c r="A4593" s="17" t="s">
        <v>34</v>
      </c>
      <c r="B4593" s="19">
        <v>957</v>
      </c>
      <c r="C4593" s="183">
        <v>45225</v>
      </c>
      <c r="D4593" s="17" t="s">
        <v>52</v>
      </c>
      <c r="E4593" s="17" t="s">
        <v>1113</v>
      </c>
      <c r="F4593" s="17" t="s">
        <v>54</v>
      </c>
      <c r="G4593" s="17"/>
      <c r="H4593" s="19" t="s">
        <v>1114</v>
      </c>
      <c r="I4593" s="19"/>
      <c r="J4593" s="17" t="s">
        <v>82</v>
      </c>
      <c r="K4593" s="19">
        <v>355</v>
      </c>
      <c r="L4593" s="19">
        <v>65</v>
      </c>
      <c r="M4593" s="19">
        <v>2200</v>
      </c>
      <c r="N4593" s="19" t="s">
        <v>66</v>
      </c>
      <c r="O4593" s="19" t="s">
        <v>141</v>
      </c>
      <c r="P4593" s="19"/>
      <c r="Q4593" s="19">
        <v>834</v>
      </c>
      <c r="S4593" s="274">
        <v>1030</v>
      </c>
      <c r="T4593" s="19" t="s">
        <v>42</v>
      </c>
      <c r="U4593" s="102" t="s">
        <v>1334</v>
      </c>
      <c r="V4593" s="101">
        <v>45247</v>
      </c>
      <c r="W4593" s="17" t="s">
        <v>44</v>
      </c>
      <c r="X4593" s="17"/>
      <c r="Y4593" s="68">
        <v>45292</v>
      </c>
      <c r="Z4593" s="17" t="s">
        <v>191</v>
      </c>
      <c r="AA4593" s="17" t="s">
        <v>46</v>
      </c>
      <c r="AB4593" s="17" t="s">
        <v>1338</v>
      </c>
      <c r="AC4593" s="217">
        <v>45395</v>
      </c>
      <c r="AD4593" s="65">
        <v>1557</v>
      </c>
      <c r="AE4593" s="17" t="s">
        <v>74</v>
      </c>
      <c r="AF4593" s="17"/>
      <c r="AG4593" s="17"/>
      <c r="AH4593" s="17"/>
      <c r="AI4593" s="17"/>
      <c r="AJ4593" s="17"/>
      <c r="AK4593" s="17"/>
      <c r="AL4593" s="17"/>
      <c r="AM4593" s="17"/>
      <c r="AN4593" s="17"/>
      <c r="AO4593" s="17"/>
      <c r="AP4593" s="17"/>
      <c r="AQ4593" s="17"/>
      <c r="AR4593" s="17"/>
    </row>
    <row r="4594" s="21" customFormat="1" ht="15.6" hidden="1" spans="1:44">
      <c r="A4594" s="17" t="s">
        <v>34</v>
      </c>
      <c r="B4594" s="19">
        <v>957</v>
      </c>
      <c r="C4594" s="183">
        <v>45225</v>
      </c>
      <c r="D4594" s="17" t="s">
        <v>52</v>
      </c>
      <c r="E4594" s="17" t="s">
        <v>1113</v>
      </c>
      <c r="F4594" s="17" t="s">
        <v>54</v>
      </c>
      <c r="G4594" s="17"/>
      <c r="H4594" s="19" t="s">
        <v>1114</v>
      </c>
      <c r="I4594" s="19"/>
      <c r="J4594" s="17" t="s">
        <v>82</v>
      </c>
      <c r="K4594" s="19">
        <v>355</v>
      </c>
      <c r="L4594" s="19">
        <v>65</v>
      </c>
      <c r="M4594" s="19">
        <v>2200</v>
      </c>
      <c r="N4594" s="19" t="s">
        <v>66</v>
      </c>
      <c r="O4594" s="19" t="s">
        <v>141</v>
      </c>
      <c r="P4594" s="19"/>
      <c r="Q4594" s="19">
        <v>418</v>
      </c>
      <c r="R4594" s="19">
        <f>+P4591-Q4591-Q4592-Q4593-Q4594</f>
        <v>-83</v>
      </c>
      <c r="S4594" s="274">
        <f>1030+80</f>
        <v>1110</v>
      </c>
      <c r="T4594" s="19" t="s">
        <v>42</v>
      </c>
      <c r="U4594" s="102" t="s">
        <v>1334</v>
      </c>
      <c r="V4594" s="101">
        <v>45247</v>
      </c>
      <c r="W4594" s="17" t="s">
        <v>44</v>
      </c>
      <c r="X4594" s="17"/>
      <c r="Y4594" s="68">
        <v>45292</v>
      </c>
      <c r="Z4594" s="17" t="s">
        <v>191</v>
      </c>
      <c r="AA4594" s="17" t="s">
        <v>46</v>
      </c>
      <c r="AB4594" s="17" t="s">
        <v>1344</v>
      </c>
      <c r="AC4594" s="217">
        <v>45495</v>
      </c>
      <c r="AD4594" s="65">
        <v>1599</v>
      </c>
      <c r="AE4594" s="17" t="s">
        <v>74</v>
      </c>
      <c r="AF4594" s="17"/>
      <c r="AG4594" s="17"/>
      <c r="AH4594" s="17"/>
      <c r="AI4594" s="17"/>
      <c r="AJ4594" s="17"/>
      <c r="AK4594" s="17"/>
      <c r="AL4594" s="17"/>
      <c r="AM4594" s="17"/>
      <c r="AN4594" s="17"/>
      <c r="AO4594" s="17"/>
      <c r="AP4594" s="17"/>
      <c r="AQ4594" s="17"/>
      <c r="AR4594" s="17"/>
    </row>
    <row r="4595" s="21" customFormat="1" ht="15.6" hidden="1" spans="1:44">
      <c r="A4595" s="17" t="s">
        <v>34</v>
      </c>
      <c r="B4595" s="19">
        <v>957</v>
      </c>
      <c r="C4595" s="183">
        <v>45225</v>
      </c>
      <c r="D4595" s="17" t="s">
        <v>52</v>
      </c>
      <c r="E4595" s="17" t="s">
        <v>1113</v>
      </c>
      <c r="F4595" s="17" t="s">
        <v>54</v>
      </c>
      <c r="G4595" s="17"/>
      <c r="H4595" s="19" t="s">
        <v>1114</v>
      </c>
      <c r="I4595" s="19"/>
      <c r="J4595" s="17" t="s">
        <v>82</v>
      </c>
      <c r="K4595" s="19">
        <v>405</v>
      </c>
      <c r="L4595" s="19">
        <v>65</v>
      </c>
      <c r="M4595" s="19">
        <v>2200</v>
      </c>
      <c r="N4595" s="19" t="s">
        <v>66</v>
      </c>
      <c r="O4595" s="19" t="s">
        <v>141</v>
      </c>
      <c r="P4595" s="19">
        <v>3720</v>
      </c>
      <c r="Q4595" s="98">
        <v>952</v>
      </c>
      <c r="R4595" s="254"/>
      <c r="S4595" s="274">
        <v>1030</v>
      </c>
      <c r="T4595" s="19" t="s">
        <v>42</v>
      </c>
      <c r="U4595" s="102" t="s">
        <v>1334</v>
      </c>
      <c r="V4595" s="101">
        <v>45247</v>
      </c>
      <c r="W4595" s="17" t="s">
        <v>44</v>
      </c>
      <c r="X4595" s="17"/>
      <c r="Y4595" s="68">
        <v>45292</v>
      </c>
      <c r="Z4595" s="17" t="s">
        <v>191</v>
      </c>
      <c r="AA4595" s="17" t="s">
        <v>46</v>
      </c>
      <c r="AB4595" s="17" t="s">
        <v>1245</v>
      </c>
      <c r="AC4595" s="66">
        <v>45379</v>
      </c>
      <c r="AD4595" s="65">
        <v>1546</v>
      </c>
      <c r="AE4595" s="17" t="s">
        <v>74</v>
      </c>
      <c r="AF4595" s="17"/>
      <c r="AG4595" s="17"/>
      <c r="AH4595" s="17"/>
      <c r="AI4595" s="17"/>
      <c r="AJ4595" s="17"/>
      <c r="AK4595" s="17"/>
      <c r="AL4595" s="17"/>
      <c r="AM4595" s="17"/>
      <c r="AN4595" s="17"/>
      <c r="AO4595" s="17"/>
      <c r="AP4595" s="17"/>
      <c r="AQ4595" s="17"/>
      <c r="AR4595" s="17"/>
    </row>
    <row r="4596" s="21" customFormat="1" ht="15.6" hidden="1" spans="1:44">
      <c r="A4596" s="17" t="s">
        <v>34</v>
      </c>
      <c r="B4596" s="19">
        <v>957</v>
      </c>
      <c r="C4596" s="183">
        <v>45225</v>
      </c>
      <c r="D4596" s="17" t="s">
        <v>52</v>
      </c>
      <c r="E4596" s="17" t="s">
        <v>1113</v>
      </c>
      <c r="F4596" s="17" t="s">
        <v>54</v>
      </c>
      <c r="G4596" s="17"/>
      <c r="H4596" s="19" t="s">
        <v>1114</v>
      </c>
      <c r="I4596" s="19"/>
      <c r="J4596" s="17" t="s">
        <v>82</v>
      </c>
      <c r="K4596" s="19">
        <v>405</v>
      </c>
      <c r="L4596" s="19">
        <v>65</v>
      </c>
      <c r="M4596" s="19">
        <v>2200</v>
      </c>
      <c r="N4596" s="19" t="s">
        <v>66</v>
      </c>
      <c r="O4596" s="19" t="s">
        <v>141</v>
      </c>
      <c r="P4596" s="19"/>
      <c r="Q4596" s="19">
        <v>476</v>
      </c>
      <c r="R4596" s="254"/>
      <c r="S4596" s="274">
        <v>1030</v>
      </c>
      <c r="T4596" s="19" t="s">
        <v>42</v>
      </c>
      <c r="U4596" s="102" t="s">
        <v>1334</v>
      </c>
      <c r="V4596" s="101">
        <v>45247</v>
      </c>
      <c r="W4596" s="17" t="s">
        <v>44</v>
      </c>
      <c r="X4596" s="17"/>
      <c r="Y4596" s="68">
        <v>45292</v>
      </c>
      <c r="Z4596" s="17" t="s">
        <v>191</v>
      </c>
      <c r="AA4596" s="17" t="s">
        <v>46</v>
      </c>
      <c r="AB4596" s="17" t="s">
        <v>1338</v>
      </c>
      <c r="AC4596" s="217">
        <v>45395</v>
      </c>
      <c r="AD4596" s="65">
        <v>1557</v>
      </c>
      <c r="AE4596" s="17" t="s">
        <v>74</v>
      </c>
      <c r="AF4596" s="17"/>
      <c r="AG4596" s="17"/>
      <c r="AH4596" s="17"/>
      <c r="AI4596" s="17"/>
      <c r="AJ4596" s="17"/>
      <c r="AK4596" s="17"/>
      <c r="AL4596" s="17"/>
      <c r="AM4596" s="17"/>
      <c r="AN4596" s="17"/>
      <c r="AO4596" s="17"/>
      <c r="AP4596" s="17"/>
      <c r="AQ4596" s="17"/>
      <c r="AR4596" s="17"/>
    </row>
    <row r="4597" s="21" customFormat="1" ht="15.6" hidden="1" spans="1:44">
      <c r="A4597" s="17" t="s">
        <v>34</v>
      </c>
      <c r="B4597" s="19">
        <v>957</v>
      </c>
      <c r="C4597" s="183">
        <v>45225</v>
      </c>
      <c r="D4597" s="17" t="s">
        <v>52</v>
      </c>
      <c r="E4597" s="17" t="s">
        <v>1113</v>
      </c>
      <c r="F4597" s="17" t="s">
        <v>54</v>
      </c>
      <c r="G4597" s="17"/>
      <c r="H4597" s="19" t="s">
        <v>1114</v>
      </c>
      <c r="I4597" s="19"/>
      <c r="J4597" s="17" t="s">
        <v>82</v>
      </c>
      <c r="K4597" s="19">
        <v>405</v>
      </c>
      <c r="L4597" s="19">
        <v>65</v>
      </c>
      <c r="M4597" s="19">
        <v>2200</v>
      </c>
      <c r="N4597" s="19" t="s">
        <v>66</v>
      </c>
      <c r="O4597" s="19" t="s">
        <v>141</v>
      </c>
      <c r="P4597" s="19"/>
      <c r="Q4597" s="19">
        <v>955</v>
      </c>
      <c r="R4597" s="254"/>
      <c r="S4597" s="274">
        <v>1030</v>
      </c>
      <c r="T4597" s="19" t="s">
        <v>42</v>
      </c>
      <c r="U4597" s="102" t="s">
        <v>1334</v>
      </c>
      <c r="V4597" s="101">
        <v>45247</v>
      </c>
      <c r="W4597" s="17" t="s">
        <v>44</v>
      </c>
      <c r="X4597" s="17"/>
      <c r="Y4597" s="68">
        <v>45292</v>
      </c>
      <c r="Z4597" s="17" t="s">
        <v>191</v>
      </c>
      <c r="AA4597" s="17" t="s">
        <v>46</v>
      </c>
      <c r="AB4597" s="17" t="s">
        <v>1341</v>
      </c>
      <c r="AC4597" s="217">
        <v>45400</v>
      </c>
      <c r="AD4597" s="65">
        <v>1562</v>
      </c>
      <c r="AE4597" s="17" t="s">
        <v>74</v>
      </c>
      <c r="AF4597" s="17"/>
      <c r="AG4597" s="17"/>
      <c r="AH4597" s="17"/>
      <c r="AI4597" s="17"/>
      <c r="AJ4597" s="17"/>
      <c r="AK4597" s="17"/>
      <c r="AL4597" s="17"/>
      <c r="AM4597" s="17"/>
      <c r="AN4597" s="17"/>
      <c r="AO4597" s="17"/>
      <c r="AP4597" s="17"/>
      <c r="AQ4597" s="17"/>
      <c r="AR4597" s="17"/>
    </row>
    <row r="4598" s="21" customFormat="1" ht="15.6" hidden="1" spans="1:44">
      <c r="A4598" s="17" t="s">
        <v>34</v>
      </c>
      <c r="B4598" s="19">
        <v>957</v>
      </c>
      <c r="C4598" s="183">
        <v>45225</v>
      </c>
      <c r="D4598" s="17" t="s">
        <v>52</v>
      </c>
      <c r="E4598" s="17" t="s">
        <v>1113</v>
      </c>
      <c r="F4598" s="17" t="s">
        <v>54</v>
      </c>
      <c r="G4598" s="17"/>
      <c r="H4598" s="19" t="s">
        <v>1114</v>
      </c>
      <c r="I4598" s="19"/>
      <c r="J4598" s="17" t="s">
        <v>82</v>
      </c>
      <c r="K4598" s="19">
        <v>405</v>
      </c>
      <c r="L4598" s="19">
        <v>65</v>
      </c>
      <c r="M4598" s="19">
        <v>2200</v>
      </c>
      <c r="N4598" s="19" t="s">
        <v>66</v>
      </c>
      <c r="O4598" s="19" t="s">
        <v>141</v>
      </c>
      <c r="P4598" s="19"/>
      <c r="Q4598" s="19">
        <v>950</v>
      </c>
      <c r="S4598" s="274">
        <v>1030</v>
      </c>
      <c r="T4598" s="19" t="s">
        <v>42</v>
      </c>
      <c r="U4598" s="102" t="s">
        <v>1334</v>
      </c>
      <c r="V4598" s="101">
        <v>45247</v>
      </c>
      <c r="W4598" s="17" t="s">
        <v>44</v>
      </c>
      <c r="X4598" s="17"/>
      <c r="Y4598" s="68">
        <v>45292</v>
      </c>
      <c r="Z4598" s="17" t="s">
        <v>191</v>
      </c>
      <c r="AA4598" s="17" t="s">
        <v>46</v>
      </c>
      <c r="AB4598" s="17" t="s">
        <v>1337</v>
      </c>
      <c r="AC4598" s="217">
        <v>45400</v>
      </c>
      <c r="AD4598" s="65">
        <v>1563</v>
      </c>
      <c r="AE4598" s="17" t="s">
        <v>74</v>
      </c>
      <c r="AF4598" s="17"/>
      <c r="AG4598" s="17"/>
      <c r="AH4598" s="17"/>
      <c r="AI4598" s="17"/>
      <c r="AJ4598" s="17"/>
      <c r="AK4598" s="17"/>
      <c r="AL4598" s="17"/>
      <c r="AM4598" s="17"/>
      <c r="AN4598" s="17"/>
      <c r="AO4598" s="17"/>
      <c r="AP4598" s="17"/>
      <c r="AQ4598" s="17"/>
      <c r="AR4598" s="17"/>
    </row>
    <row r="4599" s="21" customFormat="1" ht="15.6" hidden="1" spans="1:44">
      <c r="A4599" s="17" t="s">
        <v>34</v>
      </c>
      <c r="B4599" s="19">
        <v>957</v>
      </c>
      <c r="C4599" s="183">
        <v>45225</v>
      </c>
      <c r="D4599" s="17" t="s">
        <v>52</v>
      </c>
      <c r="E4599" s="17" t="s">
        <v>1113</v>
      </c>
      <c r="F4599" s="17" t="s">
        <v>54</v>
      </c>
      <c r="G4599" s="17"/>
      <c r="H4599" s="19" t="s">
        <v>1114</v>
      </c>
      <c r="I4599" s="19"/>
      <c r="J4599" s="17" t="s">
        <v>82</v>
      </c>
      <c r="K4599" s="19">
        <v>405</v>
      </c>
      <c r="L4599" s="19">
        <v>65</v>
      </c>
      <c r="M4599" s="19">
        <v>2200</v>
      </c>
      <c r="N4599" s="19" t="s">
        <v>66</v>
      </c>
      <c r="O4599" s="19" t="s">
        <v>141</v>
      </c>
      <c r="P4599" s="19"/>
      <c r="Q4599" s="146">
        <v>472</v>
      </c>
      <c r="R4599" s="19">
        <f>+P4595-Q4595-Q4596-Q4597-Q4598-Q4599</f>
        <v>-85</v>
      </c>
      <c r="S4599" s="274">
        <f>1030+80</f>
        <v>1110</v>
      </c>
      <c r="T4599" s="19" t="s">
        <v>42</v>
      </c>
      <c r="U4599" s="102" t="s">
        <v>1334</v>
      </c>
      <c r="V4599" s="101">
        <v>45247</v>
      </c>
      <c r="W4599" s="17" t="s">
        <v>69</v>
      </c>
      <c r="X4599" s="17"/>
      <c r="Y4599" s="68">
        <v>45292</v>
      </c>
      <c r="Z4599" s="17" t="s">
        <v>191</v>
      </c>
      <c r="AA4599" s="17" t="s">
        <v>46</v>
      </c>
      <c r="AB4599" s="17" t="s">
        <v>1340</v>
      </c>
      <c r="AC4599" s="217">
        <v>45498</v>
      </c>
      <c r="AD4599" s="65">
        <v>1603</v>
      </c>
      <c r="AE4599" s="17" t="s">
        <v>74</v>
      </c>
      <c r="AF4599" s="17"/>
      <c r="AG4599" s="17"/>
      <c r="AH4599" s="17"/>
      <c r="AI4599" s="17"/>
      <c r="AJ4599" s="17"/>
      <c r="AK4599" s="17"/>
      <c r="AL4599" s="17"/>
      <c r="AM4599" s="17"/>
      <c r="AN4599" s="17"/>
      <c r="AO4599" s="17"/>
      <c r="AP4599" s="17"/>
      <c r="AQ4599" s="17"/>
      <c r="AR4599" s="17"/>
    </row>
    <row r="4600" s="21" customFormat="1" ht="15.6" hidden="1" spans="1:44">
      <c r="A4600" s="17" t="s">
        <v>34</v>
      </c>
      <c r="B4600" s="19">
        <v>957</v>
      </c>
      <c r="C4600" s="183">
        <v>45225</v>
      </c>
      <c r="D4600" s="17" t="s">
        <v>52</v>
      </c>
      <c r="E4600" s="17" t="s">
        <v>1113</v>
      </c>
      <c r="F4600" s="17" t="s">
        <v>54</v>
      </c>
      <c r="G4600" s="17"/>
      <c r="H4600" s="19" t="s">
        <v>1114</v>
      </c>
      <c r="I4600" s="19"/>
      <c r="J4600" s="17" t="s">
        <v>82</v>
      </c>
      <c r="K4600" s="19">
        <v>455</v>
      </c>
      <c r="L4600" s="19">
        <v>65</v>
      </c>
      <c r="M4600" s="19">
        <v>2200</v>
      </c>
      <c r="N4600" s="19" t="s">
        <v>66</v>
      </c>
      <c r="O4600" s="19" t="s">
        <v>141</v>
      </c>
      <c r="P4600" s="19">
        <v>3134</v>
      </c>
      <c r="Q4600" s="98">
        <v>1065</v>
      </c>
      <c r="S4600" s="274">
        <v>1030</v>
      </c>
      <c r="T4600" s="19" t="s">
        <v>42</v>
      </c>
      <c r="U4600" s="102" t="s">
        <v>1334</v>
      </c>
      <c r="V4600" s="101">
        <v>45247</v>
      </c>
      <c r="W4600" s="17" t="s">
        <v>44</v>
      </c>
      <c r="X4600" s="17"/>
      <c r="Y4600" s="68">
        <v>45292</v>
      </c>
      <c r="Z4600" s="17" t="s">
        <v>191</v>
      </c>
      <c r="AA4600" s="17" t="s">
        <v>46</v>
      </c>
      <c r="AB4600" s="17" t="s">
        <v>1245</v>
      </c>
      <c r="AC4600" s="66">
        <v>45379</v>
      </c>
      <c r="AD4600" s="65">
        <v>1546</v>
      </c>
      <c r="AE4600" s="17" t="s">
        <v>74</v>
      </c>
      <c r="AF4600" s="17"/>
      <c r="AG4600" s="17"/>
      <c r="AH4600" s="17"/>
      <c r="AI4600" s="17"/>
      <c r="AJ4600" s="17"/>
      <c r="AK4600" s="17"/>
      <c r="AL4600" s="17"/>
      <c r="AM4600" s="17"/>
      <c r="AN4600" s="17"/>
      <c r="AO4600" s="17"/>
      <c r="AP4600" s="17"/>
      <c r="AQ4600" s="17"/>
      <c r="AR4600" s="17"/>
    </row>
    <row r="4601" s="21" customFormat="1" ht="15.6" hidden="1" spans="1:44">
      <c r="A4601" s="17" t="s">
        <v>34</v>
      </c>
      <c r="B4601" s="19">
        <v>957</v>
      </c>
      <c r="C4601" s="183">
        <v>45225</v>
      </c>
      <c r="D4601" s="17" t="s">
        <v>52</v>
      </c>
      <c r="E4601" s="17" t="s">
        <v>1113</v>
      </c>
      <c r="F4601" s="17" t="s">
        <v>54</v>
      </c>
      <c r="G4601" s="17"/>
      <c r="H4601" s="19" t="s">
        <v>1114</v>
      </c>
      <c r="I4601" s="19"/>
      <c r="J4601" s="17" t="s">
        <v>82</v>
      </c>
      <c r="K4601" s="19">
        <v>455</v>
      </c>
      <c r="L4601" s="19">
        <v>65</v>
      </c>
      <c r="M4601" s="19">
        <v>2200</v>
      </c>
      <c r="N4601" s="19" t="s">
        <v>66</v>
      </c>
      <c r="O4601" s="19" t="s">
        <v>141</v>
      </c>
      <c r="P4601" s="19"/>
      <c r="Q4601" s="19">
        <f>533+1600</f>
        <v>2133</v>
      </c>
      <c r="R4601" s="19">
        <f>+P4600-Q4600-Q4601</f>
        <v>-64</v>
      </c>
      <c r="S4601" s="274">
        <v>1030</v>
      </c>
      <c r="T4601" s="19" t="s">
        <v>42</v>
      </c>
      <c r="U4601" s="102" t="s">
        <v>1334</v>
      </c>
      <c r="V4601" s="101">
        <v>45247</v>
      </c>
      <c r="W4601" s="17" t="s">
        <v>44</v>
      </c>
      <c r="X4601" s="17"/>
      <c r="Y4601" s="68">
        <v>45292</v>
      </c>
      <c r="Z4601" s="17" t="s">
        <v>191</v>
      </c>
      <c r="AA4601" s="17" t="s">
        <v>46</v>
      </c>
      <c r="AB4601" s="17" t="s">
        <v>1338</v>
      </c>
      <c r="AC4601" s="217">
        <v>45395</v>
      </c>
      <c r="AD4601" s="65">
        <v>1557</v>
      </c>
      <c r="AE4601" s="17" t="s">
        <v>74</v>
      </c>
      <c r="AF4601" s="17"/>
      <c r="AG4601" s="17"/>
      <c r="AH4601" s="17"/>
      <c r="AI4601" s="17"/>
      <c r="AJ4601" s="17"/>
      <c r="AK4601" s="17"/>
      <c r="AL4601" s="17"/>
      <c r="AM4601" s="17"/>
      <c r="AN4601" s="17"/>
      <c r="AO4601" s="17"/>
      <c r="AP4601" s="17"/>
      <c r="AQ4601" s="17"/>
      <c r="AR4601" s="17"/>
    </row>
    <row r="4602" s="21" customFormat="1" ht="15.6" hidden="1" spans="1:44">
      <c r="A4602" s="17" t="s">
        <v>34</v>
      </c>
      <c r="B4602" s="19">
        <v>957</v>
      </c>
      <c r="C4602" s="183">
        <v>45225</v>
      </c>
      <c r="D4602" s="17" t="s">
        <v>52</v>
      </c>
      <c r="E4602" s="17" t="s">
        <v>1113</v>
      </c>
      <c r="F4602" s="17" t="s">
        <v>54</v>
      </c>
      <c r="G4602" s="17"/>
      <c r="H4602" s="19" t="s">
        <v>1114</v>
      </c>
      <c r="I4602" s="19"/>
      <c r="J4602" s="17" t="s">
        <v>82</v>
      </c>
      <c r="K4602" s="19">
        <v>505</v>
      </c>
      <c r="L4602" s="19">
        <v>65</v>
      </c>
      <c r="M4602" s="19">
        <v>2200</v>
      </c>
      <c r="N4602" s="19" t="s">
        <v>66</v>
      </c>
      <c r="O4602" s="19" t="s">
        <v>141</v>
      </c>
      <c r="P4602" s="19">
        <v>2899</v>
      </c>
      <c r="Q4602" s="98">
        <v>1179</v>
      </c>
      <c r="R4602" s="254"/>
      <c r="S4602" s="274">
        <v>1030</v>
      </c>
      <c r="T4602" s="19" t="s">
        <v>42</v>
      </c>
      <c r="U4602" s="102" t="s">
        <v>1334</v>
      </c>
      <c r="V4602" s="101">
        <v>45247</v>
      </c>
      <c r="W4602" s="17" t="s">
        <v>44</v>
      </c>
      <c r="X4602" s="17"/>
      <c r="Y4602" s="68">
        <v>45292</v>
      </c>
      <c r="Z4602" s="17" t="s">
        <v>191</v>
      </c>
      <c r="AA4602" s="17" t="s">
        <v>46</v>
      </c>
      <c r="AB4602" s="17" t="s">
        <v>1245</v>
      </c>
      <c r="AC4602" s="66">
        <v>45379</v>
      </c>
      <c r="AD4602" s="65">
        <v>1546</v>
      </c>
      <c r="AE4602" s="17" t="s">
        <v>74</v>
      </c>
      <c r="AF4602" s="17"/>
      <c r="AG4602" s="17"/>
      <c r="AH4602" s="17"/>
      <c r="AI4602" s="17"/>
      <c r="AJ4602" s="17"/>
      <c r="AK4602" s="17"/>
      <c r="AL4602" s="17"/>
      <c r="AM4602" s="17"/>
      <c r="AN4602" s="17"/>
      <c r="AO4602" s="17"/>
      <c r="AP4602" s="17"/>
      <c r="AQ4602" s="17"/>
      <c r="AR4602" s="17"/>
    </row>
    <row r="4603" s="21" customFormat="1" ht="15.6" hidden="1" spans="1:44">
      <c r="A4603" s="17" t="s">
        <v>34</v>
      </c>
      <c r="B4603" s="19">
        <v>957</v>
      </c>
      <c r="C4603" s="183">
        <v>45225</v>
      </c>
      <c r="D4603" s="17" t="s">
        <v>52</v>
      </c>
      <c r="E4603" s="17" t="s">
        <v>1113</v>
      </c>
      <c r="F4603" s="17" t="s">
        <v>54</v>
      </c>
      <c r="G4603" s="17"/>
      <c r="H4603" s="19" t="s">
        <v>1114</v>
      </c>
      <c r="I4603" s="19"/>
      <c r="J4603" s="17" t="s">
        <v>82</v>
      </c>
      <c r="K4603" s="19">
        <v>505</v>
      </c>
      <c r="L4603" s="19">
        <v>65</v>
      </c>
      <c r="M4603" s="19">
        <v>2200</v>
      </c>
      <c r="N4603" s="19" t="s">
        <v>66</v>
      </c>
      <c r="O4603" s="19" t="s">
        <v>141</v>
      </c>
      <c r="P4603" s="19"/>
      <c r="Q4603" s="19">
        <f>595+591</f>
        <v>1186</v>
      </c>
      <c r="S4603" s="274">
        <v>1030</v>
      </c>
      <c r="T4603" s="19" t="s">
        <v>42</v>
      </c>
      <c r="U4603" s="102" t="s">
        <v>1334</v>
      </c>
      <c r="V4603" s="101">
        <v>45247</v>
      </c>
      <c r="W4603" s="17" t="s">
        <v>44</v>
      </c>
      <c r="X4603" s="17"/>
      <c r="Y4603" s="68">
        <v>45292</v>
      </c>
      <c r="Z4603" s="17" t="s">
        <v>191</v>
      </c>
      <c r="AA4603" s="17" t="s">
        <v>46</v>
      </c>
      <c r="AB4603" s="17" t="s">
        <v>1338</v>
      </c>
      <c r="AC4603" s="217">
        <v>45395</v>
      </c>
      <c r="AD4603" s="65">
        <v>1557</v>
      </c>
      <c r="AE4603" s="17" t="s">
        <v>74</v>
      </c>
      <c r="AF4603" s="17"/>
      <c r="AG4603" s="17"/>
      <c r="AH4603" s="17"/>
      <c r="AI4603" s="17"/>
      <c r="AJ4603" s="17"/>
      <c r="AK4603" s="17"/>
      <c r="AL4603" s="17"/>
      <c r="AM4603" s="17"/>
      <c r="AN4603" s="17"/>
      <c r="AO4603" s="17"/>
      <c r="AP4603" s="17"/>
      <c r="AQ4603" s="17"/>
      <c r="AR4603" s="17"/>
    </row>
    <row r="4604" s="21" customFormat="1" ht="15.6" hidden="1" spans="1:44">
      <c r="A4604" s="17" t="s">
        <v>34</v>
      </c>
      <c r="B4604" s="19">
        <v>957</v>
      </c>
      <c r="C4604" s="183">
        <v>45225</v>
      </c>
      <c r="D4604" s="17" t="s">
        <v>52</v>
      </c>
      <c r="E4604" s="17" t="s">
        <v>1113</v>
      </c>
      <c r="F4604" s="17" t="s">
        <v>54</v>
      </c>
      <c r="G4604" s="17"/>
      <c r="H4604" s="19" t="s">
        <v>1114</v>
      </c>
      <c r="I4604" s="19"/>
      <c r="J4604" s="17" t="s">
        <v>82</v>
      </c>
      <c r="K4604" s="19">
        <v>505</v>
      </c>
      <c r="L4604" s="19">
        <v>65</v>
      </c>
      <c r="M4604" s="19">
        <v>2200</v>
      </c>
      <c r="N4604" s="19" t="s">
        <v>66</v>
      </c>
      <c r="O4604" s="19" t="s">
        <v>141</v>
      </c>
      <c r="P4604" s="19"/>
      <c r="Q4604" s="19">
        <v>597</v>
      </c>
      <c r="R4604" s="19">
        <f>+P4602-Q4602-Q4603-Q4604</f>
        <v>-63</v>
      </c>
      <c r="S4604" s="274">
        <f>1030+80-20</f>
        <v>1090</v>
      </c>
      <c r="T4604" s="19" t="s">
        <v>42</v>
      </c>
      <c r="U4604" s="102" t="s">
        <v>1334</v>
      </c>
      <c r="V4604" s="101">
        <v>45247</v>
      </c>
      <c r="W4604" s="17" t="s">
        <v>69</v>
      </c>
      <c r="X4604" s="17"/>
      <c r="Y4604" s="68">
        <v>45292</v>
      </c>
      <c r="Z4604" s="17" t="s">
        <v>191</v>
      </c>
      <c r="AA4604" s="17" t="s">
        <v>46</v>
      </c>
      <c r="AB4604" s="17" t="s">
        <v>1339</v>
      </c>
      <c r="AC4604" s="217">
        <v>45433</v>
      </c>
      <c r="AD4604" s="65">
        <v>1570</v>
      </c>
      <c r="AE4604" s="17" t="s">
        <v>74</v>
      </c>
      <c r="AF4604" s="17"/>
      <c r="AG4604" s="17"/>
      <c r="AH4604" s="17"/>
      <c r="AI4604" s="17"/>
      <c r="AJ4604" s="17"/>
      <c r="AK4604" s="17"/>
      <c r="AL4604" s="17"/>
      <c r="AM4604" s="17"/>
      <c r="AN4604" s="17"/>
      <c r="AO4604" s="17"/>
      <c r="AP4604" s="17"/>
      <c r="AQ4604" s="17"/>
      <c r="AR4604" s="17"/>
    </row>
    <row r="4605" s="21" customFormat="1" ht="15.6" hidden="1" spans="1:44">
      <c r="A4605" s="17" t="s">
        <v>34</v>
      </c>
      <c r="B4605" s="19">
        <v>957</v>
      </c>
      <c r="C4605" s="183">
        <v>45225</v>
      </c>
      <c r="D4605" s="17" t="s">
        <v>52</v>
      </c>
      <c r="E4605" s="17" t="s">
        <v>1113</v>
      </c>
      <c r="F4605" s="17" t="s">
        <v>54</v>
      </c>
      <c r="G4605" s="17"/>
      <c r="H4605" s="19" t="s">
        <v>1114</v>
      </c>
      <c r="I4605" s="19"/>
      <c r="J4605" s="17" t="s">
        <v>82</v>
      </c>
      <c r="K4605" s="19">
        <v>555</v>
      </c>
      <c r="L4605" s="19">
        <v>65</v>
      </c>
      <c r="M4605" s="19">
        <v>2200</v>
      </c>
      <c r="N4605" s="19" t="s">
        <v>66</v>
      </c>
      <c r="O4605" s="19" t="s">
        <v>141</v>
      </c>
      <c r="P4605" s="19">
        <v>1912</v>
      </c>
      <c r="Q4605" s="19">
        <f>653+650</f>
        <v>1303</v>
      </c>
      <c r="S4605" s="274">
        <v>1030</v>
      </c>
      <c r="T4605" s="19" t="s">
        <v>42</v>
      </c>
      <c r="U4605" s="102" t="s">
        <v>1334</v>
      </c>
      <c r="V4605" s="101">
        <v>45247</v>
      </c>
      <c r="W4605" s="17" t="s">
        <v>44</v>
      </c>
      <c r="X4605" s="17"/>
      <c r="Y4605" s="68">
        <v>45292</v>
      </c>
      <c r="Z4605" s="17" t="s">
        <v>191</v>
      </c>
      <c r="AA4605" s="17" t="s">
        <v>46</v>
      </c>
      <c r="AB4605" s="17" t="s">
        <v>1240</v>
      </c>
      <c r="AC4605" s="217">
        <v>45372</v>
      </c>
      <c r="AD4605" s="65">
        <v>1542</v>
      </c>
      <c r="AE4605" s="17" t="s">
        <v>74</v>
      </c>
      <c r="AF4605" s="17"/>
      <c r="AG4605" s="17"/>
      <c r="AH4605" s="17"/>
      <c r="AI4605" s="17"/>
      <c r="AJ4605" s="17"/>
      <c r="AK4605" s="17"/>
      <c r="AL4605" s="17"/>
      <c r="AM4605" s="17"/>
      <c r="AN4605" s="17"/>
      <c r="AO4605" s="17"/>
      <c r="AP4605" s="17"/>
      <c r="AQ4605" s="17"/>
      <c r="AR4605" s="17"/>
    </row>
    <row r="4606" s="21" customFormat="1" ht="15.6" hidden="1" spans="1:44">
      <c r="A4606" s="17" t="s">
        <v>34</v>
      </c>
      <c r="B4606" s="19">
        <v>957</v>
      </c>
      <c r="C4606" s="183">
        <v>45225</v>
      </c>
      <c r="D4606" s="17" t="s">
        <v>52</v>
      </c>
      <c r="E4606" s="17" t="s">
        <v>1113</v>
      </c>
      <c r="F4606" s="17" t="s">
        <v>54</v>
      </c>
      <c r="G4606" s="17"/>
      <c r="H4606" s="19" t="s">
        <v>1114</v>
      </c>
      <c r="I4606" s="19"/>
      <c r="J4606" s="17" t="s">
        <v>82</v>
      </c>
      <c r="K4606" s="19">
        <v>555</v>
      </c>
      <c r="L4606" s="19">
        <v>65</v>
      </c>
      <c r="M4606" s="19">
        <v>2200</v>
      </c>
      <c r="N4606" s="19" t="s">
        <v>66</v>
      </c>
      <c r="O4606" s="19" t="s">
        <v>141</v>
      </c>
      <c r="P4606" s="19"/>
      <c r="Q4606" s="19">
        <v>653</v>
      </c>
      <c r="R4606" s="19">
        <f>+P4605-Q4605-Q4607</f>
        <v>-100</v>
      </c>
      <c r="S4606" s="274">
        <v>1030</v>
      </c>
      <c r="T4606" s="19" t="s">
        <v>42</v>
      </c>
      <c r="U4606" s="102" t="s">
        <v>1334</v>
      </c>
      <c r="V4606" s="101">
        <v>45247</v>
      </c>
      <c r="W4606" s="17" t="s">
        <v>44</v>
      </c>
      <c r="X4606" s="17"/>
      <c r="Y4606" s="68">
        <v>45292</v>
      </c>
      <c r="Z4606" s="17" t="s">
        <v>191</v>
      </c>
      <c r="AA4606" s="17" t="s">
        <v>46</v>
      </c>
      <c r="AB4606" s="17" t="s">
        <v>1338</v>
      </c>
      <c r="AC4606" s="217">
        <v>45395</v>
      </c>
      <c r="AD4606" s="65">
        <v>1557</v>
      </c>
      <c r="AE4606" s="17" t="s">
        <v>74</v>
      </c>
      <c r="AF4606" s="17"/>
      <c r="AG4606" s="17"/>
      <c r="AH4606" s="17"/>
      <c r="AI4606" s="17"/>
      <c r="AJ4606" s="17"/>
      <c r="AK4606" s="17"/>
      <c r="AL4606" s="17"/>
      <c r="AM4606" s="17"/>
      <c r="AN4606" s="17"/>
      <c r="AO4606" s="17"/>
      <c r="AP4606" s="17"/>
      <c r="AQ4606" s="17"/>
      <c r="AR4606" s="17"/>
    </row>
    <row r="4607" s="21" customFormat="1" ht="15.6" hidden="1" spans="1:44">
      <c r="A4607" s="17" t="s">
        <v>34</v>
      </c>
      <c r="B4607" s="19">
        <v>957</v>
      </c>
      <c r="C4607" s="183">
        <v>45225</v>
      </c>
      <c r="D4607" s="17" t="s">
        <v>52</v>
      </c>
      <c r="E4607" s="17" t="s">
        <v>1113</v>
      </c>
      <c r="F4607" s="17" t="s">
        <v>54</v>
      </c>
      <c r="G4607" s="17"/>
      <c r="H4607" s="19" t="s">
        <v>1114</v>
      </c>
      <c r="I4607" s="19"/>
      <c r="J4607" s="17" t="s">
        <v>82</v>
      </c>
      <c r="K4607" s="19">
        <v>605</v>
      </c>
      <c r="L4607" s="19">
        <v>65</v>
      </c>
      <c r="M4607" s="19">
        <v>2200</v>
      </c>
      <c r="N4607" s="19" t="s">
        <v>66</v>
      </c>
      <c r="O4607" s="19" t="s">
        <v>141</v>
      </c>
      <c r="P4607" s="19">
        <v>2084</v>
      </c>
      <c r="Q4607" s="19">
        <v>709</v>
      </c>
      <c r="S4607" s="274">
        <v>1030</v>
      </c>
      <c r="T4607" s="19" t="s">
        <v>42</v>
      </c>
      <c r="U4607" s="102" t="s">
        <v>1334</v>
      </c>
      <c r="V4607" s="101">
        <v>45247</v>
      </c>
      <c r="W4607" s="17" t="s">
        <v>44</v>
      </c>
      <c r="X4607" s="17"/>
      <c r="Y4607" s="68">
        <v>45292</v>
      </c>
      <c r="Z4607" s="17" t="s">
        <v>191</v>
      </c>
      <c r="AA4607" s="17" t="s">
        <v>46</v>
      </c>
      <c r="AB4607" s="17" t="s">
        <v>1284</v>
      </c>
      <c r="AC4607" s="66">
        <v>45372</v>
      </c>
      <c r="AD4607" s="65">
        <v>1543</v>
      </c>
      <c r="AE4607" s="17" t="s">
        <v>74</v>
      </c>
      <c r="AF4607" s="17"/>
      <c r="AG4607" s="17"/>
      <c r="AH4607" s="17"/>
      <c r="AI4607" s="17"/>
      <c r="AJ4607" s="17"/>
      <c r="AK4607" s="17"/>
      <c r="AL4607" s="17"/>
      <c r="AM4607" s="17"/>
      <c r="AN4607" s="17"/>
      <c r="AO4607" s="17"/>
      <c r="AP4607" s="17"/>
      <c r="AQ4607" s="17"/>
      <c r="AR4607" s="17"/>
    </row>
    <row r="4608" s="21" customFormat="1" ht="15.6" hidden="1" spans="1:44">
      <c r="A4608" s="17" t="s">
        <v>34</v>
      </c>
      <c r="B4608" s="19">
        <v>957</v>
      </c>
      <c r="C4608" s="183">
        <v>45225</v>
      </c>
      <c r="D4608" s="17" t="s">
        <v>52</v>
      </c>
      <c r="E4608" s="17" t="s">
        <v>1113</v>
      </c>
      <c r="F4608" s="17" t="s">
        <v>54</v>
      </c>
      <c r="G4608" s="17"/>
      <c r="H4608" s="19" t="s">
        <v>1114</v>
      </c>
      <c r="I4608" s="19"/>
      <c r="J4608" s="17" t="s">
        <v>82</v>
      </c>
      <c r="K4608" s="19">
        <v>605</v>
      </c>
      <c r="L4608" s="19">
        <v>65</v>
      </c>
      <c r="M4608" s="19">
        <v>2200</v>
      </c>
      <c r="N4608" s="19" t="s">
        <v>66</v>
      </c>
      <c r="O4608" s="19" t="s">
        <v>141</v>
      </c>
      <c r="P4608" s="19"/>
      <c r="Q4608" s="19">
        <v>1417</v>
      </c>
      <c r="R4608" s="19">
        <f>+P4607-Q4607-Q4608</f>
        <v>-42</v>
      </c>
      <c r="S4608" s="274">
        <v>1030</v>
      </c>
      <c r="T4608" s="19" t="s">
        <v>42</v>
      </c>
      <c r="U4608" s="102" t="s">
        <v>1334</v>
      </c>
      <c r="V4608" s="101">
        <v>45247</v>
      </c>
      <c r="W4608" s="17" t="s">
        <v>44</v>
      </c>
      <c r="X4608" s="17"/>
      <c r="Y4608" s="68">
        <v>45292</v>
      </c>
      <c r="Z4608" s="17" t="s">
        <v>191</v>
      </c>
      <c r="AA4608" s="17" t="s">
        <v>46</v>
      </c>
      <c r="AB4608" s="17" t="s">
        <v>1338</v>
      </c>
      <c r="AC4608" s="217">
        <v>45395</v>
      </c>
      <c r="AD4608" s="65">
        <v>1557</v>
      </c>
      <c r="AE4608" s="17" t="s">
        <v>74</v>
      </c>
      <c r="AF4608" s="17"/>
      <c r="AG4608" s="17"/>
      <c r="AH4608" s="17"/>
      <c r="AI4608" s="17"/>
      <c r="AJ4608" s="17"/>
      <c r="AK4608" s="17"/>
      <c r="AL4608" s="17"/>
      <c r="AM4608" s="17"/>
      <c r="AN4608" s="17"/>
      <c r="AO4608" s="17"/>
      <c r="AP4608" s="17"/>
      <c r="AQ4608" s="17"/>
      <c r="AR4608" s="17"/>
    </row>
    <row r="4609" s="21" customFormat="1" ht="15.6" hidden="1" spans="1:44">
      <c r="A4609" s="17" t="s">
        <v>34</v>
      </c>
      <c r="B4609" s="19">
        <v>957</v>
      </c>
      <c r="C4609" s="183">
        <v>45225</v>
      </c>
      <c r="D4609" s="17" t="s">
        <v>52</v>
      </c>
      <c r="E4609" s="17" t="s">
        <v>1113</v>
      </c>
      <c r="F4609" s="17" t="s">
        <v>54</v>
      </c>
      <c r="G4609" s="17"/>
      <c r="H4609" s="19" t="s">
        <v>1114</v>
      </c>
      <c r="I4609" s="19"/>
      <c r="J4609" s="17" t="s">
        <v>82</v>
      </c>
      <c r="K4609" s="19">
        <v>205</v>
      </c>
      <c r="L4609" s="19">
        <v>80</v>
      </c>
      <c r="M4609" s="19">
        <v>2200</v>
      </c>
      <c r="N4609" s="19" t="s">
        <v>66</v>
      </c>
      <c r="O4609" s="19" t="s">
        <v>141</v>
      </c>
      <c r="P4609" s="19">
        <v>1738</v>
      </c>
      <c r="Q4609" s="98">
        <f>604+591</f>
        <v>1195</v>
      </c>
      <c r="S4609" s="274">
        <v>1030</v>
      </c>
      <c r="T4609" s="19" t="s">
        <v>42</v>
      </c>
      <c r="U4609" s="102" t="s">
        <v>1334</v>
      </c>
      <c r="V4609" s="101">
        <v>45247</v>
      </c>
      <c r="W4609" s="17" t="s">
        <v>44</v>
      </c>
      <c r="X4609" s="17"/>
      <c r="Y4609" s="68">
        <v>45292</v>
      </c>
      <c r="Z4609" s="17" t="s">
        <v>191</v>
      </c>
      <c r="AA4609" s="17" t="s">
        <v>46</v>
      </c>
      <c r="AB4609" s="17" t="s">
        <v>1245</v>
      </c>
      <c r="AC4609" s="66">
        <v>45379</v>
      </c>
      <c r="AD4609" s="65">
        <v>1546</v>
      </c>
      <c r="AE4609" s="17" t="s">
        <v>74</v>
      </c>
      <c r="AF4609" s="17"/>
      <c r="AG4609" s="17"/>
      <c r="AH4609" s="17"/>
      <c r="AI4609" s="17"/>
      <c r="AJ4609" s="17"/>
      <c r="AK4609" s="17"/>
      <c r="AL4609" s="17"/>
      <c r="AM4609" s="17"/>
      <c r="AN4609" s="17"/>
      <c r="AO4609" s="17"/>
      <c r="AP4609" s="17"/>
      <c r="AQ4609" s="17"/>
      <c r="AR4609" s="17"/>
    </row>
    <row r="4610" s="21" customFormat="1" ht="15.6" hidden="1" spans="1:44">
      <c r="A4610" s="17" t="s">
        <v>34</v>
      </c>
      <c r="B4610" s="19">
        <v>957</v>
      </c>
      <c r="C4610" s="183">
        <v>45225</v>
      </c>
      <c r="D4610" s="17" t="s">
        <v>52</v>
      </c>
      <c r="E4610" s="17" t="s">
        <v>1113</v>
      </c>
      <c r="F4610" s="17" t="s">
        <v>54</v>
      </c>
      <c r="G4610" s="17"/>
      <c r="H4610" s="19" t="s">
        <v>1114</v>
      </c>
      <c r="I4610" s="19"/>
      <c r="J4610" s="17" t="s">
        <v>82</v>
      </c>
      <c r="K4610" s="19">
        <v>205</v>
      </c>
      <c r="L4610" s="19">
        <v>80</v>
      </c>
      <c r="M4610" s="19">
        <v>2200</v>
      </c>
      <c r="N4610" s="19" t="s">
        <v>66</v>
      </c>
      <c r="O4610" s="19" t="s">
        <v>141</v>
      </c>
      <c r="P4610" s="19"/>
      <c r="Q4610" s="98">
        <v>292</v>
      </c>
      <c r="R4610" s="19">
        <f>+P4609-Q4609-Q4610</f>
        <v>251</v>
      </c>
      <c r="S4610" s="274">
        <v>1030</v>
      </c>
      <c r="T4610" s="19" t="s">
        <v>42</v>
      </c>
      <c r="U4610" s="102" t="s">
        <v>1334</v>
      </c>
      <c r="V4610" s="101">
        <v>45247</v>
      </c>
      <c r="W4610" s="17" t="s">
        <v>44</v>
      </c>
      <c r="X4610" s="17"/>
      <c r="Y4610" s="68">
        <v>45292</v>
      </c>
      <c r="Z4610" s="17" t="s">
        <v>191</v>
      </c>
      <c r="AA4610" s="17" t="s">
        <v>46</v>
      </c>
      <c r="AB4610" s="17" t="s">
        <v>1337</v>
      </c>
      <c r="AC4610" s="217">
        <v>45400</v>
      </c>
      <c r="AD4610" s="65">
        <v>1563</v>
      </c>
      <c r="AE4610" s="17" t="s">
        <v>74</v>
      </c>
      <c r="AF4610" s="17" t="s">
        <v>1332</v>
      </c>
      <c r="AG4610" s="17"/>
      <c r="AH4610" s="17"/>
      <c r="AI4610" s="17"/>
      <c r="AJ4610" s="17"/>
      <c r="AK4610" s="17"/>
      <c r="AL4610" s="17"/>
      <c r="AM4610" s="17"/>
      <c r="AN4610" s="17"/>
      <c r="AO4610" s="17"/>
      <c r="AP4610" s="17"/>
      <c r="AQ4610" s="17"/>
      <c r="AR4610" s="17"/>
    </row>
    <row r="4611" s="21" customFormat="1" ht="15.6" hidden="1" spans="1:44">
      <c r="A4611" s="17" t="s">
        <v>34</v>
      </c>
      <c r="B4611" s="19">
        <v>957</v>
      </c>
      <c r="C4611" s="183">
        <v>45225</v>
      </c>
      <c r="D4611" s="17" t="s">
        <v>52</v>
      </c>
      <c r="E4611" s="17" t="s">
        <v>1113</v>
      </c>
      <c r="F4611" s="17" t="s">
        <v>54</v>
      </c>
      <c r="G4611" s="17"/>
      <c r="H4611" s="19" t="s">
        <v>1114</v>
      </c>
      <c r="I4611" s="19"/>
      <c r="J4611" s="17" t="s">
        <v>82</v>
      </c>
      <c r="K4611" s="19">
        <v>355</v>
      </c>
      <c r="L4611" s="19">
        <v>80</v>
      </c>
      <c r="M4611" s="19">
        <v>2200</v>
      </c>
      <c r="N4611" s="19" t="s">
        <v>66</v>
      </c>
      <c r="O4611" s="19" t="s">
        <v>141</v>
      </c>
      <c r="P4611" s="19">
        <v>2508</v>
      </c>
      <c r="Q4611" s="98">
        <f>1023+513</f>
        <v>1536</v>
      </c>
      <c r="S4611" s="274">
        <v>1030</v>
      </c>
      <c r="T4611" s="19" t="s">
        <v>42</v>
      </c>
      <c r="U4611" s="102" t="s">
        <v>1334</v>
      </c>
      <c r="V4611" s="101">
        <v>45247</v>
      </c>
      <c r="W4611" s="17" t="s">
        <v>44</v>
      </c>
      <c r="X4611" s="17"/>
      <c r="Y4611" s="68">
        <v>45292</v>
      </c>
      <c r="Z4611" s="17" t="s">
        <v>191</v>
      </c>
      <c r="AA4611" s="17" t="s">
        <v>46</v>
      </c>
      <c r="AB4611" s="17" t="s">
        <v>1245</v>
      </c>
      <c r="AC4611" s="66">
        <v>45379</v>
      </c>
      <c r="AD4611" s="65">
        <v>1546</v>
      </c>
      <c r="AE4611" s="17" t="s">
        <v>74</v>
      </c>
      <c r="AF4611" s="17"/>
      <c r="AG4611" s="17"/>
      <c r="AH4611" s="17"/>
      <c r="AI4611" s="17"/>
      <c r="AJ4611" s="17"/>
      <c r="AK4611" s="17"/>
      <c r="AL4611" s="17"/>
      <c r="AM4611" s="17"/>
      <c r="AN4611" s="17"/>
      <c r="AO4611" s="17"/>
      <c r="AP4611" s="17"/>
      <c r="AQ4611" s="17"/>
      <c r="AR4611" s="17"/>
    </row>
    <row r="4612" s="21" customFormat="1" ht="15.6" hidden="1" spans="1:44">
      <c r="A4612" s="17" t="s">
        <v>34</v>
      </c>
      <c r="B4612" s="19">
        <v>957</v>
      </c>
      <c r="C4612" s="183">
        <v>45225</v>
      </c>
      <c r="D4612" s="17" t="s">
        <v>52</v>
      </c>
      <c r="E4612" s="17" t="s">
        <v>1113</v>
      </c>
      <c r="F4612" s="17" t="s">
        <v>54</v>
      </c>
      <c r="G4612" s="17"/>
      <c r="H4612" s="19" t="s">
        <v>1114</v>
      </c>
      <c r="I4612" s="19"/>
      <c r="J4612" s="17" t="s">
        <v>82</v>
      </c>
      <c r="K4612" s="19">
        <v>355</v>
      </c>
      <c r="L4612" s="19">
        <v>80</v>
      </c>
      <c r="M4612" s="19">
        <v>2200</v>
      </c>
      <c r="N4612" s="19" t="s">
        <v>66</v>
      </c>
      <c r="O4612" s="19" t="s">
        <v>141</v>
      </c>
      <c r="P4612" s="19"/>
      <c r="Q4612" s="98">
        <v>1033</v>
      </c>
      <c r="R4612" s="19">
        <f>+P4611-Q4611-Q4612</f>
        <v>-61</v>
      </c>
      <c r="S4612" s="274">
        <f>1030+80-20</f>
        <v>1090</v>
      </c>
      <c r="T4612" s="19" t="s">
        <v>42</v>
      </c>
      <c r="U4612" s="102" t="s">
        <v>1334</v>
      </c>
      <c r="V4612" s="101">
        <v>45247</v>
      </c>
      <c r="W4612" s="17" t="s">
        <v>69</v>
      </c>
      <c r="X4612" s="17"/>
      <c r="Y4612" s="68">
        <v>45292</v>
      </c>
      <c r="Z4612" s="17" t="s">
        <v>191</v>
      </c>
      <c r="AA4612" s="17" t="s">
        <v>46</v>
      </c>
      <c r="AB4612" s="17" t="s">
        <v>1345</v>
      </c>
      <c r="AC4612" s="217">
        <v>45443</v>
      </c>
      <c r="AD4612" s="65">
        <v>1580</v>
      </c>
      <c r="AE4612" s="17" t="s">
        <v>74</v>
      </c>
      <c r="AF4612" s="17"/>
      <c r="AG4612" s="17"/>
      <c r="AH4612" s="17"/>
      <c r="AI4612" s="17"/>
      <c r="AJ4612" s="17"/>
      <c r="AK4612" s="17"/>
      <c r="AL4612" s="17"/>
      <c r="AM4612" s="17"/>
      <c r="AN4612" s="17"/>
      <c r="AO4612" s="17"/>
      <c r="AP4612" s="17"/>
      <c r="AQ4612" s="17"/>
      <c r="AR4612" s="17"/>
    </row>
    <row r="4613" s="21" customFormat="1" ht="15.6" hidden="1" spans="1:44">
      <c r="A4613" s="17" t="s">
        <v>34</v>
      </c>
      <c r="B4613" s="19">
        <v>957</v>
      </c>
      <c r="C4613" s="183">
        <v>45225</v>
      </c>
      <c r="D4613" s="17" t="s">
        <v>52</v>
      </c>
      <c r="E4613" s="17" t="s">
        <v>1113</v>
      </c>
      <c r="F4613" s="17" t="s">
        <v>54</v>
      </c>
      <c r="G4613" s="17"/>
      <c r="H4613" s="19" t="s">
        <v>1114</v>
      </c>
      <c r="I4613" s="19"/>
      <c r="J4613" s="17" t="s">
        <v>82</v>
      </c>
      <c r="K4613" s="19">
        <v>405</v>
      </c>
      <c r="L4613" s="19">
        <v>80</v>
      </c>
      <c r="M4613" s="19">
        <v>2200</v>
      </c>
      <c r="N4613" s="19" t="s">
        <v>66</v>
      </c>
      <c r="O4613" s="19" t="s">
        <v>141</v>
      </c>
      <c r="P4613" s="19">
        <v>2861</v>
      </c>
      <c r="Q4613" s="98">
        <v>1163</v>
      </c>
      <c r="S4613" s="274">
        <v>1030</v>
      </c>
      <c r="T4613" s="19" t="s">
        <v>42</v>
      </c>
      <c r="U4613" s="102" t="s">
        <v>1334</v>
      </c>
      <c r="V4613" s="101">
        <v>45247</v>
      </c>
      <c r="W4613" s="17" t="s">
        <v>44</v>
      </c>
      <c r="X4613" s="17"/>
      <c r="Y4613" s="68">
        <v>45292</v>
      </c>
      <c r="Z4613" s="17" t="s">
        <v>191</v>
      </c>
      <c r="AA4613" s="17" t="s">
        <v>46</v>
      </c>
      <c r="AB4613" s="17" t="s">
        <v>1245</v>
      </c>
      <c r="AC4613" s="66">
        <v>45379</v>
      </c>
      <c r="AD4613" s="65">
        <v>1546</v>
      </c>
      <c r="AE4613" s="17" t="s">
        <v>74</v>
      </c>
      <c r="AF4613" s="17"/>
      <c r="AG4613" s="17"/>
      <c r="AH4613" s="17"/>
      <c r="AI4613" s="17"/>
      <c r="AJ4613" s="17"/>
      <c r="AK4613" s="17"/>
      <c r="AL4613" s="17"/>
      <c r="AM4613" s="17"/>
      <c r="AN4613" s="17"/>
      <c r="AO4613" s="17"/>
      <c r="AP4613" s="17"/>
      <c r="AQ4613" s="17"/>
      <c r="AR4613" s="17"/>
    </row>
    <row r="4614" s="21" customFormat="1" ht="15.6" hidden="1" spans="1:44">
      <c r="A4614" s="17" t="s">
        <v>34</v>
      </c>
      <c r="B4614" s="19">
        <v>957</v>
      </c>
      <c r="C4614" s="183">
        <v>45225</v>
      </c>
      <c r="D4614" s="17" t="s">
        <v>52</v>
      </c>
      <c r="E4614" s="17" t="s">
        <v>1113</v>
      </c>
      <c r="F4614" s="17" t="s">
        <v>54</v>
      </c>
      <c r="G4614" s="17"/>
      <c r="H4614" s="19" t="s">
        <v>1114</v>
      </c>
      <c r="I4614" s="19"/>
      <c r="J4614" s="17" t="s">
        <v>82</v>
      </c>
      <c r="K4614" s="19">
        <v>405</v>
      </c>
      <c r="L4614" s="19">
        <v>80</v>
      </c>
      <c r="M4614" s="19">
        <v>2200</v>
      </c>
      <c r="N4614" s="19" t="s">
        <v>66</v>
      </c>
      <c r="O4614" s="19" t="s">
        <v>141</v>
      </c>
      <c r="P4614" s="19"/>
      <c r="Q4614" s="98">
        <f>588+1162</f>
        <v>1750</v>
      </c>
      <c r="R4614" s="19">
        <f>+P4613-Q4613-Q4614</f>
        <v>-52</v>
      </c>
      <c r="S4614" s="274">
        <v>1030</v>
      </c>
      <c r="T4614" s="19" t="s">
        <v>42</v>
      </c>
      <c r="U4614" s="102" t="s">
        <v>1334</v>
      </c>
      <c r="V4614" s="101">
        <v>45247</v>
      </c>
      <c r="W4614" s="17" t="s">
        <v>44</v>
      </c>
      <c r="X4614" s="17"/>
      <c r="Y4614" s="68">
        <v>45292</v>
      </c>
      <c r="Z4614" s="17" t="s">
        <v>191</v>
      </c>
      <c r="AA4614" s="17" t="s">
        <v>46</v>
      </c>
      <c r="AB4614" s="17" t="s">
        <v>1337</v>
      </c>
      <c r="AC4614" s="217">
        <v>45400</v>
      </c>
      <c r="AD4614" s="65">
        <v>1563</v>
      </c>
      <c r="AE4614" s="17" t="s">
        <v>74</v>
      </c>
      <c r="AF4614" s="17"/>
      <c r="AG4614" s="17"/>
      <c r="AH4614" s="17"/>
      <c r="AI4614" s="17"/>
      <c r="AJ4614" s="17"/>
      <c r="AK4614" s="17"/>
      <c r="AL4614" s="17"/>
      <c r="AM4614" s="17"/>
      <c r="AN4614" s="17"/>
      <c r="AO4614" s="17"/>
      <c r="AP4614" s="17"/>
      <c r="AQ4614" s="17"/>
      <c r="AR4614" s="17"/>
    </row>
    <row r="4615" s="21" customFormat="1" ht="15.6" hidden="1" spans="1:44">
      <c r="A4615" s="17" t="s">
        <v>34</v>
      </c>
      <c r="B4615" s="19">
        <v>957</v>
      </c>
      <c r="C4615" s="183">
        <v>45225</v>
      </c>
      <c r="D4615" s="17" t="s">
        <v>52</v>
      </c>
      <c r="E4615" s="17" t="s">
        <v>1113</v>
      </c>
      <c r="F4615" s="17" t="s">
        <v>54</v>
      </c>
      <c r="G4615" s="17"/>
      <c r="H4615" s="19" t="s">
        <v>1114</v>
      </c>
      <c r="I4615" s="19"/>
      <c r="J4615" s="17" t="s">
        <v>82</v>
      </c>
      <c r="K4615" s="19">
        <v>455</v>
      </c>
      <c r="L4615" s="19">
        <v>80</v>
      </c>
      <c r="M4615" s="19">
        <v>2200</v>
      </c>
      <c r="N4615" s="19" t="s">
        <v>66</v>
      </c>
      <c r="O4615" s="19" t="s">
        <v>141</v>
      </c>
      <c r="P4615" s="19">
        <v>1929</v>
      </c>
      <c r="Q4615" s="98">
        <v>1309</v>
      </c>
      <c r="S4615" s="274">
        <v>1030</v>
      </c>
      <c r="T4615" s="19" t="s">
        <v>42</v>
      </c>
      <c r="U4615" s="102" t="s">
        <v>1334</v>
      </c>
      <c r="V4615" s="101">
        <v>45247</v>
      </c>
      <c r="W4615" s="17" t="s">
        <v>44</v>
      </c>
      <c r="X4615" s="17"/>
      <c r="Y4615" s="68">
        <v>45292</v>
      </c>
      <c r="Z4615" s="17" t="s">
        <v>191</v>
      </c>
      <c r="AA4615" s="17" t="s">
        <v>46</v>
      </c>
      <c r="AB4615" s="17" t="s">
        <v>1245</v>
      </c>
      <c r="AC4615" s="66">
        <v>45379</v>
      </c>
      <c r="AD4615" s="65">
        <v>1546</v>
      </c>
      <c r="AE4615" s="17" t="s">
        <v>74</v>
      </c>
      <c r="AF4615" s="17"/>
      <c r="AG4615" s="17"/>
      <c r="AH4615" s="17"/>
      <c r="AI4615" s="17"/>
      <c r="AJ4615" s="17"/>
      <c r="AK4615" s="17"/>
      <c r="AL4615" s="17"/>
      <c r="AM4615" s="17"/>
      <c r="AN4615" s="17"/>
      <c r="AO4615" s="17"/>
      <c r="AP4615" s="17"/>
      <c r="AQ4615" s="17"/>
      <c r="AR4615" s="17"/>
    </row>
    <row r="4616" s="21" customFormat="1" ht="15.6" hidden="1" spans="1:44">
      <c r="A4616" s="17" t="s">
        <v>34</v>
      </c>
      <c r="B4616" s="19">
        <v>957</v>
      </c>
      <c r="C4616" s="183">
        <v>45225</v>
      </c>
      <c r="D4616" s="17" t="s">
        <v>52</v>
      </c>
      <c r="E4616" s="17" t="s">
        <v>1113</v>
      </c>
      <c r="F4616" s="17" t="s">
        <v>54</v>
      </c>
      <c r="G4616" s="17"/>
      <c r="H4616" s="19" t="s">
        <v>1114</v>
      </c>
      <c r="I4616" s="19"/>
      <c r="J4616" s="17" t="s">
        <v>82</v>
      </c>
      <c r="K4616" s="19">
        <v>455</v>
      </c>
      <c r="L4616" s="19">
        <v>80</v>
      </c>
      <c r="M4616" s="19">
        <v>2200</v>
      </c>
      <c r="N4616" s="19" t="s">
        <v>66</v>
      </c>
      <c r="O4616" s="19" t="s">
        <v>141</v>
      </c>
      <c r="P4616" s="19"/>
      <c r="Q4616" s="98">
        <v>661</v>
      </c>
      <c r="R4616" s="19">
        <f>+P4615-Q4615-Q4616</f>
        <v>-41</v>
      </c>
      <c r="S4616" s="274">
        <f>1030+80-20</f>
        <v>1090</v>
      </c>
      <c r="T4616" s="19" t="s">
        <v>42</v>
      </c>
      <c r="U4616" s="102" t="s">
        <v>1334</v>
      </c>
      <c r="V4616" s="101">
        <v>45247</v>
      </c>
      <c r="W4616" s="17" t="s">
        <v>69</v>
      </c>
      <c r="X4616" s="17"/>
      <c r="Y4616" s="68">
        <v>45292</v>
      </c>
      <c r="Z4616" s="17" t="s">
        <v>191</v>
      </c>
      <c r="AA4616" s="17" t="s">
        <v>46</v>
      </c>
      <c r="AB4616" s="17" t="s">
        <v>1345</v>
      </c>
      <c r="AC4616" s="217">
        <v>45443</v>
      </c>
      <c r="AD4616" s="65">
        <v>1580</v>
      </c>
      <c r="AE4616" s="17" t="s">
        <v>74</v>
      </c>
      <c r="AF4616" s="17"/>
      <c r="AG4616" s="17"/>
      <c r="AH4616" s="17"/>
      <c r="AI4616" s="17"/>
      <c r="AJ4616" s="17"/>
      <c r="AK4616" s="17"/>
      <c r="AL4616" s="17"/>
      <c r="AM4616" s="17"/>
      <c r="AN4616" s="17"/>
      <c r="AO4616" s="17"/>
      <c r="AP4616" s="17"/>
      <c r="AQ4616" s="17"/>
      <c r="AR4616" s="17"/>
    </row>
    <row r="4617" s="21" customFormat="1" ht="15.6" hidden="1" spans="1:44">
      <c r="A4617" s="17" t="s">
        <v>34</v>
      </c>
      <c r="B4617" s="19">
        <v>957</v>
      </c>
      <c r="C4617" s="183">
        <v>45225</v>
      </c>
      <c r="D4617" s="17" t="s">
        <v>52</v>
      </c>
      <c r="E4617" s="17" t="s">
        <v>1113</v>
      </c>
      <c r="F4617" s="17" t="s">
        <v>54</v>
      </c>
      <c r="G4617" s="17"/>
      <c r="H4617" s="19" t="s">
        <v>1114</v>
      </c>
      <c r="I4617" s="19"/>
      <c r="J4617" s="17" t="s">
        <v>82</v>
      </c>
      <c r="K4617" s="19">
        <v>505</v>
      </c>
      <c r="L4617" s="19">
        <v>80</v>
      </c>
      <c r="M4617" s="19">
        <v>2200</v>
      </c>
      <c r="N4617" s="19" t="s">
        <v>66</v>
      </c>
      <c r="O4617" s="19" t="s">
        <v>141</v>
      </c>
      <c r="P4617" s="19">
        <v>2141</v>
      </c>
      <c r="Q4617" s="98">
        <v>1453</v>
      </c>
      <c r="S4617" s="274">
        <v>1030</v>
      </c>
      <c r="T4617" s="19" t="s">
        <v>42</v>
      </c>
      <c r="U4617" s="102" t="s">
        <v>1334</v>
      </c>
      <c r="V4617" s="101">
        <v>45247</v>
      </c>
      <c r="W4617" s="17" t="s">
        <v>44</v>
      </c>
      <c r="X4617" s="17"/>
      <c r="Y4617" s="68">
        <v>45292</v>
      </c>
      <c r="Z4617" s="17" t="s">
        <v>191</v>
      </c>
      <c r="AA4617" s="17" t="s">
        <v>46</v>
      </c>
      <c r="AB4617" s="17" t="s">
        <v>1245</v>
      </c>
      <c r="AC4617" s="66">
        <v>45379</v>
      </c>
      <c r="AD4617" s="65">
        <v>1546</v>
      </c>
      <c r="AE4617" s="17" t="s">
        <v>74</v>
      </c>
      <c r="AF4617" s="17"/>
      <c r="AG4617" s="17"/>
      <c r="AH4617" s="17"/>
      <c r="AI4617" s="17"/>
      <c r="AJ4617" s="17"/>
      <c r="AK4617" s="17"/>
      <c r="AL4617" s="17"/>
      <c r="AM4617" s="17"/>
      <c r="AN4617" s="17"/>
      <c r="AO4617" s="17"/>
      <c r="AP4617" s="17"/>
      <c r="AQ4617" s="17"/>
      <c r="AR4617" s="17"/>
    </row>
    <row r="4618" s="21" customFormat="1" ht="15.6" hidden="1" spans="1:44">
      <c r="A4618" s="17" t="s">
        <v>34</v>
      </c>
      <c r="B4618" s="19">
        <v>957</v>
      </c>
      <c r="C4618" s="183">
        <v>45225</v>
      </c>
      <c r="D4618" s="17" t="s">
        <v>52</v>
      </c>
      <c r="E4618" s="17" t="s">
        <v>1113</v>
      </c>
      <c r="F4618" s="17" t="s">
        <v>54</v>
      </c>
      <c r="G4618" s="17"/>
      <c r="H4618" s="19" t="s">
        <v>1114</v>
      </c>
      <c r="I4618" s="19"/>
      <c r="J4618" s="17" t="s">
        <v>82</v>
      </c>
      <c r="K4618" s="19">
        <v>505</v>
      </c>
      <c r="L4618" s="19">
        <v>80</v>
      </c>
      <c r="M4618" s="19">
        <v>2200</v>
      </c>
      <c r="N4618" s="19" t="s">
        <v>66</v>
      </c>
      <c r="O4618" s="19" t="s">
        <v>141</v>
      </c>
      <c r="P4618" s="19"/>
      <c r="Q4618" s="98">
        <v>728</v>
      </c>
      <c r="R4618" s="19">
        <f>+P4617-Q4617-Q4618</f>
        <v>-40</v>
      </c>
      <c r="S4618" s="274">
        <f>1030+80-20</f>
        <v>1090</v>
      </c>
      <c r="T4618" s="19" t="s">
        <v>42</v>
      </c>
      <c r="U4618" s="102" t="s">
        <v>1334</v>
      </c>
      <c r="V4618" s="101">
        <v>45247</v>
      </c>
      <c r="W4618" s="17" t="s">
        <v>69</v>
      </c>
      <c r="X4618" s="17"/>
      <c r="Y4618" s="68">
        <v>45292</v>
      </c>
      <c r="Z4618" s="17" t="s">
        <v>191</v>
      </c>
      <c r="AA4618" s="17" t="s">
        <v>46</v>
      </c>
      <c r="AB4618" s="17" t="s">
        <v>1339</v>
      </c>
      <c r="AC4618" s="217">
        <v>45433</v>
      </c>
      <c r="AD4618" s="65">
        <v>1570</v>
      </c>
      <c r="AE4618" s="17" t="s">
        <v>74</v>
      </c>
      <c r="AF4618" s="17"/>
      <c r="AG4618" s="17"/>
      <c r="AH4618" s="17"/>
      <c r="AI4618" s="17"/>
      <c r="AJ4618" s="17"/>
      <c r="AK4618" s="17"/>
      <c r="AL4618" s="17"/>
      <c r="AM4618" s="17"/>
      <c r="AN4618" s="17"/>
      <c r="AO4618" s="17"/>
      <c r="AP4618" s="17"/>
      <c r="AQ4618" s="17"/>
      <c r="AR4618" s="17"/>
    </row>
    <row r="4619" s="21" customFormat="1" ht="15.6" hidden="1" spans="1:44">
      <c r="A4619" s="17" t="s">
        <v>34</v>
      </c>
      <c r="B4619" s="19">
        <v>957</v>
      </c>
      <c r="C4619" s="183">
        <v>45225</v>
      </c>
      <c r="D4619" s="17" t="s">
        <v>52</v>
      </c>
      <c r="E4619" s="17" t="s">
        <v>1113</v>
      </c>
      <c r="F4619" s="17" t="s">
        <v>54</v>
      </c>
      <c r="G4619" s="17"/>
      <c r="H4619" s="19" t="s">
        <v>1114</v>
      </c>
      <c r="I4619" s="19"/>
      <c r="J4619" s="17" t="s">
        <v>82</v>
      </c>
      <c r="K4619" s="19">
        <v>205</v>
      </c>
      <c r="L4619" s="19">
        <v>105</v>
      </c>
      <c r="M4619" s="19">
        <v>2200</v>
      </c>
      <c r="N4619" s="19" t="s">
        <v>66</v>
      </c>
      <c r="O4619" s="19" t="s">
        <v>141</v>
      </c>
      <c r="P4619" s="19">
        <v>1141</v>
      </c>
      <c r="Q4619" s="19">
        <v>788</v>
      </c>
      <c r="S4619" s="274">
        <f>1030+80-20</f>
        <v>1090</v>
      </c>
      <c r="T4619" s="19" t="s">
        <v>42</v>
      </c>
      <c r="U4619" s="102" t="s">
        <v>1334</v>
      </c>
      <c r="V4619" s="101">
        <v>45247</v>
      </c>
      <c r="W4619" s="17" t="s">
        <v>69</v>
      </c>
      <c r="X4619" s="17"/>
      <c r="Y4619" s="68">
        <v>45292</v>
      </c>
      <c r="Z4619" s="17" t="s">
        <v>191</v>
      </c>
      <c r="AA4619" s="17" t="s">
        <v>46</v>
      </c>
      <c r="AB4619" s="17" t="s">
        <v>1335</v>
      </c>
      <c r="AC4619" s="217">
        <v>45443</v>
      </c>
      <c r="AD4619" s="65">
        <v>1581</v>
      </c>
      <c r="AE4619" s="17" t="s">
        <v>74</v>
      </c>
      <c r="AF4619" s="17"/>
      <c r="AG4619" s="17"/>
      <c r="AH4619" s="17"/>
      <c r="AI4619" s="17"/>
      <c r="AJ4619" s="17"/>
      <c r="AK4619" s="17"/>
      <c r="AL4619" s="17"/>
      <c r="AM4619" s="17"/>
      <c r="AN4619" s="17"/>
      <c r="AO4619" s="17"/>
      <c r="AP4619" s="17"/>
      <c r="AQ4619" s="17"/>
      <c r="AR4619" s="17"/>
    </row>
    <row r="4620" s="21" customFormat="1" ht="15.6" hidden="1" spans="1:44">
      <c r="A4620" s="17" t="s">
        <v>34</v>
      </c>
      <c r="B4620" s="19">
        <v>957</v>
      </c>
      <c r="C4620" s="183">
        <v>45225</v>
      </c>
      <c r="D4620" s="17" t="s">
        <v>52</v>
      </c>
      <c r="E4620" s="17" t="s">
        <v>1113</v>
      </c>
      <c r="F4620" s="17" t="s">
        <v>54</v>
      </c>
      <c r="G4620" s="17"/>
      <c r="H4620" s="19" t="s">
        <v>1114</v>
      </c>
      <c r="I4620" s="19"/>
      <c r="J4620" s="17" t="s">
        <v>82</v>
      </c>
      <c r="K4620" s="19">
        <v>205</v>
      </c>
      <c r="L4620" s="19">
        <v>105</v>
      </c>
      <c r="M4620" s="19">
        <v>2200</v>
      </c>
      <c r="N4620" s="19" t="s">
        <v>66</v>
      </c>
      <c r="O4620" s="19" t="s">
        <v>141</v>
      </c>
      <c r="P4620" s="19"/>
      <c r="Q4620" s="146">
        <v>391</v>
      </c>
      <c r="R4620" s="19">
        <f>+P4619-Q4619-Q4620</f>
        <v>-38</v>
      </c>
      <c r="S4620" s="274">
        <f>1030+80</f>
        <v>1110</v>
      </c>
      <c r="T4620" s="19" t="s">
        <v>42</v>
      </c>
      <c r="U4620" s="102" t="s">
        <v>1334</v>
      </c>
      <c r="V4620" s="101">
        <v>45247</v>
      </c>
      <c r="W4620" s="17" t="s">
        <v>69</v>
      </c>
      <c r="X4620" s="17"/>
      <c r="Y4620" s="68">
        <v>45292</v>
      </c>
      <c r="Z4620" s="17" t="s">
        <v>191</v>
      </c>
      <c r="AA4620" s="17" t="s">
        <v>46</v>
      </c>
      <c r="AB4620" s="17" t="s">
        <v>1340</v>
      </c>
      <c r="AC4620" s="217">
        <v>45498</v>
      </c>
      <c r="AD4620" s="65">
        <v>1603</v>
      </c>
      <c r="AE4620" s="17" t="s">
        <v>74</v>
      </c>
      <c r="AF4620" s="17"/>
      <c r="AG4620" s="17"/>
      <c r="AH4620" s="17"/>
      <c r="AI4620" s="17"/>
      <c r="AJ4620" s="17"/>
      <c r="AK4620" s="17"/>
      <c r="AL4620" s="17"/>
      <c r="AM4620" s="17"/>
      <c r="AN4620" s="17"/>
      <c r="AO4620" s="17"/>
      <c r="AP4620" s="17"/>
      <c r="AQ4620" s="17"/>
      <c r="AR4620" s="17"/>
    </row>
    <row r="4621" s="21" customFormat="1" ht="15.6" hidden="1" spans="1:44">
      <c r="A4621" s="17" t="s">
        <v>34</v>
      </c>
      <c r="B4621" s="19">
        <v>957</v>
      </c>
      <c r="C4621" s="183">
        <v>45225</v>
      </c>
      <c r="D4621" s="17" t="s">
        <v>52</v>
      </c>
      <c r="E4621" s="17" t="s">
        <v>1113</v>
      </c>
      <c r="F4621" s="17" t="s">
        <v>54</v>
      </c>
      <c r="G4621" s="17"/>
      <c r="H4621" s="19" t="s">
        <v>1114</v>
      </c>
      <c r="I4621" s="19"/>
      <c r="J4621" s="17" t="s">
        <v>82</v>
      </c>
      <c r="K4621" s="19">
        <v>255</v>
      </c>
      <c r="L4621" s="19">
        <v>105</v>
      </c>
      <c r="M4621" s="19">
        <v>2200</v>
      </c>
      <c r="N4621" s="19" t="s">
        <v>66</v>
      </c>
      <c r="O4621" s="19" t="s">
        <v>141</v>
      </c>
      <c r="P4621" s="19">
        <v>1892</v>
      </c>
      <c r="Q4621" s="19">
        <v>494</v>
      </c>
      <c r="S4621" s="274">
        <v>1030</v>
      </c>
      <c r="T4621" s="19" t="s">
        <v>42</v>
      </c>
      <c r="U4621" s="102" t="s">
        <v>1334</v>
      </c>
      <c r="V4621" s="101">
        <v>45247</v>
      </c>
      <c r="W4621" s="17" t="s">
        <v>44</v>
      </c>
      <c r="X4621" s="17"/>
      <c r="Y4621" s="68">
        <v>45292</v>
      </c>
      <c r="Z4621" s="17" t="s">
        <v>191</v>
      </c>
      <c r="AA4621" s="17" t="s">
        <v>46</v>
      </c>
      <c r="AB4621" s="17" t="s">
        <v>1341</v>
      </c>
      <c r="AC4621" s="217">
        <v>45400</v>
      </c>
      <c r="AD4621" s="65">
        <v>1562</v>
      </c>
      <c r="AE4621" s="17" t="s">
        <v>74</v>
      </c>
      <c r="AF4621" s="17"/>
      <c r="AG4621" s="17"/>
      <c r="AH4621" s="17"/>
      <c r="AI4621" s="17"/>
      <c r="AJ4621" s="17"/>
      <c r="AK4621" s="17"/>
      <c r="AL4621" s="17"/>
      <c r="AM4621" s="17"/>
      <c r="AN4621" s="17"/>
      <c r="AO4621" s="17"/>
      <c r="AP4621" s="17"/>
      <c r="AQ4621" s="17"/>
      <c r="AR4621" s="17"/>
    </row>
    <row r="4622" s="21" customFormat="1" ht="15.6" hidden="1" spans="1:44">
      <c r="A4622" s="17" t="s">
        <v>34</v>
      </c>
      <c r="B4622" s="19">
        <v>957</v>
      </c>
      <c r="C4622" s="183">
        <v>45225</v>
      </c>
      <c r="D4622" s="17" t="s">
        <v>52</v>
      </c>
      <c r="E4622" s="17" t="s">
        <v>1113</v>
      </c>
      <c r="F4622" s="17" t="s">
        <v>54</v>
      </c>
      <c r="G4622" s="17"/>
      <c r="H4622" s="19" t="s">
        <v>1114</v>
      </c>
      <c r="I4622" s="19"/>
      <c r="J4622" s="17" t="s">
        <v>82</v>
      </c>
      <c r="K4622" s="19">
        <v>255</v>
      </c>
      <c r="L4622" s="19">
        <v>105</v>
      </c>
      <c r="M4622" s="19">
        <v>2200</v>
      </c>
      <c r="N4622" s="19" t="s">
        <v>66</v>
      </c>
      <c r="O4622" s="19" t="s">
        <v>141</v>
      </c>
      <c r="P4622" s="19"/>
      <c r="Q4622" s="19">
        <v>1469</v>
      </c>
      <c r="R4622" s="19">
        <f>+P4621-Q4621-Q4622</f>
        <v>-71</v>
      </c>
      <c r="S4622" s="274">
        <f>1030+80-20</f>
        <v>1090</v>
      </c>
      <c r="T4622" s="19" t="s">
        <v>42</v>
      </c>
      <c r="U4622" s="102" t="s">
        <v>1334</v>
      </c>
      <c r="V4622" s="101">
        <v>45247</v>
      </c>
      <c r="W4622" s="17" t="s">
        <v>69</v>
      </c>
      <c r="X4622" s="17"/>
      <c r="Y4622" s="68">
        <v>45292</v>
      </c>
      <c r="Z4622" s="17" t="s">
        <v>191</v>
      </c>
      <c r="AA4622" s="17" t="s">
        <v>46</v>
      </c>
      <c r="AB4622" s="17" t="s">
        <v>1339</v>
      </c>
      <c r="AC4622" s="217">
        <v>45433</v>
      </c>
      <c r="AD4622" s="65">
        <v>1570</v>
      </c>
      <c r="AE4622" s="17" t="s">
        <v>74</v>
      </c>
      <c r="AF4622" s="17"/>
      <c r="AG4622" s="17"/>
      <c r="AH4622" s="17"/>
      <c r="AI4622" s="17"/>
      <c r="AJ4622" s="17"/>
      <c r="AK4622" s="17"/>
      <c r="AL4622" s="17"/>
      <c r="AM4622" s="17"/>
      <c r="AN4622" s="17"/>
      <c r="AO4622" s="17"/>
      <c r="AP4622" s="17"/>
      <c r="AQ4622" s="17"/>
      <c r="AR4622" s="17"/>
    </row>
    <row r="4623" s="21" customFormat="1" ht="15.6" hidden="1" spans="1:44">
      <c r="A4623" s="17" t="s">
        <v>34</v>
      </c>
      <c r="B4623" s="19">
        <v>957</v>
      </c>
      <c r="C4623" s="183">
        <v>45225</v>
      </c>
      <c r="D4623" s="17" t="s">
        <v>52</v>
      </c>
      <c r="E4623" s="17" t="s">
        <v>1113</v>
      </c>
      <c r="F4623" s="17" t="s">
        <v>54</v>
      </c>
      <c r="G4623" s="17"/>
      <c r="H4623" s="19" t="s">
        <v>1114</v>
      </c>
      <c r="I4623" s="19"/>
      <c r="J4623" s="17" t="s">
        <v>82</v>
      </c>
      <c r="K4623" s="19">
        <v>305</v>
      </c>
      <c r="L4623" s="19">
        <v>105</v>
      </c>
      <c r="M4623" s="19">
        <v>2200</v>
      </c>
      <c r="N4623" s="19" t="s">
        <v>66</v>
      </c>
      <c r="O4623" s="19" t="s">
        <v>141</v>
      </c>
      <c r="P4623" s="19">
        <v>1697</v>
      </c>
      <c r="Q4623" s="19">
        <v>583</v>
      </c>
      <c r="R4623" s="254"/>
      <c r="S4623" s="274">
        <v>1030</v>
      </c>
      <c r="T4623" s="19" t="s">
        <v>42</v>
      </c>
      <c r="U4623" s="102" t="s">
        <v>1334</v>
      </c>
      <c r="V4623" s="101">
        <v>45247</v>
      </c>
      <c r="W4623" s="17" t="s">
        <v>44</v>
      </c>
      <c r="X4623" s="17"/>
      <c r="Y4623" s="68">
        <v>45292</v>
      </c>
      <c r="Z4623" s="17" t="s">
        <v>191</v>
      </c>
      <c r="AA4623" s="17" t="s">
        <v>46</v>
      </c>
      <c r="AB4623" s="17" t="s">
        <v>1341</v>
      </c>
      <c r="AC4623" s="217">
        <v>45400</v>
      </c>
      <c r="AD4623" s="65">
        <v>1562</v>
      </c>
      <c r="AE4623" s="17" t="s">
        <v>74</v>
      </c>
      <c r="AF4623" s="17"/>
      <c r="AG4623" s="17"/>
      <c r="AH4623" s="17"/>
      <c r="AI4623" s="17"/>
      <c r="AJ4623" s="17"/>
      <c r="AK4623" s="17"/>
      <c r="AL4623" s="17"/>
      <c r="AM4623" s="17"/>
      <c r="AN4623" s="17"/>
      <c r="AO4623" s="17"/>
      <c r="AP4623" s="17"/>
      <c r="AQ4623" s="17"/>
      <c r="AR4623" s="17"/>
    </row>
    <row r="4624" s="21" customFormat="1" ht="15.6" hidden="1" spans="1:44">
      <c r="A4624" s="17" t="s">
        <v>34</v>
      </c>
      <c r="B4624" s="19">
        <v>957</v>
      </c>
      <c r="C4624" s="183">
        <v>45225</v>
      </c>
      <c r="D4624" s="17" t="s">
        <v>52</v>
      </c>
      <c r="E4624" s="17" t="s">
        <v>1113</v>
      </c>
      <c r="F4624" s="17" t="s">
        <v>54</v>
      </c>
      <c r="G4624" s="17"/>
      <c r="H4624" s="19" t="s">
        <v>1114</v>
      </c>
      <c r="I4624" s="19"/>
      <c r="J4624" s="17" t="s">
        <v>82</v>
      </c>
      <c r="K4624" s="19">
        <v>305</v>
      </c>
      <c r="L4624" s="19">
        <v>105</v>
      </c>
      <c r="M4624" s="19">
        <v>2200</v>
      </c>
      <c r="N4624" s="19" t="s">
        <v>66</v>
      </c>
      <c r="O4624" s="19" t="s">
        <v>141</v>
      </c>
      <c r="P4624" s="19"/>
      <c r="Q4624" s="19">
        <v>580</v>
      </c>
      <c r="S4624" s="310">
        <f>1030+40</f>
        <v>1070</v>
      </c>
      <c r="T4624" s="19" t="s">
        <v>42</v>
      </c>
      <c r="U4624" s="102" t="s">
        <v>1334</v>
      </c>
      <c r="V4624" s="101">
        <v>45247</v>
      </c>
      <c r="W4624" s="17" t="s">
        <v>69</v>
      </c>
      <c r="X4624" s="17"/>
      <c r="Y4624" s="68">
        <v>45292</v>
      </c>
      <c r="Z4624" s="17" t="s">
        <v>191</v>
      </c>
      <c r="AA4624" s="17" t="s">
        <v>46</v>
      </c>
      <c r="AB4624" s="17" t="s">
        <v>1343</v>
      </c>
      <c r="AC4624" s="217">
        <v>45433</v>
      </c>
      <c r="AD4624" s="65">
        <v>1575</v>
      </c>
      <c r="AE4624" s="17" t="s">
        <v>74</v>
      </c>
      <c r="AF4624" s="17"/>
      <c r="AG4624" s="17"/>
      <c r="AH4624" s="17"/>
      <c r="AI4624" s="17"/>
      <c r="AJ4624" s="17"/>
      <c r="AK4624" s="17"/>
      <c r="AL4624" s="17"/>
      <c r="AM4624" s="17"/>
      <c r="AN4624" s="17"/>
      <c r="AO4624" s="17"/>
      <c r="AP4624" s="17"/>
      <c r="AQ4624" s="17"/>
      <c r="AR4624" s="17"/>
    </row>
    <row r="4625" s="21" customFormat="1" ht="15.6" hidden="1" spans="1:44">
      <c r="A4625" s="17" t="s">
        <v>34</v>
      </c>
      <c r="B4625" s="19">
        <v>957</v>
      </c>
      <c r="C4625" s="183">
        <v>45225</v>
      </c>
      <c r="D4625" s="17" t="s">
        <v>52</v>
      </c>
      <c r="E4625" s="17" t="s">
        <v>1113</v>
      </c>
      <c r="F4625" s="17" t="s">
        <v>54</v>
      </c>
      <c r="G4625" s="17"/>
      <c r="H4625" s="19" t="s">
        <v>1114</v>
      </c>
      <c r="I4625" s="19"/>
      <c r="J4625" s="17" t="s">
        <v>82</v>
      </c>
      <c r="K4625" s="19">
        <v>305</v>
      </c>
      <c r="L4625" s="19">
        <v>105</v>
      </c>
      <c r="M4625" s="19">
        <v>2200</v>
      </c>
      <c r="N4625" s="19" t="s">
        <v>66</v>
      </c>
      <c r="O4625" s="19" t="s">
        <v>141</v>
      </c>
      <c r="P4625" s="19"/>
      <c r="Q4625" s="146">
        <v>575</v>
      </c>
      <c r="R4625" s="19">
        <f>+P4623-Q4623-Q4624-Q4625</f>
        <v>-41</v>
      </c>
      <c r="S4625" s="311">
        <f>1030+80</f>
        <v>1110</v>
      </c>
      <c r="T4625" s="19" t="s">
        <v>42</v>
      </c>
      <c r="U4625" s="102" t="s">
        <v>1334</v>
      </c>
      <c r="V4625" s="101">
        <v>45247</v>
      </c>
      <c r="W4625" s="17" t="s">
        <v>69</v>
      </c>
      <c r="X4625" s="17"/>
      <c r="Y4625" s="68">
        <v>45292</v>
      </c>
      <c r="Z4625" s="17" t="s">
        <v>191</v>
      </c>
      <c r="AA4625" s="17" t="s">
        <v>46</v>
      </c>
      <c r="AB4625" s="17" t="s">
        <v>1340</v>
      </c>
      <c r="AC4625" s="217">
        <v>45498</v>
      </c>
      <c r="AD4625" s="65">
        <v>1603</v>
      </c>
      <c r="AE4625" s="17" t="s">
        <v>74</v>
      </c>
      <c r="AF4625" s="17"/>
      <c r="AG4625" s="17"/>
      <c r="AH4625" s="17"/>
      <c r="AI4625" s="17"/>
      <c r="AJ4625" s="17"/>
      <c r="AK4625" s="17"/>
      <c r="AL4625" s="17"/>
      <c r="AM4625" s="17"/>
      <c r="AN4625" s="17"/>
      <c r="AO4625" s="17"/>
      <c r="AP4625" s="17"/>
      <c r="AQ4625" s="17"/>
      <c r="AR4625" s="17"/>
    </row>
    <row r="4626" s="21" customFormat="1" ht="15.6" hidden="1" spans="1:44">
      <c r="A4626" s="17" t="s">
        <v>34</v>
      </c>
      <c r="B4626" s="19">
        <v>957</v>
      </c>
      <c r="C4626" s="183">
        <v>45225</v>
      </c>
      <c r="D4626" s="17" t="s">
        <v>52</v>
      </c>
      <c r="E4626" s="17" t="s">
        <v>1113</v>
      </c>
      <c r="F4626" s="17" t="s">
        <v>54</v>
      </c>
      <c r="G4626" s="17"/>
      <c r="H4626" s="19" t="s">
        <v>1114</v>
      </c>
      <c r="I4626" s="19"/>
      <c r="J4626" s="17" t="s">
        <v>82</v>
      </c>
      <c r="K4626" s="19">
        <v>355</v>
      </c>
      <c r="L4626" s="19">
        <v>105</v>
      </c>
      <c r="M4626" s="19">
        <v>2200</v>
      </c>
      <c r="N4626" s="19" t="s">
        <v>66</v>
      </c>
      <c r="O4626" s="19" t="s">
        <v>141</v>
      </c>
      <c r="P4626" s="19">
        <v>1975</v>
      </c>
      <c r="Q4626" s="19">
        <v>1359</v>
      </c>
      <c r="S4626" s="274">
        <v>1030</v>
      </c>
      <c r="T4626" s="19" t="s">
        <v>42</v>
      </c>
      <c r="U4626" s="102" t="s">
        <v>1334</v>
      </c>
      <c r="V4626" s="101">
        <v>45247</v>
      </c>
      <c r="W4626" s="17" t="s">
        <v>44</v>
      </c>
      <c r="X4626" s="17"/>
      <c r="Y4626" s="68">
        <v>45292</v>
      </c>
      <c r="Z4626" s="17" t="s">
        <v>191</v>
      </c>
      <c r="AA4626" s="17" t="s">
        <v>46</v>
      </c>
      <c r="AB4626" s="17" t="s">
        <v>1341</v>
      </c>
      <c r="AC4626" s="217">
        <v>45400</v>
      </c>
      <c r="AD4626" s="65">
        <v>1562</v>
      </c>
      <c r="AE4626" s="17" t="s">
        <v>74</v>
      </c>
      <c r="AF4626" s="17"/>
      <c r="AG4626" s="17"/>
      <c r="AH4626" s="17"/>
      <c r="AI4626" s="17"/>
      <c r="AJ4626" s="17"/>
      <c r="AK4626" s="17"/>
      <c r="AL4626" s="17"/>
      <c r="AM4626" s="17"/>
      <c r="AN4626" s="17"/>
      <c r="AO4626" s="17"/>
      <c r="AP4626" s="17"/>
      <c r="AQ4626" s="17"/>
      <c r="AR4626" s="17"/>
    </row>
    <row r="4627" s="21" customFormat="1" ht="15.6" hidden="1" spans="1:44">
      <c r="A4627" s="17" t="s">
        <v>34</v>
      </c>
      <c r="B4627" s="19">
        <v>957</v>
      </c>
      <c r="C4627" s="183">
        <v>45225</v>
      </c>
      <c r="D4627" s="17" t="s">
        <v>52</v>
      </c>
      <c r="E4627" s="17" t="s">
        <v>1113</v>
      </c>
      <c r="F4627" s="17" t="s">
        <v>54</v>
      </c>
      <c r="G4627" s="17"/>
      <c r="H4627" s="19" t="s">
        <v>1114</v>
      </c>
      <c r="I4627" s="19"/>
      <c r="J4627" s="17" t="s">
        <v>82</v>
      </c>
      <c r="K4627" s="19">
        <v>355</v>
      </c>
      <c r="L4627" s="19">
        <v>105</v>
      </c>
      <c r="M4627" s="19">
        <v>2200</v>
      </c>
      <c r="N4627" s="19" t="s">
        <v>66</v>
      </c>
      <c r="O4627" s="19" t="s">
        <v>141</v>
      </c>
      <c r="P4627" s="19"/>
      <c r="Q4627" s="19">
        <v>2031</v>
      </c>
      <c r="R4627" s="19">
        <f>+P4626-Q4626-Q4627</f>
        <v>-1415</v>
      </c>
      <c r="S4627" s="274">
        <f>1030+80-20</f>
        <v>1090</v>
      </c>
      <c r="T4627" s="19" t="s">
        <v>42</v>
      </c>
      <c r="U4627" s="102" t="s">
        <v>1334</v>
      </c>
      <c r="V4627" s="101">
        <v>45247</v>
      </c>
      <c r="W4627" s="17" t="s">
        <v>69</v>
      </c>
      <c r="X4627" s="17"/>
      <c r="Y4627" s="68">
        <v>45292</v>
      </c>
      <c r="Z4627" s="17" t="s">
        <v>191</v>
      </c>
      <c r="AA4627" s="17" t="s">
        <v>46</v>
      </c>
      <c r="AB4627" s="17" t="s">
        <v>1345</v>
      </c>
      <c r="AC4627" s="217">
        <v>45443</v>
      </c>
      <c r="AD4627" s="65">
        <v>1580</v>
      </c>
      <c r="AE4627" s="17" t="s">
        <v>74</v>
      </c>
      <c r="AF4627" s="17"/>
      <c r="AG4627" s="17"/>
      <c r="AH4627" s="17"/>
      <c r="AI4627" s="17"/>
      <c r="AJ4627" s="17"/>
      <c r="AK4627" s="17"/>
      <c r="AL4627" s="17"/>
      <c r="AM4627" s="17"/>
      <c r="AN4627" s="17"/>
      <c r="AO4627" s="17"/>
      <c r="AP4627" s="17"/>
      <c r="AQ4627" s="17"/>
      <c r="AR4627" s="17"/>
    </row>
    <row r="4628" s="21" customFormat="1" ht="15.6" hidden="1" spans="1:44">
      <c r="A4628" s="17" t="s">
        <v>34</v>
      </c>
      <c r="B4628" s="19">
        <v>957</v>
      </c>
      <c r="C4628" s="183">
        <v>45225</v>
      </c>
      <c r="D4628" s="17" t="s">
        <v>52</v>
      </c>
      <c r="E4628" s="17" t="s">
        <v>1113</v>
      </c>
      <c r="F4628" s="17" t="s">
        <v>54</v>
      </c>
      <c r="G4628" s="17"/>
      <c r="H4628" s="19" t="s">
        <v>1114</v>
      </c>
      <c r="I4628" s="19"/>
      <c r="J4628" s="17" t="s">
        <v>82</v>
      </c>
      <c r="K4628" s="19">
        <v>455</v>
      </c>
      <c r="L4628" s="19">
        <v>105</v>
      </c>
      <c r="M4628" s="19">
        <v>2200</v>
      </c>
      <c r="N4628" s="19" t="s">
        <v>66</v>
      </c>
      <c r="O4628" s="19" t="s">
        <v>141</v>
      </c>
      <c r="P4628" s="19">
        <v>2531</v>
      </c>
      <c r="Q4628" s="19">
        <v>862</v>
      </c>
      <c r="R4628" s="254"/>
      <c r="S4628" s="274">
        <v>1030</v>
      </c>
      <c r="T4628" s="19" t="s">
        <v>42</v>
      </c>
      <c r="U4628" s="102" t="s">
        <v>1334</v>
      </c>
      <c r="V4628" s="101">
        <v>45247</v>
      </c>
      <c r="W4628" s="17" t="s">
        <v>44</v>
      </c>
      <c r="X4628" s="17"/>
      <c r="Y4628" s="68">
        <v>45292</v>
      </c>
      <c r="Z4628" s="17" t="s">
        <v>191</v>
      </c>
      <c r="AA4628" s="17" t="s">
        <v>46</v>
      </c>
      <c r="AB4628" s="17" t="s">
        <v>1337</v>
      </c>
      <c r="AC4628" s="217">
        <v>45400</v>
      </c>
      <c r="AD4628" s="65">
        <v>1563</v>
      </c>
      <c r="AE4628" s="17" t="s">
        <v>74</v>
      </c>
      <c r="AF4628" s="17"/>
      <c r="AG4628" s="17"/>
      <c r="AH4628" s="17"/>
      <c r="AI4628" s="17"/>
      <c r="AJ4628" s="17"/>
      <c r="AK4628" s="17"/>
      <c r="AL4628" s="17"/>
      <c r="AM4628" s="17"/>
      <c r="AN4628" s="17"/>
      <c r="AO4628" s="17"/>
      <c r="AP4628" s="17"/>
      <c r="AQ4628" s="17"/>
      <c r="AR4628" s="17"/>
    </row>
    <row r="4629" s="21" customFormat="1" ht="15.6" hidden="1" spans="1:44">
      <c r="A4629" s="17" t="s">
        <v>34</v>
      </c>
      <c r="B4629" s="19">
        <v>957</v>
      </c>
      <c r="C4629" s="183">
        <v>45225</v>
      </c>
      <c r="D4629" s="17" t="s">
        <v>52</v>
      </c>
      <c r="E4629" s="17" t="s">
        <v>1113</v>
      </c>
      <c r="F4629" s="17" t="s">
        <v>54</v>
      </c>
      <c r="G4629" s="17"/>
      <c r="H4629" s="19" t="s">
        <v>1114</v>
      </c>
      <c r="I4629" s="19"/>
      <c r="J4629" s="17" t="s">
        <v>82</v>
      </c>
      <c r="K4629" s="19">
        <v>455</v>
      </c>
      <c r="L4629" s="19">
        <v>105</v>
      </c>
      <c r="M4629" s="19">
        <v>2200</v>
      </c>
      <c r="N4629" s="19" t="s">
        <v>66</v>
      </c>
      <c r="O4629" s="19" t="s">
        <v>141</v>
      </c>
      <c r="P4629" s="19"/>
      <c r="Q4629" s="19">
        <v>1719</v>
      </c>
      <c r="S4629" s="310">
        <f>1030+40</f>
        <v>1070</v>
      </c>
      <c r="T4629" s="19" t="s">
        <v>42</v>
      </c>
      <c r="U4629" s="102" t="s">
        <v>1334</v>
      </c>
      <c r="V4629" s="101">
        <v>45247</v>
      </c>
      <c r="W4629" s="17" t="s">
        <v>69</v>
      </c>
      <c r="X4629" s="17"/>
      <c r="Y4629" s="68">
        <v>45292</v>
      </c>
      <c r="Z4629" s="17" t="s">
        <v>191</v>
      </c>
      <c r="AA4629" s="17" t="s">
        <v>46</v>
      </c>
      <c r="AB4629" s="17" t="s">
        <v>1343</v>
      </c>
      <c r="AC4629" s="217">
        <v>45433</v>
      </c>
      <c r="AD4629" s="65">
        <v>1575</v>
      </c>
      <c r="AE4629" s="17" t="s">
        <v>74</v>
      </c>
      <c r="AF4629" s="17"/>
      <c r="AG4629" s="17"/>
      <c r="AH4629" s="17"/>
      <c r="AI4629" s="17"/>
      <c r="AJ4629" s="17"/>
      <c r="AK4629" s="17"/>
      <c r="AL4629" s="17"/>
      <c r="AM4629" s="17"/>
      <c r="AN4629" s="17"/>
      <c r="AO4629" s="17"/>
      <c r="AP4629" s="17"/>
      <c r="AQ4629" s="17"/>
      <c r="AR4629" s="17"/>
    </row>
    <row r="4630" s="21" customFormat="1" ht="15.6" hidden="1" spans="1:44">
      <c r="A4630" s="17" t="s">
        <v>34</v>
      </c>
      <c r="B4630" s="19">
        <v>957</v>
      </c>
      <c r="C4630" s="183">
        <v>45225</v>
      </c>
      <c r="D4630" s="17" t="s">
        <v>52</v>
      </c>
      <c r="E4630" s="17" t="s">
        <v>1113</v>
      </c>
      <c r="F4630" s="17" t="s">
        <v>54</v>
      </c>
      <c r="G4630" s="17"/>
      <c r="H4630" s="19" t="s">
        <v>1114</v>
      </c>
      <c r="I4630" s="19"/>
      <c r="J4630" s="17" t="s">
        <v>82</v>
      </c>
      <c r="K4630" s="19">
        <v>455</v>
      </c>
      <c r="L4630" s="19">
        <v>105</v>
      </c>
      <c r="M4630" s="19">
        <v>2200</v>
      </c>
      <c r="N4630" s="19" t="s">
        <v>66</v>
      </c>
      <c r="O4630" s="19" t="s">
        <v>141</v>
      </c>
      <c r="P4630" s="19"/>
      <c r="Q4630" s="19">
        <v>864</v>
      </c>
      <c r="R4630" s="19">
        <f>+P4628-Q4628-Q4629-Q4630</f>
        <v>-914</v>
      </c>
      <c r="S4630" s="274">
        <f>1030+80-20</f>
        <v>1090</v>
      </c>
      <c r="T4630" s="19" t="s">
        <v>42</v>
      </c>
      <c r="U4630" s="102" t="s">
        <v>1334</v>
      </c>
      <c r="V4630" s="101">
        <v>45247</v>
      </c>
      <c r="W4630" s="17" t="s">
        <v>69</v>
      </c>
      <c r="X4630" s="17"/>
      <c r="Y4630" s="68">
        <v>45292</v>
      </c>
      <c r="Z4630" s="17" t="s">
        <v>191</v>
      </c>
      <c r="AA4630" s="17" t="s">
        <v>46</v>
      </c>
      <c r="AB4630" s="17" t="s">
        <v>1345</v>
      </c>
      <c r="AC4630" s="217">
        <v>45443</v>
      </c>
      <c r="AD4630" s="65">
        <v>1580</v>
      </c>
      <c r="AE4630" s="17" t="s">
        <v>74</v>
      </c>
      <c r="AF4630" s="17"/>
      <c r="AG4630" s="17"/>
      <c r="AH4630" s="17"/>
      <c r="AI4630" s="17"/>
      <c r="AJ4630" s="17"/>
      <c r="AK4630" s="17"/>
      <c r="AL4630" s="17"/>
      <c r="AM4630" s="17"/>
      <c r="AN4630" s="17"/>
      <c r="AO4630" s="17"/>
      <c r="AP4630" s="17"/>
      <c r="AQ4630" s="17"/>
      <c r="AR4630" s="17"/>
    </row>
    <row r="4631" s="21" customFormat="1" ht="15.6" hidden="1" spans="1:44">
      <c r="A4631" s="17" t="s">
        <v>34</v>
      </c>
      <c r="B4631" s="19">
        <v>957</v>
      </c>
      <c r="C4631" s="183">
        <v>45225</v>
      </c>
      <c r="D4631" s="17" t="s">
        <v>52</v>
      </c>
      <c r="E4631" s="17" t="s">
        <v>1113</v>
      </c>
      <c r="F4631" s="17" t="s">
        <v>54</v>
      </c>
      <c r="G4631" s="17"/>
      <c r="H4631" s="19" t="s">
        <v>1114</v>
      </c>
      <c r="I4631" s="19"/>
      <c r="J4631" s="17" t="s">
        <v>82</v>
      </c>
      <c r="K4631" s="19">
        <v>505</v>
      </c>
      <c r="L4631" s="19">
        <v>105</v>
      </c>
      <c r="M4631" s="19">
        <v>2200</v>
      </c>
      <c r="N4631" s="19" t="s">
        <v>66</v>
      </c>
      <c r="O4631" s="19" t="s">
        <v>141</v>
      </c>
      <c r="P4631" s="19">
        <v>1873</v>
      </c>
      <c r="Q4631" s="19">
        <v>954</v>
      </c>
      <c r="S4631" s="274">
        <v>1030</v>
      </c>
      <c r="T4631" s="19" t="s">
        <v>42</v>
      </c>
      <c r="U4631" s="102" t="s">
        <v>1334</v>
      </c>
      <c r="V4631" s="101">
        <v>45247</v>
      </c>
      <c r="W4631" s="17" t="s">
        <v>44</v>
      </c>
      <c r="X4631" s="17"/>
      <c r="Y4631" s="68">
        <v>45292</v>
      </c>
      <c r="Z4631" s="17" t="s">
        <v>191</v>
      </c>
      <c r="AA4631" s="17" t="s">
        <v>46</v>
      </c>
      <c r="AB4631" s="17" t="s">
        <v>1342</v>
      </c>
      <c r="AC4631" s="217">
        <v>45394</v>
      </c>
      <c r="AD4631" s="65">
        <v>1555</v>
      </c>
      <c r="AE4631" s="17" t="s">
        <v>74</v>
      </c>
      <c r="AF4631" s="17"/>
      <c r="AG4631" s="17"/>
      <c r="AH4631" s="17"/>
      <c r="AI4631" s="17"/>
      <c r="AJ4631" s="17"/>
      <c r="AK4631" s="17"/>
      <c r="AL4631" s="17"/>
      <c r="AM4631" s="17"/>
      <c r="AN4631" s="17"/>
      <c r="AO4631" s="17"/>
      <c r="AP4631" s="17"/>
      <c r="AQ4631" s="17"/>
      <c r="AR4631" s="17"/>
    </row>
    <row r="4632" s="21" customFormat="1" ht="15.6" hidden="1" spans="1:44">
      <c r="A4632" s="17" t="s">
        <v>34</v>
      </c>
      <c r="B4632" s="19">
        <v>957</v>
      </c>
      <c r="C4632" s="183">
        <v>45225</v>
      </c>
      <c r="D4632" s="17" t="s">
        <v>52</v>
      </c>
      <c r="E4632" s="17" t="s">
        <v>1113</v>
      </c>
      <c r="F4632" s="17" t="s">
        <v>54</v>
      </c>
      <c r="G4632" s="17"/>
      <c r="H4632" s="19" t="s">
        <v>1114</v>
      </c>
      <c r="I4632" s="19"/>
      <c r="J4632" s="17" t="s">
        <v>82</v>
      </c>
      <c r="K4632" s="19">
        <v>505</v>
      </c>
      <c r="L4632" s="19">
        <v>105</v>
      </c>
      <c r="M4632" s="19">
        <v>2200</v>
      </c>
      <c r="N4632" s="19" t="s">
        <v>66</v>
      </c>
      <c r="O4632" s="19" t="s">
        <v>141</v>
      </c>
      <c r="P4632" s="19"/>
      <c r="Q4632" s="19">
        <v>963</v>
      </c>
      <c r="R4632" s="19">
        <f>+P4631-Q4631-Q4632</f>
        <v>-44</v>
      </c>
      <c r="S4632" s="310">
        <f>1030+40</f>
        <v>1070</v>
      </c>
      <c r="T4632" s="19" t="s">
        <v>42</v>
      </c>
      <c r="U4632" s="102" t="s">
        <v>1334</v>
      </c>
      <c r="V4632" s="101">
        <v>45247</v>
      </c>
      <c r="W4632" s="17" t="s">
        <v>69</v>
      </c>
      <c r="X4632" s="17"/>
      <c r="Y4632" s="68">
        <v>45292</v>
      </c>
      <c r="Z4632" s="17" t="s">
        <v>191</v>
      </c>
      <c r="AA4632" s="17" t="s">
        <v>46</v>
      </c>
      <c r="AB4632" s="17" t="s">
        <v>1343</v>
      </c>
      <c r="AC4632" s="217">
        <v>45433</v>
      </c>
      <c r="AD4632" s="65">
        <v>1575</v>
      </c>
      <c r="AE4632" s="17" t="s">
        <v>74</v>
      </c>
      <c r="AF4632" s="17"/>
      <c r="AG4632" s="17"/>
      <c r="AH4632" s="17"/>
      <c r="AI4632" s="17"/>
      <c r="AJ4632" s="17"/>
      <c r="AK4632" s="17"/>
      <c r="AL4632" s="17"/>
      <c r="AM4632" s="17"/>
      <c r="AN4632" s="17"/>
      <c r="AO4632" s="17"/>
      <c r="AP4632" s="17"/>
      <c r="AQ4632" s="17"/>
      <c r="AR4632" s="17"/>
    </row>
    <row r="4633" s="21" customFormat="1" ht="15.6" hidden="1" spans="1:44">
      <c r="A4633" s="17" t="s">
        <v>34</v>
      </c>
      <c r="B4633" s="19">
        <v>957</v>
      </c>
      <c r="C4633" s="183">
        <v>45225</v>
      </c>
      <c r="D4633" s="17" t="s">
        <v>52</v>
      </c>
      <c r="E4633" s="17" t="s">
        <v>1113</v>
      </c>
      <c r="F4633" s="17" t="s">
        <v>54</v>
      </c>
      <c r="G4633" s="17"/>
      <c r="H4633" s="19" t="s">
        <v>1114</v>
      </c>
      <c r="I4633" s="19"/>
      <c r="J4633" s="17" t="s">
        <v>82</v>
      </c>
      <c r="K4633" s="19">
        <v>205</v>
      </c>
      <c r="L4633" s="19">
        <v>32</v>
      </c>
      <c r="M4633" s="19">
        <v>2200</v>
      </c>
      <c r="N4633" s="19" t="s">
        <v>66</v>
      </c>
      <c r="O4633" s="19" t="s">
        <v>141</v>
      </c>
      <c r="P4633" s="19">
        <v>579</v>
      </c>
      <c r="Q4633" s="98">
        <v>359</v>
      </c>
      <c r="R4633" s="19">
        <f>+P4633-Q4633</f>
        <v>220</v>
      </c>
      <c r="S4633" s="274">
        <f t="shared" ref="S4633:S4638" si="219">1070-40</f>
        <v>1030</v>
      </c>
      <c r="T4633" s="19" t="s">
        <v>42</v>
      </c>
      <c r="U4633" s="102" t="s">
        <v>1334</v>
      </c>
      <c r="V4633" s="101">
        <v>45247</v>
      </c>
      <c r="W4633" s="17" t="s">
        <v>44</v>
      </c>
      <c r="X4633" s="17"/>
      <c r="Y4633" s="68">
        <v>45292</v>
      </c>
      <c r="Z4633" s="17" t="s">
        <v>191</v>
      </c>
      <c r="AA4633" s="17" t="s">
        <v>46</v>
      </c>
      <c r="AB4633" s="17" t="s">
        <v>1338</v>
      </c>
      <c r="AC4633" s="217">
        <v>45395</v>
      </c>
      <c r="AD4633" s="65">
        <v>1557</v>
      </c>
      <c r="AE4633" s="17" t="s">
        <v>48</v>
      </c>
      <c r="AF4633" s="17"/>
      <c r="AG4633" s="17"/>
      <c r="AH4633" s="17"/>
      <c r="AI4633" s="17"/>
      <c r="AJ4633" s="17"/>
      <c r="AK4633" s="17"/>
      <c r="AL4633" s="17"/>
      <c r="AM4633" s="17"/>
      <c r="AN4633" s="17"/>
      <c r="AO4633" s="17"/>
      <c r="AP4633" s="17"/>
      <c r="AQ4633" s="17"/>
      <c r="AR4633" s="17"/>
    </row>
    <row r="4634" s="21" customFormat="1" ht="15.6" hidden="1" spans="1:44">
      <c r="A4634" s="17" t="s">
        <v>34</v>
      </c>
      <c r="B4634" s="19">
        <v>957</v>
      </c>
      <c r="C4634" s="183">
        <v>45225</v>
      </c>
      <c r="D4634" s="17" t="s">
        <v>52</v>
      </c>
      <c r="E4634" s="17" t="s">
        <v>1113</v>
      </c>
      <c r="F4634" s="17" t="s">
        <v>54</v>
      </c>
      <c r="G4634" s="17"/>
      <c r="H4634" s="19" t="s">
        <v>1114</v>
      </c>
      <c r="I4634" s="19"/>
      <c r="J4634" s="17" t="s">
        <v>82</v>
      </c>
      <c r="K4634" s="19">
        <v>255</v>
      </c>
      <c r="L4634" s="19">
        <v>32</v>
      </c>
      <c r="M4634" s="19">
        <v>2200</v>
      </c>
      <c r="N4634" s="19" t="s">
        <v>66</v>
      </c>
      <c r="O4634" s="19" t="s">
        <v>141</v>
      </c>
      <c r="P4634" s="19">
        <v>577</v>
      </c>
      <c r="Q4634" s="98">
        <v>295</v>
      </c>
      <c r="S4634" s="274">
        <f t="shared" si="219"/>
        <v>1030</v>
      </c>
      <c r="T4634" s="19" t="s">
        <v>42</v>
      </c>
      <c r="U4634" s="102" t="s">
        <v>1334</v>
      </c>
      <c r="V4634" s="101">
        <v>45247</v>
      </c>
      <c r="W4634" s="17" t="s">
        <v>44</v>
      </c>
      <c r="X4634" s="17"/>
      <c r="Y4634" s="68">
        <v>45292</v>
      </c>
      <c r="Z4634" s="17" t="s">
        <v>191</v>
      </c>
      <c r="AA4634" s="17" t="s">
        <v>46</v>
      </c>
      <c r="AB4634" s="17" t="s">
        <v>1338</v>
      </c>
      <c r="AC4634" s="217">
        <v>45395</v>
      </c>
      <c r="AD4634" s="65">
        <v>1557</v>
      </c>
      <c r="AE4634" s="17" t="s">
        <v>48</v>
      </c>
      <c r="AF4634" s="17"/>
      <c r="AG4634" s="17"/>
      <c r="AH4634" s="17"/>
      <c r="AI4634" s="17"/>
      <c r="AJ4634" s="17"/>
      <c r="AK4634" s="17"/>
      <c r="AL4634" s="17"/>
      <c r="AM4634" s="17"/>
      <c r="AN4634" s="17"/>
      <c r="AO4634" s="17"/>
      <c r="AP4634" s="17"/>
      <c r="AQ4634" s="17"/>
      <c r="AR4634" s="17"/>
    </row>
    <row r="4635" s="21" customFormat="1" ht="15.6" hidden="1" spans="1:44">
      <c r="A4635" s="17" t="s">
        <v>34</v>
      </c>
      <c r="B4635" s="19">
        <v>957</v>
      </c>
      <c r="C4635" s="183">
        <v>45225</v>
      </c>
      <c r="D4635" s="17" t="s">
        <v>52</v>
      </c>
      <c r="E4635" s="17" t="s">
        <v>1113</v>
      </c>
      <c r="F4635" s="17" t="s">
        <v>54</v>
      </c>
      <c r="G4635" s="17"/>
      <c r="H4635" s="19" t="s">
        <v>1114</v>
      </c>
      <c r="I4635" s="19"/>
      <c r="J4635" s="17" t="s">
        <v>82</v>
      </c>
      <c r="K4635" s="19">
        <v>255</v>
      </c>
      <c r="L4635" s="19">
        <v>32</v>
      </c>
      <c r="M4635" s="19">
        <v>2200</v>
      </c>
      <c r="N4635" s="19" t="s">
        <v>66</v>
      </c>
      <c r="O4635" s="19" t="s">
        <v>141</v>
      </c>
      <c r="P4635" s="19"/>
      <c r="Q4635" s="98">
        <v>296</v>
      </c>
      <c r="R4635" s="19">
        <f>+P4634-Q4634-Q4635</f>
        <v>-14</v>
      </c>
      <c r="S4635" s="274">
        <f t="shared" si="219"/>
        <v>1030</v>
      </c>
      <c r="T4635" s="19" t="s">
        <v>42</v>
      </c>
      <c r="U4635" s="102" t="s">
        <v>1334</v>
      </c>
      <c r="V4635" s="101">
        <v>45247</v>
      </c>
      <c r="W4635" s="17" t="s">
        <v>44</v>
      </c>
      <c r="X4635" s="17"/>
      <c r="Y4635" s="68">
        <v>45292</v>
      </c>
      <c r="Z4635" s="17" t="s">
        <v>191</v>
      </c>
      <c r="AA4635" s="17" t="s">
        <v>46</v>
      </c>
      <c r="AB4635" s="17" t="s">
        <v>1341</v>
      </c>
      <c r="AC4635" s="217">
        <v>45400</v>
      </c>
      <c r="AD4635" s="65">
        <v>1562</v>
      </c>
      <c r="AE4635" s="17" t="s">
        <v>48</v>
      </c>
      <c r="AF4635" s="17"/>
      <c r="AG4635" s="17"/>
      <c r="AH4635" s="17"/>
      <c r="AI4635" s="17"/>
      <c r="AJ4635" s="17"/>
      <c r="AK4635" s="17"/>
      <c r="AL4635" s="17"/>
      <c r="AM4635" s="17"/>
      <c r="AN4635" s="17"/>
      <c r="AO4635" s="17"/>
      <c r="AP4635" s="17"/>
      <c r="AQ4635" s="17"/>
      <c r="AR4635" s="17"/>
    </row>
    <row r="4636" s="21" customFormat="1" ht="15.6" hidden="1" spans="1:44">
      <c r="A4636" s="17" t="s">
        <v>34</v>
      </c>
      <c r="B4636" s="19">
        <v>957</v>
      </c>
      <c r="C4636" s="183">
        <v>45225</v>
      </c>
      <c r="D4636" s="17" t="s">
        <v>52</v>
      </c>
      <c r="E4636" s="17" t="s">
        <v>1113</v>
      </c>
      <c r="F4636" s="17" t="s">
        <v>54</v>
      </c>
      <c r="G4636" s="17"/>
      <c r="H4636" s="19" t="s">
        <v>1114</v>
      </c>
      <c r="I4636" s="19"/>
      <c r="J4636" s="17" t="s">
        <v>82</v>
      </c>
      <c r="K4636" s="19">
        <v>305</v>
      </c>
      <c r="L4636" s="19">
        <v>32</v>
      </c>
      <c r="M4636" s="19">
        <v>2200</v>
      </c>
      <c r="N4636" s="19" t="s">
        <v>66</v>
      </c>
      <c r="O4636" s="19" t="s">
        <v>141</v>
      </c>
      <c r="P4636" s="19">
        <v>517</v>
      </c>
      <c r="Q4636" s="98">
        <v>358</v>
      </c>
      <c r="R4636" s="19">
        <f t="shared" ref="R4636:R4643" si="220">+P4636-Q4636</f>
        <v>159</v>
      </c>
      <c r="S4636" s="274">
        <f t="shared" si="219"/>
        <v>1030</v>
      </c>
      <c r="T4636" s="19" t="s">
        <v>42</v>
      </c>
      <c r="U4636" s="102" t="s">
        <v>1334</v>
      </c>
      <c r="V4636" s="101">
        <v>45247</v>
      </c>
      <c r="W4636" s="17" t="s">
        <v>44</v>
      </c>
      <c r="X4636" s="17"/>
      <c r="Y4636" s="68">
        <v>45292</v>
      </c>
      <c r="Z4636" s="17" t="s">
        <v>191</v>
      </c>
      <c r="AA4636" s="17" t="s">
        <v>46</v>
      </c>
      <c r="AB4636" s="17" t="s">
        <v>1337</v>
      </c>
      <c r="AC4636" s="217">
        <v>45400</v>
      </c>
      <c r="AD4636" s="65">
        <v>1563</v>
      </c>
      <c r="AE4636" s="17" t="s">
        <v>48</v>
      </c>
      <c r="AF4636" s="17"/>
      <c r="AG4636" s="17"/>
      <c r="AH4636" s="17"/>
      <c r="AI4636" s="17"/>
      <c r="AJ4636" s="17"/>
      <c r="AK4636" s="17"/>
      <c r="AL4636" s="17"/>
      <c r="AM4636" s="17"/>
      <c r="AN4636" s="17"/>
      <c r="AO4636" s="17"/>
      <c r="AP4636" s="17"/>
      <c r="AQ4636" s="17"/>
      <c r="AR4636" s="17"/>
    </row>
    <row r="4637" s="21" customFormat="1" ht="15.6" hidden="1" spans="1:44">
      <c r="A4637" s="17" t="s">
        <v>34</v>
      </c>
      <c r="B4637" s="19">
        <v>957</v>
      </c>
      <c r="C4637" s="183">
        <v>45225</v>
      </c>
      <c r="D4637" s="17" t="s">
        <v>52</v>
      </c>
      <c r="E4637" s="17" t="s">
        <v>1113</v>
      </c>
      <c r="F4637" s="17" t="s">
        <v>54</v>
      </c>
      <c r="G4637" s="17"/>
      <c r="H4637" s="19" t="s">
        <v>1114</v>
      </c>
      <c r="I4637" s="19"/>
      <c r="J4637" s="17" t="s">
        <v>82</v>
      </c>
      <c r="K4637" s="19">
        <v>355</v>
      </c>
      <c r="L4637" s="19">
        <v>32</v>
      </c>
      <c r="M4637" s="19">
        <v>2200</v>
      </c>
      <c r="N4637" s="19" t="s">
        <v>66</v>
      </c>
      <c r="O4637" s="19" t="s">
        <v>141</v>
      </c>
      <c r="P4637" s="19">
        <v>602</v>
      </c>
      <c r="Q4637" s="98">
        <f>206+207</f>
        <v>413</v>
      </c>
      <c r="R4637" s="19">
        <f t="shared" si="220"/>
        <v>189</v>
      </c>
      <c r="S4637" s="274">
        <f t="shared" si="219"/>
        <v>1030</v>
      </c>
      <c r="T4637" s="19" t="s">
        <v>42</v>
      </c>
      <c r="U4637" s="102" t="s">
        <v>1334</v>
      </c>
      <c r="V4637" s="101">
        <v>45247</v>
      </c>
      <c r="W4637" s="17" t="s">
        <v>44</v>
      </c>
      <c r="X4637" s="17"/>
      <c r="Y4637" s="68">
        <v>45292</v>
      </c>
      <c r="Z4637" s="17" t="s">
        <v>191</v>
      </c>
      <c r="AA4637" s="17" t="s">
        <v>46</v>
      </c>
      <c r="AB4637" s="17" t="s">
        <v>1338</v>
      </c>
      <c r="AC4637" s="217">
        <v>45395</v>
      </c>
      <c r="AD4637" s="65">
        <v>1557</v>
      </c>
      <c r="AE4637" s="17" t="s">
        <v>48</v>
      </c>
      <c r="AF4637" s="17"/>
      <c r="AG4637" s="17"/>
      <c r="AH4637" s="17"/>
      <c r="AI4637" s="17"/>
      <c r="AJ4637" s="17"/>
      <c r="AK4637" s="17"/>
      <c r="AL4637" s="17"/>
      <c r="AM4637" s="17"/>
      <c r="AN4637" s="17"/>
      <c r="AO4637" s="17"/>
      <c r="AP4637" s="17"/>
      <c r="AQ4637" s="17"/>
      <c r="AR4637" s="17"/>
    </row>
    <row r="4638" s="21" customFormat="1" ht="15.6" hidden="1" spans="1:44">
      <c r="A4638" s="17" t="s">
        <v>34</v>
      </c>
      <c r="B4638" s="19">
        <v>957</v>
      </c>
      <c r="C4638" s="183">
        <v>45225</v>
      </c>
      <c r="D4638" s="17" t="s">
        <v>52</v>
      </c>
      <c r="E4638" s="17" t="s">
        <v>1113</v>
      </c>
      <c r="F4638" s="17" t="s">
        <v>54</v>
      </c>
      <c r="G4638" s="17"/>
      <c r="H4638" s="19" t="s">
        <v>1114</v>
      </c>
      <c r="I4638" s="19"/>
      <c r="J4638" s="17" t="s">
        <v>82</v>
      </c>
      <c r="K4638" s="19">
        <v>405</v>
      </c>
      <c r="L4638" s="19">
        <v>32</v>
      </c>
      <c r="M4638" s="19">
        <v>2200</v>
      </c>
      <c r="N4638" s="19" t="s">
        <v>66</v>
      </c>
      <c r="O4638" s="19" t="s">
        <v>141</v>
      </c>
      <c r="P4638" s="19">
        <v>458</v>
      </c>
      <c r="Q4638" s="98">
        <v>472</v>
      </c>
      <c r="R4638" s="19">
        <f t="shared" si="220"/>
        <v>-14</v>
      </c>
      <c r="S4638" s="274">
        <f t="shared" si="219"/>
        <v>1030</v>
      </c>
      <c r="T4638" s="19" t="s">
        <v>42</v>
      </c>
      <c r="U4638" s="102" t="s">
        <v>1334</v>
      </c>
      <c r="V4638" s="101">
        <v>45247</v>
      </c>
      <c r="W4638" s="17" t="s">
        <v>44</v>
      </c>
      <c r="X4638" s="17"/>
      <c r="Y4638" s="68">
        <v>45292</v>
      </c>
      <c r="Z4638" s="17" t="s">
        <v>191</v>
      </c>
      <c r="AA4638" s="17" t="s">
        <v>46</v>
      </c>
      <c r="AB4638" s="17" t="s">
        <v>1337</v>
      </c>
      <c r="AC4638" s="217">
        <v>45400</v>
      </c>
      <c r="AD4638" s="65">
        <v>1563</v>
      </c>
      <c r="AE4638" s="17" t="s">
        <v>48</v>
      </c>
      <c r="AF4638" s="17"/>
      <c r="AG4638" s="17"/>
      <c r="AH4638" s="17"/>
      <c r="AI4638" s="17"/>
      <c r="AJ4638" s="17"/>
      <c r="AK4638" s="17"/>
      <c r="AL4638" s="17"/>
      <c r="AM4638" s="17"/>
      <c r="AN4638" s="17"/>
      <c r="AO4638" s="17"/>
      <c r="AP4638" s="17"/>
      <c r="AQ4638" s="17"/>
      <c r="AR4638" s="17"/>
    </row>
    <row r="4639" s="21" customFormat="1" ht="15.6" hidden="1" spans="1:44">
      <c r="A4639" s="17" t="s">
        <v>34</v>
      </c>
      <c r="B4639" s="19">
        <v>957</v>
      </c>
      <c r="C4639" s="183">
        <v>45225</v>
      </c>
      <c r="D4639" s="17" t="s">
        <v>52</v>
      </c>
      <c r="E4639" s="17" t="s">
        <v>1113</v>
      </c>
      <c r="F4639" s="17" t="s">
        <v>54</v>
      </c>
      <c r="G4639" s="17"/>
      <c r="H4639" s="19" t="s">
        <v>1114</v>
      </c>
      <c r="I4639" s="19"/>
      <c r="J4639" s="17" t="s">
        <v>82</v>
      </c>
      <c r="K4639" s="19">
        <v>510</v>
      </c>
      <c r="L4639" s="19">
        <v>32</v>
      </c>
      <c r="M4639" s="19">
        <v>2200</v>
      </c>
      <c r="N4639" s="19" t="s">
        <v>66</v>
      </c>
      <c r="O4639" s="19" t="s">
        <v>141</v>
      </c>
      <c r="P4639" s="19">
        <v>577</v>
      </c>
      <c r="Q4639" s="98">
        <f>296+297</f>
        <v>593</v>
      </c>
      <c r="R4639" s="19">
        <f t="shared" si="220"/>
        <v>-16</v>
      </c>
      <c r="S4639" s="274">
        <f>1030+80-20</f>
        <v>1090</v>
      </c>
      <c r="T4639" s="19" t="s">
        <v>42</v>
      </c>
      <c r="U4639" s="102" t="s">
        <v>1334</v>
      </c>
      <c r="V4639" s="101">
        <v>45247</v>
      </c>
      <c r="W4639" s="17" t="s">
        <v>69</v>
      </c>
      <c r="X4639" s="17"/>
      <c r="Y4639" s="68">
        <v>45292</v>
      </c>
      <c r="Z4639" s="17" t="s">
        <v>191</v>
      </c>
      <c r="AA4639" s="17" t="s">
        <v>46</v>
      </c>
      <c r="AB4639" s="17" t="s">
        <v>1339</v>
      </c>
      <c r="AC4639" s="217">
        <v>45433</v>
      </c>
      <c r="AD4639" s="65">
        <v>1570</v>
      </c>
      <c r="AE4639" s="17" t="s">
        <v>48</v>
      </c>
      <c r="AF4639" s="17"/>
      <c r="AG4639" s="17"/>
      <c r="AH4639" s="17"/>
      <c r="AI4639" s="17"/>
      <c r="AJ4639" s="17"/>
      <c r="AK4639" s="17"/>
      <c r="AL4639" s="17"/>
      <c r="AM4639" s="17"/>
      <c r="AN4639" s="17"/>
      <c r="AO4639" s="17"/>
      <c r="AP4639" s="17"/>
      <c r="AQ4639" s="17"/>
      <c r="AR4639" s="17"/>
    </row>
    <row r="4640" s="21" customFormat="1" ht="15.6" hidden="1" spans="1:44">
      <c r="A4640" s="17" t="s">
        <v>34</v>
      </c>
      <c r="B4640" s="19">
        <v>957</v>
      </c>
      <c r="C4640" s="183">
        <v>45225</v>
      </c>
      <c r="D4640" s="17" t="s">
        <v>52</v>
      </c>
      <c r="E4640" s="17" t="s">
        <v>1113</v>
      </c>
      <c r="F4640" s="17" t="s">
        <v>54</v>
      </c>
      <c r="G4640" s="17"/>
      <c r="H4640" s="19" t="s">
        <v>1114</v>
      </c>
      <c r="I4640" s="19"/>
      <c r="J4640" s="17" t="s">
        <v>82</v>
      </c>
      <c r="K4640" s="19">
        <v>205</v>
      </c>
      <c r="L4640" s="19">
        <v>40</v>
      </c>
      <c r="M4640" s="19">
        <v>2200</v>
      </c>
      <c r="N4640" s="19" t="s">
        <v>66</v>
      </c>
      <c r="O4640" s="19" t="s">
        <v>141</v>
      </c>
      <c r="P4640" s="19">
        <v>579</v>
      </c>
      <c r="Q4640" s="19">
        <v>753</v>
      </c>
      <c r="R4640" s="19">
        <f t="shared" si="220"/>
        <v>-174</v>
      </c>
      <c r="S4640" s="274">
        <f>1070-40</f>
        <v>1030</v>
      </c>
      <c r="T4640" s="19" t="s">
        <v>42</v>
      </c>
      <c r="U4640" s="102" t="s">
        <v>1334</v>
      </c>
      <c r="V4640" s="101">
        <v>45247</v>
      </c>
      <c r="W4640" s="17" t="s">
        <v>44</v>
      </c>
      <c r="X4640" s="17"/>
      <c r="Y4640" s="68">
        <v>45292</v>
      </c>
      <c r="Z4640" s="17" t="s">
        <v>191</v>
      </c>
      <c r="AA4640" s="17" t="s">
        <v>46</v>
      </c>
      <c r="AB4640" s="17" t="s">
        <v>1338</v>
      </c>
      <c r="AC4640" s="217">
        <v>45395</v>
      </c>
      <c r="AD4640" s="65">
        <v>1557</v>
      </c>
      <c r="AE4640" s="17" t="s">
        <v>48</v>
      </c>
      <c r="AF4640" s="17"/>
      <c r="AG4640" s="17"/>
      <c r="AH4640" s="17"/>
      <c r="AI4640" s="17"/>
      <c r="AJ4640" s="17"/>
      <c r="AK4640" s="17"/>
      <c r="AL4640" s="17"/>
      <c r="AM4640" s="17"/>
      <c r="AN4640" s="17"/>
      <c r="AO4640" s="17"/>
      <c r="AP4640" s="17"/>
      <c r="AQ4640" s="17"/>
      <c r="AR4640" s="17"/>
    </row>
    <row r="4641" s="21" customFormat="1" ht="15.6" hidden="1" spans="1:44">
      <c r="A4641" s="17" t="s">
        <v>34</v>
      </c>
      <c r="B4641" s="19">
        <v>957</v>
      </c>
      <c r="C4641" s="183">
        <v>45225</v>
      </c>
      <c r="D4641" s="17" t="s">
        <v>52</v>
      </c>
      <c r="E4641" s="17" t="s">
        <v>1113</v>
      </c>
      <c r="F4641" s="17" t="s">
        <v>54</v>
      </c>
      <c r="G4641" s="17"/>
      <c r="H4641" s="19" t="s">
        <v>1114</v>
      </c>
      <c r="I4641" s="19"/>
      <c r="J4641" s="17" t="s">
        <v>82</v>
      </c>
      <c r="K4641" s="19">
        <v>230</v>
      </c>
      <c r="L4641" s="19">
        <v>40</v>
      </c>
      <c r="M4641" s="19">
        <v>2200</v>
      </c>
      <c r="N4641" s="19" t="s">
        <v>66</v>
      </c>
      <c r="O4641" s="19" t="s">
        <v>141</v>
      </c>
      <c r="P4641" s="19">
        <v>487</v>
      </c>
      <c r="Q4641" s="19">
        <f>339+170</f>
        <v>509</v>
      </c>
      <c r="R4641" s="19">
        <f t="shared" si="220"/>
        <v>-22</v>
      </c>
      <c r="S4641" s="274">
        <f>1070-40</f>
        <v>1030</v>
      </c>
      <c r="T4641" s="19" t="s">
        <v>42</v>
      </c>
      <c r="U4641" s="102" t="s">
        <v>1334</v>
      </c>
      <c r="V4641" s="101">
        <v>45247</v>
      </c>
      <c r="W4641" s="17" t="s">
        <v>44</v>
      </c>
      <c r="X4641" s="17"/>
      <c r="Y4641" s="68">
        <v>45292</v>
      </c>
      <c r="Z4641" s="17" t="s">
        <v>191</v>
      </c>
      <c r="AA4641" s="17" t="s">
        <v>46</v>
      </c>
      <c r="AB4641" s="17" t="s">
        <v>1338</v>
      </c>
      <c r="AC4641" s="217">
        <v>45395</v>
      </c>
      <c r="AD4641" s="65">
        <v>1557</v>
      </c>
      <c r="AE4641" s="17" t="s">
        <v>48</v>
      </c>
      <c r="AF4641" s="17"/>
      <c r="AG4641" s="17"/>
      <c r="AH4641" s="17"/>
      <c r="AI4641" s="17"/>
      <c r="AJ4641" s="17"/>
      <c r="AK4641" s="17"/>
      <c r="AL4641" s="17"/>
      <c r="AM4641" s="17"/>
      <c r="AN4641" s="17"/>
      <c r="AO4641" s="17"/>
      <c r="AP4641" s="17"/>
      <c r="AQ4641" s="17"/>
      <c r="AR4641" s="17"/>
    </row>
    <row r="4642" s="21" customFormat="1" ht="15.6" hidden="1" spans="1:44">
      <c r="A4642" s="17" t="s">
        <v>34</v>
      </c>
      <c r="B4642" s="19">
        <v>957</v>
      </c>
      <c r="C4642" s="183">
        <v>45225</v>
      </c>
      <c r="D4642" s="17" t="s">
        <v>52</v>
      </c>
      <c r="E4642" s="17" t="s">
        <v>1113</v>
      </c>
      <c r="F4642" s="17" t="s">
        <v>54</v>
      </c>
      <c r="G4642" s="17"/>
      <c r="H4642" s="19" t="s">
        <v>1114</v>
      </c>
      <c r="I4642" s="19"/>
      <c r="J4642" s="17" t="s">
        <v>82</v>
      </c>
      <c r="K4642" s="19">
        <v>255</v>
      </c>
      <c r="L4642" s="98">
        <v>40</v>
      </c>
      <c r="M4642" s="19">
        <v>2200</v>
      </c>
      <c r="N4642" s="19" t="s">
        <v>66</v>
      </c>
      <c r="O4642" s="19" t="s">
        <v>141</v>
      </c>
      <c r="P4642" s="19">
        <v>540</v>
      </c>
      <c r="Q4642" s="19">
        <v>755</v>
      </c>
      <c r="R4642" s="19">
        <f t="shared" si="220"/>
        <v>-215</v>
      </c>
      <c r="S4642" s="274">
        <f>1070-40</f>
        <v>1030</v>
      </c>
      <c r="T4642" s="19" t="s">
        <v>42</v>
      </c>
      <c r="U4642" s="102" t="s">
        <v>1334</v>
      </c>
      <c r="V4642" s="101">
        <v>45247</v>
      </c>
      <c r="W4642" s="17" t="s">
        <v>44</v>
      </c>
      <c r="X4642" s="17"/>
      <c r="Y4642" s="68">
        <v>45292</v>
      </c>
      <c r="Z4642" s="17" t="s">
        <v>191</v>
      </c>
      <c r="AA4642" s="17" t="s">
        <v>46</v>
      </c>
      <c r="AB4642" s="17" t="s">
        <v>1338</v>
      </c>
      <c r="AC4642" s="217">
        <v>45395</v>
      </c>
      <c r="AD4642" s="65">
        <v>1557</v>
      </c>
      <c r="AE4642" s="17" t="s">
        <v>48</v>
      </c>
      <c r="AF4642" s="17"/>
      <c r="AG4642" s="17"/>
      <c r="AH4642" s="17"/>
      <c r="AI4642" s="17"/>
      <c r="AJ4642" s="17"/>
      <c r="AK4642" s="17"/>
      <c r="AL4642" s="17"/>
      <c r="AM4642" s="17"/>
      <c r="AN4642" s="17"/>
      <c r="AO4642" s="17"/>
      <c r="AP4642" s="17"/>
      <c r="AQ4642" s="17"/>
      <c r="AR4642" s="17"/>
    </row>
    <row r="4643" s="21" customFormat="1" ht="15.6" hidden="1" spans="1:44">
      <c r="A4643" s="17" t="s">
        <v>34</v>
      </c>
      <c r="B4643" s="19">
        <v>957</v>
      </c>
      <c r="C4643" s="183">
        <v>45225</v>
      </c>
      <c r="D4643" s="17" t="s">
        <v>52</v>
      </c>
      <c r="E4643" s="17" t="s">
        <v>1113</v>
      </c>
      <c r="F4643" s="17" t="s">
        <v>54</v>
      </c>
      <c r="G4643" s="17"/>
      <c r="H4643" s="19" t="s">
        <v>1114</v>
      </c>
      <c r="I4643" s="19"/>
      <c r="J4643" s="17" t="s">
        <v>82</v>
      </c>
      <c r="K4643" s="19">
        <v>280</v>
      </c>
      <c r="L4643" s="19">
        <v>40</v>
      </c>
      <c r="M4643" s="19">
        <v>2200</v>
      </c>
      <c r="N4643" s="19" t="s">
        <v>66</v>
      </c>
      <c r="O4643" s="19" t="s">
        <v>141</v>
      </c>
      <c r="P4643" s="19">
        <v>593</v>
      </c>
      <c r="Q4643" s="19">
        <v>619</v>
      </c>
      <c r="R4643" s="19">
        <f t="shared" si="220"/>
        <v>-26</v>
      </c>
      <c r="S4643" s="274">
        <f>1030+80-20</f>
        <v>1090</v>
      </c>
      <c r="T4643" s="19" t="s">
        <v>42</v>
      </c>
      <c r="U4643" s="102" t="s">
        <v>1334</v>
      </c>
      <c r="V4643" s="101">
        <v>45247</v>
      </c>
      <c r="W4643" s="17" t="s">
        <v>69</v>
      </c>
      <c r="X4643" s="17"/>
      <c r="Y4643" s="68">
        <v>45292</v>
      </c>
      <c r="Z4643" s="17" t="s">
        <v>191</v>
      </c>
      <c r="AA4643" s="17" t="s">
        <v>46</v>
      </c>
      <c r="AB4643" s="17" t="s">
        <v>1339</v>
      </c>
      <c r="AC4643" s="217">
        <v>45433</v>
      </c>
      <c r="AD4643" s="65">
        <v>1570</v>
      </c>
      <c r="AE4643" s="17" t="s">
        <v>48</v>
      </c>
      <c r="AF4643" s="17"/>
      <c r="AG4643" s="17"/>
      <c r="AH4643" s="17"/>
      <c r="AI4643" s="17"/>
      <c r="AJ4643" s="17"/>
      <c r="AK4643" s="17"/>
      <c r="AL4643" s="17"/>
      <c r="AM4643" s="17"/>
      <c r="AN4643" s="17"/>
      <c r="AO4643" s="17"/>
      <c r="AP4643" s="17"/>
      <c r="AQ4643" s="17"/>
      <c r="AR4643" s="17"/>
    </row>
    <row r="4644" s="21" customFormat="1" ht="15.6" hidden="1" spans="1:44">
      <c r="A4644" s="17" t="s">
        <v>34</v>
      </c>
      <c r="B4644" s="19">
        <v>957</v>
      </c>
      <c r="C4644" s="183">
        <v>45225</v>
      </c>
      <c r="D4644" s="17" t="s">
        <v>52</v>
      </c>
      <c r="E4644" s="17" t="s">
        <v>1113</v>
      </c>
      <c r="F4644" s="17" t="s">
        <v>54</v>
      </c>
      <c r="G4644" s="17"/>
      <c r="H4644" s="19" t="s">
        <v>1114</v>
      </c>
      <c r="I4644" s="19"/>
      <c r="J4644" s="17" t="s">
        <v>82</v>
      </c>
      <c r="K4644" s="19">
        <v>305</v>
      </c>
      <c r="L4644" s="19">
        <v>40</v>
      </c>
      <c r="M4644" s="19">
        <v>2200</v>
      </c>
      <c r="N4644" s="19" t="s">
        <v>66</v>
      </c>
      <c r="O4644" s="19" t="s">
        <v>141</v>
      </c>
      <c r="P4644" s="19">
        <v>431</v>
      </c>
      <c r="Q4644" s="19">
        <v>226</v>
      </c>
      <c r="S4644" s="274">
        <f>1070-40</f>
        <v>1030</v>
      </c>
      <c r="T4644" s="19" t="s">
        <v>42</v>
      </c>
      <c r="U4644" s="102" t="s">
        <v>1334</v>
      </c>
      <c r="V4644" s="101">
        <v>45247</v>
      </c>
      <c r="W4644" s="17" t="s">
        <v>44</v>
      </c>
      <c r="X4644" s="17"/>
      <c r="Y4644" s="68">
        <v>45292</v>
      </c>
      <c r="Z4644" s="17" t="s">
        <v>191</v>
      </c>
      <c r="AA4644" s="17" t="s">
        <v>46</v>
      </c>
      <c r="AB4644" s="17" t="s">
        <v>1341</v>
      </c>
      <c r="AC4644" s="217">
        <v>45400</v>
      </c>
      <c r="AD4644" s="65">
        <v>1562</v>
      </c>
      <c r="AE4644" s="17" t="s">
        <v>48</v>
      </c>
      <c r="AF4644" s="17"/>
      <c r="AG4644" s="17"/>
      <c r="AH4644" s="17"/>
      <c r="AI4644" s="17"/>
      <c r="AJ4644" s="17"/>
      <c r="AK4644" s="17"/>
      <c r="AL4644" s="17"/>
      <c r="AM4644" s="17"/>
      <c r="AN4644" s="17"/>
      <c r="AO4644" s="17"/>
      <c r="AP4644" s="17"/>
      <c r="AQ4644" s="17"/>
      <c r="AR4644" s="17"/>
    </row>
    <row r="4645" s="21" customFormat="1" ht="15.6" hidden="1" spans="1:44">
      <c r="A4645" s="17" t="s">
        <v>34</v>
      </c>
      <c r="B4645" s="19">
        <v>957</v>
      </c>
      <c r="C4645" s="183">
        <v>45225</v>
      </c>
      <c r="D4645" s="17" t="s">
        <v>52</v>
      </c>
      <c r="E4645" s="17" t="s">
        <v>1113</v>
      </c>
      <c r="F4645" s="17" t="s">
        <v>54</v>
      </c>
      <c r="G4645" s="17"/>
      <c r="H4645" s="19" t="s">
        <v>1114</v>
      </c>
      <c r="I4645" s="19"/>
      <c r="J4645" s="17" t="s">
        <v>82</v>
      </c>
      <c r="K4645" s="19">
        <v>305</v>
      </c>
      <c r="L4645" s="98">
        <v>40</v>
      </c>
      <c r="M4645" s="19">
        <v>2200</v>
      </c>
      <c r="N4645" s="19" t="s">
        <v>66</v>
      </c>
      <c r="O4645" s="19" t="s">
        <v>141</v>
      </c>
      <c r="P4645" s="19"/>
      <c r="Q4645" s="19">
        <v>225</v>
      </c>
      <c r="R4645" s="19">
        <f>+P4644-Q4644-Q4645</f>
        <v>-20</v>
      </c>
      <c r="S4645" s="310">
        <f>1030+40</f>
        <v>1070</v>
      </c>
      <c r="T4645" s="19" t="s">
        <v>42</v>
      </c>
      <c r="U4645" s="102" t="s">
        <v>1334</v>
      </c>
      <c r="V4645" s="101">
        <v>45247</v>
      </c>
      <c r="W4645" s="17" t="s">
        <v>69</v>
      </c>
      <c r="X4645" s="17"/>
      <c r="Y4645" s="68">
        <v>45292</v>
      </c>
      <c r="Z4645" s="17" t="s">
        <v>191</v>
      </c>
      <c r="AA4645" s="17" t="s">
        <v>46</v>
      </c>
      <c r="AB4645" s="17" t="s">
        <v>1343</v>
      </c>
      <c r="AC4645" s="217">
        <v>45433</v>
      </c>
      <c r="AD4645" s="65">
        <v>1575</v>
      </c>
      <c r="AE4645" s="17" t="s">
        <v>74</v>
      </c>
      <c r="AF4645" s="17"/>
      <c r="AG4645" s="17"/>
      <c r="AH4645" s="17"/>
      <c r="AI4645" s="17"/>
      <c r="AJ4645" s="17"/>
      <c r="AK4645" s="17"/>
      <c r="AL4645" s="17"/>
      <c r="AM4645" s="17"/>
      <c r="AN4645" s="17"/>
      <c r="AO4645" s="17"/>
      <c r="AP4645" s="17"/>
      <c r="AQ4645" s="17"/>
      <c r="AR4645" s="17"/>
    </row>
    <row r="4646" s="21" customFormat="1" ht="15.6" hidden="1" spans="1:44">
      <c r="A4646" s="17" t="s">
        <v>34</v>
      </c>
      <c r="B4646" s="19">
        <v>957</v>
      </c>
      <c r="C4646" s="183">
        <v>45225</v>
      </c>
      <c r="D4646" s="17" t="s">
        <v>52</v>
      </c>
      <c r="E4646" s="17" t="s">
        <v>1113</v>
      </c>
      <c r="F4646" s="17" t="s">
        <v>54</v>
      </c>
      <c r="G4646" s="17"/>
      <c r="H4646" s="19" t="s">
        <v>1114</v>
      </c>
      <c r="I4646" s="19"/>
      <c r="J4646" s="17" t="s">
        <v>82</v>
      </c>
      <c r="K4646" s="19">
        <v>355</v>
      </c>
      <c r="L4646" s="19">
        <v>40</v>
      </c>
      <c r="M4646" s="19">
        <v>2200</v>
      </c>
      <c r="N4646" s="19" t="s">
        <v>66</v>
      </c>
      <c r="O4646" s="19" t="s">
        <v>141</v>
      </c>
      <c r="P4646" s="19">
        <v>502</v>
      </c>
      <c r="Q4646" s="19">
        <v>518</v>
      </c>
      <c r="R4646" s="19">
        <f>+P4646-Q4646</f>
        <v>-16</v>
      </c>
      <c r="S4646" s="274">
        <f>1070-40</f>
        <v>1030</v>
      </c>
      <c r="T4646" s="19" t="s">
        <v>42</v>
      </c>
      <c r="U4646" s="102" t="s">
        <v>1334</v>
      </c>
      <c r="V4646" s="101">
        <v>45247</v>
      </c>
      <c r="W4646" s="17" t="s">
        <v>44</v>
      </c>
      <c r="X4646" s="17"/>
      <c r="Y4646" s="68">
        <v>45292</v>
      </c>
      <c r="Z4646" s="17" t="s">
        <v>191</v>
      </c>
      <c r="AA4646" s="17" t="s">
        <v>46</v>
      </c>
      <c r="AB4646" s="17" t="s">
        <v>1341</v>
      </c>
      <c r="AC4646" s="217">
        <v>45400</v>
      </c>
      <c r="AD4646" s="65">
        <v>1562</v>
      </c>
      <c r="AE4646" s="17" t="s">
        <v>48</v>
      </c>
      <c r="AF4646" s="17"/>
      <c r="AG4646" s="17"/>
      <c r="AH4646" s="17"/>
      <c r="AI4646" s="17"/>
      <c r="AJ4646" s="17"/>
      <c r="AK4646" s="17"/>
      <c r="AL4646" s="17"/>
      <c r="AM4646" s="17"/>
      <c r="AN4646" s="17"/>
      <c r="AO4646" s="17"/>
      <c r="AP4646" s="17"/>
      <c r="AQ4646" s="17"/>
      <c r="AR4646" s="17"/>
    </row>
    <row r="4647" s="21" customFormat="1" ht="15.6" hidden="1" spans="1:44">
      <c r="A4647" s="17" t="s">
        <v>34</v>
      </c>
      <c r="B4647" s="19">
        <v>957</v>
      </c>
      <c r="C4647" s="183">
        <v>45225</v>
      </c>
      <c r="D4647" s="17" t="s">
        <v>52</v>
      </c>
      <c r="E4647" s="17" t="s">
        <v>1113</v>
      </c>
      <c r="F4647" s="17" t="s">
        <v>54</v>
      </c>
      <c r="G4647" s="17"/>
      <c r="H4647" s="19" t="s">
        <v>1114</v>
      </c>
      <c r="I4647" s="19"/>
      <c r="J4647" s="17" t="s">
        <v>82</v>
      </c>
      <c r="K4647" s="19">
        <v>405</v>
      </c>
      <c r="L4647" s="19">
        <v>40</v>
      </c>
      <c r="M4647" s="19">
        <v>2200</v>
      </c>
      <c r="N4647" s="19" t="s">
        <v>66</v>
      </c>
      <c r="O4647" s="19" t="s">
        <v>141</v>
      </c>
      <c r="P4647" s="19">
        <v>572</v>
      </c>
      <c r="Q4647" s="19">
        <f>593+296</f>
        <v>889</v>
      </c>
      <c r="R4647" s="19">
        <f>+P4647-Q4647</f>
        <v>-317</v>
      </c>
      <c r="S4647" s="274">
        <f>1070-40</f>
        <v>1030</v>
      </c>
      <c r="T4647" s="19" t="s">
        <v>42</v>
      </c>
      <c r="U4647" s="102" t="s">
        <v>1334</v>
      </c>
      <c r="V4647" s="101">
        <v>45247</v>
      </c>
      <c r="W4647" s="17" t="s">
        <v>44</v>
      </c>
      <c r="X4647" s="17"/>
      <c r="Y4647" s="68">
        <v>45292</v>
      </c>
      <c r="Z4647" s="17" t="s">
        <v>191</v>
      </c>
      <c r="AA4647" s="17" t="s">
        <v>46</v>
      </c>
      <c r="AB4647" s="17" t="s">
        <v>1338</v>
      </c>
      <c r="AC4647" s="217">
        <v>45395</v>
      </c>
      <c r="AD4647" s="65">
        <v>1557</v>
      </c>
      <c r="AE4647" s="17" t="s">
        <v>48</v>
      </c>
      <c r="AF4647" s="17"/>
      <c r="AG4647" s="17"/>
      <c r="AH4647" s="17"/>
      <c r="AI4647" s="17"/>
      <c r="AJ4647" s="17"/>
      <c r="AK4647" s="17"/>
      <c r="AL4647" s="17"/>
      <c r="AM4647" s="17"/>
      <c r="AN4647" s="17"/>
      <c r="AO4647" s="17"/>
      <c r="AP4647" s="17"/>
      <c r="AQ4647" s="17"/>
      <c r="AR4647" s="17"/>
    </row>
    <row r="4648" s="21" customFormat="1" ht="15.6" hidden="1" spans="1:44">
      <c r="A4648" s="17" t="s">
        <v>34</v>
      </c>
      <c r="B4648" s="19">
        <v>957</v>
      </c>
      <c r="C4648" s="183">
        <v>45225</v>
      </c>
      <c r="D4648" s="17" t="s">
        <v>52</v>
      </c>
      <c r="E4648" s="17" t="s">
        <v>1113</v>
      </c>
      <c r="F4648" s="17" t="s">
        <v>54</v>
      </c>
      <c r="G4648" s="17"/>
      <c r="H4648" s="19" t="s">
        <v>1114</v>
      </c>
      <c r="I4648" s="19"/>
      <c r="J4648" s="17" t="s">
        <v>82</v>
      </c>
      <c r="K4648" s="19">
        <v>510</v>
      </c>
      <c r="L4648" s="19">
        <v>40</v>
      </c>
      <c r="M4648" s="19">
        <v>2200</v>
      </c>
      <c r="N4648" s="19" t="s">
        <v>66</v>
      </c>
      <c r="O4648" s="19" t="s">
        <v>141</v>
      </c>
      <c r="P4648" s="19">
        <v>721</v>
      </c>
      <c r="Q4648" s="19">
        <v>369</v>
      </c>
      <c r="S4648" s="274">
        <f>1070-40</f>
        <v>1030</v>
      </c>
      <c r="T4648" s="19" t="s">
        <v>42</v>
      </c>
      <c r="U4648" s="102" t="s">
        <v>1334</v>
      </c>
      <c r="V4648" s="101">
        <v>45247</v>
      </c>
      <c r="W4648" s="17" t="s">
        <v>44</v>
      </c>
      <c r="X4648" s="17"/>
      <c r="Y4648" s="68">
        <v>45292</v>
      </c>
      <c r="Z4648" s="17" t="s">
        <v>191</v>
      </c>
      <c r="AA4648" s="17" t="s">
        <v>46</v>
      </c>
      <c r="AB4648" s="17" t="s">
        <v>1341</v>
      </c>
      <c r="AC4648" s="217">
        <v>45400</v>
      </c>
      <c r="AD4648" s="65">
        <v>1562</v>
      </c>
      <c r="AE4648" s="17" t="s">
        <v>48</v>
      </c>
      <c r="AF4648" s="17"/>
      <c r="AG4648" s="17"/>
      <c r="AH4648" s="17"/>
      <c r="AI4648" s="17"/>
      <c r="AJ4648" s="17"/>
      <c r="AK4648" s="17"/>
      <c r="AL4648" s="17"/>
      <c r="AM4648" s="17"/>
      <c r="AN4648" s="17"/>
      <c r="AO4648" s="17"/>
      <c r="AP4648" s="17"/>
      <c r="AQ4648" s="17"/>
      <c r="AR4648" s="17"/>
    </row>
    <row r="4649" s="21" customFormat="1" ht="15.6" hidden="1" spans="1:44">
      <c r="A4649" s="17" t="s">
        <v>34</v>
      </c>
      <c r="B4649" s="19">
        <v>957</v>
      </c>
      <c r="C4649" s="183">
        <v>45225</v>
      </c>
      <c r="D4649" s="17" t="s">
        <v>52</v>
      </c>
      <c r="E4649" s="17" t="s">
        <v>1113</v>
      </c>
      <c r="F4649" s="17" t="s">
        <v>54</v>
      </c>
      <c r="G4649" s="17"/>
      <c r="H4649" s="19" t="s">
        <v>1114</v>
      </c>
      <c r="I4649" s="19"/>
      <c r="J4649" s="17" t="s">
        <v>82</v>
      </c>
      <c r="K4649" s="19">
        <v>510</v>
      </c>
      <c r="L4649" s="19">
        <v>40</v>
      </c>
      <c r="M4649" s="19">
        <v>2200</v>
      </c>
      <c r="N4649" s="19" t="s">
        <v>66</v>
      </c>
      <c r="O4649" s="19" t="s">
        <v>141</v>
      </c>
      <c r="P4649" s="19"/>
      <c r="Q4649" s="19">
        <v>369</v>
      </c>
      <c r="R4649" s="19">
        <f>+P4648-Q4648-Q4649</f>
        <v>-17</v>
      </c>
      <c r="S4649" s="274">
        <f>1070-40</f>
        <v>1030</v>
      </c>
      <c r="T4649" s="19" t="s">
        <v>42</v>
      </c>
      <c r="U4649" s="102" t="s">
        <v>1334</v>
      </c>
      <c r="V4649" s="101">
        <v>45247</v>
      </c>
      <c r="W4649" s="17" t="s">
        <v>44</v>
      </c>
      <c r="X4649" s="17"/>
      <c r="Y4649" s="68">
        <v>45292</v>
      </c>
      <c r="Z4649" s="17" t="s">
        <v>191</v>
      </c>
      <c r="AA4649" s="17" t="s">
        <v>46</v>
      </c>
      <c r="AB4649" s="17" t="s">
        <v>1337</v>
      </c>
      <c r="AC4649" s="217">
        <v>45400</v>
      </c>
      <c r="AD4649" s="65">
        <v>1563</v>
      </c>
      <c r="AE4649" s="17" t="s">
        <v>48</v>
      </c>
      <c r="AF4649" s="17"/>
      <c r="AG4649" s="17"/>
      <c r="AH4649" s="17"/>
      <c r="AI4649" s="17"/>
      <c r="AJ4649" s="17"/>
      <c r="AK4649" s="17"/>
      <c r="AL4649" s="17"/>
      <c r="AM4649" s="17"/>
      <c r="AN4649" s="17"/>
      <c r="AO4649" s="17"/>
      <c r="AP4649" s="17"/>
      <c r="AQ4649" s="17"/>
      <c r="AR4649" s="17"/>
    </row>
    <row r="4650" s="21" customFormat="1" ht="15.6" hidden="1" spans="1:44">
      <c r="A4650" s="17" t="s">
        <v>34</v>
      </c>
      <c r="B4650" s="19">
        <v>957</v>
      </c>
      <c r="C4650" s="183">
        <v>45225</v>
      </c>
      <c r="D4650" s="17" t="s">
        <v>52</v>
      </c>
      <c r="E4650" s="17" t="s">
        <v>1113</v>
      </c>
      <c r="F4650" s="17" t="s">
        <v>54</v>
      </c>
      <c r="G4650" s="17"/>
      <c r="H4650" s="19" t="s">
        <v>1114</v>
      </c>
      <c r="I4650" s="19"/>
      <c r="J4650" s="17" t="s">
        <v>82</v>
      </c>
      <c r="K4650" s="19">
        <v>855</v>
      </c>
      <c r="L4650" s="19">
        <v>40</v>
      </c>
      <c r="M4650" s="19">
        <v>2200</v>
      </c>
      <c r="N4650" s="19" t="s">
        <v>66</v>
      </c>
      <c r="O4650" s="19" t="s">
        <v>141</v>
      </c>
      <c r="P4650" s="19"/>
      <c r="Q4650" s="146">
        <v>647</v>
      </c>
      <c r="R4650" s="19"/>
      <c r="S4650" s="187">
        <f>1070+20</f>
        <v>1090</v>
      </c>
      <c r="T4650" s="19" t="s">
        <v>42</v>
      </c>
      <c r="U4650" s="102" t="s">
        <v>1334</v>
      </c>
      <c r="V4650" s="101">
        <v>45247</v>
      </c>
      <c r="W4650" s="17" t="s">
        <v>69</v>
      </c>
      <c r="X4650" s="17"/>
      <c r="Y4650" s="68">
        <v>45292</v>
      </c>
      <c r="Z4650" s="17" t="s">
        <v>191</v>
      </c>
      <c r="AA4650" s="17" t="s">
        <v>46</v>
      </c>
      <c r="AB4650" s="17" t="s">
        <v>1340</v>
      </c>
      <c r="AC4650" s="217">
        <v>45498</v>
      </c>
      <c r="AD4650" s="65">
        <v>1603</v>
      </c>
      <c r="AE4650" s="17" t="s">
        <v>48</v>
      </c>
      <c r="AF4650" s="17" t="s">
        <v>1346</v>
      </c>
      <c r="AG4650" s="17"/>
      <c r="AH4650" s="17"/>
      <c r="AI4650" s="17"/>
      <c r="AJ4650" s="17"/>
      <c r="AK4650" s="17"/>
      <c r="AL4650" s="17"/>
      <c r="AM4650" s="17"/>
      <c r="AN4650" s="17"/>
      <c r="AO4650" s="17"/>
      <c r="AP4650" s="17"/>
      <c r="AQ4650" s="17"/>
      <c r="AR4650" s="17"/>
    </row>
    <row r="4651" s="21" customFormat="1" ht="15.6" hidden="1" spans="1:44">
      <c r="A4651" s="17" t="s">
        <v>34</v>
      </c>
      <c r="B4651" s="19">
        <v>957</v>
      </c>
      <c r="C4651" s="183">
        <v>45225</v>
      </c>
      <c r="D4651" s="17" t="s">
        <v>52</v>
      </c>
      <c r="E4651" s="17" t="s">
        <v>1113</v>
      </c>
      <c r="F4651" s="17" t="s">
        <v>54</v>
      </c>
      <c r="G4651" s="17"/>
      <c r="H4651" s="19" t="s">
        <v>1114</v>
      </c>
      <c r="I4651" s="19"/>
      <c r="J4651" s="17" t="s">
        <v>82</v>
      </c>
      <c r="K4651" s="19">
        <v>1150</v>
      </c>
      <c r="L4651" s="19">
        <v>40</v>
      </c>
      <c r="M4651" s="19">
        <v>2200</v>
      </c>
      <c r="N4651" s="19" t="s">
        <v>66</v>
      </c>
      <c r="O4651" s="19" t="s">
        <v>141</v>
      </c>
      <c r="P4651" s="19"/>
      <c r="Q4651" s="146">
        <f>873+875</f>
        <v>1748</v>
      </c>
      <c r="R4651" s="19"/>
      <c r="S4651" s="187">
        <f>1070+20</f>
        <v>1090</v>
      </c>
      <c r="T4651" s="19" t="s">
        <v>42</v>
      </c>
      <c r="U4651" s="102" t="s">
        <v>1334</v>
      </c>
      <c r="V4651" s="101">
        <v>45247</v>
      </c>
      <c r="W4651" s="17" t="s">
        <v>69</v>
      </c>
      <c r="X4651" s="17"/>
      <c r="Y4651" s="68">
        <v>45292</v>
      </c>
      <c r="Z4651" s="17" t="s">
        <v>191</v>
      </c>
      <c r="AA4651" s="17" t="s">
        <v>46</v>
      </c>
      <c r="AB4651" s="17" t="s">
        <v>1340</v>
      </c>
      <c r="AC4651" s="217">
        <v>45498</v>
      </c>
      <c r="AD4651" s="65">
        <v>1603</v>
      </c>
      <c r="AE4651" s="17" t="s">
        <v>48</v>
      </c>
      <c r="AF4651" s="17"/>
      <c r="AG4651" s="17"/>
      <c r="AH4651" s="17"/>
      <c r="AI4651" s="17"/>
      <c r="AJ4651" s="17"/>
      <c r="AK4651" s="17"/>
      <c r="AL4651" s="17"/>
      <c r="AM4651" s="17"/>
      <c r="AN4651" s="17"/>
      <c r="AO4651" s="17"/>
      <c r="AP4651" s="17"/>
      <c r="AQ4651" s="17"/>
      <c r="AR4651" s="17"/>
    </row>
    <row r="4652" s="21" customFormat="1" ht="15.6" hidden="1" spans="1:44">
      <c r="A4652" s="17" t="s">
        <v>34</v>
      </c>
      <c r="B4652" s="19">
        <v>957</v>
      </c>
      <c r="C4652" s="183">
        <v>45225</v>
      </c>
      <c r="D4652" s="17" t="s">
        <v>52</v>
      </c>
      <c r="E4652" s="17" t="s">
        <v>1113</v>
      </c>
      <c r="F4652" s="17" t="s">
        <v>54</v>
      </c>
      <c r="G4652" s="17"/>
      <c r="H4652" s="19" t="s">
        <v>1114</v>
      </c>
      <c r="I4652" s="19"/>
      <c r="J4652" s="17" t="s">
        <v>82</v>
      </c>
      <c r="K4652" s="19">
        <v>205</v>
      </c>
      <c r="L4652" s="19">
        <v>50</v>
      </c>
      <c r="M4652" s="19">
        <v>2200</v>
      </c>
      <c r="N4652" s="19" t="s">
        <v>66</v>
      </c>
      <c r="O4652" s="19" t="s">
        <v>141</v>
      </c>
      <c r="P4652" s="19">
        <v>543</v>
      </c>
      <c r="Q4652" s="19">
        <v>555</v>
      </c>
      <c r="R4652" s="19">
        <f>+P4652-Q4652</f>
        <v>-12</v>
      </c>
      <c r="S4652" s="274">
        <f>1070-40</f>
        <v>1030</v>
      </c>
      <c r="T4652" s="19" t="s">
        <v>42</v>
      </c>
      <c r="U4652" s="102" t="s">
        <v>1334</v>
      </c>
      <c r="V4652" s="101">
        <v>45247</v>
      </c>
      <c r="W4652" s="17" t="s">
        <v>44</v>
      </c>
      <c r="X4652" s="17"/>
      <c r="Y4652" s="68">
        <v>45292</v>
      </c>
      <c r="Z4652" s="17" t="s">
        <v>191</v>
      </c>
      <c r="AA4652" s="17" t="s">
        <v>46</v>
      </c>
      <c r="AB4652" s="17" t="s">
        <v>1249</v>
      </c>
      <c r="AC4652" s="217">
        <v>45380</v>
      </c>
      <c r="AD4652" s="65">
        <v>1547</v>
      </c>
      <c r="AE4652" s="17" t="s">
        <v>48</v>
      </c>
      <c r="AF4652" s="17"/>
      <c r="AG4652" s="17"/>
      <c r="AH4652" s="17"/>
      <c r="AI4652" s="17"/>
      <c r="AJ4652" s="17"/>
      <c r="AK4652" s="17"/>
      <c r="AL4652" s="17"/>
      <c r="AM4652" s="17"/>
      <c r="AN4652" s="17"/>
      <c r="AO4652" s="17"/>
      <c r="AP4652" s="17"/>
      <c r="AQ4652" s="17"/>
      <c r="AR4652" s="17"/>
    </row>
    <row r="4653" s="21" customFormat="1" ht="15.6" hidden="1" spans="1:44">
      <c r="A4653" s="17" t="s">
        <v>34</v>
      </c>
      <c r="B4653" s="19">
        <v>957</v>
      </c>
      <c r="C4653" s="183">
        <v>45225</v>
      </c>
      <c r="D4653" s="17" t="s">
        <v>52</v>
      </c>
      <c r="E4653" s="17" t="s">
        <v>1113</v>
      </c>
      <c r="F4653" s="17" t="s">
        <v>54</v>
      </c>
      <c r="G4653" s="17"/>
      <c r="H4653" s="19" t="s">
        <v>1114</v>
      </c>
      <c r="I4653" s="19"/>
      <c r="J4653" s="17" t="s">
        <v>82</v>
      </c>
      <c r="K4653" s="19">
        <v>230</v>
      </c>
      <c r="L4653" s="19">
        <v>50</v>
      </c>
      <c r="M4653" s="19">
        <v>2200</v>
      </c>
      <c r="N4653" s="19" t="s">
        <v>66</v>
      </c>
      <c r="O4653" s="19" t="s">
        <v>141</v>
      </c>
      <c r="P4653" s="19">
        <v>609</v>
      </c>
      <c r="Q4653" s="19">
        <v>639</v>
      </c>
      <c r="R4653" s="19">
        <f>+P4653-Q4653</f>
        <v>-30</v>
      </c>
      <c r="S4653" s="274">
        <f>1070-40</f>
        <v>1030</v>
      </c>
      <c r="T4653" s="19" t="s">
        <v>42</v>
      </c>
      <c r="U4653" s="102" t="s">
        <v>1334</v>
      </c>
      <c r="V4653" s="101">
        <v>45247</v>
      </c>
      <c r="W4653" s="17" t="s">
        <v>44</v>
      </c>
      <c r="X4653" s="17"/>
      <c r="Y4653" s="68">
        <v>45292</v>
      </c>
      <c r="Z4653" s="17" t="s">
        <v>191</v>
      </c>
      <c r="AA4653" s="17" t="s">
        <v>46</v>
      </c>
      <c r="AB4653" s="17" t="s">
        <v>1342</v>
      </c>
      <c r="AC4653" s="217">
        <v>45394</v>
      </c>
      <c r="AD4653" s="65">
        <v>1555</v>
      </c>
      <c r="AE4653" s="17" t="s">
        <v>48</v>
      </c>
      <c r="AF4653" s="17"/>
      <c r="AG4653" s="17"/>
      <c r="AH4653" s="17"/>
      <c r="AI4653" s="17"/>
      <c r="AJ4653" s="17"/>
      <c r="AK4653" s="17"/>
      <c r="AL4653" s="17"/>
      <c r="AM4653" s="17"/>
      <c r="AN4653" s="17"/>
      <c r="AO4653" s="17"/>
      <c r="AP4653" s="17"/>
      <c r="AQ4653" s="17"/>
      <c r="AR4653" s="17"/>
    </row>
    <row r="4654" s="21" customFormat="1" ht="15.6" hidden="1" spans="1:44">
      <c r="A4654" s="17" t="s">
        <v>34</v>
      </c>
      <c r="B4654" s="19">
        <v>957</v>
      </c>
      <c r="C4654" s="183">
        <v>45225</v>
      </c>
      <c r="D4654" s="17" t="s">
        <v>52</v>
      </c>
      <c r="E4654" s="17" t="s">
        <v>1113</v>
      </c>
      <c r="F4654" s="17" t="s">
        <v>54</v>
      </c>
      <c r="G4654" s="17"/>
      <c r="H4654" s="19" t="s">
        <v>1114</v>
      </c>
      <c r="I4654" s="19"/>
      <c r="J4654" s="17" t="s">
        <v>82</v>
      </c>
      <c r="K4654" s="19">
        <v>255</v>
      </c>
      <c r="L4654" s="19">
        <v>50</v>
      </c>
      <c r="M4654" s="19">
        <v>2200</v>
      </c>
      <c r="N4654" s="19" t="s">
        <v>66</v>
      </c>
      <c r="O4654" s="19" t="s">
        <v>141</v>
      </c>
      <c r="P4654" s="19">
        <v>450</v>
      </c>
      <c r="Q4654" s="19">
        <v>233</v>
      </c>
      <c r="S4654" s="274">
        <f>1070-40</f>
        <v>1030</v>
      </c>
      <c r="T4654" s="19" t="s">
        <v>42</v>
      </c>
      <c r="U4654" s="102" t="s">
        <v>1334</v>
      </c>
      <c r="V4654" s="101">
        <v>45247</v>
      </c>
      <c r="W4654" s="17" t="s">
        <v>44</v>
      </c>
      <c r="X4654" s="17"/>
      <c r="Y4654" s="68">
        <v>45292</v>
      </c>
      <c r="Z4654" s="17" t="s">
        <v>191</v>
      </c>
      <c r="AA4654" s="17" t="s">
        <v>46</v>
      </c>
      <c r="AB4654" s="17" t="s">
        <v>1342</v>
      </c>
      <c r="AC4654" s="217">
        <v>45394</v>
      </c>
      <c r="AD4654" s="65">
        <v>1555</v>
      </c>
      <c r="AE4654" s="17" t="s">
        <v>74</v>
      </c>
      <c r="AF4654" s="17"/>
      <c r="AG4654" s="17"/>
      <c r="AH4654" s="17"/>
      <c r="AI4654" s="17"/>
      <c r="AJ4654" s="17"/>
      <c r="AK4654" s="17"/>
      <c r="AL4654" s="17"/>
      <c r="AM4654" s="17"/>
      <c r="AN4654" s="17"/>
      <c r="AO4654" s="17"/>
      <c r="AP4654" s="17"/>
      <c r="AQ4654" s="17"/>
      <c r="AR4654" s="17"/>
    </row>
    <row r="4655" s="21" customFormat="1" ht="15.6" hidden="1" spans="1:44">
      <c r="A4655" s="17" t="s">
        <v>34</v>
      </c>
      <c r="B4655" s="19">
        <v>957</v>
      </c>
      <c r="C4655" s="183">
        <v>45225</v>
      </c>
      <c r="D4655" s="17" t="s">
        <v>52</v>
      </c>
      <c r="E4655" s="17" t="s">
        <v>1113</v>
      </c>
      <c r="F4655" s="17" t="s">
        <v>54</v>
      </c>
      <c r="G4655" s="17"/>
      <c r="H4655" s="19" t="s">
        <v>1114</v>
      </c>
      <c r="I4655" s="19"/>
      <c r="J4655" s="17" t="s">
        <v>82</v>
      </c>
      <c r="K4655" s="19">
        <v>255</v>
      </c>
      <c r="L4655" s="19">
        <v>50</v>
      </c>
      <c r="M4655" s="19">
        <v>2200</v>
      </c>
      <c r="N4655" s="19" t="s">
        <v>66</v>
      </c>
      <c r="O4655" s="19" t="s">
        <v>141</v>
      </c>
      <c r="P4655" s="19"/>
      <c r="Q4655" s="19">
        <v>229</v>
      </c>
      <c r="R4655" s="19">
        <f>+P4654-Q4654-Q4655</f>
        <v>-12</v>
      </c>
      <c r="S4655" s="274">
        <v>1030</v>
      </c>
      <c r="T4655" s="19" t="s">
        <v>42</v>
      </c>
      <c r="U4655" s="102" t="s">
        <v>1334</v>
      </c>
      <c r="V4655" s="101">
        <v>45247</v>
      </c>
      <c r="W4655" s="17" t="s">
        <v>44</v>
      </c>
      <c r="X4655" s="17"/>
      <c r="Y4655" s="68">
        <v>45292</v>
      </c>
      <c r="Z4655" s="17" t="s">
        <v>191</v>
      </c>
      <c r="AA4655" s="17" t="s">
        <v>46</v>
      </c>
      <c r="AB4655" s="17" t="s">
        <v>1337</v>
      </c>
      <c r="AC4655" s="217">
        <v>45400</v>
      </c>
      <c r="AD4655" s="65">
        <v>1563</v>
      </c>
      <c r="AE4655" s="17" t="s">
        <v>74</v>
      </c>
      <c r="AF4655" s="17"/>
      <c r="AG4655" s="17"/>
      <c r="AH4655" s="17"/>
      <c r="AI4655" s="17"/>
      <c r="AJ4655" s="17"/>
      <c r="AK4655" s="17"/>
      <c r="AL4655" s="17"/>
      <c r="AM4655" s="17"/>
      <c r="AN4655" s="17"/>
      <c r="AO4655" s="17"/>
      <c r="AP4655" s="17"/>
      <c r="AQ4655" s="17"/>
      <c r="AR4655" s="17"/>
    </row>
    <row r="4656" s="21" customFormat="1" ht="15.6" hidden="1" spans="1:44">
      <c r="A4656" s="17" t="s">
        <v>34</v>
      </c>
      <c r="B4656" s="19">
        <v>957</v>
      </c>
      <c r="C4656" s="183">
        <v>45225</v>
      </c>
      <c r="D4656" s="17" t="s">
        <v>52</v>
      </c>
      <c r="E4656" s="17" t="s">
        <v>1113</v>
      </c>
      <c r="F4656" s="17" t="s">
        <v>54</v>
      </c>
      <c r="G4656" s="17"/>
      <c r="H4656" s="19" t="s">
        <v>1114</v>
      </c>
      <c r="I4656" s="19"/>
      <c r="J4656" s="17" t="s">
        <v>82</v>
      </c>
      <c r="K4656" s="19">
        <v>305</v>
      </c>
      <c r="L4656" s="19">
        <v>50</v>
      </c>
      <c r="M4656" s="19">
        <v>2200</v>
      </c>
      <c r="N4656" s="19" t="s">
        <v>66</v>
      </c>
      <c r="O4656" s="19" t="s">
        <v>141</v>
      </c>
      <c r="P4656" s="19">
        <v>539</v>
      </c>
      <c r="Q4656" s="19">
        <f>278+278</f>
        <v>556</v>
      </c>
      <c r="R4656" s="19">
        <f>+P4656-Q4656</f>
        <v>-17</v>
      </c>
      <c r="S4656" s="274">
        <f>1070-40</f>
        <v>1030</v>
      </c>
      <c r="T4656" s="19" t="s">
        <v>42</v>
      </c>
      <c r="U4656" s="102" t="s">
        <v>1334</v>
      </c>
      <c r="V4656" s="101">
        <v>45247</v>
      </c>
      <c r="W4656" s="17" t="s">
        <v>44</v>
      </c>
      <c r="X4656" s="17"/>
      <c r="Y4656" s="68">
        <v>45292</v>
      </c>
      <c r="Z4656" s="17" t="s">
        <v>191</v>
      </c>
      <c r="AA4656" s="17" t="s">
        <v>46</v>
      </c>
      <c r="AB4656" s="17" t="s">
        <v>1341</v>
      </c>
      <c r="AC4656" s="217">
        <v>45400</v>
      </c>
      <c r="AD4656" s="65">
        <v>1562</v>
      </c>
      <c r="AE4656" s="17" t="s">
        <v>48</v>
      </c>
      <c r="AF4656" s="17"/>
      <c r="AG4656" s="17"/>
      <c r="AH4656" s="17"/>
      <c r="AI4656" s="17"/>
      <c r="AJ4656" s="17"/>
      <c r="AK4656" s="17"/>
      <c r="AL4656" s="17"/>
      <c r="AM4656" s="17"/>
      <c r="AN4656" s="17"/>
      <c r="AO4656" s="17"/>
      <c r="AP4656" s="17"/>
      <c r="AQ4656" s="17"/>
      <c r="AR4656" s="17"/>
    </row>
    <row r="4657" s="21" customFormat="1" ht="15.6" hidden="1" spans="1:44">
      <c r="A4657" s="17" t="s">
        <v>34</v>
      </c>
      <c r="B4657" s="19">
        <v>957</v>
      </c>
      <c r="C4657" s="183">
        <v>45225</v>
      </c>
      <c r="D4657" s="17" t="s">
        <v>52</v>
      </c>
      <c r="E4657" s="17" t="s">
        <v>1113</v>
      </c>
      <c r="F4657" s="17" t="s">
        <v>54</v>
      </c>
      <c r="G4657" s="17"/>
      <c r="H4657" s="19" t="s">
        <v>1114</v>
      </c>
      <c r="I4657" s="19"/>
      <c r="J4657" s="17" t="s">
        <v>82</v>
      </c>
      <c r="K4657" s="19">
        <v>355</v>
      </c>
      <c r="L4657" s="19">
        <v>50</v>
      </c>
      <c r="M4657" s="19">
        <v>2200</v>
      </c>
      <c r="N4657" s="19" t="s">
        <v>66</v>
      </c>
      <c r="O4657" s="19" t="s">
        <v>141</v>
      </c>
      <c r="P4657" s="19">
        <v>627</v>
      </c>
      <c r="Q4657" s="19">
        <v>643</v>
      </c>
      <c r="R4657" s="19">
        <f>+P4657-Q4657</f>
        <v>-16</v>
      </c>
      <c r="S4657" s="274">
        <f>1070-40</f>
        <v>1030</v>
      </c>
      <c r="T4657" s="19" t="s">
        <v>42</v>
      </c>
      <c r="U4657" s="102" t="s">
        <v>1334</v>
      </c>
      <c r="V4657" s="101">
        <v>45247</v>
      </c>
      <c r="W4657" s="17" t="s">
        <v>44</v>
      </c>
      <c r="X4657" s="17"/>
      <c r="Y4657" s="68">
        <v>45292</v>
      </c>
      <c r="Z4657" s="17" t="s">
        <v>191</v>
      </c>
      <c r="AA4657" s="17" t="s">
        <v>46</v>
      </c>
      <c r="AB4657" s="17" t="s">
        <v>1338</v>
      </c>
      <c r="AC4657" s="217">
        <v>45395</v>
      </c>
      <c r="AD4657" s="65">
        <v>1557</v>
      </c>
      <c r="AE4657" s="17" t="s">
        <v>74</v>
      </c>
      <c r="AF4657" s="17"/>
      <c r="AG4657" s="17"/>
      <c r="AH4657" s="17"/>
      <c r="AI4657" s="17"/>
      <c r="AJ4657" s="17"/>
      <c r="AK4657" s="17"/>
      <c r="AL4657" s="17"/>
      <c r="AM4657" s="17"/>
      <c r="AN4657" s="17"/>
      <c r="AO4657" s="17"/>
      <c r="AP4657" s="17"/>
      <c r="AQ4657" s="17"/>
      <c r="AR4657" s="17"/>
    </row>
    <row r="4658" s="21" customFormat="1" ht="15.6" hidden="1" spans="1:44">
      <c r="A4658" s="17" t="s">
        <v>34</v>
      </c>
      <c r="B4658" s="19">
        <v>957</v>
      </c>
      <c r="C4658" s="183">
        <v>45225</v>
      </c>
      <c r="D4658" s="17" t="s">
        <v>52</v>
      </c>
      <c r="E4658" s="17" t="s">
        <v>1113</v>
      </c>
      <c r="F4658" s="17" t="s">
        <v>54</v>
      </c>
      <c r="G4658" s="17"/>
      <c r="H4658" s="19" t="s">
        <v>1114</v>
      </c>
      <c r="I4658" s="19"/>
      <c r="J4658" s="17" t="s">
        <v>82</v>
      </c>
      <c r="K4658" s="19">
        <v>405</v>
      </c>
      <c r="L4658" s="19">
        <v>50</v>
      </c>
      <c r="M4658" s="19">
        <v>2200</v>
      </c>
      <c r="N4658" s="19" t="s">
        <v>66</v>
      </c>
      <c r="O4658" s="19" t="s">
        <v>141</v>
      </c>
      <c r="P4658" s="19">
        <v>715</v>
      </c>
      <c r="Q4658" s="19">
        <f>365+366</f>
        <v>731</v>
      </c>
      <c r="S4658" s="274">
        <f>1070-40</f>
        <v>1030</v>
      </c>
      <c r="T4658" s="19" t="s">
        <v>42</v>
      </c>
      <c r="U4658" s="102" t="s">
        <v>1334</v>
      </c>
      <c r="V4658" s="101">
        <v>45247</v>
      </c>
      <c r="W4658" s="17" t="s">
        <v>44</v>
      </c>
      <c r="X4658" s="17"/>
      <c r="Y4658" s="68">
        <v>45292</v>
      </c>
      <c r="Z4658" s="17" t="s">
        <v>191</v>
      </c>
      <c r="AA4658" s="17" t="s">
        <v>46</v>
      </c>
      <c r="AB4658" s="17" t="s">
        <v>1338</v>
      </c>
      <c r="AC4658" s="217">
        <v>45395</v>
      </c>
      <c r="AD4658" s="65">
        <v>1557</v>
      </c>
      <c r="AE4658" s="17" t="s">
        <v>48</v>
      </c>
      <c r="AF4658" s="17"/>
      <c r="AG4658" s="17"/>
      <c r="AH4658" s="17"/>
      <c r="AI4658" s="17"/>
      <c r="AJ4658" s="17"/>
      <c r="AK4658" s="17"/>
      <c r="AL4658" s="17"/>
      <c r="AM4658" s="17"/>
      <c r="AN4658" s="17"/>
      <c r="AO4658" s="17"/>
      <c r="AP4658" s="17"/>
      <c r="AQ4658" s="17"/>
      <c r="AR4658" s="17"/>
    </row>
    <row r="4659" s="21" customFormat="1" ht="15.6" hidden="1" spans="1:44">
      <c r="A4659" s="17" t="s">
        <v>34</v>
      </c>
      <c r="B4659" s="19">
        <v>957</v>
      </c>
      <c r="C4659" s="183">
        <v>45225</v>
      </c>
      <c r="D4659" s="17" t="s">
        <v>52</v>
      </c>
      <c r="E4659" s="17" t="s">
        <v>1113</v>
      </c>
      <c r="F4659" s="17" t="s">
        <v>54</v>
      </c>
      <c r="G4659" s="17"/>
      <c r="H4659" s="19" t="s">
        <v>1114</v>
      </c>
      <c r="I4659" s="19"/>
      <c r="J4659" s="17" t="s">
        <v>82</v>
      </c>
      <c r="K4659" s="19">
        <v>405</v>
      </c>
      <c r="L4659" s="19">
        <v>50</v>
      </c>
      <c r="M4659" s="19">
        <v>2200</v>
      </c>
      <c r="N4659" s="19" t="s">
        <v>66</v>
      </c>
      <c r="O4659" s="19" t="s">
        <v>141</v>
      </c>
      <c r="P4659" s="19"/>
      <c r="Q4659" s="19">
        <v>367</v>
      </c>
      <c r="R4659" s="19">
        <f>+P4658-Q4658-Q4659</f>
        <v>-383</v>
      </c>
      <c r="S4659" s="274">
        <f>1030+80-20</f>
        <v>1090</v>
      </c>
      <c r="T4659" s="19" t="s">
        <v>42</v>
      </c>
      <c r="U4659" s="102" t="s">
        <v>1334</v>
      </c>
      <c r="V4659" s="101">
        <v>45247</v>
      </c>
      <c r="W4659" s="17" t="s">
        <v>69</v>
      </c>
      <c r="X4659" s="17"/>
      <c r="Y4659" s="68">
        <v>45292</v>
      </c>
      <c r="Z4659" s="17" t="s">
        <v>191</v>
      </c>
      <c r="AA4659" s="17" t="s">
        <v>46</v>
      </c>
      <c r="AB4659" s="17" t="s">
        <v>1335</v>
      </c>
      <c r="AC4659" s="217">
        <v>45443</v>
      </c>
      <c r="AD4659" s="65">
        <v>1581</v>
      </c>
      <c r="AE4659" s="17" t="s">
        <v>74</v>
      </c>
      <c r="AF4659" s="17"/>
      <c r="AG4659" s="17"/>
      <c r="AH4659" s="17"/>
      <c r="AI4659" s="17"/>
      <c r="AJ4659" s="17"/>
      <c r="AK4659" s="17"/>
      <c r="AL4659" s="17"/>
      <c r="AM4659" s="17"/>
      <c r="AN4659" s="17"/>
      <c r="AO4659" s="17"/>
      <c r="AP4659" s="17"/>
      <c r="AQ4659" s="17"/>
      <c r="AR4659" s="17"/>
    </row>
    <row r="4660" s="21" customFormat="1" ht="15.6" hidden="1" spans="1:44">
      <c r="A4660" s="17" t="s">
        <v>34</v>
      </c>
      <c r="B4660" s="19">
        <v>957</v>
      </c>
      <c r="C4660" s="183">
        <v>45225</v>
      </c>
      <c r="D4660" s="17" t="s">
        <v>52</v>
      </c>
      <c r="E4660" s="17" t="s">
        <v>1113</v>
      </c>
      <c r="F4660" s="17" t="s">
        <v>54</v>
      </c>
      <c r="G4660" s="17"/>
      <c r="H4660" s="19" t="s">
        <v>1114</v>
      </c>
      <c r="I4660" s="19"/>
      <c r="J4660" s="17" t="s">
        <v>82</v>
      </c>
      <c r="K4660" s="19">
        <v>205</v>
      </c>
      <c r="L4660" s="19">
        <v>65</v>
      </c>
      <c r="M4660" s="19">
        <v>2200</v>
      </c>
      <c r="N4660" s="19" t="s">
        <v>66</v>
      </c>
      <c r="O4660" s="19" t="s">
        <v>141</v>
      </c>
      <c r="P4660" s="19">
        <v>471</v>
      </c>
      <c r="Q4660" s="19">
        <v>482</v>
      </c>
      <c r="R4660" s="19">
        <f>+P4660-Q4660</f>
        <v>-11</v>
      </c>
      <c r="S4660" s="274">
        <f>1070-40</f>
        <v>1030</v>
      </c>
      <c r="T4660" s="19" t="s">
        <v>42</v>
      </c>
      <c r="U4660" s="102" t="s">
        <v>1334</v>
      </c>
      <c r="V4660" s="101">
        <v>45247</v>
      </c>
      <c r="W4660" s="17" t="s">
        <v>44</v>
      </c>
      <c r="X4660" s="17"/>
      <c r="Y4660" s="68">
        <v>45292</v>
      </c>
      <c r="Z4660" s="17" t="s">
        <v>191</v>
      </c>
      <c r="AA4660" s="17" t="s">
        <v>46</v>
      </c>
      <c r="AB4660" s="17" t="s">
        <v>1338</v>
      </c>
      <c r="AC4660" s="217">
        <v>45395</v>
      </c>
      <c r="AD4660" s="65">
        <v>1557</v>
      </c>
      <c r="AE4660" s="17" t="s">
        <v>48</v>
      </c>
      <c r="AF4660" s="17"/>
      <c r="AG4660" s="17"/>
      <c r="AH4660" s="17"/>
      <c r="AI4660" s="17"/>
      <c r="AJ4660" s="17"/>
      <c r="AK4660" s="17"/>
      <c r="AL4660" s="17"/>
      <c r="AM4660" s="17"/>
      <c r="AN4660" s="17"/>
      <c r="AO4660" s="17"/>
      <c r="AP4660" s="17"/>
      <c r="AQ4660" s="17"/>
      <c r="AR4660" s="17"/>
    </row>
    <row r="4661" s="21" customFormat="1" ht="15.6" hidden="1" spans="1:44">
      <c r="A4661" s="17" t="s">
        <v>34</v>
      </c>
      <c r="B4661" s="19">
        <v>957</v>
      </c>
      <c r="C4661" s="183">
        <v>45225</v>
      </c>
      <c r="D4661" s="17" t="s">
        <v>52</v>
      </c>
      <c r="E4661" s="17" t="s">
        <v>1113</v>
      </c>
      <c r="F4661" s="17" t="s">
        <v>54</v>
      </c>
      <c r="G4661" s="17"/>
      <c r="H4661" s="19" t="s">
        <v>1114</v>
      </c>
      <c r="I4661" s="19"/>
      <c r="J4661" s="17" t="s">
        <v>82</v>
      </c>
      <c r="K4661" s="19">
        <v>230</v>
      </c>
      <c r="L4661" s="19">
        <v>65</v>
      </c>
      <c r="M4661" s="19">
        <v>2200</v>
      </c>
      <c r="N4661" s="19" t="s">
        <v>66</v>
      </c>
      <c r="O4661" s="19" t="s">
        <v>141</v>
      </c>
      <c r="P4661" s="19">
        <v>528</v>
      </c>
      <c r="Q4661" s="19">
        <v>544</v>
      </c>
      <c r="R4661" s="19">
        <f>+P4661-Q4661</f>
        <v>-16</v>
      </c>
      <c r="S4661" s="274">
        <f>1070-40</f>
        <v>1030</v>
      </c>
      <c r="T4661" s="19" t="s">
        <v>42</v>
      </c>
      <c r="U4661" s="102" t="s">
        <v>1334</v>
      </c>
      <c r="V4661" s="101">
        <v>45247</v>
      </c>
      <c r="W4661" s="17" t="s">
        <v>44</v>
      </c>
      <c r="X4661" s="17"/>
      <c r="Y4661" s="68">
        <v>45292</v>
      </c>
      <c r="Z4661" s="17" t="s">
        <v>191</v>
      </c>
      <c r="AA4661" s="17" t="s">
        <v>46</v>
      </c>
      <c r="AB4661" s="17" t="s">
        <v>1337</v>
      </c>
      <c r="AC4661" s="217">
        <v>45400</v>
      </c>
      <c r="AD4661" s="65">
        <v>1563</v>
      </c>
      <c r="AE4661" s="17" t="s">
        <v>48</v>
      </c>
      <c r="AF4661" s="17"/>
      <c r="AG4661" s="17"/>
      <c r="AH4661" s="17"/>
      <c r="AI4661" s="17"/>
      <c r="AJ4661" s="17"/>
      <c r="AK4661" s="17"/>
      <c r="AL4661" s="17"/>
      <c r="AM4661" s="17"/>
      <c r="AN4661" s="17"/>
      <c r="AO4661" s="17"/>
      <c r="AP4661" s="17"/>
      <c r="AQ4661" s="17"/>
      <c r="AR4661" s="17"/>
    </row>
    <row r="4662" s="21" customFormat="1" ht="15.6" hidden="1" spans="1:44">
      <c r="A4662" s="17" t="s">
        <v>34</v>
      </c>
      <c r="B4662" s="19">
        <v>957</v>
      </c>
      <c r="C4662" s="183">
        <v>45225</v>
      </c>
      <c r="D4662" s="17" t="s">
        <v>52</v>
      </c>
      <c r="E4662" s="17" t="s">
        <v>1113</v>
      </c>
      <c r="F4662" s="17" t="s">
        <v>54</v>
      </c>
      <c r="G4662" s="17"/>
      <c r="H4662" s="19" t="s">
        <v>1114</v>
      </c>
      <c r="I4662" s="19"/>
      <c r="J4662" s="17" t="s">
        <v>82</v>
      </c>
      <c r="K4662" s="19">
        <v>255</v>
      </c>
      <c r="L4662" s="19">
        <v>65</v>
      </c>
      <c r="M4662" s="19">
        <v>2200</v>
      </c>
      <c r="N4662" s="19" t="s">
        <v>66</v>
      </c>
      <c r="O4662" s="19" t="s">
        <v>141</v>
      </c>
      <c r="P4662" s="19">
        <v>586</v>
      </c>
      <c r="Q4662" s="19">
        <v>604</v>
      </c>
      <c r="R4662" s="19">
        <f>+P4662-Q4662</f>
        <v>-18</v>
      </c>
      <c r="S4662" s="274">
        <f>1070-40</f>
        <v>1030</v>
      </c>
      <c r="T4662" s="19" t="s">
        <v>42</v>
      </c>
      <c r="U4662" s="102" t="s">
        <v>1334</v>
      </c>
      <c r="V4662" s="101">
        <v>45247</v>
      </c>
      <c r="W4662" s="17" t="s">
        <v>44</v>
      </c>
      <c r="X4662" s="17"/>
      <c r="Y4662" s="68">
        <v>45292</v>
      </c>
      <c r="Z4662" s="17" t="s">
        <v>191</v>
      </c>
      <c r="AA4662" s="17" t="s">
        <v>46</v>
      </c>
      <c r="AB4662" s="17" t="s">
        <v>1338</v>
      </c>
      <c r="AC4662" s="217">
        <v>45395</v>
      </c>
      <c r="AD4662" s="65">
        <v>1557</v>
      </c>
      <c r="AE4662" s="17" t="s">
        <v>48</v>
      </c>
      <c r="AF4662" s="17"/>
      <c r="AG4662" s="17"/>
      <c r="AH4662" s="17"/>
      <c r="AI4662" s="17"/>
      <c r="AJ4662" s="17"/>
      <c r="AK4662" s="17"/>
      <c r="AL4662" s="17"/>
      <c r="AM4662" s="17"/>
      <c r="AN4662" s="17"/>
      <c r="AO4662" s="17"/>
      <c r="AP4662" s="17"/>
      <c r="AQ4662" s="17"/>
      <c r="AR4662" s="17"/>
    </row>
    <row r="4663" s="21" customFormat="1" ht="15.6" hidden="1" spans="1:44">
      <c r="A4663" s="17" t="s">
        <v>34</v>
      </c>
      <c r="B4663" s="19">
        <v>957</v>
      </c>
      <c r="C4663" s="183">
        <v>45225</v>
      </c>
      <c r="D4663" s="17" t="s">
        <v>52</v>
      </c>
      <c r="E4663" s="17" t="s">
        <v>1113</v>
      </c>
      <c r="F4663" s="17" t="s">
        <v>54</v>
      </c>
      <c r="G4663" s="17"/>
      <c r="H4663" s="19" t="s">
        <v>1114</v>
      </c>
      <c r="I4663" s="19"/>
      <c r="J4663" s="17" t="s">
        <v>82</v>
      </c>
      <c r="K4663" s="19">
        <v>280</v>
      </c>
      <c r="L4663" s="19">
        <v>65</v>
      </c>
      <c r="M4663" s="19">
        <v>2200</v>
      </c>
      <c r="N4663" s="19" t="s">
        <v>66</v>
      </c>
      <c r="O4663" s="19" t="s">
        <v>141</v>
      </c>
      <c r="P4663" s="19">
        <v>643</v>
      </c>
      <c r="Q4663" s="19">
        <v>329</v>
      </c>
      <c r="S4663" s="274">
        <f>1070-40</f>
        <v>1030</v>
      </c>
      <c r="T4663" s="19" t="s">
        <v>42</v>
      </c>
      <c r="U4663" s="102" t="s">
        <v>1334</v>
      </c>
      <c r="V4663" s="101">
        <v>45247</v>
      </c>
      <c r="W4663" s="17" t="s">
        <v>44</v>
      </c>
      <c r="X4663" s="17"/>
      <c r="Y4663" s="68">
        <v>45292</v>
      </c>
      <c r="Z4663" s="17" t="s">
        <v>191</v>
      </c>
      <c r="AA4663" s="17" t="s">
        <v>46</v>
      </c>
      <c r="AB4663" s="17" t="s">
        <v>1338</v>
      </c>
      <c r="AC4663" s="217">
        <v>45395</v>
      </c>
      <c r="AD4663" s="65">
        <v>1557</v>
      </c>
      <c r="AE4663" s="17" t="s">
        <v>48</v>
      </c>
      <c r="AF4663" s="17"/>
      <c r="AG4663" s="17"/>
      <c r="AH4663" s="17"/>
      <c r="AI4663" s="17"/>
      <c r="AJ4663" s="17"/>
      <c r="AK4663" s="17"/>
      <c r="AL4663" s="17"/>
      <c r="AM4663" s="17"/>
      <c r="AN4663" s="17"/>
      <c r="AO4663" s="17"/>
      <c r="AP4663" s="17"/>
      <c r="AQ4663" s="17"/>
      <c r="AR4663" s="17"/>
    </row>
    <row r="4664" s="21" customFormat="1" ht="15.6" hidden="1" spans="1:44">
      <c r="A4664" s="17" t="s">
        <v>34</v>
      </c>
      <c r="B4664" s="19">
        <v>957</v>
      </c>
      <c r="C4664" s="183">
        <v>45225</v>
      </c>
      <c r="D4664" s="17" t="s">
        <v>52</v>
      </c>
      <c r="E4664" s="17" t="s">
        <v>1113</v>
      </c>
      <c r="F4664" s="17" t="s">
        <v>54</v>
      </c>
      <c r="G4664" s="17"/>
      <c r="H4664" s="19" t="s">
        <v>1114</v>
      </c>
      <c r="I4664" s="19"/>
      <c r="J4664" s="17" t="s">
        <v>82</v>
      </c>
      <c r="K4664" s="19">
        <v>280</v>
      </c>
      <c r="L4664" s="19">
        <v>65</v>
      </c>
      <c r="M4664" s="19">
        <v>2200</v>
      </c>
      <c r="N4664" s="19" t="s">
        <v>66</v>
      </c>
      <c r="O4664" s="19" t="s">
        <v>141</v>
      </c>
      <c r="P4664" s="19"/>
      <c r="Q4664" s="19">
        <v>332</v>
      </c>
      <c r="R4664" s="19">
        <f>+P4663-Q4663-Q4664</f>
        <v>-18</v>
      </c>
      <c r="S4664" s="274">
        <f>1030+80-20</f>
        <v>1090</v>
      </c>
      <c r="T4664" s="19" t="s">
        <v>42</v>
      </c>
      <c r="U4664" s="102" t="s">
        <v>1334</v>
      </c>
      <c r="V4664" s="101">
        <v>45247</v>
      </c>
      <c r="W4664" s="17" t="s">
        <v>69</v>
      </c>
      <c r="X4664" s="17"/>
      <c r="Y4664" s="68">
        <v>45292</v>
      </c>
      <c r="Z4664" s="17" t="s">
        <v>191</v>
      </c>
      <c r="AA4664" s="17" t="s">
        <v>46</v>
      </c>
      <c r="AB4664" s="17" t="s">
        <v>1339</v>
      </c>
      <c r="AC4664" s="217">
        <v>45433</v>
      </c>
      <c r="AD4664" s="65">
        <v>1570</v>
      </c>
      <c r="AE4664" s="17" t="s">
        <v>48</v>
      </c>
      <c r="AF4664" s="17"/>
      <c r="AG4664" s="17"/>
      <c r="AH4664" s="17"/>
      <c r="AI4664" s="17"/>
      <c r="AJ4664" s="17"/>
      <c r="AK4664" s="17"/>
      <c r="AL4664" s="17"/>
      <c r="AM4664" s="17"/>
      <c r="AN4664" s="17"/>
      <c r="AO4664" s="17"/>
      <c r="AP4664" s="17"/>
      <c r="AQ4664" s="17"/>
      <c r="AR4664" s="17"/>
    </row>
    <row r="4665" s="21" customFormat="1" ht="15.6" hidden="1" spans="1:44">
      <c r="A4665" s="17" t="s">
        <v>34</v>
      </c>
      <c r="B4665" s="19">
        <v>957</v>
      </c>
      <c r="C4665" s="183">
        <v>45225</v>
      </c>
      <c r="D4665" s="17" t="s">
        <v>52</v>
      </c>
      <c r="E4665" s="17" t="s">
        <v>1113</v>
      </c>
      <c r="F4665" s="17" t="s">
        <v>54</v>
      </c>
      <c r="G4665" s="17"/>
      <c r="H4665" s="19" t="s">
        <v>1114</v>
      </c>
      <c r="I4665" s="19"/>
      <c r="J4665" s="17" t="s">
        <v>82</v>
      </c>
      <c r="K4665" s="19">
        <v>305</v>
      </c>
      <c r="L4665" s="19">
        <v>65</v>
      </c>
      <c r="M4665" s="19">
        <v>2200</v>
      </c>
      <c r="N4665" s="19" t="s">
        <v>66</v>
      </c>
      <c r="O4665" s="19" t="s">
        <v>141</v>
      </c>
      <c r="P4665" s="19">
        <v>350</v>
      </c>
      <c r="Q4665" s="146">
        <v>357</v>
      </c>
      <c r="R4665" s="19">
        <f t="shared" ref="R4665:R4678" si="221">+P4665-Q4665</f>
        <v>-7</v>
      </c>
      <c r="S4665" s="274">
        <f>1070-40+80</f>
        <v>1110</v>
      </c>
      <c r="T4665" s="19" t="s">
        <v>42</v>
      </c>
      <c r="U4665" s="102" t="s">
        <v>1334</v>
      </c>
      <c r="V4665" s="101">
        <v>45247</v>
      </c>
      <c r="W4665" s="17" t="s">
        <v>69</v>
      </c>
      <c r="X4665" s="17"/>
      <c r="Y4665" s="68">
        <v>45292</v>
      </c>
      <c r="Z4665" s="17" t="s">
        <v>191</v>
      </c>
      <c r="AA4665" s="17" t="s">
        <v>46</v>
      </c>
      <c r="AB4665" s="17" t="s">
        <v>1340</v>
      </c>
      <c r="AC4665" s="217">
        <v>45498</v>
      </c>
      <c r="AD4665" s="65">
        <v>1603</v>
      </c>
      <c r="AE4665" s="17" t="s">
        <v>48</v>
      </c>
      <c r="AF4665" s="17"/>
      <c r="AG4665" s="17"/>
      <c r="AH4665" s="17"/>
      <c r="AI4665" s="17"/>
      <c r="AJ4665" s="17"/>
      <c r="AK4665" s="17"/>
      <c r="AL4665" s="17"/>
      <c r="AM4665" s="17"/>
      <c r="AN4665" s="17"/>
      <c r="AO4665" s="17"/>
      <c r="AP4665" s="17"/>
      <c r="AQ4665" s="17"/>
      <c r="AR4665" s="17"/>
    </row>
    <row r="4666" s="21" customFormat="1" ht="15.6" hidden="1" spans="1:44">
      <c r="A4666" s="17" t="s">
        <v>34</v>
      </c>
      <c r="B4666" s="19">
        <v>957</v>
      </c>
      <c r="C4666" s="183">
        <v>45225</v>
      </c>
      <c r="D4666" s="17" t="s">
        <v>52</v>
      </c>
      <c r="E4666" s="17" t="s">
        <v>1113</v>
      </c>
      <c r="F4666" s="17" t="s">
        <v>54</v>
      </c>
      <c r="G4666" s="17"/>
      <c r="H4666" s="19" t="s">
        <v>1114</v>
      </c>
      <c r="I4666" s="19"/>
      <c r="J4666" s="17" t="s">
        <v>82</v>
      </c>
      <c r="K4666" s="19">
        <v>355</v>
      </c>
      <c r="L4666" s="19">
        <v>65</v>
      </c>
      <c r="M4666" s="19">
        <v>2200</v>
      </c>
      <c r="N4666" s="19" t="s">
        <v>66</v>
      </c>
      <c r="O4666" s="19" t="s">
        <v>141</v>
      </c>
      <c r="P4666" s="19">
        <v>408</v>
      </c>
      <c r="Q4666" s="19">
        <v>414</v>
      </c>
      <c r="R4666" s="19">
        <f t="shared" si="221"/>
        <v>-6</v>
      </c>
      <c r="S4666" s="274">
        <f>1070-40</f>
        <v>1030</v>
      </c>
      <c r="T4666" s="19" t="s">
        <v>42</v>
      </c>
      <c r="U4666" s="102" t="s">
        <v>1334</v>
      </c>
      <c r="V4666" s="101">
        <v>45247</v>
      </c>
      <c r="W4666" s="17" t="s">
        <v>44</v>
      </c>
      <c r="X4666" s="17"/>
      <c r="Y4666" s="68">
        <v>45292</v>
      </c>
      <c r="Z4666" s="17" t="s">
        <v>191</v>
      </c>
      <c r="AA4666" s="17" t="s">
        <v>46</v>
      </c>
      <c r="AB4666" s="17" t="s">
        <v>1341</v>
      </c>
      <c r="AC4666" s="217">
        <v>45400</v>
      </c>
      <c r="AD4666" s="65">
        <v>1562</v>
      </c>
      <c r="AE4666" s="17" t="s">
        <v>48</v>
      </c>
      <c r="AF4666" s="17"/>
      <c r="AG4666" s="17"/>
      <c r="AH4666" s="17"/>
      <c r="AI4666" s="17"/>
      <c r="AJ4666" s="17"/>
      <c r="AK4666" s="17"/>
      <c r="AL4666" s="17"/>
      <c r="AM4666" s="17"/>
      <c r="AN4666" s="17"/>
      <c r="AO4666" s="17"/>
      <c r="AP4666" s="17"/>
      <c r="AQ4666" s="17"/>
      <c r="AR4666" s="17"/>
    </row>
    <row r="4667" s="21" customFormat="1" ht="15.6" hidden="1" spans="1:44">
      <c r="A4667" s="17" t="s">
        <v>34</v>
      </c>
      <c r="B4667" s="19">
        <v>957</v>
      </c>
      <c r="C4667" s="183">
        <v>45225</v>
      </c>
      <c r="D4667" s="17" t="s">
        <v>52</v>
      </c>
      <c r="E4667" s="17" t="s">
        <v>1113</v>
      </c>
      <c r="F4667" s="17" t="s">
        <v>54</v>
      </c>
      <c r="G4667" s="17"/>
      <c r="H4667" s="19" t="s">
        <v>1114</v>
      </c>
      <c r="I4667" s="19"/>
      <c r="J4667" s="17" t="s">
        <v>82</v>
      </c>
      <c r="K4667" s="19">
        <v>405</v>
      </c>
      <c r="L4667" s="19">
        <v>65</v>
      </c>
      <c r="M4667" s="19">
        <v>2200</v>
      </c>
      <c r="N4667" s="19" t="s">
        <v>66</v>
      </c>
      <c r="O4667" s="19" t="s">
        <v>141</v>
      </c>
      <c r="P4667" s="19">
        <v>465</v>
      </c>
      <c r="Q4667" s="19">
        <v>476</v>
      </c>
      <c r="R4667" s="19">
        <f t="shared" si="221"/>
        <v>-11</v>
      </c>
      <c r="S4667" s="274">
        <f>1070-40</f>
        <v>1030</v>
      </c>
      <c r="T4667" s="19" t="s">
        <v>42</v>
      </c>
      <c r="U4667" s="102" t="s">
        <v>1334</v>
      </c>
      <c r="V4667" s="101">
        <v>45247</v>
      </c>
      <c r="W4667" s="17" t="s">
        <v>44</v>
      </c>
      <c r="X4667" s="17"/>
      <c r="Y4667" s="68">
        <v>45292</v>
      </c>
      <c r="Z4667" s="17" t="s">
        <v>191</v>
      </c>
      <c r="AA4667" s="17" t="s">
        <v>46</v>
      </c>
      <c r="AB4667" s="17" t="s">
        <v>1338</v>
      </c>
      <c r="AC4667" s="217">
        <v>45395</v>
      </c>
      <c r="AD4667" s="65">
        <v>1557</v>
      </c>
      <c r="AE4667" s="17" t="s">
        <v>48</v>
      </c>
      <c r="AF4667" s="17"/>
      <c r="AG4667" s="17"/>
      <c r="AH4667" s="17"/>
      <c r="AI4667" s="17"/>
      <c r="AJ4667" s="17"/>
      <c r="AK4667" s="17"/>
      <c r="AL4667" s="17"/>
      <c r="AM4667" s="17"/>
      <c r="AN4667" s="17"/>
      <c r="AO4667" s="17"/>
      <c r="AP4667" s="17"/>
      <c r="AQ4667" s="17"/>
      <c r="AR4667" s="17"/>
    </row>
    <row r="4668" s="21" customFormat="1" ht="15.6" hidden="1" spans="1:44">
      <c r="A4668" s="17" t="s">
        <v>34</v>
      </c>
      <c r="B4668" s="19">
        <v>957</v>
      </c>
      <c r="C4668" s="183">
        <v>45225</v>
      </c>
      <c r="D4668" s="17" t="s">
        <v>52</v>
      </c>
      <c r="E4668" s="17" t="s">
        <v>1113</v>
      </c>
      <c r="F4668" s="17" t="s">
        <v>54</v>
      </c>
      <c r="G4668" s="17"/>
      <c r="H4668" s="19" t="s">
        <v>1114</v>
      </c>
      <c r="I4668" s="19"/>
      <c r="J4668" s="17" t="s">
        <v>82</v>
      </c>
      <c r="K4668" s="19">
        <v>510</v>
      </c>
      <c r="L4668" s="19">
        <v>65</v>
      </c>
      <c r="M4668" s="19">
        <v>2200</v>
      </c>
      <c r="N4668" s="19" t="s">
        <v>66</v>
      </c>
      <c r="O4668" s="19" t="s">
        <v>141</v>
      </c>
      <c r="P4668" s="19">
        <v>586</v>
      </c>
      <c r="Q4668" s="19">
        <v>596</v>
      </c>
      <c r="R4668" s="19">
        <f t="shared" si="221"/>
        <v>-10</v>
      </c>
      <c r="S4668" s="274">
        <f>1030+80-20</f>
        <v>1090</v>
      </c>
      <c r="T4668" s="19" t="s">
        <v>42</v>
      </c>
      <c r="U4668" s="102" t="s">
        <v>1334</v>
      </c>
      <c r="V4668" s="101">
        <v>45247</v>
      </c>
      <c r="W4668" s="17" t="s">
        <v>69</v>
      </c>
      <c r="X4668" s="17"/>
      <c r="Y4668" s="68">
        <v>45292</v>
      </c>
      <c r="Z4668" s="17" t="s">
        <v>191</v>
      </c>
      <c r="AA4668" s="17" t="s">
        <v>46</v>
      </c>
      <c r="AB4668" s="17" t="s">
        <v>1339</v>
      </c>
      <c r="AC4668" s="217">
        <v>45433</v>
      </c>
      <c r="AD4668" s="65">
        <v>1570</v>
      </c>
      <c r="AE4668" s="17" t="s">
        <v>48</v>
      </c>
      <c r="AF4668" s="17"/>
      <c r="AG4668" s="17"/>
      <c r="AH4668" s="17"/>
      <c r="AI4668" s="17"/>
      <c r="AJ4668" s="17"/>
      <c r="AK4668" s="17"/>
      <c r="AL4668" s="17"/>
      <c r="AM4668" s="17"/>
      <c r="AN4668" s="17"/>
      <c r="AO4668" s="17"/>
      <c r="AP4668" s="17"/>
      <c r="AQ4668" s="17"/>
      <c r="AR4668" s="17"/>
    </row>
    <row r="4669" s="21" customFormat="1" ht="15.6" hidden="1" spans="1:44">
      <c r="A4669" s="17" t="s">
        <v>34</v>
      </c>
      <c r="B4669" s="19">
        <v>957</v>
      </c>
      <c r="C4669" s="183">
        <v>45225</v>
      </c>
      <c r="D4669" s="17" t="s">
        <v>52</v>
      </c>
      <c r="E4669" s="17" t="s">
        <v>1113</v>
      </c>
      <c r="F4669" s="17" t="s">
        <v>54</v>
      </c>
      <c r="G4669" s="17"/>
      <c r="H4669" s="19" t="s">
        <v>1114</v>
      </c>
      <c r="I4669" s="19"/>
      <c r="J4669" s="17" t="s">
        <v>82</v>
      </c>
      <c r="K4669" s="19">
        <v>205</v>
      </c>
      <c r="L4669" s="19">
        <v>80</v>
      </c>
      <c r="M4669" s="19">
        <v>2200</v>
      </c>
      <c r="N4669" s="19" t="s">
        <v>66</v>
      </c>
      <c r="O4669" s="19" t="s">
        <v>141</v>
      </c>
      <c r="P4669" s="19">
        <v>579</v>
      </c>
      <c r="Q4669" s="19">
        <v>883</v>
      </c>
      <c r="R4669" s="19">
        <f t="shared" si="221"/>
        <v>-304</v>
      </c>
      <c r="S4669" s="274">
        <f>1070-40</f>
        <v>1030</v>
      </c>
      <c r="T4669" s="19" t="s">
        <v>42</v>
      </c>
      <c r="U4669" s="102" t="s">
        <v>1334</v>
      </c>
      <c r="V4669" s="101">
        <v>45247</v>
      </c>
      <c r="W4669" s="17" t="s">
        <v>44</v>
      </c>
      <c r="X4669" s="17"/>
      <c r="Y4669" s="68">
        <v>45292</v>
      </c>
      <c r="Z4669" s="17" t="s">
        <v>191</v>
      </c>
      <c r="AA4669" s="17" t="s">
        <v>46</v>
      </c>
      <c r="AB4669" s="17" t="s">
        <v>1338</v>
      </c>
      <c r="AC4669" s="217">
        <v>45395</v>
      </c>
      <c r="AD4669" s="65">
        <v>1557</v>
      </c>
      <c r="AE4669" s="17" t="s">
        <v>48</v>
      </c>
      <c r="AF4669" s="17"/>
      <c r="AG4669" s="17"/>
      <c r="AH4669" s="17"/>
      <c r="AI4669" s="17"/>
      <c r="AJ4669" s="17"/>
      <c r="AK4669" s="17"/>
      <c r="AL4669" s="17"/>
      <c r="AM4669" s="17"/>
      <c r="AN4669" s="17"/>
      <c r="AO4669" s="17"/>
      <c r="AP4669" s="17"/>
      <c r="AQ4669" s="17"/>
      <c r="AR4669" s="17"/>
    </row>
    <row r="4670" s="21" customFormat="1" ht="15.6" hidden="1" spans="1:44">
      <c r="A4670" s="17" t="s">
        <v>34</v>
      </c>
      <c r="B4670" s="19">
        <v>957</v>
      </c>
      <c r="C4670" s="183">
        <v>45225</v>
      </c>
      <c r="D4670" s="17" t="s">
        <v>52</v>
      </c>
      <c r="E4670" s="17" t="s">
        <v>1113</v>
      </c>
      <c r="F4670" s="17" t="s">
        <v>54</v>
      </c>
      <c r="G4670" s="17"/>
      <c r="H4670" s="19" t="s">
        <v>1114</v>
      </c>
      <c r="I4670" s="19"/>
      <c r="J4670" s="17" t="s">
        <v>82</v>
      </c>
      <c r="K4670" s="19">
        <v>255</v>
      </c>
      <c r="L4670" s="19">
        <v>80</v>
      </c>
      <c r="M4670" s="19">
        <v>2200</v>
      </c>
      <c r="N4670" s="19" t="s">
        <v>66</v>
      </c>
      <c r="O4670" s="19" t="s">
        <v>141</v>
      </c>
      <c r="P4670" s="19">
        <v>721</v>
      </c>
      <c r="Q4670" s="19">
        <v>725</v>
      </c>
      <c r="R4670" s="19">
        <f t="shared" si="221"/>
        <v>-4</v>
      </c>
      <c r="S4670" s="274">
        <f>1070-40</f>
        <v>1030</v>
      </c>
      <c r="T4670" s="19" t="s">
        <v>42</v>
      </c>
      <c r="U4670" s="102" t="s">
        <v>1334</v>
      </c>
      <c r="V4670" s="101">
        <v>45247</v>
      </c>
      <c r="W4670" s="17" t="s">
        <v>44</v>
      </c>
      <c r="X4670" s="17"/>
      <c r="Y4670" s="68">
        <v>45292</v>
      </c>
      <c r="Z4670" s="17" t="s">
        <v>191</v>
      </c>
      <c r="AA4670" s="17" t="s">
        <v>46</v>
      </c>
      <c r="AB4670" s="17" t="s">
        <v>1338</v>
      </c>
      <c r="AC4670" s="217">
        <v>45395</v>
      </c>
      <c r="AD4670" s="65">
        <v>1557</v>
      </c>
      <c r="AE4670" s="17" t="s">
        <v>48</v>
      </c>
      <c r="AF4670" s="17"/>
      <c r="AG4670" s="17"/>
      <c r="AH4670" s="17"/>
      <c r="AI4670" s="17"/>
      <c r="AJ4670" s="17"/>
      <c r="AK4670" s="17"/>
      <c r="AL4670" s="17"/>
      <c r="AM4670" s="17"/>
      <c r="AN4670" s="17"/>
      <c r="AO4670" s="17"/>
      <c r="AP4670" s="17"/>
      <c r="AQ4670" s="17"/>
      <c r="AR4670" s="17"/>
    </row>
    <row r="4671" s="21" customFormat="1" ht="15.6" hidden="1" spans="1:44">
      <c r="A4671" s="17" t="s">
        <v>34</v>
      </c>
      <c r="B4671" s="19">
        <v>957</v>
      </c>
      <c r="C4671" s="183">
        <v>45225</v>
      </c>
      <c r="D4671" s="17" t="s">
        <v>52</v>
      </c>
      <c r="E4671" s="17" t="s">
        <v>1113</v>
      </c>
      <c r="F4671" s="17" t="s">
        <v>54</v>
      </c>
      <c r="G4671" s="17"/>
      <c r="H4671" s="19" t="s">
        <v>1114</v>
      </c>
      <c r="I4671" s="19"/>
      <c r="J4671" s="17" t="s">
        <v>82</v>
      </c>
      <c r="K4671" s="19">
        <v>305</v>
      </c>
      <c r="L4671" s="19">
        <v>80</v>
      </c>
      <c r="M4671" s="19">
        <v>2200</v>
      </c>
      <c r="N4671" s="19" t="s">
        <v>66</v>
      </c>
      <c r="O4671" s="19" t="s">
        <v>141</v>
      </c>
      <c r="P4671" s="19">
        <v>431</v>
      </c>
      <c r="Q4671" s="146">
        <v>446</v>
      </c>
      <c r="R4671" s="19">
        <f t="shared" si="221"/>
        <v>-15</v>
      </c>
      <c r="S4671" s="274">
        <f>1030+80-20</f>
        <v>1090</v>
      </c>
      <c r="T4671" s="19" t="s">
        <v>42</v>
      </c>
      <c r="U4671" s="102" t="s">
        <v>1334</v>
      </c>
      <c r="V4671" s="101">
        <v>45247</v>
      </c>
      <c r="W4671" s="17" t="s">
        <v>69</v>
      </c>
      <c r="X4671" s="17"/>
      <c r="Y4671" s="68">
        <v>45292</v>
      </c>
      <c r="Z4671" s="17" t="s">
        <v>191</v>
      </c>
      <c r="AA4671" s="17" t="s">
        <v>46</v>
      </c>
      <c r="AB4671" s="17" t="s">
        <v>1336</v>
      </c>
      <c r="AC4671" s="66">
        <v>45435</v>
      </c>
      <c r="AD4671" s="65">
        <v>1577</v>
      </c>
      <c r="AE4671" s="17" t="s">
        <v>74</v>
      </c>
      <c r="AF4671" s="17"/>
      <c r="AG4671" s="17"/>
      <c r="AH4671" s="17"/>
      <c r="AI4671" s="17"/>
      <c r="AJ4671" s="17"/>
      <c r="AK4671" s="17"/>
      <c r="AL4671" s="17"/>
      <c r="AM4671" s="17"/>
      <c r="AN4671" s="17"/>
      <c r="AO4671" s="17"/>
      <c r="AP4671" s="17"/>
      <c r="AQ4671" s="17"/>
      <c r="AR4671" s="17"/>
    </row>
    <row r="4672" s="21" customFormat="1" ht="15.6" hidden="1" spans="1:44">
      <c r="A4672" s="17" t="s">
        <v>34</v>
      </c>
      <c r="B4672" s="19">
        <v>957</v>
      </c>
      <c r="C4672" s="183">
        <v>45225</v>
      </c>
      <c r="D4672" s="17" t="s">
        <v>52</v>
      </c>
      <c r="E4672" s="17" t="s">
        <v>1113</v>
      </c>
      <c r="F4672" s="17" t="s">
        <v>54</v>
      </c>
      <c r="G4672" s="17"/>
      <c r="H4672" s="19" t="s">
        <v>1114</v>
      </c>
      <c r="I4672" s="19"/>
      <c r="J4672" s="17" t="s">
        <v>82</v>
      </c>
      <c r="K4672" s="19">
        <v>355</v>
      </c>
      <c r="L4672" s="19">
        <v>80</v>
      </c>
      <c r="M4672" s="19">
        <v>2200</v>
      </c>
      <c r="N4672" s="19" t="s">
        <v>66</v>
      </c>
      <c r="O4672" s="19" t="s">
        <v>141</v>
      </c>
      <c r="P4672" s="19">
        <v>502</v>
      </c>
      <c r="Q4672" s="146">
        <v>513</v>
      </c>
      <c r="R4672" s="19">
        <f t="shared" si="221"/>
        <v>-11</v>
      </c>
      <c r="S4672" s="274">
        <f>1070-40+80</f>
        <v>1110</v>
      </c>
      <c r="T4672" s="19" t="s">
        <v>42</v>
      </c>
      <c r="U4672" s="102" t="s">
        <v>1334</v>
      </c>
      <c r="V4672" s="101">
        <v>45247</v>
      </c>
      <c r="W4672" s="17" t="s">
        <v>69</v>
      </c>
      <c r="X4672" s="17"/>
      <c r="Y4672" s="68">
        <v>45292</v>
      </c>
      <c r="Z4672" s="17" t="s">
        <v>191</v>
      </c>
      <c r="AA4672" s="17" t="s">
        <v>46</v>
      </c>
      <c r="AB4672" s="17" t="s">
        <v>1340</v>
      </c>
      <c r="AC4672" s="217">
        <v>45498</v>
      </c>
      <c r="AD4672" s="65">
        <v>1603</v>
      </c>
      <c r="AE4672" s="17" t="s">
        <v>48</v>
      </c>
      <c r="AF4672" s="17"/>
      <c r="AG4672" s="17"/>
      <c r="AH4672" s="17"/>
      <c r="AI4672" s="17"/>
      <c r="AJ4672" s="17"/>
      <c r="AK4672" s="17"/>
      <c r="AL4672" s="17"/>
      <c r="AM4672" s="17"/>
      <c r="AN4672" s="17"/>
      <c r="AO4672" s="17"/>
      <c r="AP4672" s="17"/>
      <c r="AQ4672" s="17"/>
      <c r="AR4672" s="17"/>
    </row>
    <row r="4673" s="21" customFormat="1" ht="15.6" hidden="1" spans="1:44">
      <c r="A4673" s="17" t="s">
        <v>34</v>
      </c>
      <c r="B4673" s="19">
        <v>957</v>
      </c>
      <c r="C4673" s="183">
        <v>45225</v>
      </c>
      <c r="D4673" s="17" t="s">
        <v>52</v>
      </c>
      <c r="E4673" s="17" t="s">
        <v>1113</v>
      </c>
      <c r="F4673" s="17" t="s">
        <v>54</v>
      </c>
      <c r="G4673" s="17"/>
      <c r="H4673" s="19" t="s">
        <v>1114</v>
      </c>
      <c r="I4673" s="19"/>
      <c r="J4673" s="17" t="s">
        <v>82</v>
      </c>
      <c r="K4673" s="19">
        <v>405</v>
      </c>
      <c r="L4673" s="19">
        <v>80</v>
      </c>
      <c r="M4673" s="19">
        <v>2200</v>
      </c>
      <c r="N4673" s="19" t="s">
        <v>66</v>
      </c>
      <c r="O4673" s="19" t="s">
        <v>141</v>
      </c>
      <c r="P4673" s="19">
        <v>572</v>
      </c>
      <c r="Q4673" s="19">
        <v>587</v>
      </c>
      <c r="R4673" s="19">
        <f t="shared" si="221"/>
        <v>-15</v>
      </c>
      <c r="S4673" s="274">
        <f>1070-40</f>
        <v>1030</v>
      </c>
      <c r="T4673" s="19" t="s">
        <v>42</v>
      </c>
      <c r="U4673" s="102" t="s">
        <v>1334</v>
      </c>
      <c r="V4673" s="101">
        <v>45247</v>
      </c>
      <c r="W4673" s="17" t="s">
        <v>44</v>
      </c>
      <c r="X4673" s="17"/>
      <c r="Y4673" s="68">
        <v>45292</v>
      </c>
      <c r="Z4673" s="17" t="s">
        <v>191</v>
      </c>
      <c r="AA4673" s="17" t="s">
        <v>46</v>
      </c>
      <c r="AB4673" s="17" t="s">
        <v>1341</v>
      </c>
      <c r="AC4673" s="217">
        <v>45400</v>
      </c>
      <c r="AD4673" s="65">
        <v>1562</v>
      </c>
      <c r="AE4673" s="17" t="s">
        <v>48</v>
      </c>
      <c r="AF4673" s="17"/>
      <c r="AG4673" s="17"/>
      <c r="AH4673" s="17"/>
      <c r="AI4673" s="17"/>
      <c r="AJ4673" s="17"/>
      <c r="AK4673" s="17"/>
      <c r="AL4673" s="17"/>
      <c r="AM4673" s="17"/>
      <c r="AN4673" s="17"/>
      <c r="AO4673" s="17"/>
      <c r="AP4673" s="17"/>
      <c r="AQ4673" s="17"/>
      <c r="AR4673" s="17"/>
    </row>
    <row r="4674" s="21" customFormat="1" ht="15.6" hidden="1" spans="1:44">
      <c r="A4674" s="17" t="s">
        <v>34</v>
      </c>
      <c r="B4674" s="19">
        <v>957</v>
      </c>
      <c r="C4674" s="183">
        <v>45225</v>
      </c>
      <c r="D4674" s="17" t="s">
        <v>52</v>
      </c>
      <c r="E4674" s="17" t="s">
        <v>1113</v>
      </c>
      <c r="F4674" s="17" t="s">
        <v>54</v>
      </c>
      <c r="G4674" s="17"/>
      <c r="H4674" s="19" t="s">
        <v>1114</v>
      </c>
      <c r="I4674" s="19"/>
      <c r="J4674" s="17" t="s">
        <v>82</v>
      </c>
      <c r="K4674" s="19">
        <v>505</v>
      </c>
      <c r="L4674" s="19">
        <v>80</v>
      </c>
      <c r="M4674" s="19">
        <v>2200</v>
      </c>
      <c r="N4674" s="19" t="s">
        <v>66</v>
      </c>
      <c r="O4674" s="19" t="s">
        <v>141</v>
      </c>
      <c r="P4674" s="19">
        <v>721</v>
      </c>
      <c r="Q4674" s="146">
        <v>720</v>
      </c>
      <c r="R4674" s="19">
        <f t="shared" si="221"/>
        <v>1</v>
      </c>
      <c r="S4674" s="274">
        <f>1070-40+80</f>
        <v>1110</v>
      </c>
      <c r="T4674" s="19" t="s">
        <v>42</v>
      </c>
      <c r="U4674" s="102" t="s">
        <v>1334</v>
      </c>
      <c r="V4674" s="101">
        <v>45247</v>
      </c>
      <c r="W4674" s="17" t="s">
        <v>69</v>
      </c>
      <c r="X4674" s="17"/>
      <c r="Y4674" s="68">
        <v>45292</v>
      </c>
      <c r="Z4674" s="17" t="s">
        <v>191</v>
      </c>
      <c r="AA4674" s="17" t="s">
        <v>46</v>
      </c>
      <c r="AB4674" s="17" t="s">
        <v>1340</v>
      </c>
      <c r="AC4674" s="217">
        <v>45498</v>
      </c>
      <c r="AD4674" s="65">
        <v>1603</v>
      </c>
      <c r="AE4674" s="17" t="s">
        <v>48</v>
      </c>
      <c r="AF4674" s="17"/>
      <c r="AG4674" s="17"/>
      <c r="AH4674" s="17"/>
      <c r="AI4674" s="17"/>
      <c r="AJ4674" s="17"/>
      <c r="AK4674" s="17"/>
      <c r="AL4674" s="17"/>
      <c r="AM4674" s="17"/>
      <c r="AN4674" s="17"/>
      <c r="AO4674" s="17"/>
      <c r="AP4674" s="17"/>
      <c r="AQ4674" s="17"/>
      <c r="AR4674" s="17"/>
    </row>
    <row r="4675" s="21" customFormat="1" ht="15.6" hidden="1" spans="1:44">
      <c r="A4675" s="17" t="s">
        <v>34</v>
      </c>
      <c r="B4675" s="19">
        <v>957</v>
      </c>
      <c r="C4675" s="183">
        <v>45225</v>
      </c>
      <c r="D4675" s="17" t="s">
        <v>52</v>
      </c>
      <c r="E4675" s="17" t="s">
        <v>1113</v>
      </c>
      <c r="F4675" s="17" t="s">
        <v>54</v>
      </c>
      <c r="G4675" s="17"/>
      <c r="H4675" s="19" t="s">
        <v>1114</v>
      </c>
      <c r="I4675" s="19"/>
      <c r="J4675" s="17" t="s">
        <v>82</v>
      </c>
      <c r="K4675" s="19">
        <v>1100</v>
      </c>
      <c r="L4675" s="19">
        <v>40</v>
      </c>
      <c r="M4675" s="19">
        <v>2200</v>
      </c>
      <c r="N4675" s="19" t="s">
        <v>66</v>
      </c>
      <c r="O4675" s="19" t="s">
        <v>141</v>
      </c>
      <c r="P4675" s="19">
        <v>2331</v>
      </c>
      <c r="Q4675" s="19">
        <f>798+1596</f>
        <v>2394</v>
      </c>
      <c r="R4675" s="19">
        <f t="shared" si="221"/>
        <v>-63</v>
      </c>
      <c r="S4675" s="274">
        <f>1060-40</f>
        <v>1020</v>
      </c>
      <c r="T4675" s="19" t="s">
        <v>42</v>
      </c>
      <c r="U4675" s="102" t="s">
        <v>1334</v>
      </c>
      <c r="V4675" s="101">
        <v>45247</v>
      </c>
      <c r="W4675" s="17" t="s">
        <v>44</v>
      </c>
      <c r="X4675" s="17"/>
      <c r="Y4675" s="68">
        <v>45292</v>
      </c>
      <c r="Z4675" s="17" t="s">
        <v>191</v>
      </c>
      <c r="AA4675" s="17" t="s">
        <v>46</v>
      </c>
      <c r="AB4675" s="17" t="s">
        <v>1338</v>
      </c>
      <c r="AC4675" s="217">
        <v>45395</v>
      </c>
      <c r="AD4675" s="65">
        <v>1557</v>
      </c>
      <c r="AE4675" s="17" t="s">
        <v>74</v>
      </c>
      <c r="AF4675" s="17"/>
      <c r="AG4675" s="17"/>
      <c r="AH4675" s="17"/>
      <c r="AI4675" s="17"/>
      <c r="AJ4675" s="17"/>
      <c r="AK4675" s="17"/>
      <c r="AL4675" s="17"/>
      <c r="AM4675" s="17"/>
      <c r="AN4675" s="17"/>
      <c r="AO4675" s="17"/>
      <c r="AP4675" s="17"/>
      <c r="AQ4675" s="17"/>
      <c r="AR4675" s="17"/>
    </row>
    <row r="4676" s="21" customFormat="1" ht="15.6" hidden="1" spans="1:44">
      <c r="A4676" s="17" t="s">
        <v>34</v>
      </c>
      <c r="B4676" s="19">
        <v>957</v>
      </c>
      <c r="C4676" s="183">
        <v>45225</v>
      </c>
      <c r="D4676" s="17" t="s">
        <v>52</v>
      </c>
      <c r="E4676" s="17" t="s">
        <v>1113</v>
      </c>
      <c r="F4676" s="17" t="s">
        <v>54</v>
      </c>
      <c r="G4676" s="17"/>
      <c r="H4676" s="19" t="s">
        <v>1114</v>
      </c>
      <c r="I4676" s="19"/>
      <c r="J4676" s="17" t="s">
        <v>82</v>
      </c>
      <c r="K4676" s="19">
        <v>1100</v>
      </c>
      <c r="L4676" s="19">
        <v>50</v>
      </c>
      <c r="M4676" s="19">
        <v>2200</v>
      </c>
      <c r="N4676" s="19" t="s">
        <v>66</v>
      </c>
      <c r="O4676" s="19" t="s">
        <v>141</v>
      </c>
      <c r="P4676" s="19">
        <v>2914</v>
      </c>
      <c r="Q4676" s="19">
        <v>2948</v>
      </c>
      <c r="R4676" s="19">
        <f t="shared" si="221"/>
        <v>-34</v>
      </c>
      <c r="S4676" s="274">
        <f>1060-40</f>
        <v>1020</v>
      </c>
      <c r="T4676" s="19" t="s">
        <v>42</v>
      </c>
      <c r="U4676" s="102" t="s">
        <v>1334</v>
      </c>
      <c r="V4676" s="101">
        <v>45247</v>
      </c>
      <c r="W4676" s="17" t="s">
        <v>44</v>
      </c>
      <c r="X4676" s="17"/>
      <c r="Y4676" s="68">
        <v>45292</v>
      </c>
      <c r="Z4676" s="17" t="s">
        <v>191</v>
      </c>
      <c r="AA4676" s="17" t="s">
        <v>46</v>
      </c>
      <c r="AB4676" s="17" t="s">
        <v>1338</v>
      </c>
      <c r="AC4676" s="217">
        <v>45395</v>
      </c>
      <c r="AD4676" s="65">
        <v>1557</v>
      </c>
      <c r="AE4676" s="17" t="s">
        <v>74</v>
      </c>
      <c r="AF4676" s="17"/>
      <c r="AG4676" s="17"/>
      <c r="AH4676" s="17"/>
      <c r="AI4676" s="17"/>
      <c r="AJ4676" s="17"/>
      <c r="AK4676" s="17"/>
      <c r="AL4676" s="17"/>
      <c r="AM4676" s="17"/>
      <c r="AN4676" s="17"/>
      <c r="AO4676" s="17"/>
      <c r="AP4676" s="17"/>
      <c r="AQ4676" s="17"/>
      <c r="AR4676" s="17"/>
    </row>
    <row r="4677" s="21" customFormat="1" ht="15.6" hidden="1" spans="1:44">
      <c r="A4677" s="17" t="s">
        <v>34</v>
      </c>
      <c r="B4677" s="19">
        <v>957</v>
      </c>
      <c r="C4677" s="183">
        <v>45225</v>
      </c>
      <c r="D4677" s="17" t="s">
        <v>52</v>
      </c>
      <c r="E4677" s="17" t="s">
        <v>1113</v>
      </c>
      <c r="F4677" s="17" t="s">
        <v>54</v>
      </c>
      <c r="G4677" s="17"/>
      <c r="H4677" s="19" t="s">
        <v>1114</v>
      </c>
      <c r="I4677" s="19"/>
      <c r="J4677" s="17" t="s">
        <v>82</v>
      </c>
      <c r="K4677" s="19">
        <v>1100</v>
      </c>
      <c r="L4677" s="19">
        <v>65</v>
      </c>
      <c r="M4677" s="19">
        <v>2200</v>
      </c>
      <c r="N4677" s="19" t="s">
        <v>66</v>
      </c>
      <c r="O4677" s="19" t="s">
        <v>141</v>
      </c>
      <c r="P4677" s="19">
        <v>3789</v>
      </c>
      <c r="Q4677" s="19">
        <f>1283+2569</f>
        <v>3852</v>
      </c>
      <c r="R4677" s="19">
        <f t="shared" si="221"/>
        <v>-63</v>
      </c>
      <c r="S4677" s="274">
        <f>1060-40</f>
        <v>1020</v>
      </c>
      <c r="T4677" s="19" t="s">
        <v>42</v>
      </c>
      <c r="U4677" s="102" t="s">
        <v>1334</v>
      </c>
      <c r="V4677" s="101">
        <v>45247</v>
      </c>
      <c r="W4677" s="17" t="s">
        <v>44</v>
      </c>
      <c r="X4677" s="17"/>
      <c r="Y4677" s="68">
        <v>45292</v>
      </c>
      <c r="Z4677" s="17" t="s">
        <v>191</v>
      </c>
      <c r="AA4677" s="17" t="s">
        <v>46</v>
      </c>
      <c r="AB4677" s="17" t="s">
        <v>1338</v>
      </c>
      <c r="AC4677" s="217">
        <v>45395</v>
      </c>
      <c r="AD4677" s="65">
        <v>1557</v>
      </c>
      <c r="AE4677" s="17" t="s">
        <v>74</v>
      </c>
      <c r="AF4677" s="17"/>
      <c r="AG4677" s="17"/>
      <c r="AH4677" s="17"/>
      <c r="AI4677" s="17"/>
      <c r="AJ4677" s="17"/>
      <c r="AK4677" s="17"/>
      <c r="AL4677" s="17"/>
      <c r="AM4677" s="17"/>
      <c r="AN4677" s="17"/>
      <c r="AO4677" s="17"/>
      <c r="AP4677" s="17"/>
      <c r="AQ4677" s="17"/>
      <c r="AR4677" s="17"/>
    </row>
    <row r="4678" s="21" customFormat="1" ht="15.6" hidden="1" spans="1:44">
      <c r="A4678" s="17" t="s">
        <v>34</v>
      </c>
      <c r="B4678" s="19">
        <v>957</v>
      </c>
      <c r="C4678" s="183">
        <v>45225</v>
      </c>
      <c r="D4678" s="17" t="s">
        <v>52</v>
      </c>
      <c r="E4678" s="17" t="s">
        <v>1113</v>
      </c>
      <c r="F4678" s="17" t="s">
        <v>54</v>
      </c>
      <c r="G4678" s="17"/>
      <c r="H4678" s="19" t="s">
        <v>1114</v>
      </c>
      <c r="I4678" s="19"/>
      <c r="J4678" s="17" t="s">
        <v>82</v>
      </c>
      <c r="K4678" s="19">
        <v>1100</v>
      </c>
      <c r="L4678" s="19">
        <v>80</v>
      </c>
      <c r="M4678" s="19">
        <v>2200</v>
      </c>
      <c r="N4678" s="19" t="s">
        <v>66</v>
      </c>
      <c r="O4678" s="19" t="s">
        <v>141</v>
      </c>
      <c r="P4678" s="19">
        <v>4663</v>
      </c>
      <c r="Q4678" s="19">
        <v>4721</v>
      </c>
      <c r="R4678" s="19">
        <f t="shared" si="221"/>
        <v>-58</v>
      </c>
      <c r="S4678" s="274">
        <f>1060-40</f>
        <v>1020</v>
      </c>
      <c r="T4678" s="19" t="s">
        <v>42</v>
      </c>
      <c r="U4678" s="102" t="s">
        <v>1334</v>
      </c>
      <c r="V4678" s="101">
        <v>45247</v>
      </c>
      <c r="W4678" s="17" t="s">
        <v>44</v>
      </c>
      <c r="X4678" s="17"/>
      <c r="Y4678" s="68">
        <v>45292</v>
      </c>
      <c r="Z4678" s="17" t="s">
        <v>191</v>
      </c>
      <c r="AA4678" s="17" t="s">
        <v>46</v>
      </c>
      <c r="AB4678" s="17" t="s">
        <v>1338</v>
      </c>
      <c r="AC4678" s="217">
        <v>45395</v>
      </c>
      <c r="AD4678" s="65">
        <v>1557</v>
      </c>
      <c r="AE4678" s="17" t="s">
        <v>74</v>
      </c>
      <c r="AF4678" s="17"/>
      <c r="AG4678" s="17"/>
      <c r="AH4678" s="17"/>
      <c r="AI4678" s="17"/>
      <c r="AJ4678" s="17"/>
      <c r="AK4678" s="17"/>
      <c r="AL4678" s="17"/>
      <c r="AM4678" s="17"/>
      <c r="AN4678" s="17"/>
      <c r="AO4678" s="17"/>
      <c r="AP4678" s="17"/>
      <c r="AQ4678" s="17"/>
      <c r="AR4678" s="17"/>
    </row>
    <row r="4679" s="21" customFormat="1" ht="15.6" hidden="1" spans="1:44">
      <c r="A4679" s="17" t="s">
        <v>34</v>
      </c>
      <c r="B4679" s="19">
        <v>957</v>
      </c>
      <c r="C4679" s="183">
        <v>45225</v>
      </c>
      <c r="D4679" s="17" t="s">
        <v>52</v>
      </c>
      <c r="E4679" s="17" t="s">
        <v>1113</v>
      </c>
      <c r="F4679" s="17" t="s">
        <v>54</v>
      </c>
      <c r="G4679" s="17"/>
      <c r="H4679" s="19" t="s">
        <v>1114</v>
      </c>
      <c r="I4679" s="19"/>
      <c r="J4679" s="17" t="s">
        <v>82</v>
      </c>
      <c r="K4679" s="19">
        <v>1100</v>
      </c>
      <c r="L4679" s="19">
        <v>105</v>
      </c>
      <c r="M4679" s="19">
        <v>2200</v>
      </c>
      <c r="N4679" s="19" t="s">
        <v>66</v>
      </c>
      <c r="O4679" s="19" t="s">
        <v>141</v>
      </c>
      <c r="P4679" s="19">
        <v>6120</v>
      </c>
      <c r="Q4679" s="19">
        <v>2045</v>
      </c>
      <c r="S4679" s="274">
        <f>1060-40+80</f>
        <v>1100</v>
      </c>
      <c r="T4679" s="19" t="s">
        <v>42</v>
      </c>
      <c r="U4679" s="102" t="s">
        <v>1334</v>
      </c>
      <c r="V4679" s="101">
        <v>45247</v>
      </c>
      <c r="W4679" s="17" t="s">
        <v>44</v>
      </c>
      <c r="X4679" s="17"/>
      <c r="Y4679" s="68">
        <v>45292</v>
      </c>
      <c r="Z4679" s="17" t="s">
        <v>191</v>
      </c>
      <c r="AA4679" s="17" t="s">
        <v>46</v>
      </c>
      <c r="AB4679" s="17" t="s">
        <v>1344</v>
      </c>
      <c r="AC4679" s="217">
        <v>45495</v>
      </c>
      <c r="AD4679" s="65">
        <v>1599</v>
      </c>
      <c r="AE4679" s="17" t="s">
        <v>74</v>
      </c>
      <c r="AF4679" s="17"/>
      <c r="AG4679" s="17"/>
      <c r="AH4679" s="17"/>
      <c r="AI4679" s="17"/>
      <c r="AJ4679" s="17"/>
      <c r="AK4679" s="17"/>
      <c r="AL4679" s="17"/>
      <c r="AM4679" s="17"/>
      <c r="AN4679" s="17"/>
      <c r="AO4679" s="17"/>
      <c r="AP4679" s="17"/>
      <c r="AQ4679" s="17"/>
      <c r="AR4679" s="17"/>
    </row>
    <row r="4680" s="21" customFormat="1" ht="15.6" hidden="1" spans="1:44">
      <c r="A4680" s="17" t="s">
        <v>34</v>
      </c>
      <c r="B4680" s="19">
        <v>957</v>
      </c>
      <c r="C4680" s="183">
        <v>45225</v>
      </c>
      <c r="D4680" s="17" t="s">
        <v>52</v>
      </c>
      <c r="E4680" s="17" t="s">
        <v>1113</v>
      </c>
      <c r="F4680" s="17" t="s">
        <v>54</v>
      </c>
      <c r="G4680" s="17"/>
      <c r="H4680" s="19" t="s">
        <v>1114</v>
      </c>
      <c r="I4680" s="19"/>
      <c r="J4680" s="17" t="s">
        <v>82</v>
      </c>
      <c r="K4680" s="19">
        <v>1100</v>
      </c>
      <c r="L4680" s="19">
        <v>105</v>
      </c>
      <c r="M4680" s="19">
        <v>2200</v>
      </c>
      <c r="N4680" s="19" t="s">
        <v>66</v>
      </c>
      <c r="O4680" s="19" t="s">
        <v>141</v>
      </c>
      <c r="P4680" s="19"/>
      <c r="Q4680" s="146">
        <v>4102</v>
      </c>
      <c r="R4680" s="19">
        <f>+P4679-Q4679-Q4680</f>
        <v>-27</v>
      </c>
      <c r="S4680" s="274">
        <f>1060-40+80</f>
        <v>1100</v>
      </c>
      <c r="T4680" s="19" t="s">
        <v>42</v>
      </c>
      <c r="U4680" s="102" t="s">
        <v>1334</v>
      </c>
      <c r="V4680" s="101">
        <v>45247</v>
      </c>
      <c r="W4680" s="17" t="s">
        <v>69</v>
      </c>
      <c r="X4680" s="17"/>
      <c r="Y4680" s="68">
        <v>45292</v>
      </c>
      <c r="Z4680" s="17" t="s">
        <v>191</v>
      </c>
      <c r="AA4680" s="17" t="s">
        <v>46</v>
      </c>
      <c r="AB4680" s="17" t="s">
        <v>1340</v>
      </c>
      <c r="AC4680" s="217">
        <v>45498</v>
      </c>
      <c r="AD4680" s="65">
        <v>1603</v>
      </c>
      <c r="AE4680" s="17" t="s">
        <v>74</v>
      </c>
      <c r="AF4680" s="17"/>
      <c r="AG4680" s="17"/>
      <c r="AH4680" s="17"/>
      <c r="AI4680" s="17"/>
      <c r="AJ4680" s="17"/>
      <c r="AK4680" s="17"/>
      <c r="AL4680" s="17"/>
      <c r="AM4680" s="17"/>
      <c r="AN4680" s="17"/>
      <c r="AO4680" s="17"/>
      <c r="AP4680" s="17"/>
      <c r="AQ4680" s="17"/>
      <c r="AR4680" s="17"/>
    </row>
    <row r="4681" s="21" customFormat="1" hidden="1" spans="1:44">
      <c r="A4681" s="17"/>
      <c r="B4681" s="19">
        <v>957</v>
      </c>
      <c r="C4681" s="183">
        <v>45225</v>
      </c>
      <c r="D4681" s="17" t="s">
        <v>52</v>
      </c>
      <c r="E4681" s="17" t="s">
        <v>1113</v>
      </c>
      <c r="F4681" s="17" t="s">
        <v>54</v>
      </c>
      <c r="G4681" s="17"/>
      <c r="H4681" s="124" t="s">
        <v>1114</v>
      </c>
      <c r="I4681" s="124"/>
      <c r="J4681" s="17" t="s">
        <v>49</v>
      </c>
      <c r="K4681" s="295">
        <v>2200</v>
      </c>
      <c r="L4681" s="295">
        <v>20</v>
      </c>
      <c r="M4681" s="19">
        <v>5800</v>
      </c>
      <c r="N4681" s="19" t="s">
        <v>66</v>
      </c>
      <c r="O4681" s="19" t="s">
        <v>141</v>
      </c>
      <c r="P4681" s="91">
        <v>10362</v>
      </c>
      <c r="Q4681" s="23">
        <v>0</v>
      </c>
      <c r="R4681" s="19">
        <v>0</v>
      </c>
      <c r="S4681" s="19">
        <v>1010</v>
      </c>
      <c r="T4681" s="19" t="s">
        <v>42</v>
      </c>
      <c r="U4681" s="102" t="s">
        <v>1334</v>
      </c>
      <c r="V4681" s="101">
        <v>45247</v>
      </c>
      <c r="W4681" s="17" t="s">
        <v>44</v>
      </c>
      <c r="X4681" s="17"/>
      <c r="Y4681" s="68">
        <v>45292</v>
      </c>
      <c r="Z4681" s="17" t="s">
        <v>191</v>
      </c>
      <c r="AA4681" s="17" t="s">
        <v>46</v>
      </c>
      <c r="AB4681" s="17"/>
      <c r="AC4681" s="102"/>
      <c r="AD4681" s="65"/>
      <c r="AE4681" s="17" t="s">
        <v>48</v>
      </c>
      <c r="AF4681" s="17" t="s">
        <v>1347</v>
      </c>
      <c r="AG4681" s="17"/>
      <c r="AH4681" s="17"/>
      <c r="AI4681" s="17"/>
      <c r="AJ4681" s="17"/>
      <c r="AK4681" s="17"/>
      <c r="AL4681" s="17"/>
      <c r="AM4681" s="17"/>
      <c r="AN4681" s="17"/>
      <c r="AO4681" s="17"/>
      <c r="AP4681" s="17"/>
      <c r="AQ4681" s="17"/>
      <c r="AR4681" s="17"/>
    </row>
    <row r="4682" s="21" customFormat="1" hidden="1" spans="1:44">
      <c r="A4682" s="17" t="s">
        <v>34</v>
      </c>
      <c r="B4682" s="19">
        <v>957</v>
      </c>
      <c r="C4682" s="183">
        <v>45225</v>
      </c>
      <c r="D4682" s="17" t="s">
        <v>52</v>
      </c>
      <c r="E4682" s="17" t="s">
        <v>1113</v>
      </c>
      <c r="F4682" s="17" t="s">
        <v>54</v>
      </c>
      <c r="G4682" s="17"/>
      <c r="H4682" s="124" t="s">
        <v>1114</v>
      </c>
      <c r="I4682" s="124"/>
      <c r="J4682" s="17" t="s">
        <v>49</v>
      </c>
      <c r="K4682" s="295">
        <v>2200</v>
      </c>
      <c r="L4682" s="295">
        <v>25</v>
      </c>
      <c r="M4682" s="19">
        <v>5800</v>
      </c>
      <c r="N4682" s="19" t="s">
        <v>66</v>
      </c>
      <c r="O4682" s="19" t="s">
        <v>141</v>
      </c>
      <c r="P4682" s="91">
        <v>6476</v>
      </c>
      <c r="Q4682" s="23">
        <v>2555</v>
      </c>
      <c r="R4682" s="254"/>
      <c r="S4682" s="19">
        <v>1010</v>
      </c>
      <c r="T4682" s="19" t="s">
        <v>42</v>
      </c>
      <c r="U4682" s="102" t="s">
        <v>1334</v>
      </c>
      <c r="V4682" s="101">
        <v>45247</v>
      </c>
      <c r="W4682" s="17" t="s">
        <v>44</v>
      </c>
      <c r="X4682" s="17"/>
      <c r="Y4682" s="68">
        <v>45292</v>
      </c>
      <c r="Z4682" s="17" t="s">
        <v>191</v>
      </c>
      <c r="AA4682" s="17" t="s">
        <v>46</v>
      </c>
      <c r="AB4682" s="17" t="s">
        <v>1348</v>
      </c>
      <c r="AC4682" s="217">
        <v>45394</v>
      </c>
      <c r="AD4682" s="65">
        <v>1556</v>
      </c>
      <c r="AE4682" s="17" t="s">
        <v>48</v>
      </c>
      <c r="AF4682" s="17"/>
      <c r="AG4682" s="17"/>
      <c r="AH4682" s="17"/>
      <c r="AI4682" s="17"/>
      <c r="AJ4682" s="17"/>
      <c r="AK4682" s="17"/>
      <c r="AL4682" s="17"/>
      <c r="AM4682" s="17"/>
      <c r="AN4682" s="17"/>
      <c r="AO4682" s="17"/>
      <c r="AP4682" s="17"/>
      <c r="AQ4682" s="17"/>
      <c r="AR4682" s="17"/>
    </row>
    <row r="4683" s="21" customFormat="1" hidden="1" spans="1:44">
      <c r="A4683" s="17" t="s">
        <v>34</v>
      </c>
      <c r="B4683" s="19">
        <v>957</v>
      </c>
      <c r="C4683" s="183">
        <v>45225</v>
      </c>
      <c r="D4683" s="17" t="s">
        <v>52</v>
      </c>
      <c r="E4683" s="17" t="s">
        <v>1113</v>
      </c>
      <c r="F4683" s="17" t="s">
        <v>54</v>
      </c>
      <c r="G4683" s="17"/>
      <c r="H4683" s="124" t="s">
        <v>1114</v>
      </c>
      <c r="I4683" s="124"/>
      <c r="J4683" s="17" t="s">
        <v>49</v>
      </c>
      <c r="K4683" s="295">
        <v>2200</v>
      </c>
      <c r="L4683" s="295">
        <v>25</v>
      </c>
      <c r="M4683" s="19">
        <v>5800</v>
      </c>
      <c r="N4683" s="19" t="s">
        <v>66</v>
      </c>
      <c r="O4683" s="19" t="s">
        <v>141</v>
      </c>
      <c r="P4683" s="91"/>
      <c r="Q4683" s="23">
        <v>2570</v>
      </c>
      <c r="S4683" s="19">
        <v>1010</v>
      </c>
      <c r="T4683" s="19" t="s">
        <v>42</v>
      </c>
      <c r="U4683" s="102" t="s">
        <v>1334</v>
      </c>
      <c r="V4683" s="101">
        <v>45247</v>
      </c>
      <c r="W4683" s="17" t="s">
        <v>44</v>
      </c>
      <c r="X4683" s="17"/>
      <c r="Y4683" s="68">
        <v>45292</v>
      </c>
      <c r="Z4683" s="17" t="s">
        <v>191</v>
      </c>
      <c r="AA4683" s="17" t="s">
        <v>46</v>
      </c>
      <c r="AB4683" s="17" t="s">
        <v>1337</v>
      </c>
      <c r="AC4683" s="217">
        <v>45400</v>
      </c>
      <c r="AD4683" s="65">
        <v>1563</v>
      </c>
      <c r="AE4683" s="17" t="s">
        <v>48</v>
      </c>
      <c r="AF4683" s="17"/>
      <c r="AG4683" s="17"/>
      <c r="AH4683" s="17"/>
      <c r="AI4683" s="17"/>
      <c r="AJ4683" s="17"/>
      <c r="AK4683" s="17"/>
      <c r="AL4683" s="17"/>
      <c r="AM4683" s="17"/>
      <c r="AN4683" s="17"/>
      <c r="AO4683" s="17"/>
      <c r="AP4683" s="17"/>
      <c r="AQ4683" s="17"/>
      <c r="AR4683" s="17"/>
    </row>
    <row r="4684" s="21" customFormat="1" hidden="1" spans="1:44">
      <c r="A4684" s="17" t="s">
        <v>34</v>
      </c>
      <c r="B4684" s="19">
        <v>957</v>
      </c>
      <c r="C4684" s="183">
        <v>45225</v>
      </c>
      <c r="D4684" s="17" t="s">
        <v>52</v>
      </c>
      <c r="E4684" s="17" t="s">
        <v>1113</v>
      </c>
      <c r="F4684" s="17" t="s">
        <v>54</v>
      </c>
      <c r="G4684" s="17"/>
      <c r="H4684" s="124" t="s">
        <v>1114</v>
      </c>
      <c r="I4684" s="124"/>
      <c r="J4684" s="17" t="s">
        <v>49</v>
      </c>
      <c r="K4684" s="295">
        <v>2200</v>
      </c>
      <c r="L4684" s="295">
        <v>25</v>
      </c>
      <c r="M4684" s="19">
        <v>5800</v>
      </c>
      <c r="N4684" s="19" t="s">
        <v>66</v>
      </c>
      <c r="O4684" s="19" t="s">
        <v>141</v>
      </c>
      <c r="P4684" s="91"/>
      <c r="Q4684" s="23">
        <v>1766</v>
      </c>
      <c r="R4684" s="19">
        <f>+P4682-Q4682-Q4683-Q4684</f>
        <v>-415</v>
      </c>
      <c r="S4684" s="19">
        <f>1010+80</f>
        <v>1090</v>
      </c>
      <c r="T4684" s="19" t="s">
        <v>42</v>
      </c>
      <c r="U4684" s="102" t="s">
        <v>1334</v>
      </c>
      <c r="V4684" s="101">
        <v>45247</v>
      </c>
      <c r="W4684" s="17" t="s">
        <v>44</v>
      </c>
      <c r="X4684" s="17"/>
      <c r="Y4684" s="68">
        <v>45292</v>
      </c>
      <c r="Z4684" s="17" t="s">
        <v>191</v>
      </c>
      <c r="AA4684" s="17" t="s">
        <v>46</v>
      </c>
      <c r="AB4684" s="17" t="s">
        <v>1344</v>
      </c>
      <c r="AC4684" s="217">
        <v>45495</v>
      </c>
      <c r="AD4684" s="65">
        <v>1599</v>
      </c>
      <c r="AE4684" s="17" t="s">
        <v>48</v>
      </c>
      <c r="AF4684" s="17"/>
      <c r="AG4684" s="17"/>
      <c r="AH4684" s="17"/>
      <c r="AI4684" s="17"/>
      <c r="AJ4684" s="17"/>
      <c r="AK4684" s="17"/>
      <c r="AL4684" s="17"/>
      <c r="AM4684" s="17"/>
      <c r="AN4684" s="17"/>
      <c r="AO4684" s="17"/>
      <c r="AP4684" s="17"/>
      <c r="AQ4684" s="17"/>
      <c r="AR4684" s="17"/>
    </row>
    <row r="4685" s="21" customFormat="1" hidden="1" spans="1:44">
      <c r="A4685" s="17" t="s">
        <v>34</v>
      </c>
      <c r="B4685" s="19">
        <v>957</v>
      </c>
      <c r="C4685" s="183">
        <v>45225</v>
      </c>
      <c r="D4685" s="17" t="s">
        <v>52</v>
      </c>
      <c r="E4685" s="17" t="s">
        <v>1113</v>
      </c>
      <c r="F4685" s="17" t="s">
        <v>54</v>
      </c>
      <c r="G4685" s="17"/>
      <c r="H4685" s="124" t="s">
        <v>1114</v>
      </c>
      <c r="I4685" s="124"/>
      <c r="J4685" s="17" t="s">
        <v>49</v>
      </c>
      <c r="K4685" s="295">
        <v>2200</v>
      </c>
      <c r="L4685" s="295">
        <v>36</v>
      </c>
      <c r="M4685" s="19">
        <v>5800</v>
      </c>
      <c r="N4685" s="19" t="s">
        <v>66</v>
      </c>
      <c r="O4685" s="19" t="s">
        <v>141</v>
      </c>
      <c r="P4685" s="91">
        <v>12434</v>
      </c>
      <c r="Q4685" s="23">
        <v>2114</v>
      </c>
      <c r="S4685" s="19">
        <v>1010</v>
      </c>
      <c r="T4685" s="19" t="s">
        <v>42</v>
      </c>
      <c r="U4685" s="102" t="s">
        <v>1334</v>
      </c>
      <c r="V4685" s="101">
        <v>45247</v>
      </c>
      <c r="W4685" s="17" t="s">
        <v>44</v>
      </c>
      <c r="X4685" s="17"/>
      <c r="Y4685" s="68">
        <v>45292</v>
      </c>
      <c r="Z4685" s="17" t="s">
        <v>191</v>
      </c>
      <c r="AA4685" s="17" t="s">
        <v>46</v>
      </c>
      <c r="AB4685" s="17" t="s">
        <v>1341</v>
      </c>
      <c r="AC4685" s="217">
        <v>45400</v>
      </c>
      <c r="AD4685" s="65">
        <v>1562</v>
      </c>
      <c r="AE4685" s="17" t="s">
        <v>48</v>
      </c>
      <c r="AF4685" s="17"/>
      <c r="AG4685" s="17"/>
      <c r="AH4685" s="17"/>
      <c r="AI4685" s="17"/>
      <c r="AJ4685" s="17"/>
      <c r="AK4685" s="17"/>
      <c r="AL4685" s="17"/>
      <c r="AM4685" s="17"/>
      <c r="AN4685" s="17"/>
      <c r="AO4685" s="17"/>
      <c r="AP4685" s="17"/>
      <c r="AQ4685" s="17"/>
      <c r="AR4685" s="17"/>
    </row>
    <row r="4686" s="21" customFormat="1" hidden="1" spans="1:44">
      <c r="A4686" s="17" t="s">
        <v>34</v>
      </c>
      <c r="B4686" s="19">
        <v>957</v>
      </c>
      <c r="C4686" s="183">
        <v>45225</v>
      </c>
      <c r="D4686" s="17" t="s">
        <v>52</v>
      </c>
      <c r="E4686" s="17" t="s">
        <v>1113</v>
      </c>
      <c r="F4686" s="17" t="s">
        <v>54</v>
      </c>
      <c r="G4686" s="17"/>
      <c r="H4686" s="124" t="s">
        <v>1114</v>
      </c>
      <c r="I4686" s="124"/>
      <c r="J4686" s="17" t="s">
        <v>49</v>
      </c>
      <c r="K4686" s="295">
        <v>2200</v>
      </c>
      <c r="L4686" s="295">
        <v>36</v>
      </c>
      <c r="M4686" s="19">
        <v>5800</v>
      </c>
      <c r="N4686" s="19" t="s">
        <v>66</v>
      </c>
      <c r="O4686" s="19" t="s">
        <v>141</v>
      </c>
      <c r="P4686" s="91"/>
      <c r="Q4686" s="23">
        <f>3695+3682+3708</f>
        <v>11085</v>
      </c>
      <c r="R4686" s="19">
        <f>+P4685-Q4685-Q4686</f>
        <v>-765</v>
      </c>
      <c r="S4686" s="19">
        <f>1010+60</f>
        <v>1070</v>
      </c>
      <c r="T4686" s="19" t="s">
        <v>42</v>
      </c>
      <c r="U4686" s="102" t="s">
        <v>1334</v>
      </c>
      <c r="V4686" s="101">
        <v>45247</v>
      </c>
      <c r="W4686" s="17" t="s">
        <v>69</v>
      </c>
      <c r="X4686" s="17"/>
      <c r="Y4686" s="68">
        <v>45292</v>
      </c>
      <c r="Z4686" s="17" t="s">
        <v>191</v>
      </c>
      <c r="AA4686" s="17" t="s">
        <v>46</v>
      </c>
      <c r="AB4686" s="17" t="s">
        <v>1339</v>
      </c>
      <c r="AC4686" s="217">
        <v>45433</v>
      </c>
      <c r="AD4686" s="65">
        <v>1570</v>
      </c>
      <c r="AE4686" s="17" t="s">
        <v>74</v>
      </c>
      <c r="AF4686" s="17"/>
      <c r="AG4686" s="17"/>
      <c r="AH4686" s="17"/>
      <c r="AI4686" s="17"/>
      <c r="AJ4686" s="17"/>
      <c r="AK4686" s="17"/>
      <c r="AL4686" s="17"/>
      <c r="AM4686" s="17"/>
      <c r="AN4686" s="17"/>
      <c r="AO4686" s="17"/>
      <c r="AP4686" s="17"/>
      <c r="AQ4686" s="17"/>
      <c r="AR4686" s="17"/>
    </row>
    <row r="4687" s="21" customFormat="1" hidden="1" spans="1:44">
      <c r="A4687" s="17" t="s">
        <v>34</v>
      </c>
      <c r="B4687" s="19">
        <v>957</v>
      </c>
      <c r="C4687" s="183">
        <v>45225</v>
      </c>
      <c r="D4687" s="17" t="s">
        <v>52</v>
      </c>
      <c r="E4687" s="17" t="s">
        <v>1113</v>
      </c>
      <c r="F4687" s="17" t="s">
        <v>54</v>
      </c>
      <c r="G4687" s="17"/>
      <c r="H4687" s="124" t="s">
        <v>1114</v>
      </c>
      <c r="I4687" s="124"/>
      <c r="J4687" s="17" t="s">
        <v>49</v>
      </c>
      <c r="K4687" s="295">
        <v>2200</v>
      </c>
      <c r="L4687" s="295">
        <v>40</v>
      </c>
      <c r="M4687" s="19">
        <v>5800</v>
      </c>
      <c r="N4687" s="19" t="s">
        <v>66</v>
      </c>
      <c r="O4687" s="19" t="s">
        <v>141</v>
      </c>
      <c r="P4687" s="91">
        <v>31086</v>
      </c>
      <c r="Q4687" s="23">
        <f>2930+3070+3170</f>
        <v>9170</v>
      </c>
      <c r="R4687" s="19">
        <f>+P4687-Q4687</f>
        <v>21916</v>
      </c>
      <c r="S4687" s="19">
        <f>1010+80</f>
        <v>1090</v>
      </c>
      <c r="T4687" s="19" t="s">
        <v>42</v>
      </c>
      <c r="U4687" s="102" t="s">
        <v>1334</v>
      </c>
      <c r="V4687" s="101">
        <v>45247</v>
      </c>
      <c r="W4687" s="17" t="s">
        <v>44</v>
      </c>
      <c r="X4687" s="17"/>
      <c r="Y4687" s="68">
        <v>45292</v>
      </c>
      <c r="Z4687" s="17" t="s">
        <v>191</v>
      </c>
      <c r="AA4687" s="17" t="s">
        <v>46</v>
      </c>
      <c r="AB4687" s="17" t="s">
        <v>1344</v>
      </c>
      <c r="AC4687" s="217">
        <v>45495</v>
      </c>
      <c r="AD4687" s="65">
        <v>1599</v>
      </c>
      <c r="AE4687" s="17" t="s">
        <v>48</v>
      </c>
      <c r="AF4687" s="17"/>
      <c r="AG4687" s="17"/>
      <c r="AH4687" s="17"/>
      <c r="AI4687" s="17"/>
      <c r="AJ4687" s="17"/>
      <c r="AK4687" s="17"/>
      <c r="AL4687" s="17"/>
      <c r="AM4687" s="17"/>
      <c r="AN4687" s="17"/>
      <c r="AO4687" s="17"/>
      <c r="AP4687" s="17"/>
      <c r="AQ4687" s="17"/>
      <c r="AR4687" s="17"/>
    </row>
    <row r="4688" s="21" customFormat="1" hidden="1" spans="1:44">
      <c r="A4688" s="17" t="s">
        <v>34</v>
      </c>
      <c r="B4688" s="19">
        <v>957</v>
      </c>
      <c r="C4688" s="183">
        <v>45225</v>
      </c>
      <c r="D4688" s="17" t="s">
        <v>52</v>
      </c>
      <c r="E4688" s="17" t="s">
        <v>1113</v>
      </c>
      <c r="F4688" s="17" t="s">
        <v>54</v>
      </c>
      <c r="G4688" s="17"/>
      <c r="H4688" s="124" t="s">
        <v>1114</v>
      </c>
      <c r="I4688" s="124"/>
      <c r="J4688" s="17" t="s">
        <v>49</v>
      </c>
      <c r="K4688" s="295">
        <v>2200</v>
      </c>
      <c r="L4688" s="295">
        <v>45</v>
      </c>
      <c r="M4688" s="19">
        <v>5800</v>
      </c>
      <c r="N4688" s="19" t="s">
        <v>66</v>
      </c>
      <c r="O4688" s="19" t="s">
        <v>141</v>
      </c>
      <c r="P4688" s="91">
        <v>15543</v>
      </c>
      <c r="Q4688" s="23">
        <v>3870</v>
      </c>
      <c r="R4688" s="254"/>
      <c r="S4688" s="19">
        <v>1010</v>
      </c>
      <c r="T4688" s="19" t="s">
        <v>42</v>
      </c>
      <c r="U4688" s="102" t="s">
        <v>1334</v>
      </c>
      <c r="V4688" s="101">
        <v>45247</v>
      </c>
      <c r="W4688" s="17" t="s">
        <v>44</v>
      </c>
      <c r="X4688" s="17"/>
      <c r="Y4688" s="68">
        <v>45292</v>
      </c>
      <c r="Z4688" s="17" t="s">
        <v>191</v>
      </c>
      <c r="AA4688" s="17" t="s">
        <v>46</v>
      </c>
      <c r="AB4688" s="17" t="s">
        <v>1348</v>
      </c>
      <c r="AC4688" s="217">
        <v>45394</v>
      </c>
      <c r="AD4688" s="65">
        <v>1556</v>
      </c>
      <c r="AE4688" s="17" t="s">
        <v>48</v>
      </c>
      <c r="AF4688" s="17"/>
      <c r="AG4688" s="17"/>
      <c r="AH4688" s="17"/>
      <c r="AI4688" s="17"/>
      <c r="AJ4688" s="17"/>
      <c r="AK4688" s="17"/>
      <c r="AL4688" s="17"/>
      <c r="AM4688" s="17"/>
      <c r="AN4688" s="17"/>
      <c r="AO4688" s="17"/>
      <c r="AP4688" s="17"/>
      <c r="AQ4688" s="17"/>
      <c r="AR4688" s="17"/>
    </row>
    <row r="4689" s="21" customFormat="1" hidden="1" spans="1:44">
      <c r="A4689" s="17" t="s">
        <v>34</v>
      </c>
      <c r="B4689" s="19">
        <v>957</v>
      </c>
      <c r="C4689" s="183">
        <v>45225</v>
      </c>
      <c r="D4689" s="17" t="s">
        <v>52</v>
      </c>
      <c r="E4689" s="17" t="s">
        <v>1113</v>
      </c>
      <c r="F4689" s="17" t="s">
        <v>54</v>
      </c>
      <c r="G4689" s="17"/>
      <c r="H4689" s="124" t="s">
        <v>1114</v>
      </c>
      <c r="I4689" s="124"/>
      <c r="J4689" s="17" t="s">
        <v>49</v>
      </c>
      <c r="K4689" s="295">
        <v>2200</v>
      </c>
      <c r="L4689" s="295">
        <v>45</v>
      </c>
      <c r="M4689" s="19">
        <v>5800</v>
      </c>
      <c r="N4689" s="19" t="s">
        <v>66</v>
      </c>
      <c r="O4689" s="19" t="s">
        <v>141</v>
      </c>
      <c r="P4689" s="91"/>
      <c r="Q4689" s="23">
        <f>4575+4585</f>
        <v>9160</v>
      </c>
      <c r="S4689" s="19">
        <v>1010</v>
      </c>
      <c r="T4689" s="19" t="s">
        <v>42</v>
      </c>
      <c r="U4689" s="102" t="s">
        <v>1334</v>
      </c>
      <c r="V4689" s="101">
        <v>45247</v>
      </c>
      <c r="W4689" s="17" t="s">
        <v>44</v>
      </c>
      <c r="X4689" s="17"/>
      <c r="Y4689" s="68">
        <v>45292</v>
      </c>
      <c r="Z4689" s="17" t="s">
        <v>191</v>
      </c>
      <c r="AA4689" s="17" t="s">
        <v>46</v>
      </c>
      <c r="AB4689" s="17" t="s">
        <v>1341</v>
      </c>
      <c r="AC4689" s="217">
        <v>45400</v>
      </c>
      <c r="AD4689" s="65">
        <v>1562</v>
      </c>
      <c r="AE4689" s="17" t="s">
        <v>48</v>
      </c>
      <c r="AF4689" s="17"/>
      <c r="AG4689" s="17"/>
      <c r="AH4689" s="17"/>
      <c r="AI4689" s="17"/>
      <c r="AJ4689" s="17"/>
      <c r="AK4689" s="17"/>
      <c r="AL4689" s="17"/>
      <c r="AM4689" s="17"/>
      <c r="AN4689" s="17"/>
      <c r="AO4689" s="17"/>
      <c r="AP4689" s="17"/>
      <c r="AQ4689" s="17"/>
      <c r="AR4689" s="17"/>
    </row>
    <row r="4690" s="21" customFormat="1" hidden="1" spans="1:44">
      <c r="A4690" s="17" t="s">
        <v>34</v>
      </c>
      <c r="B4690" s="19">
        <v>957</v>
      </c>
      <c r="C4690" s="183">
        <v>45225</v>
      </c>
      <c r="D4690" s="17" t="s">
        <v>52</v>
      </c>
      <c r="E4690" s="17" t="s">
        <v>1113</v>
      </c>
      <c r="F4690" s="17" t="s">
        <v>54</v>
      </c>
      <c r="G4690" s="17"/>
      <c r="H4690" s="124" t="s">
        <v>1114</v>
      </c>
      <c r="I4690" s="124"/>
      <c r="J4690" s="17" t="s">
        <v>49</v>
      </c>
      <c r="K4690" s="295">
        <v>2200</v>
      </c>
      <c r="L4690" s="295">
        <v>45</v>
      </c>
      <c r="M4690" s="19">
        <v>5800</v>
      </c>
      <c r="N4690" s="19" t="s">
        <v>66</v>
      </c>
      <c r="O4690" s="19" t="s">
        <v>141</v>
      </c>
      <c r="P4690" s="91"/>
      <c r="Q4690" s="23">
        <v>3180</v>
      </c>
      <c r="R4690" s="19">
        <f>+P4688-Q4688-Q4689-Q4690</f>
        <v>-667</v>
      </c>
      <c r="S4690" s="19">
        <f>1010+80</f>
        <v>1090</v>
      </c>
      <c r="T4690" s="19" t="s">
        <v>42</v>
      </c>
      <c r="U4690" s="102" t="s">
        <v>1334</v>
      </c>
      <c r="V4690" s="101">
        <v>45247</v>
      </c>
      <c r="W4690" s="17" t="s">
        <v>44</v>
      </c>
      <c r="X4690" s="17"/>
      <c r="Y4690" s="68">
        <v>45292</v>
      </c>
      <c r="Z4690" s="17" t="s">
        <v>191</v>
      </c>
      <c r="AA4690" s="17" t="s">
        <v>46</v>
      </c>
      <c r="AB4690" s="17" t="s">
        <v>1344</v>
      </c>
      <c r="AC4690" s="217">
        <v>45495</v>
      </c>
      <c r="AD4690" s="65">
        <v>1599</v>
      </c>
      <c r="AE4690" s="17" t="s">
        <v>48</v>
      </c>
      <c r="AF4690" s="17"/>
      <c r="AG4690" s="17"/>
      <c r="AH4690" s="17"/>
      <c r="AI4690" s="17"/>
      <c r="AJ4690" s="17"/>
      <c r="AK4690" s="17"/>
      <c r="AL4690" s="17"/>
      <c r="AM4690" s="17"/>
      <c r="AN4690" s="17"/>
      <c r="AO4690" s="17"/>
      <c r="AP4690" s="17"/>
      <c r="AQ4690" s="17"/>
      <c r="AR4690" s="17"/>
    </row>
    <row r="4691" s="21" customFormat="1" hidden="1" spans="1:44">
      <c r="A4691" s="17" t="s">
        <v>34</v>
      </c>
      <c r="B4691" s="19">
        <v>957</v>
      </c>
      <c r="C4691" s="183">
        <v>45225</v>
      </c>
      <c r="D4691" s="17" t="s">
        <v>52</v>
      </c>
      <c r="E4691" s="17" t="s">
        <v>1113</v>
      </c>
      <c r="F4691" s="17" t="s">
        <v>54</v>
      </c>
      <c r="G4691" s="17"/>
      <c r="H4691" s="124" t="s">
        <v>1114</v>
      </c>
      <c r="I4691" s="124"/>
      <c r="J4691" s="17" t="s">
        <v>49</v>
      </c>
      <c r="K4691" s="295">
        <v>2200</v>
      </c>
      <c r="L4691" s="295">
        <v>50</v>
      </c>
      <c r="M4691" s="19">
        <v>5800</v>
      </c>
      <c r="N4691" s="19" t="s">
        <v>66</v>
      </c>
      <c r="O4691" s="19" t="s">
        <v>141</v>
      </c>
      <c r="P4691" s="91">
        <v>12953</v>
      </c>
      <c r="Q4691" s="23">
        <f>3450+3210+3220</f>
        <v>9880</v>
      </c>
      <c r="R4691" s="19">
        <f>+P4691-Q4691</f>
        <v>3073</v>
      </c>
      <c r="S4691" s="19">
        <f>1010+80</f>
        <v>1090</v>
      </c>
      <c r="T4691" s="19" t="s">
        <v>42</v>
      </c>
      <c r="U4691" s="102" t="s">
        <v>1334</v>
      </c>
      <c r="V4691" s="101">
        <v>45247</v>
      </c>
      <c r="W4691" s="17" t="s">
        <v>44</v>
      </c>
      <c r="X4691" s="17"/>
      <c r="Y4691" s="68">
        <v>45292</v>
      </c>
      <c r="Z4691" s="17" t="s">
        <v>191</v>
      </c>
      <c r="AA4691" s="17" t="s">
        <v>46</v>
      </c>
      <c r="AB4691" s="17" t="s">
        <v>1344</v>
      </c>
      <c r="AC4691" s="217">
        <v>45495</v>
      </c>
      <c r="AD4691" s="65">
        <v>1599</v>
      </c>
      <c r="AE4691" s="17" t="s">
        <v>48</v>
      </c>
      <c r="AF4691" s="17"/>
      <c r="AG4691" s="17"/>
      <c r="AH4691" s="17"/>
      <c r="AI4691" s="17"/>
      <c r="AJ4691" s="17"/>
      <c r="AK4691" s="17"/>
      <c r="AL4691" s="17"/>
      <c r="AM4691" s="17"/>
      <c r="AN4691" s="17"/>
      <c r="AO4691" s="17"/>
      <c r="AP4691" s="17"/>
      <c r="AQ4691" s="17"/>
      <c r="AR4691" s="17"/>
    </row>
    <row r="4692" s="21" customFormat="1" hidden="1" spans="1:44">
      <c r="A4692" s="17" t="s">
        <v>34</v>
      </c>
      <c r="B4692" s="19">
        <v>957</v>
      </c>
      <c r="C4692" s="183">
        <v>45225</v>
      </c>
      <c r="D4692" s="17" t="s">
        <v>52</v>
      </c>
      <c r="E4692" s="17" t="s">
        <v>1113</v>
      </c>
      <c r="F4692" s="17" t="s">
        <v>54</v>
      </c>
      <c r="G4692" s="17"/>
      <c r="H4692" s="124" t="s">
        <v>1114</v>
      </c>
      <c r="I4692" s="124"/>
      <c r="J4692" s="17" t="s">
        <v>49</v>
      </c>
      <c r="K4692" s="295">
        <v>2200</v>
      </c>
      <c r="L4692" s="295">
        <v>56</v>
      </c>
      <c r="M4692" s="19">
        <v>5800</v>
      </c>
      <c r="N4692" s="19" t="s">
        <v>66</v>
      </c>
      <c r="O4692" s="19" t="s">
        <v>141</v>
      </c>
      <c r="P4692" s="91">
        <v>14507</v>
      </c>
      <c r="Q4692" s="23">
        <f>3790+3810+3820</f>
        <v>11420</v>
      </c>
      <c r="R4692" s="19">
        <f>+P4692-Q4692</f>
        <v>3087</v>
      </c>
      <c r="S4692" s="19">
        <v>1010</v>
      </c>
      <c r="T4692" s="19" t="s">
        <v>42</v>
      </c>
      <c r="U4692" s="102" t="s">
        <v>1334</v>
      </c>
      <c r="V4692" s="101">
        <v>45247</v>
      </c>
      <c r="W4692" s="17" t="s">
        <v>44</v>
      </c>
      <c r="X4692" s="17"/>
      <c r="Y4692" s="68">
        <v>45292</v>
      </c>
      <c r="Z4692" s="17" t="s">
        <v>191</v>
      </c>
      <c r="AA4692" s="17" t="s">
        <v>46</v>
      </c>
      <c r="AB4692" s="17" t="s">
        <v>1342</v>
      </c>
      <c r="AC4692" s="217">
        <v>45394</v>
      </c>
      <c r="AD4692" s="65">
        <v>1555</v>
      </c>
      <c r="AE4692" s="17" t="s">
        <v>48</v>
      </c>
      <c r="AF4692" s="17" t="s">
        <v>1349</v>
      </c>
      <c r="AG4692" s="17"/>
      <c r="AH4692" s="17"/>
      <c r="AI4692" s="17"/>
      <c r="AJ4692" s="17"/>
      <c r="AK4692" s="17"/>
      <c r="AL4692" s="17"/>
      <c r="AM4692" s="17"/>
      <c r="AN4692" s="17"/>
      <c r="AO4692" s="17"/>
      <c r="AP4692" s="17"/>
      <c r="AQ4692" s="17"/>
      <c r="AR4692" s="17"/>
    </row>
    <row r="4693" s="21" customFormat="1" hidden="1" spans="1:44">
      <c r="A4693" s="17" t="s">
        <v>34</v>
      </c>
      <c r="B4693" s="19">
        <v>957</v>
      </c>
      <c r="C4693" s="183">
        <v>45225</v>
      </c>
      <c r="D4693" s="17" t="s">
        <v>52</v>
      </c>
      <c r="E4693" s="17" t="s">
        <v>1113</v>
      </c>
      <c r="F4693" s="17" t="s">
        <v>54</v>
      </c>
      <c r="G4693" s="17"/>
      <c r="H4693" s="124" t="s">
        <v>1114</v>
      </c>
      <c r="I4693" s="124"/>
      <c r="J4693" s="17" t="s">
        <v>49</v>
      </c>
      <c r="K4693" s="295">
        <v>2200</v>
      </c>
      <c r="L4693" s="295">
        <v>61</v>
      </c>
      <c r="M4693" s="19">
        <v>5800</v>
      </c>
      <c r="N4693" s="19" t="s">
        <v>66</v>
      </c>
      <c r="O4693" s="19" t="s">
        <v>141</v>
      </c>
      <c r="P4693" s="91">
        <v>15802</v>
      </c>
      <c r="Q4693" s="23">
        <f>4165+4320+4120+4315</f>
        <v>16920</v>
      </c>
      <c r="R4693" s="19">
        <f>+P4693-Q4693</f>
        <v>-1118</v>
      </c>
      <c r="S4693" s="19">
        <v>1010</v>
      </c>
      <c r="T4693" s="19" t="s">
        <v>42</v>
      </c>
      <c r="U4693" s="102" t="s">
        <v>1334</v>
      </c>
      <c r="V4693" s="101">
        <v>45247</v>
      </c>
      <c r="W4693" s="17" t="s">
        <v>44</v>
      </c>
      <c r="X4693" s="17"/>
      <c r="Y4693" s="68">
        <v>45292</v>
      </c>
      <c r="Z4693" s="17" t="s">
        <v>191</v>
      </c>
      <c r="AA4693" s="17" t="s">
        <v>46</v>
      </c>
      <c r="AB4693" s="17" t="s">
        <v>1342</v>
      </c>
      <c r="AC4693" s="217">
        <v>45394</v>
      </c>
      <c r="AD4693" s="65">
        <v>1555</v>
      </c>
      <c r="AE4693" s="17" t="s">
        <v>48</v>
      </c>
      <c r="AF4693" s="17"/>
      <c r="AG4693" s="17"/>
      <c r="AH4693" s="17"/>
      <c r="AI4693" s="17"/>
      <c r="AJ4693" s="17"/>
      <c r="AK4693" s="17"/>
      <c r="AL4693" s="17"/>
      <c r="AM4693" s="17"/>
      <c r="AN4693" s="17"/>
      <c r="AO4693" s="17"/>
      <c r="AP4693" s="17"/>
      <c r="AQ4693" s="17"/>
      <c r="AR4693" s="17"/>
    </row>
    <row r="4694" s="21" customFormat="1" hidden="1" spans="1:44">
      <c r="A4694" s="17" t="s">
        <v>34</v>
      </c>
      <c r="B4694" s="19">
        <v>957</v>
      </c>
      <c r="C4694" s="183">
        <v>45225</v>
      </c>
      <c r="D4694" s="17" t="s">
        <v>52</v>
      </c>
      <c r="E4694" s="17" t="s">
        <v>1113</v>
      </c>
      <c r="F4694" s="17" t="s">
        <v>54</v>
      </c>
      <c r="G4694" s="17"/>
      <c r="H4694" s="124" t="s">
        <v>1114</v>
      </c>
      <c r="I4694" s="124"/>
      <c r="J4694" s="17" t="s">
        <v>49</v>
      </c>
      <c r="K4694" s="295">
        <v>2200</v>
      </c>
      <c r="L4694" s="295">
        <v>71</v>
      </c>
      <c r="M4694" s="19">
        <v>5800</v>
      </c>
      <c r="N4694" s="19" t="s">
        <v>66</v>
      </c>
      <c r="O4694" s="19" t="s">
        <v>141</v>
      </c>
      <c r="P4694" s="91">
        <v>12262</v>
      </c>
      <c r="Q4694" s="23">
        <f>7105+7085</f>
        <v>14190</v>
      </c>
      <c r="R4694" s="19">
        <f>+P4694-Q4694</f>
        <v>-1928</v>
      </c>
      <c r="S4694" s="19">
        <v>1010</v>
      </c>
      <c r="T4694" s="19" t="s">
        <v>42</v>
      </c>
      <c r="U4694" s="102" t="s">
        <v>1334</v>
      </c>
      <c r="V4694" s="101">
        <v>45247</v>
      </c>
      <c r="W4694" s="17" t="s">
        <v>44</v>
      </c>
      <c r="X4694" s="17"/>
      <c r="Y4694" s="68">
        <v>45292</v>
      </c>
      <c r="Z4694" s="17" t="s">
        <v>191</v>
      </c>
      <c r="AA4694" s="17" t="s">
        <v>46</v>
      </c>
      <c r="AB4694" s="17" t="s">
        <v>1350</v>
      </c>
      <c r="AC4694" s="217">
        <v>45399</v>
      </c>
      <c r="AD4694" s="65">
        <v>1560</v>
      </c>
      <c r="AE4694" s="17" t="s">
        <v>48</v>
      </c>
      <c r="AF4694" s="17"/>
      <c r="AG4694" s="17"/>
      <c r="AH4694" s="17"/>
      <c r="AI4694" s="17"/>
      <c r="AJ4694" s="17"/>
      <c r="AK4694" s="17"/>
      <c r="AL4694" s="17"/>
      <c r="AM4694" s="17"/>
      <c r="AN4694" s="17"/>
      <c r="AO4694" s="17"/>
      <c r="AP4694" s="17"/>
      <c r="AQ4694" s="17"/>
      <c r="AR4694" s="17"/>
    </row>
    <row r="4695" s="21" customFormat="1" hidden="1" spans="1:44">
      <c r="A4695" s="17" t="s">
        <v>34</v>
      </c>
      <c r="B4695" s="19">
        <v>957</v>
      </c>
      <c r="C4695" s="183">
        <v>45225</v>
      </c>
      <c r="D4695" s="17" t="s">
        <v>52</v>
      </c>
      <c r="E4695" s="17" t="s">
        <v>1113</v>
      </c>
      <c r="F4695" s="17" t="s">
        <v>54</v>
      </c>
      <c r="G4695" s="17"/>
      <c r="H4695" s="124" t="s">
        <v>1114</v>
      </c>
      <c r="I4695" s="124"/>
      <c r="J4695" s="17" t="s">
        <v>49</v>
      </c>
      <c r="K4695" s="295">
        <v>2200</v>
      </c>
      <c r="L4695" s="295">
        <v>91</v>
      </c>
      <c r="M4695" s="19">
        <v>5800</v>
      </c>
      <c r="N4695" s="19" t="s">
        <v>66</v>
      </c>
      <c r="O4695" s="19" t="s">
        <v>141</v>
      </c>
      <c r="P4695" s="91">
        <v>15716</v>
      </c>
      <c r="Q4695" s="23">
        <v>7220</v>
      </c>
      <c r="R4695" s="254"/>
      <c r="S4695" s="19">
        <v>1010</v>
      </c>
      <c r="T4695" s="19" t="s">
        <v>42</v>
      </c>
      <c r="U4695" s="102" t="s">
        <v>1334</v>
      </c>
      <c r="V4695" s="101">
        <v>45247</v>
      </c>
      <c r="W4695" s="17" t="s">
        <v>44</v>
      </c>
      <c r="X4695" s="17"/>
      <c r="Y4695" s="68">
        <v>45292</v>
      </c>
      <c r="Z4695" s="17" t="s">
        <v>191</v>
      </c>
      <c r="AA4695" s="17" t="s">
        <v>46</v>
      </c>
      <c r="AB4695" s="17" t="s">
        <v>1348</v>
      </c>
      <c r="AC4695" s="217">
        <v>45394</v>
      </c>
      <c r="AD4695" s="65">
        <v>1556</v>
      </c>
      <c r="AE4695" s="17" t="s">
        <v>48</v>
      </c>
      <c r="AF4695" s="17"/>
      <c r="AG4695" s="17"/>
      <c r="AH4695" s="17"/>
      <c r="AI4695" s="17"/>
      <c r="AJ4695" s="17"/>
      <c r="AK4695" s="17"/>
      <c r="AL4695" s="17"/>
      <c r="AM4695" s="17"/>
      <c r="AN4695" s="17"/>
      <c r="AO4695" s="17"/>
      <c r="AP4695" s="17"/>
      <c r="AQ4695" s="17"/>
      <c r="AR4695" s="17"/>
    </row>
    <row r="4696" s="21" customFormat="1" hidden="1" spans="1:44">
      <c r="A4696" s="17" t="s">
        <v>34</v>
      </c>
      <c r="B4696" s="19">
        <v>957</v>
      </c>
      <c r="C4696" s="183">
        <v>45225</v>
      </c>
      <c r="D4696" s="17" t="s">
        <v>52</v>
      </c>
      <c r="E4696" s="17" t="s">
        <v>1113</v>
      </c>
      <c r="F4696" s="17" t="s">
        <v>54</v>
      </c>
      <c r="G4696" s="17"/>
      <c r="H4696" s="19" t="s">
        <v>1114</v>
      </c>
      <c r="I4696" s="19"/>
      <c r="J4696" s="17" t="s">
        <v>49</v>
      </c>
      <c r="K4696" s="295">
        <v>2200</v>
      </c>
      <c r="L4696" s="295">
        <v>91</v>
      </c>
      <c r="M4696" s="19">
        <v>5800</v>
      </c>
      <c r="N4696" s="19" t="s">
        <v>66</v>
      </c>
      <c r="O4696" s="19" t="s">
        <v>141</v>
      </c>
      <c r="P4696" s="91"/>
      <c r="Q4696" s="23">
        <v>9110</v>
      </c>
      <c r="R4696" s="19">
        <f>+P4695-Q4695-Q4696</f>
        <v>-614</v>
      </c>
      <c r="S4696" s="19">
        <v>1010</v>
      </c>
      <c r="T4696" s="19" t="s">
        <v>42</v>
      </c>
      <c r="U4696" s="102" t="s">
        <v>1334</v>
      </c>
      <c r="V4696" s="101">
        <v>45247</v>
      </c>
      <c r="W4696" s="17" t="s">
        <v>44</v>
      </c>
      <c r="X4696" s="17"/>
      <c r="Y4696" s="68">
        <v>45292</v>
      </c>
      <c r="Z4696" s="17" t="s">
        <v>191</v>
      </c>
      <c r="AA4696" s="17" t="s">
        <v>46</v>
      </c>
      <c r="AB4696" s="17" t="s">
        <v>1337</v>
      </c>
      <c r="AC4696" s="217">
        <v>45400</v>
      </c>
      <c r="AD4696" s="65">
        <v>1563</v>
      </c>
      <c r="AE4696" s="17" t="s">
        <v>48</v>
      </c>
      <c r="AF4696" s="17"/>
      <c r="AG4696" s="17"/>
      <c r="AH4696" s="17"/>
      <c r="AI4696" s="17"/>
      <c r="AJ4696" s="17"/>
      <c r="AK4696" s="17"/>
      <c r="AL4696" s="17"/>
      <c r="AM4696" s="17"/>
      <c r="AN4696" s="17"/>
      <c r="AO4696" s="17"/>
      <c r="AP4696" s="17"/>
      <c r="AQ4696" s="17"/>
      <c r="AR4696" s="17"/>
    </row>
    <row r="4697" s="21" customFormat="1" hidden="1" spans="1:44">
      <c r="A4697" s="17" t="s">
        <v>34</v>
      </c>
      <c r="B4697" s="19">
        <v>957</v>
      </c>
      <c r="C4697" s="183">
        <v>45225</v>
      </c>
      <c r="D4697" s="17" t="s">
        <v>52</v>
      </c>
      <c r="E4697" s="17" t="s">
        <v>1113</v>
      </c>
      <c r="F4697" s="17" t="s">
        <v>54</v>
      </c>
      <c r="G4697" s="17"/>
      <c r="H4697" s="124" t="s">
        <v>1114</v>
      </c>
      <c r="I4697" s="124"/>
      <c r="J4697" s="17" t="s">
        <v>49</v>
      </c>
      <c r="K4697" s="295">
        <v>2200</v>
      </c>
      <c r="L4697" s="295">
        <v>100</v>
      </c>
      <c r="M4697" s="19">
        <v>5800</v>
      </c>
      <c r="N4697" s="19" t="s">
        <v>66</v>
      </c>
      <c r="O4697" s="19" t="s">
        <v>141</v>
      </c>
      <c r="P4697" s="91">
        <v>17270</v>
      </c>
      <c r="Q4697" s="23">
        <v>7010</v>
      </c>
      <c r="R4697" s="254"/>
      <c r="S4697" s="19">
        <v>1010</v>
      </c>
      <c r="T4697" s="19" t="s">
        <v>42</v>
      </c>
      <c r="U4697" s="102" t="s">
        <v>1334</v>
      </c>
      <c r="V4697" s="101">
        <v>45247</v>
      </c>
      <c r="W4697" s="17" t="s">
        <v>44</v>
      </c>
      <c r="X4697" s="17"/>
      <c r="Y4697" s="68">
        <v>45292</v>
      </c>
      <c r="Z4697" s="17" t="s">
        <v>191</v>
      </c>
      <c r="AA4697" s="17" t="s">
        <v>46</v>
      </c>
      <c r="AB4697" s="17" t="s">
        <v>1348</v>
      </c>
      <c r="AC4697" s="217">
        <v>45394</v>
      </c>
      <c r="AD4697" s="65">
        <v>1556</v>
      </c>
      <c r="AE4697" s="17" t="s">
        <v>48</v>
      </c>
      <c r="AF4697" s="17"/>
      <c r="AG4697" s="17"/>
      <c r="AH4697" s="17"/>
      <c r="AI4697" s="17"/>
      <c r="AJ4697" s="17"/>
      <c r="AK4697" s="17"/>
      <c r="AL4697" s="17"/>
      <c r="AM4697" s="17"/>
      <c r="AN4697" s="17"/>
      <c r="AO4697" s="17"/>
      <c r="AP4697" s="17"/>
      <c r="AQ4697" s="17"/>
      <c r="AR4697" s="17"/>
    </row>
    <row r="4698" s="21" customFormat="1" hidden="1" spans="1:44">
      <c r="A4698" s="17" t="s">
        <v>34</v>
      </c>
      <c r="B4698" s="19">
        <v>957</v>
      </c>
      <c r="C4698" s="183">
        <v>45225</v>
      </c>
      <c r="D4698" s="17" t="s">
        <v>52</v>
      </c>
      <c r="E4698" s="17" t="s">
        <v>1113</v>
      </c>
      <c r="F4698" s="17" t="s">
        <v>54</v>
      </c>
      <c r="G4698" s="17"/>
      <c r="H4698" s="124" t="s">
        <v>1114</v>
      </c>
      <c r="I4698" s="124"/>
      <c r="J4698" s="17" t="s">
        <v>49</v>
      </c>
      <c r="K4698" s="295">
        <v>2200</v>
      </c>
      <c r="L4698" s="295">
        <v>100</v>
      </c>
      <c r="M4698" s="19">
        <v>5800</v>
      </c>
      <c r="N4698" s="19" t="s">
        <v>66</v>
      </c>
      <c r="O4698" s="19" t="s">
        <v>141</v>
      </c>
      <c r="P4698" s="91"/>
      <c r="Q4698" s="23">
        <v>7115</v>
      </c>
      <c r="R4698" s="19">
        <f>+P4697-Q4697-Q4698</f>
        <v>3145</v>
      </c>
      <c r="S4698" s="19">
        <v>1010</v>
      </c>
      <c r="T4698" s="19" t="s">
        <v>42</v>
      </c>
      <c r="U4698" s="102" t="s">
        <v>1334</v>
      </c>
      <c r="V4698" s="101">
        <v>45247</v>
      </c>
      <c r="W4698" s="17" t="s">
        <v>44</v>
      </c>
      <c r="X4698" s="17"/>
      <c r="Y4698" s="68">
        <v>45292</v>
      </c>
      <c r="Z4698" s="17" t="s">
        <v>191</v>
      </c>
      <c r="AA4698" s="17" t="s">
        <v>46</v>
      </c>
      <c r="AB4698" s="17" t="s">
        <v>1350</v>
      </c>
      <c r="AC4698" s="217">
        <v>45399</v>
      </c>
      <c r="AD4698" s="65">
        <v>1560</v>
      </c>
      <c r="AE4698" s="17" t="s">
        <v>48</v>
      </c>
      <c r="AF4698" s="17" t="s">
        <v>1332</v>
      </c>
      <c r="AG4698" s="17"/>
      <c r="AH4698" s="17"/>
      <c r="AI4698" s="17"/>
      <c r="AJ4698" s="17"/>
      <c r="AK4698" s="17"/>
      <c r="AL4698" s="17"/>
      <c r="AM4698" s="17"/>
      <c r="AN4698" s="17"/>
      <c r="AO4698" s="17"/>
      <c r="AP4698" s="17"/>
      <c r="AQ4698" s="17"/>
      <c r="AR4698" s="17"/>
    </row>
    <row r="4699" s="21" customFormat="1" ht="15.6" hidden="1" spans="1:44">
      <c r="A4699" s="17" t="s">
        <v>34</v>
      </c>
      <c r="B4699" s="19">
        <v>957</v>
      </c>
      <c r="C4699" s="183">
        <v>45225</v>
      </c>
      <c r="D4699" s="17" t="s">
        <v>52</v>
      </c>
      <c r="E4699" s="17" t="s">
        <v>1113</v>
      </c>
      <c r="F4699" s="17" t="s">
        <v>54</v>
      </c>
      <c r="G4699" s="17"/>
      <c r="H4699" s="19" t="s">
        <v>1114</v>
      </c>
      <c r="I4699" s="19"/>
      <c r="J4699" s="17" t="s">
        <v>82</v>
      </c>
      <c r="K4699" s="19">
        <v>205</v>
      </c>
      <c r="L4699" s="19">
        <v>35</v>
      </c>
      <c r="M4699" s="19">
        <v>2200</v>
      </c>
      <c r="N4699" s="19" t="s">
        <v>66</v>
      </c>
      <c r="O4699" s="19" t="s">
        <v>141</v>
      </c>
      <c r="P4699" s="19">
        <v>507</v>
      </c>
      <c r="Q4699" s="98">
        <v>278</v>
      </c>
      <c r="S4699" s="274">
        <f>1030+80-20</f>
        <v>1090</v>
      </c>
      <c r="T4699" s="19" t="s">
        <v>42</v>
      </c>
      <c r="U4699" s="102" t="s">
        <v>1334</v>
      </c>
      <c r="V4699" s="101">
        <v>45247</v>
      </c>
      <c r="W4699" s="17" t="s">
        <v>69</v>
      </c>
      <c r="X4699" s="17"/>
      <c r="Y4699" s="68">
        <v>45292</v>
      </c>
      <c r="Z4699" s="17" t="s">
        <v>191</v>
      </c>
      <c r="AA4699" s="17" t="s">
        <v>46</v>
      </c>
      <c r="AB4699" s="17" t="s">
        <v>1336</v>
      </c>
      <c r="AC4699" s="66">
        <v>45435</v>
      </c>
      <c r="AD4699" s="65">
        <v>1577</v>
      </c>
      <c r="AE4699" s="17" t="s">
        <v>74</v>
      </c>
      <c r="AF4699" s="17"/>
      <c r="AG4699" s="17"/>
      <c r="AH4699" s="17"/>
      <c r="AI4699" s="17"/>
      <c r="AJ4699" s="17"/>
      <c r="AK4699" s="17"/>
      <c r="AL4699" s="17"/>
      <c r="AM4699" s="17"/>
      <c r="AN4699" s="17"/>
      <c r="AO4699" s="17"/>
      <c r="AP4699" s="17"/>
      <c r="AQ4699" s="17"/>
      <c r="AR4699" s="17"/>
    </row>
    <row r="4700" s="21" customFormat="1" ht="15.6" hidden="1" spans="1:44">
      <c r="A4700" s="17" t="s">
        <v>34</v>
      </c>
      <c r="B4700" s="19">
        <v>957</v>
      </c>
      <c r="C4700" s="183">
        <v>45225</v>
      </c>
      <c r="D4700" s="17" t="s">
        <v>52</v>
      </c>
      <c r="E4700" s="17" t="s">
        <v>1113</v>
      </c>
      <c r="F4700" s="17" t="s">
        <v>54</v>
      </c>
      <c r="G4700" s="17"/>
      <c r="H4700" s="19" t="s">
        <v>1114</v>
      </c>
      <c r="I4700" s="19"/>
      <c r="J4700" s="17" t="s">
        <v>82</v>
      </c>
      <c r="K4700" s="19">
        <v>205</v>
      </c>
      <c r="L4700" s="19">
        <v>35</v>
      </c>
      <c r="M4700" s="19">
        <v>2200</v>
      </c>
      <c r="N4700" s="19" t="s">
        <v>66</v>
      </c>
      <c r="O4700" s="19" t="s">
        <v>141</v>
      </c>
      <c r="P4700" s="19"/>
      <c r="Q4700" s="98">
        <v>272</v>
      </c>
      <c r="R4700" s="19">
        <f>+P4699-Q4699-Q4700</f>
        <v>-43</v>
      </c>
      <c r="S4700" s="274">
        <f>1030</f>
        <v>1030</v>
      </c>
      <c r="T4700" s="19" t="s">
        <v>42</v>
      </c>
      <c r="U4700" s="102" t="s">
        <v>1334</v>
      </c>
      <c r="V4700" s="101">
        <v>45247</v>
      </c>
      <c r="W4700" s="17" t="s">
        <v>69</v>
      </c>
      <c r="X4700" s="17"/>
      <c r="Y4700" s="68">
        <v>45292</v>
      </c>
      <c r="Z4700" s="17" t="s">
        <v>191</v>
      </c>
      <c r="AA4700" s="17" t="s">
        <v>46</v>
      </c>
      <c r="AB4700" s="17" t="s">
        <v>1351</v>
      </c>
      <c r="AC4700" s="66">
        <v>45516</v>
      </c>
      <c r="AD4700" s="65">
        <v>1615</v>
      </c>
      <c r="AE4700" s="17" t="s">
        <v>74</v>
      </c>
      <c r="AF4700" s="17"/>
      <c r="AG4700" s="17"/>
      <c r="AH4700" s="17"/>
      <c r="AI4700" s="17"/>
      <c r="AJ4700" s="17"/>
      <c r="AK4700" s="17"/>
      <c r="AL4700" s="17"/>
      <c r="AM4700" s="17"/>
      <c r="AN4700" s="17"/>
      <c r="AO4700" s="17"/>
      <c r="AP4700" s="17"/>
      <c r="AQ4700" s="17"/>
      <c r="AR4700" s="17"/>
    </row>
    <row r="4701" s="21" customFormat="1" ht="15.6" hidden="1" spans="1:44">
      <c r="A4701" s="17" t="s">
        <v>34</v>
      </c>
      <c r="B4701" s="19">
        <v>957</v>
      </c>
      <c r="C4701" s="183">
        <v>45225</v>
      </c>
      <c r="D4701" s="17" t="s">
        <v>52</v>
      </c>
      <c r="E4701" s="17" t="s">
        <v>1113</v>
      </c>
      <c r="F4701" s="17" t="s">
        <v>54</v>
      </c>
      <c r="G4701" s="17"/>
      <c r="H4701" s="19" t="s">
        <v>1114</v>
      </c>
      <c r="I4701" s="19"/>
      <c r="J4701" s="17" t="s">
        <v>82</v>
      </c>
      <c r="K4701" s="19">
        <v>255</v>
      </c>
      <c r="L4701" s="19">
        <v>35</v>
      </c>
      <c r="M4701" s="19">
        <v>2200</v>
      </c>
      <c r="N4701" s="19" t="s">
        <v>66</v>
      </c>
      <c r="O4701" s="19" t="s">
        <v>141</v>
      </c>
      <c r="P4701" s="19">
        <v>631</v>
      </c>
      <c r="Q4701" s="98">
        <f>333+167</f>
        <v>500</v>
      </c>
      <c r="S4701" s="274">
        <v>1030</v>
      </c>
      <c r="T4701" s="19" t="s">
        <v>42</v>
      </c>
      <c r="U4701" s="102" t="s">
        <v>1334</v>
      </c>
      <c r="V4701" s="101">
        <v>45247</v>
      </c>
      <c r="W4701" s="17" t="s">
        <v>44</v>
      </c>
      <c r="X4701" s="17"/>
      <c r="Y4701" s="68">
        <v>45292</v>
      </c>
      <c r="Z4701" s="17" t="s">
        <v>191</v>
      </c>
      <c r="AA4701" s="17" t="s">
        <v>46</v>
      </c>
      <c r="AB4701" s="17" t="s">
        <v>1245</v>
      </c>
      <c r="AC4701" s="66">
        <v>45379</v>
      </c>
      <c r="AD4701" s="65">
        <v>1546</v>
      </c>
      <c r="AE4701" s="17" t="s">
        <v>74</v>
      </c>
      <c r="AF4701" s="17"/>
      <c r="AG4701" s="17"/>
      <c r="AH4701" s="17"/>
      <c r="AI4701" s="17"/>
      <c r="AJ4701" s="17"/>
      <c r="AK4701" s="17"/>
      <c r="AL4701" s="17"/>
      <c r="AM4701" s="17"/>
      <c r="AN4701" s="17"/>
      <c r="AO4701" s="17"/>
      <c r="AP4701" s="17"/>
      <c r="AQ4701" s="17"/>
      <c r="AR4701" s="17"/>
    </row>
    <row r="4702" s="21" customFormat="1" ht="15.6" hidden="1" spans="1:44">
      <c r="A4702" s="17" t="s">
        <v>34</v>
      </c>
      <c r="B4702" s="19">
        <v>957</v>
      </c>
      <c r="C4702" s="183">
        <v>45225</v>
      </c>
      <c r="D4702" s="17" t="s">
        <v>52</v>
      </c>
      <c r="E4702" s="17" t="s">
        <v>1113</v>
      </c>
      <c r="F4702" s="17" t="s">
        <v>54</v>
      </c>
      <c r="G4702" s="17"/>
      <c r="H4702" s="19" t="s">
        <v>1114</v>
      </c>
      <c r="I4702" s="19"/>
      <c r="J4702" s="17" t="s">
        <v>82</v>
      </c>
      <c r="K4702" s="19">
        <v>255</v>
      </c>
      <c r="L4702" s="19">
        <v>35</v>
      </c>
      <c r="M4702" s="19">
        <v>2200</v>
      </c>
      <c r="N4702" s="19" t="s">
        <v>66</v>
      </c>
      <c r="O4702" s="19" t="s">
        <v>141</v>
      </c>
      <c r="P4702" s="19"/>
      <c r="Q4702" s="98">
        <v>171</v>
      </c>
      <c r="R4702" s="19">
        <f>+P4701-Q4701-Q4702</f>
        <v>-40</v>
      </c>
      <c r="S4702" s="274">
        <v>1030</v>
      </c>
      <c r="T4702" s="19" t="s">
        <v>42</v>
      </c>
      <c r="U4702" s="102" t="s">
        <v>1334</v>
      </c>
      <c r="V4702" s="101">
        <v>45247</v>
      </c>
      <c r="W4702" s="17" t="s">
        <v>69</v>
      </c>
      <c r="X4702" s="17"/>
      <c r="Y4702" s="68">
        <v>45292</v>
      </c>
      <c r="Z4702" s="17" t="s">
        <v>191</v>
      </c>
      <c r="AA4702" s="17" t="s">
        <v>46</v>
      </c>
      <c r="AB4702" s="17" t="s">
        <v>1351</v>
      </c>
      <c r="AC4702" s="66">
        <v>45516</v>
      </c>
      <c r="AD4702" s="65">
        <v>1615</v>
      </c>
      <c r="AE4702" s="17" t="s">
        <v>74</v>
      </c>
      <c r="AF4702" s="17"/>
      <c r="AG4702" s="17"/>
      <c r="AH4702" s="17"/>
      <c r="AI4702" s="17"/>
      <c r="AJ4702" s="17"/>
      <c r="AK4702" s="17"/>
      <c r="AL4702" s="17"/>
      <c r="AM4702" s="17"/>
      <c r="AN4702" s="17"/>
      <c r="AO4702" s="17"/>
      <c r="AP4702" s="17"/>
      <c r="AQ4702" s="17"/>
      <c r="AR4702" s="17"/>
    </row>
    <row r="4703" s="21" customFormat="1" ht="15.6" hidden="1" spans="1:44">
      <c r="A4703" s="17" t="s">
        <v>34</v>
      </c>
      <c r="B4703" s="19">
        <v>957</v>
      </c>
      <c r="C4703" s="183">
        <v>45225</v>
      </c>
      <c r="D4703" s="17" t="s">
        <v>52</v>
      </c>
      <c r="E4703" s="17" t="s">
        <v>1113</v>
      </c>
      <c r="F4703" s="17" t="s">
        <v>54</v>
      </c>
      <c r="G4703" s="17"/>
      <c r="H4703" s="19" t="s">
        <v>1114</v>
      </c>
      <c r="I4703" s="19"/>
      <c r="J4703" s="17" t="s">
        <v>82</v>
      </c>
      <c r="K4703" s="19">
        <v>305</v>
      </c>
      <c r="L4703" s="19">
        <v>35</v>
      </c>
      <c r="M4703" s="19">
        <v>2200</v>
      </c>
      <c r="N4703" s="19" t="s">
        <v>66</v>
      </c>
      <c r="O4703" s="19" t="s">
        <v>141</v>
      </c>
      <c r="P4703" s="19">
        <v>566</v>
      </c>
      <c r="Q4703" s="98">
        <f>195+195</f>
        <v>390</v>
      </c>
      <c r="S4703" s="274">
        <f>1030+80-20</f>
        <v>1090</v>
      </c>
      <c r="T4703" s="19" t="s">
        <v>42</v>
      </c>
      <c r="U4703" s="102" t="s">
        <v>1334</v>
      </c>
      <c r="V4703" s="101">
        <v>45247</v>
      </c>
      <c r="W4703" s="17" t="s">
        <v>69</v>
      </c>
      <c r="X4703" s="17"/>
      <c r="Y4703" s="68">
        <v>45292</v>
      </c>
      <c r="Z4703" s="17" t="s">
        <v>191</v>
      </c>
      <c r="AA4703" s="17" t="s">
        <v>46</v>
      </c>
      <c r="AB4703" s="17" t="s">
        <v>1336</v>
      </c>
      <c r="AC4703" s="66">
        <v>45435</v>
      </c>
      <c r="AD4703" s="65">
        <v>1577</v>
      </c>
      <c r="AE4703" s="17" t="s">
        <v>74</v>
      </c>
      <c r="AF4703" s="17"/>
      <c r="AG4703" s="17"/>
      <c r="AH4703" s="17"/>
      <c r="AI4703" s="17"/>
      <c r="AJ4703" s="17"/>
      <c r="AK4703" s="17"/>
      <c r="AL4703" s="17"/>
      <c r="AM4703" s="17"/>
      <c r="AN4703" s="17"/>
      <c r="AO4703" s="17"/>
      <c r="AP4703" s="17"/>
      <c r="AQ4703" s="17"/>
      <c r="AR4703" s="17"/>
    </row>
    <row r="4704" s="21" customFormat="1" ht="15.6" hidden="1" spans="1:44">
      <c r="A4704" s="17" t="s">
        <v>34</v>
      </c>
      <c r="B4704" s="19">
        <v>957</v>
      </c>
      <c r="C4704" s="183">
        <v>45225</v>
      </c>
      <c r="D4704" s="17" t="s">
        <v>52</v>
      </c>
      <c r="E4704" s="17" t="s">
        <v>1113</v>
      </c>
      <c r="F4704" s="17" t="s">
        <v>54</v>
      </c>
      <c r="G4704" s="17"/>
      <c r="H4704" s="19" t="s">
        <v>1114</v>
      </c>
      <c r="I4704" s="19"/>
      <c r="J4704" s="17" t="s">
        <v>82</v>
      </c>
      <c r="K4704" s="19">
        <v>305</v>
      </c>
      <c r="L4704" s="19">
        <v>35</v>
      </c>
      <c r="M4704" s="19">
        <v>2200</v>
      </c>
      <c r="N4704" s="19" t="s">
        <v>66</v>
      </c>
      <c r="O4704" s="19" t="s">
        <v>141</v>
      </c>
      <c r="P4704" s="19"/>
      <c r="Q4704" s="98">
        <v>202</v>
      </c>
      <c r="R4704" s="19">
        <f>+P4703-Q4703-Q4704</f>
        <v>-26</v>
      </c>
      <c r="S4704" s="274">
        <f>1030</f>
        <v>1030</v>
      </c>
      <c r="T4704" s="19" t="s">
        <v>42</v>
      </c>
      <c r="U4704" s="102" t="s">
        <v>1334</v>
      </c>
      <c r="V4704" s="101">
        <v>45247</v>
      </c>
      <c r="W4704" s="17" t="s">
        <v>69</v>
      </c>
      <c r="X4704" s="17"/>
      <c r="Y4704" s="68">
        <v>45292</v>
      </c>
      <c r="Z4704" s="17" t="s">
        <v>191</v>
      </c>
      <c r="AA4704" s="17" t="s">
        <v>46</v>
      </c>
      <c r="AB4704" s="17" t="s">
        <v>1351</v>
      </c>
      <c r="AC4704" s="66">
        <v>45516</v>
      </c>
      <c r="AD4704" s="65">
        <v>1615</v>
      </c>
      <c r="AE4704" s="17" t="s">
        <v>74</v>
      </c>
      <c r="AF4704" s="17"/>
      <c r="AG4704" s="17"/>
      <c r="AH4704" s="17"/>
      <c r="AI4704" s="17"/>
      <c r="AJ4704" s="17"/>
      <c r="AK4704" s="17"/>
      <c r="AL4704" s="17"/>
      <c r="AM4704" s="17"/>
      <c r="AN4704" s="17"/>
      <c r="AO4704" s="17"/>
      <c r="AP4704" s="17"/>
      <c r="AQ4704" s="17"/>
      <c r="AR4704" s="17"/>
    </row>
    <row r="4705" s="21" customFormat="1" ht="15.6" hidden="1" spans="1:44">
      <c r="A4705" s="17" t="s">
        <v>34</v>
      </c>
      <c r="B4705" s="19">
        <v>957</v>
      </c>
      <c r="C4705" s="183">
        <v>45225</v>
      </c>
      <c r="D4705" s="17" t="s">
        <v>52</v>
      </c>
      <c r="E4705" s="17" t="s">
        <v>1113</v>
      </c>
      <c r="F4705" s="17" t="s">
        <v>54</v>
      </c>
      <c r="G4705" s="17"/>
      <c r="H4705" s="19" t="s">
        <v>1114</v>
      </c>
      <c r="I4705" s="19"/>
      <c r="J4705" s="17" t="s">
        <v>82</v>
      </c>
      <c r="K4705" s="19">
        <v>605</v>
      </c>
      <c r="L4705" s="19">
        <v>40</v>
      </c>
      <c r="M4705" s="19">
        <v>2200</v>
      </c>
      <c r="N4705" s="19" t="s">
        <v>66</v>
      </c>
      <c r="O4705" s="19" t="s">
        <v>141</v>
      </c>
      <c r="P4705" s="19">
        <v>2137</v>
      </c>
      <c r="Q4705" s="19">
        <f>442+440</f>
        <v>882</v>
      </c>
      <c r="R4705" s="254"/>
      <c r="S4705" s="274">
        <v>1030</v>
      </c>
      <c r="T4705" s="19" t="s">
        <v>42</v>
      </c>
      <c r="U4705" s="102" t="s">
        <v>1334</v>
      </c>
      <c r="V4705" s="101">
        <v>45247</v>
      </c>
      <c r="W4705" s="17" t="s">
        <v>44</v>
      </c>
      <c r="X4705" s="17"/>
      <c r="Y4705" s="68">
        <v>45292</v>
      </c>
      <c r="Z4705" s="17" t="s">
        <v>191</v>
      </c>
      <c r="AA4705" s="17" t="s">
        <v>46</v>
      </c>
      <c r="AB4705" s="17" t="s">
        <v>1284</v>
      </c>
      <c r="AC4705" s="66">
        <v>45372</v>
      </c>
      <c r="AD4705" s="65">
        <v>1543</v>
      </c>
      <c r="AE4705" s="17" t="s">
        <v>74</v>
      </c>
      <c r="AF4705" s="17"/>
      <c r="AG4705" s="17"/>
      <c r="AH4705" s="17"/>
      <c r="AI4705" s="17"/>
      <c r="AJ4705" s="17"/>
      <c r="AK4705" s="17"/>
      <c r="AL4705" s="17"/>
      <c r="AM4705" s="17"/>
      <c r="AN4705" s="17"/>
      <c r="AO4705" s="17"/>
      <c r="AP4705" s="17"/>
      <c r="AQ4705" s="17"/>
      <c r="AR4705" s="17"/>
    </row>
    <row r="4706" s="21" customFormat="1" ht="15.6" hidden="1" spans="1:44">
      <c r="A4706" s="17" t="s">
        <v>34</v>
      </c>
      <c r="B4706" s="19">
        <v>957</v>
      </c>
      <c r="C4706" s="183">
        <v>45225</v>
      </c>
      <c r="D4706" s="17" t="s">
        <v>52</v>
      </c>
      <c r="E4706" s="17" t="s">
        <v>1113</v>
      </c>
      <c r="F4706" s="17" t="s">
        <v>54</v>
      </c>
      <c r="G4706" s="17"/>
      <c r="H4706" s="19" t="s">
        <v>1114</v>
      </c>
      <c r="I4706" s="19"/>
      <c r="J4706" s="17" t="s">
        <v>82</v>
      </c>
      <c r="K4706" s="19">
        <v>605</v>
      </c>
      <c r="L4706" s="19">
        <v>40</v>
      </c>
      <c r="M4706" s="19">
        <v>2200</v>
      </c>
      <c r="N4706" s="19" t="s">
        <v>66</v>
      </c>
      <c r="O4706" s="19" t="s">
        <v>141</v>
      </c>
      <c r="P4706" s="19"/>
      <c r="Q4706" s="19">
        <v>441</v>
      </c>
      <c r="S4706" s="274">
        <v>1030</v>
      </c>
      <c r="T4706" s="19" t="s">
        <v>42</v>
      </c>
      <c r="U4706" s="102" t="s">
        <v>1334</v>
      </c>
      <c r="V4706" s="101">
        <v>45247</v>
      </c>
      <c r="W4706" s="17" t="s">
        <v>44</v>
      </c>
      <c r="X4706" s="17"/>
      <c r="Y4706" s="68">
        <v>45292</v>
      </c>
      <c r="Z4706" s="17" t="s">
        <v>191</v>
      </c>
      <c r="AA4706" s="17" t="s">
        <v>46</v>
      </c>
      <c r="AB4706" s="17" t="s">
        <v>1338</v>
      </c>
      <c r="AC4706" s="217">
        <v>45395</v>
      </c>
      <c r="AD4706" s="65">
        <v>1557</v>
      </c>
      <c r="AE4706" s="17" t="s">
        <v>74</v>
      </c>
      <c r="AF4706" s="17"/>
      <c r="AG4706" s="17"/>
      <c r="AH4706" s="17"/>
      <c r="AI4706" s="17"/>
      <c r="AJ4706" s="17"/>
      <c r="AK4706" s="17"/>
      <c r="AL4706" s="17"/>
      <c r="AM4706" s="17"/>
      <c r="AN4706" s="17"/>
      <c r="AO4706" s="17"/>
      <c r="AP4706" s="17"/>
      <c r="AQ4706" s="17"/>
      <c r="AR4706" s="17"/>
    </row>
    <row r="4707" s="21" customFormat="1" ht="15.6" hidden="1" spans="1:44">
      <c r="A4707" s="17" t="s">
        <v>34</v>
      </c>
      <c r="B4707" s="19">
        <v>957</v>
      </c>
      <c r="C4707" s="183">
        <v>45225</v>
      </c>
      <c r="D4707" s="17" t="s">
        <v>52</v>
      </c>
      <c r="E4707" s="17" t="s">
        <v>1113</v>
      </c>
      <c r="F4707" s="17" t="s">
        <v>54</v>
      </c>
      <c r="G4707" s="17"/>
      <c r="H4707" s="19" t="s">
        <v>1114</v>
      </c>
      <c r="I4707" s="19"/>
      <c r="J4707" s="17" t="s">
        <v>82</v>
      </c>
      <c r="K4707" s="19">
        <v>605</v>
      </c>
      <c r="L4707" s="19">
        <v>40</v>
      </c>
      <c r="M4707" s="19">
        <v>2200</v>
      </c>
      <c r="N4707" s="19" t="s">
        <v>66</v>
      </c>
      <c r="O4707" s="19" t="s">
        <v>141</v>
      </c>
      <c r="P4707" s="19"/>
      <c r="Q4707" s="19">
        <v>439</v>
      </c>
      <c r="S4707" s="274">
        <f>1030+80</f>
        <v>1110</v>
      </c>
      <c r="T4707" s="19" t="s">
        <v>42</v>
      </c>
      <c r="U4707" s="102" t="s">
        <v>1334</v>
      </c>
      <c r="V4707" s="101">
        <v>45247</v>
      </c>
      <c r="W4707" s="17" t="s">
        <v>44</v>
      </c>
      <c r="X4707" s="17"/>
      <c r="Y4707" s="68">
        <v>45292</v>
      </c>
      <c r="Z4707" s="17" t="s">
        <v>191</v>
      </c>
      <c r="AA4707" s="17" t="s">
        <v>46</v>
      </c>
      <c r="AB4707" s="17" t="s">
        <v>1344</v>
      </c>
      <c r="AC4707" s="217">
        <v>45495</v>
      </c>
      <c r="AD4707" s="65">
        <v>1599</v>
      </c>
      <c r="AE4707" s="17" t="s">
        <v>74</v>
      </c>
      <c r="AF4707" s="17"/>
      <c r="AG4707" s="17"/>
      <c r="AH4707" s="17"/>
      <c r="AI4707" s="17"/>
      <c r="AJ4707" s="17"/>
      <c r="AK4707" s="17"/>
      <c r="AL4707" s="17"/>
      <c r="AM4707" s="17"/>
      <c r="AN4707" s="17"/>
      <c r="AO4707" s="17"/>
      <c r="AP4707" s="17"/>
      <c r="AQ4707" s="17"/>
      <c r="AR4707" s="17"/>
    </row>
    <row r="4708" s="21" customFormat="1" ht="15.6" hidden="1" spans="1:44">
      <c r="A4708" s="17" t="s">
        <v>34</v>
      </c>
      <c r="B4708" s="19">
        <v>957</v>
      </c>
      <c r="C4708" s="183">
        <v>45225</v>
      </c>
      <c r="D4708" s="17" t="s">
        <v>52</v>
      </c>
      <c r="E4708" s="17" t="s">
        <v>1113</v>
      </c>
      <c r="F4708" s="17" t="s">
        <v>54</v>
      </c>
      <c r="G4708" s="17"/>
      <c r="H4708" s="19" t="s">
        <v>1114</v>
      </c>
      <c r="I4708" s="19"/>
      <c r="J4708" s="17" t="s">
        <v>82</v>
      </c>
      <c r="K4708" s="19">
        <v>605</v>
      </c>
      <c r="L4708" s="19">
        <v>40</v>
      </c>
      <c r="M4708" s="19">
        <v>2200</v>
      </c>
      <c r="N4708" s="19" t="s">
        <v>66</v>
      </c>
      <c r="O4708" s="19" t="s">
        <v>141</v>
      </c>
      <c r="P4708" s="19"/>
      <c r="Q4708" s="19">
        <v>487</v>
      </c>
      <c r="R4708" s="19">
        <f>+P4705-Q4705-Q4706-Q4707-Q4708</f>
        <v>-112</v>
      </c>
      <c r="S4708" s="274">
        <f>1030+80</f>
        <v>1110</v>
      </c>
      <c r="T4708" s="19" t="s">
        <v>42</v>
      </c>
      <c r="U4708" s="102" t="s">
        <v>1334</v>
      </c>
      <c r="V4708" s="101">
        <v>45247</v>
      </c>
      <c r="W4708" s="17" t="s">
        <v>69</v>
      </c>
      <c r="X4708" s="17"/>
      <c r="Y4708" s="68">
        <v>45292</v>
      </c>
      <c r="Z4708" s="17" t="s">
        <v>191</v>
      </c>
      <c r="AA4708" s="17" t="s">
        <v>46</v>
      </c>
      <c r="AB4708" s="17" t="s">
        <v>1352</v>
      </c>
      <c r="AC4708" s="217">
        <v>45531</v>
      </c>
      <c r="AD4708" s="65">
        <v>1623</v>
      </c>
      <c r="AE4708" s="17" t="s">
        <v>74</v>
      </c>
      <c r="AF4708" s="17"/>
      <c r="AG4708" s="17"/>
      <c r="AH4708" s="17"/>
      <c r="AI4708" s="17"/>
      <c r="AJ4708" s="17"/>
      <c r="AK4708" s="17"/>
      <c r="AL4708" s="17"/>
      <c r="AM4708" s="17"/>
      <c r="AN4708" s="17"/>
      <c r="AO4708" s="17"/>
      <c r="AP4708" s="17"/>
      <c r="AQ4708" s="17"/>
      <c r="AR4708" s="17"/>
    </row>
    <row r="4709" s="21" customFormat="1" ht="15.6" hidden="1" spans="1:44">
      <c r="A4709" s="17" t="s">
        <v>34</v>
      </c>
      <c r="B4709" s="19">
        <v>957</v>
      </c>
      <c r="C4709" s="183">
        <v>45225</v>
      </c>
      <c r="D4709" s="17" t="s">
        <v>52</v>
      </c>
      <c r="E4709" s="17" t="s">
        <v>1113</v>
      </c>
      <c r="F4709" s="17" t="s">
        <v>54</v>
      </c>
      <c r="G4709" s="17"/>
      <c r="H4709" s="19" t="s">
        <v>1114</v>
      </c>
      <c r="I4709" s="19"/>
      <c r="J4709" s="17" t="s">
        <v>82</v>
      </c>
      <c r="K4709" s="19">
        <v>205</v>
      </c>
      <c r="L4709" s="19">
        <v>50</v>
      </c>
      <c r="M4709" s="19">
        <v>2200</v>
      </c>
      <c r="N4709" s="19" t="s">
        <v>66</v>
      </c>
      <c r="O4709" s="19" t="s">
        <v>141</v>
      </c>
      <c r="P4709" s="19">
        <v>2535</v>
      </c>
      <c r="Q4709" s="19">
        <v>770</v>
      </c>
      <c r="R4709" s="254"/>
      <c r="S4709" s="274">
        <v>1030</v>
      </c>
      <c r="T4709" s="19" t="s">
        <v>42</v>
      </c>
      <c r="U4709" s="102" t="s">
        <v>1334</v>
      </c>
      <c r="V4709" s="101">
        <v>45247</v>
      </c>
      <c r="W4709" s="17" t="s">
        <v>44</v>
      </c>
      <c r="X4709" s="17"/>
      <c r="Y4709" s="68">
        <v>45292</v>
      </c>
      <c r="Z4709" s="17" t="s">
        <v>191</v>
      </c>
      <c r="AA4709" s="17" t="s">
        <v>46</v>
      </c>
      <c r="AB4709" s="17" t="s">
        <v>1342</v>
      </c>
      <c r="AC4709" s="217">
        <v>45394</v>
      </c>
      <c r="AD4709" s="65">
        <v>1555</v>
      </c>
      <c r="AE4709" s="17" t="s">
        <v>74</v>
      </c>
      <c r="AF4709" s="17"/>
      <c r="AG4709" s="17"/>
      <c r="AH4709" s="17"/>
      <c r="AI4709" s="17"/>
      <c r="AJ4709" s="17"/>
      <c r="AK4709" s="17"/>
      <c r="AL4709" s="17"/>
      <c r="AM4709" s="17"/>
      <c r="AN4709" s="17"/>
      <c r="AO4709" s="17"/>
      <c r="AP4709" s="17"/>
      <c r="AQ4709" s="17"/>
      <c r="AR4709" s="17"/>
    </row>
    <row r="4710" s="21" customFormat="1" ht="15.6" hidden="1" spans="1:44">
      <c r="A4710" s="17" t="s">
        <v>34</v>
      </c>
      <c r="B4710" s="19">
        <v>957</v>
      </c>
      <c r="C4710" s="183">
        <v>45225</v>
      </c>
      <c r="D4710" s="17" t="s">
        <v>52</v>
      </c>
      <c r="E4710" s="17" t="s">
        <v>1113</v>
      </c>
      <c r="F4710" s="17" t="s">
        <v>54</v>
      </c>
      <c r="G4710" s="17"/>
      <c r="H4710" s="19" t="s">
        <v>1114</v>
      </c>
      <c r="I4710" s="19"/>
      <c r="J4710" s="17" t="s">
        <v>82</v>
      </c>
      <c r="K4710" s="19">
        <v>205</v>
      </c>
      <c r="L4710" s="19">
        <v>50</v>
      </c>
      <c r="M4710" s="19">
        <v>2200</v>
      </c>
      <c r="N4710" s="19" t="s">
        <v>66</v>
      </c>
      <c r="O4710" s="19" t="s">
        <v>141</v>
      </c>
      <c r="P4710" s="19"/>
      <c r="Q4710" s="19">
        <v>186</v>
      </c>
      <c r="R4710" s="254"/>
      <c r="S4710" s="274">
        <v>1030</v>
      </c>
      <c r="T4710" s="19" t="s">
        <v>42</v>
      </c>
      <c r="U4710" s="102" t="s">
        <v>1334</v>
      </c>
      <c r="V4710" s="101">
        <v>45247</v>
      </c>
      <c r="W4710" s="17" t="s">
        <v>44</v>
      </c>
      <c r="X4710" s="17"/>
      <c r="Y4710" s="68">
        <v>45292</v>
      </c>
      <c r="Z4710" s="17" t="s">
        <v>191</v>
      </c>
      <c r="AA4710" s="17" t="s">
        <v>46</v>
      </c>
      <c r="AB4710" s="17" t="s">
        <v>1338</v>
      </c>
      <c r="AC4710" s="217">
        <v>45395</v>
      </c>
      <c r="AD4710" s="65">
        <v>1557</v>
      </c>
      <c r="AE4710" s="17" t="s">
        <v>74</v>
      </c>
      <c r="AF4710" s="17"/>
      <c r="AG4710" s="17"/>
      <c r="AH4710" s="17"/>
      <c r="AI4710" s="17"/>
      <c r="AJ4710" s="17"/>
      <c r="AK4710" s="17"/>
      <c r="AL4710" s="17"/>
      <c r="AM4710" s="17"/>
      <c r="AN4710" s="17"/>
      <c r="AO4710" s="17"/>
      <c r="AP4710" s="17"/>
      <c r="AQ4710" s="17"/>
      <c r="AR4710" s="17"/>
    </row>
    <row r="4711" s="21" customFormat="1" ht="15.6" hidden="1" spans="1:44">
      <c r="A4711" s="17" t="s">
        <v>34</v>
      </c>
      <c r="B4711" s="19">
        <v>957</v>
      </c>
      <c r="C4711" s="183">
        <v>45225</v>
      </c>
      <c r="D4711" s="17" t="s">
        <v>52</v>
      </c>
      <c r="E4711" s="17" t="s">
        <v>1113</v>
      </c>
      <c r="F4711" s="17" t="s">
        <v>54</v>
      </c>
      <c r="G4711" s="17"/>
      <c r="H4711" s="19" t="s">
        <v>1114</v>
      </c>
      <c r="I4711" s="19"/>
      <c r="J4711" s="17" t="s">
        <v>82</v>
      </c>
      <c r="K4711" s="19">
        <v>205</v>
      </c>
      <c r="L4711" s="19">
        <v>50</v>
      </c>
      <c r="M4711" s="19">
        <v>2200</v>
      </c>
      <c r="N4711" s="19" t="s">
        <v>66</v>
      </c>
      <c r="O4711" s="19" t="s">
        <v>141</v>
      </c>
      <c r="P4711" s="19"/>
      <c r="Q4711" s="19">
        <v>381</v>
      </c>
      <c r="R4711" s="254"/>
      <c r="S4711" s="274">
        <v>1030</v>
      </c>
      <c r="T4711" s="19" t="s">
        <v>42</v>
      </c>
      <c r="U4711" s="102" t="s">
        <v>1334</v>
      </c>
      <c r="V4711" s="101">
        <v>45247</v>
      </c>
      <c r="W4711" s="17" t="s">
        <v>44</v>
      </c>
      <c r="X4711" s="17"/>
      <c r="Y4711" s="68">
        <v>45292</v>
      </c>
      <c r="Z4711" s="17" t="s">
        <v>191</v>
      </c>
      <c r="AA4711" s="17" t="s">
        <v>46</v>
      </c>
      <c r="AB4711" s="17" t="s">
        <v>1341</v>
      </c>
      <c r="AC4711" s="217">
        <v>45400</v>
      </c>
      <c r="AD4711" s="65">
        <v>1562</v>
      </c>
      <c r="AE4711" s="17" t="s">
        <v>74</v>
      </c>
      <c r="AF4711" s="17"/>
      <c r="AG4711" s="17"/>
      <c r="AH4711" s="17"/>
      <c r="AI4711" s="17"/>
      <c r="AJ4711" s="17"/>
      <c r="AK4711" s="17"/>
      <c r="AL4711" s="17"/>
      <c r="AM4711" s="17"/>
      <c r="AN4711" s="17"/>
      <c r="AO4711" s="17"/>
      <c r="AP4711" s="17"/>
      <c r="AQ4711" s="17"/>
      <c r="AR4711" s="17"/>
    </row>
    <row r="4712" s="21" customFormat="1" ht="15.6" hidden="1" spans="1:44">
      <c r="A4712" s="17" t="s">
        <v>34</v>
      </c>
      <c r="B4712" s="19">
        <v>957</v>
      </c>
      <c r="C4712" s="183">
        <v>45225</v>
      </c>
      <c r="D4712" s="17" t="s">
        <v>52</v>
      </c>
      <c r="E4712" s="17" t="s">
        <v>1113</v>
      </c>
      <c r="F4712" s="17" t="s">
        <v>54</v>
      </c>
      <c r="G4712" s="17"/>
      <c r="H4712" s="19" t="s">
        <v>1114</v>
      </c>
      <c r="I4712" s="19"/>
      <c r="J4712" s="17" t="s">
        <v>82</v>
      </c>
      <c r="K4712" s="19">
        <v>205</v>
      </c>
      <c r="L4712" s="19">
        <v>50</v>
      </c>
      <c r="M4712" s="19">
        <v>2200</v>
      </c>
      <c r="N4712" s="19" t="s">
        <v>66</v>
      </c>
      <c r="O4712" s="19" t="s">
        <v>141</v>
      </c>
      <c r="P4712" s="19"/>
      <c r="Q4712" s="19">
        <v>373</v>
      </c>
      <c r="R4712" s="254"/>
      <c r="S4712" s="312">
        <f>1030+80-20</f>
        <v>1090</v>
      </c>
      <c r="T4712" s="19" t="s">
        <v>42</v>
      </c>
      <c r="U4712" s="102" t="s">
        <v>1334</v>
      </c>
      <c r="V4712" s="101">
        <v>45247</v>
      </c>
      <c r="W4712" s="17" t="s">
        <v>69</v>
      </c>
      <c r="X4712" s="17"/>
      <c r="Y4712" s="68">
        <v>45292</v>
      </c>
      <c r="Z4712" s="17" t="s">
        <v>191</v>
      </c>
      <c r="AA4712" s="17" t="s">
        <v>46</v>
      </c>
      <c r="AB4712" s="17" t="s">
        <v>1343</v>
      </c>
      <c r="AC4712" s="217">
        <v>45433</v>
      </c>
      <c r="AD4712" s="65">
        <v>1575</v>
      </c>
      <c r="AE4712" s="17" t="s">
        <v>74</v>
      </c>
      <c r="AF4712" s="17"/>
      <c r="AG4712" s="17"/>
      <c r="AH4712" s="17"/>
      <c r="AI4712" s="17"/>
      <c r="AJ4712" s="17"/>
      <c r="AK4712" s="17"/>
      <c r="AL4712" s="17"/>
      <c r="AM4712" s="17"/>
      <c r="AN4712" s="17"/>
      <c r="AO4712" s="17"/>
      <c r="AP4712" s="17"/>
      <c r="AQ4712" s="17"/>
      <c r="AR4712" s="17"/>
    </row>
    <row r="4713" s="21" customFormat="1" ht="15.6" hidden="1" spans="1:44">
      <c r="A4713" s="17" t="s">
        <v>34</v>
      </c>
      <c r="B4713" s="19">
        <v>957</v>
      </c>
      <c r="C4713" s="183">
        <v>45225</v>
      </c>
      <c r="D4713" s="17" t="s">
        <v>52</v>
      </c>
      <c r="E4713" s="17" t="s">
        <v>1113</v>
      </c>
      <c r="F4713" s="17" t="s">
        <v>54</v>
      </c>
      <c r="G4713" s="17"/>
      <c r="H4713" s="19" t="s">
        <v>1114</v>
      </c>
      <c r="I4713" s="19"/>
      <c r="J4713" s="17" t="s">
        <v>82</v>
      </c>
      <c r="K4713" s="19">
        <v>205</v>
      </c>
      <c r="L4713" s="19">
        <v>50</v>
      </c>
      <c r="M4713" s="19">
        <v>2200</v>
      </c>
      <c r="N4713" s="19" t="s">
        <v>66</v>
      </c>
      <c r="O4713" s="19" t="s">
        <v>141</v>
      </c>
      <c r="P4713" s="19"/>
      <c r="Q4713" s="19">
        <v>188</v>
      </c>
      <c r="S4713" s="274">
        <f>1030+80-20</f>
        <v>1090</v>
      </c>
      <c r="T4713" s="19" t="s">
        <v>42</v>
      </c>
      <c r="U4713" s="102" t="s">
        <v>1334</v>
      </c>
      <c r="V4713" s="101">
        <v>45247</v>
      </c>
      <c r="W4713" s="17" t="s">
        <v>69</v>
      </c>
      <c r="X4713" s="17"/>
      <c r="Y4713" s="68">
        <v>45292</v>
      </c>
      <c r="Z4713" s="17" t="s">
        <v>191</v>
      </c>
      <c r="AA4713" s="17" t="s">
        <v>46</v>
      </c>
      <c r="AB4713" s="17" t="s">
        <v>1335</v>
      </c>
      <c r="AC4713" s="217">
        <v>45443</v>
      </c>
      <c r="AD4713" s="65">
        <v>1581</v>
      </c>
      <c r="AE4713" s="17" t="s">
        <v>74</v>
      </c>
      <c r="AF4713" s="17"/>
      <c r="AG4713" s="17"/>
      <c r="AH4713" s="17"/>
      <c r="AI4713" s="17"/>
      <c r="AJ4713" s="17"/>
      <c r="AK4713" s="17"/>
      <c r="AL4713" s="17"/>
      <c r="AM4713" s="17"/>
      <c r="AN4713" s="17"/>
      <c r="AO4713" s="17"/>
      <c r="AP4713" s="17"/>
      <c r="AQ4713" s="17"/>
      <c r="AR4713" s="17"/>
    </row>
    <row r="4714" s="21" customFormat="1" ht="15.6" hidden="1" spans="1:44">
      <c r="A4714" s="17" t="s">
        <v>34</v>
      </c>
      <c r="B4714" s="19">
        <v>957</v>
      </c>
      <c r="C4714" s="183">
        <v>45225</v>
      </c>
      <c r="D4714" s="17" t="s">
        <v>52</v>
      </c>
      <c r="E4714" s="17" t="s">
        <v>1113</v>
      </c>
      <c r="F4714" s="17" t="s">
        <v>54</v>
      </c>
      <c r="G4714" s="17"/>
      <c r="H4714" s="19" t="s">
        <v>1114</v>
      </c>
      <c r="I4714" s="19"/>
      <c r="J4714" s="17" t="s">
        <v>82</v>
      </c>
      <c r="K4714" s="19">
        <v>205</v>
      </c>
      <c r="L4714" s="19">
        <v>50</v>
      </c>
      <c r="M4714" s="19">
        <v>2200</v>
      </c>
      <c r="N4714" s="19" t="s">
        <v>66</v>
      </c>
      <c r="O4714" s="19" t="s">
        <v>141</v>
      </c>
      <c r="P4714" s="19"/>
      <c r="Q4714" s="146">
        <v>375</v>
      </c>
      <c r="S4714" s="274">
        <f>1030+80</f>
        <v>1110</v>
      </c>
      <c r="T4714" s="19" t="s">
        <v>42</v>
      </c>
      <c r="U4714" s="102" t="s">
        <v>1334</v>
      </c>
      <c r="V4714" s="101">
        <v>45247</v>
      </c>
      <c r="W4714" s="17" t="s">
        <v>69</v>
      </c>
      <c r="X4714" s="17"/>
      <c r="Y4714" s="68">
        <v>45292</v>
      </c>
      <c r="Z4714" s="17" t="s">
        <v>191</v>
      </c>
      <c r="AA4714" s="17" t="s">
        <v>46</v>
      </c>
      <c r="AB4714" s="17" t="s">
        <v>1340</v>
      </c>
      <c r="AC4714" s="217">
        <v>45498</v>
      </c>
      <c r="AD4714" s="65">
        <v>1603</v>
      </c>
      <c r="AE4714" s="17" t="s">
        <v>74</v>
      </c>
      <c r="AF4714" s="17"/>
      <c r="AG4714" s="17"/>
      <c r="AH4714" s="17"/>
      <c r="AI4714" s="17"/>
      <c r="AJ4714" s="17"/>
      <c r="AK4714" s="17"/>
      <c r="AL4714" s="17"/>
      <c r="AM4714" s="17"/>
      <c r="AN4714" s="17"/>
      <c r="AO4714" s="17"/>
      <c r="AP4714" s="17"/>
      <c r="AQ4714" s="17"/>
      <c r="AR4714" s="17"/>
    </row>
    <row r="4715" s="21" customFormat="1" ht="15.6" hidden="1" spans="1:44">
      <c r="A4715" s="17" t="s">
        <v>34</v>
      </c>
      <c r="B4715" s="19">
        <v>957</v>
      </c>
      <c r="C4715" s="183">
        <v>45225</v>
      </c>
      <c r="D4715" s="17" t="s">
        <v>52</v>
      </c>
      <c r="E4715" s="17" t="s">
        <v>1113</v>
      </c>
      <c r="F4715" s="17" t="s">
        <v>54</v>
      </c>
      <c r="G4715" s="17"/>
      <c r="H4715" s="19" t="s">
        <v>1114</v>
      </c>
      <c r="I4715" s="19"/>
      <c r="J4715" s="17" t="s">
        <v>82</v>
      </c>
      <c r="K4715" s="19">
        <v>205</v>
      </c>
      <c r="L4715" s="19">
        <v>50</v>
      </c>
      <c r="M4715" s="19">
        <v>2200</v>
      </c>
      <c r="N4715" s="19" t="s">
        <v>66</v>
      </c>
      <c r="O4715" s="19" t="s">
        <v>141</v>
      </c>
      <c r="P4715" s="19"/>
      <c r="Q4715" s="146">
        <v>360</v>
      </c>
      <c r="R4715" s="19">
        <f>+P4709-Q4709-Q4710-Q4711-Q4712-Q4713-Q4714-Q4715</f>
        <v>-98</v>
      </c>
      <c r="S4715" s="274">
        <f>1030</f>
        <v>1030</v>
      </c>
      <c r="T4715" s="19" t="s">
        <v>42</v>
      </c>
      <c r="U4715" s="102" t="s">
        <v>1334</v>
      </c>
      <c r="V4715" s="101">
        <v>45247</v>
      </c>
      <c r="W4715" s="17" t="s">
        <v>69</v>
      </c>
      <c r="X4715" s="17"/>
      <c r="Y4715" s="68">
        <v>45292</v>
      </c>
      <c r="Z4715" s="17" t="s">
        <v>191</v>
      </c>
      <c r="AA4715" s="17" t="s">
        <v>46</v>
      </c>
      <c r="AB4715" s="17" t="s">
        <v>1351</v>
      </c>
      <c r="AC4715" s="66">
        <v>45516</v>
      </c>
      <c r="AD4715" s="65">
        <v>1615</v>
      </c>
      <c r="AE4715" s="17" t="s">
        <v>74</v>
      </c>
      <c r="AF4715" s="17"/>
      <c r="AG4715" s="17"/>
      <c r="AH4715" s="17"/>
      <c r="AI4715" s="17"/>
      <c r="AJ4715" s="17"/>
      <c r="AK4715" s="17"/>
      <c r="AL4715" s="17"/>
      <c r="AM4715" s="17"/>
      <c r="AN4715" s="17"/>
      <c r="AO4715" s="17"/>
      <c r="AP4715" s="17"/>
      <c r="AQ4715" s="17"/>
      <c r="AR4715" s="17"/>
    </row>
    <row r="4716" s="21" customFormat="1" ht="15.6" hidden="1" spans="1:44">
      <c r="A4716" s="17" t="s">
        <v>34</v>
      </c>
      <c r="B4716" s="19">
        <v>957</v>
      </c>
      <c r="C4716" s="183">
        <v>45225</v>
      </c>
      <c r="D4716" s="17" t="s">
        <v>52</v>
      </c>
      <c r="E4716" s="17" t="s">
        <v>1113</v>
      </c>
      <c r="F4716" s="17" t="s">
        <v>54</v>
      </c>
      <c r="G4716" s="17"/>
      <c r="H4716" s="19" t="s">
        <v>1114</v>
      </c>
      <c r="I4716" s="19"/>
      <c r="J4716" s="17" t="s">
        <v>82</v>
      </c>
      <c r="K4716" s="19">
        <v>255</v>
      </c>
      <c r="L4716" s="19">
        <v>50</v>
      </c>
      <c r="M4716" s="19">
        <v>2200</v>
      </c>
      <c r="N4716" s="19" t="s">
        <v>66</v>
      </c>
      <c r="O4716" s="19" t="s">
        <v>141</v>
      </c>
      <c r="P4716" s="19">
        <v>4504</v>
      </c>
      <c r="Q4716" s="19">
        <f>1146+1375</f>
        <v>2521</v>
      </c>
      <c r="R4716" s="254"/>
      <c r="S4716" s="274">
        <v>1030</v>
      </c>
      <c r="T4716" s="19" t="s">
        <v>42</v>
      </c>
      <c r="U4716" s="102" t="s">
        <v>1334</v>
      </c>
      <c r="V4716" s="101">
        <v>45247</v>
      </c>
      <c r="W4716" s="17" t="s">
        <v>44</v>
      </c>
      <c r="X4716" s="17"/>
      <c r="Y4716" s="68">
        <v>45292</v>
      </c>
      <c r="Z4716" s="17" t="s">
        <v>191</v>
      </c>
      <c r="AA4716" s="17" t="s">
        <v>46</v>
      </c>
      <c r="AB4716" s="17" t="s">
        <v>1249</v>
      </c>
      <c r="AC4716" s="217">
        <v>45380</v>
      </c>
      <c r="AD4716" s="65">
        <v>1547</v>
      </c>
      <c r="AE4716" s="17" t="s">
        <v>74</v>
      </c>
      <c r="AF4716" s="17"/>
      <c r="AG4716" s="17"/>
      <c r="AH4716" s="17"/>
      <c r="AI4716" s="17"/>
      <c r="AJ4716" s="17"/>
      <c r="AK4716" s="17"/>
      <c r="AL4716" s="17"/>
      <c r="AM4716" s="17"/>
      <c r="AN4716" s="17"/>
      <c r="AO4716" s="17"/>
      <c r="AP4716" s="17"/>
      <c r="AQ4716" s="17"/>
      <c r="AR4716" s="17"/>
    </row>
    <row r="4717" s="21" customFormat="1" ht="15.6" hidden="1" spans="1:44">
      <c r="A4717" s="17" t="s">
        <v>34</v>
      </c>
      <c r="B4717" s="19">
        <v>957</v>
      </c>
      <c r="C4717" s="183">
        <v>45225</v>
      </c>
      <c r="D4717" s="17" t="s">
        <v>52</v>
      </c>
      <c r="E4717" s="17" t="s">
        <v>1113</v>
      </c>
      <c r="F4717" s="17" t="s">
        <v>54</v>
      </c>
      <c r="G4717" s="17"/>
      <c r="H4717" s="19" t="s">
        <v>1114</v>
      </c>
      <c r="I4717" s="19"/>
      <c r="J4717" s="17" t="s">
        <v>82</v>
      </c>
      <c r="K4717" s="19">
        <v>255</v>
      </c>
      <c r="L4717" s="19">
        <v>50</v>
      </c>
      <c r="M4717" s="19">
        <v>2200</v>
      </c>
      <c r="N4717" s="19" t="s">
        <v>66</v>
      </c>
      <c r="O4717" s="19" t="s">
        <v>141</v>
      </c>
      <c r="P4717" s="19"/>
      <c r="Q4717" s="19">
        <v>705</v>
      </c>
      <c r="R4717" s="254"/>
      <c r="S4717" s="274">
        <v>1030</v>
      </c>
      <c r="T4717" s="19" t="s">
        <v>42</v>
      </c>
      <c r="U4717" s="102" t="s">
        <v>1334</v>
      </c>
      <c r="V4717" s="101">
        <v>45247</v>
      </c>
      <c r="W4717" s="17" t="s">
        <v>44</v>
      </c>
      <c r="X4717" s="17"/>
      <c r="Y4717" s="68">
        <v>45292</v>
      </c>
      <c r="Z4717" s="17" t="s">
        <v>191</v>
      </c>
      <c r="AA4717" s="17" t="s">
        <v>46</v>
      </c>
      <c r="AB4717" s="17" t="s">
        <v>1342</v>
      </c>
      <c r="AC4717" s="217">
        <v>45394</v>
      </c>
      <c r="AD4717" s="65">
        <v>1555</v>
      </c>
      <c r="AE4717" s="17" t="s">
        <v>48</v>
      </c>
      <c r="AF4717" s="17"/>
      <c r="AG4717" s="17"/>
      <c r="AH4717" s="17"/>
      <c r="AI4717" s="17"/>
      <c r="AJ4717" s="17"/>
      <c r="AK4717" s="17"/>
      <c r="AL4717" s="17"/>
      <c r="AM4717" s="17"/>
      <c r="AN4717" s="17"/>
      <c r="AO4717" s="17"/>
      <c r="AP4717" s="17"/>
      <c r="AQ4717" s="17"/>
      <c r="AR4717" s="17"/>
    </row>
    <row r="4718" s="21" customFormat="1" ht="15.6" hidden="1" spans="1:44">
      <c r="A4718" s="17" t="s">
        <v>34</v>
      </c>
      <c r="B4718" s="19">
        <v>957</v>
      </c>
      <c r="C4718" s="183">
        <v>45225</v>
      </c>
      <c r="D4718" s="17" t="s">
        <v>52</v>
      </c>
      <c r="E4718" s="17" t="s">
        <v>1113</v>
      </c>
      <c r="F4718" s="17" t="s">
        <v>54</v>
      </c>
      <c r="G4718" s="17"/>
      <c r="H4718" s="19" t="s">
        <v>1114</v>
      </c>
      <c r="I4718" s="19"/>
      <c r="J4718" s="17" t="s">
        <v>82</v>
      </c>
      <c r="K4718" s="19">
        <v>255</v>
      </c>
      <c r="L4718" s="19">
        <v>50</v>
      </c>
      <c r="M4718" s="19">
        <v>2200</v>
      </c>
      <c r="N4718" s="19" t="s">
        <v>66</v>
      </c>
      <c r="O4718" s="19" t="s">
        <v>141</v>
      </c>
      <c r="P4718" s="19"/>
      <c r="Q4718" s="19">
        <v>465</v>
      </c>
      <c r="S4718" s="274">
        <v>1030</v>
      </c>
      <c r="T4718" s="19" t="s">
        <v>42</v>
      </c>
      <c r="U4718" s="102" t="s">
        <v>1334</v>
      </c>
      <c r="V4718" s="101">
        <v>45247</v>
      </c>
      <c r="W4718" s="17" t="s">
        <v>44</v>
      </c>
      <c r="X4718" s="17"/>
      <c r="Y4718" s="68">
        <v>45292</v>
      </c>
      <c r="Z4718" s="17" t="s">
        <v>191</v>
      </c>
      <c r="AA4718" s="17" t="s">
        <v>46</v>
      </c>
      <c r="AB4718" s="17" t="s">
        <v>1338</v>
      </c>
      <c r="AC4718" s="217">
        <v>45395</v>
      </c>
      <c r="AD4718" s="65">
        <v>1557</v>
      </c>
      <c r="AE4718" s="17" t="s">
        <v>74</v>
      </c>
      <c r="AF4718" s="17"/>
      <c r="AG4718" s="17"/>
      <c r="AH4718" s="17"/>
      <c r="AI4718" s="17"/>
      <c r="AJ4718" s="17"/>
      <c r="AK4718" s="17"/>
      <c r="AL4718" s="17"/>
      <c r="AM4718" s="17"/>
      <c r="AN4718" s="17"/>
      <c r="AO4718" s="17"/>
      <c r="AP4718" s="17"/>
      <c r="AQ4718" s="17"/>
      <c r="AR4718" s="17"/>
    </row>
    <row r="4719" s="21" customFormat="1" ht="15.6" hidden="1" spans="1:44">
      <c r="A4719" s="17" t="s">
        <v>34</v>
      </c>
      <c r="B4719" s="19">
        <v>957</v>
      </c>
      <c r="C4719" s="183">
        <v>45225</v>
      </c>
      <c r="D4719" s="17" t="s">
        <v>52</v>
      </c>
      <c r="E4719" s="17" t="s">
        <v>1113</v>
      </c>
      <c r="F4719" s="17" t="s">
        <v>54</v>
      </c>
      <c r="G4719" s="17"/>
      <c r="H4719" s="19" t="s">
        <v>1114</v>
      </c>
      <c r="I4719" s="19"/>
      <c r="J4719" s="17" t="s">
        <v>82</v>
      </c>
      <c r="K4719" s="19">
        <v>255</v>
      </c>
      <c r="L4719" s="19">
        <v>50</v>
      </c>
      <c r="M4719" s="19">
        <v>2200</v>
      </c>
      <c r="N4719" s="19" t="s">
        <v>66</v>
      </c>
      <c r="O4719" s="19" t="s">
        <v>141</v>
      </c>
      <c r="P4719" s="19"/>
      <c r="Q4719" s="19">
        <v>894</v>
      </c>
      <c r="R4719" s="19">
        <f>+P4716-Q4716-Q4717-Q4718-Q4719</f>
        <v>-81</v>
      </c>
      <c r="S4719" s="274">
        <v>1030</v>
      </c>
      <c r="T4719" s="19" t="s">
        <v>42</v>
      </c>
      <c r="U4719" s="102" t="s">
        <v>1334</v>
      </c>
      <c r="V4719" s="101">
        <v>45247</v>
      </c>
      <c r="W4719" s="17" t="s">
        <v>69</v>
      </c>
      <c r="X4719" s="17"/>
      <c r="Y4719" s="68">
        <v>45292</v>
      </c>
      <c r="Z4719" s="17" t="s">
        <v>191</v>
      </c>
      <c r="AA4719" s="17" t="s">
        <v>46</v>
      </c>
      <c r="AB4719" s="17" t="s">
        <v>1351</v>
      </c>
      <c r="AC4719" s="66">
        <v>45516</v>
      </c>
      <c r="AD4719" s="65">
        <v>1615</v>
      </c>
      <c r="AE4719" s="17" t="s">
        <v>74</v>
      </c>
      <c r="AF4719" s="17"/>
      <c r="AG4719" s="17"/>
      <c r="AH4719" s="17"/>
      <c r="AI4719" s="17"/>
      <c r="AJ4719" s="17"/>
      <c r="AK4719" s="17"/>
      <c r="AL4719" s="17"/>
      <c r="AM4719" s="17"/>
      <c r="AN4719" s="17"/>
      <c r="AO4719" s="17"/>
      <c r="AP4719" s="17"/>
      <c r="AQ4719" s="17"/>
      <c r="AR4719" s="17"/>
    </row>
    <row r="4720" s="21" customFormat="1" ht="15.6" hidden="1" spans="1:44">
      <c r="A4720" s="17" t="s">
        <v>34</v>
      </c>
      <c r="B4720" s="19">
        <v>957</v>
      </c>
      <c r="C4720" s="183">
        <v>45225</v>
      </c>
      <c r="D4720" s="17" t="s">
        <v>52</v>
      </c>
      <c r="E4720" s="17" t="s">
        <v>1113</v>
      </c>
      <c r="F4720" s="17" t="s">
        <v>54</v>
      </c>
      <c r="G4720" s="17"/>
      <c r="H4720" s="19" t="s">
        <v>1114</v>
      </c>
      <c r="I4720" s="19"/>
      <c r="J4720" s="17" t="s">
        <v>82</v>
      </c>
      <c r="K4720" s="19">
        <v>355</v>
      </c>
      <c r="L4720" s="19">
        <v>50</v>
      </c>
      <c r="M4720" s="19">
        <v>2200</v>
      </c>
      <c r="N4720" s="19" t="s">
        <v>66</v>
      </c>
      <c r="O4720" s="19" t="s">
        <v>141</v>
      </c>
      <c r="P4720" s="19">
        <v>4703</v>
      </c>
      <c r="Q4720" s="19">
        <v>2555</v>
      </c>
      <c r="R4720" s="254"/>
      <c r="S4720" s="274">
        <v>1030</v>
      </c>
      <c r="T4720" s="19" t="s">
        <v>42</v>
      </c>
      <c r="U4720" s="102" t="s">
        <v>1334</v>
      </c>
      <c r="V4720" s="101">
        <v>45247</v>
      </c>
      <c r="W4720" s="17" t="s">
        <v>44</v>
      </c>
      <c r="X4720" s="17"/>
      <c r="Y4720" s="68">
        <v>45292</v>
      </c>
      <c r="Z4720" s="17" t="s">
        <v>191</v>
      </c>
      <c r="AA4720" s="17" t="s">
        <v>46</v>
      </c>
      <c r="AB4720" s="17" t="s">
        <v>1249</v>
      </c>
      <c r="AC4720" s="217">
        <v>45380</v>
      </c>
      <c r="AD4720" s="65">
        <v>1547</v>
      </c>
      <c r="AE4720" s="17" t="s">
        <v>74</v>
      </c>
      <c r="AF4720" s="17"/>
      <c r="AG4720" s="17"/>
      <c r="AH4720" s="17"/>
      <c r="AI4720" s="17"/>
      <c r="AJ4720" s="17"/>
      <c r="AK4720" s="17"/>
      <c r="AL4720" s="17"/>
      <c r="AM4720" s="17"/>
      <c r="AN4720" s="17"/>
      <c r="AO4720" s="17"/>
      <c r="AP4720" s="17"/>
      <c r="AQ4720" s="17"/>
      <c r="AR4720" s="17"/>
    </row>
    <row r="4721" s="21" customFormat="1" ht="15.6" hidden="1" spans="1:44">
      <c r="A4721" s="17" t="s">
        <v>34</v>
      </c>
      <c r="B4721" s="19">
        <v>957</v>
      </c>
      <c r="C4721" s="183">
        <v>45225</v>
      </c>
      <c r="D4721" s="17" t="s">
        <v>52</v>
      </c>
      <c r="E4721" s="17" t="s">
        <v>1113</v>
      </c>
      <c r="F4721" s="17" t="s">
        <v>54</v>
      </c>
      <c r="G4721" s="17"/>
      <c r="H4721" s="19" t="s">
        <v>1114</v>
      </c>
      <c r="I4721" s="19"/>
      <c r="J4721" s="17" t="s">
        <v>82</v>
      </c>
      <c r="K4721" s="19">
        <v>355</v>
      </c>
      <c r="L4721" s="19">
        <v>50</v>
      </c>
      <c r="M4721" s="19">
        <v>2200</v>
      </c>
      <c r="N4721" s="19" t="s">
        <v>66</v>
      </c>
      <c r="O4721" s="19" t="s">
        <v>141</v>
      </c>
      <c r="P4721" s="19"/>
      <c r="Q4721" s="19">
        <v>634</v>
      </c>
      <c r="S4721" s="274">
        <v>1030</v>
      </c>
      <c r="T4721" s="19" t="s">
        <v>42</v>
      </c>
      <c r="U4721" s="102" t="s">
        <v>1334</v>
      </c>
      <c r="V4721" s="101">
        <v>45247</v>
      </c>
      <c r="W4721" s="17" t="s">
        <v>44</v>
      </c>
      <c r="X4721" s="17"/>
      <c r="Y4721" s="68">
        <v>45292</v>
      </c>
      <c r="Z4721" s="17" t="s">
        <v>191</v>
      </c>
      <c r="AA4721" s="17" t="s">
        <v>46</v>
      </c>
      <c r="AB4721" s="17" t="s">
        <v>1341</v>
      </c>
      <c r="AC4721" s="217">
        <v>45400</v>
      </c>
      <c r="AD4721" s="65">
        <v>1562</v>
      </c>
      <c r="AE4721" s="17" t="s">
        <v>48</v>
      </c>
      <c r="AF4721" s="17"/>
      <c r="AG4721" s="17"/>
      <c r="AH4721" s="17"/>
      <c r="AI4721" s="17"/>
      <c r="AJ4721" s="17"/>
      <c r="AK4721" s="17"/>
      <c r="AL4721" s="17"/>
      <c r="AM4721" s="17"/>
      <c r="AN4721" s="17"/>
      <c r="AO4721" s="17"/>
      <c r="AP4721" s="17"/>
      <c r="AQ4721" s="17"/>
      <c r="AR4721" s="17"/>
    </row>
    <row r="4722" s="21" customFormat="1" ht="15.6" hidden="1" spans="1:44">
      <c r="A4722" s="17" t="s">
        <v>34</v>
      </c>
      <c r="B4722" s="19">
        <v>957</v>
      </c>
      <c r="C4722" s="183">
        <v>45225</v>
      </c>
      <c r="D4722" s="17" t="s">
        <v>52</v>
      </c>
      <c r="E4722" s="17" t="s">
        <v>1113</v>
      </c>
      <c r="F4722" s="17" t="s">
        <v>54</v>
      </c>
      <c r="G4722" s="17"/>
      <c r="H4722" s="19" t="s">
        <v>1114</v>
      </c>
      <c r="I4722" s="19"/>
      <c r="J4722" s="17" t="s">
        <v>82</v>
      </c>
      <c r="K4722" s="19">
        <v>355</v>
      </c>
      <c r="L4722" s="19">
        <v>50</v>
      </c>
      <c r="M4722" s="19">
        <v>2200</v>
      </c>
      <c r="N4722" s="19" t="s">
        <v>66</v>
      </c>
      <c r="O4722" s="19" t="s">
        <v>141</v>
      </c>
      <c r="P4722" s="19"/>
      <c r="Q4722" s="19">
        <v>1289</v>
      </c>
      <c r="S4722" s="274">
        <v>1030</v>
      </c>
      <c r="T4722" s="19" t="s">
        <v>42</v>
      </c>
      <c r="U4722" s="102" t="s">
        <v>1334</v>
      </c>
      <c r="V4722" s="101">
        <v>45247</v>
      </c>
      <c r="W4722" s="17" t="s">
        <v>44</v>
      </c>
      <c r="X4722" s="17"/>
      <c r="Y4722" s="68">
        <v>45292</v>
      </c>
      <c r="Z4722" s="17" t="s">
        <v>191</v>
      </c>
      <c r="AA4722" s="17" t="s">
        <v>46</v>
      </c>
      <c r="AB4722" s="17" t="s">
        <v>1341</v>
      </c>
      <c r="AC4722" s="217">
        <v>45400</v>
      </c>
      <c r="AD4722" s="65">
        <v>1562</v>
      </c>
      <c r="AE4722" s="17" t="s">
        <v>74</v>
      </c>
      <c r="AF4722" s="17"/>
      <c r="AG4722" s="17"/>
      <c r="AH4722" s="17"/>
      <c r="AI4722" s="17"/>
      <c r="AJ4722" s="17"/>
      <c r="AK4722" s="17"/>
      <c r="AL4722" s="17"/>
      <c r="AM4722" s="17"/>
      <c r="AN4722" s="17"/>
      <c r="AO4722" s="17"/>
      <c r="AP4722" s="17"/>
      <c r="AQ4722" s="17"/>
      <c r="AR4722" s="17"/>
    </row>
    <row r="4723" s="21" customFormat="1" ht="15.6" hidden="1" spans="1:44">
      <c r="A4723" s="17" t="s">
        <v>34</v>
      </c>
      <c r="B4723" s="19">
        <v>957</v>
      </c>
      <c r="C4723" s="183">
        <v>45225</v>
      </c>
      <c r="D4723" s="17" t="s">
        <v>52</v>
      </c>
      <c r="E4723" s="17" t="s">
        <v>1113</v>
      </c>
      <c r="F4723" s="17" t="s">
        <v>54</v>
      </c>
      <c r="G4723" s="17"/>
      <c r="H4723" s="19" t="s">
        <v>1114</v>
      </c>
      <c r="I4723" s="19"/>
      <c r="J4723" s="17" t="s">
        <v>82</v>
      </c>
      <c r="K4723" s="19">
        <v>355</v>
      </c>
      <c r="L4723" s="19">
        <v>50</v>
      </c>
      <c r="M4723" s="19">
        <v>2200</v>
      </c>
      <c r="N4723" s="19" t="s">
        <v>66</v>
      </c>
      <c r="O4723" s="19" t="s">
        <v>141</v>
      </c>
      <c r="P4723" s="19"/>
      <c r="Q4723" s="19">
        <v>310</v>
      </c>
      <c r="R4723" s="19">
        <f>+P4720-Q4720-Q4721-Q4722-Q4723</f>
        <v>-85</v>
      </c>
      <c r="S4723" s="274">
        <v>1030</v>
      </c>
      <c r="T4723" s="19" t="s">
        <v>42</v>
      </c>
      <c r="U4723" s="102" t="s">
        <v>1334</v>
      </c>
      <c r="V4723" s="101">
        <v>45247</v>
      </c>
      <c r="W4723" s="17" t="s">
        <v>69</v>
      </c>
      <c r="X4723" s="17"/>
      <c r="Y4723" s="68">
        <v>45292</v>
      </c>
      <c r="Z4723" s="17" t="s">
        <v>191</v>
      </c>
      <c r="AA4723" s="17" t="s">
        <v>46</v>
      </c>
      <c r="AB4723" s="17" t="s">
        <v>1351</v>
      </c>
      <c r="AC4723" s="66">
        <v>45516</v>
      </c>
      <c r="AD4723" s="65">
        <v>1615</v>
      </c>
      <c r="AE4723" s="17" t="s">
        <v>74</v>
      </c>
      <c r="AF4723" s="17"/>
      <c r="AG4723" s="17"/>
      <c r="AH4723" s="17"/>
      <c r="AI4723" s="17"/>
      <c r="AJ4723" s="17"/>
      <c r="AK4723" s="17"/>
      <c r="AL4723" s="17"/>
      <c r="AM4723" s="17"/>
      <c r="AN4723" s="17"/>
      <c r="AO4723" s="17"/>
      <c r="AP4723" s="17"/>
      <c r="AQ4723" s="17"/>
      <c r="AR4723" s="17"/>
    </row>
    <row r="4724" s="21" customFormat="1" ht="15.6" hidden="1" spans="1:44">
      <c r="A4724" s="17" t="s">
        <v>34</v>
      </c>
      <c r="B4724" s="19">
        <v>957</v>
      </c>
      <c r="C4724" s="183">
        <v>45225</v>
      </c>
      <c r="D4724" s="17" t="s">
        <v>52</v>
      </c>
      <c r="E4724" s="17" t="s">
        <v>1113</v>
      </c>
      <c r="F4724" s="17" t="s">
        <v>54</v>
      </c>
      <c r="G4724" s="17"/>
      <c r="H4724" s="19" t="s">
        <v>1114</v>
      </c>
      <c r="I4724" s="19"/>
      <c r="J4724" s="17" t="s">
        <v>82</v>
      </c>
      <c r="K4724" s="19">
        <v>405</v>
      </c>
      <c r="L4724" s="19">
        <v>50</v>
      </c>
      <c r="M4724" s="19">
        <v>2200</v>
      </c>
      <c r="N4724" s="19" t="s">
        <v>66</v>
      </c>
      <c r="O4724" s="19" t="s">
        <v>141</v>
      </c>
      <c r="P4724" s="19">
        <v>4650</v>
      </c>
      <c r="Q4724" s="19">
        <v>366</v>
      </c>
      <c r="R4724" s="254"/>
      <c r="S4724" s="274">
        <v>1030</v>
      </c>
      <c r="T4724" s="19" t="s">
        <v>42</v>
      </c>
      <c r="U4724" s="102" t="s">
        <v>1334</v>
      </c>
      <c r="V4724" s="101">
        <v>45247</v>
      </c>
      <c r="W4724" s="17" t="s">
        <v>44</v>
      </c>
      <c r="X4724" s="17"/>
      <c r="Y4724" s="68">
        <v>45292</v>
      </c>
      <c r="Z4724" s="17" t="s">
        <v>191</v>
      </c>
      <c r="AA4724" s="17" t="s">
        <v>46</v>
      </c>
      <c r="AB4724" s="17" t="s">
        <v>1338</v>
      </c>
      <c r="AC4724" s="217">
        <v>45395</v>
      </c>
      <c r="AD4724" s="65">
        <v>1557</v>
      </c>
      <c r="AE4724" s="17" t="s">
        <v>74</v>
      </c>
      <c r="AF4724" s="17"/>
      <c r="AG4724" s="17"/>
      <c r="AH4724" s="17"/>
      <c r="AI4724" s="17"/>
      <c r="AJ4724" s="17"/>
      <c r="AK4724" s="17"/>
      <c r="AL4724" s="17"/>
      <c r="AM4724" s="17"/>
      <c r="AN4724" s="17"/>
      <c r="AO4724" s="17"/>
      <c r="AP4724" s="17"/>
      <c r="AQ4724" s="17"/>
      <c r="AR4724" s="17"/>
    </row>
    <row r="4725" s="21" customFormat="1" ht="15.6" hidden="1" spans="1:44">
      <c r="A4725" s="17" t="s">
        <v>34</v>
      </c>
      <c r="B4725" s="19">
        <v>957</v>
      </c>
      <c r="C4725" s="183">
        <v>45225</v>
      </c>
      <c r="D4725" s="17" t="s">
        <v>52</v>
      </c>
      <c r="E4725" s="17" t="s">
        <v>1113</v>
      </c>
      <c r="F4725" s="17" t="s">
        <v>54</v>
      </c>
      <c r="G4725" s="17"/>
      <c r="H4725" s="19" t="s">
        <v>1114</v>
      </c>
      <c r="I4725" s="19"/>
      <c r="J4725" s="17" t="s">
        <v>82</v>
      </c>
      <c r="K4725" s="19">
        <v>405</v>
      </c>
      <c r="L4725" s="19">
        <v>50</v>
      </c>
      <c r="M4725" s="19">
        <v>2200</v>
      </c>
      <c r="N4725" s="19" t="s">
        <v>66</v>
      </c>
      <c r="O4725" s="19" t="s">
        <v>141</v>
      </c>
      <c r="P4725" s="19"/>
      <c r="Q4725" s="19">
        <v>358</v>
      </c>
      <c r="S4725" s="274">
        <v>1030</v>
      </c>
      <c r="T4725" s="19" t="s">
        <v>42</v>
      </c>
      <c r="U4725" s="102" t="s">
        <v>1334</v>
      </c>
      <c r="V4725" s="101">
        <v>45247</v>
      </c>
      <c r="W4725" s="17" t="s">
        <v>44</v>
      </c>
      <c r="X4725" s="17"/>
      <c r="Y4725" s="68">
        <v>45292</v>
      </c>
      <c r="Z4725" s="17" t="s">
        <v>191</v>
      </c>
      <c r="AA4725" s="17" t="s">
        <v>46</v>
      </c>
      <c r="AB4725" s="17" t="s">
        <v>1337</v>
      </c>
      <c r="AC4725" s="217">
        <v>45400</v>
      </c>
      <c r="AD4725" s="65">
        <v>1563</v>
      </c>
      <c r="AE4725" s="17" t="s">
        <v>74</v>
      </c>
      <c r="AF4725" s="17"/>
      <c r="AG4725" s="17"/>
      <c r="AH4725" s="17"/>
      <c r="AI4725" s="17"/>
      <c r="AJ4725" s="17"/>
      <c r="AK4725" s="17"/>
      <c r="AL4725" s="17"/>
      <c r="AM4725" s="17"/>
      <c r="AN4725" s="17"/>
      <c r="AO4725" s="17"/>
      <c r="AP4725" s="17"/>
      <c r="AQ4725" s="17"/>
      <c r="AR4725" s="17"/>
    </row>
    <row r="4726" s="21" customFormat="1" ht="15.6" hidden="1" spans="1:44">
      <c r="A4726" s="17" t="s">
        <v>34</v>
      </c>
      <c r="B4726" s="19">
        <v>957</v>
      </c>
      <c r="C4726" s="183">
        <v>45225</v>
      </c>
      <c r="D4726" s="17" t="s">
        <v>52</v>
      </c>
      <c r="E4726" s="17" t="s">
        <v>1113</v>
      </c>
      <c r="F4726" s="17" t="s">
        <v>54</v>
      </c>
      <c r="G4726" s="17"/>
      <c r="H4726" s="19" t="s">
        <v>1114</v>
      </c>
      <c r="I4726" s="19"/>
      <c r="J4726" s="17" t="s">
        <v>82</v>
      </c>
      <c r="K4726" s="19">
        <v>405</v>
      </c>
      <c r="L4726" s="19">
        <v>50</v>
      </c>
      <c r="M4726" s="19">
        <v>2200</v>
      </c>
      <c r="N4726" s="19" t="s">
        <v>66</v>
      </c>
      <c r="O4726" s="19" t="s">
        <v>141</v>
      </c>
      <c r="P4726" s="19"/>
      <c r="Q4726" s="19">
        <v>3883</v>
      </c>
      <c r="R4726" s="309">
        <f>+P4724-Q4724-Q4725-Q4726</f>
        <v>43</v>
      </c>
      <c r="S4726" s="274">
        <v>1030</v>
      </c>
      <c r="T4726" s="19" t="s">
        <v>42</v>
      </c>
      <c r="U4726" s="102" t="s">
        <v>1334</v>
      </c>
      <c r="V4726" s="101">
        <v>45247</v>
      </c>
      <c r="W4726" s="17" t="s">
        <v>69</v>
      </c>
      <c r="X4726" s="17"/>
      <c r="Y4726" s="68">
        <v>45292</v>
      </c>
      <c r="Z4726" s="17" t="s">
        <v>191</v>
      </c>
      <c r="AA4726" s="17" t="s">
        <v>46</v>
      </c>
      <c r="AB4726" s="17" t="s">
        <v>1351</v>
      </c>
      <c r="AC4726" s="66">
        <v>45516</v>
      </c>
      <c r="AD4726" s="65">
        <v>1615</v>
      </c>
      <c r="AE4726" s="17" t="s">
        <v>74</v>
      </c>
      <c r="AF4726" s="17"/>
      <c r="AG4726" s="17"/>
      <c r="AH4726" s="17"/>
      <c r="AI4726" s="17"/>
      <c r="AJ4726" s="17"/>
      <c r="AK4726" s="17"/>
      <c r="AL4726" s="17"/>
      <c r="AM4726" s="17"/>
      <c r="AN4726" s="17"/>
      <c r="AO4726" s="17"/>
      <c r="AP4726" s="17"/>
      <c r="AQ4726" s="17"/>
      <c r="AR4726" s="17"/>
    </row>
    <row r="4727" s="21" customFormat="1" ht="15.6" hidden="1" spans="1:44">
      <c r="A4727" s="17" t="s">
        <v>34</v>
      </c>
      <c r="B4727" s="19">
        <v>957</v>
      </c>
      <c r="C4727" s="183">
        <v>45225</v>
      </c>
      <c r="D4727" s="17" t="s">
        <v>52</v>
      </c>
      <c r="E4727" s="17" t="s">
        <v>1113</v>
      </c>
      <c r="F4727" s="17" t="s">
        <v>54</v>
      </c>
      <c r="G4727" s="17"/>
      <c r="H4727" s="19" t="s">
        <v>1114</v>
      </c>
      <c r="I4727" s="19"/>
      <c r="J4727" s="17" t="s">
        <v>82</v>
      </c>
      <c r="K4727" s="19">
        <v>455</v>
      </c>
      <c r="L4727" s="19">
        <v>50</v>
      </c>
      <c r="M4727" s="19">
        <v>2200</v>
      </c>
      <c r="N4727" s="19" t="s">
        <v>66</v>
      </c>
      <c r="O4727" s="19" t="s">
        <v>141</v>
      </c>
      <c r="P4727" s="19">
        <f>4420-1167</f>
        <v>3253</v>
      </c>
      <c r="Q4727" s="19">
        <f>410+1235</f>
        <v>1645</v>
      </c>
      <c r="R4727" s="254"/>
      <c r="S4727" s="274">
        <v>1030</v>
      </c>
      <c r="T4727" s="19" t="s">
        <v>42</v>
      </c>
      <c r="U4727" s="102" t="s">
        <v>1334</v>
      </c>
      <c r="V4727" s="101">
        <v>45247</v>
      </c>
      <c r="W4727" s="17" t="s">
        <v>44</v>
      </c>
      <c r="X4727" s="17"/>
      <c r="Y4727" s="68">
        <v>45292</v>
      </c>
      <c r="Z4727" s="17" t="s">
        <v>191</v>
      </c>
      <c r="AA4727" s="17" t="s">
        <v>46</v>
      </c>
      <c r="AB4727" s="17" t="s">
        <v>1338</v>
      </c>
      <c r="AC4727" s="217">
        <v>45395</v>
      </c>
      <c r="AD4727" s="65">
        <v>1557</v>
      </c>
      <c r="AE4727" s="17" t="s">
        <v>74</v>
      </c>
      <c r="AF4727" s="17"/>
      <c r="AG4727" s="17"/>
      <c r="AH4727" s="17"/>
      <c r="AI4727" s="17"/>
      <c r="AJ4727" s="17"/>
      <c r="AK4727" s="17"/>
      <c r="AL4727" s="17"/>
      <c r="AM4727" s="17"/>
      <c r="AN4727" s="17"/>
      <c r="AO4727" s="17"/>
      <c r="AP4727" s="17"/>
      <c r="AQ4727" s="17"/>
      <c r="AR4727" s="17"/>
    </row>
    <row r="4728" s="21" customFormat="1" ht="15.6" hidden="1" spans="1:44">
      <c r="A4728" s="17" t="s">
        <v>34</v>
      </c>
      <c r="B4728" s="19">
        <v>957</v>
      </c>
      <c r="C4728" s="183">
        <v>45225</v>
      </c>
      <c r="D4728" s="17" t="s">
        <v>52</v>
      </c>
      <c r="E4728" s="17" t="s">
        <v>1113</v>
      </c>
      <c r="F4728" s="17" t="s">
        <v>54</v>
      </c>
      <c r="G4728" s="17"/>
      <c r="H4728" s="19" t="s">
        <v>1114</v>
      </c>
      <c r="I4728" s="19"/>
      <c r="J4728" s="17" t="s">
        <v>82</v>
      </c>
      <c r="K4728" s="19">
        <v>455</v>
      </c>
      <c r="L4728" s="19">
        <v>50</v>
      </c>
      <c r="M4728" s="19">
        <v>2200</v>
      </c>
      <c r="N4728" s="19" t="s">
        <v>66</v>
      </c>
      <c r="O4728" s="19" t="s">
        <v>141</v>
      </c>
      <c r="P4728" s="19"/>
      <c r="Q4728" s="19">
        <v>809</v>
      </c>
      <c r="S4728" s="310">
        <f>1030+40</f>
        <v>1070</v>
      </c>
      <c r="T4728" s="19" t="s">
        <v>42</v>
      </c>
      <c r="U4728" s="102" t="s">
        <v>1334</v>
      </c>
      <c r="V4728" s="101">
        <v>45247</v>
      </c>
      <c r="W4728" s="17" t="s">
        <v>69</v>
      </c>
      <c r="X4728" s="17"/>
      <c r="Y4728" s="68">
        <v>45292</v>
      </c>
      <c r="Z4728" s="17" t="s">
        <v>191</v>
      </c>
      <c r="AA4728" s="17" t="s">
        <v>46</v>
      </c>
      <c r="AB4728" s="17" t="s">
        <v>1343</v>
      </c>
      <c r="AC4728" s="217">
        <v>45433</v>
      </c>
      <c r="AD4728" s="65">
        <v>1575</v>
      </c>
      <c r="AE4728" s="17" t="s">
        <v>74</v>
      </c>
      <c r="AF4728" s="17"/>
      <c r="AG4728" s="17"/>
      <c r="AH4728" s="17"/>
      <c r="AI4728" s="17"/>
      <c r="AJ4728" s="17"/>
      <c r="AK4728" s="17"/>
      <c r="AL4728" s="17"/>
      <c r="AM4728" s="17"/>
      <c r="AN4728" s="17"/>
      <c r="AO4728" s="17"/>
      <c r="AP4728" s="17"/>
      <c r="AQ4728" s="17"/>
      <c r="AR4728" s="17"/>
    </row>
    <row r="4729" s="21" customFormat="1" ht="15.6" hidden="1" spans="1:44">
      <c r="A4729" s="17" t="s">
        <v>34</v>
      </c>
      <c r="B4729" s="19">
        <v>957</v>
      </c>
      <c r="C4729" s="183">
        <v>45225</v>
      </c>
      <c r="D4729" s="17" t="s">
        <v>52</v>
      </c>
      <c r="E4729" s="17" t="s">
        <v>1113</v>
      </c>
      <c r="F4729" s="17" t="s">
        <v>54</v>
      </c>
      <c r="G4729" s="17"/>
      <c r="H4729" s="19" t="s">
        <v>1114</v>
      </c>
      <c r="I4729" s="19"/>
      <c r="J4729" s="17" t="s">
        <v>82</v>
      </c>
      <c r="K4729" s="19">
        <v>455</v>
      </c>
      <c r="L4729" s="19">
        <v>50</v>
      </c>
      <c r="M4729" s="19">
        <v>2200</v>
      </c>
      <c r="N4729" s="19" t="s">
        <v>66</v>
      </c>
      <c r="O4729" s="19" t="s">
        <v>141</v>
      </c>
      <c r="P4729" s="19"/>
      <c r="Q4729" s="19">
        <v>410</v>
      </c>
      <c r="S4729" s="274">
        <f>1030+80-20</f>
        <v>1090</v>
      </c>
      <c r="T4729" s="19" t="s">
        <v>42</v>
      </c>
      <c r="U4729" s="102" t="s">
        <v>1334</v>
      </c>
      <c r="V4729" s="101">
        <v>45247</v>
      </c>
      <c r="W4729" s="17" t="s">
        <v>69</v>
      </c>
      <c r="X4729" s="17"/>
      <c r="Y4729" s="68">
        <v>45292</v>
      </c>
      <c r="Z4729" s="17" t="s">
        <v>191</v>
      </c>
      <c r="AA4729" s="17" t="s">
        <v>46</v>
      </c>
      <c r="AB4729" s="17" t="s">
        <v>1345</v>
      </c>
      <c r="AC4729" s="217">
        <v>45443</v>
      </c>
      <c r="AD4729" s="65">
        <v>1580</v>
      </c>
      <c r="AE4729" s="17" t="s">
        <v>74</v>
      </c>
      <c r="AF4729" s="17"/>
      <c r="AG4729" s="17"/>
      <c r="AH4729" s="17"/>
      <c r="AI4729" s="17"/>
      <c r="AJ4729" s="17"/>
      <c r="AK4729" s="17"/>
      <c r="AL4729" s="17"/>
      <c r="AM4729" s="17"/>
      <c r="AN4729" s="17"/>
      <c r="AO4729" s="17"/>
      <c r="AP4729" s="17"/>
      <c r="AQ4729" s="17"/>
      <c r="AR4729" s="17"/>
    </row>
    <row r="4730" s="21" customFormat="1" ht="15.6" hidden="1" spans="1:44">
      <c r="A4730" s="17" t="s">
        <v>34</v>
      </c>
      <c r="B4730" s="19">
        <v>957</v>
      </c>
      <c r="C4730" s="183">
        <v>45225</v>
      </c>
      <c r="D4730" s="17" t="s">
        <v>52</v>
      </c>
      <c r="E4730" s="17" t="s">
        <v>1113</v>
      </c>
      <c r="F4730" s="17" t="s">
        <v>54</v>
      </c>
      <c r="G4730" s="17"/>
      <c r="H4730" s="19" t="s">
        <v>1114</v>
      </c>
      <c r="I4730" s="19"/>
      <c r="J4730" s="17" t="s">
        <v>82</v>
      </c>
      <c r="K4730" s="19">
        <v>455</v>
      </c>
      <c r="L4730" s="19">
        <v>50</v>
      </c>
      <c r="M4730" s="19">
        <v>2200</v>
      </c>
      <c r="N4730" s="19" t="s">
        <v>66</v>
      </c>
      <c r="O4730" s="19" t="s">
        <v>141</v>
      </c>
      <c r="P4730" s="19"/>
      <c r="Q4730" s="19">
        <v>403</v>
      </c>
      <c r="R4730" s="19">
        <f>+P4727-Q4727-Q4728-Q4729-Q4730</f>
        <v>-14</v>
      </c>
      <c r="S4730" s="274">
        <f>1030</f>
        <v>1030</v>
      </c>
      <c r="T4730" s="19" t="s">
        <v>42</v>
      </c>
      <c r="U4730" s="102" t="s">
        <v>1334</v>
      </c>
      <c r="V4730" s="101">
        <v>45247</v>
      </c>
      <c r="W4730" s="17" t="s">
        <v>69</v>
      </c>
      <c r="X4730" s="17"/>
      <c r="Y4730" s="68">
        <v>45292</v>
      </c>
      <c r="Z4730" s="17" t="s">
        <v>191</v>
      </c>
      <c r="AA4730" s="17" t="s">
        <v>46</v>
      </c>
      <c r="AB4730" s="17" t="s">
        <v>1351</v>
      </c>
      <c r="AC4730" s="66">
        <v>45516</v>
      </c>
      <c r="AD4730" s="65">
        <v>1615</v>
      </c>
      <c r="AE4730" s="17" t="s">
        <v>74</v>
      </c>
      <c r="AF4730" s="17"/>
      <c r="AG4730" s="17"/>
      <c r="AH4730" s="17"/>
      <c r="AI4730" s="17"/>
      <c r="AJ4730" s="17"/>
      <c r="AK4730" s="17"/>
      <c r="AL4730" s="17"/>
      <c r="AM4730" s="17"/>
      <c r="AN4730" s="17"/>
      <c r="AO4730" s="17"/>
      <c r="AP4730" s="17"/>
      <c r="AQ4730" s="17"/>
      <c r="AR4730" s="17"/>
    </row>
    <row r="4731" s="21" customFormat="1" ht="15.6" hidden="1" spans="1:44">
      <c r="A4731" s="17" t="s">
        <v>34</v>
      </c>
      <c r="B4731" s="19">
        <v>957</v>
      </c>
      <c r="C4731" s="183">
        <v>45225</v>
      </c>
      <c r="D4731" s="17" t="s">
        <v>52</v>
      </c>
      <c r="E4731" s="17" t="s">
        <v>1113</v>
      </c>
      <c r="F4731" s="17" t="s">
        <v>54</v>
      </c>
      <c r="G4731" s="17"/>
      <c r="H4731" s="19" t="s">
        <v>1114</v>
      </c>
      <c r="I4731" s="19"/>
      <c r="J4731" s="17" t="s">
        <v>82</v>
      </c>
      <c r="K4731" s="19">
        <v>555</v>
      </c>
      <c r="L4731" s="19">
        <v>50</v>
      </c>
      <c r="M4731" s="19">
        <v>2200</v>
      </c>
      <c r="N4731" s="19" t="s">
        <v>66</v>
      </c>
      <c r="O4731" s="19" t="s">
        <v>141</v>
      </c>
      <c r="P4731" s="19">
        <v>1961</v>
      </c>
      <c r="Q4731" s="19">
        <v>502</v>
      </c>
      <c r="R4731" s="254"/>
      <c r="S4731" s="274">
        <v>1030</v>
      </c>
      <c r="T4731" s="19" t="s">
        <v>42</v>
      </c>
      <c r="U4731" s="102" t="s">
        <v>1334</v>
      </c>
      <c r="V4731" s="101">
        <v>45247</v>
      </c>
      <c r="W4731" s="17" t="s">
        <v>44</v>
      </c>
      <c r="X4731" s="17"/>
      <c r="Y4731" s="68">
        <v>45292</v>
      </c>
      <c r="Z4731" s="17" t="s">
        <v>191</v>
      </c>
      <c r="AA4731" s="17" t="s">
        <v>46</v>
      </c>
      <c r="AB4731" s="17" t="s">
        <v>1338</v>
      </c>
      <c r="AC4731" s="217">
        <v>45395</v>
      </c>
      <c r="AD4731" s="65">
        <v>1557</v>
      </c>
      <c r="AE4731" s="17" t="s">
        <v>74</v>
      </c>
      <c r="AF4731" s="17"/>
      <c r="AG4731" s="17"/>
      <c r="AH4731" s="17"/>
      <c r="AI4731" s="17"/>
      <c r="AJ4731" s="17"/>
      <c r="AK4731" s="17"/>
      <c r="AL4731" s="17"/>
      <c r="AM4731" s="17"/>
      <c r="AN4731" s="17"/>
      <c r="AO4731" s="17"/>
      <c r="AP4731" s="17"/>
      <c r="AQ4731" s="17"/>
      <c r="AR4731" s="17"/>
    </row>
    <row r="4732" s="21" customFormat="1" ht="15.6" hidden="1" spans="1:44">
      <c r="A4732" s="17" t="s">
        <v>34</v>
      </c>
      <c r="B4732" s="19">
        <v>957</v>
      </c>
      <c r="C4732" s="183">
        <v>45225</v>
      </c>
      <c r="D4732" s="17" t="s">
        <v>52</v>
      </c>
      <c r="E4732" s="17" t="s">
        <v>1113</v>
      </c>
      <c r="F4732" s="17" t="s">
        <v>54</v>
      </c>
      <c r="G4732" s="17"/>
      <c r="H4732" s="19" t="s">
        <v>1114</v>
      </c>
      <c r="I4732" s="19"/>
      <c r="J4732" s="17" t="s">
        <v>82</v>
      </c>
      <c r="K4732" s="19">
        <v>555</v>
      </c>
      <c r="L4732" s="19">
        <v>50</v>
      </c>
      <c r="M4732" s="19">
        <v>2200</v>
      </c>
      <c r="N4732" s="19" t="s">
        <v>66</v>
      </c>
      <c r="O4732" s="19" t="s">
        <v>141</v>
      </c>
      <c r="P4732" s="19"/>
      <c r="Q4732" s="19">
        <v>501</v>
      </c>
      <c r="S4732" s="310">
        <f>1030+40</f>
        <v>1070</v>
      </c>
      <c r="T4732" s="19" t="s">
        <v>42</v>
      </c>
      <c r="U4732" s="102" t="s">
        <v>1334</v>
      </c>
      <c r="V4732" s="101">
        <v>45247</v>
      </c>
      <c r="W4732" s="17" t="s">
        <v>69</v>
      </c>
      <c r="X4732" s="17"/>
      <c r="Y4732" s="68">
        <v>45292</v>
      </c>
      <c r="Z4732" s="17" t="s">
        <v>191</v>
      </c>
      <c r="AA4732" s="17" t="s">
        <v>46</v>
      </c>
      <c r="AB4732" s="17" t="s">
        <v>1343</v>
      </c>
      <c r="AC4732" s="217">
        <v>45433</v>
      </c>
      <c r="AD4732" s="65">
        <v>1575</v>
      </c>
      <c r="AE4732" s="17" t="s">
        <v>74</v>
      </c>
      <c r="AF4732" s="17"/>
      <c r="AG4732" s="17"/>
      <c r="AH4732" s="17"/>
      <c r="AI4732" s="17"/>
      <c r="AJ4732" s="17"/>
      <c r="AK4732" s="17"/>
      <c r="AL4732" s="17"/>
      <c r="AM4732" s="17"/>
      <c r="AN4732" s="17"/>
      <c r="AO4732" s="17"/>
      <c r="AP4732" s="17"/>
      <c r="AQ4732" s="17"/>
      <c r="AR4732" s="17"/>
    </row>
    <row r="4733" s="21" customFormat="1" ht="15.6" hidden="1" spans="1:44">
      <c r="A4733" s="17" t="s">
        <v>34</v>
      </c>
      <c r="B4733" s="19">
        <v>957</v>
      </c>
      <c r="C4733" s="183">
        <v>45225</v>
      </c>
      <c r="D4733" s="17" t="s">
        <v>52</v>
      </c>
      <c r="E4733" s="17" t="s">
        <v>1113</v>
      </c>
      <c r="F4733" s="17" t="s">
        <v>54</v>
      </c>
      <c r="G4733" s="17"/>
      <c r="H4733" s="19" t="s">
        <v>1114</v>
      </c>
      <c r="I4733" s="19"/>
      <c r="J4733" s="17" t="s">
        <v>82</v>
      </c>
      <c r="K4733" s="19">
        <v>555</v>
      </c>
      <c r="L4733" s="19">
        <v>50</v>
      </c>
      <c r="M4733" s="19">
        <v>2200</v>
      </c>
      <c r="N4733" s="19" t="s">
        <v>66</v>
      </c>
      <c r="O4733" s="19" t="s">
        <v>141</v>
      </c>
      <c r="P4733" s="19"/>
      <c r="Q4733" s="19">
        <v>516</v>
      </c>
      <c r="S4733" s="274">
        <f>1030+80-20</f>
        <v>1090</v>
      </c>
      <c r="T4733" s="19" t="s">
        <v>42</v>
      </c>
      <c r="U4733" s="102" t="s">
        <v>1334</v>
      </c>
      <c r="V4733" s="101">
        <v>45247</v>
      </c>
      <c r="W4733" s="17" t="s">
        <v>69</v>
      </c>
      <c r="X4733" s="17"/>
      <c r="Y4733" s="68">
        <v>45292</v>
      </c>
      <c r="Z4733" s="17" t="s">
        <v>191</v>
      </c>
      <c r="AA4733" s="17" t="s">
        <v>46</v>
      </c>
      <c r="AB4733" s="17" t="s">
        <v>1336</v>
      </c>
      <c r="AC4733" s="66">
        <v>45435</v>
      </c>
      <c r="AD4733" s="65">
        <v>1577</v>
      </c>
      <c r="AE4733" s="17" t="s">
        <v>74</v>
      </c>
      <c r="AF4733" s="17"/>
      <c r="AG4733" s="17"/>
      <c r="AH4733" s="17"/>
      <c r="AI4733" s="17"/>
      <c r="AJ4733" s="17"/>
      <c r="AK4733" s="17"/>
      <c r="AL4733" s="17"/>
      <c r="AM4733" s="17"/>
      <c r="AN4733" s="17"/>
      <c r="AO4733" s="17"/>
      <c r="AP4733" s="17"/>
      <c r="AQ4733" s="17"/>
      <c r="AR4733" s="17"/>
    </row>
    <row r="4734" s="21" customFormat="1" ht="15.6" hidden="1" spans="1:44">
      <c r="A4734" s="17" t="s">
        <v>34</v>
      </c>
      <c r="B4734" s="19">
        <v>957</v>
      </c>
      <c r="C4734" s="183">
        <v>45225</v>
      </c>
      <c r="D4734" s="17" t="s">
        <v>52</v>
      </c>
      <c r="E4734" s="17" t="s">
        <v>1113</v>
      </c>
      <c r="F4734" s="17" t="s">
        <v>54</v>
      </c>
      <c r="G4734" s="17"/>
      <c r="H4734" s="19" t="s">
        <v>1114</v>
      </c>
      <c r="I4734" s="19"/>
      <c r="J4734" s="17" t="s">
        <v>82</v>
      </c>
      <c r="K4734" s="19">
        <v>555</v>
      </c>
      <c r="L4734" s="19">
        <v>50</v>
      </c>
      <c r="M4734" s="19">
        <v>2200</v>
      </c>
      <c r="N4734" s="19" t="s">
        <v>66</v>
      </c>
      <c r="O4734" s="19" t="s">
        <v>141</v>
      </c>
      <c r="P4734" s="19"/>
      <c r="Q4734" s="19">
        <v>481</v>
      </c>
      <c r="R4734" s="19">
        <f>+P4731-Q4731-Q4732-Q4733-Q4734</f>
        <v>-39</v>
      </c>
      <c r="S4734" s="274">
        <f>1030</f>
        <v>1030</v>
      </c>
      <c r="T4734" s="19" t="s">
        <v>42</v>
      </c>
      <c r="U4734" s="102" t="s">
        <v>1334</v>
      </c>
      <c r="V4734" s="101">
        <v>45247</v>
      </c>
      <c r="W4734" s="17" t="s">
        <v>69</v>
      </c>
      <c r="X4734" s="17"/>
      <c r="Y4734" s="68">
        <v>45292</v>
      </c>
      <c r="Z4734" s="17" t="s">
        <v>191</v>
      </c>
      <c r="AA4734" s="17" t="s">
        <v>46</v>
      </c>
      <c r="AB4734" s="17" t="s">
        <v>1351</v>
      </c>
      <c r="AC4734" s="66">
        <v>45516</v>
      </c>
      <c r="AD4734" s="65">
        <v>1615</v>
      </c>
      <c r="AE4734" s="17" t="s">
        <v>74</v>
      </c>
      <c r="AF4734" s="17"/>
      <c r="AG4734" s="17"/>
      <c r="AH4734" s="17"/>
      <c r="AI4734" s="17"/>
      <c r="AJ4734" s="17"/>
      <c r="AK4734" s="17"/>
      <c r="AL4734" s="17"/>
      <c r="AM4734" s="17"/>
      <c r="AN4734" s="17"/>
      <c r="AO4734" s="17"/>
      <c r="AP4734" s="17"/>
      <c r="AQ4734" s="17"/>
      <c r="AR4734" s="17"/>
    </row>
    <row r="4735" s="21" customFormat="1" ht="15.6" hidden="1" spans="1:44">
      <c r="A4735" s="17" t="s">
        <v>34</v>
      </c>
      <c r="B4735" s="19">
        <v>957</v>
      </c>
      <c r="C4735" s="183">
        <v>45225</v>
      </c>
      <c r="D4735" s="17" t="s">
        <v>52</v>
      </c>
      <c r="E4735" s="17" t="s">
        <v>1113</v>
      </c>
      <c r="F4735" s="17" t="s">
        <v>54</v>
      </c>
      <c r="G4735" s="17"/>
      <c r="H4735" s="19" t="s">
        <v>1114</v>
      </c>
      <c r="I4735" s="19"/>
      <c r="J4735" s="17" t="s">
        <v>82</v>
      </c>
      <c r="K4735" s="19">
        <v>205</v>
      </c>
      <c r="L4735" s="19">
        <v>65</v>
      </c>
      <c r="M4735" s="19">
        <v>2200</v>
      </c>
      <c r="N4735" s="19" t="s">
        <v>66</v>
      </c>
      <c r="O4735" s="19" t="s">
        <v>141</v>
      </c>
      <c r="P4735" s="19">
        <v>3060</v>
      </c>
      <c r="Q4735" s="19">
        <v>241</v>
      </c>
      <c r="R4735" s="254"/>
      <c r="S4735" s="274">
        <v>1030</v>
      </c>
      <c r="T4735" s="19" t="s">
        <v>42</v>
      </c>
      <c r="U4735" s="102" t="s">
        <v>1334</v>
      </c>
      <c r="V4735" s="101">
        <v>45247</v>
      </c>
      <c r="W4735" s="17" t="s">
        <v>44</v>
      </c>
      <c r="X4735" s="17"/>
      <c r="Y4735" s="68">
        <v>45292</v>
      </c>
      <c r="Z4735" s="17" t="s">
        <v>191</v>
      </c>
      <c r="AA4735" s="17" t="s">
        <v>46</v>
      </c>
      <c r="AB4735" s="17" t="s">
        <v>1338</v>
      </c>
      <c r="AC4735" s="217">
        <v>45395</v>
      </c>
      <c r="AD4735" s="65">
        <v>1557</v>
      </c>
      <c r="AE4735" s="17" t="s">
        <v>74</v>
      </c>
      <c r="AF4735" s="17"/>
      <c r="AG4735" s="17"/>
      <c r="AH4735" s="17"/>
      <c r="AI4735" s="17"/>
      <c r="AJ4735" s="17"/>
      <c r="AK4735" s="17"/>
      <c r="AL4735" s="17"/>
      <c r="AM4735" s="17"/>
      <c r="AN4735" s="17"/>
      <c r="AO4735" s="17"/>
      <c r="AP4735" s="17"/>
      <c r="AQ4735" s="17"/>
      <c r="AR4735" s="17"/>
    </row>
    <row r="4736" s="21" customFormat="1" ht="15.6" hidden="1" spans="1:44">
      <c r="A4736" s="17" t="s">
        <v>34</v>
      </c>
      <c r="B4736" s="19">
        <v>957</v>
      </c>
      <c r="C4736" s="183">
        <v>45225</v>
      </c>
      <c r="D4736" s="17" t="s">
        <v>52</v>
      </c>
      <c r="E4736" s="17" t="s">
        <v>1113</v>
      </c>
      <c r="F4736" s="17" t="s">
        <v>54</v>
      </c>
      <c r="G4736" s="17"/>
      <c r="H4736" s="19" t="s">
        <v>1114</v>
      </c>
      <c r="I4736" s="19"/>
      <c r="J4736" s="17" t="s">
        <v>82</v>
      </c>
      <c r="K4736" s="19">
        <v>205</v>
      </c>
      <c r="L4736" s="19">
        <v>65</v>
      </c>
      <c r="M4736" s="19">
        <v>2200</v>
      </c>
      <c r="N4736" s="19" t="s">
        <v>66</v>
      </c>
      <c r="O4736" s="19" t="s">
        <v>141</v>
      </c>
      <c r="P4736" s="19"/>
      <c r="Q4736" s="19">
        <f>238+242</f>
        <v>480</v>
      </c>
      <c r="S4736" s="274">
        <v>1030</v>
      </c>
      <c r="T4736" s="19" t="s">
        <v>42</v>
      </c>
      <c r="U4736" s="102" t="s">
        <v>1334</v>
      </c>
      <c r="V4736" s="101">
        <v>45247</v>
      </c>
      <c r="W4736" s="17" t="s">
        <v>44</v>
      </c>
      <c r="X4736" s="17"/>
      <c r="Y4736" s="68">
        <v>45292</v>
      </c>
      <c r="Z4736" s="17" t="s">
        <v>191</v>
      </c>
      <c r="AA4736" s="17" t="s">
        <v>46</v>
      </c>
      <c r="AB4736" s="17" t="s">
        <v>1337</v>
      </c>
      <c r="AC4736" s="217">
        <v>45400</v>
      </c>
      <c r="AD4736" s="65">
        <v>1563</v>
      </c>
      <c r="AE4736" s="17" t="s">
        <v>74</v>
      </c>
      <c r="AF4736" s="17"/>
      <c r="AG4736" s="17"/>
      <c r="AH4736" s="17"/>
      <c r="AI4736" s="17"/>
      <c r="AJ4736" s="17"/>
      <c r="AK4736" s="17"/>
      <c r="AL4736" s="17"/>
      <c r="AM4736" s="17"/>
      <c r="AN4736" s="17"/>
      <c r="AO4736" s="17"/>
      <c r="AP4736" s="17"/>
      <c r="AQ4736" s="17"/>
      <c r="AR4736" s="17"/>
    </row>
    <row r="4737" s="21" customFormat="1" ht="15.6" hidden="1" spans="1:44">
      <c r="A4737" s="17" t="s">
        <v>34</v>
      </c>
      <c r="B4737" s="19">
        <v>957</v>
      </c>
      <c r="C4737" s="183">
        <v>45225</v>
      </c>
      <c r="D4737" s="17" t="s">
        <v>52</v>
      </c>
      <c r="E4737" s="17" t="s">
        <v>1113</v>
      </c>
      <c r="F4737" s="17" t="s">
        <v>54</v>
      </c>
      <c r="G4737" s="17"/>
      <c r="H4737" s="19" t="s">
        <v>1114</v>
      </c>
      <c r="I4737" s="19"/>
      <c r="J4737" s="17" t="s">
        <v>82</v>
      </c>
      <c r="K4737" s="19">
        <v>205</v>
      </c>
      <c r="L4737" s="19">
        <v>65</v>
      </c>
      <c r="M4737" s="19">
        <v>2200</v>
      </c>
      <c r="N4737" s="19" t="s">
        <v>66</v>
      </c>
      <c r="O4737" s="19" t="s">
        <v>141</v>
      </c>
      <c r="P4737" s="19"/>
      <c r="Q4737" s="19">
        <v>1424</v>
      </c>
      <c r="S4737" s="274">
        <f>1030+80-20</f>
        <v>1090</v>
      </c>
      <c r="T4737" s="19" t="s">
        <v>42</v>
      </c>
      <c r="U4737" s="102" t="s">
        <v>1334</v>
      </c>
      <c r="V4737" s="101">
        <v>45247</v>
      </c>
      <c r="W4737" s="17" t="s">
        <v>69</v>
      </c>
      <c r="X4737" s="17"/>
      <c r="Y4737" s="68">
        <v>45292</v>
      </c>
      <c r="Z4737" s="17" t="s">
        <v>191</v>
      </c>
      <c r="AA4737" s="17" t="s">
        <v>46</v>
      </c>
      <c r="AB4737" s="17" t="s">
        <v>1336</v>
      </c>
      <c r="AC4737" s="66">
        <v>45435</v>
      </c>
      <c r="AD4737" s="65">
        <v>1577</v>
      </c>
      <c r="AE4737" s="17" t="s">
        <v>74</v>
      </c>
      <c r="AF4737" s="17"/>
      <c r="AG4737" s="17"/>
      <c r="AH4737" s="17"/>
      <c r="AI4737" s="17"/>
      <c r="AJ4737" s="17"/>
      <c r="AK4737" s="17"/>
      <c r="AL4737" s="17"/>
      <c r="AM4737" s="17"/>
      <c r="AN4737" s="17"/>
      <c r="AO4737" s="17"/>
      <c r="AP4737" s="17"/>
      <c r="AQ4737" s="17"/>
      <c r="AR4737" s="17"/>
    </row>
    <row r="4738" s="21" customFormat="1" ht="15.6" hidden="1" spans="1:44">
      <c r="A4738" s="17" t="s">
        <v>34</v>
      </c>
      <c r="B4738" s="19">
        <v>957</v>
      </c>
      <c r="C4738" s="183">
        <v>45225</v>
      </c>
      <c r="D4738" s="17" t="s">
        <v>52</v>
      </c>
      <c r="E4738" s="17" t="s">
        <v>1113</v>
      </c>
      <c r="F4738" s="17" t="s">
        <v>54</v>
      </c>
      <c r="G4738" s="17"/>
      <c r="H4738" s="19" t="s">
        <v>1114</v>
      </c>
      <c r="I4738" s="19"/>
      <c r="J4738" s="17" t="s">
        <v>82</v>
      </c>
      <c r="K4738" s="19">
        <v>205</v>
      </c>
      <c r="L4738" s="19">
        <v>65</v>
      </c>
      <c r="M4738" s="19">
        <v>2200</v>
      </c>
      <c r="N4738" s="19" t="s">
        <v>66</v>
      </c>
      <c r="O4738" s="19" t="s">
        <v>141</v>
      </c>
      <c r="P4738" s="19"/>
      <c r="Q4738" s="19">
        <v>936</v>
      </c>
      <c r="R4738" s="19">
        <f>+P4735-Q4735-Q4736-Q4737-Q4738</f>
        <v>-21</v>
      </c>
      <c r="S4738" s="274">
        <f>1030</f>
        <v>1030</v>
      </c>
      <c r="T4738" s="19" t="s">
        <v>42</v>
      </c>
      <c r="U4738" s="102" t="s">
        <v>1334</v>
      </c>
      <c r="V4738" s="101">
        <v>45247</v>
      </c>
      <c r="W4738" s="17" t="s">
        <v>69</v>
      </c>
      <c r="X4738" s="17"/>
      <c r="Y4738" s="68">
        <v>45292</v>
      </c>
      <c r="Z4738" s="17" t="s">
        <v>191</v>
      </c>
      <c r="AA4738" s="17" t="s">
        <v>46</v>
      </c>
      <c r="AB4738" s="17" t="s">
        <v>1351</v>
      </c>
      <c r="AC4738" s="66">
        <v>45516</v>
      </c>
      <c r="AD4738" s="65">
        <v>1615</v>
      </c>
      <c r="AE4738" s="17" t="s">
        <v>74</v>
      </c>
      <c r="AF4738" s="17"/>
      <c r="AG4738" s="17"/>
      <c r="AH4738" s="17"/>
      <c r="AI4738" s="17"/>
      <c r="AJ4738" s="17"/>
      <c r="AK4738" s="17"/>
      <c r="AL4738" s="17"/>
      <c r="AM4738" s="17"/>
      <c r="AN4738" s="17"/>
      <c r="AO4738" s="17"/>
      <c r="AP4738" s="17"/>
      <c r="AQ4738" s="17"/>
      <c r="AR4738" s="17"/>
    </row>
    <row r="4739" s="21" customFormat="1" ht="15.6" hidden="1" spans="1:44">
      <c r="A4739" s="17" t="s">
        <v>34</v>
      </c>
      <c r="B4739" s="19">
        <v>957</v>
      </c>
      <c r="C4739" s="183">
        <v>45225</v>
      </c>
      <c r="D4739" s="17" t="s">
        <v>52</v>
      </c>
      <c r="E4739" s="17" t="s">
        <v>1113</v>
      </c>
      <c r="F4739" s="17" t="s">
        <v>54</v>
      </c>
      <c r="G4739" s="17"/>
      <c r="H4739" s="19" t="s">
        <v>1114</v>
      </c>
      <c r="I4739" s="19"/>
      <c r="J4739" s="17" t="s">
        <v>82</v>
      </c>
      <c r="K4739" s="19">
        <v>355</v>
      </c>
      <c r="L4739" s="19">
        <v>65</v>
      </c>
      <c r="M4739" s="19">
        <v>2200</v>
      </c>
      <c r="N4739" s="19" t="s">
        <v>66</v>
      </c>
      <c r="O4739" s="19" t="s">
        <v>141</v>
      </c>
      <c r="P4739" s="19">
        <v>0</v>
      </c>
      <c r="Q4739" s="19">
        <v>410</v>
      </c>
      <c r="R4739" s="19">
        <v>0</v>
      </c>
      <c r="S4739" s="274">
        <f>1030</f>
        <v>1030</v>
      </c>
      <c r="T4739" s="19" t="s">
        <v>42</v>
      </c>
      <c r="U4739" s="102" t="s">
        <v>1334</v>
      </c>
      <c r="V4739" s="101">
        <v>45247</v>
      </c>
      <c r="W4739" s="17" t="s">
        <v>69</v>
      </c>
      <c r="X4739" s="17"/>
      <c r="Y4739" s="68">
        <v>45292</v>
      </c>
      <c r="Z4739" s="17" t="s">
        <v>191</v>
      </c>
      <c r="AA4739" s="17" t="s">
        <v>46</v>
      </c>
      <c r="AB4739" s="17" t="s">
        <v>1351</v>
      </c>
      <c r="AC4739" s="66">
        <v>45516</v>
      </c>
      <c r="AD4739" s="65">
        <v>1615</v>
      </c>
      <c r="AE4739" s="17" t="s">
        <v>74</v>
      </c>
      <c r="AF4739" s="17"/>
      <c r="AG4739" s="17"/>
      <c r="AH4739" s="17"/>
      <c r="AI4739" s="17"/>
      <c r="AJ4739" s="17"/>
      <c r="AK4739" s="17"/>
      <c r="AL4739" s="17"/>
      <c r="AM4739" s="17"/>
      <c r="AN4739" s="17"/>
      <c r="AO4739" s="17"/>
      <c r="AP4739" s="17"/>
      <c r="AQ4739" s="17"/>
      <c r="AR4739" s="17"/>
    </row>
    <row r="4740" s="21" customFormat="1" ht="15.6" hidden="1" spans="1:44">
      <c r="A4740" s="17" t="s">
        <v>34</v>
      </c>
      <c r="B4740" s="19">
        <v>957</v>
      </c>
      <c r="C4740" s="183">
        <v>45225</v>
      </c>
      <c r="D4740" s="17" t="s">
        <v>52</v>
      </c>
      <c r="E4740" s="17" t="s">
        <v>1113</v>
      </c>
      <c r="F4740" s="17" t="s">
        <v>54</v>
      </c>
      <c r="G4740" s="17"/>
      <c r="H4740" s="19" t="s">
        <v>1114</v>
      </c>
      <c r="I4740" s="19"/>
      <c r="J4740" s="17" t="s">
        <v>82</v>
      </c>
      <c r="K4740" s="19">
        <v>255</v>
      </c>
      <c r="L4740" s="19">
        <v>80</v>
      </c>
      <c r="M4740" s="19">
        <v>2200</v>
      </c>
      <c r="N4740" s="19" t="s">
        <v>66</v>
      </c>
      <c r="O4740" s="19" t="s">
        <v>141</v>
      </c>
      <c r="P4740" s="19">
        <v>2522</v>
      </c>
      <c r="Q4740" s="19">
        <v>372</v>
      </c>
      <c r="R4740" s="254"/>
      <c r="S4740" s="274">
        <v>1030</v>
      </c>
      <c r="T4740" s="19" t="s">
        <v>42</v>
      </c>
      <c r="U4740" s="102" t="s">
        <v>1334</v>
      </c>
      <c r="V4740" s="101">
        <v>45247</v>
      </c>
      <c r="W4740" s="17" t="s">
        <v>44</v>
      </c>
      <c r="X4740" s="17"/>
      <c r="Y4740" s="68">
        <v>45292</v>
      </c>
      <c r="Z4740" s="17" t="s">
        <v>191</v>
      </c>
      <c r="AA4740" s="17" t="s">
        <v>46</v>
      </c>
      <c r="AB4740" s="17" t="s">
        <v>1249</v>
      </c>
      <c r="AC4740" s="217">
        <v>45380</v>
      </c>
      <c r="AD4740" s="65">
        <v>1547</v>
      </c>
      <c r="AE4740" s="17" t="s">
        <v>74</v>
      </c>
      <c r="AF4740" s="17"/>
      <c r="AG4740" s="17"/>
      <c r="AH4740" s="17"/>
      <c r="AI4740" s="17"/>
      <c r="AJ4740" s="17"/>
      <c r="AK4740" s="17"/>
      <c r="AL4740" s="17"/>
      <c r="AM4740" s="17"/>
      <c r="AN4740" s="17"/>
      <c r="AO4740" s="17"/>
      <c r="AP4740" s="17"/>
      <c r="AQ4740" s="17"/>
      <c r="AR4740" s="17"/>
    </row>
    <row r="4741" s="21" customFormat="1" ht="15.6" hidden="1" spans="1:44">
      <c r="A4741" s="17" t="s">
        <v>34</v>
      </c>
      <c r="B4741" s="19">
        <v>957</v>
      </c>
      <c r="C4741" s="183">
        <v>45225</v>
      </c>
      <c r="D4741" s="17" t="s">
        <v>52</v>
      </c>
      <c r="E4741" s="17" t="s">
        <v>1113</v>
      </c>
      <c r="F4741" s="17" t="s">
        <v>54</v>
      </c>
      <c r="G4741" s="17"/>
      <c r="H4741" s="19" t="s">
        <v>1114</v>
      </c>
      <c r="I4741" s="19"/>
      <c r="J4741" s="17" t="s">
        <v>82</v>
      </c>
      <c r="K4741" s="19">
        <v>255</v>
      </c>
      <c r="L4741" s="19">
        <v>80</v>
      </c>
      <c r="M4741" s="19">
        <v>2200</v>
      </c>
      <c r="N4741" s="19" t="s">
        <v>66</v>
      </c>
      <c r="O4741" s="19" t="s">
        <v>141</v>
      </c>
      <c r="P4741" s="19"/>
      <c r="Q4741" s="98">
        <f>740+371</f>
        <v>1111</v>
      </c>
      <c r="S4741" s="274">
        <v>1030</v>
      </c>
      <c r="T4741" s="19" t="s">
        <v>42</v>
      </c>
      <c r="U4741" s="102" t="s">
        <v>1334</v>
      </c>
      <c r="V4741" s="101">
        <v>45247</v>
      </c>
      <c r="W4741" s="17" t="s">
        <v>44</v>
      </c>
      <c r="X4741" s="17"/>
      <c r="Y4741" s="68">
        <v>45292</v>
      </c>
      <c r="Z4741" s="17" t="s">
        <v>191</v>
      </c>
      <c r="AA4741" s="17" t="s">
        <v>46</v>
      </c>
      <c r="AB4741" s="17" t="s">
        <v>1245</v>
      </c>
      <c r="AC4741" s="66">
        <v>45379</v>
      </c>
      <c r="AD4741" s="65">
        <v>1546</v>
      </c>
      <c r="AE4741" s="17" t="s">
        <v>74</v>
      </c>
      <c r="AF4741" s="17"/>
      <c r="AG4741" s="17"/>
      <c r="AH4741" s="17"/>
      <c r="AI4741" s="17"/>
      <c r="AJ4741" s="17"/>
      <c r="AK4741" s="17"/>
      <c r="AL4741" s="17"/>
      <c r="AM4741" s="17"/>
      <c r="AN4741" s="17"/>
      <c r="AO4741" s="17"/>
      <c r="AP4741" s="17"/>
      <c r="AQ4741" s="17"/>
      <c r="AR4741" s="17"/>
    </row>
    <row r="4742" s="21" customFormat="1" ht="15.6" hidden="1" spans="1:44">
      <c r="A4742" s="17" t="s">
        <v>34</v>
      </c>
      <c r="B4742" s="19">
        <v>957</v>
      </c>
      <c r="C4742" s="183">
        <v>45225</v>
      </c>
      <c r="D4742" s="17" t="s">
        <v>52</v>
      </c>
      <c r="E4742" s="17" t="s">
        <v>1113</v>
      </c>
      <c r="F4742" s="17" t="s">
        <v>54</v>
      </c>
      <c r="G4742" s="17"/>
      <c r="H4742" s="19" t="s">
        <v>1114</v>
      </c>
      <c r="I4742" s="19"/>
      <c r="J4742" s="17" t="s">
        <v>82</v>
      </c>
      <c r="K4742" s="19">
        <v>255</v>
      </c>
      <c r="L4742" s="19">
        <v>80</v>
      </c>
      <c r="M4742" s="19">
        <v>2200</v>
      </c>
      <c r="N4742" s="19" t="s">
        <v>66</v>
      </c>
      <c r="O4742" s="19" t="s">
        <v>141</v>
      </c>
      <c r="P4742" s="19"/>
      <c r="Q4742" s="98">
        <v>728</v>
      </c>
      <c r="S4742" s="274">
        <v>1030</v>
      </c>
      <c r="T4742" s="19" t="s">
        <v>42</v>
      </c>
      <c r="U4742" s="102" t="s">
        <v>1334</v>
      </c>
      <c r="V4742" s="101">
        <v>45247</v>
      </c>
      <c r="W4742" s="17" t="s">
        <v>44</v>
      </c>
      <c r="X4742" s="17"/>
      <c r="Y4742" s="68">
        <v>45292</v>
      </c>
      <c r="Z4742" s="17" t="s">
        <v>191</v>
      </c>
      <c r="AA4742" s="17" t="s">
        <v>46</v>
      </c>
      <c r="AB4742" s="17" t="s">
        <v>1341</v>
      </c>
      <c r="AC4742" s="217">
        <v>45400</v>
      </c>
      <c r="AD4742" s="65">
        <v>1562</v>
      </c>
      <c r="AE4742" s="17" t="s">
        <v>74</v>
      </c>
      <c r="AF4742" s="17"/>
      <c r="AG4742" s="17"/>
      <c r="AH4742" s="17"/>
      <c r="AI4742" s="17"/>
      <c r="AJ4742" s="17"/>
      <c r="AK4742" s="17"/>
      <c r="AL4742" s="17"/>
      <c r="AM4742" s="17"/>
      <c r="AN4742" s="17"/>
      <c r="AO4742" s="17"/>
      <c r="AP4742" s="17"/>
      <c r="AQ4742" s="17"/>
      <c r="AR4742" s="17"/>
    </row>
    <row r="4743" s="21" customFormat="1" ht="15.6" hidden="1" spans="1:44">
      <c r="A4743" s="17" t="s">
        <v>34</v>
      </c>
      <c r="B4743" s="19">
        <v>957</v>
      </c>
      <c r="C4743" s="183">
        <v>45225</v>
      </c>
      <c r="D4743" s="17" t="s">
        <v>52</v>
      </c>
      <c r="E4743" s="17" t="s">
        <v>1113</v>
      </c>
      <c r="F4743" s="17" t="s">
        <v>54</v>
      </c>
      <c r="G4743" s="17"/>
      <c r="H4743" s="19" t="s">
        <v>1114</v>
      </c>
      <c r="I4743" s="19"/>
      <c r="J4743" s="17" t="s">
        <v>82</v>
      </c>
      <c r="K4743" s="19">
        <v>255</v>
      </c>
      <c r="L4743" s="19">
        <v>80</v>
      </c>
      <c r="M4743" s="19">
        <v>2200</v>
      </c>
      <c r="N4743" s="19" t="s">
        <v>66</v>
      </c>
      <c r="O4743" s="19" t="s">
        <v>141</v>
      </c>
      <c r="P4743" s="19"/>
      <c r="Q4743" s="98">
        <v>362</v>
      </c>
      <c r="R4743" s="19">
        <f>+P4740-Q4740-Q4741-Q4742-Q4743</f>
        <v>-51</v>
      </c>
      <c r="S4743" s="274">
        <f>1030+80</f>
        <v>1110</v>
      </c>
      <c r="T4743" s="19" t="s">
        <v>42</v>
      </c>
      <c r="U4743" s="102" t="s">
        <v>1334</v>
      </c>
      <c r="V4743" s="101">
        <v>45247</v>
      </c>
      <c r="W4743" s="17" t="s">
        <v>69</v>
      </c>
      <c r="X4743" s="17"/>
      <c r="Y4743" s="68">
        <v>45292</v>
      </c>
      <c r="Z4743" s="17" t="s">
        <v>191</v>
      </c>
      <c r="AA4743" s="17" t="s">
        <v>46</v>
      </c>
      <c r="AB4743" s="17" t="s">
        <v>1352</v>
      </c>
      <c r="AC4743" s="217">
        <v>45531</v>
      </c>
      <c r="AD4743" s="65">
        <v>1623</v>
      </c>
      <c r="AE4743" s="17" t="s">
        <v>74</v>
      </c>
      <c r="AF4743" s="17"/>
      <c r="AG4743" s="17"/>
      <c r="AH4743" s="17"/>
      <c r="AI4743" s="17"/>
      <c r="AJ4743" s="17"/>
      <c r="AK4743" s="17"/>
      <c r="AL4743" s="17"/>
      <c r="AM4743" s="17"/>
      <c r="AN4743" s="17"/>
      <c r="AO4743" s="17"/>
      <c r="AP4743" s="17"/>
      <c r="AQ4743" s="17"/>
      <c r="AR4743" s="17"/>
    </row>
    <row r="4744" s="21" customFormat="1" ht="15.6" hidden="1" spans="1:44">
      <c r="A4744" s="17" t="s">
        <v>34</v>
      </c>
      <c r="B4744" s="19">
        <v>957</v>
      </c>
      <c r="C4744" s="183">
        <v>45225</v>
      </c>
      <c r="D4744" s="17" t="s">
        <v>52</v>
      </c>
      <c r="E4744" s="17" t="s">
        <v>1113</v>
      </c>
      <c r="F4744" s="17" t="s">
        <v>54</v>
      </c>
      <c r="G4744" s="17"/>
      <c r="H4744" s="19" t="s">
        <v>1114</v>
      </c>
      <c r="I4744" s="19"/>
      <c r="J4744" s="17" t="s">
        <v>82</v>
      </c>
      <c r="K4744" s="19">
        <v>305</v>
      </c>
      <c r="L4744" s="19">
        <v>80</v>
      </c>
      <c r="M4744" s="19">
        <v>2200</v>
      </c>
      <c r="N4744" s="19" t="s">
        <v>66</v>
      </c>
      <c r="O4744" s="19" t="s">
        <v>141</v>
      </c>
      <c r="P4744" s="19">
        <v>3879</v>
      </c>
      <c r="Q4744" s="98">
        <v>887</v>
      </c>
      <c r="R4744" s="254"/>
      <c r="S4744" s="274">
        <v>1030</v>
      </c>
      <c r="T4744" s="19" t="s">
        <v>42</v>
      </c>
      <c r="U4744" s="102" t="s">
        <v>1334</v>
      </c>
      <c r="V4744" s="101">
        <v>45247</v>
      </c>
      <c r="W4744" s="17" t="s">
        <v>44</v>
      </c>
      <c r="X4744" s="17"/>
      <c r="Y4744" s="68">
        <v>45292</v>
      </c>
      <c r="Z4744" s="17" t="s">
        <v>191</v>
      </c>
      <c r="AA4744" s="17" t="s">
        <v>46</v>
      </c>
      <c r="AB4744" s="17" t="s">
        <v>1245</v>
      </c>
      <c r="AC4744" s="66">
        <v>45379</v>
      </c>
      <c r="AD4744" s="65">
        <v>1546</v>
      </c>
      <c r="AE4744" s="17" t="s">
        <v>74</v>
      </c>
      <c r="AF4744" s="17"/>
      <c r="AG4744" s="17"/>
      <c r="AH4744" s="17"/>
      <c r="AI4744" s="17"/>
      <c r="AJ4744" s="17"/>
      <c r="AK4744" s="17"/>
      <c r="AL4744" s="17"/>
      <c r="AM4744" s="17"/>
      <c r="AN4744" s="17"/>
      <c r="AO4744" s="17"/>
      <c r="AP4744" s="17"/>
      <c r="AQ4744" s="17"/>
      <c r="AR4744" s="17"/>
    </row>
    <row r="4745" s="21" customFormat="1" ht="15.6" hidden="1" spans="1:44">
      <c r="A4745" s="17" t="s">
        <v>34</v>
      </c>
      <c r="B4745" s="19">
        <v>957</v>
      </c>
      <c r="C4745" s="183">
        <v>45225</v>
      </c>
      <c r="D4745" s="17" t="s">
        <v>52</v>
      </c>
      <c r="E4745" s="17" t="s">
        <v>1113</v>
      </c>
      <c r="F4745" s="17" t="s">
        <v>54</v>
      </c>
      <c r="G4745" s="17"/>
      <c r="H4745" s="19" t="s">
        <v>1114</v>
      </c>
      <c r="I4745" s="19"/>
      <c r="J4745" s="17" t="s">
        <v>82</v>
      </c>
      <c r="K4745" s="19">
        <v>305</v>
      </c>
      <c r="L4745" s="19">
        <v>80</v>
      </c>
      <c r="M4745" s="19">
        <v>2200</v>
      </c>
      <c r="N4745" s="19" t="s">
        <v>66</v>
      </c>
      <c r="O4745" s="19" t="s">
        <v>141</v>
      </c>
      <c r="P4745" s="19"/>
      <c r="Q4745" s="98">
        <v>1309</v>
      </c>
      <c r="S4745" s="274">
        <v>1030</v>
      </c>
      <c r="T4745" s="19" t="s">
        <v>42</v>
      </c>
      <c r="U4745" s="102" t="s">
        <v>1334</v>
      </c>
      <c r="V4745" s="101">
        <v>45247</v>
      </c>
      <c r="W4745" s="17" t="s">
        <v>44</v>
      </c>
      <c r="X4745" s="17"/>
      <c r="Y4745" s="68">
        <v>45292</v>
      </c>
      <c r="Z4745" s="17" t="s">
        <v>191</v>
      </c>
      <c r="AA4745" s="17" t="s">
        <v>46</v>
      </c>
      <c r="AB4745" s="17" t="s">
        <v>1337</v>
      </c>
      <c r="AC4745" s="217">
        <v>45400</v>
      </c>
      <c r="AD4745" s="65">
        <v>1563</v>
      </c>
      <c r="AE4745" s="17" t="s">
        <v>74</v>
      </c>
      <c r="AF4745" s="17"/>
      <c r="AG4745" s="17"/>
      <c r="AH4745" s="17"/>
      <c r="AI4745" s="17"/>
      <c r="AJ4745" s="17"/>
      <c r="AK4745" s="17"/>
      <c r="AL4745" s="17"/>
      <c r="AM4745" s="17"/>
      <c r="AN4745" s="17"/>
      <c r="AO4745" s="17"/>
      <c r="AP4745" s="17"/>
      <c r="AQ4745" s="17"/>
      <c r="AR4745" s="17"/>
    </row>
    <row r="4746" s="21" customFormat="1" ht="15.6" hidden="1" spans="1:44">
      <c r="A4746" s="17" t="s">
        <v>34</v>
      </c>
      <c r="B4746" s="19">
        <v>957</v>
      </c>
      <c r="C4746" s="183">
        <v>45225</v>
      </c>
      <c r="D4746" s="17" t="s">
        <v>52</v>
      </c>
      <c r="E4746" s="17" t="s">
        <v>1113</v>
      </c>
      <c r="F4746" s="17" t="s">
        <v>54</v>
      </c>
      <c r="G4746" s="17"/>
      <c r="H4746" s="19" t="s">
        <v>1114</v>
      </c>
      <c r="I4746" s="19"/>
      <c r="J4746" s="17" t="s">
        <v>82</v>
      </c>
      <c r="K4746" s="19">
        <v>305</v>
      </c>
      <c r="L4746" s="19">
        <v>80</v>
      </c>
      <c r="M4746" s="19">
        <v>2200</v>
      </c>
      <c r="N4746" s="19" t="s">
        <v>66</v>
      </c>
      <c r="O4746" s="19" t="s">
        <v>141</v>
      </c>
      <c r="P4746" s="19"/>
      <c r="Q4746" s="98">
        <v>874</v>
      </c>
      <c r="S4746" s="274">
        <f>1070-40+80</f>
        <v>1110</v>
      </c>
      <c r="T4746" s="19" t="s">
        <v>42</v>
      </c>
      <c r="U4746" s="102" t="s">
        <v>1334</v>
      </c>
      <c r="V4746" s="101">
        <v>45247</v>
      </c>
      <c r="W4746" s="17" t="s">
        <v>69</v>
      </c>
      <c r="X4746" s="17"/>
      <c r="Y4746" s="68">
        <v>45292</v>
      </c>
      <c r="Z4746" s="17" t="s">
        <v>191</v>
      </c>
      <c r="AA4746" s="17" t="s">
        <v>46</v>
      </c>
      <c r="AB4746" s="17" t="s">
        <v>1340</v>
      </c>
      <c r="AC4746" s="217">
        <v>45498</v>
      </c>
      <c r="AD4746" s="65">
        <v>1603</v>
      </c>
      <c r="AE4746" s="17" t="s">
        <v>48</v>
      </c>
      <c r="AF4746" s="17"/>
      <c r="AG4746" s="17"/>
      <c r="AH4746" s="17"/>
      <c r="AI4746" s="17"/>
      <c r="AJ4746" s="17"/>
      <c r="AK4746" s="17"/>
      <c r="AL4746" s="17"/>
      <c r="AM4746" s="17"/>
      <c r="AN4746" s="17"/>
      <c r="AO4746" s="17"/>
      <c r="AP4746" s="17"/>
      <c r="AQ4746" s="17"/>
      <c r="AR4746" s="17"/>
    </row>
    <row r="4747" s="21" customFormat="1" ht="15.6" hidden="1" spans="1:44">
      <c r="A4747" s="17" t="s">
        <v>34</v>
      </c>
      <c r="B4747" s="19">
        <v>957</v>
      </c>
      <c r="C4747" s="183">
        <v>45225</v>
      </c>
      <c r="D4747" s="17" t="s">
        <v>52</v>
      </c>
      <c r="E4747" s="17" t="s">
        <v>1113</v>
      </c>
      <c r="F4747" s="17" t="s">
        <v>54</v>
      </c>
      <c r="G4747" s="17"/>
      <c r="H4747" s="19" t="s">
        <v>1114</v>
      </c>
      <c r="I4747" s="19"/>
      <c r="J4747" s="17" t="s">
        <v>82</v>
      </c>
      <c r="K4747" s="19">
        <v>305</v>
      </c>
      <c r="L4747" s="19">
        <v>80</v>
      </c>
      <c r="M4747" s="19">
        <v>2200</v>
      </c>
      <c r="N4747" s="19" t="s">
        <v>66</v>
      </c>
      <c r="O4747" s="19" t="s">
        <v>141</v>
      </c>
      <c r="P4747" s="19"/>
      <c r="Q4747" s="98">
        <v>439</v>
      </c>
      <c r="S4747" s="274">
        <f>1070-40</f>
        <v>1030</v>
      </c>
      <c r="T4747" s="19" t="s">
        <v>42</v>
      </c>
      <c r="U4747" s="102" t="s">
        <v>1334</v>
      </c>
      <c r="V4747" s="101">
        <v>45247</v>
      </c>
      <c r="W4747" s="17" t="s">
        <v>69</v>
      </c>
      <c r="X4747" s="17"/>
      <c r="Y4747" s="68">
        <v>45292</v>
      </c>
      <c r="Z4747" s="17" t="s">
        <v>191</v>
      </c>
      <c r="AA4747" s="17" t="s">
        <v>46</v>
      </c>
      <c r="AB4747" s="17" t="s">
        <v>1351</v>
      </c>
      <c r="AC4747" s="66">
        <v>45516</v>
      </c>
      <c r="AD4747" s="65">
        <v>1615</v>
      </c>
      <c r="AE4747" s="17" t="s">
        <v>48</v>
      </c>
      <c r="AF4747" s="17"/>
      <c r="AG4747" s="17"/>
      <c r="AH4747" s="17"/>
      <c r="AI4747" s="17"/>
      <c r="AJ4747" s="17"/>
      <c r="AK4747" s="17"/>
      <c r="AL4747" s="17"/>
      <c r="AM4747" s="17"/>
      <c r="AN4747" s="17"/>
      <c r="AO4747" s="17"/>
      <c r="AP4747" s="17"/>
      <c r="AQ4747" s="17"/>
      <c r="AR4747" s="17"/>
    </row>
    <row r="4748" s="21" customFormat="1" ht="15.6" hidden="1" spans="1:44">
      <c r="A4748" s="17" t="s">
        <v>34</v>
      </c>
      <c r="B4748" s="19">
        <v>957</v>
      </c>
      <c r="C4748" s="183">
        <v>45225</v>
      </c>
      <c r="D4748" s="17" t="s">
        <v>52</v>
      </c>
      <c r="E4748" s="17" t="s">
        <v>1113</v>
      </c>
      <c r="F4748" s="17" t="s">
        <v>54</v>
      </c>
      <c r="G4748" s="17"/>
      <c r="H4748" s="19" t="s">
        <v>1114</v>
      </c>
      <c r="I4748" s="19"/>
      <c r="J4748" s="17" t="s">
        <v>82</v>
      </c>
      <c r="K4748" s="19">
        <v>305</v>
      </c>
      <c r="L4748" s="19">
        <v>80</v>
      </c>
      <c r="M4748" s="19">
        <v>2200</v>
      </c>
      <c r="N4748" s="19" t="s">
        <v>66</v>
      </c>
      <c r="O4748" s="19" t="s">
        <v>141</v>
      </c>
      <c r="P4748" s="19"/>
      <c r="Q4748" s="98">
        <v>438</v>
      </c>
      <c r="R4748" s="19">
        <f>+P4744-Q4744-Q4745-Q4746-Q4747-Q4748</f>
        <v>-68</v>
      </c>
      <c r="S4748" s="274">
        <f>1030+80</f>
        <v>1110</v>
      </c>
      <c r="T4748" s="19" t="s">
        <v>42</v>
      </c>
      <c r="U4748" s="102" t="s">
        <v>1334</v>
      </c>
      <c r="V4748" s="101">
        <v>45247</v>
      </c>
      <c r="W4748" s="17" t="s">
        <v>69</v>
      </c>
      <c r="X4748" s="17"/>
      <c r="Y4748" s="68">
        <v>45292</v>
      </c>
      <c r="Z4748" s="17" t="s">
        <v>191</v>
      </c>
      <c r="AA4748" s="17" t="s">
        <v>46</v>
      </c>
      <c r="AB4748" s="17" t="s">
        <v>1352</v>
      </c>
      <c r="AC4748" s="217">
        <v>45531</v>
      </c>
      <c r="AD4748" s="65">
        <v>1623</v>
      </c>
      <c r="AE4748" s="17" t="s">
        <v>48</v>
      </c>
      <c r="AF4748" s="17"/>
      <c r="AG4748" s="17"/>
      <c r="AH4748" s="17"/>
      <c r="AI4748" s="17"/>
      <c r="AJ4748" s="17"/>
      <c r="AK4748" s="17"/>
      <c r="AL4748" s="17"/>
      <c r="AM4748" s="17"/>
      <c r="AN4748" s="17"/>
      <c r="AO4748" s="17"/>
      <c r="AP4748" s="17"/>
      <c r="AQ4748" s="17"/>
      <c r="AR4748" s="17"/>
    </row>
    <row r="4749" s="21" customFormat="1" ht="15.6" hidden="1" spans="1:44">
      <c r="A4749" s="17" t="s">
        <v>34</v>
      </c>
      <c r="B4749" s="19">
        <v>957</v>
      </c>
      <c r="C4749" s="183">
        <v>45225</v>
      </c>
      <c r="D4749" s="17" t="s">
        <v>52</v>
      </c>
      <c r="E4749" s="17" t="s">
        <v>1113</v>
      </c>
      <c r="F4749" s="17" t="s">
        <v>54</v>
      </c>
      <c r="G4749" s="17"/>
      <c r="H4749" s="19" t="s">
        <v>1114</v>
      </c>
      <c r="I4749" s="19"/>
      <c r="J4749" s="17" t="s">
        <v>82</v>
      </c>
      <c r="K4749" s="19">
        <v>405</v>
      </c>
      <c r="L4749" s="19">
        <v>105</v>
      </c>
      <c r="M4749" s="19">
        <v>2200</v>
      </c>
      <c r="N4749" s="19" t="s">
        <v>66</v>
      </c>
      <c r="O4749" s="19" t="s">
        <v>141</v>
      </c>
      <c r="P4749" s="19">
        <v>2253</v>
      </c>
      <c r="Q4749" s="19">
        <v>772</v>
      </c>
      <c r="S4749" s="274">
        <f>1030+80-20</f>
        <v>1090</v>
      </c>
      <c r="T4749" s="19" t="s">
        <v>42</v>
      </c>
      <c r="U4749" s="102" t="s">
        <v>1334</v>
      </c>
      <c r="V4749" s="101">
        <v>45247</v>
      </c>
      <c r="W4749" s="17" t="s">
        <v>69</v>
      </c>
      <c r="X4749" s="17"/>
      <c r="Y4749" s="68">
        <v>45292</v>
      </c>
      <c r="Z4749" s="17" t="s">
        <v>191</v>
      </c>
      <c r="AA4749" s="17" t="s">
        <v>46</v>
      </c>
      <c r="AB4749" s="17" t="s">
        <v>1345</v>
      </c>
      <c r="AC4749" s="217">
        <v>45443</v>
      </c>
      <c r="AD4749" s="65">
        <v>1580</v>
      </c>
      <c r="AE4749" s="17" t="s">
        <v>74</v>
      </c>
      <c r="AF4749" s="17"/>
      <c r="AG4749" s="17"/>
      <c r="AH4749" s="17"/>
      <c r="AI4749" s="17"/>
      <c r="AJ4749" s="17"/>
      <c r="AK4749" s="17"/>
      <c r="AL4749" s="17"/>
      <c r="AM4749" s="17"/>
      <c r="AN4749" s="17"/>
      <c r="AO4749" s="17"/>
      <c r="AP4749" s="17"/>
      <c r="AQ4749" s="17"/>
      <c r="AR4749" s="17"/>
    </row>
    <row r="4750" s="21" customFormat="1" ht="15.6" hidden="1" spans="1:44">
      <c r="A4750" s="17" t="s">
        <v>34</v>
      </c>
      <c r="B4750" s="19">
        <v>957</v>
      </c>
      <c r="C4750" s="183">
        <v>45225</v>
      </c>
      <c r="D4750" s="17" t="s">
        <v>52</v>
      </c>
      <c r="E4750" s="17" t="s">
        <v>1113</v>
      </c>
      <c r="F4750" s="17" t="s">
        <v>54</v>
      </c>
      <c r="G4750" s="17"/>
      <c r="H4750" s="19" t="s">
        <v>1114</v>
      </c>
      <c r="I4750" s="19"/>
      <c r="J4750" s="17" t="s">
        <v>82</v>
      </c>
      <c r="K4750" s="19">
        <v>405</v>
      </c>
      <c r="L4750" s="19">
        <v>105</v>
      </c>
      <c r="M4750" s="19">
        <v>2200</v>
      </c>
      <c r="N4750" s="19" t="s">
        <v>66</v>
      </c>
      <c r="O4750" s="19" t="s">
        <v>141</v>
      </c>
      <c r="P4750" s="19"/>
      <c r="Q4750" s="146">
        <v>765</v>
      </c>
      <c r="S4750" s="274">
        <f>1030+80</f>
        <v>1110</v>
      </c>
      <c r="T4750" s="19" t="s">
        <v>42</v>
      </c>
      <c r="U4750" s="102" t="s">
        <v>1334</v>
      </c>
      <c r="V4750" s="101">
        <v>45247</v>
      </c>
      <c r="W4750" s="17" t="s">
        <v>69</v>
      </c>
      <c r="X4750" s="17"/>
      <c r="Y4750" s="68">
        <v>45292</v>
      </c>
      <c r="Z4750" s="17" t="s">
        <v>191</v>
      </c>
      <c r="AA4750" s="17" t="s">
        <v>46</v>
      </c>
      <c r="AB4750" s="17" t="s">
        <v>1340</v>
      </c>
      <c r="AC4750" s="217">
        <v>45498</v>
      </c>
      <c r="AD4750" s="65">
        <v>1603</v>
      </c>
      <c r="AE4750" s="17" t="s">
        <v>74</v>
      </c>
      <c r="AF4750" s="17"/>
      <c r="AG4750" s="17"/>
      <c r="AH4750" s="17"/>
      <c r="AI4750" s="17"/>
      <c r="AJ4750" s="17"/>
      <c r="AK4750" s="17"/>
      <c r="AL4750" s="17"/>
      <c r="AM4750" s="17"/>
      <c r="AN4750" s="17"/>
      <c r="AO4750" s="17"/>
      <c r="AP4750" s="17"/>
      <c r="AQ4750" s="17"/>
      <c r="AR4750" s="17"/>
    </row>
    <row r="4751" s="21" customFormat="1" ht="15.6" hidden="1" spans="1:44">
      <c r="A4751" s="17" t="s">
        <v>34</v>
      </c>
      <c r="B4751" s="19">
        <v>957</v>
      </c>
      <c r="C4751" s="183">
        <v>45225</v>
      </c>
      <c r="D4751" s="17" t="s">
        <v>52</v>
      </c>
      <c r="E4751" s="17" t="s">
        <v>1113</v>
      </c>
      <c r="F4751" s="17" t="s">
        <v>54</v>
      </c>
      <c r="G4751" s="17"/>
      <c r="H4751" s="19" t="s">
        <v>1114</v>
      </c>
      <c r="I4751" s="19"/>
      <c r="J4751" s="17" t="s">
        <v>82</v>
      </c>
      <c r="K4751" s="19">
        <v>405</v>
      </c>
      <c r="L4751" s="19">
        <v>105</v>
      </c>
      <c r="M4751" s="19">
        <v>2200</v>
      </c>
      <c r="N4751" s="19" t="s">
        <v>66</v>
      </c>
      <c r="O4751" s="19" t="s">
        <v>141</v>
      </c>
      <c r="P4751" s="19"/>
      <c r="Q4751" s="146">
        <v>749</v>
      </c>
      <c r="R4751" s="19">
        <f>+P4749-Q4749-Q4750-Q4751</f>
        <v>-33</v>
      </c>
      <c r="S4751" s="274">
        <f>1030</f>
        <v>1030</v>
      </c>
      <c r="T4751" s="19" t="s">
        <v>42</v>
      </c>
      <c r="U4751" s="102" t="s">
        <v>1334</v>
      </c>
      <c r="V4751" s="101">
        <v>45247</v>
      </c>
      <c r="W4751" s="17" t="s">
        <v>69</v>
      </c>
      <c r="X4751" s="17"/>
      <c r="Y4751" s="68">
        <v>45292</v>
      </c>
      <c r="Z4751" s="17" t="s">
        <v>191</v>
      </c>
      <c r="AA4751" s="17" t="s">
        <v>46</v>
      </c>
      <c r="AB4751" s="17" t="s">
        <v>1351</v>
      </c>
      <c r="AC4751" s="66">
        <v>45516</v>
      </c>
      <c r="AD4751" s="65">
        <v>1615</v>
      </c>
      <c r="AE4751" s="17" t="s">
        <v>74</v>
      </c>
      <c r="AF4751" s="17"/>
      <c r="AG4751" s="17"/>
      <c r="AH4751" s="17"/>
      <c r="AI4751" s="17"/>
      <c r="AJ4751" s="17"/>
      <c r="AK4751" s="17"/>
      <c r="AL4751" s="17"/>
      <c r="AM4751" s="17"/>
      <c r="AN4751" s="17"/>
      <c r="AO4751" s="17"/>
      <c r="AP4751" s="17"/>
      <c r="AQ4751" s="17"/>
      <c r="AR4751" s="17"/>
    </row>
    <row r="4752" s="21" customFormat="1" ht="15.6" hidden="1" spans="1:44">
      <c r="A4752" s="17" t="s">
        <v>34</v>
      </c>
      <c r="B4752" s="19">
        <v>957</v>
      </c>
      <c r="C4752" s="183">
        <v>45225</v>
      </c>
      <c r="D4752" s="17" t="s">
        <v>52</v>
      </c>
      <c r="E4752" s="17" t="s">
        <v>1113</v>
      </c>
      <c r="F4752" s="17" t="s">
        <v>54</v>
      </c>
      <c r="G4752" s="17"/>
      <c r="H4752" s="19" t="s">
        <v>1114</v>
      </c>
      <c r="I4752" s="19"/>
      <c r="J4752" s="17" t="s">
        <v>82</v>
      </c>
      <c r="K4752" s="19">
        <v>280</v>
      </c>
      <c r="L4752" s="19">
        <v>50</v>
      </c>
      <c r="M4752" s="19">
        <v>2200</v>
      </c>
      <c r="N4752" s="19" t="s">
        <v>66</v>
      </c>
      <c r="O4752" s="19" t="s">
        <v>141</v>
      </c>
      <c r="P4752" s="19">
        <v>495</v>
      </c>
      <c r="Q4752" s="19">
        <v>255</v>
      </c>
      <c r="S4752" s="274">
        <f>1070-40</f>
        <v>1030</v>
      </c>
      <c r="T4752" s="19" t="s">
        <v>42</v>
      </c>
      <c r="U4752" s="102" t="s">
        <v>1334</v>
      </c>
      <c r="V4752" s="101">
        <v>45247</v>
      </c>
      <c r="W4752" s="17" t="s">
        <v>44</v>
      </c>
      <c r="X4752" s="17"/>
      <c r="Y4752" s="68">
        <v>45292</v>
      </c>
      <c r="Z4752" s="17" t="s">
        <v>191</v>
      </c>
      <c r="AA4752" s="17" t="s">
        <v>46</v>
      </c>
      <c r="AB4752" s="17" t="s">
        <v>1342</v>
      </c>
      <c r="AC4752" s="217">
        <v>45394</v>
      </c>
      <c r="AD4752" s="65">
        <v>1555</v>
      </c>
      <c r="AE4752" s="17" t="s">
        <v>48</v>
      </c>
      <c r="AF4752" s="17"/>
      <c r="AG4752" s="17"/>
      <c r="AH4752" s="17"/>
      <c r="AI4752" s="17"/>
      <c r="AJ4752" s="17"/>
      <c r="AK4752" s="17"/>
      <c r="AL4752" s="17"/>
      <c r="AM4752" s="17"/>
      <c r="AN4752" s="17"/>
      <c r="AO4752" s="17"/>
      <c r="AP4752" s="17"/>
      <c r="AQ4752" s="17"/>
      <c r="AR4752" s="17"/>
    </row>
    <row r="4753" s="21" customFormat="1" ht="15.6" hidden="1" spans="1:44">
      <c r="A4753" s="17" t="s">
        <v>34</v>
      </c>
      <c r="B4753" s="19">
        <v>957</v>
      </c>
      <c r="C4753" s="183">
        <v>45225</v>
      </c>
      <c r="D4753" s="17" t="s">
        <v>52</v>
      </c>
      <c r="E4753" s="17" t="s">
        <v>1113</v>
      </c>
      <c r="F4753" s="17" t="s">
        <v>54</v>
      </c>
      <c r="G4753" s="17"/>
      <c r="H4753" s="19" t="s">
        <v>1114</v>
      </c>
      <c r="I4753" s="19"/>
      <c r="J4753" s="17" t="s">
        <v>82</v>
      </c>
      <c r="K4753" s="19">
        <v>280</v>
      </c>
      <c r="L4753" s="19">
        <v>50</v>
      </c>
      <c r="M4753" s="19">
        <v>2200</v>
      </c>
      <c r="N4753" s="19" t="s">
        <v>66</v>
      </c>
      <c r="O4753" s="19" t="s">
        <v>141</v>
      </c>
      <c r="P4753" s="19"/>
      <c r="Q4753" s="19">
        <v>262</v>
      </c>
      <c r="R4753" s="242">
        <f>+P4752-Q4752-Q4753</f>
        <v>-22</v>
      </c>
      <c r="S4753" s="274">
        <f>1070-40</f>
        <v>1030</v>
      </c>
      <c r="T4753" s="19" t="s">
        <v>42</v>
      </c>
      <c r="U4753" s="102" t="s">
        <v>1334</v>
      </c>
      <c r="V4753" s="101">
        <v>45247</v>
      </c>
      <c r="W4753" s="17" t="s">
        <v>69</v>
      </c>
      <c r="X4753" s="17"/>
      <c r="Y4753" s="68">
        <v>45292</v>
      </c>
      <c r="Z4753" s="17" t="s">
        <v>191</v>
      </c>
      <c r="AA4753" s="17" t="s">
        <v>46</v>
      </c>
      <c r="AB4753" s="17" t="s">
        <v>1351</v>
      </c>
      <c r="AC4753" s="66">
        <v>45516</v>
      </c>
      <c r="AD4753" s="65">
        <v>1615</v>
      </c>
      <c r="AE4753" s="17" t="s">
        <v>48</v>
      </c>
      <c r="AF4753" s="17"/>
      <c r="AG4753" s="17"/>
      <c r="AH4753" s="17"/>
      <c r="AI4753" s="17"/>
      <c r="AJ4753" s="17"/>
      <c r="AK4753" s="17"/>
      <c r="AL4753" s="17"/>
      <c r="AM4753" s="17"/>
      <c r="AN4753" s="17"/>
      <c r="AO4753" s="17"/>
      <c r="AP4753" s="17"/>
      <c r="AQ4753" s="17"/>
      <c r="AR4753" s="17"/>
    </row>
    <row r="4754" s="21" customFormat="1" ht="15.6" hidden="1" spans="1:44">
      <c r="A4754" s="17" t="s">
        <v>34</v>
      </c>
      <c r="B4754" s="19">
        <v>957</v>
      </c>
      <c r="C4754" s="183">
        <v>45225</v>
      </c>
      <c r="D4754" s="17" t="s">
        <v>52</v>
      </c>
      <c r="E4754" s="17" t="s">
        <v>1113</v>
      </c>
      <c r="F4754" s="17" t="s">
        <v>54</v>
      </c>
      <c r="G4754" s="17"/>
      <c r="H4754" s="19" t="s">
        <v>1114</v>
      </c>
      <c r="I4754" s="19"/>
      <c r="J4754" s="17" t="s">
        <v>82</v>
      </c>
      <c r="K4754" s="19">
        <v>510</v>
      </c>
      <c r="L4754" s="19">
        <v>50</v>
      </c>
      <c r="M4754" s="19">
        <v>2200</v>
      </c>
      <c r="N4754" s="19" t="s">
        <v>66</v>
      </c>
      <c r="O4754" s="19" t="s">
        <v>141</v>
      </c>
      <c r="P4754" s="19">
        <f>4950-4500</f>
        <v>450</v>
      </c>
      <c r="Q4754" s="19">
        <v>466</v>
      </c>
      <c r="R4754" s="19">
        <f>+P4754-Q4754</f>
        <v>-16</v>
      </c>
      <c r="S4754" s="274">
        <f>1030+80</f>
        <v>1110</v>
      </c>
      <c r="T4754" s="19" t="s">
        <v>42</v>
      </c>
      <c r="U4754" s="102" t="s">
        <v>1334</v>
      </c>
      <c r="V4754" s="101">
        <v>45247</v>
      </c>
      <c r="W4754" s="17" t="s">
        <v>69</v>
      </c>
      <c r="X4754" s="17"/>
      <c r="Y4754" s="68">
        <v>45292</v>
      </c>
      <c r="Z4754" s="17" t="s">
        <v>191</v>
      </c>
      <c r="AA4754" s="17" t="s">
        <v>46</v>
      </c>
      <c r="AB4754" s="17" t="s">
        <v>1352</v>
      </c>
      <c r="AC4754" s="217">
        <v>45531</v>
      </c>
      <c r="AD4754" s="65">
        <v>1623</v>
      </c>
      <c r="AE4754" s="17" t="s">
        <v>48</v>
      </c>
      <c r="AF4754" s="17"/>
      <c r="AG4754" s="17"/>
      <c r="AH4754" s="17"/>
      <c r="AI4754" s="17"/>
      <c r="AJ4754" s="17"/>
      <c r="AK4754" s="17"/>
      <c r="AL4754" s="17"/>
      <c r="AM4754" s="17"/>
      <c r="AN4754" s="17"/>
      <c r="AO4754" s="17"/>
      <c r="AP4754" s="17"/>
      <c r="AQ4754" s="17"/>
      <c r="AR4754" s="17"/>
    </row>
    <row r="4755" s="21" customFormat="1" ht="15.6" hidden="1" spans="1:44">
      <c r="A4755" s="17" t="s">
        <v>34</v>
      </c>
      <c r="B4755" s="19">
        <v>957</v>
      </c>
      <c r="C4755" s="183">
        <v>45225</v>
      </c>
      <c r="D4755" s="17" t="s">
        <v>52</v>
      </c>
      <c r="E4755" s="17" t="s">
        <v>1113</v>
      </c>
      <c r="F4755" s="17" t="s">
        <v>54</v>
      </c>
      <c r="G4755" s="17"/>
      <c r="H4755" s="19" t="s">
        <v>1114</v>
      </c>
      <c r="I4755" s="19"/>
      <c r="J4755" s="17" t="s">
        <v>82</v>
      </c>
      <c r="K4755" s="19">
        <v>715</v>
      </c>
      <c r="L4755" s="19">
        <v>50</v>
      </c>
      <c r="M4755" s="19">
        <v>2200</v>
      </c>
      <c r="N4755" s="19" t="s">
        <v>66</v>
      </c>
      <c r="O4755" s="19" t="s">
        <v>141</v>
      </c>
      <c r="P4755" s="19">
        <v>1263</v>
      </c>
      <c r="Q4755" s="19">
        <v>1249</v>
      </c>
      <c r="R4755" s="19">
        <f>+P4755-Q4755</f>
        <v>14</v>
      </c>
      <c r="S4755" s="274">
        <f>1070-40</f>
        <v>1030</v>
      </c>
      <c r="T4755" s="19" t="s">
        <v>42</v>
      </c>
      <c r="U4755" s="102" t="s">
        <v>1334</v>
      </c>
      <c r="V4755" s="101">
        <v>45247</v>
      </c>
      <c r="W4755" s="17" t="s">
        <v>69</v>
      </c>
      <c r="X4755" s="17"/>
      <c r="Y4755" s="68">
        <v>45292</v>
      </c>
      <c r="Z4755" s="17" t="s">
        <v>191</v>
      </c>
      <c r="AA4755" s="17" t="s">
        <v>46</v>
      </c>
      <c r="AB4755" s="17" t="s">
        <v>1351</v>
      </c>
      <c r="AC4755" s="66">
        <v>45516</v>
      </c>
      <c r="AD4755" s="65">
        <v>1615</v>
      </c>
      <c r="AE4755" s="17" t="s">
        <v>48</v>
      </c>
      <c r="AF4755" s="17"/>
      <c r="AG4755" s="17"/>
      <c r="AH4755" s="17"/>
      <c r="AI4755" s="17"/>
      <c r="AJ4755" s="17"/>
      <c r="AK4755" s="17"/>
      <c r="AL4755" s="17"/>
      <c r="AM4755" s="17"/>
      <c r="AN4755" s="17"/>
      <c r="AO4755" s="17"/>
      <c r="AP4755" s="17"/>
      <c r="AQ4755" s="17"/>
      <c r="AR4755" s="17"/>
    </row>
    <row r="4756" s="21" customFormat="1" ht="15.6" hidden="1" spans="1:44">
      <c r="A4756" s="17" t="s">
        <v>34</v>
      </c>
      <c r="B4756" s="19">
        <v>957</v>
      </c>
      <c r="C4756" s="183">
        <v>45225</v>
      </c>
      <c r="D4756" s="17" t="s">
        <v>52</v>
      </c>
      <c r="E4756" s="17" t="s">
        <v>1113</v>
      </c>
      <c r="F4756" s="17" t="s">
        <v>54</v>
      </c>
      <c r="G4756" s="17"/>
      <c r="H4756" s="19" t="s">
        <v>1114</v>
      </c>
      <c r="I4756" s="19"/>
      <c r="J4756" s="17" t="s">
        <v>82</v>
      </c>
      <c r="K4756" s="19">
        <v>230</v>
      </c>
      <c r="L4756" s="19">
        <v>80</v>
      </c>
      <c r="M4756" s="19">
        <v>2200</v>
      </c>
      <c r="N4756" s="19" t="s">
        <v>66</v>
      </c>
      <c r="O4756" s="19" t="s">
        <v>141</v>
      </c>
      <c r="P4756" s="19">
        <v>650</v>
      </c>
      <c r="Q4756" s="19">
        <v>663</v>
      </c>
      <c r="R4756" s="19">
        <f>+P4756-Q4756</f>
        <v>-13</v>
      </c>
      <c r="S4756" s="274">
        <f>1030+80</f>
        <v>1110</v>
      </c>
      <c r="T4756" s="19" t="s">
        <v>42</v>
      </c>
      <c r="U4756" s="102" t="s">
        <v>1334</v>
      </c>
      <c r="V4756" s="101">
        <v>45247</v>
      </c>
      <c r="W4756" s="17" t="s">
        <v>69</v>
      </c>
      <c r="X4756" s="17"/>
      <c r="Y4756" s="68">
        <v>45292</v>
      </c>
      <c r="Z4756" s="17" t="s">
        <v>191</v>
      </c>
      <c r="AA4756" s="17" t="s">
        <v>46</v>
      </c>
      <c r="AB4756" s="17" t="s">
        <v>1352</v>
      </c>
      <c r="AC4756" s="217">
        <v>45531</v>
      </c>
      <c r="AD4756" s="65">
        <v>1623</v>
      </c>
      <c r="AE4756" s="17" t="s">
        <v>48</v>
      </c>
      <c r="AF4756" s="17"/>
      <c r="AG4756" s="17"/>
      <c r="AH4756" s="17"/>
      <c r="AI4756" s="17"/>
      <c r="AJ4756" s="17"/>
      <c r="AK4756" s="17"/>
      <c r="AL4756" s="17"/>
      <c r="AM4756" s="17"/>
      <c r="AN4756" s="17"/>
      <c r="AO4756" s="17"/>
      <c r="AP4756" s="17"/>
      <c r="AQ4756" s="17"/>
      <c r="AR4756" s="17"/>
    </row>
    <row r="4757" s="21" customFormat="1" ht="15.6" hidden="1" spans="1:44">
      <c r="A4757" s="17" t="s">
        <v>34</v>
      </c>
      <c r="B4757" s="19">
        <v>957</v>
      </c>
      <c r="C4757" s="183">
        <v>45225</v>
      </c>
      <c r="D4757" s="17" t="s">
        <v>52</v>
      </c>
      <c r="E4757" s="17" t="s">
        <v>1113</v>
      </c>
      <c r="F4757" s="17" t="s">
        <v>54</v>
      </c>
      <c r="G4757" s="17"/>
      <c r="H4757" s="19" t="s">
        <v>1114</v>
      </c>
      <c r="I4757" s="19"/>
      <c r="J4757" s="17" t="s">
        <v>82</v>
      </c>
      <c r="K4757" s="19">
        <v>280</v>
      </c>
      <c r="L4757" s="19">
        <v>80</v>
      </c>
      <c r="M4757" s="19">
        <v>2200</v>
      </c>
      <c r="N4757" s="19" t="s">
        <v>66</v>
      </c>
      <c r="O4757" s="19" t="s">
        <v>141</v>
      </c>
      <c r="P4757" s="19">
        <v>791</v>
      </c>
      <c r="Q4757" s="19">
        <v>804</v>
      </c>
      <c r="R4757" s="19">
        <f>+P4757-Q4757</f>
        <v>-13</v>
      </c>
      <c r="S4757" s="274">
        <f>1030+80</f>
        <v>1110</v>
      </c>
      <c r="T4757" s="19" t="s">
        <v>42</v>
      </c>
      <c r="U4757" s="102" t="s">
        <v>1334</v>
      </c>
      <c r="V4757" s="101">
        <v>45247</v>
      </c>
      <c r="W4757" s="17" t="s">
        <v>69</v>
      </c>
      <c r="X4757" s="17"/>
      <c r="Y4757" s="68">
        <v>45292</v>
      </c>
      <c r="Z4757" s="17" t="s">
        <v>191</v>
      </c>
      <c r="AA4757" s="17" t="s">
        <v>46</v>
      </c>
      <c r="AB4757" s="17" t="s">
        <v>1352</v>
      </c>
      <c r="AC4757" s="217">
        <v>45531</v>
      </c>
      <c r="AD4757" s="65">
        <v>1623</v>
      </c>
      <c r="AE4757" s="17" t="s">
        <v>48</v>
      </c>
      <c r="AF4757" s="17"/>
      <c r="AG4757" s="17"/>
      <c r="AH4757" s="17"/>
      <c r="AI4757" s="17"/>
      <c r="AJ4757" s="17"/>
      <c r="AK4757" s="17"/>
      <c r="AL4757" s="17"/>
      <c r="AM4757" s="17"/>
      <c r="AN4757" s="17"/>
      <c r="AO4757" s="17"/>
      <c r="AP4757" s="17"/>
      <c r="AQ4757" s="17"/>
      <c r="AR4757" s="17"/>
    </row>
    <row r="4758" s="21" customFormat="1" hidden="1" spans="1:44">
      <c r="A4758" s="17" t="s">
        <v>34</v>
      </c>
      <c r="B4758" s="19">
        <v>957</v>
      </c>
      <c r="C4758" s="183">
        <v>45225</v>
      </c>
      <c r="D4758" s="17" t="s">
        <v>52</v>
      </c>
      <c r="E4758" s="17" t="s">
        <v>1113</v>
      </c>
      <c r="F4758" s="17" t="s">
        <v>54</v>
      </c>
      <c r="G4758" s="17"/>
      <c r="H4758" s="124" t="s">
        <v>1114</v>
      </c>
      <c r="I4758" s="124"/>
      <c r="J4758" s="17" t="s">
        <v>49</v>
      </c>
      <c r="K4758" s="295">
        <v>2200</v>
      </c>
      <c r="L4758" s="295">
        <v>32</v>
      </c>
      <c r="M4758" s="19">
        <v>5800</v>
      </c>
      <c r="N4758" s="19" t="s">
        <v>66</v>
      </c>
      <c r="O4758" s="19" t="s">
        <v>141</v>
      </c>
      <c r="P4758" s="91">
        <v>22106</v>
      </c>
      <c r="Q4758" s="23">
        <f>3115+2355</f>
        <v>5470</v>
      </c>
      <c r="R4758" s="254"/>
      <c r="S4758" s="19">
        <f>1010+60</f>
        <v>1070</v>
      </c>
      <c r="T4758" s="19" t="s">
        <v>42</v>
      </c>
      <c r="U4758" s="102" t="s">
        <v>1334</v>
      </c>
      <c r="V4758" s="101">
        <v>45247</v>
      </c>
      <c r="W4758" s="17" t="s">
        <v>69</v>
      </c>
      <c r="X4758" s="17"/>
      <c r="Y4758" s="68">
        <v>45292</v>
      </c>
      <c r="Z4758" s="17" t="s">
        <v>191</v>
      </c>
      <c r="AA4758" s="17" t="s">
        <v>46</v>
      </c>
      <c r="AB4758" s="17" t="s">
        <v>1353</v>
      </c>
      <c r="AC4758" s="217">
        <v>45442</v>
      </c>
      <c r="AD4758" s="65">
        <v>1579</v>
      </c>
      <c r="AE4758" s="17" t="s">
        <v>48</v>
      </c>
      <c r="AF4758" s="17"/>
      <c r="AG4758" s="17"/>
      <c r="AH4758" s="17"/>
      <c r="AI4758" s="17"/>
      <c r="AJ4758" s="17"/>
      <c r="AK4758" s="17"/>
      <c r="AL4758" s="17"/>
      <c r="AM4758" s="17"/>
      <c r="AN4758" s="17"/>
      <c r="AO4758" s="17"/>
      <c r="AP4758" s="17"/>
      <c r="AQ4758" s="17"/>
      <c r="AR4758" s="17"/>
    </row>
    <row r="4759" s="21" customFormat="1" hidden="1" spans="1:44">
      <c r="A4759" s="17" t="s">
        <v>34</v>
      </c>
      <c r="B4759" s="19">
        <v>957</v>
      </c>
      <c r="C4759" s="183">
        <v>45225</v>
      </c>
      <c r="D4759" s="17" t="s">
        <v>52</v>
      </c>
      <c r="E4759" s="17" t="s">
        <v>1113</v>
      </c>
      <c r="F4759" s="17" t="s">
        <v>54</v>
      </c>
      <c r="G4759" s="17"/>
      <c r="H4759" s="124" t="s">
        <v>1114</v>
      </c>
      <c r="I4759" s="124"/>
      <c r="J4759" s="17" t="s">
        <v>49</v>
      </c>
      <c r="K4759" s="295">
        <v>2200</v>
      </c>
      <c r="L4759" s="295">
        <v>32</v>
      </c>
      <c r="M4759" s="19">
        <v>5800</v>
      </c>
      <c r="N4759" s="19" t="s">
        <v>66</v>
      </c>
      <c r="O4759" s="19" t="s">
        <v>141</v>
      </c>
      <c r="P4759" s="91"/>
      <c r="Q4759" s="91">
        <v>2590</v>
      </c>
      <c r="S4759" s="19">
        <f>1010+60</f>
        <v>1070</v>
      </c>
      <c r="T4759" s="19" t="s">
        <v>42</v>
      </c>
      <c r="U4759" s="102" t="s">
        <v>1334</v>
      </c>
      <c r="V4759" s="101">
        <v>45247</v>
      </c>
      <c r="W4759" s="17" t="s">
        <v>69</v>
      </c>
      <c r="X4759" s="17"/>
      <c r="Y4759" s="68">
        <v>45292</v>
      </c>
      <c r="Z4759" s="17" t="s">
        <v>191</v>
      </c>
      <c r="AA4759" s="17" t="s">
        <v>46</v>
      </c>
      <c r="AB4759" s="17" t="s">
        <v>1335</v>
      </c>
      <c r="AC4759" s="217">
        <v>45443</v>
      </c>
      <c r="AD4759" s="65">
        <v>1581</v>
      </c>
      <c r="AE4759" s="17" t="s">
        <v>48</v>
      </c>
      <c r="AF4759" s="17"/>
      <c r="AG4759" s="17"/>
      <c r="AH4759" s="17"/>
      <c r="AI4759" s="17"/>
      <c r="AJ4759" s="17"/>
      <c r="AK4759" s="17"/>
      <c r="AL4759" s="17"/>
      <c r="AM4759" s="17"/>
      <c r="AN4759" s="17"/>
      <c r="AO4759" s="17"/>
      <c r="AP4759" s="17"/>
      <c r="AQ4759" s="17"/>
      <c r="AR4759" s="17"/>
    </row>
    <row r="4760" s="21" customFormat="1" hidden="1" spans="1:44">
      <c r="A4760" s="17" t="s">
        <v>34</v>
      </c>
      <c r="B4760" s="19">
        <v>957</v>
      </c>
      <c r="C4760" s="183">
        <v>45225</v>
      </c>
      <c r="D4760" s="17" t="s">
        <v>52</v>
      </c>
      <c r="E4760" s="17" t="s">
        <v>1113</v>
      </c>
      <c r="F4760" s="17" t="s">
        <v>54</v>
      </c>
      <c r="G4760" s="17"/>
      <c r="H4760" s="124" t="s">
        <v>1114</v>
      </c>
      <c r="I4760" s="124"/>
      <c r="J4760" s="17" t="s">
        <v>49</v>
      </c>
      <c r="K4760" s="295">
        <v>2200</v>
      </c>
      <c r="L4760" s="295">
        <v>30</v>
      </c>
      <c r="M4760" s="19">
        <v>5800</v>
      </c>
      <c r="N4760" s="19" t="s">
        <v>66</v>
      </c>
      <c r="O4760" s="19" t="s">
        <v>141</v>
      </c>
      <c r="P4760" s="91"/>
      <c r="Q4760" s="91">
        <f>2271+2290</f>
        <v>4561</v>
      </c>
      <c r="S4760" s="19">
        <f>1010+80</f>
        <v>1090</v>
      </c>
      <c r="T4760" s="19" t="s">
        <v>42</v>
      </c>
      <c r="U4760" s="102" t="s">
        <v>1334</v>
      </c>
      <c r="V4760" s="101">
        <v>45247</v>
      </c>
      <c r="W4760" s="17" t="s">
        <v>69</v>
      </c>
      <c r="X4760" s="17"/>
      <c r="Y4760" s="68">
        <v>45292</v>
      </c>
      <c r="Z4760" s="17" t="s">
        <v>191</v>
      </c>
      <c r="AA4760" s="17" t="s">
        <v>46</v>
      </c>
      <c r="AB4760" s="17" t="s">
        <v>1344</v>
      </c>
      <c r="AC4760" s="217">
        <v>45495</v>
      </c>
      <c r="AD4760" s="65">
        <v>1599</v>
      </c>
      <c r="AE4760" s="17" t="s">
        <v>48</v>
      </c>
      <c r="AF4760" s="17"/>
      <c r="AG4760" s="17"/>
      <c r="AH4760" s="17"/>
      <c r="AI4760" s="17"/>
      <c r="AJ4760" s="17"/>
      <c r="AK4760" s="17"/>
      <c r="AL4760" s="17"/>
      <c r="AM4760" s="17"/>
      <c r="AN4760" s="17"/>
      <c r="AO4760" s="17"/>
      <c r="AP4760" s="17"/>
      <c r="AQ4760" s="17"/>
      <c r="AR4760" s="17"/>
    </row>
    <row r="4761" s="21" customFormat="1" hidden="1" spans="1:44">
      <c r="A4761" s="17" t="s">
        <v>34</v>
      </c>
      <c r="B4761" s="19">
        <v>957</v>
      </c>
      <c r="C4761" s="183">
        <v>45225</v>
      </c>
      <c r="D4761" s="17" t="s">
        <v>52</v>
      </c>
      <c r="E4761" s="17" t="s">
        <v>1113</v>
      </c>
      <c r="F4761" s="17" t="s">
        <v>54</v>
      </c>
      <c r="G4761" s="17"/>
      <c r="H4761" s="124" t="s">
        <v>1114</v>
      </c>
      <c r="I4761" s="124"/>
      <c r="J4761" s="17" t="s">
        <v>49</v>
      </c>
      <c r="K4761" s="295">
        <v>2270</v>
      </c>
      <c r="L4761" s="295">
        <v>32</v>
      </c>
      <c r="M4761" s="19">
        <v>5650</v>
      </c>
      <c r="N4761" s="19" t="s">
        <v>66</v>
      </c>
      <c r="O4761" s="19" t="s">
        <v>141</v>
      </c>
      <c r="P4761" s="91"/>
      <c r="Q4761" s="91">
        <f>3168+3168+3219</f>
        <v>9555</v>
      </c>
      <c r="R4761" s="19">
        <f>+P4758-Q4758-Q4759-Q4760-Q4761</f>
        <v>-70</v>
      </c>
      <c r="S4761" s="19">
        <f>1010</f>
        <v>1010</v>
      </c>
      <c r="T4761" s="19" t="s">
        <v>42</v>
      </c>
      <c r="U4761" s="102" t="s">
        <v>1334</v>
      </c>
      <c r="V4761" s="101">
        <v>45247</v>
      </c>
      <c r="W4761" s="17" t="s">
        <v>69</v>
      </c>
      <c r="X4761" s="17"/>
      <c r="Y4761" s="68">
        <v>45292</v>
      </c>
      <c r="Z4761" s="17" t="s">
        <v>191</v>
      </c>
      <c r="AA4761" s="17" t="s">
        <v>46</v>
      </c>
      <c r="AB4761" s="17" t="s">
        <v>1351</v>
      </c>
      <c r="AC4761" s="66">
        <v>45516</v>
      </c>
      <c r="AD4761" s="65">
        <v>1615</v>
      </c>
      <c r="AE4761" s="17" t="s">
        <v>48</v>
      </c>
      <c r="AF4761" s="17"/>
      <c r="AG4761" s="17"/>
      <c r="AH4761" s="17"/>
      <c r="AI4761" s="17"/>
      <c r="AJ4761" s="17"/>
      <c r="AK4761" s="17"/>
      <c r="AL4761" s="17"/>
      <c r="AM4761" s="17"/>
      <c r="AN4761" s="17"/>
      <c r="AO4761" s="17"/>
      <c r="AP4761" s="17"/>
      <c r="AQ4761" s="17"/>
      <c r="AR4761" s="17"/>
    </row>
    <row r="4762" s="21" customFormat="1" hidden="1" spans="1:44">
      <c r="A4762" s="17" t="s">
        <v>34</v>
      </c>
      <c r="B4762" s="19">
        <v>957</v>
      </c>
      <c r="C4762" s="183">
        <v>45225</v>
      </c>
      <c r="D4762" s="17" t="s">
        <v>52</v>
      </c>
      <c r="E4762" s="17" t="s">
        <v>1113</v>
      </c>
      <c r="F4762" s="17" t="s">
        <v>54</v>
      </c>
      <c r="G4762" s="17"/>
      <c r="H4762" s="124" t="s">
        <v>1114</v>
      </c>
      <c r="I4762" s="124"/>
      <c r="J4762" s="17" t="s">
        <v>49</v>
      </c>
      <c r="K4762" s="295">
        <v>2200</v>
      </c>
      <c r="L4762" s="295">
        <v>65</v>
      </c>
      <c r="M4762" s="19">
        <v>5800</v>
      </c>
      <c r="N4762" s="19" t="s">
        <v>66</v>
      </c>
      <c r="O4762" s="19" t="s">
        <v>141</v>
      </c>
      <c r="P4762" s="91">
        <f>22451-7344</f>
        <v>15107</v>
      </c>
      <c r="Q4762" s="23">
        <f>5300+5390</f>
        <v>10690</v>
      </c>
      <c r="S4762" s="242">
        <f>1010+80-20</f>
        <v>1070</v>
      </c>
      <c r="T4762" s="19" t="s">
        <v>42</v>
      </c>
      <c r="U4762" s="102" t="s">
        <v>1334</v>
      </c>
      <c r="V4762" s="101">
        <v>45247</v>
      </c>
      <c r="W4762" s="17" t="s">
        <v>69</v>
      </c>
      <c r="X4762" s="17"/>
      <c r="Y4762" s="68">
        <v>45292</v>
      </c>
      <c r="Z4762" s="17" t="s">
        <v>191</v>
      </c>
      <c r="AA4762" s="17" t="s">
        <v>46</v>
      </c>
      <c r="AB4762" s="17" t="s">
        <v>1352</v>
      </c>
      <c r="AC4762" s="217">
        <v>45531</v>
      </c>
      <c r="AD4762" s="65">
        <v>1623</v>
      </c>
      <c r="AE4762" s="17" t="s">
        <v>48</v>
      </c>
      <c r="AF4762" s="17"/>
      <c r="AG4762" s="17"/>
      <c r="AH4762" s="17"/>
      <c r="AI4762" s="17"/>
      <c r="AJ4762" s="17"/>
      <c r="AK4762" s="17"/>
      <c r="AL4762" s="17"/>
      <c r="AM4762" s="17"/>
      <c r="AN4762" s="17"/>
      <c r="AO4762" s="17"/>
      <c r="AP4762" s="17"/>
      <c r="AQ4762" s="17"/>
      <c r="AR4762" s="17"/>
    </row>
    <row r="4763" s="21" customFormat="1" hidden="1" spans="1:44">
      <c r="A4763" s="17"/>
      <c r="B4763" s="19">
        <v>957</v>
      </c>
      <c r="C4763" s="183">
        <v>45225</v>
      </c>
      <c r="D4763" s="17" t="s">
        <v>52</v>
      </c>
      <c r="E4763" s="17" t="s">
        <v>1113</v>
      </c>
      <c r="F4763" s="17" t="s">
        <v>54</v>
      </c>
      <c r="G4763" s="17"/>
      <c r="H4763" s="124" t="s">
        <v>1114</v>
      </c>
      <c r="I4763" s="124"/>
      <c r="J4763" s="17" t="s">
        <v>49</v>
      </c>
      <c r="K4763" s="295">
        <v>2200</v>
      </c>
      <c r="L4763" s="295">
        <v>65</v>
      </c>
      <c r="M4763" s="19">
        <v>5800</v>
      </c>
      <c r="N4763" s="19" t="s">
        <v>66</v>
      </c>
      <c r="O4763" s="19" t="s">
        <v>141</v>
      </c>
      <c r="P4763" s="91"/>
      <c r="Q4763" s="23"/>
      <c r="R4763" s="75">
        <f>+P4762-Q4762</f>
        <v>4417</v>
      </c>
      <c r="S4763" s="242">
        <f>1010+80-20</f>
        <v>1070</v>
      </c>
      <c r="T4763" s="19" t="s">
        <v>42</v>
      </c>
      <c r="U4763" s="102" t="s">
        <v>1334</v>
      </c>
      <c r="V4763" s="101">
        <v>45247</v>
      </c>
      <c r="W4763" s="17" t="s">
        <v>69</v>
      </c>
      <c r="X4763" s="17"/>
      <c r="Y4763" s="68">
        <v>45292</v>
      </c>
      <c r="Z4763" s="17" t="s">
        <v>191</v>
      </c>
      <c r="AA4763" s="17" t="s">
        <v>46</v>
      </c>
      <c r="AB4763" s="17"/>
      <c r="AC4763" s="217"/>
      <c r="AD4763" s="65"/>
      <c r="AE4763" s="17" t="s">
        <v>48</v>
      </c>
      <c r="AF4763" s="17" t="s">
        <v>1354</v>
      </c>
      <c r="AG4763" s="17"/>
      <c r="AH4763" s="17"/>
      <c r="AI4763" s="17"/>
      <c r="AJ4763" s="17"/>
      <c r="AK4763" s="17"/>
      <c r="AL4763" s="17"/>
      <c r="AM4763" s="17"/>
      <c r="AN4763" s="17"/>
      <c r="AO4763" s="17"/>
      <c r="AP4763" s="17"/>
      <c r="AQ4763" s="17"/>
      <c r="AR4763" s="17"/>
    </row>
    <row r="4764" s="21" customFormat="1" hidden="1" spans="1:44">
      <c r="A4764" s="17" t="s">
        <v>34</v>
      </c>
      <c r="B4764" s="19">
        <v>957</v>
      </c>
      <c r="C4764" s="183">
        <v>45225</v>
      </c>
      <c r="D4764" s="17" t="s">
        <v>52</v>
      </c>
      <c r="E4764" s="17" t="s">
        <v>1113</v>
      </c>
      <c r="F4764" s="17" t="s">
        <v>54</v>
      </c>
      <c r="G4764" s="17"/>
      <c r="H4764" s="124" t="s">
        <v>1114</v>
      </c>
      <c r="I4764" s="124"/>
      <c r="J4764" s="17" t="s">
        <v>49</v>
      </c>
      <c r="K4764" s="295">
        <v>2200</v>
      </c>
      <c r="L4764" s="295">
        <v>80</v>
      </c>
      <c r="M4764" s="19">
        <v>5800</v>
      </c>
      <c r="N4764" s="19" t="s">
        <v>66</v>
      </c>
      <c r="O4764" s="19" t="s">
        <v>141</v>
      </c>
      <c r="P4764" s="91">
        <v>6908</v>
      </c>
      <c r="Q4764" s="23">
        <v>5820</v>
      </c>
      <c r="S4764" s="19">
        <v>1010</v>
      </c>
      <c r="T4764" s="19" t="s">
        <v>42</v>
      </c>
      <c r="U4764" s="102" t="s">
        <v>1334</v>
      </c>
      <c r="V4764" s="101">
        <v>45247</v>
      </c>
      <c r="W4764" s="17" t="s">
        <v>69</v>
      </c>
      <c r="X4764" s="17"/>
      <c r="Y4764" s="68">
        <v>45292</v>
      </c>
      <c r="Z4764" s="17" t="s">
        <v>191</v>
      </c>
      <c r="AA4764" s="17" t="s">
        <v>46</v>
      </c>
      <c r="AB4764" s="17" t="s">
        <v>1351</v>
      </c>
      <c r="AC4764" s="66">
        <v>45516</v>
      </c>
      <c r="AD4764" s="65">
        <v>1615</v>
      </c>
      <c r="AE4764" s="17" t="s">
        <v>48</v>
      </c>
      <c r="AF4764" s="17"/>
      <c r="AG4764" s="17"/>
      <c r="AH4764" s="17"/>
      <c r="AI4764" s="17"/>
      <c r="AJ4764" s="17"/>
      <c r="AK4764" s="17"/>
      <c r="AL4764" s="17"/>
      <c r="AM4764" s="17"/>
      <c r="AN4764" s="17"/>
      <c r="AO4764" s="17"/>
      <c r="AP4764" s="17"/>
      <c r="AQ4764" s="17"/>
      <c r="AR4764" s="17"/>
    </row>
    <row r="4765" s="21" customFormat="1" hidden="1" spans="1:44">
      <c r="A4765" s="17"/>
      <c r="B4765" s="19">
        <v>957</v>
      </c>
      <c r="C4765" s="183">
        <v>45225</v>
      </c>
      <c r="D4765" s="17" t="s">
        <v>52</v>
      </c>
      <c r="E4765" s="17" t="s">
        <v>1113</v>
      </c>
      <c r="F4765" s="17" t="s">
        <v>54</v>
      </c>
      <c r="G4765" s="17"/>
      <c r="H4765" s="124" t="s">
        <v>1114</v>
      </c>
      <c r="I4765" s="124"/>
      <c r="J4765" s="17" t="s">
        <v>49</v>
      </c>
      <c r="K4765" s="295">
        <v>2200</v>
      </c>
      <c r="L4765" s="295">
        <v>80</v>
      </c>
      <c r="M4765" s="19">
        <v>5800</v>
      </c>
      <c r="N4765" s="19" t="s">
        <v>66</v>
      </c>
      <c r="O4765" s="19" t="s">
        <v>141</v>
      </c>
      <c r="P4765" s="91"/>
      <c r="Q4765" s="23"/>
      <c r="R4765" s="75">
        <f>+P4764-Q4764</f>
        <v>1088</v>
      </c>
      <c r="S4765" s="19">
        <v>1010</v>
      </c>
      <c r="T4765" s="19" t="s">
        <v>42</v>
      </c>
      <c r="U4765" s="102" t="s">
        <v>1334</v>
      </c>
      <c r="V4765" s="101">
        <v>45247</v>
      </c>
      <c r="W4765" s="17" t="s">
        <v>69</v>
      </c>
      <c r="X4765" s="17"/>
      <c r="Y4765" s="68">
        <v>45292</v>
      </c>
      <c r="Z4765" s="17" t="s">
        <v>191</v>
      </c>
      <c r="AA4765" s="17" t="s">
        <v>46</v>
      </c>
      <c r="AB4765" s="17"/>
      <c r="AC4765" s="66"/>
      <c r="AD4765" s="65"/>
      <c r="AE4765" s="17" t="s">
        <v>48</v>
      </c>
      <c r="AF4765" s="17" t="s">
        <v>1354</v>
      </c>
      <c r="AG4765" s="17"/>
      <c r="AH4765" s="17"/>
      <c r="AI4765" s="17"/>
      <c r="AJ4765" s="17"/>
      <c r="AK4765" s="17"/>
      <c r="AL4765" s="17"/>
      <c r="AM4765" s="17"/>
      <c r="AN4765" s="17"/>
      <c r="AO4765" s="17"/>
      <c r="AP4765" s="17"/>
      <c r="AQ4765" s="17"/>
      <c r="AR4765" s="17"/>
    </row>
    <row r="4766" s="20" customFormat="1" hidden="1" spans="1:44">
      <c r="A4766" s="17" t="s">
        <v>34</v>
      </c>
      <c r="B4766" s="19">
        <v>958</v>
      </c>
      <c r="C4766" s="183">
        <v>45225</v>
      </c>
      <c r="D4766" s="17" t="s">
        <v>52</v>
      </c>
      <c r="E4766" s="17" t="s">
        <v>53</v>
      </c>
      <c r="F4766" s="17" t="s">
        <v>54</v>
      </c>
      <c r="G4766" s="17"/>
      <c r="H4766" s="124">
        <v>1.2344</v>
      </c>
      <c r="I4766" s="124"/>
      <c r="J4766" s="17" t="s">
        <v>82</v>
      </c>
      <c r="K4766" s="295">
        <v>255</v>
      </c>
      <c r="L4766" s="295">
        <v>40</v>
      </c>
      <c r="M4766" s="19">
        <v>5800</v>
      </c>
      <c r="N4766" s="19" t="s">
        <v>40</v>
      </c>
      <c r="O4766" s="19" t="s">
        <v>50</v>
      </c>
      <c r="P4766" s="19">
        <v>800</v>
      </c>
      <c r="Q4766" s="19">
        <f>329+314</f>
        <v>643</v>
      </c>
      <c r="R4766" s="19">
        <f t="shared" ref="R4766:R4771" si="222">+P4766-Q4766</f>
        <v>157</v>
      </c>
      <c r="S4766" s="19">
        <v>2300</v>
      </c>
      <c r="T4766" s="19" t="s">
        <v>42</v>
      </c>
      <c r="U4766" s="102" t="s">
        <v>1355</v>
      </c>
      <c r="V4766" s="101">
        <v>45225</v>
      </c>
      <c r="W4766" s="17" t="s">
        <v>58</v>
      </c>
      <c r="X4766" s="17"/>
      <c r="Y4766" s="68">
        <v>45283</v>
      </c>
      <c r="Z4766" s="17" t="s">
        <v>1326</v>
      </c>
      <c r="AA4766" s="17" t="s">
        <v>46</v>
      </c>
      <c r="AB4766" s="17" t="s">
        <v>1356</v>
      </c>
      <c r="AC4766" s="66">
        <v>45291</v>
      </c>
      <c r="AD4766" s="65">
        <v>1514</v>
      </c>
      <c r="AE4766" s="17" t="s">
        <v>48</v>
      </c>
      <c r="AF4766" s="17"/>
      <c r="AG4766" s="17"/>
      <c r="AH4766" s="17"/>
      <c r="AI4766" s="17"/>
      <c r="AJ4766" s="17"/>
      <c r="AK4766" s="17"/>
      <c r="AL4766" s="17"/>
      <c r="AM4766" s="17"/>
      <c r="AN4766" s="17"/>
      <c r="AO4766" s="17"/>
      <c r="AP4766" s="17"/>
      <c r="AQ4766" s="17"/>
      <c r="AR4766" s="17"/>
    </row>
    <row r="4767" s="20" customFormat="1" hidden="1" spans="1:44">
      <c r="A4767" s="17" t="s">
        <v>34</v>
      </c>
      <c r="B4767" s="19">
        <v>958</v>
      </c>
      <c r="C4767" s="183">
        <v>45225</v>
      </c>
      <c r="D4767" s="17" t="s">
        <v>52</v>
      </c>
      <c r="E4767" s="17" t="s">
        <v>53</v>
      </c>
      <c r="F4767" s="17" t="s">
        <v>54</v>
      </c>
      <c r="G4767" s="17"/>
      <c r="H4767" s="124">
        <v>1.2344</v>
      </c>
      <c r="I4767" s="124"/>
      <c r="J4767" s="17" t="s">
        <v>82</v>
      </c>
      <c r="K4767" s="295">
        <v>305</v>
      </c>
      <c r="L4767" s="295">
        <v>40</v>
      </c>
      <c r="M4767" s="19">
        <v>5800</v>
      </c>
      <c r="N4767" s="19" t="s">
        <v>40</v>
      </c>
      <c r="O4767" s="19" t="s">
        <v>50</v>
      </c>
      <c r="P4767" s="19">
        <v>1000</v>
      </c>
      <c r="Q4767" s="19">
        <f>433+414+430</f>
        <v>1277</v>
      </c>
      <c r="R4767" s="19">
        <f t="shared" si="222"/>
        <v>-277</v>
      </c>
      <c r="S4767" s="19">
        <v>2300</v>
      </c>
      <c r="T4767" s="19" t="s">
        <v>42</v>
      </c>
      <c r="U4767" s="102" t="s">
        <v>1355</v>
      </c>
      <c r="V4767" s="101">
        <v>45225</v>
      </c>
      <c r="W4767" s="17" t="s">
        <v>58</v>
      </c>
      <c r="X4767" s="17"/>
      <c r="Y4767" s="68">
        <v>45283</v>
      </c>
      <c r="Z4767" s="17" t="s">
        <v>1326</v>
      </c>
      <c r="AA4767" s="17" t="s">
        <v>46</v>
      </c>
      <c r="AB4767" s="17" t="s">
        <v>1356</v>
      </c>
      <c r="AC4767" s="66">
        <v>45291</v>
      </c>
      <c r="AD4767" s="65">
        <v>1514</v>
      </c>
      <c r="AE4767" s="17" t="s">
        <v>48</v>
      </c>
      <c r="AF4767" s="17"/>
      <c r="AG4767" s="17"/>
      <c r="AH4767" s="17"/>
      <c r="AI4767" s="17"/>
      <c r="AJ4767" s="17"/>
      <c r="AK4767" s="17"/>
      <c r="AL4767" s="17"/>
      <c r="AM4767" s="17"/>
      <c r="AN4767" s="17"/>
      <c r="AO4767" s="17"/>
      <c r="AP4767" s="17"/>
      <c r="AQ4767" s="17"/>
      <c r="AR4767" s="17"/>
    </row>
    <row r="4768" s="20" customFormat="1" hidden="1" spans="1:44">
      <c r="A4768" s="17" t="s">
        <v>34</v>
      </c>
      <c r="B4768" s="19">
        <v>958</v>
      </c>
      <c r="C4768" s="183">
        <v>45225</v>
      </c>
      <c r="D4768" s="17" t="s">
        <v>52</v>
      </c>
      <c r="E4768" s="17" t="s">
        <v>53</v>
      </c>
      <c r="F4768" s="17" t="s">
        <v>54</v>
      </c>
      <c r="G4768" s="17"/>
      <c r="H4768" s="124">
        <v>1.2344</v>
      </c>
      <c r="I4768" s="124"/>
      <c r="J4768" s="17" t="s">
        <v>82</v>
      </c>
      <c r="K4768" s="295">
        <v>405</v>
      </c>
      <c r="L4768" s="295">
        <v>40</v>
      </c>
      <c r="M4768" s="19">
        <v>5800</v>
      </c>
      <c r="N4768" s="19" t="s">
        <v>40</v>
      </c>
      <c r="O4768" s="19" t="s">
        <v>50</v>
      </c>
      <c r="P4768" s="19">
        <v>1200</v>
      </c>
      <c r="Q4768" s="19">
        <f>537+573+567</f>
        <v>1677</v>
      </c>
      <c r="R4768" s="19">
        <f t="shared" si="222"/>
        <v>-477</v>
      </c>
      <c r="S4768" s="19">
        <v>2300</v>
      </c>
      <c r="T4768" s="19" t="s">
        <v>42</v>
      </c>
      <c r="U4768" s="102" t="s">
        <v>1355</v>
      </c>
      <c r="V4768" s="101">
        <v>45225</v>
      </c>
      <c r="W4768" s="17" t="s">
        <v>58</v>
      </c>
      <c r="X4768" s="17"/>
      <c r="Y4768" s="68">
        <v>45283</v>
      </c>
      <c r="Z4768" s="17" t="s">
        <v>1326</v>
      </c>
      <c r="AA4768" s="17" t="s">
        <v>46</v>
      </c>
      <c r="AB4768" s="17" t="s">
        <v>1357</v>
      </c>
      <c r="AC4768" s="217">
        <v>45323</v>
      </c>
      <c r="AD4768" s="65">
        <v>1523</v>
      </c>
      <c r="AE4768" s="17" t="s">
        <v>48</v>
      </c>
      <c r="AF4768" s="17"/>
      <c r="AG4768" s="17"/>
      <c r="AH4768" s="17"/>
      <c r="AI4768" s="17"/>
      <c r="AJ4768" s="17"/>
      <c r="AK4768" s="17"/>
      <c r="AL4768" s="17"/>
      <c r="AM4768" s="17"/>
      <c r="AN4768" s="17"/>
      <c r="AO4768" s="17"/>
      <c r="AP4768" s="17"/>
      <c r="AQ4768" s="17"/>
      <c r="AR4768" s="17"/>
    </row>
    <row r="4769" s="20" customFormat="1" hidden="1" spans="1:44">
      <c r="A4769" s="17" t="s">
        <v>34</v>
      </c>
      <c r="B4769" s="19">
        <v>958</v>
      </c>
      <c r="C4769" s="183">
        <v>45225</v>
      </c>
      <c r="D4769" s="17" t="s">
        <v>52</v>
      </c>
      <c r="E4769" s="17" t="s">
        <v>53</v>
      </c>
      <c r="F4769" s="17" t="s">
        <v>54</v>
      </c>
      <c r="G4769" s="17"/>
      <c r="H4769" s="124">
        <v>1.2344</v>
      </c>
      <c r="I4769" s="124"/>
      <c r="J4769" s="17" t="s">
        <v>82</v>
      </c>
      <c r="K4769" s="295">
        <v>255</v>
      </c>
      <c r="L4769" s="295">
        <v>50</v>
      </c>
      <c r="M4769" s="19">
        <v>5800</v>
      </c>
      <c r="N4769" s="19" t="s">
        <v>40</v>
      </c>
      <c r="O4769" s="19" t="s">
        <v>50</v>
      </c>
      <c r="P4769" s="19">
        <v>1200</v>
      </c>
      <c r="Q4769" s="19">
        <f>435+446+438</f>
        <v>1319</v>
      </c>
      <c r="R4769" s="19">
        <f t="shared" si="222"/>
        <v>-119</v>
      </c>
      <c r="S4769" s="19">
        <v>2300</v>
      </c>
      <c r="T4769" s="19" t="s">
        <v>42</v>
      </c>
      <c r="U4769" s="102" t="s">
        <v>1355</v>
      </c>
      <c r="V4769" s="101">
        <v>45225</v>
      </c>
      <c r="W4769" s="17" t="s">
        <v>58</v>
      </c>
      <c r="X4769" s="17"/>
      <c r="Y4769" s="68">
        <v>45283</v>
      </c>
      <c r="Z4769" s="17" t="s">
        <v>1326</v>
      </c>
      <c r="AA4769" s="17" t="s">
        <v>46</v>
      </c>
      <c r="AB4769" s="17" t="s">
        <v>1357</v>
      </c>
      <c r="AC4769" s="217">
        <v>45323</v>
      </c>
      <c r="AD4769" s="65">
        <v>1523</v>
      </c>
      <c r="AE4769" s="17" t="s">
        <v>48</v>
      </c>
      <c r="AF4769" s="17"/>
      <c r="AG4769" s="17"/>
      <c r="AH4769" s="17"/>
      <c r="AI4769" s="17"/>
      <c r="AJ4769" s="17"/>
      <c r="AK4769" s="17"/>
      <c r="AL4769" s="17"/>
      <c r="AM4769" s="17"/>
      <c r="AN4769" s="17"/>
      <c r="AO4769" s="17"/>
      <c r="AP4769" s="17"/>
      <c r="AQ4769" s="17"/>
      <c r="AR4769" s="17"/>
    </row>
    <row r="4770" s="20" customFormat="1" hidden="1" spans="1:44">
      <c r="A4770" s="17" t="s">
        <v>34</v>
      </c>
      <c r="B4770" s="19">
        <v>958</v>
      </c>
      <c r="C4770" s="183">
        <v>45225</v>
      </c>
      <c r="D4770" s="17" t="s">
        <v>52</v>
      </c>
      <c r="E4770" s="17" t="s">
        <v>53</v>
      </c>
      <c r="F4770" s="17" t="s">
        <v>54</v>
      </c>
      <c r="G4770" s="17"/>
      <c r="H4770" s="124">
        <v>1.2344</v>
      </c>
      <c r="I4770" s="124"/>
      <c r="J4770" s="17" t="s">
        <v>82</v>
      </c>
      <c r="K4770" s="295">
        <v>305</v>
      </c>
      <c r="L4770" s="295">
        <v>50</v>
      </c>
      <c r="M4770" s="19">
        <v>5800</v>
      </c>
      <c r="N4770" s="19" t="s">
        <v>40</v>
      </c>
      <c r="O4770" s="19" t="s">
        <v>50</v>
      </c>
      <c r="P4770" s="19">
        <v>1500</v>
      </c>
      <c r="Q4770" s="19">
        <f>574+342+340</f>
        <v>1256</v>
      </c>
      <c r="R4770" s="19">
        <f t="shared" si="222"/>
        <v>244</v>
      </c>
      <c r="S4770" s="19">
        <v>2300</v>
      </c>
      <c r="T4770" s="19" t="s">
        <v>42</v>
      </c>
      <c r="U4770" s="102" t="s">
        <v>1355</v>
      </c>
      <c r="V4770" s="101">
        <v>45225</v>
      </c>
      <c r="W4770" s="17" t="s">
        <v>58</v>
      </c>
      <c r="X4770" s="17"/>
      <c r="Y4770" s="68">
        <v>45283</v>
      </c>
      <c r="Z4770" s="17" t="s">
        <v>1326</v>
      </c>
      <c r="AA4770" s="17" t="s">
        <v>46</v>
      </c>
      <c r="AB4770" s="17" t="s">
        <v>1357</v>
      </c>
      <c r="AC4770" s="217">
        <v>45323</v>
      </c>
      <c r="AD4770" s="65">
        <v>1523</v>
      </c>
      <c r="AE4770" s="17" t="s">
        <v>48</v>
      </c>
      <c r="AF4770" s="17"/>
      <c r="AG4770" s="17"/>
      <c r="AH4770" s="17"/>
      <c r="AI4770" s="17"/>
      <c r="AJ4770" s="17"/>
      <c r="AK4770" s="17"/>
      <c r="AL4770" s="17"/>
      <c r="AM4770" s="17"/>
      <c r="AN4770" s="17"/>
      <c r="AO4770" s="17"/>
      <c r="AP4770" s="17"/>
      <c r="AQ4770" s="17"/>
      <c r="AR4770" s="17"/>
    </row>
    <row r="4771" s="20" customFormat="1" hidden="1" spans="1:44">
      <c r="A4771" s="17" t="s">
        <v>34</v>
      </c>
      <c r="B4771" s="19">
        <v>958</v>
      </c>
      <c r="C4771" s="183">
        <v>45225</v>
      </c>
      <c r="D4771" s="17" t="s">
        <v>52</v>
      </c>
      <c r="E4771" s="17" t="s">
        <v>53</v>
      </c>
      <c r="F4771" s="17" t="s">
        <v>54</v>
      </c>
      <c r="G4771" s="17"/>
      <c r="H4771" s="124">
        <v>1.2344</v>
      </c>
      <c r="I4771" s="124"/>
      <c r="J4771" s="17" t="s">
        <v>82</v>
      </c>
      <c r="K4771" s="295">
        <v>405</v>
      </c>
      <c r="L4771" s="295">
        <v>50</v>
      </c>
      <c r="M4771" s="19">
        <v>5800</v>
      </c>
      <c r="N4771" s="19" t="s">
        <v>40</v>
      </c>
      <c r="O4771" s="19" t="s">
        <v>50</v>
      </c>
      <c r="P4771" s="19">
        <v>1500</v>
      </c>
      <c r="Q4771" s="19">
        <f>459+760</f>
        <v>1219</v>
      </c>
      <c r="R4771" s="19">
        <f t="shared" si="222"/>
        <v>281</v>
      </c>
      <c r="S4771" s="19">
        <v>2300</v>
      </c>
      <c r="T4771" s="19" t="s">
        <v>42</v>
      </c>
      <c r="U4771" s="102" t="s">
        <v>1355</v>
      </c>
      <c r="V4771" s="101">
        <v>45225</v>
      </c>
      <c r="W4771" s="17" t="s">
        <v>58</v>
      </c>
      <c r="X4771" s="17"/>
      <c r="Y4771" s="68">
        <v>45283</v>
      </c>
      <c r="Z4771" s="17" t="s">
        <v>1326</v>
      </c>
      <c r="AA4771" s="17" t="s">
        <v>46</v>
      </c>
      <c r="AB4771" s="17" t="s">
        <v>1357</v>
      </c>
      <c r="AC4771" s="217">
        <v>45323</v>
      </c>
      <c r="AD4771" s="65">
        <v>1523</v>
      </c>
      <c r="AE4771" s="17" t="s">
        <v>48</v>
      </c>
      <c r="AF4771" s="17"/>
      <c r="AG4771" s="17"/>
      <c r="AH4771" s="17"/>
      <c r="AI4771" s="17"/>
      <c r="AJ4771" s="17"/>
      <c r="AK4771" s="17"/>
      <c r="AL4771" s="17"/>
      <c r="AM4771" s="17"/>
      <c r="AN4771" s="17"/>
      <c r="AO4771" s="17"/>
      <c r="AP4771" s="17"/>
      <c r="AQ4771" s="17"/>
      <c r="AR4771" s="17"/>
    </row>
    <row r="4772" s="20" customFormat="1" hidden="1" spans="1:44">
      <c r="A4772" s="17" t="s">
        <v>34</v>
      </c>
      <c r="B4772" s="19">
        <v>958</v>
      </c>
      <c r="C4772" s="183">
        <v>45225</v>
      </c>
      <c r="D4772" s="17" t="s">
        <v>52</v>
      </c>
      <c r="E4772" s="17" t="s">
        <v>53</v>
      </c>
      <c r="F4772" s="17" t="s">
        <v>54</v>
      </c>
      <c r="G4772" s="17"/>
      <c r="H4772" s="124">
        <v>1.2344</v>
      </c>
      <c r="I4772" s="124"/>
      <c r="J4772" s="17" t="s">
        <v>82</v>
      </c>
      <c r="K4772" s="313">
        <v>235</v>
      </c>
      <c r="L4772" s="313">
        <v>60</v>
      </c>
      <c r="M4772" s="19">
        <v>5800</v>
      </c>
      <c r="N4772" s="19" t="s">
        <v>40</v>
      </c>
      <c r="O4772" s="19" t="s">
        <v>50</v>
      </c>
      <c r="P4772" s="19"/>
      <c r="Q4772" s="19">
        <f>305+305</f>
        <v>610</v>
      </c>
      <c r="R4772" s="19"/>
      <c r="S4772" s="19">
        <v>2300</v>
      </c>
      <c r="T4772" s="19" t="s">
        <v>42</v>
      </c>
      <c r="U4772" s="102" t="s">
        <v>1355</v>
      </c>
      <c r="V4772" s="101">
        <v>45225</v>
      </c>
      <c r="W4772" s="17" t="s">
        <v>58</v>
      </c>
      <c r="X4772" s="17"/>
      <c r="Y4772" s="68">
        <v>45283</v>
      </c>
      <c r="Z4772" s="17" t="s">
        <v>1326</v>
      </c>
      <c r="AA4772" s="17" t="s">
        <v>46</v>
      </c>
      <c r="AB4772" s="17" t="s">
        <v>1356</v>
      </c>
      <c r="AC4772" s="66">
        <v>45291</v>
      </c>
      <c r="AD4772" s="65">
        <v>1514</v>
      </c>
      <c r="AE4772" s="17" t="s">
        <v>48</v>
      </c>
      <c r="AF4772" s="17"/>
      <c r="AG4772" s="17"/>
      <c r="AH4772" s="17"/>
      <c r="AI4772" s="17"/>
      <c r="AJ4772" s="17"/>
      <c r="AK4772" s="17"/>
      <c r="AL4772" s="17"/>
      <c r="AM4772" s="17"/>
      <c r="AN4772" s="17"/>
      <c r="AO4772" s="17"/>
      <c r="AP4772" s="17"/>
      <c r="AQ4772" s="17"/>
      <c r="AR4772" s="17"/>
    </row>
    <row r="4773" s="20" customFormat="1" hidden="1" spans="1:44">
      <c r="A4773" s="17" t="s">
        <v>34</v>
      </c>
      <c r="B4773" s="19">
        <v>958</v>
      </c>
      <c r="C4773" s="183">
        <v>45225</v>
      </c>
      <c r="D4773" s="17" t="s">
        <v>52</v>
      </c>
      <c r="E4773" s="17" t="s">
        <v>53</v>
      </c>
      <c r="F4773" s="17" t="s">
        <v>54</v>
      </c>
      <c r="G4773" s="17"/>
      <c r="H4773" s="124">
        <v>1.2344</v>
      </c>
      <c r="I4773" s="124"/>
      <c r="J4773" s="17" t="s">
        <v>82</v>
      </c>
      <c r="K4773" s="295">
        <v>255</v>
      </c>
      <c r="L4773" s="295">
        <v>60</v>
      </c>
      <c r="M4773" s="19">
        <v>5800</v>
      </c>
      <c r="N4773" s="19" t="s">
        <v>40</v>
      </c>
      <c r="O4773" s="19" t="s">
        <v>50</v>
      </c>
      <c r="P4773" s="19">
        <v>1500</v>
      </c>
      <c r="Q4773" s="19">
        <f>455+461</f>
        <v>916</v>
      </c>
      <c r="R4773" s="19">
        <f t="shared" ref="R4773:R4789" si="223">+P4773-Q4773</f>
        <v>584</v>
      </c>
      <c r="S4773" s="19">
        <v>2300</v>
      </c>
      <c r="T4773" s="19" t="s">
        <v>42</v>
      </c>
      <c r="U4773" s="102" t="s">
        <v>1355</v>
      </c>
      <c r="V4773" s="101">
        <v>45225</v>
      </c>
      <c r="W4773" s="17" t="s">
        <v>58</v>
      </c>
      <c r="X4773" s="17"/>
      <c r="Y4773" s="68">
        <v>45283</v>
      </c>
      <c r="Z4773" s="17" t="s">
        <v>1326</v>
      </c>
      <c r="AA4773" s="17" t="s">
        <v>46</v>
      </c>
      <c r="AB4773" s="17" t="s">
        <v>1357</v>
      </c>
      <c r="AC4773" s="217">
        <v>45323</v>
      </c>
      <c r="AD4773" s="65">
        <v>1523</v>
      </c>
      <c r="AE4773" s="17" t="s">
        <v>48</v>
      </c>
      <c r="AF4773" s="17"/>
      <c r="AG4773" s="17"/>
      <c r="AH4773" s="17"/>
      <c r="AI4773" s="17"/>
      <c r="AJ4773" s="17"/>
      <c r="AK4773" s="17"/>
      <c r="AL4773" s="17"/>
      <c r="AM4773" s="17"/>
      <c r="AN4773" s="17"/>
      <c r="AO4773" s="17"/>
      <c r="AP4773" s="17"/>
      <c r="AQ4773" s="17"/>
      <c r="AR4773" s="17"/>
    </row>
    <row r="4774" s="20" customFormat="1" hidden="1" spans="1:44">
      <c r="A4774" s="17" t="s">
        <v>34</v>
      </c>
      <c r="B4774" s="19">
        <v>958</v>
      </c>
      <c r="C4774" s="183">
        <v>45225</v>
      </c>
      <c r="D4774" s="17" t="s">
        <v>52</v>
      </c>
      <c r="E4774" s="17" t="s">
        <v>53</v>
      </c>
      <c r="F4774" s="17" t="s">
        <v>54</v>
      </c>
      <c r="G4774" s="17"/>
      <c r="H4774" s="124">
        <v>1.2344</v>
      </c>
      <c r="I4774" s="124"/>
      <c r="J4774" s="17" t="s">
        <v>82</v>
      </c>
      <c r="K4774" s="295">
        <v>305</v>
      </c>
      <c r="L4774" s="295">
        <v>60</v>
      </c>
      <c r="M4774" s="19">
        <v>5800</v>
      </c>
      <c r="N4774" s="19" t="s">
        <v>40</v>
      </c>
      <c r="O4774" s="19" t="s">
        <v>50</v>
      </c>
      <c r="P4774" s="19">
        <v>1500</v>
      </c>
      <c r="Q4774" s="19">
        <f>624+580+613+697</f>
        <v>2514</v>
      </c>
      <c r="R4774" s="19">
        <f t="shared" si="223"/>
        <v>-1014</v>
      </c>
      <c r="S4774" s="19">
        <v>2300</v>
      </c>
      <c r="T4774" s="19" t="s">
        <v>42</v>
      </c>
      <c r="U4774" s="102" t="s">
        <v>1355</v>
      </c>
      <c r="V4774" s="101">
        <v>45225</v>
      </c>
      <c r="W4774" s="17" t="s">
        <v>58</v>
      </c>
      <c r="X4774" s="17"/>
      <c r="Y4774" s="68">
        <v>45283</v>
      </c>
      <c r="Z4774" s="17" t="s">
        <v>1326</v>
      </c>
      <c r="AA4774" s="17" t="s">
        <v>46</v>
      </c>
      <c r="AB4774" s="17" t="s">
        <v>1356</v>
      </c>
      <c r="AC4774" s="66">
        <v>45291</v>
      </c>
      <c r="AD4774" s="65">
        <v>1514</v>
      </c>
      <c r="AE4774" s="17" t="s">
        <v>48</v>
      </c>
      <c r="AF4774" s="17"/>
      <c r="AG4774" s="17"/>
      <c r="AH4774" s="17"/>
      <c r="AI4774" s="17"/>
      <c r="AJ4774" s="17"/>
      <c r="AK4774" s="17"/>
      <c r="AL4774" s="17"/>
      <c r="AM4774" s="17"/>
      <c r="AN4774" s="17"/>
      <c r="AO4774" s="17"/>
      <c r="AP4774" s="17"/>
      <c r="AQ4774" s="17"/>
      <c r="AR4774" s="17"/>
    </row>
    <row r="4775" s="20" customFormat="1" hidden="1" spans="1:44">
      <c r="A4775" s="17" t="s">
        <v>34</v>
      </c>
      <c r="B4775" s="19">
        <v>958</v>
      </c>
      <c r="C4775" s="183">
        <v>45225</v>
      </c>
      <c r="D4775" s="17" t="s">
        <v>52</v>
      </c>
      <c r="E4775" s="17" t="s">
        <v>53</v>
      </c>
      <c r="F4775" s="17" t="s">
        <v>54</v>
      </c>
      <c r="G4775" s="17"/>
      <c r="H4775" s="124">
        <v>1.2344</v>
      </c>
      <c r="I4775" s="124"/>
      <c r="J4775" s="17" t="s">
        <v>82</v>
      </c>
      <c r="K4775" s="295">
        <v>405</v>
      </c>
      <c r="L4775" s="295">
        <v>60</v>
      </c>
      <c r="M4775" s="19">
        <v>5800</v>
      </c>
      <c r="N4775" s="19" t="s">
        <v>40</v>
      </c>
      <c r="O4775" s="19" t="s">
        <v>50</v>
      </c>
      <c r="P4775" s="19">
        <v>1500</v>
      </c>
      <c r="Q4775" s="19">
        <f>713+826</f>
        <v>1539</v>
      </c>
      <c r="R4775" s="19">
        <f t="shared" si="223"/>
        <v>-39</v>
      </c>
      <c r="S4775" s="19">
        <v>2300</v>
      </c>
      <c r="T4775" s="19" t="s">
        <v>42</v>
      </c>
      <c r="U4775" s="102" t="s">
        <v>1355</v>
      </c>
      <c r="V4775" s="101">
        <v>45225</v>
      </c>
      <c r="W4775" s="17" t="s">
        <v>58</v>
      </c>
      <c r="X4775" s="17"/>
      <c r="Y4775" s="68">
        <v>45283</v>
      </c>
      <c r="Z4775" s="17" t="s">
        <v>1326</v>
      </c>
      <c r="AA4775" s="17" t="s">
        <v>46</v>
      </c>
      <c r="AB4775" s="17" t="s">
        <v>1356</v>
      </c>
      <c r="AC4775" s="66">
        <v>45291</v>
      </c>
      <c r="AD4775" s="65">
        <v>1514</v>
      </c>
      <c r="AE4775" s="17" t="s">
        <v>48</v>
      </c>
      <c r="AF4775" s="17"/>
      <c r="AG4775" s="17"/>
      <c r="AH4775" s="17"/>
      <c r="AI4775" s="17"/>
      <c r="AJ4775" s="17"/>
      <c r="AK4775" s="17"/>
      <c r="AL4775" s="17"/>
      <c r="AM4775" s="17"/>
      <c r="AN4775" s="17"/>
      <c r="AO4775" s="17"/>
      <c r="AP4775" s="17"/>
      <c r="AQ4775" s="17"/>
      <c r="AR4775" s="17"/>
    </row>
    <row r="4776" s="20" customFormat="1" hidden="1" spans="1:44">
      <c r="A4776" s="17" t="s">
        <v>34</v>
      </c>
      <c r="B4776" s="19">
        <v>958</v>
      </c>
      <c r="C4776" s="183">
        <v>45225</v>
      </c>
      <c r="D4776" s="17" t="s">
        <v>52</v>
      </c>
      <c r="E4776" s="17" t="s">
        <v>53</v>
      </c>
      <c r="F4776" s="17" t="s">
        <v>54</v>
      </c>
      <c r="G4776" s="17"/>
      <c r="H4776" s="124">
        <v>1.2344</v>
      </c>
      <c r="I4776" s="124"/>
      <c r="J4776" s="17" t="s">
        <v>82</v>
      </c>
      <c r="K4776" s="295">
        <v>505</v>
      </c>
      <c r="L4776" s="295">
        <v>60</v>
      </c>
      <c r="M4776" s="19">
        <v>5800</v>
      </c>
      <c r="N4776" s="19" t="s">
        <v>40</v>
      </c>
      <c r="O4776" s="19" t="s">
        <v>50</v>
      </c>
      <c r="P4776" s="19">
        <v>4000</v>
      </c>
      <c r="Q4776" s="19">
        <f>753+868+855+1043</f>
        <v>3519</v>
      </c>
      <c r="R4776" s="19">
        <f t="shared" si="223"/>
        <v>481</v>
      </c>
      <c r="S4776" s="19">
        <v>2300</v>
      </c>
      <c r="T4776" s="19" t="s">
        <v>42</v>
      </c>
      <c r="U4776" s="102" t="s">
        <v>1355</v>
      </c>
      <c r="V4776" s="101">
        <v>45225</v>
      </c>
      <c r="W4776" s="17" t="s">
        <v>58</v>
      </c>
      <c r="X4776" s="17"/>
      <c r="Y4776" s="68">
        <v>45283</v>
      </c>
      <c r="Z4776" s="17" t="s">
        <v>1326</v>
      </c>
      <c r="AA4776" s="17" t="s">
        <v>46</v>
      </c>
      <c r="AB4776" s="17" t="s">
        <v>1357</v>
      </c>
      <c r="AC4776" s="217">
        <v>45323</v>
      </c>
      <c r="AD4776" s="65">
        <v>1523</v>
      </c>
      <c r="AE4776" s="17" t="s">
        <v>48</v>
      </c>
      <c r="AF4776" s="17"/>
      <c r="AG4776" s="17"/>
      <c r="AH4776" s="17"/>
      <c r="AI4776" s="17"/>
      <c r="AJ4776" s="17"/>
      <c r="AK4776" s="17"/>
      <c r="AL4776" s="17"/>
      <c r="AM4776" s="17"/>
      <c r="AN4776" s="17"/>
      <c r="AO4776" s="17"/>
      <c r="AP4776" s="17"/>
      <c r="AQ4776" s="17"/>
      <c r="AR4776" s="17"/>
    </row>
    <row r="4777" s="20" customFormat="1" hidden="1" spans="1:44">
      <c r="A4777" s="17" t="s">
        <v>34</v>
      </c>
      <c r="B4777" s="19">
        <v>958</v>
      </c>
      <c r="C4777" s="183">
        <v>45225</v>
      </c>
      <c r="D4777" s="17" t="s">
        <v>52</v>
      </c>
      <c r="E4777" s="17" t="s">
        <v>53</v>
      </c>
      <c r="F4777" s="17" t="s">
        <v>54</v>
      </c>
      <c r="G4777" s="17"/>
      <c r="H4777" s="124">
        <v>1.2344</v>
      </c>
      <c r="I4777" s="124"/>
      <c r="J4777" s="17" t="s">
        <v>82</v>
      </c>
      <c r="K4777" s="295">
        <v>235</v>
      </c>
      <c r="L4777" s="295">
        <v>65</v>
      </c>
      <c r="M4777" s="19">
        <v>5800</v>
      </c>
      <c r="N4777" s="19" t="s">
        <v>40</v>
      </c>
      <c r="O4777" s="19" t="s">
        <v>50</v>
      </c>
      <c r="P4777" s="19">
        <v>1500</v>
      </c>
      <c r="Q4777" s="19">
        <f>581+569</f>
        <v>1150</v>
      </c>
      <c r="R4777" s="19">
        <f t="shared" si="223"/>
        <v>350</v>
      </c>
      <c r="S4777" s="19">
        <v>2300</v>
      </c>
      <c r="T4777" s="19" t="s">
        <v>42</v>
      </c>
      <c r="U4777" s="102" t="s">
        <v>1355</v>
      </c>
      <c r="V4777" s="101">
        <v>45225</v>
      </c>
      <c r="W4777" s="17" t="s">
        <v>58</v>
      </c>
      <c r="X4777" s="17"/>
      <c r="Y4777" s="68">
        <v>45283</v>
      </c>
      <c r="Z4777" s="17" t="s">
        <v>1326</v>
      </c>
      <c r="AA4777" s="17" t="s">
        <v>46</v>
      </c>
      <c r="AB4777" s="17" t="s">
        <v>1356</v>
      </c>
      <c r="AC4777" s="66">
        <v>45291</v>
      </c>
      <c r="AD4777" s="65">
        <v>1514</v>
      </c>
      <c r="AE4777" s="17" t="s">
        <v>48</v>
      </c>
      <c r="AF4777" s="17"/>
      <c r="AG4777" s="17"/>
      <c r="AH4777" s="17"/>
      <c r="AI4777" s="17"/>
      <c r="AJ4777" s="17"/>
      <c r="AK4777" s="17"/>
      <c r="AL4777" s="17"/>
      <c r="AM4777" s="17"/>
      <c r="AN4777" s="17"/>
      <c r="AO4777" s="17"/>
      <c r="AP4777" s="17"/>
      <c r="AQ4777" s="17"/>
      <c r="AR4777" s="17"/>
    </row>
    <row r="4778" s="20" customFormat="1" hidden="1" spans="1:44">
      <c r="A4778" s="17" t="s">
        <v>34</v>
      </c>
      <c r="B4778" s="19">
        <v>958</v>
      </c>
      <c r="C4778" s="183">
        <v>45225</v>
      </c>
      <c r="D4778" s="17" t="s">
        <v>52</v>
      </c>
      <c r="E4778" s="17" t="s">
        <v>53</v>
      </c>
      <c r="F4778" s="17" t="s">
        <v>54</v>
      </c>
      <c r="G4778" s="17"/>
      <c r="H4778" s="124">
        <v>1.2344</v>
      </c>
      <c r="I4778" s="124"/>
      <c r="J4778" s="17" t="s">
        <v>82</v>
      </c>
      <c r="K4778" s="295">
        <v>255</v>
      </c>
      <c r="L4778" s="295">
        <v>65</v>
      </c>
      <c r="M4778" s="19">
        <v>5800</v>
      </c>
      <c r="N4778" s="19" t="s">
        <v>40</v>
      </c>
      <c r="O4778" s="19" t="s">
        <v>50</v>
      </c>
      <c r="P4778" s="19">
        <v>3000</v>
      </c>
      <c r="Q4778" s="19">
        <f>471+617+621+617</f>
        <v>2326</v>
      </c>
      <c r="R4778" s="19">
        <f t="shared" si="223"/>
        <v>674</v>
      </c>
      <c r="S4778" s="19">
        <v>2300</v>
      </c>
      <c r="T4778" s="19" t="s">
        <v>42</v>
      </c>
      <c r="U4778" s="102" t="s">
        <v>1355</v>
      </c>
      <c r="V4778" s="101">
        <v>45225</v>
      </c>
      <c r="W4778" s="17" t="s">
        <v>58</v>
      </c>
      <c r="X4778" s="17"/>
      <c r="Y4778" s="68">
        <v>45283</v>
      </c>
      <c r="Z4778" s="17" t="s">
        <v>1326</v>
      </c>
      <c r="AA4778" s="17" t="s">
        <v>46</v>
      </c>
      <c r="AB4778" s="17" t="s">
        <v>1356</v>
      </c>
      <c r="AC4778" s="66">
        <v>45291</v>
      </c>
      <c r="AD4778" s="65">
        <v>1514</v>
      </c>
      <c r="AE4778" s="17" t="s">
        <v>48</v>
      </c>
      <c r="AF4778" s="17"/>
      <c r="AG4778" s="17"/>
      <c r="AH4778" s="17"/>
      <c r="AI4778" s="17"/>
      <c r="AJ4778" s="17"/>
      <c r="AK4778" s="17"/>
      <c r="AL4778" s="17"/>
      <c r="AM4778" s="17"/>
      <c r="AN4778" s="17"/>
      <c r="AO4778" s="17"/>
      <c r="AP4778" s="17"/>
      <c r="AQ4778" s="17"/>
      <c r="AR4778" s="17"/>
    </row>
    <row r="4779" s="20" customFormat="1" hidden="1" spans="1:44">
      <c r="A4779" s="17" t="s">
        <v>34</v>
      </c>
      <c r="B4779" s="19">
        <v>958</v>
      </c>
      <c r="C4779" s="183">
        <v>45225</v>
      </c>
      <c r="D4779" s="17" t="s">
        <v>52</v>
      </c>
      <c r="E4779" s="17" t="s">
        <v>53</v>
      </c>
      <c r="F4779" s="17" t="s">
        <v>54</v>
      </c>
      <c r="G4779" s="17"/>
      <c r="H4779" s="124">
        <v>1.2344</v>
      </c>
      <c r="I4779" s="124"/>
      <c r="J4779" s="17" t="s">
        <v>82</v>
      </c>
      <c r="K4779" s="295">
        <v>305</v>
      </c>
      <c r="L4779" s="295">
        <v>65</v>
      </c>
      <c r="M4779" s="19">
        <v>5800</v>
      </c>
      <c r="N4779" s="19" t="s">
        <v>40</v>
      </c>
      <c r="O4779" s="19" t="s">
        <v>50</v>
      </c>
      <c r="P4779" s="19">
        <v>1500</v>
      </c>
      <c r="Q4779" s="19">
        <f>645+459+465+727</f>
        <v>2296</v>
      </c>
      <c r="R4779" s="19">
        <f t="shared" si="223"/>
        <v>-796</v>
      </c>
      <c r="S4779" s="19">
        <v>2300</v>
      </c>
      <c r="T4779" s="19" t="s">
        <v>42</v>
      </c>
      <c r="U4779" s="102" t="s">
        <v>1355</v>
      </c>
      <c r="V4779" s="101">
        <v>45225</v>
      </c>
      <c r="W4779" s="17" t="s">
        <v>58</v>
      </c>
      <c r="X4779" s="17"/>
      <c r="Y4779" s="68">
        <v>45283</v>
      </c>
      <c r="Z4779" s="17" t="s">
        <v>1326</v>
      </c>
      <c r="AA4779" s="17" t="s">
        <v>46</v>
      </c>
      <c r="AB4779" s="17" t="s">
        <v>1357</v>
      </c>
      <c r="AC4779" s="217">
        <v>45323</v>
      </c>
      <c r="AD4779" s="65">
        <v>1523</v>
      </c>
      <c r="AE4779" s="17" t="s">
        <v>48</v>
      </c>
      <c r="AF4779" s="17"/>
      <c r="AG4779" s="17"/>
      <c r="AH4779" s="17"/>
      <c r="AI4779" s="17"/>
      <c r="AJ4779" s="17"/>
      <c r="AK4779" s="17"/>
      <c r="AL4779" s="17"/>
      <c r="AM4779" s="17"/>
      <c r="AN4779" s="17"/>
      <c r="AO4779" s="17"/>
      <c r="AP4779" s="17"/>
      <c r="AQ4779" s="17"/>
      <c r="AR4779" s="17"/>
    </row>
    <row r="4780" s="20" customFormat="1" hidden="1" spans="1:44">
      <c r="A4780" s="17" t="s">
        <v>34</v>
      </c>
      <c r="B4780" s="19">
        <v>958</v>
      </c>
      <c r="C4780" s="183">
        <v>45225</v>
      </c>
      <c r="D4780" s="17" t="s">
        <v>52</v>
      </c>
      <c r="E4780" s="17" t="s">
        <v>53</v>
      </c>
      <c r="F4780" s="17" t="s">
        <v>54</v>
      </c>
      <c r="G4780" s="17"/>
      <c r="H4780" s="124">
        <v>1.2344</v>
      </c>
      <c r="I4780" s="124"/>
      <c r="J4780" s="17" t="s">
        <v>82</v>
      </c>
      <c r="K4780" s="295">
        <v>405</v>
      </c>
      <c r="L4780" s="295">
        <v>65</v>
      </c>
      <c r="M4780" s="19">
        <v>5800</v>
      </c>
      <c r="N4780" s="19" t="s">
        <v>40</v>
      </c>
      <c r="O4780" s="19" t="s">
        <v>50</v>
      </c>
      <c r="P4780" s="19">
        <v>1500</v>
      </c>
      <c r="Q4780" s="19">
        <f>932+832+839</f>
        <v>2603</v>
      </c>
      <c r="R4780" s="19">
        <f t="shared" si="223"/>
        <v>-1103</v>
      </c>
      <c r="S4780" s="19">
        <v>2300</v>
      </c>
      <c r="T4780" s="19" t="s">
        <v>42</v>
      </c>
      <c r="U4780" s="102" t="s">
        <v>1355</v>
      </c>
      <c r="V4780" s="101">
        <v>45225</v>
      </c>
      <c r="W4780" s="17" t="s">
        <v>58</v>
      </c>
      <c r="X4780" s="17"/>
      <c r="Y4780" s="68">
        <v>45283</v>
      </c>
      <c r="Z4780" s="17" t="s">
        <v>1326</v>
      </c>
      <c r="AA4780" s="17" t="s">
        <v>46</v>
      </c>
      <c r="AB4780" s="17" t="s">
        <v>1356</v>
      </c>
      <c r="AC4780" s="66">
        <v>45291</v>
      </c>
      <c r="AD4780" s="65">
        <v>1514</v>
      </c>
      <c r="AE4780" s="17" t="s">
        <v>48</v>
      </c>
      <c r="AF4780" s="17"/>
      <c r="AG4780" s="17"/>
      <c r="AH4780" s="17"/>
      <c r="AI4780" s="17"/>
      <c r="AJ4780" s="17"/>
      <c r="AK4780" s="17"/>
      <c r="AL4780" s="17"/>
      <c r="AM4780" s="17"/>
      <c r="AN4780" s="17"/>
      <c r="AO4780" s="17"/>
      <c r="AP4780" s="17"/>
      <c r="AQ4780" s="17"/>
      <c r="AR4780" s="17"/>
    </row>
    <row r="4781" s="20" customFormat="1" hidden="1" spans="1:44">
      <c r="A4781" s="17" t="s">
        <v>34</v>
      </c>
      <c r="B4781" s="19">
        <v>958</v>
      </c>
      <c r="C4781" s="183">
        <v>45225</v>
      </c>
      <c r="D4781" s="17" t="s">
        <v>52</v>
      </c>
      <c r="E4781" s="17" t="s">
        <v>53</v>
      </c>
      <c r="F4781" s="17" t="s">
        <v>54</v>
      </c>
      <c r="G4781" s="17"/>
      <c r="H4781" s="124">
        <v>1.2344</v>
      </c>
      <c r="I4781" s="124"/>
      <c r="J4781" s="17" t="s">
        <v>82</v>
      </c>
      <c r="K4781" s="295">
        <v>505</v>
      </c>
      <c r="L4781" s="295">
        <v>65</v>
      </c>
      <c r="M4781" s="19">
        <v>5800</v>
      </c>
      <c r="N4781" s="19" t="s">
        <v>40</v>
      </c>
      <c r="O4781" s="19" t="s">
        <v>50</v>
      </c>
      <c r="P4781" s="19">
        <v>4000</v>
      </c>
      <c r="Q4781" s="19">
        <f>893+904</f>
        <v>1797</v>
      </c>
      <c r="R4781" s="19">
        <f t="shared" si="223"/>
        <v>2203</v>
      </c>
      <c r="S4781" s="19">
        <v>2300</v>
      </c>
      <c r="T4781" s="19" t="s">
        <v>42</v>
      </c>
      <c r="U4781" s="102" t="s">
        <v>1355</v>
      </c>
      <c r="V4781" s="101">
        <v>45225</v>
      </c>
      <c r="W4781" s="17" t="s">
        <v>58</v>
      </c>
      <c r="X4781" s="17"/>
      <c r="Y4781" s="68">
        <v>45283</v>
      </c>
      <c r="Z4781" s="17" t="s">
        <v>1326</v>
      </c>
      <c r="AA4781" s="17" t="s">
        <v>46</v>
      </c>
      <c r="AB4781" s="17" t="s">
        <v>1357</v>
      </c>
      <c r="AC4781" s="217">
        <v>45323</v>
      </c>
      <c r="AD4781" s="65">
        <v>1523</v>
      </c>
      <c r="AE4781" s="17" t="s">
        <v>48</v>
      </c>
      <c r="AF4781" s="17"/>
      <c r="AG4781" s="17"/>
      <c r="AH4781" s="17"/>
      <c r="AI4781" s="17"/>
      <c r="AJ4781" s="17"/>
      <c r="AK4781" s="17"/>
      <c r="AL4781" s="17"/>
      <c r="AM4781" s="17"/>
      <c r="AN4781" s="17"/>
      <c r="AO4781" s="17"/>
      <c r="AP4781" s="17"/>
      <c r="AQ4781" s="17"/>
      <c r="AR4781" s="17"/>
    </row>
    <row r="4782" s="20" customFormat="1" hidden="1" spans="1:44">
      <c r="A4782" s="17" t="s">
        <v>34</v>
      </c>
      <c r="B4782" s="19">
        <v>958</v>
      </c>
      <c r="C4782" s="183">
        <v>45225</v>
      </c>
      <c r="D4782" s="17" t="s">
        <v>52</v>
      </c>
      <c r="E4782" s="17" t="s">
        <v>53</v>
      </c>
      <c r="F4782" s="17" t="s">
        <v>54</v>
      </c>
      <c r="G4782" s="17"/>
      <c r="H4782" s="124">
        <v>1.2344</v>
      </c>
      <c r="I4782" s="124"/>
      <c r="J4782" s="17" t="s">
        <v>82</v>
      </c>
      <c r="K4782" s="295">
        <v>505</v>
      </c>
      <c r="L4782" s="295">
        <v>80</v>
      </c>
      <c r="M4782" s="19">
        <v>5800</v>
      </c>
      <c r="N4782" s="19" t="s">
        <v>40</v>
      </c>
      <c r="O4782" s="19" t="s">
        <v>50</v>
      </c>
      <c r="P4782" s="19">
        <v>2000</v>
      </c>
      <c r="Q4782" s="19">
        <f>1511+1187</f>
        <v>2698</v>
      </c>
      <c r="R4782" s="19">
        <f t="shared" si="223"/>
        <v>-698</v>
      </c>
      <c r="S4782" s="19">
        <v>2300</v>
      </c>
      <c r="T4782" s="19" t="s">
        <v>42</v>
      </c>
      <c r="U4782" s="102" t="s">
        <v>1355</v>
      </c>
      <c r="V4782" s="101">
        <v>45225</v>
      </c>
      <c r="W4782" s="17" t="s">
        <v>58</v>
      </c>
      <c r="X4782" s="17"/>
      <c r="Y4782" s="68">
        <v>45283</v>
      </c>
      <c r="Z4782" s="17" t="s">
        <v>1326</v>
      </c>
      <c r="AA4782" s="17" t="s">
        <v>46</v>
      </c>
      <c r="AB4782" s="17" t="s">
        <v>1357</v>
      </c>
      <c r="AC4782" s="217">
        <v>45323</v>
      </c>
      <c r="AD4782" s="65">
        <v>1523</v>
      </c>
      <c r="AE4782" s="17" t="s">
        <v>48</v>
      </c>
      <c r="AF4782" s="17"/>
      <c r="AG4782" s="17"/>
      <c r="AH4782" s="17"/>
      <c r="AI4782" s="17"/>
      <c r="AJ4782" s="17"/>
      <c r="AK4782" s="17"/>
      <c r="AL4782" s="17"/>
      <c r="AM4782" s="17"/>
      <c r="AN4782" s="17"/>
      <c r="AO4782" s="17"/>
      <c r="AP4782" s="17"/>
      <c r="AQ4782" s="17"/>
      <c r="AR4782" s="17"/>
    </row>
    <row r="4783" s="20" customFormat="1" hidden="1" spans="1:44">
      <c r="A4783" s="17" t="s">
        <v>34</v>
      </c>
      <c r="B4783" s="19">
        <v>958</v>
      </c>
      <c r="C4783" s="183">
        <v>45225</v>
      </c>
      <c r="D4783" s="17" t="s">
        <v>52</v>
      </c>
      <c r="E4783" s="17" t="s">
        <v>53</v>
      </c>
      <c r="F4783" s="17" t="s">
        <v>54</v>
      </c>
      <c r="G4783" s="17"/>
      <c r="H4783" s="124">
        <v>1.2344</v>
      </c>
      <c r="I4783" s="124"/>
      <c r="J4783" s="17" t="s">
        <v>82</v>
      </c>
      <c r="K4783" s="295">
        <v>610</v>
      </c>
      <c r="L4783" s="295">
        <v>105</v>
      </c>
      <c r="M4783" s="19">
        <v>5800</v>
      </c>
      <c r="N4783" s="19" t="s">
        <v>40</v>
      </c>
      <c r="O4783" s="19" t="s">
        <v>50</v>
      </c>
      <c r="P4783" s="19">
        <v>2200</v>
      </c>
      <c r="Q4783" s="19">
        <v>1970</v>
      </c>
      <c r="R4783" s="19">
        <f t="shared" si="223"/>
        <v>230</v>
      </c>
      <c r="S4783" s="19">
        <v>2300</v>
      </c>
      <c r="T4783" s="19" t="s">
        <v>42</v>
      </c>
      <c r="U4783" s="102" t="s">
        <v>1355</v>
      </c>
      <c r="V4783" s="101">
        <v>45225</v>
      </c>
      <c r="W4783" s="17" t="s">
        <v>58</v>
      </c>
      <c r="X4783" s="17"/>
      <c r="Y4783" s="68">
        <v>45283</v>
      </c>
      <c r="Z4783" s="17" t="s">
        <v>1326</v>
      </c>
      <c r="AA4783" s="17" t="s">
        <v>46</v>
      </c>
      <c r="AB4783" s="17" t="s">
        <v>1357</v>
      </c>
      <c r="AC4783" s="217">
        <v>45323</v>
      </c>
      <c r="AD4783" s="65">
        <v>1523</v>
      </c>
      <c r="AE4783" s="17" t="s">
        <v>48</v>
      </c>
      <c r="AF4783" s="17"/>
      <c r="AG4783" s="17"/>
      <c r="AH4783" s="17"/>
      <c r="AI4783" s="17"/>
      <c r="AJ4783" s="17"/>
      <c r="AK4783" s="17"/>
      <c r="AL4783" s="17"/>
      <c r="AM4783" s="17"/>
      <c r="AN4783" s="17"/>
      <c r="AO4783" s="17"/>
      <c r="AP4783" s="17"/>
      <c r="AQ4783" s="17"/>
      <c r="AR4783" s="17"/>
    </row>
    <row r="4784" s="20" customFormat="1" hidden="1" spans="1:44">
      <c r="A4784" s="17" t="s">
        <v>34</v>
      </c>
      <c r="B4784" s="19">
        <v>958</v>
      </c>
      <c r="C4784" s="183">
        <v>45225</v>
      </c>
      <c r="D4784" s="17" t="s">
        <v>52</v>
      </c>
      <c r="E4784" s="17" t="s">
        <v>53</v>
      </c>
      <c r="F4784" s="17" t="s">
        <v>54</v>
      </c>
      <c r="G4784" s="17"/>
      <c r="H4784" s="124">
        <v>1.2344</v>
      </c>
      <c r="I4784" s="124"/>
      <c r="J4784" s="17" t="s">
        <v>82</v>
      </c>
      <c r="K4784" s="295">
        <v>610</v>
      </c>
      <c r="L4784" s="295">
        <v>125</v>
      </c>
      <c r="M4784" s="19">
        <v>5800</v>
      </c>
      <c r="N4784" s="19" t="s">
        <v>40</v>
      </c>
      <c r="O4784" s="19" t="s">
        <v>50</v>
      </c>
      <c r="P4784" s="19">
        <v>2200</v>
      </c>
      <c r="Q4784" s="19">
        <v>2352</v>
      </c>
      <c r="R4784" s="19">
        <f t="shared" si="223"/>
        <v>-152</v>
      </c>
      <c r="S4784" s="19">
        <v>2300</v>
      </c>
      <c r="T4784" s="19" t="s">
        <v>42</v>
      </c>
      <c r="U4784" s="102" t="s">
        <v>1355</v>
      </c>
      <c r="V4784" s="101">
        <v>45225</v>
      </c>
      <c r="W4784" s="17" t="s">
        <v>58</v>
      </c>
      <c r="X4784" s="17"/>
      <c r="Y4784" s="68">
        <v>45283</v>
      </c>
      <c r="Z4784" s="17" t="s">
        <v>1326</v>
      </c>
      <c r="AA4784" s="17" t="s">
        <v>46</v>
      </c>
      <c r="AB4784" s="17" t="s">
        <v>1357</v>
      </c>
      <c r="AC4784" s="217">
        <v>45323</v>
      </c>
      <c r="AD4784" s="65">
        <v>1523</v>
      </c>
      <c r="AE4784" s="17" t="s">
        <v>48</v>
      </c>
      <c r="AF4784" s="17"/>
      <c r="AG4784" s="17"/>
      <c r="AH4784" s="17"/>
      <c r="AI4784" s="17"/>
      <c r="AJ4784" s="17"/>
      <c r="AK4784" s="17"/>
      <c r="AL4784" s="17"/>
      <c r="AM4784" s="17"/>
      <c r="AN4784" s="17"/>
      <c r="AO4784" s="17"/>
      <c r="AP4784" s="17"/>
      <c r="AQ4784" s="17"/>
      <c r="AR4784" s="17"/>
    </row>
    <row r="4785" s="20" customFormat="1" hidden="1" spans="1:44">
      <c r="A4785" s="17" t="s">
        <v>34</v>
      </c>
      <c r="B4785" s="19">
        <v>958</v>
      </c>
      <c r="C4785" s="183">
        <v>45225</v>
      </c>
      <c r="D4785" s="17" t="s">
        <v>52</v>
      </c>
      <c r="E4785" s="17" t="s">
        <v>53</v>
      </c>
      <c r="F4785" s="17" t="s">
        <v>54</v>
      </c>
      <c r="G4785" s="17"/>
      <c r="H4785" s="124">
        <v>1.2344</v>
      </c>
      <c r="I4785" s="124"/>
      <c r="J4785" s="17" t="s">
        <v>82</v>
      </c>
      <c r="K4785" s="295">
        <v>610</v>
      </c>
      <c r="L4785" s="295">
        <v>130</v>
      </c>
      <c r="M4785" s="19">
        <v>5800</v>
      </c>
      <c r="N4785" s="19" t="s">
        <v>40</v>
      </c>
      <c r="O4785" s="19" t="s">
        <v>50</v>
      </c>
      <c r="P4785" s="19">
        <v>2800</v>
      </c>
      <c r="Q4785" s="19">
        <v>2568</v>
      </c>
      <c r="R4785" s="19">
        <f t="shared" si="223"/>
        <v>232</v>
      </c>
      <c r="S4785" s="19">
        <v>2300</v>
      </c>
      <c r="T4785" s="19" t="s">
        <v>42</v>
      </c>
      <c r="U4785" s="102" t="s">
        <v>1355</v>
      </c>
      <c r="V4785" s="101">
        <v>45225</v>
      </c>
      <c r="W4785" s="17" t="s">
        <v>58</v>
      </c>
      <c r="X4785" s="17"/>
      <c r="Y4785" s="68">
        <v>45283</v>
      </c>
      <c r="Z4785" s="17" t="s">
        <v>1326</v>
      </c>
      <c r="AA4785" s="17" t="s">
        <v>46</v>
      </c>
      <c r="AB4785" s="17" t="s">
        <v>1357</v>
      </c>
      <c r="AC4785" s="217">
        <v>45323</v>
      </c>
      <c r="AD4785" s="65">
        <v>1523</v>
      </c>
      <c r="AE4785" s="17" t="s">
        <v>48</v>
      </c>
      <c r="AF4785" s="17"/>
      <c r="AG4785" s="17"/>
      <c r="AH4785" s="17"/>
      <c r="AI4785" s="17"/>
      <c r="AJ4785" s="17"/>
      <c r="AK4785" s="17"/>
      <c r="AL4785" s="17"/>
      <c r="AM4785" s="17"/>
      <c r="AN4785" s="17"/>
      <c r="AO4785" s="17"/>
      <c r="AP4785" s="17"/>
      <c r="AQ4785" s="17"/>
      <c r="AR4785" s="17"/>
    </row>
    <row r="4786" s="20" customFormat="1" hidden="1" spans="1:44">
      <c r="A4786" s="17" t="s">
        <v>34</v>
      </c>
      <c r="B4786" s="19">
        <v>958</v>
      </c>
      <c r="C4786" s="183">
        <v>45225</v>
      </c>
      <c r="D4786" s="17" t="s">
        <v>52</v>
      </c>
      <c r="E4786" s="17" t="s">
        <v>53</v>
      </c>
      <c r="F4786" s="17" t="s">
        <v>54</v>
      </c>
      <c r="G4786" s="17"/>
      <c r="H4786" s="124">
        <v>1.2344</v>
      </c>
      <c r="I4786" s="124"/>
      <c r="J4786" s="17" t="s">
        <v>82</v>
      </c>
      <c r="K4786" s="295">
        <v>610</v>
      </c>
      <c r="L4786" s="295">
        <v>155</v>
      </c>
      <c r="M4786" s="19">
        <v>5800</v>
      </c>
      <c r="N4786" s="19" t="s">
        <v>40</v>
      </c>
      <c r="O4786" s="19" t="s">
        <v>50</v>
      </c>
      <c r="P4786" s="19">
        <v>3200</v>
      </c>
      <c r="Q4786" s="19">
        <v>3266</v>
      </c>
      <c r="R4786" s="19">
        <f t="shared" si="223"/>
        <v>-66</v>
      </c>
      <c r="S4786" s="19">
        <v>2300</v>
      </c>
      <c r="T4786" s="19" t="s">
        <v>42</v>
      </c>
      <c r="U4786" s="102" t="s">
        <v>1355</v>
      </c>
      <c r="V4786" s="101">
        <v>45225</v>
      </c>
      <c r="W4786" s="17" t="s">
        <v>58</v>
      </c>
      <c r="X4786" s="17"/>
      <c r="Y4786" s="68">
        <v>45283</v>
      </c>
      <c r="Z4786" s="17" t="s">
        <v>1326</v>
      </c>
      <c r="AA4786" s="17" t="s">
        <v>46</v>
      </c>
      <c r="AB4786" s="17" t="s">
        <v>1357</v>
      </c>
      <c r="AC4786" s="217">
        <v>45323</v>
      </c>
      <c r="AD4786" s="65">
        <v>1523</v>
      </c>
      <c r="AE4786" s="17" t="s">
        <v>48</v>
      </c>
      <c r="AF4786" s="17"/>
      <c r="AG4786" s="17"/>
      <c r="AH4786" s="17"/>
      <c r="AI4786" s="17"/>
      <c r="AJ4786" s="17"/>
      <c r="AK4786" s="17"/>
      <c r="AL4786" s="17"/>
      <c r="AM4786" s="17"/>
      <c r="AN4786" s="17"/>
      <c r="AO4786" s="17"/>
      <c r="AP4786" s="17"/>
      <c r="AQ4786" s="17"/>
      <c r="AR4786" s="17"/>
    </row>
    <row r="4787" s="20" customFormat="1" hidden="1" spans="1:44">
      <c r="A4787" s="17" t="s">
        <v>34</v>
      </c>
      <c r="B4787" s="19">
        <v>958</v>
      </c>
      <c r="C4787" s="183">
        <v>45225</v>
      </c>
      <c r="D4787" s="17" t="s">
        <v>52</v>
      </c>
      <c r="E4787" s="17" t="s">
        <v>53</v>
      </c>
      <c r="F4787" s="17" t="s">
        <v>54</v>
      </c>
      <c r="G4787" s="17"/>
      <c r="H4787" s="124">
        <v>1.2344</v>
      </c>
      <c r="I4787" s="124"/>
      <c r="J4787" s="17" t="s">
        <v>82</v>
      </c>
      <c r="K4787" s="295">
        <v>610</v>
      </c>
      <c r="L4787" s="295">
        <v>205</v>
      </c>
      <c r="M4787" s="19">
        <v>5800</v>
      </c>
      <c r="N4787" s="19" t="s">
        <v>40</v>
      </c>
      <c r="O4787" s="19" t="s">
        <v>50</v>
      </c>
      <c r="P4787" s="19">
        <v>4500</v>
      </c>
      <c r="Q4787" s="19">
        <v>4410</v>
      </c>
      <c r="R4787" s="19">
        <f t="shared" si="223"/>
        <v>90</v>
      </c>
      <c r="S4787" s="19">
        <v>2300</v>
      </c>
      <c r="T4787" s="19" t="s">
        <v>42</v>
      </c>
      <c r="U4787" s="102" t="s">
        <v>1355</v>
      </c>
      <c r="V4787" s="101">
        <v>45225</v>
      </c>
      <c r="W4787" s="17" t="s">
        <v>58</v>
      </c>
      <c r="X4787" s="17"/>
      <c r="Y4787" s="68">
        <v>45283</v>
      </c>
      <c r="Z4787" s="17" t="s">
        <v>1326</v>
      </c>
      <c r="AA4787" s="17" t="s">
        <v>46</v>
      </c>
      <c r="AB4787" s="17" t="s">
        <v>1356</v>
      </c>
      <c r="AC4787" s="66">
        <v>45291</v>
      </c>
      <c r="AD4787" s="65">
        <v>1514</v>
      </c>
      <c r="AE4787" s="17" t="s">
        <v>48</v>
      </c>
      <c r="AF4787" s="17"/>
      <c r="AG4787" s="17"/>
      <c r="AH4787" s="17"/>
      <c r="AI4787" s="17"/>
      <c r="AJ4787" s="17"/>
      <c r="AK4787" s="17"/>
      <c r="AL4787" s="17"/>
      <c r="AM4787" s="17"/>
      <c r="AN4787" s="17"/>
      <c r="AO4787" s="17"/>
      <c r="AP4787" s="17"/>
      <c r="AQ4787" s="17"/>
      <c r="AR4787" s="17"/>
    </row>
    <row r="4788" s="20" customFormat="1" hidden="1" spans="1:44">
      <c r="A4788" s="17" t="s">
        <v>34</v>
      </c>
      <c r="B4788" s="19">
        <v>958</v>
      </c>
      <c r="C4788" s="183">
        <v>45225</v>
      </c>
      <c r="D4788" s="17" t="s">
        <v>52</v>
      </c>
      <c r="E4788" s="17" t="s">
        <v>53</v>
      </c>
      <c r="F4788" s="17" t="s">
        <v>54</v>
      </c>
      <c r="G4788" s="17"/>
      <c r="H4788" s="124">
        <v>1.2344</v>
      </c>
      <c r="I4788" s="124"/>
      <c r="J4788" s="17" t="s">
        <v>82</v>
      </c>
      <c r="K4788" s="295">
        <v>610</v>
      </c>
      <c r="L4788" s="295">
        <v>255</v>
      </c>
      <c r="M4788" s="19">
        <v>5800</v>
      </c>
      <c r="N4788" s="19" t="s">
        <v>40</v>
      </c>
      <c r="O4788" s="19" t="s">
        <v>50</v>
      </c>
      <c r="P4788" s="19">
        <v>4500</v>
      </c>
      <c r="Q4788" s="19">
        <v>4983</v>
      </c>
      <c r="R4788" s="19">
        <f t="shared" si="223"/>
        <v>-483</v>
      </c>
      <c r="S4788" s="19">
        <v>2300</v>
      </c>
      <c r="T4788" s="19" t="s">
        <v>42</v>
      </c>
      <c r="U4788" s="102" t="s">
        <v>1355</v>
      </c>
      <c r="V4788" s="101">
        <v>45225</v>
      </c>
      <c r="W4788" s="17" t="s">
        <v>58</v>
      </c>
      <c r="X4788" s="17"/>
      <c r="Y4788" s="68">
        <v>45283</v>
      </c>
      <c r="Z4788" s="17" t="s">
        <v>1326</v>
      </c>
      <c r="AA4788" s="17" t="s">
        <v>46</v>
      </c>
      <c r="AB4788" s="17" t="s">
        <v>1356</v>
      </c>
      <c r="AC4788" s="66">
        <v>45291</v>
      </c>
      <c r="AD4788" s="65">
        <v>1514</v>
      </c>
      <c r="AE4788" s="17" t="s">
        <v>48</v>
      </c>
      <c r="AF4788" s="17"/>
      <c r="AG4788" s="17"/>
      <c r="AH4788" s="17"/>
      <c r="AI4788" s="17"/>
      <c r="AJ4788" s="17"/>
      <c r="AK4788" s="17"/>
      <c r="AL4788" s="17"/>
      <c r="AM4788" s="17"/>
      <c r="AN4788" s="17"/>
      <c r="AO4788" s="17"/>
      <c r="AP4788" s="17"/>
      <c r="AQ4788" s="17"/>
      <c r="AR4788" s="17"/>
    </row>
    <row r="4789" s="20" customFormat="1" hidden="1" spans="1:44">
      <c r="A4789" s="17" t="s">
        <v>34</v>
      </c>
      <c r="B4789" s="19">
        <v>958</v>
      </c>
      <c r="C4789" s="183">
        <v>45225</v>
      </c>
      <c r="D4789" s="17" t="s">
        <v>52</v>
      </c>
      <c r="E4789" s="17" t="s">
        <v>53</v>
      </c>
      <c r="F4789" s="17" t="s">
        <v>54</v>
      </c>
      <c r="G4789" s="17"/>
      <c r="H4789" s="124">
        <v>1.2344</v>
      </c>
      <c r="I4789" s="124"/>
      <c r="J4789" s="17" t="s">
        <v>82</v>
      </c>
      <c r="K4789" s="295">
        <v>610</v>
      </c>
      <c r="L4789" s="295">
        <v>305</v>
      </c>
      <c r="M4789" s="19">
        <v>5800</v>
      </c>
      <c r="N4789" s="19" t="s">
        <v>40</v>
      </c>
      <c r="O4789" s="19" t="s">
        <v>50</v>
      </c>
      <c r="P4789" s="19">
        <v>4500</v>
      </c>
      <c r="Q4789" s="19">
        <v>4738</v>
      </c>
      <c r="R4789" s="19">
        <f t="shared" si="223"/>
        <v>-238</v>
      </c>
      <c r="S4789" s="19">
        <v>2300</v>
      </c>
      <c r="T4789" s="19" t="s">
        <v>42</v>
      </c>
      <c r="U4789" s="102" t="s">
        <v>1355</v>
      </c>
      <c r="V4789" s="101">
        <v>45225</v>
      </c>
      <c r="W4789" s="17" t="s">
        <v>58</v>
      </c>
      <c r="X4789" s="17"/>
      <c r="Y4789" s="68">
        <v>45283</v>
      </c>
      <c r="Z4789" s="17" t="s">
        <v>1326</v>
      </c>
      <c r="AA4789" s="17" t="s">
        <v>46</v>
      </c>
      <c r="AB4789" s="17" t="s">
        <v>1356</v>
      </c>
      <c r="AC4789" s="66">
        <v>45291</v>
      </c>
      <c r="AD4789" s="65">
        <v>1514</v>
      </c>
      <c r="AE4789" s="17" t="s">
        <v>48</v>
      </c>
      <c r="AF4789" s="17"/>
      <c r="AG4789" s="17"/>
      <c r="AH4789" s="17"/>
      <c r="AI4789" s="17"/>
      <c r="AJ4789" s="17"/>
      <c r="AK4789" s="17"/>
      <c r="AL4789" s="17"/>
      <c r="AM4789" s="17"/>
      <c r="AN4789" s="17"/>
      <c r="AO4789" s="17"/>
      <c r="AP4789" s="17"/>
      <c r="AQ4789" s="17"/>
      <c r="AR4789" s="17"/>
    </row>
    <row r="4790" s="20" customFormat="1" hidden="1" spans="1:44">
      <c r="A4790" s="17" t="s">
        <v>34</v>
      </c>
      <c r="B4790" s="19">
        <v>959</v>
      </c>
      <c r="C4790" s="183">
        <v>45225</v>
      </c>
      <c r="D4790" s="17" t="s">
        <v>52</v>
      </c>
      <c r="E4790" s="17" t="s">
        <v>1113</v>
      </c>
      <c r="F4790" s="17" t="s">
        <v>54</v>
      </c>
      <c r="G4790" s="17"/>
      <c r="H4790" s="124">
        <v>1.2311</v>
      </c>
      <c r="I4790" s="124"/>
      <c r="J4790" s="17" t="s">
        <v>49</v>
      </c>
      <c r="K4790" s="19">
        <v>2200</v>
      </c>
      <c r="L4790" s="19">
        <v>32</v>
      </c>
      <c r="M4790" s="19">
        <v>5000</v>
      </c>
      <c r="N4790" s="19" t="s">
        <v>66</v>
      </c>
      <c r="O4790" s="19" t="s">
        <v>141</v>
      </c>
      <c r="P4790" s="19">
        <v>5526</v>
      </c>
      <c r="Q4790" s="19">
        <f>3050+3095</f>
        <v>6145</v>
      </c>
      <c r="R4790" s="21"/>
      <c r="S4790" s="19">
        <v>930</v>
      </c>
      <c r="T4790" s="19" t="s">
        <v>42</v>
      </c>
      <c r="U4790" s="102" t="s">
        <v>1358</v>
      </c>
      <c r="V4790" s="101">
        <v>45248</v>
      </c>
      <c r="W4790" s="17" t="s">
        <v>44</v>
      </c>
      <c r="X4790" s="17"/>
      <c r="Y4790" s="68">
        <v>45283</v>
      </c>
      <c r="Z4790" s="17" t="s">
        <v>191</v>
      </c>
      <c r="AA4790" s="17" t="s">
        <v>46</v>
      </c>
      <c r="AB4790" s="17" t="s">
        <v>1235</v>
      </c>
      <c r="AC4790" s="217">
        <v>45272</v>
      </c>
      <c r="AD4790" s="65">
        <v>1497</v>
      </c>
      <c r="AE4790" s="17" t="s">
        <v>48</v>
      </c>
      <c r="AF4790" s="17"/>
      <c r="AG4790" s="17"/>
      <c r="AH4790" s="17"/>
      <c r="AI4790" s="17"/>
      <c r="AJ4790" s="17"/>
      <c r="AK4790" s="17"/>
      <c r="AL4790" s="17"/>
      <c r="AM4790" s="17"/>
      <c r="AN4790" s="17"/>
      <c r="AO4790" s="17"/>
      <c r="AP4790" s="17"/>
      <c r="AQ4790" s="17"/>
      <c r="AR4790" s="17"/>
    </row>
    <row r="4791" s="20" customFormat="1" hidden="1" spans="1:44">
      <c r="A4791" s="17" t="s">
        <v>34</v>
      </c>
      <c r="B4791" s="19">
        <v>959</v>
      </c>
      <c r="C4791" s="183">
        <v>45225</v>
      </c>
      <c r="D4791" s="17" t="s">
        <v>52</v>
      </c>
      <c r="E4791" s="17" t="s">
        <v>1113</v>
      </c>
      <c r="F4791" s="17" t="s">
        <v>54</v>
      </c>
      <c r="G4791" s="17"/>
      <c r="H4791" s="124">
        <v>1.2311</v>
      </c>
      <c r="I4791" s="124"/>
      <c r="J4791" s="17" t="s">
        <v>49</v>
      </c>
      <c r="K4791" s="19">
        <v>2200</v>
      </c>
      <c r="L4791" s="19">
        <v>32</v>
      </c>
      <c r="M4791" s="19">
        <v>5000</v>
      </c>
      <c r="N4791" s="19" t="s">
        <v>66</v>
      </c>
      <c r="O4791" s="19" t="s">
        <v>141</v>
      </c>
      <c r="P4791" s="19"/>
      <c r="Q4791" s="19">
        <v>3420</v>
      </c>
      <c r="R4791" s="19">
        <f>+P4790-Q4790-Q4791</f>
        <v>-4039</v>
      </c>
      <c r="S4791" s="19">
        <v>830</v>
      </c>
      <c r="T4791" s="19" t="s">
        <v>42</v>
      </c>
      <c r="U4791" s="102" t="s">
        <v>1358</v>
      </c>
      <c r="V4791" s="101">
        <v>45248</v>
      </c>
      <c r="W4791" s="17" t="s">
        <v>44</v>
      </c>
      <c r="X4791" s="17"/>
      <c r="Y4791" s="68">
        <v>45283</v>
      </c>
      <c r="Z4791" s="17" t="s">
        <v>191</v>
      </c>
      <c r="AA4791" s="17" t="s">
        <v>46</v>
      </c>
      <c r="AB4791" s="17" t="s">
        <v>1240</v>
      </c>
      <c r="AC4791" s="217">
        <v>45372</v>
      </c>
      <c r="AD4791" s="65">
        <v>1542</v>
      </c>
      <c r="AE4791" s="17" t="s">
        <v>48</v>
      </c>
      <c r="AF4791" s="17"/>
      <c r="AG4791" s="17"/>
      <c r="AH4791" s="17"/>
      <c r="AI4791" s="17"/>
      <c r="AJ4791" s="17"/>
      <c r="AK4791" s="17"/>
      <c r="AL4791" s="17"/>
      <c r="AM4791" s="17"/>
      <c r="AN4791" s="17"/>
      <c r="AO4791" s="17"/>
      <c r="AP4791" s="17"/>
      <c r="AQ4791" s="17"/>
      <c r="AR4791" s="17"/>
    </row>
    <row r="4792" s="20" customFormat="1" hidden="1" spans="1:44">
      <c r="A4792" s="17" t="s">
        <v>34</v>
      </c>
      <c r="B4792" s="19">
        <v>959</v>
      </c>
      <c r="C4792" s="183">
        <v>45225</v>
      </c>
      <c r="D4792" s="17" t="s">
        <v>52</v>
      </c>
      <c r="E4792" s="17" t="s">
        <v>1113</v>
      </c>
      <c r="F4792" s="17" t="s">
        <v>54</v>
      </c>
      <c r="G4792" s="17"/>
      <c r="H4792" s="124">
        <v>1.2311</v>
      </c>
      <c r="I4792" s="124"/>
      <c r="J4792" s="17" t="s">
        <v>49</v>
      </c>
      <c r="K4792" s="19">
        <v>2200</v>
      </c>
      <c r="L4792" s="19">
        <v>36</v>
      </c>
      <c r="M4792" s="19">
        <v>5000</v>
      </c>
      <c r="N4792" s="19" t="s">
        <v>66</v>
      </c>
      <c r="O4792" s="19" t="s">
        <v>141</v>
      </c>
      <c r="P4792" s="19">
        <v>3109</v>
      </c>
      <c r="Q4792" s="19">
        <v>3330</v>
      </c>
      <c r="R4792" s="19">
        <f t="shared" ref="R4792:R4797" si="224">+P4792-Q4792</f>
        <v>-221</v>
      </c>
      <c r="S4792" s="19">
        <v>930</v>
      </c>
      <c r="T4792" s="19" t="s">
        <v>42</v>
      </c>
      <c r="U4792" s="102" t="s">
        <v>1358</v>
      </c>
      <c r="V4792" s="101">
        <v>45248</v>
      </c>
      <c r="W4792" s="17" t="s">
        <v>44</v>
      </c>
      <c r="X4792" s="17"/>
      <c r="Y4792" s="68">
        <v>45283</v>
      </c>
      <c r="Z4792" s="17" t="s">
        <v>191</v>
      </c>
      <c r="AA4792" s="17" t="s">
        <v>46</v>
      </c>
      <c r="AB4792" s="17" t="s">
        <v>1260</v>
      </c>
      <c r="AC4792" s="66">
        <v>45288</v>
      </c>
      <c r="AD4792" s="65">
        <v>1507</v>
      </c>
      <c r="AE4792" s="17" t="s">
        <v>48</v>
      </c>
      <c r="AF4792" s="17"/>
      <c r="AG4792" s="17"/>
      <c r="AH4792" s="17"/>
      <c r="AI4792" s="17"/>
      <c r="AJ4792" s="17"/>
      <c r="AK4792" s="17"/>
      <c r="AL4792" s="17"/>
      <c r="AM4792" s="17"/>
      <c r="AN4792" s="17"/>
      <c r="AO4792" s="17"/>
      <c r="AP4792" s="17"/>
      <c r="AQ4792" s="17"/>
      <c r="AR4792" s="17"/>
    </row>
    <row r="4793" s="20" customFormat="1" hidden="1" spans="1:44">
      <c r="A4793" s="17" t="s">
        <v>34</v>
      </c>
      <c r="B4793" s="19">
        <v>959</v>
      </c>
      <c r="C4793" s="183">
        <v>45225</v>
      </c>
      <c r="D4793" s="17" t="s">
        <v>52</v>
      </c>
      <c r="E4793" s="17" t="s">
        <v>1113</v>
      </c>
      <c r="F4793" s="17" t="s">
        <v>54</v>
      </c>
      <c r="G4793" s="17"/>
      <c r="H4793" s="124">
        <v>1.2311</v>
      </c>
      <c r="I4793" s="124"/>
      <c r="J4793" s="17" t="s">
        <v>49</v>
      </c>
      <c r="K4793" s="19">
        <v>2200</v>
      </c>
      <c r="L4793" s="19">
        <v>40</v>
      </c>
      <c r="M4793" s="19">
        <v>5000</v>
      </c>
      <c r="N4793" s="19" t="s">
        <v>66</v>
      </c>
      <c r="O4793" s="19" t="s">
        <v>141</v>
      </c>
      <c r="P4793" s="19">
        <v>6908</v>
      </c>
      <c r="Q4793" s="19">
        <f>3922+3960</f>
        <v>7882</v>
      </c>
      <c r="R4793" s="19">
        <f t="shared" si="224"/>
        <v>-974</v>
      </c>
      <c r="S4793" s="19">
        <v>930</v>
      </c>
      <c r="T4793" s="19" t="s">
        <v>42</v>
      </c>
      <c r="U4793" s="102" t="s">
        <v>1358</v>
      </c>
      <c r="V4793" s="101">
        <v>45248</v>
      </c>
      <c r="W4793" s="17" t="s">
        <v>44</v>
      </c>
      <c r="X4793" s="17"/>
      <c r="Y4793" s="68">
        <v>45283</v>
      </c>
      <c r="Z4793" s="17" t="s">
        <v>191</v>
      </c>
      <c r="AA4793" s="17" t="s">
        <v>46</v>
      </c>
      <c r="AB4793" s="17" t="s">
        <v>1235</v>
      </c>
      <c r="AC4793" s="217">
        <v>45272</v>
      </c>
      <c r="AD4793" s="65">
        <v>1497</v>
      </c>
      <c r="AE4793" s="17" t="s">
        <v>48</v>
      </c>
      <c r="AF4793" s="17"/>
      <c r="AG4793" s="17"/>
      <c r="AH4793" s="17"/>
      <c r="AI4793" s="17"/>
      <c r="AJ4793" s="17"/>
      <c r="AK4793" s="17"/>
      <c r="AL4793" s="17"/>
      <c r="AM4793" s="17"/>
      <c r="AN4793" s="17"/>
      <c r="AO4793" s="17"/>
      <c r="AP4793" s="17"/>
      <c r="AQ4793" s="17"/>
      <c r="AR4793" s="17"/>
    </row>
    <row r="4794" s="20" customFormat="1" hidden="1" spans="1:44">
      <c r="A4794" s="17" t="s">
        <v>34</v>
      </c>
      <c r="B4794" s="19">
        <v>959</v>
      </c>
      <c r="C4794" s="183">
        <v>45225</v>
      </c>
      <c r="D4794" s="17" t="s">
        <v>52</v>
      </c>
      <c r="E4794" s="17" t="s">
        <v>1113</v>
      </c>
      <c r="F4794" s="17" t="s">
        <v>54</v>
      </c>
      <c r="G4794" s="17"/>
      <c r="H4794" s="124">
        <v>1.2311</v>
      </c>
      <c r="I4794" s="124"/>
      <c r="J4794" s="17" t="s">
        <v>49</v>
      </c>
      <c r="K4794" s="19">
        <v>2200</v>
      </c>
      <c r="L4794" s="19">
        <v>45</v>
      </c>
      <c r="M4794" s="19">
        <v>5000</v>
      </c>
      <c r="N4794" s="19" t="s">
        <v>66</v>
      </c>
      <c r="O4794" s="19" t="s">
        <v>141</v>
      </c>
      <c r="P4794" s="19">
        <v>3886</v>
      </c>
      <c r="Q4794" s="19">
        <v>3870</v>
      </c>
      <c r="R4794" s="19">
        <f t="shared" si="224"/>
        <v>16</v>
      </c>
      <c r="S4794" s="19">
        <v>930</v>
      </c>
      <c r="T4794" s="19" t="s">
        <v>42</v>
      </c>
      <c r="U4794" s="102" t="s">
        <v>1358</v>
      </c>
      <c r="V4794" s="101">
        <v>45248</v>
      </c>
      <c r="W4794" s="17" t="s">
        <v>44</v>
      </c>
      <c r="X4794" s="17"/>
      <c r="Y4794" s="68">
        <v>45283</v>
      </c>
      <c r="Z4794" s="17" t="s">
        <v>191</v>
      </c>
      <c r="AA4794" s="17" t="s">
        <v>46</v>
      </c>
      <c r="AB4794" s="17" t="s">
        <v>1238</v>
      </c>
      <c r="AC4794" s="66">
        <v>45280</v>
      </c>
      <c r="AD4794" s="65">
        <v>1500</v>
      </c>
      <c r="AE4794" s="17" t="s">
        <v>48</v>
      </c>
      <c r="AF4794" s="17"/>
      <c r="AG4794" s="17"/>
      <c r="AH4794" s="17"/>
      <c r="AI4794" s="17"/>
      <c r="AJ4794" s="17"/>
      <c r="AK4794" s="17"/>
      <c r="AL4794" s="17"/>
      <c r="AM4794" s="17"/>
      <c r="AN4794" s="17"/>
      <c r="AO4794" s="17"/>
      <c r="AP4794" s="17"/>
      <c r="AQ4794" s="17"/>
      <c r="AR4794" s="17"/>
    </row>
    <row r="4795" s="20" customFormat="1" hidden="1" spans="1:44">
      <c r="A4795" s="17" t="s">
        <v>34</v>
      </c>
      <c r="B4795" s="19">
        <v>959</v>
      </c>
      <c r="C4795" s="183">
        <v>45225</v>
      </c>
      <c r="D4795" s="17" t="s">
        <v>52</v>
      </c>
      <c r="E4795" s="17" t="s">
        <v>1113</v>
      </c>
      <c r="F4795" s="17" t="s">
        <v>54</v>
      </c>
      <c r="G4795" s="17"/>
      <c r="H4795" s="124">
        <v>1.2311</v>
      </c>
      <c r="I4795" s="124"/>
      <c r="J4795" s="17" t="s">
        <v>49</v>
      </c>
      <c r="K4795" s="19">
        <v>2200</v>
      </c>
      <c r="L4795" s="19">
        <v>50</v>
      </c>
      <c r="M4795" s="19">
        <v>5000</v>
      </c>
      <c r="N4795" s="19" t="s">
        <v>66</v>
      </c>
      <c r="O4795" s="19" t="s">
        <v>141</v>
      </c>
      <c r="P4795" s="19">
        <v>8635</v>
      </c>
      <c r="Q4795" s="19">
        <f>5190+5200</f>
        <v>10390</v>
      </c>
      <c r="R4795" s="19">
        <f t="shared" si="224"/>
        <v>-1755</v>
      </c>
      <c r="S4795" s="19">
        <v>930</v>
      </c>
      <c r="T4795" s="19" t="s">
        <v>42</v>
      </c>
      <c r="U4795" s="102" t="s">
        <v>1358</v>
      </c>
      <c r="V4795" s="101">
        <v>45248</v>
      </c>
      <c r="W4795" s="17" t="s">
        <v>44</v>
      </c>
      <c r="X4795" s="17"/>
      <c r="Y4795" s="68">
        <v>45283</v>
      </c>
      <c r="Z4795" s="17" t="s">
        <v>191</v>
      </c>
      <c r="AA4795" s="17" t="s">
        <v>46</v>
      </c>
      <c r="AB4795" s="17" t="s">
        <v>1282</v>
      </c>
      <c r="AC4795" s="217">
        <v>45017</v>
      </c>
      <c r="AD4795" s="65">
        <v>1512</v>
      </c>
      <c r="AE4795" s="17" t="s">
        <v>48</v>
      </c>
      <c r="AF4795" s="17"/>
      <c r="AG4795" s="17"/>
      <c r="AH4795" s="17"/>
      <c r="AI4795" s="17"/>
      <c r="AJ4795" s="17"/>
      <c r="AK4795" s="17"/>
      <c r="AL4795" s="17"/>
      <c r="AM4795" s="17"/>
      <c r="AN4795" s="17"/>
      <c r="AO4795" s="17"/>
      <c r="AP4795" s="17"/>
      <c r="AQ4795" s="17"/>
      <c r="AR4795" s="17"/>
    </row>
    <row r="4796" s="20" customFormat="1" hidden="1" spans="1:44">
      <c r="A4796" s="17" t="s">
        <v>34</v>
      </c>
      <c r="B4796" s="19">
        <v>959</v>
      </c>
      <c r="C4796" s="183">
        <v>45225</v>
      </c>
      <c r="D4796" s="17" t="s">
        <v>52</v>
      </c>
      <c r="E4796" s="17" t="s">
        <v>1113</v>
      </c>
      <c r="F4796" s="17" t="s">
        <v>54</v>
      </c>
      <c r="G4796" s="17"/>
      <c r="H4796" s="124">
        <v>1.2311</v>
      </c>
      <c r="I4796" s="124"/>
      <c r="J4796" s="17" t="s">
        <v>49</v>
      </c>
      <c r="K4796" s="19">
        <v>2200</v>
      </c>
      <c r="L4796" s="19">
        <v>56</v>
      </c>
      <c r="M4796" s="19">
        <v>5000</v>
      </c>
      <c r="N4796" s="19" t="s">
        <v>66</v>
      </c>
      <c r="O4796" s="19" t="s">
        <v>141</v>
      </c>
      <c r="P4796" s="19">
        <v>4836</v>
      </c>
      <c r="Q4796" s="19">
        <v>5240</v>
      </c>
      <c r="R4796" s="19">
        <f t="shared" si="224"/>
        <v>-404</v>
      </c>
      <c r="S4796" s="19">
        <v>930</v>
      </c>
      <c r="T4796" s="19" t="s">
        <v>42</v>
      </c>
      <c r="U4796" s="102" t="s">
        <v>1358</v>
      </c>
      <c r="V4796" s="101">
        <v>45248</v>
      </c>
      <c r="W4796" s="17" t="s">
        <v>44</v>
      </c>
      <c r="X4796" s="17"/>
      <c r="Y4796" s="68">
        <v>45283</v>
      </c>
      <c r="Z4796" s="17" t="s">
        <v>191</v>
      </c>
      <c r="AA4796" s="17" t="s">
        <v>46</v>
      </c>
      <c r="AB4796" s="17" t="s">
        <v>1233</v>
      </c>
      <c r="AC4796" s="66">
        <v>45288</v>
      </c>
      <c r="AD4796" s="65">
        <v>1506</v>
      </c>
      <c r="AE4796" s="17" t="s">
        <v>48</v>
      </c>
      <c r="AF4796" s="17"/>
      <c r="AG4796" s="17"/>
      <c r="AH4796" s="17"/>
      <c r="AI4796" s="17"/>
      <c r="AJ4796" s="17"/>
      <c r="AK4796" s="17"/>
      <c r="AL4796" s="17"/>
      <c r="AM4796" s="17"/>
      <c r="AN4796" s="17"/>
      <c r="AO4796" s="17"/>
      <c r="AP4796" s="17"/>
      <c r="AQ4796" s="17"/>
      <c r="AR4796" s="17"/>
    </row>
    <row r="4797" s="21" customFormat="1" hidden="1" spans="1:44">
      <c r="A4797" s="17" t="s">
        <v>34</v>
      </c>
      <c r="B4797" s="19">
        <v>959</v>
      </c>
      <c r="C4797" s="183">
        <v>45225</v>
      </c>
      <c r="D4797" s="17" t="s">
        <v>52</v>
      </c>
      <c r="E4797" s="17" t="s">
        <v>1113</v>
      </c>
      <c r="F4797" s="17" t="s">
        <v>54</v>
      </c>
      <c r="G4797" s="17"/>
      <c r="H4797" s="124">
        <v>1.2311</v>
      </c>
      <c r="I4797" s="124"/>
      <c r="J4797" s="17" t="s">
        <v>49</v>
      </c>
      <c r="K4797" s="19">
        <v>2200</v>
      </c>
      <c r="L4797" s="19">
        <v>61</v>
      </c>
      <c r="M4797" s="19">
        <v>5000</v>
      </c>
      <c r="N4797" s="19" t="s">
        <v>66</v>
      </c>
      <c r="O4797" s="19" t="s">
        <v>141</v>
      </c>
      <c r="P4797" s="19">
        <v>5267</v>
      </c>
      <c r="Q4797" s="19">
        <v>5230</v>
      </c>
      <c r="R4797" s="19">
        <f t="shared" si="224"/>
        <v>37</v>
      </c>
      <c r="S4797" s="19">
        <f>930-100</f>
        <v>830</v>
      </c>
      <c r="T4797" s="19" t="s">
        <v>42</v>
      </c>
      <c r="U4797" s="102" t="s">
        <v>1358</v>
      </c>
      <c r="V4797" s="101">
        <v>45248</v>
      </c>
      <c r="W4797" s="17" t="s">
        <v>44</v>
      </c>
      <c r="X4797" s="17"/>
      <c r="Y4797" s="68">
        <v>45283</v>
      </c>
      <c r="Z4797" s="17" t="s">
        <v>191</v>
      </c>
      <c r="AA4797" s="17" t="s">
        <v>46</v>
      </c>
      <c r="AB4797" s="17" t="s">
        <v>1249</v>
      </c>
      <c r="AC4797" s="217">
        <v>45380</v>
      </c>
      <c r="AD4797" s="65">
        <v>1547</v>
      </c>
      <c r="AE4797" s="17" t="s">
        <v>48</v>
      </c>
      <c r="AF4797" s="17"/>
      <c r="AG4797" s="17"/>
      <c r="AH4797" s="17"/>
      <c r="AI4797" s="17"/>
      <c r="AJ4797" s="17"/>
      <c r="AK4797" s="17"/>
      <c r="AL4797" s="17"/>
      <c r="AM4797" s="17"/>
      <c r="AN4797" s="17"/>
      <c r="AO4797" s="17"/>
      <c r="AP4797" s="17"/>
      <c r="AQ4797" s="17"/>
      <c r="AR4797" s="17"/>
    </row>
    <row r="4798" s="21" customFormat="1" hidden="1" spans="1:44">
      <c r="A4798" s="17" t="s">
        <v>34</v>
      </c>
      <c r="B4798" s="19">
        <v>959</v>
      </c>
      <c r="C4798" s="183">
        <v>45225</v>
      </c>
      <c r="D4798" s="17" t="s">
        <v>52</v>
      </c>
      <c r="E4798" s="17" t="s">
        <v>1113</v>
      </c>
      <c r="F4798" s="17" t="s">
        <v>54</v>
      </c>
      <c r="G4798" s="17"/>
      <c r="H4798" s="124">
        <v>1.2311</v>
      </c>
      <c r="I4798" s="124"/>
      <c r="J4798" s="17" t="s">
        <v>49</v>
      </c>
      <c r="K4798" s="19">
        <v>2200</v>
      </c>
      <c r="L4798" s="19">
        <v>65</v>
      </c>
      <c r="M4798" s="19">
        <v>5000</v>
      </c>
      <c r="N4798" s="19" t="s">
        <v>66</v>
      </c>
      <c r="O4798" s="19" t="s">
        <v>141</v>
      </c>
      <c r="P4798" s="19">
        <v>11226</v>
      </c>
      <c r="Q4798" s="19">
        <v>5982</v>
      </c>
      <c r="S4798" s="19">
        <f>930-100</f>
        <v>830</v>
      </c>
      <c r="T4798" s="19" t="s">
        <v>42</v>
      </c>
      <c r="U4798" s="102" t="s">
        <v>1358</v>
      </c>
      <c r="V4798" s="101">
        <v>45248</v>
      </c>
      <c r="W4798" s="17" t="s">
        <v>44</v>
      </c>
      <c r="X4798" s="17"/>
      <c r="Y4798" s="68">
        <v>45283</v>
      </c>
      <c r="Z4798" s="17" t="s">
        <v>191</v>
      </c>
      <c r="AA4798" s="17" t="s">
        <v>46</v>
      </c>
      <c r="AB4798" s="17" t="s">
        <v>1284</v>
      </c>
      <c r="AC4798" s="66">
        <v>45372</v>
      </c>
      <c r="AD4798" s="65">
        <v>1543</v>
      </c>
      <c r="AE4798" s="17" t="s">
        <v>48</v>
      </c>
      <c r="AF4798" s="17"/>
      <c r="AG4798" s="17"/>
      <c r="AH4798" s="17"/>
      <c r="AI4798" s="17"/>
      <c r="AJ4798" s="17"/>
      <c r="AK4798" s="17"/>
      <c r="AL4798" s="17"/>
      <c r="AM4798" s="17"/>
      <c r="AN4798" s="17"/>
      <c r="AO4798" s="17"/>
      <c r="AP4798" s="17"/>
      <c r="AQ4798" s="17"/>
      <c r="AR4798" s="17"/>
    </row>
    <row r="4799" s="21" customFormat="1" hidden="1" spans="1:44">
      <c r="A4799" s="17" t="s">
        <v>34</v>
      </c>
      <c r="B4799" s="19">
        <v>959</v>
      </c>
      <c r="C4799" s="183">
        <v>45225</v>
      </c>
      <c r="D4799" s="17" t="s">
        <v>52</v>
      </c>
      <c r="E4799" s="17" t="s">
        <v>1113</v>
      </c>
      <c r="F4799" s="17" t="s">
        <v>54</v>
      </c>
      <c r="G4799" s="17"/>
      <c r="H4799" s="124">
        <v>1.2311</v>
      </c>
      <c r="I4799" s="124"/>
      <c r="J4799" s="17" t="s">
        <v>49</v>
      </c>
      <c r="K4799" s="19">
        <v>2200</v>
      </c>
      <c r="L4799" s="19">
        <v>65</v>
      </c>
      <c r="M4799" s="19">
        <v>5000</v>
      </c>
      <c r="N4799" s="19" t="s">
        <v>66</v>
      </c>
      <c r="O4799" s="19" t="s">
        <v>141</v>
      </c>
      <c r="P4799" s="19"/>
      <c r="Q4799" s="19">
        <v>6430</v>
      </c>
      <c r="R4799" s="19">
        <f>+P4798-Q4798-Q4799</f>
        <v>-1186</v>
      </c>
      <c r="S4799" s="19">
        <f>930-100</f>
        <v>830</v>
      </c>
      <c r="T4799" s="19" t="s">
        <v>42</v>
      </c>
      <c r="U4799" s="102" t="s">
        <v>1358</v>
      </c>
      <c r="V4799" s="101">
        <v>45248</v>
      </c>
      <c r="W4799" s="17" t="s">
        <v>44</v>
      </c>
      <c r="X4799" s="17"/>
      <c r="Y4799" s="68">
        <v>45283</v>
      </c>
      <c r="Z4799" s="17" t="s">
        <v>191</v>
      </c>
      <c r="AA4799" s="17" t="s">
        <v>46</v>
      </c>
      <c r="AB4799" s="17" t="s">
        <v>1249</v>
      </c>
      <c r="AC4799" s="217">
        <v>45380</v>
      </c>
      <c r="AD4799" s="65">
        <v>1547</v>
      </c>
      <c r="AE4799" s="17" t="s">
        <v>48</v>
      </c>
      <c r="AF4799" s="17"/>
      <c r="AG4799" s="17"/>
      <c r="AH4799" s="17"/>
      <c r="AI4799" s="17"/>
      <c r="AJ4799" s="17"/>
      <c r="AK4799" s="17"/>
      <c r="AL4799" s="17"/>
      <c r="AM4799" s="17"/>
      <c r="AN4799" s="17"/>
      <c r="AO4799" s="17"/>
      <c r="AP4799" s="17"/>
      <c r="AQ4799" s="17"/>
      <c r="AR4799" s="17"/>
    </row>
    <row r="4800" s="20" customFormat="1" hidden="1" spans="1:44">
      <c r="A4800" s="17" t="s">
        <v>34</v>
      </c>
      <c r="B4800" s="19">
        <v>959</v>
      </c>
      <c r="C4800" s="183">
        <v>45225</v>
      </c>
      <c r="D4800" s="17" t="s">
        <v>52</v>
      </c>
      <c r="E4800" s="17" t="s">
        <v>1113</v>
      </c>
      <c r="F4800" s="17" t="s">
        <v>54</v>
      </c>
      <c r="G4800" s="17"/>
      <c r="H4800" s="124">
        <v>1.2311</v>
      </c>
      <c r="I4800" s="124"/>
      <c r="J4800" s="17" t="s">
        <v>49</v>
      </c>
      <c r="K4800" s="19">
        <v>2200</v>
      </c>
      <c r="L4800" s="19">
        <v>71</v>
      </c>
      <c r="M4800" s="19">
        <v>5000</v>
      </c>
      <c r="N4800" s="19" t="s">
        <v>66</v>
      </c>
      <c r="O4800" s="19" t="s">
        <v>141</v>
      </c>
      <c r="P4800" s="19">
        <v>6131</v>
      </c>
      <c r="Q4800" s="19">
        <f>6740</f>
        <v>6740</v>
      </c>
      <c r="R4800" s="19">
        <f t="shared" ref="R4800:R4810" si="225">+P4800-Q4800</f>
        <v>-609</v>
      </c>
      <c r="S4800" s="19">
        <v>930</v>
      </c>
      <c r="T4800" s="19" t="s">
        <v>42</v>
      </c>
      <c r="U4800" s="102" t="s">
        <v>1358</v>
      </c>
      <c r="V4800" s="101">
        <v>45248</v>
      </c>
      <c r="W4800" s="17" t="s">
        <v>44</v>
      </c>
      <c r="X4800" s="17"/>
      <c r="Y4800" s="68">
        <v>45283</v>
      </c>
      <c r="Z4800" s="17" t="s">
        <v>191</v>
      </c>
      <c r="AA4800" s="17" t="s">
        <v>46</v>
      </c>
      <c r="AB4800" s="17" t="s">
        <v>1235</v>
      </c>
      <c r="AC4800" s="217">
        <v>45272</v>
      </c>
      <c r="AD4800" s="65">
        <v>1497</v>
      </c>
      <c r="AE4800" s="17" t="s">
        <v>48</v>
      </c>
      <c r="AF4800" s="17"/>
      <c r="AG4800" s="17"/>
      <c r="AH4800" s="17"/>
      <c r="AI4800" s="17"/>
      <c r="AJ4800" s="17"/>
      <c r="AK4800" s="17"/>
      <c r="AL4800" s="17"/>
      <c r="AM4800" s="17"/>
      <c r="AN4800" s="17"/>
      <c r="AO4800" s="17"/>
      <c r="AP4800" s="17"/>
      <c r="AQ4800" s="17"/>
      <c r="AR4800" s="17"/>
    </row>
    <row r="4801" s="21" customFormat="1" hidden="1" spans="1:44">
      <c r="A4801" s="17" t="s">
        <v>34</v>
      </c>
      <c r="B4801" s="19">
        <v>959</v>
      </c>
      <c r="C4801" s="183">
        <v>45225</v>
      </c>
      <c r="D4801" s="17" t="s">
        <v>52</v>
      </c>
      <c r="E4801" s="17" t="s">
        <v>1113</v>
      </c>
      <c r="F4801" s="17" t="s">
        <v>54</v>
      </c>
      <c r="G4801" s="17"/>
      <c r="H4801" s="124">
        <v>1.2311</v>
      </c>
      <c r="I4801" s="124"/>
      <c r="J4801" s="17" t="s">
        <v>49</v>
      </c>
      <c r="K4801" s="19">
        <v>2200</v>
      </c>
      <c r="L4801" s="19">
        <v>81</v>
      </c>
      <c r="M4801" s="19">
        <v>5000</v>
      </c>
      <c r="N4801" s="19" t="s">
        <v>66</v>
      </c>
      <c r="O4801" s="19" t="s">
        <v>141</v>
      </c>
      <c r="P4801" s="19">
        <v>6994</v>
      </c>
      <c r="Q4801" s="19">
        <f>5070+5090</f>
        <v>10160</v>
      </c>
      <c r="R4801" s="19">
        <f t="shared" si="225"/>
        <v>-3166</v>
      </c>
      <c r="S4801" s="19">
        <v>930</v>
      </c>
      <c r="T4801" s="19" t="s">
        <v>42</v>
      </c>
      <c r="U4801" s="102" t="s">
        <v>1358</v>
      </c>
      <c r="V4801" s="101">
        <v>45248</v>
      </c>
      <c r="W4801" s="17" t="s">
        <v>44</v>
      </c>
      <c r="X4801" s="17"/>
      <c r="Y4801" s="68">
        <v>45283</v>
      </c>
      <c r="Z4801" s="17" t="s">
        <v>191</v>
      </c>
      <c r="AA4801" s="17" t="s">
        <v>46</v>
      </c>
      <c r="AB4801" s="17" t="s">
        <v>1294</v>
      </c>
      <c r="AC4801" s="217">
        <v>45352</v>
      </c>
      <c r="AD4801" s="65">
        <v>1534</v>
      </c>
      <c r="AE4801" s="17" t="s">
        <v>48</v>
      </c>
      <c r="AF4801" s="17"/>
      <c r="AG4801" s="17"/>
      <c r="AH4801" s="17"/>
      <c r="AI4801" s="17"/>
      <c r="AJ4801" s="17"/>
      <c r="AK4801" s="17"/>
      <c r="AL4801" s="17"/>
      <c r="AM4801" s="17"/>
      <c r="AN4801" s="17"/>
      <c r="AO4801" s="17"/>
      <c r="AP4801" s="17"/>
      <c r="AQ4801" s="17"/>
      <c r="AR4801" s="17"/>
    </row>
    <row r="4802" s="20" customFormat="1" hidden="1" spans="1:44">
      <c r="A4802" s="17" t="s">
        <v>34</v>
      </c>
      <c r="B4802" s="19">
        <v>959</v>
      </c>
      <c r="C4802" s="183">
        <v>45225</v>
      </c>
      <c r="D4802" s="17" t="s">
        <v>52</v>
      </c>
      <c r="E4802" s="17" t="s">
        <v>1113</v>
      </c>
      <c r="F4802" s="17" t="s">
        <v>54</v>
      </c>
      <c r="G4802" s="17"/>
      <c r="H4802" s="124">
        <v>1.2311</v>
      </c>
      <c r="I4802" s="124"/>
      <c r="J4802" s="17" t="s">
        <v>49</v>
      </c>
      <c r="K4802" s="19">
        <v>2200</v>
      </c>
      <c r="L4802" s="19">
        <v>90</v>
      </c>
      <c r="M4802" s="19">
        <v>5000</v>
      </c>
      <c r="N4802" s="19" t="s">
        <v>66</v>
      </c>
      <c r="O4802" s="19" t="s">
        <v>141</v>
      </c>
      <c r="P4802" s="19">
        <v>7772</v>
      </c>
      <c r="Q4802" s="19">
        <v>7800</v>
      </c>
      <c r="R4802" s="19">
        <f t="shared" si="225"/>
        <v>-28</v>
      </c>
      <c r="S4802" s="19">
        <v>930</v>
      </c>
      <c r="T4802" s="19" t="s">
        <v>42</v>
      </c>
      <c r="U4802" s="102" t="s">
        <v>1358</v>
      </c>
      <c r="V4802" s="101">
        <v>45248</v>
      </c>
      <c r="W4802" s="17" t="s">
        <v>44</v>
      </c>
      <c r="X4802" s="17"/>
      <c r="Y4802" s="68">
        <v>45283</v>
      </c>
      <c r="Z4802" s="17" t="s">
        <v>191</v>
      </c>
      <c r="AA4802" s="17" t="s">
        <v>46</v>
      </c>
      <c r="AB4802" s="17" t="s">
        <v>1235</v>
      </c>
      <c r="AC4802" s="217">
        <v>45272</v>
      </c>
      <c r="AD4802" s="65">
        <v>1497</v>
      </c>
      <c r="AE4802" s="17" t="s">
        <v>48</v>
      </c>
      <c r="AF4802" s="17"/>
      <c r="AG4802" s="17"/>
      <c r="AH4802" s="17"/>
      <c r="AI4802" s="17"/>
      <c r="AJ4802" s="17"/>
      <c r="AK4802" s="17"/>
      <c r="AL4802" s="17"/>
      <c r="AM4802" s="17"/>
      <c r="AN4802" s="17"/>
      <c r="AO4802" s="17"/>
      <c r="AP4802" s="17"/>
      <c r="AQ4802" s="17"/>
      <c r="AR4802" s="17"/>
    </row>
    <row r="4803" s="21" customFormat="1" hidden="1" spans="1:44">
      <c r="A4803" s="17" t="s">
        <v>34</v>
      </c>
      <c r="B4803" s="19">
        <v>959</v>
      </c>
      <c r="C4803" s="183">
        <v>45225</v>
      </c>
      <c r="D4803" s="17" t="s">
        <v>52</v>
      </c>
      <c r="E4803" s="17" t="s">
        <v>1113</v>
      </c>
      <c r="F4803" s="17" t="s">
        <v>54</v>
      </c>
      <c r="G4803" s="17"/>
      <c r="H4803" s="124">
        <v>1.2311</v>
      </c>
      <c r="I4803" s="124"/>
      <c r="J4803" s="17" t="s">
        <v>49</v>
      </c>
      <c r="K4803" s="19">
        <v>2200</v>
      </c>
      <c r="L4803" s="19">
        <v>105</v>
      </c>
      <c r="M4803" s="19">
        <v>5000</v>
      </c>
      <c r="N4803" s="19" t="s">
        <v>66</v>
      </c>
      <c r="O4803" s="19" t="s">
        <v>141</v>
      </c>
      <c r="P4803" s="19">
        <v>9067</v>
      </c>
      <c r="Q4803" s="19">
        <v>10480</v>
      </c>
      <c r="R4803" s="19">
        <f t="shared" si="225"/>
        <v>-1413</v>
      </c>
      <c r="S4803" s="19">
        <v>930</v>
      </c>
      <c r="T4803" s="19" t="s">
        <v>42</v>
      </c>
      <c r="U4803" s="102" t="s">
        <v>1358</v>
      </c>
      <c r="V4803" s="101">
        <v>45248</v>
      </c>
      <c r="W4803" s="17" t="s">
        <v>44</v>
      </c>
      <c r="X4803" s="17"/>
      <c r="Y4803" s="68">
        <v>45283</v>
      </c>
      <c r="Z4803" s="17" t="s">
        <v>191</v>
      </c>
      <c r="AA4803" s="17" t="s">
        <v>46</v>
      </c>
      <c r="AB4803" s="17" t="s">
        <v>1294</v>
      </c>
      <c r="AC4803" s="217">
        <v>45352</v>
      </c>
      <c r="AD4803" s="65">
        <v>1534</v>
      </c>
      <c r="AE4803" s="17" t="s">
        <v>48</v>
      </c>
      <c r="AF4803" s="17"/>
      <c r="AG4803" s="17"/>
      <c r="AH4803" s="17"/>
      <c r="AI4803" s="17"/>
      <c r="AJ4803" s="17"/>
      <c r="AK4803" s="17"/>
      <c r="AL4803" s="17"/>
      <c r="AM4803" s="17"/>
      <c r="AN4803" s="17"/>
      <c r="AO4803" s="17"/>
      <c r="AP4803" s="17"/>
      <c r="AQ4803" s="17"/>
      <c r="AR4803" s="17"/>
    </row>
    <row r="4804" s="20" customFormat="1" hidden="1" spans="1:44">
      <c r="A4804" s="17" t="s">
        <v>34</v>
      </c>
      <c r="B4804" s="19">
        <v>960</v>
      </c>
      <c r="C4804" s="183">
        <v>45225</v>
      </c>
      <c r="D4804" s="17" t="s">
        <v>52</v>
      </c>
      <c r="E4804" s="17" t="s">
        <v>1113</v>
      </c>
      <c r="F4804" s="17" t="s">
        <v>54</v>
      </c>
      <c r="G4804" s="17"/>
      <c r="H4804" s="124">
        <v>1.2738</v>
      </c>
      <c r="I4804" s="124"/>
      <c r="J4804" s="17" t="s">
        <v>49</v>
      </c>
      <c r="K4804" s="19">
        <v>2200</v>
      </c>
      <c r="L4804" s="91">
        <v>40</v>
      </c>
      <c r="M4804" s="19">
        <v>5000</v>
      </c>
      <c r="N4804" s="19" t="s">
        <v>66</v>
      </c>
      <c r="O4804" s="19" t="s">
        <v>141</v>
      </c>
      <c r="P4804" s="19">
        <v>3454</v>
      </c>
      <c r="Q4804" s="19">
        <v>3410</v>
      </c>
      <c r="R4804" s="19">
        <f t="shared" si="225"/>
        <v>44</v>
      </c>
      <c r="S4804" s="19">
        <v>1220</v>
      </c>
      <c r="T4804" s="19" t="s">
        <v>42</v>
      </c>
      <c r="U4804" s="102" t="s">
        <v>1359</v>
      </c>
      <c r="V4804" s="101">
        <v>45225</v>
      </c>
      <c r="W4804" s="17" t="s">
        <v>44</v>
      </c>
      <c r="X4804" s="17"/>
      <c r="Y4804" s="68">
        <v>45253</v>
      </c>
      <c r="Z4804" s="17" t="s">
        <v>191</v>
      </c>
      <c r="AA4804" s="17" t="s">
        <v>46</v>
      </c>
      <c r="AB4804" s="17" t="s">
        <v>1229</v>
      </c>
      <c r="AC4804" s="217">
        <v>45118</v>
      </c>
      <c r="AD4804" s="65">
        <v>1478</v>
      </c>
      <c r="AE4804" s="17" t="s">
        <v>48</v>
      </c>
      <c r="AF4804" s="17"/>
      <c r="AG4804" s="17"/>
      <c r="AH4804" s="17"/>
      <c r="AI4804" s="17"/>
      <c r="AJ4804" s="17"/>
      <c r="AK4804" s="17"/>
      <c r="AL4804" s="17"/>
      <c r="AM4804" s="17"/>
      <c r="AN4804" s="17"/>
      <c r="AO4804" s="17"/>
      <c r="AP4804" s="17"/>
      <c r="AQ4804" s="17"/>
      <c r="AR4804" s="17"/>
    </row>
    <row r="4805" s="21" customFormat="1" hidden="1" spans="1:44">
      <c r="A4805" s="17" t="s">
        <v>34</v>
      </c>
      <c r="B4805" s="19">
        <v>960</v>
      </c>
      <c r="C4805" s="183">
        <v>45225</v>
      </c>
      <c r="D4805" s="17" t="s">
        <v>52</v>
      </c>
      <c r="E4805" s="17" t="s">
        <v>1113</v>
      </c>
      <c r="F4805" s="17" t="s">
        <v>54</v>
      </c>
      <c r="G4805" s="17"/>
      <c r="H4805" s="124">
        <v>1.2738</v>
      </c>
      <c r="I4805" s="124"/>
      <c r="J4805" s="17" t="s">
        <v>49</v>
      </c>
      <c r="K4805" s="19">
        <v>2200</v>
      </c>
      <c r="L4805" s="91">
        <v>50</v>
      </c>
      <c r="M4805" s="19">
        <v>5000</v>
      </c>
      <c r="N4805" s="19" t="s">
        <v>66</v>
      </c>
      <c r="O4805" s="19" t="s">
        <v>141</v>
      </c>
      <c r="P4805" s="19">
        <v>4318</v>
      </c>
      <c r="Q4805" s="19">
        <v>4230</v>
      </c>
      <c r="R4805" s="19">
        <f t="shared" si="225"/>
        <v>88</v>
      </c>
      <c r="S4805" s="19">
        <v>1220</v>
      </c>
      <c r="T4805" s="19" t="s">
        <v>42</v>
      </c>
      <c r="U4805" s="102" t="s">
        <v>1359</v>
      </c>
      <c r="V4805" s="101">
        <v>45225</v>
      </c>
      <c r="W4805" s="17" t="s">
        <v>44</v>
      </c>
      <c r="X4805" s="17"/>
      <c r="Y4805" s="68">
        <v>45253</v>
      </c>
      <c r="Z4805" s="17" t="s">
        <v>191</v>
      </c>
      <c r="AA4805" s="17" t="s">
        <v>46</v>
      </c>
      <c r="AB4805" s="17" t="s">
        <v>1249</v>
      </c>
      <c r="AC4805" s="217">
        <v>45380</v>
      </c>
      <c r="AD4805" s="65">
        <v>1547</v>
      </c>
      <c r="AE4805" s="17" t="s">
        <v>48</v>
      </c>
      <c r="AF4805" s="17"/>
      <c r="AG4805" s="17"/>
      <c r="AH4805" s="17"/>
      <c r="AI4805" s="17"/>
      <c r="AJ4805" s="17"/>
      <c r="AK4805" s="17"/>
      <c r="AL4805" s="17"/>
      <c r="AM4805" s="17"/>
      <c r="AN4805" s="17"/>
      <c r="AO4805" s="17"/>
      <c r="AP4805" s="17"/>
      <c r="AQ4805" s="17"/>
      <c r="AR4805" s="17"/>
    </row>
    <row r="4806" s="21" customFormat="1" hidden="1" spans="1:44">
      <c r="A4806" s="17" t="s">
        <v>34</v>
      </c>
      <c r="B4806" s="19">
        <v>960</v>
      </c>
      <c r="C4806" s="183">
        <v>45225</v>
      </c>
      <c r="D4806" s="17" t="s">
        <v>52</v>
      </c>
      <c r="E4806" s="17" t="s">
        <v>1113</v>
      </c>
      <c r="F4806" s="17" t="s">
        <v>54</v>
      </c>
      <c r="G4806" s="17"/>
      <c r="H4806" s="124">
        <v>1.2738</v>
      </c>
      <c r="I4806" s="124"/>
      <c r="J4806" s="17" t="s">
        <v>49</v>
      </c>
      <c r="K4806" s="19">
        <v>2200</v>
      </c>
      <c r="L4806" s="91">
        <v>61</v>
      </c>
      <c r="M4806" s="19">
        <v>5000</v>
      </c>
      <c r="N4806" s="19" t="s">
        <v>66</v>
      </c>
      <c r="O4806" s="19" t="s">
        <v>141</v>
      </c>
      <c r="P4806" s="19">
        <v>5181</v>
      </c>
      <c r="Q4806" s="19">
        <v>4866</v>
      </c>
      <c r="R4806" s="19">
        <f t="shared" si="225"/>
        <v>315</v>
      </c>
      <c r="S4806" s="19">
        <f>1220+60</f>
        <v>1280</v>
      </c>
      <c r="T4806" s="19" t="s">
        <v>42</v>
      </c>
      <c r="U4806" s="102" t="s">
        <v>1359</v>
      </c>
      <c r="V4806" s="101">
        <v>45225</v>
      </c>
      <c r="W4806" s="17" t="s">
        <v>69</v>
      </c>
      <c r="X4806" s="17"/>
      <c r="Y4806" s="68">
        <v>45253</v>
      </c>
      <c r="Z4806" s="17" t="s">
        <v>191</v>
      </c>
      <c r="AA4806" s="17" t="s">
        <v>46</v>
      </c>
      <c r="AB4806" s="17" t="s">
        <v>1360</v>
      </c>
      <c r="AC4806" s="217">
        <v>45433</v>
      </c>
      <c r="AD4806" s="65">
        <v>1572</v>
      </c>
      <c r="AE4806" s="17" t="s">
        <v>48</v>
      </c>
      <c r="AF4806" s="17"/>
      <c r="AG4806" s="17"/>
      <c r="AH4806" s="17"/>
      <c r="AI4806" s="17"/>
      <c r="AJ4806" s="17"/>
      <c r="AK4806" s="17"/>
      <c r="AL4806" s="17"/>
      <c r="AM4806" s="17"/>
      <c r="AN4806" s="17"/>
      <c r="AO4806" s="17"/>
      <c r="AP4806" s="17"/>
      <c r="AQ4806" s="17"/>
      <c r="AR4806" s="17"/>
    </row>
    <row r="4807" s="20" customFormat="1" hidden="1" spans="1:44">
      <c r="A4807" s="17" t="s">
        <v>34</v>
      </c>
      <c r="B4807" s="19">
        <v>960</v>
      </c>
      <c r="C4807" s="183">
        <v>45225</v>
      </c>
      <c r="D4807" s="17" t="s">
        <v>52</v>
      </c>
      <c r="E4807" s="17" t="s">
        <v>1113</v>
      </c>
      <c r="F4807" s="17" t="s">
        <v>54</v>
      </c>
      <c r="G4807" s="17"/>
      <c r="H4807" s="124">
        <v>1.2738</v>
      </c>
      <c r="I4807" s="124"/>
      <c r="J4807" s="17" t="s">
        <v>49</v>
      </c>
      <c r="K4807" s="19">
        <v>2200</v>
      </c>
      <c r="L4807" s="91">
        <v>65</v>
      </c>
      <c r="M4807" s="19">
        <v>5000</v>
      </c>
      <c r="N4807" s="19" t="s">
        <v>66</v>
      </c>
      <c r="O4807" s="19" t="s">
        <v>141</v>
      </c>
      <c r="P4807" s="19">
        <v>5613</v>
      </c>
      <c r="Q4807" s="19">
        <v>4810</v>
      </c>
      <c r="R4807" s="19">
        <f t="shared" si="225"/>
        <v>803</v>
      </c>
      <c r="S4807" s="19">
        <v>1220</v>
      </c>
      <c r="T4807" s="19" t="s">
        <v>42</v>
      </c>
      <c r="U4807" s="102" t="s">
        <v>1359</v>
      </c>
      <c r="V4807" s="101">
        <v>45225</v>
      </c>
      <c r="W4807" s="17" t="s">
        <v>44</v>
      </c>
      <c r="X4807" s="17"/>
      <c r="Y4807" s="68">
        <v>45253</v>
      </c>
      <c r="Z4807" s="17" t="s">
        <v>191</v>
      </c>
      <c r="AA4807" s="17" t="s">
        <v>46</v>
      </c>
      <c r="AB4807" s="17" t="s">
        <v>1229</v>
      </c>
      <c r="AC4807" s="217">
        <v>45118</v>
      </c>
      <c r="AD4807" s="65">
        <v>1478</v>
      </c>
      <c r="AE4807" s="17" t="s">
        <v>48</v>
      </c>
      <c r="AF4807" s="17"/>
      <c r="AG4807" s="17"/>
      <c r="AH4807" s="17"/>
      <c r="AI4807" s="17"/>
      <c r="AJ4807" s="17"/>
      <c r="AK4807" s="17"/>
      <c r="AL4807" s="17"/>
      <c r="AM4807" s="17"/>
      <c r="AN4807" s="17"/>
      <c r="AO4807" s="17"/>
      <c r="AP4807" s="17"/>
      <c r="AQ4807" s="17"/>
      <c r="AR4807" s="17"/>
    </row>
    <row r="4808" s="21" customFormat="1" hidden="1" spans="1:44">
      <c r="A4808" s="17" t="s">
        <v>34</v>
      </c>
      <c r="B4808" s="19">
        <v>960</v>
      </c>
      <c r="C4808" s="183">
        <v>45225</v>
      </c>
      <c r="D4808" s="17" t="s">
        <v>52</v>
      </c>
      <c r="E4808" s="17" t="s">
        <v>1113</v>
      </c>
      <c r="F4808" s="17" t="s">
        <v>54</v>
      </c>
      <c r="G4808" s="17"/>
      <c r="H4808" s="124">
        <v>1.2738</v>
      </c>
      <c r="I4808" s="124"/>
      <c r="J4808" s="17" t="s">
        <v>49</v>
      </c>
      <c r="K4808" s="19">
        <v>2200</v>
      </c>
      <c r="L4808" s="91">
        <v>80</v>
      </c>
      <c r="M4808" s="19">
        <v>5000</v>
      </c>
      <c r="N4808" s="19" t="s">
        <v>66</v>
      </c>
      <c r="O4808" s="19" t="s">
        <v>141</v>
      </c>
      <c r="P4808" s="19">
        <v>6908</v>
      </c>
      <c r="Q4808" s="19">
        <v>6572</v>
      </c>
      <c r="R4808" s="19">
        <f t="shared" si="225"/>
        <v>336</v>
      </c>
      <c r="S4808" s="19">
        <f>1220+60</f>
        <v>1280</v>
      </c>
      <c r="T4808" s="19" t="s">
        <v>42</v>
      </c>
      <c r="U4808" s="102" t="s">
        <v>1359</v>
      </c>
      <c r="V4808" s="101">
        <v>45225</v>
      </c>
      <c r="W4808" s="17" t="s">
        <v>69</v>
      </c>
      <c r="X4808" s="17"/>
      <c r="Y4808" s="68">
        <v>45253</v>
      </c>
      <c r="Z4808" s="17" t="s">
        <v>191</v>
      </c>
      <c r="AA4808" s="17" t="s">
        <v>46</v>
      </c>
      <c r="AB4808" s="17" t="s">
        <v>1360</v>
      </c>
      <c r="AC4808" s="217">
        <v>45433</v>
      </c>
      <c r="AD4808" s="65">
        <v>1572</v>
      </c>
      <c r="AE4808" s="17" t="s">
        <v>48</v>
      </c>
      <c r="AF4808" s="17"/>
      <c r="AG4808" s="17"/>
      <c r="AH4808" s="17"/>
      <c r="AI4808" s="17"/>
      <c r="AJ4808" s="17"/>
      <c r="AK4808" s="17"/>
      <c r="AL4808" s="17"/>
      <c r="AM4808" s="17"/>
      <c r="AN4808" s="17"/>
      <c r="AO4808" s="17"/>
      <c r="AP4808" s="17"/>
      <c r="AQ4808" s="17"/>
      <c r="AR4808" s="17"/>
    </row>
    <row r="4809" s="20" customFormat="1" hidden="1" spans="1:44">
      <c r="A4809" s="17" t="s">
        <v>34</v>
      </c>
      <c r="B4809" s="19">
        <v>961</v>
      </c>
      <c r="C4809" s="222">
        <v>45027</v>
      </c>
      <c r="D4809" s="17" t="s">
        <v>52</v>
      </c>
      <c r="E4809" s="17" t="s">
        <v>1113</v>
      </c>
      <c r="F4809" s="17" t="s">
        <v>54</v>
      </c>
      <c r="G4809" s="17"/>
      <c r="H4809" s="124">
        <v>1.2311</v>
      </c>
      <c r="I4809" s="124"/>
      <c r="J4809" s="17" t="s">
        <v>49</v>
      </c>
      <c r="K4809" s="19">
        <v>2200</v>
      </c>
      <c r="L4809" s="91">
        <v>16</v>
      </c>
      <c r="M4809" s="19">
        <v>5000</v>
      </c>
      <c r="N4809" s="19" t="s">
        <v>66</v>
      </c>
      <c r="O4809" s="19" t="s">
        <v>141</v>
      </c>
      <c r="P4809" s="19">
        <v>1520</v>
      </c>
      <c r="Q4809" s="19">
        <v>1240</v>
      </c>
      <c r="R4809" s="19">
        <f t="shared" si="225"/>
        <v>280</v>
      </c>
      <c r="S4809" s="19">
        <v>990</v>
      </c>
      <c r="T4809" s="19" t="s">
        <v>42</v>
      </c>
      <c r="U4809" s="102" t="s">
        <v>1361</v>
      </c>
      <c r="V4809" s="253">
        <v>45118</v>
      </c>
      <c r="W4809" s="17" t="s">
        <v>44</v>
      </c>
      <c r="X4809" s="17"/>
      <c r="Y4809" s="68">
        <v>45283</v>
      </c>
      <c r="Z4809" s="17" t="s">
        <v>191</v>
      </c>
      <c r="AA4809" s="17" t="s">
        <v>46</v>
      </c>
      <c r="AB4809" s="17" t="s">
        <v>1241</v>
      </c>
      <c r="AC4809" s="66">
        <v>45283</v>
      </c>
      <c r="AD4809" s="65">
        <v>1503</v>
      </c>
      <c r="AE4809" s="17" t="s">
        <v>48</v>
      </c>
      <c r="AF4809" s="17"/>
      <c r="AG4809" s="17"/>
      <c r="AH4809" s="17"/>
      <c r="AI4809" s="17"/>
      <c r="AJ4809" s="17"/>
      <c r="AK4809" s="17"/>
      <c r="AL4809" s="17"/>
      <c r="AM4809" s="17"/>
      <c r="AN4809" s="17"/>
      <c r="AO4809" s="17"/>
      <c r="AP4809" s="17"/>
      <c r="AQ4809" s="17"/>
      <c r="AR4809" s="17"/>
    </row>
    <row r="4810" s="20" customFormat="1" hidden="1" spans="1:44">
      <c r="A4810" s="17" t="s">
        <v>34</v>
      </c>
      <c r="B4810" s="19">
        <v>961</v>
      </c>
      <c r="C4810" s="222">
        <v>45027</v>
      </c>
      <c r="D4810" s="17" t="s">
        <v>52</v>
      </c>
      <c r="E4810" s="17" t="s">
        <v>1113</v>
      </c>
      <c r="F4810" s="17" t="s">
        <v>54</v>
      </c>
      <c r="G4810" s="17"/>
      <c r="H4810" s="124">
        <v>1.2311</v>
      </c>
      <c r="I4810" s="124"/>
      <c r="J4810" s="17" t="s">
        <v>49</v>
      </c>
      <c r="K4810" s="19">
        <v>2200</v>
      </c>
      <c r="L4810" s="91">
        <v>20</v>
      </c>
      <c r="M4810" s="19">
        <v>5000</v>
      </c>
      <c r="N4810" s="19" t="s">
        <v>66</v>
      </c>
      <c r="O4810" s="19" t="s">
        <v>141</v>
      </c>
      <c r="P4810" s="19">
        <v>1900</v>
      </c>
      <c r="Q4810" s="19">
        <v>1960</v>
      </c>
      <c r="R4810" s="19">
        <f t="shared" si="225"/>
        <v>-60</v>
      </c>
      <c r="S4810" s="19">
        <v>930</v>
      </c>
      <c r="T4810" s="19" t="s">
        <v>42</v>
      </c>
      <c r="U4810" s="102" t="s">
        <v>1361</v>
      </c>
      <c r="V4810" s="253">
        <v>45118</v>
      </c>
      <c r="W4810" s="17" t="s">
        <v>44</v>
      </c>
      <c r="X4810" s="17"/>
      <c r="Y4810" s="68">
        <v>45283</v>
      </c>
      <c r="Z4810" s="17" t="s">
        <v>191</v>
      </c>
      <c r="AA4810" s="17" t="s">
        <v>46</v>
      </c>
      <c r="AB4810" s="17" t="s">
        <v>1241</v>
      </c>
      <c r="AC4810" s="66">
        <v>45283</v>
      </c>
      <c r="AD4810" s="65">
        <v>1503</v>
      </c>
      <c r="AE4810" s="17" t="s">
        <v>48</v>
      </c>
      <c r="AF4810" s="17"/>
      <c r="AG4810" s="17"/>
      <c r="AH4810" s="17"/>
      <c r="AI4810" s="17"/>
      <c r="AJ4810" s="17"/>
      <c r="AK4810" s="17"/>
      <c r="AL4810" s="17"/>
      <c r="AM4810" s="17"/>
      <c r="AN4810" s="17"/>
      <c r="AO4810" s="17"/>
      <c r="AP4810" s="17"/>
      <c r="AQ4810" s="17"/>
      <c r="AR4810" s="17"/>
    </row>
    <row r="4811" s="20" customFormat="1" hidden="1" spans="1:44">
      <c r="A4811" s="17" t="s">
        <v>34</v>
      </c>
      <c r="B4811" s="19">
        <v>961</v>
      </c>
      <c r="C4811" s="222">
        <v>45027</v>
      </c>
      <c r="D4811" s="17" t="s">
        <v>52</v>
      </c>
      <c r="E4811" s="17" t="s">
        <v>1113</v>
      </c>
      <c r="F4811" s="17" t="s">
        <v>54</v>
      </c>
      <c r="G4811" s="17"/>
      <c r="H4811" s="124">
        <v>1.2311</v>
      </c>
      <c r="I4811" s="124"/>
      <c r="J4811" s="17" t="s">
        <v>49</v>
      </c>
      <c r="K4811" s="19">
        <v>2200</v>
      </c>
      <c r="L4811" s="91">
        <v>32</v>
      </c>
      <c r="M4811" s="19">
        <v>5000</v>
      </c>
      <c r="N4811" s="19" t="s">
        <v>66</v>
      </c>
      <c r="O4811" s="19" t="s">
        <v>141</v>
      </c>
      <c r="P4811" s="19">
        <v>9119</v>
      </c>
      <c r="Q4811" s="19">
        <v>2728</v>
      </c>
      <c r="R4811" s="17"/>
      <c r="S4811" s="19">
        <v>930</v>
      </c>
      <c r="T4811" s="19" t="s">
        <v>42</v>
      </c>
      <c r="U4811" s="102" t="s">
        <v>1361</v>
      </c>
      <c r="V4811" s="253">
        <v>45118</v>
      </c>
      <c r="W4811" s="17" t="s">
        <v>44</v>
      </c>
      <c r="X4811" s="17"/>
      <c r="Y4811" s="68">
        <v>45283</v>
      </c>
      <c r="Z4811" s="17" t="s">
        <v>191</v>
      </c>
      <c r="AA4811" s="17" t="s">
        <v>46</v>
      </c>
      <c r="AB4811" s="17" t="s">
        <v>1235</v>
      </c>
      <c r="AC4811" s="217">
        <v>45272</v>
      </c>
      <c r="AD4811" s="65">
        <v>1497</v>
      </c>
      <c r="AE4811" s="17" t="s">
        <v>48</v>
      </c>
      <c r="AF4811" s="17"/>
      <c r="AG4811" s="17"/>
      <c r="AH4811" s="17"/>
      <c r="AI4811" s="17"/>
      <c r="AJ4811" s="17"/>
      <c r="AK4811" s="17"/>
      <c r="AL4811" s="17"/>
      <c r="AM4811" s="17"/>
      <c r="AN4811" s="17"/>
      <c r="AO4811" s="17"/>
      <c r="AP4811" s="17"/>
      <c r="AQ4811" s="17"/>
      <c r="AR4811" s="17"/>
    </row>
    <row r="4812" s="20" customFormat="1" hidden="1" spans="1:44">
      <c r="A4812" s="17" t="s">
        <v>34</v>
      </c>
      <c r="B4812" s="19">
        <v>961</v>
      </c>
      <c r="C4812" s="222">
        <v>45027</v>
      </c>
      <c r="D4812" s="17" t="s">
        <v>52</v>
      </c>
      <c r="E4812" s="17" t="s">
        <v>1113</v>
      </c>
      <c r="F4812" s="17" t="s">
        <v>54</v>
      </c>
      <c r="G4812" s="17"/>
      <c r="H4812" s="124">
        <v>1.2311</v>
      </c>
      <c r="I4812" s="124"/>
      <c r="J4812" s="17" t="s">
        <v>49</v>
      </c>
      <c r="K4812" s="19">
        <v>2200</v>
      </c>
      <c r="L4812" s="91">
        <v>32</v>
      </c>
      <c r="M4812" s="19">
        <v>5000</v>
      </c>
      <c r="N4812" s="19" t="s">
        <v>66</v>
      </c>
      <c r="O4812" s="19" t="s">
        <v>141</v>
      </c>
      <c r="P4812" s="19"/>
      <c r="Q4812" s="19">
        <f>2815+2850</f>
        <v>5665</v>
      </c>
      <c r="R4812" s="19">
        <f>+P4811-Q4811-Q4812</f>
        <v>726</v>
      </c>
      <c r="S4812" s="19">
        <v>930</v>
      </c>
      <c r="T4812" s="19" t="s">
        <v>42</v>
      </c>
      <c r="U4812" s="102" t="s">
        <v>1361</v>
      </c>
      <c r="V4812" s="253">
        <v>45118</v>
      </c>
      <c r="W4812" s="17" t="s">
        <v>44</v>
      </c>
      <c r="X4812" s="17"/>
      <c r="Y4812" s="68">
        <v>45283</v>
      </c>
      <c r="Z4812" s="17" t="s">
        <v>191</v>
      </c>
      <c r="AA4812" s="17" t="s">
        <v>46</v>
      </c>
      <c r="AB4812" s="17" t="s">
        <v>1260</v>
      </c>
      <c r="AC4812" s="66">
        <v>45288</v>
      </c>
      <c r="AD4812" s="65">
        <v>1507</v>
      </c>
      <c r="AE4812" s="17" t="s">
        <v>48</v>
      </c>
      <c r="AF4812" s="17"/>
      <c r="AG4812" s="17"/>
      <c r="AH4812" s="17"/>
      <c r="AI4812" s="17"/>
      <c r="AJ4812" s="17"/>
      <c r="AK4812" s="17"/>
      <c r="AL4812" s="17"/>
      <c r="AM4812" s="17"/>
      <c r="AN4812" s="17"/>
      <c r="AO4812" s="17"/>
      <c r="AP4812" s="17"/>
      <c r="AQ4812" s="17"/>
      <c r="AR4812" s="17"/>
    </row>
    <row r="4813" s="20" customFormat="1" hidden="1" spans="1:44">
      <c r="A4813" s="17" t="s">
        <v>34</v>
      </c>
      <c r="B4813" s="19">
        <v>961</v>
      </c>
      <c r="C4813" s="222">
        <v>45027</v>
      </c>
      <c r="D4813" s="17" t="s">
        <v>52</v>
      </c>
      <c r="E4813" s="17" t="s">
        <v>1113</v>
      </c>
      <c r="F4813" s="17" t="s">
        <v>54</v>
      </c>
      <c r="G4813" s="17"/>
      <c r="H4813" s="124">
        <v>1.2311</v>
      </c>
      <c r="I4813" s="124"/>
      <c r="J4813" s="17" t="s">
        <v>49</v>
      </c>
      <c r="K4813" s="19">
        <v>2200</v>
      </c>
      <c r="L4813" s="91">
        <v>36</v>
      </c>
      <c r="M4813" s="19">
        <v>5000</v>
      </c>
      <c r="N4813" s="19" t="s">
        <v>66</v>
      </c>
      <c r="O4813" s="19" t="s">
        <v>141</v>
      </c>
      <c r="P4813" s="19">
        <v>6839</v>
      </c>
      <c r="Q4813" s="19">
        <v>3019</v>
      </c>
      <c r="R4813" s="17"/>
      <c r="S4813" s="19">
        <v>930</v>
      </c>
      <c r="T4813" s="19" t="s">
        <v>42</v>
      </c>
      <c r="U4813" s="102" t="s">
        <v>1361</v>
      </c>
      <c r="V4813" s="253">
        <v>45118</v>
      </c>
      <c r="W4813" s="17" t="s">
        <v>44</v>
      </c>
      <c r="X4813" s="17"/>
      <c r="Y4813" s="68">
        <v>45283</v>
      </c>
      <c r="Z4813" s="17" t="s">
        <v>191</v>
      </c>
      <c r="AA4813" s="17" t="s">
        <v>46</v>
      </c>
      <c r="AB4813" s="17" t="s">
        <v>1226</v>
      </c>
      <c r="AC4813" s="66">
        <v>45254</v>
      </c>
      <c r="AD4813" s="65">
        <v>1494</v>
      </c>
      <c r="AE4813" s="17" t="s">
        <v>48</v>
      </c>
      <c r="AF4813" s="17"/>
      <c r="AG4813" s="17"/>
      <c r="AH4813" s="17"/>
      <c r="AI4813" s="17"/>
      <c r="AJ4813" s="17"/>
      <c r="AK4813" s="17"/>
      <c r="AL4813" s="17"/>
      <c r="AM4813" s="17"/>
      <c r="AN4813" s="17"/>
      <c r="AO4813" s="17"/>
      <c r="AP4813" s="17"/>
      <c r="AQ4813" s="17"/>
      <c r="AR4813" s="17"/>
    </row>
    <row r="4814" s="20" customFormat="1" hidden="1" spans="1:44">
      <c r="A4814" s="17" t="s">
        <v>34</v>
      </c>
      <c r="B4814" s="19">
        <v>961</v>
      </c>
      <c r="C4814" s="222">
        <v>45027</v>
      </c>
      <c r="D4814" s="17" t="s">
        <v>52</v>
      </c>
      <c r="E4814" s="17" t="s">
        <v>1113</v>
      </c>
      <c r="F4814" s="17" t="s">
        <v>54</v>
      </c>
      <c r="G4814" s="17"/>
      <c r="H4814" s="124">
        <v>1.2311</v>
      </c>
      <c r="I4814" s="124"/>
      <c r="J4814" s="17" t="s">
        <v>49</v>
      </c>
      <c r="K4814" s="19">
        <v>2200</v>
      </c>
      <c r="L4814" s="91">
        <v>36</v>
      </c>
      <c r="M4814" s="19">
        <v>5000</v>
      </c>
      <c r="N4814" s="19" t="s">
        <v>66</v>
      </c>
      <c r="O4814" s="19" t="s">
        <v>141</v>
      </c>
      <c r="P4814" s="19"/>
      <c r="Q4814" s="19">
        <v>3455</v>
      </c>
      <c r="R4814" s="19">
        <f>+P4813-Q4813-Q4814</f>
        <v>365</v>
      </c>
      <c r="S4814" s="19">
        <v>930</v>
      </c>
      <c r="T4814" s="19" t="s">
        <v>42</v>
      </c>
      <c r="U4814" s="102" t="s">
        <v>1361</v>
      </c>
      <c r="V4814" s="253">
        <v>45118</v>
      </c>
      <c r="W4814" s="17" t="s">
        <v>44</v>
      </c>
      <c r="X4814" s="17"/>
      <c r="Y4814" s="68">
        <v>45283</v>
      </c>
      <c r="Z4814" s="17" t="s">
        <v>191</v>
      </c>
      <c r="AA4814" s="17" t="s">
        <v>46</v>
      </c>
      <c r="AB4814" s="17" t="s">
        <v>1260</v>
      </c>
      <c r="AC4814" s="66">
        <v>45288</v>
      </c>
      <c r="AD4814" s="65">
        <v>1507</v>
      </c>
      <c r="AE4814" s="17" t="s">
        <v>48</v>
      </c>
      <c r="AF4814" s="17"/>
      <c r="AG4814" s="17"/>
      <c r="AH4814" s="17"/>
      <c r="AI4814" s="17"/>
      <c r="AJ4814" s="17"/>
      <c r="AK4814" s="17"/>
      <c r="AL4814" s="17"/>
      <c r="AM4814" s="17"/>
      <c r="AN4814" s="17"/>
      <c r="AO4814" s="17"/>
      <c r="AP4814" s="17"/>
      <c r="AQ4814" s="17"/>
      <c r="AR4814" s="17"/>
    </row>
    <row r="4815" s="20" customFormat="1" hidden="1" spans="1:44">
      <c r="A4815" s="17" t="s">
        <v>34</v>
      </c>
      <c r="B4815" s="19">
        <v>961</v>
      </c>
      <c r="C4815" s="222">
        <v>45027</v>
      </c>
      <c r="D4815" s="17" t="s">
        <v>52</v>
      </c>
      <c r="E4815" s="17" t="s">
        <v>1113</v>
      </c>
      <c r="F4815" s="17" t="s">
        <v>54</v>
      </c>
      <c r="G4815" s="17"/>
      <c r="H4815" s="124">
        <v>1.2311</v>
      </c>
      <c r="I4815" s="124"/>
      <c r="J4815" s="17" t="s">
        <v>49</v>
      </c>
      <c r="K4815" s="19">
        <v>2200</v>
      </c>
      <c r="L4815" s="91">
        <v>40</v>
      </c>
      <c r="M4815" s="19">
        <v>5000</v>
      </c>
      <c r="N4815" s="19" t="s">
        <v>66</v>
      </c>
      <c r="O4815" s="19" t="s">
        <v>141</v>
      </c>
      <c r="P4815" s="19">
        <v>7599</v>
      </c>
      <c r="Q4815" s="19">
        <v>3560</v>
      </c>
      <c r="R4815" s="17"/>
      <c r="S4815" s="19">
        <v>930</v>
      </c>
      <c r="T4815" s="19" t="s">
        <v>42</v>
      </c>
      <c r="U4815" s="102" t="s">
        <v>1361</v>
      </c>
      <c r="V4815" s="253">
        <v>45118</v>
      </c>
      <c r="W4815" s="17" t="s">
        <v>44</v>
      </c>
      <c r="X4815" s="17"/>
      <c r="Y4815" s="68">
        <v>45283</v>
      </c>
      <c r="Z4815" s="17" t="s">
        <v>191</v>
      </c>
      <c r="AA4815" s="17" t="s">
        <v>46</v>
      </c>
      <c r="AB4815" s="17" t="s">
        <v>1246</v>
      </c>
      <c r="AC4815" s="66">
        <v>45276</v>
      </c>
      <c r="AD4815" s="65">
        <v>1499</v>
      </c>
      <c r="AE4815" s="17" t="s">
        <v>48</v>
      </c>
      <c r="AF4815" s="17"/>
      <c r="AG4815" s="17"/>
      <c r="AH4815" s="17"/>
      <c r="AI4815" s="17"/>
      <c r="AJ4815" s="17"/>
      <c r="AK4815" s="17"/>
      <c r="AL4815" s="17"/>
      <c r="AM4815" s="17"/>
      <c r="AN4815" s="17"/>
      <c r="AO4815" s="17"/>
      <c r="AP4815" s="17"/>
      <c r="AQ4815" s="17"/>
      <c r="AR4815" s="17"/>
    </row>
    <row r="4816" s="20" customFormat="1" hidden="1" spans="1:44">
      <c r="A4816" s="17" t="s">
        <v>34</v>
      </c>
      <c r="B4816" s="19">
        <v>961</v>
      </c>
      <c r="C4816" s="222">
        <v>45027</v>
      </c>
      <c r="D4816" s="17" t="s">
        <v>52</v>
      </c>
      <c r="E4816" s="17" t="s">
        <v>1113</v>
      </c>
      <c r="F4816" s="17" t="s">
        <v>54</v>
      </c>
      <c r="G4816" s="17"/>
      <c r="H4816" s="124">
        <v>1.2311</v>
      </c>
      <c r="I4816" s="124"/>
      <c r="J4816" s="17" t="s">
        <v>49</v>
      </c>
      <c r="K4816" s="19">
        <v>2200</v>
      </c>
      <c r="L4816" s="91">
        <v>40</v>
      </c>
      <c r="M4816" s="19">
        <v>5000</v>
      </c>
      <c r="N4816" s="19" t="s">
        <v>66</v>
      </c>
      <c r="O4816" s="19" t="s">
        <v>141</v>
      </c>
      <c r="P4816" s="19"/>
      <c r="Q4816" s="19">
        <v>4065</v>
      </c>
      <c r="R4816" s="19">
        <f>+P4815-Q4815-Q4816</f>
        <v>-26</v>
      </c>
      <c r="S4816" s="19">
        <v>930</v>
      </c>
      <c r="T4816" s="19" t="s">
        <v>42</v>
      </c>
      <c r="U4816" s="102" t="s">
        <v>1361</v>
      </c>
      <c r="V4816" s="253">
        <v>45118</v>
      </c>
      <c r="W4816" s="17" t="s">
        <v>44</v>
      </c>
      <c r="X4816" s="17"/>
      <c r="Y4816" s="68">
        <v>45283</v>
      </c>
      <c r="Z4816" s="17" t="s">
        <v>191</v>
      </c>
      <c r="AA4816" s="17" t="s">
        <v>46</v>
      </c>
      <c r="AB4816" s="17" t="s">
        <v>1238</v>
      </c>
      <c r="AC4816" s="66">
        <v>45280</v>
      </c>
      <c r="AD4816" s="65">
        <v>1500</v>
      </c>
      <c r="AE4816" s="17" t="s">
        <v>48</v>
      </c>
      <c r="AF4816" s="17"/>
      <c r="AG4816" s="17"/>
      <c r="AH4816" s="17"/>
      <c r="AI4816" s="17"/>
      <c r="AJ4816" s="17"/>
      <c r="AK4816" s="17"/>
      <c r="AL4816" s="17"/>
      <c r="AM4816" s="17"/>
      <c r="AN4816" s="17"/>
      <c r="AO4816" s="17"/>
      <c r="AP4816" s="17"/>
      <c r="AQ4816" s="17"/>
      <c r="AR4816" s="17"/>
    </row>
    <row r="4817" s="20" customFormat="1" hidden="1" spans="1:44">
      <c r="A4817" s="17" t="s">
        <v>34</v>
      </c>
      <c r="B4817" s="19">
        <v>961</v>
      </c>
      <c r="C4817" s="222">
        <v>45027</v>
      </c>
      <c r="D4817" s="17" t="s">
        <v>52</v>
      </c>
      <c r="E4817" s="17" t="s">
        <v>1113</v>
      </c>
      <c r="F4817" s="17" t="s">
        <v>54</v>
      </c>
      <c r="G4817" s="17"/>
      <c r="H4817" s="124">
        <v>1.2311</v>
      </c>
      <c r="I4817" s="124"/>
      <c r="J4817" s="17" t="s">
        <v>49</v>
      </c>
      <c r="K4817" s="19">
        <v>2200</v>
      </c>
      <c r="L4817" s="91">
        <v>45</v>
      </c>
      <c r="M4817" s="19">
        <v>5000</v>
      </c>
      <c r="N4817" s="19" t="s">
        <v>66</v>
      </c>
      <c r="O4817" s="19" t="s">
        <v>141</v>
      </c>
      <c r="P4817" s="19">
        <v>12823</v>
      </c>
      <c r="Q4817" s="19">
        <f>4240+4390</f>
        <v>8630</v>
      </c>
      <c r="R4817" s="17"/>
      <c r="S4817" s="19">
        <v>930</v>
      </c>
      <c r="T4817" s="19" t="s">
        <v>42</v>
      </c>
      <c r="U4817" s="102" t="s">
        <v>1361</v>
      </c>
      <c r="V4817" s="253">
        <v>45118</v>
      </c>
      <c r="W4817" s="17" t="s">
        <v>44</v>
      </c>
      <c r="X4817" s="17"/>
      <c r="Y4817" s="68">
        <v>45283</v>
      </c>
      <c r="Z4817" s="17" t="s">
        <v>191</v>
      </c>
      <c r="AA4817" s="17" t="s">
        <v>46</v>
      </c>
      <c r="AB4817" s="17" t="s">
        <v>1235</v>
      </c>
      <c r="AC4817" s="217">
        <v>45272</v>
      </c>
      <c r="AD4817" s="65">
        <v>1497</v>
      </c>
      <c r="AE4817" s="17" t="s">
        <v>48</v>
      </c>
      <c r="AF4817" s="17"/>
      <c r="AG4817" s="17"/>
      <c r="AH4817" s="17"/>
      <c r="AI4817" s="17"/>
      <c r="AJ4817" s="17"/>
      <c r="AK4817" s="17"/>
      <c r="AL4817" s="17"/>
      <c r="AM4817" s="17"/>
      <c r="AN4817" s="17"/>
      <c r="AO4817" s="17"/>
      <c r="AP4817" s="17"/>
      <c r="AQ4817" s="17"/>
      <c r="AR4817" s="17"/>
    </row>
    <row r="4818" s="20" customFormat="1" hidden="1" spans="1:44">
      <c r="A4818" s="17" t="s">
        <v>34</v>
      </c>
      <c r="B4818" s="19">
        <v>961</v>
      </c>
      <c r="C4818" s="222">
        <v>45027</v>
      </c>
      <c r="D4818" s="17" t="s">
        <v>52</v>
      </c>
      <c r="E4818" s="17" t="s">
        <v>1113</v>
      </c>
      <c r="F4818" s="17" t="s">
        <v>54</v>
      </c>
      <c r="G4818" s="17"/>
      <c r="H4818" s="124">
        <v>1.2311</v>
      </c>
      <c r="I4818" s="124"/>
      <c r="J4818" s="17" t="s">
        <v>49</v>
      </c>
      <c r="K4818" s="19">
        <v>2200</v>
      </c>
      <c r="L4818" s="91">
        <v>45</v>
      </c>
      <c r="M4818" s="19">
        <v>5000</v>
      </c>
      <c r="N4818" s="19" t="s">
        <v>66</v>
      </c>
      <c r="O4818" s="19" t="s">
        <v>141</v>
      </c>
      <c r="P4818" s="19"/>
      <c r="Q4818" s="19">
        <v>4165</v>
      </c>
      <c r="R4818" s="19">
        <f>+P4817-Q4817-Q4818</f>
        <v>28</v>
      </c>
      <c r="S4818" s="19">
        <v>930</v>
      </c>
      <c r="T4818" s="19" t="s">
        <v>42</v>
      </c>
      <c r="U4818" s="102" t="s">
        <v>1361</v>
      </c>
      <c r="V4818" s="253">
        <v>45118</v>
      </c>
      <c r="W4818" s="17" t="s">
        <v>44</v>
      </c>
      <c r="X4818" s="17"/>
      <c r="Y4818" s="68">
        <v>45283</v>
      </c>
      <c r="Z4818" s="17" t="s">
        <v>191</v>
      </c>
      <c r="AA4818" s="17" t="s">
        <v>46</v>
      </c>
      <c r="AB4818" s="17" t="s">
        <v>1242</v>
      </c>
      <c r="AC4818" s="217">
        <v>45089</v>
      </c>
      <c r="AD4818" s="65">
        <v>1496</v>
      </c>
      <c r="AE4818" s="17" t="s">
        <v>48</v>
      </c>
      <c r="AF4818" s="17"/>
      <c r="AG4818" s="17"/>
      <c r="AH4818" s="17"/>
      <c r="AI4818" s="17"/>
      <c r="AJ4818" s="17"/>
      <c r="AK4818" s="17"/>
      <c r="AL4818" s="17"/>
      <c r="AM4818" s="17"/>
      <c r="AN4818" s="17"/>
      <c r="AO4818" s="17"/>
      <c r="AP4818" s="17"/>
      <c r="AQ4818" s="17"/>
      <c r="AR4818" s="17"/>
    </row>
    <row r="4819" s="20" customFormat="1" hidden="1" spans="1:44">
      <c r="A4819" s="17" t="s">
        <v>34</v>
      </c>
      <c r="B4819" s="19">
        <v>961</v>
      </c>
      <c r="C4819" s="222">
        <v>45027</v>
      </c>
      <c r="D4819" s="17" t="s">
        <v>52</v>
      </c>
      <c r="E4819" s="17" t="s">
        <v>1113</v>
      </c>
      <c r="F4819" s="17" t="s">
        <v>54</v>
      </c>
      <c r="G4819" s="17"/>
      <c r="H4819" s="124">
        <v>1.2311</v>
      </c>
      <c r="I4819" s="124"/>
      <c r="J4819" s="17" t="s">
        <v>49</v>
      </c>
      <c r="K4819" s="19">
        <v>2200</v>
      </c>
      <c r="L4819" s="91">
        <v>50</v>
      </c>
      <c r="M4819" s="19">
        <v>5000</v>
      </c>
      <c r="N4819" s="19" t="s">
        <v>66</v>
      </c>
      <c r="O4819" s="19" t="s">
        <v>141</v>
      </c>
      <c r="P4819" s="19">
        <v>23746</v>
      </c>
      <c r="Q4819" s="19">
        <v>5010</v>
      </c>
      <c r="R4819" s="17"/>
      <c r="S4819" s="19">
        <v>930</v>
      </c>
      <c r="T4819" s="19" t="s">
        <v>42</v>
      </c>
      <c r="U4819" s="102" t="s">
        <v>1361</v>
      </c>
      <c r="V4819" s="253">
        <v>45118</v>
      </c>
      <c r="W4819" s="17" t="s">
        <v>44</v>
      </c>
      <c r="X4819" s="17"/>
      <c r="Y4819" s="68">
        <v>45283</v>
      </c>
      <c r="Z4819" s="17" t="s">
        <v>191</v>
      </c>
      <c r="AA4819" s="17" t="s">
        <v>46</v>
      </c>
      <c r="AB4819" s="17" t="s">
        <v>1246</v>
      </c>
      <c r="AC4819" s="66">
        <v>45276</v>
      </c>
      <c r="AD4819" s="65">
        <v>1499</v>
      </c>
      <c r="AE4819" s="17" t="s">
        <v>48</v>
      </c>
      <c r="AF4819" s="17"/>
      <c r="AG4819" s="17"/>
      <c r="AH4819" s="17"/>
      <c r="AI4819" s="17"/>
      <c r="AJ4819" s="17"/>
      <c r="AK4819" s="17"/>
      <c r="AL4819" s="17"/>
      <c r="AM4819" s="17"/>
      <c r="AN4819" s="17"/>
      <c r="AO4819" s="17"/>
      <c r="AP4819" s="17"/>
      <c r="AQ4819" s="17"/>
      <c r="AR4819" s="17"/>
    </row>
    <row r="4820" s="20" customFormat="1" hidden="1" spans="1:44">
      <c r="A4820" s="17" t="s">
        <v>34</v>
      </c>
      <c r="B4820" s="19">
        <v>961</v>
      </c>
      <c r="C4820" s="222">
        <v>45027</v>
      </c>
      <c r="D4820" s="17" t="s">
        <v>52</v>
      </c>
      <c r="E4820" s="17" t="s">
        <v>1113</v>
      </c>
      <c r="F4820" s="17" t="s">
        <v>54</v>
      </c>
      <c r="G4820" s="17"/>
      <c r="H4820" s="124">
        <v>1.2311</v>
      </c>
      <c r="I4820" s="124"/>
      <c r="J4820" s="17" t="s">
        <v>49</v>
      </c>
      <c r="K4820" s="19">
        <v>2200</v>
      </c>
      <c r="L4820" s="91">
        <v>50</v>
      </c>
      <c r="M4820" s="19">
        <v>5000</v>
      </c>
      <c r="N4820" s="19" t="s">
        <v>66</v>
      </c>
      <c r="O4820" s="19" t="s">
        <v>141</v>
      </c>
      <c r="P4820" s="19"/>
      <c r="Q4820" s="19">
        <f>4780+5010</f>
        <v>9790</v>
      </c>
      <c r="R4820" s="17"/>
      <c r="S4820" s="19">
        <v>930</v>
      </c>
      <c r="T4820" s="19" t="s">
        <v>42</v>
      </c>
      <c r="U4820" s="102" t="s">
        <v>1361</v>
      </c>
      <c r="V4820" s="253">
        <v>45118</v>
      </c>
      <c r="W4820" s="17" t="s">
        <v>44</v>
      </c>
      <c r="X4820" s="17"/>
      <c r="Y4820" s="68">
        <v>45283</v>
      </c>
      <c r="Z4820" s="17" t="s">
        <v>191</v>
      </c>
      <c r="AA4820" s="17" t="s">
        <v>46</v>
      </c>
      <c r="AB4820" s="17" t="s">
        <v>1238</v>
      </c>
      <c r="AC4820" s="66">
        <v>45280</v>
      </c>
      <c r="AD4820" s="65">
        <v>1500</v>
      </c>
      <c r="AE4820" s="17" t="s">
        <v>48</v>
      </c>
      <c r="AF4820" s="17"/>
      <c r="AG4820" s="17"/>
      <c r="AH4820" s="17"/>
      <c r="AI4820" s="17"/>
      <c r="AJ4820" s="17"/>
      <c r="AK4820" s="17"/>
      <c r="AL4820" s="17"/>
      <c r="AM4820" s="17"/>
      <c r="AN4820" s="17"/>
      <c r="AO4820" s="17"/>
      <c r="AP4820" s="17"/>
      <c r="AQ4820" s="17"/>
      <c r="AR4820" s="17"/>
    </row>
    <row r="4821" s="20" customFormat="1" hidden="1" spans="1:44">
      <c r="A4821" s="17" t="s">
        <v>34</v>
      </c>
      <c r="B4821" s="19">
        <v>961</v>
      </c>
      <c r="C4821" s="222">
        <v>45027</v>
      </c>
      <c r="D4821" s="17" t="s">
        <v>52</v>
      </c>
      <c r="E4821" s="17" t="s">
        <v>1113</v>
      </c>
      <c r="F4821" s="17" t="s">
        <v>54</v>
      </c>
      <c r="G4821" s="17"/>
      <c r="H4821" s="124">
        <v>1.2311</v>
      </c>
      <c r="I4821" s="124"/>
      <c r="J4821" s="17" t="s">
        <v>49</v>
      </c>
      <c r="K4821" s="19">
        <v>2200</v>
      </c>
      <c r="L4821" s="91">
        <v>50</v>
      </c>
      <c r="M4821" s="19">
        <v>5000</v>
      </c>
      <c r="N4821" s="19" t="s">
        <v>66</v>
      </c>
      <c r="O4821" s="19" t="s">
        <v>141</v>
      </c>
      <c r="P4821" s="19"/>
      <c r="Q4821" s="19">
        <f>4480+4650</f>
        <v>9130</v>
      </c>
      <c r="R4821" s="19">
        <f>+P4819-Q4819-Q4820-Q4821</f>
        <v>-184</v>
      </c>
      <c r="S4821" s="19">
        <v>930</v>
      </c>
      <c r="T4821" s="19" t="s">
        <v>42</v>
      </c>
      <c r="U4821" s="102" t="s">
        <v>1361</v>
      </c>
      <c r="V4821" s="253">
        <v>45118</v>
      </c>
      <c r="W4821" s="17" t="s">
        <v>44</v>
      </c>
      <c r="X4821" s="17"/>
      <c r="Y4821" s="68">
        <v>45283</v>
      </c>
      <c r="Z4821" s="17" t="s">
        <v>191</v>
      </c>
      <c r="AA4821" s="17" t="s">
        <v>46</v>
      </c>
      <c r="AB4821" s="17" t="s">
        <v>1242</v>
      </c>
      <c r="AC4821" s="217">
        <v>45089</v>
      </c>
      <c r="AD4821" s="65">
        <v>1496</v>
      </c>
      <c r="AE4821" s="17" t="s">
        <v>48</v>
      </c>
      <c r="AF4821" s="17"/>
      <c r="AG4821" s="17"/>
      <c r="AH4821" s="17"/>
      <c r="AI4821" s="17"/>
      <c r="AJ4821" s="17"/>
      <c r="AK4821" s="17"/>
      <c r="AL4821" s="17"/>
      <c r="AM4821" s="17"/>
      <c r="AN4821" s="17"/>
      <c r="AO4821" s="17"/>
      <c r="AP4821" s="17"/>
      <c r="AQ4821" s="17"/>
      <c r="AR4821" s="17"/>
    </row>
    <row r="4822" s="20" customFormat="1" hidden="1" spans="1:44">
      <c r="A4822" s="17" t="s">
        <v>34</v>
      </c>
      <c r="B4822" s="19">
        <v>961</v>
      </c>
      <c r="C4822" s="222">
        <v>45027</v>
      </c>
      <c r="D4822" s="17" t="s">
        <v>52</v>
      </c>
      <c r="E4822" s="17" t="s">
        <v>1113</v>
      </c>
      <c r="F4822" s="17" t="s">
        <v>54</v>
      </c>
      <c r="G4822" s="17"/>
      <c r="H4822" s="124">
        <v>1.2311</v>
      </c>
      <c r="I4822" s="124"/>
      <c r="J4822" s="17" t="s">
        <v>49</v>
      </c>
      <c r="K4822" s="19">
        <v>2200</v>
      </c>
      <c r="L4822" s="91">
        <v>56</v>
      </c>
      <c r="M4822" s="19">
        <v>5000</v>
      </c>
      <c r="N4822" s="19" t="s">
        <v>66</v>
      </c>
      <c r="O4822" s="19" t="s">
        <v>141</v>
      </c>
      <c r="P4822" s="19">
        <v>10638</v>
      </c>
      <c r="Q4822" s="19">
        <v>4705</v>
      </c>
      <c r="R4822" s="17"/>
      <c r="S4822" s="19">
        <v>930</v>
      </c>
      <c r="T4822" s="19" t="s">
        <v>42</v>
      </c>
      <c r="U4822" s="102" t="s">
        <v>1361</v>
      </c>
      <c r="V4822" s="253">
        <v>45118</v>
      </c>
      <c r="W4822" s="17" t="s">
        <v>44</v>
      </c>
      <c r="X4822" s="17"/>
      <c r="Y4822" s="68">
        <v>45283</v>
      </c>
      <c r="Z4822" s="17" t="s">
        <v>191</v>
      </c>
      <c r="AA4822" s="17" t="s">
        <v>46</v>
      </c>
      <c r="AB4822" s="17" t="s">
        <v>1226</v>
      </c>
      <c r="AC4822" s="66">
        <v>45254</v>
      </c>
      <c r="AD4822" s="65">
        <v>1494</v>
      </c>
      <c r="AE4822" s="17" t="s">
        <v>48</v>
      </c>
      <c r="AF4822" s="17"/>
      <c r="AG4822" s="17"/>
      <c r="AH4822" s="17"/>
      <c r="AI4822" s="17"/>
      <c r="AJ4822" s="17"/>
      <c r="AK4822" s="17"/>
      <c r="AL4822" s="17"/>
      <c r="AM4822" s="17"/>
      <c r="AN4822" s="17"/>
      <c r="AO4822" s="17"/>
      <c r="AP4822" s="17"/>
      <c r="AQ4822" s="17"/>
      <c r="AR4822" s="17"/>
    </row>
    <row r="4823" s="20" customFormat="1" hidden="1" spans="1:44">
      <c r="A4823" s="17" t="s">
        <v>34</v>
      </c>
      <c r="B4823" s="19">
        <v>961</v>
      </c>
      <c r="C4823" s="222">
        <v>45027</v>
      </c>
      <c r="D4823" s="17" t="s">
        <v>52</v>
      </c>
      <c r="E4823" s="17" t="s">
        <v>1113</v>
      </c>
      <c r="F4823" s="17" t="s">
        <v>54</v>
      </c>
      <c r="G4823" s="17"/>
      <c r="H4823" s="124">
        <v>1.2311</v>
      </c>
      <c r="I4823" s="124"/>
      <c r="J4823" s="17" t="s">
        <v>49</v>
      </c>
      <c r="K4823" s="19">
        <v>2200</v>
      </c>
      <c r="L4823" s="91">
        <v>56</v>
      </c>
      <c r="M4823" s="19">
        <v>5000</v>
      </c>
      <c r="N4823" s="19" t="s">
        <v>66</v>
      </c>
      <c r="O4823" s="19" t="s">
        <v>141</v>
      </c>
      <c r="P4823" s="19"/>
      <c r="Q4823" s="19">
        <v>5125</v>
      </c>
      <c r="R4823" s="19">
        <f>+P4822-Q4822-Q4823</f>
        <v>808</v>
      </c>
      <c r="S4823" s="19">
        <v>930</v>
      </c>
      <c r="T4823" s="19" t="s">
        <v>42</v>
      </c>
      <c r="U4823" s="102" t="s">
        <v>1361</v>
      </c>
      <c r="V4823" s="253">
        <v>45118</v>
      </c>
      <c r="W4823" s="17" t="s">
        <v>44</v>
      </c>
      <c r="X4823" s="17"/>
      <c r="Y4823" s="68">
        <v>45283</v>
      </c>
      <c r="Z4823" s="17" t="s">
        <v>191</v>
      </c>
      <c r="AA4823" s="17" t="s">
        <v>46</v>
      </c>
      <c r="AB4823" s="17" t="s">
        <v>1242</v>
      </c>
      <c r="AC4823" s="217">
        <v>45089</v>
      </c>
      <c r="AD4823" s="65">
        <v>1496</v>
      </c>
      <c r="AE4823" s="17" t="s">
        <v>48</v>
      </c>
      <c r="AF4823" s="17"/>
      <c r="AG4823" s="17"/>
      <c r="AH4823" s="17"/>
      <c r="AI4823" s="17"/>
      <c r="AJ4823" s="17"/>
      <c r="AK4823" s="17"/>
      <c r="AL4823" s="17"/>
      <c r="AM4823" s="17"/>
      <c r="AN4823" s="17"/>
      <c r="AO4823" s="17"/>
      <c r="AP4823" s="17"/>
      <c r="AQ4823" s="17"/>
      <c r="AR4823" s="17"/>
    </row>
    <row r="4824" s="20" customFormat="1" hidden="1" spans="1:44">
      <c r="A4824" s="17" t="s">
        <v>34</v>
      </c>
      <c r="B4824" s="19">
        <v>961</v>
      </c>
      <c r="C4824" s="222">
        <v>45027</v>
      </c>
      <c r="D4824" s="17" t="s">
        <v>52</v>
      </c>
      <c r="E4824" s="17" t="s">
        <v>1113</v>
      </c>
      <c r="F4824" s="17" t="s">
        <v>54</v>
      </c>
      <c r="G4824" s="17"/>
      <c r="H4824" s="124">
        <v>1.2311</v>
      </c>
      <c r="I4824" s="124"/>
      <c r="J4824" s="17" t="s">
        <v>49</v>
      </c>
      <c r="K4824" s="19">
        <v>2200</v>
      </c>
      <c r="L4824" s="91">
        <v>61</v>
      </c>
      <c r="M4824" s="19">
        <v>5000</v>
      </c>
      <c r="N4824" s="19" t="s">
        <v>66</v>
      </c>
      <c r="O4824" s="19" t="s">
        <v>141</v>
      </c>
      <c r="P4824" s="19">
        <v>14222</v>
      </c>
      <c r="Q4824" s="19">
        <v>5235</v>
      </c>
      <c r="R4824" s="17"/>
      <c r="S4824" s="19">
        <v>930</v>
      </c>
      <c r="T4824" s="19" t="s">
        <v>42</v>
      </c>
      <c r="U4824" s="102" t="s">
        <v>1361</v>
      </c>
      <c r="V4824" s="253">
        <v>45118</v>
      </c>
      <c r="W4824" s="17" t="s">
        <v>44</v>
      </c>
      <c r="X4824" s="17"/>
      <c r="Y4824" s="68">
        <v>45283</v>
      </c>
      <c r="Z4824" s="17" t="s">
        <v>191</v>
      </c>
      <c r="AA4824" s="17" t="s">
        <v>46</v>
      </c>
      <c r="AB4824" s="17" t="s">
        <v>1226</v>
      </c>
      <c r="AC4824" s="66">
        <v>45254</v>
      </c>
      <c r="AD4824" s="65">
        <v>1494</v>
      </c>
      <c r="AE4824" s="17" t="s">
        <v>48</v>
      </c>
      <c r="AF4824" s="17"/>
      <c r="AG4824" s="17"/>
      <c r="AH4824" s="17"/>
      <c r="AI4824" s="17"/>
      <c r="AJ4824" s="17"/>
      <c r="AK4824" s="17"/>
      <c r="AL4824" s="17"/>
      <c r="AM4824" s="17"/>
      <c r="AN4824" s="17"/>
      <c r="AO4824" s="17"/>
      <c r="AP4824" s="17"/>
      <c r="AQ4824" s="17"/>
      <c r="AR4824" s="17"/>
    </row>
    <row r="4825" s="20" customFormat="1" hidden="1" spans="1:44">
      <c r="A4825" s="17" t="s">
        <v>34</v>
      </c>
      <c r="B4825" s="19">
        <v>961</v>
      </c>
      <c r="C4825" s="222">
        <v>45027</v>
      </c>
      <c r="D4825" s="17" t="s">
        <v>52</v>
      </c>
      <c r="E4825" s="17" t="s">
        <v>1113</v>
      </c>
      <c r="F4825" s="17" t="s">
        <v>54</v>
      </c>
      <c r="G4825" s="17"/>
      <c r="H4825" s="124">
        <v>1.2311</v>
      </c>
      <c r="I4825" s="124"/>
      <c r="J4825" s="17" t="s">
        <v>49</v>
      </c>
      <c r="K4825" s="19">
        <v>2200</v>
      </c>
      <c r="L4825" s="91">
        <v>61</v>
      </c>
      <c r="M4825" s="19">
        <v>5000</v>
      </c>
      <c r="N4825" s="19" t="s">
        <v>66</v>
      </c>
      <c r="O4825" s="19" t="s">
        <v>141</v>
      </c>
      <c r="P4825" s="19"/>
      <c r="Q4825" s="19">
        <v>5530</v>
      </c>
      <c r="R4825" s="17"/>
      <c r="S4825" s="19">
        <v>930</v>
      </c>
      <c r="T4825" s="19" t="s">
        <v>42</v>
      </c>
      <c r="U4825" s="102" t="s">
        <v>1361</v>
      </c>
      <c r="V4825" s="253">
        <v>45118</v>
      </c>
      <c r="W4825" s="17" t="s">
        <v>44</v>
      </c>
      <c r="X4825" s="17"/>
      <c r="Y4825" s="68">
        <v>45283</v>
      </c>
      <c r="Z4825" s="17" t="s">
        <v>191</v>
      </c>
      <c r="AA4825" s="17" t="s">
        <v>46</v>
      </c>
      <c r="AB4825" s="17" t="s">
        <v>1238</v>
      </c>
      <c r="AC4825" s="66">
        <v>45280</v>
      </c>
      <c r="AD4825" s="65">
        <v>1500</v>
      </c>
      <c r="AE4825" s="17" t="s">
        <v>48</v>
      </c>
      <c r="AF4825" s="17"/>
      <c r="AG4825" s="17"/>
      <c r="AH4825" s="17"/>
      <c r="AI4825" s="17"/>
      <c r="AJ4825" s="17"/>
      <c r="AK4825" s="17"/>
      <c r="AL4825" s="17"/>
      <c r="AM4825" s="17"/>
      <c r="AN4825" s="17"/>
      <c r="AO4825" s="17"/>
      <c r="AP4825" s="17"/>
      <c r="AQ4825" s="17"/>
      <c r="AR4825" s="17"/>
    </row>
    <row r="4826" s="20" customFormat="1" hidden="1" spans="1:44">
      <c r="A4826" s="17" t="s">
        <v>34</v>
      </c>
      <c r="B4826" s="19">
        <v>961</v>
      </c>
      <c r="C4826" s="222">
        <v>45027</v>
      </c>
      <c r="D4826" s="17" t="s">
        <v>52</v>
      </c>
      <c r="E4826" s="17" t="s">
        <v>1113</v>
      </c>
      <c r="F4826" s="17" t="s">
        <v>54</v>
      </c>
      <c r="G4826" s="17"/>
      <c r="H4826" s="124">
        <v>1.2311</v>
      </c>
      <c r="I4826" s="124"/>
      <c r="J4826" s="17" t="s">
        <v>49</v>
      </c>
      <c r="K4826" s="19">
        <v>2200</v>
      </c>
      <c r="L4826" s="91">
        <v>61</v>
      </c>
      <c r="M4826" s="19">
        <v>5000</v>
      </c>
      <c r="N4826" s="19" t="s">
        <v>66</v>
      </c>
      <c r="O4826" s="19" t="s">
        <v>141</v>
      </c>
      <c r="P4826" s="19"/>
      <c r="Q4826" s="19">
        <v>6110</v>
      </c>
      <c r="R4826" s="19">
        <f>+P4824-Q4824-Q4825-Q4826</f>
        <v>-2653</v>
      </c>
      <c r="S4826" s="19">
        <v>930</v>
      </c>
      <c r="T4826" s="19" t="s">
        <v>42</v>
      </c>
      <c r="U4826" s="102" t="s">
        <v>1361</v>
      </c>
      <c r="V4826" s="253">
        <v>45118</v>
      </c>
      <c r="W4826" s="17" t="s">
        <v>44</v>
      </c>
      <c r="X4826" s="17"/>
      <c r="Y4826" s="68">
        <v>45283</v>
      </c>
      <c r="Z4826" s="17" t="s">
        <v>191</v>
      </c>
      <c r="AA4826" s="17" t="s">
        <v>46</v>
      </c>
      <c r="AB4826" s="17" t="s">
        <v>1241</v>
      </c>
      <c r="AC4826" s="66">
        <v>45283</v>
      </c>
      <c r="AD4826" s="65">
        <v>1503</v>
      </c>
      <c r="AE4826" s="17" t="s">
        <v>48</v>
      </c>
      <c r="AF4826" s="17"/>
      <c r="AG4826" s="17"/>
      <c r="AH4826" s="17"/>
      <c r="AI4826" s="17"/>
      <c r="AJ4826" s="17"/>
      <c r="AK4826" s="17"/>
      <c r="AL4826" s="17"/>
      <c r="AM4826" s="17"/>
      <c r="AN4826" s="17"/>
      <c r="AO4826" s="17"/>
      <c r="AP4826" s="17"/>
      <c r="AQ4826" s="17"/>
      <c r="AR4826" s="17"/>
    </row>
    <row r="4827" s="21" customFormat="1" hidden="1" spans="1:44">
      <c r="A4827" s="17" t="s">
        <v>34</v>
      </c>
      <c r="B4827" s="19">
        <v>961</v>
      </c>
      <c r="C4827" s="222">
        <v>45027</v>
      </c>
      <c r="D4827" s="17" t="s">
        <v>52</v>
      </c>
      <c r="E4827" s="17" t="s">
        <v>1113</v>
      </c>
      <c r="F4827" s="17" t="s">
        <v>54</v>
      </c>
      <c r="G4827" s="17"/>
      <c r="H4827" s="124">
        <v>1.2311</v>
      </c>
      <c r="I4827" s="124"/>
      <c r="J4827" s="17" t="s">
        <v>49</v>
      </c>
      <c r="K4827" s="19">
        <v>2200</v>
      </c>
      <c r="L4827" s="91">
        <v>65</v>
      </c>
      <c r="M4827" s="19">
        <v>5000</v>
      </c>
      <c r="N4827" s="19" t="s">
        <v>66</v>
      </c>
      <c r="O4827" s="19" t="s">
        <v>141</v>
      </c>
      <c r="P4827" s="19">
        <v>5051</v>
      </c>
      <c r="Q4827" s="19">
        <v>5978</v>
      </c>
      <c r="R4827" s="19">
        <f>+P4827-Q4827</f>
        <v>-927</v>
      </c>
      <c r="S4827" s="19">
        <f>930-100</f>
        <v>830</v>
      </c>
      <c r="T4827" s="19" t="s">
        <v>42</v>
      </c>
      <c r="U4827" s="102" t="s">
        <v>1361</v>
      </c>
      <c r="V4827" s="253">
        <v>45118</v>
      </c>
      <c r="W4827" s="17" t="s">
        <v>44</v>
      </c>
      <c r="X4827" s="17"/>
      <c r="Y4827" s="68">
        <v>45283</v>
      </c>
      <c r="Z4827" s="17" t="s">
        <v>191</v>
      </c>
      <c r="AA4827" s="17" t="s">
        <v>46</v>
      </c>
      <c r="AB4827" s="17" t="s">
        <v>1240</v>
      </c>
      <c r="AC4827" s="217">
        <v>45372</v>
      </c>
      <c r="AD4827" s="65">
        <v>1542</v>
      </c>
      <c r="AE4827" s="17" t="s">
        <v>48</v>
      </c>
      <c r="AF4827" s="17"/>
      <c r="AG4827" s="17"/>
      <c r="AH4827" s="17"/>
      <c r="AI4827" s="17"/>
      <c r="AJ4827" s="17"/>
      <c r="AK4827" s="17"/>
      <c r="AL4827" s="17"/>
      <c r="AM4827" s="17"/>
      <c r="AN4827" s="17"/>
      <c r="AO4827" s="17"/>
      <c r="AP4827" s="17"/>
      <c r="AQ4827" s="17"/>
      <c r="AR4827" s="17"/>
    </row>
    <row r="4828" s="20" customFormat="1" hidden="1" spans="1:44">
      <c r="A4828" s="17" t="s">
        <v>34</v>
      </c>
      <c r="B4828" s="19">
        <v>961</v>
      </c>
      <c r="C4828" s="222">
        <v>45027</v>
      </c>
      <c r="D4828" s="17" t="s">
        <v>52</v>
      </c>
      <c r="E4828" s="17" t="s">
        <v>1113</v>
      </c>
      <c r="F4828" s="17" t="s">
        <v>54</v>
      </c>
      <c r="G4828" s="17"/>
      <c r="H4828" s="124">
        <v>1.2311</v>
      </c>
      <c r="I4828" s="124"/>
      <c r="J4828" s="17" t="s">
        <v>49</v>
      </c>
      <c r="K4828" s="19">
        <v>2200</v>
      </c>
      <c r="L4828" s="91">
        <v>71</v>
      </c>
      <c r="M4828" s="19">
        <v>5000</v>
      </c>
      <c r="N4828" s="19" t="s">
        <v>66</v>
      </c>
      <c r="O4828" s="19" t="s">
        <v>141</v>
      </c>
      <c r="P4828" s="19">
        <v>11036</v>
      </c>
      <c r="Q4828" s="19">
        <f>6950</f>
        <v>6950</v>
      </c>
      <c r="R4828" s="21"/>
      <c r="S4828" s="19">
        <v>930</v>
      </c>
      <c r="T4828" s="19" t="s">
        <v>42</v>
      </c>
      <c r="U4828" s="102" t="s">
        <v>1361</v>
      </c>
      <c r="V4828" s="253">
        <v>45118</v>
      </c>
      <c r="W4828" s="17" t="s">
        <v>44</v>
      </c>
      <c r="X4828" s="17"/>
      <c r="Y4828" s="68">
        <v>45283</v>
      </c>
      <c r="Z4828" s="17" t="s">
        <v>191</v>
      </c>
      <c r="AA4828" s="17" t="s">
        <v>46</v>
      </c>
      <c r="AB4828" s="17" t="s">
        <v>1246</v>
      </c>
      <c r="AC4828" s="66">
        <v>45276</v>
      </c>
      <c r="AD4828" s="65">
        <v>1499</v>
      </c>
      <c r="AE4828" s="17" t="s">
        <v>48</v>
      </c>
      <c r="AF4828" s="17"/>
      <c r="AG4828" s="17"/>
      <c r="AH4828" s="17"/>
      <c r="AI4828" s="17"/>
      <c r="AJ4828" s="17"/>
      <c r="AK4828" s="17"/>
      <c r="AL4828" s="17"/>
      <c r="AM4828" s="17"/>
      <c r="AN4828" s="17"/>
      <c r="AO4828" s="17"/>
      <c r="AP4828" s="17"/>
      <c r="AQ4828" s="17"/>
      <c r="AR4828" s="17"/>
    </row>
    <row r="4829" s="20" customFormat="1" hidden="1" spans="1:44">
      <c r="A4829" s="17"/>
      <c r="B4829" s="19">
        <v>961</v>
      </c>
      <c r="C4829" s="222">
        <v>45027</v>
      </c>
      <c r="D4829" s="17" t="s">
        <v>52</v>
      </c>
      <c r="E4829" s="17" t="s">
        <v>1113</v>
      </c>
      <c r="F4829" s="17" t="s">
        <v>54</v>
      </c>
      <c r="G4829" s="17"/>
      <c r="H4829" s="124">
        <v>1.2311</v>
      </c>
      <c r="I4829" s="124"/>
      <c r="J4829" s="17" t="s">
        <v>49</v>
      </c>
      <c r="K4829" s="19">
        <v>2200</v>
      </c>
      <c r="L4829" s="91">
        <v>71</v>
      </c>
      <c r="M4829" s="19">
        <v>5000</v>
      </c>
      <c r="N4829" s="19" t="s">
        <v>66</v>
      </c>
      <c r="O4829" s="19" t="s">
        <v>141</v>
      </c>
      <c r="P4829" s="19"/>
      <c r="Q4829" s="19">
        <v>5735</v>
      </c>
      <c r="R4829" s="19">
        <f>+P4828-Q4828-Q4829</f>
        <v>-1649</v>
      </c>
      <c r="S4829" s="19">
        <v>930</v>
      </c>
      <c r="T4829" s="19" t="s">
        <v>42</v>
      </c>
      <c r="U4829" s="102" t="s">
        <v>1361</v>
      </c>
      <c r="V4829" s="253">
        <v>45118</v>
      </c>
      <c r="W4829" s="17" t="s">
        <v>44</v>
      </c>
      <c r="X4829" s="17"/>
      <c r="Y4829" s="68">
        <v>45283</v>
      </c>
      <c r="Z4829" s="17" t="s">
        <v>191</v>
      </c>
      <c r="AA4829" s="17" t="s">
        <v>46</v>
      </c>
      <c r="AB4829" s="17" t="s">
        <v>1235</v>
      </c>
      <c r="AC4829" s="217">
        <v>45272</v>
      </c>
      <c r="AD4829" s="65">
        <v>1497</v>
      </c>
      <c r="AE4829" s="17" t="s">
        <v>48</v>
      </c>
      <c r="AF4829" s="17"/>
      <c r="AG4829" s="17"/>
      <c r="AH4829" s="17"/>
      <c r="AI4829" s="17"/>
      <c r="AJ4829" s="17"/>
      <c r="AK4829" s="17"/>
      <c r="AL4829" s="17"/>
      <c r="AM4829" s="17"/>
      <c r="AN4829" s="17"/>
      <c r="AO4829" s="17"/>
      <c r="AP4829" s="17"/>
      <c r="AQ4829" s="17"/>
      <c r="AR4829" s="17"/>
    </row>
    <row r="4830" s="20" customFormat="1" hidden="1" spans="1:44">
      <c r="A4830" s="17" t="s">
        <v>34</v>
      </c>
      <c r="B4830" s="19">
        <v>961</v>
      </c>
      <c r="C4830" s="222">
        <v>45027</v>
      </c>
      <c r="D4830" s="17" t="s">
        <v>52</v>
      </c>
      <c r="E4830" s="17" t="s">
        <v>1113</v>
      </c>
      <c r="F4830" s="17" t="s">
        <v>54</v>
      </c>
      <c r="G4830" s="17"/>
      <c r="H4830" s="124">
        <v>1.2311</v>
      </c>
      <c r="I4830" s="124"/>
      <c r="J4830" s="17" t="s">
        <v>49</v>
      </c>
      <c r="K4830" s="19">
        <v>2200</v>
      </c>
      <c r="L4830" s="91">
        <v>80</v>
      </c>
      <c r="M4830" s="19">
        <v>5000</v>
      </c>
      <c r="N4830" s="19" t="s">
        <v>66</v>
      </c>
      <c r="O4830" s="19" t="s">
        <v>141</v>
      </c>
      <c r="P4830" s="19">
        <v>6217</v>
      </c>
      <c r="Q4830" s="19">
        <v>7665</v>
      </c>
      <c r="R4830" s="19">
        <f t="shared" ref="R4830:R4862" si="226">+P4830-Q4830</f>
        <v>-1448</v>
      </c>
      <c r="S4830" s="19">
        <v>930</v>
      </c>
      <c r="T4830" s="19" t="s">
        <v>42</v>
      </c>
      <c r="U4830" s="102" t="s">
        <v>1361</v>
      </c>
      <c r="V4830" s="253">
        <v>45118</v>
      </c>
      <c r="W4830" s="17" t="s">
        <v>44</v>
      </c>
      <c r="X4830" s="17"/>
      <c r="Y4830" s="68">
        <v>45283</v>
      </c>
      <c r="Z4830" s="17" t="s">
        <v>191</v>
      </c>
      <c r="AA4830" s="17" t="s">
        <v>46</v>
      </c>
      <c r="AB4830" s="17" t="s">
        <v>1242</v>
      </c>
      <c r="AC4830" s="217">
        <v>45089</v>
      </c>
      <c r="AD4830" s="65">
        <v>1496</v>
      </c>
      <c r="AE4830" s="17" t="s">
        <v>48</v>
      </c>
      <c r="AF4830" s="17"/>
      <c r="AG4830" s="17"/>
      <c r="AH4830" s="17"/>
      <c r="AI4830" s="17"/>
      <c r="AJ4830" s="17"/>
      <c r="AK4830" s="17"/>
      <c r="AL4830" s="17"/>
      <c r="AM4830" s="17"/>
      <c r="AN4830" s="17"/>
      <c r="AO4830" s="17"/>
      <c r="AP4830" s="17"/>
      <c r="AQ4830" s="17"/>
      <c r="AR4830" s="17"/>
    </row>
    <row r="4831" s="20" customFormat="1" hidden="1" spans="1:44">
      <c r="A4831" s="17" t="s">
        <v>34</v>
      </c>
      <c r="B4831" s="19">
        <v>961</v>
      </c>
      <c r="C4831" s="222">
        <v>45027</v>
      </c>
      <c r="D4831" s="17" t="s">
        <v>52</v>
      </c>
      <c r="E4831" s="17" t="s">
        <v>1113</v>
      </c>
      <c r="F4831" s="17" t="s">
        <v>54</v>
      </c>
      <c r="G4831" s="17"/>
      <c r="H4831" s="124">
        <v>1.2311</v>
      </c>
      <c r="I4831" s="124"/>
      <c r="J4831" s="17" t="s">
        <v>49</v>
      </c>
      <c r="K4831" s="19">
        <v>2200</v>
      </c>
      <c r="L4831" s="91">
        <v>91</v>
      </c>
      <c r="M4831" s="19">
        <v>5000</v>
      </c>
      <c r="N4831" s="19" t="s">
        <v>66</v>
      </c>
      <c r="O4831" s="19" t="s">
        <v>141</v>
      </c>
      <c r="P4831" s="19">
        <v>7072</v>
      </c>
      <c r="Q4831" s="19">
        <v>8980</v>
      </c>
      <c r="R4831" s="19">
        <f t="shared" si="226"/>
        <v>-1908</v>
      </c>
      <c r="S4831" s="19">
        <v>930</v>
      </c>
      <c r="T4831" s="19" t="s">
        <v>42</v>
      </c>
      <c r="U4831" s="102" t="s">
        <v>1361</v>
      </c>
      <c r="V4831" s="253">
        <v>45118</v>
      </c>
      <c r="W4831" s="17" t="s">
        <v>44</v>
      </c>
      <c r="X4831" s="17"/>
      <c r="Y4831" s="68">
        <v>45283</v>
      </c>
      <c r="Z4831" s="17" t="s">
        <v>191</v>
      </c>
      <c r="AA4831" s="17" t="s">
        <v>46</v>
      </c>
      <c r="AB4831" s="17" t="s">
        <v>1242</v>
      </c>
      <c r="AC4831" s="217">
        <v>45089</v>
      </c>
      <c r="AD4831" s="65">
        <v>1496</v>
      </c>
      <c r="AE4831" s="17" t="s">
        <v>48</v>
      </c>
      <c r="AF4831" s="17"/>
      <c r="AG4831" s="17"/>
      <c r="AH4831" s="17"/>
      <c r="AI4831" s="17"/>
      <c r="AJ4831" s="17"/>
      <c r="AK4831" s="17"/>
      <c r="AL4831" s="17"/>
      <c r="AM4831" s="17"/>
      <c r="AN4831" s="17"/>
      <c r="AO4831" s="17"/>
      <c r="AP4831" s="17"/>
      <c r="AQ4831" s="17"/>
      <c r="AR4831" s="17"/>
    </row>
    <row r="4832" s="20" customFormat="1" hidden="1" spans="1:44">
      <c r="A4832" s="17" t="s">
        <v>34</v>
      </c>
      <c r="B4832" s="19">
        <v>961</v>
      </c>
      <c r="C4832" s="222">
        <v>45027</v>
      </c>
      <c r="D4832" s="17" t="s">
        <v>52</v>
      </c>
      <c r="E4832" s="17" t="s">
        <v>1113</v>
      </c>
      <c r="F4832" s="17" t="s">
        <v>54</v>
      </c>
      <c r="G4832" s="17"/>
      <c r="H4832" s="124">
        <v>1.2311</v>
      </c>
      <c r="I4832" s="124"/>
      <c r="J4832" s="17" t="s">
        <v>49</v>
      </c>
      <c r="K4832" s="19">
        <v>2200</v>
      </c>
      <c r="L4832" s="91">
        <v>105</v>
      </c>
      <c r="M4832" s="19">
        <v>5000</v>
      </c>
      <c r="N4832" s="19" t="s">
        <v>66</v>
      </c>
      <c r="O4832" s="19" t="s">
        <v>141</v>
      </c>
      <c r="P4832" s="19">
        <v>8160</v>
      </c>
      <c r="Q4832" s="19">
        <v>9090</v>
      </c>
      <c r="R4832" s="19">
        <f t="shared" si="226"/>
        <v>-930</v>
      </c>
      <c r="S4832" s="19">
        <v>930</v>
      </c>
      <c r="T4832" s="19" t="s">
        <v>42</v>
      </c>
      <c r="U4832" s="102" t="s">
        <v>1361</v>
      </c>
      <c r="V4832" s="253">
        <v>45118</v>
      </c>
      <c r="W4832" s="17" t="s">
        <v>44</v>
      </c>
      <c r="X4832" s="17"/>
      <c r="Y4832" s="68">
        <v>45283</v>
      </c>
      <c r="Z4832" s="17" t="s">
        <v>191</v>
      </c>
      <c r="AA4832" s="17" t="s">
        <v>46</v>
      </c>
      <c r="AB4832" s="17" t="s">
        <v>1226</v>
      </c>
      <c r="AC4832" s="66">
        <v>45254</v>
      </c>
      <c r="AD4832" s="65">
        <v>1494</v>
      </c>
      <c r="AE4832" s="17" t="s">
        <v>48</v>
      </c>
      <c r="AF4832" s="17"/>
      <c r="AG4832" s="17"/>
      <c r="AH4832" s="17"/>
      <c r="AI4832" s="17"/>
      <c r="AJ4832" s="17"/>
      <c r="AK4832" s="17"/>
      <c r="AL4832" s="17"/>
      <c r="AM4832" s="17"/>
      <c r="AN4832" s="17"/>
      <c r="AO4832" s="17"/>
      <c r="AP4832" s="17"/>
      <c r="AQ4832" s="17"/>
      <c r="AR4832" s="17"/>
    </row>
    <row r="4833" s="21" customFormat="1" hidden="1" spans="1:44">
      <c r="A4833" s="17"/>
      <c r="B4833" s="19">
        <v>961</v>
      </c>
      <c r="C4833" s="222">
        <v>45027</v>
      </c>
      <c r="D4833" s="17" t="s">
        <v>52</v>
      </c>
      <c r="E4833" s="17" t="s">
        <v>1113</v>
      </c>
      <c r="F4833" s="17" t="s">
        <v>54</v>
      </c>
      <c r="G4833" s="17"/>
      <c r="H4833" s="124">
        <v>1.2311</v>
      </c>
      <c r="I4833" s="124"/>
      <c r="J4833" s="17" t="s">
        <v>49</v>
      </c>
      <c r="K4833" s="19">
        <v>2200</v>
      </c>
      <c r="L4833" s="91">
        <v>130</v>
      </c>
      <c r="M4833" s="19">
        <v>5000</v>
      </c>
      <c r="N4833" s="19" t="s">
        <v>66</v>
      </c>
      <c r="O4833" s="19" t="s">
        <v>141</v>
      </c>
      <c r="P4833" s="19">
        <v>10103</v>
      </c>
      <c r="Q4833" s="19">
        <v>0</v>
      </c>
      <c r="R4833" s="242">
        <f t="shared" si="226"/>
        <v>10103</v>
      </c>
      <c r="S4833" s="19">
        <v>950</v>
      </c>
      <c r="T4833" s="19" t="s">
        <v>42</v>
      </c>
      <c r="U4833" s="102" t="s">
        <v>1361</v>
      </c>
      <c r="V4833" s="253">
        <v>45118</v>
      </c>
      <c r="W4833" s="17" t="s">
        <v>44</v>
      </c>
      <c r="X4833" s="17"/>
      <c r="Y4833" s="68">
        <v>45283</v>
      </c>
      <c r="Z4833" s="17" t="s">
        <v>191</v>
      </c>
      <c r="AA4833" s="17" t="s">
        <v>46</v>
      </c>
      <c r="AB4833" s="17"/>
      <c r="AC4833" s="102"/>
      <c r="AD4833" s="65"/>
      <c r="AE4833" s="17" t="s">
        <v>48</v>
      </c>
      <c r="AF4833" s="17" t="s">
        <v>1347</v>
      </c>
      <c r="AG4833" s="17"/>
      <c r="AH4833" s="17"/>
      <c r="AI4833" s="17"/>
      <c r="AJ4833" s="17"/>
      <c r="AK4833" s="17"/>
      <c r="AL4833" s="17"/>
      <c r="AM4833" s="17"/>
      <c r="AN4833" s="17"/>
      <c r="AO4833" s="17"/>
      <c r="AP4833" s="17"/>
      <c r="AQ4833" s="17"/>
      <c r="AR4833" s="17"/>
    </row>
    <row r="4834" s="20" customFormat="1" hidden="1" spans="1:44">
      <c r="A4834" s="17" t="s">
        <v>34</v>
      </c>
      <c r="B4834" s="19">
        <v>961</v>
      </c>
      <c r="C4834" s="222">
        <v>45027</v>
      </c>
      <c r="D4834" s="17" t="s">
        <v>52</v>
      </c>
      <c r="E4834" s="17" t="s">
        <v>1113</v>
      </c>
      <c r="F4834" s="17" t="s">
        <v>54</v>
      </c>
      <c r="G4834" s="17"/>
      <c r="H4834" s="124">
        <v>1.2311</v>
      </c>
      <c r="I4834" s="124"/>
      <c r="J4834" s="17" t="s">
        <v>49</v>
      </c>
      <c r="K4834" s="19">
        <v>2200</v>
      </c>
      <c r="L4834" s="91">
        <v>155</v>
      </c>
      <c r="M4834" s="19">
        <v>5000</v>
      </c>
      <c r="N4834" s="19" t="s">
        <v>66</v>
      </c>
      <c r="O4834" s="19" t="s">
        <v>141</v>
      </c>
      <c r="P4834" s="19">
        <v>12046</v>
      </c>
      <c r="Q4834" s="19">
        <v>14110</v>
      </c>
      <c r="R4834" s="19">
        <f t="shared" si="226"/>
        <v>-2064</v>
      </c>
      <c r="S4834" s="19">
        <v>970</v>
      </c>
      <c r="T4834" s="19" t="s">
        <v>42</v>
      </c>
      <c r="U4834" s="102" t="s">
        <v>1361</v>
      </c>
      <c r="V4834" s="253">
        <v>45118</v>
      </c>
      <c r="W4834" s="17" t="s">
        <v>44</v>
      </c>
      <c r="X4834" s="17"/>
      <c r="Y4834" s="68">
        <v>45283</v>
      </c>
      <c r="Z4834" s="17" t="s">
        <v>191</v>
      </c>
      <c r="AA4834" s="17" t="s">
        <v>46</v>
      </c>
      <c r="AB4834" s="17" t="s">
        <v>1237</v>
      </c>
      <c r="AC4834" s="217">
        <v>45627</v>
      </c>
      <c r="AD4834" s="65">
        <v>1516</v>
      </c>
      <c r="AE4834" s="17" t="s">
        <v>48</v>
      </c>
      <c r="AF4834" s="17"/>
      <c r="AG4834" s="17"/>
      <c r="AH4834" s="17"/>
      <c r="AI4834" s="17"/>
      <c r="AJ4834" s="17"/>
      <c r="AK4834" s="17"/>
      <c r="AL4834" s="17"/>
      <c r="AM4834" s="17"/>
      <c r="AN4834" s="17"/>
      <c r="AO4834" s="17"/>
      <c r="AP4834" s="17"/>
      <c r="AQ4834" s="17"/>
      <c r="AR4834" s="17"/>
    </row>
    <row r="4835" s="21" customFormat="1" hidden="1" spans="1:44">
      <c r="A4835" s="17" t="s">
        <v>34</v>
      </c>
      <c r="B4835" s="19">
        <v>961</v>
      </c>
      <c r="C4835" s="222">
        <v>45027</v>
      </c>
      <c r="D4835" s="17" t="s">
        <v>52</v>
      </c>
      <c r="E4835" s="17" t="s">
        <v>1113</v>
      </c>
      <c r="F4835" s="17" t="s">
        <v>54</v>
      </c>
      <c r="G4835" s="17"/>
      <c r="H4835" s="124">
        <v>1.2311</v>
      </c>
      <c r="I4835" s="124"/>
      <c r="J4835" s="17" t="s">
        <v>49</v>
      </c>
      <c r="K4835" s="19">
        <v>2200</v>
      </c>
      <c r="L4835" s="91">
        <v>180</v>
      </c>
      <c r="M4835" s="19">
        <v>5000</v>
      </c>
      <c r="N4835" s="19" t="s">
        <v>66</v>
      </c>
      <c r="O4835" s="19" t="s">
        <v>141</v>
      </c>
      <c r="P4835" s="19">
        <v>13989</v>
      </c>
      <c r="Q4835" s="19">
        <v>14930</v>
      </c>
      <c r="R4835" s="19">
        <f t="shared" si="226"/>
        <v>-941</v>
      </c>
      <c r="S4835" s="19">
        <f>970+153</f>
        <v>1123</v>
      </c>
      <c r="T4835" s="19" t="s">
        <v>42</v>
      </c>
      <c r="U4835" s="102" t="s">
        <v>1361</v>
      </c>
      <c r="V4835" s="253">
        <v>45118</v>
      </c>
      <c r="W4835" s="17" t="s">
        <v>44</v>
      </c>
      <c r="X4835" s="17"/>
      <c r="Y4835" s="68">
        <v>45283</v>
      </c>
      <c r="Z4835" s="17" t="s">
        <v>191</v>
      </c>
      <c r="AA4835" s="17" t="s">
        <v>46</v>
      </c>
      <c r="AB4835" s="17" t="s">
        <v>1284</v>
      </c>
      <c r="AC4835" s="66">
        <v>45372</v>
      </c>
      <c r="AD4835" s="65">
        <v>1543</v>
      </c>
      <c r="AE4835" s="17" t="s">
        <v>48</v>
      </c>
      <c r="AF4835" s="17"/>
      <c r="AG4835" s="17"/>
      <c r="AH4835" s="17"/>
      <c r="AI4835" s="17"/>
      <c r="AJ4835" s="17"/>
      <c r="AK4835" s="17"/>
      <c r="AL4835" s="17"/>
      <c r="AM4835" s="17"/>
      <c r="AN4835" s="17"/>
      <c r="AO4835" s="17"/>
      <c r="AP4835" s="17"/>
      <c r="AQ4835" s="17"/>
      <c r="AR4835" s="17"/>
    </row>
    <row r="4836" s="20" customFormat="1" hidden="1" spans="1:44">
      <c r="A4836" s="17" t="s">
        <v>34</v>
      </c>
      <c r="B4836" s="19">
        <v>961</v>
      </c>
      <c r="C4836" s="222">
        <v>45027</v>
      </c>
      <c r="D4836" s="17" t="s">
        <v>52</v>
      </c>
      <c r="E4836" s="17" t="s">
        <v>1113</v>
      </c>
      <c r="F4836" s="17" t="s">
        <v>54</v>
      </c>
      <c r="G4836" s="17"/>
      <c r="H4836" s="124">
        <v>1.2311</v>
      </c>
      <c r="I4836" s="124"/>
      <c r="J4836" s="17" t="s">
        <v>49</v>
      </c>
      <c r="K4836" s="19">
        <v>2200</v>
      </c>
      <c r="L4836" s="91">
        <v>210</v>
      </c>
      <c r="M4836" s="19">
        <v>5000</v>
      </c>
      <c r="N4836" s="19" t="s">
        <v>66</v>
      </c>
      <c r="O4836" s="19" t="s">
        <v>141</v>
      </c>
      <c r="P4836" s="19">
        <v>16320</v>
      </c>
      <c r="Q4836" s="19">
        <v>17900</v>
      </c>
      <c r="R4836" s="19">
        <f t="shared" si="226"/>
        <v>-1580</v>
      </c>
      <c r="S4836" s="19">
        <v>1150</v>
      </c>
      <c r="T4836" s="19" t="s">
        <v>42</v>
      </c>
      <c r="U4836" s="102" t="s">
        <v>1361</v>
      </c>
      <c r="V4836" s="253">
        <v>45118</v>
      </c>
      <c r="W4836" s="17" t="s">
        <v>44</v>
      </c>
      <c r="X4836" s="17"/>
      <c r="Y4836" s="68">
        <v>45283</v>
      </c>
      <c r="Z4836" s="17" t="s">
        <v>191</v>
      </c>
      <c r="AA4836" s="17" t="s">
        <v>46</v>
      </c>
      <c r="AB4836" s="17" t="s">
        <v>1231</v>
      </c>
      <c r="AC4836" s="66">
        <v>45283</v>
      </c>
      <c r="AD4836" s="65">
        <v>1504</v>
      </c>
      <c r="AE4836" s="17" t="s">
        <v>48</v>
      </c>
      <c r="AF4836" s="17"/>
      <c r="AG4836" s="17"/>
      <c r="AH4836" s="17"/>
      <c r="AI4836" s="17"/>
      <c r="AJ4836" s="17"/>
      <c r="AK4836" s="17"/>
      <c r="AL4836" s="17"/>
      <c r="AM4836" s="17"/>
      <c r="AN4836" s="17"/>
      <c r="AO4836" s="17"/>
      <c r="AP4836" s="17"/>
      <c r="AQ4836" s="17"/>
      <c r="AR4836" s="17"/>
    </row>
    <row r="4837" s="20" customFormat="1" hidden="1" spans="1:44">
      <c r="A4837" s="17" t="s">
        <v>34</v>
      </c>
      <c r="B4837" s="19">
        <v>961</v>
      </c>
      <c r="C4837" s="222">
        <v>45027</v>
      </c>
      <c r="D4837" s="17" t="s">
        <v>52</v>
      </c>
      <c r="E4837" s="17" t="s">
        <v>1113</v>
      </c>
      <c r="F4837" s="17" t="s">
        <v>54</v>
      </c>
      <c r="G4837" s="17"/>
      <c r="H4837" s="124">
        <v>1.2311</v>
      </c>
      <c r="I4837" s="124"/>
      <c r="J4837" s="17" t="s">
        <v>49</v>
      </c>
      <c r="K4837" s="19">
        <v>2200</v>
      </c>
      <c r="L4837" s="91">
        <v>220</v>
      </c>
      <c r="M4837" s="19">
        <v>5000</v>
      </c>
      <c r="N4837" s="19" t="s">
        <v>66</v>
      </c>
      <c r="O4837" s="19" t="s">
        <v>141</v>
      </c>
      <c r="P4837" s="19">
        <v>17097</v>
      </c>
      <c r="Q4837" s="19">
        <v>19530</v>
      </c>
      <c r="R4837" s="19">
        <f t="shared" si="226"/>
        <v>-2433</v>
      </c>
      <c r="S4837" s="19">
        <v>1150</v>
      </c>
      <c r="T4837" s="19" t="s">
        <v>42</v>
      </c>
      <c r="U4837" s="102" t="s">
        <v>1361</v>
      </c>
      <c r="V4837" s="253">
        <v>45118</v>
      </c>
      <c r="W4837" s="17" t="s">
        <v>44</v>
      </c>
      <c r="X4837" s="17"/>
      <c r="Y4837" s="68">
        <v>45283</v>
      </c>
      <c r="Z4837" s="17" t="s">
        <v>191</v>
      </c>
      <c r="AA4837" s="17" t="s">
        <v>46</v>
      </c>
      <c r="AB4837" s="17" t="s">
        <v>1241</v>
      </c>
      <c r="AC4837" s="66">
        <v>45283</v>
      </c>
      <c r="AD4837" s="65">
        <v>1503</v>
      </c>
      <c r="AE4837" s="17" t="s">
        <v>48</v>
      </c>
      <c r="AF4837" s="17"/>
      <c r="AG4837" s="17"/>
      <c r="AH4837" s="17"/>
      <c r="AI4837" s="17"/>
      <c r="AJ4837" s="17"/>
      <c r="AK4837" s="17"/>
      <c r="AL4837" s="17"/>
      <c r="AM4837" s="17"/>
      <c r="AN4837" s="17"/>
      <c r="AO4837" s="17"/>
      <c r="AP4837" s="17"/>
      <c r="AQ4837" s="17"/>
      <c r="AR4837" s="17"/>
    </row>
    <row r="4838" s="17" customFormat="1" hidden="1" spans="1:44">
      <c r="A4838" s="17" t="s">
        <v>34</v>
      </c>
      <c r="B4838" s="19">
        <v>962</v>
      </c>
      <c r="C4838" s="183" t="s">
        <v>1362</v>
      </c>
      <c r="D4838" s="17" t="s">
        <v>52</v>
      </c>
      <c r="E4838" s="17" t="s">
        <v>1113</v>
      </c>
      <c r="F4838" s="17" t="s">
        <v>54</v>
      </c>
      <c r="H4838" s="306">
        <v>1.2311</v>
      </c>
      <c r="I4838" s="306"/>
      <c r="J4838" s="17" t="s">
        <v>49</v>
      </c>
      <c r="K4838" s="19">
        <v>2200</v>
      </c>
      <c r="L4838" s="91">
        <v>32</v>
      </c>
      <c r="M4838" s="19">
        <v>5000</v>
      </c>
      <c r="N4838" s="19" t="s">
        <v>66</v>
      </c>
      <c r="O4838" s="19" t="s">
        <v>141</v>
      </c>
      <c r="P4838" s="19">
        <v>2763</v>
      </c>
      <c r="Q4838" s="19">
        <v>2570</v>
      </c>
      <c r="R4838" s="19">
        <f t="shared" si="226"/>
        <v>193</v>
      </c>
      <c r="S4838" s="19">
        <f t="shared" ref="S4838:S4843" si="227">930+40</f>
        <v>970</v>
      </c>
      <c r="T4838" s="19" t="s">
        <v>42</v>
      </c>
      <c r="U4838" s="102" t="s">
        <v>1363</v>
      </c>
      <c r="V4838" s="186" t="s">
        <v>1217</v>
      </c>
      <c r="W4838" s="17" t="s">
        <v>69</v>
      </c>
      <c r="Y4838" s="68">
        <v>45253</v>
      </c>
      <c r="Z4838" s="17" t="s">
        <v>191</v>
      </c>
      <c r="AA4838" s="17" t="s">
        <v>46</v>
      </c>
      <c r="AB4838" s="17" t="s">
        <v>1137</v>
      </c>
      <c r="AC4838" s="217">
        <v>45210</v>
      </c>
      <c r="AD4838" s="65">
        <v>1489</v>
      </c>
    </row>
    <row r="4839" s="17" customFormat="1" hidden="1" spans="1:44">
      <c r="A4839" s="17" t="s">
        <v>34</v>
      </c>
      <c r="B4839" s="19">
        <v>962</v>
      </c>
      <c r="C4839" s="183" t="s">
        <v>1362</v>
      </c>
      <c r="D4839" s="17" t="s">
        <v>52</v>
      </c>
      <c r="E4839" s="17" t="s">
        <v>1113</v>
      </c>
      <c r="F4839" s="17" t="s">
        <v>54</v>
      </c>
      <c r="H4839" s="306">
        <v>1.2311</v>
      </c>
      <c r="I4839" s="306"/>
      <c r="J4839" s="17" t="s">
        <v>49</v>
      </c>
      <c r="K4839" s="19">
        <v>2200</v>
      </c>
      <c r="L4839" s="91">
        <v>40</v>
      </c>
      <c r="M4839" s="19">
        <v>5000</v>
      </c>
      <c r="N4839" s="19" t="s">
        <v>66</v>
      </c>
      <c r="O4839" s="19" t="s">
        <v>141</v>
      </c>
      <c r="P4839" s="19">
        <v>3454</v>
      </c>
      <c r="Q4839" s="19">
        <v>3180</v>
      </c>
      <c r="R4839" s="19">
        <f t="shared" si="226"/>
        <v>274</v>
      </c>
      <c r="S4839" s="19">
        <f t="shared" si="227"/>
        <v>970</v>
      </c>
      <c r="T4839" s="19" t="s">
        <v>42</v>
      </c>
      <c r="U4839" s="102" t="s">
        <v>1363</v>
      </c>
      <c r="V4839" s="186" t="s">
        <v>1217</v>
      </c>
      <c r="W4839" s="17" t="s">
        <v>69</v>
      </c>
      <c r="Y4839" s="68">
        <v>45253</v>
      </c>
      <c r="Z4839" s="17" t="s">
        <v>191</v>
      </c>
      <c r="AA4839" s="17" t="s">
        <v>46</v>
      </c>
      <c r="AB4839" s="17" t="s">
        <v>1137</v>
      </c>
      <c r="AC4839" s="217">
        <v>45210</v>
      </c>
      <c r="AD4839" s="65">
        <v>1489</v>
      </c>
    </row>
    <row r="4840" s="17" customFormat="1" hidden="1" spans="1:44">
      <c r="A4840" s="17" t="s">
        <v>34</v>
      </c>
      <c r="B4840" s="19">
        <v>962</v>
      </c>
      <c r="C4840" s="183" t="s">
        <v>1362</v>
      </c>
      <c r="D4840" s="17" t="s">
        <v>52</v>
      </c>
      <c r="E4840" s="17" t="s">
        <v>1113</v>
      </c>
      <c r="F4840" s="17" t="s">
        <v>54</v>
      </c>
      <c r="H4840" s="306">
        <v>1.2311</v>
      </c>
      <c r="I4840" s="306"/>
      <c r="J4840" s="17" t="s">
        <v>49</v>
      </c>
      <c r="K4840" s="19">
        <v>2200</v>
      </c>
      <c r="L4840" s="91">
        <v>50</v>
      </c>
      <c r="M4840" s="19">
        <v>5000</v>
      </c>
      <c r="N4840" s="19" t="s">
        <v>66</v>
      </c>
      <c r="O4840" s="19" t="s">
        <v>141</v>
      </c>
      <c r="P4840" s="19">
        <v>4318</v>
      </c>
      <c r="Q4840" s="19">
        <v>4230</v>
      </c>
      <c r="R4840" s="19">
        <f t="shared" si="226"/>
        <v>88</v>
      </c>
      <c r="S4840" s="19">
        <f t="shared" si="227"/>
        <v>970</v>
      </c>
      <c r="T4840" s="19" t="s">
        <v>42</v>
      </c>
      <c r="U4840" s="102" t="s">
        <v>1363</v>
      </c>
      <c r="V4840" s="186" t="s">
        <v>1217</v>
      </c>
      <c r="W4840" s="17" t="s">
        <v>69</v>
      </c>
      <c r="Y4840" s="68">
        <v>45253</v>
      </c>
      <c r="Z4840" s="17" t="s">
        <v>191</v>
      </c>
      <c r="AA4840" s="17" t="s">
        <v>46</v>
      </c>
      <c r="AB4840" s="17" t="s">
        <v>1137</v>
      </c>
      <c r="AC4840" s="217">
        <v>45210</v>
      </c>
      <c r="AD4840" s="65">
        <v>1489</v>
      </c>
    </row>
    <row r="4841" s="17" customFormat="1" hidden="1" spans="1:44">
      <c r="A4841" s="17" t="s">
        <v>34</v>
      </c>
      <c r="B4841" s="19">
        <v>962</v>
      </c>
      <c r="C4841" s="183" t="s">
        <v>1362</v>
      </c>
      <c r="D4841" s="17" t="s">
        <v>52</v>
      </c>
      <c r="E4841" s="17" t="s">
        <v>1113</v>
      </c>
      <c r="F4841" s="17" t="s">
        <v>54</v>
      </c>
      <c r="H4841" s="306">
        <v>1.2311</v>
      </c>
      <c r="I4841" s="306"/>
      <c r="J4841" s="17" t="s">
        <v>49</v>
      </c>
      <c r="K4841" s="19">
        <v>2200</v>
      </c>
      <c r="L4841" s="91">
        <v>60</v>
      </c>
      <c r="M4841" s="19">
        <v>5000</v>
      </c>
      <c r="N4841" s="19" t="s">
        <v>66</v>
      </c>
      <c r="O4841" s="19" t="s">
        <v>141</v>
      </c>
      <c r="P4841" s="19">
        <v>5181</v>
      </c>
      <c r="Q4841" s="19">
        <v>5070</v>
      </c>
      <c r="R4841" s="19">
        <f t="shared" si="226"/>
        <v>111</v>
      </c>
      <c r="S4841" s="19">
        <f t="shared" si="227"/>
        <v>970</v>
      </c>
      <c r="T4841" s="19" t="s">
        <v>42</v>
      </c>
      <c r="U4841" s="102" t="s">
        <v>1363</v>
      </c>
      <c r="V4841" s="186" t="s">
        <v>1217</v>
      </c>
      <c r="W4841" s="17" t="s">
        <v>69</v>
      </c>
      <c r="Y4841" s="68">
        <v>45253</v>
      </c>
      <c r="Z4841" s="17" t="s">
        <v>191</v>
      </c>
      <c r="AA4841" s="17" t="s">
        <v>46</v>
      </c>
      <c r="AB4841" s="17" t="s">
        <v>1137</v>
      </c>
      <c r="AC4841" s="217">
        <v>45210</v>
      </c>
      <c r="AD4841" s="65">
        <v>1489</v>
      </c>
    </row>
    <row r="4842" s="17" customFormat="1" hidden="1" spans="1:44">
      <c r="A4842" s="17" t="s">
        <v>34</v>
      </c>
      <c r="B4842" s="19">
        <v>962</v>
      </c>
      <c r="C4842" s="183" t="s">
        <v>1362</v>
      </c>
      <c r="D4842" s="17" t="s">
        <v>52</v>
      </c>
      <c r="E4842" s="17" t="s">
        <v>1113</v>
      </c>
      <c r="F4842" s="17" t="s">
        <v>54</v>
      </c>
      <c r="H4842" s="306">
        <v>1.2311</v>
      </c>
      <c r="I4842" s="306"/>
      <c r="J4842" s="17" t="s">
        <v>49</v>
      </c>
      <c r="K4842" s="19">
        <v>2200</v>
      </c>
      <c r="L4842" s="91">
        <v>65</v>
      </c>
      <c r="M4842" s="19">
        <v>5000</v>
      </c>
      <c r="N4842" s="19" t="s">
        <v>66</v>
      </c>
      <c r="O4842" s="19" t="s">
        <v>141</v>
      </c>
      <c r="P4842" s="19">
        <v>5613</v>
      </c>
      <c r="Q4842" s="19">
        <v>5580</v>
      </c>
      <c r="R4842" s="19">
        <f t="shared" si="226"/>
        <v>33</v>
      </c>
      <c r="S4842" s="19">
        <f t="shared" si="227"/>
        <v>970</v>
      </c>
      <c r="T4842" s="19" t="s">
        <v>42</v>
      </c>
      <c r="U4842" s="102" t="s">
        <v>1363</v>
      </c>
      <c r="V4842" s="186" t="s">
        <v>1217</v>
      </c>
      <c r="W4842" s="17" t="s">
        <v>69</v>
      </c>
      <c r="Y4842" s="68">
        <v>45253</v>
      </c>
      <c r="Z4842" s="17" t="s">
        <v>191</v>
      </c>
      <c r="AA4842" s="17" t="s">
        <v>46</v>
      </c>
      <c r="AB4842" s="17" t="s">
        <v>1137</v>
      </c>
      <c r="AC4842" s="217">
        <v>45210</v>
      </c>
      <c r="AD4842" s="65">
        <v>1489</v>
      </c>
    </row>
    <row r="4843" s="17" customFormat="1" hidden="1" spans="1:44">
      <c r="A4843" s="17" t="s">
        <v>34</v>
      </c>
      <c r="B4843" s="19">
        <v>962</v>
      </c>
      <c r="C4843" s="183" t="s">
        <v>1362</v>
      </c>
      <c r="D4843" s="17" t="s">
        <v>52</v>
      </c>
      <c r="E4843" s="17" t="s">
        <v>1113</v>
      </c>
      <c r="F4843" s="17" t="s">
        <v>54</v>
      </c>
      <c r="H4843" s="306">
        <v>1.2311</v>
      </c>
      <c r="I4843" s="306"/>
      <c r="J4843" s="17" t="s">
        <v>49</v>
      </c>
      <c r="K4843" s="19">
        <v>2200</v>
      </c>
      <c r="L4843" s="91">
        <v>71</v>
      </c>
      <c r="M4843" s="19">
        <v>5000</v>
      </c>
      <c r="N4843" s="19" t="s">
        <v>66</v>
      </c>
      <c r="O4843" s="19" t="s">
        <v>141</v>
      </c>
      <c r="P4843" s="19">
        <v>6131</v>
      </c>
      <c r="Q4843" s="19">
        <v>6180</v>
      </c>
      <c r="R4843" s="19">
        <f t="shared" si="226"/>
        <v>-49</v>
      </c>
      <c r="S4843" s="19">
        <f t="shared" si="227"/>
        <v>970</v>
      </c>
      <c r="T4843" s="19" t="s">
        <v>42</v>
      </c>
      <c r="U4843" s="102" t="s">
        <v>1363</v>
      </c>
      <c r="V4843" s="186" t="s">
        <v>1217</v>
      </c>
      <c r="W4843" s="17" t="s">
        <v>69</v>
      </c>
      <c r="Y4843" s="68">
        <v>45253</v>
      </c>
      <c r="Z4843" s="17" t="s">
        <v>191</v>
      </c>
      <c r="AA4843" s="17" t="s">
        <v>46</v>
      </c>
      <c r="AB4843" s="17" t="s">
        <v>1137</v>
      </c>
      <c r="AC4843" s="217">
        <v>45210</v>
      </c>
      <c r="AD4843" s="65">
        <v>1489</v>
      </c>
    </row>
    <row r="4844" s="17" customFormat="1" hidden="1" spans="1:44">
      <c r="A4844" s="17" t="s">
        <v>34</v>
      </c>
      <c r="B4844" s="19">
        <v>963</v>
      </c>
      <c r="C4844" s="183" t="s">
        <v>1362</v>
      </c>
      <c r="D4844" s="17" t="s">
        <v>52</v>
      </c>
      <c r="E4844" s="17" t="s">
        <v>1113</v>
      </c>
      <c r="F4844" s="17" t="s">
        <v>54</v>
      </c>
      <c r="H4844" s="306">
        <v>1.2738</v>
      </c>
      <c r="I4844" s="306"/>
      <c r="J4844" s="17" t="s">
        <v>49</v>
      </c>
      <c r="K4844" s="19">
        <v>2200</v>
      </c>
      <c r="L4844" s="91">
        <v>32</v>
      </c>
      <c r="M4844" s="19">
        <v>5000</v>
      </c>
      <c r="N4844" s="19" t="s">
        <v>66</v>
      </c>
      <c r="O4844" s="19" t="s">
        <v>141</v>
      </c>
      <c r="P4844" s="19">
        <v>2763</v>
      </c>
      <c r="Q4844" s="19">
        <v>2314</v>
      </c>
      <c r="R4844" s="19">
        <f t="shared" si="226"/>
        <v>449</v>
      </c>
      <c r="S4844" s="19">
        <f>1220+40</f>
        <v>1260</v>
      </c>
      <c r="T4844" s="19" t="s">
        <v>42</v>
      </c>
      <c r="U4844" s="102" t="s">
        <v>1364</v>
      </c>
      <c r="V4844" s="186" t="s">
        <v>1217</v>
      </c>
      <c r="W4844" s="17" t="s">
        <v>69</v>
      </c>
      <c r="Y4844" s="68">
        <v>45253</v>
      </c>
      <c r="Z4844" s="17" t="s">
        <v>191</v>
      </c>
      <c r="AA4844" s="17" t="s">
        <v>46</v>
      </c>
      <c r="AB4844" s="17" t="s">
        <v>1137</v>
      </c>
      <c r="AC4844" s="217">
        <v>45210</v>
      </c>
      <c r="AD4844" s="65">
        <v>1489</v>
      </c>
    </row>
    <row r="4845" s="17" customFormat="1" hidden="1" spans="1:44">
      <c r="A4845" s="17" t="s">
        <v>34</v>
      </c>
      <c r="B4845" s="19">
        <v>963</v>
      </c>
      <c r="C4845" s="183" t="s">
        <v>1362</v>
      </c>
      <c r="D4845" s="17" t="s">
        <v>52</v>
      </c>
      <c r="E4845" s="17" t="s">
        <v>1113</v>
      </c>
      <c r="F4845" s="17" t="s">
        <v>54</v>
      </c>
      <c r="H4845" s="306">
        <v>1.2738</v>
      </c>
      <c r="I4845" s="306"/>
      <c r="J4845" s="17" t="s">
        <v>49</v>
      </c>
      <c r="K4845" s="19">
        <v>2200</v>
      </c>
      <c r="L4845" s="91">
        <v>36</v>
      </c>
      <c r="M4845" s="19">
        <v>5000</v>
      </c>
      <c r="N4845" s="19" t="s">
        <v>66</v>
      </c>
      <c r="O4845" s="19" t="s">
        <v>141</v>
      </c>
      <c r="P4845" s="19">
        <v>3109</v>
      </c>
      <c r="Q4845" s="19">
        <v>2854</v>
      </c>
      <c r="R4845" s="19">
        <f t="shared" si="226"/>
        <v>255</v>
      </c>
      <c r="S4845" s="19">
        <f>1220+40</f>
        <v>1260</v>
      </c>
      <c r="T4845" s="19" t="s">
        <v>42</v>
      </c>
      <c r="U4845" s="102" t="s">
        <v>1364</v>
      </c>
      <c r="V4845" s="186" t="s">
        <v>1217</v>
      </c>
      <c r="W4845" s="17" t="s">
        <v>69</v>
      </c>
      <c r="Y4845" s="68">
        <v>45253</v>
      </c>
      <c r="Z4845" s="17" t="s">
        <v>191</v>
      </c>
      <c r="AA4845" s="17" t="s">
        <v>46</v>
      </c>
      <c r="AB4845" s="17" t="s">
        <v>1137</v>
      </c>
      <c r="AC4845" s="217">
        <v>45210</v>
      </c>
      <c r="AD4845" s="65">
        <v>1489</v>
      </c>
    </row>
    <row r="4846" s="17" customFormat="1" hidden="1" spans="1:44">
      <c r="A4846" s="17" t="s">
        <v>34</v>
      </c>
      <c r="B4846" s="19">
        <v>963</v>
      </c>
      <c r="C4846" s="183" t="s">
        <v>1362</v>
      </c>
      <c r="D4846" s="17" t="s">
        <v>52</v>
      </c>
      <c r="E4846" s="17" t="s">
        <v>1113</v>
      </c>
      <c r="F4846" s="17" t="s">
        <v>54</v>
      </c>
      <c r="H4846" s="306">
        <v>1.2738</v>
      </c>
      <c r="I4846" s="306"/>
      <c r="J4846" s="17" t="s">
        <v>49</v>
      </c>
      <c r="K4846" s="19">
        <v>2200</v>
      </c>
      <c r="L4846" s="91">
        <v>50</v>
      </c>
      <c r="M4846" s="19">
        <v>5000</v>
      </c>
      <c r="N4846" s="19" t="s">
        <v>66</v>
      </c>
      <c r="O4846" s="19" t="s">
        <v>141</v>
      </c>
      <c r="P4846" s="19">
        <v>4318</v>
      </c>
      <c r="Q4846" s="19">
        <v>4200</v>
      </c>
      <c r="R4846" s="19">
        <f t="shared" si="226"/>
        <v>118</v>
      </c>
      <c r="S4846" s="19">
        <f>1220+40</f>
        <v>1260</v>
      </c>
      <c r="T4846" s="19" t="s">
        <v>42</v>
      </c>
      <c r="U4846" s="102" t="s">
        <v>1364</v>
      </c>
      <c r="V4846" s="186" t="s">
        <v>1217</v>
      </c>
      <c r="W4846" s="17" t="s">
        <v>69</v>
      </c>
      <c r="Y4846" s="68">
        <v>45253</v>
      </c>
      <c r="Z4846" s="17" t="s">
        <v>191</v>
      </c>
      <c r="AA4846" s="17" t="s">
        <v>46</v>
      </c>
      <c r="AB4846" s="17" t="s">
        <v>1137</v>
      </c>
      <c r="AC4846" s="217">
        <v>45210</v>
      </c>
      <c r="AD4846" s="65">
        <v>1489</v>
      </c>
    </row>
    <row r="4847" s="17" customFormat="1" hidden="1" spans="1:44">
      <c r="A4847" s="17" t="s">
        <v>34</v>
      </c>
      <c r="B4847" s="19">
        <v>963</v>
      </c>
      <c r="C4847" s="183" t="s">
        <v>1362</v>
      </c>
      <c r="D4847" s="17" t="s">
        <v>52</v>
      </c>
      <c r="E4847" s="17" t="s">
        <v>1113</v>
      </c>
      <c r="F4847" s="17" t="s">
        <v>54</v>
      </c>
      <c r="H4847" s="306">
        <v>1.2738</v>
      </c>
      <c r="I4847" s="306"/>
      <c r="J4847" s="17" t="s">
        <v>49</v>
      </c>
      <c r="K4847" s="19">
        <v>2200</v>
      </c>
      <c r="L4847" s="91">
        <v>60</v>
      </c>
      <c r="M4847" s="19">
        <v>5000</v>
      </c>
      <c r="N4847" s="19" t="s">
        <v>66</v>
      </c>
      <c r="O4847" s="19" t="s">
        <v>141</v>
      </c>
      <c r="P4847" s="147">
        <v>5181</v>
      </c>
      <c r="Q4847" s="147">
        <v>5078</v>
      </c>
      <c r="R4847" s="19">
        <f t="shared" si="226"/>
        <v>103</v>
      </c>
      <c r="S4847" s="19">
        <f>1220+40</f>
        <v>1260</v>
      </c>
      <c r="T4847" s="19" t="s">
        <v>42</v>
      </c>
      <c r="U4847" s="102" t="s">
        <v>1364</v>
      </c>
      <c r="V4847" s="186" t="s">
        <v>1217</v>
      </c>
      <c r="W4847" s="17" t="s">
        <v>69</v>
      </c>
      <c r="Y4847" s="68">
        <v>45253</v>
      </c>
      <c r="Z4847" s="17" t="s">
        <v>191</v>
      </c>
      <c r="AA4847" s="17" t="s">
        <v>46</v>
      </c>
      <c r="AB4847" s="17" t="s">
        <v>1137</v>
      </c>
      <c r="AC4847" s="217">
        <v>45210</v>
      </c>
      <c r="AD4847" s="65">
        <v>1489</v>
      </c>
    </row>
    <row r="4848" s="20" customFormat="1" hidden="1" spans="1:44">
      <c r="A4848" s="17" t="s">
        <v>34</v>
      </c>
      <c r="B4848" s="19">
        <v>964</v>
      </c>
      <c r="C4848" s="183">
        <v>45227</v>
      </c>
      <c r="D4848" s="17" t="s">
        <v>52</v>
      </c>
      <c r="E4848" s="17" t="s">
        <v>1113</v>
      </c>
      <c r="F4848" s="17" t="s">
        <v>54</v>
      </c>
      <c r="G4848" s="17"/>
      <c r="H4848" s="124">
        <v>1.2311</v>
      </c>
      <c r="I4848" s="124"/>
      <c r="J4848" s="17" t="s">
        <v>82</v>
      </c>
      <c r="K4848" s="19">
        <v>1100</v>
      </c>
      <c r="L4848" s="19">
        <v>40</v>
      </c>
      <c r="M4848" s="19">
        <v>2300</v>
      </c>
      <c r="N4848" s="19" t="s">
        <v>66</v>
      </c>
      <c r="O4848" s="19" t="s">
        <v>141</v>
      </c>
      <c r="P4848" s="99">
        <v>2331</v>
      </c>
      <c r="Q4848" s="19">
        <v>2398</v>
      </c>
      <c r="R4848" s="99">
        <f t="shared" si="226"/>
        <v>-67</v>
      </c>
      <c r="S4848" s="19">
        <v>940</v>
      </c>
      <c r="T4848" s="19" t="s">
        <v>42</v>
      </c>
      <c r="U4848" s="102" t="s">
        <v>1365</v>
      </c>
      <c r="V4848" s="253">
        <v>45118</v>
      </c>
      <c r="W4848" s="17" t="s">
        <v>44</v>
      </c>
      <c r="X4848" s="17"/>
      <c r="Y4848" s="68">
        <v>45283</v>
      </c>
      <c r="Z4848" s="17" t="s">
        <v>191</v>
      </c>
      <c r="AA4848" s="17" t="s">
        <v>46</v>
      </c>
      <c r="AB4848" s="17" t="s">
        <v>1231</v>
      </c>
      <c r="AC4848" s="66">
        <v>45283</v>
      </c>
      <c r="AD4848" s="65">
        <v>1504</v>
      </c>
      <c r="AE4848" s="17" t="s">
        <v>74</v>
      </c>
      <c r="AF4848" s="17"/>
      <c r="AG4848" s="17"/>
      <c r="AH4848" s="17"/>
      <c r="AI4848" s="17"/>
      <c r="AJ4848" s="17"/>
      <c r="AK4848" s="17"/>
      <c r="AL4848" s="17"/>
      <c r="AM4848" s="17"/>
      <c r="AN4848" s="17"/>
      <c r="AO4848" s="17"/>
      <c r="AP4848" s="17"/>
      <c r="AQ4848" s="17"/>
      <c r="AR4848" s="17"/>
    </row>
    <row r="4849" s="20" customFormat="1" hidden="1" spans="1:44">
      <c r="A4849" s="17" t="s">
        <v>34</v>
      </c>
      <c r="B4849" s="19">
        <v>964</v>
      </c>
      <c r="C4849" s="183">
        <v>45227</v>
      </c>
      <c r="D4849" s="17" t="s">
        <v>52</v>
      </c>
      <c r="E4849" s="17" t="s">
        <v>1113</v>
      </c>
      <c r="F4849" s="17" t="s">
        <v>54</v>
      </c>
      <c r="G4849" s="17"/>
      <c r="H4849" s="124">
        <v>1.2311</v>
      </c>
      <c r="I4849" s="124"/>
      <c r="J4849" s="17" t="s">
        <v>82</v>
      </c>
      <c r="K4849" s="19">
        <v>1100</v>
      </c>
      <c r="L4849" s="19">
        <v>50</v>
      </c>
      <c r="M4849" s="19">
        <v>2300</v>
      </c>
      <c r="N4849" s="19" t="s">
        <v>66</v>
      </c>
      <c r="O4849" s="19" t="s">
        <v>141</v>
      </c>
      <c r="P4849" s="99">
        <v>2914</v>
      </c>
      <c r="Q4849" s="19">
        <v>3060</v>
      </c>
      <c r="R4849" s="99">
        <f t="shared" si="226"/>
        <v>-146</v>
      </c>
      <c r="S4849" s="19">
        <v>940</v>
      </c>
      <c r="T4849" s="19" t="s">
        <v>42</v>
      </c>
      <c r="U4849" s="102" t="s">
        <v>1365</v>
      </c>
      <c r="V4849" s="253">
        <v>45118</v>
      </c>
      <c r="W4849" s="17" t="s">
        <v>44</v>
      </c>
      <c r="X4849" s="17"/>
      <c r="Y4849" s="68">
        <v>45283</v>
      </c>
      <c r="Z4849" s="17" t="s">
        <v>191</v>
      </c>
      <c r="AA4849" s="17" t="s">
        <v>46</v>
      </c>
      <c r="AB4849" s="17" t="s">
        <v>1231</v>
      </c>
      <c r="AC4849" s="66">
        <v>45283</v>
      </c>
      <c r="AD4849" s="65">
        <v>1504</v>
      </c>
      <c r="AE4849" s="17" t="s">
        <v>74</v>
      </c>
      <c r="AF4849" s="17"/>
      <c r="AG4849" s="17"/>
      <c r="AH4849" s="17"/>
      <c r="AI4849" s="17"/>
      <c r="AJ4849" s="17"/>
      <c r="AK4849" s="17"/>
      <c r="AL4849" s="17"/>
      <c r="AM4849" s="17"/>
      <c r="AN4849" s="17"/>
      <c r="AO4849" s="17"/>
      <c r="AP4849" s="17"/>
      <c r="AQ4849" s="17"/>
      <c r="AR4849" s="17"/>
    </row>
    <row r="4850" s="20" customFormat="1" hidden="1" spans="1:44">
      <c r="A4850" s="17" t="s">
        <v>34</v>
      </c>
      <c r="B4850" s="19">
        <v>964</v>
      </c>
      <c r="C4850" s="183">
        <v>45227</v>
      </c>
      <c r="D4850" s="17" t="s">
        <v>52</v>
      </c>
      <c r="E4850" s="17" t="s">
        <v>1113</v>
      </c>
      <c r="F4850" s="17" t="s">
        <v>54</v>
      </c>
      <c r="G4850" s="17"/>
      <c r="H4850" s="124">
        <v>1.2311</v>
      </c>
      <c r="I4850" s="124"/>
      <c r="J4850" s="17" t="s">
        <v>82</v>
      </c>
      <c r="K4850" s="19">
        <v>1100</v>
      </c>
      <c r="L4850" s="19">
        <v>65</v>
      </c>
      <c r="M4850" s="19">
        <v>2300</v>
      </c>
      <c r="N4850" s="19" t="s">
        <v>66</v>
      </c>
      <c r="O4850" s="19" t="s">
        <v>141</v>
      </c>
      <c r="P4850" s="99">
        <v>3789</v>
      </c>
      <c r="Q4850" s="19">
        <v>4014</v>
      </c>
      <c r="R4850" s="99">
        <f t="shared" si="226"/>
        <v>-225</v>
      </c>
      <c r="S4850" s="19">
        <v>940</v>
      </c>
      <c r="T4850" s="19" t="s">
        <v>42</v>
      </c>
      <c r="U4850" s="102" t="s">
        <v>1365</v>
      </c>
      <c r="V4850" s="253">
        <v>45118</v>
      </c>
      <c r="W4850" s="17" t="s">
        <v>44</v>
      </c>
      <c r="X4850" s="17"/>
      <c r="Y4850" s="68">
        <v>45283</v>
      </c>
      <c r="Z4850" s="17" t="s">
        <v>191</v>
      </c>
      <c r="AA4850" s="17" t="s">
        <v>46</v>
      </c>
      <c r="AB4850" s="17" t="s">
        <v>1251</v>
      </c>
      <c r="AC4850" s="217">
        <v>45566</v>
      </c>
      <c r="AD4850" s="65">
        <v>1515</v>
      </c>
      <c r="AE4850" s="17" t="s">
        <v>74</v>
      </c>
      <c r="AF4850" s="17"/>
      <c r="AG4850" s="17"/>
      <c r="AH4850" s="17"/>
      <c r="AI4850" s="17"/>
      <c r="AJ4850" s="17"/>
      <c r="AK4850" s="17"/>
      <c r="AL4850" s="17"/>
      <c r="AM4850" s="17"/>
      <c r="AN4850" s="17"/>
      <c r="AO4850" s="17"/>
      <c r="AP4850" s="17"/>
      <c r="AQ4850" s="17"/>
      <c r="AR4850" s="17"/>
    </row>
    <row r="4851" s="20" customFormat="1" hidden="1" spans="1:44">
      <c r="A4851" s="17" t="s">
        <v>34</v>
      </c>
      <c r="B4851" s="19">
        <v>964</v>
      </c>
      <c r="C4851" s="183">
        <v>45227</v>
      </c>
      <c r="D4851" s="17" t="s">
        <v>52</v>
      </c>
      <c r="E4851" s="17" t="s">
        <v>1113</v>
      </c>
      <c r="F4851" s="17" t="s">
        <v>54</v>
      </c>
      <c r="G4851" s="17"/>
      <c r="H4851" s="124">
        <v>1.2311</v>
      </c>
      <c r="I4851" s="124"/>
      <c r="J4851" s="17" t="s">
        <v>82</v>
      </c>
      <c r="K4851" s="19">
        <v>1100</v>
      </c>
      <c r="L4851" s="19">
        <v>80</v>
      </c>
      <c r="M4851" s="19">
        <v>2300</v>
      </c>
      <c r="N4851" s="19" t="s">
        <v>66</v>
      </c>
      <c r="O4851" s="19" t="s">
        <v>141</v>
      </c>
      <c r="P4851" s="99">
        <v>3109</v>
      </c>
      <c r="Q4851" s="19">
        <v>3224</v>
      </c>
      <c r="R4851" s="19">
        <f t="shared" si="226"/>
        <v>-115</v>
      </c>
      <c r="S4851" s="19">
        <v>940</v>
      </c>
      <c r="T4851" s="19" t="s">
        <v>42</v>
      </c>
      <c r="U4851" s="102" t="s">
        <v>1365</v>
      </c>
      <c r="V4851" s="253">
        <v>45118</v>
      </c>
      <c r="W4851" s="17" t="s">
        <v>44</v>
      </c>
      <c r="X4851" s="17"/>
      <c r="Y4851" s="68">
        <v>45283</v>
      </c>
      <c r="Z4851" s="17" t="s">
        <v>191</v>
      </c>
      <c r="AA4851" s="17" t="s">
        <v>46</v>
      </c>
      <c r="AB4851" s="17" t="s">
        <v>1231</v>
      </c>
      <c r="AC4851" s="66">
        <v>45283</v>
      </c>
      <c r="AD4851" s="65">
        <v>1504</v>
      </c>
      <c r="AE4851" s="17" t="s">
        <v>74</v>
      </c>
      <c r="AF4851" s="17"/>
      <c r="AG4851" s="17"/>
      <c r="AH4851" s="17"/>
      <c r="AI4851" s="17"/>
      <c r="AJ4851" s="17"/>
      <c r="AK4851" s="17"/>
      <c r="AL4851" s="17"/>
      <c r="AM4851" s="17"/>
      <c r="AN4851" s="17"/>
      <c r="AO4851" s="17"/>
      <c r="AP4851" s="17"/>
      <c r="AQ4851" s="17"/>
      <c r="AR4851" s="17"/>
    </row>
    <row r="4852" s="20" customFormat="1" hidden="1" spans="1:44">
      <c r="A4852" s="17" t="s">
        <v>34</v>
      </c>
      <c r="B4852" s="19">
        <v>964</v>
      </c>
      <c r="C4852" s="183">
        <v>45227</v>
      </c>
      <c r="D4852" s="17" t="s">
        <v>52</v>
      </c>
      <c r="E4852" s="17" t="s">
        <v>1113</v>
      </c>
      <c r="F4852" s="17" t="s">
        <v>54</v>
      </c>
      <c r="G4852" s="17"/>
      <c r="H4852" s="124">
        <v>1.2311</v>
      </c>
      <c r="I4852" s="124"/>
      <c r="J4852" s="17" t="s">
        <v>82</v>
      </c>
      <c r="K4852" s="19">
        <v>1100</v>
      </c>
      <c r="L4852" s="19">
        <v>105</v>
      </c>
      <c r="M4852" s="19">
        <v>2300</v>
      </c>
      <c r="N4852" s="19" t="s">
        <v>66</v>
      </c>
      <c r="O4852" s="19" t="s">
        <v>141</v>
      </c>
      <c r="P4852" s="99">
        <v>2040</v>
      </c>
      <c r="Q4852" s="19">
        <v>2041</v>
      </c>
      <c r="R4852" s="19">
        <f t="shared" si="226"/>
        <v>-1</v>
      </c>
      <c r="S4852" s="19">
        <v>940</v>
      </c>
      <c r="T4852" s="19" t="s">
        <v>42</v>
      </c>
      <c r="U4852" s="102" t="s">
        <v>1365</v>
      </c>
      <c r="V4852" s="253">
        <v>45118</v>
      </c>
      <c r="W4852" s="17" t="s">
        <v>44</v>
      </c>
      <c r="X4852" s="17"/>
      <c r="Y4852" s="68">
        <v>45283</v>
      </c>
      <c r="Z4852" s="17" t="s">
        <v>191</v>
      </c>
      <c r="AA4852" s="17" t="s">
        <v>46</v>
      </c>
      <c r="AB4852" s="17" t="s">
        <v>1237</v>
      </c>
      <c r="AC4852" s="217">
        <v>45627</v>
      </c>
      <c r="AD4852" s="65">
        <v>1516</v>
      </c>
      <c r="AE4852" s="17" t="s">
        <v>74</v>
      </c>
      <c r="AF4852" s="17"/>
      <c r="AG4852" s="17"/>
      <c r="AH4852" s="17"/>
      <c r="AI4852" s="17"/>
      <c r="AJ4852" s="17"/>
      <c r="AK4852" s="17"/>
      <c r="AL4852" s="17"/>
      <c r="AM4852" s="17"/>
      <c r="AN4852" s="17"/>
      <c r="AO4852" s="17"/>
      <c r="AP4852" s="17"/>
      <c r="AQ4852" s="17"/>
      <c r="AR4852" s="17"/>
    </row>
    <row r="4853" s="20" customFormat="1" ht="15.6" hidden="1" spans="1:44">
      <c r="A4853" s="17" t="s">
        <v>34</v>
      </c>
      <c r="B4853" s="19">
        <v>964</v>
      </c>
      <c r="C4853" s="183">
        <v>45227</v>
      </c>
      <c r="D4853" s="17" t="s">
        <v>52</v>
      </c>
      <c r="E4853" s="17" t="s">
        <v>1113</v>
      </c>
      <c r="F4853" s="17" t="s">
        <v>54</v>
      </c>
      <c r="G4853" s="17"/>
      <c r="H4853" s="124">
        <v>1.2311</v>
      </c>
      <c r="I4853" s="124"/>
      <c r="J4853" s="17" t="s">
        <v>82</v>
      </c>
      <c r="K4853" s="19">
        <v>205</v>
      </c>
      <c r="L4853" s="19">
        <v>25</v>
      </c>
      <c r="M4853" s="19">
        <v>2300</v>
      </c>
      <c r="N4853" s="19" t="s">
        <v>66</v>
      </c>
      <c r="O4853" s="19" t="s">
        <v>141</v>
      </c>
      <c r="P4853" s="266">
        <v>1086</v>
      </c>
      <c r="Q4853" s="266">
        <v>1181</v>
      </c>
      <c r="R4853" s="19">
        <f t="shared" si="226"/>
        <v>-95</v>
      </c>
      <c r="S4853" s="19">
        <v>950</v>
      </c>
      <c r="T4853" s="19" t="s">
        <v>42</v>
      </c>
      <c r="U4853" s="102" t="s">
        <v>1365</v>
      </c>
      <c r="V4853" s="253">
        <v>45118</v>
      </c>
      <c r="W4853" s="17" t="s">
        <v>44</v>
      </c>
      <c r="X4853" s="17"/>
      <c r="Y4853" s="68">
        <v>45283</v>
      </c>
      <c r="Z4853" s="17" t="s">
        <v>191</v>
      </c>
      <c r="AA4853" s="17" t="s">
        <v>46</v>
      </c>
      <c r="AB4853" s="17" t="s">
        <v>1244</v>
      </c>
      <c r="AC4853" s="66">
        <v>45286</v>
      </c>
      <c r="AD4853" s="65">
        <v>1505</v>
      </c>
      <c r="AE4853" s="17" t="s">
        <v>74</v>
      </c>
      <c r="AF4853" s="17"/>
      <c r="AG4853" s="17"/>
      <c r="AH4853" s="17"/>
      <c r="AI4853" s="17"/>
      <c r="AJ4853" s="17"/>
      <c r="AK4853" s="17"/>
      <c r="AL4853" s="17"/>
      <c r="AM4853" s="17"/>
      <c r="AN4853" s="17"/>
      <c r="AO4853" s="17"/>
      <c r="AP4853" s="17"/>
      <c r="AQ4853" s="17"/>
      <c r="AR4853" s="17"/>
    </row>
    <row r="4854" s="20" customFormat="1" ht="15.6" hidden="1" spans="1:44">
      <c r="A4854" s="17" t="s">
        <v>34</v>
      </c>
      <c r="B4854" s="19">
        <v>964</v>
      </c>
      <c r="C4854" s="183">
        <v>45227</v>
      </c>
      <c r="D4854" s="17" t="s">
        <v>52</v>
      </c>
      <c r="E4854" s="17" t="s">
        <v>1113</v>
      </c>
      <c r="F4854" s="17" t="s">
        <v>54</v>
      </c>
      <c r="G4854" s="17"/>
      <c r="H4854" s="124">
        <v>1.2311</v>
      </c>
      <c r="I4854" s="124"/>
      <c r="J4854" s="17" t="s">
        <v>82</v>
      </c>
      <c r="K4854" s="19">
        <v>255</v>
      </c>
      <c r="L4854" s="19">
        <v>25</v>
      </c>
      <c r="M4854" s="19">
        <v>2300</v>
      </c>
      <c r="N4854" s="19" t="s">
        <v>66</v>
      </c>
      <c r="O4854" s="19" t="s">
        <v>141</v>
      </c>
      <c r="P4854" s="266">
        <v>1013</v>
      </c>
      <c r="Q4854" s="266">
        <f>610+487</f>
        <v>1097</v>
      </c>
      <c r="R4854" s="19">
        <f t="shared" si="226"/>
        <v>-84</v>
      </c>
      <c r="S4854" s="19">
        <v>950</v>
      </c>
      <c r="T4854" s="19" t="s">
        <v>42</v>
      </c>
      <c r="U4854" s="102" t="s">
        <v>1365</v>
      </c>
      <c r="V4854" s="253">
        <v>45118</v>
      </c>
      <c r="W4854" s="17" t="s">
        <v>44</v>
      </c>
      <c r="X4854" s="17"/>
      <c r="Y4854" s="68">
        <v>45283</v>
      </c>
      <c r="Z4854" s="17" t="s">
        <v>191</v>
      </c>
      <c r="AA4854" s="17" t="s">
        <v>46</v>
      </c>
      <c r="AB4854" s="17" t="s">
        <v>1244</v>
      </c>
      <c r="AC4854" s="66">
        <v>45286</v>
      </c>
      <c r="AD4854" s="65">
        <v>1505</v>
      </c>
      <c r="AE4854" s="17" t="s">
        <v>74</v>
      </c>
      <c r="AF4854" s="17"/>
      <c r="AG4854" s="17"/>
      <c r="AH4854" s="17"/>
      <c r="AI4854" s="17"/>
      <c r="AJ4854" s="17"/>
      <c r="AK4854" s="17"/>
      <c r="AL4854" s="17"/>
      <c r="AM4854" s="17"/>
      <c r="AN4854" s="17"/>
      <c r="AO4854" s="17"/>
      <c r="AP4854" s="17"/>
      <c r="AQ4854" s="17"/>
      <c r="AR4854" s="17"/>
    </row>
    <row r="4855" s="20" customFormat="1" ht="15.6" hidden="1" spans="1:44">
      <c r="A4855" s="17" t="s">
        <v>34</v>
      </c>
      <c r="B4855" s="19">
        <v>964</v>
      </c>
      <c r="C4855" s="183">
        <v>45227</v>
      </c>
      <c r="D4855" s="17" t="s">
        <v>52</v>
      </c>
      <c r="E4855" s="17" t="s">
        <v>1113</v>
      </c>
      <c r="F4855" s="17" t="s">
        <v>54</v>
      </c>
      <c r="G4855" s="17"/>
      <c r="H4855" s="124">
        <v>1.2311</v>
      </c>
      <c r="I4855" s="124"/>
      <c r="J4855" s="17" t="s">
        <v>82</v>
      </c>
      <c r="K4855" s="19">
        <v>305</v>
      </c>
      <c r="L4855" s="19">
        <v>25</v>
      </c>
      <c r="M4855" s="19">
        <v>2300</v>
      </c>
      <c r="N4855" s="19" t="s">
        <v>66</v>
      </c>
      <c r="O4855" s="19" t="s">
        <v>141</v>
      </c>
      <c r="P4855" s="266">
        <v>943</v>
      </c>
      <c r="Q4855" s="266">
        <f>577+441</f>
        <v>1018</v>
      </c>
      <c r="R4855" s="19">
        <f t="shared" si="226"/>
        <v>-75</v>
      </c>
      <c r="S4855" s="19">
        <v>950</v>
      </c>
      <c r="T4855" s="19" t="s">
        <v>42</v>
      </c>
      <c r="U4855" s="102" t="s">
        <v>1365</v>
      </c>
      <c r="V4855" s="253">
        <v>45118</v>
      </c>
      <c r="W4855" s="17" t="s">
        <v>44</v>
      </c>
      <c r="X4855" s="17"/>
      <c r="Y4855" s="68">
        <v>45283</v>
      </c>
      <c r="Z4855" s="17" t="s">
        <v>191</v>
      </c>
      <c r="AA4855" s="17" t="s">
        <v>46</v>
      </c>
      <c r="AB4855" s="17" t="s">
        <v>1244</v>
      </c>
      <c r="AC4855" s="66">
        <v>45286</v>
      </c>
      <c r="AD4855" s="65">
        <v>1505</v>
      </c>
      <c r="AE4855" s="17" t="s">
        <v>74</v>
      </c>
      <c r="AF4855" s="17"/>
      <c r="AG4855" s="17"/>
      <c r="AH4855" s="17"/>
      <c r="AI4855" s="17"/>
      <c r="AJ4855" s="17"/>
      <c r="AK4855" s="17"/>
      <c r="AL4855" s="17"/>
      <c r="AM4855" s="17"/>
      <c r="AN4855" s="17"/>
      <c r="AO4855" s="17"/>
      <c r="AP4855" s="17"/>
      <c r="AQ4855" s="17"/>
      <c r="AR4855" s="17"/>
    </row>
    <row r="4856" s="20" customFormat="1" ht="15.6" hidden="1" spans="1:44">
      <c r="A4856" s="17" t="s">
        <v>34</v>
      </c>
      <c r="B4856" s="19">
        <v>964</v>
      </c>
      <c r="C4856" s="183">
        <v>45227</v>
      </c>
      <c r="D4856" s="17" t="s">
        <v>52</v>
      </c>
      <c r="E4856" s="17" t="s">
        <v>1113</v>
      </c>
      <c r="F4856" s="17" t="s">
        <v>54</v>
      </c>
      <c r="G4856" s="17"/>
      <c r="H4856" s="124">
        <v>1.2311</v>
      </c>
      <c r="I4856" s="124"/>
      <c r="J4856" s="17" t="s">
        <v>82</v>
      </c>
      <c r="K4856" s="19">
        <v>205</v>
      </c>
      <c r="L4856" s="19">
        <v>32</v>
      </c>
      <c r="M4856" s="19">
        <v>2300</v>
      </c>
      <c r="N4856" s="19" t="s">
        <v>66</v>
      </c>
      <c r="O4856" s="19" t="s">
        <v>141</v>
      </c>
      <c r="P4856" s="266">
        <v>1043</v>
      </c>
      <c r="Q4856" s="266">
        <v>578</v>
      </c>
      <c r="R4856" s="19">
        <f t="shared" si="226"/>
        <v>465</v>
      </c>
      <c r="S4856" s="19">
        <v>950</v>
      </c>
      <c r="T4856" s="19" t="s">
        <v>42</v>
      </c>
      <c r="U4856" s="102" t="s">
        <v>1365</v>
      </c>
      <c r="V4856" s="253">
        <v>45118</v>
      </c>
      <c r="W4856" s="17" t="s">
        <v>44</v>
      </c>
      <c r="X4856" s="17"/>
      <c r="Y4856" s="68">
        <v>45283</v>
      </c>
      <c r="Z4856" s="17" t="s">
        <v>191</v>
      </c>
      <c r="AA4856" s="17" t="s">
        <v>46</v>
      </c>
      <c r="AB4856" s="17" t="s">
        <v>1244</v>
      </c>
      <c r="AC4856" s="66">
        <v>45286</v>
      </c>
      <c r="AD4856" s="65">
        <v>1505</v>
      </c>
      <c r="AE4856" s="17" t="s">
        <v>74</v>
      </c>
      <c r="AF4856" s="17"/>
      <c r="AG4856" s="17"/>
      <c r="AH4856" s="17"/>
      <c r="AI4856" s="17"/>
      <c r="AJ4856" s="17"/>
      <c r="AK4856" s="17"/>
      <c r="AL4856" s="17"/>
      <c r="AM4856" s="17"/>
      <c r="AN4856" s="17"/>
      <c r="AO4856" s="17"/>
      <c r="AP4856" s="17"/>
      <c r="AQ4856" s="17"/>
      <c r="AR4856" s="17"/>
    </row>
    <row r="4857" s="20" customFormat="1" ht="15.6" hidden="1" spans="1:44">
      <c r="A4857" s="17" t="s">
        <v>34</v>
      </c>
      <c r="B4857" s="19">
        <v>964</v>
      </c>
      <c r="C4857" s="183">
        <v>45227</v>
      </c>
      <c r="D4857" s="17" t="s">
        <v>52</v>
      </c>
      <c r="E4857" s="17" t="s">
        <v>1113</v>
      </c>
      <c r="F4857" s="17" t="s">
        <v>54</v>
      </c>
      <c r="G4857" s="17"/>
      <c r="H4857" s="124">
        <v>1.2311</v>
      </c>
      <c r="I4857" s="124"/>
      <c r="J4857" s="17" t="s">
        <v>82</v>
      </c>
      <c r="K4857" s="19">
        <v>255</v>
      </c>
      <c r="L4857" s="19">
        <v>32</v>
      </c>
      <c r="M4857" s="19">
        <v>2300</v>
      </c>
      <c r="N4857" s="19" t="s">
        <v>66</v>
      </c>
      <c r="O4857" s="19" t="s">
        <v>141</v>
      </c>
      <c r="P4857" s="266">
        <v>1153</v>
      </c>
      <c r="Q4857" s="266">
        <v>1148</v>
      </c>
      <c r="R4857" s="19">
        <f t="shared" si="226"/>
        <v>5</v>
      </c>
      <c r="S4857" s="19">
        <v>950</v>
      </c>
      <c r="T4857" s="19" t="s">
        <v>42</v>
      </c>
      <c r="U4857" s="102" t="s">
        <v>1365</v>
      </c>
      <c r="V4857" s="253">
        <v>45118</v>
      </c>
      <c r="W4857" s="17" t="s">
        <v>44</v>
      </c>
      <c r="X4857" s="17"/>
      <c r="Y4857" s="68">
        <v>45283</v>
      </c>
      <c r="Z4857" s="17" t="s">
        <v>191</v>
      </c>
      <c r="AA4857" s="17" t="s">
        <v>46</v>
      </c>
      <c r="AB4857" s="17" t="s">
        <v>1244</v>
      </c>
      <c r="AC4857" s="66">
        <v>45286</v>
      </c>
      <c r="AD4857" s="65">
        <v>1505</v>
      </c>
      <c r="AE4857" s="17" t="s">
        <v>74</v>
      </c>
      <c r="AF4857" s="17"/>
      <c r="AG4857" s="17"/>
      <c r="AH4857" s="17"/>
      <c r="AI4857" s="17"/>
      <c r="AJ4857" s="17"/>
      <c r="AK4857" s="17"/>
      <c r="AL4857" s="17"/>
      <c r="AM4857" s="17"/>
      <c r="AN4857" s="17"/>
      <c r="AO4857" s="17"/>
      <c r="AP4857" s="17"/>
      <c r="AQ4857" s="17"/>
      <c r="AR4857" s="17"/>
    </row>
    <row r="4858" s="20" customFormat="1" ht="15.6" hidden="1" spans="1:44">
      <c r="A4858" s="17" t="s">
        <v>34</v>
      </c>
      <c r="B4858" s="19">
        <v>964</v>
      </c>
      <c r="C4858" s="183">
        <v>45227</v>
      </c>
      <c r="D4858" s="17" t="s">
        <v>52</v>
      </c>
      <c r="E4858" s="17" t="s">
        <v>1113</v>
      </c>
      <c r="F4858" s="17" t="s">
        <v>54</v>
      </c>
      <c r="G4858" s="17"/>
      <c r="H4858" s="124">
        <v>1.2311</v>
      </c>
      <c r="I4858" s="124"/>
      <c r="J4858" s="17" t="s">
        <v>82</v>
      </c>
      <c r="K4858" s="19">
        <v>305</v>
      </c>
      <c r="L4858" s="19">
        <v>32</v>
      </c>
      <c r="M4858" s="19">
        <v>2300</v>
      </c>
      <c r="N4858" s="19" t="s">
        <v>66</v>
      </c>
      <c r="O4858" s="19" t="s">
        <v>141</v>
      </c>
      <c r="P4858" s="266">
        <v>1034</v>
      </c>
      <c r="Q4858" s="266">
        <v>1199</v>
      </c>
      <c r="R4858" s="19">
        <f t="shared" si="226"/>
        <v>-165</v>
      </c>
      <c r="S4858" s="19">
        <v>950</v>
      </c>
      <c r="T4858" s="19" t="s">
        <v>42</v>
      </c>
      <c r="U4858" s="102" t="s">
        <v>1365</v>
      </c>
      <c r="V4858" s="253">
        <v>45118</v>
      </c>
      <c r="W4858" s="17" t="s">
        <v>44</v>
      </c>
      <c r="X4858" s="17"/>
      <c r="Y4858" s="68">
        <v>45283</v>
      </c>
      <c r="Z4858" s="17" t="s">
        <v>191</v>
      </c>
      <c r="AA4858" s="17" t="s">
        <v>46</v>
      </c>
      <c r="AB4858" s="17" t="s">
        <v>1244</v>
      </c>
      <c r="AC4858" s="66">
        <v>45286</v>
      </c>
      <c r="AD4858" s="65">
        <v>1505</v>
      </c>
      <c r="AE4858" s="17" t="s">
        <v>74</v>
      </c>
      <c r="AF4858" s="17"/>
      <c r="AG4858" s="17"/>
      <c r="AH4858" s="17"/>
      <c r="AI4858" s="17"/>
      <c r="AJ4858" s="17"/>
      <c r="AK4858" s="17"/>
      <c r="AL4858" s="17"/>
      <c r="AM4858" s="17"/>
      <c r="AN4858" s="17"/>
      <c r="AO4858" s="17"/>
      <c r="AP4858" s="17"/>
      <c r="AQ4858" s="17"/>
      <c r="AR4858" s="17"/>
    </row>
    <row r="4859" s="20" customFormat="1" ht="15.6" hidden="1" spans="1:44">
      <c r="A4859" s="17" t="s">
        <v>34</v>
      </c>
      <c r="B4859" s="19">
        <v>964</v>
      </c>
      <c r="C4859" s="183">
        <v>45227</v>
      </c>
      <c r="D4859" s="17" t="s">
        <v>52</v>
      </c>
      <c r="E4859" s="17" t="s">
        <v>1113</v>
      </c>
      <c r="F4859" s="17" t="s">
        <v>54</v>
      </c>
      <c r="G4859" s="17"/>
      <c r="H4859" s="124">
        <v>1.2311</v>
      </c>
      <c r="I4859" s="124"/>
      <c r="J4859" s="17" t="s">
        <v>82</v>
      </c>
      <c r="K4859" s="19">
        <v>355</v>
      </c>
      <c r="L4859" s="19">
        <v>32</v>
      </c>
      <c r="M4859" s="19">
        <v>2300</v>
      </c>
      <c r="N4859" s="19" t="s">
        <v>66</v>
      </c>
      <c r="O4859" s="19" t="s">
        <v>141</v>
      </c>
      <c r="P4859" s="266">
        <v>1003</v>
      </c>
      <c r="Q4859" s="266">
        <v>1000</v>
      </c>
      <c r="R4859" s="19">
        <f t="shared" si="226"/>
        <v>3</v>
      </c>
      <c r="S4859" s="19">
        <v>950</v>
      </c>
      <c r="T4859" s="19" t="s">
        <v>42</v>
      </c>
      <c r="U4859" s="102" t="s">
        <v>1365</v>
      </c>
      <c r="V4859" s="253">
        <v>45118</v>
      </c>
      <c r="W4859" s="17" t="s">
        <v>44</v>
      </c>
      <c r="X4859" s="17"/>
      <c r="Y4859" s="68">
        <v>45283</v>
      </c>
      <c r="Z4859" s="17" t="s">
        <v>191</v>
      </c>
      <c r="AA4859" s="17" t="s">
        <v>46</v>
      </c>
      <c r="AB4859" s="17" t="s">
        <v>1244</v>
      </c>
      <c r="AC4859" s="66">
        <v>45286</v>
      </c>
      <c r="AD4859" s="65">
        <v>1505</v>
      </c>
      <c r="AE4859" s="17" t="s">
        <v>74</v>
      </c>
      <c r="AF4859" s="17"/>
      <c r="AG4859" s="17"/>
      <c r="AH4859" s="17"/>
      <c r="AI4859" s="17"/>
      <c r="AJ4859" s="17"/>
      <c r="AK4859" s="17"/>
      <c r="AL4859" s="17"/>
      <c r="AM4859" s="17"/>
      <c r="AN4859" s="17"/>
      <c r="AO4859" s="17"/>
      <c r="AP4859" s="17"/>
      <c r="AQ4859" s="17"/>
      <c r="AR4859" s="17"/>
    </row>
    <row r="4860" s="20" customFormat="1" ht="15.6" hidden="1" spans="1:44">
      <c r="A4860" s="17" t="s">
        <v>34</v>
      </c>
      <c r="B4860" s="19">
        <v>964</v>
      </c>
      <c r="C4860" s="183">
        <v>45227</v>
      </c>
      <c r="D4860" s="17" t="s">
        <v>52</v>
      </c>
      <c r="E4860" s="17" t="s">
        <v>1113</v>
      </c>
      <c r="F4860" s="17" t="s">
        <v>54</v>
      </c>
      <c r="G4860" s="17"/>
      <c r="H4860" s="124">
        <v>1.2311</v>
      </c>
      <c r="I4860" s="124"/>
      <c r="J4860" s="17" t="s">
        <v>82</v>
      </c>
      <c r="K4860" s="19">
        <v>405</v>
      </c>
      <c r="L4860" s="19">
        <v>32</v>
      </c>
      <c r="M4860" s="19">
        <v>2300</v>
      </c>
      <c r="N4860" s="19" t="s">
        <v>66</v>
      </c>
      <c r="O4860" s="19" t="s">
        <v>141</v>
      </c>
      <c r="P4860" s="266">
        <v>916</v>
      </c>
      <c r="Q4860" s="266">
        <v>1129</v>
      </c>
      <c r="R4860" s="19">
        <f t="shared" si="226"/>
        <v>-213</v>
      </c>
      <c r="S4860" s="19">
        <v>950</v>
      </c>
      <c r="T4860" s="19" t="s">
        <v>42</v>
      </c>
      <c r="U4860" s="102" t="s">
        <v>1365</v>
      </c>
      <c r="V4860" s="253">
        <v>45118</v>
      </c>
      <c r="W4860" s="17" t="s">
        <v>44</v>
      </c>
      <c r="X4860" s="17"/>
      <c r="Y4860" s="68">
        <v>45283</v>
      </c>
      <c r="Z4860" s="17" t="s">
        <v>191</v>
      </c>
      <c r="AA4860" s="17" t="s">
        <v>46</v>
      </c>
      <c r="AB4860" s="17" t="s">
        <v>1244</v>
      </c>
      <c r="AC4860" s="66">
        <v>45286</v>
      </c>
      <c r="AD4860" s="65">
        <v>1505</v>
      </c>
      <c r="AE4860" s="17" t="s">
        <v>74</v>
      </c>
      <c r="AF4860" s="17"/>
      <c r="AG4860" s="17"/>
      <c r="AH4860" s="17"/>
      <c r="AI4860" s="17"/>
      <c r="AJ4860" s="17"/>
      <c r="AK4860" s="17"/>
      <c r="AL4860" s="17"/>
      <c r="AM4860" s="17"/>
      <c r="AN4860" s="17"/>
      <c r="AO4860" s="17"/>
      <c r="AP4860" s="17"/>
      <c r="AQ4860" s="17"/>
      <c r="AR4860" s="17"/>
    </row>
    <row r="4861" s="20" customFormat="1" ht="15.6" hidden="1" spans="1:44">
      <c r="A4861" s="17" t="s">
        <v>34</v>
      </c>
      <c r="B4861" s="19">
        <v>964</v>
      </c>
      <c r="C4861" s="183">
        <v>45227</v>
      </c>
      <c r="D4861" s="17" t="s">
        <v>52</v>
      </c>
      <c r="E4861" s="17" t="s">
        <v>1113</v>
      </c>
      <c r="F4861" s="17" t="s">
        <v>54</v>
      </c>
      <c r="G4861" s="17"/>
      <c r="H4861" s="124">
        <v>1.2311</v>
      </c>
      <c r="I4861" s="124"/>
      <c r="J4861" s="17" t="s">
        <v>82</v>
      </c>
      <c r="K4861" s="19">
        <v>205</v>
      </c>
      <c r="L4861" s="19">
        <v>36</v>
      </c>
      <c r="M4861" s="19">
        <v>2300</v>
      </c>
      <c r="N4861" s="19" t="s">
        <v>66</v>
      </c>
      <c r="O4861" s="19" t="s">
        <v>141</v>
      </c>
      <c r="P4861" s="266">
        <v>1043</v>
      </c>
      <c r="Q4861" s="266">
        <v>1067</v>
      </c>
      <c r="R4861" s="19">
        <f t="shared" si="226"/>
        <v>-24</v>
      </c>
      <c r="S4861" s="19">
        <v>950</v>
      </c>
      <c r="T4861" s="19" t="s">
        <v>42</v>
      </c>
      <c r="U4861" s="102" t="s">
        <v>1365</v>
      </c>
      <c r="V4861" s="253">
        <v>45118</v>
      </c>
      <c r="W4861" s="17" t="s">
        <v>44</v>
      </c>
      <c r="X4861" s="17"/>
      <c r="Y4861" s="68">
        <v>45283</v>
      </c>
      <c r="Z4861" s="17" t="s">
        <v>191</v>
      </c>
      <c r="AA4861" s="17" t="s">
        <v>46</v>
      </c>
      <c r="AB4861" s="17" t="s">
        <v>1244</v>
      </c>
      <c r="AC4861" s="66">
        <v>45286</v>
      </c>
      <c r="AD4861" s="65">
        <v>1505</v>
      </c>
      <c r="AE4861" s="17" t="s">
        <v>74</v>
      </c>
      <c r="AF4861" s="17"/>
      <c r="AG4861" s="17"/>
      <c r="AH4861" s="17"/>
      <c r="AI4861" s="17"/>
      <c r="AJ4861" s="17"/>
      <c r="AK4861" s="17"/>
      <c r="AL4861" s="17"/>
      <c r="AM4861" s="17"/>
      <c r="AN4861" s="17"/>
      <c r="AO4861" s="17"/>
      <c r="AP4861" s="17"/>
      <c r="AQ4861" s="17"/>
      <c r="AR4861" s="17"/>
    </row>
    <row r="4862" s="20" customFormat="1" ht="15.6" hidden="1" spans="1:44">
      <c r="A4862" s="17" t="s">
        <v>34</v>
      </c>
      <c r="B4862" s="19">
        <v>964</v>
      </c>
      <c r="C4862" s="183">
        <v>45227</v>
      </c>
      <c r="D4862" s="17" t="s">
        <v>52</v>
      </c>
      <c r="E4862" s="17" t="s">
        <v>1113</v>
      </c>
      <c r="F4862" s="17" t="s">
        <v>54</v>
      </c>
      <c r="G4862" s="17"/>
      <c r="H4862" s="124">
        <v>1.2311</v>
      </c>
      <c r="I4862" s="124"/>
      <c r="J4862" s="17" t="s">
        <v>82</v>
      </c>
      <c r="K4862" s="19">
        <v>255</v>
      </c>
      <c r="L4862" s="19">
        <v>36</v>
      </c>
      <c r="M4862" s="19">
        <v>2300</v>
      </c>
      <c r="N4862" s="19" t="s">
        <v>66</v>
      </c>
      <c r="O4862" s="19" t="s">
        <v>141</v>
      </c>
      <c r="P4862" s="266">
        <v>1135</v>
      </c>
      <c r="Q4862" s="266">
        <f>170+995</f>
        <v>1165</v>
      </c>
      <c r="R4862" s="19">
        <f t="shared" si="226"/>
        <v>-30</v>
      </c>
      <c r="S4862" s="19">
        <v>950</v>
      </c>
      <c r="T4862" s="19" t="s">
        <v>42</v>
      </c>
      <c r="U4862" s="102" t="s">
        <v>1365</v>
      </c>
      <c r="V4862" s="253">
        <v>45118</v>
      </c>
      <c r="W4862" s="17" t="s">
        <v>44</v>
      </c>
      <c r="X4862" s="17"/>
      <c r="Y4862" s="68">
        <v>45283</v>
      </c>
      <c r="Z4862" s="17" t="s">
        <v>191</v>
      </c>
      <c r="AA4862" s="17" t="s">
        <v>46</v>
      </c>
      <c r="AB4862" s="17" t="s">
        <v>1244</v>
      </c>
      <c r="AC4862" s="66">
        <v>45286</v>
      </c>
      <c r="AD4862" s="65">
        <v>1505</v>
      </c>
      <c r="AE4862" s="17" t="s">
        <v>74</v>
      </c>
      <c r="AF4862" s="17"/>
      <c r="AG4862" s="17"/>
      <c r="AH4862" s="17"/>
      <c r="AI4862" s="17"/>
      <c r="AJ4862" s="17"/>
      <c r="AK4862" s="17"/>
      <c r="AL4862" s="17"/>
      <c r="AM4862" s="17"/>
      <c r="AN4862" s="17"/>
      <c r="AO4862" s="17"/>
      <c r="AP4862" s="17"/>
      <c r="AQ4862" s="17"/>
      <c r="AR4862" s="17"/>
    </row>
    <row r="4863" s="20" customFormat="1" ht="15.6" hidden="1" spans="1:44">
      <c r="A4863" s="17" t="s">
        <v>34</v>
      </c>
      <c r="B4863" s="19">
        <v>964</v>
      </c>
      <c r="C4863" s="183">
        <v>45227</v>
      </c>
      <c r="D4863" s="17" t="s">
        <v>52</v>
      </c>
      <c r="E4863" s="17" t="s">
        <v>1113</v>
      </c>
      <c r="F4863" s="17" t="s">
        <v>54</v>
      </c>
      <c r="G4863" s="17"/>
      <c r="H4863" s="124">
        <v>1.2311</v>
      </c>
      <c r="I4863" s="124"/>
      <c r="J4863" s="17" t="s">
        <v>82</v>
      </c>
      <c r="K4863" s="19">
        <v>305</v>
      </c>
      <c r="L4863" s="19">
        <v>36</v>
      </c>
      <c r="M4863" s="19">
        <v>2300</v>
      </c>
      <c r="N4863" s="19" t="s">
        <v>66</v>
      </c>
      <c r="O4863" s="19" t="s">
        <v>141</v>
      </c>
      <c r="P4863" s="266">
        <v>1164</v>
      </c>
      <c r="Q4863" s="266">
        <v>996</v>
      </c>
      <c r="R4863" s="17"/>
      <c r="S4863" s="19">
        <v>950</v>
      </c>
      <c r="T4863" s="19" t="s">
        <v>42</v>
      </c>
      <c r="U4863" s="102" t="s">
        <v>1365</v>
      </c>
      <c r="V4863" s="253">
        <v>45118</v>
      </c>
      <c r="W4863" s="17" t="s">
        <v>44</v>
      </c>
      <c r="X4863" s="17"/>
      <c r="Y4863" s="68">
        <v>45283</v>
      </c>
      <c r="Z4863" s="17" t="s">
        <v>191</v>
      </c>
      <c r="AA4863" s="17" t="s">
        <v>46</v>
      </c>
      <c r="AB4863" s="17" t="s">
        <v>1231</v>
      </c>
      <c r="AC4863" s="66">
        <v>45283</v>
      </c>
      <c r="AD4863" s="65">
        <v>1504</v>
      </c>
      <c r="AE4863" s="17" t="s">
        <v>74</v>
      </c>
      <c r="AF4863" s="17"/>
      <c r="AG4863" s="17"/>
      <c r="AH4863" s="17"/>
      <c r="AI4863" s="17"/>
      <c r="AJ4863" s="17"/>
      <c r="AK4863" s="17"/>
      <c r="AL4863" s="17"/>
      <c r="AM4863" s="17"/>
      <c r="AN4863" s="17"/>
      <c r="AO4863" s="17"/>
      <c r="AP4863" s="17"/>
      <c r="AQ4863" s="17"/>
      <c r="AR4863" s="17"/>
    </row>
    <row r="4864" s="20" customFormat="1" ht="15.6" hidden="1" spans="1:44">
      <c r="A4864" s="17" t="s">
        <v>34</v>
      </c>
      <c r="B4864" s="19">
        <v>964</v>
      </c>
      <c r="C4864" s="183">
        <v>45227</v>
      </c>
      <c r="D4864" s="17" t="s">
        <v>52</v>
      </c>
      <c r="E4864" s="17" t="s">
        <v>1113</v>
      </c>
      <c r="F4864" s="17" t="s">
        <v>54</v>
      </c>
      <c r="G4864" s="17"/>
      <c r="H4864" s="124">
        <v>1.2311</v>
      </c>
      <c r="I4864" s="124"/>
      <c r="J4864" s="17" t="s">
        <v>82</v>
      </c>
      <c r="K4864" s="19">
        <v>305</v>
      </c>
      <c r="L4864" s="19">
        <v>36</v>
      </c>
      <c r="M4864" s="19">
        <v>2300</v>
      </c>
      <c r="N4864" s="19" t="s">
        <v>66</v>
      </c>
      <c r="O4864" s="19" t="s">
        <v>141</v>
      </c>
      <c r="P4864" s="266"/>
      <c r="Q4864" s="266">
        <v>196</v>
      </c>
      <c r="R4864" s="19">
        <f>+P4863-Q4863-Q4864</f>
        <v>-28</v>
      </c>
      <c r="S4864" s="19">
        <v>950</v>
      </c>
      <c r="T4864" s="19" t="s">
        <v>42</v>
      </c>
      <c r="U4864" s="102" t="s">
        <v>1365</v>
      </c>
      <c r="V4864" s="253">
        <v>45118</v>
      </c>
      <c r="W4864" s="17" t="s">
        <v>44</v>
      </c>
      <c r="X4864" s="17"/>
      <c r="Y4864" s="68">
        <v>45283</v>
      </c>
      <c r="Z4864" s="17" t="s">
        <v>191</v>
      </c>
      <c r="AA4864" s="17" t="s">
        <v>46</v>
      </c>
      <c r="AB4864" s="17" t="s">
        <v>1244</v>
      </c>
      <c r="AC4864" s="66">
        <v>45286</v>
      </c>
      <c r="AD4864" s="65">
        <v>1505</v>
      </c>
      <c r="AE4864" s="17" t="s">
        <v>74</v>
      </c>
      <c r="AF4864" s="17"/>
      <c r="AG4864" s="17"/>
      <c r="AH4864" s="17"/>
      <c r="AI4864" s="17"/>
      <c r="AJ4864" s="17"/>
      <c r="AK4864" s="17"/>
      <c r="AL4864" s="17"/>
      <c r="AM4864" s="17"/>
      <c r="AN4864" s="17"/>
      <c r="AO4864" s="17"/>
      <c r="AP4864" s="17"/>
      <c r="AQ4864" s="17"/>
      <c r="AR4864" s="17"/>
    </row>
    <row r="4865" s="20" customFormat="1" ht="15.6" hidden="1" spans="1:44">
      <c r="A4865" s="17" t="s">
        <v>34</v>
      </c>
      <c r="B4865" s="19">
        <v>964</v>
      </c>
      <c r="C4865" s="183">
        <v>45227</v>
      </c>
      <c r="D4865" s="17" t="s">
        <v>52</v>
      </c>
      <c r="E4865" s="17" t="s">
        <v>1113</v>
      </c>
      <c r="F4865" s="17" t="s">
        <v>54</v>
      </c>
      <c r="G4865" s="17"/>
      <c r="H4865" s="124">
        <v>1.2311</v>
      </c>
      <c r="I4865" s="124"/>
      <c r="J4865" s="17" t="s">
        <v>82</v>
      </c>
      <c r="K4865" s="19">
        <v>355</v>
      </c>
      <c r="L4865" s="19">
        <v>36</v>
      </c>
      <c r="M4865" s="19">
        <v>2300</v>
      </c>
      <c r="N4865" s="19" t="s">
        <v>66</v>
      </c>
      <c r="O4865" s="19" t="s">
        <v>141</v>
      </c>
      <c r="P4865" s="266">
        <v>1129</v>
      </c>
      <c r="Q4865" s="266">
        <v>1145</v>
      </c>
      <c r="R4865" s="19">
        <f t="shared" ref="R4865:R4874" si="228">+P4865-Q4865</f>
        <v>-16</v>
      </c>
      <c r="S4865" s="19">
        <v>950</v>
      </c>
      <c r="T4865" s="19" t="s">
        <v>42</v>
      </c>
      <c r="U4865" s="102" t="s">
        <v>1365</v>
      </c>
      <c r="V4865" s="253">
        <v>45118</v>
      </c>
      <c r="W4865" s="17" t="s">
        <v>44</v>
      </c>
      <c r="X4865" s="17"/>
      <c r="Y4865" s="68">
        <v>45283</v>
      </c>
      <c r="Z4865" s="17" t="s">
        <v>191</v>
      </c>
      <c r="AA4865" s="17" t="s">
        <v>46</v>
      </c>
      <c r="AB4865" s="17" t="s">
        <v>1231</v>
      </c>
      <c r="AC4865" s="66">
        <v>45283</v>
      </c>
      <c r="AD4865" s="65">
        <v>1504</v>
      </c>
      <c r="AE4865" s="17" t="s">
        <v>74</v>
      </c>
      <c r="AF4865" s="17"/>
      <c r="AG4865" s="17"/>
      <c r="AH4865" s="17"/>
      <c r="AI4865" s="17"/>
      <c r="AJ4865" s="17"/>
      <c r="AK4865" s="17"/>
      <c r="AL4865" s="17"/>
      <c r="AM4865" s="17"/>
      <c r="AN4865" s="17"/>
      <c r="AO4865" s="17"/>
      <c r="AP4865" s="17"/>
      <c r="AQ4865" s="17"/>
      <c r="AR4865" s="17"/>
    </row>
    <row r="4866" s="20" customFormat="1" ht="15.6" hidden="1" spans="1:44">
      <c r="A4866" s="17" t="s">
        <v>34</v>
      </c>
      <c r="B4866" s="19">
        <v>964</v>
      </c>
      <c r="C4866" s="183">
        <v>45227</v>
      </c>
      <c r="D4866" s="17" t="s">
        <v>52</v>
      </c>
      <c r="E4866" s="17" t="s">
        <v>1113</v>
      </c>
      <c r="F4866" s="17" t="s">
        <v>54</v>
      </c>
      <c r="G4866" s="17"/>
      <c r="H4866" s="124">
        <v>1.2311</v>
      </c>
      <c r="I4866" s="124"/>
      <c r="J4866" s="17" t="s">
        <v>82</v>
      </c>
      <c r="K4866" s="19">
        <v>405</v>
      </c>
      <c r="L4866" s="19">
        <v>36</v>
      </c>
      <c r="M4866" s="19">
        <v>2300</v>
      </c>
      <c r="N4866" s="19" t="s">
        <v>66</v>
      </c>
      <c r="O4866" s="19" t="s">
        <v>141</v>
      </c>
      <c r="P4866" s="266">
        <v>1030</v>
      </c>
      <c r="Q4866" s="266">
        <v>1040</v>
      </c>
      <c r="R4866" s="19">
        <f t="shared" si="228"/>
        <v>-10</v>
      </c>
      <c r="S4866" s="19">
        <v>950</v>
      </c>
      <c r="T4866" s="19" t="s">
        <v>42</v>
      </c>
      <c r="U4866" s="102" t="s">
        <v>1365</v>
      </c>
      <c r="V4866" s="253">
        <v>45118</v>
      </c>
      <c r="W4866" s="17" t="s">
        <v>44</v>
      </c>
      <c r="X4866" s="17"/>
      <c r="Y4866" s="68">
        <v>45283</v>
      </c>
      <c r="Z4866" s="17" t="s">
        <v>191</v>
      </c>
      <c r="AA4866" s="17" t="s">
        <v>46</v>
      </c>
      <c r="AB4866" s="17" t="s">
        <v>1244</v>
      </c>
      <c r="AC4866" s="66">
        <v>45286</v>
      </c>
      <c r="AD4866" s="65">
        <v>1505</v>
      </c>
      <c r="AE4866" s="17" t="s">
        <v>74</v>
      </c>
      <c r="AF4866" s="17"/>
      <c r="AG4866" s="17"/>
      <c r="AH4866" s="17"/>
      <c r="AI4866" s="17"/>
      <c r="AJ4866" s="17"/>
      <c r="AK4866" s="17"/>
      <c r="AL4866" s="17"/>
      <c r="AM4866" s="17"/>
      <c r="AN4866" s="17"/>
      <c r="AO4866" s="17"/>
      <c r="AP4866" s="17"/>
      <c r="AQ4866" s="17"/>
      <c r="AR4866" s="17"/>
    </row>
    <row r="4867" s="20" customFormat="1" ht="15.6" hidden="1" spans="1:44">
      <c r="A4867" s="17" t="s">
        <v>34</v>
      </c>
      <c r="B4867" s="19">
        <v>964</v>
      </c>
      <c r="C4867" s="183">
        <v>45227</v>
      </c>
      <c r="D4867" s="17" t="s">
        <v>52</v>
      </c>
      <c r="E4867" s="17" t="s">
        <v>1113</v>
      </c>
      <c r="F4867" s="17" t="s">
        <v>54</v>
      </c>
      <c r="G4867" s="17"/>
      <c r="H4867" s="124">
        <v>1.2311</v>
      </c>
      <c r="I4867" s="124"/>
      <c r="J4867" s="17" t="s">
        <v>82</v>
      </c>
      <c r="K4867" s="19">
        <v>205</v>
      </c>
      <c r="L4867" s="19">
        <v>40</v>
      </c>
      <c r="M4867" s="19">
        <v>2300</v>
      </c>
      <c r="N4867" s="19" t="s">
        <v>66</v>
      </c>
      <c r="O4867" s="19" t="s">
        <v>141</v>
      </c>
      <c r="P4867" s="266">
        <v>1014</v>
      </c>
      <c r="Q4867" s="266">
        <v>1000</v>
      </c>
      <c r="R4867" s="19">
        <f t="shared" si="228"/>
        <v>14</v>
      </c>
      <c r="S4867" s="19">
        <v>950</v>
      </c>
      <c r="T4867" s="19" t="s">
        <v>42</v>
      </c>
      <c r="U4867" s="102" t="s">
        <v>1365</v>
      </c>
      <c r="V4867" s="253">
        <v>45118</v>
      </c>
      <c r="W4867" s="17" t="s">
        <v>44</v>
      </c>
      <c r="X4867" s="17"/>
      <c r="Y4867" s="68">
        <v>45283</v>
      </c>
      <c r="Z4867" s="17" t="s">
        <v>191</v>
      </c>
      <c r="AA4867" s="17" t="s">
        <v>46</v>
      </c>
      <c r="AB4867" s="17" t="s">
        <v>1244</v>
      </c>
      <c r="AC4867" s="66">
        <v>45286</v>
      </c>
      <c r="AD4867" s="65">
        <v>1505</v>
      </c>
      <c r="AE4867" s="17" t="s">
        <v>74</v>
      </c>
      <c r="AF4867" s="17"/>
      <c r="AG4867" s="17"/>
      <c r="AH4867" s="17"/>
      <c r="AI4867" s="17"/>
      <c r="AJ4867" s="17"/>
      <c r="AK4867" s="17"/>
      <c r="AL4867" s="17"/>
      <c r="AM4867" s="17"/>
      <c r="AN4867" s="17"/>
      <c r="AO4867" s="17"/>
      <c r="AP4867" s="17"/>
      <c r="AQ4867" s="17"/>
      <c r="AR4867" s="17"/>
    </row>
    <row r="4868" s="20" customFormat="1" ht="15.6" hidden="1" spans="1:44">
      <c r="A4868" s="17" t="s">
        <v>34</v>
      </c>
      <c r="B4868" s="19">
        <v>964</v>
      </c>
      <c r="C4868" s="183">
        <v>45227</v>
      </c>
      <c r="D4868" s="17" t="s">
        <v>52</v>
      </c>
      <c r="E4868" s="17" t="s">
        <v>1113</v>
      </c>
      <c r="F4868" s="17" t="s">
        <v>54</v>
      </c>
      <c r="G4868" s="17"/>
      <c r="H4868" s="124">
        <v>1.2311</v>
      </c>
      <c r="I4868" s="124"/>
      <c r="J4868" s="17" t="s">
        <v>82</v>
      </c>
      <c r="K4868" s="19">
        <v>255</v>
      </c>
      <c r="L4868" s="19">
        <v>40</v>
      </c>
      <c r="M4868" s="19">
        <v>2300</v>
      </c>
      <c r="N4868" s="19" t="s">
        <v>66</v>
      </c>
      <c r="O4868" s="19" t="s">
        <v>141</v>
      </c>
      <c r="P4868" s="266">
        <v>1081</v>
      </c>
      <c r="Q4868" s="266">
        <v>1000</v>
      </c>
      <c r="R4868" s="19">
        <f t="shared" si="228"/>
        <v>81</v>
      </c>
      <c r="S4868" s="19">
        <v>950</v>
      </c>
      <c r="T4868" s="19" t="s">
        <v>42</v>
      </c>
      <c r="U4868" s="102" t="s">
        <v>1365</v>
      </c>
      <c r="V4868" s="253">
        <v>45118</v>
      </c>
      <c r="W4868" s="17" t="s">
        <v>44</v>
      </c>
      <c r="X4868" s="17"/>
      <c r="Y4868" s="68">
        <v>45283</v>
      </c>
      <c r="Z4868" s="17" t="s">
        <v>191</v>
      </c>
      <c r="AA4868" s="17" t="s">
        <v>46</v>
      </c>
      <c r="AB4868" s="17" t="s">
        <v>1244</v>
      </c>
      <c r="AC4868" s="66">
        <v>45286</v>
      </c>
      <c r="AD4868" s="65">
        <v>1505</v>
      </c>
      <c r="AE4868" s="17" t="s">
        <v>74</v>
      </c>
      <c r="AF4868" s="17"/>
      <c r="AG4868" s="17"/>
      <c r="AH4868" s="17"/>
      <c r="AI4868" s="17"/>
      <c r="AJ4868" s="17"/>
      <c r="AK4868" s="17"/>
      <c r="AL4868" s="17"/>
      <c r="AM4868" s="17"/>
      <c r="AN4868" s="17"/>
      <c r="AO4868" s="17"/>
      <c r="AP4868" s="17"/>
      <c r="AQ4868" s="17"/>
      <c r="AR4868" s="17"/>
    </row>
    <row r="4869" s="20" customFormat="1" ht="15.6" hidden="1" spans="1:44">
      <c r="A4869" s="17" t="s">
        <v>34</v>
      </c>
      <c r="B4869" s="19">
        <v>964</v>
      </c>
      <c r="C4869" s="183">
        <v>45227</v>
      </c>
      <c r="D4869" s="17" t="s">
        <v>52</v>
      </c>
      <c r="E4869" s="17" t="s">
        <v>1113</v>
      </c>
      <c r="F4869" s="17" t="s">
        <v>54</v>
      </c>
      <c r="G4869" s="17"/>
      <c r="H4869" s="124">
        <v>1.2311</v>
      </c>
      <c r="I4869" s="124"/>
      <c r="J4869" s="17" t="s">
        <v>82</v>
      </c>
      <c r="K4869" s="19">
        <v>305</v>
      </c>
      <c r="L4869" s="19">
        <v>40</v>
      </c>
      <c r="M4869" s="19">
        <v>2300</v>
      </c>
      <c r="N4869" s="19" t="s">
        <v>66</v>
      </c>
      <c r="O4869" s="19" t="s">
        <v>141</v>
      </c>
      <c r="P4869" s="266">
        <v>1077</v>
      </c>
      <c r="Q4869" s="266">
        <v>1119</v>
      </c>
      <c r="R4869" s="19">
        <f t="shared" si="228"/>
        <v>-42</v>
      </c>
      <c r="S4869" s="19">
        <v>950</v>
      </c>
      <c r="T4869" s="19" t="s">
        <v>42</v>
      </c>
      <c r="U4869" s="102" t="s">
        <v>1365</v>
      </c>
      <c r="V4869" s="253">
        <v>45118</v>
      </c>
      <c r="W4869" s="17" t="s">
        <v>44</v>
      </c>
      <c r="X4869" s="17"/>
      <c r="Y4869" s="68">
        <v>45283</v>
      </c>
      <c r="Z4869" s="17" t="s">
        <v>191</v>
      </c>
      <c r="AA4869" s="17" t="s">
        <v>46</v>
      </c>
      <c r="AB4869" s="17" t="s">
        <v>1236</v>
      </c>
      <c r="AC4869" s="66">
        <v>45288</v>
      </c>
      <c r="AD4869" s="65">
        <v>1511</v>
      </c>
      <c r="AE4869" s="17" t="s">
        <v>74</v>
      </c>
      <c r="AF4869" s="17"/>
      <c r="AG4869" s="17"/>
      <c r="AH4869" s="17"/>
      <c r="AI4869" s="17"/>
      <c r="AJ4869" s="17"/>
      <c r="AK4869" s="17"/>
      <c r="AL4869" s="17"/>
      <c r="AM4869" s="17"/>
      <c r="AN4869" s="17"/>
      <c r="AO4869" s="17"/>
      <c r="AP4869" s="17"/>
      <c r="AQ4869" s="17"/>
      <c r="AR4869" s="17"/>
    </row>
    <row r="4870" s="20" customFormat="1" ht="15.6" hidden="1" spans="1:44">
      <c r="A4870" s="17" t="s">
        <v>34</v>
      </c>
      <c r="B4870" s="19">
        <v>964</v>
      </c>
      <c r="C4870" s="183">
        <v>45227</v>
      </c>
      <c r="D4870" s="17" t="s">
        <v>52</v>
      </c>
      <c r="E4870" s="17" t="s">
        <v>1113</v>
      </c>
      <c r="F4870" s="17" t="s">
        <v>54</v>
      </c>
      <c r="G4870" s="17"/>
      <c r="H4870" s="124">
        <v>1.2311</v>
      </c>
      <c r="I4870" s="124"/>
      <c r="J4870" s="17" t="s">
        <v>82</v>
      </c>
      <c r="K4870" s="19">
        <v>355</v>
      </c>
      <c r="L4870" s="19">
        <v>40</v>
      </c>
      <c r="M4870" s="19">
        <v>2300</v>
      </c>
      <c r="N4870" s="19" t="s">
        <v>66</v>
      </c>
      <c r="O4870" s="19" t="s">
        <v>141</v>
      </c>
      <c r="P4870" s="266">
        <v>1003</v>
      </c>
      <c r="Q4870" s="266">
        <v>1055</v>
      </c>
      <c r="R4870" s="19">
        <f t="shared" si="228"/>
        <v>-52</v>
      </c>
      <c r="S4870" s="19">
        <v>950</v>
      </c>
      <c r="T4870" s="19" t="s">
        <v>42</v>
      </c>
      <c r="U4870" s="102" t="s">
        <v>1365</v>
      </c>
      <c r="V4870" s="253">
        <v>45118</v>
      </c>
      <c r="W4870" s="17" t="s">
        <v>44</v>
      </c>
      <c r="X4870" s="17"/>
      <c r="Y4870" s="68">
        <v>45283</v>
      </c>
      <c r="Z4870" s="17" t="s">
        <v>191</v>
      </c>
      <c r="AA4870" s="17" t="s">
        <v>46</v>
      </c>
      <c r="AB4870" s="17" t="s">
        <v>1231</v>
      </c>
      <c r="AC4870" s="66">
        <v>45283</v>
      </c>
      <c r="AD4870" s="65">
        <v>1504</v>
      </c>
      <c r="AE4870" s="17" t="s">
        <v>74</v>
      </c>
      <c r="AF4870" s="17"/>
      <c r="AG4870" s="17"/>
      <c r="AH4870" s="17"/>
      <c r="AI4870" s="17"/>
      <c r="AJ4870" s="17"/>
      <c r="AK4870" s="17"/>
      <c r="AL4870" s="17"/>
      <c r="AM4870" s="17"/>
      <c r="AN4870" s="17"/>
      <c r="AO4870" s="17"/>
      <c r="AP4870" s="17"/>
      <c r="AQ4870" s="17"/>
      <c r="AR4870" s="17"/>
    </row>
    <row r="4871" s="20" customFormat="1" ht="15.6" hidden="1" spans="1:44">
      <c r="A4871" s="17" t="s">
        <v>34</v>
      </c>
      <c r="B4871" s="19">
        <v>964</v>
      </c>
      <c r="C4871" s="183">
        <v>45227</v>
      </c>
      <c r="D4871" s="17" t="s">
        <v>52</v>
      </c>
      <c r="E4871" s="17" t="s">
        <v>1113</v>
      </c>
      <c r="F4871" s="17" t="s">
        <v>54</v>
      </c>
      <c r="G4871" s="17"/>
      <c r="H4871" s="124">
        <v>1.2311</v>
      </c>
      <c r="I4871" s="124"/>
      <c r="J4871" s="17" t="s">
        <v>82</v>
      </c>
      <c r="K4871" s="19">
        <v>405</v>
      </c>
      <c r="L4871" s="19">
        <v>40</v>
      </c>
      <c r="M4871" s="19">
        <v>2300</v>
      </c>
      <c r="N4871" s="19" t="s">
        <v>66</v>
      </c>
      <c r="O4871" s="19" t="s">
        <v>141</v>
      </c>
      <c r="P4871" s="266">
        <v>1145</v>
      </c>
      <c r="Q4871" s="266">
        <v>1100</v>
      </c>
      <c r="R4871" s="19">
        <f t="shared" si="228"/>
        <v>45</v>
      </c>
      <c r="S4871" s="19">
        <v>950</v>
      </c>
      <c r="T4871" s="19" t="s">
        <v>42</v>
      </c>
      <c r="U4871" s="102" t="s">
        <v>1365</v>
      </c>
      <c r="V4871" s="253">
        <v>45118</v>
      </c>
      <c r="W4871" s="17" t="s">
        <v>44</v>
      </c>
      <c r="X4871" s="17"/>
      <c r="Y4871" s="68">
        <v>45283</v>
      </c>
      <c r="Z4871" s="17" t="s">
        <v>191</v>
      </c>
      <c r="AA4871" s="17" t="s">
        <v>46</v>
      </c>
      <c r="AB4871" s="17" t="s">
        <v>1244</v>
      </c>
      <c r="AC4871" s="66">
        <v>45286</v>
      </c>
      <c r="AD4871" s="65">
        <v>1505</v>
      </c>
      <c r="AE4871" s="17" t="s">
        <v>74</v>
      </c>
      <c r="AF4871" s="17"/>
      <c r="AG4871" s="17"/>
      <c r="AH4871" s="17"/>
      <c r="AI4871" s="17"/>
      <c r="AJ4871" s="17"/>
      <c r="AK4871" s="17"/>
      <c r="AL4871" s="17"/>
      <c r="AM4871" s="17"/>
      <c r="AN4871" s="17"/>
      <c r="AO4871" s="17"/>
      <c r="AP4871" s="17"/>
      <c r="AQ4871" s="17"/>
      <c r="AR4871" s="17"/>
    </row>
    <row r="4872" s="20" customFormat="1" ht="15.6" hidden="1" spans="1:44">
      <c r="A4872" s="17" t="s">
        <v>34</v>
      </c>
      <c r="B4872" s="19">
        <v>964</v>
      </c>
      <c r="C4872" s="183">
        <v>45227</v>
      </c>
      <c r="D4872" s="17" t="s">
        <v>52</v>
      </c>
      <c r="E4872" s="17" t="s">
        <v>1113</v>
      </c>
      <c r="F4872" s="17" t="s">
        <v>54</v>
      </c>
      <c r="G4872" s="17"/>
      <c r="H4872" s="124">
        <v>1.2311</v>
      </c>
      <c r="I4872" s="124"/>
      <c r="J4872" s="17" t="s">
        <v>82</v>
      </c>
      <c r="K4872" s="19">
        <v>455</v>
      </c>
      <c r="L4872" s="19">
        <v>40</v>
      </c>
      <c r="M4872" s="19">
        <v>2300</v>
      </c>
      <c r="N4872" s="19" t="s">
        <v>66</v>
      </c>
      <c r="O4872" s="19" t="s">
        <v>141</v>
      </c>
      <c r="P4872" s="266">
        <v>964</v>
      </c>
      <c r="Q4872" s="266">
        <v>998</v>
      </c>
      <c r="R4872" s="19">
        <f t="shared" si="228"/>
        <v>-34</v>
      </c>
      <c r="S4872" s="19">
        <v>950</v>
      </c>
      <c r="T4872" s="19" t="s">
        <v>42</v>
      </c>
      <c r="U4872" s="102" t="s">
        <v>1365</v>
      </c>
      <c r="V4872" s="253">
        <v>45118</v>
      </c>
      <c r="W4872" s="17" t="s">
        <v>44</v>
      </c>
      <c r="X4872" s="17"/>
      <c r="Y4872" s="68">
        <v>45283</v>
      </c>
      <c r="Z4872" s="17" t="s">
        <v>191</v>
      </c>
      <c r="AA4872" s="17" t="s">
        <v>46</v>
      </c>
      <c r="AB4872" s="17" t="s">
        <v>1244</v>
      </c>
      <c r="AC4872" s="66">
        <v>45286</v>
      </c>
      <c r="AD4872" s="65">
        <v>1505</v>
      </c>
      <c r="AE4872" s="17" t="s">
        <v>74</v>
      </c>
      <c r="AF4872" s="17"/>
      <c r="AG4872" s="17"/>
      <c r="AH4872" s="17"/>
      <c r="AI4872" s="17"/>
      <c r="AJ4872" s="17"/>
      <c r="AK4872" s="17"/>
      <c r="AL4872" s="17"/>
      <c r="AM4872" s="17"/>
      <c r="AN4872" s="17"/>
      <c r="AO4872" s="17"/>
      <c r="AP4872" s="17"/>
      <c r="AQ4872" s="17"/>
      <c r="AR4872" s="17"/>
    </row>
    <row r="4873" s="20" customFormat="1" ht="15.6" hidden="1" spans="1:44">
      <c r="A4873" s="17" t="s">
        <v>34</v>
      </c>
      <c r="B4873" s="19">
        <v>964</v>
      </c>
      <c r="C4873" s="183">
        <v>45227</v>
      </c>
      <c r="D4873" s="17" t="s">
        <v>52</v>
      </c>
      <c r="E4873" s="17" t="s">
        <v>1113</v>
      </c>
      <c r="F4873" s="17" t="s">
        <v>54</v>
      </c>
      <c r="G4873" s="17"/>
      <c r="H4873" s="124">
        <v>1.2311</v>
      </c>
      <c r="I4873" s="124"/>
      <c r="J4873" s="17" t="s">
        <v>82</v>
      </c>
      <c r="K4873" s="19">
        <v>505</v>
      </c>
      <c r="L4873" s="19">
        <v>40</v>
      </c>
      <c r="M4873" s="19">
        <v>2300</v>
      </c>
      <c r="N4873" s="19" t="s">
        <v>66</v>
      </c>
      <c r="O4873" s="19" t="s">
        <v>141</v>
      </c>
      <c r="P4873" s="266">
        <v>1070</v>
      </c>
      <c r="Q4873" s="266">
        <v>1097</v>
      </c>
      <c r="R4873" s="19">
        <f t="shared" si="228"/>
        <v>-27</v>
      </c>
      <c r="S4873" s="19">
        <v>950</v>
      </c>
      <c r="T4873" s="19" t="s">
        <v>42</v>
      </c>
      <c r="U4873" s="102" t="s">
        <v>1365</v>
      </c>
      <c r="V4873" s="253">
        <v>45118</v>
      </c>
      <c r="W4873" s="17" t="s">
        <v>44</v>
      </c>
      <c r="X4873" s="17"/>
      <c r="Y4873" s="68">
        <v>45283</v>
      </c>
      <c r="Z4873" s="17" t="s">
        <v>191</v>
      </c>
      <c r="AA4873" s="17" t="s">
        <v>46</v>
      </c>
      <c r="AB4873" s="17" t="s">
        <v>1244</v>
      </c>
      <c r="AC4873" s="66">
        <v>45286</v>
      </c>
      <c r="AD4873" s="65">
        <v>1505</v>
      </c>
      <c r="AE4873" s="17" t="s">
        <v>74</v>
      </c>
      <c r="AF4873" s="17"/>
      <c r="AG4873" s="17"/>
      <c r="AH4873" s="17"/>
      <c r="AI4873" s="17"/>
      <c r="AJ4873" s="17"/>
      <c r="AK4873" s="17"/>
      <c r="AL4873" s="17"/>
      <c r="AM4873" s="17"/>
      <c r="AN4873" s="17"/>
      <c r="AO4873" s="17"/>
      <c r="AP4873" s="17"/>
      <c r="AQ4873" s="17"/>
      <c r="AR4873" s="17"/>
    </row>
    <row r="4874" s="20" customFormat="1" ht="15.6" hidden="1" spans="1:44">
      <c r="A4874" s="17" t="s">
        <v>34</v>
      </c>
      <c r="B4874" s="19">
        <v>964</v>
      </c>
      <c r="C4874" s="183">
        <v>45227</v>
      </c>
      <c r="D4874" s="17" t="s">
        <v>52</v>
      </c>
      <c r="E4874" s="17" t="s">
        <v>1113</v>
      </c>
      <c r="F4874" s="17" t="s">
        <v>54</v>
      </c>
      <c r="G4874" s="17"/>
      <c r="H4874" s="124">
        <v>1.2311</v>
      </c>
      <c r="I4874" s="124"/>
      <c r="J4874" s="17" t="s">
        <v>82</v>
      </c>
      <c r="K4874" s="19">
        <v>555</v>
      </c>
      <c r="L4874" s="19">
        <v>40</v>
      </c>
      <c r="M4874" s="19">
        <v>2300</v>
      </c>
      <c r="N4874" s="19" t="s">
        <v>66</v>
      </c>
      <c r="O4874" s="19" t="s">
        <v>141</v>
      </c>
      <c r="P4874" s="266">
        <v>1176</v>
      </c>
      <c r="Q4874" s="266">
        <v>1213</v>
      </c>
      <c r="R4874" s="19">
        <f t="shared" si="228"/>
        <v>-37</v>
      </c>
      <c r="S4874" s="19">
        <v>950</v>
      </c>
      <c r="T4874" s="19" t="s">
        <v>42</v>
      </c>
      <c r="U4874" s="102" t="s">
        <v>1365</v>
      </c>
      <c r="V4874" s="253">
        <v>45118</v>
      </c>
      <c r="W4874" s="17" t="s">
        <v>44</v>
      </c>
      <c r="X4874" s="17"/>
      <c r="Y4874" s="68">
        <v>45283</v>
      </c>
      <c r="Z4874" s="17" t="s">
        <v>191</v>
      </c>
      <c r="AA4874" s="17" t="s">
        <v>46</v>
      </c>
      <c r="AB4874" s="17" t="s">
        <v>1244</v>
      </c>
      <c r="AC4874" s="66">
        <v>45286</v>
      </c>
      <c r="AD4874" s="65">
        <v>1505</v>
      </c>
      <c r="AE4874" s="17" t="s">
        <v>74</v>
      </c>
      <c r="AF4874" s="17"/>
      <c r="AG4874" s="17"/>
      <c r="AH4874" s="17"/>
      <c r="AI4874" s="17"/>
      <c r="AJ4874" s="17"/>
      <c r="AK4874" s="17"/>
      <c r="AL4874" s="17"/>
      <c r="AM4874" s="17"/>
      <c r="AN4874" s="17"/>
      <c r="AO4874" s="17"/>
      <c r="AP4874" s="17"/>
      <c r="AQ4874" s="17"/>
      <c r="AR4874" s="17"/>
    </row>
    <row r="4875" s="20" customFormat="1" ht="15.6" hidden="1" spans="1:44">
      <c r="A4875" s="17" t="s">
        <v>34</v>
      </c>
      <c r="B4875" s="19">
        <v>964</v>
      </c>
      <c r="C4875" s="183">
        <v>45227</v>
      </c>
      <c r="D4875" s="17" t="s">
        <v>52</v>
      </c>
      <c r="E4875" s="17" t="s">
        <v>1113</v>
      </c>
      <c r="F4875" s="17" t="s">
        <v>54</v>
      </c>
      <c r="G4875" s="17"/>
      <c r="H4875" s="124">
        <v>1.2311</v>
      </c>
      <c r="I4875" s="124"/>
      <c r="J4875" s="17" t="s">
        <v>82</v>
      </c>
      <c r="K4875" s="19">
        <v>255</v>
      </c>
      <c r="L4875" s="19">
        <v>50</v>
      </c>
      <c r="M4875" s="19">
        <v>2300</v>
      </c>
      <c r="N4875" s="19" t="s">
        <v>66</v>
      </c>
      <c r="O4875" s="19" t="s">
        <v>141</v>
      </c>
      <c r="P4875" s="266">
        <v>1126</v>
      </c>
      <c r="Q4875" s="266">
        <v>470</v>
      </c>
      <c r="R4875" s="17"/>
      <c r="S4875" s="19">
        <v>950</v>
      </c>
      <c r="T4875" s="19" t="s">
        <v>42</v>
      </c>
      <c r="U4875" s="102" t="s">
        <v>1365</v>
      </c>
      <c r="V4875" s="253">
        <v>45118</v>
      </c>
      <c r="W4875" s="17" t="s">
        <v>44</v>
      </c>
      <c r="X4875" s="17"/>
      <c r="Y4875" s="68">
        <v>45283</v>
      </c>
      <c r="Z4875" s="17" t="s">
        <v>191</v>
      </c>
      <c r="AA4875" s="17" t="s">
        <v>46</v>
      </c>
      <c r="AB4875" s="17" t="s">
        <v>1231</v>
      </c>
      <c r="AC4875" s="66">
        <v>45283</v>
      </c>
      <c r="AD4875" s="65">
        <v>1504</v>
      </c>
      <c r="AE4875" s="17" t="s">
        <v>74</v>
      </c>
      <c r="AF4875" s="17"/>
      <c r="AG4875" s="17"/>
      <c r="AH4875" s="17"/>
      <c r="AI4875" s="17"/>
      <c r="AJ4875" s="17"/>
      <c r="AK4875" s="17"/>
      <c r="AL4875" s="17"/>
      <c r="AM4875" s="17"/>
      <c r="AN4875" s="17"/>
      <c r="AO4875" s="17"/>
      <c r="AP4875" s="17"/>
      <c r="AQ4875" s="17"/>
      <c r="AR4875" s="17"/>
    </row>
    <row r="4876" s="20" customFormat="1" ht="15.6" hidden="1" spans="1:44">
      <c r="A4876" s="17" t="s">
        <v>34</v>
      </c>
      <c r="B4876" s="19">
        <v>964</v>
      </c>
      <c r="C4876" s="183">
        <v>45227</v>
      </c>
      <c r="D4876" s="17" t="s">
        <v>52</v>
      </c>
      <c r="E4876" s="17" t="s">
        <v>1113</v>
      </c>
      <c r="F4876" s="17" t="s">
        <v>54</v>
      </c>
      <c r="G4876" s="17"/>
      <c r="H4876" s="124">
        <v>1.2311</v>
      </c>
      <c r="I4876" s="124"/>
      <c r="J4876" s="17" t="s">
        <v>82</v>
      </c>
      <c r="K4876" s="19">
        <v>255</v>
      </c>
      <c r="L4876" s="19">
        <v>50</v>
      </c>
      <c r="M4876" s="19">
        <v>2300</v>
      </c>
      <c r="N4876" s="19" t="s">
        <v>66</v>
      </c>
      <c r="O4876" s="19" t="s">
        <v>141</v>
      </c>
      <c r="P4876" s="266"/>
      <c r="Q4876" s="266">
        <v>708</v>
      </c>
      <c r="R4876" s="19">
        <f>+P4875-Q4875-Q4876</f>
        <v>-52</v>
      </c>
      <c r="S4876" s="19">
        <v>950</v>
      </c>
      <c r="T4876" s="19" t="s">
        <v>42</v>
      </c>
      <c r="U4876" s="102" t="s">
        <v>1365</v>
      </c>
      <c r="V4876" s="253">
        <v>45118</v>
      </c>
      <c r="W4876" s="17" t="s">
        <v>44</v>
      </c>
      <c r="X4876" s="17"/>
      <c r="Y4876" s="68">
        <v>45283</v>
      </c>
      <c r="Z4876" s="17" t="s">
        <v>191</v>
      </c>
      <c r="AA4876" s="17" t="s">
        <v>46</v>
      </c>
      <c r="AB4876" s="17" t="s">
        <v>1244</v>
      </c>
      <c r="AC4876" s="66">
        <v>45286</v>
      </c>
      <c r="AD4876" s="65">
        <v>1505</v>
      </c>
      <c r="AE4876" s="17" t="s">
        <v>74</v>
      </c>
      <c r="AF4876" s="17"/>
      <c r="AG4876" s="17"/>
      <c r="AH4876" s="17"/>
      <c r="AI4876" s="17"/>
      <c r="AJ4876" s="17"/>
      <c r="AK4876" s="17"/>
      <c r="AL4876" s="17"/>
      <c r="AM4876" s="17"/>
      <c r="AN4876" s="17"/>
      <c r="AO4876" s="17"/>
      <c r="AP4876" s="17"/>
      <c r="AQ4876" s="17"/>
      <c r="AR4876" s="17"/>
    </row>
    <row r="4877" s="20" customFormat="1" ht="15.6" hidden="1" spans="1:44">
      <c r="A4877" s="17" t="s">
        <v>34</v>
      </c>
      <c r="B4877" s="19">
        <v>964</v>
      </c>
      <c r="C4877" s="183">
        <v>45227</v>
      </c>
      <c r="D4877" s="17" t="s">
        <v>52</v>
      </c>
      <c r="E4877" s="17" t="s">
        <v>1113</v>
      </c>
      <c r="F4877" s="17" t="s">
        <v>54</v>
      </c>
      <c r="G4877" s="17"/>
      <c r="H4877" s="124">
        <v>1.2311</v>
      </c>
      <c r="I4877" s="124"/>
      <c r="J4877" s="17" t="s">
        <v>82</v>
      </c>
      <c r="K4877" s="19">
        <v>305</v>
      </c>
      <c r="L4877" s="19">
        <v>50</v>
      </c>
      <c r="M4877" s="19">
        <v>2300</v>
      </c>
      <c r="N4877" s="19" t="s">
        <v>66</v>
      </c>
      <c r="O4877" s="19" t="s">
        <v>141</v>
      </c>
      <c r="P4877" s="266">
        <v>1077</v>
      </c>
      <c r="Q4877" s="266">
        <v>563</v>
      </c>
      <c r="R4877" s="17"/>
      <c r="S4877" s="19">
        <v>950</v>
      </c>
      <c r="T4877" s="19" t="s">
        <v>42</v>
      </c>
      <c r="U4877" s="102" t="s">
        <v>1365</v>
      </c>
      <c r="V4877" s="253">
        <v>45118</v>
      </c>
      <c r="W4877" s="17" t="s">
        <v>44</v>
      </c>
      <c r="X4877" s="17"/>
      <c r="Y4877" s="68">
        <v>45283</v>
      </c>
      <c r="Z4877" s="17" t="s">
        <v>191</v>
      </c>
      <c r="AA4877" s="17" t="s">
        <v>46</v>
      </c>
      <c r="AB4877" s="17" t="s">
        <v>1231</v>
      </c>
      <c r="AC4877" s="66">
        <v>45283</v>
      </c>
      <c r="AD4877" s="65">
        <v>1504</v>
      </c>
      <c r="AE4877" s="17" t="s">
        <v>74</v>
      </c>
      <c r="AF4877" s="17"/>
      <c r="AG4877" s="17"/>
      <c r="AH4877" s="17"/>
      <c r="AI4877" s="17"/>
      <c r="AJ4877" s="17"/>
      <c r="AK4877" s="17"/>
      <c r="AL4877" s="17"/>
      <c r="AM4877" s="17"/>
      <c r="AN4877" s="17"/>
      <c r="AO4877" s="17"/>
      <c r="AP4877" s="17"/>
      <c r="AQ4877" s="17"/>
      <c r="AR4877" s="17"/>
    </row>
    <row r="4878" s="20" customFormat="1" ht="15.6" hidden="1" spans="1:44">
      <c r="A4878" s="17" t="s">
        <v>34</v>
      </c>
      <c r="B4878" s="19">
        <v>964</v>
      </c>
      <c r="C4878" s="183">
        <v>45227</v>
      </c>
      <c r="D4878" s="17" t="s">
        <v>52</v>
      </c>
      <c r="E4878" s="17" t="s">
        <v>1113</v>
      </c>
      <c r="F4878" s="17" t="s">
        <v>54</v>
      </c>
      <c r="G4878" s="17"/>
      <c r="H4878" s="124">
        <v>1.2311</v>
      </c>
      <c r="I4878" s="124"/>
      <c r="J4878" s="17" t="s">
        <v>82</v>
      </c>
      <c r="K4878" s="19">
        <v>305</v>
      </c>
      <c r="L4878" s="19">
        <v>50</v>
      </c>
      <c r="M4878" s="19">
        <v>2300</v>
      </c>
      <c r="N4878" s="19" t="s">
        <v>66</v>
      </c>
      <c r="O4878" s="19" t="s">
        <v>141</v>
      </c>
      <c r="P4878" s="266"/>
      <c r="Q4878" s="266">
        <v>552</v>
      </c>
      <c r="R4878" s="19">
        <f>+P4877-Q4877-Q4878</f>
        <v>-38</v>
      </c>
      <c r="S4878" s="19">
        <v>950</v>
      </c>
      <c r="T4878" s="19" t="s">
        <v>42</v>
      </c>
      <c r="U4878" s="102" t="s">
        <v>1365</v>
      </c>
      <c r="V4878" s="253">
        <v>45118</v>
      </c>
      <c r="W4878" s="17" t="s">
        <v>44</v>
      </c>
      <c r="X4878" s="17"/>
      <c r="Y4878" s="68">
        <v>45283</v>
      </c>
      <c r="Z4878" s="17" t="s">
        <v>191</v>
      </c>
      <c r="AA4878" s="17" t="s">
        <v>46</v>
      </c>
      <c r="AB4878" s="17" t="s">
        <v>1236</v>
      </c>
      <c r="AC4878" s="66">
        <v>45288</v>
      </c>
      <c r="AD4878" s="65">
        <v>1511</v>
      </c>
      <c r="AE4878" s="17" t="s">
        <v>74</v>
      </c>
      <c r="AF4878" s="17"/>
      <c r="AG4878" s="17"/>
      <c r="AH4878" s="17"/>
      <c r="AI4878" s="17"/>
      <c r="AJ4878" s="17"/>
      <c r="AK4878" s="17"/>
      <c r="AL4878" s="17"/>
      <c r="AM4878" s="17"/>
      <c r="AN4878" s="17"/>
      <c r="AO4878" s="17"/>
      <c r="AP4878" s="17"/>
      <c r="AQ4878" s="17"/>
      <c r="AR4878" s="17"/>
    </row>
    <row r="4879" s="20" customFormat="1" ht="15.6" hidden="1" spans="1:44">
      <c r="A4879" s="17" t="s">
        <v>34</v>
      </c>
      <c r="B4879" s="19">
        <v>964</v>
      </c>
      <c r="C4879" s="183">
        <v>45227</v>
      </c>
      <c r="D4879" s="17" t="s">
        <v>52</v>
      </c>
      <c r="E4879" s="17" t="s">
        <v>1113</v>
      </c>
      <c r="F4879" s="17" t="s">
        <v>54</v>
      </c>
      <c r="G4879" s="17"/>
      <c r="H4879" s="124">
        <v>1.2311</v>
      </c>
      <c r="I4879" s="124"/>
      <c r="J4879" s="17" t="s">
        <v>82</v>
      </c>
      <c r="K4879" s="19">
        <v>355</v>
      </c>
      <c r="L4879" s="19">
        <v>50</v>
      </c>
      <c r="M4879" s="19">
        <v>2300</v>
      </c>
      <c r="N4879" s="19" t="s">
        <v>66</v>
      </c>
      <c r="O4879" s="19" t="s">
        <v>141</v>
      </c>
      <c r="P4879" s="266">
        <v>941</v>
      </c>
      <c r="Q4879" s="266">
        <v>659</v>
      </c>
      <c r="R4879" s="19">
        <f t="shared" ref="R4879:R4900" si="229">+P4879-Q4879</f>
        <v>282</v>
      </c>
      <c r="S4879" s="19">
        <v>950</v>
      </c>
      <c r="T4879" s="19" t="s">
        <v>42</v>
      </c>
      <c r="U4879" s="102" t="s">
        <v>1365</v>
      </c>
      <c r="V4879" s="253">
        <v>45118</v>
      </c>
      <c r="W4879" s="17" t="s">
        <v>44</v>
      </c>
      <c r="X4879" s="17"/>
      <c r="Y4879" s="68">
        <v>45283</v>
      </c>
      <c r="Z4879" s="17" t="s">
        <v>191</v>
      </c>
      <c r="AA4879" s="17" t="s">
        <v>46</v>
      </c>
      <c r="AB4879" s="17" t="s">
        <v>1231</v>
      </c>
      <c r="AC4879" s="66">
        <v>45283</v>
      </c>
      <c r="AD4879" s="65">
        <v>1504</v>
      </c>
      <c r="AE4879" s="17" t="s">
        <v>74</v>
      </c>
      <c r="AF4879" s="17"/>
      <c r="AG4879" s="17"/>
      <c r="AH4879" s="17"/>
      <c r="AI4879" s="17"/>
      <c r="AJ4879" s="17"/>
      <c r="AK4879" s="17"/>
      <c r="AL4879" s="17"/>
      <c r="AM4879" s="17"/>
      <c r="AN4879" s="17"/>
      <c r="AO4879" s="17"/>
      <c r="AP4879" s="17"/>
      <c r="AQ4879" s="17"/>
      <c r="AR4879" s="17"/>
    </row>
    <row r="4880" s="20" customFormat="1" ht="15.6" hidden="1" spans="1:44">
      <c r="A4880" s="17" t="s">
        <v>34</v>
      </c>
      <c r="B4880" s="19">
        <v>964</v>
      </c>
      <c r="C4880" s="183">
        <v>45227</v>
      </c>
      <c r="D4880" s="17" t="s">
        <v>52</v>
      </c>
      <c r="E4880" s="17" t="s">
        <v>1113</v>
      </c>
      <c r="F4880" s="17" t="s">
        <v>54</v>
      </c>
      <c r="G4880" s="17"/>
      <c r="H4880" s="124">
        <v>1.2311</v>
      </c>
      <c r="I4880" s="124"/>
      <c r="J4880" s="17" t="s">
        <v>82</v>
      </c>
      <c r="K4880" s="19">
        <v>405</v>
      </c>
      <c r="L4880" s="19">
        <v>50</v>
      </c>
      <c r="M4880" s="19">
        <v>2300</v>
      </c>
      <c r="N4880" s="19" t="s">
        <v>66</v>
      </c>
      <c r="O4880" s="19" t="s">
        <v>141</v>
      </c>
      <c r="P4880" s="266">
        <v>1073</v>
      </c>
      <c r="Q4880" s="266">
        <v>1113</v>
      </c>
      <c r="R4880" s="19">
        <f t="shared" si="229"/>
        <v>-40</v>
      </c>
      <c r="S4880" s="19">
        <v>950</v>
      </c>
      <c r="T4880" s="19" t="s">
        <v>42</v>
      </c>
      <c r="U4880" s="102" t="s">
        <v>1365</v>
      </c>
      <c r="V4880" s="253">
        <v>45118</v>
      </c>
      <c r="W4880" s="17" t="s">
        <v>44</v>
      </c>
      <c r="X4880" s="17"/>
      <c r="Y4880" s="68">
        <v>45283</v>
      </c>
      <c r="Z4880" s="17" t="s">
        <v>191</v>
      </c>
      <c r="AA4880" s="17" t="s">
        <v>46</v>
      </c>
      <c r="AB4880" s="17" t="s">
        <v>1244</v>
      </c>
      <c r="AC4880" s="66">
        <v>45286</v>
      </c>
      <c r="AD4880" s="65">
        <v>1505</v>
      </c>
      <c r="AE4880" s="17" t="s">
        <v>74</v>
      </c>
      <c r="AF4880" s="17"/>
      <c r="AG4880" s="17"/>
      <c r="AH4880" s="17"/>
      <c r="AI4880" s="17"/>
      <c r="AJ4880" s="17"/>
      <c r="AK4880" s="17"/>
      <c r="AL4880" s="17"/>
      <c r="AM4880" s="17"/>
      <c r="AN4880" s="17"/>
      <c r="AO4880" s="17"/>
      <c r="AP4880" s="17"/>
      <c r="AQ4880" s="17"/>
      <c r="AR4880" s="17"/>
    </row>
    <row r="4881" s="20" customFormat="1" ht="15.6" hidden="1" spans="1:44">
      <c r="A4881" s="17" t="s">
        <v>34</v>
      </c>
      <c r="B4881" s="19">
        <v>964</v>
      </c>
      <c r="C4881" s="183">
        <v>45227</v>
      </c>
      <c r="D4881" s="17" t="s">
        <v>52</v>
      </c>
      <c r="E4881" s="17" t="s">
        <v>1113</v>
      </c>
      <c r="F4881" s="17" t="s">
        <v>54</v>
      </c>
      <c r="G4881" s="17"/>
      <c r="H4881" s="124">
        <v>1.2311</v>
      </c>
      <c r="I4881" s="124"/>
      <c r="J4881" s="17" t="s">
        <v>82</v>
      </c>
      <c r="K4881" s="19">
        <v>505</v>
      </c>
      <c r="L4881" s="19">
        <v>50</v>
      </c>
      <c r="M4881" s="19">
        <v>2300</v>
      </c>
      <c r="N4881" s="19" t="s">
        <v>66</v>
      </c>
      <c r="O4881" s="19" t="s">
        <v>141</v>
      </c>
      <c r="P4881" s="266">
        <v>892</v>
      </c>
      <c r="Q4881" s="266">
        <f>459+473</f>
        <v>932</v>
      </c>
      <c r="R4881" s="19">
        <f t="shared" si="229"/>
        <v>-40</v>
      </c>
      <c r="S4881" s="19">
        <v>950</v>
      </c>
      <c r="T4881" s="19" t="s">
        <v>42</v>
      </c>
      <c r="U4881" s="102" t="s">
        <v>1365</v>
      </c>
      <c r="V4881" s="253">
        <v>45118</v>
      </c>
      <c r="W4881" s="17" t="s">
        <v>44</v>
      </c>
      <c r="X4881" s="17"/>
      <c r="Y4881" s="68">
        <v>45283</v>
      </c>
      <c r="Z4881" s="17" t="s">
        <v>191</v>
      </c>
      <c r="AA4881" s="17" t="s">
        <v>46</v>
      </c>
      <c r="AB4881" s="17" t="s">
        <v>1244</v>
      </c>
      <c r="AC4881" s="66">
        <v>45286</v>
      </c>
      <c r="AD4881" s="65">
        <v>1505</v>
      </c>
      <c r="AE4881" s="17" t="s">
        <v>74</v>
      </c>
      <c r="AF4881" s="17"/>
      <c r="AG4881" s="17"/>
      <c r="AH4881" s="17"/>
      <c r="AI4881" s="17"/>
      <c r="AJ4881" s="17"/>
      <c r="AK4881" s="17"/>
      <c r="AL4881" s="17"/>
      <c r="AM4881" s="17"/>
      <c r="AN4881" s="17"/>
      <c r="AO4881" s="17"/>
      <c r="AP4881" s="17"/>
      <c r="AQ4881" s="17"/>
      <c r="AR4881" s="17"/>
    </row>
    <row r="4882" s="20" customFormat="1" ht="15.6" hidden="1" spans="1:44">
      <c r="A4882" s="17" t="s">
        <v>34</v>
      </c>
      <c r="B4882" s="19">
        <v>964</v>
      </c>
      <c r="C4882" s="183">
        <v>45227</v>
      </c>
      <c r="D4882" s="17" t="s">
        <v>52</v>
      </c>
      <c r="E4882" s="17" t="s">
        <v>1113</v>
      </c>
      <c r="F4882" s="17" t="s">
        <v>54</v>
      </c>
      <c r="G4882" s="17"/>
      <c r="H4882" s="124">
        <v>1.2311</v>
      </c>
      <c r="I4882" s="124"/>
      <c r="J4882" s="17" t="s">
        <v>82</v>
      </c>
      <c r="K4882" s="19">
        <v>255</v>
      </c>
      <c r="L4882" s="19">
        <v>65</v>
      </c>
      <c r="M4882" s="19">
        <v>2300</v>
      </c>
      <c r="N4882" s="19" t="s">
        <v>66</v>
      </c>
      <c r="O4882" s="19" t="s">
        <v>141</v>
      </c>
      <c r="P4882" s="266">
        <v>1171</v>
      </c>
      <c r="Q4882" s="266">
        <v>1248</v>
      </c>
      <c r="R4882" s="19">
        <f t="shared" si="229"/>
        <v>-77</v>
      </c>
      <c r="S4882" s="19">
        <v>950</v>
      </c>
      <c r="T4882" s="19" t="s">
        <v>42</v>
      </c>
      <c r="U4882" s="102" t="s">
        <v>1365</v>
      </c>
      <c r="V4882" s="253">
        <v>45118</v>
      </c>
      <c r="W4882" s="17" t="s">
        <v>44</v>
      </c>
      <c r="X4882" s="17"/>
      <c r="Y4882" s="68">
        <v>45283</v>
      </c>
      <c r="Z4882" s="17" t="s">
        <v>191</v>
      </c>
      <c r="AA4882" s="17" t="s">
        <v>46</v>
      </c>
      <c r="AB4882" s="17" t="s">
        <v>1251</v>
      </c>
      <c r="AC4882" s="217">
        <v>45566</v>
      </c>
      <c r="AD4882" s="65">
        <v>1515</v>
      </c>
      <c r="AE4882" s="17" t="s">
        <v>74</v>
      </c>
      <c r="AF4882" s="17"/>
      <c r="AG4882" s="17"/>
      <c r="AH4882" s="17"/>
      <c r="AI4882" s="17"/>
      <c r="AJ4882" s="17"/>
      <c r="AK4882" s="17"/>
      <c r="AL4882" s="17"/>
      <c r="AM4882" s="17"/>
      <c r="AN4882" s="17"/>
      <c r="AO4882" s="17"/>
      <c r="AP4882" s="17"/>
      <c r="AQ4882" s="17"/>
      <c r="AR4882" s="17"/>
    </row>
    <row r="4883" s="20" customFormat="1" ht="15.6" hidden="1" spans="1:44">
      <c r="A4883" s="17" t="s">
        <v>34</v>
      </c>
      <c r="B4883" s="19">
        <v>964</v>
      </c>
      <c r="C4883" s="183">
        <v>45227</v>
      </c>
      <c r="D4883" s="17" t="s">
        <v>52</v>
      </c>
      <c r="E4883" s="17" t="s">
        <v>1113</v>
      </c>
      <c r="F4883" s="17" t="s">
        <v>54</v>
      </c>
      <c r="G4883" s="17"/>
      <c r="H4883" s="124">
        <v>1.2311</v>
      </c>
      <c r="I4883" s="124"/>
      <c r="J4883" s="17" t="s">
        <v>82</v>
      </c>
      <c r="K4883" s="19">
        <v>305</v>
      </c>
      <c r="L4883" s="19">
        <v>65</v>
      </c>
      <c r="M4883" s="19">
        <v>2300</v>
      </c>
      <c r="N4883" s="19" t="s">
        <v>66</v>
      </c>
      <c r="O4883" s="19" t="s">
        <v>141</v>
      </c>
      <c r="P4883" s="266">
        <v>1050</v>
      </c>
      <c r="Q4883" s="266">
        <v>1000</v>
      </c>
      <c r="R4883" s="19">
        <f t="shared" si="229"/>
        <v>50</v>
      </c>
      <c r="S4883" s="19">
        <v>950</v>
      </c>
      <c r="T4883" s="19" t="s">
        <v>42</v>
      </c>
      <c r="U4883" s="102" t="s">
        <v>1365</v>
      </c>
      <c r="V4883" s="253">
        <v>45118</v>
      </c>
      <c r="W4883" s="17" t="s">
        <v>44</v>
      </c>
      <c r="X4883" s="17"/>
      <c r="Y4883" s="68">
        <v>45283</v>
      </c>
      <c r="Z4883" s="17" t="s">
        <v>191</v>
      </c>
      <c r="AA4883" s="17" t="s">
        <v>46</v>
      </c>
      <c r="AB4883" s="17" t="s">
        <v>1251</v>
      </c>
      <c r="AC4883" s="217">
        <v>45566</v>
      </c>
      <c r="AD4883" s="65">
        <v>1515</v>
      </c>
      <c r="AE4883" s="17" t="s">
        <v>74</v>
      </c>
      <c r="AF4883" s="17"/>
      <c r="AG4883" s="17"/>
      <c r="AH4883" s="17"/>
      <c r="AI4883" s="17"/>
      <c r="AJ4883" s="17"/>
      <c r="AK4883" s="17"/>
      <c r="AL4883" s="17"/>
      <c r="AM4883" s="17"/>
      <c r="AN4883" s="17"/>
      <c r="AO4883" s="17"/>
      <c r="AP4883" s="17"/>
      <c r="AQ4883" s="17"/>
      <c r="AR4883" s="17"/>
    </row>
    <row r="4884" s="20" customFormat="1" ht="15.6" hidden="1" spans="1:44">
      <c r="A4884" s="17" t="s">
        <v>34</v>
      </c>
      <c r="B4884" s="19">
        <v>964</v>
      </c>
      <c r="C4884" s="183">
        <v>45227</v>
      </c>
      <c r="D4884" s="17" t="s">
        <v>52</v>
      </c>
      <c r="E4884" s="17" t="s">
        <v>1113</v>
      </c>
      <c r="F4884" s="17" t="s">
        <v>54</v>
      </c>
      <c r="G4884" s="17"/>
      <c r="H4884" s="124">
        <v>1.2311</v>
      </c>
      <c r="I4884" s="124"/>
      <c r="J4884" s="17" t="s">
        <v>82</v>
      </c>
      <c r="K4884" s="19">
        <v>355</v>
      </c>
      <c r="L4884" s="19">
        <v>65</v>
      </c>
      <c r="M4884" s="19">
        <v>2300</v>
      </c>
      <c r="N4884" s="19" t="s">
        <v>66</v>
      </c>
      <c r="O4884" s="19" t="s">
        <v>141</v>
      </c>
      <c r="P4884" s="266">
        <v>1223</v>
      </c>
      <c r="Q4884" s="266">
        <v>1200</v>
      </c>
      <c r="R4884" s="19">
        <f t="shared" si="229"/>
        <v>23</v>
      </c>
      <c r="S4884" s="19">
        <v>950</v>
      </c>
      <c r="T4884" s="19" t="s">
        <v>42</v>
      </c>
      <c r="U4884" s="102" t="s">
        <v>1365</v>
      </c>
      <c r="V4884" s="253">
        <v>45118</v>
      </c>
      <c r="W4884" s="17" t="s">
        <v>44</v>
      </c>
      <c r="X4884" s="17"/>
      <c r="Y4884" s="68">
        <v>45283</v>
      </c>
      <c r="Z4884" s="17" t="s">
        <v>191</v>
      </c>
      <c r="AA4884" s="17" t="s">
        <v>46</v>
      </c>
      <c r="AB4884" s="17" t="s">
        <v>1251</v>
      </c>
      <c r="AC4884" s="217">
        <v>45566</v>
      </c>
      <c r="AD4884" s="65">
        <v>1515</v>
      </c>
      <c r="AE4884" s="17" t="s">
        <v>74</v>
      </c>
      <c r="AF4884" s="17"/>
      <c r="AG4884" s="17"/>
      <c r="AH4884" s="17"/>
      <c r="AI4884" s="17"/>
      <c r="AJ4884" s="17"/>
      <c r="AK4884" s="17"/>
      <c r="AL4884" s="17"/>
      <c r="AM4884" s="17"/>
      <c r="AN4884" s="17"/>
      <c r="AO4884" s="17"/>
      <c r="AP4884" s="17"/>
      <c r="AQ4884" s="17"/>
      <c r="AR4884" s="17"/>
    </row>
    <row r="4885" s="20" customFormat="1" ht="15.6" hidden="1" spans="1:44">
      <c r="A4885" s="17" t="s">
        <v>34</v>
      </c>
      <c r="B4885" s="19">
        <v>964</v>
      </c>
      <c r="C4885" s="183">
        <v>45227</v>
      </c>
      <c r="D4885" s="17" t="s">
        <v>52</v>
      </c>
      <c r="E4885" s="17" t="s">
        <v>1113</v>
      </c>
      <c r="F4885" s="17" t="s">
        <v>54</v>
      </c>
      <c r="G4885" s="17"/>
      <c r="H4885" s="124">
        <v>1.2311</v>
      </c>
      <c r="I4885" s="124"/>
      <c r="J4885" s="17" t="s">
        <v>82</v>
      </c>
      <c r="K4885" s="19">
        <v>405</v>
      </c>
      <c r="L4885" s="19">
        <v>65</v>
      </c>
      <c r="M4885" s="19">
        <v>2300</v>
      </c>
      <c r="N4885" s="19" t="s">
        <v>66</v>
      </c>
      <c r="O4885" s="19" t="s">
        <v>141</v>
      </c>
      <c r="P4885" s="266">
        <v>930</v>
      </c>
      <c r="Q4885" s="266">
        <v>930</v>
      </c>
      <c r="R4885" s="19">
        <f t="shared" si="229"/>
        <v>0</v>
      </c>
      <c r="S4885" s="19">
        <v>950</v>
      </c>
      <c r="T4885" s="19" t="s">
        <v>42</v>
      </c>
      <c r="U4885" s="102" t="s">
        <v>1365</v>
      </c>
      <c r="V4885" s="253">
        <v>45118</v>
      </c>
      <c r="W4885" s="17" t="s">
        <v>44</v>
      </c>
      <c r="X4885" s="17"/>
      <c r="Y4885" s="68">
        <v>45283</v>
      </c>
      <c r="Z4885" s="17" t="s">
        <v>191</v>
      </c>
      <c r="AA4885" s="17" t="s">
        <v>46</v>
      </c>
      <c r="AB4885" s="17" t="s">
        <v>1251</v>
      </c>
      <c r="AC4885" s="217">
        <v>45566</v>
      </c>
      <c r="AD4885" s="65">
        <v>1515</v>
      </c>
      <c r="AE4885" s="17" t="s">
        <v>74</v>
      </c>
      <c r="AF4885" s="17"/>
      <c r="AG4885" s="17"/>
      <c r="AH4885" s="17"/>
      <c r="AI4885" s="17"/>
      <c r="AJ4885" s="17"/>
      <c r="AK4885" s="17"/>
      <c r="AL4885" s="17"/>
      <c r="AM4885" s="17"/>
      <c r="AN4885" s="17"/>
      <c r="AO4885" s="17"/>
      <c r="AP4885" s="17"/>
      <c r="AQ4885" s="17"/>
      <c r="AR4885" s="17"/>
    </row>
    <row r="4886" s="20" customFormat="1" ht="15.6" hidden="1" spans="1:44">
      <c r="A4886" s="17" t="s">
        <v>34</v>
      </c>
      <c r="B4886" s="19">
        <v>964</v>
      </c>
      <c r="C4886" s="183">
        <v>45227</v>
      </c>
      <c r="D4886" s="17" t="s">
        <v>52</v>
      </c>
      <c r="E4886" s="17" t="s">
        <v>1113</v>
      </c>
      <c r="F4886" s="17" t="s">
        <v>54</v>
      </c>
      <c r="G4886" s="17"/>
      <c r="H4886" s="124">
        <v>1.2311</v>
      </c>
      <c r="I4886" s="124"/>
      <c r="J4886" s="17" t="s">
        <v>82</v>
      </c>
      <c r="K4886" s="19">
        <v>455</v>
      </c>
      <c r="L4886" s="19">
        <v>65</v>
      </c>
      <c r="M4886" s="19">
        <v>2300</v>
      </c>
      <c r="N4886" s="19" t="s">
        <v>66</v>
      </c>
      <c r="O4886" s="19" t="s">
        <v>141</v>
      </c>
      <c r="P4886" s="266">
        <v>1045</v>
      </c>
      <c r="Q4886" s="266">
        <v>1110</v>
      </c>
      <c r="R4886" s="19">
        <f t="shared" si="229"/>
        <v>-65</v>
      </c>
      <c r="S4886" s="19">
        <v>950</v>
      </c>
      <c r="T4886" s="19" t="s">
        <v>42</v>
      </c>
      <c r="U4886" s="102" t="s">
        <v>1365</v>
      </c>
      <c r="V4886" s="253">
        <v>45118</v>
      </c>
      <c r="W4886" s="17" t="s">
        <v>44</v>
      </c>
      <c r="X4886" s="17"/>
      <c r="Y4886" s="68">
        <v>45283</v>
      </c>
      <c r="Z4886" s="17" t="s">
        <v>191</v>
      </c>
      <c r="AA4886" s="17" t="s">
        <v>46</v>
      </c>
      <c r="AB4886" s="17" t="s">
        <v>1251</v>
      </c>
      <c r="AC4886" s="217">
        <v>45566</v>
      </c>
      <c r="AD4886" s="65">
        <v>1515</v>
      </c>
      <c r="AE4886" s="17" t="s">
        <v>74</v>
      </c>
      <c r="AF4886" s="17"/>
      <c r="AG4886" s="17"/>
      <c r="AH4886" s="17"/>
      <c r="AI4886" s="17"/>
      <c r="AJ4886" s="17"/>
      <c r="AK4886" s="17"/>
      <c r="AL4886" s="17"/>
      <c r="AM4886" s="17"/>
      <c r="AN4886" s="17"/>
      <c r="AO4886" s="17"/>
      <c r="AP4886" s="17"/>
      <c r="AQ4886" s="17"/>
      <c r="AR4886" s="17"/>
    </row>
    <row r="4887" s="20" customFormat="1" ht="15.6" hidden="1" spans="1:44">
      <c r="A4887" s="17" t="s">
        <v>34</v>
      </c>
      <c r="B4887" s="19">
        <v>964</v>
      </c>
      <c r="C4887" s="183">
        <v>45227</v>
      </c>
      <c r="D4887" s="17" t="s">
        <v>52</v>
      </c>
      <c r="E4887" s="17" t="s">
        <v>1113</v>
      </c>
      <c r="F4887" s="17" t="s">
        <v>54</v>
      </c>
      <c r="G4887" s="17"/>
      <c r="H4887" s="124">
        <v>1.2311</v>
      </c>
      <c r="I4887" s="124"/>
      <c r="J4887" s="17" t="s">
        <v>82</v>
      </c>
      <c r="K4887" s="19">
        <v>505</v>
      </c>
      <c r="L4887" s="19">
        <v>65</v>
      </c>
      <c r="M4887" s="19">
        <v>2300</v>
      </c>
      <c r="N4887" s="19" t="s">
        <v>66</v>
      </c>
      <c r="O4887" s="19" t="s">
        <v>141</v>
      </c>
      <c r="P4887" s="266">
        <v>1160</v>
      </c>
      <c r="Q4887" s="266">
        <v>1233</v>
      </c>
      <c r="R4887" s="19">
        <f t="shared" si="229"/>
        <v>-73</v>
      </c>
      <c r="S4887" s="19">
        <v>950</v>
      </c>
      <c r="T4887" s="19" t="s">
        <v>42</v>
      </c>
      <c r="U4887" s="102" t="s">
        <v>1365</v>
      </c>
      <c r="V4887" s="253">
        <v>45118</v>
      </c>
      <c r="W4887" s="17" t="s">
        <v>44</v>
      </c>
      <c r="X4887" s="17"/>
      <c r="Y4887" s="68">
        <v>45283</v>
      </c>
      <c r="Z4887" s="17" t="s">
        <v>191</v>
      </c>
      <c r="AA4887" s="17" t="s">
        <v>46</v>
      </c>
      <c r="AB4887" s="17" t="s">
        <v>1251</v>
      </c>
      <c r="AC4887" s="217">
        <v>45566</v>
      </c>
      <c r="AD4887" s="65">
        <v>1515</v>
      </c>
      <c r="AE4887" s="17" t="s">
        <v>74</v>
      </c>
      <c r="AF4887" s="17"/>
      <c r="AG4887" s="17"/>
      <c r="AH4887" s="17"/>
      <c r="AI4887" s="17"/>
      <c r="AJ4887" s="17"/>
      <c r="AK4887" s="17"/>
      <c r="AL4887" s="17"/>
      <c r="AM4887" s="17"/>
      <c r="AN4887" s="17"/>
      <c r="AO4887" s="17"/>
      <c r="AP4887" s="17"/>
      <c r="AQ4887" s="17"/>
      <c r="AR4887" s="17"/>
    </row>
    <row r="4888" s="20" customFormat="1" ht="15.6" hidden="1" spans="1:44">
      <c r="A4888" s="17" t="s">
        <v>34</v>
      </c>
      <c r="B4888" s="19">
        <v>964</v>
      </c>
      <c r="C4888" s="183">
        <v>45227</v>
      </c>
      <c r="D4888" s="17" t="s">
        <v>52</v>
      </c>
      <c r="E4888" s="17" t="s">
        <v>1113</v>
      </c>
      <c r="F4888" s="17" t="s">
        <v>54</v>
      </c>
      <c r="G4888" s="17"/>
      <c r="H4888" s="124">
        <v>1.2311</v>
      </c>
      <c r="I4888" s="124"/>
      <c r="J4888" s="17" t="s">
        <v>82</v>
      </c>
      <c r="K4888" s="19">
        <v>255</v>
      </c>
      <c r="L4888" s="19">
        <v>80</v>
      </c>
      <c r="M4888" s="19">
        <v>2300</v>
      </c>
      <c r="N4888" s="19" t="s">
        <v>66</v>
      </c>
      <c r="O4888" s="19" t="s">
        <v>141</v>
      </c>
      <c r="P4888" s="266">
        <v>721</v>
      </c>
      <c r="Q4888" s="266">
        <v>759</v>
      </c>
      <c r="R4888" s="19">
        <f t="shared" si="229"/>
        <v>-38</v>
      </c>
      <c r="S4888" s="19">
        <v>950</v>
      </c>
      <c r="T4888" s="19" t="s">
        <v>42</v>
      </c>
      <c r="U4888" s="102" t="s">
        <v>1365</v>
      </c>
      <c r="V4888" s="253">
        <v>45118</v>
      </c>
      <c r="W4888" s="17" t="s">
        <v>44</v>
      </c>
      <c r="X4888" s="17"/>
      <c r="Y4888" s="68">
        <v>45283</v>
      </c>
      <c r="Z4888" s="17" t="s">
        <v>191</v>
      </c>
      <c r="AA4888" s="17" t="s">
        <v>46</v>
      </c>
      <c r="AB4888" s="17" t="s">
        <v>1244</v>
      </c>
      <c r="AC4888" s="66">
        <v>45286</v>
      </c>
      <c r="AD4888" s="65">
        <v>1505</v>
      </c>
      <c r="AE4888" s="17" t="s">
        <v>74</v>
      </c>
      <c r="AF4888" s="17"/>
      <c r="AG4888" s="17"/>
      <c r="AH4888" s="17"/>
      <c r="AI4888" s="17"/>
      <c r="AJ4888" s="17"/>
      <c r="AK4888" s="17"/>
      <c r="AL4888" s="17"/>
      <c r="AM4888" s="17"/>
      <c r="AN4888" s="17"/>
      <c r="AO4888" s="17"/>
      <c r="AP4888" s="17"/>
      <c r="AQ4888" s="17"/>
      <c r="AR4888" s="17"/>
    </row>
    <row r="4889" s="20" customFormat="1" ht="15.6" hidden="1" spans="1:44">
      <c r="A4889" s="17" t="s">
        <v>34</v>
      </c>
      <c r="B4889" s="19">
        <v>964</v>
      </c>
      <c r="C4889" s="183">
        <v>45227</v>
      </c>
      <c r="D4889" s="17" t="s">
        <v>52</v>
      </c>
      <c r="E4889" s="17" t="s">
        <v>1113</v>
      </c>
      <c r="F4889" s="17" t="s">
        <v>54</v>
      </c>
      <c r="G4889" s="17"/>
      <c r="H4889" s="124">
        <v>1.2311</v>
      </c>
      <c r="I4889" s="124"/>
      <c r="J4889" s="17" t="s">
        <v>82</v>
      </c>
      <c r="K4889" s="19">
        <v>305</v>
      </c>
      <c r="L4889" s="19">
        <v>80</v>
      </c>
      <c r="M4889" s="19">
        <v>2300</v>
      </c>
      <c r="N4889" s="19" t="s">
        <v>66</v>
      </c>
      <c r="O4889" s="19" t="s">
        <v>141</v>
      </c>
      <c r="P4889" s="266">
        <v>431</v>
      </c>
      <c r="Q4889" s="266">
        <v>451</v>
      </c>
      <c r="R4889" s="19">
        <f t="shared" si="229"/>
        <v>-20</v>
      </c>
      <c r="S4889" s="19">
        <v>950</v>
      </c>
      <c r="T4889" s="19" t="s">
        <v>42</v>
      </c>
      <c r="U4889" s="102" t="s">
        <v>1365</v>
      </c>
      <c r="V4889" s="253">
        <v>45118</v>
      </c>
      <c r="W4889" s="17" t="s">
        <v>44</v>
      </c>
      <c r="X4889" s="17"/>
      <c r="Y4889" s="68">
        <v>45283</v>
      </c>
      <c r="Z4889" s="17" t="s">
        <v>191</v>
      </c>
      <c r="AA4889" s="17" t="s">
        <v>46</v>
      </c>
      <c r="AB4889" s="17" t="s">
        <v>1244</v>
      </c>
      <c r="AC4889" s="66">
        <v>45286</v>
      </c>
      <c r="AD4889" s="65">
        <v>1505</v>
      </c>
      <c r="AE4889" s="17" t="s">
        <v>74</v>
      </c>
      <c r="AF4889" s="17"/>
      <c r="AG4889" s="17"/>
      <c r="AH4889" s="17"/>
      <c r="AI4889" s="17"/>
      <c r="AJ4889" s="17"/>
      <c r="AK4889" s="17"/>
      <c r="AL4889" s="17"/>
      <c r="AM4889" s="17"/>
      <c r="AN4889" s="17"/>
      <c r="AO4889" s="17"/>
      <c r="AP4889" s="17"/>
      <c r="AQ4889" s="17"/>
      <c r="AR4889" s="17"/>
    </row>
    <row r="4890" s="20" customFormat="1" ht="15.6" hidden="1" spans="1:44">
      <c r="A4890" s="17" t="s">
        <v>34</v>
      </c>
      <c r="B4890" s="19">
        <v>964</v>
      </c>
      <c r="C4890" s="183">
        <v>45227</v>
      </c>
      <c r="D4890" s="17" t="s">
        <v>52</v>
      </c>
      <c r="E4890" s="17" t="s">
        <v>1113</v>
      </c>
      <c r="F4890" s="17" t="s">
        <v>54</v>
      </c>
      <c r="G4890" s="17"/>
      <c r="H4890" s="124">
        <v>1.2311</v>
      </c>
      <c r="I4890" s="124"/>
      <c r="J4890" s="17" t="s">
        <v>82</v>
      </c>
      <c r="K4890" s="19">
        <v>355</v>
      </c>
      <c r="L4890" s="19">
        <v>80</v>
      </c>
      <c r="M4890" s="19">
        <v>2300</v>
      </c>
      <c r="N4890" s="19" t="s">
        <v>66</v>
      </c>
      <c r="O4890" s="19" t="s">
        <v>141</v>
      </c>
      <c r="P4890" s="266">
        <v>502</v>
      </c>
      <c r="Q4890" s="266">
        <v>526</v>
      </c>
      <c r="R4890" s="19">
        <f t="shared" si="229"/>
        <v>-24</v>
      </c>
      <c r="S4890" s="19">
        <v>950</v>
      </c>
      <c r="T4890" s="19" t="s">
        <v>42</v>
      </c>
      <c r="U4890" s="102" t="s">
        <v>1365</v>
      </c>
      <c r="V4890" s="253">
        <v>45118</v>
      </c>
      <c r="W4890" s="17" t="s">
        <v>44</v>
      </c>
      <c r="X4890" s="17"/>
      <c r="Y4890" s="68">
        <v>45283</v>
      </c>
      <c r="Z4890" s="17" t="s">
        <v>191</v>
      </c>
      <c r="AA4890" s="17" t="s">
        <v>46</v>
      </c>
      <c r="AB4890" s="17" t="s">
        <v>1244</v>
      </c>
      <c r="AC4890" s="66">
        <v>45286</v>
      </c>
      <c r="AD4890" s="65">
        <v>1505</v>
      </c>
      <c r="AE4890" s="17" t="s">
        <v>74</v>
      </c>
      <c r="AF4890" s="17"/>
      <c r="AG4890" s="17"/>
      <c r="AH4890" s="17"/>
      <c r="AI4890" s="17"/>
      <c r="AJ4890" s="17"/>
      <c r="AK4890" s="17"/>
      <c r="AL4890" s="17"/>
      <c r="AM4890" s="17"/>
      <c r="AN4890" s="17"/>
      <c r="AO4890" s="17"/>
      <c r="AP4890" s="17"/>
      <c r="AQ4890" s="17"/>
      <c r="AR4890" s="17"/>
    </row>
    <row r="4891" s="20" customFormat="1" ht="15.6" hidden="1" spans="1:44">
      <c r="A4891" s="17" t="s">
        <v>34</v>
      </c>
      <c r="B4891" s="19">
        <v>964</v>
      </c>
      <c r="C4891" s="183">
        <v>45227</v>
      </c>
      <c r="D4891" s="17" t="s">
        <v>52</v>
      </c>
      <c r="E4891" s="17" t="s">
        <v>1113</v>
      </c>
      <c r="F4891" s="17" t="s">
        <v>54</v>
      </c>
      <c r="G4891" s="17"/>
      <c r="H4891" s="124">
        <v>1.2311</v>
      </c>
      <c r="I4891" s="124"/>
      <c r="J4891" s="17" t="s">
        <v>82</v>
      </c>
      <c r="K4891" s="19">
        <v>405</v>
      </c>
      <c r="L4891" s="19">
        <v>80</v>
      </c>
      <c r="M4891" s="19">
        <v>2300</v>
      </c>
      <c r="N4891" s="19" t="s">
        <v>66</v>
      </c>
      <c r="O4891" s="19" t="s">
        <v>141</v>
      </c>
      <c r="P4891" s="266">
        <v>572</v>
      </c>
      <c r="Q4891" s="266">
        <v>600</v>
      </c>
      <c r="R4891" s="19">
        <f t="shared" si="229"/>
        <v>-28</v>
      </c>
      <c r="S4891" s="19">
        <v>950</v>
      </c>
      <c r="T4891" s="19" t="s">
        <v>42</v>
      </c>
      <c r="U4891" s="102" t="s">
        <v>1365</v>
      </c>
      <c r="V4891" s="253">
        <v>45118</v>
      </c>
      <c r="W4891" s="17" t="s">
        <v>44</v>
      </c>
      <c r="X4891" s="17"/>
      <c r="Y4891" s="68">
        <v>45283</v>
      </c>
      <c r="Z4891" s="17" t="s">
        <v>191</v>
      </c>
      <c r="AA4891" s="17" t="s">
        <v>46</v>
      </c>
      <c r="AB4891" s="17" t="s">
        <v>1244</v>
      </c>
      <c r="AC4891" s="66">
        <v>45286</v>
      </c>
      <c r="AD4891" s="65">
        <v>1505</v>
      </c>
      <c r="AE4891" s="17" t="s">
        <v>74</v>
      </c>
      <c r="AF4891" s="17"/>
      <c r="AG4891" s="17"/>
      <c r="AH4891" s="17"/>
      <c r="AI4891" s="17"/>
      <c r="AJ4891" s="17"/>
      <c r="AK4891" s="17"/>
      <c r="AL4891" s="17"/>
      <c r="AM4891" s="17"/>
      <c r="AN4891" s="17"/>
      <c r="AO4891" s="17"/>
      <c r="AP4891" s="17"/>
      <c r="AQ4891" s="17"/>
      <c r="AR4891" s="17"/>
    </row>
    <row r="4892" s="20" customFormat="1" ht="15.6" hidden="1" spans="1:44">
      <c r="A4892" s="17" t="s">
        <v>34</v>
      </c>
      <c r="B4892" s="19">
        <v>964</v>
      </c>
      <c r="C4892" s="183">
        <v>45227</v>
      </c>
      <c r="D4892" s="17" t="s">
        <v>52</v>
      </c>
      <c r="E4892" s="17" t="s">
        <v>1113</v>
      </c>
      <c r="F4892" s="17" t="s">
        <v>54</v>
      </c>
      <c r="G4892" s="17"/>
      <c r="H4892" s="124">
        <v>1.2311</v>
      </c>
      <c r="I4892" s="124"/>
      <c r="J4892" s="17" t="s">
        <v>82</v>
      </c>
      <c r="K4892" s="19">
        <v>455</v>
      </c>
      <c r="L4892" s="19">
        <v>80</v>
      </c>
      <c r="M4892" s="19">
        <v>2300</v>
      </c>
      <c r="N4892" s="19" t="s">
        <v>66</v>
      </c>
      <c r="O4892" s="19" t="s">
        <v>141</v>
      </c>
      <c r="P4892" s="266">
        <v>643</v>
      </c>
      <c r="Q4892" s="266">
        <v>665</v>
      </c>
      <c r="R4892" s="19">
        <f t="shared" si="229"/>
        <v>-22</v>
      </c>
      <c r="S4892" s="19">
        <v>950</v>
      </c>
      <c r="T4892" s="19" t="s">
        <v>42</v>
      </c>
      <c r="U4892" s="102" t="s">
        <v>1365</v>
      </c>
      <c r="V4892" s="253">
        <v>45118</v>
      </c>
      <c r="W4892" s="17" t="s">
        <v>44</v>
      </c>
      <c r="X4892" s="17"/>
      <c r="Y4892" s="68">
        <v>45283</v>
      </c>
      <c r="Z4892" s="17" t="s">
        <v>191</v>
      </c>
      <c r="AA4892" s="17" t="s">
        <v>46</v>
      </c>
      <c r="AB4892" s="17" t="s">
        <v>1244</v>
      </c>
      <c r="AC4892" s="66">
        <v>45286</v>
      </c>
      <c r="AD4892" s="65">
        <v>1505</v>
      </c>
      <c r="AE4892" s="17" t="s">
        <v>74</v>
      </c>
      <c r="AF4892" s="17"/>
      <c r="AG4892" s="17"/>
      <c r="AH4892" s="17"/>
      <c r="AI4892" s="17"/>
      <c r="AJ4892" s="17"/>
      <c r="AK4892" s="17"/>
      <c r="AL4892" s="17"/>
      <c r="AM4892" s="17"/>
      <c r="AN4892" s="17"/>
      <c r="AO4892" s="17"/>
      <c r="AP4892" s="17"/>
      <c r="AQ4892" s="17"/>
      <c r="AR4892" s="17"/>
    </row>
    <row r="4893" s="20" customFormat="1" ht="15.6" hidden="1" spans="1:44">
      <c r="A4893" s="17" t="s">
        <v>34</v>
      </c>
      <c r="B4893" s="19">
        <v>964</v>
      </c>
      <c r="C4893" s="183">
        <v>45227</v>
      </c>
      <c r="D4893" s="17" t="s">
        <v>52</v>
      </c>
      <c r="E4893" s="17" t="s">
        <v>1113</v>
      </c>
      <c r="F4893" s="17" t="s">
        <v>54</v>
      </c>
      <c r="G4893" s="17"/>
      <c r="H4893" s="124">
        <v>1.2311</v>
      </c>
      <c r="I4893" s="124"/>
      <c r="J4893" s="17" t="s">
        <v>82</v>
      </c>
      <c r="K4893" s="19">
        <v>505</v>
      </c>
      <c r="L4893" s="19">
        <v>80</v>
      </c>
      <c r="M4893" s="19">
        <v>2300</v>
      </c>
      <c r="N4893" s="19" t="s">
        <v>66</v>
      </c>
      <c r="O4893" s="19" t="s">
        <v>141</v>
      </c>
      <c r="P4893" s="266">
        <v>714</v>
      </c>
      <c r="Q4893" s="266">
        <v>739</v>
      </c>
      <c r="R4893" s="19">
        <f t="shared" si="229"/>
        <v>-25</v>
      </c>
      <c r="S4893" s="19">
        <v>950</v>
      </c>
      <c r="T4893" s="19" t="s">
        <v>42</v>
      </c>
      <c r="U4893" s="102" t="s">
        <v>1365</v>
      </c>
      <c r="V4893" s="253">
        <v>45118</v>
      </c>
      <c r="W4893" s="17" t="s">
        <v>44</v>
      </c>
      <c r="X4893" s="17"/>
      <c r="Y4893" s="68">
        <v>45283</v>
      </c>
      <c r="Z4893" s="17" t="s">
        <v>191</v>
      </c>
      <c r="AA4893" s="17" t="s">
        <v>46</v>
      </c>
      <c r="AB4893" s="17" t="s">
        <v>1244</v>
      </c>
      <c r="AC4893" s="66">
        <v>45286</v>
      </c>
      <c r="AD4893" s="65">
        <v>1505</v>
      </c>
      <c r="AE4893" s="17" t="s">
        <v>74</v>
      </c>
      <c r="AF4893" s="17"/>
      <c r="AG4893" s="17"/>
      <c r="AH4893" s="17"/>
      <c r="AI4893" s="17"/>
      <c r="AJ4893" s="17"/>
      <c r="AK4893" s="17"/>
      <c r="AL4893" s="17"/>
      <c r="AM4893" s="17"/>
      <c r="AN4893" s="17"/>
      <c r="AO4893" s="17"/>
      <c r="AP4893" s="17"/>
      <c r="AQ4893" s="17"/>
      <c r="AR4893" s="17"/>
    </row>
    <row r="4894" s="20" customFormat="1" ht="15.6" hidden="1" spans="1:44">
      <c r="A4894" s="17" t="s">
        <v>34</v>
      </c>
      <c r="B4894" s="19">
        <v>964</v>
      </c>
      <c r="C4894" s="183">
        <v>45227</v>
      </c>
      <c r="D4894" s="17" t="s">
        <v>52</v>
      </c>
      <c r="E4894" s="17" t="s">
        <v>1113</v>
      </c>
      <c r="F4894" s="17" t="s">
        <v>54</v>
      </c>
      <c r="G4894" s="17"/>
      <c r="H4894" s="124">
        <v>1.2311</v>
      </c>
      <c r="I4894" s="124"/>
      <c r="J4894" s="17" t="s">
        <v>82</v>
      </c>
      <c r="K4894" s="19">
        <v>255</v>
      </c>
      <c r="L4894" s="19">
        <v>105</v>
      </c>
      <c r="M4894" s="19">
        <v>2300</v>
      </c>
      <c r="N4894" s="19" t="s">
        <v>66</v>
      </c>
      <c r="O4894" s="19" t="s">
        <v>141</v>
      </c>
      <c r="P4894" s="266">
        <v>473</v>
      </c>
      <c r="Q4894" s="266">
        <v>479</v>
      </c>
      <c r="R4894" s="19">
        <f t="shared" si="229"/>
        <v>-6</v>
      </c>
      <c r="S4894" s="19">
        <v>950</v>
      </c>
      <c r="T4894" s="19" t="s">
        <v>42</v>
      </c>
      <c r="U4894" s="102" t="s">
        <v>1365</v>
      </c>
      <c r="V4894" s="253">
        <v>45118</v>
      </c>
      <c r="W4894" s="17" t="s">
        <v>44</v>
      </c>
      <c r="X4894" s="17"/>
      <c r="Y4894" s="68">
        <v>45283</v>
      </c>
      <c r="Z4894" s="17" t="s">
        <v>191</v>
      </c>
      <c r="AA4894" s="17" t="s">
        <v>46</v>
      </c>
      <c r="AB4894" s="17" t="s">
        <v>1237</v>
      </c>
      <c r="AC4894" s="217">
        <v>45627</v>
      </c>
      <c r="AD4894" s="65">
        <v>1516</v>
      </c>
      <c r="AE4894" s="17" t="s">
        <v>74</v>
      </c>
      <c r="AF4894" s="17"/>
      <c r="AG4894" s="17"/>
      <c r="AH4894" s="17"/>
      <c r="AI4894" s="17"/>
      <c r="AJ4894" s="17"/>
      <c r="AK4894" s="17"/>
      <c r="AL4894" s="17"/>
      <c r="AM4894" s="17"/>
      <c r="AN4894" s="17"/>
      <c r="AO4894" s="17"/>
      <c r="AP4894" s="17"/>
      <c r="AQ4894" s="17"/>
      <c r="AR4894" s="17"/>
    </row>
    <row r="4895" s="20" customFormat="1" ht="15.6" hidden="1" spans="1:44">
      <c r="A4895" s="17" t="s">
        <v>34</v>
      </c>
      <c r="B4895" s="19">
        <v>964</v>
      </c>
      <c r="C4895" s="183">
        <v>45227</v>
      </c>
      <c r="D4895" s="17" t="s">
        <v>52</v>
      </c>
      <c r="E4895" s="17" t="s">
        <v>1113</v>
      </c>
      <c r="F4895" s="17" t="s">
        <v>54</v>
      </c>
      <c r="G4895" s="17"/>
      <c r="H4895" s="124">
        <v>1.2311</v>
      </c>
      <c r="I4895" s="124"/>
      <c r="J4895" s="17" t="s">
        <v>82</v>
      </c>
      <c r="K4895" s="19">
        <v>305</v>
      </c>
      <c r="L4895" s="19">
        <v>105</v>
      </c>
      <c r="M4895" s="19">
        <v>2300</v>
      </c>
      <c r="N4895" s="19" t="s">
        <v>66</v>
      </c>
      <c r="O4895" s="19" t="s">
        <v>141</v>
      </c>
      <c r="P4895" s="266">
        <v>566</v>
      </c>
      <c r="Q4895" s="266">
        <v>569</v>
      </c>
      <c r="R4895" s="19">
        <f t="shared" si="229"/>
        <v>-3</v>
      </c>
      <c r="S4895" s="19">
        <v>950</v>
      </c>
      <c r="T4895" s="19" t="s">
        <v>42</v>
      </c>
      <c r="U4895" s="102" t="s">
        <v>1365</v>
      </c>
      <c r="V4895" s="253">
        <v>45118</v>
      </c>
      <c r="W4895" s="17" t="s">
        <v>44</v>
      </c>
      <c r="X4895" s="17"/>
      <c r="Y4895" s="68">
        <v>45283</v>
      </c>
      <c r="Z4895" s="17" t="s">
        <v>191</v>
      </c>
      <c r="AA4895" s="17" t="s">
        <v>46</v>
      </c>
      <c r="AB4895" s="17" t="s">
        <v>1237</v>
      </c>
      <c r="AC4895" s="217">
        <v>45627</v>
      </c>
      <c r="AD4895" s="65">
        <v>1516</v>
      </c>
      <c r="AE4895" s="17" t="s">
        <v>74</v>
      </c>
      <c r="AF4895" s="17"/>
      <c r="AG4895" s="17"/>
      <c r="AH4895" s="17"/>
      <c r="AI4895" s="17"/>
      <c r="AJ4895" s="17"/>
      <c r="AK4895" s="17"/>
      <c r="AL4895" s="17"/>
      <c r="AM4895" s="17"/>
      <c r="AN4895" s="17"/>
      <c r="AO4895" s="17"/>
      <c r="AP4895" s="17"/>
      <c r="AQ4895" s="17"/>
      <c r="AR4895" s="17"/>
    </row>
    <row r="4896" s="20" customFormat="1" ht="15.6" hidden="1" spans="1:44">
      <c r="A4896" s="17" t="s">
        <v>34</v>
      </c>
      <c r="B4896" s="19">
        <v>964</v>
      </c>
      <c r="C4896" s="183">
        <v>45227</v>
      </c>
      <c r="D4896" s="17" t="s">
        <v>52</v>
      </c>
      <c r="E4896" s="17" t="s">
        <v>1113</v>
      </c>
      <c r="F4896" s="17" t="s">
        <v>54</v>
      </c>
      <c r="G4896" s="17"/>
      <c r="H4896" s="124">
        <v>1.2311</v>
      </c>
      <c r="I4896" s="124"/>
      <c r="J4896" s="17" t="s">
        <v>82</v>
      </c>
      <c r="K4896" s="19">
        <v>355</v>
      </c>
      <c r="L4896" s="19">
        <v>105</v>
      </c>
      <c r="M4896" s="19">
        <v>2300</v>
      </c>
      <c r="N4896" s="19" t="s">
        <v>66</v>
      </c>
      <c r="O4896" s="19" t="s">
        <v>141</v>
      </c>
      <c r="P4896" s="266">
        <v>658</v>
      </c>
      <c r="Q4896" s="266">
        <v>662</v>
      </c>
      <c r="R4896" s="19">
        <f t="shared" si="229"/>
        <v>-4</v>
      </c>
      <c r="S4896" s="19">
        <v>950</v>
      </c>
      <c r="T4896" s="19" t="s">
        <v>42</v>
      </c>
      <c r="U4896" s="102" t="s">
        <v>1365</v>
      </c>
      <c r="V4896" s="253">
        <v>45118</v>
      </c>
      <c r="W4896" s="17" t="s">
        <v>44</v>
      </c>
      <c r="X4896" s="17"/>
      <c r="Y4896" s="68">
        <v>45283</v>
      </c>
      <c r="Z4896" s="17" t="s">
        <v>191</v>
      </c>
      <c r="AA4896" s="17" t="s">
        <v>46</v>
      </c>
      <c r="AB4896" s="17" t="s">
        <v>1237</v>
      </c>
      <c r="AC4896" s="217">
        <v>45627</v>
      </c>
      <c r="AD4896" s="65">
        <v>1516</v>
      </c>
      <c r="AE4896" s="17" t="s">
        <v>74</v>
      </c>
      <c r="AF4896" s="17"/>
      <c r="AG4896" s="17"/>
      <c r="AH4896" s="17"/>
      <c r="AI4896" s="17"/>
      <c r="AJ4896" s="17"/>
      <c r="AK4896" s="17"/>
      <c r="AL4896" s="17"/>
      <c r="AM4896" s="17"/>
      <c r="AN4896" s="17"/>
      <c r="AO4896" s="17"/>
      <c r="AP4896" s="17"/>
      <c r="AQ4896" s="17"/>
      <c r="AR4896" s="17"/>
    </row>
    <row r="4897" s="20" customFormat="1" ht="15.6" hidden="1" spans="1:44">
      <c r="A4897" s="17" t="s">
        <v>34</v>
      </c>
      <c r="B4897" s="19">
        <v>964</v>
      </c>
      <c r="C4897" s="183">
        <v>45227</v>
      </c>
      <c r="D4897" s="17" t="s">
        <v>52</v>
      </c>
      <c r="E4897" s="17" t="s">
        <v>1113</v>
      </c>
      <c r="F4897" s="17" t="s">
        <v>54</v>
      </c>
      <c r="G4897" s="17"/>
      <c r="H4897" s="124">
        <v>1.2311</v>
      </c>
      <c r="I4897" s="124"/>
      <c r="J4897" s="17" t="s">
        <v>82</v>
      </c>
      <c r="K4897" s="19">
        <v>405</v>
      </c>
      <c r="L4897" s="19">
        <v>105</v>
      </c>
      <c r="M4897" s="19">
        <v>2300</v>
      </c>
      <c r="N4897" s="19" t="s">
        <v>66</v>
      </c>
      <c r="O4897" s="19" t="s">
        <v>141</v>
      </c>
      <c r="P4897" s="266">
        <v>751</v>
      </c>
      <c r="Q4897" s="266">
        <v>759</v>
      </c>
      <c r="R4897" s="19">
        <f t="shared" si="229"/>
        <v>-8</v>
      </c>
      <c r="S4897" s="19">
        <v>950</v>
      </c>
      <c r="T4897" s="19" t="s">
        <v>42</v>
      </c>
      <c r="U4897" s="102" t="s">
        <v>1365</v>
      </c>
      <c r="V4897" s="253">
        <v>45118</v>
      </c>
      <c r="W4897" s="17" t="s">
        <v>44</v>
      </c>
      <c r="X4897" s="17"/>
      <c r="Y4897" s="68">
        <v>45283</v>
      </c>
      <c r="Z4897" s="17" t="s">
        <v>191</v>
      </c>
      <c r="AA4897" s="17" t="s">
        <v>46</v>
      </c>
      <c r="AB4897" s="17" t="s">
        <v>1237</v>
      </c>
      <c r="AC4897" s="217">
        <v>45627</v>
      </c>
      <c r="AD4897" s="65">
        <v>1516</v>
      </c>
      <c r="AE4897" s="17" t="s">
        <v>74</v>
      </c>
      <c r="AF4897" s="17"/>
      <c r="AG4897" s="17"/>
      <c r="AH4897" s="17"/>
      <c r="AI4897" s="17"/>
      <c r="AJ4897" s="17"/>
      <c r="AK4897" s="17"/>
      <c r="AL4897" s="17"/>
      <c r="AM4897" s="17"/>
      <c r="AN4897" s="17"/>
      <c r="AO4897" s="17"/>
      <c r="AP4897" s="17"/>
      <c r="AQ4897" s="17"/>
      <c r="AR4897" s="17"/>
    </row>
    <row r="4898" s="20" customFormat="1" ht="15.6" hidden="1" spans="1:44">
      <c r="A4898" s="17" t="s">
        <v>34</v>
      </c>
      <c r="B4898" s="19">
        <v>964</v>
      </c>
      <c r="C4898" s="183">
        <v>45227</v>
      </c>
      <c r="D4898" s="17" t="s">
        <v>52</v>
      </c>
      <c r="E4898" s="17" t="s">
        <v>1113</v>
      </c>
      <c r="F4898" s="17" t="s">
        <v>54</v>
      </c>
      <c r="G4898" s="17"/>
      <c r="H4898" s="124">
        <v>1.2311</v>
      </c>
      <c r="I4898" s="124"/>
      <c r="J4898" s="17" t="s">
        <v>82</v>
      </c>
      <c r="K4898" s="19">
        <v>455</v>
      </c>
      <c r="L4898" s="19">
        <v>105</v>
      </c>
      <c r="M4898" s="19">
        <v>2300</v>
      </c>
      <c r="N4898" s="19" t="s">
        <v>66</v>
      </c>
      <c r="O4898" s="19" t="s">
        <v>141</v>
      </c>
      <c r="P4898" s="266">
        <v>844</v>
      </c>
      <c r="Q4898" s="266">
        <v>846</v>
      </c>
      <c r="R4898" s="19">
        <f t="shared" si="229"/>
        <v>-2</v>
      </c>
      <c r="S4898" s="19">
        <v>950</v>
      </c>
      <c r="T4898" s="19" t="s">
        <v>42</v>
      </c>
      <c r="U4898" s="102" t="s">
        <v>1365</v>
      </c>
      <c r="V4898" s="253">
        <v>45118</v>
      </c>
      <c r="W4898" s="17" t="s">
        <v>44</v>
      </c>
      <c r="X4898" s="17"/>
      <c r="Y4898" s="68">
        <v>45283</v>
      </c>
      <c r="Z4898" s="17" t="s">
        <v>191</v>
      </c>
      <c r="AA4898" s="17" t="s">
        <v>46</v>
      </c>
      <c r="AB4898" s="17" t="s">
        <v>1237</v>
      </c>
      <c r="AC4898" s="217">
        <v>45627</v>
      </c>
      <c r="AD4898" s="65">
        <v>1516</v>
      </c>
      <c r="AE4898" s="17" t="s">
        <v>74</v>
      </c>
      <c r="AF4898" s="17"/>
      <c r="AG4898" s="17"/>
      <c r="AH4898" s="17"/>
      <c r="AI4898" s="17"/>
      <c r="AJ4898" s="17"/>
      <c r="AK4898" s="17"/>
      <c r="AL4898" s="17"/>
      <c r="AM4898" s="17"/>
      <c r="AN4898" s="17"/>
      <c r="AO4898" s="17"/>
      <c r="AP4898" s="17"/>
      <c r="AQ4898" s="17"/>
      <c r="AR4898" s="17"/>
    </row>
    <row r="4899" s="20" customFormat="1" ht="15.6" hidden="1" spans="1:44">
      <c r="A4899" s="17" t="s">
        <v>34</v>
      </c>
      <c r="B4899" s="19">
        <v>964</v>
      </c>
      <c r="C4899" s="183">
        <v>45227</v>
      </c>
      <c r="D4899" s="17" t="s">
        <v>52</v>
      </c>
      <c r="E4899" s="17" t="s">
        <v>1113</v>
      </c>
      <c r="F4899" s="17" t="s">
        <v>54</v>
      </c>
      <c r="G4899" s="17"/>
      <c r="H4899" s="124">
        <v>1.2311</v>
      </c>
      <c r="I4899" s="124"/>
      <c r="J4899" s="17" t="s">
        <v>82</v>
      </c>
      <c r="K4899" s="19">
        <v>505</v>
      </c>
      <c r="L4899" s="19">
        <v>105</v>
      </c>
      <c r="M4899" s="19">
        <v>2300</v>
      </c>
      <c r="N4899" s="19" t="s">
        <v>66</v>
      </c>
      <c r="O4899" s="19" t="s">
        <v>141</v>
      </c>
      <c r="P4899" s="266">
        <v>937</v>
      </c>
      <c r="Q4899" s="266">
        <v>936</v>
      </c>
      <c r="R4899" s="19">
        <f t="shared" si="229"/>
        <v>1</v>
      </c>
      <c r="S4899" s="19">
        <v>950</v>
      </c>
      <c r="T4899" s="19" t="s">
        <v>42</v>
      </c>
      <c r="U4899" s="102" t="s">
        <v>1365</v>
      </c>
      <c r="V4899" s="253">
        <v>45118</v>
      </c>
      <c r="W4899" s="17" t="s">
        <v>44</v>
      </c>
      <c r="X4899" s="17"/>
      <c r="Y4899" s="68">
        <v>45283</v>
      </c>
      <c r="Z4899" s="17" t="s">
        <v>191</v>
      </c>
      <c r="AA4899" s="17" t="s">
        <v>46</v>
      </c>
      <c r="AB4899" s="17" t="s">
        <v>1237</v>
      </c>
      <c r="AC4899" s="217">
        <v>45627</v>
      </c>
      <c r="AD4899" s="65">
        <v>1516</v>
      </c>
      <c r="AE4899" s="17" t="s">
        <v>74</v>
      </c>
      <c r="AF4899" s="17"/>
      <c r="AG4899" s="17"/>
      <c r="AH4899" s="17"/>
      <c r="AI4899" s="17"/>
      <c r="AJ4899" s="17"/>
      <c r="AK4899" s="17"/>
      <c r="AL4899" s="17"/>
      <c r="AM4899" s="17"/>
      <c r="AN4899" s="17"/>
      <c r="AO4899" s="17"/>
      <c r="AP4899" s="17"/>
      <c r="AQ4899" s="17"/>
      <c r="AR4899" s="17"/>
    </row>
    <row r="4900" s="20" customFormat="1" ht="15.6" hidden="1" spans="1:44">
      <c r="A4900" s="17" t="s">
        <v>34</v>
      </c>
      <c r="B4900" s="19">
        <v>964</v>
      </c>
      <c r="C4900" s="183">
        <v>45227</v>
      </c>
      <c r="D4900" s="17" t="s">
        <v>52</v>
      </c>
      <c r="E4900" s="17" t="s">
        <v>1113</v>
      </c>
      <c r="F4900" s="17" t="s">
        <v>54</v>
      </c>
      <c r="G4900" s="17"/>
      <c r="H4900" s="124">
        <v>1.2311</v>
      </c>
      <c r="I4900" s="124"/>
      <c r="J4900" s="17" t="s">
        <v>82</v>
      </c>
      <c r="K4900" s="19">
        <v>555</v>
      </c>
      <c r="L4900" s="19">
        <v>105</v>
      </c>
      <c r="M4900" s="19">
        <v>2300</v>
      </c>
      <c r="N4900" s="19" t="s">
        <v>66</v>
      </c>
      <c r="O4900" s="19" t="s">
        <v>141</v>
      </c>
      <c r="P4900" s="266">
        <v>1029</v>
      </c>
      <c r="Q4900" s="266">
        <v>1030</v>
      </c>
      <c r="R4900" s="19">
        <f t="shared" si="229"/>
        <v>-1</v>
      </c>
      <c r="S4900" s="19">
        <v>950</v>
      </c>
      <c r="T4900" s="19" t="s">
        <v>42</v>
      </c>
      <c r="U4900" s="102" t="s">
        <v>1365</v>
      </c>
      <c r="V4900" s="253">
        <v>45118</v>
      </c>
      <c r="W4900" s="17" t="s">
        <v>44</v>
      </c>
      <c r="X4900" s="17"/>
      <c r="Y4900" s="68">
        <v>45283</v>
      </c>
      <c r="Z4900" s="17" t="s">
        <v>191</v>
      </c>
      <c r="AA4900" s="17" t="s">
        <v>46</v>
      </c>
      <c r="AB4900" s="17" t="s">
        <v>1237</v>
      </c>
      <c r="AC4900" s="217">
        <v>45627</v>
      </c>
      <c r="AD4900" s="65">
        <v>1516</v>
      </c>
      <c r="AE4900" s="17" t="s">
        <v>74</v>
      </c>
      <c r="AF4900" s="17"/>
      <c r="AG4900" s="17"/>
      <c r="AH4900" s="17"/>
      <c r="AI4900" s="17"/>
      <c r="AJ4900" s="17"/>
      <c r="AK4900" s="17"/>
      <c r="AL4900" s="17"/>
      <c r="AM4900" s="17"/>
      <c r="AN4900" s="17"/>
      <c r="AO4900" s="17"/>
      <c r="AP4900" s="17"/>
      <c r="AQ4900" s="17"/>
      <c r="AR4900" s="17"/>
    </row>
    <row r="4901" s="21" customFormat="1" ht="15.6" hidden="1" spans="1:44">
      <c r="A4901" s="17" t="s">
        <v>34</v>
      </c>
      <c r="B4901" s="19">
        <v>964</v>
      </c>
      <c r="C4901" s="183">
        <v>45227</v>
      </c>
      <c r="D4901" s="17" t="s">
        <v>52</v>
      </c>
      <c r="E4901" s="17" t="s">
        <v>1113</v>
      </c>
      <c r="F4901" s="17" t="s">
        <v>54</v>
      </c>
      <c r="G4901" s="17"/>
      <c r="H4901" s="124">
        <v>1.2311</v>
      </c>
      <c r="I4901" s="124"/>
      <c r="J4901" s="17" t="s">
        <v>82</v>
      </c>
      <c r="K4901" s="19">
        <v>205</v>
      </c>
      <c r="L4901" s="19">
        <v>130</v>
      </c>
      <c r="M4901" s="19">
        <v>2300</v>
      </c>
      <c r="N4901" s="19" t="s">
        <v>66</v>
      </c>
      <c r="O4901" s="19" t="s">
        <v>141</v>
      </c>
      <c r="P4901" s="266">
        <v>1883</v>
      </c>
      <c r="Q4901" s="266">
        <v>499</v>
      </c>
      <c r="S4901" s="19">
        <v>970</v>
      </c>
      <c r="T4901" s="19" t="s">
        <v>42</v>
      </c>
      <c r="U4901" s="102" t="s">
        <v>1365</v>
      </c>
      <c r="V4901" s="253">
        <v>45118</v>
      </c>
      <c r="W4901" s="17" t="s">
        <v>44</v>
      </c>
      <c r="X4901" s="17"/>
      <c r="Y4901" s="68">
        <v>45283</v>
      </c>
      <c r="Z4901" s="17" t="s">
        <v>191</v>
      </c>
      <c r="AA4901" s="17" t="s">
        <v>46</v>
      </c>
      <c r="AB4901" s="17" t="s">
        <v>1248</v>
      </c>
      <c r="AC4901" s="217">
        <v>45364</v>
      </c>
      <c r="AD4901" s="65">
        <v>1539</v>
      </c>
      <c r="AE4901" s="17" t="s">
        <v>74</v>
      </c>
      <c r="AF4901" s="17"/>
      <c r="AG4901" s="17"/>
      <c r="AH4901" s="17"/>
      <c r="AI4901" s="17"/>
      <c r="AJ4901" s="17"/>
      <c r="AK4901" s="17"/>
      <c r="AL4901" s="17"/>
      <c r="AM4901" s="17"/>
      <c r="AN4901" s="17"/>
      <c r="AO4901" s="17"/>
      <c r="AP4901" s="17"/>
      <c r="AQ4901" s="17"/>
      <c r="AR4901" s="17"/>
    </row>
    <row r="4902" s="21" customFormat="1" ht="15.6" hidden="1" spans="1:44">
      <c r="A4902" s="17" t="s">
        <v>34</v>
      </c>
      <c r="B4902" s="19">
        <v>964</v>
      </c>
      <c r="C4902" s="183">
        <v>45227</v>
      </c>
      <c r="D4902" s="17" t="s">
        <v>52</v>
      </c>
      <c r="E4902" s="17" t="s">
        <v>1113</v>
      </c>
      <c r="F4902" s="17" t="s">
        <v>54</v>
      </c>
      <c r="G4902" s="17"/>
      <c r="H4902" s="124">
        <v>1.2311</v>
      </c>
      <c r="I4902" s="124"/>
      <c r="J4902" s="17" t="s">
        <v>82</v>
      </c>
      <c r="K4902" s="19">
        <v>205</v>
      </c>
      <c r="L4902" s="19">
        <v>130</v>
      </c>
      <c r="M4902" s="19">
        <v>2300</v>
      </c>
      <c r="N4902" s="19" t="s">
        <v>66</v>
      </c>
      <c r="O4902" s="19" t="s">
        <v>141</v>
      </c>
      <c r="P4902" s="266"/>
      <c r="Q4902" s="266">
        <v>499</v>
      </c>
      <c r="R4902" s="19">
        <f>+P4901-Q4901-Q4902</f>
        <v>885</v>
      </c>
      <c r="S4902" s="19">
        <v>970</v>
      </c>
      <c r="T4902" s="19" t="s">
        <v>42</v>
      </c>
      <c r="U4902" s="102" t="s">
        <v>1365</v>
      </c>
      <c r="V4902" s="253">
        <v>45118</v>
      </c>
      <c r="W4902" s="17" t="s">
        <v>44</v>
      </c>
      <c r="X4902" s="17"/>
      <c r="Y4902" s="68">
        <v>45283</v>
      </c>
      <c r="Z4902" s="17" t="s">
        <v>191</v>
      </c>
      <c r="AA4902" s="17" t="s">
        <v>46</v>
      </c>
      <c r="AB4902" s="17" t="s">
        <v>1261</v>
      </c>
      <c r="AC4902" s="66">
        <v>45364</v>
      </c>
      <c r="AD4902" s="65">
        <v>1538</v>
      </c>
      <c r="AE4902" s="17" t="s">
        <v>74</v>
      </c>
      <c r="AF4902" s="17"/>
      <c r="AG4902" s="17"/>
      <c r="AH4902" s="17"/>
      <c r="AI4902" s="17"/>
      <c r="AJ4902" s="17"/>
      <c r="AK4902" s="17"/>
      <c r="AL4902" s="17"/>
      <c r="AM4902" s="17"/>
      <c r="AN4902" s="17"/>
      <c r="AO4902" s="17"/>
      <c r="AP4902" s="17"/>
      <c r="AQ4902" s="17"/>
      <c r="AR4902" s="17"/>
    </row>
    <row r="4903" s="21" customFormat="1" ht="15.6" hidden="1" spans="1:44">
      <c r="A4903" s="17"/>
      <c r="B4903" s="19">
        <v>964</v>
      </c>
      <c r="C4903" s="183">
        <v>45227</v>
      </c>
      <c r="D4903" s="17" t="s">
        <v>52</v>
      </c>
      <c r="E4903" s="17" t="s">
        <v>1113</v>
      </c>
      <c r="F4903" s="17" t="s">
        <v>54</v>
      </c>
      <c r="G4903" s="17"/>
      <c r="H4903" s="124">
        <v>1.2311</v>
      </c>
      <c r="I4903" s="124"/>
      <c r="J4903" s="17" t="s">
        <v>82</v>
      </c>
      <c r="K4903" s="19">
        <v>255</v>
      </c>
      <c r="L4903" s="19">
        <v>130</v>
      </c>
      <c r="M4903" s="19">
        <v>2300</v>
      </c>
      <c r="N4903" s="19" t="s">
        <v>66</v>
      </c>
      <c r="O4903" s="19" t="s">
        <v>141</v>
      </c>
      <c r="P4903" s="266">
        <v>1757</v>
      </c>
      <c r="Q4903" s="266"/>
      <c r="R4903" s="19">
        <f>+P4903-Q4903</f>
        <v>1757</v>
      </c>
      <c r="S4903" s="19">
        <v>970</v>
      </c>
      <c r="T4903" s="19" t="s">
        <v>42</v>
      </c>
      <c r="U4903" s="102" t="s">
        <v>1365</v>
      </c>
      <c r="V4903" s="253">
        <v>45118</v>
      </c>
      <c r="W4903" s="17" t="s">
        <v>44</v>
      </c>
      <c r="X4903" s="17"/>
      <c r="Y4903" s="68">
        <v>45283</v>
      </c>
      <c r="Z4903" s="17" t="s">
        <v>191</v>
      </c>
      <c r="AA4903" s="17" t="s">
        <v>46</v>
      </c>
      <c r="AB4903" s="17"/>
      <c r="AC4903" s="102"/>
      <c r="AD4903" s="65"/>
      <c r="AE4903" s="17" t="s">
        <v>74</v>
      </c>
      <c r="AF4903" s="17" t="s">
        <v>1347</v>
      </c>
      <c r="AG4903" s="17"/>
      <c r="AH4903" s="17"/>
      <c r="AI4903" s="17"/>
      <c r="AJ4903" s="17"/>
      <c r="AK4903" s="17"/>
      <c r="AL4903" s="17"/>
      <c r="AM4903" s="17"/>
      <c r="AN4903" s="17"/>
      <c r="AO4903" s="17"/>
      <c r="AP4903" s="17"/>
      <c r="AQ4903" s="17"/>
      <c r="AR4903" s="17"/>
    </row>
    <row r="4904" s="21" customFormat="1" ht="15.6" hidden="1" spans="1:44">
      <c r="A4904" s="17" t="s">
        <v>34</v>
      </c>
      <c r="B4904" s="19">
        <v>964</v>
      </c>
      <c r="C4904" s="183">
        <v>45227</v>
      </c>
      <c r="D4904" s="17" t="s">
        <v>52</v>
      </c>
      <c r="E4904" s="17" t="s">
        <v>1113</v>
      </c>
      <c r="F4904" s="17" t="s">
        <v>54</v>
      </c>
      <c r="G4904" s="17"/>
      <c r="H4904" s="124">
        <v>1.2311</v>
      </c>
      <c r="I4904" s="124"/>
      <c r="J4904" s="17" t="s">
        <v>82</v>
      </c>
      <c r="K4904" s="19">
        <v>305</v>
      </c>
      <c r="L4904" s="19">
        <v>130</v>
      </c>
      <c r="M4904" s="19">
        <v>2300</v>
      </c>
      <c r="N4904" s="19" t="s">
        <v>66</v>
      </c>
      <c r="O4904" s="19" t="s">
        <v>141</v>
      </c>
      <c r="P4904" s="266">
        <v>2101</v>
      </c>
      <c r="Q4904" s="266">
        <v>2183</v>
      </c>
      <c r="R4904" s="19">
        <f>+P4904-Q4904</f>
        <v>-82</v>
      </c>
      <c r="S4904" s="19">
        <v>970</v>
      </c>
      <c r="T4904" s="19" t="s">
        <v>42</v>
      </c>
      <c r="U4904" s="102" t="s">
        <v>1365</v>
      </c>
      <c r="V4904" s="253">
        <v>45118</v>
      </c>
      <c r="W4904" s="17" t="s">
        <v>44</v>
      </c>
      <c r="X4904" s="17"/>
      <c r="Y4904" s="68">
        <v>45283</v>
      </c>
      <c r="Z4904" s="17" t="s">
        <v>191</v>
      </c>
      <c r="AA4904" s="17" t="s">
        <v>46</v>
      </c>
      <c r="AB4904" s="17" t="s">
        <v>1248</v>
      </c>
      <c r="AC4904" s="217">
        <v>45364</v>
      </c>
      <c r="AD4904" s="65">
        <v>1539</v>
      </c>
      <c r="AE4904" s="17" t="s">
        <v>74</v>
      </c>
      <c r="AF4904" s="17"/>
      <c r="AG4904" s="17"/>
      <c r="AH4904" s="17"/>
      <c r="AI4904" s="17"/>
      <c r="AJ4904" s="17"/>
      <c r="AK4904" s="17"/>
      <c r="AL4904" s="17"/>
      <c r="AM4904" s="17"/>
      <c r="AN4904" s="17"/>
      <c r="AO4904" s="17"/>
      <c r="AP4904" s="17"/>
      <c r="AQ4904" s="17"/>
      <c r="AR4904" s="17"/>
    </row>
    <row r="4905" s="21" customFormat="1" ht="15.6" hidden="1" spans="1:44">
      <c r="A4905" s="17" t="s">
        <v>34</v>
      </c>
      <c r="B4905" s="19">
        <v>964</v>
      </c>
      <c r="C4905" s="183">
        <v>45227</v>
      </c>
      <c r="D4905" s="17" t="s">
        <v>52</v>
      </c>
      <c r="E4905" s="17" t="s">
        <v>1113</v>
      </c>
      <c r="F4905" s="17" t="s">
        <v>54</v>
      </c>
      <c r="G4905" s="17"/>
      <c r="H4905" s="124">
        <v>1.2311</v>
      </c>
      <c r="I4905" s="124"/>
      <c r="J4905" s="17" t="s">
        <v>82</v>
      </c>
      <c r="K4905" s="19">
        <v>355</v>
      </c>
      <c r="L4905" s="19">
        <v>130</v>
      </c>
      <c r="M4905" s="19">
        <v>2300</v>
      </c>
      <c r="N4905" s="19" t="s">
        <v>66</v>
      </c>
      <c r="O4905" s="19" t="s">
        <v>141</v>
      </c>
      <c r="P4905" s="266">
        <v>2445</v>
      </c>
      <c r="Q4905" s="266">
        <v>1699</v>
      </c>
      <c r="R4905" s="19">
        <f>+P4905-Q4905</f>
        <v>746</v>
      </c>
      <c r="S4905" s="19">
        <v>970</v>
      </c>
      <c r="T4905" s="19" t="s">
        <v>42</v>
      </c>
      <c r="U4905" s="102" t="s">
        <v>1365</v>
      </c>
      <c r="V4905" s="253">
        <v>45118</v>
      </c>
      <c r="W4905" s="17" t="s">
        <v>44</v>
      </c>
      <c r="X4905" s="17"/>
      <c r="Y4905" s="68">
        <v>45283</v>
      </c>
      <c r="Z4905" s="17" t="s">
        <v>191</v>
      </c>
      <c r="AA4905" s="17" t="s">
        <v>46</v>
      </c>
      <c r="AB4905" s="17" t="s">
        <v>1248</v>
      </c>
      <c r="AC4905" s="217">
        <v>45364</v>
      </c>
      <c r="AD4905" s="65">
        <v>1539</v>
      </c>
      <c r="AE4905" s="17" t="s">
        <v>74</v>
      </c>
      <c r="AF4905" s="17"/>
      <c r="AG4905" s="17"/>
      <c r="AH4905" s="17"/>
      <c r="AI4905" s="17"/>
      <c r="AJ4905" s="17"/>
      <c r="AK4905" s="17"/>
      <c r="AL4905" s="17"/>
      <c r="AM4905" s="17"/>
      <c r="AN4905" s="17"/>
      <c r="AO4905" s="17"/>
      <c r="AP4905" s="17"/>
      <c r="AQ4905" s="17"/>
      <c r="AR4905" s="17"/>
    </row>
    <row r="4906" s="21" customFormat="1" ht="15.6" hidden="1" spans="1:44">
      <c r="A4906" s="17" t="s">
        <v>34</v>
      </c>
      <c r="B4906" s="19">
        <v>964</v>
      </c>
      <c r="C4906" s="183">
        <v>45227</v>
      </c>
      <c r="D4906" s="17" t="s">
        <v>52</v>
      </c>
      <c r="E4906" s="17" t="s">
        <v>1113</v>
      </c>
      <c r="F4906" s="17" t="s">
        <v>54</v>
      </c>
      <c r="G4906" s="17"/>
      <c r="H4906" s="124">
        <v>1.2311</v>
      </c>
      <c r="I4906" s="124"/>
      <c r="J4906" s="17" t="s">
        <v>82</v>
      </c>
      <c r="K4906" s="19">
        <v>405</v>
      </c>
      <c r="L4906" s="19">
        <v>130</v>
      </c>
      <c r="M4906" s="19">
        <v>2300</v>
      </c>
      <c r="N4906" s="19" t="s">
        <v>66</v>
      </c>
      <c r="O4906" s="19" t="s">
        <v>141</v>
      </c>
      <c r="P4906" s="266">
        <v>1860</v>
      </c>
      <c r="Q4906" s="266">
        <v>961</v>
      </c>
      <c r="R4906" s="19">
        <f>+P4906-Q4906</f>
        <v>899</v>
      </c>
      <c r="S4906" s="19">
        <v>970</v>
      </c>
      <c r="T4906" s="19" t="s">
        <v>42</v>
      </c>
      <c r="U4906" s="102" t="s">
        <v>1365</v>
      </c>
      <c r="V4906" s="253">
        <v>45118</v>
      </c>
      <c r="W4906" s="17" t="s">
        <v>44</v>
      </c>
      <c r="X4906" s="17"/>
      <c r="Y4906" s="68">
        <v>45283</v>
      </c>
      <c r="Z4906" s="17" t="s">
        <v>191</v>
      </c>
      <c r="AA4906" s="17" t="s">
        <v>46</v>
      </c>
      <c r="AB4906" s="17" t="s">
        <v>1248</v>
      </c>
      <c r="AC4906" s="217">
        <v>45364</v>
      </c>
      <c r="AD4906" s="65">
        <v>1539</v>
      </c>
      <c r="AE4906" s="17" t="s">
        <v>74</v>
      </c>
      <c r="AF4906" s="17"/>
      <c r="AG4906" s="17"/>
      <c r="AH4906" s="17"/>
      <c r="AI4906" s="17"/>
      <c r="AJ4906" s="17"/>
      <c r="AK4906" s="17"/>
      <c r="AL4906" s="17"/>
      <c r="AM4906" s="17"/>
      <c r="AN4906" s="17"/>
      <c r="AO4906" s="17"/>
      <c r="AP4906" s="17"/>
      <c r="AQ4906" s="17"/>
      <c r="AR4906" s="17"/>
    </row>
    <row r="4907" s="21" customFormat="1" ht="15.6" hidden="1" spans="1:44">
      <c r="A4907" s="17" t="s">
        <v>34</v>
      </c>
      <c r="B4907" s="19">
        <v>964</v>
      </c>
      <c r="C4907" s="183">
        <v>45227</v>
      </c>
      <c r="D4907" s="17" t="s">
        <v>52</v>
      </c>
      <c r="E4907" s="17" t="s">
        <v>1113</v>
      </c>
      <c r="F4907" s="17" t="s">
        <v>54</v>
      </c>
      <c r="G4907" s="17"/>
      <c r="H4907" s="124">
        <v>1.2311</v>
      </c>
      <c r="I4907" s="124"/>
      <c r="J4907" s="17" t="s">
        <v>82</v>
      </c>
      <c r="K4907" s="19">
        <v>455</v>
      </c>
      <c r="L4907" s="19">
        <v>130</v>
      </c>
      <c r="M4907" s="19">
        <v>2300</v>
      </c>
      <c r="N4907" s="19" t="s">
        <v>66</v>
      </c>
      <c r="O4907" s="19" t="s">
        <v>141</v>
      </c>
      <c r="P4907" s="266">
        <v>2089</v>
      </c>
      <c r="Q4907" s="266">
        <v>1090</v>
      </c>
      <c r="S4907" s="19">
        <v>970</v>
      </c>
      <c r="T4907" s="19" t="s">
        <v>42</v>
      </c>
      <c r="U4907" s="102" t="s">
        <v>1365</v>
      </c>
      <c r="V4907" s="253">
        <v>45118</v>
      </c>
      <c r="W4907" s="17" t="s">
        <v>44</v>
      </c>
      <c r="X4907" s="17"/>
      <c r="Y4907" s="68">
        <v>45283</v>
      </c>
      <c r="Z4907" s="17" t="s">
        <v>191</v>
      </c>
      <c r="AA4907" s="17" t="s">
        <v>46</v>
      </c>
      <c r="AB4907" s="17" t="s">
        <v>1248</v>
      </c>
      <c r="AC4907" s="217">
        <v>45364</v>
      </c>
      <c r="AD4907" s="65">
        <v>1539</v>
      </c>
      <c r="AE4907" s="17" t="s">
        <v>74</v>
      </c>
      <c r="AF4907" s="17"/>
      <c r="AG4907" s="17"/>
      <c r="AH4907" s="17"/>
      <c r="AI4907" s="17"/>
      <c r="AJ4907" s="17"/>
      <c r="AK4907" s="17"/>
      <c r="AL4907" s="17"/>
      <c r="AM4907" s="17"/>
      <c r="AN4907" s="17"/>
      <c r="AO4907" s="17"/>
      <c r="AP4907" s="17"/>
      <c r="AQ4907" s="17"/>
      <c r="AR4907" s="17"/>
    </row>
    <row r="4908" s="21" customFormat="1" ht="15.6" hidden="1" spans="1:44">
      <c r="A4908" s="17" t="s">
        <v>34</v>
      </c>
      <c r="B4908" s="19">
        <v>964</v>
      </c>
      <c r="C4908" s="183">
        <v>45227</v>
      </c>
      <c r="D4908" s="17" t="s">
        <v>52</v>
      </c>
      <c r="E4908" s="17" t="s">
        <v>1113</v>
      </c>
      <c r="F4908" s="17" t="s">
        <v>54</v>
      </c>
      <c r="G4908" s="17"/>
      <c r="H4908" s="124">
        <v>1.2311</v>
      </c>
      <c r="I4908" s="124"/>
      <c r="J4908" s="17" t="s">
        <v>82</v>
      </c>
      <c r="K4908" s="19">
        <v>455</v>
      </c>
      <c r="L4908" s="19">
        <v>130</v>
      </c>
      <c r="M4908" s="19">
        <v>2300</v>
      </c>
      <c r="N4908" s="19" t="s">
        <v>66</v>
      </c>
      <c r="O4908" s="19" t="s">
        <v>141</v>
      </c>
      <c r="P4908" s="266"/>
      <c r="Q4908" s="266">
        <v>1091</v>
      </c>
      <c r="R4908" s="19">
        <f>+P4907-Q4907-Q4908</f>
        <v>-92</v>
      </c>
      <c r="S4908" s="19">
        <v>970</v>
      </c>
      <c r="T4908" s="19" t="s">
        <v>42</v>
      </c>
      <c r="U4908" s="102" t="s">
        <v>1365</v>
      </c>
      <c r="V4908" s="253">
        <v>45118</v>
      </c>
      <c r="W4908" s="17" t="s">
        <v>44</v>
      </c>
      <c r="X4908" s="17"/>
      <c r="Y4908" s="68">
        <v>45283</v>
      </c>
      <c r="Z4908" s="17" t="s">
        <v>191</v>
      </c>
      <c r="AA4908" s="17" t="s">
        <v>46</v>
      </c>
      <c r="AB4908" s="17" t="s">
        <v>1261</v>
      </c>
      <c r="AC4908" s="66">
        <v>45364</v>
      </c>
      <c r="AD4908" s="65">
        <v>1538</v>
      </c>
      <c r="AE4908" s="17" t="s">
        <v>74</v>
      </c>
      <c r="AF4908" s="17"/>
      <c r="AG4908" s="17"/>
      <c r="AH4908" s="17"/>
      <c r="AI4908" s="17"/>
      <c r="AJ4908" s="17"/>
      <c r="AK4908" s="17"/>
      <c r="AL4908" s="17"/>
      <c r="AM4908" s="17"/>
      <c r="AN4908" s="17"/>
      <c r="AO4908" s="17"/>
      <c r="AP4908" s="17"/>
      <c r="AQ4908" s="17"/>
      <c r="AR4908" s="17"/>
    </row>
    <row r="4909" s="21" customFormat="1" ht="15.6" hidden="1" spans="1:44">
      <c r="A4909" s="17" t="s">
        <v>34</v>
      </c>
      <c r="B4909" s="19">
        <v>964</v>
      </c>
      <c r="C4909" s="183">
        <v>45227</v>
      </c>
      <c r="D4909" s="17" t="s">
        <v>52</v>
      </c>
      <c r="E4909" s="17" t="s">
        <v>1113</v>
      </c>
      <c r="F4909" s="17" t="s">
        <v>54</v>
      </c>
      <c r="G4909" s="17"/>
      <c r="H4909" s="124">
        <v>1.2311</v>
      </c>
      <c r="I4909" s="124"/>
      <c r="J4909" s="17" t="s">
        <v>82</v>
      </c>
      <c r="K4909" s="19">
        <v>505</v>
      </c>
      <c r="L4909" s="19">
        <v>130</v>
      </c>
      <c r="M4909" s="19">
        <v>2300</v>
      </c>
      <c r="N4909" s="19" t="s">
        <v>66</v>
      </c>
      <c r="O4909" s="19" t="s">
        <v>141</v>
      </c>
      <c r="P4909" s="266">
        <v>2319</v>
      </c>
      <c r="Q4909" s="266">
        <v>2385</v>
      </c>
      <c r="R4909" s="19">
        <f t="shared" ref="R4909:R4919" si="230">+P4909-Q4909</f>
        <v>-66</v>
      </c>
      <c r="S4909" s="19">
        <v>970</v>
      </c>
      <c r="T4909" s="19" t="s">
        <v>42</v>
      </c>
      <c r="U4909" s="102" t="s">
        <v>1365</v>
      </c>
      <c r="V4909" s="253">
        <v>45118</v>
      </c>
      <c r="W4909" s="17" t="s">
        <v>44</v>
      </c>
      <c r="X4909" s="17"/>
      <c r="Y4909" s="68">
        <v>45283</v>
      </c>
      <c r="Z4909" s="17" t="s">
        <v>191</v>
      </c>
      <c r="AA4909" s="17" t="s">
        <v>46</v>
      </c>
      <c r="AB4909" s="17" t="s">
        <v>1248</v>
      </c>
      <c r="AC4909" s="217">
        <v>45364</v>
      </c>
      <c r="AD4909" s="65">
        <v>1539</v>
      </c>
      <c r="AE4909" s="17" t="s">
        <v>74</v>
      </c>
      <c r="AF4909" s="17"/>
      <c r="AG4909" s="17"/>
      <c r="AH4909" s="17"/>
      <c r="AI4909" s="17"/>
      <c r="AJ4909" s="17"/>
      <c r="AK4909" s="17"/>
      <c r="AL4909" s="17"/>
      <c r="AM4909" s="17"/>
      <c r="AN4909" s="17"/>
      <c r="AO4909" s="17"/>
      <c r="AP4909" s="17"/>
      <c r="AQ4909" s="17"/>
      <c r="AR4909" s="17"/>
    </row>
    <row r="4910" s="20" customFormat="1" ht="15.6" hidden="1" spans="1:44">
      <c r="A4910" s="17" t="s">
        <v>34</v>
      </c>
      <c r="B4910" s="19">
        <v>964</v>
      </c>
      <c r="C4910" s="183">
        <v>45227</v>
      </c>
      <c r="D4910" s="17" t="s">
        <v>52</v>
      </c>
      <c r="E4910" s="17" t="s">
        <v>1113</v>
      </c>
      <c r="F4910" s="17" t="s">
        <v>54</v>
      </c>
      <c r="G4910" s="17"/>
      <c r="H4910" s="124">
        <v>1.2311</v>
      </c>
      <c r="I4910" s="124"/>
      <c r="J4910" s="17" t="s">
        <v>82</v>
      </c>
      <c r="K4910" s="19">
        <v>205</v>
      </c>
      <c r="L4910" s="19">
        <v>155</v>
      </c>
      <c r="M4910" s="19">
        <v>2300</v>
      </c>
      <c r="N4910" s="19" t="s">
        <v>66</v>
      </c>
      <c r="O4910" s="19" t="s">
        <v>141</v>
      </c>
      <c r="P4910" s="266">
        <v>2245</v>
      </c>
      <c r="Q4910" s="266">
        <f>581+1759</f>
        <v>2340</v>
      </c>
      <c r="R4910" s="19">
        <f t="shared" si="230"/>
        <v>-95</v>
      </c>
      <c r="S4910" s="19">
        <v>990</v>
      </c>
      <c r="T4910" s="19" t="s">
        <v>42</v>
      </c>
      <c r="U4910" s="102" t="s">
        <v>1365</v>
      </c>
      <c r="V4910" s="253">
        <v>45118</v>
      </c>
      <c r="W4910" s="17" t="s">
        <v>44</v>
      </c>
      <c r="X4910" s="17"/>
      <c r="Y4910" s="68">
        <v>45283</v>
      </c>
      <c r="Z4910" s="17" t="s">
        <v>191</v>
      </c>
      <c r="AA4910" s="17" t="s">
        <v>46</v>
      </c>
      <c r="AB4910" s="17" t="s">
        <v>1237</v>
      </c>
      <c r="AC4910" s="217">
        <v>45627</v>
      </c>
      <c r="AD4910" s="65">
        <v>1516</v>
      </c>
      <c r="AE4910" s="17" t="s">
        <v>74</v>
      </c>
      <c r="AF4910" s="17"/>
      <c r="AG4910" s="17"/>
      <c r="AH4910" s="17"/>
      <c r="AI4910" s="17"/>
      <c r="AJ4910" s="17"/>
      <c r="AK4910" s="17"/>
      <c r="AL4910" s="17"/>
      <c r="AM4910" s="17"/>
      <c r="AN4910" s="17"/>
      <c r="AO4910" s="17"/>
      <c r="AP4910" s="17"/>
      <c r="AQ4910" s="17"/>
      <c r="AR4910" s="17"/>
    </row>
    <row r="4911" s="20" customFormat="1" ht="15.6" hidden="1" spans="1:44">
      <c r="A4911" s="17" t="s">
        <v>34</v>
      </c>
      <c r="B4911" s="19">
        <v>964</v>
      </c>
      <c r="C4911" s="183">
        <v>45227</v>
      </c>
      <c r="D4911" s="17" t="s">
        <v>52</v>
      </c>
      <c r="E4911" s="17" t="s">
        <v>1113</v>
      </c>
      <c r="F4911" s="17" t="s">
        <v>54</v>
      </c>
      <c r="G4911" s="17"/>
      <c r="H4911" s="124">
        <v>1.2311</v>
      </c>
      <c r="I4911" s="124"/>
      <c r="J4911" s="17" t="s">
        <v>82</v>
      </c>
      <c r="K4911" s="19">
        <v>255</v>
      </c>
      <c r="L4911" s="19">
        <v>155</v>
      </c>
      <c r="M4911" s="19">
        <v>2300</v>
      </c>
      <c r="N4911" s="19" t="s">
        <v>66</v>
      </c>
      <c r="O4911" s="19" t="s">
        <v>141</v>
      </c>
      <c r="P4911" s="266">
        <v>2094</v>
      </c>
      <c r="Q4911" s="266">
        <v>2167</v>
      </c>
      <c r="R4911" s="19">
        <f t="shared" si="230"/>
        <v>-73</v>
      </c>
      <c r="S4911" s="19">
        <v>990</v>
      </c>
      <c r="T4911" s="19" t="s">
        <v>42</v>
      </c>
      <c r="U4911" s="102" t="s">
        <v>1365</v>
      </c>
      <c r="V4911" s="253">
        <v>45118</v>
      </c>
      <c r="W4911" s="17" t="s">
        <v>44</v>
      </c>
      <c r="X4911" s="17"/>
      <c r="Y4911" s="68">
        <v>45283</v>
      </c>
      <c r="Z4911" s="17" t="s">
        <v>191</v>
      </c>
      <c r="AA4911" s="17" t="s">
        <v>46</v>
      </c>
      <c r="AB4911" s="17" t="s">
        <v>1237</v>
      </c>
      <c r="AC4911" s="217">
        <v>45627</v>
      </c>
      <c r="AD4911" s="65">
        <v>1516</v>
      </c>
      <c r="AE4911" s="17" t="s">
        <v>74</v>
      </c>
      <c r="AF4911" s="17"/>
      <c r="AG4911" s="17"/>
      <c r="AH4911" s="17"/>
      <c r="AI4911" s="17"/>
      <c r="AJ4911" s="17"/>
      <c r="AK4911" s="17"/>
      <c r="AL4911" s="17"/>
      <c r="AM4911" s="17"/>
      <c r="AN4911" s="17"/>
      <c r="AO4911" s="17"/>
      <c r="AP4911" s="17"/>
      <c r="AQ4911" s="17"/>
      <c r="AR4911" s="17"/>
    </row>
    <row r="4912" s="20" customFormat="1" ht="15.6" hidden="1" spans="1:44">
      <c r="A4912" s="17" t="s">
        <v>34</v>
      </c>
      <c r="B4912" s="19">
        <v>964</v>
      </c>
      <c r="C4912" s="183">
        <v>45227</v>
      </c>
      <c r="D4912" s="17" t="s">
        <v>52</v>
      </c>
      <c r="E4912" s="17" t="s">
        <v>1113</v>
      </c>
      <c r="F4912" s="17" t="s">
        <v>54</v>
      </c>
      <c r="G4912" s="17"/>
      <c r="H4912" s="124">
        <v>1.2311</v>
      </c>
      <c r="I4912" s="124"/>
      <c r="J4912" s="17" t="s">
        <v>82</v>
      </c>
      <c r="K4912" s="19">
        <v>305</v>
      </c>
      <c r="L4912" s="19">
        <v>155</v>
      </c>
      <c r="M4912" s="19">
        <v>2300</v>
      </c>
      <c r="N4912" s="19" t="s">
        <v>66</v>
      </c>
      <c r="O4912" s="19" t="s">
        <v>141</v>
      </c>
      <c r="P4912" s="266">
        <v>2505</v>
      </c>
      <c r="Q4912" s="266">
        <v>2577</v>
      </c>
      <c r="R4912" s="19">
        <f t="shared" si="230"/>
        <v>-72</v>
      </c>
      <c r="S4912" s="19">
        <v>990</v>
      </c>
      <c r="T4912" s="19" t="s">
        <v>42</v>
      </c>
      <c r="U4912" s="102" t="s">
        <v>1365</v>
      </c>
      <c r="V4912" s="253">
        <v>45118</v>
      </c>
      <c r="W4912" s="17" t="s">
        <v>44</v>
      </c>
      <c r="X4912" s="17"/>
      <c r="Y4912" s="68">
        <v>45283</v>
      </c>
      <c r="Z4912" s="17" t="s">
        <v>191</v>
      </c>
      <c r="AA4912" s="17" t="s">
        <v>46</v>
      </c>
      <c r="AB4912" s="17" t="s">
        <v>1237</v>
      </c>
      <c r="AC4912" s="217">
        <v>45627</v>
      </c>
      <c r="AD4912" s="65">
        <v>1516</v>
      </c>
      <c r="AE4912" s="17" t="s">
        <v>74</v>
      </c>
      <c r="AF4912" s="17"/>
      <c r="AG4912" s="17"/>
      <c r="AH4912" s="17"/>
      <c r="AI4912" s="17"/>
      <c r="AJ4912" s="17"/>
      <c r="AK4912" s="17"/>
      <c r="AL4912" s="17"/>
      <c r="AM4912" s="17"/>
      <c r="AN4912" s="17"/>
      <c r="AO4912" s="17"/>
      <c r="AP4912" s="17"/>
      <c r="AQ4912" s="17"/>
      <c r="AR4912" s="17"/>
    </row>
    <row r="4913" s="20" customFormat="1" ht="15.6" hidden="1" spans="1:44">
      <c r="A4913" s="17" t="s">
        <v>34</v>
      </c>
      <c r="B4913" s="19">
        <v>964</v>
      </c>
      <c r="C4913" s="183">
        <v>45227</v>
      </c>
      <c r="D4913" s="17" t="s">
        <v>52</v>
      </c>
      <c r="E4913" s="17" t="s">
        <v>1113</v>
      </c>
      <c r="F4913" s="17" t="s">
        <v>54</v>
      </c>
      <c r="G4913" s="17"/>
      <c r="H4913" s="124">
        <v>1.2311</v>
      </c>
      <c r="I4913" s="124"/>
      <c r="J4913" s="17" t="s">
        <v>82</v>
      </c>
      <c r="K4913" s="19">
        <v>355</v>
      </c>
      <c r="L4913" s="19">
        <v>155</v>
      </c>
      <c r="M4913" s="19">
        <v>2300</v>
      </c>
      <c r="N4913" s="19" t="s">
        <v>66</v>
      </c>
      <c r="O4913" s="19" t="s">
        <v>141</v>
      </c>
      <c r="P4913" s="266">
        <v>1944</v>
      </c>
      <c r="Q4913" s="266">
        <v>1996</v>
      </c>
      <c r="R4913" s="19">
        <f t="shared" si="230"/>
        <v>-52</v>
      </c>
      <c r="S4913" s="19">
        <v>990</v>
      </c>
      <c r="T4913" s="19" t="s">
        <v>42</v>
      </c>
      <c r="U4913" s="102" t="s">
        <v>1365</v>
      </c>
      <c r="V4913" s="253">
        <v>45118</v>
      </c>
      <c r="W4913" s="17" t="s">
        <v>44</v>
      </c>
      <c r="X4913" s="17"/>
      <c r="Y4913" s="68">
        <v>45283</v>
      </c>
      <c r="Z4913" s="17" t="s">
        <v>191</v>
      </c>
      <c r="AA4913" s="17" t="s">
        <v>46</v>
      </c>
      <c r="AB4913" s="17" t="s">
        <v>1237</v>
      </c>
      <c r="AC4913" s="217">
        <v>45627</v>
      </c>
      <c r="AD4913" s="65">
        <v>1516</v>
      </c>
      <c r="AE4913" s="17" t="s">
        <v>74</v>
      </c>
      <c r="AF4913" s="17"/>
      <c r="AG4913" s="17"/>
      <c r="AH4913" s="17"/>
      <c r="AI4913" s="17"/>
      <c r="AJ4913" s="17"/>
      <c r="AK4913" s="17"/>
      <c r="AL4913" s="17"/>
      <c r="AM4913" s="17"/>
      <c r="AN4913" s="17"/>
      <c r="AO4913" s="17"/>
      <c r="AP4913" s="17"/>
      <c r="AQ4913" s="17"/>
      <c r="AR4913" s="17"/>
    </row>
    <row r="4914" s="20" customFormat="1" ht="15.6" hidden="1" spans="1:44">
      <c r="A4914" s="17" t="s">
        <v>34</v>
      </c>
      <c r="B4914" s="19">
        <v>964</v>
      </c>
      <c r="C4914" s="183">
        <v>45227</v>
      </c>
      <c r="D4914" s="17" t="s">
        <v>52</v>
      </c>
      <c r="E4914" s="17" t="s">
        <v>1113</v>
      </c>
      <c r="F4914" s="17" t="s">
        <v>54</v>
      </c>
      <c r="G4914" s="17"/>
      <c r="H4914" s="124">
        <v>1.2311</v>
      </c>
      <c r="I4914" s="124"/>
      <c r="J4914" s="17" t="s">
        <v>82</v>
      </c>
      <c r="K4914" s="19">
        <v>405</v>
      </c>
      <c r="L4914" s="19">
        <v>155</v>
      </c>
      <c r="M4914" s="19">
        <v>2300</v>
      </c>
      <c r="N4914" s="19" t="s">
        <v>66</v>
      </c>
      <c r="O4914" s="19" t="s">
        <v>141</v>
      </c>
      <c r="P4914" s="266">
        <v>2218</v>
      </c>
      <c r="Q4914" s="266">
        <f>1141+1138</f>
        <v>2279</v>
      </c>
      <c r="R4914" s="19">
        <f t="shared" si="230"/>
        <v>-61</v>
      </c>
      <c r="S4914" s="19">
        <v>990</v>
      </c>
      <c r="T4914" s="19" t="s">
        <v>42</v>
      </c>
      <c r="U4914" s="102" t="s">
        <v>1365</v>
      </c>
      <c r="V4914" s="253">
        <v>45118</v>
      </c>
      <c r="W4914" s="17" t="s">
        <v>44</v>
      </c>
      <c r="X4914" s="17"/>
      <c r="Y4914" s="68">
        <v>45283</v>
      </c>
      <c r="Z4914" s="17" t="s">
        <v>191</v>
      </c>
      <c r="AA4914" s="17" t="s">
        <v>46</v>
      </c>
      <c r="AB4914" s="17" t="s">
        <v>1237</v>
      </c>
      <c r="AC4914" s="217">
        <v>45627</v>
      </c>
      <c r="AD4914" s="65">
        <v>1516</v>
      </c>
      <c r="AE4914" s="17" t="s">
        <v>74</v>
      </c>
      <c r="AF4914" s="17"/>
      <c r="AG4914" s="17"/>
      <c r="AH4914" s="17"/>
      <c r="AI4914" s="17"/>
      <c r="AJ4914" s="17"/>
      <c r="AK4914" s="17"/>
      <c r="AL4914" s="17"/>
      <c r="AM4914" s="17"/>
      <c r="AN4914" s="17"/>
      <c r="AO4914" s="17"/>
      <c r="AP4914" s="17"/>
      <c r="AQ4914" s="17"/>
      <c r="AR4914" s="17"/>
    </row>
    <row r="4915" s="20" customFormat="1" ht="15.6" hidden="1" spans="1:44">
      <c r="A4915" s="17" t="s">
        <v>34</v>
      </c>
      <c r="B4915" s="19">
        <v>964</v>
      </c>
      <c r="C4915" s="183">
        <v>45227</v>
      </c>
      <c r="D4915" s="17" t="s">
        <v>52</v>
      </c>
      <c r="E4915" s="17" t="s">
        <v>1113</v>
      </c>
      <c r="F4915" s="17" t="s">
        <v>54</v>
      </c>
      <c r="G4915" s="17"/>
      <c r="H4915" s="124">
        <v>1.2311</v>
      </c>
      <c r="I4915" s="124"/>
      <c r="J4915" s="17" t="s">
        <v>82</v>
      </c>
      <c r="K4915" s="19">
        <v>455</v>
      </c>
      <c r="L4915" s="19">
        <v>155</v>
      </c>
      <c r="M4915" s="19">
        <v>2300</v>
      </c>
      <c r="N4915" s="19" t="s">
        <v>66</v>
      </c>
      <c r="O4915" s="19" t="s">
        <v>141</v>
      </c>
      <c r="P4915" s="266">
        <v>2491</v>
      </c>
      <c r="Q4915" s="266">
        <f>1283+1278</f>
        <v>2561</v>
      </c>
      <c r="R4915" s="19">
        <f t="shared" si="230"/>
        <v>-70</v>
      </c>
      <c r="S4915" s="19">
        <v>990</v>
      </c>
      <c r="T4915" s="19" t="s">
        <v>42</v>
      </c>
      <c r="U4915" s="102" t="s">
        <v>1365</v>
      </c>
      <c r="V4915" s="253">
        <v>45118</v>
      </c>
      <c r="W4915" s="17" t="s">
        <v>44</v>
      </c>
      <c r="X4915" s="17"/>
      <c r="Y4915" s="68">
        <v>45283</v>
      </c>
      <c r="Z4915" s="17" t="s">
        <v>191</v>
      </c>
      <c r="AA4915" s="17" t="s">
        <v>46</v>
      </c>
      <c r="AB4915" s="17" t="s">
        <v>1237</v>
      </c>
      <c r="AC4915" s="217">
        <v>45627</v>
      </c>
      <c r="AD4915" s="65">
        <v>1516</v>
      </c>
      <c r="AE4915" s="17" t="s">
        <v>74</v>
      </c>
      <c r="AF4915" s="17"/>
      <c r="AG4915" s="17"/>
      <c r="AH4915" s="17"/>
      <c r="AI4915" s="17"/>
      <c r="AJ4915" s="17"/>
      <c r="AK4915" s="17"/>
      <c r="AL4915" s="17"/>
      <c r="AM4915" s="17"/>
      <c r="AN4915" s="17"/>
      <c r="AO4915" s="17"/>
      <c r="AP4915" s="17"/>
      <c r="AQ4915" s="17"/>
      <c r="AR4915" s="17"/>
    </row>
    <row r="4916" s="20" customFormat="1" ht="15.6" hidden="1" spans="1:44">
      <c r="A4916" s="17" t="s">
        <v>34</v>
      </c>
      <c r="B4916" s="19">
        <v>964</v>
      </c>
      <c r="C4916" s="183">
        <v>45227</v>
      </c>
      <c r="D4916" s="17" t="s">
        <v>52</v>
      </c>
      <c r="E4916" s="17" t="s">
        <v>1113</v>
      </c>
      <c r="F4916" s="17" t="s">
        <v>54</v>
      </c>
      <c r="G4916" s="17"/>
      <c r="H4916" s="124">
        <v>1.2311</v>
      </c>
      <c r="I4916" s="124"/>
      <c r="J4916" s="17" t="s">
        <v>82</v>
      </c>
      <c r="K4916" s="19">
        <v>505</v>
      </c>
      <c r="L4916" s="19">
        <v>155</v>
      </c>
      <c r="M4916" s="19">
        <v>2300</v>
      </c>
      <c r="N4916" s="19" t="s">
        <v>66</v>
      </c>
      <c r="O4916" s="19" t="s">
        <v>141</v>
      </c>
      <c r="P4916" s="266">
        <v>2765</v>
      </c>
      <c r="Q4916" s="266">
        <v>2827</v>
      </c>
      <c r="R4916" s="19">
        <f t="shared" si="230"/>
        <v>-62</v>
      </c>
      <c r="S4916" s="19">
        <v>990</v>
      </c>
      <c r="T4916" s="19" t="s">
        <v>42</v>
      </c>
      <c r="U4916" s="102" t="s">
        <v>1365</v>
      </c>
      <c r="V4916" s="253">
        <v>45118</v>
      </c>
      <c r="W4916" s="17" t="s">
        <v>44</v>
      </c>
      <c r="X4916" s="17"/>
      <c r="Y4916" s="68">
        <v>45283</v>
      </c>
      <c r="Z4916" s="17" t="s">
        <v>191</v>
      </c>
      <c r="AA4916" s="17" t="s">
        <v>46</v>
      </c>
      <c r="AB4916" s="17" t="s">
        <v>1237</v>
      </c>
      <c r="AC4916" s="217">
        <v>45627</v>
      </c>
      <c r="AD4916" s="65">
        <v>1516</v>
      </c>
      <c r="AE4916" s="17" t="s">
        <v>74</v>
      </c>
      <c r="AF4916" s="17"/>
      <c r="AG4916" s="17"/>
      <c r="AH4916" s="17"/>
      <c r="AI4916" s="17"/>
      <c r="AJ4916" s="17"/>
      <c r="AK4916" s="17"/>
      <c r="AL4916" s="17"/>
      <c r="AM4916" s="17"/>
      <c r="AN4916" s="17"/>
      <c r="AO4916" s="17"/>
      <c r="AP4916" s="17"/>
      <c r="AQ4916" s="17"/>
      <c r="AR4916" s="17"/>
    </row>
    <row r="4917" s="20" customFormat="1" ht="15.6" hidden="1" spans="1:44">
      <c r="A4917" s="17" t="s">
        <v>34</v>
      </c>
      <c r="B4917" s="19">
        <v>964</v>
      </c>
      <c r="C4917" s="183">
        <v>45227</v>
      </c>
      <c r="D4917" s="17" t="s">
        <v>52</v>
      </c>
      <c r="E4917" s="17" t="s">
        <v>1113</v>
      </c>
      <c r="F4917" s="17" t="s">
        <v>54</v>
      </c>
      <c r="G4917" s="17"/>
      <c r="H4917" s="124">
        <v>1.2311</v>
      </c>
      <c r="I4917" s="124"/>
      <c r="J4917" s="17" t="s">
        <v>82</v>
      </c>
      <c r="K4917" s="19">
        <v>205</v>
      </c>
      <c r="L4917" s="19">
        <v>32</v>
      </c>
      <c r="M4917" s="19">
        <v>2300</v>
      </c>
      <c r="N4917" s="19" t="s">
        <v>66</v>
      </c>
      <c r="O4917" s="19" t="s">
        <v>141</v>
      </c>
      <c r="P4917" s="266">
        <v>463</v>
      </c>
      <c r="Q4917" s="266">
        <f>115+813</f>
        <v>928</v>
      </c>
      <c r="R4917" s="19">
        <f t="shared" si="230"/>
        <v>-465</v>
      </c>
      <c r="S4917" s="19">
        <v>950</v>
      </c>
      <c r="T4917" s="19" t="s">
        <v>42</v>
      </c>
      <c r="U4917" s="102" t="s">
        <v>1365</v>
      </c>
      <c r="V4917" s="253">
        <v>45118</v>
      </c>
      <c r="W4917" s="17" t="s">
        <v>44</v>
      </c>
      <c r="X4917" s="17"/>
      <c r="Y4917" s="68">
        <v>45283</v>
      </c>
      <c r="Z4917" s="17" t="s">
        <v>191</v>
      </c>
      <c r="AA4917" s="17" t="s">
        <v>46</v>
      </c>
      <c r="AB4917" s="17" t="s">
        <v>1244</v>
      </c>
      <c r="AC4917" s="66">
        <v>45286</v>
      </c>
      <c r="AD4917" s="65">
        <v>1505</v>
      </c>
      <c r="AE4917" s="17" t="s">
        <v>48</v>
      </c>
      <c r="AF4917" s="17"/>
      <c r="AG4917" s="17"/>
      <c r="AH4917" s="17"/>
      <c r="AI4917" s="17"/>
      <c r="AJ4917" s="17"/>
      <c r="AK4917" s="17"/>
      <c r="AL4917" s="17"/>
      <c r="AM4917" s="17"/>
      <c r="AN4917" s="17"/>
      <c r="AO4917" s="17"/>
      <c r="AP4917" s="17"/>
      <c r="AQ4917" s="17"/>
      <c r="AR4917" s="17"/>
    </row>
    <row r="4918" s="20" customFormat="1" ht="15.6" hidden="1" spans="1:44">
      <c r="A4918" s="17" t="s">
        <v>34</v>
      </c>
      <c r="B4918" s="19">
        <v>964</v>
      </c>
      <c r="C4918" s="183">
        <v>45227</v>
      </c>
      <c r="D4918" s="17" t="s">
        <v>52</v>
      </c>
      <c r="E4918" s="17" t="s">
        <v>1113</v>
      </c>
      <c r="F4918" s="17" t="s">
        <v>54</v>
      </c>
      <c r="G4918" s="17"/>
      <c r="H4918" s="124">
        <v>1.2311</v>
      </c>
      <c r="I4918" s="124"/>
      <c r="J4918" s="17" t="s">
        <v>82</v>
      </c>
      <c r="K4918" s="19">
        <v>255</v>
      </c>
      <c r="L4918" s="19">
        <v>32</v>
      </c>
      <c r="M4918" s="19">
        <v>2300</v>
      </c>
      <c r="N4918" s="19" t="s">
        <v>66</v>
      </c>
      <c r="O4918" s="19" t="s">
        <v>141</v>
      </c>
      <c r="P4918" s="266">
        <v>577</v>
      </c>
      <c r="Q4918" s="266">
        <f>425+142</f>
        <v>567</v>
      </c>
      <c r="R4918" s="19">
        <f t="shared" si="230"/>
        <v>10</v>
      </c>
      <c r="S4918" s="19">
        <v>950</v>
      </c>
      <c r="T4918" s="19" t="s">
        <v>42</v>
      </c>
      <c r="U4918" s="102" t="s">
        <v>1365</v>
      </c>
      <c r="V4918" s="253">
        <v>45118</v>
      </c>
      <c r="W4918" s="17" t="s">
        <v>44</v>
      </c>
      <c r="X4918" s="17"/>
      <c r="Y4918" s="68">
        <v>45283</v>
      </c>
      <c r="Z4918" s="17" t="s">
        <v>191</v>
      </c>
      <c r="AA4918" s="17" t="s">
        <v>46</v>
      </c>
      <c r="AB4918" s="17" t="s">
        <v>1244</v>
      </c>
      <c r="AC4918" s="66">
        <v>45286</v>
      </c>
      <c r="AD4918" s="65">
        <v>1505</v>
      </c>
      <c r="AE4918" s="17" t="s">
        <v>48</v>
      </c>
      <c r="AF4918" s="17"/>
      <c r="AG4918" s="17"/>
      <c r="AH4918" s="17"/>
      <c r="AI4918" s="17"/>
      <c r="AJ4918" s="17"/>
      <c r="AK4918" s="17"/>
      <c r="AL4918" s="17"/>
      <c r="AM4918" s="17"/>
      <c r="AN4918" s="17"/>
      <c r="AO4918" s="17"/>
      <c r="AP4918" s="17"/>
      <c r="AQ4918" s="17"/>
      <c r="AR4918" s="17"/>
    </row>
    <row r="4919" s="20" customFormat="1" ht="15.6" hidden="1" spans="1:44">
      <c r="A4919" s="17" t="s">
        <v>34</v>
      </c>
      <c r="B4919" s="19">
        <v>964</v>
      </c>
      <c r="C4919" s="183">
        <v>45227</v>
      </c>
      <c r="D4919" s="17" t="s">
        <v>52</v>
      </c>
      <c r="E4919" s="17" t="s">
        <v>1113</v>
      </c>
      <c r="F4919" s="17" t="s">
        <v>54</v>
      </c>
      <c r="G4919" s="17"/>
      <c r="H4919" s="124">
        <v>1.2311</v>
      </c>
      <c r="I4919" s="124"/>
      <c r="J4919" s="17" t="s">
        <v>82</v>
      </c>
      <c r="K4919" s="19">
        <v>305</v>
      </c>
      <c r="L4919" s="19">
        <v>32</v>
      </c>
      <c r="M4919" s="19">
        <v>2300</v>
      </c>
      <c r="N4919" s="19" t="s">
        <v>66</v>
      </c>
      <c r="O4919" s="19" t="s">
        <v>141</v>
      </c>
      <c r="P4919" s="266">
        <v>517</v>
      </c>
      <c r="Q4919" s="266">
        <v>338</v>
      </c>
      <c r="R4919" s="19">
        <f t="shared" si="230"/>
        <v>179</v>
      </c>
      <c r="S4919" s="19">
        <v>950</v>
      </c>
      <c r="T4919" s="19" t="s">
        <v>42</v>
      </c>
      <c r="U4919" s="102" t="s">
        <v>1365</v>
      </c>
      <c r="V4919" s="253">
        <v>45118</v>
      </c>
      <c r="W4919" s="17" t="s">
        <v>44</v>
      </c>
      <c r="X4919" s="17"/>
      <c r="Y4919" s="68">
        <v>45283</v>
      </c>
      <c r="Z4919" s="17" t="s">
        <v>191</v>
      </c>
      <c r="AA4919" s="17" t="s">
        <v>46</v>
      </c>
      <c r="AB4919" s="17" t="s">
        <v>1244</v>
      </c>
      <c r="AC4919" s="66">
        <v>45286</v>
      </c>
      <c r="AD4919" s="65">
        <v>1505</v>
      </c>
      <c r="AE4919" s="17" t="s">
        <v>48</v>
      </c>
      <c r="AF4919" s="17"/>
      <c r="AG4919" s="17"/>
      <c r="AH4919" s="17"/>
      <c r="AI4919" s="17"/>
      <c r="AJ4919" s="17"/>
      <c r="AK4919" s="17"/>
      <c r="AL4919" s="17"/>
      <c r="AM4919" s="17"/>
      <c r="AN4919" s="17"/>
      <c r="AO4919" s="17"/>
      <c r="AP4919" s="17"/>
      <c r="AQ4919" s="17"/>
      <c r="AR4919" s="17"/>
    </row>
    <row r="4920" s="20" customFormat="1" ht="15.75" hidden="1" customHeight="1" spans="1:44">
      <c r="A4920" s="17" t="s">
        <v>34</v>
      </c>
      <c r="B4920" s="19">
        <v>964</v>
      </c>
      <c r="C4920" s="183">
        <v>45227</v>
      </c>
      <c r="D4920" s="17" t="s">
        <v>52</v>
      </c>
      <c r="E4920" s="17" t="s">
        <v>1113</v>
      </c>
      <c r="F4920" s="17" t="s">
        <v>54</v>
      </c>
      <c r="G4920" s="17"/>
      <c r="H4920" s="124">
        <v>1.2311</v>
      </c>
      <c r="I4920" s="124"/>
      <c r="J4920" s="17" t="s">
        <v>82</v>
      </c>
      <c r="K4920" s="19">
        <v>355</v>
      </c>
      <c r="L4920" s="19">
        <v>32</v>
      </c>
      <c r="M4920" s="19">
        <v>2300</v>
      </c>
      <c r="N4920" s="19" t="s">
        <v>66</v>
      </c>
      <c r="O4920" s="19" t="s">
        <v>141</v>
      </c>
      <c r="P4920" s="266">
        <v>602</v>
      </c>
      <c r="Q4920" s="266">
        <v>386</v>
      </c>
      <c r="R4920" s="17"/>
      <c r="S4920" s="19">
        <v>950</v>
      </c>
      <c r="T4920" s="19" t="s">
        <v>42</v>
      </c>
      <c r="U4920" s="102" t="s">
        <v>1365</v>
      </c>
      <c r="V4920" s="253">
        <v>45118</v>
      </c>
      <c r="W4920" s="17" t="s">
        <v>44</v>
      </c>
      <c r="X4920" s="17"/>
      <c r="Y4920" s="68">
        <v>45283</v>
      </c>
      <c r="Z4920" s="17" t="s">
        <v>191</v>
      </c>
      <c r="AA4920" s="17" t="s">
        <v>46</v>
      </c>
      <c r="AB4920" s="17" t="s">
        <v>1244</v>
      </c>
      <c r="AC4920" s="66">
        <v>45286</v>
      </c>
      <c r="AD4920" s="65">
        <v>1505</v>
      </c>
      <c r="AE4920" s="17" t="s">
        <v>48</v>
      </c>
      <c r="AF4920" s="17"/>
      <c r="AG4920" s="17"/>
      <c r="AH4920" s="17"/>
      <c r="AI4920" s="17"/>
      <c r="AJ4920" s="17"/>
      <c r="AK4920" s="17"/>
      <c r="AL4920" s="17"/>
      <c r="AM4920" s="17"/>
      <c r="AN4920" s="17"/>
      <c r="AO4920" s="17"/>
      <c r="AP4920" s="17"/>
      <c r="AQ4920" s="17"/>
      <c r="AR4920" s="17"/>
    </row>
    <row r="4921" s="20" customFormat="1" ht="15.75" hidden="1" customHeight="1" spans="1:44">
      <c r="A4921" s="17" t="s">
        <v>34</v>
      </c>
      <c r="B4921" s="19">
        <v>964</v>
      </c>
      <c r="C4921" s="183">
        <v>45227</v>
      </c>
      <c r="D4921" s="17" t="s">
        <v>52</v>
      </c>
      <c r="E4921" s="17" t="s">
        <v>1113</v>
      </c>
      <c r="F4921" s="17" t="s">
        <v>54</v>
      </c>
      <c r="G4921" s="17"/>
      <c r="H4921" s="124">
        <v>1.2311</v>
      </c>
      <c r="I4921" s="124"/>
      <c r="J4921" s="17" t="s">
        <v>82</v>
      </c>
      <c r="K4921" s="19">
        <v>355</v>
      </c>
      <c r="L4921" s="19">
        <v>32</v>
      </c>
      <c r="M4921" s="19">
        <v>2300</v>
      </c>
      <c r="N4921" s="19" t="s">
        <v>66</v>
      </c>
      <c r="O4921" s="19" t="s">
        <v>141</v>
      </c>
      <c r="P4921" s="266"/>
      <c r="Q4921" s="266">
        <v>197</v>
      </c>
      <c r="R4921" s="19">
        <f>+P4920-Q4920-Q4921</f>
        <v>19</v>
      </c>
      <c r="S4921" s="19">
        <v>950</v>
      </c>
      <c r="T4921" s="19" t="s">
        <v>42</v>
      </c>
      <c r="U4921" s="102" t="s">
        <v>1365</v>
      </c>
      <c r="V4921" s="253">
        <v>45118</v>
      </c>
      <c r="W4921" s="17" t="s">
        <v>44</v>
      </c>
      <c r="X4921" s="17"/>
      <c r="Y4921" s="68">
        <v>45283</v>
      </c>
      <c r="Z4921" s="17" t="s">
        <v>191</v>
      </c>
      <c r="AA4921" s="17" t="s">
        <v>46</v>
      </c>
      <c r="AB4921" s="17" t="s">
        <v>1236</v>
      </c>
      <c r="AC4921" s="66">
        <v>45288</v>
      </c>
      <c r="AD4921" s="65">
        <v>1511</v>
      </c>
      <c r="AE4921" s="17" t="s">
        <v>48</v>
      </c>
      <c r="AF4921" s="17"/>
      <c r="AG4921" s="17"/>
      <c r="AH4921" s="17"/>
      <c r="AI4921" s="17"/>
      <c r="AJ4921" s="17"/>
      <c r="AK4921" s="17"/>
      <c r="AL4921" s="17"/>
      <c r="AM4921" s="17"/>
      <c r="AN4921" s="17"/>
      <c r="AO4921" s="17"/>
      <c r="AP4921" s="17"/>
      <c r="AQ4921" s="17"/>
      <c r="AR4921" s="17"/>
    </row>
    <row r="4922" s="20" customFormat="1" ht="15.6" hidden="1" spans="1:44">
      <c r="A4922" s="17" t="s">
        <v>34</v>
      </c>
      <c r="B4922" s="19">
        <v>964</v>
      </c>
      <c r="C4922" s="183">
        <v>45227</v>
      </c>
      <c r="D4922" s="17" t="s">
        <v>52</v>
      </c>
      <c r="E4922" s="17" t="s">
        <v>1113</v>
      </c>
      <c r="F4922" s="17" t="s">
        <v>54</v>
      </c>
      <c r="G4922" s="17"/>
      <c r="H4922" s="124">
        <v>1.2311</v>
      </c>
      <c r="I4922" s="124"/>
      <c r="J4922" s="17" t="s">
        <v>82</v>
      </c>
      <c r="K4922" s="19">
        <v>405</v>
      </c>
      <c r="L4922" s="19">
        <v>32</v>
      </c>
      <c r="M4922" s="19">
        <v>2300</v>
      </c>
      <c r="N4922" s="19" t="s">
        <v>66</v>
      </c>
      <c r="O4922" s="19" t="s">
        <v>141</v>
      </c>
      <c r="P4922" s="266">
        <v>458</v>
      </c>
      <c r="Q4922" s="266">
        <v>225</v>
      </c>
      <c r="R4922" s="19">
        <f>+P4922-Q4922</f>
        <v>233</v>
      </c>
      <c r="S4922" s="19">
        <v>950</v>
      </c>
      <c r="T4922" s="19" t="s">
        <v>42</v>
      </c>
      <c r="U4922" s="102" t="s">
        <v>1365</v>
      </c>
      <c r="V4922" s="253">
        <v>45118</v>
      </c>
      <c r="W4922" s="17" t="s">
        <v>44</v>
      </c>
      <c r="X4922" s="17"/>
      <c r="Y4922" s="68">
        <v>45283</v>
      </c>
      <c r="Z4922" s="17" t="s">
        <v>191</v>
      </c>
      <c r="AA4922" s="17" t="s">
        <v>46</v>
      </c>
      <c r="AB4922" s="17" t="s">
        <v>1244</v>
      </c>
      <c r="AC4922" s="66">
        <v>45286</v>
      </c>
      <c r="AD4922" s="65">
        <v>1505</v>
      </c>
      <c r="AE4922" s="17" t="s">
        <v>48</v>
      </c>
      <c r="AF4922" s="17"/>
      <c r="AG4922" s="17"/>
      <c r="AH4922" s="17"/>
      <c r="AI4922" s="17"/>
      <c r="AJ4922" s="17"/>
      <c r="AK4922" s="17"/>
      <c r="AL4922" s="17"/>
      <c r="AM4922" s="17"/>
      <c r="AN4922" s="17"/>
      <c r="AO4922" s="17"/>
      <c r="AP4922" s="17"/>
      <c r="AQ4922" s="17"/>
      <c r="AR4922" s="17"/>
    </row>
    <row r="4923" s="20" customFormat="1" ht="15.6" hidden="1" spans="1:44">
      <c r="A4923" s="17" t="s">
        <v>34</v>
      </c>
      <c r="B4923" s="19">
        <v>964</v>
      </c>
      <c r="C4923" s="183">
        <v>45227</v>
      </c>
      <c r="D4923" s="17" t="s">
        <v>52</v>
      </c>
      <c r="E4923" s="17" t="s">
        <v>1113</v>
      </c>
      <c r="F4923" s="17" t="s">
        <v>54</v>
      </c>
      <c r="G4923" s="17"/>
      <c r="H4923" s="124">
        <v>1.2311</v>
      </c>
      <c r="I4923" s="124"/>
      <c r="J4923" s="17" t="s">
        <v>82</v>
      </c>
      <c r="K4923" s="19">
        <v>510</v>
      </c>
      <c r="L4923" s="19">
        <v>32</v>
      </c>
      <c r="M4923" s="19">
        <v>2300</v>
      </c>
      <c r="N4923" s="19" t="s">
        <v>66</v>
      </c>
      <c r="O4923" s="19" t="s">
        <v>141</v>
      </c>
      <c r="P4923" s="266">
        <v>577</v>
      </c>
      <c r="Q4923" s="266">
        <v>563</v>
      </c>
      <c r="R4923" s="19">
        <f>+P4923-Q4923</f>
        <v>14</v>
      </c>
      <c r="S4923" s="19">
        <v>950</v>
      </c>
      <c r="T4923" s="19" t="s">
        <v>42</v>
      </c>
      <c r="U4923" s="102" t="s">
        <v>1365</v>
      </c>
      <c r="V4923" s="253">
        <v>45118</v>
      </c>
      <c r="W4923" s="17" t="s">
        <v>44</v>
      </c>
      <c r="X4923" s="17"/>
      <c r="Y4923" s="68">
        <v>45283</v>
      </c>
      <c r="Z4923" s="17" t="s">
        <v>191</v>
      </c>
      <c r="AA4923" s="17" t="s">
        <v>46</v>
      </c>
      <c r="AB4923" s="17" t="s">
        <v>1244</v>
      </c>
      <c r="AC4923" s="66">
        <v>45286</v>
      </c>
      <c r="AD4923" s="65">
        <v>1505</v>
      </c>
      <c r="AE4923" s="17" t="s">
        <v>48</v>
      </c>
      <c r="AF4923" s="17"/>
      <c r="AG4923" s="17"/>
      <c r="AH4923" s="17"/>
      <c r="AI4923" s="17"/>
      <c r="AJ4923" s="17"/>
      <c r="AK4923" s="17"/>
      <c r="AL4923" s="17"/>
      <c r="AM4923" s="17"/>
      <c r="AN4923" s="17"/>
      <c r="AO4923" s="17"/>
      <c r="AP4923" s="17"/>
      <c r="AQ4923" s="17"/>
      <c r="AR4923" s="17"/>
    </row>
    <row r="4924" s="20" customFormat="1" ht="15.6" hidden="1" spans="1:44">
      <c r="A4924" s="17" t="s">
        <v>34</v>
      </c>
      <c r="B4924" s="19">
        <v>964</v>
      </c>
      <c r="C4924" s="183">
        <v>45227</v>
      </c>
      <c r="D4924" s="17" t="s">
        <v>52</v>
      </c>
      <c r="E4924" s="17" t="s">
        <v>1113</v>
      </c>
      <c r="F4924" s="17" t="s">
        <v>54</v>
      </c>
      <c r="G4924" s="17"/>
      <c r="H4924" s="124">
        <v>1.2311</v>
      </c>
      <c r="I4924" s="124"/>
      <c r="J4924" s="17" t="s">
        <v>82</v>
      </c>
      <c r="K4924" s="19">
        <v>205</v>
      </c>
      <c r="L4924" s="19">
        <v>40</v>
      </c>
      <c r="M4924" s="19">
        <v>2300</v>
      </c>
      <c r="N4924" s="19" t="s">
        <v>66</v>
      </c>
      <c r="O4924" s="19" t="s">
        <v>141</v>
      </c>
      <c r="P4924" s="266">
        <v>579</v>
      </c>
      <c r="Q4924" s="266">
        <v>654</v>
      </c>
      <c r="R4924" s="19">
        <f>+P4924-Q4924</f>
        <v>-75</v>
      </c>
      <c r="S4924" s="19">
        <v>950</v>
      </c>
      <c r="T4924" s="19" t="s">
        <v>42</v>
      </c>
      <c r="U4924" s="102" t="s">
        <v>1365</v>
      </c>
      <c r="V4924" s="253">
        <v>45118</v>
      </c>
      <c r="W4924" s="17" t="s">
        <v>44</v>
      </c>
      <c r="X4924" s="17"/>
      <c r="Y4924" s="68">
        <v>45283</v>
      </c>
      <c r="Z4924" s="17" t="s">
        <v>191</v>
      </c>
      <c r="AA4924" s="17" t="s">
        <v>46</v>
      </c>
      <c r="AB4924" s="17" t="s">
        <v>1244</v>
      </c>
      <c r="AC4924" s="66">
        <v>45286</v>
      </c>
      <c r="AD4924" s="65">
        <v>1505</v>
      </c>
      <c r="AE4924" s="17" t="s">
        <v>48</v>
      </c>
      <c r="AF4924" s="17"/>
      <c r="AG4924" s="17"/>
      <c r="AH4924" s="17"/>
      <c r="AI4924" s="17"/>
      <c r="AJ4924" s="17"/>
      <c r="AK4924" s="17"/>
      <c r="AL4924" s="17"/>
      <c r="AM4924" s="17"/>
      <c r="AN4924" s="17"/>
      <c r="AO4924" s="17"/>
      <c r="AP4924" s="17"/>
      <c r="AQ4924" s="17"/>
      <c r="AR4924" s="17"/>
    </row>
    <row r="4925" s="20" customFormat="1" ht="15.6" hidden="1" spans="1:44">
      <c r="A4925" s="17" t="s">
        <v>34</v>
      </c>
      <c r="B4925" s="19">
        <v>964</v>
      </c>
      <c r="C4925" s="183">
        <v>45227</v>
      </c>
      <c r="D4925" s="17" t="s">
        <v>52</v>
      </c>
      <c r="E4925" s="17" t="s">
        <v>1113</v>
      </c>
      <c r="F4925" s="17" t="s">
        <v>54</v>
      </c>
      <c r="G4925" s="17"/>
      <c r="H4925" s="124">
        <v>1.2311</v>
      </c>
      <c r="I4925" s="124"/>
      <c r="J4925" s="17" t="s">
        <v>82</v>
      </c>
      <c r="K4925" s="19">
        <v>230</v>
      </c>
      <c r="L4925" s="19">
        <v>40</v>
      </c>
      <c r="M4925" s="19">
        <v>2300</v>
      </c>
      <c r="N4925" s="19" t="s">
        <v>66</v>
      </c>
      <c r="O4925" s="19" t="s">
        <v>141</v>
      </c>
      <c r="P4925" s="266">
        <v>487</v>
      </c>
      <c r="Q4925" s="266">
        <v>505</v>
      </c>
      <c r="R4925" s="19">
        <f>+P4925-Q4925</f>
        <v>-18</v>
      </c>
      <c r="S4925" s="19">
        <v>950</v>
      </c>
      <c r="T4925" s="19" t="s">
        <v>42</v>
      </c>
      <c r="U4925" s="102" t="s">
        <v>1365</v>
      </c>
      <c r="V4925" s="253">
        <v>45118</v>
      </c>
      <c r="W4925" s="17" t="s">
        <v>44</v>
      </c>
      <c r="X4925" s="17"/>
      <c r="Y4925" s="68">
        <v>45283</v>
      </c>
      <c r="Z4925" s="17" t="s">
        <v>191</v>
      </c>
      <c r="AA4925" s="17" t="s">
        <v>46</v>
      </c>
      <c r="AB4925" s="17" t="s">
        <v>1244</v>
      </c>
      <c r="AC4925" s="66">
        <v>45286</v>
      </c>
      <c r="AD4925" s="65">
        <v>1505</v>
      </c>
      <c r="AE4925" s="17" t="s">
        <v>48</v>
      </c>
      <c r="AF4925" s="17"/>
      <c r="AG4925" s="17"/>
      <c r="AH4925" s="17"/>
      <c r="AI4925" s="17"/>
      <c r="AJ4925" s="17"/>
      <c r="AK4925" s="17"/>
      <c r="AL4925" s="17"/>
      <c r="AM4925" s="17"/>
      <c r="AN4925" s="17"/>
      <c r="AO4925" s="17"/>
      <c r="AP4925" s="17"/>
      <c r="AQ4925" s="17"/>
      <c r="AR4925" s="17"/>
    </row>
    <row r="4926" s="20" customFormat="1" ht="15.6" hidden="1" spans="1:44">
      <c r="A4926" s="17" t="s">
        <v>34</v>
      </c>
      <c r="B4926" s="19">
        <v>964</v>
      </c>
      <c r="C4926" s="183">
        <v>45227</v>
      </c>
      <c r="D4926" s="17" t="s">
        <v>52</v>
      </c>
      <c r="E4926" s="17" t="s">
        <v>1113</v>
      </c>
      <c r="F4926" s="17" t="s">
        <v>54</v>
      </c>
      <c r="G4926" s="17"/>
      <c r="H4926" s="124">
        <v>1.2311</v>
      </c>
      <c r="I4926" s="124"/>
      <c r="J4926" s="17" t="s">
        <v>82</v>
      </c>
      <c r="K4926" s="19">
        <v>255</v>
      </c>
      <c r="L4926" s="19">
        <v>40</v>
      </c>
      <c r="M4926" s="19">
        <v>2300</v>
      </c>
      <c r="N4926" s="19" t="s">
        <v>66</v>
      </c>
      <c r="O4926" s="19" t="s">
        <v>141</v>
      </c>
      <c r="P4926" s="266">
        <v>540</v>
      </c>
      <c r="Q4926" s="266">
        <v>335</v>
      </c>
      <c r="R4926" s="17"/>
      <c r="S4926" s="19">
        <v>950</v>
      </c>
      <c r="T4926" s="19" t="s">
        <v>42</v>
      </c>
      <c r="U4926" s="102" t="s">
        <v>1365</v>
      </c>
      <c r="V4926" s="253">
        <v>45118</v>
      </c>
      <c r="W4926" s="17" t="s">
        <v>44</v>
      </c>
      <c r="X4926" s="17"/>
      <c r="Y4926" s="68">
        <v>45283</v>
      </c>
      <c r="Z4926" s="17" t="s">
        <v>191</v>
      </c>
      <c r="AA4926" s="17" t="s">
        <v>46</v>
      </c>
      <c r="AB4926" s="17" t="s">
        <v>1244</v>
      </c>
      <c r="AC4926" s="66">
        <v>45286</v>
      </c>
      <c r="AD4926" s="65">
        <v>1505</v>
      </c>
      <c r="AE4926" s="17" t="s">
        <v>48</v>
      </c>
      <c r="AF4926" s="17"/>
      <c r="AG4926" s="17"/>
      <c r="AH4926" s="17"/>
      <c r="AI4926" s="17"/>
      <c r="AJ4926" s="17"/>
      <c r="AK4926" s="17"/>
      <c r="AL4926" s="17"/>
      <c r="AM4926" s="17"/>
      <c r="AN4926" s="17"/>
      <c r="AO4926" s="17"/>
      <c r="AP4926" s="17"/>
      <c r="AQ4926" s="17"/>
      <c r="AR4926" s="17"/>
    </row>
    <row r="4927" s="20" customFormat="1" ht="15.6" hidden="1" spans="1:44">
      <c r="A4927" s="17" t="s">
        <v>34</v>
      </c>
      <c r="B4927" s="19">
        <v>964</v>
      </c>
      <c r="C4927" s="183">
        <v>45227</v>
      </c>
      <c r="D4927" s="17" t="s">
        <v>52</v>
      </c>
      <c r="E4927" s="17" t="s">
        <v>1113</v>
      </c>
      <c r="F4927" s="17" t="s">
        <v>54</v>
      </c>
      <c r="G4927" s="17"/>
      <c r="H4927" s="124">
        <v>1.2311</v>
      </c>
      <c r="I4927" s="124"/>
      <c r="J4927" s="17" t="s">
        <v>82</v>
      </c>
      <c r="K4927" s="19">
        <v>255</v>
      </c>
      <c r="L4927" s="19">
        <v>40</v>
      </c>
      <c r="M4927" s="19">
        <v>2300</v>
      </c>
      <c r="N4927" s="19" t="s">
        <v>66</v>
      </c>
      <c r="O4927" s="19" t="s">
        <v>141</v>
      </c>
      <c r="P4927" s="266"/>
      <c r="Q4927" s="266">
        <f>185+190</f>
        <v>375</v>
      </c>
      <c r="R4927" s="19">
        <f>+P4926-Q4926-Q4927</f>
        <v>-170</v>
      </c>
      <c r="S4927" s="19">
        <v>950</v>
      </c>
      <c r="T4927" s="19" t="s">
        <v>42</v>
      </c>
      <c r="U4927" s="102" t="s">
        <v>1365</v>
      </c>
      <c r="V4927" s="253">
        <v>45118</v>
      </c>
      <c r="W4927" s="17" t="s">
        <v>44</v>
      </c>
      <c r="X4927" s="17"/>
      <c r="Y4927" s="68">
        <v>45283</v>
      </c>
      <c r="Z4927" s="17" t="s">
        <v>191</v>
      </c>
      <c r="AA4927" s="17" t="s">
        <v>46</v>
      </c>
      <c r="AB4927" s="17" t="s">
        <v>1236</v>
      </c>
      <c r="AC4927" s="66">
        <v>45288</v>
      </c>
      <c r="AD4927" s="65">
        <v>1511</v>
      </c>
      <c r="AE4927" s="17" t="s">
        <v>48</v>
      </c>
      <c r="AF4927" s="17"/>
      <c r="AG4927" s="17"/>
      <c r="AH4927" s="17"/>
      <c r="AI4927" s="17"/>
      <c r="AJ4927" s="17"/>
      <c r="AK4927" s="17"/>
      <c r="AL4927" s="17"/>
      <c r="AM4927" s="17"/>
      <c r="AN4927" s="17"/>
      <c r="AO4927" s="17"/>
      <c r="AP4927" s="17"/>
      <c r="AQ4927" s="17"/>
      <c r="AR4927" s="17"/>
    </row>
    <row r="4928" s="20" customFormat="1" ht="15.6" hidden="1" spans="1:44">
      <c r="A4928" s="17" t="s">
        <v>34</v>
      </c>
      <c r="B4928" s="19">
        <v>964</v>
      </c>
      <c r="C4928" s="183">
        <v>45227</v>
      </c>
      <c r="D4928" s="17" t="s">
        <v>52</v>
      </c>
      <c r="E4928" s="17" t="s">
        <v>1113</v>
      </c>
      <c r="F4928" s="17" t="s">
        <v>54</v>
      </c>
      <c r="G4928" s="17"/>
      <c r="H4928" s="124">
        <v>1.2311</v>
      </c>
      <c r="I4928" s="124"/>
      <c r="J4928" s="17" t="s">
        <v>82</v>
      </c>
      <c r="K4928" s="19">
        <v>280</v>
      </c>
      <c r="L4928" s="19">
        <v>40</v>
      </c>
      <c r="M4928" s="19">
        <v>2300</v>
      </c>
      <c r="N4928" s="19" t="s">
        <v>66</v>
      </c>
      <c r="O4928" s="19" t="s">
        <v>141</v>
      </c>
      <c r="P4928" s="266">
        <v>593</v>
      </c>
      <c r="Q4928" s="266">
        <v>612</v>
      </c>
      <c r="R4928" s="19">
        <f t="shared" ref="R4928:R4959" si="231">+P4928-Q4928</f>
        <v>-19</v>
      </c>
      <c r="S4928" s="19">
        <v>950</v>
      </c>
      <c r="T4928" s="19" t="s">
        <v>42</v>
      </c>
      <c r="U4928" s="102" t="s">
        <v>1365</v>
      </c>
      <c r="V4928" s="253">
        <v>45118</v>
      </c>
      <c r="W4928" s="17" t="s">
        <v>44</v>
      </c>
      <c r="X4928" s="17"/>
      <c r="Y4928" s="68">
        <v>45283</v>
      </c>
      <c r="Z4928" s="17" t="s">
        <v>191</v>
      </c>
      <c r="AA4928" s="17" t="s">
        <v>46</v>
      </c>
      <c r="AB4928" s="17" t="s">
        <v>1244</v>
      </c>
      <c r="AC4928" s="66">
        <v>45286</v>
      </c>
      <c r="AD4928" s="65">
        <v>1505</v>
      </c>
      <c r="AE4928" s="17" t="s">
        <v>48</v>
      </c>
      <c r="AF4928" s="17"/>
      <c r="AG4928" s="17"/>
      <c r="AH4928" s="17"/>
      <c r="AI4928" s="17"/>
      <c r="AJ4928" s="17"/>
      <c r="AK4928" s="17"/>
      <c r="AL4928" s="17"/>
      <c r="AM4928" s="17"/>
      <c r="AN4928" s="17"/>
      <c r="AO4928" s="17"/>
      <c r="AP4928" s="17"/>
      <c r="AQ4928" s="17"/>
      <c r="AR4928" s="17"/>
    </row>
    <row r="4929" s="20" customFormat="1" ht="15.6" hidden="1" spans="1:44">
      <c r="A4929" s="17" t="s">
        <v>34</v>
      </c>
      <c r="B4929" s="19">
        <v>964</v>
      </c>
      <c r="C4929" s="183">
        <v>45227</v>
      </c>
      <c r="D4929" s="17" t="s">
        <v>52</v>
      </c>
      <c r="E4929" s="17" t="s">
        <v>1113</v>
      </c>
      <c r="F4929" s="17" t="s">
        <v>54</v>
      </c>
      <c r="G4929" s="17"/>
      <c r="H4929" s="124">
        <v>1.2311</v>
      </c>
      <c r="I4929" s="124"/>
      <c r="J4929" s="17" t="s">
        <v>82</v>
      </c>
      <c r="K4929" s="19">
        <v>305</v>
      </c>
      <c r="L4929" s="19">
        <v>40</v>
      </c>
      <c r="M4929" s="19">
        <v>2300</v>
      </c>
      <c r="N4929" s="19" t="s">
        <v>66</v>
      </c>
      <c r="O4929" s="19" t="s">
        <v>141</v>
      </c>
      <c r="P4929" s="266">
        <v>431</v>
      </c>
      <c r="Q4929" s="266">
        <v>444</v>
      </c>
      <c r="R4929" s="19">
        <f t="shared" si="231"/>
        <v>-13</v>
      </c>
      <c r="S4929" s="19">
        <v>950</v>
      </c>
      <c r="T4929" s="19" t="s">
        <v>42</v>
      </c>
      <c r="U4929" s="102" t="s">
        <v>1365</v>
      </c>
      <c r="V4929" s="253">
        <v>45118</v>
      </c>
      <c r="W4929" s="17" t="s">
        <v>44</v>
      </c>
      <c r="X4929" s="17"/>
      <c r="Y4929" s="68">
        <v>45283</v>
      </c>
      <c r="Z4929" s="17" t="s">
        <v>191</v>
      </c>
      <c r="AA4929" s="17" t="s">
        <v>46</v>
      </c>
      <c r="AB4929" s="17" t="s">
        <v>1244</v>
      </c>
      <c r="AC4929" s="66">
        <v>45286</v>
      </c>
      <c r="AD4929" s="65">
        <v>1505</v>
      </c>
      <c r="AE4929" s="17" t="s">
        <v>48</v>
      </c>
      <c r="AF4929" s="17"/>
      <c r="AG4929" s="17"/>
      <c r="AH4929" s="17"/>
      <c r="AI4929" s="17"/>
      <c r="AJ4929" s="17"/>
      <c r="AK4929" s="17"/>
      <c r="AL4929" s="17"/>
      <c r="AM4929" s="17"/>
      <c r="AN4929" s="17"/>
      <c r="AO4929" s="17"/>
      <c r="AP4929" s="17"/>
      <c r="AQ4929" s="17"/>
      <c r="AR4929" s="17"/>
    </row>
    <row r="4930" s="20" customFormat="1" ht="15.6" hidden="1" spans="1:44">
      <c r="A4930" s="17" t="s">
        <v>34</v>
      </c>
      <c r="B4930" s="19">
        <v>964</v>
      </c>
      <c r="C4930" s="183">
        <v>45227</v>
      </c>
      <c r="D4930" s="17" t="s">
        <v>52</v>
      </c>
      <c r="E4930" s="17" t="s">
        <v>1113</v>
      </c>
      <c r="F4930" s="17" t="s">
        <v>54</v>
      </c>
      <c r="G4930" s="17"/>
      <c r="H4930" s="124">
        <v>1.2311</v>
      </c>
      <c r="I4930" s="124"/>
      <c r="J4930" s="17" t="s">
        <v>82</v>
      </c>
      <c r="K4930" s="19">
        <v>355</v>
      </c>
      <c r="L4930" s="19">
        <v>40</v>
      </c>
      <c r="M4930" s="19">
        <v>2300</v>
      </c>
      <c r="N4930" s="19" t="s">
        <v>66</v>
      </c>
      <c r="O4930" s="19" t="s">
        <v>141</v>
      </c>
      <c r="P4930" s="266">
        <v>502</v>
      </c>
      <c r="Q4930" s="266">
        <v>515</v>
      </c>
      <c r="R4930" s="19">
        <f t="shared" si="231"/>
        <v>-13</v>
      </c>
      <c r="S4930" s="19">
        <v>950</v>
      </c>
      <c r="T4930" s="19" t="s">
        <v>42</v>
      </c>
      <c r="U4930" s="102" t="s">
        <v>1365</v>
      </c>
      <c r="V4930" s="253">
        <v>45118</v>
      </c>
      <c r="W4930" s="17" t="s">
        <v>44</v>
      </c>
      <c r="X4930" s="17"/>
      <c r="Y4930" s="68">
        <v>45283</v>
      </c>
      <c r="Z4930" s="17" t="s">
        <v>191</v>
      </c>
      <c r="AA4930" s="17" t="s">
        <v>46</v>
      </c>
      <c r="AB4930" s="17" t="s">
        <v>1236</v>
      </c>
      <c r="AC4930" s="66">
        <v>45288</v>
      </c>
      <c r="AD4930" s="65">
        <v>1511</v>
      </c>
      <c r="AE4930" s="17" t="s">
        <v>48</v>
      </c>
      <c r="AF4930" s="17"/>
      <c r="AG4930" s="17"/>
      <c r="AH4930" s="17"/>
      <c r="AI4930" s="17"/>
      <c r="AJ4930" s="17"/>
      <c r="AK4930" s="17"/>
      <c r="AL4930" s="17"/>
      <c r="AM4930" s="17"/>
      <c r="AN4930" s="17"/>
      <c r="AO4930" s="17"/>
      <c r="AP4930" s="17"/>
      <c r="AQ4930" s="17"/>
      <c r="AR4930" s="17"/>
    </row>
    <row r="4931" s="20" customFormat="1" ht="15.6" hidden="1" spans="1:44">
      <c r="A4931" s="17" t="s">
        <v>34</v>
      </c>
      <c r="B4931" s="19">
        <v>964</v>
      </c>
      <c r="C4931" s="183">
        <v>45227</v>
      </c>
      <c r="D4931" s="17" t="s">
        <v>52</v>
      </c>
      <c r="E4931" s="17" t="s">
        <v>1113</v>
      </c>
      <c r="F4931" s="17" t="s">
        <v>54</v>
      </c>
      <c r="G4931" s="17"/>
      <c r="H4931" s="124">
        <v>1.2311</v>
      </c>
      <c r="I4931" s="124"/>
      <c r="J4931" s="17" t="s">
        <v>82</v>
      </c>
      <c r="K4931" s="19">
        <v>405</v>
      </c>
      <c r="L4931" s="19">
        <v>40</v>
      </c>
      <c r="M4931" s="19">
        <v>2300</v>
      </c>
      <c r="N4931" s="19" t="s">
        <v>66</v>
      </c>
      <c r="O4931" s="19" t="s">
        <v>141</v>
      </c>
      <c r="P4931" s="266">
        <v>572</v>
      </c>
      <c r="Q4931" s="266">
        <v>688</v>
      </c>
      <c r="R4931" s="19">
        <f t="shared" si="231"/>
        <v>-116</v>
      </c>
      <c r="S4931" s="19">
        <v>950</v>
      </c>
      <c r="T4931" s="19" t="s">
        <v>42</v>
      </c>
      <c r="U4931" s="102" t="s">
        <v>1365</v>
      </c>
      <c r="V4931" s="253">
        <v>45118</v>
      </c>
      <c r="W4931" s="17" t="s">
        <v>44</v>
      </c>
      <c r="X4931" s="17"/>
      <c r="Y4931" s="68">
        <v>45283</v>
      </c>
      <c r="Z4931" s="17" t="s">
        <v>191</v>
      </c>
      <c r="AA4931" s="17" t="s">
        <v>46</v>
      </c>
      <c r="AB4931" s="17" t="s">
        <v>1244</v>
      </c>
      <c r="AC4931" s="66">
        <v>45286</v>
      </c>
      <c r="AD4931" s="65">
        <v>1505</v>
      </c>
      <c r="AE4931" s="17" t="s">
        <v>48</v>
      </c>
      <c r="AF4931" s="17"/>
      <c r="AG4931" s="17"/>
      <c r="AH4931" s="17"/>
      <c r="AI4931" s="17"/>
      <c r="AJ4931" s="17"/>
      <c r="AK4931" s="17"/>
      <c r="AL4931" s="17"/>
      <c r="AM4931" s="17"/>
      <c r="AN4931" s="17"/>
      <c r="AO4931" s="17"/>
      <c r="AP4931" s="17"/>
      <c r="AQ4931" s="17"/>
      <c r="AR4931" s="17"/>
    </row>
    <row r="4932" s="20" customFormat="1" ht="15.6" hidden="1" spans="1:44">
      <c r="A4932" s="17" t="s">
        <v>34</v>
      </c>
      <c r="B4932" s="19">
        <v>964</v>
      </c>
      <c r="C4932" s="183">
        <v>45227</v>
      </c>
      <c r="D4932" s="17" t="s">
        <v>52</v>
      </c>
      <c r="E4932" s="17" t="s">
        <v>1113</v>
      </c>
      <c r="F4932" s="17" t="s">
        <v>54</v>
      </c>
      <c r="G4932" s="17"/>
      <c r="H4932" s="124">
        <v>1.2311</v>
      </c>
      <c r="I4932" s="124"/>
      <c r="J4932" s="17" t="s">
        <v>82</v>
      </c>
      <c r="K4932" s="19">
        <v>510</v>
      </c>
      <c r="L4932" s="19">
        <v>40</v>
      </c>
      <c r="M4932" s="19">
        <v>2300</v>
      </c>
      <c r="N4932" s="19" t="s">
        <v>66</v>
      </c>
      <c r="O4932" s="19" t="s">
        <v>141</v>
      </c>
      <c r="P4932" s="266">
        <v>721</v>
      </c>
      <c r="Q4932" s="266">
        <f>379+368</f>
        <v>747</v>
      </c>
      <c r="R4932" s="19">
        <f t="shared" si="231"/>
        <v>-26</v>
      </c>
      <c r="S4932" s="19">
        <v>950</v>
      </c>
      <c r="T4932" s="19" t="s">
        <v>42</v>
      </c>
      <c r="U4932" s="102" t="s">
        <v>1365</v>
      </c>
      <c r="V4932" s="253">
        <v>45118</v>
      </c>
      <c r="W4932" s="17" t="s">
        <v>44</v>
      </c>
      <c r="X4932" s="17"/>
      <c r="Y4932" s="68">
        <v>45283</v>
      </c>
      <c r="Z4932" s="17" t="s">
        <v>191</v>
      </c>
      <c r="AA4932" s="17" t="s">
        <v>46</v>
      </c>
      <c r="AB4932" s="17" t="s">
        <v>1244</v>
      </c>
      <c r="AC4932" s="66">
        <v>45286</v>
      </c>
      <c r="AD4932" s="65">
        <v>1505</v>
      </c>
      <c r="AE4932" s="17" t="s">
        <v>48</v>
      </c>
      <c r="AF4932" s="17"/>
      <c r="AG4932" s="17"/>
      <c r="AH4932" s="17"/>
      <c r="AI4932" s="17"/>
      <c r="AJ4932" s="17"/>
      <c r="AK4932" s="17"/>
      <c r="AL4932" s="17"/>
      <c r="AM4932" s="17"/>
      <c r="AN4932" s="17"/>
      <c r="AO4932" s="17"/>
      <c r="AP4932" s="17"/>
      <c r="AQ4932" s="17"/>
      <c r="AR4932" s="17"/>
    </row>
    <row r="4933" s="20" customFormat="1" ht="15.6" hidden="1" spans="1:44">
      <c r="A4933" s="17" t="s">
        <v>34</v>
      </c>
      <c r="B4933" s="19">
        <v>964</v>
      </c>
      <c r="C4933" s="183">
        <v>45227</v>
      </c>
      <c r="D4933" s="17" t="s">
        <v>52</v>
      </c>
      <c r="E4933" s="17" t="s">
        <v>1113</v>
      </c>
      <c r="F4933" s="17" t="s">
        <v>54</v>
      </c>
      <c r="G4933" s="17"/>
      <c r="H4933" s="124">
        <v>1.2311</v>
      </c>
      <c r="I4933" s="124"/>
      <c r="J4933" s="17" t="s">
        <v>82</v>
      </c>
      <c r="K4933" s="19">
        <v>205</v>
      </c>
      <c r="L4933" s="19">
        <v>50</v>
      </c>
      <c r="M4933" s="19">
        <v>2300</v>
      </c>
      <c r="N4933" s="19" t="s">
        <v>66</v>
      </c>
      <c r="O4933" s="19" t="s">
        <v>141</v>
      </c>
      <c r="P4933" s="266">
        <v>543</v>
      </c>
      <c r="Q4933" s="266">
        <v>573</v>
      </c>
      <c r="R4933" s="19">
        <f t="shared" si="231"/>
        <v>-30</v>
      </c>
      <c r="S4933" s="19">
        <v>950</v>
      </c>
      <c r="T4933" s="19" t="s">
        <v>42</v>
      </c>
      <c r="U4933" s="102" t="s">
        <v>1365</v>
      </c>
      <c r="V4933" s="253">
        <v>45118</v>
      </c>
      <c r="W4933" s="17" t="s">
        <v>44</v>
      </c>
      <c r="X4933" s="17"/>
      <c r="Y4933" s="68">
        <v>45283</v>
      </c>
      <c r="Z4933" s="17" t="s">
        <v>191</v>
      </c>
      <c r="AA4933" s="17" t="s">
        <v>46</v>
      </c>
      <c r="AB4933" s="17" t="s">
        <v>1244</v>
      </c>
      <c r="AC4933" s="66">
        <v>45286</v>
      </c>
      <c r="AD4933" s="65">
        <v>1505</v>
      </c>
      <c r="AE4933" s="17" t="s">
        <v>48</v>
      </c>
      <c r="AF4933" s="17"/>
      <c r="AG4933" s="17"/>
      <c r="AH4933" s="17"/>
      <c r="AI4933" s="17"/>
      <c r="AJ4933" s="17"/>
      <c r="AK4933" s="17"/>
      <c r="AL4933" s="17"/>
      <c r="AM4933" s="17"/>
      <c r="AN4933" s="17"/>
      <c r="AO4933" s="17"/>
      <c r="AP4933" s="17"/>
      <c r="AQ4933" s="17"/>
      <c r="AR4933" s="17"/>
    </row>
    <row r="4934" s="20" customFormat="1" ht="15.6" hidden="1" spans="1:44">
      <c r="A4934" s="17" t="s">
        <v>34</v>
      </c>
      <c r="B4934" s="19">
        <v>964</v>
      </c>
      <c r="C4934" s="183">
        <v>45227</v>
      </c>
      <c r="D4934" s="17" t="s">
        <v>52</v>
      </c>
      <c r="E4934" s="17" t="s">
        <v>1113</v>
      </c>
      <c r="F4934" s="17" t="s">
        <v>54</v>
      </c>
      <c r="G4934" s="17"/>
      <c r="H4934" s="124">
        <v>1.2311</v>
      </c>
      <c r="I4934" s="124"/>
      <c r="J4934" s="17" t="s">
        <v>82</v>
      </c>
      <c r="K4934" s="19">
        <v>230</v>
      </c>
      <c r="L4934" s="19">
        <v>50</v>
      </c>
      <c r="M4934" s="19">
        <v>2300</v>
      </c>
      <c r="N4934" s="19" t="s">
        <v>66</v>
      </c>
      <c r="O4934" s="19" t="s">
        <v>141</v>
      </c>
      <c r="P4934" s="266">
        <v>609</v>
      </c>
      <c r="Q4934" s="266">
        <v>642</v>
      </c>
      <c r="R4934" s="19">
        <f t="shared" si="231"/>
        <v>-33</v>
      </c>
      <c r="S4934" s="19">
        <v>950</v>
      </c>
      <c r="T4934" s="19" t="s">
        <v>42</v>
      </c>
      <c r="U4934" s="102" t="s">
        <v>1365</v>
      </c>
      <c r="V4934" s="253">
        <v>45118</v>
      </c>
      <c r="W4934" s="17" t="s">
        <v>44</v>
      </c>
      <c r="X4934" s="17"/>
      <c r="Y4934" s="68">
        <v>45283</v>
      </c>
      <c r="Z4934" s="17" t="s">
        <v>191</v>
      </c>
      <c r="AA4934" s="17" t="s">
        <v>46</v>
      </c>
      <c r="AB4934" s="17" t="s">
        <v>1244</v>
      </c>
      <c r="AC4934" s="66">
        <v>45286</v>
      </c>
      <c r="AD4934" s="65">
        <v>1505</v>
      </c>
      <c r="AE4934" s="17" t="s">
        <v>48</v>
      </c>
      <c r="AF4934" s="17"/>
      <c r="AG4934" s="17"/>
      <c r="AH4934" s="17"/>
      <c r="AI4934" s="17"/>
      <c r="AJ4934" s="17"/>
      <c r="AK4934" s="17"/>
      <c r="AL4934" s="17"/>
      <c r="AM4934" s="17"/>
      <c r="AN4934" s="17"/>
      <c r="AO4934" s="17"/>
      <c r="AP4934" s="17"/>
      <c r="AQ4934" s="17"/>
      <c r="AR4934" s="17"/>
    </row>
    <row r="4935" s="20" customFormat="1" ht="15.6" hidden="1" spans="1:44">
      <c r="A4935" s="17" t="s">
        <v>34</v>
      </c>
      <c r="B4935" s="19">
        <v>964</v>
      </c>
      <c r="C4935" s="183">
        <v>45227</v>
      </c>
      <c r="D4935" s="17" t="s">
        <v>52</v>
      </c>
      <c r="E4935" s="17" t="s">
        <v>1113</v>
      </c>
      <c r="F4935" s="17" t="s">
        <v>54</v>
      </c>
      <c r="G4935" s="17"/>
      <c r="H4935" s="124">
        <v>1.2311</v>
      </c>
      <c r="I4935" s="124"/>
      <c r="J4935" s="17" t="s">
        <v>82</v>
      </c>
      <c r="K4935" s="19">
        <v>255</v>
      </c>
      <c r="L4935" s="19">
        <v>50</v>
      </c>
      <c r="M4935" s="19">
        <v>2300</v>
      </c>
      <c r="N4935" s="19" t="s">
        <v>66</v>
      </c>
      <c r="O4935" s="19" t="s">
        <v>141</v>
      </c>
      <c r="P4935" s="266">
        <v>450</v>
      </c>
      <c r="Q4935" s="266">
        <v>479</v>
      </c>
      <c r="R4935" s="19">
        <f t="shared" si="231"/>
        <v>-29</v>
      </c>
      <c r="S4935" s="19">
        <v>950</v>
      </c>
      <c r="T4935" s="19" t="s">
        <v>42</v>
      </c>
      <c r="U4935" s="102" t="s">
        <v>1365</v>
      </c>
      <c r="V4935" s="253">
        <v>45118</v>
      </c>
      <c r="W4935" s="17" t="s">
        <v>44</v>
      </c>
      <c r="X4935" s="17"/>
      <c r="Y4935" s="68">
        <v>45283</v>
      </c>
      <c r="Z4935" s="17" t="s">
        <v>191</v>
      </c>
      <c r="AA4935" s="17" t="s">
        <v>46</v>
      </c>
      <c r="AB4935" s="17" t="s">
        <v>1244</v>
      </c>
      <c r="AC4935" s="66">
        <v>45286</v>
      </c>
      <c r="AD4935" s="65">
        <v>1505</v>
      </c>
      <c r="AE4935" s="17" t="s">
        <v>48</v>
      </c>
      <c r="AF4935" s="17"/>
      <c r="AG4935" s="17"/>
      <c r="AH4935" s="17"/>
      <c r="AI4935" s="17"/>
      <c r="AJ4935" s="17"/>
      <c r="AK4935" s="17"/>
      <c r="AL4935" s="17"/>
      <c r="AM4935" s="17"/>
      <c r="AN4935" s="17"/>
      <c r="AO4935" s="17"/>
      <c r="AP4935" s="17"/>
      <c r="AQ4935" s="17"/>
      <c r="AR4935" s="17"/>
    </row>
    <row r="4936" s="20" customFormat="1" ht="15.6" hidden="1" spans="1:44">
      <c r="A4936" s="17" t="s">
        <v>34</v>
      </c>
      <c r="B4936" s="19">
        <v>964</v>
      </c>
      <c r="C4936" s="183">
        <v>45227</v>
      </c>
      <c r="D4936" s="17" t="s">
        <v>52</v>
      </c>
      <c r="E4936" s="17" t="s">
        <v>1113</v>
      </c>
      <c r="F4936" s="17" t="s">
        <v>54</v>
      </c>
      <c r="G4936" s="17"/>
      <c r="H4936" s="124">
        <v>1.2311</v>
      </c>
      <c r="I4936" s="124"/>
      <c r="J4936" s="17" t="s">
        <v>82</v>
      </c>
      <c r="K4936" s="19">
        <v>280</v>
      </c>
      <c r="L4936" s="19">
        <v>50</v>
      </c>
      <c r="M4936" s="19">
        <v>2300</v>
      </c>
      <c r="N4936" s="19" t="s">
        <v>66</v>
      </c>
      <c r="O4936" s="19" t="s">
        <v>141</v>
      </c>
      <c r="P4936" s="266">
        <v>495</v>
      </c>
      <c r="Q4936" s="266">
        <v>510</v>
      </c>
      <c r="R4936" s="19">
        <f t="shared" si="231"/>
        <v>-15</v>
      </c>
      <c r="S4936" s="19">
        <v>950</v>
      </c>
      <c r="T4936" s="19" t="s">
        <v>42</v>
      </c>
      <c r="U4936" s="102" t="s">
        <v>1365</v>
      </c>
      <c r="V4936" s="253">
        <v>45118</v>
      </c>
      <c r="W4936" s="17" t="s">
        <v>44</v>
      </c>
      <c r="X4936" s="17"/>
      <c r="Y4936" s="68">
        <v>45283</v>
      </c>
      <c r="Z4936" s="17" t="s">
        <v>191</v>
      </c>
      <c r="AA4936" s="17" t="s">
        <v>46</v>
      </c>
      <c r="AB4936" s="17" t="s">
        <v>1244</v>
      </c>
      <c r="AC4936" s="66">
        <v>45286</v>
      </c>
      <c r="AD4936" s="65">
        <v>1505</v>
      </c>
      <c r="AE4936" s="17" t="s">
        <v>48</v>
      </c>
      <c r="AF4936" s="17"/>
      <c r="AG4936" s="17"/>
      <c r="AH4936" s="17"/>
      <c r="AI4936" s="17"/>
      <c r="AJ4936" s="17"/>
      <c r="AK4936" s="17"/>
      <c r="AL4936" s="17"/>
      <c r="AM4936" s="17"/>
      <c r="AN4936" s="17"/>
      <c r="AO4936" s="17"/>
      <c r="AP4936" s="17"/>
      <c r="AQ4936" s="17"/>
      <c r="AR4936" s="17"/>
    </row>
    <row r="4937" s="20" customFormat="1" ht="15.6" hidden="1" spans="1:44">
      <c r="A4937" s="17" t="s">
        <v>34</v>
      </c>
      <c r="B4937" s="19">
        <v>964</v>
      </c>
      <c r="C4937" s="183">
        <v>45227</v>
      </c>
      <c r="D4937" s="17" t="s">
        <v>52</v>
      </c>
      <c r="E4937" s="17" t="s">
        <v>1113</v>
      </c>
      <c r="F4937" s="17" t="s">
        <v>54</v>
      </c>
      <c r="G4937" s="17"/>
      <c r="H4937" s="124">
        <v>1.2311</v>
      </c>
      <c r="I4937" s="124"/>
      <c r="J4937" s="17" t="s">
        <v>82</v>
      </c>
      <c r="K4937" s="19">
        <v>305</v>
      </c>
      <c r="L4937" s="19">
        <v>50</v>
      </c>
      <c r="M4937" s="19">
        <v>2300</v>
      </c>
      <c r="N4937" s="19" t="s">
        <v>66</v>
      </c>
      <c r="O4937" s="19" t="s">
        <v>141</v>
      </c>
      <c r="P4937" s="266">
        <v>539</v>
      </c>
      <c r="Q4937" s="266">
        <v>568</v>
      </c>
      <c r="R4937" s="19">
        <f t="shared" si="231"/>
        <v>-29</v>
      </c>
      <c r="S4937" s="19">
        <v>950</v>
      </c>
      <c r="T4937" s="19" t="s">
        <v>42</v>
      </c>
      <c r="U4937" s="102" t="s">
        <v>1365</v>
      </c>
      <c r="V4937" s="253">
        <v>45118</v>
      </c>
      <c r="W4937" s="17" t="s">
        <v>44</v>
      </c>
      <c r="X4937" s="17"/>
      <c r="Y4937" s="68">
        <v>45283</v>
      </c>
      <c r="Z4937" s="17" t="s">
        <v>191</v>
      </c>
      <c r="AA4937" s="17" t="s">
        <v>46</v>
      </c>
      <c r="AB4937" s="17" t="s">
        <v>1244</v>
      </c>
      <c r="AC4937" s="66">
        <v>45286</v>
      </c>
      <c r="AD4937" s="65">
        <v>1505</v>
      </c>
      <c r="AE4937" s="17" t="s">
        <v>48</v>
      </c>
      <c r="AF4937" s="17"/>
      <c r="AG4937" s="17"/>
      <c r="AH4937" s="17"/>
      <c r="AI4937" s="17"/>
      <c r="AJ4937" s="17"/>
      <c r="AK4937" s="17"/>
      <c r="AL4937" s="17"/>
      <c r="AM4937" s="17"/>
      <c r="AN4937" s="17"/>
      <c r="AO4937" s="17"/>
      <c r="AP4937" s="17"/>
      <c r="AQ4937" s="17"/>
      <c r="AR4937" s="17"/>
    </row>
    <row r="4938" s="20" customFormat="1" ht="15.6" hidden="1" spans="1:44">
      <c r="A4938" s="17" t="s">
        <v>34</v>
      </c>
      <c r="B4938" s="19">
        <v>964</v>
      </c>
      <c r="C4938" s="183">
        <v>45227</v>
      </c>
      <c r="D4938" s="17" t="s">
        <v>52</v>
      </c>
      <c r="E4938" s="17" t="s">
        <v>1113</v>
      </c>
      <c r="F4938" s="17" t="s">
        <v>54</v>
      </c>
      <c r="G4938" s="17"/>
      <c r="H4938" s="124">
        <v>1.2311</v>
      </c>
      <c r="I4938" s="124"/>
      <c r="J4938" s="17" t="s">
        <v>82</v>
      </c>
      <c r="K4938" s="19">
        <v>355</v>
      </c>
      <c r="L4938" s="19">
        <v>50</v>
      </c>
      <c r="M4938" s="19">
        <v>2300</v>
      </c>
      <c r="N4938" s="19" t="s">
        <v>66</v>
      </c>
      <c r="O4938" s="19" t="s">
        <v>141</v>
      </c>
      <c r="P4938" s="266">
        <v>627</v>
      </c>
      <c r="Q4938" s="266">
        <v>978</v>
      </c>
      <c r="R4938" s="19">
        <f t="shared" si="231"/>
        <v>-351</v>
      </c>
      <c r="S4938" s="19">
        <v>950</v>
      </c>
      <c r="T4938" s="19" t="s">
        <v>42</v>
      </c>
      <c r="U4938" s="102" t="s">
        <v>1365</v>
      </c>
      <c r="V4938" s="253">
        <v>45118</v>
      </c>
      <c r="W4938" s="17" t="s">
        <v>44</v>
      </c>
      <c r="X4938" s="17"/>
      <c r="Y4938" s="68">
        <v>45283</v>
      </c>
      <c r="Z4938" s="17" t="s">
        <v>191</v>
      </c>
      <c r="AA4938" s="17" t="s">
        <v>46</v>
      </c>
      <c r="AB4938" s="17" t="s">
        <v>1244</v>
      </c>
      <c r="AC4938" s="66">
        <v>45286</v>
      </c>
      <c r="AD4938" s="65">
        <v>1505</v>
      </c>
      <c r="AE4938" s="17" t="s">
        <v>48</v>
      </c>
      <c r="AF4938" s="17"/>
      <c r="AG4938" s="17"/>
      <c r="AH4938" s="17"/>
      <c r="AI4938" s="17"/>
      <c r="AJ4938" s="17"/>
      <c r="AK4938" s="17"/>
      <c r="AL4938" s="17"/>
      <c r="AM4938" s="17"/>
      <c r="AN4938" s="17"/>
      <c r="AO4938" s="17"/>
      <c r="AP4938" s="17"/>
      <c r="AQ4938" s="17"/>
      <c r="AR4938" s="17"/>
    </row>
    <row r="4939" s="20" customFormat="1" ht="15.6" hidden="1" spans="1:44">
      <c r="A4939" s="17" t="s">
        <v>34</v>
      </c>
      <c r="B4939" s="19">
        <v>964</v>
      </c>
      <c r="C4939" s="183">
        <v>45227</v>
      </c>
      <c r="D4939" s="17" t="s">
        <v>52</v>
      </c>
      <c r="E4939" s="17" t="s">
        <v>1113</v>
      </c>
      <c r="F4939" s="17" t="s">
        <v>54</v>
      </c>
      <c r="G4939" s="17"/>
      <c r="H4939" s="124">
        <v>1.2311</v>
      </c>
      <c r="I4939" s="124"/>
      <c r="J4939" s="17" t="s">
        <v>82</v>
      </c>
      <c r="K4939" s="19">
        <v>405</v>
      </c>
      <c r="L4939" s="19">
        <v>50</v>
      </c>
      <c r="M4939" s="19">
        <v>2300</v>
      </c>
      <c r="N4939" s="19" t="s">
        <v>66</v>
      </c>
      <c r="O4939" s="19" t="s">
        <v>141</v>
      </c>
      <c r="P4939" s="266">
        <v>715</v>
      </c>
      <c r="Q4939" s="266">
        <v>738</v>
      </c>
      <c r="R4939" s="19">
        <f t="shared" si="231"/>
        <v>-23</v>
      </c>
      <c r="S4939" s="19">
        <v>950</v>
      </c>
      <c r="T4939" s="19" t="s">
        <v>42</v>
      </c>
      <c r="U4939" s="102" t="s">
        <v>1365</v>
      </c>
      <c r="V4939" s="253">
        <v>45118</v>
      </c>
      <c r="W4939" s="17" t="s">
        <v>44</v>
      </c>
      <c r="X4939" s="17"/>
      <c r="Y4939" s="68">
        <v>45283</v>
      </c>
      <c r="Z4939" s="17" t="s">
        <v>191</v>
      </c>
      <c r="AA4939" s="17" t="s">
        <v>46</v>
      </c>
      <c r="AB4939" s="17" t="s">
        <v>1244</v>
      </c>
      <c r="AC4939" s="66">
        <v>45286</v>
      </c>
      <c r="AD4939" s="65">
        <v>1505</v>
      </c>
      <c r="AE4939" s="17" t="s">
        <v>48</v>
      </c>
      <c r="AF4939" s="17"/>
      <c r="AG4939" s="17"/>
      <c r="AH4939" s="17"/>
      <c r="AI4939" s="17"/>
      <c r="AJ4939" s="17"/>
      <c r="AK4939" s="17"/>
      <c r="AL4939" s="17"/>
      <c r="AM4939" s="17"/>
      <c r="AN4939" s="17"/>
      <c r="AO4939" s="17"/>
      <c r="AP4939" s="17"/>
      <c r="AQ4939" s="17"/>
      <c r="AR4939" s="17"/>
    </row>
    <row r="4940" s="20" customFormat="1" ht="15.6" hidden="1" spans="1:44">
      <c r="A4940" s="17" t="s">
        <v>34</v>
      </c>
      <c r="B4940" s="19">
        <v>964</v>
      </c>
      <c r="C4940" s="183">
        <v>45227</v>
      </c>
      <c r="D4940" s="17" t="s">
        <v>52</v>
      </c>
      <c r="E4940" s="17" t="s">
        <v>1113</v>
      </c>
      <c r="F4940" s="17" t="s">
        <v>54</v>
      </c>
      <c r="G4940" s="17"/>
      <c r="H4940" s="124">
        <v>1.2311</v>
      </c>
      <c r="I4940" s="124"/>
      <c r="J4940" s="17" t="s">
        <v>82</v>
      </c>
      <c r="K4940" s="19">
        <v>510</v>
      </c>
      <c r="L4940" s="19">
        <v>50</v>
      </c>
      <c r="M4940" s="19">
        <v>2300</v>
      </c>
      <c r="N4940" s="19" t="s">
        <v>66</v>
      </c>
      <c r="O4940" s="19" t="s">
        <v>141</v>
      </c>
      <c r="P4940" s="266">
        <v>4954</v>
      </c>
      <c r="Q4940" s="266">
        <f>2344+1405+1406</f>
        <v>5155</v>
      </c>
      <c r="R4940" s="19">
        <f t="shared" si="231"/>
        <v>-201</v>
      </c>
      <c r="S4940" s="19">
        <v>950</v>
      </c>
      <c r="T4940" s="19" t="s">
        <v>42</v>
      </c>
      <c r="U4940" s="102" t="s">
        <v>1365</v>
      </c>
      <c r="V4940" s="253">
        <v>45118</v>
      </c>
      <c r="W4940" s="17" t="s">
        <v>44</v>
      </c>
      <c r="X4940" s="17"/>
      <c r="Y4940" s="68">
        <v>45283</v>
      </c>
      <c r="Z4940" s="17" t="s">
        <v>191</v>
      </c>
      <c r="AA4940" s="17" t="s">
        <v>46</v>
      </c>
      <c r="AB4940" s="17" t="s">
        <v>1244</v>
      </c>
      <c r="AC4940" s="66">
        <v>45286</v>
      </c>
      <c r="AD4940" s="65">
        <v>1505</v>
      </c>
      <c r="AE4940" s="17" t="s">
        <v>48</v>
      </c>
      <c r="AF4940" s="17"/>
      <c r="AG4940" s="17"/>
      <c r="AH4940" s="17"/>
      <c r="AI4940" s="17"/>
      <c r="AJ4940" s="17"/>
      <c r="AK4940" s="17"/>
      <c r="AL4940" s="17"/>
      <c r="AM4940" s="17"/>
      <c r="AN4940" s="17"/>
      <c r="AO4940" s="17"/>
      <c r="AP4940" s="17"/>
      <c r="AQ4940" s="17"/>
      <c r="AR4940" s="17"/>
    </row>
    <row r="4941" s="20" customFormat="1" ht="15.6" hidden="1" spans="1:44">
      <c r="A4941" s="17" t="s">
        <v>34</v>
      </c>
      <c r="B4941" s="19">
        <v>964</v>
      </c>
      <c r="C4941" s="183">
        <v>45227</v>
      </c>
      <c r="D4941" s="17" t="s">
        <v>52</v>
      </c>
      <c r="E4941" s="17" t="s">
        <v>1113</v>
      </c>
      <c r="F4941" s="17" t="s">
        <v>54</v>
      </c>
      <c r="G4941" s="17"/>
      <c r="H4941" s="124">
        <v>1.2311</v>
      </c>
      <c r="I4941" s="124"/>
      <c r="J4941" s="17" t="s">
        <v>82</v>
      </c>
      <c r="K4941" s="19">
        <v>715</v>
      </c>
      <c r="L4941" s="19">
        <v>50</v>
      </c>
      <c r="M4941" s="19">
        <v>2300</v>
      </c>
      <c r="N4941" s="19" t="s">
        <v>66</v>
      </c>
      <c r="O4941" s="19" t="s">
        <v>141</v>
      </c>
      <c r="P4941" s="266">
        <v>1263</v>
      </c>
      <c r="Q4941" s="266">
        <v>1325</v>
      </c>
      <c r="R4941" s="19">
        <f t="shared" si="231"/>
        <v>-62</v>
      </c>
      <c r="S4941" s="19">
        <v>950</v>
      </c>
      <c r="T4941" s="19" t="s">
        <v>42</v>
      </c>
      <c r="U4941" s="102" t="s">
        <v>1365</v>
      </c>
      <c r="V4941" s="253">
        <v>45118</v>
      </c>
      <c r="W4941" s="17" t="s">
        <v>44</v>
      </c>
      <c r="X4941" s="17"/>
      <c r="Y4941" s="68">
        <v>45283</v>
      </c>
      <c r="Z4941" s="17" t="s">
        <v>191</v>
      </c>
      <c r="AA4941" s="17" t="s">
        <v>46</v>
      </c>
      <c r="AB4941" s="17" t="s">
        <v>1231</v>
      </c>
      <c r="AC4941" s="66">
        <v>45283</v>
      </c>
      <c r="AD4941" s="65">
        <v>1504</v>
      </c>
      <c r="AE4941" s="17" t="s">
        <v>48</v>
      </c>
      <c r="AF4941" s="17"/>
      <c r="AG4941" s="17"/>
      <c r="AH4941" s="17"/>
      <c r="AI4941" s="17"/>
      <c r="AJ4941" s="17"/>
      <c r="AK4941" s="17"/>
      <c r="AL4941" s="17"/>
      <c r="AM4941" s="17"/>
      <c r="AN4941" s="17"/>
      <c r="AO4941" s="17"/>
      <c r="AP4941" s="17"/>
      <c r="AQ4941" s="17"/>
      <c r="AR4941" s="17"/>
    </row>
    <row r="4942" s="20" customFormat="1" ht="15.6" hidden="1" spans="1:44">
      <c r="A4942" s="17" t="s">
        <v>34</v>
      </c>
      <c r="B4942" s="19">
        <v>964</v>
      </c>
      <c r="C4942" s="183">
        <v>45227</v>
      </c>
      <c r="D4942" s="17" t="s">
        <v>52</v>
      </c>
      <c r="E4942" s="17" t="s">
        <v>1113</v>
      </c>
      <c r="F4942" s="17" t="s">
        <v>54</v>
      </c>
      <c r="G4942" s="17"/>
      <c r="H4942" s="124">
        <v>1.2311</v>
      </c>
      <c r="I4942" s="124"/>
      <c r="J4942" s="17" t="s">
        <v>82</v>
      </c>
      <c r="K4942" s="19">
        <v>205</v>
      </c>
      <c r="L4942" s="19">
        <v>65</v>
      </c>
      <c r="M4942" s="19">
        <v>2300</v>
      </c>
      <c r="N4942" s="19" t="s">
        <v>66</v>
      </c>
      <c r="O4942" s="19" t="s">
        <v>141</v>
      </c>
      <c r="P4942" s="266">
        <v>471</v>
      </c>
      <c r="Q4942" s="266">
        <v>508</v>
      </c>
      <c r="R4942" s="19">
        <f t="shared" si="231"/>
        <v>-37</v>
      </c>
      <c r="S4942" s="19">
        <v>950</v>
      </c>
      <c r="T4942" s="19" t="s">
        <v>42</v>
      </c>
      <c r="U4942" s="102" t="s">
        <v>1365</v>
      </c>
      <c r="V4942" s="253">
        <v>45118</v>
      </c>
      <c r="W4942" s="17" t="s">
        <v>44</v>
      </c>
      <c r="X4942" s="17"/>
      <c r="Y4942" s="68">
        <v>45283</v>
      </c>
      <c r="Z4942" s="17" t="s">
        <v>191</v>
      </c>
      <c r="AA4942" s="17" t="s">
        <v>46</v>
      </c>
      <c r="AB4942" s="17" t="s">
        <v>1251</v>
      </c>
      <c r="AC4942" s="217">
        <v>45566</v>
      </c>
      <c r="AD4942" s="65">
        <v>1515</v>
      </c>
      <c r="AE4942" s="17" t="s">
        <v>48</v>
      </c>
      <c r="AF4942" s="17"/>
      <c r="AG4942" s="17"/>
      <c r="AH4942" s="17"/>
      <c r="AI4942" s="17"/>
      <c r="AJ4942" s="17"/>
      <c r="AK4942" s="17"/>
      <c r="AL4942" s="17"/>
      <c r="AM4942" s="17"/>
      <c r="AN4942" s="17"/>
      <c r="AO4942" s="17"/>
      <c r="AP4942" s="17"/>
      <c r="AQ4942" s="17"/>
      <c r="AR4942" s="17"/>
    </row>
    <row r="4943" s="20" customFormat="1" ht="15.6" hidden="1" spans="1:44">
      <c r="A4943" s="17" t="s">
        <v>34</v>
      </c>
      <c r="B4943" s="19">
        <v>964</v>
      </c>
      <c r="C4943" s="183">
        <v>45227</v>
      </c>
      <c r="D4943" s="17" t="s">
        <v>52</v>
      </c>
      <c r="E4943" s="17" t="s">
        <v>1113</v>
      </c>
      <c r="F4943" s="17" t="s">
        <v>54</v>
      </c>
      <c r="G4943" s="17"/>
      <c r="H4943" s="124">
        <v>1.2311</v>
      </c>
      <c r="I4943" s="124"/>
      <c r="J4943" s="17" t="s">
        <v>82</v>
      </c>
      <c r="K4943" s="19">
        <v>230</v>
      </c>
      <c r="L4943" s="19">
        <v>65</v>
      </c>
      <c r="M4943" s="19">
        <v>2300</v>
      </c>
      <c r="N4943" s="19" t="s">
        <v>66</v>
      </c>
      <c r="O4943" s="19" t="s">
        <v>141</v>
      </c>
      <c r="P4943" s="266">
        <v>528</v>
      </c>
      <c r="Q4943" s="266">
        <v>567</v>
      </c>
      <c r="R4943" s="19">
        <f t="shared" si="231"/>
        <v>-39</v>
      </c>
      <c r="S4943" s="19">
        <v>950</v>
      </c>
      <c r="T4943" s="19" t="s">
        <v>42</v>
      </c>
      <c r="U4943" s="102" t="s">
        <v>1365</v>
      </c>
      <c r="V4943" s="253">
        <v>45118</v>
      </c>
      <c r="W4943" s="17" t="s">
        <v>44</v>
      </c>
      <c r="X4943" s="17"/>
      <c r="Y4943" s="68">
        <v>45283</v>
      </c>
      <c r="Z4943" s="17" t="s">
        <v>191</v>
      </c>
      <c r="AA4943" s="17" t="s">
        <v>46</v>
      </c>
      <c r="AB4943" s="17" t="s">
        <v>1251</v>
      </c>
      <c r="AC4943" s="217">
        <v>45566</v>
      </c>
      <c r="AD4943" s="65">
        <v>1515</v>
      </c>
      <c r="AE4943" s="17" t="s">
        <v>48</v>
      </c>
      <c r="AF4943" s="17"/>
      <c r="AG4943" s="17"/>
      <c r="AH4943" s="17"/>
      <c r="AI4943" s="17"/>
      <c r="AJ4943" s="17"/>
      <c r="AK4943" s="17"/>
      <c r="AL4943" s="17"/>
      <c r="AM4943" s="17"/>
      <c r="AN4943" s="17"/>
      <c r="AO4943" s="17"/>
      <c r="AP4943" s="17"/>
      <c r="AQ4943" s="17"/>
      <c r="AR4943" s="17"/>
    </row>
    <row r="4944" s="21" customFormat="1" ht="15.6" hidden="1" spans="1:44">
      <c r="A4944" s="17"/>
      <c r="B4944" s="19">
        <v>964</v>
      </c>
      <c r="C4944" s="183">
        <v>45227</v>
      </c>
      <c r="D4944" s="17" t="s">
        <v>52</v>
      </c>
      <c r="E4944" s="17" t="s">
        <v>1113</v>
      </c>
      <c r="F4944" s="17" t="s">
        <v>54</v>
      </c>
      <c r="G4944" s="17"/>
      <c r="H4944" s="124">
        <v>1.2311</v>
      </c>
      <c r="I4944" s="124"/>
      <c r="J4944" s="17" t="s">
        <v>82</v>
      </c>
      <c r="K4944" s="19">
        <v>255</v>
      </c>
      <c r="L4944" s="19">
        <v>65</v>
      </c>
      <c r="M4944" s="19">
        <v>2300</v>
      </c>
      <c r="N4944" s="19" t="s">
        <v>66</v>
      </c>
      <c r="O4944" s="19" t="s">
        <v>141</v>
      </c>
      <c r="P4944" s="266">
        <v>586</v>
      </c>
      <c r="Q4944" s="266"/>
      <c r="R4944" s="19">
        <f t="shared" si="231"/>
        <v>586</v>
      </c>
      <c r="S4944" s="19">
        <v>950</v>
      </c>
      <c r="T4944" s="19" t="s">
        <v>42</v>
      </c>
      <c r="U4944" s="102" t="s">
        <v>1365</v>
      </c>
      <c r="V4944" s="253">
        <v>45118</v>
      </c>
      <c r="W4944" s="17" t="s">
        <v>44</v>
      </c>
      <c r="X4944" s="17"/>
      <c r="Y4944" s="68">
        <v>45283</v>
      </c>
      <c r="Z4944" s="17" t="s">
        <v>191</v>
      </c>
      <c r="AA4944" s="17" t="s">
        <v>46</v>
      </c>
      <c r="AB4944" s="17"/>
      <c r="AC4944" s="102"/>
      <c r="AD4944" s="65"/>
      <c r="AE4944" s="17" t="s">
        <v>48</v>
      </c>
      <c r="AF4944" s="17" t="s">
        <v>1347</v>
      </c>
      <c r="AG4944" s="17"/>
      <c r="AH4944" s="17"/>
      <c r="AI4944" s="17"/>
      <c r="AJ4944" s="17"/>
      <c r="AK4944" s="17"/>
      <c r="AL4944" s="17"/>
      <c r="AM4944" s="17"/>
      <c r="AN4944" s="17"/>
      <c r="AO4944" s="17"/>
      <c r="AP4944" s="17"/>
      <c r="AQ4944" s="17"/>
      <c r="AR4944" s="17"/>
    </row>
    <row r="4945" s="20" customFormat="1" ht="15.6" hidden="1" spans="1:44">
      <c r="A4945" s="17" t="s">
        <v>34</v>
      </c>
      <c r="B4945" s="19">
        <v>964</v>
      </c>
      <c r="C4945" s="183">
        <v>45227</v>
      </c>
      <c r="D4945" s="17" t="s">
        <v>52</v>
      </c>
      <c r="E4945" s="17" t="s">
        <v>1113</v>
      </c>
      <c r="F4945" s="17" t="s">
        <v>54</v>
      </c>
      <c r="G4945" s="17"/>
      <c r="H4945" s="124">
        <v>1.2311</v>
      </c>
      <c r="I4945" s="124"/>
      <c r="J4945" s="17" t="s">
        <v>82</v>
      </c>
      <c r="K4945" s="19">
        <v>280</v>
      </c>
      <c r="L4945" s="19">
        <v>65</v>
      </c>
      <c r="M4945" s="19">
        <v>2300</v>
      </c>
      <c r="N4945" s="19" t="s">
        <v>66</v>
      </c>
      <c r="O4945" s="19" t="s">
        <v>141</v>
      </c>
      <c r="P4945" s="266">
        <v>643</v>
      </c>
      <c r="Q4945" s="266">
        <v>684</v>
      </c>
      <c r="R4945" s="19">
        <f t="shared" si="231"/>
        <v>-41</v>
      </c>
      <c r="S4945" s="19">
        <v>950</v>
      </c>
      <c r="T4945" s="19" t="s">
        <v>42</v>
      </c>
      <c r="U4945" s="102" t="s">
        <v>1365</v>
      </c>
      <c r="V4945" s="253">
        <v>45118</v>
      </c>
      <c r="W4945" s="17" t="s">
        <v>44</v>
      </c>
      <c r="X4945" s="17"/>
      <c r="Y4945" s="68">
        <v>45283</v>
      </c>
      <c r="Z4945" s="17" t="s">
        <v>191</v>
      </c>
      <c r="AA4945" s="17" t="s">
        <v>46</v>
      </c>
      <c r="AB4945" s="17" t="s">
        <v>1251</v>
      </c>
      <c r="AC4945" s="217">
        <v>45566</v>
      </c>
      <c r="AD4945" s="65">
        <v>1515</v>
      </c>
      <c r="AE4945" s="17" t="s">
        <v>48</v>
      </c>
      <c r="AF4945" s="17"/>
      <c r="AG4945" s="17"/>
      <c r="AH4945" s="17"/>
      <c r="AI4945" s="17"/>
      <c r="AJ4945" s="17"/>
      <c r="AK4945" s="17"/>
      <c r="AL4945" s="17"/>
      <c r="AM4945" s="17"/>
      <c r="AN4945" s="17"/>
      <c r="AO4945" s="17"/>
      <c r="AP4945" s="17"/>
      <c r="AQ4945" s="17"/>
      <c r="AR4945" s="17"/>
    </row>
    <row r="4946" s="20" customFormat="1" ht="15.6" hidden="1" spans="1:44">
      <c r="A4946" s="17" t="s">
        <v>34</v>
      </c>
      <c r="B4946" s="19">
        <v>964</v>
      </c>
      <c r="C4946" s="183">
        <v>45227</v>
      </c>
      <c r="D4946" s="17" t="s">
        <v>52</v>
      </c>
      <c r="E4946" s="17" t="s">
        <v>1113</v>
      </c>
      <c r="F4946" s="17" t="s">
        <v>54</v>
      </c>
      <c r="G4946" s="17"/>
      <c r="H4946" s="124">
        <v>1.2311</v>
      </c>
      <c r="I4946" s="124"/>
      <c r="J4946" s="17" t="s">
        <v>82</v>
      </c>
      <c r="K4946" s="19">
        <v>305</v>
      </c>
      <c r="L4946" s="19">
        <v>65</v>
      </c>
      <c r="M4946" s="19">
        <v>2300</v>
      </c>
      <c r="N4946" s="19" t="s">
        <v>66</v>
      </c>
      <c r="O4946" s="19" t="s">
        <v>141</v>
      </c>
      <c r="P4946" s="266">
        <v>700</v>
      </c>
      <c r="Q4946" s="266">
        <v>862</v>
      </c>
      <c r="R4946" s="19">
        <f t="shared" si="231"/>
        <v>-162</v>
      </c>
      <c r="S4946" s="19">
        <v>950</v>
      </c>
      <c r="T4946" s="19" t="s">
        <v>42</v>
      </c>
      <c r="U4946" s="102" t="s">
        <v>1365</v>
      </c>
      <c r="V4946" s="253">
        <v>45118</v>
      </c>
      <c r="W4946" s="17" t="s">
        <v>44</v>
      </c>
      <c r="X4946" s="17"/>
      <c r="Y4946" s="68">
        <v>45283</v>
      </c>
      <c r="Z4946" s="17" t="s">
        <v>191</v>
      </c>
      <c r="AA4946" s="17" t="s">
        <v>46</v>
      </c>
      <c r="AB4946" s="17" t="s">
        <v>1251</v>
      </c>
      <c r="AC4946" s="217">
        <v>45566</v>
      </c>
      <c r="AD4946" s="65">
        <v>1515</v>
      </c>
      <c r="AE4946" s="17" t="s">
        <v>48</v>
      </c>
      <c r="AF4946" s="17"/>
      <c r="AG4946" s="17"/>
      <c r="AH4946" s="17"/>
      <c r="AI4946" s="17"/>
      <c r="AJ4946" s="17"/>
      <c r="AK4946" s="17"/>
      <c r="AL4946" s="17"/>
      <c r="AM4946" s="17"/>
      <c r="AN4946" s="17"/>
      <c r="AO4946" s="17"/>
      <c r="AP4946" s="17"/>
      <c r="AQ4946" s="17"/>
      <c r="AR4946" s="17"/>
    </row>
    <row r="4947" s="20" customFormat="1" ht="15.6" hidden="1" spans="1:44">
      <c r="A4947" s="17" t="s">
        <v>34</v>
      </c>
      <c r="B4947" s="19">
        <v>964</v>
      </c>
      <c r="C4947" s="183">
        <v>45227</v>
      </c>
      <c r="D4947" s="17" t="s">
        <v>52</v>
      </c>
      <c r="E4947" s="17" t="s">
        <v>1113</v>
      </c>
      <c r="F4947" s="17" t="s">
        <v>54</v>
      </c>
      <c r="G4947" s="17"/>
      <c r="H4947" s="124">
        <v>1.2311</v>
      </c>
      <c r="I4947" s="124"/>
      <c r="J4947" s="17" t="s">
        <v>82</v>
      </c>
      <c r="K4947" s="19">
        <v>355</v>
      </c>
      <c r="L4947" s="19">
        <v>65</v>
      </c>
      <c r="M4947" s="19">
        <v>2300</v>
      </c>
      <c r="N4947" s="19" t="s">
        <v>66</v>
      </c>
      <c r="O4947" s="19" t="s">
        <v>141</v>
      </c>
      <c r="P4947" s="266">
        <v>815</v>
      </c>
      <c r="Q4947" s="266">
        <f>2169-1200</f>
        <v>969</v>
      </c>
      <c r="R4947" s="19">
        <f t="shared" si="231"/>
        <v>-154</v>
      </c>
      <c r="S4947" s="19">
        <v>950</v>
      </c>
      <c r="T4947" s="19" t="s">
        <v>42</v>
      </c>
      <c r="U4947" s="102" t="s">
        <v>1365</v>
      </c>
      <c r="V4947" s="253">
        <v>45118</v>
      </c>
      <c r="W4947" s="17" t="s">
        <v>44</v>
      </c>
      <c r="X4947" s="17"/>
      <c r="Y4947" s="68">
        <v>45283</v>
      </c>
      <c r="Z4947" s="17" t="s">
        <v>191</v>
      </c>
      <c r="AA4947" s="17" t="s">
        <v>46</v>
      </c>
      <c r="AB4947" s="17" t="s">
        <v>1251</v>
      </c>
      <c r="AC4947" s="217">
        <v>45566</v>
      </c>
      <c r="AD4947" s="65">
        <v>1515</v>
      </c>
      <c r="AE4947" s="17" t="s">
        <v>48</v>
      </c>
      <c r="AF4947" s="17"/>
      <c r="AG4947" s="17"/>
      <c r="AH4947" s="17"/>
      <c r="AI4947" s="17"/>
      <c r="AJ4947" s="17"/>
      <c r="AK4947" s="17"/>
      <c r="AL4947" s="17"/>
      <c r="AM4947" s="17"/>
      <c r="AN4947" s="17"/>
      <c r="AO4947" s="17"/>
      <c r="AP4947" s="17"/>
      <c r="AQ4947" s="17"/>
      <c r="AR4947" s="17"/>
    </row>
    <row r="4948" s="20" customFormat="1" ht="15.6" hidden="1" spans="1:44">
      <c r="A4948" s="17" t="s">
        <v>34</v>
      </c>
      <c r="B4948" s="19">
        <v>964</v>
      </c>
      <c r="C4948" s="183">
        <v>45227</v>
      </c>
      <c r="D4948" s="17" t="s">
        <v>52</v>
      </c>
      <c r="E4948" s="17" t="s">
        <v>1113</v>
      </c>
      <c r="F4948" s="17" t="s">
        <v>54</v>
      </c>
      <c r="G4948" s="17"/>
      <c r="H4948" s="124">
        <v>1.2311</v>
      </c>
      <c r="I4948" s="124"/>
      <c r="J4948" s="17" t="s">
        <v>82</v>
      </c>
      <c r="K4948" s="19">
        <v>405</v>
      </c>
      <c r="L4948" s="19">
        <v>65</v>
      </c>
      <c r="M4948" s="19">
        <v>2300</v>
      </c>
      <c r="N4948" s="19" t="s">
        <v>66</v>
      </c>
      <c r="O4948" s="19" t="s">
        <v>141</v>
      </c>
      <c r="P4948" s="266">
        <v>465</v>
      </c>
      <c r="Q4948" s="266">
        <f>1480-930</f>
        <v>550</v>
      </c>
      <c r="R4948" s="19">
        <f t="shared" si="231"/>
        <v>-85</v>
      </c>
      <c r="S4948" s="19">
        <v>950</v>
      </c>
      <c r="T4948" s="19" t="s">
        <v>42</v>
      </c>
      <c r="U4948" s="102" t="s">
        <v>1365</v>
      </c>
      <c r="V4948" s="253">
        <v>45118</v>
      </c>
      <c r="W4948" s="17" t="s">
        <v>44</v>
      </c>
      <c r="X4948" s="17"/>
      <c r="Y4948" s="68">
        <v>45283</v>
      </c>
      <c r="Z4948" s="17" t="s">
        <v>191</v>
      </c>
      <c r="AA4948" s="17" t="s">
        <v>46</v>
      </c>
      <c r="AB4948" s="17" t="s">
        <v>1251</v>
      </c>
      <c r="AC4948" s="217">
        <v>45566</v>
      </c>
      <c r="AD4948" s="65">
        <v>1515</v>
      </c>
      <c r="AE4948" s="17" t="s">
        <v>48</v>
      </c>
      <c r="AF4948" s="17"/>
      <c r="AG4948" s="17"/>
      <c r="AH4948" s="17"/>
      <c r="AI4948" s="17"/>
      <c r="AJ4948" s="17"/>
      <c r="AK4948" s="17"/>
      <c r="AL4948" s="17"/>
      <c r="AM4948" s="17"/>
      <c r="AN4948" s="17"/>
      <c r="AO4948" s="17"/>
      <c r="AP4948" s="17"/>
      <c r="AQ4948" s="17"/>
      <c r="AR4948" s="17"/>
    </row>
    <row r="4949" s="20" customFormat="1" ht="15.6" hidden="1" spans="1:44">
      <c r="A4949" s="17" t="s">
        <v>34</v>
      </c>
      <c r="B4949" s="19">
        <v>964</v>
      </c>
      <c r="C4949" s="183">
        <v>45227</v>
      </c>
      <c r="D4949" s="17" t="s">
        <v>52</v>
      </c>
      <c r="E4949" s="17" t="s">
        <v>1113</v>
      </c>
      <c r="F4949" s="17" t="s">
        <v>54</v>
      </c>
      <c r="G4949" s="17"/>
      <c r="H4949" s="124">
        <v>1.2311</v>
      </c>
      <c r="I4949" s="124"/>
      <c r="J4949" s="17" t="s">
        <v>82</v>
      </c>
      <c r="K4949" s="19">
        <v>510</v>
      </c>
      <c r="L4949" s="19">
        <v>65</v>
      </c>
      <c r="M4949" s="19">
        <v>2300</v>
      </c>
      <c r="N4949" s="19" t="s">
        <v>66</v>
      </c>
      <c r="O4949" s="19" t="s">
        <v>141</v>
      </c>
      <c r="P4949" s="266">
        <v>586</v>
      </c>
      <c r="Q4949" s="266">
        <v>621</v>
      </c>
      <c r="R4949" s="19">
        <f t="shared" si="231"/>
        <v>-35</v>
      </c>
      <c r="S4949" s="19">
        <v>950</v>
      </c>
      <c r="T4949" s="19" t="s">
        <v>42</v>
      </c>
      <c r="U4949" s="102" t="s">
        <v>1365</v>
      </c>
      <c r="V4949" s="253">
        <v>45118</v>
      </c>
      <c r="W4949" s="17" t="s">
        <v>44</v>
      </c>
      <c r="X4949" s="17"/>
      <c r="Y4949" s="68">
        <v>45283</v>
      </c>
      <c r="Z4949" s="17" t="s">
        <v>191</v>
      </c>
      <c r="AA4949" s="17" t="s">
        <v>46</v>
      </c>
      <c r="AB4949" s="17" t="s">
        <v>1251</v>
      </c>
      <c r="AC4949" s="217">
        <v>45566</v>
      </c>
      <c r="AD4949" s="65">
        <v>1515</v>
      </c>
      <c r="AE4949" s="17" t="s">
        <v>48</v>
      </c>
      <c r="AF4949" s="17"/>
      <c r="AG4949" s="17"/>
      <c r="AH4949" s="17"/>
      <c r="AI4949" s="17"/>
      <c r="AJ4949" s="17"/>
      <c r="AK4949" s="17"/>
      <c r="AL4949" s="17"/>
      <c r="AM4949" s="17"/>
      <c r="AN4949" s="17"/>
      <c r="AO4949" s="17"/>
      <c r="AP4949" s="17"/>
      <c r="AQ4949" s="17"/>
      <c r="AR4949" s="17"/>
    </row>
    <row r="4950" s="20" customFormat="1" ht="15.6" hidden="1" spans="1:44">
      <c r="A4950" s="17" t="s">
        <v>34</v>
      </c>
      <c r="B4950" s="19">
        <v>964</v>
      </c>
      <c r="C4950" s="183">
        <v>45227</v>
      </c>
      <c r="D4950" s="17" t="s">
        <v>52</v>
      </c>
      <c r="E4950" s="17" t="s">
        <v>1113</v>
      </c>
      <c r="F4950" s="17" t="s">
        <v>54</v>
      </c>
      <c r="G4950" s="17"/>
      <c r="H4950" s="124">
        <v>1.2311</v>
      </c>
      <c r="I4950" s="124"/>
      <c r="J4950" s="17" t="s">
        <v>82</v>
      </c>
      <c r="K4950" s="19">
        <v>205</v>
      </c>
      <c r="L4950" s="19">
        <v>80</v>
      </c>
      <c r="M4950" s="19">
        <v>2300</v>
      </c>
      <c r="N4950" s="19" t="s">
        <v>66</v>
      </c>
      <c r="O4950" s="19" t="s">
        <v>141</v>
      </c>
      <c r="P4950" s="266">
        <v>290</v>
      </c>
      <c r="Q4950" s="266">
        <v>306</v>
      </c>
      <c r="R4950" s="19">
        <f t="shared" si="231"/>
        <v>-16</v>
      </c>
      <c r="S4950" s="19">
        <v>950</v>
      </c>
      <c r="T4950" s="19" t="s">
        <v>42</v>
      </c>
      <c r="U4950" s="102" t="s">
        <v>1365</v>
      </c>
      <c r="V4950" s="253">
        <v>45118</v>
      </c>
      <c r="W4950" s="17" t="s">
        <v>44</v>
      </c>
      <c r="X4950" s="17"/>
      <c r="Y4950" s="68">
        <v>45283</v>
      </c>
      <c r="Z4950" s="17" t="s">
        <v>191</v>
      </c>
      <c r="AA4950" s="17" t="s">
        <v>46</v>
      </c>
      <c r="AB4950" s="17" t="s">
        <v>1244</v>
      </c>
      <c r="AC4950" s="66">
        <v>45286</v>
      </c>
      <c r="AD4950" s="65">
        <v>1505</v>
      </c>
      <c r="AE4950" s="17" t="s">
        <v>48</v>
      </c>
      <c r="AF4950" s="17"/>
      <c r="AG4950" s="17"/>
      <c r="AH4950" s="17"/>
      <c r="AI4950" s="17"/>
      <c r="AJ4950" s="17"/>
      <c r="AK4950" s="17"/>
      <c r="AL4950" s="17"/>
      <c r="AM4950" s="17"/>
      <c r="AN4950" s="17"/>
      <c r="AO4950" s="17"/>
      <c r="AP4950" s="17"/>
      <c r="AQ4950" s="17"/>
      <c r="AR4950" s="17"/>
    </row>
    <row r="4951" s="20" customFormat="1" ht="15.6" hidden="1" spans="1:44">
      <c r="A4951" s="17" t="s">
        <v>34</v>
      </c>
      <c r="B4951" s="19">
        <v>964</v>
      </c>
      <c r="C4951" s="183">
        <v>45227</v>
      </c>
      <c r="D4951" s="17" t="s">
        <v>52</v>
      </c>
      <c r="E4951" s="17" t="s">
        <v>1113</v>
      </c>
      <c r="F4951" s="17" t="s">
        <v>54</v>
      </c>
      <c r="G4951" s="17"/>
      <c r="H4951" s="124">
        <v>1.2311</v>
      </c>
      <c r="I4951" s="124"/>
      <c r="J4951" s="17" t="s">
        <v>82</v>
      </c>
      <c r="K4951" s="19">
        <v>230</v>
      </c>
      <c r="L4951" s="19">
        <v>80</v>
      </c>
      <c r="M4951" s="19">
        <v>2300</v>
      </c>
      <c r="N4951" s="19" t="s">
        <v>66</v>
      </c>
      <c r="O4951" s="19" t="s">
        <v>141</v>
      </c>
      <c r="P4951" s="266">
        <v>325</v>
      </c>
      <c r="Q4951" s="266">
        <v>343</v>
      </c>
      <c r="R4951" s="19">
        <f t="shared" si="231"/>
        <v>-18</v>
      </c>
      <c r="S4951" s="19">
        <v>950</v>
      </c>
      <c r="T4951" s="19" t="s">
        <v>42</v>
      </c>
      <c r="U4951" s="102" t="s">
        <v>1365</v>
      </c>
      <c r="V4951" s="253">
        <v>45118</v>
      </c>
      <c r="W4951" s="17" t="s">
        <v>44</v>
      </c>
      <c r="X4951" s="17"/>
      <c r="Y4951" s="68">
        <v>45283</v>
      </c>
      <c r="Z4951" s="17" t="s">
        <v>191</v>
      </c>
      <c r="AA4951" s="17" t="s">
        <v>46</v>
      </c>
      <c r="AB4951" s="17" t="s">
        <v>1244</v>
      </c>
      <c r="AC4951" s="66">
        <v>45286</v>
      </c>
      <c r="AD4951" s="65">
        <v>1505</v>
      </c>
      <c r="AE4951" s="17" t="s">
        <v>48</v>
      </c>
      <c r="AF4951" s="17"/>
      <c r="AG4951" s="17"/>
      <c r="AH4951" s="17"/>
      <c r="AI4951" s="17"/>
      <c r="AJ4951" s="17"/>
      <c r="AK4951" s="17"/>
      <c r="AL4951" s="17"/>
      <c r="AM4951" s="17"/>
      <c r="AN4951" s="17"/>
      <c r="AO4951" s="17"/>
      <c r="AP4951" s="17"/>
      <c r="AQ4951" s="17"/>
      <c r="AR4951" s="17"/>
    </row>
    <row r="4952" s="20" customFormat="1" ht="15.6" hidden="1" spans="1:44">
      <c r="A4952" s="17" t="s">
        <v>34</v>
      </c>
      <c r="B4952" s="19">
        <v>964</v>
      </c>
      <c r="C4952" s="183">
        <v>45227</v>
      </c>
      <c r="D4952" s="17" t="s">
        <v>52</v>
      </c>
      <c r="E4952" s="17" t="s">
        <v>1113</v>
      </c>
      <c r="F4952" s="17" t="s">
        <v>54</v>
      </c>
      <c r="G4952" s="17"/>
      <c r="H4952" s="124">
        <v>1.2311</v>
      </c>
      <c r="I4952" s="124"/>
      <c r="J4952" s="17" t="s">
        <v>82</v>
      </c>
      <c r="K4952" s="19">
        <v>255</v>
      </c>
      <c r="L4952" s="19">
        <v>80</v>
      </c>
      <c r="M4952" s="19">
        <v>2300</v>
      </c>
      <c r="N4952" s="19" t="s">
        <v>66</v>
      </c>
      <c r="O4952" s="19" t="s">
        <v>141</v>
      </c>
      <c r="P4952" s="266">
        <v>360</v>
      </c>
      <c r="Q4952" s="266">
        <v>378</v>
      </c>
      <c r="R4952" s="19">
        <f t="shared" si="231"/>
        <v>-18</v>
      </c>
      <c r="S4952" s="19">
        <v>950</v>
      </c>
      <c r="T4952" s="19" t="s">
        <v>42</v>
      </c>
      <c r="U4952" s="102" t="s">
        <v>1365</v>
      </c>
      <c r="V4952" s="253">
        <v>45118</v>
      </c>
      <c r="W4952" s="17" t="s">
        <v>44</v>
      </c>
      <c r="X4952" s="17"/>
      <c r="Y4952" s="68">
        <v>45283</v>
      </c>
      <c r="Z4952" s="17" t="s">
        <v>191</v>
      </c>
      <c r="AA4952" s="17" t="s">
        <v>46</v>
      </c>
      <c r="AB4952" s="17" t="s">
        <v>1244</v>
      </c>
      <c r="AC4952" s="66">
        <v>45286</v>
      </c>
      <c r="AD4952" s="65">
        <v>1505</v>
      </c>
      <c r="AE4952" s="17" t="s">
        <v>48</v>
      </c>
      <c r="AF4952" s="17"/>
      <c r="AG4952" s="17"/>
      <c r="AH4952" s="17"/>
      <c r="AI4952" s="17"/>
      <c r="AJ4952" s="17"/>
      <c r="AK4952" s="17"/>
      <c r="AL4952" s="17"/>
      <c r="AM4952" s="17"/>
      <c r="AN4952" s="17"/>
      <c r="AO4952" s="17"/>
      <c r="AP4952" s="17"/>
      <c r="AQ4952" s="17"/>
      <c r="AR4952" s="17"/>
    </row>
    <row r="4953" s="20" customFormat="1" ht="15.6" hidden="1" spans="1:44">
      <c r="A4953" s="17" t="s">
        <v>34</v>
      </c>
      <c r="B4953" s="19">
        <v>964</v>
      </c>
      <c r="C4953" s="183">
        <v>45227</v>
      </c>
      <c r="D4953" s="17" t="s">
        <v>52</v>
      </c>
      <c r="E4953" s="17" t="s">
        <v>1113</v>
      </c>
      <c r="F4953" s="17" t="s">
        <v>54</v>
      </c>
      <c r="G4953" s="17"/>
      <c r="H4953" s="124">
        <v>1.2311</v>
      </c>
      <c r="I4953" s="124"/>
      <c r="J4953" s="17" t="s">
        <v>82</v>
      </c>
      <c r="K4953" s="19">
        <v>280</v>
      </c>
      <c r="L4953" s="19">
        <v>80</v>
      </c>
      <c r="M4953" s="19">
        <v>2300</v>
      </c>
      <c r="N4953" s="19" t="s">
        <v>66</v>
      </c>
      <c r="O4953" s="19" t="s">
        <v>141</v>
      </c>
      <c r="P4953" s="266">
        <v>396</v>
      </c>
      <c r="Q4953" s="266">
        <v>416</v>
      </c>
      <c r="R4953" s="19">
        <f t="shared" si="231"/>
        <v>-20</v>
      </c>
      <c r="S4953" s="19">
        <v>950</v>
      </c>
      <c r="T4953" s="19" t="s">
        <v>42</v>
      </c>
      <c r="U4953" s="102" t="s">
        <v>1365</v>
      </c>
      <c r="V4953" s="253">
        <v>45118</v>
      </c>
      <c r="W4953" s="17" t="s">
        <v>44</v>
      </c>
      <c r="X4953" s="17"/>
      <c r="Y4953" s="68">
        <v>45283</v>
      </c>
      <c r="Z4953" s="17" t="s">
        <v>191</v>
      </c>
      <c r="AA4953" s="17" t="s">
        <v>46</v>
      </c>
      <c r="AB4953" s="17" t="s">
        <v>1244</v>
      </c>
      <c r="AC4953" s="66">
        <v>45286</v>
      </c>
      <c r="AD4953" s="65">
        <v>1505</v>
      </c>
      <c r="AE4953" s="17" t="s">
        <v>48</v>
      </c>
      <c r="AF4953" s="17"/>
      <c r="AG4953" s="17"/>
      <c r="AH4953" s="17"/>
      <c r="AI4953" s="17"/>
      <c r="AJ4953" s="17"/>
      <c r="AK4953" s="17"/>
      <c r="AL4953" s="17"/>
      <c r="AM4953" s="17"/>
      <c r="AN4953" s="17"/>
      <c r="AO4953" s="17"/>
      <c r="AP4953" s="17"/>
      <c r="AQ4953" s="17"/>
      <c r="AR4953" s="17"/>
    </row>
    <row r="4954" s="20" customFormat="1" ht="15.6" hidden="1" spans="1:44">
      <c r="A4954" s="17" t="s">
        <v>34</v>
      </c>
      <c r="B4954" s="19">
        <v>964</v>
      </c>
      <c r="C4954" s="183">
        <v>45227</v>
      </c>
      <c r="D4954" s="17" t="s">
        <v>52</v>
      </c>
      <c r="E4954" s="17" t="s">
        <v>1113</v>
      </c>
      <c r="F4954" s="17" t="s">
        <v>54</v>
      </c>
      <c r="G4954" s="17"/>
      <c r="H4954" s="124">
        <v>1.2311</v>
      </c>
      <c r="I4954" s="124"/>
      <c r="J4954" s="17" t="s">
        <v>82</v>
      </c>
      <c r="K4954" s="19">
        <v>305</v>
      </c>
      <c r="L4954" s="19">
        <v>80</v>
      </c>
      <c r="M4954" s="19">
        <v>2300</v>
      </c>
      <c r="N4954" s="19" t="s">
        <v>66</v>
      </c>
      <c r="O4954" s="19" t="s">
        <v>141</v>
      </c>
      <c r="P4954" s="266">
        <v>431</v>
      </c>
      <c r="Q4954" s="266">
        <f>902/2</f>
        <v>451</v>
      </c>
      <c r="R4954" s="19">
        <f t="shared" si="231"/>
        <v>-20</v>
      </c>
      <c r="S4954" s="19">
        <v>950</v>
      </c>
      <c r="T4954" s="19" t="s">
        <v>42</v>
      </c>
      <c r="U4954" s="102" t="s">
        <v>1365</v>
      </c>
      <c r="V4954" s="253">
        <v>45118</v>
      </c>
      <c r="W4954" s="17" t="s">
        <v>44</v>
      </c>
      <c r="X4954" s="17"/>
      <c r="Y4954" s="68">
        <v>45283</v>
      </c>
      <c r="Z4954" s="17" t="s">
        <v>191</v>
      </c>
      <c r="AA4954" s="17" t="s">
        <v>46</v>
      </c>
      <c r="AB4954" s="17" t="s">
        <v>1244</v>
      </c>
      <c r="AC4954" s="66">
        <v>45286</v>
      </c>
      <c r="AD4954" s="65">
        <v>1505</v>
      </c>
      <c r="AE4954" s="17" t="s">
        <v>48</v>
      </c>
      <c r="AF4954" s="17"/>
      <c r="AG4954" s="17"/>
      <c r="AH4954" s="17"/>
      <c r="AI4954" s="17"/>
      <c r="AJ4954" s="17"/>
      <c r="AK4954" s="17"/>
      <c r="AL4954" s="17"/>
      <c r="AM4954" s="17"/>
      <c r="AN4954" s="17"/>
      <c r="AO4954" s="17"/>
      <c r="AP4954" s="17"/>
      <c r="AQ4954" s="17"/>
      <c r="AR4954" s="17"/>
    </row>
    <row r="4955" s="20" customFormat="1" ht="15.6" hidden="1" spans="1:44">
      <c r="A4955" s="17" t="s">
        <v>34</v>
      </c>
      <c r="B4955" s="19">
        <v>964</v>
      </c>
      <c r="C4955" s="183">
        <v>45227</v>
      </c>
      <c r="D4955" s="17" t="s">
        <v>52</v>
      </c>
      <c r="E4955" s="17" t="s">
        <v>1113</v>
      </c>
      <c r="F4955" s="17" t="s">
        <v>54</v>
      </c>
      <c r="G4955" s="17"/>
      <c r="H4955" s="124">
        <v>1.2311</v>
      </c>
      <c r="I4955" s="124"/>
      <c r="J4955" s="17" t="s">
        <v>82</v>
      </c>
      <c r="K4955" s="19">
        <v>355</v>
      </c>
      <c r="L4955" s="19">
        <v>80</v>
      </c>
      <c r="M4955" s="19">
        <v>2300</v>
      </c>
      <c r="N4955" s="19" t="s">
        <v>66</v>
      </c>
      <c r="O4955" s="19" t="s">
        <v>141</v>
      </c>
      <c r="P4955" s="266">
        <v>502</v>
      </c>
      <c r="Q4955" s="266">
        <v>525</v>
      </c>
      <c r="R4955" s="19">
        <f t="shared" si="231"/>
        <v>-23</v>
      </c>
      <c r="S4955" s="19">
        <v>950</v>
      </c>
      <c r="T4955" s="19" t="s">
        <v>42</v>
      </c>
      <c r="U4955" s="102" t="s">
        <v>1365</v>
      </c>
      <c r="V4955" s="253">
        <v>45118</v>
      </c>
      <c r="W4955" s="17" t="s">
        <v>44</v>
      </c>
      <c r="X4955" s="17"/>
      <c r="Y4955" s="68">
        <v>45283</v>
      </c>
      <c r="Z4955" s="17" t="s">
        <v>191</v>
      </c>
      <c r="AA4955" s="17" t="s">
        <v>46</v>
      </c>
      <c r="AB4955" s="17" t="s">
        <v>1244</v>
      </c>
      <c r="AC4955" s="66">
        <v>45286</v>
      </c>
      <c r="AD4955" s="65">
        <v>1505</v>
      </c>
      <c r="AE4955" s="17" t="s">
        <v>48</v>
      </c>
      <c r="AF4955" s="17"/>
      <c r="AG4955" s="17"/>
      <c r="AH4955" s="17"/>
      <c r="AI4955" s="17"/>
      <c r="AJ4955" s="17"/>
      <c r="AK4955" s="17"/>
      <c r="AL4955" s="17"/>
      <c r="AM4955" s="17"/>
      <c r="AN4955" s="17"/>
      <c r="AO4955" s="17"/>
      <c r="AP4955" s="17"/>
      <c r="AQ4955" s="17"/>
      <c r="AR4955" s="17"/>
    </row>
    <row r="4956" s="20" customFormat="1" ht="15.6" hidden="1" spans="1:44">
      <c r="A4956" s="17" t="s">
        <v>34</v>
      </c>
      <c r="B4956" s="19">
        <v>964</v>
      </c>
      <c r="C4956" s="183">
        <v>45227</v>
      </c>
      <c r="D4956" s="17" t="s">
        <v>52</v>
      </c>
      <c r="E4956" s="17" t="s">
        <v>1113</v>
      </c>
      <c r="F4956" s="17" t="s">
        <v>54</v>
      </c>
      <c r="G4956" s="17"/>
      <c r="H4956" s="124">
        <v>1.2311</v>
      </c>
      <c r="I4956" s="124"/>
      <c r="J4956" s="17" t="s">
        <v>82</v>
      </c>
      <c r="K4956" s="19">
        <v>405</v>
      </c>
      <c r="L4956" s="19">
        <v>80</v>
      </c>
      <c r="M4956" s="19">
        <v>2300</v>
      </c>
      <c r="N4956" s="19" t="s">
        <v>66</v>
      </c>
      <c r="O4956" s="19" t="s">
        <v>141</v>
      </c>
      <c r="P4956" s="266">
        <v>572</v>
      </c>
      <c r="Q4956" s="266">
        <v>597</v>
      </c>
      <c r="R4956" s="19">
        <f t="shared" si="231"/>
        <v>-25</v>
      </c>
      <c r="S4956" s="19">
        <v>950</v>
      </c>
      <c r="T4956" s="19" t="s">
        <v>42</v>
      </c>
      <c r="U4956" s="102" t="s">
        <v>1365</v>
      </c>
      <c r="V4956" s="253">
        <v>45118</v>
      </c>
      <c r="W4956" s="17" t="s">
        <v>44</v>
      </c>
      <c r="X4956" s="17"/>
      <c r="Y4956" s="68">
        <v>45283</v>
      </c>
      <c r="Z4956" s="17" t="s">
        <v>191</v>
      </c>
      <c r="AA4956" s="17" t="s">
        <v>46</v>
      </c>
      <c r="AB4956" s="17" t="s">
        <v>1244</v>
      </c>
      <c r="AC4956" s="66">
        <v>45286</v>
      </c>
      <c r="AD4956" s="65">
        <v>1505</v>
      </c>
      <c r="AE4956" s="17" t="s">
        <v>48</v>
      </c>
      <c r="AF4956" s="17"/>
      <c r="AG4956" s="17"/>
      <c r="AH4956" s="17"/>
      <c r="AI4956" s="17"/>
      <c r="AJ4956" s="17"/>
      <c r="AK4956" s="17"/>
      <c r="AL4956" s="17"/>
      <c r="AM4956" s="17"/>
      <c r="AN4956" s="17"/>
      <c r="AO4956" s="17"/>
      <c r="AP4956" s="17"/>
      <c r="AQ4956" s="17"/>
      <c r="AR4956" s="17"/>
    </row>
    <row r="4957" s="20" customFormat="1" ht="15.6" hidden="1" spans="1:44">
      <c r="A4957" s="17" t="s">
        <v>34</v>
      </c>
      <c r="B4957" s="19">
        <v>964</v>
      </c>
      <c r="C4957" s="183">
        <v>45227</v>
      </c>
      <c r="D4957" s="17" t="s">
        <v>52</v>
      </c>
      <c r="E4957" s="17" t="s">
        <v>1113</v>
      </c>
      <c r="F4957" s="17" t="s">
        <v>54</v>
      </c>
      <c r="G4957" s="17"/>
      <c r="H4957" s="124">
        <v>1.2311</v>
      </c>
      <c r="I4957" s="124"/>
      <c r="J4957" s="17" t="s">
        <v>82</v>
      </c>
      <c r="K4957" s="19">
        <v>510</v>
      </c>
      <c r="L4957" s="19">
        <v>80</v>
      </c>
      <c r="M4957" s="19">
        <v>2300</v>
      </c>
      <c r="N4957" s="19" t="s">
        <v>66</v>
      </c>
      <c r="O4957" s="19" t="s">
        <v>141</v>
      </c>
      <c r="P4957" s="266">
        <v>721</v>
      </c>
      <c r="Q4957" s="266">
        <v>751</v>
      </c>
      <c r="R4957" s="19">
        <f t="shared" si="231"/>
        <v>-30</v>
      </c>
      <c r="S4957" s="19">
        <v>950</v>
      </c>
      <c r="T4957" s="19" t="s">
        <v>42</v>
      </c>
      <c r="U4957" s="102" t="s">
        <v>1365</v>
      </c>
      <c r="V4957" s="253">
        <v>45118</v>
      </c>
      <c r="W4957" s="17" t="s">
        <v>44</v>
      </c>
      <c r="X4957" s="17"/>
      <c r="Y4957" s="68">
        <v>45283</v>
      </c>
      <c r="Z4957" s="17" t="s">
        <v>191</v>
      </c>
      <c r="AA4957" s="17" t="s">
        <v>46</v>
      </c>
      <c r="AB4957" s="17" t="s">
        <v>1244</v>
      </c>
      <c r="AC4957" s="66">
        <v>45286</v>
      </c>
      <c r="AD4957" s="65">
        <v>1505</v>
      </c>
      <c r="AE4957" s="17" t="s">
        <v>48</v>
      </c>
      <c r="AF4957" s="17"/>
      <c r="AG4957" s="17"/>
      <c r="AH4957" s="17"/>
      <c r="AI4957" s="17"/>
      <c r="AJ4957" s="17"/>
      <c r="AK4957" s="17"/>
      <c r="AL4957" s="17"/>
      <c r="AM4957" s="17"/>
      <c r="AN4957" s="17"/>
      <c r="AO4957" s="17"/>
      <c r="AP4957" s="17"/>
      <c r="AQ4957" s="17"/>
      <c r="AR4957" s="17"/>
    </row>
    <row r="4958" s="20" customFormat="1" ht="15.6" hidden="1" spans="1:44">
      <c r="A4958" s="17" t="s">
        <v>34</v>
      </c>
      <c r="B4958" s="19">
        <v>966</v>
      </c>
      <c r="C4958" s="183">
        <v>45227</v>
      </c>
      <c r="D4958" s="17" t="s">
        <v>52</v>
      </c>
      <c r="E4958" s="17" t="s">
        <v>1113</v>
      </c>
      <c r="F4958" s="17" t="s">
        <v>54</v>
      </c>
      <c r="G4958" s="17"/>
      <c r="H4958" s="124">
        <v>1.2311</v>
      </c>
      <c r="I4958" s="124"/>
      <c r="J4958" s="17" t="s">
        <v>49</v>
      </c>
      <c r="K4958" s="274">
        <v>2200</v>
      </c>
      <c r="L4958" s="274">
        <v>16</v>
      </c>
      <c r="M4958" s="314">
        <v>5500</v>
      </c>
      <c r="N4958" s="19" t="s">
        <v>66</v>
      </c>
      <c r="O4958" s="19" t="s">
        <v>141</v>
      </c>
      <c r="P4958" s="99">
        <v>1519.76</v>
      </c>
      <c r="Q4958" s="19">
        <v>1245</v>
      </c>
      <c r="R4958" s="99">
        <f t="shared" si="231"/>
        <v>274.76</v>
      </c>
      <c r="S4958" s="19">
        <f>1010-20</f>
        <v>990</v>
      </c>
      <c r="T4958" s="19" t="s">
        <v>42</v>
      </c>
      <c r="U4958" s="102" t="s">
        <v>1366</v>
      </c>
      <c r="V4958" s="253">
        <v>45210</v>
      </c>
      <c r="W4958" s="17" t="s">
        <v>44</v>
      </c>
      <c r="X4958" s="17"/>
      <c r="Y4958" s="68">
        <v>45283</v>
      </c>
      <c r="Z4958" s="17" t="s">
        <v>191</v>
      </c>
      <c r="AA4958" s="17" t="s">
        <v>46</v>
      </c>
      <c r="AB4958" s="17" t="s">
        <v>1241</v>
      </c>
      <c r="AC4958" s="66">
        <v>45283</v>
      </c>
      <c r="AD4958" s="65">
        <v>1503</v>
      </c>
      <c r="AE4958" s="17" t="s">
        <v>48</v>
      </c>
      <c r="AF4958" s="17"/>
      <c r="AG4958" s="17"/>
      <c r="AH4958" s="17"/>
      <c r="AI4958" s="17"/>
      <c r="AJ4958" s="17"/>
      <c r="AK4958" s="17"/>
      <c r="AL4958" s="17"/>
      <c r="AM4958" s="17"/>
      <c r="AN4958" s="17"/>
      <c r="AO4958" s="17"/>
      <c r="AP4958" s="17"/>
      <c r="AQ4958" s="17"/>
      <c r="AR4958" s="17"/>
    </row>
    <row r="4959" s="20" customFormat="1" ht="15.6" hidden="1" spans="1:44">
      <c r="A4959" s="17" t="s">
        <v>34</v>
      </c>
      <c r="B4959" s="19">
        <v>966</v>
      </c>
      <c r="C4959" s="183">
        <v>45227</v>
      </c>
      <c r="D4959" s="17" t="s">
        <v>52</v>
      </c>
      <c r="E4959" s="17" t="s">
        <v>1113</v>
      </c>
      <c r="F4959" s="17" t="s">
        <v>54</v>
      </c>
      <c r="G4959" s="17"/>
      <c r="H4959" s="124">
        <v>1.2311</v>
      </c>
      <c r="I4959" s="124"/>
      <c r="J4959" s="17" t="s">
        <v>49</v>
      </c>
      <c r="K4959" s="274">
        <v>2200</v>
      </c>
      <c r="L4959" s="274">
        <v>26</v>
      </c>
      <c r="M4959" s="314">
        <v>5500</v>
      </c>
      <c r="N4959" s="19" t="s">
        <v>66</v>
      </c>
      <c r="O4959" s="19" t="s">
        <v>141</v>
      </c>
      <c r="P4959" s="99">
        <v>2469.61</v>
      </c>
      <c r="Q4959" s="19">
        <v>2595</v>
      </c>
      <c r="R4959" s="99">
        <f t="shared" si="231"/>
        <v>-125.39</v>
      </c>
      <c r="S4959" s="19">
        <f t="shared" ref="S4959:S4968" si="232">950-20</f>
        <v>930</v>
      </c>
      <c r="T4959" s="19" t="s">
        <v>42</v>
      </c>
      <c r="U4959" s="102" t="s">
        <v>1366</v>
      </c>
      <c r="V4959" s="253">
        <v>45210</v>
      </c>
      <c r="W4959" s="17" t="s">
        <v>44</v>
      </c>
      <c r="X4959" s="17"/>
      <c r="Y4959" s="68">
        <v>45283</v>
      </c>
      <c r="Z4959" s="17" t="s">
        <v>191</v>
      </c>
      <c r="AA4959" s="17" t="s">
        <v>46</v>
      </c>
      <c r="AB4959" s="17" t="s">
        <v>1233</v>
      </c>
      <c r="AC4959" s="66">
        <v>45288</v>
      </c>
      <c r="AD4959" s="65">
        <v>1506</v>
      </c>
      <c r="AE4959" s="17" t="s">
        <v>48</v>
      </c>
      <c r="AF4959" s="17"/>
      <c r="AG4959" s="17"/>
      <c r="AH4959" s="17"/>
      <c r="AI4959" s="17"/>
      <c r="AJ4959" s="17"/>
      <c r="AK4959" s="17"/>
      <c r="AL4959" s="17"/>
      <c r="AM4959" s="17"/>
      <c r="AN4959" s="17"/>
      <c r="AO4959" s="17"/>
      <c r="AP4959" s="17"/>
      <c r="AQ4959" s="17"/>
      <c r="AR4959" s="17"/>
    </row>
    <row r="4960" s="20" customFormat="1" ht="15.6" hidden="1" spans="1:44">
      <c r="A4960" s="17" t="s">
        <v>34</v>
      </c>
      <c r="B4960" s="19">
        <v>966</v>
      </c>
      <c r="C4960" s="183">
        <v>45227</v>
      </c>
      <c r="D4960" s="17" t="s">
        <v>52</v>
      </c>
      <c r="E4960" s="17" t="s">
        <v>1113</v>
      </c>
      <c r="F4960" s="17" t="s">
        <v>54</v>
      </c>
      <c r="G4960" s="17"/>
      <c r="H4960" s="124">
        <v>1.2311</v>
      </c>
      <c r="I4960" s="124"/>
      <c r="J4960" s="17" t="s">
        <v>49</v>
      </c>
      <c r="K4960" s="274">
        <v>2200</v>
      </c>
      <c r="L4960" s="274">
        <v>32</v>
      </c>
      <c r="M4960" s="314">
        <v>5500</v>
      </c>
      <c r="N4960" s="19" t="s">
        <v>66</v>
      </c>
      <c r="O4960" s="19" t="s">
        <v>141</v>
      </c>
      <c r="P4960" s="99">
        <v>18237.12</v>
      </c>
      <c r="Q4960" s="19">
        <v>2718</v>
      </c>
      <c r="R4960" s="17"/>
      <c r="S4960" s="19">
        <f t="shared" si="232"/>
        <v>930</v>
      </c>
      <c r="T4960" s="19" t="s">
        <v>42</v>
      </c>
      <c r="U4960" s="102" t="s">
        <v>1366</v>
      </c>
      <c r="V4960" s="253">
        <v>45210</v>
      </c>
      <c r="W4960" s="17" t="s">
        <v>44</v>
      </c>
      <c r="X4960" s="17"/>
      <c r="Y4960" s="68">
        <v>45283</v>
      </c>
      <c r="Z4960" s="17" t="s">
        <v>191</v>
      </c>
      <c r="AA4960" s="17" t="s">
        <v>46</v>
      </c>
      <c r="AB4960" s="17" t="s">
        <v>1236</v>
      </c>
      <c r="AC4960" s="66">
        <v>45288</v>
      </c>
      <c r="AD4960" s="65">
        <v>1508</v>
      </c>
      <c r="AE4960" s="17" t="s">
        <v>48</v>
      </c>
      <c r="AF4960" s="17"/>
      <c r="AG4960" s="17"/>
      <c r="AH4960" s="17"/>
      <c r="AI4960" s="17"/>
      <c r="AJ4960" s="17"/>
      <c r="AK4960" s="17"/>
      <c r="AL4960" s="17"/>
      <c r="AM4960" s="17"/>
      <c r="AN4960" s="17"/>
      <c r="AO4960" s="17"/>
      <c r="AP4960" s="17"/>
      <c r="AQ4960" s="17"/>
      <c r="AR4960" s="17"/>
    </row>
    <row r="4961" s="20" customFormat="1" ht="15.6" hidden="1" spans="1:44">
      <c r="A4961" s="17" t="s">
        <v>34</v>
      </c>
      <c r="B4961" s="19">
        <v>966</v>
      </c>
      <c r="C4961" s="183">
        <v>45227</v>
      </c>
      <c r="D4961" s="17" t="s">
        <v>52</v>
      </c>
      <c r="E4961" s="17" t="s">
        <v>1113</v>
      </c>
      <c r="F4961" s="17" t="s">
        <v>54</v>
      </c>
      <c r="G4961" s="17"/>
      <c r="H4961" s="124">
        <v>1.2311</v>
      </c>
      <c r="I4961" s="124"/>
      <c r="J4961" s="17" t="s">
        <v>49</v>
      </c>
      <c r="K4961" s="274">
        <v>2200</v>
      </c>
      <c r="L4961" s="274">
        <v>32</v>
      </c>
      <c r="M4961" s="314">
        <v>5500</v>
      </c>
      <c r="N4961" s="19" t="s">
        <v>66</v>
      </c>
      <c r="O4961" s="19" t="s">
        <v>141</v>
      </c>
      <c r="P4961" s="99"/>
      <c r="Q4961" s="19">
        <f>3100+3150</f>
        <v>6250</v>
      </c>
      <c r="R4961" s="17"/>
      <c r="S4961" s="19">
        <f t="shared" si="232"/>
        <v>930</v>
      </c>
      <c r="T4961" s="19" t="s">
        <v>42</v>
      </c>
      <c r="U4961" s="102" t="s">
        <v>1366</v>
      </c>
      <c r="V4961" s="253">
        <v>45210</v>
      </c>
      <c r="W4961" s="17" t="s">
        <v>44</v>
      </c>
      <c r="X4961" s="17"/>
      <c r="Y4961" s="68">
        <v>45283</v>
      </c>
      <c r="Z4961" s="17" t="s">
        <v>191</v>
      </c>
      <c r="AA4961" s="17" t="s">
        <v>46</v>
      </c>
      <c r="AB4961" s="17" t="s">
        <v>1236</v>
      </c>
      <c r="AC4961" s="66">
        <v>45288</v>
      </c>
      <c r="AD4961" s="65">
        <v>1511</v>
      </c>
      <c r="AE4961" s="17" t="s">
        <v>48</v>
      </c>
      <c r="AF4961" s="17"/>
      <c r="AG4961" s="17"/>
      <c r="AH4961" s="17"/>
      <c r="AI4961" s="17"/>
      <c r="AJ4961" s="17"/>
      <c r="AK4961" s="17"/>
      <c r="AL4961" s="17"/>
      <c r="AM4961" s="17"/>
      <c r="AN4961" s="17"/>
      <c r="AO4961" s="17"/>
      <c r="AP4961" s="17"/>
      <c r="AQ4961" s="17"/>
      <c r="AR4961" s="17"/>
    </row>
    <row r="4962" s="20" customFormat="1" ht="15.6" hidden="1" spans="1:44">
      <c r="A4962" s="17" t="s">
        <v>34</v>
      </c>
      <c r="B4962" s="19">
        <v>966</v>
      </c>
      <c r="C4962" s="183">
        <v>45227</v>
      </c>
      <c r="D4962" s="17" t="s">
        <v>52</v>
      </c>
      <c r="E4962" s="17" t="s">
        <v>1113</v>
      </c>
      <c r="F4962" s="17" t="s">
        <v>54</v>
      </c>
      <c r="G4962" s="17"/>
      <c r="H4962" s="124">
        <v>1.2311</v>
      </c>
      <c r="I4962" s="124"/>
      <c r="J4962" s="17" t="s">
        <v>49</v>
      </c>
      <c r="K4962" s="274">
        <v>2200</v>
      </c>
      <c r="L4962" s="274">
        <v>32</v>
      </c>
      <c r="M4962" s="314">
        <v>5500</v>
      </c>
      <c r="N4962" s="19" t="s">
        <v>66</v>
      </c>
      <c r="O4962" s="19" t="s">
        <v>141</v>
      </c>
      <c r="P4962" s="99"/>
      <c r="Q4962" s="19">
        <f>3100+3010</f>
        <v>6110</v>
      </c>
      <c r="R4962" s="254"/>
      <c r="S4962" s="19">
        <f t="shared" si="232"/>
        <v>930</v>
      </c>
      <c r="T4962" s="19" t="s">
        <v>42</v>
      </c>
      <c r="U4962" s="102" t="s">
        <v>1366</v>
      </c>
      <c r="V4962" s="253">
        <v>45210</v>
      </c>
      <c r="W4962" s="17" t="s">
        <v>44</v>
      </c>
      <c r="X4962" s="17"/>
      <c r="Y4962" s="68">
        <v>45283</v>
      </c>
      <c r="Z4962" s="17" t="s">
        <v>191</v>
      </c>
      <c r="AA4962" s="17" t="s">
        <v>46</v>
      </c>
      <c r="AB4962" s="17" t="s">
        <v>1253</v>
      </c>
      <c r="AC4962" s="66">
        <v>45307</v>
      </c>
      <c r="AD4962" s="65">
        <v>1520</v>
      </c>
      <c r="AE4962" s="17" t="s">
        <v>48</v>
      </c>
      <c r="AF4962" s="17"/>
      <c r="AG4962" s="17"/>
      <c r="AH4962" s="17"/>
      <c r="AI4962" s="17"/>
      <c r="AJ4962" s="17"/>
      <c r="AK4962" s="17"/>
      <c r="AL4962" s="17"/>
      <c r="AM4962" s="17"/>
      <c r="AN4962" s="17"/>
      <c r="AO4962" s="17"/>
      <c r="AP4962" s="17"/>
      <c r="AQ4962" s="17"/>
      <c r="AR4962" s="17"/>
    </row>
    <row r="4963" s="20" customFormat="1" ht="15.6" hidden="1" spans="1:44">
      <c r="A4963" s="17" t="s">
        <v>34</v>
      </c>
      <c r="B4963" s="19">
        <v>966</v>
      </c>
      <c r="C4963" s="183">
        <v>45227</v>
      </c>
      <c r="D4963" s="17" t="s">
        <v>52</v>
      </c>
      <c r="E4963" s="17" t="s">
        <v>1113</v>
      </c>
      <c r="F4963" s="17" t="s">
        <v>54</v>
      </c>
      <c r="G4963" s="17"/>
      <c r="H4963" s="124">
        <v>1.2311</v>
      </c>
      <c r="I4963" s="124"/>
      <c r="J4963" s="17" t="s">
        <v>49</v>
      </c>
      <c r="K4963" s="274">
        <v>2200</v>
      </c>
      <c r="L4963" s="274">
        <v>32</v>
      </c>
      <c r="M4963" s="314">
        <v>5500</v>
      </c>
      <c r="N4963" s="19" t="s">
        <v>66</v>
      </c>
      <c r="O4963" s="19" t="s">
        <v>141</v>
      </c>
      <c r="P4963" s="99"/>
      <c r="Q4963" s="19">
        <v>3120</v>
      </c>
      <c r="R4963" s="99">
        <f>+P4960-Q4960-Q4961-Q4962-Q4963</f>
        <v>39.1199999999953</v>
      </c>
      <c r="S4963" s="19">
        <f t="shared" si="232"/>
        <v>930</v>
      </c>
      <c r="T4963" s="19" t="s">
        <v>42</v>
      </c>
      <c r="U4963" s="102" t="s">
        <v>1366</v>
      </c>
      <c r="V4963" s="253">
        <v>45210</v>
      </c>
      <c r="W4963" s="17" t="s">
        <v>44</v>
      </c>
      <c r="X4963" s="17"/>
      <c r="Y4963" s="68">
        <v>45283</v>
      </c>
      <c r="Z4963" s="17" t="s">
        <v>191</v>
      </c>
      <c r="AA4963" s="17" t="s">
        <v>46</v>
      </c>
      <c r="AB4963" s="17" t="s">
        <v>1250</v>
      </c>
      <c r="AC4963" s="217">
        <v>45351</v>
      </c>
      <c r="AD4963" s="65">
        <v>1533</v>
      </c>
      <c r="AE4963" s="17" t="s">
        <v>48</v>
      </c>
      <c r="AF4963" s="17"/>
      <c r="AG4963" s="17"/>
      <c r="AH4963" s="17"/>
      <c r="AI4963" s="17"/>
      <c r="AJ4963" s="17"/>
      <c r="AK4963" s="17"/>
      <c r="AL4963" s="17"/>
      <c r="AM4963" s="17"/>
      <c r="AN4963" s="17"/>
      <c r="AO4963" s="17"/>
      <c r="AP4963" s="17"/>
      <c r="AQ4963" s="17"/>
      <c r="AR4963" s="17"/>
    </row>
    <row r="4964" s="20" customFormat="1" ht="15.6" hidden="1" spans="1:44">
      <c r="A4964" s="17" t="s">
        <v>34</v>
      </c>
      <c r="B4964" s="19">
        <v>966</v>
      </c>
      <c r="C4964" s="183">
        <v>45227</v>
      </c>
      <c r="D4964" s="17" t="s">
        <v>52</v>
      </c>
      <c r="E4964" s="17" t="s">
        <v>1113</v>
      </c>
      <c r="F4964" s="17" t="s">
        <v>54</v>
      </c>
      <c r="G4964" s="17"/>
      <c r="H4964" s="124">
        <v>1.2311</v>
      </c>
      <c r="I4964" s="124"/>
      <c r="J4964" s="17" t="s">
        <v>49</v>
      </c>
      <c r="K4964" s="274">
        <v>2200</v>
      </c>
      <c r="L4964" s="274">
        <v>36</v>
      </c>
      <c r="M4964" s="314">
        <v>5500</v>
      </c>
      <c r="N4964" s="19" t="s">
        <v>66</v>
      </c>
      <c r="O4964" s="19" t="s">
        <v>141</v>
      </c>
      <c r="P4964" s="99">
        <v>13677.84</v>
      </c>
      <c r="Q4964" s="19">
        <f>3210+3290+3200+3280</f>
        <v>12980</v>
      </c>
      <c r="R4964" s="99">
        <f>+P4964-Q4964</f>
        <v>697.839999999998</v>
      </c>
      <c r="S4964" s="19">
        <f t="shared" si="232"/>
        <v>930</v>
      </c>
      <c r="T4964" s="19" t="s">
        <v>42</v>
      </c>
      <c r="U4964" s="102" t="s">
        <v>1366</v>
      </c>
      <c r="V4964" s="253">
        <v>45210</v>
      </c>
      <c r="W4964" s="17" t="s">
        <v>44</v>
      </c>
      <c r="X4964" s="17"/>
      <c r="Y4964" s="68">
        <v>45283</v>
      </c>
      <c r="Z4964" s="17" t="s">
        <v>191</v>
      </c>
      <c r="AA4964" s="17" t="s">
        <v>46</v>
      </c>
      <c r="AB4964" s="17" t="s">
        <v>1238</v>
      </c>
      <c r="AC4964" s="66">
        <v>45280</v>
      </c>
      <c r="AD4964" s="65">
        <v>1500</v>
      </c>
      <c r="AE4964" s="17" t="s">
        <v>48</v>
      </c>
      <c r="AF4964" s="17"/>
      <c r="AG4964" s="17"/>
      <c r="AH4964" s="17"/>
      <c r="AI4964" s="17"/>
      <c r="AJ4964" s="17"/>
      <c r="AK4964" s="17"/>
      <c r="AL4964" s="17"/>
      <c r="AM4964" s="17"/>
      <c r="AN4964" s="17"/>
      <c r="AO4964" s="17"/>
      <c r="AP4964" s="17"/>
      <c r="AQ4964" s="17"/>
      <c r="AR4964" s="17"/>
    </row>
    <row r="4965" s="20" customFormat="1" ht="15.6" hidden="1" spans="1:44">
      <c r="A4965" s="17" t="s">
        <v>34</v>
      </c>
      <c r="B4965" s="19">
        <v>966</v>
      </c>
      <c r="C4965" s="183">
        <v>45227</v>
      </c>
      <c r="D4965" s="17" t="s">
        <v>52</v>
      </c>
      <c r="E4965" s="17" t="s">
        <v>1113</v>
      </c>
      <c r="F4965" s="17" t="s">
        <v>54</v>
      </c>
      <c r="G4965" s="17"/>
      <c r="H4965" s="124">
        <v>1.2311</v>
      </c>
      <c r="I4965" s="124"/>
      <c r="J4965" s="17" t="s">
        <v>49</v>
      </c>
      <c r="K4965" s="274">
        <v>2200</v>
      </c>
      <c r="L4965" s="274">
        <v>40</v>
      </c>
      <c r="M4965" s="314">
        <v>5500</v>
      </c>
      <c r="N4965" s="19" t="s">
        <v>66</v>
      </c>
      <c r="O4965" s="19" t="s">
        <v>141</v>
      </c>
      <c r="P4965" s="99">
        <v>30395.2</v>
      </c>
      <c r="Q4965" s="19">
        <f>3620+3890</f>
        <v>7510</v>
      </c>
      <c r="R4965" s="17"/>
      <c r="S4965" s="19">
        <f t="shared" si="232"/>
        <v>930</v>
      </c>
      <c r="T4965" s="19" t="s">
        <v>42</v>
      </c>
      <c r="U4965" s="102" t="s">
        <v>1366</v>
      </c>
      <c r="V4965" s="253">
        <v>45210</v>
      </c>
      <c r="W4965" s="17" t="s">
        <v>44</v>
      </c>
      <c r="X4965" s="17"/>
      <c r="Y4965" s="68">
        <v>45283</v>
      </c>
      <c r="Z4965" s="17" t="s">
        <v>191</v>
      </c>
      <c r="AA4965" s="17" t="s">
        <v>46</v>
      </c>
      <c r="AB4965" s="17" t="s">
        <v>1241</v>
      </c>
      <c r="AC4965" s="66">
        <v>45283</v>
      </c>
      <c r="AD4965" s="65">
        <v>1503</v>
      </c>
      <c r="AE4965" s="17" t="s">
        <v>48</v>
      </c>
      <c r="AF4965" s="17"/>
      <c r="AG4965" s="17"/>
      <c r="AH4965" s="17"/>
      <c r="AI4965" s="17"/>
      <c r="AJ4965" s="17"/>
      <c r="AK4965" s="17"/>
      <c r="AL4965" s="17"/>
      <c r="AM4965" s="17"/>
      <c r="AN4965" s="17"/>
      <c r="AO4965" s="17"/>
      <c r="AP4965" s="17"/>
      <c r="AQ4965" s="17"/>
      <c r="AR4965" s="17"/>
    </row>
    <row r="4966" s="20" customFormat="1" ht="15.6" hidden="1" spans="1:44">
      <c r="A4966" s="17" t="s">
        <v>34</v>
      </c>
      <c r="B4966" s="19">
        <v>966</v>
      </c>
      <c r="C4966" s="183">
        <v>45227</v>
      </c>
      <c r="D4966" s="17" t="s">
        <v>52</v>
      </c>
      <c r="E4966" s="17" t="s">
        <v>1113</v>
      </c>
      <c r="F4966" s="17" t="s">
        <v>54</v>
      </c>
      <c r="G4966" s="17"/>
      <c r="H4966" s="124">
        <v>1.2311</v>
      </c>
      <c r="I4966" s="124"/>
      <c r="J4966" s="17" t="s">
        <v>49</v>
      </c>
      <c r="K4966" s="274">
        <v>2200</v>
      </c>
      <c r="L4966" s="274">
        <v>40</v>
      </c>
      <c r="M4966" s="314">
        <v>5500</v>
      </c>
      <c r="N4966" s="19" t="s">
        <v>66</v>
      </c>
      <c r="O4966" s="19" t="s">
        <v>141</v>
      </c>
      <c r="P4966" s="99"/>
      <c r="Q4966" s="19">
        <f>4310+4300</f>
        <v>8610</v>
      </c>
      <c r="R4966" s="17"/>
      <c r="S4966" s="19">
        <f t="shared" si="232"/>
        <v>930</v>
      </c>
      <c r="T4966" s="19" t="s">
        <v>42</v>
      </c>
      <c r="U4966" s="102" t="s">
        <v>1366</v>
      </c>
      <c r="V4966" s="253">
        <v>45210</v>
      </c>
      <c r="W4966" s="17" t="s">
        <v>44</v>
      </c>
      <c r="X4966" s="17"/>
      <c r="Y4966" s="68">
        <v>45283</v>
      </c>
      <c r="Z4966" s="17" t="s">
        <v>191</v>
      </c>
      <c r="AA4966" s="17" t="s">
        <v>46</v>
      </c>
      <c r="AB4966" s="17" t="s">
        <v>1233</v>
      </c>
      <c r="AC4966" s="66">
        <v>45288</v>
      </c>
      <c r="AD4966" s="65">
        <v>1506</v>
      </c>
      <c r="AE4966" s="17" t="s">
        <v>48</v>
      </c>
      <c r="AF4966" s="17"/>
      <c r="AG4966" s="17"/>
      <c r="AH4966" s="17"/>
      <c r="AI4966" s="17"/>
      <c r="AJ4966" s="17"/>
      <c r="AK4966" s="17"/>
      <c r="AL4966" s="17"/>
      <c r="AM4966" s="17"/>
      <c r="AN4966" s="17"/>
      <c r="AO4966" s="17"/>
      <c r="AP4966" s="17"/>
      <c r="AQ4966" s="17"/>
      <c r="AR4966" s="17"/>
    </row>
    <row r="4967" s="20" customFormat="1" ht="15.6" hidden="1" spans="1:44">
      <c r="A4967" s="17" t="s">
        <v>34</v>
      </c>
      <c r="B4967" s="19">
        <v>966</v>
      </c>
      <c r="C4967" s="183">
        <v>45227</v>
      </c>
      <c r="D4967" s="17" t="s">
        <v>52</v>
      </c>
      <c r="E4967" s="17" t="s">
        <v>1113</v>
      </c>
      <c r="F4967" s="17" t="s">
        <v>54</v>
      </c>
      <c r="G4967" s="17"/>
      <c r="H4967" s="124">
        <v>1.2311</v>
      </c>
      <c r="I4967" s="124"/>
      <c r="J4967" s="17" t="s">
        <v>49</v>
      </c>
      <c r="K4967" s="274">
        <v>2200</v>
      </c>
      <c r="L4967" s="274">
        <v>40</v>
      </c>
      <c r="M4967" s="314">
        <v>5500</v>
      </c>
      <c r="N4967" s="19" t="s">
        <v>66</v>
      </c>
      <c r="O4967" s="19" t="s">
        <v>141</v>
      </c>
      <c r="P4967" s="99"/>
      <c r="Q4967" s="19">
        <v>4280</v>
      </c>
      <c r="R4967" s="17"/>
      <c r="S4967" s="19">
        <f t="shared" si="232"/>
        <v>930</v>
      </c>
      <c r="T4967" s="19" t="s">
        <v>42</v>
      </c>
      <c r="U4967" s="102" t="s">
        <v>1366</v>
      </c>
      <c r="V4967" s="253">
        <v>45210</v>
      </c>
      <c r="W4967" s="17" t="s">
        <v>44</v>
      </c>
      <c r="X4967" s="17"/>
      <c r="Y4967" s="68">
        <v>45283</v>
      </c>
      <c r="Z4967" s="17" t="s">
        <v>191</v>
      </c>
      <c r="AA4967" s="17" t="s">
        <v>46</v>
      </c>
      <c r="AB4967" s="17" t="s">
        <v>1260</v>
      </c>
      <c r="AC4967" s="66">
        <v>45288</v>
      </c>
      <c r="AD4967" s="65">
        <v>1507</v>
      </c>
      <c r="AE4967" s="17" t="s">
        <v>48</v>
      </c>
      <c r="AF4967" s="17"/>
      <c r="AG4967" s="17"/>
      <c r="AH4967" s="17"/>
      <c r="AI4967" s="17"/>
      <c r="AJ4967" s="17"/>
      <c r="AK4967" s="17"/>
      <c r="AL4967" s="17"/>
      <c r="AM4967" s="17"/>
      <c r="AN4967" s="17"/>
      <c r="AO4967" s="17"/>
      <c r="AP4967" s="17"/>
      <c r="AQ4967" s="17"/>
      <c r="AR4967" s="17"/>
    </row>
    <row r="4968" s="20" customFormat="1" ht="15.6" hidden="1" spans="1:44">
      <c r="A4968" s="17" t="s">
        <v>34</v>
      </c>
      <c r="B4968" s="19">
        <v>966</v>
      </c>
      <c r="C4968" s="183">
        <v>45227</v>
      </c>
      <c r="D4968" s="17" t="s">
        <v>52</v>
      </c>
      <c r="E4968" s="17" t="s">
        <v>1113</v>
      </c>
      <c r="F4968" s="17" t="s">
        <v>54</v>
      </c>
      <c r="G4968" s="17"/>
      <c r="H4968" s="124">
        <v>1.2311</v>
      </c>
      <c r="I4968" s="124"/>
      <c r="J4968" s="17" t="s">
        <v>49</v>
      </c>
      <c r="K4968" s="274">
        <v>2200</v>
      </c>
      <c r="L4968" s="274">
        <v>40</v>
      </c>
      <c r="M4968" s="314">
        <v>5500</v>
      </c>
      <c r="N4968" s="19" t="s">
        <v>66</v>
      </c>
      <c r="O4968" s="19" t="s">
        <v>141</v>
      </c>
      <c r="P4968" s="99"/>
      <c r="Q4968" s="19">
        <v>4300</v>
      </c>
      <c r="R4968" s="21"/>
      <c r="S4968" s="19">
        <f t="shared" si="232"/>
        <v>930</v>
      </c>
      <c r="T4968" s="19" t="s">
        <v>42</v>
      </c>
      <c r="U4968" s="102" t="s">
        <v>1366</v>
      </c>
      <c r="V4968" s="253">
        <v>45210</v>
      </c>
      <c r="W4968" s="17" t="s">
        <v>44</v>
      </c>
      <c r="X4968" s="17"/>
      <c r="Y4968" s="68">
        <v>45283</v>
      </c>
      <c r="Z4968" s="17" t="s">
        <v>191</v>
      </c>
      <c r="AA4968" s="17" t="s">
        <v>46</v>
      </c>
      <c r="AB4968" s="17" t="s">
        <v>1253</v>
      </c>
      <c r="AC4968" s="66">
        <v>45307</v>
      </c>
      <c r="AD4968" s="65">
        <v>1520</v>
      </c>
      <c r="AE4968" s="17" t="s">
        <v>48</v>
      </c>
      <c r="AF4968" s="17"/>
      <c r="AG4968" s="17"/>
      <c r="AH4968" s="17"/>
      <c r="AI4968" s="17"/>
      <c r="AJ4968" s="17"/>
      <c r="AK4968" s="17"/>
      <c r="AL4968" s="17"/>
      <c r="AM4968" s="17"/>
      <c r="AN4968" s="17"/>
      <c r="AO4968" s="17"/>
      <c r="AP4968" s="17"/>
      <c r="AQ4968" s="17"/>
      <c r="AR4968" s="17"/>
    </row>
    <row r="4969" s="20" customFormat="1" ht="15.6" hidden="1" spans="1:44">
      <c r="A4969" s="17" t="s">
        <v>34</v>
      </c>
      <c r="B4969" s="19">
        <v>966</v>
      </c>
      <c r="C4969" s="183">
        <v>45227</v>
      </c>
      <c r="D4969" s="17" t="s">
        <v>52</v>
      </c>
      <c r="E4969" s="17" t="s">
        <v>1113</v>
      </c>
      <c r="F4969" s="17" t="s">
        <v>54</v>
      </c>
      <c r="G4969" s="17"/>
      <c r="H4969" s="124">
        <v>1.2311</v>
      </c>
      <c r="I4969" s="124"/>
      <c r="J4969" s="17" t="s">
        <v>49</v>
      </c>
      <c r="K4969" s="274">
        <v>2200</v>
      </c>
      <c r="L4969" s="274">
        <v>40</v>
      </c>
      <c r="M4969" s="314">
        <v>5500</v>
      </c>
      <c r="N4969" s="19" t="s">
        <v>66</v>
      </c>
      <c r="O4969" s="19" t="s">
        <v>141</v>
      </c>
      <c r="P4969" s="99"/>
      <c r="Q4969" s="19">
        <v>4090</v>
      </c>
      <c r="R4969" s="99">
        <f>+P4965-Q4965-Q4966-Q4967-Q4968-Q4969</f>
        <v>1605.2</v>
      </c>
      <c r="S4969" s="19">
        <v>830</v>
      </c>
      <c r="T4969" s="19" t="s">
        <v>42</v>
      </c>
      <c r="U4969" s="102" t="s">
        <v>1366</v>
      </c>
      <c r="V4969" s="253">
        <v>45210</v>
      </c>
      <c r="W4969" s="17" t="s">
        <v>44</v>
      </c>
      <c r="X4969" s="17"/>
      <c r="Y4969" s="68">
        <v>45283</v>
      </c>
      <c r="Z4969" s="17" t="s">
        <v>191</v>
      </c>
      <c r="AA4969" s="17" t="s">
        <v>46</v>
      </c>
      <c r="AB4969" s="17" t="s">
        <v>1295</v>
      </c>
      <c r="AC4969" s="217">
        <v>45364</v>
      </c>
      <c r="AD4969" s="65">
        <v>1537</v>
      </c>
      <c r="AE4969" s="17" t="s">
        <v>48</v>
      </c>
      <c r="AF4969" s="17"/>
      <c r="AG4969" s="17"/>
      <c r="AH4969" s="17"/>
      <c r="AI4969" s="17"/>
      <c r="AJ4969" s="17"/>
      <c r="AK4969" s="17"/>
      <c r="AL4969" s="17"/>
      <c r="AM4969" s="17"/>
      <c r="AN4969" s="17"/>
      <c r="AO4969" s="17"/>
      <c r="AP4969" s="17"/>
      <c r="AQ4969" s="17"/>
      <c r="AR4969" s="17"/>
    </row>
    <row r="4970" s="20" customFormat="1" ht="15.6" hidden="1" spans="1:44">
      <c r="A4970" s="17" t="s">
        <v>34</v>
      </c>
      <c r="B4970" s="19">
        <v>966</v>
      </c>
      <c r="C4970" s="183">
        <v>45227</v>
      </c>
      <c r="D4970" s="17" t="s">
        <v>52</v>
      </c>
      <c r="E4970" s="17" t="s">
        <v>1113</v>
      </c>
      <c r="F4970" s="17" t="s">
        <v>54</v>
      </c>
      <c r="G4970" s="17"/>
      <c r="H4970" s="124">
        <v>1.2311</v>
      </c>
      <c r="I4970" s="124"/>
      <c r="J4970" s="17" t="s">
        <v>49</v>
      </c>
      <c r="K4970" s="274">
        <v>2200</v>
      </c>
      <c r="L4970" s="274">
        <v>45</v>
      </c>
      <c r="M4970" s="314">
        <v>5500</v>
      </c>
      <c r="N4970" s="19" t="s">
        <v>66</v>
      </c>
      <c r="O4970" s="19" t="s">
        <v>141</v>
      </c>
      <c r="P4970" s="99">
        <v>12822.975</v>
      </c>
      <c r="Q4970" s="19">
        <v>4280</v>
      </c>
      <c r="R4970" s="17"/>
      <c r="S4970" s="19">
        <f>950-20</f>
        <v>930</v>
      </c>
      <c r="T4970" s="19" t="s">
        <v>42</v>
      </c>
      <c r="U4970" s="102" t="s">
        <v>1366</v>
      </c>
      <c r="V4970" s="253">
        <v>45210</v>
      </c>
      <c r="W4970" s="17" t="s">
        <v>44</v>
      </c>
      <c r="X4970" s="17"/>
      <c r="Y4970" s="68">
        <v>45283</v>
      </c>
      <c r="Z4970" s="17" t="s">
        <v>191</v>
      </c>
      <c r="AA4970" s="17" t="s">
        <v>46</v>
      </c>
      <c r="AB4970" s="17" t="s">
        <v>1246</v>
      </c>
      <c r="AC4970" s="66">
        <v>45276</v>
      </c>
      <c r="AD4970" s="65">
        <v>1499</v>
      </c>
      <c r="AE4970" s="17" t="s">
        <v>48</v>
      </c>
      <c r="AF4970" s="17"/>
      <c r="AG4970" s="17"/>
      <c r="AH4970" s="17"/>
      <c r="AI4970" s="17"/>
      <c r="AJ4970" s="17"/>
      <c r="AK4970" s="17"/>
      <c r="AL4970" s="17"/>
      <c r="AM4970" s="17"/>
      <c r="AN4970" s="17"/>
      <c r="AO4970" s="17"/>
      <c r="AP4970" s="17"/>
      <c r="AQ4970" s="17"/>
      <c r="AR4970" s="17"/>
    </row>
    <row r="4971" s="20" customFormat="1" ht="15.6" hidden="1" spans="1:44">
      <c r="A4971" s="17" t="s">
        <v>34</v>
      </c>
      <c r="B4971" s="19">
        <v>966</v>
      </c>
      <c r="C4971" s="183">
        <v>45227</v>
      </c>
      <c r="D4971" s="17" t="s">
        <v>52</v>
      </c>
      <c r="E4971" s="17" t="s">
        <v>1113</v>
      </c>
      <c r="F4971" s="17" t="s">
        <v>54</v>
      </c>
      <c r="G4971" s="17"/>
      <c r="H4971" s="124">
        <v>1.2311</v>
      </c>
      <c r="I4971" s="124"/>
      <c r="J4971" s="17" t="s">
        <v>49</v>
      </c>
      <c r="K4971" s="274">
        <v>2200</v>
      </c>
      <c r="L4971" s="274">
        <v>45</v>
      </c>
      <c r="M4971" s="314">
        <v>5500</v>
      </c>
      <c r="N4971" s="19" t="s">
        <v>66</v>
      </c>
      <c r="O4971" s="19" t="s">
        <v>141</v>
      </c>
      <c r="P4971" s="99"/>
      <c r="Q4971" s="19">
        <f>4140+4320</f>
        <v>8460</v>
      </c>
      <c r="R4971" s="99">
        <f>+P4970-Q4970-Q4971</f>
        <v>82.9749999999985</v>
      </c>
      <c r="S4971" s="19">
        <f>950-20</f>
        <v>930</v>
      </c>
      <c r="T4971" s="19" t="s">
        <v>42</v>
      </c>
      <c r="U4971" s="102" t="s">
        <v>1366</v>
      </c>
      <c r="V4971" s="253">
        <v>45210</v>
      </c>
      <c r="W4971" s="17" t="s">
        <v>44</v>
      </c>
      <c r="X4971" s="17"/>
      <c r="Y4971" s="68">
        <v>45283</v>
      </c>
      <c r="Z4971" s="17" t="s">
        <v>191</v>
      </c>
      <c r="AA4971" s="17" t="s">
        <v>46</v>
      </c>
      <c r="AB4971" s="17" t="s">
        <v>1238</v>
      </c>
      <c r="AC4971" s="66">
        <v>45280</v>
      </c>
      <c r="AD4971" s="65">
        <v>1500</v>
      </c>
      <c r="AE4971" s="17" t="s">
        <v>48</v>
      </c>
      <c r="AF4971" s="17"/>
      <c r="AG4971" s="17"/>
      <c r="AH4971" s="17"/>
      <c r="AI4971" s="17"/>
      <c r="AJ4971" s="17"/>
      <c r="AK4971" s="17"/>
      <c r="AL4971" s="17"/>
      <c r="AM4971" s="17"/>
      <c r="AN4971" s="17"/>
      <c r="AO4971" s="17"/>
      <c r="AP4971" s="17"/>
      <c r="AQ4971" s="17"/>
      <c r="AR4971" s="17"/>
    </row>
    <row r="4972" s="20" customFormat="1" ht="15.6" hidden="1" spans="1:44">
      <c r="A4972" s="17" t="s">
        <v>34</v>
      </c>
      <c r="B4972" s="19">
        <v>966</v>
      </c>
      <c r="C4972" s="183">
        <v>45227</v>
      </c>
      <c r="D4972" s="17" t="s">
        <v>52</v>
      </c>
      <c r="E4972" s="17" t="s">
        <v>1113</v>
      </c>
      <c r="F4972" s="17" t="s">
        <v>54</v>
      </c>
      <c r="G4972" s="17"/>
      <c r="H4972" s="124">
        <v>1.2311</v>
      </c>
      <c r="I4972" s="124"/>
      <c r="J4972" s="17" t="s">
        <v>49</v>
      </c>
      <c r="K4972" s="274">
        <v>2200</v>
      </c>
      <c r="L4972" s="274">
        <v>50</v>
      </c>
      <c r="M4972" s="314">
        <v>5500</v>
      </c>
      <c r="N4972" s="19" t="s">
        <v>66</v>
      </c>
      <c r="O4972" s="19" t="s">
        <v>141</v>
      </c>
      <c r="P4972" s="99">
        <v>33244.75</v>
      </c>
      <c r="Q4972" s="19">
        <v>5230</v>
      </c>
      <c r="R4972" s="17"/>
      <c r="S4972" s="19">
        <f>950-20</f>
        <v>930</v>
      </c>
      <c r="T4972" s="19" t="s">
        <v>42</v>
      </c>
      <c r="U4972" s="102" t="s">
        <v>1366</v>
      </c>
      <c r="V4972" s="253">
        <v>45210</v>
      </c>
      <c r="W4972" s="17" t="s">
        <v>44</v>
      </c>
      <c r="X4972" s="17"/>
      <c r="Y4972" s="68">
        <v>45283</v>
      </c>
      <c r="Z4972" s="17" t="s">
        <v>191</v>
      </c>
      <c r="AA4972" s="17" t="s">
        <v>46</v>
      </c>
      <c r="AB4972" s="17" t="s">
        <v>1233</v>
      </c>
      <c r="AC4972" s="66">
        <v>45288</v>
      </c>
      <c r="AD4972" s="65">
        <v>1506</v>
      </c>
      <c r="AE4972" s="17" t="s">
        <v>48</v>
      </c>
      <c r="AF4972" s="17"/>
      <c r="AG4972" s="17"/>
      <c r="AH4972" s="17"/>
      <c r="AI4972" s="17"/>
      <c r="AJ4972" s="17"/>
      <c r="AK4972" s="17"/>
      <c r="AL4972" s="17"/>
      <c r="AM4972" s="17"/>
      <c r="AN4972" s="17"/>
      <c r="AO4972" s="17"/>
      <c r="AP4972" s="17"/>
      <c r="AQ4972" s="17"/>
      <c r="AR4972" s="17"/>
    </row>
    <row r="4973" s="20" customFormat="1" ht="15.6" hidden="1" spans="1:44">
      <c r="A4973" s="17" t="s">
        <v>34</v>
      </c>
      <c r="B4973" s="19">
        <v>966</v>
      </c>
      <c r="C4973" s="183">
        <v>45227</v>
      </c>
      <c r="D4973" s="17" t="s">
        <v>52</v>
      </c>
      <c r="E4973" s="17" t="s">
        <v>1113</v>
      </c>
      <c r="F4973" s="17" t="s">
        <v>54</v>
      </c>
      <c r="G4973" s="17"/>
      <c r="H4973" s="124">
        <v>1.2311</v>
      </c>
      <c r="I4973" s="124"/>
      <c r="J4973" s="17" t="s">
        <v>49</v>
      </c>
      <c r="K4973" s="274">
        <v>2200</v>
      </c>
      <c r="L4973" s="274">
        <v>50</v>
      </c>
      <c r="M4973" s="314">
        <v>5500</v>
      </c>
      <c r="N4973" s="19" t="s">
        <v>66</v>
      </c>
      <c r="O4973" s="19" t="s">
        <v>141</v>
      </c>
      <c r="P4973" s="99"/>
      <c r="Q4973" s="19">
        <f>5070+5080</f>
        <v>10150</v>
      </c>
      <c r="R4973" s="17"/>
      <c r="S4973" s="19">
        <f>950-20</f>
        <v>930</v>
      </c>
      <c r="T4973" s="19" t="s">
        <v>42</v>
      </c>
      <c r="U4973" s="102" t="s">
        <v>1366</v>
      </c>
      <c r="V4973" s="253">
        <v>45210</v>
      </c>
      <c r="W4973" s="17" t="s">
        <v>44</v>
      </c>
      <c r="X4973" s="17"/>
      <c r="Y4973" s="68">
        <v>45283</v>
      </c>
      <c r="Z4973" s="17" t="s">
        <v>191</v>
      </c>
      <c r="AA4973" s="17" t="s">
        <v>46</v>
      </c>
      <c r="AB4973" s="17" t="s">
        <v>1253</v>
      </c>
      <c r="AC4973" s="66">
        <v>45307</v>
      </c>
      <c r="AD4973" s="65">
        <v>1520</v>
      </c>
      <c r="AE4973" s="17" t="s">
        <v>48</v>
      </c>
      <c r="AF4973" s="17"/>
      <c r="AG4973" s="17"/>
      <c r="AH4973" s="17"/>
      <c r="AI4973" s="17"/>
      <c r="AJ4973" s="17"/>
      <c r="AK4973" s="17"/>
      <c r="AL4973" s="17"/>
      <c r="AM4973" s="17"/>
      <c r="AN4973" s="17"/>
      <c r="AO4973" s="17"/>
      <c r="AP4973" s="17"/>
      <c r="AQ4973" s="17"/>
      <c r="AR4973" s="17"/>
    </row>
    <row r="4974" s="20" customFormat="1" ht="15.6" hidden="1" spans="1:44">
      <c r="A4974" s="17" t="s">
        <v>34</v>
      </c>
      <c r="B4974" s="19">
        <v>966</v>
      </c>
      <c r="C4974" s="183">
        <v>45227</v>
      </c>
      <c r="D4974" s="17" t="s">
        <v>52</v>
      </c>
      <c r="E4974" s="17" t="s">
        <v>1113</v>
      </c>
      <c r="F4974" s="17" t="s">
        <v>54</v>
      </c>
      <c r="G4974" s="17"/>
      <c r="H4974" s="124">
        <v>1.2311</v>
      </c>
      <c r="I4974" s="124"/>
      <c r="J4974" s="17" t="s">
        <v>49</v>
      </c>
      <c r="K4974" s="274">
        <v>2200</v>
      </c>
      <c r="L4974" s="274">
        <v>50</v>
      </c>
      <c r="M4974" s="314">
        <v>5500</v>
      </c>
      <c r="N4974" s="19" t="s">
        <v>66</v>
      </c>
      <c r="O4974" s="19" t="s">
        <v>141</v>
      </c>
      <c r="P4974" s="99"/>
      <c r="Q4974" s="19">
        <v>5340</v>
      </c>
      <c r="R4974" s="21"/>
      <c r="S4974" s="19">
        <f>950-20</f>
        <v>930</v>
      </c>
      <c r="T4974" s="19" t="s">
        <v>42</v>
      </c>
      <c r="U4974" s="102" t="s">
        <v>1366</v>
      </c>
      <c r="V4974" s="253">
        <v>45210</v>
      </c>
      <c r="W4974" s="17" t="s">
        <v>44</v>
      </c>
      <c r="X4974" s="17"/>
      <c r="Y4974" s="68">
        <v>45283</v>
      </c>
      <c r="Z4974" s="17" t="s">
        <v>191</v>
      </c>
      <c r="AA4974" s="17" t="s">
        <v>46</v>
      </c>
      <c r="AB4974" s="17" t="s">
        <v>1285</v>
      </c>
      <c r="AC4974" s="66">
        <v>45315</v>
      </c>
      <c r="AD4974" s="65">
        <v>1521</v>
      </c>
      <c r="AE4974" s="17" t="s">
        <v>48</v>
      </c>
      <c r="AF4974" s="17"/>
      <c r="AG4974" s="17"/>
      <c r="AH4974" s="17"/>
      <c r="AI4974" s="17"/>
      <c r="AJ4974" s="17"/>
      <c r="AK4974" s="17"/>
      <c r="AL4974" s="17"/>
      <c r="AM4974" s="17"/>
      <c r="AN4974" s="17"/>
      <c r="AO4974" s="17"/>
      <c r="AP4974" s="17"/>
      <c r="AQ4974" s="17"/>
      <c r="AR4974" s="17"/>
    </row>
    <row r="4975" s="20" customFormat="1" ht="15.6" hidden="1" spans="1:44">
      <c r="A4975" s="17" t="s">
        <v>34</v>
      </c>
      <c r="B4975" s="19">
        <v>966</v>
      </c>
      <c r="C4975" s="183">
        <v>45227</v>
      </c>
      <c r="D4975" s="17" t="s">
        <v>52</v>
      </c>
      <c r="E4975" s="17" t="s">
        <v>1113</v>
      </c>
      <c r="F4975" s="17" t="s">
        <v>54</v>
      </c>
      <c r="G4975" s="17"/>
      <c r="H4975" s="124">
        <v>1.2311</v>
      </c>
      <c r="I4975" s="124"/>
      <c r="J4975" s="17" t="s">
        <v>49</v>
      </c>
      <c r="K4975" s="274">
        <v>2200</v>
      </c>
      <c r="L4975" s="274">
        <v>50</v>
      </c>
      <c r="M4975" s="314">
        <v>5500</v>
      </c>
      <c r="N4975" s="19" t="s">
        <v>66</v>
      </c>
      <c r="O4975" s="19" t="s">
        <v>141</v>
      </c>
      <c r="P4975" s="99"/>
      <c r="Q4975" s="19">
        <f>5230+5250+5260</f>
        <v>15740</v>
      </c>
      <c r="R4975" s="99">
        <f>+P4972-Q4972-Q4973-Q4974-Q4975</f>
        <v>-3215.25</v>
      </c>
      <c r="S4975" s="19">
        <v>830</v>
      </c>
      <c r="T4975" s="19" t="s">
        <v>42</v>
      </c>
      <c r="U4975" s="102" t="s">
        <v>1366</v>
      </c>
      <c r="V4975" s="253">
        <v>45210</v>
      </c>
      <c r="W4975" s="17" t="s">
        <v>44</v>
      </c>
      <c r="X4975" s="17"/>
      <c r="Y4975" s="68">
        <v>45283</v>
      </c>
      <c r="Z4975" s="17" t="s">
        <v>191</v>
      </c>
      <c r="AA4975" s="17" t="s">
        <v>46</v>
      </c>
      <c r="AB4975" s="17" t="s">
        <v>1245</v>
      </c>
      <c r="AC4975" s="66">
        <v>45379</v>
      </c>
      <c r="AD4975" s="65">
        <v>1546</v>
      </c>
      <c r="AE4975" s="17" t="s">
        <v>48</v>
      </c>
      <c r="AF4975" s="17"/>
      <c r="AG4975" s="17"/>
      <c r="AH4975" s="17"/>
      <c r="AI4975" s="17"/>
      <c r="AJ4975" s="17"/>
      <c r="AK4975" s="17"/>
      <c r="AL4975" s="17"/>
      <c r="AM4975" s="17"/>
      <c r="AN4975" s="17"/>
      <c r="AO4975" s="17"/>
      <c r="AP4975" s="17"/>
      <c r="AQ4975" s="17"/>
      <c r="AR4975" s="17"/>
    </row>
    <row r="4976" s="20" customFormat="1" ht="15.6" hidden="1" spans="1:44">
      <c r="A4976" s="17" t="s">
        <v>34</v>
      </c>
      <c r="B4976" s="19">
        <v>966</v>
      </c>
      <c r="C4976" s="183">
        <v>45227</v>
      </c>
      <c r="D4976" s="17" t="s">
        <v>52</v>
      </c>
      <c r="E4976" s="17" t="s">
        <v>1113</v>
      </c>
      <c r="F4976" s="17" t="s">
        <v>54</v>
      </c>
      <c r="G4976" s="17"/>
      <c r="H4976" s="124">
        <v>1.2311</v>
      </c>
      <c r="I4976" s="124"/>
      <c r="J4976" s="17" t="s">
        <v>49</v>
      </c>
      <c r="K4976" s="274">
        <v>2200</v>
      </c>
      <c r="L4976" s="274">
        <v>56</v>
      </c>
      <c r="M4976" s="314">
        <v>5500</v>
      </c>
      <c r="N4976" s="19" t="s">
        <v>66</v>
      </c>
      <c r="O4976" s="19" t="s">
        <v>141</v>
      </c>
      <c r="P4976" s="99">
        <v>10638.32</v>
      </c>
      <c r="Q4976" s="19">
        <v>5140</v>
      </c>
      <c r="R4976" s="17"/>
      <c r="S4976" s="19">
        <f>950-20</f>
        <v>930</v>
      </c>
      <c r="T4976" s="19" t="s">
        <v>42</v>
      </c>
      <c r="U4976" s="102" t="s">
        <v>1366</v>
      </c>
      <c r="V4976" s="253">
        <v>45210</v>
      </c>
      <c r="W4976" s="17" t="s">
        <v>44</v>
      </c>
      <c r="X4976" s="17"/>
      <c r="Y4976" s="68">
        <v>45283</v>
      </c>
      <c r="Z4976" s="17" t="s">
        <v>191</v>
      </c>
      <c r="AA4976" s="17" t="s">
        <v>46</v>
      </c>
      <c r="AB4976" s="17" t="s">
        <v>1246</v>
      </c>
      <c r="AC4976" s="66">
        <v>45276</v>
      </c>
      <c r="AD4976" s="65">
        <v>1499</v>
      </c>
      <c r="AE4976" s="17" t="s">
        <v>48</v>
      </c>
      <c r="AF4976" s="17"/>
      <c r="AG4976" s="17"/>
      <c r="AH4976" s="17"/>
      <c r="AI4976" s="17"/>
      <c r="AJ4976" s="17"/>
      <c r="AK4976" s="17"/>
      <c r="AL4976" s="17"/>
      <c r="AM4976" s="17"/>
      <c r="AN4976" s="17"/>
      <c r="AO4976" s="17"/>
      <c r="AP4976" s="17"/>
      <c r="AQ4976" s="17"/>
      <c r="AR4976" s="17"/>
    </row>
    <row r="4977" s="20" customFormat="1" ht="15.6" hidden="1" spans="1:44">
      <c r="A4977" s="17" t="s">
        <v>34</v>
      </c>
      <c r="B4977" s="19">
        <v>966</v>
      </c>
      <c r="C4977" s="183">
        <v>45227</v>
      </c>
      <c r="D4977" s="17" t="s">
        <v>52</v>
      </c>
      <c r="E4977" s="17" t="s">
        <v>1113</v>
      </c>
      <c r="F4977" s="17" t="s">
        <v>54</v>
      </c>
      <c r="G4977" s="17"/>
      <c r="H4977" s="124">
        <v>1.2311</v>
      </c>
      <c r="I4977" s="124"/>
      <c r="J4977" s="17" t="s">
        <v>49</v>
      </c>
      <c r="K4977" s="274">
        <v>2200</v>
      </c>
      <c r="L4977" s="274">
        <v>56</v>
      </c>
      <c r="M4977" s="314">
        <v>5500</v>
      </c>
      <c r="N4977" s="19" t="s">
        <v>66</v>
      </c>
      <c r="O4977" s="19" t="s">
        <v>141</v>
      </c>
      <c r="P4977" s="99"/>
      <c r="Q4977" s="19">
        <v>5115</v>
      </c>
      <c r="R4977" s="99">
        <f>+P4976-Q4976-Q4977</f>
        <v>383.32</v>
      </c>
      <c r="S4977" s="19">
        <f>950-20</f>
        <v>930</v>
      </c>
      <c r="T4977" s="19" t="s">
        <v>42</v>
      </c>
      <c r="U4977" s="102" t="s">
        <v>1366</v>
      </c>
      <c r="V4977" s="253">
        <v>45210</v>
      </c>
      <c r="W4977" s="17" t="s">
        <v>44</v>
      </c>
      <c r="X4977" s="17"/>
      <c r="Y4977" s="68">
        <v>45283</v>
      </c>
      <c r="Z4977" s="17" t="s">
        <v>191</v>
      </c>
      <c r="AA4977" s="17" t="s">
        <v>46</v>
      </c>
      <c r="AB4977" s="17" t="s">
        <v>1242</v>
      </c>
      <c r="AC4977" s="217">
        <v>45089</v>
      </c>
      <c r="AD4977" s="65">
        <v>1496</v>
      </c>
      <c r="AE4977" s="17" t="s">
        <v>48</v>
      </c>
      <c r="AF4977" s="17"/>
      <c r="AG4977" s="17"/>
      <c r="AH4977" s="17"/>
      <c r="AI4977" s="17"/>
      <c r="AJ4977" s="17"/>
      <c r="AK4977" s="17"/>
      <c r="AL4977" s="17"/>
      <c r="AM4977" s="17"/>
      <c r="AN4977" s="17"/>
      <c r="AO4977" s="17"/>
      <c r="AP4977" s="17"/>
      <c r="AQ4977" s="17"/>
      <c r="AR4977" s="17"/>
    </row>
    <row r="4978" s="20" customFormat="1" ht="15.6" hidden="1" spans="1:44">
      <c r="A4978" s="17" t="s">
        <v>34</v>
      </c>
      <c r="B4978" s="19">
        <v>966</v>
      </c>
      <c r="C4978" s="183">
        <v>45227</v>
      </c>
      <c r="D4978" s="17" t="s">
        <v>52</v>
      </c>
      <c r="E4978" s="17" t="s">
        <v>1113</v>
      </c>
      <c r="F4978" s="17" t="s">
        <v>54</v>
      </c>
      <c r="G4978" s="17"/>
      <c r="H4978" s="124">
        <v>1.2311</v>
      </c>
      <c r="I4978" s="124"/>
      <c r="J4978" s="17" t="s">
        <v>49</v>
      </c>
      <c r="K4978" s="274">
        <v>2200</v>
      </c>
      <c r="L4978" s="274">
        <v>61</v>
      </c>
      <c r="M4978" s="314">
        <v>5500</v>
      </c>
      <c r="N4978" s="19" t="s">
        <v>66</v>
      </c>
      <c r="O4978" s="19" t="s">
        <v>141</v>
      </c>
      <c r="P4978" s="99">
        <v>23703</v>
      </c>
      <c r="Q4978" s="19">
        <f>5590+5375+5750+5520</f>
        <v>22235</v>
      </c>
      <c r="R4978" s="21"/>
      <c r="S4978" s="19">
        <f>950-20</f>
        <v>930</v>
      </c>
      <c r="T4978" s="19" t="s">
        <v>42</v>
      </c>
      <c r="U4978" s="102" t="s">
        <v>1366</v>
      </c>
      <c r="V4978" s="253">
        <v>45210</v>
      </c>
      <c r="W4978" s="17" t="s">
        <v>44</v>
      </c>
      <c r="X4978" s="17"/>
      <c r="Y4978" s="68">
        <v>45283</v>
      </c>
      <c r="Z4978" s="17" t="s">
        <v>191</v>
      </c>
      <c r="AA4978" s="17" t="s">
        <v>46</v>
      </c>
      <c r="AB4978" s="17" t="s">
        <v>1246</v>
      </c>
      <c r="AC4978" s="66">
        <v>45276</v>
      </c>
      <c r="AD4978" s="65">
        <v>1499</v>
      </c>
      <c r="AE4978" s="17" t="s">
        <v>48</v>
      </c>
      <c r="AF4978" s="17"/>
      <c r="AG4978" s="17"/>
      <c r="AH4978" s="17"/>
      <c r="AI4978" s="17"/>
      <c r="AJ4978" s="17"/>
      <c r="AK4978" s="17"/>
      <c r="AL4978" s="17"/>
      <c r="AM4978" s="17"/>
      <c r="AN4978" s="17"/>
      <c r="AO4978" s="17"/>
      <c r="AP4978" s="17"/>
      <c r="AQ4978" s="17"/>
      <c r="AR4978" s="17"/>
    </row>
    <row r="4979" s="20" customFormat="1" ht="15.6" hidden="1" spans="1:44">
      <c r="A4979" s="17" t="s">
        <v>34</v>
      </c>
      <c r="B4979" s="19">
        <v>966</v>
      </c>
      <c r="C4979" s="183">
        <v>45227</v>
      </c>
      <c r="D4979" s="17" t="s">
        <v>52</v>
      </c>
      <c r="E4979" s="17" t="s">
        <v>1113</v>
      </c>
      <c r="F4979" s="17" t="s">
        <v>54</v>
      </c>
      <c r="G4979" s="17"/>
      <c r="H4979" s="124">
        <v>1.2311</v>
      </c>
      <c r="I4979" s="124"/>
      <c r="J4979" s="17" t="s">
        <v>49</v>
      </c>
      <c r="K4979" s="274">
        <v>2200</v>
      </c>
      <c r="L4979" s="274">
        <v>61</v>
      </c>
      <c r="M4979" s="314">
        <v>5500</v>
      </c>
      <c r="N4979" s="19" t="s">
        <v>66</v>
      </c>
      <c r="O4979" s="19" t="s">
        <v>141</v>
      </c>
      <c r="P4979" s="99"/>
      <c r="Q4979" s="19">
        <v>5280</v>
      </c>
      <c r="R4979" s="99">
        <f>+P4978-Q4978-Q4979</f>
        <v>-3812</v>
      </c>
      <c r="S4979" s="19">
        <f>950-20-100</f>
        <v>830</v>
      </c>
      <c r="T4979" s="19" t="s">
        <v>42</v>
      </c>
      <c r="U4979" s="102" t="s">
        <v>1366</v>
      </c>
      <c r="V4979" s="253">
        <v>45210</v>
      </c>
      <c r="W4979" s="17" t="s">
        <v>44</v>
      </c>
      <c r="X4979" s="17"/>
      <c r="Y4979" s="68">
        <v>45283</v>
      </c>
      <c r="Z4979" s="17" t="s">
        <v>191</v>
      </c>
      <c r="AA4979" s="17" t="s">
        <v>46</v>
      </c>
      <c r="AB4979" s="17" t="s">
        <v>1249</v>
      </c>
      <c r="AC4979" s="217">
        <v>45380</v>
      </c>
      <c r="AD4979" s="65">
        <v>1547</v>
      </c>
      <c r="AE4979" s="17" t="s">
        <v>48</v>
      </c>
      <c r="AF4979" s="17"/>
      <c r="AG4979" s="17"/>
      <c r="AH4979" s="17"/>
      <c r="AI4979" s="17"/>
      <c r="AJ4979" s="17"/>
      <c r="AK4979" s="17"/>
      <c r="AL4979" s="17"/>
      <c r="AM4979" s="17"/>
      <c r="AN4979" s="17"/>
      <c r="AO4979" s="17"/>
      <c r="AP4979" s="17"/>
      <c r="AQ4979" s="17"/>
      <c r="AR4979" s="17"/>
    </row>
    <row r="4980" s="20" customFormat="1" ht="15.6" hidden="1" spans="1:44">
      <c r="A4980" s="17" t="s">
        <v>34</v>
      </c>
      <c r="B4980" s="19">
        <v>966</v>
      </c>
      <c r="C4980" s="183">
        <v>45227</v>
      </c>
      <c r="D4980" s="17" t="s">
        <v>52</v>
      </c>
      <c r="E4980" s="17" t="s">
        <v>1113</v>
      </c>
      <c r="F4980" s="17" t="s">
        <v>54</v>
      </c>
      <c r="G4980" s="17"/>
      <c r="H4980" s="124">
        <v>1.2311</v>
      </c>
      <c r="I4980" s="124"/>
      <c r="J4980" s="17" t="s">
        <v>49</v>
      </c>
      <c r="K4980" s="274">
        <v>2200</v>
      </c>
      <c r="L4980" s="274">
        <v>65</v>
      </c>
      <c r="M4980" s="314">
        <v>5500</v>
      </c>
      <c r="N4980" s="19" t="s">
        <v>66</v>
      </c>
      <c r="O4980" s="19" t="s">
        <v>141</v>
      </c>
      <c r="P4980" s="99">
        <v>18522.075</v>
      </c>
      <c r="Q4980" s="19">
        <f>6430+6530</f>
        <v>12960</v>
      </c>
      <c r="R4980" s="17"/>
      <c r="S4980" s="19">
        <f t="shared" ref="S4980:S4986" si="233">950-20</f>
        <v>930</v>
      </c>
      <c r="T4980" s="19" t="s">
        <v>42</v>
      </c>
      <c r="U4980" s="102" t="s">
        <v>1366</v>
      </c>
      <c r="V4980" s="253">
        <v>45210</v>
      </c>
      <c r="W4980" s="17" t="s">
        <v>44</v>
      </c>
      <c r="X4980" s="17"/>
      <c r="Y4980" s="68">
        <v>45283</v>
      </c>
      <c r="Z4980" s="17" t="s">
        <v>191</v>
      </c>
      <c r="AA4980" s="17" t="s">
        <v>46</v>
      </c>
      <c r="AB4980" s="17" t="s">
        <v>1253</v>
      </c>
      <c r="AC4980" s="66">
        <v>45307</v>
      </c>
      <c r="AD4980" s="65">
        <v>1520</v>
      </c>
      <c r="AE4980" s="17" t="s">
        <v>48</v>
      </c>
      <c r="AF4980" s="17"/>
      <c r="AG4980" s="17"/>
      <c r="AH4980" s="17"/>
      <c r="AI4980" s="17"/>
      <c r="AJ4980" s="17"/>
      <c r="AK4980" s="17"/>
      <c r="AL4980" s="17"/>
      <c r="AM4980" s="17"/>
      <c r="AN4980" s="17"/>
      <c r="AO4980" s="17"/>
      <c r="AP4980" s="17"/>
      <c r="AQ4980" s="17"/>
      <c r="AR4980" s="17"/>
    </row>
    <row r="4981" s="20" customFormat="1" ht="15.6" hidden="1" spans="1:44">
      <c r="A4981" s="17" t="s">
        <v>34</v>
      </c>
      <c r="B4981" s="19">
        <v>966</v>
      </c>
      <c r="C4981" s="183">
        <v>45227</v>
      </c>
      <c r="D4981" s="17" t="s">
        <v>52</v>
      </c>
      <c r="E4981" s="17" t="s">
        <v>1113</v>
      </c>
      <c r="F4981" s="17" t="s">
        <v>54</v>
      </c>
      <c r="G4981" s="17"/>
      <c r="H4981" s="124">
        <v>1.2311</v>
      </c>
      <c r="I4981" s="124"/>
      <c r="J4981" s="17" t="s">
        <v>49</v>
      </c>
      <c r="K4981" s="274">
        <v>2200</v>
      </c>
      <c r="L4981" s="274">
        <v>65</v>
      </c>
      <c r="M4981" s="314">
        <v>5500</v>
      </c>
      <c r="N4981" s="19" t="s">
        <v>66</v>
      </c>
      <c r="O4981" s="19" t="s">
        <v>141</v>
      </c>
      <c r="P4981" s="99"/>
      <c r="Q4981" s="19">
        <v>6520</v>
      </c>
      <c r="R4981" s="99">
        <f>+P4980-Q4980-Q4981</f>
        <v>-957.925000000003</v>
      </c>
      <c r="S4981" s="19">
        <f t="shared" si="233"/>
        <v>930</v>
      </c>
      <c r="T4981" s="19" t="s">
        <v>42</v>
      </c>
      <c r="U4981" s="102" t="s">
        <v>1366</v>
      </c>
      <c r="V4981" s="253">
        <v>45210</v>
      </c>
      <c r="W4981" s="17" t="s">
        <v>44</v>
      </c>
      <c r="X4981" s="17"/>
      <c r="Y4981" s="68">
        <v>45283</v>
      </c>
      <c r="Z4981" s="17" t="s">
        <v>191</v>
      </c>
      <c r="AA4981" s="17" t="s">
        <v>46</v>
      </c>
      <c r="AB4981" s="17" t="s">
        <v>1285</v>
      </c>
      <c r="AC4981" s="66">
        <v>45315</v>
      </c>
      <c r="AD4981" s="65">
        <v>1521</v>
      </c>
      <c r="AE4981" s="17" t="s">
        <v>48</v>
      </c>
      <c r="AF4981" s="17"/>
      <c r="AG4981" s="17"/>
      <c r="AH4981" s="17"/>
      <c r="AI4981" s="17"/>
      <c r="AJ4981" s="17"/>
      <c r="AK4981" s="17"/>
      <c r="AL4981" s="17"/>
      <c r="AM4981" s="17"/>
      <c r="AN4981" s="17"/>
      <c r="AO4981" s="17"/>
      <c r="AP4981" s="17"/>
      <c r="AQ4981" s="17"/>
      <c r="AR4981" s="17"/>
    </row>
    <row r="4982" s="20" customFormat="1" ht="15.6" hidden="1" spans="1:44">
      <c r="A4982" s="17" t="s">
        <v>34</v>
      </c>
      <c r="B4982" s="19">
        <v>966</v>
      </c>
      <c r="C4982" s="183">
        <v>45227</v>
      </c>
      <c r="D4982" s="17" t="s">
        <v>52</v>
      </c>
      <c r="E4982" s="17" t="s">
        <v>1113</v>
      </c>
      <c r="F4982" s="17" t="s">
        <v>54</v>
      </c>
      <c r="G4982" s="17"/>
      <c r="H4982" s="124">
        <v>1.2311</v>
      </c>
      <c r="I4982" s="124"/>
      <c r="J4982" s="17" t="s">
        <v>49</v>
      </c>
      <c r="K4982" s="274">
        <v>2200</v>
      </c>
      <c r="L4982" s="274">
        <v>71</v>
      </c>
      <c r="M4982" s="314">
        <v>5500</v>
      </c>
      <c r="N4982" s="19" t="s">
        <v>66</v>
      </c>
      <c r="O4982" s="19" t="s">
        <v>141</v>
      </c>
      <c r="P4982" s="99">
        <v>6743.935</v>
      </c>
      <c r="Q4982" s="19">
        <v>6780</v>
      </c>
      <c r="R4982" s="99">
        <f t="shared" ref="R4982:R4988" si="234">+P4982-Q4982</f>
        <v>-36.0650000000005</v>
      </c>
      <c r="S4982" s="19">
        <f t="shared" si="233"/>
        <v>930</v>
      </c>
      <c r="T4982" s="19" t="s">
        <v>42</v>
      </c>
      <c r="U4982" s="102" t="s">
        <v>1366</v>
      </c>
      <c r="V4982" s="253">
        <v>45210</v>
      </c>
      <c r="W4982" s="17" t="s">
        <v>44</v>
      </c>
      <c r="X4982" s="17"/>
      <c r="Y4982" s="68">
        <v>45283</v>
      </c>
      <c r="Z4982" s="17" t="s">
        <v>191</v>
      </c>
      <c r="AA4982" s="17" t="s">
        <v>46</v>
      </c>
      <c r="AB4982" s="17" t="s">
        <v>1233</v>
      </c>
      <c r="AC4982" s="66">
        <v>45288</v>
      </c>
      <c r="AD4982" s="65">
        <v>1506</v>
      </c>
      <c r="AE4982" s="17" t="s">
        <v>48</v>
      </c>
      <c r="AF4982" s="17"/>
      <c r="AG4982" s="17"/>
      <c r="AH4982" s="17"/>
      <c r="AI4982" s="17"/>
      <c r="AJ4982" s="17"/>
      <c r="AK4982" s="17"/>
      <c r="AL4982" s="17"/>
      <c r="AM4982" s="17"/>
      <c r="AN4982" s="17"/>
      <c r="AO4982" s="17"/>
      <c r="AP4982" s="17"/>
      <c r="AQ4982" s="17"/>
      <c r="AR4982" s="17"/>
    </row>
    <row r="4983" s="20" customFormat="1" ht="15.6" hidden="1" spans="1:44">
      <c r="A4983" s="17" t="s">
        <v>34</v>
      </c>
      <c r="B4983" s="19">
        <v>966</v>
      </c>
      <c r="C4983" s="183">
        <v>45227</v>
      </c>
      <c r="D4983" s="17" t="s">
        <v>52</v>
      </c>
      <c r="E4983" s="17" t="s">
        <v>1113</v>
      </c>
      <c r="F4983" s="17" t="s">
        <v>54</v>
      </c>
      <c r="G4983" s="17"/>
      <c r="H4983" s="124">
        <v>1.2311</v>
      </c>
      <c r="I4983" s="124"/>
      <c r="J4983" s="17" t="s">
        <v>49</v>
      </c>
      <c r="K4983" s="274">
        <v>2200</v>
      </c>
      <c r="L4983" s="274">
        <v>75</v>
      </c>
      <c r="M4983" s="314">
        <v>5500</v>
      </c>
      <c r="N4983" s="19" t="s">
        <v>66</v>
      </c>
      <c r="O4983" s="19" t="s">
        <v>141</v>
      </c>
      <c r="P4983" s="99">
        <v>7123.875</v>
      </c>
      <c r="Q4983" s="19">
        <v>7350</v>
      </c>
      <c r="R4983" s="99">
        <f t="shared" si="234"/>
        <v>-226.125000000001</v>
      </c>
      <c r="S4983" s="19">
        <f t="shared" si="233"/>
        <v>930</v>
      </c>
      <c r="T4983" s="19" t="s">
        <v>42</v>
      </c>
      <c r="U4983" s="102" t="s">
        <v>1366</v>
      </c>
      <c r="V4983" s="253">
        <v>45210</v>
      </c>
      <c r="W4983" s="17" t="s">
        <v>44</v>
      </c>
      <c r="X4983" s="17"/>
      <c r="Y4983" s="68">
        <v>45283</v>
      </c>
      <c r="Z4983" s="17" t="s">
        <v>191</v>
      </c>
      <c r="AA4983" s="17" t="s">
        <v>46</v>
      </c>
      <c r="AB4983" s="17" t="s">
        <v>1236</v>
      </c>
      <c r="AC4983" s="66">
        <v>45288</v>
      </c>
      <c r="AD4983" s="65">
        <v>1508</v>
      </c>
      <c r="AE4983" s="17" t="s">
        <v>48</v>
      </c>
      <c r="AF4983" s="17"/>
      <c r="AG4983" s="17"/>
      <c r="AH4983" s="17"/>
      <c r="AI4983" s="17"/>
      <c r="AJ4983" s="17"/>
      <c r="AK4983" s="17"/>
      <c r="AL4983" s="17"/>
      <c r="AM4983" s="17"/>
      <c r="AN4983" s="17"/>
      <c r="AO4983" s="17"/>
      <c r="AP4983" s="17"/>
      <c r="AQ4983" s="17"/>
      <c r="AR4983" s="17"/>
    </row>
    <row r="4984" s="20" customFormat="1" ht="15.6" hidden="1" spans="1:44">
      <c r="A4984" s="17" t="s">
        <v>34</v>
      </c>
      <c r="B4984" s="19">
        <v>966</v>
      </c>
      <c r="C4984" s="183">
        <v>45227</v>
      </c>
      <c r="D4984" s="17" t="s">
        <v>52</v>
      </c>
      <c r="E4984" s="17" t="s">
        <v>1113</v>
      </c>
      <c r="F4984" s="17" t="s">
        <v>54</v>
      </c>
      <c r="G4984" s="17"/>
      <c r="H4984" s="124">
        <v>1.2311</v>
      </c>
      <c r="I4984" s="124"/>
      <c r="J4984" s="17" t="s">
        <v>49</v>
      </c>
      <c r="K4984" s="274">
        <v>2200</v>
      </c>
      <c r="L4984" s="274">
        <v>80</v>
      </c>
      <c r="M4984" s="314">
        <v>5500</v>
      </c>
      <c r="N4984" s="19" t="s">
        <v>66</v>
      </c>
      <c r="O4984" s="19" t="s">
        <v>141</v>
      </c>
      <c r="P4984" s="99">
        <v>15197.6</v>
      </c>
      <c r="Q4984" s="19">
        <f>7220+7150</f>
        <v>14370</v>
      </c>
      <c r="R4984" s="99">
        <f t="shared" si="234"/>
        <v>827.599999999999</v>
      </c>
      <c r="S4984" s="19">
        <f t="shared" si="233"/>
        <v>930</v>
      </c>
      <c r="T4984" s="19" t="s">
        <v>42</v>
      </c>
      <c r="U4984" s="102" t="s">
        <v>1366</v>
      </c>
      <c r="V4984" s="253">
        <v>45210</v>
      </c>
      <c r="W4984" s="17" t="s">
        <v>44</v>
      </c>
      <c r="X4984" s="17"/>
      <c r="Y4984" s="68">
        <v>45283</v>
      </c>
      <c r="Z4984" s="17" t="s">
        <v>191</v>
      </c>
      <c r="AA4984" s="17" t="s">
        <v>46</v>
      </c>
      <c r="AB4984" s="17" t="s">
        <v>1253</v>
      </c>
      <c r="AC4984" s="66">
        <v>45307</v>
      </c>
      <c r="AD4984" s="65">
        <v>1520</v>
      </c>
      <c r="AE4984" s="17" t="s">
        <v>48</v>
      </c>
      <c r="AF4984" s="17" t="s">
        <v>1332</v>
      </c>
      <c r="AG4984" s="17"/>
      <c r="AH4984" s="17"/>
      <c r="AI4984" s="17"/>
      <c r="AJ4984" s="17"/>
      <c r="AK4984" s="17"/>
      <c r="AL4984" s="17"/>
      <c r="AM4984" s="17"/>
      <c r="AN4984" s="17"/>
      <c r="AO4984" s="17"/>
      <c r="AP4984" s="17"/>
      <c r="AQ4984" s="17"/>
      <c r="AR4984" s="17"/>
    </row>
    <row r="4985" s="20" customFormat="1" ht="15.6" hidden="1" spans="1:44">
      <c r="A4985" s="17" t="s">
        <v>34</v>
      </c>
      <c r="B4985" s="19">
        <v>966</v>
      </c>
      <c r="C4985" s="183">
        <v>45227</v>
      </c>
      <c r="D4985" s="17" t="s">
        <v>52</v>
      </c>
      <c r="E4985" s="17" t="s">
        <v>1113</v>
      </c>
      <c r="F4985" s="17" t="s">
        <v>54</v>
      </c>
      <c r="G4985" s="17"/>
      <c r="H4985" s="124">
        <v>1.2311</v>
      </c>
      <c r="I4985" s="124"/>
      <c r="J4985" s="17" t="s">
        <v>49</v>
      </c>
      <c r="K4985" s="274">
        <v>2200</v>
      </c>
      <c r="L4985" s="274">
        <v>91</v>
      </c>
      <c r="M4985" s="314">
        <v>5500</v>
      </c>
      <c r="N4985" s="19" t="s">
        <v>66</v>
      </c>
      <c r="O4985" s="19" t="s">
        <v>141</v>
      </c>
      <c r="P4985" s="99">
        <v>8643.635</v>
      </c>
      <c r="Q4985" s="19">
        <v>7750</v>
      </c>
      <c r="R4985" s="99">
        <f t="shared" si="234"/>
        <v>893.635</v>
      </c>
      <c r="S4985" s="19">
        <f t="shared" si="233"/>
        <v>930</v>
      </c>
      <c r="T4985" s="19" t="s">
        <v>42</v>
      </c>
      <c r="U4985" s="102" t="s">
        <v>1366</v>
      </c>
      <c r="V4985" s="253">
        <v>45210</v>
      </c>
      <c r="W4985" s="17" t="s">
        <v>44</v>
      </c>
      <c r="X4985" s="17"/>
      <c r="Y4985" s="68">
        <v>45283</v>
      </c>
      <c r="Z4985" s="17" t="s">
        <v>191</v>
      </c>
      <c r="AA4985" s="17" t="s">
        <v>46</v>
      </c>
      <c r="AB4985" s="17" t="s">
        <v>1238</v>
      </c>
      <c r="AC4985" s="66">
        <v>45280</v>
      </c>
      <c r="AD4985" s="65">
        <v>1500</v>
      </c>
      <c r="AE4985" s="17" t="s">
        <v>48</v>
      </c>
      <c r="AF4985" s="17" t="s">
        <v>1332</v>
      </c>
      <c r="AG4985" s="17"/>
      <c r="AH4985" s="17"/>
      <c r="AI4985" s="17"/>
      <c r="AJ4985" s="17"/>
      <c r="AK4985" s="17"/>
      <c r="AL4985" s="17"/>
      <c r="AM4985" s="17"/>
      <c r="AN4985" s="17"/>
      <c r="AO4985" s="17"/>
      <c r="AP4985" s="17"/>
      <c r="AQ4985" s="17"/>
      <c r="AR4985" s="17"/>
    </row>
    <row r="4986" s="20" customFormat="1" ht="15.6" hidden="1" spans="1:44">
      <c r="A4986" s="17" t="s">
        <v>34</v>
      </c>
      <c r="B4986" s="19">
        <v>966</v>
      </c>
      <c r="C4986" s="183">
        <v>45227</v>
      </c>
      <c r="D4986" s="17" t="s">
        <v>52</v>
      </c>
      <c r="E4986" s="17" t="s">
        <v>1113</v>
      </c>
      <c r="F4986" s="17" t="s">
        <v>54</v>
      </c>
      <c r="G4986" s="17"/>
      <c r="H4986" s="124">
        <v>1.2311</v>
      </c>
      <c r="I4986" s="124"/>
      <c r="J4986" s="17" t="s">
        <v>49</v>
      </c>
      <c r="K4986" s="274">
        <v>2200</v>
      </c>
      <c r="L4986" s="274">
        <v>100</v>
      </c>
      <c r="M4986" s="314">
        <v>5500</v>
      </c>
      <c r="N4986" s="19" t="s">
        <v>66</v>
      </c>
      <c r="O4986" s="19" t="s">
        <v>141</v>
      </c>
      <c r="P4986" s="99">
        <v>9498.5</v>
      </c>
      <c r="Q4986" s="19">
        <v>9590</v>
      </c>
      <c r="R4986" s="99">
        <f t="shared" si="234"/>
        <v>-91.5</v>
      </c>
      <c r="S4986" s="19">
        <f t="shared" si="233"/>
        <v>930</v>
      </c>
      <c r="T4986" s="19" t="s">
        <v>42</v>
      </c>
      <c r="U4986" s="102" t="s">
        <v>1366</v>
      </c>
      <c r="V4986" s="253">
        <v>45210</v>
      </c>
      <c r="W4986" s="17" t="s">
        <v>44</v>
      </c>
      <c r="X4986" s="17"/>
      <c r="Y4986" s="68">
        <v>45283</v>
      </c>
      <c r="Z4986" s="17" t="s">
        <v>191</v>
      </c>
      <c r="AA4986" s="17" t="s">
        <v>46</v>
      </c>
      <c r="AB4986" s="17" t="s">
        <v>1242</v>
      </c>
      <c r="AC4986" s="217">
        <v>45089</v>
      </c>
      <c r="AD4986" s="65">
        <v>1496</v>
      </c>
      <c r="AE4986" s="17" t="s">
        <v>48</v>
      </c>
      <c r="AF4986" s="17"/>
      <c r="AG4986" s="17"/>
      <c r="AH4986" s="17"/>
      <c r="AI4986" s="17"/>
      <c r="AJ4986" s="17"/>
      <c r="AK4986" s="17"/>
      <c r="AL4986" s="17"/>
      <c r="AM4986" s="17"/>
      <c r="AN4986" s="17"/>
      <c r="AO4986" s="17"/>
      <c r="AP4986" s="17"/>
      <c r="AQ4986" s="17"/>
      <c r="AR4986" s="17"/>
    </row>
    <row r="4987" s="21" customFormat="1" ht="15.6" hidden="1" spans="1:44">
      <c r="A4987" s="17" t="s">
        <v>34</v>
      </c>
      <c r="B4987" s="19">
        <v>966</v>
      </c>
      <c r="C4987" s="183">
        <v>45227</v>
      </c>
      <c r="D4987" s="17" t="s">
        <v>52</v>
      </c>
      <c r="E4987" s="17" t="s">
        <v>1113</v>
      </c>
      <c r="F4987" s="17" t="s">
        <v>54</v>
      </c>
      <c r="G4987" s="17"/>
      <c r="H4987" s="124">
        <v>1.2311</v>
      </c>
      <c r="I4987" s="124"/>
      <c r="J4987" s="17" t="s">
        <v>49</v>
      </c>
      <c r="K4987" s="274">
        <v>2200</v>
      </c>
      <c r="L4987" s="274">
        <v>105</v>
      </c>
      <c r="M4987" s="314">
        <v>5500</v>
      </c>
      <c r="N4987" s="19" t="s">
        <v>66</v>
      </c>
      <c r="O4987" s="19" t="s">
        <v>141</v>
      </c>
      <c r="P4987" s="99">
        <v>19946.85</v>
      </c>
      <c r="Q4987" s="19">
        <f>10490+10450</f>
        <v>20940</v>
      </c>
      <c r="R4987" s="99">
        <f t="shared" si="234"/>
        <v>-993.150000000001</v>
      </c>
      <c r="S4987" s="19">
        <f>950-20-100</f>
        <v>830</v>
      </c>
      <c r="T4987" s="19" t="s">
        <v>42</v>
      </c>
      <c r="U4987" s="102" t="s">
        <v>1366</v>
      </c>
      <c r="V4987" s="253">
        <v>45210</v>
      </c>
      <c r="W4987" s="17" t="s">
        <v>44</v>
      </c>
      <c r="X4987" s="17"/>
      <c r="Y4987" s="68">
        <v>45283</v>
      </c>
      <c r="Z4987" s="17" t="s">
        <v>191</v>
      </c>
      <c r="AA4987" s="17" t="s">
        <v>46</v>
      </c>
      <c r="AB4987" s="17" t="s">
        <v>1295</v>
      </c>
      <c r="AC4987" s="217">
        <v>45364</v>
      </c>
      <c r="AD4987" s="65">
        <v>1537</v>
      </c>
      <c r="AE4987" s="17" t="s">
        <v>48</v>
      </c>
      <c r="AF4987" s="17"/>
      <c r="AG4987" s="17"/>
      <c r="AH4987" s="17"/>
      <c r="AI4987" s="17"/>
      <c r="AJ4987" s="17"/>
      <c r="AK4987" s="17"/>
      <c r="AL4987" s="17"/>
      <c r="AM4987" s="17"/>
      <c r="AN4987" s="17"/>
      <c r="AO4987" s="17"/>
      <c r="AP4987" s="17"/>
      <c r="AQ4987" s="17"/>
      <c r="AR4987" s="17"/>
    </row>
    <row r="4988" s="20" customFormat="1" ht="15.6" hidden="1" spans="1:44">
      <c r="A4988" s="17" t="s">
        <v>34</v>
      </c>
      <c r="B4988" s="19">
        <v>966</v>
      </c>
      <c r="C4988" s="183">
        <v>45227</v>
      </c>
      <c r="D4988" s="17" t="s">
        <v>52</v>
      </c>
      <c r="E4988" s="17" t="s">
        <v>1113</v>
      </c>
      <c r="F4988" s="17" t="s">
        <v>54</v>
      </c>
      <c r="G4988" s="17"/>
      <c r="H4988" s="124">
        <v>1.2311</v>
      </c>
      <c r="I4988" s="124"/>
      <c r="J4988" s="17" t="s">
        <v>49</v>
      </c>
      <c r="K4988" s="274">
        <v>2200</v>
      </c>
      <c r="L4988" s="274">
        <v>120</v>
      </c>
      <c r="M4988" s="314">
        <v>5500</v>
      </c>
      <c r="N4988" s="19" t="s">
        <v>66</v>
      </c>
      <c r="O4988" s="19" t="s">
        <v>141</v>
      </c>
      <c r="P4988" s="99">
        <v>11398.2</v>
      </c>
      <c r="Q4988" s="19">
        <v>11885</v>
      </c>
      <c r="R4988" s="99">
        <f t="shared" si="234"/>
        <v>-486.800000000001</v>
      </c>
      <c r="S4988" s="19">
        <f>950-20</f>
        <v>930</v>
      </c>
      <c r="T4988" s="19" t="s">
        <v>42</v>
      </c>
      <c r="U4988" s="102" t="s">
        <v>1366</v>
      </c>
      <c r="V4988" s="253">
        <v>45210</v>
      </c>
      <c r="W4988" s="17" t="s">
        <v>44</v>
      </c>
      <c r="X4988" s="17"/>
      <c r="Y4988" s="68">
        <v>45283</v>
      </c>
      <c r="Z4988" s="17" t="s">
        <v>191</v>
      </c>
      <c r="AA4988" s="17" t="s">
        <v>46</v>
      </c>
      <c r="AB4988" s="17" t="s">
        <v>1236</v>
      </c>
      <c r="AC4988" s="66">
        <v>45288</v>
      </c>
      <c r="AD4988" s="65">
        <v>1508</v>
      </c>
      <c r="AE4988" s="17" t="s">
        <v>48</v>
      </c>
      <c r="AF4988" s="17"/>
      <c r="AG4988" s="17"/>
      <c r="AH4988" s="17"/>
      <c r="AI4988" s="17"/>
      <c r="AJ4988" s="17"/>
      <c r="AK4988" s="17"/>
      <c r="AL4988" s="17"/>
      <c r="AM4988" s="17"/>
      <c r="AN4988" s="17"/>
      <c r="AO4988" s="17"/>
      <c r="AP4988" s="17"/>
      <c r="AQ4988" s="17"/>
      <c r="AR4988" s="17"/>
    </row>
    <row r="4989" s="21" customFormat="1" ht="15.6" hidden="1" spans="1:44">
      <c r="A4989" s="17"/>
      <c r="B4989" s="19">
        <v>966</v>
      </c>
      <c r="C4989" s="183">
        <v>45227</v>
      </c>
      <c r="D4989" s="17" t="s">
        <v>52</v>
      </c>
      <c r="E4989" s="17" t="s">
        <v>1113</v>
      </c>
      <c r="F4989" s="17" t="s">
        <v>54</v>
      </c>
      <c r="G4989" s="17"/>
      <c r="H4989" s="124">
        <v>1.2311</v>
      </c>
      <c r="I4989" s="124"/>
      <c r="J4989" s="17" t="s">
        <v>49</v>
      </c>
      <c r="K4989" s="274">
        <v>2200</v>
      </c>
      <c r="L4989" s="274">
        <v>130</v>
      </c>
      <c r="M4989" s="314">
        <v>5500</v>
      </c>
      <c r="N4989" s="19" t="s">
        <v>66</v>
      </c>
      <c r="O4989" s="19" t="s">
        <v>141</v>
      </c>
      <c r="P4989" s="99">
        <v>12348.05</v>
      </c>
      <c r="Q4989" s="19">
        <v>0</v>
      </c>
      <c r="R4989" s="315">
        <v>0</v>
      </c>
      <c r="S4989" s="19">
        <f>970-20</f>
        <v>950</v>
      </c>
      <c r="T4989" s="19" t="s">
        <v>42</v>
      </c>
      <c r="U4989" s="102" t="s">
        <v>1366</v>
      </c>
      <c r="V4989" s="253">
        <v>45210</v>
      </c>
      <c r="W4989" s="17" t="s">
        <v>44</v>
      </c>
      <c r="X4989" s="17"/>
      <c r="Y4989" s="68">
        <v>45283</v>
      </c>
      <c r="Z4989" s="17" t="s">
        <v>191</v>
      </c>
      <c r="AA4989" s="17" t="s">
        <v>46</v>
      </c>
      <c r="AB4989" s="17"/>
      <c r="AC4989" s="102"/>
      <c r="AD4989" s="65"/>
      <c r="AE4989" s="17" t="s">
        <v>48</v>
      </c>
      <c r="AF4989" s="17" t="s">
        <v>1347</v>
      </c>
      <c r="AG4989" s="17"/>
      <c r="AH4989" s="17"/>
      <c r="AI4989" s="17"/>
      <c r="AJ4989" s="17"/>
      <c r="AK4989" s="17"/>
      <c r="AL4989" s="17"/>
      <c r="AM4989" s="17"/>
      <c r="AN4989" s="17"/>
      <c r="AO4989" s="17"/>
      <c r="AP4989" s="17"/>
      <c r="AQ4989" s="17"/>
      <c r="AR4989" s="17"/>
    </row>
    <row r="4990" s="20" customFormat="1" ht="15.6" hidden="1" spans="1:44">
      <c r="A4990" s="17" t="s">
        <v>34</v>
      </c>
      <c r="B4990" s="19">
        <v>966</v>
      </c>
      <c r="C4990" s="183">
        <v>45227</v>
      </c>
      <c r="D4990" s="17" t="s">
        <v>52</v>
      </c>
      <c r="E4990" s="17" t="s">
        <v>1113</v>
      </c>
      <c r="F4990" s="17" t="s">
        <v>54</v>
      </c>
      <c r="G4990" s="17"/>
      <c r="H4990" s="124">
        <v>1.2311</v>
      </c>
      <c r="I4990" s="124"/>
      <c r="J4990" s="17" t="s">
        <v>49</v>
      </c>
      <c r="K4990" s="274">
        <v>2200</v>
      </c>
      <c r="L4990" s="274">
        <v>140</v>
      </c>
      <c r="M4990" s="314">
        <v>5500</v>
      </c>
      <c r="N4990" s="19" t="s">
        <v>66</v>
      </c>
      <c r="O4990" s="19" t="s">
        <v>141</v>
      </c>
      <c r="P4990" s="99">
        <v>13297.9</v>
      </c>
      <c r="Q4990" s="19">
        <v>10870</v>
      </c>
      <c r="R4990" s="99">
        <f>+P4990-Q4990</f>
        <v>2427.9</v>
      </c>
      <c r="S4990" s="19">
        <f>970-20</f>
        <v>950</v>
      </c>
      <c r="T4990" s="19" t="s">
        <v>42</v>
      </c>
      <c r="U4990" s="102" t="s">
        <v>1366</v>
      </c>
      <c r="V4990" s="253">
        <v>45210</v>
      </c>
      <c r="W4990" s="17" t="s">
        <v>44</v>
      </c>
      <c r="X4990" s="17"/>
      <c r="Y4990" s="68">
        <v>45283</v>
      </c>
      <c r="Z4990" s="17" t="s">
        <v>191</v>
      </c>
      <c r="AA4990" s="17" t="s">
        <v>46</v>
      </c>
      <c r="AB4990" s="17" t="s">
        <v>1236</v>
      </c>
      <c r="AC4990" s="66">
        <v>45288</v>
      </c>
      <c r="AD4990" s="65">
        <v>1511</v>
      </c>
      <c r="AE4990" s="17" t="s">
        <v>48</v>
      </c>
      <c r="AF4990" s="17" t="s">
        <v>1332</v>
      </c>
      <c r="AG4990" s="17"/>
      <c r="AH4990" s="17"/>
      <c r="AI4990" s="17"/>
      <c r="AJ4990" s="17"/>
      <c r="AK4990" s="17"/>
      <c r="AL4990" s="17"/>
      <c r="AM4990" s="17"/>
      <c r="AN4990" s="17"/>
      <c r="AO4990" s="17"/>
      <c r="AP4990" s="17"/>
      <c r="AQ4990" s="17"/>
      <c r="AR4990" s="17"/>
    </row>
    <row r="4991" s="21" customFormat="1" ht="15.6" hidden="1" spans="1:44">
      <c r="A4991" s="17" t="s">
        <v>34</v>
      </c>
      <c r="B4991" s="19">
        <v>966</v>
      </c>
      <c r="C4991" s="183">
        <v>45227</v>
      </c>
      <c r="D4991" s="17" t="s">
        <v>52</v>
      </c>
      <c r="E4991" s="17" t="s">
        <v>1113</v>
      </c>
      <c r="F4991" s="17" t="s">
        <v>54</v>
      </c>
      <c r="G4991" s="17"/>
      <c r="H4991" s="124">
        <v>1.2311</v>
      </c>
      <c r="I4991" s="124"/>
      <c r="J4991" s="17" t="s">
        <v>49</v>
      </c>
      <c r="K4991" s="274">
        <v>2200</v>
      </c>
      <c r="L4991" s="274">
        <v>150</v>
      </c>
      <c r="M4991" s="314">
        <v>5500</v>
      </c>
      <c r="N4991" s="19" t="s">
        <v>66</v>
      </c>
      <c r="O4991" s="19" t="s">
        <v>141</v>
      </c>
      <c r="P4991" s="99">
        <v>14247.75</v>
      </c>
      <c r="Q4991" s="19">
        <v>16000</v>
      </c>
      <c r="R4991" s="99">
        <f>+P4991-Q4991</f>
        <v>-1752.25</v>
      </c>
      <c r="S4991" s="19">
        <f>970-20+173</f>
        <v>1123</v>
      </c>
      <c r="T4991" s="19" t="s">
        <v>42</v>
      </c>
      <c r="U4991" s="102" t="s">
        <v>1366</v>
      </c>
      <c r="V4991" s="253">
        <v>45210</v>
      </c>
      <c r="W4991" s="17" t="s">
        <v>44</v>
      </c>
      <c r="X4991" s="17"/>
      <c r="Y4991" s="68">
        <v>45283</v>
      </c>
      <c r="Z4991" s="17" t="s">
        <v>191</v>
      </c>
      <c r="AA4991" s="17" t="s">
        <v>46</v>
      </c>
      <c r="AB4991" s="17" t="s">
        <v>1284</v>
      </c>
      <c r="AC4991" s="66">
        <v>45372</v>
      </c>
      <c r="AD4991" s="65">
        <v>1543</v>
      </c>
      <c r="AE4991" s="17" t="s">
        <v>48</v>
      </c>
      <c r="AF4991" s="17"/>
      <c r="AG4991" s="17"/>
      <c r="AH4991" s="17"/>
      <c r="AI4991" s="17"/>
      <c r="AJ4991" s="17"/>
      <c r="AK4991" s="17"/>
      <c r="AL4991" s="17"/>
      <c r="AM4991" s="17"/>
      <c r="AN4991" s="17"/>
      <c r="AO4991" s="17"/>
      <c r="AP4991" s="17"/>
      <c r="AQ4991" s="17"/>
      <c r="AR4991" s="17"/>
    </row>
    <row r="4992" s="21" customFormat="1" ht="15.6" hidden="1" spans="1:44">
      <c r="A4992" s="17"/>
      <c r="B4992" s="19">
        <v>966</v>
      </c>
      <c r="C4992" s="183">
        <v>45227</v>
      </c>
      <c r="D4992" s="17" t="s">
        <v>52</v>
      </c>
      <c r="E4992" s="17" t="s">
        <v>1113</v>
      </c>
      <c r="F4992" s="17" t="s">
        <v>54</v>
      </c>
      <c r="G4992" s="17"/>
      <c r="H4992" s="124">
        <v>1.2311</v>
      </c>
      <c r="I4992" s="124"/>
      <c r="J4992" s="17" t="s">
        <v>49</v>
      </c>
      <c r="K4992" s="274">
        <v>2200</v>
      </c>
      <c r="L4992" s="274">
        <v>155</v>
      </c>
      <c r="M4992" s="314">
        <v>5500</v>
      </c>
      <c r="N4992" s="19" t="s">
        <v>66</v>
      </c>
      <c r="O4992" s="19" t="s">
        <v>141</v>
      </c>
      <c r="P4992" s="99">
        <v>14722.675</v>
      </c>
      <c r="Q4992" s="19">
        <v>0</v>
      </c>
      <c r="R4992" s="99">
        <v>0</v>
      </c>
      <c r="S4992" s="19">
        <f>990-20</f>
        <v>970</v>
      </c>
      <c r="T4992" s="19" t="s">
        <v>42</v>
      </c>
      <c r="U4992" s="102" t="s">
        <v>1366</v>
      </c>
      <c r="V4992" s="253">
        <v>45210</v>
      </c>
      <c r="W4992" s="17" t="s">
        <v>44</v>
      </c>
      <c r="X4992" s="17"/>
      <c r="Y4992" s="68">
        <v>45283</v>
      </c>
      <c r="Z4992" s="17" t="s">
        <v>191</v>
      </c>
      <c r="AA4992" s="17" t="s">
        <v>46</v>
      </c>
      <c r="AB4992" s="17"/>
      <c r="AC4992" s="102"/>
      <c r="AD4992" s="65"/>
      <c r="AE4992" s="17" t="s">
        <v>48</v>
      </c>
      <c r="AF4992" s="17"/>
      <c r="AG4992" s="17"/>
      <c r="AH4992" s="17"/>
      <c r="AI4992" s="17"/>
      <c r="AJ4992" s="17"/>
      <c r="AK4992" s="17"/>
      <c r="AL4992" s="17"/>
      <c r="AM4992" s="17"/>
      <c r="AN4992" s="17"/>
      <c r="AO4992" s="17"/>
      <c r="AP4992" s="17"/>
      <c r="AQ4992" s="17"/>
      <c r="AR4992" s="17"/>
    </row>
    <row r="4993" s="21" customFormat="1" ht="15.6" hidden="1" spans="1:44">
      <c r="A4993" s="17"/>
      <c r="B4993" s="19">
        <v>966</v>
      </c>
      <c r="C4993" s="183">
        <v>45227</v>
      </c>
      <c r="D4993" s="17" t="s">
        <v>52</v>
      </c>
      <c r="E4993" s="17" t="s">
        <v>1113</v>
      </c>
      <c r="F4993" s="17" t="s">
        <v>54</v>
      </c>
      <c r="G4993" s="17"/>
      <c r="H4993" s="124">
        <v>1.2311</v>
      </c>
      <c r="I4993" s="124"/>
      <c r="J4993" s="17" t="s">
        <v>49</v>
      </c>
      <c r="K4993" s="274">
        <v>2200</v>
      </c>
      <c r="L4993" s="274">
        <v>180</v>
      </c>
      <c r="M4993" s="314">
        <v>5500</v>
      </c>
      <c r="N4993" s="19" t="s">
        <v>66</v>
      </c>
      <c r="O4993" s="19" t="s">
        <v>141</v>
      </c>
      <c r="P4993" s="99">
        <v>17097.3</v>
      </c>
      <c r="Q4993" s="19">
        <v>0</v>
      </c>
      <c r="R4993" s="99">
        <v>0</v>
      </c>
      <c r="S4993" s="19">
        <f>990-20</f>
        <v>970</v>
      </c>
      <c r="T4993" s="19" t="s">
        <v>42</v>
      </c>
      <c r="U4993" s="102" t="s">
        <v>1366</v>
      </c>
      <c r="V4993" s="253">
        <v>45210</v>
      </c>
      <c r="W4993" s="17" t="s">
        <v>44</v>
      </c>
      <c r="X4993" s="17"/>
      <c r="Y4993" s="68">
        <v>45283</v>
      </c>
      <c r="Z4993" s="17" t="s">
        <v>191</v>
      </c>
      <c r="AA4993" s="17" t="s">
        <v>46</v>
      </c>
      <c r="AB4993" s="17"/>
      <c r="AC4993" s="102"/>
      <c r="AD4993" s="65"/>
      <c r="AE4993" s="17" t="s">
        <v>48</v>
      </c>
      <c r="AF4993" s="17" t="s">
        <v>1332</v>
      </c>
      <c r="AG4993" s="17"/>
      <c r="AH4993" s="17"/>
      <c r="AI4993" s="17"/>
      <c r="AJ4993" s="17"/>
      <c r="AK4993" s="17"/>
      <c r="AL4993" s="17"/>
      <c r="AM4993" s="17"/>
      <c r="AN4993" s="17"/>
      <c r="AO4993" s="17"/>
      <c r="AP4993" s="17"/>
      <c r="AQ4993" s="17"/>
      <c r="AR4993" s="17"/>
    </row>
    <row r="4994" s="20" customFormat="1" ht="15.6" hidden="1" spans="1:44">
      <c r="A4994" s="17" t="s">
        <v>34</v>
      </c>
      <c r="B4994" s="19">
        <v>966</v>
      </c>
      <c r="C4994" s="183">
        <v>45227</v>
      </c>
      <c r="D4994" s="17" t="s">
        <v>52</v>
      </c>
      <c r="E4994" s="17" t="s">
        <v>1113</v>
      </c>
      <c r="F4994" s="17" t="s">
        <v>54</v>
      </c>
      <c r="G4994" s="17"/>
      <c r="H4994" s="124">
        <v>1.2311</v>
      </c>
      <c r="I4994" s="124"/>
      <c r="J4994" s="17" t="s">
        <v>49</v>
      </c>
      <c r="K4994" s="274">
        <v>2200</v>
      </c>
      <c r="L4994" s="274">
        <v>200</v>
      </c>
      <c r="M4994" s="314">
        <v>5500</v>
      </c>
      <c r="N4994" s="19" t="s">
        <v>66</v>
      </c>
      <c r="O4994" s="19" t="s">
        <v>141</v>
      </c>
      <c r="P4994" s="99">
        <v>18997</v>
      </c>
      <c r="Q4994" s="19">
        <v>18235</v>
      </c>
      <c r="R4994" s="99">
        <f>+P4994-Q4994</f>
        <v>762</v>
      </c>
      <c r="S4994" s="19">
        <v>1130</v>
      </c>
      <c r="T4994" s="19" t="s">
        <v>42</v>
      </c>
      <c r="U4994" s="102" t="s">
        <v>1366</v>
      </c>
      <c r="V4994" s="253">
        <v>45210</v>
      </c>
      <c r="W4994" s="17" t="s">
        <v>44</v>
      </c>
      <c r="X4994" s="17"/>
      <c r="Y4994" s="68">
        <v>45283</v>
      </c>
      <c r="Z4994" s="17" t="s">
        <v>191</v>
      </c>
      <c r="AA4994" s="17" t="s">
        <v>46</v>
      </c>
      <c r="AB4994" s="17" t="s">
        <v>1241</v>
      </c>
      <c r="AC4994" s="66">
        <v>45283</v>
      </c>
      <c r="AD4994" s="65">
        <v>1503</v>
      </c>
      <c r="AE4994" s="17" t="s">
        <v>48</v>
      </c>
      <c r="AF4994" s="17"/>
      <c r="AG4994" s="17"/>
      <c r="AH4994" s="17"/>
      <c r="AI4994" s="17"/>
      <c r="AJ4994" s="17"/>
      <c r="AK4994" s="17"/>
      <c r="AL4994" s="17"/>
      <c r="AM4994" s="17"/>
      <c r="AN4994" s="17"/>
      <c r="AO4994" s="17"/>
      <c r="AP4994" s="17"/>
      <c r="AQ4994" s="17"/>
      <c r="AR4994" s="17"/>
    </row>
    <row r="4995" s="20" customFormat="1" ht="15.6" hidden="1" spans="1:44">
      <c r="A4995" s="17" t="s">
        <v>34</v>
      </c>
      <c r="B4995" s="19">
        <v>966</v>
      </c>
      <c r="C4995" s="183">
        <v>45227</v>
      </c>
      <c r="D4995" s="17" t="s">
        <v>52</v>
      </c>
      <c r="E4995" s="17" t="s">
        <v>1113</v>
      </c>
      <c r="F4995" s="17" t="s">
        <v>54</v>
      </c>
      <c r="G4995" s="17"/>
      <c r="H4995" s="124">
        <v>1.2311</v>
      </c>
      <c r="I4995" s="124"/>
      <c r="J4995" s="17" t="s">
        <v>49</v>
      </c>
      <c r="K4995" s="274">
        <v>2200</v>
      </c>
      <c r="L4995" s="274">
        <v>250</v>
      </c>
      <c r="M4995" s="314">
        <v>5500</v>
      </c>
      <c r="N4995" s="19" t="s">
        <v>66</v>
      </c>
      <c r="O4995" s="19" t="s">
        <v>141</v>
      </c>
      <c r="P4995" s="99">
        <v>23746.25</v>
      </c>
      <c r="Q4995" s="19">
        <v>22465</v>
      </c>
      <c r="R4995" s="99">
        <f>+P4995-Q4995</f>
        <v>1281.25</v>
      </c>
      <c r="S4995" s="19">
        <v>1170</v>
      </c>
      <c r="T4995" s="19" t="s">
        <v>42</v>
      </c>
      <c r="U4995" s="102" t="s">
        <v>1366</v>
      </c>
      <c r="V4995" s="253">
        <v>45210</v>
      </c>
      <c r="W4995" s="17" t="s">
        <v>44</v>
      </c>
      <c r="X4995" s="17"/>
      <c r="Y4995" s="68">
        <v>45283</v>
      </c>
      <c r="Z4995" s="17" t="s">
        <v>191</v>
      </c>
      <c r="AA4995" s="17" t="s">
        <v>46</v>
      </c>
      <c r="AB4995" s="17" t="s">
        <v>1231</v>
      </c>
      <c r="AC4995" s="66">
        <v>45283</v>
      </c>
      <c r="AD4995" s="65">
        <v>1504</v>
      </c>
      <c r="AE4995" s="17" t="s">
        <v>48</v>
      </c>
      <c r="AF4995" s="17" t="s">
        <v>1332</v>
      </c>
      <c r="AG4995" s="17"/>
      <c r="AH4995" s="17"/>
      <c r="AI4995" s="17"/>
      <c r="AJ4995" s="17"/>
      <c r="AK4995" s="17"/>
      <c r="AL4995" s="17"/>
      <c r="AM4995" s="17"/>
      <c r="AN4995" s="17"/>
      <c r="AO4995" s="17"/>
      <c r="AP4995" s="17"/>
      <c r="AQ4995" s="17"/>
      <c r="AR4995" s="17"/>
    </row>
    <row r="4996" s="20" customFormat="1" ht="15.6" hidden="1" spans="1:44">
      <c r="A4996" s="17" t="s">
        <v>34</v>
      </c>
      <c r="B4996" s="19">
        <v>967</v>
      </c>
      <c r="C4996" s="183">
        <v>45227</v>
      </c>
      <c r="D4996" s="17" t="s">
        <v>52</v>
      </c>
      <c r="E4996" s="17" t="s">
        <v>1113</v>
      </c>
      <c r="F4996" s="17" t="s">
        <v>54</v>
      </c>
      <c r="G4996" s="17"/>
      <c r="H4996" s="124">
        <v>1.2311</v>
      </c>
      <c r="I4996" s="124"/>
      <c r="J4996" s="17" t="s">
        <v>49</v>
      </c>
      <c r="K4996" s="274">
        <v>2200</v>
      </c>
      <c r="L4996" s="274">
        <v>16</v>
      </c>
      <c r="M4996" s="314">
        <v>5500</v>
      </c>
      <c r="N4996" s="19" t="s">
        <v>66</v>
      </c>
      <c r="O4996" s="19" t="s">
        <v>141</v>
      </c>
      <c r="P4996" s="99">
        <v>3039.52</v>
      </c>
      <c r="Q4996" s="19">
        <f>1355+1355</f>
        <v>2710</v>
      </c>
      <c r="R4996" s="99">
        <f>+P4996-Q4996</f>
        <v>329.52</v>
      </c>
      <c r="S4996" s="19">
        <f>1010-20</f>
        <v>990</v>
      </c>
      <c r="T4996" s="19" t="s">
        <v>42</v>
      </c>
      <c r="U4996" s="102" t="s">
        <v>1367</v>
      </c>
      <c r="V4996" s="101">
        <v>45248</v>
      </c>
      <c r="W4996" s="17" t="s">
        <v>44</v>
      </c>
      <c r="X4996" s="17"/>
      <c r="Y4996" s="68">
        <v>45283</v>
      </c>
      <c r="Z4996" s="17" t="s">
        <v>191</v>
      </c>
      <c r="AA4996" s="17" t="s">
        <v>46</v>
      </c>
      <c r="AB4996" s="17" t="s">
        <v>1236</v>
      </c>
      <c r="AC4996" s="66">
        <v>45288</v>
      </c>
      <c r="AD4996" s="65">
        <v>1511</v>
      </c>
      <c r="AE4996" s="17" t="s">
        <v>48</v>
      </c>
      <c r="AF4996" s="17"/>
      <c r="AG4996" s="17"/>
      <c r="AH4996" s="17"/>
      <c r="AI4996" s="17"/>
      <c r="AJ4996" s="17"/>
      <c r="AK4996" s="17"/>
      <c r="AL4996" s="17"/>
      <c r="AM4996" s="17"/>
      <c r="AN4996" s="17"/>
      <c r="AO4996" s="17"/>
      <c r="AP4996" s="17"/>
      <c r="AQ4996" s="17"/>
      <c r="AR4996" s="17"/>
    </row>
    <row r="4997" s="20" customFormat="1" ht="15.6" hidden="1" spans="1:44">
      <c r="A4997" s="17" t="s">
        <v>34</v>
      </c>
      <c r="B4997" s="19">
        <v>967</v>
      </c>
      <c r="C4997" s="183">
        <v>45227</v>
      </c>
      <c r="D4997" s="17" t="s">
        <v>52</v>
      </c>
      <c r="E4997" s="17" t="s">
        <v>1113</v>
      </c>
      <c r="F4997" s="17" t="s">
        <v>54</v>
      </c>
      <c r="G4997" s="17"/>
      <c r="H4997" s="124">
        <v>1.2311</v>
      </c>
      <c r="I4997" s="124"/>
      <c r="J4997" s="17" t="s">
        <v>49</v>
      </c>
      <c r="K4997" s="274">
        <v>2200</v>
      </c>
      <c r="L4997" s="274">
        <v>20</v>
      </c>
      <c r="M4997" s="314">
        <v>5500</v>
      </c>
      <c r="N4997" s="19" t="s">
        <v>66</v>
      </c>
      <c r="O4997" s="19" t="s">
        <v>141</v>
      </c>
      <c r="P4997" s="99">
        <v>1899.7</v>
      </c>
      <c r="Q4997" s="19">
        <v>1795</v>
      </c>
      <c r="R4997" s="99">
        <f>+P4997-Q4997</f>
        <v>104.7</v>
      </c>
      <c r="S4997" s="19">
        <f t="shared" ref="S4997:S5010" si="235">950-20</f>
        <v>930</v>
      </c>
      <c r="T4997" s="19" t="s">
        <v>42</v>
      </c>
      <c r="U4997" s="102" t="s">
        <v>1367</v>
      </c>
      <c r="V4997" s="101">
        <v>45248</v>
      </c>
      <c r="W4997" s="17" t="s">
        <v>44</v>
      </c>
      <c r="X4997" s="17"/>
      <c r="Y4997" s="68">
        <v>45283</v>
      </c>
      <c r="Z4997" s="17" t="s">
        <v>191</v>
      </c>
      <c r="AA4997" s="17" t="s">
        <v>46</v>
      </c>
      <c r="AB4997" s="17" t="s">
        <v>1236</v>
      </c>
      <c r="AC4997" s="66">
        <v>45288</v>
      </c>
      <c r="AD4997" s="65">
        <v>1511</v>
      </c>
      <c r="AE4997" s="17" t="s">
        <v>48</v>
      </c>
      <c r="AF4997" s="17"/>
      <c r="AG4997" s="17"/>
      <c r="AH4997" s="17"/>
      <c r="AI4997" s="17"/>
      <c r="AJ4997" s="17"/>
      <c r="AK4997" s="17"/>
      <c r="AL4997" s="17"/>
      <c r="AM4997" s="17"/>
      <c r="AN4997" s="17"/>
      <c r="AO4997" s="17"/>
      <c r="AP4997" s="17"/>
      <c r="AQ4997" s="17"/>
      <c r="AR4997" s="17"/>
    </row>
    <row r="4998" s="20" customFormat="1" ht="15.6" hidden="1" spans="1:44">
      <c r="A4998" s="17" t="s">
        <v>34</v>
      </c>
      <c r="B4998" s="19">
        <v>967</v>
      </c>
      <c r="C4998" s="183">
        <v>45227</v>
      </c>
      <c r="D4998" s="17" t="s">
        <v>52</v>
      </c>
      <c r="E4998" s="17" t="s">
        <v>1113</v>
      </c>
      <c r="F4998" s="17" t="s">
        <v>54</v>
      </c>
      <c r="G4998" s="17"/>
      <c r="H4998" s="124">
        <v>1.2311</v>
      </c>
      <c r="I4998" s="124"/>
      <c r="J4998" s="17" t="s">
        <v>49</v>
      </c>
      <c r="K4998" s="274">
        <v>2200</v>
      </c>
      <c r="L4998" s="274">
        <v>26</v>
      </c>
      <c r="M4998" s="314">
        <v>5500</v>
      </c>
      <c r="N4998" s="19" t="s">
        <v>66</v>
      </c>
      <c r="O4998" s="19" t="s">
        <v>141</v>
      </c>
      <c r="P4998" s="99">
        <v>2469.61</v>
      </c>
      <c r="Q4998" s="19">
        <v>2668</v>
      </c>
      <c r="R4998" s="99">
        <f>+P4998-Q4998</f>
        <v>-198.39</v>
      </c>
      <c r="S4998" s="19">
        <f t="shared" si="235"/>
        <v>930</v>
      </c>
      <c r="T4998" s="19" t="s">
        <v>42</v>
      </c>
      <c r="U4998" s="102" t="s">
        <v>1367</v>
      </c>
      <c r="V4998" s="101">
        <v>45248</v>
      </c>
      <c r="W4998" s="17" t="s">
        <v>44</v>
      </c>
      <c r="X4998" s="17"/>
      <c r="Y4998" s="68">
        <v>45283</v>
      </c>
      <c r="Z4998" s="17" t="s">
        <v>191</v>
      </c>
      <c r="AA4998" s="17" t="s">
        <v>46</v>
      </c>
      <c r="AB4998" s="17" t="s">
        <v>1236</v>
      </c>
      <c r="AC4998" s="66">
        <v>45288</v>
      </c>
      <c r="AD4998" s="65">
        <v>1508</v>
      </c>
      <c r="AE4998" s="17" t="s">
        <v>48</v>
      </c>
      <c r="AF4998" s="17"/>
      <c r="AG4998" s="17"/>
      <c r="AH4998" s="17"/>
      <c r="AI4998" s="17"/>
      <c r="AJ4998" s="17"/>
      <c r="AK4998" s="17"/>
      <c r="AL4998" s="17"/>
      <c r="AM4998" s="17"/>
      <c r="AN4998" s="17"/>
      <c r="AO4998" s="17"/>
      <c r="AP4998" s="17"/>
      <c r="AQ4998" s="17"/>
      <c r="AR4998" s="17"/>
    </row>
    <row r="4999" s="20" customFormat="1" ht="15.6" hidden="1" spans="1:44">
      <c r="A4999" s="17" t="s">
        <v>34</v>
      </c>
      <c r="B4999" s="19">
        <v>967</v>
      </c>
      <c r="C4999" s="183">
        <v>45227</v>
      </c>
      <c r="D4999" s="17" t="s">
        <v>52</v>
      </c>
      <c r="E4999" s="17" t="s">
        <v>1113</v>
      </c>
      <c r="F4999" s="17" t="s">
        <v>54</v>
      </c>
      <c r="G4999" s="17"/>
      <c r="H4999" s="124">
        <v>1.2311</v>
      </c>
      <c r="I4999" s="124"/>
      <c r="J4999" s="17" t="s">
        <v>49</v>
      </c>
      <c r="K4999" s="274">
        <v>2200</v>
      </c>
      <c r="L4999" s="274">
        <v>32</v>
      </c>
      <c r="M4999" s="314">
        <v>5500</v>
      </c>
      <c r="N4999" s="19" t="s">
        <v>66</v>
      </c>
      <c r="O4999" s="19" t="s">
        <v>141</v>
      </c>
      <c r="P4999" s="99">
        <v>18237.12</v>
      </c>
      <c r="Q4999" s="19">
        <f>2340+2740</f>
        <v>5080</v>
      </c>
      <c r="R4999" s="17"/>
      <c r="S4999" s="19">
        <f t="shared" si="235"/>
        <v>930</v>
      </c>
      <c r="T4999" s="19" t="s">
        <v>42</v>
      </c>
      <c r="U4999" s="102" t="s">
        <v>1367</v>
      </c>
      <c r="V4999" s="101">
        <v>45248</v>
      </c>
      <c r="W4999" s="17" t="s">
        <v>44</v>
      </c>
      <c r="X4999" s="17"/>
      <c r="Y4999" s="68">
        <v>45283</v>
      </c>
      <c r="Z4999" s="17" t="s">
        <v>191</v>
      </c>
      <c r="AA4999" s="17" t="s">
        <v>46</v>
      </c>
      <c r="AB4999" s="17" t="s">
        <v>1236</v>
      </c>
      <c r="AC4999" s="66">
        <v>45288</v>
      </c>
      <c r="AD4999" s="65">
        <v>1511</v>
      </c>
      <c r="AE4999" s="17" t="s">
        <v>48</v>
      </c>
      <c r="AF4999" s="17"/>
      <c r="AG4999" s="17"/>
      <c r="AH4999" s="17"/>
      <c r="AI4999" s="17"/>
      <c r="AJ4999" s="17"/>
      <c r="AK4999" s="17"/>
      <c r="AL4999" s="17"/>
      <c r="AM4999" s="17"/>
      <c r="AN4999" s="17"/>
      <c r="AO4999" s="17"/>
      <c r="AP4999" s="17"/>
      <c r="AQ4999" s="17"/>
      <c r="AR4999" s="17"/>
    </row>
    <row r="5000" s="20" customFormat="1" ht="15.6" hidden="1" spans="1:44">
      <c r="A5000" s="17" t="s">
        <v>34</v>
      </c>
      <c r="B5000" s="19">
        <v>967</v>
      </c>
      <c r="C5000" s="183">
        <v>45227</v>
      </c>
      <c r="D5000" s="17" t="s">
        <v>52</v>
      </c>
      <c r="E5000" s="17" t="s">
        <v>1113</v>
      </c>
      <c r="F5000" s="17" t="s">
        <v>54</v>
      </c>
      <c r="G5000" s="17"/>
      <c r="H5000" s="124">
        <v>1.2311</v>
      </c>
      <c r="I5000" s="124"/>
      <c r="J5000" s="17" t="s">
        <v>49</v>
      </c>
      <c r="K5000" s="274">
        <v>2200</v>
      </c>
      <c r="L5000" s="274">
        <v>32</v>
      </c>
      <c r="M5000" s="314">
        <v>5500</v>
      </c>
      <c r="N5000" s="19" t="s">
        <v>66</v>
      </c>
      <c r="O5000" s="19" t="s">
        <v>141</v>
      </c>
      <c r="P5000" s="99"/>
      <c r="Q5000" s="19">
        <f>3080+2970</f>
        <v>6050</v>
      </c>
      <c r="R5000" s="21"/>
      <c r="S5000" s="19">
        <f t="shared" si="235"/>
        <v>930</v>
      </c>
      <c r="T5000" s="19" t="s">
        <v>42</v>
      </c>
      <c r="U5000" s="102" t="s">
        <v>1367</v>
      </c>
      <c r="V5000" s="101">
        <v>45248</v>
      </c>
      <c r="W5000" s="17" t="s">
        <v>44</v>
      </c>
      <c r="X5000" s="17"/>
      <c r="Y5000" s="68">
        <v>45283</v>
      </c>
      <c r="Z5000" s="17" t="s">
        <v>191</v>
      </c>
      <c r="AA5000" s="17" t="s">
        <v>46</v>
      </c>
      <c r="AB5000" s="17" t="s">
        <v>1285</v>
      </c>
      <c r="AC5000" s="66">
        <v>45315</v>
      </c>
      <c r="AD5000" s="65">
        <v>1521</v>
      </c>
      <c r="AE5000" s="17" t="s">
        <v>48</v>
      </c>
      <c r="AF5000" s="17"/>
      <c r="AG5000" s="17"/>
      <c r="AH5000" s="17"/>
      <c r="AI5000" s="17"/>
      <c r="AJ5000" s="17"/>
      <c r="AK5000" s="17"/>
      <c r="AL5000" s="17"/>
      <c r="AM5000" s="17"/>
      <c r="AN5000" s="17"/>
      <c r="AO5000" s="17"/>
      <c r="AP5000" s="17"/>
      <c r="AQ5000" s="17"/>
      <c r="AR5000" s="17"/>
    </row>
    <row r="5001" s="20" customFormat="1" ht="15.6" hidden="1" spans="1:44">
      <c r="A5001" s="17" t="s">
        <v>34</v>
      </c>
      <c r="B5001" s="19">
        <v>967</v>
      </c>
      <c r="C5001" s="183">
        <v>45227</v>
      </c>
      <c r="D5001" s="17" t="s">
        <v>52</v>
      </c>
      <c r="E5001" s="17" t="s">
        <v>1113</v>
      </c>
      <c r="F5001" s="17" t="s">
        <v>54</v>
      </c>
      <c r="G5001" s="17"/>
      <c r="H5001" s="124">
        <v>1.2311</v>
      </c>
      <c r="I5001" s="124"/>
      <c r="J5001" s="17" t="s">
        <v>49</v>
      </c>
      <c r="K5001" s="274">
        <v>2200</v>
      </c>
      <c r="L5001" s="274">
        <v>32</v>
      </c>
      <c r="M5001" s="314">
        <v>5500</v>
      </c>
      <c r="N5001" s="19" t="s">
        <v>66</v>
      </c>
      <c r="O5001" s="19" t="s">
        <v>141</v>
      </c>
      <c r="P5001" s="99"/>
      <c r="Q5001" s="19">
        <f>2274+2286</f>
        <v>4560</v>
      </c>
      <c r="R5001" s="99">
        <f>+P4999-Q4999-Q5000-Q5001</f>
        <v>2547.12</v>
      </c>
      <c r="S5001" s="19">
        <f t="shared" si="235"/>
        <v>930</v>
      </c>
      <c r="T5001" s="19" t="s">
        <v>42</v>
      </c>
      <c r="U5001" s="102" t="s">
        <v>1367</v>
      </c>
      <c r="V5001" s="101">
        <v>45248</v>
      </c>
      <c r="W5001" s="17" t="s">
        <v>44</v>
      </c>
      <c r="X5001" s="17"/>
      <c r="Y5001" s="68">
        <v>45283</v>
      </c>
      <c r="Z5001" s="17" t="s">
        <v>191</v>
      </c>
      <c r="AA5001" s="17" t="s">
        <v>46</v>
      </c>
      <c r="AB5001" s="17" t="s">
        <v>1294</v>
      </c>
      <c r="AC5001" s="217">
        <v>45352</v>
      </c>
      <c r="AD5001" s="65">
        <v>1534</v>
      </c>
      <c r="AE5001" s="17" t="s">
        <v>48</v>
      </c>
      <c r="AF5001" s="17"/>
      <c r="AG5001" s="17"/>
      <c r="AH5001" s="17"/>
      <c r="AI5001" s="17"/>
      <c r="AJ5001" s="17"/>
      <c r="AK5001" s="17"/>
      <c r="AL5001" s="17"/>
      <c r="AM5001" s="17"/>
      <c r="AN5001" s="17"/>
      <c r="AO5001" s="17"/>
      <c r="AP5001" s="17"/>
      <c r="AQ5001" s="17"/>
      <c r="AR5001" s="17"/>
    </row>
    <row r="5002" s="20" customFormat="1" ht="15.6" hidden="1" spans="1:44">
      <c r="A5002" s="17" t="s">
        <v>34</v>
      </c>
      <c r="B5002" s="19">
        <v>967</v>
      </c>
      <c r="C5002" s="183">
        <v>45227</v>
      </c>
      <c r="D5002" s="17" t="s">
        <v>52</v>
      </c>
      <c r="E5002" s="17" t="s">
        <v>1113</v>
      </c>
      <c r="F5002" s="17" t="s">
        <v>54</v>
      </c>
      <c r="G5002" s="17"/>
      <c r="H5002" s="124">
        <v>1.2311</v>
      </c>
      <c r="I5002" s="124"/>
      <c r="J5002" s="17" t="s">
        <v>49</v>
      </c>
      <c r="K5002" s="274">
        <v>2200</v>
      </c>
      <c r="L5002" s="274">
        <v>36</v>
      </c>
      <c r="M5002" s="314">
        <v>5500</v>
      </c>
      <c r="N5002" s="19" t="s">
        <v>66</v>
      </c>
      <c r="O5002" s="19" t="s">
        <v>141</v>
      </c>
      <c r="P5002" s="99">
        <v>13677.84</v>
      </c>
      <c r="Q5002" s="19">
        <f>3385+3655</f>
        <v>7040</v>
      </c>
      <c r="R5002" s="17"/>
      <c r="S5002" s="19">
        <f t="shared" si="235"/>
        <v>930</v>
      </c>
      <c r="T5002" s="19" t="s">
        <v>42</v>
      </c>
      <c r="U5002" s="102" t="s">
        <v>1367</v>
      </c>
      <c r="V5002" s="101">
        <v>45248</v>
      </c>
      <c r="W5002" s="17" t="s">
        <v>44</v>
      </c>
      <c r="X5002" s="17"/>
      <c r="Y5002" s="68">
        <v>45283</v>
      </c>
      <c r="Z5002" s="17" t="s">
        <v>191</v>
      </c>
      <c r="AA5002" s="17" t="s">
        <v>46</v>
      </c>
      <c r="AB5002" s="17" t="s">
        <v>1260</v>
      </c>
      <c r="AC5002" s="66">
        <v>45288</v>
      </c>
      <c r="AD5002" s="65">
        <v>1507</v>
      </c>
      <c r="AE5002" s="17" t="s">
        <v>48</v>
      </c>
      <c r="AF5002" s="17"/>
      <c r="AG5002" s="17"/>
      <c r="AH5002" s="17"/>
      <c r="AI5002" s="17"/>
      <c r="AJ5002" s="17"/>
      <c r="AK5002" s="17"/>
      <c r="AL5002" s="17"/>
      <c r="AM5002" s="17"/>
      <c r="AN5002" s="17"/>
      <c r="AO5002" s="17"/>
      <c r="AP5002" s="17"/>
      <c r="AQ5002" s="17"/>
      <c r="AR5002" s="17"/>
    </row>
    <row r="5003" s="20" customFormat="1" ht="15.6" hidden="1" spans="1:44">
      <c r="A5003" s="17" t="s">
        <v>34</v>
      </c>
      <c r="B5003" s="19">
        <v>967</v>
      </c>
      <c r="C5003" s="183">
        <v>45227</v>
      </c>
      <c r="D5003" s="17" t="s">
        <v>52</v>
      </c>
      <c r="E5003" s="17" t="s">
        <v>1113</v>
      </c>
      <c r="F5003" s="17" t="s">
        <v>54</v>
      </c>
      <c r="G5003" s="17"/>
      <c r="H5003" s="124">
        <v>1.2311</v>
      </c>
      <c r="I5003" s="124"/>
      <c r="J5003" s="17" t="s">
        <v>49</v>
      </c>
      <c r="K5003" s="274">
        <v>2200</v>
      </c>
      <c r="L5003" s="274">
        <v>36</v>
      </c>
      <c r="M5003" s="314">
        <v>5500</v>
      </c>
      <c r="N5003" s="19" t="s">
        <v>66</v>
      </c>
      <c r="O5003" s="19" t="s">
        <v>141</v>
      </c>
      <c r="P5003" s="99"/>
      <c r="Q5003" s="19">
        <v>3670</v>
      </c>
      <c r="R5003" s="17"/>
      <c r="S5003" s="19">
        <f t="shared" si="235"/>
        <v>930</v>
      </c>
      <c r="T5003" s="19" t="s">
        <v>42</v>
      </c>
      <c r="U5003" s="102" t="s">
        <v>1367</v>
      </c>
      <c r="V5003" s="101">
        <v>45248</v>
      </c>
      <c r="W5003" s="17" t="s">
        <v>44</v>
      </c>
      <c r="X5003" s="17"/>
      <c r="Y5003" s="68">
        <v>45283</v>
      </c>
      <c r="Z5003" s="17" t="s">
        <v>191</v>
      </c>
      <c r="AA5003" s="17" t="s">
        <v>46</v>
      </c>
      <c r="AB5003" s="17" t="s">
        <v>1236</v>
      </c>
      <c r="AC5003" s="66">
        <v>45288</v>
      </c>
      <c r="AD5003" s="65">
        <v>1508</v>
      </c>
      <c r="AE5003" s="17" t="s">
        <v>48</v>
      </c>
      <c r="AF5003" s="17"/>
      <c r="AG5003" s="17"/>
      <c r="AH5003" s="17"/>
      <c r="AI5003" s="17"/>
      <c r="AJ5003" s="17"/>
      <c r="AK5003" s="17"/>
      <c r="AL5003" s="17"/>
      <c r="AM5003" s="17"/>
      <c r="AN5003" s="17"/>
      <c r="AO5003" s="17"/>
      <c r="AP5003" s="17"/>
      <c r="AQ5003" s="17"/>
      <c r="AR5003" s="17"/>
    </row>
    <row r="5004" s="20" customFormat="1" ht="15.6" hidden="1" spans="1:44">
      <c r="A5004" s="17" t="s">
        <v>34</v>
      </c>
      <c r="B5004" s="19">
        <v>967</v>
      </c>
      <c r="C5004" s="183">
        <v>45227</v>
      </c>
      <c r="D5004" s="17" t="s">
        <v>52</v>
      </c>
      <c r="E5004" s="17" t="s">
        <v>1113</v>
      </c>
      <c r="F5004" s="17" t="s">
        <v>54</v>
      </c>
      <c r="G5004" s="17"/>
      <c r="H5004" s="124">
        <v>1.2311</v>
      </c>
      <c r="I5004" s="124"/>
      <c r="J5004" s="17" t="s">
        <v>49</v>
      </c>
      <c r="K5004" s="274">
        <v>2200</v>
      </c>
      <c r="L5004" s="274">
        <v>36</v>
      </c>
      <c r="M5004" s="314">
        <v>5500</v>
      </c>
      <c r="N5004" s="19" t="s">
        <v>66</v>
      </c>
      <c r="O5004" s="19" t="s">
        <v>141</v>
      </c>
      <c r="P5004" s="99"/>
      <c r="Q5004" s="19">
        <v>3675</v>
      </c>
      <c r="R5004" s="99">
        <f>+P5002-Q5002-Q5003-Q5004</f>
        <v>-707.160000000002</v>
      </c>
      <c r="S5004" s="19">
        <f t="shared" si="235"/>
        <v>930</v>
      </c>
      <c r="T5004" s="19" t="s">
        <v>42</v>
      </c>
      <c r="U5004" s="102" t="s">
        <v>1367</v>
      </c>
      <c r="V5004" s="101">
        <v>45248</v>
      </c>
      <c r="W5004" s="17" t="s">
        <v>44</v>
      </c>
      <c r="X5004" s="17"/>
      <c r="Y5004" s="68">
        <v>45283</v>
      </c>
      <c r="Z5004" s="17" t="s">
        <v>191</v>
      </c>
      <c r="AA5004" s="17" t="s">
        <v>46</v>
      </c>
      <c r="AB5004" s="17" t="s">
        <v>1236</v>
      </c>
      <c r="AC5004" s="66">
        <v>45288</v>
      </c>
      <c r="AD5004" s="65">
        <v>1511</v>
      </c>
      <c r="AE5004" s="17" t="s">
        <v>48</v>
      </c>
      <c r="AF5004" s="17"/>
      <c r="AG5004" s="17"/>
      <c r="AH5004" s="17"/>
      <c r="AI5004" s="17"/>
      <c r="AJ5004" s="17"/>
      <c r="AK5004" s="17"/>
      <c r="AL5004" s="17"/>
      <c r="AM5004" s="17"/>
      <c r="AN5004" s="17"/>
      <c r="AO5004" s="17"/>
      <c r="AP5004" s="17"/>
      <c r="AQ5004" s="17"/>
      <c r="AR5004" s="17"/>
    </row>
    <row r="5005" s="20" customFormat="1" ht="15.6" hidden="1" spans="1:44">
      <c r="A5005" s="17" t="s">
        <v>34</v>
      </c>
      <c r="B5005" s="19">
        <v>967</v>
      </c>
      <c r="C5005" s="183">
        <v>45227</v>
      </c>
      <c r="D5005" s="17" t="s">
        <v>52</v>
      </c>
      <c r="E5005" s="17" t="s">
        <v>1113</v>
      </c>
      <c r="F5005" s="17" t="s">
        <v>54</v>
      </c>
      <c r="G5005" s="17"/>
      <c r="H5005" s="124">
        <v>1.2311</v>
      </c>
      <c r="I5005" s="124"/>
      <c r="J5005" s="17" t="s">
        <v>49</v>
      </c>
      <c r="K5005" s="274">
        <v>2200</v>
      </c>
      <c r="L5005" s="274">
        <v>40</v>
      </c>
      <c r="M5005" s="314">
        <v>5500</v>
      </c>
      <c r="N5005" s="19" t="s">
        <v>66</v>
      </c>
      <c r="O5005" s="19" t="s">
        <v>141</v>
      </c>
      <c r="P5005" s="99">
        <v>22796.4</v>
      </c>
      <c r="Q5005" s="19">
        <v>4400</v>
      </c>
      <c r="R5005" s="17"/>
      <c r="S5005" s="19">
        <f t="shared" si="235"/>
        <v>930</v>
      </c>
      <c r="T5005" s="19" t="s">
        <v>42</v>
      </c>
      <c r="U5005" s="102" t="s">
        <v>1367</v>
      </c>
      <c r="V5005" s="101">
        <v>45248</v>
      </c>
      <c r="W5005" s="17" t="s">
        <v>44</v>
      </c>
      <c r="X5005" s="17"/>
      <c r="Y5005" s="68">
        <v>45283</v>
      </c>
      <c r="Z5005" s="17" t="s">
        <v>191</v>
      </c>
      <c r="AA5005" s="17" t="s">
        <v>46</v>
      </c>
      <c r="AB5005" s="17" t="s">
        <v>1236</v>
      </c>
      <c r="AC5005" s="66">
        <v>45288</v>
      </c>
      <c r="AD5005" s="65">
        <v>1511</v>
      </c>
      <c r="AE5005" s="17" t="s">
        <v>48</v>
      </c>
      <c r="AF5005" s="17"/>
      <c r="AG5005" s="17"/>
      <c r="AH5005" s="17"/>
      <c r="AI5005" s="17"/>
      <c r="AJ5005" s="17"/>
      <c r="AK5005" s="17"/>
      <c r="AL5005" s="17"/>
      <c r="AM5005" s="17"/>
      <c r="AN5005" s="17"/>
      <c r="AO5005" s="17"/>
      <c r="AP5005" s="17"/>
      <c r="AQ5005" s="17"/>
      <c r="AR5005" s="17"/>
    </row>
    <row r="5006" s="20" customFormat="1" ht="15.6" hidden="1" spans="1:44">
      <c r="A5006" s="17" t="s">
        <v>34</v>
      </c>
      <c r="B5006" s="19">
        <v>967</v>
      </c>
      <c r="C5006" s="183">
        <v>45227</v>
      </c>
      <c r="D5006" s="17" t="s">
        <v>52</v>
      </c>
      <c r="E5006" s="17" t="s">
        <v>1113</v>
      </c>
      <c r="F5006" s="17" t="s">
        <v>54</v>
      </c>
      <c r="G5006" s="17"/>
      <c r="H5006" s="124">
        <v>1.2311</v>
      </c>
      <c r="I5006" s="124"/>
      <c r="J5006" s="17" t="s">
        <v>49</v>
      </c>
      <c r="K5006" s="274">
        <v>2200</v>
      </c>
      <c r="L5006" s="274">
        <v>40</v>
      </c>
      <c r="M5006" s="314">
        <v>5500</v>
      </c>
      <c r="N5006" s="19" t="s">
        <v>66</v>
      </c>
      <c r="O5006" s="19" t="s">
        <v>141</v>
      </c>
      <c r="P5006" s="99"/>
      <c r="Q5006" s="19">
        <f>4175+4035+4240</f>
        <v>12450</v>
      </c>
      <c r="R5006" s="21"/>
      <c r="S5006" s="19">
        <f t="shared" si="235"/>
        <v>930</v>
      </c>
      <c r="T5006" s="19" t="s">
        <v>42</v>
      </c>
      <c r="U5006" s="102" t="s">
        <v>1367</v>
      </c>
      <c r="V5006" s="101">
        <v>45248</v>
      </c>
      <c r="W5006" s="17" t="s">
        <v>44</v>
      </c>
      <c r="X5006" s="17"/>
      <c r="Y5006" s="68">
        <v>45283</v>
      </c>
      <c r="Z5006" s="17" t="s">
        <v>191</v>
      </c>
      <c r="AA5006" s="17" t="s">
        <v>46</v>
      </c>
      <c r="AB5006" s="17" t="s">
        <v>1256</v>
      </c>
      <c r="AC5006" s="66">
        <v>45322</v>
      </c>
      <c r="AD5006" s="65">
        <v>1522</v>
      </c>
      <c r="AE5006" s="17" t="s">
        <v>48</v>
      </c>
      <c r="AF5006" s="17"/>
      <c r="AG5006" s="17"/>
      <c r="AH5006" s="17"/>
      <c r="AI5006" s="17"/>
      <c r="AJ5006" s="17"/>
      <c r="AK5006" s="17"/>
      <c r="AL5006" s="17"/>
      <c r="AM5006" s="17"/>
      <c r="AN5006" s="17"/>
      <c r="AO5006" s="17"/>
      <c r="AP5006" s="17"/>
      <c r="AQ5006" s="17"/>
      <c r="AR5006" s="17"/>
    </row>
    <row r="5007" s="20" customFormat="1" ht="15.6" hidden="1" spans="1:44">
      <c r="A5007" s="17" t="s">
        <v>34</v>
      </c>
      <c r="B5007" s="19">
        <v>967</v>
      </c>
      <c r="C5007" s="183">
        <v>45227</v>
      </c>
      <c r="D5007" s="17" t="s">
        <v>52</v>
      </c>
      <c r="E5007" s="17" t="s">
        <v>1113</v>
      </c>
      <c r="F5007" s="17" t="s">
        <v>54</v>
      </c>
      <c r="G5007" s="17"/>
      <c r="H5007" s="124">
        <v>1.2311</v>
      </c>
      <c r="I5007" s="124"/>
      <c r="J5007" s="17" t="s">
        <v>49</v>
      </c>
      <c r="K5007" s="274">
        <v>2200</v>
      </c>
      <c r="L5007" s="274">
        <v>40</v>
      </c>
      <c r="M5007" s="314">
        <v>5500</v>
      </c>
      <c r="N5007" s="19" t="s">
        <v>66</v>
      </c>
      <c r="O5007" s="19" t="s">
        <v>141</v>
      </c>
      <c r="P5007" s="99"/>
      <c r="Q5007" s="19">
        <f>4320+3880</f>
        <v>8200</v>
      </c>
      <c r="R5007" s="99">
        <f>+P5005-Q5005-Q5006-Q5007</f>
        <v>-2253.6</v>
      </c>
      <c r="S5007" s="19">
        <f t="shared" si="235"/>
        <v>930</v>
      </c>
      <c r="T5007" s="19" t="s">
        <v>42</v>
      </c>
      <c r="U5007" s="102" t="s">
        <v>1367</v>
      </c>
      <c r="V5007" s="101">
        <v>45248</v>
      </c>
      <c r="W5007" s="17" t="s">
        <v>44</v>
      </c>
      <c r="X5007" s="17"/>
      <c r="Y5007" s="68">
        <v>45283</v>
      </c>
      <c r="Z5007" s="17" t="s">
        <v>191</v>
      </c>
      <c r="AA5007" s="17" t="s">
        <v>46</v>
      </c>
      <c r="AB5007" s="17" t="s">
        <v>1250</v>
      </c>
      <c r="AC5007" s="217">
        <v>45351</v>
      </c>
      <c r="AD5007" s="65">
        <v>1533</v>
      </c>
      <c r="AE5007" s="17" t="s">
        <v>48</v>
      </c>
      <c r="AF5007" s="17"/>
      <c r="AG5007" s="17"/>
      <c r="AH5007" s="17"/>
      <c r="AI5007" s="17"/>
      <c r="AJ5007" s="17"/>
      <c r="AK5007" s="17"/>
      <c r="AL5007" s="17"/>
      <c r="AM5007" s="17"/>
      <c r="AN5007" s="17"/>
      <c r="AO5007" s="17"/>
      <c r="AP5007" s="17"/>
      <c r="AQ5007" s="17"/>
      <c r="AR5007" s="17"/>
    </row>
    <row r="5008" s="20" customFormat="1" ht="15.6" hidden="1" spans="1:44">
      <c r="A5008" s="17" t="s">
        <v>34</v>
      </c>
      <c r="B5008" s="19">
        <v>967</v>
      </c>
      <c r="C5008" s="183">
        <v>45227</v>
      </c>
      <c r="D5008" s="17" t="s">
        <v>52</v>
      </c>
      <c r="E5008" s="17" t="s">
        <v>1113</v>
      </c>
      <c r="F5008" s="17" t="s">
        <v>54</v>
      </c>
      <c r="G5008" s="17"/>
      <c r="H5008" s="124">
        <v>1.2311</v>
      </c>
      <c r="I5008" s="124"/>
      <c r="J5008" s="17" t="s">
        <v>49</v>
      </c>
      <c r="K5008" s="274">
        <v>2200</v>
      </c>
      <c r="L5008" s="274">
        <v>45</v>
      </c>
      <c r="M5008" s="314">
        <v>5500</v>
      </c>
      <c r="N5008" s="19" t="s">
        <v>66</v>
      </c>
      <c r="O5008" s="19" t="s">
        <v>141</v>
      </c>
      <c r="P5008" s="99">
        <v>8548.65</v>
      </c>
      <c r="Q5008" s="19">
        <f>4830+4740</f>
        <v>9570</v>
      </c>
      <c r="R5008" s="99">
        <f>+P5008-Q5008</f>
        <v>-1021.35</v>
      </c>
      <c r="S5008" s="19">
        <f t="shared" si="235"/>
        <v>930</v>
      </c>
      <c r="T5008" s="19" t="s">
        <v>42</v>
      </c>
      <c r="U5008" s="102" t="s">
        <v>1367</v>
      </c>
      <c r="V5008" s="101">
        <v>45248</v>
      </c>
      <c r="W5008" s="17" t="s">
        <v>44</v>
      </c>
      <c r="X5008" s="17"/>
      <c r="Y5008" s="68">
        <v>45283</v>
      </c>
      <c r="Z5008" s="17" t="s">
        <v>191</v>
      </c>
      <c r="AA5008" s="17" t="s">
        <v>46</v>
      </c>
      <c r="AB5008" s="17" t="s">
        <v>1282</v>
      </c>
      <c r="AC5008" s="217">
        <v>45017</v>
      </c>
      <c r="AD5008" s="65">
        <v>1512</v>
      </c>
      <c r="AE5008" s="17" t="s">
        <v>48</v>
      </c>
      <c r="AF5008" s="17"/>
      <c r="AG5008" s="17"/>
      <c r="AH5008" s="17"/>
      <c r="AI5008" s="17"/>
      <c r="AJ5008" s="17"/>
      <c r="AK5008" s="17"/>
      <c r="AL5008" s="17"/>
      <c r="AM5008" s="17"/>
      <c r="AN5008" s="17"/>
      <c r="AO5008" s="17"/>
      <c r="AP5008" s="17"/>
      <c r="AQ5008" s="17"/>
      <c r="AR5008" s="17"/>
    </row>
    <row r="5009" s="21" customFormat="1" ht="15.6" hidden="1" spans="1:44">
      <c r="A5009" s="17" t="s">
        <v>34</v>
      </c>
      <c r="B5009" s="19">
        <v>967</v>
      </c>
      <c r="C5009" s="183">
        <v>45227</v>
      </c>
      <c r="D5009" s="17" t="s">
        <v>52</v>
      </c>
      <c r="E5009" s="17" t="s">
        <v>1113</v>
      </c>
      <c r="F5009" s="17" t="s">
        <v>54</v>
      </c>
      <c r="G5009" s="17"/>
      <c r="H5009" s="124">
        <v>1.2311</v>
      </c>
      <c r="I5009" s="124"/>
      <c r="J5009" s="17" t="s">
        <v>49</v>
      </c>
      <c r="K5009" s="274">
        <v>2200</v>
      </c>
      <c r="L5009" s="274">
        <v>50</v>
      </c>
      <c r="M5009" s="314">
        <v>5500</v>
      </c>
      <c r="N5009" s="19" t="s">
        <v>66</v>
      </c>
      <c r="O5009" s="19" t="s">
        <v>141</v>
      </c>
      <c r="P5009" s="99">
        <v>33244.75</v>
      </c>
      <c r="Q5009" s="19">
        <f>5120+5000+5060+5010</f>
        <v>20190</v>
      </c>
      <c r="R5009" s="254"/>
      <c r="S5009" s="19">
        <f t="shared" si="235"/>
        <v>930</v>
      </c>
      <c r="T5009" s="19" t="s">
        <v>42</v>
      </c>
      <c r="U5009" s="102" t="s">
        <v>1367</v>
      </c>
      <c r="V5009" s="101">
        <v>45248</v>
      </c>
      <c r="W5009" s="17" t="s">
        <v>44</v>
      </c>
      <c r="X5009" s="17"/>
      <c r="Y5009" s="68">
        <v>45283</v>
      </c>
      <c r="Z5009" s="17" t="s">
        <v>191</v>
      </c>
      <c r="AA5009" s="17" t="s">
        <v>46</v>
      </c>
      <c r="AB5009" s="17" t="s">
        <v>1294</v>
      </c>
      <c r="AC5009" s="217">
        <v>45352</v>
      </c>
      <c r="AD5009" s="65">
        <v>1534</v>
      </c>
      <c r="AE5009" s="17" t="s">
        <v>48</v>
      </c>
      <c r="AF5009" s="17"/>
      <c r="AG5009" s="17"/>
      <c r="AH5009" s="17"/>
      <c r="AI5009" s="17"/>
      <c r="AJ5009" s="17"/>
      <c r="AK5009" s="17"/>
      <c r="AL5009" s="17"/>
      <c r="AM5009" s="17"/>
      <c r="AN5009" s="17"/>
      <c r="AO5009" s="17"/>
      <c r="AP5009" s="17"/>
      <c r="AQ5009" s="17"/>
      <c r="AR5009" s="17"/>
    </row>
    <row r="5010" s="21" customFormat="1" ht="15.6" hidden="1" spans="1:44">
      <c r="A5010" s="17" t="s">
        <v>34</v>
      </c>
      <c r="B5010" s="19">
        <v>967</v>
      </c>
      <c r="C5010" s="183">
        <v>45227</v>
      </c>
      <c r="D5010" s="17" t="s">
        <v>52</v>
      </c>
      <c r="E5010" s="17" t="s">
        <v>1113</v>
      </c>
      <c r="F5010" s="17" t="s">
        <v>54</v>
      </c>
      <c r="G5010" s="17"/>
      <c r="H5010" s="124">
        <v>1.2311</v>
      </c>
      <c r="I5010" s="124"/>
      <c r="J5010" s="17" t="s">
        <v>49</v>
      </c>
      <c r="K5010" s="274">
        <v>2200</v>
      </c>
      <c r="L5010" s="274">
        <v>50</v>
      </c>
      <c r="M5010" s="314">
        <v>5500</v>
      </c>
      <c r="N5010" s="19" t="s">
        <v>66</v>
      </c>
      <c r="O5010" s="19" t="s">
        <v>141</v>
      </c>
      <c r="P5010" s="99"/>
      <c r="Q5010" s="19">
        <v>5180</v>
      </c>
      <c r="S5010" s="19">
        <f t="shared" si="235"/>
        <v>930</v>
      </c>
      <c r="T5010" s="19" t="s">
        <v>42</v>
      </c>
      <c r="U5010" s="102" t="s">
        <v>1367</v>
      </c>
      <c r="V5010" s="101">
        <v>45248</v>
      </c>
      <c r="W5010" s="17" t="s">
        <v>44</v>
      </c>
      <c r="X5010" s="17"/>
      <c r="Y5010" s="68">
        <v>45283</v>
      </c>
      <c r="Z5010" s="17" t="s">
        <v>191</v>
      </c>
      <c r="AA5010" s="17" t="s">
        <v>46</v>
      </c>
      <c r="AB5010" s="17" t="s">
        <v>1248</v>
      </c>
      <c r="AC5010" s="217">
        <v>45364</v>
      </c>
      <c r="AD5010" s="65">
        <v>1539</v>
      </c>
      <c r="AE5010" s="17" t="s">
        <v>48</v>
      </c>
      <c r="AF5010" s="17"/>
      <c r="AG5010" s="17"/>
      <c r="AH5010" s="17"/>
      <c r="AI5010" s="17"/>
      <c r="AJ5010" s="17"/>
      <c r="AK5010" s="17"/>
      <c r="AL5010" s="17"/>
      <c r="AM5010" s="17"/>
      <c r="AN5010" s="17"/>
      <c r="AO5010" s="17"/>
      <c r="AP5010" s="17"/>
      <c r="AQ5010" s="17"/>
      <c r="AR5010" s="17"/>
    </row>
    <row r="5011" s="21" customFormat="1" ht="15.6" hidden="1" spans="1:44">
      <c r="A5011" s="17" t="s">
        <v>34</v>
      </c>
      <c r="B5011" s="19">
        <v>967</v>
      </c>
      <c r="C5011" s="183">
        <v>45227</v>
      </c>
      <c r="D5011" s="17" t="s">
        <v>52</v>
      </c>
      <c r="E5011" s="17" t="s">
        <v>1113</v>
      </c>
      <c r="F5011" s="17" t="s">
        <v>54</v>
      </c>
      <c r="G5011" s="17"/>
      <c r="H5011" s="124">
        <v>1.2311</v>
      </c>
      <c r="I5011" s="124"/>
      <c r="J5011" s="17" t="s">
        <v>49</v>
      </c>
      <c r="K5011" s="274">
        <v>2200</v>
      </c>
      <c r="L5011" s="274">
        <v>50</v>
      </c>
      <c r="M5011" s="314">
        <v>5500</v>
      </c>
      <c r="N5011" s="19" t="s">
        <v>66</v>
      </c>
      <c r="O5011" s="19" t="s">
        <v>141</v>
      </c>
      <c r="P5011" s="99"/>
      <c r="Q5011" s="19">
        <v>5235</v>
      </c>
      <c r="R5011" s="99">
        <f>+P5009-Q5009-Q5010-Q5011</f>
        <v>2639.75</v>
      </c>
      <c r="S5011" s="19">
        <f>950-20-100</f>
        <v>830</v>
      </c>
      <c r="T5011" s="19" t="s">
        <v>42</v>
      </c>
      <c r="U5011" s="102" t="s">
        <v>1367</v>
      </c>
      <c r="V5011" s="101">
        <v>45248</v>
      </c>
      <c r="W5011" s="17" t="s">
        <v>44</v>
      </c>
      <c r="X5011" s="17"/>
      <c r="Y5011" s="68">
        <v>45283</v>
      </c>
      <c r="Z5011" s="17" t="s">
        <v>191</v>
      </c>
      <c r="AA5011" s="17" t="s">
        <v>46</v>
      </c>
      <c r="AB5011" s="17" t="s">
        <v>1249</v>
      </c>
      <c r="AC5011" s="217">
        <v>45380</v>
      </c>
      <c r="AD5011" s="65">
        <v>1547</v>
      </c>
      <c r="AE5011" s="17" t="s">
        <v>48</v>
      </c>
      <c r="AF5011" s="17"/>
      <c r="AG5011" s="17"/>
      <c r="AH5011" s="17"/>
      <c r="AI5011" s="17"/>
      <c r="AJ5011" s="17"/>
      <c r="AK5011" s="17"/>
      <c r="AL5011" s="17"/>
      <c r="AM5011" s="17"/>
      <c r="AN5011" s="17"/>
      <c r="AO5011" s="17"/>
      <c r="AP5011" s="17"/>
      <c r="AQ5011" s="17"/>
      <c r="AR5011" s="17"/>
    </row>
    <row r="5012" s="20" customFormat="1" ht="15.6" hidden="1" spans="1:44">
      <c r="A5012" s="17" t="s">
        <v>34</v>
      </c>
      <c r="B5012" s="19">
        <v>967</v>
      </c>
      <c r="C5012" s="183">
        <v>45227</v>
      </c>
      <c r="D5012" s="17" t="s">
        <v>52</v>
      </c>
      <c r="E5012" s="17" t="s">
        <v>1113</v>
      </c>
      <c r="F5012" s="17" t="s">
        <v>54</v>
      </c>
      <c r="G5012" s="17"/>
      <c r="H5012" s="124">
        <v>1.2311</v>
      </c>
      <c r="I5012" s="124"/>
      <c r="J5012" s="17" t="s">
        <v>49</v>
      </c>
      <c r="K5012" s="274">
        <v>2200</v>
      </c>
      <c r="L5012" s="274">
        <v>56</v>
      </c>
      <c r="M5012" s="314">
        <v>5500</v>
      </c>
      <c r="N5012" s="19" t="s">
        <v>66</v>
      </c>
      <c r="O5012" s="19" t="s">
        <v>141</v>
      </c>
      <c r="P5012" s="99">
        <v>10638.32</v>
      </c>
      <c r="Q5012" s="19">
        <v>5640</v>
      </c>
      <c r="R5012" s="17"/>
      <c r="S5012" s="19">
        <f>950-20</f>
        <v>930</v>
      </c>
      <c r="T5012" s="19" t="s">
        <v>42</v>
      </c>
      <c r="U5012" s="102" t="s">
        <v>1367</v>
      </c>
      <c r="V5012" s="101">
        <v>45248</v>
      </c>
      <c r="W5012" s="17" t="s">
        <v>44</v>
      </c>
      <c r="X5012" s="17"/>
      <c r="Y5012" s="68">
        <v>45283</v>
      </c>
      <c r="Z5012" s="17" t="s">
        <v>191</v>
      </c>
      <c r="AA5012" s="17" t="s">
        <v>46</v>
      </c>
      <c r="AB5012" s="17" t="s">
        <v>1233</v>
      </c>
      <c r="AC5012" s="66">
        <v>45288</v>
      </c>
      <c r="AD5012" s="65">
        <v>1506</v>
      </c>
      <c r="AE5012" s="17" t="s">
        <v>48</v>
      </c>
      <c r="AF5012" s="17"/>
      <c r="AG5012" s="17"/>
      <c r="AH5012" s="17"/>
      <c r="AI5012" s="17"/>
      <c r="AJ5012" s="17"/>
      <c r="AK5012" s="17"/>
      <c r="AL5012" s="17"/>
      <c r="AM5012" s="17"/>
      <c r="AN5012" s="17"/>
      <c r="AO5012" s="17"/>
      <c r="AP5012" s="17"/>
      <c r="AQ5012" s="17"/>
      <c r="AR5012" s="17"/>
    </row>
    <row r="5013" s="20" customFormat="1" ht="15.6" hidden="1" spans="1:44">
      <c r="A5013" s="17" t="s">
        <v>34</v>
      </c>
      <c r="B5013" s="19">
        <v>967</v>
      </c>
      <c r="C5013" s="183">
        <v>45227</v>
      </c>
      <c r="D5013" s="17" t="s">
        <v>52</v>
      </c>
      <c r="E5013" s="17" t="s">
        <v>1113</v>
      </c>
      <c r="F5013" s="17" t="s">
        <v>54</v>
      </c>
      <c r="G5013" s="17"/>
      <c r="H5013" s="124">
        <v>1.2311</v>
      </c>
      <c r="I5013" s="124"/>
      <c r="J5013" s="17" t="s">
        <v>49</v>
      </c>
      <c r="K5013" s="274">
        <v>2200</v>
      </c>
      <c r="L5013" s="274">
        <v>56</v>
      </c>
      <c r="M5013" s="314">
        <v>5500</v>
      </c>
      <c r="N5013" s="19" t="s">
        <v>66</v>
      </c>
      <c r="O5013" s="19" t="s">
        <v>141</v>
      </c>
      <c r="P5013" s="99"/>
      <c r="Q5013" s="19">
        <v>5690</v>
      </c>
      <c r="R5013" s="99">
        <f>+P5012-Q5012-Q5013</f>
        <v>-691.68</v>
      </c>
      <c r="S5013" s="19">
        <f>950-20</f>
        <v>930</v>
      </c>
      <c r="T5013" s="19" t="s">
        <v>42</v>
      </c>
      <c r="U5013" s="102" t="s">
        <v>1367</v>
      </c>
      <c r="V5013" s="101">
        <v>45248</v>
      </c>
      <c r="W5013" s="17" t="s">
        <v>44</v>
      </c>
      <c r="X5013" s="17"/>
      <c r="Y5013" s="68">
        <v>45283</v>
      </c>
      <c r="Z5013" s="17" t="s">
        <v>191</v>
      </c>
      <c r="AA5013" s="17" t="s">
        <v>46</v>
      </c>
      <c r="AB5013" s="17" t="s">
        <v>1260</v>
      </c>
      <c r="AC5013" s="66">
        <v>45288</v>
      </c>
      <c r="AD5013" s="65">
        <v>1507</v>
      </c>
      <c r="AE5013" s="17" t="s">
        <v>48</v>
      </c>
      <c r="AF5013" s="17"/>
      <c r="AG5013" s="17"/>
      <c r="AH5013" s="17"/>
      <c r="AI5013" s="17"/>
      <c r="AJ5013" s="17"/>
      <c r="AK5013" s="17"/>
      <c r="AL5013" s="17"/>
      <c r="AM5013" s="17"/>
      <c r="AN5013" s="17"/>
      <c r="AO5013" s="17"/>
      <c r="AP5013" s="17"/>
      <c r="AQ5013" s="17"/>
      <c r="AR5013" s="17"/>
    </row>
    <row r="5014" s="20" customFormat="1" ht="15.6" hidden="1" spans="1:44">
      <c r="A5014" s="17" t="s">
        <v>34</v>
      </c>
      <c r="B5014" s="19">
        <v>967</v>
      </c>
      <c r="C5014" s="183">
        <v>45227</v>
      </c>
      <c r="D5014" s="17" t="s">
        <v>52</v>
      </c>
      <c r="E5014" s="17" t="s">
        <v>1113</v>
      </c>
      <c r="F5014" s="17" t="s">
        <v>54</v>
      </c>
      <c r="G5014" s="17"/>
      <c r="H5014" s="124">
        <v>1.2311</v>
      </c>
      <c r="I5014" s="124"/>
      <c r="J5014" s="17" t="s">
        <v>49</v>
      </c>
      <c r="K5014" s="274">
        <v>2200</v>
      </c>
      <c r="L5014" s="274">
        <v>61</v>
      </c>
      <c r="M5014" s="314">
        <v>5500</v>
      </c>
      <c r="N5014" s="19" t="s">
        <v>66</v>
      </c>
      <c r="O5014" s="19" t="s">
        <v>141</v>
      </c>
      <c r="P5014" s="99">
        <v>17382.255</v>
      </c>
      <c r="Q5014" s="19">
        <f>6010+6250</f>
        <v>12260</v>
      </c>
      <c r="R5014" s="21"/>
      <c r="S5014" s="19">
        <f>950-20</f>
        <v>930</v>
      </c>
      <c r="T5014" s="19" t="s">
        <v>42</v>
      </c>
      <c r="U5014" s="102" t="s">
        <v>1367</v>
      </c>
      <c r="V5014" s="101">
        <v>45248</v>
      </c>
      <c r="W5014" s="17" t="s">
        <v>44</v>
      </c>
      <c r="X5014" s="17"/>
      <c r="Y5014" s="68">
        <v>45283</v>
      </c>
      <c r="Z5014" s="17" t="s">
        <v>191</v>
      </c>
      <c r="AA5014" s="17" t="s">
        <v>46</v>
      </c>
      <c r="AB5014" s="17" t="s">
        <v>1282</v>
      </c>
      <c r="AC5014" s="217">
        <v>45017</v>
      </c>
      <c r="AD5014" s="65">
        <v>1512</v>
      </c>
      <c r="AE5014" s="17" t="s">
        <v>48</v>
      </c>
      <c r="AF5014" s="17"/>
      <c r="AG5014" s="17"/>
      <c r="AH5014" s="17"/>
      <c r="AI5014" s="17"/>
      <c r="AJ5014" s="17"/>
      <c r="AK5014" s="17"/>
      <c r="AL5014" s="17"/>
      <c r="AM5014" s="17"/>
      <c r="AN5014" s="17"/>
      <c r="AO5014" s="17"/>
      <c r="AP5014" s="17"/>
      <c r="AQ5014" s="17"/>
      <c r="AR5014" s="17"/>
    </row>
    <row r="5015" s="20" customFormat="1" ht="15.6" hidden="1" spans="1:44">
      <c r="A5015" s="17" t="s">
        <v>34</v>
      </c>
      <c r="B5015" s="19">
        <v>967</v>
      </c>
      <c r="C5015" s="183">
        <v>45227</v>
      </c>
      <c r="D5015" s="17" t="s">
        <v>52</v>
      </c>
      <c r="E5015" s="17" t="s">
        <v>1113</v>
      </c>
      <c r="F5015" s="17" t="s">
        <v>54</v>
      </c>
      <c r="G5015" s="17"/>
      <c r="H5015" s="124">
        <v>1.2311</v>
      </c>
      <c r="I5015" s="124"/>
      <c r="J5015" s="17" t="s">
        <v>49</v>
      </c>
      <c r="K5015" s="274">
        <v>2200</v>
      </c>
      <c r="L5015" s="274">
        <v>61</v>
      </c>
      <c r="M5015" s="314">
        <v>5500</v>
      </c>
      <c r="N5015" s="19" t="s">
        <v>66</v>
      </c>
      <c r="O5015" s="19" t="s">
        <v>141</v>
      </c>
      <c r="P5015" s="99"/>
      <c r="Q5015" s="19">
        <v>6410</v>
      </c>
      <c r="R5015" s="99">
        <f>+P5014-Q5014-Q5015</f>
        <v>-1287.745</v>
      </c>
      <c r="S5015" s="19">
        <f>950-20-100</f>
        <v>830</v>
      </c>
      <c r="T5015" s="19" t="s">
        <v>42</v>
      </c>
      <c r="U5015" s="102" t="s">
        <v>1367</v>
      </c>
      <c r="V5015" s="101">
        <v>45248</v>
      </c>
      <c r="W5015" s="17" t="s">
        <v>44</v>
      </c>
      <c r="X5015" s="17"/>
      <c r="Y5015" s="68">
        <v>45283</v>
      </c>
      <c r="Z5015" s="17" t="s">
        <v>191</v>
      </c>
      <c r="AA5015" s="17" t="s">
        <v>46</v>
      </c>
      <c r="AB5015" s="17" t="s">
        <v>1249</v>
      </c>
      <c r="AC5015" s="217">
        <v>45380</v>
      </c>
      <c r="AD5015" s="65">
        <v>1547</v>
      </c>
      <c r="AE5015" s="17" t="s">
        <v>48</v>
      </c>
      <c r="AF5015" s="17"/>
      <c r="AG5015" s="17"/>
      <c r="AH5015" s="17"/>
      <c r="AI5015" s="17"/>
      <c r="AJ5015" s="17"/>
      <c r="AK5015" s="17"/>
      <c r="AL5015" s="17"/>
      <c r="AM5015" s="17"/>
      <c r="AN5015" s="17"/>
      <c r="AO5015" s="17"/>
      <c r="AP5015" s="17"/>
      <c r="AQ5015" s="17"/>
      <c r="AR5015" s="17"/>
    </row>
    <row r="5016" s="21" customFormat="1" ht="15.6" hidden="1" spans="1:44">
      <c r="A5016" s="17" t="s">
        <v>34</v>
      </c>
      <c r="B5016" s="19">
        <v>967</v>
      </c>
      <c r="C5016" s="183">
        <v>45227</v>
      </c>
      <c r="D5016" s="17" t="s">
        <v>52</v>
      </c>
      <c r="E5016" s="17" t="s">
        <v>1113</v>
      </c>
      <c r="F5016" s="17" t="s">
        <v>54</v>
      </c>
      <c r="G5016" s="17"/>
      <c r="H5016" s="124">
        <v>1.2311</v>
      </c>
      <c r="I5016" s="124"/>
      <c r="J5016" s="17" t="s">
        <v>49</v>
      </c>
      <c r="K5016" s="274">
        <v>2200</v>
      </c>
      <c r="L5016" s="274">
        <v>65</v>
      </c>
      <c r="M5016" s="314">
        <v>5500</v>
      </c>
      <c r="N5016" s="19" t="s">
        <v>66</v>
      </c>
      <c r="O5016" s="19" t="s">
        <v>141</v>
      </c>
      <c r="P5016" s="99">
        <v>18522.075</v>
      </c>
      <c r="Q5016" s="19">
        <f>6480+6480+6440</f>
        <v>19400</v>
      </c>
      <c r="R5016" s="99">
        <f t="shared" ref="R5016:R5023" si="236">+P5016-Q5016</f>
        <v>-877.925000000003</v>
      </c>
      <c r="S5016" s="19">
        <f>950-20-100</f>
        <v>830</v>
      </c>
      <c r="T5016" s="19" t="s">
        <v>42</v>
      </c>
      <c r="U5016" s="102" t="s">
        <v>1367</v>
      </c>
      <c r="V5016" s="101">
        <v>45248</v>
      </c>
      <c r="W5016" s="17" t="s">
        <v>44</v>
      </c>
      <c r="X5016" s="17"/>
      <c r="Y5016" s="68">
        <v>45283</v>
      </c>
      <c r="Z5016" s="17" t="s">
        <v>191</v>
      </c>
      <c r="AA5016" s="17" t="s">
        <v>46</v>
      </c>
      <c r="AB5016" s="17" t="s">
        <v>1245</v>
      </c>
      <c r="AC5016" s="66">
        <v>45379</v>
      </c>
      <c r="AD5016" s="65">
        <v>1546</v>
      </c>
      <c r="AE5016" s="17" t="s">
        <v>48</v>
      </c>
      <c r="AF5016" s="17"/>
      <c r="AG5016" s="17"/>
      <c r="AH5016" s="17"/>
      <c r="AI5016" s="17"/>
      <c r="AJ5016" s="17"/>
      <c r="AK5016" s="17"/>
      <c r="AL5016" s="17"/>
      <c r="AM5016" s="17"/>
      <c r="AN5016" s="17"/>
      <c r="AO5016" s="17"/>
      <c r="AP5016" s="17"/>
      <c r="AQ5016" s="17"/>
      <c r="AR5016" s="17"/>
    </row>
    <row r="5017" s="20" customFormat="1" ht="15.6" hidden="1" spans="1:44">
      <c r="A5017" s="17" t="s">
        <v>34</v>
      </c>
      <c r="B5017" s="19">
        <v>967</v>
      </c>
      <c r="C5017" s="183">
        <v>45227</v>
      </c>
      <c r="D5017" s="17" t="s">
        <v>52</v>
      </c>
      <c r="E5017" s="17" t="s">
        <v>1113</v>
      </c>
      <c r="F5017" s="17" t="s">
        <v>54</v>
      </c>
      <c r="G5017" s="17"/>
      <c r="H5017" s="124">
        <v>1.2311</v>
      </c>
      <c r="I5017" s="124"/>
      <c r="J5017" s="17" t="s">
        <v>49</v>
      </c>
      <c r="K5017" s="274">
        <v>2200</v>
      </c>
      <c r="L5017" s="274">
        <v>71</v>
      </c>
      <c r="M5017" s="314">
        <v>5500</v>
      </c>
      <c r="N5017" s="19" t="s">
        <v>66</v>
      </c>
      <c r="O5017" s="19" t="s">
        <v>141</v>
      </c>
      <c r="P5017" s="99">
        <v>13487.87</v>
      </c>
      <c r="Q5017" s="19">
        <f>6970+7110</f>
        <v>14080</v>
      </c>
      <c r="R5017" s="99">
        <f t="shared" si="236"/>
        <v>-592.130000000001</v>
      </c>
      <c r="S5017" s="19">
        <f>950-20</f>
        <v>930</v>
      </c>
      <c r="T5017" s="19" t="s">
        <v>42</v>
      </c>
      <c r="U5017" s="102" t="s">
        <v>1367</v>
      </c>
      <c r="V5017" s="101">
        <v>45248</v>
      </c>
      <c r="W5017" s="17" t="s">
        <v>44</v>
      </c>
      <c r="X5017" s="17"/>
      <c r="Y5017" s="68">
        <v>45283</v>
      </c>
      <c r="Z5017" s="17" t="s">
        <v>191</v>
      </c>
      <c r="AA5017" s="17" t="s">
        <v>46</v>
      </c>
      <c r="AB5017" s="17" t="s">
        <v>1233</v>
      </c>
      <c r="AC5017" s="66">
        <v>45288</v>
      </c>
      <c r="AD5017" s="65">
        <v>1506</v>
      </c>
      <c r="AE5017" s="17" t="s">
        <v>48</v>
      </c>
      <c r="AF5017" s="17"/>
      <c r="AG5017" s="17"/>
      <c r="AH5017" s="17"/>
      <c r="AI5017" s="17"/>
      <c r="AJ5017" s="17"/>
      <c r="AK5017" s="17"/>
      <c r="AL5017" s="17"/>
      <c r="AM5017" s="17"/>
      <c r="AN5017" s="17"/>
      <c r="AO5017" s="17"/>
      <c r="AP5017" s="17"/>
      <c r="AQ5017" s="17"/>
      <c r="AR5017" s="17"/>
    </row>
    <row r="5018" s="20" customFormat="1" ht="15.6" hidden="1" spans="1:44">
      <c r="A5018" s="17" t="s">
        <v>34</v>
      </c>
      <c r="B5018" s="19">
        <v>967</v>
      </c>
      <c r="C5018" s="183">
        <v>45227</v>
      </c>
      <c r="D5018" s="17" t="s">
        <v>52</v>
      </c>
      <c r="E5018" s="17" t="s">
        <v>1113</v>
      </c>
      <c r="F5018" s="17" t="s">
        <v>54</v>
      </c>
      <c r="G5018" s="17"/>
      <c r="H5018" s="124">
        <v>1.2311</v>
      </c>
      <c r="I5018" s="124"/>
      <c r="J5018" s="17" t="s">
        <v>49</v>
      </c>
      <c r="K5018" s="274">
        <v>2200</v>
      </c>
      <c r="L5018" s="274">
        <v>80</v>
      </c>
      <c r="M5018" s="314">
        <v>5500</v>
      </c>
      <c r="N5018" s="19" t="s">
        <v>66</v>
      </c>
      <c r="O5018" s="19" t="s">
        <v>141</v>
      </c>
      <c r="P5018" s="99">
        <v>7598.8</v>
      </c>
      <c r="Q5018" s="19">
        <v>7755</v>
      </c>
      <c r="R5018" s="99">
        <f t="shared" si="236"/>
        <v>-156.200000000001</v>
      </c>
      <c r="S5018" s="19">
        <f>950-20</f>
        <v>930</v>
      </c>
      <c r="T5018" s="19" t="s">
        <v>42</v>
      </c>
      <c r="U5018" s="102" t="s">
        <v>1367</v>
      </c>
      <c r="V5018" s="101">
        <v>45248</v>
      </c>
      <c r="W5018" s="17" t="s">
        <v>44</v>
      </c>
      <c r="X5018" s="17"/>
      <c r="Y5018" s="68">
        <v>45283</v>
      </c>
      <c r="Z5018" s="17" t="s">
        <v>191</v>
      </c>
      <c r="AA5018" s="17" t="s">
        <v>46</v>
      </c>
      <c r="AB5018" s="17" t="s">
        <v>1236</v>
      </c>
      <c r="AC5018" s="66">
        <v>45288</v>
      </c>
      <c r="AD5018" s="65">
        <v>1511</v>
      </c>
      <c r="AE5018" s="17" t="s">
        <v>48</v>
      </c>
      <c r="AF5018" s="17"/>
      <c r="AG5018" s="17"/>
      <c r="AH5018" s="17"/>
      <c r="AI5018" s="17"/>
      <c r="AJ5018" s="17"/>
      <c r="AK5018" s="17"/>
      <c r="AL5018" s="17"/>
      <c r="AM5018" s="17"/>
      <c r="AN5018" s="17"/>
      <c r="AO5018" s="17"/>
      <c r="AP5018" s="17"/>
      <c r="AQ5018" s="17"/>
      <c r="AR5018" s="17"/>
    </row>
    <row r="5019" s="20" customFormat="1" ht="15.6" hidden="1" spans="1:44">
      <c r="A5019" s="17" t="s">
        <v>34</v>
      </c>
      <c r="B5019" s="19">
        <v>967</v>
      </c>
      <c r="C5019" s="183">
        <v>45227</v>
      </c>
      <c r="D5019" s="17" t="s">
        <v>52</v>
      </c>
      <c r="E5019" s="17" t="s">
        <v>1113</v>
      </c>
      <c r="F5019" s="17" t="s">
        <v>54</v>
      </c>
      <c r="G5019" s="17"/>
      <c r="H5019" s="124">
        <v>1.2311</v>
      </c>
      <c r="I5019" s="124"/>
      <c r="J5019" s="17" t="s">
        <v>49</v>
      </c>
      <c r="K5019" s="274">
        <v>2200</v>
      </c>
      <c r="L5019" s="274">
        <v>85</v>
      </c>
      <c r="M5019" s="314">
        <v>5500</v>
      </c>
      <c r="N5019" s="19" t="s">
        <v>66</v>
      </c>
      <c r="O5019" s="19" t="s">
        <v>141</v>
      </c>
      <c r="P5019" s="99">
        <v>8073.725</v>
      </c>
      <c r="Q5019" s="19">
        <v>7695</v>
      </c>
      <c r="R5019" s="99">
        <f t="shared" si="236"/>
        <v>378.724999999999</v>
      </c>
      <c r="S5019" s="19">
        <f>950-20</f>
        <v>930</v>
      </c>
      <c r="T5019" s="19" t="s">
        <v>42</v>
      </c>
      <c r="U5019" s="102" t="s">
        <v>1367</v>
      </c>
      <c r="V5019" s="101">
        <v>45248</v>
      </c>
      <c r="W5019" s="17" t="s">
        <v>44</v>
      </c>
      <c r="X5019" s="17"/>
      <c r="Y5019" s="68">
        <v>45283</v>
      </c>
      <c r="Z5019" s="17" t="s">
        <v>191</v>
      </c>
      <c r="AA5019" s="17" t="s">
        <v>46</v>
      </c>
      <c r="AB5019" s="17" t="s">
        <v>1251</v>
      </c>
      <c r="AC5019" s="217">
        <v>45566</v>
      </c>
      <c r="AD5019" s="65">
        <v>1515</v>
      </c>
      <c r="AE5019" s="17" t="s">
        <v>48</v>
      </c>
      <c r="AF5019" s="17" t="s">
        <v>1332</v>
      </c>
      <c r="AG5019" s="17"/>
      <c r="AH5019" s="17"/>
      <c r="AI5019" s="17"/>
      <c r="AJ5019" s="17"/>
      <c r="AK5019" s="17"/>
      <c r="AL5019" s="17"/>
      <c r="AM5019" s="17"/>
      <c r="AN5019" s="17"/>
      <c r="AO5019" s="17"/>
      <c r="AP5019" s="17"/>
      <c r="AQ5019" s="17"/>
      <c r="AR5019" s="17"/>
    </row>
    <row r="5020" s="21" customFormat="1" ht="15.6" hidden="1" spans="1:44">
      <c r="A5020" s="17" t="s">
        <v>34</v>
      </c>
      <c r="B5020" s="19">
        <v>967</v>
      </c>
      <c r="C5020" s="183">
        <v>45227</v>
      </c>
      <c r="D5020" s="17" t="s">
        <v>52</v>
      </c>
      <c r="E5020" s="17" t="s">
        <v>1113</v>
      </c>
      <c r="F5020" s="17" t="s">
        <v>54</v>
      </c>
      <c r="G5020" s="17"/>
      <c r="H5020" s="124">
        <v>1.2311</v>
      </c>
      <c r="I5020" s="124"/>
      <c r="J5020" s="17" t="s">
        <v>49</v>
      </c>
      <c r="K5020" s="274">
        <v>2200</v>
      </c>
      <c r="L5020" s="274">
        <v>91</v>
      </c>
      <c r="M5020" s="314">
        <v>5500</v>
      </c>
      <c r="N5020" s="19" t="s">
        <v>66</v>
      </c>
      <c r="O5020" s="19" t="s">
        <v>141</v>
      </c>
      <c r="P5020" s="99">
        <v>17287.27</v>
      </c>
      <c r="Q5020" s="19">
        <f>6580+6420+6670</f>
        <v>19670</v>
      </c>
      <c r="R5020" s="99">
        <f t="shared" si="236"/>
        <v>-2382.73</v>
      </c>
      <c r="S5020" s="19">
        <f>950-20-100</f>
        <v>830</v>
      </c>
      <c r="T5020" s="19" t="s">
        <v>42</v>
      </c>
      <c r="U5020" s="102" t="s">
        <v>1367</v>
      </c>
      <c r="V5020" s="101">
        <v>45248</v>
      </c>
      <c r="W5020" s="17" t="s">
        <v>44</v>
      </c>
      <c r="X5020" s="17"/>
      <c r="Y5020" s="68">
        <v>45283</v>
      </c>
      <c r="Z5020" s="17" t="s">
        <v>191</v>
      </c>
      <c r="AA5020" s="17" t="s">
        <v>46</v>
      </c>
      <c r="AB5020" s="17" t="s">
        <v>1295</v>
      </c>
      <c r="AC5020" s="217">
        <v>45364</v>
      </c>
      <c r="AD5020" s="65">
        <v>1537</v>
      </c>
      <c r="AE5020" s="17" t="s">
        <v>48</v>
      </c>
      <c r="AF5020" s="17"/>
      <c r="AG5020" s="17"/>
      <c r="AH5020" s="17"/>
      <c r="AI5020" s="17"/>
      <c r="AJ5020" s="17"/>
      <c r="AK5020" s="17"/>
      <c r="AL5020" s="17"/>
      <c r="AM5020" s="17"/>
      <c r="AN5020" s="17"/>
      <c r="AO5020" s="17"/>
      <c r="AP5020" s="17"/>
      <c r="AQ5020" s="17"/>
      <c r="AR5020" s="17"/>
    </row>
    <row r="5021" s="21" customFormat="1" ht="15.6" hidden="1" spans="1:44">
      <c r="A5021" s="17" t="s">
        <v>34</v>
      </c>
      <c r="B5021" s="19">
        <v>967</v>
      </c>
      <c r="C5021" s="183">
        <v>45227</v>
      </c>
      <c r="D5021" s="17" t="s">
        <v>52</v>
      </c>
      <c r="E5021" s="17" t="s">
        <v>1113</v>
      </c>
      <c r="F5021" s="17" t="s">
        <v>54</v>
      </c>
      <c r="G5021" s="17"/>
      <c r="H5021" s="124">
        <v>1.2311</v>
      </c>
      <c r="I5021" s="124"/>
      <c r="J5021" s="17" t="s">
        <v>49</v>
      </c>
      <c r="K5021" s="274">
        <v>2200</v>
      </c>
      <c r="L5021" s="274">
        <v>100</v>
      </c>
      <c r="M5021" s="314">
        <v>5500</v>
      </c>
      <c r="N5021" s="19" t="s">
        <v>66</v>
      </c>
      <c r="O5021" s="19" t="s">
        <v>141</v>
      </c>
      <c r="P5021" s="99">
        <v>9498.5</v>
      </c>
      <c r="Q5021" s="19">
        <v>9045</v>
      </c>
      <c r="R5021" s="99">
        <f t="shared" si="236"/>
        <v>453.5</v>
      </c>
      <c r="S5021" s="19">
        <f>950-20</f>
        <v>930</v>
      </c>
      <c r="T5021" s="19" t="s">
        <v>42</v>
      </c>
      <c r="U5021" s="102" t="s">
        <v>1367</v>
      </c>
      <c r="V5021" s="101">
        <v>45248</v>
      </c>
      <c r="W5021" s="17" t="s">
        <v>44</v>
      </c>
      <c r="X5021" s="17"/>
      <c r="Y5021" s="68">
        <v>45283</v>
      </c>
      <c r="Z5021" s="17" t="s">
        <v>191</v>
      </c>
      <c r="AA5021" s="17" t="s">
        <v>46</v>
      </c>
      <c r="AB5021" s="17" t="s">
        <v>1248</v>
      </c>
      <c r="AC5021" s="217">
        <v>45364</v>
      </c>
      <c r="AD5021" s="65">
        <v>1539</v>
      </c>
      <c r="AE5021" s="17" t="s">
        <v>48</v>
      </c>
      <c r="AF5021" s="17" t="s">
        <v>1332</v>
      </c>
      <c r="AG5021" s="17"/>
      <c r="AH5021" s="17"/>
      <c r="AI5021" s="17"/>
      <c r="AJ5021" s="17"/>
      <c r="AK5021" s="17"/>
      <c r="AL5021" s="17"/>
      <c r="AM5021" s="17"/>
      <c r="AN5021" s="17"/>
      <c r="AO5021" s="17"/>
      <c r="AP5021" s="17"/>
      <c r="AQ5021" s="17"/>
      <c r="AR5021" s="17"/>
    </row>
    <row r="5022" s="21" customFormat="1" ht="15.6" hidden="1" spans="1:44">
      <c r="A5022" s="17" t="s">
        <v>34</v>
      </c>
      <c r="B5022" s="19">
        <v>967</v>
      </c>
      <c r="C5022" s="183">
        <v>45227</v>
      </c>
      <c r="D5022" s="17" t="s">
        <v>52</v>
      </c>
      <c r="E5022" s="17" t="s">
        <v>1113</v>
      </c>
      <c r="F5022" s="17" t="s">
        <v>54</v>
      </c>
      <c r="G5022" s="17"/>
      <c r="H5022" s="124">
        <v>1.2311</v>
      </c>
      <c r="I5022" s="124"/>
      <c r="J5022" s="17" t="s">
        <v>49</v>
      </c>
      <c r="K5022" s="274">
        <v>2200</v>
      </c>
      <c r="L5022" s="274">
        <v>105</v>
      </c>
      <c r="M5022" s="314">
        <v>5500</v>
      </c>
      <c r="N5022" s="19" t="s">
        <v>66</v>
      </c>
      <c r="O5022" s="19" t="s">
        <v>141</v>
      </c>
      <c r="P5022" s="99">
        <v>9973.425</v>
      </c>
      <c r="Q5022" s="19">
        <v>10420</v>
      </c>
      <c r="R5022" s="99">
        <f t="shared" si="236"/>
        <v>-446.575000000001</v>
      </c>
      <c r="S5022" s="19">
        <f>950-20</f>
        <v>930</v>
      </c>
      <c r="T5022" s="19" t="s">
        <v>42</v>
      </c>
      <c r="U5022" s="102" t="s">
        <v>1367</v>
      </c>
      <c r="V5022" s="101">
        <v>45248</v>
      </c>
      <c r="W5022" s="17" t="s">
        <v>44</v>
      </c>
      <c r="X5022" s="17"/>
      <c r="Y5022" s="68">
        <v>45283</v>
      </c>
      <c r="Z5022" s="17" t="s">
        <v>191</v>
      </c>
      <c r="AA5022" s="17" t="s">
        <v>46</v>
      </c>
      <c r="AB5022" s="17" t="s">
        <v>1261</v>
      </c>
      <c r="AC5022" s="66">
        <v>45364</v>
      </c>
      <c r="AD5022" s="65">
        <v>1538</v>
      </c>
      <c r="AE5022" s="17" t="s">
        <v>48</v>
      </c>
      <c r="AF5022" s="17"/>
      <c r="AG5022" s="17"/>
      <c r="AH5022" s="17"/>
      <c r="AI5022" s="17"/>
      <c r="AJ5022" s="17"/>
      <c r="AK5022" s="17"/>
      <c r="AL5022" s="17"/>
      <c r="AM5022" s="17"/>
      <c r="AN5022" s="17"/>
      <c r="AO5022" s="17"/>
      <c r="AP5022" s="17"/>
      <c r="AQ5022" s="17"/>
      <c r="AR5022" s="17"/>
    </row>
    <row r="5023" s="20" customFormat="1" ht="15.6" hidden="1" spans="1:44">
      <c r="A5023" s="17" t="s">
        <v>34</v>
      </c>
      <c r="B5023" s="19">
        <v>967</v>
      </c>
      <c r="C5023" s="183">
        <v>45227</v>
      </c>
      <c r="D5023" s="17" t="s">
        <v>52</v>
      </c>
      <c r="E5023" s="17" t="s">
        <v>1113</v>
      </c>
      <c r="F5023" s="17" t="s">
        <v>54</v>
      </c>
      <c r="G5023" s="17"/>
      <c r="H5023" s="124">
        <v>1.2311</v>
      </c>
      <c r="I5023" s="124"/>
      <c r="J5023" s="17" t="s">
        <v>49</v>
      </c>
      <c r="K5023" s="274">
        <v>2200</v>
      </c>
      <c r="L5023" s="274">
        <v>110</v>
      </c>
      <c r="M5023" s="314">
        <v>5500</v>
      </c>
      <c r="N5023" s="19" t="s">
        <v>66</v>
      </c>
      <c r="O5023" s="19" t="s">
        <v>141</v>
      </c>
      <c r="P5023" s="99">
        <v>10448.35</v>
      </c>
      <c r="Q5023" s="19">
        <v>10085</v>
      </c>
      <c r="R5023" s="99">
        <f t="shared" si="236"/>
        <v>363.35</v>
      </c>
      <c r="S5023" s="19">
        <f>950-20</f>
        <v>930</v>
      </c>
      <c r="T5023" s="19" t="s">
        <v>42</v>
      </c>
      <c r="U5023" s="102" t="s">
        <v>1367</v>
      </c>
      <c r="V5023" s="101">
        <v>45248</v>
      </c>
      <c r="W5023" s="17" t="s">
        <v>44</v>
      </c>
      <c r="X5023" s="17"/>
      <c r="Y5023" s="68">
        <v>45283</v>
      </c>
      <c r="Z5023" s="17" t="s">
        <v>191</v>
      </c>
      <c r="AA5023" s="17" t="s">
        <v>46</v>
      </c>
      <c r="AB5023" s="17" t="s">
        <v>1251</v>
      </c>
      <c r="AC5023" s="217">
        <v>45566</v>
      </c>
      <c r="AD5023" s="65">
        <v>1515</v>
      </c>
      <c r="AE5023" s="17" t="s">
        <v>48</v>
      </c>
      <c r="AF5023" s="17"/>
      <c r="AG5023" s="17"/>
      <c r="AH5023" s="17"/>
      <c r="AI5023" s="17"/>
      <c r="AJ5023" s="17"/>
      <c r="AK5023" s="17"/>
      <c r="AL5023" s="17"/>
      <c r="AM5023" s="17"/>
      <c r="AN5023" s="17"/>
      <c r="AO5023" s="17"/>
      <c r="AP5023" s="17"/>
      <c r="AQ5023" s="17"/>
      <c r="AR5023" s="17"/>
    </row>
    <row r="5024" s="21" customFormat="1" ht="15.6" hidden="1" spans="1:44">
      <c r="A5024" s="17"/>
      <c r="B5024" s="19">
        <v>967</v>
      </c>
      <c r="C5024" s="183">
        <v>45227</v>
      </c>
      <c r="D5024" s="17" t="s">
        <v>52</v>
      </c>
      <c r="E5024" s="17" t="s">
        <v>1113</v>
      </c>
      <c r="F5024" s="17" t="s">
        <v>54</v>
      </c>
      <c r="G5024" s="17"/>
      <c r="H5024" s="124">
        <v>1.2311</v>
      </c>
      <c r="I5024" s="124"/>
      <c r="J5024" s="17" t="s">
        <v>49</v>
      </c>
      <c r="K5024" s="274">
        <v>2200</v>
      </c>
      <c r="L5024" s="274">
        <v>125</v>
      </c>
      <c r="M5024" s="314">
        <v>5500</v>
      </c>
      <c r="N5024" s="19" t="s">
        <v>66</v>
      </c>
      <c r="O5024" s="19" t="s">
        <v>141</v>
      </c>
      <c r="P5024" s="99">
        <v>11873.125</v>
      </c>
      <c r="Q5024" s="19">
        <v>0</v>
      </c>
      <c r="R5024" s="99">
        <v>0</v>
      </c>
      <c r="S5024" s="19">
        <f>950-20</f>
        <v>930</v>
      </c>
      <c r="T5024" s="19" t="s">
        <v>42</v>
      </c>
      <c r="U5024" s="102" t="s">
        <v>1367</v>
      </c>
      <c r="V5024" s="101">
        <v>45248</v>
      </c>
      <c r="W5024" s="17" t="s">
        <v>44</v>
      </c>
      <c r="X5024" s="17"/>
      <c r="Y5024" s="68">
        <v>45283</v>
      </c>
      <c r="Z5024" s="17" t="s">
        <v>191</v>
      </c>
      <c r="AA5024" s="17" t="s">
        <v>46</v>
      </c>
      <c r="AB5024" s="17"/>
      <c r="AC5024" s="102"/>
      <c r="AD5024" s="65"/>
      <c r="AE5024" s="17" t="s">
        <v>48</v>
      </c>
      <c r="AF5024" s="17" t="s">
        <v>1332</v>
      </c>
      <c r="AG5024" s="17"/>
      <c r="AH5024" s="17"/>
      <c r="AI5024" s="17"/>
      <c r="AJ5024" s="17"/>
      <c r="AK5024" s="17"/>
      <c r="AL5024" s="17"/>
      <c r="AM5024" s="17"/>
      <c r="AN5024" s="17"/>
      <c r="AO5024" s="17"/>
      <c r="AP5024" s="17"/>
      <c r="AQ5024" s="17"/>
      <c r="AR5024" s="17"/>
    </row>
    <row r="5025" s="21" customFormat="1" ht="15.6" hidden="1" spans="1:44">
      <c r="A5025" s="17"/>
      <c r="B5025" s="19">
        <v>967</v>
      </c>
      <c r="C5025" s="183">
        <v>45227</v>
      </c>
      <c r="D5025" s="17" t="s">
        <v>52</v>
      </c>
      <c r="E5025" s="17" t="s">
        <v>1113</v>
      </c>
      <c r="F5025" s="17" t="s">
        <v>54</v>
      </c>
      <c r="G5025" s="17"/>
      <c r="H5025" s="124">
        <v>1.2311</v>
      </c>
      <c r="I5025" s="124"/>
      <c r="J5025" s="17" t="s">
        <v>49</v>
      </c>
      <c r="K5025" s="274">
        <v>2200</v>
      </c>
      <c r="L5025" s="274">
        <v>130</v>
      </c>
      <c r="M5025" s="314">
        <v>5500</v>
      </c>
      <c r="N5025" s="19" t="s">
        <v>66</v>
      </c>
      <c r="O5025" s="19" t="s">
        <v>141</v>
      </c>
      <c r="P5025" s="99">
        <v>12348.05</v>
      </c>
      <c r="Q5025" s="19">
        <v>0</v>
      </c>
      <c r="R5025" s="315">
        <v>0</v>
      </c>
      <c r="S5025" s="19">
        <f>970-20</f>
        <v>950</v>
      </c>
      <c r="T5025" s="19" t="s">
        <v>42</v>
      </c>
      <c r="U5025" s="102" t="s">
        <v>1367</v>
      </c>
      <c r="V5025" s="101">
        <v>45248</v>
      </c>
      <c r="W5025" s="17" t="s">
        <v>44</v>
      </c>
      <c r="X5025" s="17"/>
      <c r="Y5025" s="68">
        <v>45283</v>
      </c>
      <c r="Z5025" s="17" t="s">
        <v>191</v>
      </c>
      <c r="AA5025" s="17" t="s">
        <v>46</v>
      </c>
      <c r="AB5025" s="17"/>
      <c r="AC5025" s="102"/>
      <c r="AD5025" s="65"/>
      <c r="AE5025" s="17" t="s">
        <v>48</v>
      </c>
      <c r="AF5025" s="17" t="s">
        <v>1347</v>
      </c>
      <c r="AG5025" s="17"/>
      <c r="AH5025" s="17"/>
      <c r="AI5025" s="17"/>
      <c r="AJ5025" s="17"/>
      <c r="AK5025" s="17"/>
      <c r="AL5025" s="17"/>
      <c r="AM5025" s="17"/>
      <c r="AN5025" s="17"/>
      <c r="AO5025" s="17"/>
      <c r="AP5025" s="17"/>
      <c r="AQ5025" s="17"/>
      <c r="AR5025" s="17"/>
    </row>
    <row r="5026" s="21" customFormat="1" ht="15.6" hidden="1" spans="1:44">
      <c r="A5026" s="17" t="s">
        <v>34</v>
      </c>
      <c r="B5026" s="19">
        <v>967</v>
      </c>
      <c r="C5026" s="183">
        <v>45227</v>
      </c>
      <c r="D5026" s="17" t="s">
        <v>52</v>
      </c>
      <c r="E5026" s="17" t="s">
        <v>1113</v>
      </c>
      <c r="F5026" s="17" t="s">
        <v>54</v>
      </c>
      <c r="G5026" s="17"/>
      <c r="H5026" s="124">
        <v>1.2311</v>
      </c>
      <c r="I5026" s="124"/>
      <c r="J5026" s="17" t="s">
        <v>49</v>
      </c>
      <c r="K5026" s="274">
        <v>2200</v>
      </c>
      <c r="L5026" s="274">
        <v>140</v>
      </c>
      <c r="M5026" s="314">
        <v>5500</v>
      </c>
      <c r="N5026" s="19" t="s">
        <v>66</v>
      </c>
      <c r="O5026" s="19" t="s">
        <v>141</v>
      </c>
      <c r="P5026" s="99">
        <v>13297.9</v>
      </c>
      <c r="Q5026" s="19">
        <v>12230</v>
      </c>
      <c r="R5026" s="99">
        <f>+P5026-Q5026</f>
        <v>1067.9</v>
      </c>
      <c r="S5026" s="19">
        <f>970-20+173</f>
        <v>1123</v>
      </c>
      <c r="T5026" s="19" t="s">
        <v>42</v>
      </c>
      <c r="U5026" s="102" t="s">
        <v>1367</v>
      </c>
      <c r="V5026" s="101">
        <v>45248</v>
      </c>
      <c r="W5026" s="17" t="s">
        <v>44</v>
      </c>
      <c r="X5026" s="17"/>
      <c r="Y5026" s="68">
        <v>45283</v>
      </c>
      <c r="Z5026" s="17" t="s">
        <v>191</v>
      </c>
      <c r="AA5026" s="17" t="s">
        <v>46</v>
      </c>
      <c r="AB5026" s="17" t="s">
        <v>1240</v>
      </c>
      <c r="AC5026" s="217">
        <v>45372</v>
      </c>
      <c r="AD5026" s="65">
        <v>1542</v>
      </c>
      <c r="AE5026" s="17" t="s">
        <v>48</v>
      </c>
      <c r="AF5026" s="17" t="s">
        <v>1332</v>
      </c>
      <c r="AG5026" s="17"/>
      <c r="AH5026" s="17"/>
      <c r="AI5026" s="17"/>
      <c r="AJ5026" s="17"/>
      <c r="AK5026" s="17"/>
      <c r="AL5026" s="17"/>
      <c r="AM5026" s="17"/>
      <c r="AN5026" s="17"/>
      <c r="AO5026" s="17"/>
      <c r="AP5026" s="17"/>
      <c r="AQ5026" s="17"/>
      <c r="AR5026" s="17"/>
    </row>
    <row r="5027" s="21" customFormat="1" ht="15.6" hidden="1" spans="1:44">
      <c r="A5027" s="17"/>
      <c r="B5027" s="19">
        <v>967</v>
      </c>
      <c r="C5027" s="183">
        <v>45227</v>
      </c>
      <c r="D5027" s="17" t="s">
        <v>52</v>
      </c>
      <c r="E5027" s="17" t="s">
        <v>1113</v>
      </c>
      <c r="F5027" s="17" t="s">
        <v>54</v>
      </c>
      <c r="G5027" s="17"/>
      <c r="H5027" s="124">
        <v>1.2311</v>
      </c>
      <c r="I5027" s="124"/>
      <c r="J5027" s="17" t="s">
        <v>49</v>
      </c>
      <c r="K5027" s="274">
        <v>2200</v>
      </c>
      <c r="L5027" s="274">
        <v>155</v>
      </c>
      <c r="M5027" s="314">
        <v>5500</v>
      </c>
      <c r="N5027" s="19" t="s">
        <v>66</v>
      </c>
      <c r="O5027" s="19" t="s">
        <v>141</v>
      </c>
      <c r="P5027" s="99">
        <v>14722.675</v>
      </c>
      <c r="Q5027" s="19">
        <v>0</v>
      </c>
      <c r="R5027" s="99">
        <v>0</v>
      </c>
      <c r="S5027" s="19">
        <f>990-20</f>
        <v>970</v>
      </c>
      <c r="T5027" s="19" t="s">
        <v>42</v>
      </c>
      <c r="U5027" s="102" t="s">
        <v>1367</v>
      </c>
      <c r="V5027" s="101">
        <v>45248</v>
      </c>
      <c r="W5027" s="17" t="s">
        <v>44</v>
      </c>
      <c r="X5027" s="17"/>
      <c r="Y5027" s="68">
        <v>45283</v>
      </c>
      <c r="Z5027" s="17" t="s">
        <v>191</v>
      </c>
      <c r="AA5027" s="17" t="s">
        <v>46</v>
      </c>
      <c r="AB5027" s="17"/>
      <c r="AC5027" s="102"/>
      <c r="AD5027" s="65"/>
      <c r="AE5027" s="17" t="s">
        <v>48</v>
      </c>
      <c r="AF5027" s="17"/>
      <c r="AG5027" s="17"/>
      <c r="AH5027" s="17"/>
      <c r="AI5027" s="17"/>
      <c r="AJ5027" s="17"/>
      <c r="AK5027" s="17"/>
      <c r="AL5027" s="17"/>
      <c r="AM5027" s="17"/>
      <c r="AN5027" s="17"/>
      <c r="AO5027" s="17"/>
      <c r="AP5027" s="17"/>
      <c r="AQ5027" s="17"/>
      <c r="AR5027" s="17"/>
    </row>
    <row r="5028" s="21" customFormat="1" ht="15.6" hidden="1" spans="1:44">
      <c r="A5028" s="17"/>
      <c r="B5028" s="19">
        <v>967</v>
      </c>
      <c r="C5028" s="183">
        <v>45227</v>
      </c>
      <c r="D5028" s="17" t="s">
        <v>52</v>
      </c>
      <c r="E5028" s="17" t="s">
        <v>1113</v>
      </c>
      <c r="F5028" s="17" t="s">
        <v>54</v>
      </c>
      <c r="G5028" s="17"/>
      <c r="H5028" s="124">
        <v>1.2311</v>
      </c>
      <c r="I5028" s="124"/>
      <c r="J5028" s="17" t="s">
        <v>49</v>
      </c>
      <c r="K5028" s="274">
        <v>2200</v>
      </c>
      <c r="L5028" s="274">
        <v>160</v>
      </c>
      <c r="M5028" s="314">
        <v>5500</v>
      </c>
      <c r="N5028" s="19" t="s">
        <v>66</v>
      </c>
      <c r="O5028" s="19" t="s">
        <v>141</v>
      </c>
      <c r="P5028" s="99">
        <v>15197.6</v>
      </c>
      <c r="Q5028" s="19">
        <v>0</v>
      </c>
      <c r="R5028" s="99">
        <v>0</v>
      </c>
      <c r="S5028" s="19">
        <f>990-20</f>
        <v>970</v>
      </c>
      <c r="T5028" s="19" t="s">
        <v>42</v>
      </c>
      <c r="U5028" s="102" t="s">
        <v>1367</v>
      </c>
      <c r="V5028" s="101">
        <v>45248</v>
      </c>
      <c r="W5028" s="17" t="s">
        <v>44</v>
      </c>
      <c r="X5028" s="17"/>
      <c r="Y5028" s="68">
        <v>45283</v>
      </c>
      <c r="Z5028" s="17" t="s">
        <v>191</v>
      </c>
      <c r="AA5028" s="17" t="s">
        <v>46</v>
      </c>
      <c r="AB5028" s="17"/>
      <c r="AC5028" s="102"/>
      <c r="AD5028" s="65"/>
      <c r="AE5028" s="17" t="s">
        <v>48</v>
      </c>
      <c r="AF5028" s="17" t="s">
        <v>1332</v>
      </c>
      <c r="AG5028" s="17"/>
      <c r="AH5028" s="17"/>
      <c r="AI5028" s="17"/>
      <c r="AJ5028" s="17"/>
      <c r="AK5028" s="17"/>
      <c r="AL5028" s="17"/>
      <c r="AM5028" s="17"/>
      <c r="AN5028" s="17"/>
      <c r="AO5028" s="17"/>
      <c r="AP5028" s="17"/>
      <c r="AQ5028" s="17"/>
      <c r="AR5028" s="17"/>
    </row>
    <row r="5029" s="20" customFormat="1" ht="15.6" hidden="1" spans="1:44">
      <c r="A5029" s="17" t="s">
        <v>34</v>
      </c>
      <c r="B5029" s="19">
        <v>967</v>
      </c>
      <c r="C5029" s="183">
        <v>45227</v>
      </c>
      <c r="D5029" s="17" t="s">
        <v>52</v>
      </c>
      <c r="E5029" s="17" t="s">
        <v>1113</v>
      </c>
      <c r="F5029" s="17" t="s">
        <v>54</v>
      </c>
      <c r="G5029" s="17"/>
      <c r="H5029" s="124">
        <v>1.2311</v>
      </c>
      <c r="I5029" s="124"/>
      <c r="J5029" s="17" t="s">
        <v>49</v>
      </c>
      <c r="K5029" s="274">
        <v>2200</v>
      </c>
      <c r="L5029" s="274">
        <v>190</v>
      </c>
      <c r="M5029" s="314">
        <v>5500</v>
      </c>
      <c r="N5029" s="19" t="s">
        <v>66</v>
      </c>
      <c r="O5029" s="19" t="s">
        <v>141</v>
      </c>
      <c r="P5029" s="99">
        <v>18047.15</v>
      </c>
      <c r="Q5029" s="19">
        <v>14200</v>
      </c>
      <c r="R5029" s="99">
        <f>+P5029-Q5029</f>
        <v>3847.15</v>
      </c>
      <c r="S5029" s="19">
        <f>1155-20</f>
        <v>1135</v>
      </c>
      <c r="T5029" s="19" t="s">
        <v>42</v>
      </c>
      <c r="U5029" s="102" t="s">
        <v>1367</v>
      </c>
      <c r="V5029" s="101">
        <v>45248</v>
      </c>
      <c r="W5029" s="17" t="s">
        <v>44</v>
      </c>
      <c r="X5029" s="17"/>
      <c r="Y5029" s="68">
        <v>45283</v>
      </c>
      <c r="Z5029" s="17" t="s">
        <v>191</v>
      </c>
      <c r="AA5029" s="17" t="s">
        <v>46</v>
      </c>
      <c r="AB5029" s="17" t="s">
        <v>1251</v>
      </c>
      <c r="AC5029" s="217">
        <v>45566</v>
      </c>
      <c r="AD5029" s="65">
        <v>1515</v>
      </c>
      <c r="AE5029" s="17" t="s">
        <v>48</v>
      </c>
      <c r="AF5029" s="17"/>
      <c r="AG5029" s="17"/>
      <c r="AH5029" s="17"/>
      <c r="AI5029" s="17"/>
      <c r="AJ5029" s="17"/>
      <c r="AK5029" s="17"/>
      <c r="AL5029" s="17"/>
      <c r="AM5029" s="17"/>
      <c r="AN5029" s="17"/>
      <c r="AO5029" s="17"/>
      <c r="AP5029" s="17"/>
      <c r="AQ5029" s="17"/>
      <c r="AR5029" s="17"/>
    </row>
    <row r="5030" s="21" customFormat="1" ht="15.6" hidden="1" spans="1:44">
      <c r="A5030" s="17"/>
      <c r="B5030" s="19">
        <v>967</v>
      </c>
      <c r="C5030" s="183">
        <v>45227</v>
      </c>
      <c r="D5030" s="17" t="s">
        <v>52</v>
      </c>
      <c r="E5030" s="17" t="s">
        <v>1113</v>
      </c>
      <c r="F5030" s="17" t="s">
        <v>54</v>
      </c>
      <c r="G5030" s="17"/>
      <c r="H5030" s="124">
        <v>1.2311</v>
      </c>
      <c r="I5030" s="124"/>
      <c r="J5030" s="17" t="s">
        <v>49</v>
      </c>
      <c r="K5030" s="274">
        <v>2200</v>
      </c>
      <c r="L5030" s="274">
        <v>205</v>
      </c>
      <c r="M5030" s="314">
        <v>5500</v>
      </c>
      <c r="N5030" s="19" t="s">
        <v>66</v>
      </c>
      <c r="O5030" s="19" t="s">
        <v>141</v>
      </c>
      <c r="P5030" s="99">
        <v>19471.925</v>
      </c>
      <c r="Q5030" s="19">
        <v>0</v>
      </c>
      <c r="R5030" s="99">
        <v>0</v>
      </c>
      <c r="S5030" s="19">
        <f>1175-20</f>
        <v>1155</v>
      </c>
      <c r="T5030" s="19" t="s">
        <v>42</v>
      </c>
      <c r="U5030" s="102" t="s">
        <v>1367</v>
      </c>
      <c r="V5030" s="101">
        <v>45248</v>
      </c>
      <c r="W5030" s="17" t="s">
        <v>44</v>
      </c>
      <c r="X5030" s="17"/>
      <c r="Y5030" s="68">
        <v>45283</v>
      </c>
      <c r="Z5030" s="17" t="s">
        <v>191</v>
      </c>
      <c r="AA5030" s="17" t="s">
        <v>46</v>
      </c>
      <c r="AB5030" s="17"/>
      <c r="AC5030" s="102"/>
      <c r="AD5030" s="65"/>
      <c r="AE5030" s="17" t="s">
        <v>48</v>
      </c>
      <c r="AF5030" s="17" t="s">
        <v>1332</v>
      </c>
      <c r="AG5030" s="17"/>
      <c r="AH5030" s="17"/>
      <c r="AI5030" s="17"/>
      <c r="AJ5030" s="17"/>
      <c r="AK5030" s="17"/>
      <c r="AL5030" s="17"/>
      <c r="AM5030" s="17"/>
      <c r="AN5030" s="17"/>
      <c r="AO5030" s="17"/>
      <c r="AP5030" s="17"/>
      <c r="AQ5030" s="17"/>
      <c r="AR5030" s="17"/>
    </row>
    <row r="5031" s="21" customFormat="1" ht="15.6" hidden="1" spans="1:44">
      <c r="A5031" s="17"/>
      <c r="B5031" s="19">
        <v>967</v>
      </c>
      <c r="C5031" s="183">
        <v>45227</v>
      </c>
      <c r="D5031" s="17" t="s">
        <v>52</v>
      </c>
      <c r="E5031" s="17" t="s">
        <v>1113</v>
      </c>
      <c r="F5031" s="17" t="s">
        <v>54</v>
      </c>
      <c r="G5031" s="17"/>
      <c r="H5031" s="124">
        <v>1.2311</v>
      </c>
      <c r="I5031" s="124"/>
      <c r="J5031" s="17" t="s">
        <v>49</v>
      </c>
      <c r="K5031" s="274">
        <v>2200</v>
      </c>
      <c r="L5031" s="274">
        <v>210</v>
      </c>
      <c r="M5031" s="314">
        <v>5500</v>
      </c>
      <c r="N5031" s="19" t="s">
        <v>66</v>
      </c>
      <c r="O5031" s="19" t="s">
        <v>141</v>
      </c>
      <c r="P5031" s="99">
        <v>19946.85</v>
      </c>
      <c r="Q5031" s="19">
        <v>0</v>
      </c>
      <c r="R5031" s="315">
        <v>0</v>
      </c>
      <c r="S5031" s="19">
        <f>1175-20</f>
        <v>1155</v>
      </c>
      <c r="T5031" s="19" t="s">
        <v>42</v>
      </c>
      <c r="U5031" s="102" t="s">
        <v>1367</v>
      </c>
      <c r="V5031" s="101">
        <v>45248</v>
      </c>
      <c r="W5031" s="17" t="s">
        <v>44</v>
      </c>
      <c r="X5031" s="17"/>
      <c r="Y5031" s="68">
        <v>45283</v>
      </c>
      <c r="Z5031" s="17" t="s">
        <v>191</v>
      </c>
      <c r="AA5031" s="17" t="s">
        <v>46</v>
      </c>
      <c r="AB5031" s="17"/>
      <c r="AC5031" s="102"/>
      <c r="AD5031" s="65"/>
      <c r="AE5031" s="17" t="s">
        <v>48</v>
      </c>
      <c r="AF5031" s="17" t="s">
        <v>1332</v>
      </c>
      <c r="AG5031" s="17"/>
      <c r="AH5031" s="17"/>
      <c r="AI5031" s="17"/>
      <c r="AJ5031" s="17"/>
      <c r="AK5031" s="17"/>
      <c r="AL5031" s="17"/>
      <c r="AM5031" s="17"/>
      <c r="AN5031" s="17"/>
      <c r="AO5031" s="17"/>
      <c r="AP5031" s="17"/>
      <c r="AQ5031" s="17"/>
      <c r="AR5031" s="17"/>
    </row>
    <row r="5032" s="21" customFormat="1" ht="15.6" hidden="1" spans="1:44">
      <c r="A5032" s="17" t="s">
        <v>34</v>
      </c>
      <c r="B5032" s="19">
        <v>967</v>
      </c>
      <c r="C5032" s="183">
        <v>45227</v>
      </c>
      <c r="D5032" s="17" t="s">
        <v>52</v>
      </c>
      <c r="E5032" s="17" t="s">
        <v>1113</v>
      </c>
      <c r="F5032" s="17" t="s">
        <v>54</v>
      </c>
      <c r="G5032" s="17"/>
      <c r="H5032" s="124">
        <v>1.2311</v>
      </c>
      <c r="I5032" s="124"/>
      <c r="J5032" s="17" t="s">
        <v>49</v>
      </c>
      <c r="K5032" s="274">
        <v>2200</v>
      </c>
      <c r="L5032" s="274">
        <v>230</v>
      </c>
      <c r="M5032" s="314">
        <v>5500</v>
      </c>
      <c r="N5032" s="19" t="s">
        <v>66</v>
      </c>
      <c r="O5032" s="19" t="s">
        <v>141</v>
      </c>
      <c r="P5032" s="99">
        <v>21846.55</v>
      </c>
      <c r="Q5032" s="19">
        <v>20590</v>
      </c>
      <c r="R5032" s="99">
        <f t="shared" ref="R5032:R5063" si="237">+P5032-Q5032</f>
        <v>1256.55</v>
      </c>
      <c r="S5032" s="19">
        <f>1175-20</f>
        <v>1155</v>
      </c>
      <c r="T5032" s="19" t="s">
        <v>42</v>
      </c>
      <c r="U5032" s="102" t="s">
        <v>1367</v>
      </c>
      <c r="V5032" s="101">
        <v>45248</v>
      </c>
      <c r="W5032" s="17" t="s">
        <v>44</v>
      </c>
      <c r="X5032" s="17"/>
      <c r="Y5032" s="68">
        <v>45283</v>
      </c>
      <c r="Z5032" s="17" t="s">
        <v>191</v>
      </c>
      <c r="AA5032" s="17" t="s">
        <v>46</v>
      </c>
      <c r="AB5032" s="17" t="s">
        <v>1261</v>
      </c>
      <c r="AC5032" s="66">
        <v>45364</v>
      </c>
      <c r="AD5032" s="65">
        <v>1538</v>
      </c>
      <c r="AE5032" s="17" t="s">
        <v>48</v>
      </c>
      <c r="AF5032" s="17" t="s">
        <v>1332</v>
      </c>
      <c r="AG5032" s="17"/>
      <c r="AH5032" s="17"/>
      <c r="AI5032" s="17"/>
      <c r="AJ5032" s="17"/>
      <c r="AK5032" s="17"/>
      <c r="AL5032" s="17"/>
      <c r="AM5032" s="17"/>
      <c r="AN5032" s="17"/>
      <c r="AO5032" s="17"/>
      <c r="AP5032" s="17"/>
      <c r="AQ5032" s="17"/>
      <c r="AR5032" s="17"/>
    </row>
    <row r="5033" s="21" customFormat="1" ht="15.6" hidden="1" spans="1:44">
      <c r="A5033" s="17" t="s">
        <v>34</v>
      </c>
      <c r="B5033" s="19">
        <v>967</v>
      </c>
      <c r="C5033" s="183">
        <v>45227</v>
      </c>
      <c r="D5033" s="17" t="s">
        <v>52</v>
      </c>
      <c r="E5033" s="17" t="s">
        <v>1113</v>
      </c>
      <c r="F5033" s="17" t="s">
        <v>54</v>
      </c>
      <c r="G5033" s="17"/>
      <c r="H5033" s="124">
        <v>1.2311</v>
      </c>
      <c r="I5033" s="124"/>
      <c r="J5033" s="17" t="s">
        <v>49</v>
      </c>
      <c r="K5033" s="274">
        <v>2200</v>
      </c>
      <c r="L5033" s="274">
        <v>250</v>
      </c>
      <c r="M5033" s="314">
        <v>5500</v>
      </c>
      <c r="N5033" s="19" t="s">
        <v>66</v>
      </c>
      <c r="O5033" s="19" t="s">
        <v>141</v>
      </c>
      <c r="P5033" s="99">
        <v>23746.25</v>
      </c>
      <c r="Q5033" s="19">
        <v>21240</v>
      </c>
      <c r="R5033" s="99">
        <f t="shared" si="237"/>
        <v>2506.25</v>
      </c>
      <c r="S5033" s="19">
        <f>1195-20</f>
        <v>1175</v>
      </c>
      <c r="T5033" s="19" t="s">
        <v>42</v>
      </c>
      <c r="U5033" s="102" t="s">
        <v>1367</v>
      </c>
      <c r="V5033" s="101">
        <v>45248</v>
      </c>
      <c r="W5033" s="17" t="s">
        <v>44</v>
      </c>
      <c r="X5033" s="17"/>
      <c r="Y5033" s="68">
        <v>45283</v>
      </c>
      <c r="Z5033" s="17" t="s">
        <v>191</v>
      </c>
      <c r="AA5033" s="17" t="s">
        <v>46</v>
      </c>
      <c r="AB5033" s="17" t="s">
        <v>1248</v>
      </c>
      <c r="AC5033" s="217">
        <v>45364</v>
      </c>
      <c r="AD5033" s="65">
        <v>1539</v>
      </c>
      <c r="AE5033" s="17" t="s">
        <v>48</v>
      </c>
      <c r="AF5033" s="17" t="s">
        <v>1332</v>
      </c>
      <c r="AG5033" s="17"/>
      <c r="AH5033" s="17"/>
      <c r="AI5033" s="17"/>
      <c r="AJ5033" s="17"/>
      <c r="AK5033" s="17"/>
      <c r="AL5033" s="17"/>
      <c r="AM5033" s="17"/>
      <c r="AN5033" s="17"/>
      <c r="AO5033" s="17"/>
      <c r="AP5033" s="17"/>
      <c r="AQ5033" s="17"/>
      <c r="AR5033" s="17"/>
    </row>
    <row r="5034" s="21" customFormat="1" ht="15.6" hidden="1" spans="1:44">
      <c r="A5034" s="17" t="s">
        <v>34</v>
      </c>
      <c r="B5034" s="19">
        <v>968</v>
      </c>
      <c r="C5034" s="222">
        <v>44996</v>
      </c>
      <c r="D5034" s="17" t="s">
        <v>52</v>
      </c>
      <c r="E5034" s="17" t="s">
        <v>1113</v>
      </c>
      <c r="F5034" s="17" t="s">
        <v>54</v>
      </c>
      <c r="G5034" s="17"/>
      <c r="H5034" s="124" t="s">
        <v>1114</v>
      </c>
      <c r="I5034" s="124"/>
      <c r="J5034" s="17" t="s">
        <v>39</v>
      </c>
      <c r="K5034" s="274">
        <v>20</v>
      </c>
      <c r="L5034" s="274"/>
      <c r="M5034" s="19">
        <v>5800</v>
      </c>
      <c r="N5034" s="19" t="s">
        <v>66</v>
      </c>
      <c r="O5034" s="19" t="s">
        <v>141</v>
      </c>
      <c r="P5034" s="19">
        <v>9872</v>
      </c>
      <c r="Q5034" s="19">
        <f>2540+1908+3164+2342</f>
        <v>9954</v>
      </c>
      <c r="R5034" s="19">
        <f t="shared" si="237"/>
        <v>-82</v>
      </c>
      <c r="S5034" s="19">
        <v>1220</v>
      </c>
      <c r="T5034" s="19" t="s">
        <v>42</v>
      </c>
      <c r="U5034" s="102" t="s">
        <v>1368</v>
      </c>
      <c r="V5034" s="253">
        <v>45088</v>
      </c>
      <c r="W5034" s="17" t="s">
        <v>44</v>
      </c>
      <c r="X5034" s="17"/>
      <c r="Y5034" s="68">
        <v>45315</v>
      </c>
      <c r="Z5034" s="17" t="s">
        <v>191</v>
      </c>
      <c r="AA5034" s="17" t="s">
        <v>46</v>
      </c>
      <c r="AB5034" s="17" t="s">
        <v>1369</v>
      </c>
      <c r="AC5034" s="217">
        <v>45371</v>
      </c>
      <c r="AD5034" s="65">
        <v>1540</v>
      </c>
      <c r="AE5034" s="17" t="s">
        <v>48</v>
      </c>
      <c r="AF5034" s="17"/>
      <c r="AG5034" s="17"/>
      <c r="AH5034" s="17"/>
      <c r="AI5034" s="17"/>
      <c r="AJ5034" s="17"/>
      <c r="AK5034" s="17"/>
      <c r="AL5034" s="17"/>
      <c r="AM5034" s="17"/>
      <c r="AN5034" s="17"/>
      <c r="AO5034" s="17"/>
      <c r="AP5034" s="17"/>
      <c r="AQ5034" s="17"/>
      <c r="AR5034" s="17"/>
    </row>
    <row r="5035" s="21" customFormat="1" ht="15.6" hidden="1" spans="1:44">
      <c r="A5035" s="17" t="s">
        <v>34</v>
      </c>
      <c r="B5035" s="19">
        <v>968</v>
      </c>
      <c r="C5035" s="222">
        <v>44996</v>
      </c>
      <c r="D5035" s="17" t="s">
        <v>52</v>
      </c>
      <c r="E5035" s="17" t="s">
        <v>1113</v>
      </c>
      <c r="F5035" s="17" t="s">
        <v>54</v>
      </c>
      <c r="G5035" s="17"/>
      <c r="H5035" s="124" t="s">
        <v>1114</v>
      </c>
      <c r="I5035" s="124"/>
      <c r="J5035" s="17" t="s">
        <v>39</v>
      </c>
      <c r="K5035" s="274">
        <v>26</v>
      </c>
      <c r="L5035" s="17"/>
      <c r="M5035" s="19">
        <v>5800</v>
      </c>
      <c r="N5035" s="19" t="s">
        <v>66</v>
      </c>
      <c r="O5035" s="19" t="s">
        <v>141</v>
      </c>
      <c r="P5035" s="19">
        <v>5005</v>
      </c>
      <c r="Q5035" s="19">
        <f>2335+2610</f>
        <v>4945</v>
      </c>
      <c r="R5035" s="19">
        <f t="shared" si="237"/>
        <v>60</v>
      </c>
      <c r="S5035" s="19">
        <v>1220</v>
      </c>
      <c r="T5035" s="19" t="s">
        <v>42</v>
      </c>
      <c r="U5035" s="102" t="s">
        <v>1368</v>
      </c>
      <c r="V5035" s="253">
        <v>45088</v>
      </c>
      <c r="W5035" s="17" t="s">
        <v>44</v>
      </c>
      <c r="X5035" s="17"/>
      <c r="Y5035" s="68">
        <v>45315</v>
      </c>
      <c r="Z5035" s="17" t="s">
        <v>191</v>
      </c>
      <c r="AA5035" s="17" t="s">
        <v>46</v>
      </c>
      <c r="AB5035" s="17" t="s">
        <v>1369</v>
      </c>
      <c r="AC5035" s="217">
        <v>45371</v>
      </c>
      <c r="AD5035" s="65">
        <v>1540</v>
      </c>
      <c r="AE5035" s="17" t="s">
        <v>48</v>
      </c>
      <c r="AF5035" s="17"/>
      <c r="AG5035" s="17"/>
      <c r="AH5035" s="17"/>
      <c r="AI5035" s="17"/>
      <c r="AJ5035" s="17"/>
      <c r="AK5035" s="17"/>
      <c r="AL5035" s="17"/>
      <c r="AM5035" s="17"/>
      <c r="AN5035" s="17"/>
      <c r="AO5035" s="17"/>
      <c r="AP5035" s="17"/>
      <c r="AQ5035" s="17"/>
      <c r="AR5035" s="17"/>
    </row>
    <row r="5036" s="21" customFormat="1" ht="15.6" hidden="1" spans="1:44">
      <c r="A5036" s="17" t="s">
        <v>34</v>
      </c>
      <c r="B5036" s="19">
        <v>968</v>
      </c>
      <c r="C5036" s="222">
        <v>44996</v>
      </c>
      <c r="D5036" s="17" t="s">
        <v>52</v>
      </c>
      <c r="E5036" s="17" t="s">
        <v>1113</v>
      </c>
      <c r="F5036" s="17" t="s">
        <v>54</v>
      </c>
      <c r="G5036" s="17"/>
      <c r="H5036" s="124" t="s">
        <v>1114</v>
      </c>
      <c r="I5036" s="124"/>
      <c r="J5036" s="17" t="s">
        <v>39</v>
      </c>
      <c r="K5036" s="274">
        <v>32</v>
      </c>
      <c r="L5036" s="17"/>
      <c r="M5036" s="19">
        <v>5800</v>
      </c>
      <c r="N5036" s="19" t="s">
        <v>66</v>
      </c>
      <c r="O5036" s="19" t="s">
        <v>141</v>
      </c>
      <c r="P5036" s="19">
        <v>5054</v>
      </c>
      <c r="Q5036" s="19">
        <f>2545+2580</f>
        <v>5125</v>
      </c>
      <c r="R5036" s="19">
        <f t="shared" si="237"/>
        <v>-71</v>
      </c>
      <c r="S5036" s="19">
        <v>1220</v>
      </c>
      <c r="T5036" s="19" t="s">
        <v>42</v>
      </c>
      <c r="U5036" s="102" t="s">
        <v>1368</v>
      </c>
      <c r="V5036" s="253">
        <v>45088</v>
      </c>
      <c r="W5036" s="17" t="s">
        <v>44</v>
      </c>
      <c r="X5036" s="17"/>
      <c r="Y5036" s="68">
        <v>45315</v>
      </c>
      <c r="Z5036" s="17" t="s">
        <v>191</v>
      </c>
      <c r="AA5036" s="17" t="s">
        <v>46</v>
      </c>
      <c r="AB5036" s="17" t="s">
        <v>1369</v>
      </c>
      <c r="AC5036" s="217">
        <v>45371</v>
      </c>
      <c r="AD5036" s="65">
        <v>1540</v>
      </c>
      <c r="AE5036" s="17" t="s">
        <v>48</v>
      </c>
      <c r="AF5036" s="17"/>
      <c r="AG5036" s="17"/>
      <c r="AH5036" s="17"/>
      <c r="AI5036" s="17"/>
      <c r="AJ5036" s="17"/>
      <c r="AK5036" s="17"/>
      <c r="AL5036" s="17"/>
      <c r="AM5036" s="17"/>
      <c r="AN5036" s="17"/>
      <c r="AO5036" s="17"/>
      <c r="AP5036" s="17"/>
      <c r="AQ5036" s="17"/>
      <c r="AR5036" s="17"/>
    </row>
    <row r="5037" s="21" customFormat="1" ht="15.6" hidden="1" spans="1:44">
      <c r="A5037" s="17" t="s">
        <v>34</v>
      </c>
      <c r="B5037" s="19">
        <v>968</v>
      </c>
      <c r="C5037" s="222">
        <v>44996</v>
      </c>
      <c r="D5037" s="17" t="s">
        <v>52</v>
      </c>
      <c r="E5037" s="17" t="s">
        <v>1113</v>
      </c>
      <c r="F5037" s="17" t="s">
        <v>54</v>
      </c>
      <c r="G5037" s="17"/>
      <c r="H5037" s="124" t="s">
        <v>1114</v>
      </c>
      <c r="I5037" s="124"/>
      <c r="J5037" s="17" t="s">
        <v>39</v>
      </c>
      <c r="K5037" s="274">
        <v>36</v>
      </c>
      <c r="L5037" s="17"/>
      <c r="M5037" s="19">
        <v>5800</v>
      </c>
      <c r="N5037" s="19" t="s">
        <v>66</v>
      </c>
      <c r="O5037" s="19" t="s">
        <v>141</v>
      </c>
      <c r="P5037" s="19">
        <v>5118</v>
      </c>
      <c r="Q5037" s="19">
        <f>3035+2095</f>
        <v>5130</v>
      </c>
      <c r="R5037" s="19">
        <f t="shared" si="237"/>
        <v>-12</v>
      </c>
      <c r="S5037" s="19">
        <v>1220</v>
      </c>
      <c r="T5037" s="19" t="s">
        <v>42</v>
      </c>
      <c r="U5037" s="102" t="s">
        <v>1368</v>
      </c>
      <c r="V5037" s="253">
        <v>45088</v>
      </c>
      <c r="W5037" s="17" t="s">
        <v>44</v>
      </c>
      <c r="X5037" s="17"/>
      <c r="Y5037" s="68">
        <v>45315</v>
      </c>
      <c r="Z5037" s="17" t="s">
        <v>191</v>
      </c>
      <c r="AA5037" s="17" t="s">
        <v>46</v>
      </c>
      <c r="AB5037" s="17" t="s">
        <v>1369</v>
      </c>
      <c r="AC5037" s="217">
        <v>45371</v>
      </c>
      <c r="AD5037" s="65">
        <v>1540</v>
      </c>
      <c r="AE5037" s="17" t="s">
        <v>48</v>
      </c>
      <c r="AF5037" s="17"/>
      <c r="AG5037" s="17"/>
      <c r="AH5037" s="17"/>
      <c r="AI5037" s="17"/>
      <c r="AJ5037" s="17"/>
      <c r="AK5037" s="17"/>
      <c r="AL5037" s="17"/>
      <c r="AM5037" s="17"/>
      <c r="AN5037" s="17"/>
      <c r="AO5037" s="17"/>
      <c r="AP5037" s="17"/>
      <c r="AQ5037" s="17"/>
      <c r="AR5037" s="17"/>
    </row>
    <row r="5038" s="21" customFormat="1" ht="15.6" hidden="1" spans="1:44">
      <c r="A5038" s="17" t="s">
        <v>34</v>
      </c>
      <c r="B5038" s="19">
        <v>968</v>
      </c>
      <c r="C5038" s="222">
        <v>44996</v>
      </c>
      <c r="D5038" s="17" t="s">
        <v>52</v>
      </c>
      <c r="E5038" s="17" t="s">
        <v>1113</v>
      </c>
      <c r="F5038" s="17" t="s">
        <v>54</v>
      </c>
      <c r="G5038" s="17"/>
      <c r="H5038" s="124" t="s">
        <v>1114</v>
      </c>
      <c r="I5038" s="124"/>
      <c r="J5038" s="17" t="s">
        <v>39</v>
      </c>
      <c r="K5038" s="274">
        <v>40</v>
      </c>
      <c r="L5038" s="17"/>
      <c r="M5038" s="19">
        <v>5800</v>
      </c>
      <c r="N5038" s="19" t="s">
        <v>66</v>
      </c>
      <c r="O5038" s="19" t="s">
        <v>141</v>
      </c>
      <c r="P5038" s="19">
        <v>4936</v>
      </c>
      <c r="Q5038" s="19">
        <f>2725+2265</f>
        <v>4990</v>
      </c>
      <c r="R5038" s="19">
        <f t="shared" si="237"/>
        <v>-54</v>
      </c>
      <c r="S5038" s="19">
        <v>1220</v>
      </c>
      <c r="T5038" s="19" t="s">
        <v>42</v>
      </c>
      <c r="U5038" s="102" t="s">
        <v>1368</v>
      </c>
      <c r="V5038" s="253">
        <v>45088</v>
      </c>
      <c r="W5038" s="17" t="s">
        <v>44</v>
      </c>
      <c r="X5038" s="17"/>
      <c r="Y5038" s="68">
        <v>45315</v>
      </c>
      <c r="Z5038" s="17" t="s">
        <v>191</v>
      </c>
      <c r="AA5038" s="17" t="s">
        <v>46</v>
      </c>
      <c r="AB5038" s="17" t="s">
        <v>1369</v>
      </c>
      <c r="AC5038" s="217">
        <v>45371</v>
      </c>
      <c r="AD5038" s="65">
        <v>1540</v>
      </c>
      <c r="AE5038" s="17" t="s">
        <v>48</v>
      </c>
      <c r="AF5038" s="17"/>
      <c r="AG5038" s="17"/>
      <c r="AH5038" s="17"/>
      <c r="AI5038" s="17"/>
      <c r="AJ5038" s="17"/>
      <c r="AK5038" s="17"/>
      <c r="AL5038" s="17"/>
      <c r="AM5038" s="17"/>
      <c r="AN5038" s="17"/>
      <c r="AO5038" s="17"/>
      <c r="AP5038" s="17"/>
      <c r="AQ5038" s="17"/>
      <c r="AR5038" s="17"/>
    </row>
    <row r="5039" s="21" customFormat="1" ht="15.6" hidden="1" spans="1:44">
      <c r="A5039" s="17" t="s">
        <v>34</v>
      </c>
      <c r="B5039" s="19">
        <v>968</v>
      </c>
      <c r="C5039" s="222">
        <v>44996</v>
      </c>
      <c r="D5039" s="17" t="s">
        <v>52</v>
      </c>
      <c r="E5039" s="17" t="s">
        <v>1113</v>
      </c>
      <c r="F5039" s="17" t="s">
        <v>54</v>
      </c>
      <c r="G5039" s="17"/>
      <c r="H5039" s="124" t="s">
        <v>1114</v>
      </c>
      <c r="I5039" s="124"/>
      <c r="J5039" s="17" t="s">
        <v>39</v>
      </c>
      <c r="K5039" s="274">
        <v>46</v>
      </c>
      <c r="L5039" s="17"/>
      <c r="M5039" s="19">
        <v>5800</v>
      </c>
      <c r="N5039" s="19" t="s">
        <v>66</v>
      </c>
      <c r="O5039" s="19" t="s">
        <v>141</v>
      </c>
      <c r="P5039" s="19">
        <v>5222</v>
      </c>
      <c r="Q5039" s="19">
        <f>2080+1950+1715</f>
        <v>5745</v>
      </c>
      <c r="R5039" s="19">
        <f t="shared" si="237"/>
        <v>-523</v>
      </c>
      <c r="S5039" s="19">
        <v>1220</v>
      </c>
      <c r="T5039" s="19" t="s">
        <v>42</v>
      </c>
      <c r="U5039" s="102" t="s">
        <v>1368</v>
      </c>
      <c r="V5039" s="253">
        <v>45088</v>
      </c>
      <c r="W5039" s="17" t="s">
        <v>44</v>
      </c>
      <c r="X5039" s="17"/>
      <c r="Y5039" s="68">
        <v>45315</v>
      </c>
      <c r="Z5039" s="17" t="s">
        <v>191</v>
      </c>
      <c r="AA5039" s="17" t="s">
        <v>46</v>
      </c>
      <c r="AB5039" s="17" t="s">
        <v>1369</v>
      </c>
      <c r="AC5039" s="217">
        <v>45371</v>
      </c>
      <c r="AD5039" s="65">
        <v>1540</v>
      </c>
      <c r="AE5039" s="17" t="s">
        <v>48</v>
      </c>
      <c r="AF5039" s="17"/>
      <c r="AG5039" s="17"/>
      <c r="AH5039" s="17"/>
      <c r="AI5039" s="17"/>
      <c r="AJ5039" s="17"/>
      <c r="AK5039" s="17"/>
      <c r="AL5039" s="17"/>
      <c r="AM5039" s="17"/>
      <c r="AN5039" s="17"/>
      <c r="AO5039" s="17"/>
      <c r="AP5039" s="17"/>
      <c r="AQ5039" s="17"/>
      <c r="AR5039" s="17"/>
    </row>
    <row r="5040" s="21" customFormat="1" ht="15.6" hidden="1" spans="1:44">
      <c r="A5040" s="17" t="s">
        <v>34</v>
      </c>
      <c r="B5040" s="19">
        <v>968</v>
      </c>
      <c r="C5040" s="222">
        <v>44996</v>
      </c>
      <c r="D5040" s="17" t="s">
        <v>52</v>
      </c>
      <c r="E5040" s="17" t="s">
        <v>1113</v>
      </c>
      <c r="F5040" s="17" t="s">
        <v>54</v>
      </c>
      <c r="G5040" s="17"/>
      <c r="H5040" s="124" t="s">
        <v>1114</v>
      </c>
      <c r="I5040" s="124"/>
      <c r="J5040" s="17" t="s">
        <v>39</v>
      </c>
      <c r="K5040" s="274">
        <v>51</v>
      </c>
      <c r="L5040" s="17"/>
      <c r="M5040" s="19">
        <v>5800</v>
      </c>
      <c r="N5040" s="19" t="s">
        <v>66</v>
      </c>
      <c r="O5040" s="19" t="s">
        <v>141</v>
      </c>
      <c r="P5040" s="19">
        <v>5135</v>
      </c>
      <c r="Q5040" s="19">
        <f>4340+670</f>
        <v>5010</v>
      </c>
      <c r="R5040" s="19">
        <f t="shared" si="237"/>
        <v>125</v>
      </c>
      <c r="S5040" s="19">
        <v>1220</v>
      </c>
      <c r="T5040" s="19" t="s">
        <v>42</v>
      </c>
      <c r="U5040" s="102" t="s">
        <v>1368</v>
      </c>
      <c r="V5040" s="253">
        <v>45088</v>
      </c>
      <c r="W5040" s="17" t="s">
        <v>44</v>
      </c>
      <c r="X5040" s="17"/>
      <c r="Y5040" s="68">
        <v>45315</v>
      </c>
      <c r="Z5040" s="17" t="s">
        <v>191</v>
      </c>
      <c r="AA5040" s="17" t="s">
        <v>46</v>
      </c>
      <c r="AB5040" s="17" t="s">
        <v>1369</v>
      </c>
      <c r="AC5040" s="217">
        <v>45371</v>
      </c>
      <c r="AD5040" s="65">
        <v>1540</v>
      </c>
      <c r="AE5040" s="17" t="s">
        <v>48</v>
      </c>
      <c r="AF5040" s="17"/>
      <c r="AG5040" s="17"/>
      <c r="AH5040" s="17"/>
      <c r="AI5040" s="17"/>
      <c r="AJ5040" s="17"/>
      <c r="AK5040" s="17"/>
      <c r="AL5040" s="17"/>
      <c r="AM5040" s="17"/>
      <c r="AN5040" s="17"/>
      <c r="AO5040" s="17"/>
      <c r="AP5040" s="17"/>
      <c r="AQ5040" s="17"/>
      <c r="AR5040" s="17"/>
    </row>
    <row r="5041" s="21" customFormat="1" ht="15.6" hidden="1" spans="1:44">
      <c r="A5041" s="17" t="s">
        <v>34</v>
      </c>
      <c r="B5041" s="19">
        <v>968</v>
      </c>
      <c r="C5041" s="222">
        <v>44996</v>
      </c>
      <c r="D5041" s="17" t="s">
        <v>52</v>
      </c>
      <c r="E5041" s="17" t="s">
        <v>1113</v>
      </c>
      <c r="F5041" s="17" t="s">
        <v>54</v>
      </c>
      <c r="G5041" s="17"/>
      <c r="H5041" s="124" t="s">
        <v>1114</v>
      </c>
      <c r="I5041" s="124"/>
      <c r="J5041" s="17" t="s">
        <v>39</v>
      </c>
      <c r="K5041" s="274">
        <v>66</v>
      </c>
      <c r="L5041" s="17"/>
      <c r="M5041" s="19">
        <v>5800</v>
      </c>
      <c r="N5041" s="19" t="s">
        <v>66</v>
      </c>
      <c r="O5041" s="19" t="s">
        <v>141</v>
      </c>
      <c r="P5041" s="19">
        <v>5375</v>
      </c>
      <c r="Q5041" s="19">
        <v>2904</v>
      </c>
      <c r="R5041" s="19">
        <f t="shared" si="237"/>
        <v>2471</v>
      </c>
      <c r="S5041" s="19">
        <v>1220</v>
      </c>
      <c r="T5041" s="19" t="s">
        <v>42</v>
      </c>
      <c r="U5041" s="102" t="s">
        <v>1368</v>
      </c>
      <c r="V5041" s="253">
        <v>45088</v>
      </c>
      <c r="W5041" s="17" t="s">
        <v>44</v>
      </c>
      <c r="X5041" s="17"/>
      <c r="Y5041" s="68">
        <v>45315</v>
      </c>
      <c r="Z5041" s="17" t="s">
        <v>191</v>
      </c>
      <c r="AA5041" s="17" t="s">
        <v>46</v>
      </c>
      <c r="AB5041" s="17" t="s">
        <v>1369</v>
      </c>
      <c r="AC5041" s="217">
        <v>45371</v>
      </c>
      <c r="AD5041" s="65">
        <v>1540</v>
      </c>
      <c r="AE5041" s="17" t="s">
        <v>48</v>
      </c>
      <c r="AF5041" s="17"/>
      <c r="AG5041" s="17"/>
      <c r="AH5041" s="17"/>
      <c r="AI5041" s="17"/>
      <c r="AJ5041" s="17"/>
      <c r="AK5041" s="17"/>
      <c r="AL5041" s="17"/>
      <c r="AM5041" s="17"/>
      <c r="AN5041" s="17"/>
      <c r="AO5041" s="17"/>
      <c r="AP5041" s="17"/>
      <c r="AQ5041" s="17"/>
      <c r="AR5041" s="17"/>
    </row>
    <row r="5042" s="21" customFormat="1" ht="15.6" hidden="1" spans="1:44">
      <c r="A5042" s="17" t="s">
        <v>34</v>
      </c>
      <c r="B5042" s="19">
        <v>968</v>
      </c>
      <c r="C5042" s="222">
        <v>44996</v>
      </c>
      <c r="D5042" s="17" t="s">
        <v>52</v>
      </c>
      <c r="E5042" s="17" t="s">
        <v>1113</v>
      </c>
      <c r="F5042" s="17" t="s">
        <v>54</v>
      </c>
      <c r="G5042" s="17"/>
      <c r="H5042" s="124" t="s">
        <v>1114</v>
      </c>
      <c r="I5042" s="124"/>
      <c r="J5042" s="17" t="s">
        <v>39</v>
      </c>
      <c r="K5042" s="274">
        <v>81</v>
      </c>
      <c r="L5042" s="17"/>
      <c r="M5042" s="19">
        <v>5800</v>
      </c>
      <c r="N5042" s="19" t="s">
        <v>66</v>
      </c>
      <c r="O5042" s="19" t="s">
        <v>141</v>
      </c>
      <c r="P5042" s="19">
        <v>4858</v>
      </c>
      <c r="Q5042" s="19">
        <f>2100+2476+660</f>
        <v>5236</v>
      </c>
      <c r="R5042" s="19">
        <f t="shared" si="237"/>
        <v>-378</v>
      </c>
      <c r="S5042" s="19">
        <v>1220</v>
      </c>
      <c r="T5042" s="19" t="s">
        <v>42</v>
      </c>
      <c r="U5042" s="102" t="s">
        <v>1368</v>
      </c>
      <c r="V5042" s="253">
        <v>45088</v>
      </c>
      <c r="W5042" s="17" t="s">
        <v>44</v>
      </c>
      <c r="X5042" s="17"/>
      <c r="Y5042" s="68">
        <v>45315</v>
      </c>
      <c r="Z5042" s="17" t="s">
        <v>191</v>
      </c>
      <c r="AA5042" s="17" t="s">
        <v>46</v>
      </c>
      <c r="AB5042" s="17" t="s">
        <v>1369</v>
      </c>
      <c r="AC5042" s="217">
        <v>45371</v>
      </c>
      <c r="AD5042" s="65">
        <v>1540</v>
      </c>
      <c r="AE5042" s="17" t="s">
        <v>48</v>
      </c>
      <c r="AF5042" s="17"/>
      <c r="AG5042" s="17"/>
      <c r="AH5042" s="17"/>
      <c r="AI5042" s="17"/>
      <c r="AJ5042" s="17"/>
      <c r="AK5042" s="17"/>
      <c r="AL5042" s="17"/>
      <c r="AM5042" s="17"/>
      <c r="AN5042" s="17"/>
      <c r="AO5042" s="17"/>
      <c r="AP5042" s="17"/>
      <c r="AQ5042" s="17"/>
      <c r="AR5042" s="17"/>
    </row>
    <row r="5043" s="21" customFormat="1" ht="15.6" hidden="1" spans="1:44">
      <c r="A5043" s="17" t="s">
        <v>34</v>
      </c>
      <c r="B5043" s="19">
        <v>968</v>
      </c>
      <c r="C5043" s="222">
        <v>44996</v>
      </c>
      <c r="D5043" s="17" t="s">
        <v>52</v>
      </c>
      <c r="E5043" s="17" t="s">
        <v>1113</v>
      </c>
      <c r="F5043" s="17" t="s">
        <v>54</v>
      </c>
      <c r="G5043" s="17"/>
      <c r="H5043" s="124" t="s">
        <v>1114</v>
      </c>
      <c r="I5043" s="124"/>
      <c r="J5043" s="17" t="s">
        <v>39</v>
      </c>
      <c r="K5043" s="274">
        <v>90</v>
      </c>
      <c r="L5043" s="17"/>
      <c r="M5043" s="19">
        <v>5800</v>
      </c>
      <c r="N5043" s="19" t="s">
        <v>66</v>
      </c>
      <c r="O5043" s="19" t="s">
        <v>141</v>
      </c>
      <c r="P5043" s="19">
        <v>4998</v>
      </c>
      <c r="Q5043" s="19">
        <f>1375+3228+1340</f>
        <v>5943</v>
      </c>
      <c r="R5043" s="19">
        <f t="shared" si="237"/>
        <v>-945</v>
      </c>
      <c r="S5043" s="19">
        <v>1220</v>
      </c>
      <c r="T5043" s="19" t="s">
        <v>42</v>
      </c>
      <c r="U5043" s="102" t="s">
        <v>1368</v>
      </c>
      <c r="V5043" s="253">
        <v>45088</v>
      </c>
      <c r="W5043" s="17" t="s">
        <v>44</v>
      </c>
      <c r="X5043" s="17"/>
      <c r="Y5043" s="68">
        <v>45315</v>
      </c>
      <c r="Z5043" s="17" t="s">
        <v>191</v>
      </c>
      <c r="AA5043" s="17" t="s">
        <v>46</v>
      </c>
      <c r="AB5043" s="17" t="s">
        <v>1369</v>
      </c>
      <c r="AC5043" s="217">
        <v>45371</v>
      </c>
      <c r="AD5043" s="65">
        <v>1540</v>
      </c>
      <c r="AE5043" s="17" t="s">
        <v>48</v>
      </c>
      <c r="AF5043" s="17"/>
      <c r="AG5043" s="17"/>
      <c r="AH5043" s="17"/>
      <c r="AI5043" s="17"/>
      <c r="AJ5043" s="17"/>
      <c r="AK5043" s="17"/>
      <c r="AL5043" s="17"/>
      <c r="AM5043" s="17"/>
      <c r="AN5043" s="17"/>
      <c r="AO5043" s="17"/>
      <c r="AP5043" s="17"/>
      <c r="AQ5043" s="17"/>
      <c r="AR5043" s="17"/>
    </row>
    <row r="5044" s="17" customFormat="1" hidden="1" spans="1:44">
      <c r="A5044" s="17" t="s">
        <v>34</v>
      </c>
      <c r="B5044" s="19">
        <v>969</v>
      </c>
      <c r="C5044" s="316">
        <v>45180</v>
      </c>
      <c r="D5044" s="17" t="s">
        <v>52</v>
      </c>
      <c r="E5044" s="17" t="s">
        <v>1113</v>
      </c>
      <c r="F5044" s="17" t="s">
        <v>54</v>
      </c>
      <c r="H5044" s="306" t="s">
        <v>1370</v>
      </c>
      <c r="I5044" s="306"/>
      <c r="J5044" s="17" t="s">
        <v>49</v>
      </c>
      <c r="K5044" s="91">
        <v>2000</v>
      </c>
      <c r="L5044" s="19">
        <v>28</v>
      </c>
      <c r="M5044" s="19">
        <v>5500</v>
      </c>
      <c r="N5044" s="19" t="s">
        <v>40</v>
      </c>
      <c r="O5044" s="19" t="s">
        <v>141</v>
      </c>
      <c r="P5044" s="19">
        <v>5055</v>
      </c>
      <c r="Q5044" s="19">
        <f>2745+2745</f>
        <v>5490</v>
      </c>
      <c r="R5044" s="19">
        <f t="shared" si="237"/>
        <v>-435</v>
      </c>
      <c r="S5044" s="19">
        <v>640</v>
      </c>
      <c r="T5044" s="19" t="s">
        <v>42</v>
      </c>
      <c r="U5044" s="102" t="s">
        <v>1371</v>
      </c>
      <c r="V5044" s="317">
        <v>45210</v>
      </c>
      <c r="W5044" s="17" t="s">
        <v>44</v>
      </c>
      <c r="Y5044" s="68">
        <v>45283</v>
      </c>
      <c r="Z5044" s="17" t="s">
        <v>191</v>
      </c>
      <c r="AA5044" s="17" t="s">
        <v>46</v>
      </c>
      <c r="AB5044" s="17" t="s">
        <v>1372</v>
      </c>
      <c r="AC5044" s="102" t="s">
        <v>1373</v>
      </c>
      <c r="AD5044" s="65">
        <v>1493</v>
      </c>
      <c r="AE5044" s="17" t="s">
        <v>48</v>
      </c>
    </row>
    <row r="5045" s="17" customFormat="1" hidden="1" spans="1:44">
      <c r="A5045" s="17" t="s">
        <v>34</v>
      </c>
      <c r="B5045" s="19">
        <v>969</v>
      </c>
      <c r="C5045" s="316">
        <v>45180</v>
      </c>
      <c r="D5045" s="17" t="s">
        <v>52</v>
      </c>
      <c r="E5045" s="17" t="s">
        <v>1113</v>
      </c>
      <c r="F5045" s="17" t="s">
        <v>54</v>
      </c>
      <c r="H5045" s="306" t="s">
        <v>1370</v>
      </c>
      <c r="I5045" s="306"/>
      <c r="J5045" s="17" t="s">
        <v>49</v>
      </c>
      <c r="K5045" s="91">
        <v>2000</v>
      </c>
      <c r="L5045" s="19">
        <v>30</v>
      </c>
      <c r="M5045" s="19">
        <v>5500</v>
      </c>
      <c r="N5045" s="19" t="s">
        <v>40</v>
      </c>
      <c r="O5045" s="19" t="s">
        <v>141</v>
      </c>
      <c r="P5045" s="19">
        <v>5417</v>
      </c>
      <c r="Q5045" s="19">
        <f>2855+2855</f>
        <v>5710</v>
      </c>
      <c r="R5045" s="19">
        <f t="shared" si="237"/>
        <v>-293</v>
      </c>
      <c r="S5045" s="19">
        <v>640</v>
      </c>
      <c r="T5045" s="19" t="s">
        <v>42</v>
      </c>
      <c r="U5045" s="102" t="s">
        <v>1371</v>
      </c>
      <c r="V5045" s="317">
        <v>45210</v>
      </c>
      <c r="W5045" s="17" t="s">
        <v>44</v>
      </c>
      <c r="Y5045" s="68">
        <v>45283</v>
      </c>
      <c r="Z5045" s="17" t="s">
        <v>191</v>
      </c>
      <c r="AA5045" s="17" t="s">
        <v>46</v>
      </c>
      <c r="AB5045" s="17" t="s">
        <v>1372</v>
      </c>
      <c r="AC5045" s="102" t="s">
        <v>1373</v>
      </c>
      <c r="AD5045" s="65">
        <v>1493</v>
      </c>
      <c r="AE5045" s="17" t="s">
        <v>48</v>
      </c>
    </row>
    <row r="5046" s="17" customFormat="1" hidden="1" spans="1:44">
      <c r="A5046" s="17" t="s">
        <v>34</v>
      </c>
      <c r="B5046" s="19">
        <v>969</v>
      </c>
      <c r="C5046" s="316">
        <v>45180</v>
      </c>
      <c r="D5046" s="17" t="s">
        <v>52</v>
      </c>
      <c r="E5046" s="17" t="s">
        <v>1113</v>
      </c>
      <c r="F5046" s="17" t="s">
        <v>54</v>
      </c>
      <c r="H5046" s="306" t="s">
        <v>1370</v>
      </c>
      <c r="I5046" s="306"/>
      <c r="J5046" s="17" t="s">
        <v>49</v>
      </c>
      <c r="K5046" s="91">
        <v>2000</v>
      </c>
      <c r="L5046" s="19">
        <v>33</v>
      </c>
      <c r="M5046" s="19">
        <v>5500</v>
      </c>
      <c r="N5046" s="19" t="s">
        <v>40</v>
      </c>
      <c r="O5046" s="19" t="s">
        <v>141</v>
      </c>
      <c r="P5046" s="19">
        <v>11916</v>
      </c>
      <c r="Q5046" s="19">
        <f>3080+3080+3080+3080</f>
        <v>12320</v>
      </c>
      <c r="R5046" s="19">
        <f t="shared" si="237"/>
        <v>-404</v>
      </c>
      <c r="S5046" s="19">
        <v>640</v>
      </c>
      <c r="T5046" s="19" t="s">
        <v>42</v>
      </c>
      <c r="U5046" s="102" t="s">
        <v>1371</v>
      </c>
      <c r="V5046" s="317">
        <v>45210</v>
      </c>
      <c r="W5046" s="17" t="s">
        <v>44</v>
      </c>
      <c r="Y5046" s="68">
        <v>45283</v>
      </c>
      <c r="Z5046" s="17" t="s">
        <v>191</v>
      </c>
      <c r="AA5046" s="17" t="s">
        <v>46</v>
      </c>
      <c r="AB5046" s="17" t="s">
        <v>1372</v>
      </c>
      <c r="AC5046" s="102" t="s">
        <v>1373</v>
      </c>
      <c r="AD5046" s="65">
        <v>1493</v>
      </c>
      <c r="AE5046" s="17" t="s">
        <v>48</v>
      </c>
    </row>
    <row r="5047" s="17" customFormat="1" hidden="1" spans="1:44">
      <c r="A5047" s="17" t="s">
        <v>34</v>
      </c>
      <c r="B5047" s="19">
        <v>969</v>
      </c>
      <c r="C5047" s="316">
        <v>45180</v>
      </c>
      <c r="D5047" s="17" t="s">
        <v>52</v>
      </c>
      <c r="E5047" s="17" t="s">
        <v>1113</v>
      </c>
      <c r="F5047" s="17" t="s">
        <v>54</v>
      </c>
      <c r="H5047" s="306" t="s">
        <v>1370</v>
      </c>
      <c r="I5047" s="306"/>
      <c r="J5047" s="17" t="s">
        <v>49</v>
      </c>
      <c r="K5047" s="91">
        <v>2000</v>
      </c>
      <c r="L5047" s="19">
        <v>38</v>
      </c>
      <c r="M5047" s="19">
        <v>5500</v>
      </c>
      <c r="N5047" s="19" t="s">
        <v>40</v>
      </c>
      <c r="O5047" s="19" t="s">
        <v>141</v>
      </c>
      <c r="P5047" s="19">
        <v>6861</v>
      </c>
      <c r="Q5047" s="19">
        <f>3645+3645</f>
        <v>7290</v>
      </c>
      <c r="R5047" s="19">
        <f t="shared" si="237"/>
        <v>-429</v>
      </c>
      <c r="S5047" s="19">
        <v>640</v>
      </c>
      <c r="T5047" s="19" t="s">
        <v>42</v>
      </c>
      <c r="U5047" s="102" t="s">
        <v>1371</v>
      </c>
      <c r="V5047" s="317">
        <v>45210</v>
      </c>
      <c r="W5047" s="17" t="s">
        <v>44</v>
      </c>
      <c r="Y5047" s="68">
        <v>45283</v>
      </c>
      <c r="Z5047" s="17" t="s">
        <v>191</v>
      </c>
      <c r="AA5047" s="17" t="s">
        <v>46</v>
      </c>
      <c r="AB5047" s="17" t="s">
        <v>1372</v>
      </c>
      <c r="AC5047" s="102" t="s">
        <v>1373</v>
      </c>
      <c r="AD5047" s="65">
        <v>1493</v>
      </c>
      <c r="AE5047" s="17" t="s">
        <v>48</v>
      </c>
    </row>
    <row r="5048" s="17" customFormat="1" hidden="1" spans="1:44">
      <c r="A5048" s="17" t="s">
        <v>34</v>
      </c>
      <c r="B5048" s="19">
        <v>969</v>
      </c>
      <c r="C5048" s="316">
        <v>45180</v>
      </c>
      <c r="D5048" s="17" t="s">
        <v>52</v>
      </c>
      <c r="E5048" s="17" t="s">
        <v>1113</v>
      </c>
      <c r="F5048" s="17" t="s">
        <v>54</v>
      </c>
      <c r="H5048" s="306" t="s">
        <v>1370</v>
      </c>
      <c r="I5048" s="306"/>
      <c r="J5048" s="17" t="s">
        <v>49</v>
      </c>
      <c r="K5048" s="91">
        <v>2000</v>
      </c>
      <c r="L5048" s="19">
        <v>43</v>
      </c>
      <c r="M5048" s="19">
        <v>5500</v>
      </c>
      <c r="N5048" s="19" t="s">
        <v>40</v>
      </c>
      <c r="O5048" s="19" t="s">
        <v>141</v>
      </c>
      <c r="P5048" s="19">
        <v>7764</v>
      </c>
      <c r="Q5048" s="19">
        <f>4215+4215</f>
        <v>8430</v>
      </c>
      <c r="R5048" s="19">
        <f t="shared" si="237"/>
        <v>-666</v>
      </c>
      <c r="S5048" s="19">
        <v>640</v>
      </c>
      <c r="T5048" s="19" t="s">
        <v>42</v>
      </c>
      <c r="U5048" s="102" t="s">
        <v>1371</v>
      </c>
      <c r="V5048" s="317">
        <v>45210</v>
      </c>
      <c r="W5048" s="17" t="s">
        <v>44</v>
      </c>
      <c r="Y5048" s="68">
        <v>45283</v>
      </c>
      <c r="Z5048" s="17" t="s">
        <v>191</v>
      </c>
      <c r="AA5048" s="17" t="s">
        <v>46</v>
      </c>
      <c r="AB5048" s="17" t="s">
        <v>1372</v>
      </c>
      <c r="AC5048" s="102" t="s">
        <v>1373</v>
      </c>
      <c r="AD5048" s="65">
        <v>1493</v>
      </c>
      <c r="AE5048" s="17" t="s">
        <v>48</v>
      </c>
    </row>
    <row r="5049" s="17" customFormat="1" hidden="1" spans="1:44">
      <c r="A5049" s="17" t="s">
        <v>34</v>
      </c>
      <c r="B5049" s="19">
        <v>969</v>
      </c>
      <c r="C5049" s="316">
        <v>45180</v>
      </c>
      <c r="D5049" s="17" t="s">
        <v>52</v>
      </c>
      <c r="E5049" s="17" t="s">
        <v>1113</v>
      </c>
      <c r="F5049" s="17" t="s">
        <v>54</v>
      </c>
      <c r="H5049" s="306" t="s">
        <v>1370</v>
      </c>
      <c r="I5049" s="306"/>
      <c r="J5049" s="17" t="s">
        <v>49</v>
      </c>
      <c r="K5049" s="91">
        <v>2000</v>
      </c>
      <c r="L5049" s="19">
        <v>48</v>
      </c>
      <c r="M5049" s="19">
        <v>5500</v>
      </c>
      <c r="N5049" s="19" t="s">
        <v>40</v>
      </c>
      <c r="O5049" s="19" t="s">
        <v>141</v>
      </c>
      <c r="P5049" s="19">
        <v>8666</v>
      </c>
      <c r="Q5049" s="19">
        <f>4665+4665</f>
        <v>9330</v>
      </c>
      <c r="R5049" s="19">
        <f t="shared" si="237"/>
        <v>-664</v>
      </c>
      <c r="S5049" s="19">
        <v>640</v>
      </c>
      <c r="T5049" s="19" t="s">
        <v>42</v>
      </c>
      <c r="U5049" s="102" t="s">
        <v>1371</v>
      </c>
      <c r="V5049" s="317">
        <v>45210</v>
      </c>
      <c r="W5049" s="17" t="s">
        <v>44</v>
      </c>
      <c r="Y5049" s="68">
        <v>45283</v>
      </c>
      <c r="Z5049" s="17" t="s">
        <v>191</v>
      </c>
      <c r="AA5049" s="17" t="s">
        <v>46</v>
      </c>
      <c r="AB5049" s="17" t="s">
        <v>1372</v>
      </c>
      <c r="AC5049" s="102" t="s">
        <v>1373</v>
      </c>
      <c r="AD5049" s="65">
        <v>1493</v>
      </c>
      <c r="AE5049" s="17" t="s">
        <v>48</v>
      </c>
    </row>
    <row r="5050" s="17" customFormat="1" hidden="1" spans="1:44">
      <c r="A5050" s="17" t="s">
        <v>34</v>
      </c>
      <c r="B5050" s="19">
        <v>969</v>
      </c>
      <c r="C5050" s="316">
        <v>45180</v>
      </c>
      <c r="D5050" s="17" t="s">
        <v>52</v>
      </c>
      <c r="E5050" s="17" t="s">
        <v>1113</v>
      </c>
      <c r="F5050" s="17" t="s">
        <v>54</v>
      </c>
      <c r="H5050" s="306" t="s">
        <v>1370</v>
      </c>
      <c r="I5050" s="306"/>
      <c r="J5050" s="17" t="s">
        <v>49</v>
      </c>
      <c r="K5050" s="91">
        <v>2000</v>
      </c>
      <c r="L5050" s="19">
        <v>53</v>
      </c>
      <c r="M5050" s="19">
        <v>5500</v>
      </c>
      <c r="N5050" s="19" t="s">
        <v>40</v>
      </c>
      <c r="O5050" s="19" t="s">
        <v>141</v>
      </c>
      <c r="P5050" s="19">
        <v>9569</v>
      </c>
      <c r="Q5050" s="19">
        <f>5140+5140</f>
        <v>10280</v>
      </c>
      <c r="R5050" s="19">
        <f t="shared" si="237"/>
        <v>-711</v>
      </c>
      <c r="S5050" s="19">
        <v>640</v>
      </c>
      <c r="T5050" s="19" t="s">
        <v>42</v>
      </c>
      <c r="U5050" s="102" t="s">
        <v>1371</v>
      </c>
      <c r="V5050" s="317">
        <v>45210</v>
      </c>
      <c r="W5050" s="17" t="s">
        <v>44</v>
      </c>
      <c r="Y5050" s="68">
        <v>45283</v>
      </c>
      <c r="Z5050" s="17" t="s">
        <v>191</v>
      </c>
      <c r="AA5050" s="17" t="s">
        <v>46</v>
      </c>
      <c r="AB5050" s="17" t="s">
        <v>1372</v>
      </c>
      <c r="AC5050" s="102" t="s">
        <v>1373</v>
      </c>
      <c r="AD5050" s="65">
        <v>1493</v>
      </c>
      <c r="AE5050" s="17" t="s">
        <v>48</v>
      </c>
    </row>
    <row r="5051" s="17" customFormat="1" hidden="1" spans="1:44">
      <c r="A5051" s="17" t="s">
        <v>34</v>
      </c>
      <c r="B5051" s="19">
        <v>969</v>
      </c>
      <c r="C5051" s="316">
        <v>45180</v>
      </c>
      <c r="D5051" s="17" t="s">
        <v>52</v>
      </c>
      <c r="E5051" s="17" t="s">
        <v>1113</v>
      </c>
      <c r="F5051" s="17" t="s">
        <v>54</v>
      </c>
      <c r="H5051" s="306" t="s">
        <v>1370</v>
      </c>
      <c r="I5051" s="306"/>
      <c r="J5051" s="17" t="s">
        <v>49</v>
      </c>
      <c r="K5051" s="91">
        <v>2000</v>
      </c>
      <c r="L5051" s="19">
        <v>58</v>
      </c>
      <c r="M5051" s="19">
        <v>5500</v>
      </c>
      <c r="N5051" s="19" t="s">
        <v>40</v>
      </c>
      <c r="O5051" s="19" t="s">
        <v>141</v>
      </c>
      <c r="P5051" s="19">
        <v>10472</v>
      </c>
      <c r="Q5051" s="19">
        <f>5800+5860</f>
        <v>11660</v>
      </c>
      <c r="R5051" s="19">
        <f t="shared" si="237"/>
        <v>-1188</v>
      </c>
      <c r="S5051" s="19">
        <v>640</v>
      </c>
      <c r="T5051" s="19" t="s">
        <v>42</v>
      </c>
      <c r="U5051" s="102" t="s">
        <v>1371</v>
      </c>
      <c r="V5051" s="317">
        <v>45210</v>
      </c>
      <c r="W5051" s="17" t="s">
        <v>44</v>
      </c>
      <c r="Y5051" s="68">
        <v>45283</v>
      </c>
      <c r="Z5051" s="17" t="s">
        <v>191</v>
      </c>
      <c r="AA5051" s="17" t="s">
        <v>46</v>
      </c>
      <c r="AB5051" s="17" t="s">
        <v>1372</v>
      </c>
      <c r="AC5051" s="102" t="s">
        <v>1373</v>
      </c>
      <c r="AD5051" s="65">
        <v>1493</v>
      </c>
      <c r="AE5051" s="17" t="s">
        <v>48</v>
      </c>
    </row>
    <row r="5052" s="17" customFormat="1" hidden="1" spans="1:44">
      <c r="A5052" s="17" t="s">
        <v>34</v>
      </c>
      <c r="B5052" s="19">
        <v>969</v>
      </c>
      <c r="C5052" s="316">
        <v>45180</v>
      </c>
      <c r="D5052" s="17" t="s">
        <v>52</v>
      </c>
      <c r="E5052" s="17" t="s">
        <v>1113</v>
      </c>
      <c r="F5052" s="17" t="s">
        <v>54</v>
      </c>
      <c r="H5052" s="306" t="s">
        <v>1370</v>
      </c>
      <c r="I5052" s="306"/>
      <c r="J5052" s="17" t="s">
        <v>49</v>
      </c>
      <c r="K5052" s="91">
        <v>2000</v>
      </c>
      <c r="L5052" s="19">
        <v>65</v>
      </c>
      <c r="M5052" s="19">
        <v>5500</v>
      </c>
      <c r="N5052" s="19" t="s">
        <v>40</v>
      </c>
      <c r="O5052" s="19" t="s">
        <v>141</v>
      </c>
      <c r="P5052" s="19">
        <v>11736</v>
      </c>
      <c r="Q5052" s="19">
        <f>6185+6185</f>
        <v>12370</v>
      </c>
      <c r="R5052" s="19">
        <f t="shared" si="237"/>
        <v>-634</v>
      </c>
      <c r="S5052" s="19">
        <v>640</v>
      </c>
      <c r="T5052" s="19" t="s">
        <v>42</v>
      </c>
      <c r="U5052" s="102" t="s">
        <v>1371</v>
      </c>
      <c r="V5052" s="317">
        <v>45210</v>
      </c>
      <c r="W5052" s="17" t="s">
        <v>44</v>
      </c>
      <c r="Y5052" s="68">
        <v>45283</v>
      </c>
      <c r="Z5052" s="17" t="s">
        <v>191</v>
      </c>
      <c r="AA5052" s="17" t="s">
        <v>46</v>
      </c>
      <c r="AB5052" s="17" t="s">
        <v>1372</v>
      </c>
      <c r="AC5052" s="102" t="s">
        <v>1373</v>
      </c>
      <c r="AD5052" s="65">
        <v>1493</v>
      </c>
      <c r="AE5052" s="17" t="s">
        <v>48</v>
      </c>
    </row>
    <row r="5053" s="21" customFormat="1" hidden="1" spans="1:44">
      <c r="A5053" s="17"/>
      <c r="B5053" s="19">
        <v>970</v>
      </c>
      <c r="C5053" s="222">
        <v>45180</v>
      </c>
      <c r="D5053" s="17" t="s">
        <v>52</v>
      </c>
      <c r="E5053" s="17" t="s">
        <v>1113</v>
      </c>
      <c r="F5053" s="17" t="s">
        <v>54</v>
      </c>
      <c r="G5053" s="17"/>
      <c r="H5053" s="124">
        <v>1.2311</v>
      </c>
      <c r="I5053" s="124"/>
      <c r="J5053" s="17" t="s">
        <v>49</v>
      </c>
      <c r="K5053" s="91">
        <v>1400</v>
      </c>
      <c r="L5053" s="19">
        <v>265</v>
      </c>
      <c r="M5053" s="19">
        <v>3500</v>
      </c>
      <c r="N5053" s="19" t="s">
        <v>66</v>
      </c>
      <c r="O5053" s="19" t="s">
        <v>50</v>
      </c>
      <c r="P5053" s="19">
        <v>9268</v>
      </c>
      <c r="Q5053" s="19">
        <v>0</v>
      </c>
      <c r="R5053" s="19">
        <f t="shared" si="237"/>
        <v>9268</v>
      </c>
      <c r="S5053" s="19">
        <f>1405+40</f>
        <v>1445</v>
      </c>
      <c r="T5053" s="19" t="s">
        <v>42</v>
      </c>
      <c r="U5053" s="102" t="s">
        <v>1374</v>
      </c>
      <c r="V5053" s="253">
        <v>45210</v>
      </c>
      <c r="W5053" s="17" t="s">
        <v>69</v>
      </c>
      <c r="X5053" s="17"/>
      <c r="Y5053" s="68">
        <v>45315</v>
      </c>
      <c r="Z5053" s="17" t="s">
        <v>191</v>
      </c>
      <c r="AA5053" s="17" t="s">
        <v>46</v>
      </c>
      <c r="AB5053" s="17"/>
      <c r="AC5053" s="102"/>
      <c r="AD5053" s="65"/>
      <c r="AE5053" s="17" t="s">
        <v>48</v>
      </c>
      <c r="AF5053" s="17" t="s">
        <v>1347</v>
      </c>
      <c r="AG5053" s="17"/>
      <c r="AH5053" s="17"/>
      <c r="AI5053" s="17"/>
      <c r="AJ5053" s="17"/>
      <c r="AK5053" s="17"/>
      <c r="AL5053" s="17"/>
      <c r="AM5053" s="17"/>
      <c r="AN5053" s="17"/>
      <c r="AO5053" s="17"/>
      <c r="AP5053" s="17"/>
      <c r="AQ5053" s="17"/>
      <c r="AR5053" s="17"/>
    </row>
    <row r="5054" s="21" customFormat="1" hidden="1" spans="1:44">
      <c r="A5054" s="17"/>
      <c r="B5054" s="19">
        <v>970</v>
      </c>
      <c r="C5054" s="222">
        <v>45180</v>
      </c>
      <c r="D5054" s="17" t="s">
        <v>52</v>
      </c>
      <c r="E5054" s="17" t="s">
        <v>1113</v>
      </c>
      <c r="F5054" s="17" t="s">
        <v>54</v>
      </c>
      <c r="G5054" s="17"/>
      <c r="H5054" s="124">
        <v>1.2311</v>
      </c>
      <c r="I5054" s="124"/>
      <c r="J5054" s="17" t="s">
        <v>49</v>
      </c>
      <c r="K5054" s="91">
        <v>1400</v>
      </c>
      <c r="L5054" s="19">
        <v>275</v>
      </c>
      <c r="M5054" s="19">
        <v>3500</v>
      </c>
      <c r="N5054" s="19" t="s">
        <v>66</v>
      </c>
      <c r="O5054" s="19" t="s">
        <v>50</v>
      </c>
      <c r="P5054" s="19">
        <v>9617</v>
      </c>
      <c r="Q5054" s="19">
        <v>0</v>
      </c>
      <c r="R5054" s="19">
        <f t="shared" si="237"/>
        <v>9617</v>
      </c>
      <c r="S5054" s="19">
        <f>1405+40</f>
        <v>1445</v>
      </c>
      <c r="T5054" s="19" t="s">
        <v>42</v>
      </c>
      <c r="U5054" s="102" t="s">
        <v>1374</v>
      </c>
      <c r="V5054" s="253">
        <v>45210</v>
      </c>
      <c r="W5054" s="17" t="s">
        <v>69</v>
      </c>
      <c r="X5054" s="17"/>
      <c r="Y5054" s="68">
        <v>45315</v>
      </c>
      <c r="Z5054" s="17" t="s">
        <v>191</v>
      </c>
      <c r="AA5054" s="17" t="s">
        <v>46</v>
      </c>
      <c r="AB5054" s="17"/>
      <c r="AC5054" s="102"/>
      <c r="AD5054" s="65"/>
      <c r="AE5054" s="17" t="s">
        <v>48</v>
      </c>
      <c r="AF5054" s="17" t="s">
        <v>1347</v>
      </c>
      <c r="AG5054" s="17"/>
      <c r="AH5054" s="17"/>
      <c r="AI5054" s="17"/>
      <c r="AJ5054" s="17"/>
      <c r="AK5054" s="17"/>
      <c r="AL5054" s="17"/>
      <c r="AM5054" s="17"/>
      <c r="AN5054" s="17"/>
      <c r="AO5054" s="17"/>
      <c r="AP5054" s="17"/>
      <c r="AQ5054" s="17"/>
      <c r="AR5054" s="17"/>
    </row>
    <row r="5055" s="21" customFormat="1" hidden="1" spans="1:44">
      <c r="A5055" s="17" t="s">
        <v>34</v>
      </c>
      <c r="B5055" s="19">
        <v>970</v>
      </c>
      <c r="C5055" s="222">
        <v>45180</v>
      </c>
      <c r="D5055" s="17" t="s">
        <v>52</v>
      </c>
      <c r="E5055" s="17" t="s">
        <v>1113</v>
      </c>
      <c r="F5055" s="17" t="s">
        <v>54</v>
      </c>
      <c r="G5055" s="17"/>
      <c r="H5055" s="124">
        <v>1.2311</v>
      </c>
      <c r="I5055" s="124"/>
      <c r="J5055" s="17" t="s">
        <v>49</v>
      </c>
      <c r="K5055" s="91">
        <v>1400</v>
      </c>
      <c r="L5055" s="19">
        <v>305</v>
      </c>
      <c r="M5055" s="19">
        <v>3500</v>
      </c>
      <c r="N5055" s="19" t="s">
        <v>66</v>
      </c>
      <c r="O5055" s="19" t="s">
        <v>50</v>
      </c>
      <c r="P5055" s="19">
        <v>10666</v>
      </c>
      <c r="Q5055" s="19">
        <v>9060</v>
      </c>
      <c r="R5055" s="19">
        <f t="shared" si="237"/>
        <v>1606</v>
      </c>
      <c r="S5055" s="19">
        <f>1405+60</f>
        <v>1465</v>
      </c>
      <c r="T5055" s="19" t="s">
        <v>42</v>
      </c>
      <c r="U5055" s="102" t="s">
        <v>1374</v>
      </c>
      <c r="V5055" s="253">
        <v>45210</v>
      </c>
      <c r="W5055" s="17" t="s">
        <v>69</v>
      </c>
      <c r="X5055" s="17"/>
      <c r="Y5055" s="68">
        <v>45315</v>
      </c>
      <c r="Z5055" s="17" t="s">
        <v>191</v>
      </c>
      <c r="AA5055" s="17" t="s">
        <v>46</v>
      </c>
      <c r="AB5055" s="17" t="s">
        <v>1353</v>
      </c>
      <c r="AC5055" s="217">
        <v>45442</v>
      </c>
      <c r="AD5055" s="65">
        <v>1579</v>
      </c>
      <c r="AE5055" s="17" t="s">
        <v>48</v>
      </c>
      <c r="AF5055" s="17"/>
      <c r="AG5055" s="17"/>
      <c r="AH5055" s="17"/>
      <c r="AI5055" s="17"/>
      <c r="AJ5055" s="17"/>
      <c r="AK5055" s="17"/>
      <c r="AL5055" s="17"/>
      <c r="AM5055" s="17"/>
      <c r="AN5055" s="17"/>
      <c r="AO5055" s="17"/>
      <c r="AP5055" s="17"/>
      <c r="AQ5055" s="17"/>
      <c r="AR5055" s="17"/>
    </row>
    <row r="5056" s="21" customFormat="1" hidden="1" spans="1:44">
      <c r="A5056" s="17"/>
      <c r="B5056" s="19">
        <v>970</v>
      </c>
      <c r="C5056" s="222">
        <v>45180</v>
      </c>
      <c r="D5056" s="17" t="s">
        <v>52</v>
      </c>
      <c r="E5056" s="17" t="s">
        <v>1113</v>
      </c>
      <c r="F5056" s="17" t="s">
        <v>54</v>
      </c>
      <c r="G5056" s="17"/>
      <c r="H5056" s="124">
        <v>1.2311</v>
      </c>
      <c r="I5056" s="124"/>
      <c r="J5056" s="17" t="s">
        <v>49</v>
      </c>
      <c r="K5056" s="91">
        <v>1400</v>
      </c>
      <c r="L5056" s="19">
        <v>355</v>
      </c>
      <c r="M5056" s="19">
        <v>3500</v>
      </c>
      <c r="N5056" s="19" t="s">
        <v>66</v>
      </c>
      <c r="O5056" s="19" t="s">
        <v>50</v>
      </c>
      <c r="P5056" s="19">
        <v>12415</v>
      </c>
      <c r="Q5056" s="19">
        <v>0</v>
      </c>
      <c r="R5056" s="19">
        <f t="shared" si="237"/>
        <v>12415</v>
      </c>
      <c r="S5056" s="19">
        <f>1405+40</f>
        <v>1445</v>
      </c>
      <c r="T5056" s="19" t="s">
        <v>42</v>
      </c>
      <c r="U5056" s="102" t="s">
        <v>1374</v>
      </c>
      <c r="V5056" s="253">
        <v>45210</v>
      </c>
      <c r="W5056" s="17" t="s">
        <v>69</v>
      </c>
      <c r="X5056" s="17"/>
      <c r="Y5056" s="68">
        <v>45315</v>
      </c>
      <c r="Z5056" s="17" t="s">
        <v>191</v>
      </c>
      <c r="AA5056" s="17" t="s">
        <v>46</v>
      </c>
      <c r="AB5056" s="17"/>
      <c r="AC5056" s="102"/>
      <c r="AD5056" s="65"/>
      <c r="AE5056" s="17" t="s">
        <v>48</v>
      </c>
      <c r="AF5056" s="17" t="s">
        <v>1347</v>
      </c>
      <c r="AG5056" s="17"/>
      <c r="AH5056" s="17"/>
      <c r="AI5056" s="17"/>
      <c r="AJ5056" s="17"/>
      <c r="AK5056" s="17"/>
      <c r="AL5056" s="17"/>
      <c r="AM5056" s="17"/>
      <c r="AN5056" s="17"/>
      <c r="AO5056" s="17"/>
      <c r="AP5056" s="17"/>
      <c r="AQ5056" s="17"/>
      <c r="AR5056" s="17"/>
    </row>
    <row r="5057" s="21" customFormat="1" hidden="1" spans="1:44">
      <c r="A5057" s="17"/>
      <c r="B5057" s="19">
        <v>970</v>
      </c>
      <c r="C5057" s="222">
        <v>45180</v>
      </c>
      <c r="D5057" s="17" t="s">
        <v>52</v>
      </c>
      <c r="E5057" s="17" t="s">
        <v>1113</v>
      </c>
      <c r="F5057" s="17" t="s">
        <v>54</v>
      </c>
      <c r="G5057" s="17"/>
      <c r="H5057" s="124">
        <v>1.2311</v>
      </c>
      <c r="I5057" s="124"/>
      <c r="J5057" s="17" t="s">
        <v>49</v>
      </c>
      <c r="K5057" s="91">
        <v>1400</v>
      </c>
      <c r="L5057" s="19">
        <v>380</v>
      </c>
      <c r="M5057" s="19">
        <v>3500</v>
      </c>
      <c r="N5057" s="19" t="s">
        <v>66</v>
      </c>
      <c r="O5057" s="19" t="s">
        <v>50</v>
      </c>
      <c r="P5057" s="19">
        <v>13289</v>
      </c>
      <c r="Q5057" s="19">
        <v>0</v>
      </c>
      <c r="R5057" s="19">
        <f t="shared" si="237"/>
        <v>13289</v>
      </c>
      <c r="S5057" s="19">
        <f>1405+40</f>
        <v>1445</v>
      </c>
      <c r="T5057" s="19" t="s">
        <v>42</v>
      </c>
      <c r="U5057" s="102" t="s">
        <v>1374</v>
      </c>
      <c r="V5057" s="253">
        <v>45210</v>
      </c>
      <c r="W5057" s="17" t="s">
        <v>69</v>
      </c>
      <c r="X5057" s="17"/>
      <c r="Y5057" s="68">
        <v>45315</v>
      </c>
      <c r="Z5057" s="17" t="s">
        <v>191</v>
      </c>
      <c r="AA5057" s="17" t="s">
        <v>46</v>
      </c>
      <c r="AB5057" s="17"/>
      <c r="AC5057" s="102"/>
      <c r="AD5057" s="65"/>
      <c r="AE5057" s="17" t="s">
        <v>48</v>
      </c>
      <c r="AF5057" s="17" t="s">
        <v>1347</v>
      </c>
      <c r="AG5057" s="17"/>
      <c r="AH5057" s="17"/>
      <c r="AI5057" s="17"/>
      <c r="AJ5057" s="17"/>
      <c r="AK5057" s="17"/>
      <c r="AL5057" s="17"/>
      <c r="AM5057" s="17"/>
      <c r="AN5057" s="17"/>
      <c r="AO5057" s="17"/>
      <c r="AP5057" s="17"/>
      <c r="AQ5057" s="17"/>
      <c r="AR5057" s="17"/>
    </row>
    <row r="5058" s="21" customFormat="1" hidden="1" spans="1:44">
      <c r="A5058" s="17"/>
      <c r="B5058" s="19">
        <v>970</v>
      </c>
      <c r="C5058" s="222">
        <v>45180</v>
      </c>
      <c r="D5058" s="17" t="s">
        <v>52</v>
      </c>
      <c r="E5058" s="17" t="s">
        <v>1113</v>
      </c>
      <c r="F5058" s="17" t="s">
        <v>54</v>
      </c>
      <c r="G5058" s="17"/>
      <c r="H5058" s="124">
        <v>1.2311</v>
      </c>
      <c r="I5058" s="124"/>
      <c r="J5058" s="17" t="s">
        <v>49</v>
      </c>
      <c r="K5058" s="91">
        <v>1400</v>
      </c>
      <c r="L5058" s="19">
        <v>405</v>
      </c>
      <c r="M5058" s="19">
        <v>3500</v>
      </c>
      <c r="N5058" s="19" t="s">
        <v>66</v>
      </c>
      <c r="O5058" s="19" t="s">
        <v>50</v>
      </c>
      <c r="P5058" s="19">
        <v>14164</v>
      </c>
      <c r="Q5058" s="19">
        <v>0</v>
      </c>
      <c r="R5058" s="19">
        <f t="shared" si="237"/>
        <v>14164</v>
      </c>
      <c r="S5058" s="19">
        <f>1405+40</f>
        <v>1445</v>
      </c>
      <c r="T5058" s="19" t="s">
        <v>42</v>
      </c>
      <c r="U5058" s="102" t="s">
        <v>1374</v>
      </c>
      <c r="V5058" s="253">
        <v>45210</v>
      </c>
      <c r="W5058" s="17" t="s">
        <v>69</v>
      </c>
      <c r="X5058" s="17"/>
      <c r="Y5058" s="68">
        <v>45315</v>
      </c>
      <c r="Z5058" s="17" t="s">
        <v>191</v>
      </c>
      <c r="AA5058" s="17" t="s">
        <v>46</v>
      </c>
      <c r="AB5058" s="17"/>
      <c r="AC5058" s="102"/>
      <c r="AD5058" s="65"/>
      <c r="AE5058" s="17" t="s">
        <v>48</v>
      </c>
      <c r="AF5058" s="17" t="s">
        <v>1347</v>
      </c>
      <c r="AG5058" s="17"/>
      <c r="AH5058" s="17"/>
      <c r="AI5058" s="17"/>
      <c r="AJ5058" s="17"/>
      <c r="AK5058" s="17"/>
      <c r="AL5058" s="17"/>
      <c r="AM5058" s="17"/>
      <c r="AN5058" s="17"/>
      <c r="AO5058" s="17"/>
      <c r="AP5058" s="17"/>
      <c r="AQ5058" s="17"/>
      <c r="AR5058" s="17"/>
    </row>
    <row r="5059" s="21" customFormat="1" hidden="1" spans="1:44">
      <c r="A5059" s="17"/>
      <c r="B5059" s="19">
        <v>970</v>
      </c>
      <c r="C5059" s="222">
        <v>45180</v>
      </c>
      <c r="D5059" s="17" t="s">
        <v>52</v>
      </c>
      <c r="E5059" s="17" t="s">
        <v>1113</v>
      </c>
      <c r="F5059" s="17" t="s">
        <v>54</v>
      </c>
      <c r="G5059" s="17"/>
      <c r="H5059" s="124">
        <v>1.2311</v>
      </c>
      <c r="I5059" s="124"/>
      <c r="J5059" s="17" t="s">
        <v>49</v>
      </c>
      <c r="K5059" s="91">
        <v>1400</v>
      </c>
      <c r="L5059" s="19">
        <v>425</v>
      </c>
      <c r="M5059" s="19">
        <v>3500</v>
      </c>
      <c r="N5059" s="19" t="s">
        <v>66</v>
      </c>
      <c r="O5059" s="19" t="s">
        <v>50</v>
      </c>
      <c r="P5059" s="19">
        <v>14863</v>
      </c>
      <c r="Q5059" s="19">
        <v>12780</v>
      </c>
      <c r="R5059" s="19">
        <f t="shared" si="237"/>
        <v>2083</v>
      </c>
      <c r="S5059" s="318">
        <f>1405+80-20</f>
        <v>1465</v>
      </c>
      <c r="T5059" s="19" t="s">
        <v>42</v>
      </c>
      <c r="U5059" s="102" t="s">
        <v>1374</v>
      </c>
      <c r="V5059" s="253">
        <v>45210</v>
      </c>
      <c r="W5059" s="17" t="s">
        <v>69</v>
      </c>
      <c r="X5059" s="17"/>
      <c r="Y5059" s="68">
        <v>45315</v>
      </c>
      <c r="Z5059" s="17" t="s">
        <v>191</v>
      </c>
      <c r="AA5059" s="17" t="s">
        <v>46</v>
      </c>
      <c r="AB5059" s="17" t="s">
        <v>1343</v>
      </c>
      <c r="AC5059" s="217">
        <v>45433</v>
      </c>
      <c r="AD5059" s="65">
        <v>1575</v>
      </c>
      <c r="AE5059" s="17" t="s">
        <v>48</v>
      </c>
      <c r="AF5059" s="17"/>
      <c r="AG5059" s="17"/>
      <c r="AH5059" s="17"/>
      <c r="AI5059" s="17"/>
      <c r="AJ5059" s="17"/>
      <c r="AK5059" s="17"/>
      <c r="AL5059" s="17"/>
      <c r="AM5059" s="17"/>
      <c r="AN5059" s="17"/>
      <c r="AO5059" s="17"/>
      <c r="AP5059" s="17"/>
      <c r="AQ5059" s="17"/>
      <c r="AR5059" s="17"/>
    </row>
    <row r="5060" s="21" customFormat="1" hidden="1" spans="1:44">
      <c r="A5060" s="17"/>
      <c r="B5060" s="19">
        <v>970</v>
      </c>
      <c r="C5060" s="222">
        <v>45180</v>
      </c>
      <c r="D5060" s="17" t="s">
        <v>52</v>
      </c>
      <c r="E5060" s="17" t="s">
        <v>1113</v>
      </c>
      <c r="F5060" s="17" t="s">
        <v>54</v>
      </c>
      <c r="G5060" s="17"/>
      <c r="H5060" s="124">
        <v>1.2311</v>
      </c>
      <c r="I5060" s="124"/>
      <c r="J5060" s="17" t="s">
        <v>49</v>
      </c>
      <c r="K5060" s="91">
        <v>1400</v>
      </c>
      <c r="L5060" s="19">
        <v>455</v>
      </c>
      <c r="M5060" s="19">
        <v>3500</v>
      </c>
      <c r="N5060" s="19" t="s">
        <v>66</v>
      </c>
      <c r="O5060" s="19" t="s">
        <v>50</v>
      </c>
      <c r="P5060" s="19">
        <v>15912</v>
      </c>
      <c r="Q5060" s="19">
        <v>0</v>
      </c>
      <c r="R5060" s="19">
        <f t="shared" si="237"/>
        <v>15912</v>
      </c>
      <c r="S5060" s="19">
        <f>1405+40</f>
        <v>1445</v>
      </c>
      <c r="T5060" s="19" t="s">
        <v>42</v>
      </c>
      <c r="U5060" s="102" t="s">
        <v>1374</v>
      </c>
      <c r="V5060" s="253">
        <v>45210</v>
      </c>
      <c r="W5060" s="17" t="s">
        <v>69</v>
      </c>
      <c r="X5060" s="17"/>
      <c r="Y5060" s="68">
        <v>45315</v>
      </c>
      <c r="Z5060" s="17" t="s">
        <v>191</v>
      </c>
      <c r="AA5060" s="17" t="s">
        <v>46</v>
      </c>
      <c r="AB5060" s="17"/>
      <c r="AC5060" s="102"/>
      <c r="AD5060" s="65"/>
      <c r="AE5060" s="17" t="s">
        <v>48</v>
      </c>
      <c r="AF5060" s="17" t="s">
        <v>1347</v>
      </c>
      <c r="AG5060" s="17"/>
      <c r="AH5060" s="17"/>
      <c r="AI5060" s="17"/>
      <c r="AJ5060" s="17"/>
      <c r="AK5060" s="17"/>
      <c r="AL5060" s="17"/>
      <c r="AM5060" s="17"/>
      <c r="AN5060" s="17"/>
      <c r="AO5060" s="17"/>
      <c r="AP5060" s="17"/>
      <c r="AQ5060" s="17"/>
      <c r="AR5060" s="17"/>
    </row>
    <row r="5061" s="21" customFormat="1" hidden="1" spans="1:44">
      <c r="A5061" s="17" t="s">
        <v>34</v>
      </c>
      <c r="B5061" s="19">
        <v>971</v>
      </c>
      <c r="C5061" s="222">
        <v>45180</v>
      </c>
      <c r="D5061" s="17" t="s">
        <v>52</v>
      </c>
      <c r="E5061" s="17" t="s">
        <v>1113</v>
      </c>
      <c r="F5061" s="17" t="s">
        <v>54</v>
      </c>
      <c r="G5061" s="17"/>
      <c r="H5061" s="124">
        <v>1.2738</v>
      </c>
      <c r="I5061" s="124"/>
      <c r="J5061" s="17" t="s">
        <v>49</v>
      </c>
      <c r="K5061" s="91">
        <v>1400</v>
      </c>
      <c r="L5061" s="19">
        <v>265</v>
      </c>
      <c r="M5061" s="19">
        <v>3500</v>
      </c>
      <c r="N5061" s="19" t="s">
        <v>66</v>
      </c>
      <c r="O5061" s="19" t="s">
        <v>50</v>
      </c>
      <c r="P5061" s="19">
        <v>9465</v>
      </c>
      <c r="Q5061" s="19">
        <v>10100</v>
      </c>
      <c r="R5061" s="19">
        <f t="shared" si="237"/>
        <v>-635</v>
      </c>
      <c r="S5061" s="19">
        <f>1595+60</f>
        <v>1655</v>
      </c>
      <c r="T5061" s="19" t="s">
        <v>42</v>
      </c>
      <c r="U5061" s="102" t="s">
        <v>1375</v>
      </c>
      <c r="V5061" s="253">
        <v>45210</v>
      </c>
      <c r="W5061" s="17" t="s">
        <v>69</v>
      </c>
      <c r="X5061" s="17"/>
      <c r="Y5061" s="68">
        <v>45315</v>
      </c>
      <c r="Z5061" s="17" t="s">
        <v>191</v>
      </c>
      <c r="AA5061" s="17" t="s">
        <v>46</v>
      </c>
      <c r="AB5061" s="17" t="s">
        <v>1360</v>
      </c>
      <c r="AC5061" s="217">
        <v>45433</v>
      </c>
      <c r="AD5061" s="65">
        <v>1572</v>
      </c>
      <c r="AE5061" s="17" t="s">
        <v>48</v>
      </c>
      <c r="AF5061" s="17"/>
      <c r="AG5061" s="17"/>
      <c r="AH5061" s="17"/>
      <c r="AI5061" s="17"/>
      <c r="AJ5061" s="17"/>
      <c r="AK5061" s="17"/>
      <c r="AL5061" s="17"/>
      <c r="AM5061" s="17"/>
      <c r="AN5061" s="17"/>
      <c r="AO5061" s="17"/>
      <c r="AP5061" s="17"/>
      <c r="AQ5061" s="17"/>
      <c r="AR5061" s="17"/>
    </row>
    <row r="5062" s="21" customFormat="1" hidden="1" spans="1:44">
      <c r="A5062" s="17"/>
      <c r="B5062" s="19">
        <v>971</v>
      </c>
      <c r="C5062" s="222">
        <v>45180</v>
      </c>
      <c r="D5062" s="17" t="s">
        <v>52</v>
      </c>
      <c r="E5062" s="17" t="s">
        <v>1113</v>
      </c>
      <c r="F5062" s="17" t="s">
        <v>54</v>
      </c>
      <c r="G5062" s="17"/>
      <c r="H5062" s="124">
        <v>1.2738</v>
      </c>
      <c r="I5062" s="124"/>
      <c r="J5062" s="17" t="s">
        <v>49</v>
      </c>
      <c r="K5062" s="91">
        <v>1400</v>
      </c>
      <c r="L5062" s="19">
        <v>280</v>
      </c>
      <c r="M5062" s="19">
        <v>3500</v>
      </c>
      <c r="N5062" s="19" t="s">
        <v>66</v>
      </c>
      <c r="O5062" s="19" t="s">
        <v>50</v>
      </c>
      <c r="P5062" s="19">
        <v>10001</v>
      </c>
      <c r="Q5062" s="19">
        <v>0</v>
      </c>
      <c r="R5062" s="19">
        <f t="shared" si="237"/>
        <v>10001</v>
      </c>
      <c r="S5062" s="19">
        <v>1595</v>
      </c>
      <c r="T5062" s="19" t="s">
        <v>42</v>
      </c>
      <c r="U5062" s="102" t="s">
        <v>1375</v>
      </c>
      <c r="V5062" s="253">
        <v>45210</v>
      </c>
      <c r="W5062" s="17" t="s">
        <v>44</v>
      </c>
      <c r="X5062" s="17"/>
      <c r="Y5062" s="68">
        <v>45315</v>
      </c>
      <c r="Z5062" s="17" t="s">
        <v>191</v>
      </c>
      <c r="AA5062" s="17" t="s">
        <v>46</v>
      </c>
      <c r="AB5062" s="17"/>
      <c r="AC5062" s="102"/>
      <c r="AD5062" s="65"/>
      <c r="AE5062" s="17" t="s">
        <v>48</v>
      </c>
      <c r="AF5062" s="17" t="s">
        <v>1347</v>
      </c>
      <c r="AG5062" s="17"/>
      <c r="AH5062" s="17"/>
      <c r="AI5062" s="17"/>
      <c r="AJ5062" s="17"/>
      <c r="AK5062" s="17"/>
      <c r="AL5062" s="17"/>
      <c r="AM5062" s="17"/>
      <c r="AN5062" s="17"/>
      <c r="AO5062" s="17"/>
      <c r="AP5062" s="17"/>
      <c r="AQ5062" s="17"/>
      <c r="AR5062" s="17"/>
    </row>
    <row r="5063" s="21" customFormat="1" hidden="1" spans="1:44">
      <c r="A5063" s="17"/>
      <c r="B5063" s="19">
        <v>971</v>
      </c>
      <c r="C5063" s="222">
        <v>45180</v>
      </c>
      <c r="D5063" s="17" t="s">
        <v>52</v>
      </c>
      <c r="E5063" s="17" t="s">
        <v>1113</v>
      </c>
      <c r="F5063" s="17" t="s">
        <v>54</v>
      </c>
      <c r="G5063" s="17"/>
      <c r="H5063" s="124">
        <v>1.2738</v>
      </c>
      <c r="I5063" s="124"/>
      <c r="J5063" s="17" t="s">
        <v>49</v>
      </c>
      <c r="K5063" s="91">
        <v>1400</v>
      </c>
      <c r="L5063" s="19">
        <v>305</v>
      </c>
      <c r="M5063" s="19">
        <v>3500</v>
      </c>
      <c r="N5063" s="19" t="s">
        <v>66</v>
      </c>
      <c r="O5063" s="19" t="s">
        <v>50</v>
      </c>
      <c r="P5063" s="19">
        <v>10894</v>
      </c>
      <c r="Q5063" s="19">
        <v>0</v>
      </c>
      <c r="R5063" s="19">
        <f t="shared" si="237"/>
        <v>10894</v>
      </c>
      <c r="S5063" s="19">
        <v>1595</v>
      </c>
      <c r="T5063" s="19" t="s">
        <v>42</v>
      </c>
      <c r="U5063" s="102" t="s">
        <v>1375</v>
      </c>
      <c r="V5063" s="253">
        <v>45210</v>
      </c>
      <c r="W5063" s="17" t="s">
        <v>44</v>
      </c>
      <c r="X5063" s="17"/>
      <c r="Y5063" s="68">
        <v>45315</v>
      </c>
      <c r="Z5063" s="17" t="s">
        <v>191</v>
      </c>
      <c r="AA5063" s="17" t="s">
        <v>46</v>
      </c>
      <c r="AB5063" s="17"/>
      <c r="AC5063" s="102"/>
      <c r="AD5063" s="65"/>
      <c r="AE5063" s="17" t="s">
        <v>48</v>
      </c>
      <c r="AF5063" s="17" t="s">
        <v>1347</v>
      </c>
      <c r="AG5063" s="17"/>
      <c r="AH5063" s="17"/>
      <c r="AI5063" s="17"/>
      <c r="AJ5063" s="17"/>
      <c r="AK5063" s="17"/>
      <c r="AL5063" s="17"/>
      <c r="AM5063" s="17"/>
      <c r="AN5063" s="17"/>
      <c r="AO5063" s="17"/>
      <c r="AP5063" s="17"/>
      <c r="AQ5063" s="17"/>
      <c r="AR5063" s="17"/>
    </row>
    <row r="5064" s="21" customFormat="1" hidden="1" spans="1:44">
      <c r="A5064" s="17" t="s">
        <v>34</v>
      </c>
      <c r="B5064" s="19">
        <v>971</v>
      </c>
      <c r="C5064" s="222">
        <v>45180</v>
      </c>
      <c r="D5064" s="17" t="s">
        <v>52</v>
      </c>
      <c r="E5064" s="17" t="s">
        <v>1113</v>
      </c>
      <c r="F5064" s="17" t="s">
        <v>54</v>
      </c>
      <c r="G5064" s="17"/>
      <c r="H5064" s="124">
        <v>1.2738</v>
      </c>
      <c r="I5064" s="124"/>
      <c r="J5064" s="17" t="s">
        <v>49</v>
      </c>
      <c r="K5064" s="91">
        <v>1400</v>
      </c>
      <c r="L5064" s="19">
        <v>330</v>
      </c>
      <c r="M5064" s="19">
        <v>3500</v>
      </c>
      <c r="N5064" s="19" t="s">
        <v>66</v>
      </c>
      <c r="O5064" s="19" t="s">
        <v>50</v>
      </c>
      <c r="P5064" s="19">
        <v>11787</v>
      </c>
      <c r="Q5064" s="19">
        <v>13020</v>
      </c>
      <c r="R5064" s="19">
        <f t="shared" ref="R5064:R5095" si="238">+P5064-Q5064</f>
        <v>-1233</v>
      </c>
      <c r="S5064" s="19">
        <v>1595</v>
      </c>
      <c r="T5064" s="19" t="s">
        <v>42</v>
      </c>
      <c r="U5064" s="102" t="s">
        <v>1375</v>
      </c>
      <c r="V5064" s="253">
        <v>45210</v>
      </c>
      <c r="W5064" s="17" t="s">
        <v>44</v>
      </c>
      <c r="X5064" s="17"/>
      <c r="Y5064" s="68">
        <v>45315</v>
      </c>
      <c r="Z5064" s="17" t="s">
        <v>191</v>
      </c>
      <c r="AA5064" s="17" t="s">
        <v>46</v>
      </c>
      <c r="AB5064" s="17" t="s">
        <v>1376</v>
      </c>
      <c r="AC5064" s="217">
        <v>45408</v>
      </c>
      <c r="AD5064" s="65">
        <v>1569</v>
      </c>
      <c r="AE5064" s="17" t="s">
        <v>48</v>
      </c>
      <c r="AF5064" s="17"/>
      <c r="AG5064" s="17"/>
      <c r="AH5064" s="17"/>
      <c r="AI5064" s="17"/>
      <c r="AJ5064" s="17"/>
      <c r="AK5064" s="17"/>
      <c r="AL5064" s="17"/>
      <c r="AM5064" s="17"/>
      <c r="AN5064" s="17"/>
      <c r="AO5064" s="17"/>
      <c r="AP5064" s="17"/>
      <c r="AQ5064" s="17"/>
      <c r="AR5064" s="17"/>
    </row>
    <row r="5065" s="21" customFormat="1" hidden="1" spans="1:44">
      <c r="A5065" s="17" t="s">
        <v>34</v>
      </c>
      <c r="B5065" s="19">
        <v>971</v>
      </c>
      <c r="C5065" s="222">
        <v>45180</v>
      </c>
      <c r="D5065" s="17" t="s">
        <v>52</v>
      </c>
      <c r="E5065" s="17" t="s">
        <v>1113</v>
      </c>
      <c r="F5065" s="17" t="s">
        <v>54</v>
      </c>
      <c r="G5065" s="17"/>
      <c r="H5065" s="124">
        <v>1.2738</v>
      </c>
      <c r="I5065" s="124"/>
      <c r="J5065" s="17" t="s">
        <v>49</v>
      </c>
      <c r="K5065" s="91">
        <v>1400</v>
      </c>
      <c r="L5065" s="19">
        <v>380</v>
      </c>
      <c r="M5065" s="19">
        <v>3500</v>
      </c>
      <c r="N5065" s="19" t="s">
        <v>66</v>
      </c>
      <c r="O5065" s="19" t="s">
        <v>50</v>
      </c>
      <c r="P5065" s="19">
        <v>13573</v>
      </c>
      <c r="Q5065" s="19">
        <v>13140</v>
      </c>
      <c r="R5065" s="19">
        <f t="shared" si="238"/>
        <v>433</v>
      </c>
      <c r="S5065" s="19">
        <v>1595</v>
      </c>
      <c r="T5065" s="19" t="s">
        <v>42</v>
      </c>
      <c r="U5065" s="102" t="s">
        <v>1375</v>
      </c>
      <c r="V5065" s="253">
        <v>45210</v>
      </c>
      <c r="W5065" s="17" t="s">
        <v>44</v>
      </c>
      <c r="X5065" s="17"/>
      <c r="Y5065" s="68">
        <v>45315</v>
      </c>
      <c r="Z5065" s="17" t="s">
        <v>191</v>
      </c>
      <c r="AA5065" s="17" t="s">
        <v>46</v>
      </c>
      <c r="AB5065" s="17" t="s">
        <v>1377</v>
      </c>
      <c r="AC5065" s="217">
        <v>45408</v>
      </c>
      <c r="AD5065" s="65">
        <v>1566</v>
      </c>
      <c r="AE5065" s="17" t="s">
        <v>48</v>
      </c>
      <c r="AF5065" s="17"/>
      <c r="AG5065" s="17"/>
      <c r="AH5065" s="17"/>
      <c r="AI5065" s="17"/>
      <c r="AJ5065" s="17"/>
      <c r="AK5065" s="17"/>
      <c r="AL5065" s="17"/>
      <c r="AM5065" s="17"/>
      <c r="AN5065" s="17"/>
      <c r="AO5065" s="17"/>
      <c r="AP5065" s="17"/>
      <c r="AQ5065" s="17"/>
      <c r="AR5065" s="17"/>
    </row>
    <row r="5066" s="21" customFormat="1" hidden="1" spans="1:44">
      <c r="A5066" s="17"/>
      <c r="B5066" s="19">
        <v>971</v>
      </c>
      <c r="C5066" s="222">
        <v>45180</v>
      </c>
      <c r="D5066" s="17" t="s">
        <v>52</v>
      </c>
      <c r="E5066" s="17" t="s">
        <v>1113</v>
      </c>
      <c r="F5066" s="17" t="s">
        <v>54</v>
      </c>
      <c r="G5066" s="17"/>
      <c r="H5066" s="124">
        <v>1.2738</v>
      </c>
      <c r="I5066" s="124"/>
      <c r="J5066" s="17" t="s">
        <v>49</v>
      </c>
      <c r="K5066" s="91">
        <v>1400</v>
      </c>
      <c r="L5066" s="19">
        <v>405</v>
      </c>
      <c r="M5066" s="19">
        <v>3500</v>
      </c>
      <c r="N5066" s="19" t="s">
        <v>66</v>
      </c>
      <c r="O5066" s="19" t="s">
        <v>50</v>
      </c>
      <c r="P5066" s="19">
        <v>14466</v>
      </c>
      <c r="Q5066" s="19">
        <v>0</v>
      </c>
      <c r="R5066" s="19">
        <f t="shared" si="238"/>
        <v>14466</v>
      </c>
      <c r="S5066" s="19">
        <v>1595</v>
      </c>
      <c r="T5066" s="19" t="s">
        <v>42</v>
      </c>
      <c r="U5066" s="102" t="s">
        <v>1375</v>
      </c>
      <c r="V5066" s="253">
        <v>45210</v>
      </c>
      <c r="W5066" s="17" t="s">
        <v>44</v>
      </c>
      <c r="X5066" s="17"/>
      <c r="Y5066" s="68">
        <v>45315</v>
      </c>
      <c r="Z5066" s="17" t="s">
        <v>191</v>
      </c>
      <c r="AA5066" s="17" t="s">
        <v>46</v>
      </c>
      <c r="AB5066" s="17"/>
      <c r="AC5066" s="102"/>
      <c r="AD5066" s="65"/>
      <c r="AE5066" s="17" t="s">
        <v>48</v>
      </c>
      <c r="AF5066" s="17" t="s">
        <v>1347</v>
      </c>
      <c r="AG5066" s="17"/>
      <c r="AH5066" s="17"/>
      <c r="AI5066" s="17"/>
      <c r="AJ5066" s="17"/>
      <c r="AK5066" s="17"/>
      <c r="AL5066" s="17"/>
      <c r="AM5066" s="17"/>
      <c r="AN5066" s="17"/>
      <c r="AO5066" s="17"/>
      <c r="AP5066" s="17"/>
      <c r="AQ5066" s="17"/>
      <c r="AR5066" s="17"/>
    </row>
    <row r="5067" s="21" customFormat="1" hidden="1" spans="1:44">
      <c r="A5067" s="17" t="s">
        <v>34</v>
      </c>
      <c r="B5067" s="19">
        <v>971</v>
      </c>
      <c r="C5067" s="222">
        <v>45180</v>
      </c>
      <c r="D5067" s="17" t="s">
        <v>52</v>
      </c>
      <c r="E5067" s="17" t="s">
        <v>1113</v>
      </c>
      <c r="F5067" s="17" t="s">
        <v>54</v>
      </c>
      <c r="G5067" s="17"/>
      <c r="H5067" s="124">
        <v>1.2738</v>
      </c>
      <c r="I5067" s="124"/>
      <c r="J5067" s="17" t="s">
        <v>49</v>
      </c>
      <c r="K5067" s="91">
        <v>1400</v>
      </c>
      <c r="L5067" s="19">
        <v>455</v>
      </c>
      <c r="M5067" s="19">
        <v>3500</v>
      </c>
      <c r="N5067" s="19" t="s">
        <v>66</v>
      </c>
      <c r="O5067" s="19" t="s">
        <v>50</v>
      </c>
      <c r="P5067" s="19">
        <v>16251</v>
      </c>
      <c r="Q5067" s="19">
        <v>15570</v>
      </c>
      <c r="R5067" s="19">
        <f t="shared" si="238"/>
        <v>681</v>
      </c>
      <c r="S5067" s="19">
        <f>1595+60</f>
        <v>1655</v>
      </c>
      <c r="T5067" s="19" t="s">
        <v>42</v>
      </c>
      <c r="U5067" s="102" t="s">
        <v>1375</v>
      </c>
      <c r="V5067" s="253">
        <v>45210</v>
      </c>
      <c r="W5067" s="17" t="s">
        <v>69</v>
      </c>
      <c r="X5067" s="17"/>
      <c r="Y5067" s="68">
        <v>45315</v>
      </c>
      <c r="Z5067" s="17" t="s">
        <v>191</v>
      </c>
      <c r="AA5067" s="17" t="s">
        <v>46</v>
      </c>
      <c r="AB5067" s="17" t="s">
        <v>1360</v>
      </c>
      <c r="AC5067" s="217">
        <v>45433</v>
      </c>
      <c r="AD5067" s="65">
        <v>1572</v>
      </c>
      <c r="AE5067" s="17" t="s">
        <v>48</v>
      </c>
      <c r="AF5067" s="17"/>
      <c r="AG5067" s="17"/>
      <c r="AH5067" s="17"/>
      <c r="AI5067" s="17"/>
      <c r="AJ5067" s="17"/>
      <c r="AK5067" s="17"/>
      <c r="AL5067" s="17"/>
      <c r="AM5067" s="17"/>
      <c r="AN5067" s="17"/>
      <c r="AO5067" s="17"/>
      <c r="AP5067" s="17"/>
      <c r="AQ5067" s="17"/>
      <c r="AR5067" s="17"/>
    </row>
    <row r="5068" s="21" customFormat="1" hidden="1" spans="1:44">
      <c r="A5068" s="17" t="s">
        <v>34</v>
      </c>
      <c r="B5068" s="19">
        <v>971</v>
      </c>
      <c r="C5068" s="222">
        <v>45180</v>
      </c>
      <c r="D5068" s="17" t="s">
        <v>52</v>
      </c>
      <c r="E5068" s="17" t="s">
        <v>1113</v>
      </c>
      <c r="F5068" s="17" t="s">
        <v>54</v>
      </c>
      <c r="G5068" s="17"/>
      <c r="H5068" s="124">
        <v>1.2738</v>
      </c>
      <c r="I5068" s="124"/>
      <c r="J5068" s="17" t="s">
        <v>49</v>
      </c>
      <c r="K5068" s="91">
        <v>1400</v>
      </c>
      <c r="L5068" s="19">
        <v>480</v>
      </c>
      <c r="M5068" s="19">
        <v>3500</v>
      </c>
      <c r="N5068" s="19" t="s">
        <v>66</v>
      </c>
      <c r="O5068" s="19" t="s">
        <v>50</v>
      </c>
      <c r="P5068" s="19">
        <v>17144</v>
      </c>
      <c r="Q5068" s="19">
        <v>15390</v>
      </c>
      <c r="R5068" s="19">
        <f t="shared" si="238"/>
        <v>1754</v>
      </c>
      <c r="S5068" s="19">
        <f>1595+60</f>
        <v>1655</v>
      </c>
      <c r="T5068" s="19" t="s">
        <v>42</v>
      </c>
      <c r="U5068" s="102" t="s">
        <v>1375</v>
      </c>
      <c r="V5068" s="253">
        <v>45210</v>
      </c>
      <c r="W5068" s="17" t="s">
        <v>69</v>
      </c>
      <c r="X5068" s="17"/>
      <c r="Y5068" s="68">
        <v>45315</v>
      </c>
      <c r="Z5068" s="17" t="s">
        <v>191</v>
      </c>
      <c r="AA5068" s="17" t="s">
        <v>46</v>
      </c>
      <c r="AB5068" s="17" t="s">
        <v>1360</v>
      </c>
      <c r="AC5068" s="217">
        <v>45433</v>
      </c>
      <c r="AD5068" s="65">
        <v>1572</v>
      </c>
      <c r="AE5068" s="17" t="s">
        <v>48</v>
      </c>
      <c r="AF5068" s="17"/>
      <c r="AG5068" s="17"/>
      <c r="AH5068" s="17"/>
      <c r="AI5068" s="17"/>
      <c r="AJ5068" s="17"/>
      <c r="AK5068" s="17"/>
      <c r="AL5068" s="17"/>
      <c r="AM5068" s="17"/>
      <c r="AN5068" s="17"/>
      <c r="AO5068" s="17"/>
      <c r="AP5068" s="17"/>
      <c r="AQ5068" s="17"/>
      <c r="AR5068" s="17"/>
    </row>
    <row r="5069" s="17" customFormat="1" hidden="1" spans="1:44">
      <c r="A5069" s="17" t="s">
        <v>34</v>
      </c>
      <c r="B5069" s="19">
        <v>972</v>
      </c>
      <c r="C5069" s="222">
        <v>45180</v>
      </c>
      <c r="D5069" s="17" t="s">
        <v>52</v>
      </c>
      <c r="E5069" s="17" t="s">
        <v>1113</v>
      </c>
      <c r="F5069" s="17" t="s">
        <v>54</v>
      </c>
      <c r="H5069" s="124" t="s">
        <v>1370</v>
      </c>
      <c r="I5069" s="124"/>
      <c r="J5069" s="17" t="s">
        <v>49</v>
      </c>
      <c r="K5069" s="91">
        <v>1500</v>
      </c>
      <c r="L5069" s="19">
        <v>260</v>
      </c>
      <c r="M5069" s="19">
        <v>3000</v>
      </c>
      <c r="N5069" s="19" t="s">
        <v>40</v>
      </c>
      <c r="O5069" s="19" t="s">
        <v>84</v>
      </c>
      <c r="P5069" s="19">
        <v>9185</v>
      </c>
      <c r="Q5069" s="19">
        <v>8916</v>
      </c>
      <c r="R5069" s="19">
        <f t="shared" si="238"/>
        <v>269</v>
      </c>
      <c r="S5069" s="19">
        <v>975</v>
      </c>
      <c r="T5069" s="19" t="s">
        <v>42</v>
      </c>
      <c r="U5069" s="102" t="s">
        <v>1378</v>
      </c>
      <c r="V5069" s="253">
        <v>45210</v>
      </c>
      <c r="W5069" s="17" t="s">
        <v>44</v>
      </c>
      <c r="Y5069" s="68">
        <v>45315</v>
      </c>
      <c r="Z5069" s="17" t="s">
        <v>191</v>
      </c>
      <c r="AA5069" s="17" t="s">
        <v>46</v>
      </c>
      <c r="AB5069" s="17" t="s">
        <v>1379</v>
      </c>
      <c r="AC5069" s="102" t="s">
        <v>1380</v>
      </c>
      <c r="AD5069" s="65">
        <v>1517</v>
      </c>
      <c r="AE5069" s="17" t="s">
        <v>48</v>
      </c>
    </row>
    <row r="5070" s="17" customFormat="1" hidden="1" spans="1:44">
      <c r="A5070" s="17" t="s">
        <v>34</v>
      </c>
      <c r="B5070" s="19">
        <v>972</v>
      </c>
      <c r="C5070" s="222">
        <v>45180</v>
      </c>
      <c r="D5070" s="17" t="s">
        <v>52</v>
      </c>
      <c r="E5070" s="17" t="s">
        <v>1113</v>
      </c>
      <c r="F5070" s="17" t="s">
        <v>54</v>
      </c>
      <c r="H5070" s="124" t="s">
        <v>1370</v>
      </c>
      <c r="I5070" s="124"/>
      <c r="J5070" s="17" t="s">
        <v>49</v>
      </c>
      <c r="K5070" s="91">
        <v>1500</v>
      </c>
      <c r="L5070" s="19">
        <v>280</v>
      </c>
      <c r="M5070" s="19">
        <v>3000</v>
      </c>
      <c r="N5070" s="19" t="s">
        <v>40</v>
      </c>
      <c r="O5070" s="19" t="s">
        <v>84</v>
      </c>
      <c r="P5070" s="19">
        <v>9891</v>
      </c>
      <c r="Q5070" s="19">
        <v>9549</v>
      </c>
      <c r="R5070" s="19">
        <f t="shared" si="238"/>
        <v>342</v>
      </c>
      <c r="S5070" s="19">
        <v>975</v>
      </c>
      <c r="T5070" s="19" t="s">
        <v>42</v>
      </c>
      <c r="U5070" s="102" t="s">
        <v>1378</v>
      </c>
      <c r="V5070" s="253">
        <v>45210</v>
      </c>
      <c r="W5070" s="17" t="s">
        <v>44</v>
      </c>
      <c r="Y5070" s="68">
        <v>45315</v>
      </c>
      <c r="Z5070" s="17" t="s">
        <v>191</v>
      </c>
      <c r="AA5070" s="17" t="s">
        <v>46</v>
      </c>
      <c r="AB5070" s="17" t="s">
        <v>1379</v>
      </c>
      <c r="AC5070" s="102" t="s">
        <v>1380</v>
      </c>
      <c r="AD5070" s="65">
        <v>1517</v>
      </c>
      <c r="AE5070" s="17" t="s">
        <v>48</v>
      </c>
    </row>
    <row r="5071" s="17" customFormat="1" hidden="1" spans="1:44">
      <c r="A5071" s="17" t="s">
        <v>34</v>
      </c>
      <c r="B5071" s="19">
        <v>972</v>
      </c>
      <c r="C5071" s="222">
        <v>45180</v>
      </c>
      <c r="D5071" s="17" t="s">
        <v>52</v>
      </c>
      <c r="E5071" s="17" t="s">
        <v>1113</v>
      </c>
      <c r="F5071" s="17" t="s">
        <v>54</v>
      </c>
      <c r="H5071" s="124" t="s">
        <v>1370</v>
      </c>
      <c r="I5071" s="124"/>
      <c r="J5071" s="17" t="s">
        <v>49</v>
      </c>
      <c r="K5071" s="91">
        <v>1500</v>
      </c>
      <c r="L5071" s="19">
        <v>310</v>
      </c>
      <c r="M5071" s="19">
        <v>3000</v>
      </c>
      <c r="N5071" s="19" t="s">
        <v>40</v>
      </c>
      <c r="O5071" s="19" t="s">
        <v>84</v>
      </c>
      <c r="P5071" s="19">
        <v>10951</v>
      </c>
      <c r="Q5071" s="19">
        <v>9120</v>
      </c>
      <c r="R5071" s="19">
        <f t="shared" si="238"/>
        <v>1831</v>
      </c>
      <c r="S5071" s="19">
        <v>975</v>
      </c>
      <c r="T5071" s="19" t="s">
        <v>42</v>
      </c>
      <c r="U5071" s="102" t="s">
        <v>1378</v>
      </c>
      <c r="V5071" s="253">
        <v>45210</v>
      </c>
      <c r="W5071" s="17" t="s">
        <v>44</v>
      </c>
      <c r="Y5071" s="68">
        <v>45315</v>
      </c>
      <c r="Z5071" s="17" t="s">
        <v>191</v>
      </c>
      <c r="AA5071" s="17" t="s">
        <v>46</v>
      </c>
      <c r="AB5071" s="17" t="s">
        <v>1381</v>
      </c>
      <c r="AC5071" s="102" t="s">
        <v>1380</v>
      </c>
      <c r="AD5071" s="65">
        <v>1518</v>
      </c>
      <c r="AE5071" s="17" t="s">
        <v>48</v>
      </c>
    </row>
    <row r="5072" s="17" customFormat="1" hidden="1" spans="1:44">
      <c r="A5072" s="17" t="s">
        <v>34</v>
      </c>
      <c r="B5072" s="19">
        <v>972</v>
      </c>
      <c r="C5072" s="222">
        <v>45180</v>
      </c>
      <c r="D5072" s="17" t="s">
        <v>52</v>
      </c>
      <c r="E5072" s="17" t="s">
        <v>1113</v>
      </c>
      <c r="F5072" s="17" t="s">
        <v>54</v>
      </c>
      <c r="H5072" s="124" t="s">
        <v>1370</v>
      </c>
      <c r="I5072" s="124"/>
      <c r="J5072" s="17" t="s">
        <v>49</v>
      </c>
      <c r="K5072" s="91">
        <v>1500</v>
      </c>
      <c r="L5072" s="19">
        <v>330</v>
      </c>
      <c r="M5072" s="19">
        <v>3000</v>
      </c>
      <c r="N5072" s="19" t="s">
        <v>40</v>
      </c>
      <c r="O5072" s="19" t="s">
        <v>84</v>
      </c>
      <c r="P5072" s="19">
        <v>11657</v>
      </c>
      <c r="Q5072" s="19">
        <v>10639</v>
      </c>
      <c r="R5072" s="19">
        <f t="shared" si="238"/>
        <v>1018</v>
      </c>
      <c r="S5072" s="19">
        <v>975</v>
      </c>
      <c r="T5072" s="19" t="s">
        <v>42</v>
      </c>
      <c r="U5072" s="102" t="s">
        <v>1378</v>
      </c>
      <c r="V5072" s="253">
        <v>45210</v>
      </c>
      <c r="W5072" s="17" t="s">
        <v>44</v>
      </c>
      <c r="Y5072" s="68">
        <v>45315</v>
      </c>
      <c r="Z5072" s="17" t="s">
        <v>191</v>
      </c>
      <c r="AA5072" s="17" t="s">
        <v>46</v>
      </c>
      <c r="AB5072" s="17" t="s">
        <v>1381</v>
      </c>
      <c r="AC5072" s="102" t="s">
        <v>1380</v>
      </c>
      <c r="AD5072" s="65">
        <v>1518</v>
      </c>
      <c r="AE5072" s="17" t="s">
        <v>48</v>
      </c>
    </row>
    <row r="5073" s="17" customFormat="1" hidden="1" spans="1:44">
      <c r="A5073" s="17" t="s">
        <v>34</v>
      </c>
      <c r="B5073" s="19">
        <v>972</v>
      </c>
      <c r="C5073" s="222">
        <v>45180</v>
      </c>
      <c r="D5073" s="17" t="s">
        <v>52</v>
      </c>
      <c r="E5073" s="17" t="s">
        <v>1113</v>
      </c>
      <c r="F5073" s="17" t="s">
        <v>54</v>
      </c>
      <c r="H5073" s="124" t="s">
        <v>1370</v>
      </c>
      <c r="I5073" s="124"/>
      <c r="J5073" s="17" t="s">
        <v>49</v>
      </c>
      <c r="K5073" s="91">
        <v>1500</v>
      </c>
      <c r="L5073" s="19">
        <v>355</v>
      </c>
      <c r="M5073" s="19">
        <v>3000</v>
      </c>
      <c r="N5073" s="19" t="s">
        <v>40</v>
      </c>
      <c r="O5073" s="19" t="s">
        <v>84</v>
      </c>
      <c r="P5073" s="19">
        <v>12540</v>
      </c>
      <c r="Q5073" s="19">
        <v>12633</v>
      </c>
      <c r="R5073" s="19">
        <f t="shared" si="238"/>
        <v>-93</v>
      </c>
      <c r="S5073" s="19">
        <v>975</v>
      </c>
      <c r="T5073" s="19" t="s">
        <v>42</v>
      </c>
      <c r="U5073" s="102" t="s">
        <v>1378</v>
      </c>
      <c r="V5073" s="253">
        <v>45210</v>
      </c>
      <c r="W5073" s="17" t="s">
        <v>44</v>
      </c>
      <c r="Y5073" s="68">
        <v>45315</v>
      </c>
      <c r="Z5073" s="17" t="s">
        <v>191</v>
      </c>
      <c r="AA5073" s="17" t="s">
        <v>46</v>
      </c>
      <c r="AB5073" s="17" t="s">
        <v>1381</v>
      </c>
      <c r="AC5073" s="102" t="s">
        <v>1380</v>
      </c>
      <c r="AD5073" s="65">
        <v>1518</v>
      </c>
      <c r="AE5073" s="17" t="s">
        <v>48</v>
      </c>
    </row>
    <row r="5074" s="17" customFormat="1" hidden="1" spans="1:44">
      <c r="A5074" s="17" t="s">
        <v>34</v>
      </c>
      <c r="B5074" s="19">
        <v>972</v>
      </c>
      <c r="C5074" s="222">
        <v>45180</v>
      </c>
      <c r="D5074" s="17" t="s">
        <v>52</v>
      </c>
      <c r="E5074" s="17" t="s">
        <v>1113</v>
      </c>
      <c r="F5074" s="17" t="s">
        <v>54</v>
      </c>
      <c r="H5074" s="124" t="s">
        <v>1370</v>
      </c>
      <c r="I5074" s="124"/>
      <c r="J5074" s="17" t="s">
        <v>49</v>
      </c>
      <c r="K5074" s="91">
        <v>1500</v>
      </c>
      <c r="L5074" s="19">
        <v>405</v>
      </c>
      <c r="M5074" s="19">
        <v>3000</v>
      </c>
      <c r="N5074" s="19" t="s">
        <v>40</v>
      </c>
      <c r="O5074" s="19" t="s">
        <v>84</v>
      </c>
      <c r="P5074" s="19">
        <v>14307</v>
      </c>
      <c r="Q5074" s="19">
        <v>13186</v>
      </c>
      <c r="R5074" s="19">
        <f t="shared" si="238"/>
        <v>1121</v>
      </c>
      <c r="S5074" s="19">
        <v>975</v>
      </c>
      <c r="T5074" s="19" t="s">
        <v>42</v>
      </c>
      <c r="U5074" s="102" t="s">
        <v>1378</v>
      </c>
      <c r="V5074" s="253">
        <v>45210</v>
      </c>
      <c r="W5074" s="17" t="s">
        <v>44</v>
      </c>
      <c r="Y5074" s="68">
        <v>45315</v>
      </c>
      <c r="Z5074" s="17" t="s">
        <v>191</v>
      </c>
      <c r="AA5074" s="17" t="s">
        <v>46</v>
      </c>
      <c r="AB5074" s="17" t="s">
        <v>1379</v>
      </c>
      <c r="AC5074" s="102" t="s">
        <v>1380</v>
      </c>
      <c r="AD5074" s="65">
        <v>1517</v>
      </c>
      <c r="AE5074" s="17" t="s">
        <v>48</v>
      </c>
    </row>
    <row r="5075" s="17" customFormat="1" hidden="1" spans="1:44">
      <c r="A5075" s="17" t="s">
        <v>34</v>
      </c>
      <c r="B5075" s="19">
        <v>972</v>
      </c>
      <c r="C5075" s="222">
        <v>45180</v>
      </c>
      <c r="D5075" s="17" t="s">
        <v>52</v>
      </c>
      <c r="E5075" s="17" t="s">
        <v>1113</v>
      </c>
      <c r="F5075" s="17" t="s">
        <v>54</v>
      </c>
      <c r="H5075" s="124" t="s">
        <v>1370</v>
      </c>
      <c r="I5075" s="124"/>
      <c r="J5075" s="17" t="s">
        <v>49</v>
      </c>
      <c r="K5075" s="91">
        <v>1500</v>
      </c>
      <c r="L5075" s="19">
        <v>455</v>
      </c>
      <c r="M5075" s="19">
        <v>3000</v>
      </c>
      <c r="N5075" s="19" t="s">
        <v>40</v>
      </c>
      <c r="O5075" s="19" t="s">
        <v>84</v>
      </c>
      <c r="P5075" s="19">
        <v>16073</v>
      </c>
      <c r="Q5075" s="19">
        <v>15825</v>
      </c>
      <c r="R5075" s="19">
        <f t="shared" si="238"/>
        <v>248</v>
      </c>
      <c r="S5075" s="19">
        <v>975</v>
      </c>
      <c r="T5075" s="19" t="s">
        <v>42</v>
      </c>
      <c r="U5075" s="102" t="s">
        <v>1378</v>
      </c>
      <c r="V5075" s="253">
        <v>45210</v>
      </c>
      <c r="W5075" s="17" t="s">
        <v>44</v>
      </c>
      <c r="Y5075" s="68">
        <v>45315</v>
      </c>
      <c r="Z5075" s="17" t="s">
        <v>191</v>
      </c>
      <c r="AA5075" s="17" t="s">
        <v>46</v>
      </c>
      <c r="AB5075" s="17" t="s">
        <v>1381</v>
      </c>
      <c r="AC5075" s="102" t="s">
        <v>1380</v>
      </c>
      <c r="AD5075" s="65">
        <v>1518</v>
      </c>
      <c r="AE5075" s="17" t="s">
        <v>48</v>
      </c>
    </row>
    <row r="5076" s="17" customFormat="1" hidden="1" spans="1:44">
      <c r="A5076" s="17" t="s">
        <v>34</v>
      </c>
      <c r="B5076" s="19">
        <v>972</v>
      </c>
      <c r="C5076" s="222">
        <v>45180</v>
      </c>
      <c r="D5076" s="17" t="s">
        <v>52</v>
      </c>
      <c r="E5076" s="17" t="s">
        <v>1113</v>
      </c>
      <c r="F5076" s="17" t="s">
        <v>54</v>
      </c>
      <c r="H5076" s="124" t="s">
        <v>1370</v>
      </c>
      <c r="I5076" s="124"/>
      <c r="J5076" s="17" t="s">
        <v>49</v>
      </c>
      <c r="K5076" s="91">
        <v>1500</v>
      </c>
      <c r="L5076" s="19">
        <v>505</v>
      </c>
      <c r="M5076" s="19">
        <v>3000</v>
      </c>
      <c r="N5076" s="19" t="s">
        <v>40</v>
      </c>
      <c r="O5076" s="19" t="s">
        <v>84</v>
      </c>
      <c r="P5076" s="19">
        <v>17839</v>
      </c>
      <c r="Q5076" s="19">
        <v>16386</v>
      </c>
      <c r="R5076" s="19">
        <f t="shared" si="238"/>
        <v>1453</v>
      </c>
      <c r="S5076" s="19">
        <v>975</v>
      </c>
      <c r="T5076" s="19" t="s">
        <v>42</v>
      </c>
      <c r="U5076" s="102" t="s">
        <v>1378</v>
      </c>
      <c r="V5076" s="253">
        <v>45210</v>
      </c>
      <c r="W5076" s="17" t="s">
        <v>44</v>
      </c>
      <c r="Y5076" s="68">
        <v>45315</v>
      </c>
      <c r="Z5076" s="17" t="s">
        <v>191</v>
      </c>
      <c r="AA5076" s="17" t="s">
        <v>46</v>
      </c>
      <c r="AB5076" s="17" t="s">
        <v>1379</v>
      </c>
      <c r="AC5076" s="102" t="s">
        <v>1380</v>
      </c>
      <c r="AD5076" s="65">
        <v>1517</v>
      </c>
      <c r="AE5076" s="17" t="s">
        <v>48</v>
      </c>
    </row>
    <row r="5077" s="21" customFormat="1" hidden="1" spans="1:44">
      <c r="A5077" s="17" t="s">
        <v>34</v>
      </c>
      <c r="B5077" s="19">
        <v>973</v>
      </c>
      <c r="C5077" s="183">
        <v>45281</v>
      </c>
      <c r="D5077" s="17" t="s">
        <v>35</v>
      </c>
      <c r="E5077" s="17" t="s">
        <v>718</v>
      </c>
      <c r="F5077" s="17" t="s">
        <v>37</v>
      </c>
      <c r="G5077" s="17"/>
      <c r="H5077" s="124" t="s">
        <v>197</v>
      </c>
      <c r="I5077" s="124"/>
      <c r="J5077" s="17" t="s">
        <v>39</v>
      </c>
      <c r="K5077" s="19">
        <v>25</v>
      </c>
      <c r="L5077" s="91"/>
      <c r="M5077" s="19">
        <v>3000</v>
      </c>
      <c r="N5077" s="19" t="s">
        <v>40</v>
      </c>
      <c r="O5077" s="19" t="s">
        <v>84</v>
      </c>
      <c r="P5077" s="19">
        <v>112</v>
      </c>
      <c r="Q5077" s="19">
        <v>114</v>
      </c>
      <c r="R5077" s="19">
        <f t="shared" si="238"/>
        <v>-2</v>
      </c>
      <c r="S5077" s="19">
        <v>5975</v>
      </c>
      <c r="T5077" s="19" t="s">
        <v>42</v>
      </c>
      <c r="U5077" s="102" t="s">
        <v>1382</v>
      </c>
      <c r="V5077" s="101">
        <v>45285</v>
      </c>
      <c r="W5077" s="17" t="s">
        <v>44</v>
      </c>
      <c r="X5077" s="17"/>
      <c r="Y5077" s="68">
        <v>45346</v>
      </c>
      <c r="Z5077" s="17" t="s">
        <v>78</v>
      </c>
      <c r="AA5077" s="17" t="s">
        <v>46</v>
      </c>
      <c r="AB5077" s="17" t="s">
        <v>1383</v>
      </c>
      <c r="AC5077" s="217">
        <v>45379</v>
      </c>
      <c r="AD5077" s="65">
        <v>1530</v>
      </c>
      <c r="AE5077" s="17" t="s">
        <v>48</v>
      </c>
      <c r="AF5077" s="17"/>
      <c r="AG5077" s="17"/>
      <c r="AH5077" s="17"/>
      <c r="AI5077" s="17"/>
      <c r="AJ5077" s="17"/>
      <c r="AK5077" s="17"/>
      <c r="AL5077" s="17"/>
      <c r="AM5077" s="17"/>
      <c r="AN5077" s="17"/>
      <c r="AO5077" s="17"/>
      <c r="AP5077" s="17"/>
      <c r="AQ5077" s="17"/>
      <c r="AR5077" s="17"/>
    </row>
    <row r="5078" s="21" customFormat="1" hidden="1" spans="1:44">
      <c r="A5078" s="17" t="s">
        <v>34</v>
      </c>
      <c r="B5078" s="19">
        <v>973</v>
      </c>
      <c r="C5078" s="183">
        <v>45281</v>
      </c>
      <c r="D5078" s="17" t="s">
        <v>35</v>
      </c>
      <c r="E5078" s="17" t="s">
        <v>718</v>
      </c>
      <c r="F5078" s="17" t="s">
        <v>37</v>
      </c>
      <c r="G5078" s="17"/>
      <c r="H5078" s="124" t="s">
        <v>197</v>
      </c>
      <c r="I5078" s="124"/>
      <c r="J5078" s="17" t="s">
        <v>39</v>
      </c>
      <c r="K5078" s="19">
        <v>36</v>
      </c>
      <c r="L5078" s="91"/>
      <c r="M5078" s="19">
        <v>3000</v>
      </c>
      <c r="N5078" s="19" t="s">
        <v>40</v>
      </c>
      <c r="O5078" s="19" t="s">
        <v>84</v>
      </c>
      <c r="P5078" s="19">
        <v>441</v>
      </c>
      <c r="Q5078" s="19">
        <v>441</v>
      </c>
      <c r="R5078" s="19">
        <f t="shared" si="238"/>
        <v>0</v>
      </c>
      <c r="S5078" s="19">
        <v>5975</v>
      </c>
      <c r="T5078" s="19" t="s">
        <v>42</v>
      </c>
      <c r="U5078" s="102" t="s">
        <v>1382</v>
      </c>
      <c r="V5078" s="101">
        <v>45285</v>
      </c>
      <c r="W5078" s="17" t="s">
        <v>44</v>
      </c>
      <c r="X5078" s="17"/>
      <c r="Y5078" s="68">
        <v>45346</v>
      </c>
      <c r="Z5078" s="17" t="s">
        <v>78</v>
      </c>
      <c r="AA5078" s="17" t="s">
        <v>46</v>
      </c>
      <c r="AB5078" s="17" t="s">
        <v>1383</v>
      </c>
      <c r="AC5078" s="217">
        <v>45379</v>
      </c>
      <c r="AD5078" s="65">
        <v>1530</v>
      </c>
      <c r="AE5078" s="17" t="s">
        <v>48</v>
      </c>
      <c r="AF5078" s="17"/>
      <c r="AG5078" s="17"/>
      <c r="AH5078" s="17"/>
      <c r="AI5078" s="17"/>
      <c r="AJ5078" s="17"/>
      <c r="AK5078" s="17"/>
      <c r="AL5078" s="17"/>
      <c r="AM5078" s="17"/>
      <c r="AN5078" s="17"/>
      <c r="AO5078" s="17"/>
      <c r="AP5078" s="17"/>
      <c r="AQ5078" s="17"/>
      <c r="AR5078" s="17"/>
    </row>
    <row r="5079" s="21" customFormat="1" hidden="1" spans="1:44">
      <c r="A5079" s="17" t="s">
        <v>34</v>
      </c>
      <c r="B5079" s="19">
        <v>973</v>
      </c>
      <c r="C5079" s="183">
        <v>45281</v>
      </c>
      <c r="D5079" s="17" t="s">
        <v>35</v>
      </c>
      <c r="E5079" s="17" t="s">
        <v>718</v>
      </c>
      <c r="F5079" s="17" t="s">
        <v>37</v>
      </c>
      <c r="G5079" s="17"/>
      <c r="H5079" s="124" t="s">
        <v>197</v>
      </c>
      <c r="I5079" s="124"/>
      <c r="J5079" s="17" t="s">
        <v>39</v>
      </c>
      <c r="K5079" s="19">
        <v>42</v>
      </c>
      <c r="L5079" s="17"/>
      <c r="M5079" s="19">
        <v>3000</v>
      </c>
      <c r="N5079" s="19" t="s">
        <v>40</v>
      </c>
      <c r="O5079" s="19" t="s">
        <v>84</v>
      </c>
      <c r="P5079" s="19">
        <v>488</v>
      </c>
      <c r="Q5079" s="19">
        <v>488</v>
      </c>
      <c r="R5079" s="19">
        <f t="shared" si="238"/>
        <v>0</v>
      </c>
      <c r="S5079" s="19">
        <v>5975</v>
      </c>
      <c r="T5079" s="19" t="s">
        <v>42</v>
      </c>
      <c r="U5079" s="102" t="s">
        <v>1382</v>
      </c>
      <c r="V5079" s="101">
        <v>45285</v>
      </c>
      <c r="W5079" s="17" t="s">
        <v>44</v>
      </c>
      <c r="X5079" s="17"/>
      <c r="Y5079" s="68">
        <v>45346</v>
      </c>
      <c r="Z5079" s="17" t="s">
        <v>78</v>
      </c>
      <c r="AA5079" s="17" t="s">
        <v>46</v>
      </c>
      <c r="AB5079" s="17" t="s">
        <v>1383</v>
      </c>
      <c r="AC5079" s="217">
        <v>45379</v>
      </c>
      <c r="AD5079" s="65">
        <v>1530</v>
      </c>
      <c r="AE5079" s="17" t="s">
        <v>48</v>
      </c>
      <c r="AF5079" s="17"/>
      <c r="AG5079" s="17"/>
      <c r="AH5079" s="17"/>
      <c r="AI5079" s="17"/>
      <c r="AJ5079" s="17"/>
      <c r="AK5079" s="17"/>
      <c r="AL5079" s="17"/>
      <c r="AM5079" s="17"/>
      <c r="AN5079" s="17"/>
      <c r="AO5079" s="17"/>
      <c r="AP5079" s="17"/>
      <c r="AQ5079" s="17"/>
      <c r="AR5079" s="17"/>
    </row>
    <row r="5080" s="21" customFormat="1" hidden="1" spans="1:44">
      <c r="A5080" s="17" t="s">
        <v>34</v>
      </c>
      <c r="B5080" s="19">
        <v>973</v>
      </c>
      <c r="C5080" s="183">
        <v>45281</v>
      </c>
      <c r="D5080" s="17" t="s">
        <v>35</v>
      </c>
      <c r="E5080" s="17" t="s">
        <v>718</v>
      </c>
      <c r="F5080" s="17" t="s">
        <v>37</v>
      </c>
      <c r="G5080" s="17"/>
      <c r="H5080" s="124" t="s">
        <v>197</v>
      </c>
      <c r="I5080" s="124"/>
      <c r="J5080" s="17" t="s">
        <v>39</v>
      </c>
      <c r="K5080" s="19">
        <v>46</v>
      </c>
      <c r="L5080" s="17"/>
      <c r="M5080" s="19">
        <v>3000</v>
      </c>
      <c r="N5080" s="19" t="s">
        <v>40</v>
      </c>
      <c r="O5080" s="19" t="s">
        <v>84</v>
      </c>
      <c r="P5080" s="19">
        <v>490</v>
      </c>
      <c r="Q5080" s="19">
        <v>490</v>
      </c>
      <c r="R5080" s="19">
        <f t="shared" si="238"/>
        <v>0</v>
      </c>
      <c r="S5080" s="19">
        <v>5975</v>
      </c>
      <c r="T5080" s="19" t="s">
        <v>42</v>
      </c>
      <c r="U5080" s="102" t="s">
        <v>1382</v>
      </c>
      <c r="V5080" s="101">
        <v>45285</v>
      </c>
      <c r="W5080" s="17" t="s">
        <v>44</v>
      </c>
      <c r="X5080" s="17"/>
      <c r="Y5080" s="68">
        <v>45346</v>
      </c>
      <c r="Z5080" s="17" t="s">
        <v>78</v>
      </c>
      <c r="AA5080" s="17" t="s">
        <v>46</v>
      </c>
      <c r="AB5080" s="17" t="s">
        <v>1383</v>
      </c>
      <c r="AC5080" s="217">
        <v>45379</v>
      </c>
      <c r="AD5080" s="65">
        <v>1530</v>
      </c>
      <c r="AE5080" s="17" t="s">
        <v>48</v>
      </c>
      <c r="AF5080" s="17"/>
      <c r="AG5080" s="17"/>
      <c r="AH5080" s="17"/>
      <c r="AI5080" s="17"/>
      <c r="AJ5080" s="17"/>
      <c r="AK5080" s="17"/>
      <c r="AL5080" s="17"/>
      <c r="AM5080" s="17"/>
      <c r="AN5080" s="17"/>
      <c r="AO5080" s="17"/>
      <c r="AP5080" s="17"/>
      <c r="AQ5080" s="17"/>
      <c r="AR5080" s="17"/>
    </row>
    <row r="5081" s="21" customFormat="1" hidden="1" spans="1:44">
      <c r="A5081" s="17" t="s">
        <v>34</v>
      </c>
      <c r="B5081" s="19">
        <v>973</v>
      </c>
      <c r="C5081" s="183">
        <v>45281</v>
      </c>
      <c r="D5081" s="17" t="s">
        <v>35</v>
      </c>
      <c r="E5081" s="17" t="s">
        <v>718</v>
      </c>
      <c r="F5081" s="17" t="s">
        <v>37</v>
      </c>
      <c r="G5081" s="17"/>
      <c r="H5081" s="124" t="s">
        <v>197</v>
      </c>
      <c r="I5081" s="124"/>
      <c r="J5081" s="17" t="s">
        <v>39</v>
      </c>
      <c r="K5081" s="19">
        <v>50</v>
      </c>
      <c r="L5081" s="17"/>
      <c r="M5081" s="19">
        <v>3000</v>
      </c>
      <c r="N5081" s="19" t="s">
        <v>40</v>
      </c>
      <c r="O5081" s="19" t="s">
        <v>84</v>
      </c>
      <c r="P5081" s="19">
        <v>245</v>
      </c>
      <c r="Q5081" s="19">
        <v>245</v>
      </c>
      <c r="R5081" s="19">
        <f t="shared" si="238"/>
        <v>0</v>
      </c>
      <c r="S5081" s="19">
        <v>5975</v>
      </c>
      <c r="T5081" s="19" t="s">
        <v>42</v>
      </c>
      <c r="U5081" s="102" t="s">
        <v>1382</v>
      </c>
      <c r="V5081" s="101">
        <v>45285</v>
      </c>
      <c r="W5081" s="17" t="s">
        <v>44</v>
      </c>
      <c r="X5081" s="17"/>
      <c r="Y5081" s="68">
        <v>45346</v>
      </c>
      <c r="Z5081" s="17" t="s">
        <v>78</v>
      </c>
      <c r="AA5081" s="17" t="s">
        <v>46</v>
      </c>
      <c r="AB5081" s="17" t="s">
        <v>1383</v>
      </c>
      <c r="AC5081" s="217">
        <v>45379</v>
      </c>
      <c r="AD5081" s="65">
        <v>1530</v>
      </c>
      <c r="AE5081" s="17" t="s">
        <v>48</v>
      </c>
      <c r="AF5081" s="17"/>
      <c r="AG5081" s="17"/>
      <c r="AH5081" s="17"/>
      <c r="AI5081" s="17"/>
      <c r="AJ5081" s="17"/>
      <c r="AK5081" s="17"/>
      <c r="AL5081" s="17"/>
      <c r="AM5081" s="17"/>
      <c r="AN5081" s="17"/>
      <c r="AO5081" s="17"/>
      <c r="AP5081" s="17"/>
      <c r="AQ5081" s="17"/>
      <c r="AR5081" s="17"/>
    </row>
    <row r="5082" s="21" customFormat="1" hidden="1" spans="1:44">
      <c r="A5082" s="17" t="s">
        <v>34</v>
      </c>
      <c r="B5082" s="19">
        <v>973</v>
      </c>
      <c r="C5082" s="183">
        <v>45281</v>
      </c>
      <c r="D5082" s="17" t="s">
        <v>35</v>
      </c>
      <c r="E5082" s="17" t="s">
        <v>718</v>
      </c>
      <c r="F5082" s="17" t="s">
        <v>37</v>
      </c>
      <c r="G5082" s="17"/>
      <c r="H5082" s="124" t="s">
        <v>197</v>
      </c>
      <c r="I5082" s="124"/>
      <c r="J5082" s="17" t="s">
        <v>39</v>
      </c>
      <c r="K5082" s="19">
        <v>85</v>
      </c>
      <c r="L5082" s="17"/>
      <c r="M5082" s="19">
        <v>3000</v>
      </c>
      <c r="N5082" s="19" t="s">
        <v>40</v>
      </c>
      <c r="O5082" s="19" t="s">
        <v>84</v>
      </c>
      <c r="P5082" s="19">
        <v>480</v>
      </c>
      <c r="Q5082" s="19">
        <v>480</v>
      </c>
      <c r="R5082" s="19">
        <f t="shared" si="238"/>
        <v>0</v>
      </c>
      <c r="S5082" s="19">
        <v>5975</v>
      </c>
      <c r="T5082" s="19" t="s">
        <v>42</v>
      </c>
      <c r="U5082" s="102" t="s">
        <v>1382</v>
      </c>
      <c r="V5082" s="101">
        <v>45285</v>
      </c>
      <c r="W5082" s="17" t="s">
        <v>44</v>
      </c>
      <c r="X5082" s="17"/>
      <c r="Y5082" s="68">
        <v>45346</v>
      </c>
      <c r="Z5082" s="17" t="s">
        <v>78</v>
      </c>
      <c r="AA5082" s="17" t="s">
        <v>46</v>
      </c>
      <c r="AB5082" s="17" t="s">
        <v>1383</v>
      </c>
      <c r="AC5082" s="217">
        <v>45379</v>
      </c>
      <c r="AD5082" s="65">
        <v>1530</v>
      </c>
      <c r="AE5082" s="17" t="s">
        <v>48</v>
      </c>
      <c r="AF5082" s="17"/>
      <c r="AG5082" s="17"/>
      <c r="AH5082" s="17"/>
      <c r="AI5082" s="17"/>
      <c r="AJ5082" s="17"/>
      <c r="AK5082" s="17"/>
      <c r="AL5082" s="17"/>
      <c r="AM5082" s="17"/>
      <c r="AN5082" s="17"/>
      <c r="AO5082" s="17"/>
      <c r="AP5082" s="17"/>
      <c r="AQ5082" s="17"/>
      <c r="AR5082" s="17"/>
    </row>
    <row r="5083" s="21" customFormat="1" hidden="1" spans="1:44">
      <c r="A5083" s="17" t="s">
        <v>34</v>
      </c>
      <c r="B5083" s="19">
        <v>973</v>
      </c>
      <c r="C5083" s="183">
        <v>45281</v>
      </c>
      <c r="D5083" s="17" t="s">
        <v>35</v>
      </c>
      <c r="E5083" s="17" t="s">
        <v>718</v>
      </c>
      <c r="F5083" s="17" t="s">
        <v>37</v>
      </c>
      <c r="G5083" s="17"/>
      <c r="H5083" s="124" t="s">
        <v>197</v>
      </c>
      <c r="I5083" s="124"/>
      <c r="J5083" s="17" t="s">
        <v>39</v>
      </c>
      <c r="K5083" s="19">
        <v>95</v>
      </c>
      <c r="L5083" s="17"/>
      <c r="M5083" s="19">
        <v>3000</v>
      </c>
      <c r="N5083" s="19" t="s">
        <v>40</v>
      </c>
      <c r="O5083" s="19" t="s">
        <v>84</v>
      </c>
      <c r="P5083" s="19">
        <v>960</v>
      </c>
      <c r="Q5083" s="19">
        <v>960</v>
      </c>
      <c r="R5083" s="19">
        <f t="shared" si="238"/>
        <v>0</v>
      </c>
      <c r="S5083" s="19">
        <v>5975</v>
      </c>
      <c r="T5083" s="19" t="s">
        <v>42</v>
      </c>
      <c r="U5083" s="102" t="s">
        <v>1382</v>
      </c>
      <c r="V5083" s="101">
        <v>45285</v>
      </c>
      <c r="W5083" s="17" t="s">
        <v>44</v>
      </c>
      <c r="X5083" s="17"/>
      <c r="Y5083" s="68">
        <v>45346</v>
      </c>
      <c r="Z5083" s="17" t="s">
        <v>78</v>
      </c>
      <c r="AA5083" s="17" t="s">
        <v>46</v>
      </c>
      <c r="AB5083" s="17" t="s">
        <v>1383</v>
      </c>
      <c r="AC5083" s="217">
        <v>45379</v>
      </c>
      <c r="AD5083" s="65">
        <v>1530</v>
      </c>
      <c r="AE5083" s="17" t="s">
        <v>48</v>
      </c>
      <c r="AF5083" s="17"/>
      <c r="AG5083" s="17"/>
      <c r="AH5083" s="17"/>
      <c r="AI5083" s="17"/>
      <c r="AJ5083" s="17"/>
      <c r="AK5083" s="17"/>
      <c r="AL5083" s="17"/>
      <c r="AM5083" s="17"/>
      <c r="AN5083" s="17"/>
      <c r="AO5083" s="17"/>
      <c r="AP5083" s="17"/>
      <c r="AQ5083" s="17"/>
      <c r="AR5083" s="17"/>
    </row>
    <row r="5084" s="21" customFormat="1" hidden="1" spans="1:44">
      <c r="A5084" s="17" t="s">
        <v>34</v>
      </c>
      <c r="B5084" s="19">
        <v>973</v>
      </c>
      <c r="C5084" s="183">
        <v>45281</v>
      </c>
      <c r="D5084" s="17" t="s">
        <v>35</v>
      </c>
      <c r="E5084" s="17" t="s">
        <v>718</v>
      </c>
      <c r="F5084" s="17" t="s">
        <v>37</v>
      </c>
      <c r="G5084" s="17"/>
      <c r="H5084" s="124" t="s">
        <v>197</v>
      </c>
      <c r="I5084" s="124"/>
      <c r="J5084" s="17" t="s">
        <v>39</v>
      </c>
      <c r="K5084" s="19">
        <v>110</v>
      </c>
      <c r="L5084" s="17"/>
      <c r="M5084" s="19">
        <v>3000</v>
      </c>
      <c r="N5084" s="19" t="s">
        <v>40</v>
      </c>
      <c r="O5084" s="19" t="s">
        <v>84</v>
      </c>
      <c r="P5084" s="19">
        <v>415</v>
      </c>
      <c r="Q5084" s="19">
        <v>415</v>
      </c>
      <c r="R5084" s="19">
        <f t="shared" si="238"/>
        <v>0</v>
      </c>
      <c r="S5084" s="19">
        <v>5975</v>
      </c>
      <c r="T5084" s="19" t="s">
        <v>42</v>
      </c>
      <c r="U5084" s="102" t="s">
        <v>1382</v>
      </c>
      <c r="V5084" s="101">
        <v>45285</v>
      </c>
      <c r="W5084" s="17" t="s">
        <v>44</v>
      </c>
      <c r="X5084" s="17"/>
      <c r="Y5084" s="68">
        <v>45346</v>
      </c>
      <c r="Z5084" s="17" t="s">
        <v>78</v>
      </c>
      <c r="AA5084" s="17" t="s">
        <v>46</v>
      </c>
      <c r="AB5084" s="17" t="s">
        <v>1383</v>
      </c>
      <c r="AC5084" s="217">
        <v>45379</v>
      </c>
      <c r="AD5084" s="65">
        <v>1530</v>
      </c>
      <c r="AE5084" s="17" t="s">
        <v>48</v>
      </c>
      <c r="AF5084" s="17"/>
      <c r="AG5084" s="17"/>
      <c r="AH5084" s="17"/>
      <c r="AI5084" s="17"/>
      <c r="AJ5084" s="17"/>
      <c r="AK5084" s="17"/>
      <c r="AL5084" s="17"/>
      <c r="AM5084" s="17"/>
      <c r="AN5084" s="17"/>
      <c r="AO5084" s="17"/>
      <c r="AP5084" s="17"/>
      <c r="AQ5084" s="17"/>
      <c r="AR5084" s="17"/>
    </row>
    <row r="5085" s="21" customFormat="1" hidden="1" spans="1:44">
      <c r="A5085" s="17" t="s">
        <v>34</v>
      </c>
      <c r="B5085" s="19">
        <v>973</v>
      </c>
      <c r="C5085" s="183">
        <v>45281</v>
      </c>
      <c r="D5085" s="17" t="s">
        <v>35</v>
      </c>
      <c r="E5085" s="17" t="s">
        <v>718</v>
      </c>
      <c r="F5085" s="17" t="s">
        <v>37</v>
      </c>
      <c r="G5085" s="17"/>
      <c r="H5085" s="124" t="s">
        <v>197</v>
      </c>
      <c r="I5085" s="124"/>
      <c r="J5085" s="17" t="s">
        <v>39</v>
      </c>
      <c r="K5085" s="19">
        <v>120</v>
      </c>
      <c r="L5085" s="17"/>
      <c r="M5085" s="19">
        <v>3000</v>
      </c>
      <c r="N5085" s="19" t="s">
        <v>40</v>
      </c>
      <c r="O5085" s="19" t="s">
        <v>84</v>
      </c>
      <c r="P5085" s="19">
        <v>1012</v>
      </c>
      <c r="Q5085" s="19">
        <v>1013</v>
      </c>
      <c r="R5085" s="19">
        <f t="shared" si="238"/>
        <v>-1</v>
      </c>
      <c r="S5085" s="19">
        <v>5975</v>
      </c>
      <c r="T5085" s="19" t="s">
        <v>42</v>
      </c>
      <c r="U5085" s="102" t="s">
        <v>1382</v>
      </c>
      <c r="V5085" s="101">
        <v>45285</v>
      </c>
      <c r="W5085" s="17" t="s">
        <v>44</v>
      </c>
      <c r="X5085" s="17"/>
      <c r="Y5085" s="68">
        <v>45346</v>
      </c>
      <c r="Z5085" s="17" t="s">
        <v>78</v>
      </c>
      <c r="AA5085" s="17" t="s">
        <v>46</v>
      </c>
      <c r="AB5085" s="17" t="s">
        <v>1383</v>
      </c>
      <c r="AC5085" s="217">
        <v>45379</v>
      </c>
      <c r="AD5085" s="65">
        <v>1530</v>
      </c>
      <c r="AE5085" s="17" t="s">
        <v>48</v>
      </c>
      <c r="AF5085" s="17"/>
      <c r="AG5085" s="17"/>
      <c r="AH5085" s="17"/>
      <c r="AI5085" s="17"/>
      <c r="AJ5085" s="17"/>
      <c r="AK5085" s="17"/>
      <c r="AL5085" s="17"/>
      <c r="AM5085" s="17"/>
      <c r="AN5085" s="17"/>
      <c r="AO5085" s="17"/>
      <c r="AP5085" s="17"/>
      <c r="AQ5085" s="17"/>
      <c r="AR5085" s="17"/>
    </row>
    <row r="5086" s="21" customFormat="1" hidden="1" spans="1:44">
      <c r="A5086" s="17" t="s">
        <v>34</v>
      </c>
      <c r="B5086" s="19">
        <v>973</v>
      </c>
      <c r="C5086" s="183">
        <v>45281</v>
      </c>
      <c r="D5086" s="17" t="s">
        <v>35</v>
      </c>
      <c r="E5086" s="17" t="s">
        <v>718</v>
      </c>
      <c r="F5086" s="17" t="s">
        <v>37</v>
      </c>
      <c r="G5086" s="17"/>
      <c r="H5086" s="124" t="s">
        <v>197</v>
      </c>
      <c r="I5086" s="124"/>
      <c r="J5086" s="17" t="s">
        <v>39</v>
      </c>
      <c r="K5086" s="19">
        <v>130</v>
      </c>
      <c r="L5086" s="17"/>
      <c r="M5086" s="19">
        <v>3000</v>
      </c>
      <c r="N5086" s="19" t="s">
        <v>40</v>
      </c>
      <c r="O5086" s="19" t="s">
        <v>84</v>
      </c>
      <c r="P5086" s="19">
        <v>1250</v>
      </c>
      <c r="Q5086" s="19">
        <v>1253</v>
      </c>
      <c r="R5086" s="19">
        <f t="shared" si="238"/>
        <v>-3</v>
      </c>
      <c r="S5086" s="19">
        <v>5975</v>
      </c>
      <c r="T5086" s="19" t="s">
        <v>42</v>
      </c>
      <c r="U5086" s="102" t="s">
        <v>1382</v>
      </c>
      <c r="V5086" s="101">
        <v>45285</v>
      </c>
      <c r="W5086" s="17" t="s">
        <v>44</v>
      </c>
      <c r="X5086" s="17"/>
      <c r="Y5086" s="68">
        <v>45346</v>
      </c>
      <c r="Z5086" s="17" t="s">
        <v>78</v>
      </c>
      <c r="AA5086" s="17" t="s">
        <v>46</v>
      </c>
      <c r="AB5086" s="17" t="s">
        <v>1383</v>
      </c>
      <c r="AC5086" s="217">
        <v>45379</v>
      </c>
      <c r="AD5086" s="65">
        <v>1530</v>
      </c>
      <c r="AE5086" s="17" t="s">
        <v>48</v>
      </c>
      <c r="AF5086" s="17"/>
      <c r="AG5086" s="17"/>
      <c r="AH5086" s="17"/>
      <c r="AI5086" s="17"/>
      <c r="AJ5086" s="17"/>
      <c r="AK5086" s="17"/>
      <c r="AL5086" s="17"/>
      <c r="AM5086" s="17"/>
      <c r="AN5086" s="17"/>
      <c r="AO5086" s="17"/>
      <c r="AP5086" s="17"/>
      <c r="AQ5086" s="17"/>
      <c r="AR5086" s="17"/>
    </row>
    <row r="5087" s="21" customFormat="1" hidden="1" spans="1:44">
      <c r="A5087" s="17" t="s">
        <v>34</v>
      </c>
      <c r="B5087" s="19">
        <v>973</v>
      </c>
      <c r="C5087" s="183">
        <v>45281</v>
      </c>
      <c r="D5087" s="17" t="s">
        <v>35</v>
      </c>
      <c r="E5087" s="17" t="s">
        <v>718</v>
      </c>
      <c r="F5087" s="17" t="s">
        <v>37</v>
      </c>
      <c r="G5087" s="17"/>
      <c r="H5087" s="124" t="s">
        <v>197</v>
      </c>
      <c r="I5087" s="124"/>
      <c r="J5087" s="17" t="s">
        <v>39</v>
      </c>
      <c r="K5087" s="19">
        <v>172</v>
      </c>
      <c r="L5087" s="17"/>
      <c r="M5087" s="19">
        <v>3000</v>
      </c>
      <c r="N5087" s="19" t="s">
        <v>40</v>
      </c>
      <c r="O5087" s="19" t="s">
        <v>84</v>
      </c>
      <c r="P5087" s="19">
        <v>988</v>
      </c>
      <c r="Q5087" s="19">
        <v>988</v>
      </c>
      <c r="R5087" s="19">
        <f t="shared" si="238"/>
        <v>0</v>
      </c>
      <c r="S5087" s="19">
        <v>5975</v>
      </c>
      <c r="T5087" s="19" t="s">
        <v>42</v>
      </c>
      <c r="U5087" s="102" t="s">
        <v>1382</v>
      </c>
      <c r="V5087" s="101">
        <v>45285</v>
      </c>
      <c r="W5087" s="17" t="s">
        <v>44</v>
      </c>
      <c r="X5087" s="17"/>
      <c r="Y5087" s="68">
        <v>45346</v>
      </c>
      <c r="Z5087" s="17" t="s">
        <v>78</v>
      </c>
      <c r="AA5087" s="17" t="s">
        <v>46</v>
      </c>
      <c r="AB5087" s="17" t="s">
        <v>1383</v>
      </c>
      <c r="AC5087" s="217">
        <v>45379</v>
      </c>
      <c r="AD5087" s="65">
        <v>1530</v>
      </c>
      <c r="AE5087" s="17" t="s">
        <v>48</v>
      </c>
      <c r="AF5087" s="17"/>
      <c r="AG5087" s="17"/>
      <c r="AH5087" s="17"/>
      <c r="AI5087" s="17"/>
      <c r="AJ5087" s="17"/>
      <c r="AK5087" s="17"/>
      <c r="AL5087" s="17"/>
      <c r="AM5087" s="17"/>
      <c r="AN5087" s="17"/>
      <c r="AO5087" s="17"/>
      <c r="AP5087" s="17"/>
      <c r="AQ5087" s="17"/>
      <c r="AR5087" s="17"/>
    </row>
    <row r="5088" s="21" customFormat="1" hidden="1" spans="1:44">
      <c r="A5088" s="17" t="s">
        <v>34</v>
      </c>
      <c r="B5088" s="19">
        <v>974</v>
      </c>
      <c r="C5088" s="183">
        <v>45281</v>
      </c>
      <c r="D5088" s="17" t="s">
        <v>35</v>
      </c>
      <c r="E5088" s="17" t="s">
        <v>718</v>
      </c>
      <c r="F5088" s="17" t="s">
        <v>37</v>
      </c>
      <c r="G5088" s="17"/>
      <c r="H5088" s="124" t="s">
        <v>197</v>
      </c>
      <c r="I5088" s="124"/>
      <c r="J5088" s="17" t="s">
        <v>39</v>
      </c>
      <c r="K5088" s="19">
        <v>60</v>
      </c>
      <c r="L5088" s="17"/>
      <c r="M5088" s="19">
        <v>3000</v>
      </c>
      <c r="N5088" s="19" t="s">
        <v>40</v>
      </c>
      <c r="O5088" s="19" t="s">
        <v>84</v>
      </c>
      <c r="P5088" s="19">
        <v>1000</v>
      </c>
      <c r="Q5088" s="19">
        <v>916</v>
      </c>
      <c r="R5088" s="19">
        <f t="shared" si="238"/>
        <v>84</v>
      </c>
      <c r="S5088" s="19">
        <f>5875+135</f>
        <v>6010</v>
      </c>
      <c r="T5088" s="19" t="s">
        <v>42</v>
      </c>
      <c r="U5088" s="102" t="s">
        <v>1384</v>
      </c>
      <c r="V5088" s="101">
        <v>45285</v>
      </c>
      <c r="W5088" s="17" t="s">
        <v>58</v>
      </c>
      <c r="X5088" s="17"/>
      <c r="Y5088" s="68">
        <v>45383</v>
      </c>
      <c r="Z5088" s="17" t="s">
        <v>78</v>
      </c>
      <c r="AA5088" s="17" t="s">
        <v>46</v>
      </c>
      <c r="AB5088" s="17" t="s">
        <v>1385</v>
      </c>
      <c r="AC5088" s="217">
        <v>45503</v>
      </c>
      <c r="AD5088" s="65">
        <v>1585</v>
      </c>
      <c r="AE5088" s="17" t="s">
        <v>48</v>
      </c>
      <c r="AF5088" s="17"/>
      <c r="AG5088" s="17"/>
      <c r="AH5088" s="17"/>
      <c r="AI5088" s="17"/>
      <c r="AJ5088" s="17"/>
      <c r="AK5088" s="17"/>
      <c r="AL5088" s="17"/>
      <c r="AM5088" s="17"/>
      <c r="AN5088" s="17"/>
      <c r="AO5088" s="17"/>
      <c r="AP5088" s="17"/>
      <c r="AQ5088" s="17"/>
      <c r="AR5088" s="17"/>
    </row>
    <row r="5089" s="21" customFormat="1" hidden="1" spans="1:44">
      <c r="A5089" s="17" t="s">
        <v>34</v>
      </c>
      <c r="B5089" s="19">
        <v>974</v>
      </c>
      <c r="C5089" s="183">
        <v>45281</v>
      </c>
      <c r="D5089" s="17" t="s">
        <v>35</v>
      </c>
      <c r="E5089" s="17" t="s">
        <v>718</v>
      </c>
      <c r="F5089" s="17" t="s">
        <v>37</v>
      </c>
      <c r="G5089" s="17"/>
      <c r="H5089" s="124" t="s">
        <v>197</v>
      </c>
      <c r="I5089" s="124"/>
      <c r="J5089" s="17" t="s">
        <v>39</v>
      </c>
      <c r="K5089" s="19">
        <v>70</v>
      </c>
      <c r="L5089" s="17"/>
      <c r="M5089" s="19">
        <v>3000</v>
      </c>
      <c r="N5089" s="19" t="s">
        <v>40</v>
      </c>
      <c r="O5089" s="19" t="s">
        <v>84</v>
      </c>
      <c r="P5089" s="19">
        <v>1000</v>
      </c>
      <c r="Q5089" s="19">
        <v>916</v>
      </c>
      <c r="R5089" s="19">
        <f t="shared" si="238"/>
        <v>84</v>
      </c>
      <c r="S5089" s="19">
        <f>5875+135</f>
        <v>6010</v>
      </c>
      <c r="T5089" s="19" t="s">
        <v>42</v>
      </c>
      <c r="U5089" s="102" t="s">
        <v>1384</v>
      </c>
      <c r="V5089" s="101">
        <v>45285</v>
      </c>
      <c r="W5089" s="17" t="s">
        <v>58</v>
      </c>
      <c r="X5089" s="17"/>
      <c r="Y5089" s="68">
        <v>45383</v>
      </c>
      <c r="Z5089" s="17" t="s">
        <v>78</v>
      </c>
      <c r="AA5089" s="17" t="s">
        <v>46</v>
      </c>
      <c r="AB5089" s="17" t="s">
        <v>1385</v>
      </c>
      <c r="AC5089" s="217">
        <v>45503</v>
      </c>
      <c r="AD5089" s="65">
        <v>1585</v>
      </c>
      <c r="AE5089" s="17" t="s">
        <v>48</v>
      </c>
      <c r="AF5089" s="17"/>
      <c r="AG5089" s="17"/>
      <c r="AH5089" s="17"/>
      <c r="AI5089" s="17"/>
      <c r="AJ5089" s="17"/>
      <c r="AK5089" s="17"/>
      <c r="AL5089" s="17"/>
      <c r="AM5089" s="17"/>
      <c r="AN5089" s="17"/>
      <c r="AO5089" s="17"/>
      <c r="AP5089" s="17"/>
      <c r="AQ5089" s="17"/>
      <c r="AR5089" s="17"/>
    </row>
    <row r="5090" s="21" customFormat="1" hidden="1" spans="1:44">
      <c r="A5090" s="17" t="s">
        <v>34</v>
      </c>
      <c r="B5090" s="19">
        <v>974</v>
      </c>
      <c r="C5090" s="183">
        <v>45281</v>
      </c>
      <c r="D5090" s="17" t="s">
        <v>35</v>
      </c>
      <c r="E5090" s="17" t="s">
        <v>718</v>
      </c>
      <c r="F5090" s="17" t="s">
        <v>37</v>
      </c>
      <c r="G5090" s="17"/>
      <c r="H5090" s="124" t="s">
        <v>197</v>
      </c>
      <c r="I5090" s="124"/>
      <c r="J5090" s="17" t="s">
        <v>39</v>
      </c>
      <c r="K5090" s="19">
        <v>80</v>
      </c>
      <c r="L5090" s="17"/>
      <c r="M5090" s="19">
        <v>3000</v>
      </c>
      <c r="N5090" s="19" t="s">
        <v>40</v>
      </c>
      <c r="O5090" s="19" t="s">
        <v>84</v>
      </c>
      <c r="P5090" s="19">
        <v>1000</v>
      </c>
      <c r="Q5090" s="19">
        <v>646</v>
      </c>
      <c r="R5090" s="19">
        <f t="shared" si="238"/>
        <v>354</v>
      </c>
      <c r="S5090" s="19">
        <f>5875+135</f>
        <v>6010</v>
      </c>
      <c r="T5090" s="19" t="s">
        <v>42</v>
      </c>
      <c r="U5090" s="102" t="s">
        <v>1384</v>
      </c>
      <c r="V5090" s="101">
        <v>45285</v>
      </c>
      <c r="W5090" s="17" t="s">
        <v>58</v>
      </c>
      <c r="X5090" s="17"/>
      <c r="Y5090" s="68">
        <v>45383</v>
      </c>
      <c r="Z5090" s="17" t="s">
        <v>78</v>
      </c>
      <c r="AA5090" s="17" t="s">
        <v>46</v>
      </c>
      <c r="AB5090" s="17" t="s">
        <v>1385</v>
      </c>
      <c r="AC5090" s="217">
        <v>45503</v>
      </c>
      <c r="AD5090" s="65">
        <v>1585</v>
      </c>
      <c r="AE5090" s="17" t="s">
        <v>48</v>
      </c>
      <c r="AF5090" s="17"/>
      <c r="AG5090" s="17"/>
      <c r="AH5090" s="17"/>
      <c r="AI5090" s="17"/>
      <c r="AJ5090" s="17"/>
      <c r="AK5090" s="17"/>
      <c r="AL5090" s="17"/>
      <c r="AM5090" s="17"/>
      <c r="AN5090" s="17"/>
      <c r="AO5090" s="17"/>
      <c r="AP5090" s="17"/>
      <c r="AQ5090" s="17"/>
      <c r="AR5090" s="17"/>
    </row>
    <row r="5091" s="21" customFormat="1" hidden="1" spans="1:44">
      <c r="A5091" s="17" t="s">
        <v>34</v>
      </c>
      <c r="B5091" s="19">
        <v>974</v>
      </c>
      <c r="C5091" s="183">
        <v>45281</v>
      </c>
      <c r="D5091" s="17" t="s">
        <v>35</v>
      </c>
      <c r="E5091" s="17" t="s">
        <v>718</v>
      </c>
      <c r="F5091" s="17" t="s">
        <v>37</v>
      </c>
      <c r="G5091" s="17"/>
      <c r="H5091" s="124" t="s">
        <v>197</v>
      </c>
      <c r="I5091" s="124"/>
      <c r="J5091" s="17" t="s">
        <v>39</v>
      </c>
      <c r="K5091" s="19">
        <v>155</v>
      </c>
      <c r="L5091" s="17"/>
      <c r="M5091" s="19">
        <v>3000</v>
      </c>
      <c r="N5091" s="19" t="s">
        <v>40</v>
      </c>
      <c r="O5091" s="19" t="s">
        <v>84</v>
      </c>
      <c r="P5091" s="19">
        <v>2000</v>
      </c>
      <c r="Q5091" s="19">
        <v>1982</v>
      </c>
      <c r="R5091" s="19">
        <f t="shared" si="238"/>
        <v>18</v>
      </c>
      <c r="S5091" s="19">
        <f>5875+135</f>
        <v>6010</v>
      </c>
      <c r="T5091" s="19" t="s">
        <v>42</v>
      </c>
      <c r="U5091" s="102" t="s">
        <v>1384</v>
      </c>
      <c r="V5091" s="101">
        <v>45285</v>
      </c>
      <c r="W5091" s="17" t="s">
        <v>58</v>
      </c>
      <c r="X5091" s="17"/>
      <c r="Y5091" s="68">
        <v>45383</v>
      </c>
      <c r="Z5091" s="17" t="s">
        <v>78</v>
      </c>
      <c r="AA5091" s="17" t="s">
        <v>46</v>
      </c>
      <c r="AB5091" s="17" t="s">
        <v>1385</v>
      </c>
      <c r="AC5091" s="217">
        <v>45503</v>
      </c>
      <c r="AD5091" s="65">
        <v>1585</v>
      </c>
      <c r="AE5091" s="17" t="s">
        <v>48</v>
      </c>
      <c r="AF5091" s="17"/>
      <c r="AG5091" s="17"/>
      <c r="AH5091" s="17"/>
      <c r="AI5091" s="17"/>
      <c r="AJ5091" s="17"/>
      <c r="AK5091" s="17"/>
      <c r="AL5091" s="17"/>
      <c r="AM5091" s="17"/>
      <c r="AN5091" s="17"/>
      <c r="AO5091" s="17"/>
      <c r="AP5091" s="17"/>
      <c r="AQ5091" s="17"/>
      <c r="AR5091" s="17"/>
    </row>
    <row r="5092" s="21" customFormat="1" hidden="1" spans="1:44">
      <c r="A5092" s="17" t="s">
        <v>34</v>
      </c>
      <c r="B5092" s="19">
        <v>975</v>
      </c>
      <c r="C5092" s="183">
        <v>45281</v>
      </c>
      <c r="D5092" s="17" t="s">
        <v>35</v>
      </c>
      <c r="E5092" s="17" t="s">
        <v>718</v>
      </c>
      <c r="F5092" s="17" t="s">
        <v>37</v>
      </c>
      <c r="G5092" s="17"/>
      <c r="H5092" s="124" t="s">
        <v>247</v>
      </c>
      <c r="I5092" s="124"/>
      <c r="J5092" s="17" t="s">
        <v>39</v>
      </c>
      <c r="K5092" s="19">
        <v>152</v>
      </c>
      <c r="L5092" s="17"/>
      <c r="M5092" s="19">
        <v>3000</v>
      </c>
      <c r="N5092" s="19" t="s">
        <v>40</v>
      </c>
      <c r="O5092" s="19" t="s">
        <v>84</v>
      </c>
      <c r="P5092" s="19">
        <v>862</v>
      </c>
      <c r="Q5092" s="19">
        <v>862</v>
      </c>
      <c r="R5092" s="19">
        <f t="shared" si="238"/>
        <v>0</v>
      </c>
      <c r="S5092" s="19">
        <v>9450</v>
      </c>
      <c r="T5092" s="19" t="s">
        <v>42</v>
      </c>
      <c r="U5092" s="102" t="s">
        <v>1382</v>
      </c>
      <c r="V5092" s="101">
        <v>45285</v>
      </c>
      <c r="W5092" s="17" t="s">
        <v>44</v>
      </c>
      <c r="X5092" s="17"/>
      <c r="Y5092" s="68">
        <v>45323</v>
      </c>
      <c r="Z5092" s="17" t="s">
        <v>78</v>
      </c>
      <c r="AA5092" s="17" t="s">
        <v>46</v>
      </c>
      <c r="AB5092" s="17" t="s">
        <v>1383</v>
      </c>
      <c r="AC5092" s="217">
        <v>45379</v>
      </c>
      <c r="AD5092" s="65">
        <v>1530</v>
      </c>
      <c r="AE5092" s="17" t="s">
        <v>48</v>
      </c>
      <c r="AF5092" s="17"/>
      <c r="AG5092" s="17"/>
      <c r="AH5092" s="17"/>
      <c r="AI5092" s="17"/>
      <c r="AJ5092" s="17"/>
      <c r="AK5092" s="17"/>
      <c r="AL5092" s="17"/>
      <c r="AM5092" s="17"/>
      <c r="AN5092" s="17"/>
      <c r="AO5092" s="17"/>
      <c r="AP5092" s="17"/>
      <c r="AQ5092" s="17"/>
      <c r="AR5092" s="17"/>
    </row>
    <row r="5093" s="21" customFormat="1" hidden="1" spans="1:44">
      <c r="A5093" s="17" t="s">
        <v>34</v>
      </c>
      <c r="B5093" s="19">
        <v>976</v>
      </c>
      <c r="C5093" s="183">
        <v>45282</v>
      </c>
      <c r="D5093" s="17" t="s">
        <v>35</v>
      </c>
      <c r="E5093" s="17" t="s">
        <v>718</v>
      </c>
      <c r="F5093" s="17" t="s">
        <v>37</v>
      </c>
      <c r="G5093" s="17"/>
      <c r="H5093" s="124">
        <v>1.2344</v>
      </c>
      <c r="I5093" s="124"/>
      <c r="J5093" s="17" t="s">
        <v>39</v>
      </c>
      <c r="K5093" s="19">
        <v>132</v>
      </c>
      <c r="L5093" s="17"/>
      <c r="M5093" s="19">
        <v>3000</v>
      </c>
      <c r="N5093" s="19" t="s">
        <v>40</v>
      </c>
      <c r="O5093" s="19" t="s">
        <v>84</v>
      </c>
      <c r="P5093" s="19">
        <v>1936</v>
      </c>
      <c r="Q5093" s="19">
        <v>1926</v>
      </c>
      <c r="R5093" s="19">
        <f t="shared" si="238"/>
        <v>10</v>
      </c>
      <c r="S5093" s="19">
        <v>3925</v>
      </c>
      <c r="T5093" s="19" t="s">
        <v>42</v>
      </c>
      <c r="U5093" s="102" t="s">
        <v>1382</v>
      </c>
      <c r="V5093" s="101">
        <v>45285</v>
      </c>
      <c r="W5093" s="17" t="s">
        <v>44</v>
      </c>
      <c r="X5093" s="17"/>
      <c r="Y5093" s="68">
        <v>45323</v>
      </c>
      <c r="Z5093" s="17" t="s">
        <v>78</v>
      </c>
      <c r="AA5093" s="17" t="s">
        <v>46</v>
      </c>
      <c r="AB5093" s="17" t="s">
        <v>1383</v>
      </c>
      <c r="AC5093" s="217">
        <v>45379</v>
      </c>
      <c r="AD5093" s="65">
        <v>1530</v>
      </c>
      <c r="AE5093" s="17" t="s">
        <v>48</v>
      </c>
      <c r="AF5093" s="17"/>
      <c r="AG5093" s="17"/>
      <c r="AH5093" s="17"/>
      <c r="AI5093" s="17"/>
      <c r="AJ5093" s="17"/>
      <c r="AK5093" s="17"/>
      <c r="AL5093" s="17"/>
      <c r="AM5093" s="17"/>
      <c r="AN5093" s="17"/>
      <c r="AO5093" s="17"/>
      <c r="AP5093" s="17"/>
      <c r="AQ5093" s="17"/>
      <c r="AR5093" s="17"/>
    </row>
    <row r="5094" s="21" customFormat="1" hidden="1" spans="1:44">
      <c r="A5094" s="17" t="s">
        <v>34</v>
      </c>
      <c r="B5094" s="19">
        <v>976</v>
      </c>
      <c r="C5094" s="183">
        <v>45282</v>
      </c>
      <c r="D5094" s="17" t="s">
        <v>35</v>
      </c>
      <c r="E5094" s="17" t="s">
        <v>718</v>
      </c>
      <c r="F5094" s="17" t="s">
        <v>37</v>
      </c>
      <c r="G5094" s="17"/>
      <c r="H5094" s="124">
        <v>1.2344</v>
      </c>
      <c r="I5094" s="124"/>
      <c r="J5094" s="17" t="s">
        <v>39</v>
      </c>
      <c r="K5094" s="19">
        <v>132</v>
      </c>
      <c r="L5094" s="17"/>
      <c r="M5094" s="19">
        <v>3000</v>
      </c>
      <c r="N5094" s="19" t="s">
        <v>40</v>
      </c>
      <c r="O5094" s="19" t="s">
        <v>84</v>
      </c>
      <c r="P5094" s="19">
        <v>1876</v>
      </c>
      <c r="Q5094" s="19">
        <v>1866</v>
      </c>
      <c r="R5094" s="19">
        <f t="shared" si="238"/>
        <v>10</v>
      </c>
      <c r="S5094" s="19">
        <v>3925</v>
      </c>
      <c r="T5094" s="19" t="s">
        <v>42</v>
      </c>
      <c r="U5094" s="102" t="s">
        <v>1382</v>
      </c>
      <c r="V5094" s="101">
        <v>45285</v>
      </c>
      <c r="W5094" s="17" t="s">
        <v>44</v>
      </c>
      <c r="X5094" s="17"/>
      <c r="Y5094" s="68">
        <v>45323</v>
      </c>
      <c r="Z5094" s="17" t="s">
        <v>78</v>
      </c>
      <c r="AA5094" s="17" t="s">
        <v>46</v>
      </c>
      <c r="AB5094" s="17" t="s">
        <v>1383</v>
      </c>
      <c r="AC5094" s="217">
        <v>45379</v>
      </c>
      <c r="AD5094" s="65">
        <v>1530</v>
      </c>
      <c r="AE5094" s="17" t="s">
        <v>48</v>
      </c>
      <c r="AF5094" s="17"/>
      <c r="AG5094" s="17"/>
      <c r="AH5094" s="17"/>
      <c r="AI5094" s="17"/>
      <c r="AJ5094" s="17"/>
      <c r="AK5094" s="17"/>
      <c r="AL5094" s="17"/>
      <c r="AM5094" s="17"/>
      <c r="AN5094" s="17"/>
      <c r="AO5094" s="17"/>
      <c r="AP5094" s="17"/>
      <c r="AQ5094" s="17"/>
      <c r="AR5094" s="17"/>
    </row>
    <row r="5095" s="21" customFormat="1" hidden="1" spans="1:44">
      <c r="A5095" s="17" t="s">
        <v>34</v>
      </c>
      <c r="B5095" s="19">
        <v>976</v>
      </c>
      <c r="C5095" s="183">
        <v>45282</v>
      </c>
      <c r="D5095" s="17" t="s">
        <v>35</v>
      </c>
      <c r="E5095" s="17" t="s">
        <v>718</v>
      </c>
      <c r="F5095" s="17" t="s">
        <v>37</v>
      </c>
      <c r="G5095" s="17"/>
      <c r="H5095" s="124">
        <v>1.2344</v>
      </c>
      <c r="I5095" s="124"/>
      <c r="J5095" s="17" t="s">
        <v>39</v>
      </c>
      <c r="K5095" s="19">
        <v>142</v>
      </c>
      <c r="L5095" s="17"/>
      <c r="M5095" s="19">
        <v>3000</v>
      </c>
      <c r="N5095" s="19" t="s">
        <v>40</v>
      </c>
      <c r="O5095" s="19" t="s">
        <v>84</v>
      </c>
      <c r="P5095" s="19">
        <v>563</v>
      </c>
      <c r="Q5095" s="19">
        <v>552</v>
      </c>
      <c r="R5095" s="19">
        <f t="shared" si="238"/>
        <v>11</v>
      </c>
      <c r="S5095" s="19">
        <v>3925</v>
      </c>
      <c r="T5095" s="19" t="s">
        <v>42</v>
      </c>
      <c r="U5095" s="102" t="s">
        <v>1382</v>
      </c>
      <c r="V5095" s="101">
        <v>45285</v>
      </c>
      <c r="W5095" s="17" t="s">
        <v>44</v>
      </c>
      <c r="X5095" s="17"/>
      <c r="Y5095" s="68">
        <v>45323</v>
      </c>
      <c r="Z5095" s="17" t="s">
        <v>78</v>
      </c>
      <c r="AA5095" s="17" t="s">
        <v>46</v>
      </c>
      <c r="AB5095" s="17" t="s">
        <v>1383</v>
      </c>
      <c r="AC5095" s="217">
        <v>45379</v>
      </c>
      <c r="AD5095" s="65">
        <v>1530</v>
      </c>
      <c r="AE5095" s="17" t="s">
        <v>48</v>
      </c>
      <c r="AF5095" s="17"/>
      <c r="AG5095" s="17"/>
      <c r="AH5095" s="17"/>
      <c r="AI5095" s="17"/>
      <c r="AJ5095" s="17"/>
      <c r="AK5095" s="17"/>
      <c r="AL5095" s="17"/>
      <c r="AM5095" s="17"/>
      <c r="AN5095" s="17"/>
      <c r="AO5095" s="17"/>
      <c r="AP5095" s="17"/>
      <c r="AQ5095" s="17"/>
      <c r="AR5095" s="17"/>
    </row>
    <row r="5096" s="21" customFormat="1" hidden="1" spans="1:44">
      <c r="A5096" s="17" t="s">
        <v>34</v>
      </c>
      <c r="B5096" s="19">
        <v>976</v>
      </c>
      <c r="C5096" s="183">
        <v>45282</v>
      </c>
      <c r="D5096" s="17" t="s">
        <v>35</v>
      </c>
      <c r="E5096" s="17" t="s">
        <v>718</v>
      </c>
      <c r="F5096" s="17" t="s">
        <v>37</v>
      </c>
      <c r="G5096" s="17"/>
      <c r="H5096" s="124">
        <v>1.2344</v>
      </c>
      <c r="I5096" s="124"/>
      <c r="J5096" s="17" t="s">
        <v>39</v>
      </c>
      <c r="K5096" s="19">
        <v>152</v>
      </c>
      <c r="L5096" s="91"/>
      <c r="M5096" s="19">
        <v>3000</v>
      </c>
      <c r="N5096" s="19" t="s">
        <v>40</v>
      </c>
      <c r="O5096" s="19" t="s">
        <v>84</v>
      </c>
      <c r="P5096" s="19">
        <v>633</v>
      </c>
      <c r="Q5096" s="19">
        <v>624</v>
      </c>
      <c r="R5096" s="19">
        <f t="shared" ref="R5096:R5127" si="239">+P5096-Q5096</f>
        <v>9</v>
      </c>
      <c r="S5096" s="19">
        <v>3925</v>
      </c>
      <c r="T5096" s="19" t="s">
        <v>42</v>
      </c>
      <c r="U5096" s="102" t="s">
        <v>1382</v>
      </c>
      <c r="V5096" s="101">
        <v>45285</v>
      </c>
      <c r="W5096" s="17" t="s">
        <v>44</v>
      </c>
      <c r="X5096" s="17"/>
      <c r="Y5096" s="68">
        <v>45323</v>
      </c>
      <c r="Z5096" s="17" t="s">
        <v>78</v>
      </c>
      <c r="AA5096" s="17" t="s">
        <v>46</v>
      </c>
      <c r="AB5096" s="17" t="s">
        <v>1383</v>
      </c>
      <c r="AC5096" s="217">
        <v>45379</v>
      </c>
      <c r="AD5096" s="65">
        <v>1530</v>
      </c>
      <c r="AE5096" s="17" t="s">
        <v>48</v>
      </c>
      <c r="AF5096" s="17"/>
      <c r="AG5096" s="17"/>
      <c r="AH5096" s="17"/>
      <c r="AI5096" s="17"/>
      <c r="AJ5096" s="17"/>
      <c r="AK5096" s="17"/>
      <c r="AL5096" s="17"/>
      <c r="AM5096" s="17"/>
      <c r="AN5096" s="17"/>
      <c r="AO5096" s="17"/>
      <c r="AP5096" s="17"/>
      <c r="AQ5096" s="17"/>
      <c r="AR5096" s="17"/>
    </row>
    <row r="5097" s="21" customFormat="1" hidden="1" spans="1:44">
      <c r="A5097" s="17" t="s">
        <v>34</v>
      </c>
      <c r="B5097" s="19">
        <v>976</v>
      </c>
      <c r="C5097" s="183">
        <v>45282</v>
      </c>
      <c r="D5097" s="17" t="s">
        <v>35</v>
      </c>
      <c r="E5097" s="17" t="s">
        <v>718</v>
      </c>
      <c r="F5097" s="17" t="s">
        <v>37</v>
      </c>
      <c r="G5097" s="17"/>
      <c r="H5097" s="124">
        <v>1.2344</v>
      </c>
      <c r="I5097" s="124"/>
      <c r="J5097" s="17" t="s">
        <v>39</v>
      </c>
      <c r="K5097" s="19">
        <v>162</v>
      </c>
      <c r="L5097" s="91"/>
      <c r="M5097" s="19">
        <v>3000</v>
      </c>
      <c r="N5097" s="19" t="s">
        <v>40</v>
      </c>
      <c r="O5097" s="19" t="s">
        <v>84</v>
      </c>
      <c r="P5097" s="19">
        <v>1808</v>
      </c>
      <c r="Q5097" s="19">
        <f>458+1336</f>
        <v>1794</v>
      </c>
      <c r="R5097" s="19">
        <f t="shared" si="239"/>
        <v>14</v>
      </c>
      <c r="S5097" s="19">
        <v>3925</v>
      </c>
      <c r="T5097" s="19" t="s">
        <v>42</v>
      </c>
      <c r="U5097" s="102" t="s">
        <v>1382</v>
      </c>
      <c r="V5097" s="101">
        <v>45285</v>
      </c>
      <c r="W5097" s="17" t="s">
        <v>44</v>
      </c>
      <c r="X5097" s="17"/>
      <c r="Y5097" s="68">
        <v>45323</v>
      </c>
      <c r="Z5097" s="17" t="s">
        <v>78</v>
      </c>
      <c r="AA5097" s="17" t="s">
        <v>46</v>
      </c>
      <c r="AB5097" s="17" t="s">
        <v>1383</v>
      </c>
      <c r="AC5097" s="217">
        <v>45379</v>
      </c>
      <c r="AD5097" s="65">
        <v>1530</v>
      </c>
      <c r="AE5097" s="17" t="s">
        <v>48</v>
      </c>
      <c r="AF5097" s="17"/>
      <c r="AG5097" s="17"/>
      <c r="AH5097" s="17"/>
      <c r="AI5097" s="17"/>
      <c r="AJ5097" s="17"/>
      <c r="AK5097" s="17"/>
      <c r="AL5097" s="17"/>
      <c r="AM5097" s="17"/>
      <c r="AN5097" s="17"/>
      <c r="AO5097" s="17"/>
      <c r="AP5097" s="17"/>
      <c r="AQ5097" s="17"/>
      <c r="AR5097" s="17"/>
    </row>
    <row r="5098" s="21" customFormat="1" hidden="1" spans="1:44">
      <c r="A5098" s="17" t="s">
        <v>34</v>
      </c>
      <c r="B5098" s="19">
        <v>976</v>
      </c>
      <c r="C5098" s="183">
        <v>45282</v>
      </c>
      <c r="D5098" s="17" t="s">
        <v>35</v>
      </c>
      <c r="E5098" s="17" t="s">
        <v>718</v>
      </c>
      <c r="F5098" s="17" t="s">
        <v>37</v>
      </c>
      <c r="G5098" s="17"/>
      <c r="H5098" s="124">
        <v>1.2344</v>
      </c>
      <c r="I5098" s="124"/>
      <c r="J5098" s="17" t="s">
        <v>39</v>
      </c>
      <c r="K5098" s="19">
        <v>182</v>
      </c>
      <c r="L5098" s="91"/>
      <c r="M5098" s="19">
        <v>3000</v>
      </c>
      <c r="N5098" s="19" t="s">
        <v>40</v>
      </c>
      <c r="O5098" s="19" t="s">
        <v>84</v>
      </c>
      <c r="P5098" s="19">
        <v>916</v>
      </c>
      <c r="Q5098" s="19">
        <v>900</v>
      </c>
      <c r="R5098" s="19">
        <f t="shared" si="239"/>
        <v>16</v>
      </c>
      <c r="S5098" s="19">
        <v>3925</v>
      </c>
      <c r="T5098" s="19" t="s">
        <v>42</v>
      </c>
      <c r="U5098" s="102" t="s">
        <v>1382</v>
      </c>
      <c r="V5098" s="101">
        <v>45285</v>
      </c>
      <c r="W5098" s="17" t="s">
        <v>44</v>
      </c>
      <c r="X5098" s="17"/>
      <c r="Y5098" s="68">
        <v>45323</v>
      </c>
      <c r="Z5098" s="17" t="s">
        <v>78</v>
      </c>
      <c r="AA5098" s="17" t="s">
        <v>46</v>
      </c>
      <c r="AB5098" s="17" t="s">
        <v>1383</v>
      </c>
      <c r="AC5098" s="217">
        <v>45379</v>
      </c>
      <c r="AD5098" s="65">
        <v>1530</v>
      </c>
      <c r="AE5098" s="17" t="s">
        <v>48</v>
      </c>
      <c r="AF5098" s="17"/>
      <c r="AG5098" s="17"/>
      <c r="AH5098" s="17"/>
      <c r="AI5098" s="17"/>
      <c r="AJ5098" s="17"/>
      <c r="AK5098" s="17"/>
      <c r="AL5098" s="17"/>
      <c r="AM5098" s="17"/>
      <c r="AN5098" s="17"/>
      <c r="AO5098" s="17"/>
      <c r="AP5098" s="17"/>
      <c r="AQ5098" s="17"/>
      <c r="AR5098" s="17"/>
    </row>
    <row r="5099" s="21" customFormat="1" hidden="1" spans="1:44">
      <c r="A5099" s="17" t="s">
        <v>34</v>
      </c>
      <c r="B5099" s="19">
        <v>976</v>
      </c>
      <c r="C5099" s="183">
        <v>45282</v>
      </c>
      <c r="D5099" s="17" t="s">
        <v>35</v>
      </c>
      <c r="E5099" s="17" t="s">
        <v>718</v>
      </c>
      <c r="F5099" s="17" t="s">
        <v>37</v>
      </c>
      <c r="G5099" s="17"/>
      <c r="H5099" s="124">
        <v>1.2344</v>
      </c>
      <c r="I5099" s="124"/>
      <c r="J5099" s="17" t="s">
        <v>39</v>
      </c>
      <c r="K5099" s="19">
        <v>192</v>
      </c>
      <c r="L5099" s="91"/>
      <c r="M5099" s="19">
        <v>3000</v>
      </c>
      <c r="N5099" s="19" t="s">
        <v>40</v>
      </c>
      <c r="O5099" s="19" t="s">
        <v>84</v>
      </c>
      <c r="P5099" s="19">
        <v>1856</v>
      </c>
      <c r="Q5099" s="19">
        <v>1836</v>
      </c>
      <c r="R5099" s="19">
        <f t="shared" si="239"/>
        <v>20</v>
      </c>
      <c r="S5099" s="19">
        <v>4125</v>
      </c>
      <c r="T5099" s="19" t="s">
        <v>42</v>
      </c>
      <c r="U5099" s="102" t="s">
        <v>1382</v>
      </c>
      <c r="V5099" s="101">
        <v>45285</v>
      </c>
      <c r="W5099" s="17" t="s">
        <v>44</v>
      </c>
      <c r="X5099" s="17"/>
      <c r="Y5099" s="68">
        <v>45323</v>
      </c>
      <c r="Z5099" s="17" t="s">
        <v>78</v>
      </c>
      <c r="AA5099" s="17" t="s">
        <v>46</v>
      </c>
      <c r="AB5099" s="17" t="s">
        <v>1383</v>
      </c>
      <c r="AC5099" s="217">
        <v>45379</v>
      </c>
      <c r="AD5099" s="65">
        <v>1530</v>
      </c>
      <c r="AE5099" s="17" t="s">
        <v>48</v>
      </c>
      <c r="AF5099" s="17"/>
      <c r="AG5099" s="17"/>
      <c r="AH5099" s="17"/>
      <c r="AI5099" s="17"/>
      <c r="AJ5099" s="17"/>
      <c r="AK5099" s="17"/>
      <c r="AL5099" s="17"/>
      <c r="AM5099" s="17"/>
      <c r="AN5099" s="17"/>
      <c r="AO5099" s="17"/>
      <c r="AP5099" s="17"/>
      <c r="AQ5099" s="17"/>
      <c r="AR5099" s="17"/>
    </row>
    <row r="5100" s="21" customFormat="1" hidden="1" spans="1:44">
      <c r="A5100" s="17" t="s">
        <v>34</v>
      </c>
      <c r="B5100" s="19">
        <v>976</v>
      </c>
      <c r="C5100" s="183">
        <v>45282</v>
      </c>
      <c r="D5100" s="17" t="s">
        <v>35</v>
      </c>
      <c r="E5100" s="17" t="s">
        <v>718</v>
      </c>
      <c r="F5100" s="17" t="s">
        <v>37</v>
      </c>
      <c r="G5100" s="17"/>
      <c r="H5100" s="124">
        <v>1.2344</v>
      </c>
      <c r="I5100" s="124"/>
      <c r="J5100" s="17" t="s">
        <v>39</v>
      </c>
      <c r="K5100" s="19">
        <v>202</v>
      </c>
      <c r="L5100" s="91"/>
      <c r="M5100" s="19">
        <v>3000</v>
      </c>
      <c r="N5100" s="19" t="s">
        <v>40</v>
      </c>
      <c r="O5100" s="19" t="s">
        <v>84</v>
      </c>
      <c r="P5100" s="19">
        <v>944</v>
      </c>
      <c r="Q5100" s="19">
        <v>930</v>
      </c>
      <c r="R5100" s="19">
        <f t="shared" si="239"/>
        <v>14</v>
      </c>
      <c r="S5100" s="19">
        <v>4125</v>
      </c>
      <c r="T5100" s="19" t="s">
        <v>42</v>
      </c>
      <c r="U5100" s="102" t="s">
        <v>1382</v>
      </c>
      <c r="V5100" s="101">
        <v>45285</v>
      </c>
      <c r="W5100" s="17" t="s">
        <v>44</v>
      </c>
      <c r="X5100" s="17"/>
      <c r="Y5100" s="68">
        <v>45323</v>
      </c>
      <c r="Z5100" s="17" t="s">
        <v>78</v>
      </c>
      <c r="AA5100" s="17" t="s">
        <v>46</v>
      </c>
      <c r="AB5100" s="17" t="s">
        <v>1383</v>
      </c>
      <c r="AC5100" s="217">
        <v>45379</v>
      </c>
      <c r="AD5100" s="65">
        <v>1530</v>
      </c>
      <c r="AE5100" s="17" t="s">
        <v>48</v>
      </c>
      <c r="AF5100" s="17"/>
      <c r="AG5100" s="17"/>
      <c r="AH5100" s="17"/>
      <c r="AI5100" s="17"/>
      <c r="AJ5100" s="17"/>
      <c r="AK5100" s="17"/>
      <c r="AL5100" s="17"/>
      <c r="AM5100" s="17"/>
      <c r="AN5100" s="17"/>
      <c r="AO5100" s="17"/>
      <c r="AP5100" s="17"/>
      <c r="AQ5100" s="17"/>
      <c r="AR5100" s="17"/>
    </row>
    <row r="5101" s="21" customFormat="1" hidden="1" spans="1:44">
      <c r="A5101" s="17" t="s">
        <v>34</v>
      </c>
      <c r="B5101" s="19">
        <v>976</v>
      </c>
      <c r="C5101" s="183">
        <v>45282</v>
      </c>
      <c r="D5101" s="17" t="s">
        <v>35</v>
      </c>
      <c r="E5101" s="17" t="s">
        <v>718</v>
      </c>
      <c r="F5101" s="17" t="s">
        <v>37</v>
      </c>
      <c r="G5101" s="17"/>
      <c r="H5101" s="124">
        <v>1.2344</v>
      </c>
      <c r="I5101" s="124"/>
      <c r="J5101" s="17" t="s">
        <v>39</v>
      </c>
      <c r="K5101" s="19">
        <v>212</v>
      </c>
      <c r="L5101" s="91"/>
      <c r="M5101" s="19">
        <v>3000</v>
      </c>
      <c r="N5101" s="19" t="s">
        <v>40</v>
      </c>
      <c r="O5101" s="19" t="s">
        <v>84</v>
      </c>
      <c r="P5101" s="19">
        <v>914</v>
      </c>
      <c r="Q5101" s="19">
        <v>898</v>
      </c>
      <c r="R5101" s="19">
        <f t="shared" si="239"/>
        <v>16</v>
      </c>
      <c r="S5101" s="19">
        <v>4125</v>
      </c>
      <c r="T5101" s="19" t="s">
        <v>42</v>
      </c>
      <c r="U5101" s="102" t="s">
        <v>1382</v>
      </c>
      <c r="V5101" s="101">
        <v>45285</v>
      </c>
      <c r="W5101" s="17" t="s">
        <v>44</v>
      </c>
      <c r="X5101" s="17"/>
      <c r="Y5101" s="68">
        <v>45323</v>
      </c>
      <c r="Z5101" s="17" t="s">
        <v>78</v>
      </c>
      <c r="AA5101" s="17" t="s">
        <v>46</v>
      </c>
      <c r="AB5101" s="17" t="s">
        <v>1383</v>
      </c>
      <c r="AC5101" s="217">
        <v>45379</v>
      </c>
      <c r="AD5101" s="65">
        <v>1530</v>
      </c>
      <c r="AE5101" s="17" t="s">
        <v>48</v>
      </c>
      <c r="AF5101" s="17"/>
      <c r="AG5101" s="17"/>
      <c r="AH5101" s="17"/>
      <c r="AI5101" s="17"/>
      <c r="AJ5101" s="17"/>
      <c r="AK5101" s="17"/>
      <c r="AL5101" s="17"/>
      <c r="AM5101" s="17"/>
      <c r="AN5101" s="17"/>
      <c r="AO5101" s="17"/>
      <c r="AP5101" s="17"/>
      <c r="AQ5101" s="17"/>
      <c r="AR5101" s="17"/>
    </row>
    <row r="5102" s="21" customFormat="1" hidden="1" spans="1:44">
      <c r="A5102" s="17" t="s">
        <v>34</v>
      </c>
      <c r="B5102" s="19">
        <v>976</v>
      </c>
      <c r="C5102" s="183">
        <v>45282</v>
      </c>
      <c r="D5102" s="17" t="s">
        <v>35</v>
      </c>
      <c r="E5102" s="17" t="s">
        <v>718</v>
      </c>
      <c r="F5102" s="17" t="s">
        <v>37</v>
      </c>
      <c r="G5102" s="17"/>
      <c r="H5102" s="124">
        <v>1.2344</v>
      </c>
      <c r="I5102" s="124"/>
      <c r="J5102" s="17" t="s">
        <v>39</v>
      </c>
      <c r="K5102" s="19">
        <v>222</v>
      </c>
      <c r="L5102" s="91"/>
      <c r="M5102" s="19">
        <v>3000</v>
      </c>
      <c r="N5102" s="19" t="s">
        <v>40</v>
      </c>
      <c r="O5102" s="19" t="s">
        <v>84</v>
      </c>
      <c r="P5102" s="19">
        <v>786</v>
      </c>
      <c r="Q5102" s="19">
        <v>768</v>
      </c>
      <c r="R5102" s="19">
        <f t="shared" si="239"/>
        <v>18</v>
      </c>
      <c r="S5102" s="19">
        <v>4125</v>
      </c>
      <c r="T5102" s="19" t="s">
        <v>42</v>
      </c>
      <c r="U5102" s="102" t="s">
        <v>1382</v>
      </c>
      <c r="V5102" s="101">
        <v>45285</v>
      </c>
      <c r="W5102" s="17" t="s">
        <v>44</v>
      </c>
      <c r="X5102" s="17"/>
      <c r="Y5102" s="68">
        <v>45323</v>
      </c>
      <c r="Z5102" s="17" t="s">
        <v>78</v>
      </c>
      <c r="AA5102" s="17" t="s">
        <v>46</v>
      </c>
      <c r="AB5102" s="17" t="s">
        <v>1383</v>
      </c>
      <c r="AC5102" s="217">
        <v>45379</v>
      </c>
      <c r="AD5102" s="65">
        <v>1530</v>
      </c>
      <c r="AE5102" s="17" t="s">
        <v>48</v>
      </c>
      <c r="AF5102" s="17"/>
      <c r="AG5102" s="17"/>
      <c r="AH5102" s="17"/>
      <c r="AI5102" s="17"/>
      <c r="AJ5102" s="17"/>
      <c r="AK5102" s="17"/>
      <c r="AL5102" s="17"/>
      <c r="AM5102" s="17"/>
      <c r="AN5102" s="17"/>
      <c r="AO5102" s="17"/>
      <c r="AP5102" s="17"/>
      <c r="AQ5102" s="17"/>
      <c r="AR5102" s="17"/>
    </row>
    <row r="5103" s="21" customFormat="1" hidden="1" spans="1:44">
      <c r="A5103" s="17" t="s">
        <v>34</v>
      </c>
      <c r="B5103" s="19">
        <v>976</v>
      </c>
      <c r="C5103" s="183">
        <v>45282</v>
      </c>
      <c r="D5103" s="17" t="s">
        <v>35</v>
      </c>
      <c r="E5103" s="17" t="s">
        <v>718</v>
      </c>
      <c r="F5103" s="17" t="s">
        <v>37</v>
      </c>
      <c r="G5103" s="17"/>
      <c r="H5103" s="124">
        <v>1.2344</v>
      </c>
      <c r="I5103" s="124"/>
      <c r="J5103" s="17" t="s">
        <v>39</v>
      </c>
      <c r="K5103" s="19">
        <v>302</v>
      </c>
      <c r="L5103" s="91"/>
      <c r="M5103" s="19">
        <v>3000</v>
      </c>
      <c r="N5103" s="19" t="s">
        <v>40</v>
      </c>
      <c r="O5103" s="19" t="s">
        <v>84</v>
      </c>
      <c r="P5103" s="19">
        <v>1720</v>
      </c>
      <c r="Q5103" s="19">
        <v>1708</v>
      </c>
      <c r="R5103" s="19">
        <f t="shared" si="239"/>
        <v>12</v>
      </c>
      <c r="S5103" s="19">
        <v>3925</v>
      </c>
      <c r="T5103" s="19" t="s">
        <v>42</v>
      </c>
      <c r="U5103" s="102" t="s">
        <v>1382</v>
      </c>
      <c r="V5103" s="101">
        <v>45285</v>
      </c>
      <c r="W5103" s="17" t="s">
        <v>44</v>
      </c>
      <c r="X5103" s="17"/>
      <c r="Y5103" s="68">
        <v>45323</v>
      </c>
      <c r="Z5103" s="17" t="s">
        <v>78</v>
      </c>
      <c r="AA5103" s="17" t="s">
        <v>46</v>
      </c>
      <c r="AB5103" s="17" t="s">
        <v>1383</v>
      </c>
      <c r="AC5103" s="217">
        <v>45379</v>
      </c>
      <c r="AD5103" s="65">
        <v>1530</v>
      </c>
      <c r="AE5103" s="17" t="s">
        <v>48</v>
      </c>
      <c r="AF5103" s="17"/>
      <c r="AG5103" s="17"/>
      <c r="AH5103" s="17"/>
      <c r="AI5103" s="17"/>
      <c r="AJ5103" s="17"/>
      <c r="AK5103" s="17"/>
      <c r="AL5103" s="17"/>
      <c r="AM5103" s="17"/>
      <c r="AN5103" s="17"/>
      <c r="AO5103" s="17"/>
      <c r="AP5103" s="17"/>
      <c r="AQ5103" s="17"/>
      <c r="AR5103" s="17"/>
    </row>
    <row r="5104" s="21" customFormat="1" hidden="1" spans="1:44">
      <c r="A5104" s="17" t="s">
        <v>34</v>
      </c>
      <c r="B5104" s="19">
        <v>977</v>
      </c>
      <c r="C5104" s="183">
        <v>45282</v>
      </c>
      <c r="D5104" s="17" t="s">
        <v>35</v>
      </c>
      <c r="E5104" s="17" t="s">
        <v>718</v>
      </c>
      <c r="F5104" s="17" t="s">
        <v>37</v>
      </c>
      <c r="G5104" s="17"/>
      <c r="H5104" s="124">
        <v>1.2344</v>
      </c>
      <c r="I5104" s="124"/>
      <c r="J5104" s="17" t="s">
        <v>39</v>
      </c>
      <c r="K5104" s="19">
        <v>85</v>
      </c>
      <c r="L5104" s="91"/>
      <c r="M5104" s="19">
        <v>3000</v>
      </c>
      <c r="N5104" s="19" t="s">
        <v>40</v>
      </c>
      <c r="O5104" s="19" t="s">
        <v>84</v>
      </c>
      <c r="P5104" s="19">
        <v>2000</v>
      </c>
      <c r="Q5104" s="19">
        <v>1454</v>
      </c>
      <c r="R5104" s="19">
        <f t="shared" si="239"/>
        <v>546</v>
      </c>
      <c r="S5104" s="19">
        <f>3800+135</f>
        <v>3935</v>
      </c>
      <c r="T5104" s="19" t="s">
        <v>42</v>
      </c>
      <c r="U5104" s="102" t="s">
        <v>1384</v>
      </c>
      <c r="V5104" s="101">
        <v>45285</v>
      </c>
      <c r="W5104" s="17" t="s">
        <v>58</v>
      </c>
      <c r="X5104" s="17"/>
      <c r="Y5104" s="68">
        <v>45383</v>
      </c>
      <c r="Z5104" s="17" t="s">
        <v>78</v>
      </c>
      <c r="AA5104" s="17" t="s">
        <v>46</v>
      </c>
      <c r="AB5104" s="17" t="s">
        <v>1385</v>
      </c>
      <c r="AC5104" s="217">
        <v>45503</v>
      </c>
      <c r="AD5104" s="65">
        <v>1585</v>
      </c>
      <c r="AE5104" s="17" t="s">
        <v>48</v>
      </c>
      <c r="AF5104" s="17"/>
      <c r="AG5104" s="17"/>
      <c r="AH5104" s="17"/>
      <c r="AI5104" s="17"/>
      <c r="AJ5104" s="17"/>
      <c r="AK5104" s="17"/>
      <c r="AL5104" s="17"/>
      <c r="AM5104" s="17"/>
      <c r="AN5104" s="17"/>
      <c r="AO5104" s="17"/>
      <c r="AP5104" s="17"/>
      <c r="AQ5104" s="17"/>
      <c r="AR5104" s="17"/>
    </row>
    <row r="5105" s="21" customFormat="1" hidden="1" spans="1:44">
      <c r="A5105" s="17" t="s">
        <v>34</v>
      </c>
      <c r="B5105" s="19">
        <v>977</v>
      </c>
      <c r="C5105" s="183">
        <v>45282</v>
      </c>
      <c r="D5105" s="17" t="s">
        <v>35</v>
      </c>
      <c r="E5105" s="17" t="s">
        <v>718</v>
      </c>
      <c r="F5105" s="17" t="s">
        <v>37</v>
      </c>
      <c r="G5105" s="17"/>
      <c r="H5105" s="124">
        <v>1.2344</v>
      </c>
      <c r="I5105" s="124"/>
      <c r="J5105" s="17" t="s">
        <v>39</v>
      </c>
      <c r="K5105" s="19">
        <v>132</v>
      </c>
      <c r="L5105" s="91"/>
      <c r="M5105" s="19">
        <v>3000</v>
      </c>
      <c r="N5105" s="19" t="s">
        <v>40</v>
      </c>
      <c r="O5105" s="19" t="s">
        <v>84</v>
      </c>
      <c r="P5105" s="19">
        <v>4000</v>
      </c>
      <c r="Q5105" s="19">
        <v>3924</v>
      </c>
      <c r="R5105" s="19">
        <f t="shared" si="239"/>
        <v>76</v>
      </c>
      <c r="S5105" s="19">
        <f>3800+135</f>
        <v>3935</v>
      </c>
      <c r="T5105" s="19" t="s">
        <v>42</v>
      </c>
      <c r="U5105" s="102" t="s">
        <v>1384</v>
      </c>
      <c r="V5105" s="101">
        <v>45285</v>
      </c>
      <c r="W5105" s="17" t="s">
        <v>58</v>
      </c>
      <c r="X5105" s="17"/>
      <c r="Y5105" s="68">
        <v>45383</v>
      </c>
      <c r="Z5105" s="17" t="s">
        <v>78</v>
      </c>
      <c r="AA5105" s="17" t="s">
        <v>46</v>
      </c>
      <c r="AB5105" s="17" t="s">
        <v>1385</v>
      </c>
      <c r="AC5105" s="217">
        <v>45503</v>
      </c>
      <c r="AD5105" s="65">
        <v>1585</v>
      </c>
      <c r="AE5105" s="17" t="s">
        <v>48</v>
      </c>
      <c r="AF5105" s="17"/>
      <c r="AG5105" s="17"/>
      <c r="AH5105" s="17"/>
      <c r="AI5105" s="17"/>
      <c r="AJ5105" s="17"/>
      <c r="AK5105" s="17"/>
      <c r="AL5105" s="17"/>
      <c r="AM5105" s="17"/>
      <c r="AN5105" s="17"/>
      <c r="AO5105" s="17"/>
      <c r="AP5105" s="17"/>
      <c r="AQ5105" s="17"/>
      <c r="AR5105" s="17"/>
    </row>
    <row r="5106" s="21" customFormat="1" hidden="1" spans="1:44">
      <c r="A5106" s="17" t="s">
        <v>34</v>
      </c>
      <c r="B5106" s="19">
        <v>977</v>
      </c>
      <c r="C5106" s="183">
        <v>45282</v>
      </c>
      <c r="D5106" s="17" t="s">
        <v>35</v>
      </c>
      <c r="E5106" s="17" t="s">
        <v>718</v>
      </c>
      <c r="F5106" s="17" t="s">
        <v>37</v>
      </c>
      <c r="G5106" s="17"/>
      <c r="H5106" s="124">
        <v>1.2344</v>
      </c>
      <c r="I5106" s="124"/>
      <c r="J5106" s="17" t="s">
        <v>39</v>
      </c>
      <c r="K5106" s="19">
        <v>162</v>
      </c>
      <c r="L5106" s="91"/>
      <c r="M5106" s="19">
        <v>3000</v>
      </c>
      <c r="N5106" s="19" t="s">
        <v>40</v>
      </c>
      <c r="O5106" s="19" t="s">
        <v>84</v>
      </c>
      <c r="P5106" s="19">
        <v>2000</v>
      </c>
      <c r="Q5106" s="19">
        <v>1918</v>
      </c>
      <c r="R5106" s="19">
        <f t="shared" si="239"/>
        <v>82</v>
      </c>
      <c r="S5106" s="19">
        <f>3800+135</f>
        <v>3935</v>
      </c>
      <c r="T5106" s="19" t="s">
        <v>42</v>
      </c>
      <c r="U5106" s="102" t="s">
        <v>1384</v>
      </c>
      <c r="V5106" s="101">
        <v>45285</v>
      </c>
      <c r="W5106" s="17" t="s">
        <v>58</v>
      </c>
      <c r="X5106" s="17"/>
      <c r="Y5106" s="68">
        <v>45383</v>
      </c>
      <c r="Z5106" s="17" t="s">
        <v>78</v>
      </c>
      <c r="AA5106" s="17" t="s">
        <v>46</v>
      </c>
      <c r="AB5106" s="17" t="s">
        <v>1385</v>
      </c>
      <c r="AC5106" s="217">
        <v>45503</v>
      </c>
      <c r="AD5106" s="65">
        <v>1585</v>
      </c>
      <c r="AE5106" s="17" t="s">
        <v>48</v>
      </c>
      <c r="AF5106" s="17"/>
      <c r="AG5106" s="17"/>
      <c r="AH5106" s="17"/>
      <c r="AI5106" s="17"/>
      <c r="AJ5106" s="17"/>
      <c r="AK5106" s="17"/>
      <c r="AL5106" s="17"/>
      <c r="AM5106" s="17"/>
      <c r="AN5106" s="17"/>
      <c r="AO5106" s="17"/>
      <c r="AP5106" s="17"/>
      <c r="AQ5106" s="17"/>
      <c r="AR5106" s="17"/>
    </row>
    <row r="5107" s="21" customFormat="1" hidden="1" spans="1:44">
      <c r="A5107" s="17" t="s">
        <v>34</v>
      </c>
      <c r="B5107" s="19">
        <v>977</v>
      </c>
      <c r="C5107" s="183">
        <v>45282</v>
      </c>
      <c r="D5107" s="17" t="s">
        <v>35</v>
      </c>
      <c r="E5107" s="17" t="s">
        <v>718</v>
      </c>
      <c r="F5107" s="17" t="s">
        <v>37</v>
      </c>
      <c r="G5107" s="17"/>
      <c r="H5107" s="124">
        <v>1.2344</v>
      </c>
      <c r="I5107" s="124"/>
      <c r="J5107" s="17" t="s">
        <v>39</v>
      </c>
      <c r="K5107" s="19">
        <v>192</v>
      </c>
      <c r="L5107" s="91"/>
      <c r="M5107" s="19">
        <v>3000</v>
      </c>
      <c r="N5107" s="19" t="s">
        <v>40</v>
      </c>
      <c r="O5107" s="19" t="s">
        <v>84</v>
      </c>
      <c r="P5107" s="19">
        <v>2000</v>
      </c>
      <c r="Q5107" s="19">
        <v>1788</v>
      </c>
      <c r="R5107" s="19">
        <f t="shared" si="239"/>
        <v>212</v>
      </c>
      <c r="S5107" s="19">
        <f>4000+135</f>
        <v>4135</v>
      </c>
      <c r="T5107" s="19" t="s">
        <v>42</v>
      </c>
      <c r="U5107" s="102" t="s">
        <v>1384</v>
      </c>
      <c r="V5107" s="101">
        <v>45285</v>
      </c>
      <c r="W5107" s="17" t="s">
        <v>58</v>
      </c>
      <c r="X5107" s="17"/>
      <c r="Y5107" s="68">
        <v>45383</v>
      </c>
      <c r="Z5107" s="17" t="s">
        <v>78</v>
      </c>
      <c r="AA5107" s="17" t="s">
        <v>46</v>
      </c>
      <c r="AB5107" s="17" t="s">
        <v>1385</v>
      </c>
      <c r="AC5107" s="217">
        <v>45503</v>
      </c>
      <c r="AD5107" s="65">
        <v>1585</v>
      </c>
      <c r="AE5107" s="17" t="s">
        <v>48</v>
      </c>
      <c r="AF5107" s="17"/>
      <c r="AG5107" s="17"/>
      <c r="AH5107" s="17"/>
      <c r="AI5107" s="17"/>
      <c r="AJ5107" s="17"/>
      <c r="AK5107" s="17"/>
      <c r="AL5107" s="17"/>
      <c r="AM5107" s="17"/>
      <c r="AN5107" s="17"/>
      <c r="AO5107" s="17"/>
      <c r="AP5107" s="17"/>
      <c r="AQ5107" s="17"/>
      <c r="AR5107" s="17"/>
    </row>
    <row r="5108" s="21" customFormat="1" hidden="1" spans="1:44">
      <c r="A5108" s="17" t="s">
        <v>34</v>
      </c>
      <c r="B5108" s="19">
        <v>977</v>
      </c>
      <c r="C5108" s="183">
        <v>45282</v>
      </c>
      <c r="D5108" s="17" t="s">
        <v>35</v>
      </c>
      <c r="E5108" s="17" t="s">
        <v>718</v>
      </c>
      <c r="F5108" s="17" t="s">
        <v>37</v>
      </c>
      <c r="G5108" s="17"/>
      <c r="H5108" s="124">
        <v>1.2344</v>
      </c>
      <c r="I5108" s="124"/>
      <c r="J5108" s="17" t="s">
        <v>39</v>
      </c>
      <c r="K5108" s="19">
        <v>222</v>
      </c>
      <c r="L5108" s="91"/>
      <c r="M5108" s="19">
        <v>3000</v>
      </c>
      <c r="N5108" s="19" t="s">
        <v>40</v>
      </c>
      <c r="O5108" s="19" t="s">
        <v>84</v>
      </c>
      <c r="P5108" s="19">
        <v>2000</v>
      </c>
      <c r="Q5108" s="19">
        <v>1898</v>
      </c>
      <c r="R5108" s="19">
        <f t="shared" si="239"/>
        <v>102</v>
      </c>
      <c r="S5108" s="19">
        <f>4000+135</f>
        <v>4135</v>
      </c>
      <c r="T5108" s="19" t="s">
        <v>42</v>
      </c>
      <c r="U5108" s="102" t="s">
        <v>1384</v>
      </c>
      <c r="V5108" s="101">
        <v>45285</v>
      </c>
      <c r="W5108" s="17" t="s">
        <v>58</v>
      </c>
      <c r="X5108" s="17"/>
      <c r="Y5108" s="68">
        <v>45383</v>
      </c>
      <c r="Z5108" s="17" t="s">
        <v>78</v>
      </c>
      <c r="AA5108" s="17" t="s">
        <v>46</v>
      </c>
      <c r="AB5108" s="17" t="s">
        <v>1385</v>
      </c>
      <c r="AC5108" s="217">
        <v>45503</v>
      </c>
      <c r="AD5108" s="65">
        <v>1585</v>
      </c>
      <c r="AE5108" s="17" t="s">
        <v>48</v>
      </c>
      <c r="AF5108" s="17"/>
      <c r="AG5108" s="17"/>
      <c r="AH5108" s="17"/>
      <c r="AI5108" s="17"/>
      <c r="AJ5108" s="17"/>
      <c r="AK5108" s="17"/>
      <c r="AL5108" s="17"/>
      <c r="AM5108" s="17"/>
      <c r="AN5108" s="17"/>
      <c r="AO5108" s="17"/>
      <c r="AP5108" s="17"/>
      <c r="AQ5108" s="17"/>
      <c r="AR5108" s="17"/>
    </row>
    <row r="5109" s="21" customFormat="1" hidden="1" spans="1:44">
      <c r="A5109" s="17" t="s">
        <v>34</v>
      </c>
      <c r="B5109" s="19">
        <v>977</v>
      </c>
      <c r="C5109" s="183">
        <v>45282</v>
      </c>
      <c r="D5109" s="17" t="s">
        <v>35</v>
      </c>
      <c r="E5109" s="17" t="s">
        <v>718</v>
      </c>
      <c r="F5109" s="17" t="s">
        <v>37</v>
      </c>
      <c r="G5109" s="17"/>
      <c r="H5109" s="124">
        <v>1.2344</v>
      </c>
      <c r="I5109" s="124"/>
      <c r="J5109" s="17" t="s">
        <v>39</v>
      </c>
      <c r="K5109" s="19">
        <v>252</v>
      </c>
      <c r="L5109" s="91"/>
      <c r="M5109" s="19">
        <v>3000</v>
      </c>
      <c r="N5109" s="19" t="s">
        <v>40</v>
      </c>
      <c r="O5109" s="19" t="s">
        <v>84</v>
      </c>
      <c r="P5109" s="19">
        <v>4000</v>
      </c>
      <c r="Q5109" s="19">
        <v>3344</v>
      </c>
      <c r="R5109" s="19">
        <f t="shared" si="239"/>
        <v>656</v>
      </c>
      <c r="S5109" s="19">
        <f>4000+135</f>
        <v>4135</v>
      </c>
      <c r="T5109" s="19" t="s">
        <v>42</v>
      </c>
      <c r="U5109" s="102" t="s">
        <v>1384</v>
      </c>
      <c r="V5109" s="101">
        <v>45285</v>
      </c>
      <c r="W5109" s="17" t="s">
        <v>58</v>
      </c>
      <c r="X5109" s="17"/>
      <c r="Y5109" s="68">
        <v>45383</v>
      </c>
      <c r="Z5109" s="17" t="s">
        <v>78</v>
      </c>
      <c r="AA5109" s="17" t="s">
        <v>46</v>
      </c>
      <c r="AB5109" s="17" t="s">
        <v>1385</v>
      </c>
      <c r="AC5109" s="217">
        <v>45503</v>
      </c>
      <c r="AD5109" s="65">
        <v>1585</v>
      </c>
      <c r="AE5109" s="17" t="s">
        <v>48</v>
      </c>
      <c r="AF5109" s="17"/>
      <c r="AG5109" s="17"/>
      <c r="AH5109" s="17"/>
      <c r="AI5109" s="17"/>
      <c r="AJ5109" s="17"/>
      <c r="AK5109" s="17"/>
      <c r="AL5109" s="17"/>
      <c r="AM5109" s="17"/>
      <c r="AN5109" s="17"/>
      <c r="AO5109" s="17"/>
      <c r="AP5109" s="17"/>
      <c r="AQ5109" s="17"/>
      <c r="AR5109" s="17"/>
    </row>
    <row r="5110" s="21" customFormat="1" hidden="1" spans="1:44">
      <c r="A5110" s="17" t="s">
        <v>34</v>
      </c>
      <c r="B5110" s="19">
        <v>978</v>
      </c>
      <c r="C5110" s="183">
        <v>45285</v>
      </c>
      <c r="D5110" s="17" t="s">
        <v>52</v>
      </c>
      <c r="E5110" s="17" t="s">
        <v>53</v>
      </c>
      <c r="F5110" s="17" t="s">
        <v>54</v>
      </c>
      <c r="G5110" s="17"/>
      <c r="H5110" s="124">
        <v>1.2083</v>
      </c>
      <c r="I5110" s="124"/>
      <c r="J5110" s="17" t="s">
        <v>82</v>
      </c>
      <c r="K5110" s="19">
        <v>710</v>
      </c>
      <c r="L5110" s="91">
        <v>210</v>
      </c>
      <c r="M5110" s="19">
        <v>3000</v>
      </c>
      <c r="N5110" s="19" t="s">
        <v>40</v>
      </c>
      <c r="O5110" s="19" t="s">
        <v>50</v>
      </c>
      <c r="P5110" s="19">
        <v>6400</v>
      </c>
      <c r="Q5110" s="19">
        <v>4776</v>
      </c>
      <c r="R5110" s="19">
        <f t="shared" si="239"/>
        <v>1624</v>
      </c>
      <c r="S5110" s="19">
        <v>2095</v>
      </c>
      <c r="T5110" s="19" t="s">
        <v>42</v>
      </c>
      <c r="U5110" s="102" t="s">
        <v>1386</v>
      </c>
      <c r="V5110" s="101">
        <v>45288</v>
      </c>
      <c r="W5110" s="17" t="s">
        <v>58</v>
      </c>
      <c r="X5110" s="17"/>
      <c r="Y5110" s="68">
        <v>45352</v>
      </c>
      <c r="Z5110" s="17" t="s">
        <v>1326</v>
      </c>
      <c r="AA5110" s="17" t="s">
        <v>46</v>
      </c>
      <c r="AB5110" s="17" t="s">
        <v>1386</v>
      </c>
      <c r="AC5110" s="217">
        <v>45402</v>
      </c>
      <c r="AD5110" s="65">
        <v>1561</v>
      </c>
      <c r="AE5110" s="17" t="s">
        <v>48</v>
      </c>
      <c r="AF5110" s="17"/>
      <c r="AG5110" s="17"/>
      <c r="AH5110" s="17"/>
      <c r="AI5110" s="17"/>
      <c r="AJ5110" s="17"/>
      <c r="AK5110" s="17"/>
      <c r="AL5110" s="17"/>
      <c r="AM5110" s="17"/>
      <c r="AN5110" s="17"/>
      <c r="AO5110" s="17"/>
      <c r="AP5110" s="17"/>
      <c r="AQ5110" s="17"/>
      <c r="AR5110" s="17"/>
    </row>
    <row r="5111" s="21" customFormat="1" hidden="1" spans="1:44">
      <c r="A5111" s="17" t="s">
        <v>34</v>
      </c>
      <c r="B5111" s="19">
        <v>978</v>
      </c>
      <c r="C5111" s="183">
        <v>45285</v>
      </c>
      <c r="D5111" s="17" t="s">
        <v>52</v>
      </c>
      <c r="E5111" s="17" t="s">
        <v>53</v>
      </c>
      <c r="F5111" s="17" t="s">
        <v>54</v>
      </c>
      <c r="G5111" s="17"/>
      <c r="H5111" s="124">
        <v>1.2083</v>
      </c>
      <c r="I5111" s="124"/>
      <c r="J5111" s="17" t="s">
        <v>82</v>
      </c>
      <c r="K5111" s="19">
        <v>710</v>
      </c>
      <c r="L5111" s="91">
        <v>260</v>
      </c>
      <c r="M5111" s="19">
        <v>3000</v>
      </c>
      <c r="N5111" s="19" t="s">
        <v>40</v>
      </c>
      <c r="O5111" s="19" t="s">
        <v>50</v>
      </c>
      <c r="P5111" s="19">
        <v>6400</v>
      </c>
      <c r="Q5111" s="19">
        <v>6920</v>
      </c>
      <c r="R5111" s="19">
        <f t="shared" si="239"/>
        <v>-520</v>
      </c>
      <c r="S5111" s="19">
        <v>2095</v>
      </c>
      <c r="T5111" s="19" t="s">
        <v>42</v>
      </c>
      <c r="U5111" s="102" t="s">
        <v>1386</v>
      </c>
      <c r="V5111" s="101">
        <v>45288</v>
      </c>
      <c r="W5111" s="17" t="s">
        <v>58</v>
      </c>
      <c r="X5111" s="17"/>
      <c r="Y5111" s="68">
        <v>45352</v>
      </c>
      <c r="Z5111" s="17" t="s">
        <v>1326</v>
      </c>
      <c r="AA5111" s="17" t="s">
        <v>46</v>
      </c>
      <c r="AB5111" s="17" t="s">
        <v>1386</v>
      </c>
      <c r="AC5111" s="217">
        <v>45402</v>
      </c>
      <c r="AD5111" s="65">
        <v>1561</v>
      </c>
      <c r="AE5111" s="17" t="s">
        <v>48</v>
      </c>
      <c r="AF5111" s="17"/>
      <c r="AG5111" s="17"/>
      <c r="AH5111" s="17"/>
      <c r="AI5111" s="17"/>
      <c r="AJ5111" s="17"/>
      <c r="AK5111" s="17"/>
      <c r="AL5111" s="17"/>
      <c r="AM5111" s="17"/>
      <c r="AN5111" s="17"/>
      <c r="AO5111" s="17"/>
      <c r="AP5111" s="17"/>
      <c r="AQ5111" s="17"/>
      <c r="AR5111" s="17"/>
    </row>
    <row r="5112" s="21" customFormat="1" hidden="1" spans="1:44">
      <c r="A5112" s="17" t="s">
        <v>34</v>
      </c>
      <c r="B5112" s="19">
        <v>978</v>
      </c>
      <c r="C5112" s="183">
        <v>45285</v>
      </c>
      <c r="D5112" s="17" t="s">
        <v>52</v>
      </c>
      <c r="E5112" s="17" t="s">
        <v>53</v>
      </c>
      <c r="F5112" s="17" t="s">
        <v>54</v>
      </c>
      <c r="G5112" s="17"/>
      <c r="H5112" s="124">
        <v>1.2083</v>
      </c>
      <c r="I5112" s="124"/>
      <c r="J5112" s="17" t="s">
        <v>82</v>
      </c>
      <c r="K5112" s="19">
        <v>710</v>
      </c>
      <c r="L5112" s="91">
        <v>300</v>
      </c>
      <c r="M5112" s="19">
        <v>3000</v>
      </c>
      <c r="N5112" s="19" t="s">
        <v>40</v>
      </c>
      <c r="O5112" s="19" t="s">
        <v>50</v>
      </c>
      <c r="P5112" s="19">
        <v>6400</v>
      </c>
      <c r="Q5112" s="19">
        <v>8058</v>
      </c>
      <c r="R5112" s="19">
        <f t="shared" si="239"/>
        <v>-1658</v>
      </c>
      <c r="S5112" s="19">
        <v>2095</v>
      </c>
      <c r="T5112" s="19" t="s">
        <v>42</v>
      </c>
      <c r="U5112" s="102" t="s">
        <v>1386</v>
      </c>
      <c r="V5112" s="101">
        <v>45288</v>
      </c>
      <c r="W5112" s="17" t="s">
        <v>58</v>
      </c>
      <c r="X5112" s="17"/>
      <c r="Y5112" s="68">
        <v>45352</v>
      </c>
      <c r="Z5112" s="17" t="s">
        <v>1326</v>
      </c>
      <c r="AA5112" s="17" t="s">
        <v>46</v>
      </c>
      <c r="AB5112" s="17" t="s">
        <v>1386</v>
      </c>
      <c r="AC5112" s="217">
        <v>45402</v>
      </c>
      <c r="AD5112" s="65">
        <v>1561</v>
      </c>
      <c r="AE5112" s="17" t="s">
        <v>48</v>
      </c>
      <c r="AF5112" s="17"/>
      <c r="AG5112" s="17"/>
      <c r="AH5112" s="17"/>
      <c r="AI5112" s="17"/>
      <c r="AJ5112" s="17"/>
      <c r="AK5112" s="17"/>
      <c r="AL5112" s="17"/>
      <c r="AM5112" s="17"/>
      <c r="AN5112" s="17"/>
      <c r="AO5112" s="17"/>
      <c r="AP5112" s="17"/>
      <c r="AQ5112" s="17"/>
      <c r="AR5112" s="17"/>
    </row>
    <row r="5113" s="21" customFormat="1" hidden="1" spans="1:44">
      <c r="A5113" s="17" t="s">
        <v>34</v>
      </c>
      <c r="B5113" s="19">
        <v>978</v>
      </c>
      <c r="C5113" s="183">
        <v>45285</v>
      </c>
      <c r="D5113" s="17" t="s">
        <v>52</v>
      </c>
      <c r="E5113" s="17" t="s">
        <v>53</v>
      </c>
      <c r="F5113" s="17" t="s">
        <v>54</v>
      </c>
      <c r="G5113" s="17"/>
      <c r="H5113" s="124" t="s">
        <v>55</v>
      </c>
      <c r="I5113" s="124"/>
      <c r="J5113" s="17" t="s">
        <v>82</v>
      </c>
      <c r="K5113" s="19">
        <v>710</v>
      </c>
      <c r="L5113" s="91">
        <v>210</v>
      </c>
      <c r="M5113" s="19">
        <v>3000</v>
      </c>
      <c r="N5113" s="19" t="s">
        <v>40</v>
      </c>
      <c r="O5113" s="19" t="s">
        <v>50</v>
      </c>
      <c r="P5113" s="19">
        <v>4000</v>
      </c>
      <c r="Q5113" s="19">
        <v>2350</v>
      </c>
      <c r="R5113" s="19">
        <f t="shared" si="239"/>
        <v>1650</v>
      </c>
      <c r="S5113" s="19">
        <v>2030</v>
      </c>
      <c r="T5113" s="19" t="s">
        <v>42</v>
      </c>
      <c r="U5113" s="102" t="s">
        <v>1386</v>
      </c>
      <c r="V5113" s="101">
        <v>45288</v>
      </c>
      <c r="W5113" s="17" t="s">
        <v>58</v>
      </c>
      <c r="X5113" s="17"/>
      <c r="Y5113" s="68">
        <v>45352</v>
      </c>
      <c r="Z5113" s="17" t="s">
        <v>1326</v>
      </c>
      <c r="AA5113" s="17" t="s">
        <v>46</v>
      </c>
      <c r="AB5113" s="17" t="s">
        <v>1386</v>
      </c>
      <c r="AC5113" s="217">
        <v>45402</v>
      </c>
      <c r="AD5113" s="65">
        <v>1561</v>
      </c>
      <c r="AE5113" s="17" t="s">
        <v>48</v>
      </c>
      <c r="AF5113" s="17"/>
      <c r="AG5113" s="17"/>
      <c r="AH5113" s="17"/>
      <c r="AI5113" s="17"/>
      <c r="AJ5113" s="17"/>
      <c r="AK5113" s="17"/>
      <c r="AL5113" s="17"/>
      <c r="AM5113" s="17"/>
      <c r="AN5113" s="17"/>
      <c r="AO5113" s="17"/>
      <c r="AP5113" s="17"/>
      <c r="AQ5113" s="17"/>
      <c r="AR5113" s="17"/>
    </row>
    <row r="5114" s="21" customFormat="1" hidden="1" spans="1:44">
      <c r="A5114" s="17" t="s">
        <v>34</v>
      </c>
      <c r="B5114" s="19">
        <v>978</v>
      </c>
      <c r="C5114" s="183">
        <v>45285</v>
      </c>
      <c r="D5114" s="17" t="s">
        <v>52</v>
      </c>
      <c r="E5114" s="17" t="s">
        <v>53</v>
      </c>
      <c r="F5114" s="17" t="s">
        <v>54</v>
      </c>
      <c r="G5114" s="17"/>
      <c r="H5114" s="124" t="s">
        <v>55</v>
      </c>
      <c r="I5114" s="124"/>
      <c r="J5114" s="17" t="s">
        <v>82</v>
      </c>
      <c r="K5114" s="19">
        <v>710</v>
      </c>
      <c r="L5114" s="91">
        <v>260</v>
      </c>
      <c r="M5114" s="19">
        <v>3000</v>
      </c>
      <c r="N5114" s="19" t="s">
        <v>40</v>
      </c>
      <c r="O5114" s="19" t="s">
        <v>50</v>
      </c>
      <c r="P5114" s="19">
        <v>4000</v>
      </c>
      <c r="Q5114" s="19">
        <v>2950</v>
      </c>
      <c r="R5114" s="19">
        <f t="shared" si="239"/>
        <v>1050</v>
      </c>
      <c r="S5114" s="19">
        <v>2030</v>
      </c>
      <c r="T5114" s="19" t="s">
        <v>42</v>
      </c>
      <c r="U5114" s="102" t="s">
        <v>1386</v>
      </c>
      <c r="V5114" s="101">
        <v>45288</v>
      </c>
      <c r="W5114" s="17" t="s">
        <v>58</v>
      </c>
      <c r="X5114" s="17"/>
      <c r="Y5114" s="68">
        <v>45352</v>
      </c>
      <c r="Z5114" s="17" t="s">
        <v>1326</v>
      </c>
      <c r="AA5114" s="17" t="s">
        <v>46</v>
      </c>
      <c r="AB5114" s="17" t="s">
        <v>1386</v>
      </c>
      <c r="AC5114" s="217">
        <v>45402</v>
      </c>
      <c r="AD5114" s="65">
        <v>1561</v>
      </c>
      <c r="AE5114" s="17" t="s">
        <v>48</v>
      </c>
      <c r="AF5114" s="17"/>
      <c r="AG5114" s="17"/>
      <c r="AH5114" s="17"/>
      <c r="AI5114" s="17"/>
      <c r="AJ5114" s="17"/>
      <c r="AK5114" s="17"/>
      <c r="AL5114" s="17"/>
      <c r="AM5114" s="17"/>
      <c r="AN5114" s="17"/>
      <c r="AO5114" s="17"/>
      <c r="AP5114" s="17"/>
      <c r="AQ5114" s="17"/>
      <c r="AR5114" s="17"/>
    </row>
    <row r="5115" s="21" customFormat="1" hidden="1" spans="1:44">
      <c r="A5115" s="17" t="s">
        <v>34</v>
      </c>
      <c r="B5115" s="19">
        <v>979</v>
      </c>
      <c r="C5115" s="183">
        <v>45289</v>
      </c>
      <c r="D5115" s="17" t="s">
        <v>52</v>
      </c>
      <c r="E5115" s="17" t="s">
        <v>1113</v>
      </c>
      <c r="F5115" s="17" t="s">
        <v>54</v>
      </c>
      <c r="G5115" s="17"/>
      <c r="H5115" s="124" t="s">
        <v>1387</v>
      </c>
      <c r="I5115" s="124"/>
      <c r="J5115" s="17" t="s">
        <v>82</v>
      </c>
      <c r="K5115" s="19">
        <v>1200</v>
      </c>
      <c r="L5115" s="91">
        <v>255</v>
      </c>
      <c r="M5115" s="19">
        <v>3500</v>
      </c>
      <c r="N5115" s="19" t="s">
        <v>66</v>
      </c>
      <c r="O5115" s="19" t="s">
        <v>50</v>
      </c>
      <c r="P5115" s="19">
        <v>5405</v>
      </c>
      <c r="Q5115" s="19">
        <v>4478</v>
      </c>
      <c r="R5115" s="19">
        <f t="shared" si="239"/>
        <v>927</v>
      </c>
      <c r="S5115" s="19">
        <f>3300+80-20</f>
        <v>3360</v>
      </c>
      <c r="T5115" s="19" t="s">
        <v>42</v>
      </c>
      <c r="U5115" s="102" t="s">
        <v>1388</v>
      </c>
      <c r="V5115" s="253">
        <v>45566</v>
      </c>
      <c r="W5115" s="17" t="s">
        <v>44</v>
      </c>
      <c r="X5115" s="17"/>
      <c r="Y5115" s="68">
        <v>45383</v>
      </c>
      <c r="Z5115" s="17" t="s">
        <v>191</v>
      </c>
      <c r="AA5115" s="17" t="s">
        <v>46</v>
      </c>
      <c r="AB5115" s="17" t="s">
        <v>1389</v>
      </c>
      <c r="AC5115" s="217">
        <v>45442</v>
      </c>
      <c r="AD5115" s="65">
        <v>1578</v>
      </c>
      <c r="AE5115" s="17" t="s">
        <v>48</v>
      </c>
      <c r="AF5115" s="17"/>
      <c r="AG5115" s="17"/>
      <c r="AH5115" s="17"/>
      <c r="AI5115" s="17"/>
      <c r="AJ5115" s="17"/>
      <c r="AK5115" s="17"/>
      <c r="AL5115" s="17"/>
      <c r="AM5115" s="17"/>
      <c r="AN5115" s="17"/>
      <c r="AO5115" s="17"/>
      <c r="AP5115" s="17"/>
      <c r="AQ5115" s="17"/>
      <c r="AR5115" s="17"/>
    </row>
    <row r="5116" s="21" customFormat="1" hidden="1" spans="1:44">
      <c r="A5116" s="17" t="s">
        <v>34</v>
      </c>
      <c r="B5116" s="19">
        <v>979</v>
      </c>
      <c r="C5116" s="183">
        <v>45289</v>
      </c>
      <c r="D5116" s="17" t="s">
        <v>52</v>
      </c>
      <c r="E5116" s="17" t="s">
        <v>1113</v>
      </c>
      <c r="F5116" s="17" t="s">
        <v>54</v>
      </c>
      <c r="G5116" s="17"/>
      <c r="H5116" s="124" t="s">
        <v>1387</v>
      </c>
      <c r="I5116" s="124"/>
      <c r="J5116" s="17" t="s">
        <v>82</v>
      </c>
      <c r="K5116" s="19">
        <v>1200</v>
      </c>
      <c r="L5116" s="91">
        <v>310</v>
      </c>
      <c r="M5116" s="19">
        <v>3500</v>
      </c>
      <c r="N5116" s="19" t="s">
        <v>66</v>
      </c>
      <c r="O5116" s="19" t="s">
        <v>50</v>
      </c>
      <c r="P5116" s="19">
        <v>6570</v>
      </c>
      <c r="Q5116" s="19">
        <v>7906</v>
      </c>
      <c r="R5116" s="19">
        <f t="shared" si="239"/>
        <v>-1336</v>
      </c>
      <c r="S5116" s="19">
        <f>3300+40</f>
        <v>3340</v>
      </c>
      <c r="T5116" s="19" t="s">
        <v>42</v>
      </c>
      <c r="U5116" s="102" t="s">
        <v>1388</v>
      </c>
      <c r="V5116" s="253">
        <v>45566</v>
      </c>
      <c r="W5116" s="17" t="s">
        <v>44</v>
      </c>
      <c r="X5116" s="17"/>
      <c r="Y5116" s="68">
        <v>45383</v>
      </c>
      <c r="Z5116" s="17" t="s">
        <v>191</v>
      </c>
      <c r="AA5116" s="17" t="s">
        <v>46</v>
      </c>
      <c r="AB5116" s="17" t="s">
        <v>1389</v>
      </c>
      <c r="AC5116" s="217">
        <v>45442</v>
      </c>
      <c r="AD5116" s="65">
        <v>1578</v>
      </c>
      <c r="AE5116" s="17" t="s">
        <v>48</v>
      </c>
      <c r="AF5116" s="17"/>
      <c r="AG5116" s="17"/>
      <c r="AH5116" s="17"/>
      <c r="AI5116" s="17"/>
      <c r="AJ5116" s="17"/>
      <c r="AK5116" s="17"/>
      <c r="AL5116" s="17"/>
      <c r="AM5116" s="17"/>
      <c r="AN5116" s="17"/>
      <c r="AO5116" s="17"/>
      <c r="AP5116" s="17"/>
      <c r="AQ5116" s="17"/>
      <c r="AR5116" s="17"/>
    </row>
    <row r="5117" s="21" customFormat="1" hidden="1" spans="1:44">
      <c r="A5117" s="17" t="s">
        <v>34</v>
      </c>
      <c r="B5117" s="19">
        <v>979</v>
      </c>
      <c r="C5117" s="183">
        <v>45289</v>
      </c>
      <c r="D5117" s="17" t="s">
        <v>52</v>
      </c>
      <c r="E5117" s="17" t="s">
        <v>1113</v>
      </c>
      <c r="F5117" s="17" t="s">
        <v>54</v>
      </c>
      <c r="G5117" s="17"/>
      <c r="H5117" s="124" t="s">
        <v>1390</v>
      </c>
      <c r="I5117" s="124"/>
      <c r="J5117" s="17" t="s">
        <v>82</v>
      </c>
      <c r="K5117" s="19">
        <v>1200</v>
      </c>
      <c r="L5117" s="91">
        <v>255</v>
      </c>
      <c r="M5117" s="19">
        <v>3500</v>
      </c>
      <c r="N5117" s="19" t="s">
        <v>66</v>
      </c>
      <c r="O5117" s="19" t="s">
        <v>50</v>
      </c>
      <c r="P5117" s="19">
        <v>5405</v>
      </c>
      <c r="Q5117" s="19">
        <v>4292</v>
      </c>
      <c r="R5117" s="19">
        <f t="shared" si="239"/>
        <v>1113</v>
      </c>
      <c r="S5117" s="19">
        <f>3450+40</f>
        <v>3490</v>
      </c>
      <c r="T5117" s="19" t="s">
        <v>42</v>
      </c>
      <c r="U5117" s="102" t="s">
        <v>1388</v>
      </c>
      <c r="V5117" s="253">
        <v>45566</v>
      </c>
      <c r="W5117" s="17" t="s">
        <v>44</v>
      </c>
      <c r="X5117" s="17"/>
      <c r="Y5117" s="68">
        <v>45383</v>
      </c>
      <c r="Z5117" s="17" t="s">
        <v>191</v>
      </c>
      <c r="AA5117" s="17" t="s">
        <v>46</v>
      </c>
      <c r="AB5117" s="17" t="s">
        <v>1389</v>
      </c>
      <c r="AC5117" s="217">
        <v>45442</v>
      </c>
      <c r="AD5117" s="65">
        <v>1578</v>
      </c>
      <c r="AE5117" s="17" t="s">
        <v>48</v>
      </c>
      <c r="AF5117" s="17"/>
      <c r="AG5117" s="17"/>
      <c r="AH5117" s="17"/>
      <c r="AI5117" s="17"/>
      <c r="AJ5117" s="17"/>
      <c r="AK5117" s="17"/>
      <c r="AL5117" s="17"/>
      <c r="AM5117" s="17"/>
      <c r="AN5117" s="17"/>
      <c r="AO5117" s="17"/>
      <c r="AP5117" s="17"/>
      <c r="AQ5117" s="17"/>
      <c r="AR5117" s="17"/>
    </row>
    <row r="5118" s="21" customFormat="1" hidden="1" spans="1:44">
      <c r="A5118" s="17" t="s">
        <v>34</v>
      </c>
      <c r="B5118" s="19">
        <v>979</v>
      </c>
      <c r="C5118" s="183">
        <v>45289</v>
      </c>
      <c r="D5118" s="17" t="s">
        <v>52</v>
      </c>
      <c r="E5118" s="17" t="s">
        <v>1113</v>
      </c>
      <c r="F5118" s="17" t="s">
        <v>54</v>
      </c>
      <c r="G5118" s="17"/>
      <c r="H5118" s="124" t="s">
        <v>1390</v>
      </c>
      <c r="I5118" s="124"/>
      <c r="J5118" s="17" t="s">
        <v>82</v>
      </c>
      <c r="K5118" s="19">
        <v>1200</v>
      </c>
      <c r="L5118" s="91">
        <v>310</v>
      </c>
      <c r="M5118" s="19">
        <v>3500</v>
      </c>
      <c r="N5118" s="19" t="s">
        <v>66</v>
      </c>
      <c r="O5118" s="19" t="s">
        <v>50</v>
      </c>
      <c r="P5118" s="19">
        <v>6570</v>
      </c>
      <c r="Q5118" s="19">
        <v>7342</v>
      </c>
      <c r="R5118" s="19">
        <f t="shared" si="239"/>
        <v>-772</v>
      </c>
      <c r="S5118" s="19">
        <f>3450+40</f>
        <v>3490</v>
      </c>
      <c r="T5118" s="19" t="s">
        <v>42</v>
      </c>
      <c r="U5118" s="102" t="s">
        <v>1388</v>
      </c>
      <c r="V5118" s="253">
        <v>45566</v>
      </c>
      <c r="W5118" s="17" t="s">
        <v>44</v>
      </c>
      <c r="X5118" s="17"/>
      <c r="Y5118" s="68">
        <v>45383</v>
      </c>
      <c r="Z5118" s="17" t="s">
        <v>191</v>
      </c>
      <c r="AA5118" s="17" t="s">
        <v>46</v>
      </c>
      <c r="AB5118" s="17" t="s">
        <v>1389</v>
      </c>
      <c r="AC5118" s="217">
        <v>45442</v>
      </c>
      <c r="AD5118" s="65">
        <v>1578</v>
      </c>
      <c r="AE5118" s="17" t="s">
        <v>48</v>
      </c>
      <c r="AF5118" s="17"/>
      <c r="AG5118" s="17"/>
      <c r="AH5118" s="17"/>
      <c r="AI5118" s="17"/>
      <c r="AJ5118" s="17"/>
      <c r="AK5118" s="17"/>
      <c r="AL5118" s="17"/>
      <c r="AM5118" s="17"/>
      <c r="AN5118" s="17"/>
      <c r="AO5118" s="17"/>
      <c r="AP5118" s="17"/>
      <c r="AQ5118" s="17"/>
      <c r="AR5118" s="17"/>
    </row>
    <row r="5119" s="21" customFormat="1" hidden="1" spans="1:44">
      <c r="A5119" s="17" t="s">
        <v>34</v>
      </c>
      <c r="B5119" s="19">
        <v>980</v>
      </c>
      <c r="C5119" s="222">
        <v>45413</v>
      </c>
      <c r="D5119" s="17" t="s">
        <v>52</v>
      </c>
      <c r="E5119" s="17" t="s">
        <v>1113</v>
      </c>
      <c r="F5119" s="17" t="s">
        <v>54</v>
      </c>
      <c r="G5119" s="17"/>
      <c r="H5119" s="124" t="s">
        <v>106</v>
      </c>
      <c r="I5119" s="124"/>
      <c r="J5119" s="17" t="s">
        <v>82</v>
      </c>
      <c r="K5119" s="19">
        <v>610</v>
      </c>
      <c r="L5119" s="91">
        <v>25</v>
      </c>
      <c r="M5119" s="19">
        <v>5800</v>
      </c>
      <c r="N5119" s="19" t="s">
        <v>66</v>
      </c>
      <c r="O5119" s="19" t="s">
        <v>141</v>
      </c>
      <c r="P5119" s="19">
        <v>1149</v>
      </c>
      <c r="Q5119" s="19">
        <v>1062</v>
      </c>
      <c r="R5119" s="19">
        <f t="shared" si="239"/>
        <v>87</v>
      </c>
      <c r="S5119" s="19">
        <v>1450</v>
      </c>
      <c r="T5119" s="19" t="s">
        <v>42</v>
      </c>
      <c r="U5119" s="102" t="s">
        <v>1391</v>
      </c>
      <c r="V5119" s="253">
        <v>45474</v>
      </c>
      <c r="W5119" s="17" t="s">
        <v>44</v>
      </c>
      <c r="X5119" s="17"/>
      <c r="Y5119" s="68">
        <v>45346</v>
      </c>
      <c r="Z5119" s="17" t="s">
        <v>191</v>
      </c>
      <c r="AA5119" s="17" t="s">
        <v>46</v>
      </c>
      <c r="AB5119" s="17" t="s">
        <v>1249</v>
      </c>
      <c r="AC5119" s="217">
        <v>45380</v>
      </c>
      <c r="AD5119" s="65">
        <v>1547</v>
      </c>
      <c r="AE5119" s="17" t="s">
        <v>48</v>
      </c>
      <c r="AF5119" s="17"/>
      <c r="AG5119" s="17"/>
      <c r="AH5119" s="17"/>
      <c r="AI5119" s="17"/>
      <c r="AJ5119" s="17"/>
      <c r="AK5119" s="17"/>
      <c r="AL5119" s="17"/>
      <c r="AM5119" s="17"/>
      <c r="AN5119" s="17"/>
      <c r="AO5119" s="17"/>
      <c r="AP5119" s="17"/>
      <c r="AQ5119" s="17"/>
      <c r="AR5119" s="17"/>
    </row>
    <row r="5120" s="21" customFormat="1" hidden="1" spans="1:44">
      <c r="A5120" s="17" t="s">
        <v>34</v>
      </c>
      <c r="B5120" s="19">
        <v>980</v>
      </c>
      <c r="C5120" s="222">
        <v>45413</v>
      </c>
      <c r="D5120" s="17" t="s">
        <v>52</v>
      </c>
      <c r="E5120" s="17" t="s">
        <v>1113</v>
      </c>
      <c r="F5120" s="17" t="s">
        <v>54</v>
      </c>
      <c r="G5120" s="17"/>
      <c r="H5120" s="124" t="s">
        <v>106</v>
      </c>
      <c r="I5120" s="124"/>
      <c r="J5120" s="17" t="s">
        <v>82</v>
      </c>
      <c r="K5120" s="19">
        <v>610</v>
      </c>
      <c r="L5120" s="91">
        <v>32</v>
      </c>
      <c r="M5120" s="19">
        <v>5800</v>
      </c>
      <c r="N5120" s="19" t="s">
        <v>66</v>
      </c>
      <c r="O5120" s="19" t="s">
        <v>141</v>
      </c>
      <c r="P5120" s="19">
        <v>736</v>
      </c>
      <c r="Q5120" s="19">
        <v>607</v>
      </c>
      <c r="R5120" s="19">
        <f t="shared" si="239"/>
        <v>129</v>
      </c>
      <c r="S5120" s="19">
        <v>1450</v>
      </c>
      <c r="T5120" s="19" t="s">
        <v>42</v>
      </c>
      <c r="U5120" s="102" t="s">
        <v>1391</v>
      </c>
      <c r="V5120" s="253">
        <v>45474</v>
      </c>
      <c r="W5120" s="17" t="s">
        <v>44</v>
      </c>
      <c r="X5120" s="17"/>
      <c r="Y5120" s="68">
        <v>45346</v>
      </c>
      <c r="Z5120" s="17" t="s">
        <v>191</v>
      </c>
      <c r="AA5120" s="17" t="s">
        <v>46</v>
      </c>
      <c r="AB5120" s="17" t="s">
        <v>1249</v>
      </c>
      <c r="AC5120" s="217">
        <v>45380</v>
      </c>
      <c r="AD5120" s="65">
        <v>1547</v>
      </c>
      <c r="AE5120" s="17" t="s">
        <v>48</v>
      </c>
      <c r="AF5120" s="17"/>
      <c r="AG5120" s="17"/>
      <c r="AH5120" s="17"/>
      <c r="AI5120" s="17"/>
      <c r="AJ5120" s="17"/>
      <c r="AK5120" s="17"/>
      <c r="AL5120" s="17"/>
      <c r="AM5120" s="17"/>
      <c r="AN5120" s="17"/>
      <c r="AO5120" s="17"/>
      <c r="AP5120" s="17"/>
      <c r="AQ5120" s="17"/>
      <c r="AR5120" s="17"/>
    </row>
    <row r="5121" s="21" customFormat="1" hidden="1" spans="1:44">
      <c r="A5121" s="17" t="s">
        <v>34</v>
      </c>
      <c r="B5121" s="19">
        <v>980</v>
      </c>
      <c r="C5121" s="222">
        <v>45413</v>
      </c>
      <c r="D5121" s="17" t="s">
        <v>52</v>
      </c>
      <c r="E5121" s="17" t="s">
        <v>1113</v>
      </c>
      <c r="F5121" s="17" t="s">
        <v>54</v>
      </c>
      <c r="G5121" s="17"/>
      <c r="H5121" s="124" t="s">
        <v>106</v>
      </c>
      <c r="I5121" s="124"/>
      <c r="J5121" s="17" t="s">
        <v>82</v>
      </c>
      <c r="K5121" s="19">
        <v>610</v>
      </c>
      <c r="L5121" s="91">
        <v>36</v>
      </c>
      <c r="M5121" s="19">
        <v>5800</v>
      </c>
      <c r="N5121" s="19" t="s">
        <v>66</v>
      </c>
      <c r="O5121" s="19" t="s">
        <v>141</v>
      </c>
      <c r="P5121" s="19">
        <v>827</v>
      </c>
      <c r="Q5121" s="19">
        <v>805</v>
      </c>
      <c r="R5121" s="19">
        <f t="shared" si="239"/>
        <v>22</v>
      </c>
      <c r="S5121" s="19">
        <v>1450</v>
      </c>
      <c r="T5121" s="19" t="s">
        <v>42</v>
      </c>
      <c r="U5121" s="102" t="s">
        <v>1391</v>
      </c>
      <c r="V5121" s="253">
        <v>45474</v>
      </c>
      <c r="W5121" s="17" t="s">
        <v>44</v>
      </c>
      <c r="X5121" s="17"/>
      <c r="Y5121" s="68">
        <v>45346</v>
      </c>
      <c r="Z5121" s="17" t="s">
        <v>191</v>
      </c>
      <c r="AA5121" s="17" t="s">
        <v>46</v>
      </c>
      <c r="AB5121" s="17" t="s">
        <v>1249</v>
      </c>
      <c r="AC5121" s="217">
        <v>45380</v>
      </c>
      <c r="AD5121" s="65">
        <v>1547</v>
      </c>
      <c r="AE5121" s="17" t="s">
        <v>48</v>
      </c>
      <c r="AF5121" s="17"/>
      <c r="AG5121" s="17"/>
      <c r="AH5121" s="17"/>
      <c r="AI5121" s="17"/>
      <c r="AJ5121" s="17"/>
      <c r="AK5121" s="17"/>
      <c r="AL5121" s="17"/>
      <c r="AM5121" s="17"/>
      <c r="AN5121" s="17"/>
      <c r="AO5121" s="17"/>
      <c r="AP5121" s="17"/>
      <c r="AQ5121" s="17"/>
      <c r="AR5121" s="17"/>
    </row>
    <row r="5122" s="21" customFormat="1" hidden="1" spans="1:44">
      <c r="A5122" s="17" t="s">
        <v>34</v>
      </c>
      <c r="B5122" s="19">
        <v>980</v>
      </c>
      <c r="C5122" s="222">
        <v>45413</v>
      </c>
      <c r="D5122" s="17" t="s">
        <v>52</v>
      </c>
      <c r="E5122" s="17" t="s">
        <v>1113</v>
      </c>
      <c r="F5122" s="17" t="s">
        <v>54</v>
      </c>
      <c r="G5122" s="17"/>
      <c r="H5122" s="124" t="s">
        <v>106</v>
      </c>
      <c r="I5122" s="124"/>
      <c r="J5122" s="17" t="s">
        <v>82</v>
      </c>
      <c r="K5122" s="19">
        <v>610</v>
      </c>
      <c r="L5122" s="91">
        <v>40</v>
      </c>
      <c r="M5122" s="19">
        <v>5800</v>
      </c>
      <c r="N5122" s="19" t="s">
        <v>66</v>
      </c>
      <c r="O5122" s="19" t="s">
        <v>141</v>
      </c>
      <c r="P5122" s="19">
        <v>1839</v>
      </c>
      <c r="Q5122" s="19">
        <v>2041</v>
      </c>
      <c r="R5122" s="19">
        <f t="shared" si="239"/>
        <v>-202</v>
      </c>
      <c r="S5122" s="19">
        <v>1450</v>
      </c>
      <c r="T5122" s="19" t="s">
        <v>42</v>
      </c>
      <c r="U5122" s="102" t="s">
        <v>1391</v>
      </c>
      <c r="V5122" s="253">
        <v>45474</v>
      </c>
      <c r="W5122" s="17" t="s">
        <v>44</v>
      </c>
      <c r="X5122" s="17"/>
      <c r="Y5122" s="68">
        <v>45346</v>
      </c>
      <c r="Z5122" s="17" t="s">
        <v>191</v>
      </c>
      <c r="AA5122" s="17" t="s">
        <v>46</v>
      </c>
      <c r="AB5122" s="17" t="s">
        <v>1249</v>
      </c>
      <c r="AC5122" s="217">
        <v>45380</v>
      </c>
      <c r="AD5122" s="65">
        <v>1547</v>
      </c>
      <c r="AE5122" s="17" t="s">
        <v>48</v>
      </c>
      <c r="AF5122" s="17"/>
      <c r="AG5122" s="17"/>
      <c r="AH5122" s="17"/>
      <c r="AI5122" s="17"/>
      <c r="AJ5122" s="17"/>
      <c r="AK5122" s="17"/>
      <c r="AL5122" s="17"/>
      <c r="AM5122" s="17"/>
      <c r="AN5122" s="17"/>
      <c r="AO5122" s="17"/>
      <c r="AP5122" s="17"/>
      <c r="AQ5122" s="17"/>
      <c r="AR5122" s="17"/>
    </row>
    <row r="5123" s="21" customFormat="1" hidden="1" spans="1:44">
      <c r="A5123" s="17" t="s">
        <v>34</v>
      </c>
      <c r="B5123" s="19">
        <v>980</v>
      </c>
      <c r="C5123" s="222">
        <v>45413</v>
      </c>
      <c r="D5123" s="17" t="s">
        <v>52</v>
      </c>
      <c r="E5123" s="17" t="s">
        <v>1113</v>
      </c>
      <c r="F5123" s="17" t="s">
        <v>54</v>
      </c>
      <c r="G5123" s="17"/>
      <c r="H5123" s="124" t="s">
        <v>106</v>
      </c>
      <c r="I5123" s="124"/>
      <c r="J5123" s="17" t="s">
        <v>82</v>
      </c>
      <c r="K5123" s="19">
        <v>610</v>
      </c>
      <c r="L5123" s="91">
        <v>45</v>
      </c>
      <c r="M5123" s="19">
        <v>5800</v>
      </c>
      <c r="N5123" s="19" t="s">
        <v>66</v>
      </c>
      <c r="O5123" s="19" t="s">
        <v>141</v>
      </c>
      <c r="P5123" s="19">
        <v>1034</v>
      </c>
      <c r="Q5123" s="19">
        <v>932</v>
      </c>
      <c r="R5123" s="19">
        <f t="shared" si="239"/>
        <v>102</v>
      </c>
      <c r="S5123" s="19">
        <v>1450</v>
      </c>
      <c r="T5123" s="19" t="s">
        <v>42</v>
      </c>
      <c r="U5123" s="102" t="s">
        <v>1391</v>
      </c>
      <c r="V5123" s="253">
        <v>45474</v>
      </c>
      <c r="W5123" s="17" t="s">
        <v>44</v>
      </c>
      <c r="X5123" s="17"/>
      <c r="Y5123" s="68">
        <v>45346</v>
      </c>
      <c r="Z5123" s="17" t="s">
        <v>191</v>
      </c>
      <c r="AA5123" s="17" t="s">
        <v>46</v>
      </c>
      <c r="AB5123" s="17" t="s">
        <v>1249</v>
      </c>
      <c r="AC5123" s="217">
        <v>45380</v>
      </c>
      <c r="AD5123" s="65">
        <v>1547</v>
      </c>
      <c r="AE5123" s="17" t="s">
        <v>48</v>
      </c>
      <c r="AF5123" s="17"/>
      <c r="AG5123" s="17"/>
      <c r="AH5123" s="17"/>
      <c r="AI5123" s="17"/>
      <c r="AJ5123" s="17"/>
      <c r="AK5123" s="17"/>
      <c r="AL5123" s="17"/>
      <c r="AM5123" s="17"/>
      <c r="AN5123" s="17"/>
      <c r="AO5123" s="17"/>
      <c r="AP5123" s="17"/>
      <c r="AQ5123" s="17"/>
      <c r="AR5123" s="17"/>
    </row>
    <row r="5124" s="21" customFormat="1" hidden="1" spans="1:44">
      <c r="A5124" s="17" t="s">
        <v>34</v>
      </c>
      <c r="B5124" s="19">
        <v>980</v>
      </c>
      <c r="C5124" s="222">
        <v>45413</v>
      </c>
      <c r="D5124" s="17" t="s">
        <v>52</v>
      </c>
      <c r="E5124" s="17" t="s">
        <v>1113</v>
      </c>
      <c r="F5124" s="17" t="s">
        <v>54</v>
      </c>
      <c r="G5124" s="17"/>
      <c r="H5124" s="124" t="s">
        <v>106</v>
      </c>
      <c r="I5124" s="124"/>
      <c r="J5124" s="17" t="s">
        <v>82</v>
      </c>
      <c r="K5124" s="19">
        <v>610</v>
      </c>
      <c r="L5124" s="91">
        <v>50</v>
      </c>
      <c r="M5124" s="19">
        <v>5800</v>
      </c>
      <c r="N5124" s="19" t="s">
        <v>66</v>
      </c>
      <c r="O5124" s="19" t="s">
        <v>141</v>
      </c>
      <c r="P5124" s="19">
        <v>2298</v>
      </c>
      <c r="Q5124" s="19">
        <v>2865</v>
      </c>
      <c r="R5124" s="19">
        <f t="shared" si="239"/>
        <v>-567</v>
      </c>
      <c r="S5124" s="19">
        <v>1450</v>
      </c>
      <c r="T5124" s="19" t="s">
        <v>42</v>
      </c>
      <c r="U5124" s="102" t="s">
        <v>1391</v>
      </c>
      <c r="V5124" s="253">
        <v>45474</v>
      </c>
      <c r="W5124" s="17" t="s">
        <v>44</v>
      </c>
      <c r="X5124" s="17"/>
      <c r="Y5124" s="68">
        <v>45346</v>
      </c>
      <c r="Z5124" s="17" t="s">
        <v>191</v>
      </c>
      <c r="AA5124" s="17" t="s">
        <v>46</v>
      </c>
      <c r="AB5124" s="17" t="s">
        <v>1249</v>
      </c>
      <c r="AC5124" s="217">
        <v>45380</v>
      </c>
      <c r="AD5124" s="65">
        <v>1547</v>
      </c>
      <c r="AE5124" s="17" t="s">
        <v>48</v>
      </c>
      <c r="AF5124" s="17"/>
      <c r="AG5124" s="17"/>
      <c r="AH5124" s="17"/>
      <c r="AI5124" s="17"/>
      <c r="AJ5124" s="17"/>
      <c r="AK5124" s="17"/>
      <c r="AL5124" s="17"/>
      <c r="AM5124" s="17"/>
      <c r="AN5124" s="17"/>
      <c r="AO5124" s="17"/>
      <c r="AP5124" s="17"/>
      <c r="AQ5124" s="17"/>
      <c r="AR5124" s="17"/>
    </row>
    <row r="5125" s="21" customFormat="1" hidden="1" spans="1:44">
      <c r="A5125" s="17" t="s">
        <v>34</v>
      </c>
      <c r="B5125" s="19">
        <v>980</v>
      </c>
      <c r="C5125" s="222">
        <v>45413</v>
      </c>
      <c r="D5125" s="17" t="s">
        <v>52</v>
      </c>
      <c r="E5125" s="17" t="s">
        <v>1113</v>
      </c>
      <c r="F5125" s="17" t="s">
        <v>54</v>
      </c>
      <c r="G5125" s="17"/>
      <c r="H5125" s="124" t="s">
        <v>106</v>
      </c>
      <c r="I5125" s="124"/>
      <c r="J5125" s="17" t="s">
        <v>82</v>
      </c>
      <c r="K5125" s="19">
        <v>610</v>
      </c>
      <c r="L5125" s="91">
        <v>56</v>
      </c>
      <c r="M5125" s="19">
        <v>5800</v>
      </c>
      <c r="N5125" s="19" t="s">
        <v>66</v>
      </c>
      <c r="O5125" s="19" t="s">
        <v>141</v>
      </c>
      <c r="P5125" s="19">
        <v>2574</v>
      </c>
      <c r="Q5125" s="19">
        <v>3248</v>
      </c>
      <c r="R5125" s="19">
        <f t="shared" si="239"/>
        <v>-674</v>
      </c>
      <c r="S5125" s="19">
        <v>1450</v>
      </c>
      <c r="T5125" s="19" t="s">
        <v>42</v>
      </c>
      <c r="U5125" s="102" t="s">
        <v>1391</v>
      </c>
      <c r="V5125" s="253">
        <v>45474</v>
      </c>
      <c r="W5125" s="17" t="s">
        <v>44</v>
      </c>
      <c r="X5125" s="17"/>
      <c r="Y5125" s="68">
        <v>45346</v>
      </c>
      <c r="Z5125" s="17" t="s">
        <v>191</v>
      </c>
      <c r="AA5125" s="17" t="s">
        <v>46</v>
      </c>
      <c r="AB5125" s="17" t="s">
        <v>1249</v>
      </c>
      <c r="AC5125" s="217">
        <v>45380</v>
      </c>
      <c r="AD5125" s="65">
        <v>1547</v>
      </c>
      <c r="AE5125" s="17" t="s">
        <v>48</v>
      </c>
      <c r="AF5125" s="17"/>
      <c r="AG5125" s="17"/>
      <c r="AH5125" s="17"/>
      <c r="AI5125" s="17"/>
      <c r="AJ5125" s="17"/>
      <c r="AK5125" s="17"/>
      <c r="AL5125" s="17"/>
      <c r="AM5125" s="17"/>
      <c r="AN5125" s="17"/>
      <c r="AO5125" s="17"/>
      <c r="AP5125" s="17"/>
      <c r="AQ5125" s="17"/>
      <c r="AR5125" s="17"/>
    </row>
    <row r="5126" s="21" customFormat="1" hidden="1" spans="1:44">
      <c r="A5126" s="17" t="s">
        <v>34</v>
      </c>
      <c r="B5126" s="19">
        <v>980</v>
      </c>
      <c r="C5126" s="222">
        <v>45413</v>
      </c>
      <c r="D5126" s="17" t="s">
        <v>52</v>
      </c>
      <c r="E5126" s="17" t="s">
        <v>1113</v>
      </c>
      <c r="F5126" s="17" t="s">
        <v>54</v>
      </c>
      <c r="G5126" s="17"/>
      <c r="H5126" s="124" t="s">
        <v>106</v>
      </c>
      <c r="I5126" s="124"/>
      <c r="J5126" s="17" t="s">
        <v>82</v>
      </c>
      <c r="K5126" s="19">
        <v>610</v>
      </c>
      <c r="L5126" s="91">
        <v>60</v>
      </c>
      <c r="M5126" s="19">
        <v>5800</v>
      </c>
      <c r="N5126" s="19" t="s">
        <v>66</v>
      </c>
      <c r="O5126" s="19" t="s">
        <v>141</v>
      </c>
      <c r="P5126" s="19">
        <v>2758</v>
      </c>
      <c r="Q5126" s="19">
        <v>2532</v>
      </c>
      <c r="R5126" s="19">
        <f t="shared" si="239"/>
        <v>226</v>
      </c>
      <c r="S5126" s="19">
        <v>1450</v>
      </c>
      <c r="T5126" s="19" t="s">
        <v>42</v>
      </c>
      <c r="U5126" s="102" t="s">
        <v>1391</v>
      </c>
      <c r="V5126" s="253">
        <v>45474</v>
      </c>
      <c r="W5126" s="17" t="s">
        <v>44</v>
      </c>
      <c r="X5126" s="17"/>
      <c r="Y5126" s="68">
        <v>45346</v>
      </c>
      <c r="Z5126" s="17" t="s">
        <v>191</v>
      </c>
      <c r="AA5126" s="17" t="s">
        <v>46</v>
      </c>
      <c r="AB5126" s="17" t="s">
        <v>1249</v>
      </c>
      <c r="AC5126" s="217">
        <v>45380</v>
      </c>
      <c r="AD5126" s="65">
        <v>1547</v>
      </c>
      <c r="AE5126" s="17" t="s">
        <v>48</v>
      </c>
      <c r="AF5126" s="17"/>
      <c r="AG5126" s="17"/>
      <c r="AH5126" s="17"/>
      <c r="AI5126" s="17"/>
      <c r="AJ5126" s="17"/>
      <c r="AK5126" s="17"/>
      <c r="AL5126" s="17"/>
      <c r="AM5126" s="17"/>
      <c r="AN5126" s="17"/>
      <c r="AO5126" s="17"/>
      <c r="AP5126" s="17"/>
      <c r="AQ5126" s="17"/>
      <c r="AR5126" s="17"/>
    </row>
    <row r="5127" s="21" customFormat="1" hidden="1" spans="1:44">
      <c r="A5127" s="17" t="s">
        <v>34</v>
      </c>
      <c r="B5127" s="19">
        <v>980</v>
      </c>
      <c r="C5127" s="222">
        <v>45413</v>
      </c>
      <c r="D5127" s="17" t="s">
        <v>52</v>
      </c>
      <c r="E5127" s="17" t="s">
        <v>1113</v>
      </c>
      <c r="F5127" s="17" t="s">
        <v>54</v>
      </c>
      <c r="G5127" s="17"/>
      <c r="H5127" s="124" t="s">
        <v>106</v>
      </c>
      <c r="I5127" s="124"/>
      <c r="J5127" s="17" t="s">
        <v>82</v>
      </c>
      <c r="K5127" s="19">
        <v>610</v>
      </c>
      <c r="L5127" s="91">
        <v>65</v>
      </c>
      <c r="M5127" s="19">
        <v>5800</v>
      </c>
      <c r="N5127" s="19" t="s">
        <v>66</v>
      </c>
      <c r="O5127" s="19" t="s">
        <v>141</v>
      </c>
      <c r="P5127" s="19">
        <v>1494</v>
      </c>
      <c r="Q5127" s="19">
        <v>1189</v>
      </c>
      <c r="R5127" s="19">
        <f t="shared" si="239"/>
        <v>305</v>
      </c>
      <c r="S5127" s="19">
        <v>1450</v>
      </c>
      <c r="T5127" s="19" t="s">
        <v>42</v>
      </c>
      <c r="U5127" s="102" t="s">
        <v>1391</v>
      </c>
      <c r="V5127" s="253">
        <v>45474</v>
      </c>
      <c r="W5127" s="17" t="s">
        <v>44</v>
      </c>
      <c r="X5127" s="17"/>
      <c r="Y5127" s="68">
        <v>45346</v>
      </c>
      <c r="Z5127" s="17" t="s">
        <v>191</v>
      </c>
      <c r="AA5127" s="17" t="s">
        <v>46</v>
      </c>
      <c r="AB5127" s="17" t="s">
        <v>1249</v>
      </c>
      <c r="AC5127" s="217">
        <v>45380</v>
      </c>
      <c r="AD5127" s="65">
        <v>1547</v>
      </c>
      <c r="AE5127" s="17" t="s">
        <v>48</v>
      </c>
      <c r="AF5127" s="17"/>
      <c r="AG5127" s="17"/>
      <c r="AH5127" s="17"/>
      <c r="AI5127" s="17"/>
      <c r="AJ5127" s="17"/>
      <c r="AK5127" s="17"/>
      <c r="AL5127" s="17"/>
      <c r="AM5127" s="17"/>
      <c r="AN5127" s="17"/>
      <c r="AO5127" s="17"/>
      <c r="AP5127" s="17"/>
      <c r="AQ5127" s="17"/>
      <c r="AR5127" s="17"/>
    </row>
    <row r="5128" s="21" customFormat="1" hidden="1" spans="1:44">
      <c r="A5128" s="17" t="s">
        <v>34</v>
      </c>
      <c r="B5128" s="19">
        <v>980</v>
      </c>
      <c r="C5128" s="222">
        <v>45413</v>
      </c>
      <c r="D5128" s="17" t="s">
        <v>52</v>
      </c>
      <c r="E5128" s="17" t="s">
        <v>1113</v>
      </c>
      <c r="F5128" s="17" t="s">
        <v>54</v>
      </c>
      <c r="G5128" s="17"/>
      <c r="H5128" s="124" t="s">
        <v>106</v>
      </c>
      <c r="I5128" s="124"/>
      <c r="J5128" s="17" t="s">
        <v>82</v>
      </c>
      <c r="K5128" s="19">
        <v>610</v>
      </c>
      <c r="L5128" s="91">
        <v>70</v>
      </c>
      <c r="M5128" s="19">
        <v>5800</v>
      </c>
      <c r="N5128" s="19" t="s">
        <v>66</v>
      </c>
      <c r="O5128" s="19" t="s">
        <v>141</v>
      </c>
      <c r="P5128" s="19">
        <v>1609</v>
      </c>
      <c r="Q5128" s="19">
        <v>2338</v>
      </c>
      <c r="R5128" s="19">
        <f t="shared" ref="R5128:R5135" si="240">+P5128-Q5128</f>
        <v>-729</v>
      </c>
      <c r="S5128" s="19">
        <v>1450</v>
      </c>
      <c r="T5128" s="19" t="s">
        <v>42</v>
      </c>
      <c r="U5128" s="102" t="s">
        <v>1391</v>
      </c>
      <c r="V5128" s="253">
        <v>45474</v>
      </c>
      <c r="W5128" s="17" t="s">
        <v>44</v>
      </c>
      <c r="X5128" s="17"/>
      <c r="Y5128" s="68">
        <v>45346</v>
      </c>
      <c r="Z5128" s="17" t="s">
        <v>191</v>
      </c>
      <c r="AA5128" s="17" t="s">
        <v>46</v>
      </c>
      <c r="AB5128" s="17" t="s">
        <v>1249</v>
      </c>
      <c r="AC5128" s="217">
        <v>45380</v>
      </c>
      <c r="AD5128" s="65">
        <v>1547</v>
      </c>
      <c r="AE5128" s="17" t="s">
        <v>48</v>
      </c>
      <c r="AF5128" s="17"/>
      <c r="AG5128" s="17"/>
      <c r="AH5128" s="17"/>
      <c r="AI5128" s="17"/>
      <c r="AJ5128" s="17"/>
      <c r="AK5128" s="17"/>
      <c r="AL5128" s="17"/>
      <c r="AM5128" s="17"/>
      <c r="AN5128" s="17"/>
      <c r="AO5128" s="17"/>
      <c r="AP5128" s="17"/>
      <c r="AQ5128" s="17"/>
      <c r="AR5128" s="17"/>
    </row>
    <row r="5129" s="21" customFormat="1" hidden="1" spans="1:44">
      <c r="A5129" s="17" t="s">
        <v>34</v>
      </c>
      <c r="B5129" s="19">
        <v>980</v>
      </c>
      <c r="C5129" s="222">
        <v>45413</v>
      </c>
      <c r="D5129" s="17" t="s">
        <v>52</v>
      </c>
      <c r="E5129" s="17" t="s">
        <v>1113</v>
      </c>
      <c r="F5129" s="17" t="s">
        <v>54</v>
      </c>
      <c r="G5129" s="17"/>
      <c r="H5129" s="124" t="s">
        <v>106</v>
      </c>
      <c r="I5129" s="124"/>
      <c r="J5129" s="17" t="s">
        <v>82</v>
      </c>
      <c r="K5129" s="19">
        <v>610</v>
      </c>
      <c r="L5129" s="91">
        <v>80</v>
      </c>
      <c r="M5129" s="19">
        <v>5800</v>
      </c>
      <c r="N5129" s="19" t="s">
        <v>66</v>
      </c>
      <c r="O5129" s="19" t="s">
        <v>141</v>
      </c>
      <c r="P5129" s="19">
        <v>1839</v>
      </c>
      <c r="Q5129" s="19">
        <v>1826</v>
      </c>
      <c r="R5129" s="19">
        <f t="shared" si="240"/>
        <v>13</v>
      </c>
      <c r="S5129" s="19">
        <v>1450</v>
      </c>
      <c r="T5129" s="19" t="s">
        <v>42</v>
      </c>
      <c r="U5129" s="102" t="s">
        <v>1391</v>
      </c>
      <c r="V5129" s="253">
        <v>45474</v>
      </c>
      <c r="W5129" s="17" t="s">
        <v>44</v>
      </c>
      <c r="X5129" s="17"/>
      <c r="Y5129" s="68">
        <v>45346</v>
      </c>
      <c r="Z5129" s="17" t="s">
        <v>191</v>
      </c>
      <c r="AA5129" s="17" t="s">
        <v>46</v>
      </c>
      <c r="AB5129" s="17" t="s">
        <v>1249</v>
      </c>
      <c r="AC5129" s="217">
        <v>45380</v>
      </c>
      <c r="AD5129" s="65">
        <v>1547</v>
      </c>
      <c r="AE5129" s="17" t="s">
        <v>48</v>
      </c>
      <c r="AF5129" s="17"/>
      <c r="AG5129" s="17"/>
      <c r="AH5129" s="17"/>
      <c r="AI5129" s="17"/>
      <c r="AJ5129" s="17"/>
      <c r="AK5129" s="17"/>
      <c r="AL5129" s="17"/>
      <c r="AM5129" s="17"/>
      <c r="AN5129" s="17"/>
      <c r="AO5129" s="17"/>
      <c r="AP5129" s="17"/>
      <c r="AQ5129" s="17"/>
      <c r="AR5129" s="17"/>
    </row>
    <row r="5130" s="21" customFormat="1" hidden="1" spans="1:44">
      <c r="A5130" s="17" t="s">
        <v>34</v>
      </c>
      <c r="B5130" s="19">
        <v>980</v>
      </c>
      <c r="C5130" s="222">
        <v>45413</v>
      </c>
      <c r="D5130" s="17" t="s">
        <v>52</v>
      </c>
      <c r="E5130" s="17" t="s">
        <v>1113</v>
      </c>
      <c r="F5130" s="17" t="s">
        <v>54</v>
      </c>
      <c r="G5130" s="17"/>
      <c r="H5130" s="124" t="s">
        <v>106</v>
      </c>
      <c r="I5130" s="124"/>
      <c r="J5130" s="17" t="s">
        <v>82</v>
      </c>
      <c r="K5130" s="19">
        <v>610</v>
      </c>
      <c r="L5130" s="91">
        <v>90</v>
      </c>
      <c r="M5130" s="19">
        <v>5800</v>
      </c>
      <c r="N5130" s="19" t="s">
        <v>66</v>
      </c>
      <c r="O5130" s="19" t="s">
        <v>141</v>
      </c>
      <c r="P5130" s="19">
        <v>2069</v>
      </c>
      <c r="Q5130" s="19">
        <v>1986</v>
      </c>
      <c r="R5130" s="19">
        <f t="shared" si="240"/>
        <v>83</v>
      </c>
      <c r="S5130" s="19">
        <v>1450</v>
      </c>
      <c r="T5130" s="19" t="s">
        <v>42</v>
      </c>
      <c r="U5130" s="102" t="s">
        <v>1391</v>
      </c>
      <c r="V5130" s="253">
        <v>45474</v>
      </c>
      <c r="W5130" s="17" t="s">
        <v>44</v>
      </c>
      <c r="X5130" s="17"/>
      <c r="Y5130" s="68">
        <v>45346</v>
      </c>
      <c r="Z5130" s="17" t="s">
        <v>191</v>
      </c>
      <c r="AA5130" s="17" t="s">
        <v>46</v>
      </c>
      <c r="AB5130" s="17" t="s">
        <v>1249</v>
      </c>
      <c r="AC5130" s="217">
        <v>45380</v>
      </c>
      <c r="AD5130" s="65">
        <v>1547</v>
      </c>
      <c r="AE5130" s="17" t="s">
        <v>48</v>
      </c>
      <c r="AF5130" s="17"/>
      <c r="AG5130" s="17"/>
      <c r="AH5130" s="17"/>
      <c r="AI5130" s="17"/>
      <c r="AJ5130" s="17"/>
      <c r="AK5130" s="17"/>
      <c r="AL5130" s="17"/>
      <c r="AM5130" s="17"/>
      <c r="AN5130" s="17"/>
      <c r="AO5130" s="17"/>
      <c r="AP5130" s="17"/>
      <c r="AQ5130" s="17"/>
      <c r="AR5130" s="17"/>
    </row>
    <row r="5131" s="21" customFormat="1" hidden="1" spans="1:44">
      <c r="A5131" s="17" t="s">
        <v>34</v>
      </c>
      <c r="B5131" s="19">
        <v>980</v>
      </c>
      <c r="C5131" s="222">
        <v>45413</v>
      </c>
      <c r="D5131" s="17" t="s">
        <v>52</v>
      </c>
      <c r="E5131" s="17" t="s">
        <v>1113</v>
      </c>
      <c r="F5131" s="17" t="s">
        <v>54</v>
      </c>
      <c r="G5131" s="17"/>
      <c r="H5131" s="124" t="s">
        <v>106</v>
      </c>
      <c r="I5131" s="124"/>
      <c r="J5131" s="17" t="s">
        <v>82</v>
      </c>
      <c r="K5131" s="19">
        <v>610</v>
      </c>
      <c r="L5131" s="91">
        <v>100</v>
      </c>
      <c r="M5131" s="19">
        <v>5800</v>
      </c>
      <c r="N5131" s="19" t="s">
        <v>66</v>
      </c>
      <c r="O5131" s="19" t="s">
        <v>141</v>
      </c>
      <c r="P5131" s="19">
        <v>2298</v>
      </c>
      <c r="Q5131" s="19">
        <v>0</v>
      </c>
      <c r="R5131" s="19">
        <f t="shared" si="240"/>
        <v>2298</v>
      </c>
      <c r="S5131" s="19">
        <v>1450</v>
      </c>
      <c r="T5131" s="19" t="s">
        <v>42</v>
      </c>
      <c r="U5131" s="102" t="s">
        <v>1391</v>
      </c>
      <c r="V5131" s="253">
        <v>45474</v>
      </c>
      <c r="W5131" s="17" t="s">
        <v>44</v>
      </c>
      <c r="X5131" s="17"/>
      <c r="Y5131" s="68">
        <v>45346</v>
      </c>
      <c r="Z5131" s="17" t="s">
        <v>191</v>
      </c>
      <c r="AA5131" s="17" t="s">
        <v>46</v>
      </c>
      <c r="AB5131" s="17"/>
      <c r="AC5131" s="102"/>
      <c r="AD5131" s="65"/>
      <c r="AE5131" s="17" t="s">
        <v>48</v>
      </c>
      <c r="AF5131" s="17" t="s">
        <v>1392</v>
      </c>
      <c r="AG5131" s="17"/>
      <c r="AH5131" s="17"/>
      <c r="AI5131" s="17"/>
      <c r="AJ5131" s="17"/>
      <c r="AK5131" s="17"/>
      <c r="AL5131" s="17"/>
      <c r="AM5131" s="17"/>
      <c r="AN5131" s="17"/>
      <c r="AO5131" s="17"/>
      <c r="AP5131" s="17"/>
      <c r="AQ5131" s="17"/>
      <c r="AR5131" s="17"/>
    </row>
    <row r="5132" s="21" customFormat="1" hidden="1" spans="1:44">
      <c r="A5132" s="17" t="s">
        <v>34</v>
      </c>
      <c r="B5132" s="19">
        <v>980</v>
      </c>
      <c r="C5132" s="222">
        <v>45413</v>
      </c>
      <c r="D5132" s="17" t="s">
        <v>52</v>
      </c>
      <c r="E5132" s="17" t="s">
        <v>1113</v>
      </c>
      <c r="F5132" s="17" t="s">
        <v>54</v>
      </c>
      <c r="G5132" s="17"/>
      <c r="H5132" s="124" t="s">
        <v>106</v>
      </c>
      <c r="I5132" s="124"/>
      <c r="J5132" s="17" t="s">
        <v>82</v>
      </c>
      <c r="K5132" s="19">
        <v>610</v>
      </c>
      <c r="L5132" s="91">
        <v>105</v>
      </c>
      <c r="M5132" s="19">
        <v>5800</v>
      </c>
      <c r="N5132" s="19" t="s">
        <v>66</v>
      </c>
      <c r="O5132" s="19" t="s">
        <v>141</v>
      </c>
      <c r="P5132" s="19">
        <v>2413</v>
      </c>
      <c r="Q5132" s="19">
        <v>2035</v>
      </c>
      <c r="R5132" s="19">
        <f t="shared" si="240"/>
        <v>378</v>
      </c>
      <c r="S5132" s="19">
        <v>1450</v>
      </c>
      <c r="T5132" s="19" t="s">
        <v>42</v>
      </c>
      <c r="U5132" s="102" t="s">
        <v>1391</v>
      </c>
      <c r="V5132" s="253">
        <v>45474</v>
      </c>
      <c r="W5132" s="17" t="s">
        <v>44</v>
      </c>
      <c r="X5132" s="17"/>
      <c r="Y5132" s="68">
        <v>45346</v>
      </c>
      <c r="Z5132" s="17" t="s">
        <v>191</v>
      </c>
      <c r="AA5132" s="17" t="s">
        <v>46</v>
      </c>
      <c r="AB5132" s="17" t="s">
        <v>1249</v>
      </c>
      <c r="AC5132" s="217">
        <v>45380</v>
      </c>
      <c r="AD5132" s="65">
        <v>1547</v>
      </c>
      <c r="AE5132" s="17" t="s">
        <v>48</v>
      </c>
      <c r="AF5132" s="17"/>
      <c r="AG5132" s="17"/>
      <c r="AH5132" s="17"/>
      <c r="AI5132" s="17"/>
      <c r="AJ5132" s="17"/>
      <c r="AK5132" s="17"/>
      <c r="AL5132" s="17"/>
      <c r="AM5132" s="17"/>
      <c r="AN5132" s="17"/>
      <c r="AO5132" s="17"/>
      <c r="AP5132" s="17"/>
      <c r="AQ5132" s="17"/>
      <c r="AR5132" s="17"/>
    </row>
    <row r="5133" s="21" customFormat="1" hidden="1" spans="1:44">
      <c r="A5133" s="17" t="s">
        <v>34</v>
      </c>
      <c r="B5133" s="19">
        <v>980</v>
      </c>
      <c r="C5133" s="222">
        <v>45413</v>
      </c>
      <c r="D5133" s="17" t="s">
        <v>52</v>
      </c>
      <c r="E5133" s="17" t="s">
        <v>1113</v>
      </c>
      <c r="F5133" s="17" t="s">
        <v>54</v>
      </c>
      <c r="G5133" s="17"/>
      <c r="H5133" s="124" t="s">
        <v>106</v>
      </c>
      <c r="I5133" s="124"/>
      <c r="J5133" s="17" t="s">
        <v>82</v>
      </c>
      <c r="K5133" s="19">
        <v>610</v>
      </c>
      <c r="L5133" s="91">
        <v>120</v>
      </c>
      <c r="M5133" s="19">
        <v>5800</v>
      </c>
      <c r="N5133" s="19" t="s">
        <v>66</v>
      </c>
      <c r="O5133" s="19" t="s">
        <v>141</v>
      </c>
      <c r="P5133" s="19">
        <v>2758</v>
      </c>
      <c r="Q5133" s="19">
        <v>0</v>
      </c>
      <c r="R5133" s="19">
        <f t="shared" si="240"/>
        <v>2758</v>
      </c>
      <c r="S5133" s="19">
        <v>1450</v>
      </c>
      <c r="T5133" s="19" t="s">
        <v>42</v>
      </c>
      <c r="U5133" s="102" t="s">
        <v>1391</v>
      </c>
      <c r="V5133" s="253">
        <v>45474</v>
      </c>
      <c r="W5133" s="17" t="s">
        <v>44</v>
      </c>
      <c r="X5133" s="17"/>
      <c r="Y5133" s="68">
        <v>45346</v>
      </c>
      <c r="Z5133" s="17" t="s">
        <v>191</v>
      </c>
      <c r="AA5133" s="17" t="s">
        <v>46</v>
      </c>
      <c r="AB5133" s="17"/>
      <c r="AC5133" s="102"/>
      <c r="AD5133" s="65"/>
      <c r="AE5133" s="17" t="s">
        <v>48</v>
      </c>
      <c r="AF5133" s="17" t="s">
        <v>1392</v>
      </c>
      <c r="AG5133" s="17"/>
      <c r="AH5133" s="17"/>
      <c r="AI5133" s="17"/>
      <c r="AJ5133" s="17"/>
      <c r="AK5133" s="17"/>
      <c r="AL5133" s="17"/>
      <c r="AM5133" s="17"/>
      <c r="AN5133" s="17"/>
      <c r="AO5133" s="17"/>
      <c r="AP5133" s="17"/>
      <c r="AQ5133" s="17"/>
      <c r="AR5133" s="17"/>
    </row>
    <row r="5134" s="20" customFormat="1" hidden="1" spans="1:44">
      <c r="A5134" s="17" t="s">
        <v>34</v>
      </c>
      <c r="B5134" s="19">
        <v>981</v>
      </c>
      <c r="C5134" s="183">
        <v>45307</v>
      </c>
      <c r="D5134" s="17" t="s">
        <v>52</v>
      </c>
      <c r="E5134" s="17" t="s">
        <v>1113</v>
      </c>
      <c r="F5134" s="17" t="s">
        <v>54</v>
      </c>
      <c r="G5134" s="17"/>
      <c r="H5134" s="124">
        <v>1.2311</v>
      </c>
      <c r="I5134" s="124"/>
      <c r="J5134" s="17" t="s">
        <v>49</v>
      </c>
      <c r="K5134" s="91">
        <v>2200</v>
      </c>
      <c r="L5134" s="19">
        <v>20</v>
      </c>
      <c r="M5134" s="19">
        <v>5800</v>
      </c>
      <c r="N5134" s="19" t="s">
        <v>66</v>
      </c>
      <c r="O5134" s="19" t="s">
        <v>141</v>
      </c>
      <c r="P5134" s="19">
        <v>1727</v>
      </c>
      <c r="Q5134" s="19">
        <v>2160</v>
      </c>
      <c r="R5134" s="19">
        <f t="shared" si="240"/>
        <v>-433</v>
      </c>
      <c r="S5134" s="19">
        <v>930</v>
      </c>
      <c r="T5134" s="19" t="s">
        <v>42</v>
      </c>
      <c r="U5134" s="102" t="s">
        <v>1393</v>
      </c>
      <c r="V5134" s="101">
        <v>45308</v>
      </c>
      <c r="W5134" s="17" t="s">
        <v>44</v>
      </c>
      <c r="X5134" s="17"/>
      <c r="Y5134" s="68">
        <v>45292</v>
      </c>
      <c r="Z5134" s="17" t="s">
        <v>191</v>
      </c>
      <c r="AA5134" s="17" t="s">
        <v>46</v>
      </c>
      <c r="AB5134" s="17" t="s">
        <v>1256</v>
      </c>
      <c r="AC5134" s="66">
        <v>45322</v>
      </c>
      <c r="AD5134" s="65">
        <v>1522</v>
      </c>
      <c r="AE5134" s="17" t="s">
        <v>48</v>
      </c>
      <c r="AF5134" s="17"/>
      <c r="AG5134" s="17"/>
      <c r="AH5134" s="17"/>
      <c r="AI5134" s="17"/>
      <c r="AJ5134" s="17"/>
      <c r="AK5134" s="17"/>
      <c r="AL5134" s="17"/>
      <c r="AM5134" s="17"/>
      <c r="AN5134" s="17"/>
      <c r="AO5134" s="17"/>
      <c r="AP5134" s="17"/>
      <c r="AQ5134" s="17"/>
      <c r="AR5134" s="17"/>
    </row>
    <row r="5135" s="20" customFormat="1" hidden="1" spans="1:44">
      <c r="A5135" s="17" t="s">
        <v>34</v>
      </c>
      <c r="B5135" s="19">
        <v>981</v>
      </c>
      <c r="C5135" s="183">
        <v>45307</v>
      </c>
      <c r="D5135" s="17" t="s">
        <v>52</v>
      </c>
      <c r="E5135" s="17" t="s">
        <v>1113</v>
      </c>
      <c r="F5135" s="17" t="s">
        <v>54</v>
      </c>
      <c r="G5135" s="17"/>
      <c r="H5135" s="124">
        <v>1.2311</v>
      </c>
      <c r="I5135" s="124"/>
      <c r="J5135" s="17" t="s">
        <v>49</v>
      </c>
      <c r="K5135" s="91">
        <v>2200</v>
      </c>
      <c r="L5135" s="19">
        <v>25</v>
      </c>
      <c r="M5135" s="19">
        <v>5800</v>
      </c>
      <c r="N5135" s="19" t="s">
        <v>66</v>
      </c>
      <c r="O5135" s="19" t="s">
        <v>141</v>
      </c>
      <c r="P5135" s="19">
        <v>2159</v>
      </c>
      <c r="Q5135" s="19">
        <v>2560</v>
      </c>
      <c r="R5135" s="19">
        <f t="shared" si="240"/>
        <v>-401</v>
      </c>
      <c r="S5135" s="19">
        <v>930</v>
      </c>
      <c r="T5135" s="19" t="s">
        <v>42</v>
      </c>
      <c r="U5135" s="102" t="s">
        <v>1393</v>
      </c>
      <c r="V5135" s="101">
        <v>45308</v>
      </c>
      <c r="W5135" s="17" t="s">
        <v>44</v>
      </c>
      <c r="X5135" s="17"/>
      <c r="Y5135" s="68">
        <v>45292</v>
      </c>
      <c r="Z5135" s="17" t="s">
        <v>191</v>
      </c>
      <c r="AA5135" s="17" t="s">
        <v>46</v>
      </c>
      <c r="AB5135" s="17" t="s">
        <v>1285</v>
      </c>
      <c r="AC5135" s="66">
        <v>45315</v>
      </c>
      <c r="AD5135" s="65">
        <v>1521</v>
      </c>
      <c r="AE5135" s="17" t="s">
        <v>48</v>
      </c>
      <c r="AF5135" s="17"/>
      <c r="AG5135" s="17"/>
      <c r="AH5135" s="17"/>
      <c r="AI5135" s="17"/>
      <c r="AJ5135" s="17"/>
      <c r="AK5135" s="17"/>
      <c r="AL5135" s="17"/>
      <c r="AM5135" s="17"/>
      <c r="AN5135" s="17"/>
      <c r="AO5135" s="17"/>
      <c r="AP5135" s="17"/>
      <c r="AQ5135" s="17"/>
      <c r="AR5135" s="17"/>
    </row>
    <row r="5136" s="20" customFormat="1" hidden="1" spans="1:44">
      <c r="A5136" s="17" t="s">
        <v>34</v>
      </c>
      <c r="B5136" s="19">
        <v>981</v>
      </c>
      <c r="C5136" s="183">
        <v>45307</v>
      </c>
      <c r="D5136" s="17" t="s">
        <v>52</v>
      </c>
      <c r="E5136" s="17" t="s">
        <v>1113</v>
      </c>
      <c r="F5136" s="17" t="s">
        <v>54</v>
      </c>
      <c r="G5136" s="17"/>
      <c r="H5136" s="124">
        <v>1.2311</v>
      </c>
      <c r="I5136" s="124"/>
      <c r="J5136" s="17" t="s">
        <v>49</v>
      </c>
      <c r="K5136" s="91">
        <v>2200</v>
      </c>
      <c r="L5136" s="19">
        <v>32</v>
      </c>
      <c r="M5136" s="19">
        <v>5800</v>
      </c>
      <c r="N5136" s="19" t="s">
        <v>66</v>
      </c>
      <c r="O5136" s="19" t="s">
        <v>141</v>
      </c>
      <c r="P5136" s="19">
        <v>8290</v>
      </c>
      <c r="Q5136" s="19">
        <v>2840</v>
      </c>
      <c r="R5136" s="254"/>
      <c r="S5136" s="19">
        <v>930</v>
      </c>
      <c r="T5136" s="19" t="s">
        <v>42</v>
      </c>
      <c r="U5136" s="102" t="s">
        <v>1393</v>
      </c>
      <c r="V5136" s="101">
        <v>45308</v>
      </c>
      <c r="W5136" s="17" t="s">
        <v>44</v>
      </c>
      <c r="X5136" s="17"/>
      <c r="Y5136" s="68">
        <v>45292</v>
      </c>
      <c r="Z5136" s="17" t="s">
        <v>191</v>
      </c>
      <c r="AA5136" s="17" t="s">
        <v>46</v>
      </c>
      <c r="AB5136" s="17" t="s">
        <v>1256</v>
      </c>
      <c r="AC5136" s="66">
        <v>45322</v>
      </c>
      <c r="AD5136" s="65">
        <v>1522</v>
      </c>
      <c r="AE5136" s="17" t="s">
        <v>48</v>
      </c>
      <c r="AF5136" s="17"/>
      <c r="AG5136" s="17"/>
      <c r="AH5136" s="17"/>
      <c r="AI5136" s="17"/>
      <c r="AJ5136" s="17"/>
      <c r="AK5136" s="17"/>
      <c r="AL5136" s="17"/>
      <c r="AM5136" s="17"/>
      <c r="AN5136" s="17"/>
      <c r="AO5136" s="17"/>
      <c r="AP5136" s="17"/>
      <c r="AQ5136" s="17"/>
      <c r="AR5136" s="17"/>
    </row>
    <row r="5137" s="20" customFormat="1" hidden="1" spans="1:44">
      <c r="A5137" s="17" t="s">
        <v>34</v>
      </c>
      <c r="B5137" s="19">
        <v>981</v>
      </c>
      <c r="C5137" s="183">
        <v>45307</v>
      </c>
      <c r="D5137" s="17" t="s">
        <v>52</v>
      </c>
      <c r="E5137" s="17" t="s">
        <v>1113</v>
      </c>
      <c r="F5137" s="17" t="s">
        <v>54</v>
      </c>
      <c r="G5137" s="17"/>
      <c r="H5137" s="124">
        <v>1.2311</v>
      </c>
      <c r="I5137" s="124"/>
      <c r="J5137" s="17" t="s">
        <v>49</v>
      </c>
      <c r="K5137" s="91">
        <v>2200</v>
      </c>
      <c r="L5137" s="19">
        <v>32</v>
      </c>
      <c r="M5137" s="19">
        <v>5800</v>
      </c>
      <c r="N5137" s="19" t="s">
        <v>66</v>
      </c>
      <c r="O5137" s="19" t="s">
        <v>141</v>
      </c>
      <c r="P5137" s="19"/>
      <c r="Q5137" s="19">
        <v>2301</v>
      </c>
      <c r="R5137" s="21"/>
      <c r="S5137" s="19">
        <v>930</v>
      </c>
      <c r="T5137" s="19" t="s">
        <v>42</v>
      </c>
      <c r="U5137" s="102" t="s">
        <v>1393</v>
      </c>
      <c r="V5137" s="101">
        <v>45308</v>
      </c>
      <c r="W5137" s="17" t="s">
        <v>44</v>
      </c>
      <c r="X5137" s="17"/>
      <c r="Y5137" s="68">
        <v>45292</v>
      </c>
      <c r="Z5137" s="17" t="s">
        <v>191</v>
      </c>
      <c r="AA5137" s="17" t="s">
        <v>46</v>
      </c>
      <c r="AB5137" s="17" t="s">
        <v>1250</v>
      </c>
      <c r="AC5137" s="217">
        <v>45351</v>
      </c>
      <c r="AD5137" s="65">
        <v>1533</v>
      </c>
      <c r="AE5137" s="17" t="s">
        <v>48</v>
      </c>
      <c r="AF5137" s="17"/>
      <c r="AG5137" s="17"/>
      <c r="AH5137" s="17"/>
      <c r="AI5137" s="17"/>
      <c r="AJ5137" s="17"/>
      <c r="AK5137" s="17"/>
      <c r="AL5137" s="17"/>
      <c r="AM5137" s="17"/>
      <c r="AN5137" s="17"/>
      <c r="AO5137" s="17"/>
      <c r="AP5137" s="17"/>
      <c r="AQ5137" s="17"/>
      <c r="AR5137" s="17"/>
    </row>
    <row r="5138" s="20" customFormat="1" hidden="1" spans="1:44">
      <c r="A5138" s="17" t="s">
        <v>34</v>
      </c>
      <c r="B5138" s="19">
        <v>981</v>
      </c>
      <c r="C5138" s="183">
        <v>45307</v>
      </c>
      <c r="D5138" s="17" t="s">
        <v>52</v>
      </c>
      <c r="E5138" s="17" t="s">
        <v>1113</v>
      </c>
      <c r="F5138" s="17" t="s">
        <v>54</v>
      </c>
      <c r="G5138" s="17"/>
      <c r="H5138" s="124">
        <v>1.2311</v>
      </c>
      <c r="I5138" s="124"/>
      <c r="J5138" s="17" t="s">
        <v>49</v>
      </c>
      <c r="K5138" s="91">
        <v>2200</v>
      </c>
      <c r="L5138" s="19">
        <v>32</v>
      </c>
      <c r="M5138" s="19">
        <v>5800</v>
      </c>
      <c r="N5138" s="19" t="s">
        <v>66</v>
      </c>
      <c r="O5138" s="19" t="s">
        <v>141</v>
      </c>
      <c r="P5138" s="19"/>
      <c r="Q5138" s="19">
        <v>2360</v>
      </c>
      <c r="R5138" s="19">
        <f>+P5136-Q5136-Q5137-Q5138</f>
        <v>789</v>
      </c>
      <c r="S5138" s="19">
        <v>830</v>
      </c>
      <c r="T5138" s="19" t="s">
        <v>42</v>
      </c>
      <c r="U5138" s="102" t="s">
        <v>1393</v>
      </c>
      <c r="V5138" s="101">
        <v>45308</v>
      </c>
      <c r="W5138" s="17" t="s">
        <v>44</v>
      </c>
      <c r="X5138" s="17"/>
      <c r="Y5138" s="68">
        <v>45292</v>
      </c>
      <c r="Z5138" s="17" t="s">
        <v>191</v>
      </c>
      <c r="AA5138" s="17" t="s">
        <v>46</v>
      </c>
      <c r="AB5138" s="17" t="s">
        <v>1295</v>
      </c>
      <c r="AC5138" s="217">
        <v>45364</v>
      </c>
      <c r="AD5138" s="65">
        <v>1537</v>
      </c>
      <c r="AE5138" s="17" t="s">
        <v>48</v>
      </c>
      <c r="AF5138" s="17"/>
      <c r="AG5138" s="17"/>
      <c r="AH5138" s="17"/>
      <c r="AI5138" s="17"/>
      <c r="AJ5138" s="17"/>
      <c r="AK5138" s="17"/>
      <c r="AL5138" s="17"/>
      <c r="AM5138" s="17"/>
      <c r="AN5138" s="17"/>
      <c r="AO5138" s="17"/>
      <c r="AP5138" s="17"/>
      <c r="AQ5138" s="17"/>
      <c r="AR5138" s="17"/>
    </row>
    <row r="5139" s="20" customFormat="1" hidden="1" spans="1:44">
      <c r="A5139" s="17" t="s">
        <v>34</v>
      </c>
      <c r="B5139" s="19">
        <v>981</v>
      </c>
      <c r="C5139" s="183">
        <v>45307</v>
      </c>
      <c r="D5139" s="17" t="s">
        <v>52</v>
      </c>
      <c r="E5139" s="17" t="s">
        <v>1113</v>
      </c>
      <c r="F5139" s="17" t="s">
        <v>54</v>
      </c>
      <c r="G5139" s="17"/>
      <c r="H5139" s="124">
        <v>1.2311</v>
      </c>
      <c r="I5139" s="124"/>
      <c r="J5139" s="17" t="s">
        <v>49</v>
      </c>
      <c r="K5139" s="91">
        <v>2200</v>
      </c>
      <c r="L5139" s="19">
        <v>36</v>
      </c>
      <c r="M5139" s="19">
        <v>5800</v>
      </c>
      <c r="N5139" s="19" t="s">
        <v>66</v>
      </c>
      <c r="O5139" s="19" t="s">
        <v>141</v>
      </c>
      <c r="P5139" s="19">
        <v>3109</v>
      </c>
      <c r="Q5139" s="19">
        <v>3400</v>
      </c>
      <c r="R5139" s="19">
        <f t="shared" ref="R5139:R5170" si="241">+P5139-Q5139</f>
        <v>-291</v>
      </c>
      <c r="S5139" s="19">
        <v>930</v>
      </c>
      <c r="T5139" s="19" t="s">
        <v>42</v>
      </c>
      <c r="U5139" s="102" t="s">
        <v>1393</v>
      </c>
      <c r="V5139" s="101">
        <v>45308</v>
      </c>
      <c r="W5139" s="17" t="s">
        <v>44</v>
      </c>
      <c r="X5139" s="17"/>
      <c r="Y5139" s="68">
        <v>45292</v>
      </c>
      <c r="Z5139" s="17" t="s">
        <v>191</v>
      </c>
      <c r="AA5139" s="17" t="s">
        <v>46</v>
      </c>
      <c r="AB5139" s="17" t="s">
        <v>1285</v>
      </c>
      <c r="AC5139" s="66">
        <v>45315</v>
      </c>
      <c r="AD5139" s="65">
        <v>1521</v>
      </c>
      <c r="AE5139" s="17" t="s">
        <v>48</v>
      </c>
      <c r="AF5139" s="17"/>
      <c r="AG5139" s="17"/>
      <c r="AH5139" s="17"/>
      <c r="AI5139" s="17"/>
      <c r="AJ5139" s="17"/>
      <c r="AK5139" s="17"/>
      <c r="AL5139" s="17"/>
      <c r="AM5139" s="17"/>
      <c r="AN5139" s="17"/>
      <c r="AO5139" s="17"/>
      <c r="AP5139" s="17"/>
      <c r="AQ5139" s="17"/>
      <c r="AR5139" s="17"/>
    </row>
    <row r="5140" s="20" customFormat="1" hidden="1" spans="1:44">
      <c r="A5140" s="17" t="s">
        <v>34</v>
      </c>
      <c r="B5140" s="19">
        <v>981</v>
      </c>
      <c r="C5140" s="183">
        <v>45307</v>
      </c>
      <c r="D5140" s="17" t="s">
        <v>52</v>
      </c>
      <c r="E5140" s="17" t="s">
        <v>1113</v>
      </c>
      <c r="F5140" s="17" t="s">
        <v>54</v>
      </c>
      <c r="G5140" s="17"/>
      <c r="H5140" s="124">
        <v>1.2311</v>
      </c>
      <c r="I5140" s="124"/>
      <c r="J5140" s="17" t="s">
        <v>49</v>
      </c>
      <c r="K5140" s="91">
        <v>2200</v>
      </c>
      <c r="L5140" s="19">
        <v>40</v>
      </c>
      <c r="M5140" s="19">
        <v>5800</v>
      </c>
      <c r="N5140" s="19" t="s">
        <v>66</v>
      </c>
      <c r="O5140" s="19" t="s">
        <v>141</v>
      </c>
      <c r="P5140" s="19">
        <v>6908</v>
      </c>
      <c r="Q5140" s="19">
        <f>3530+3260</f>
        <v>6790</v>
      </c>
      <c r="R5140" s="19">
        <f t="shared" si="241"/>
        <v>118</v>
      </c>
      <c r="S5140" s="19">
        <v>930</v>
      </c>
      <c r="T5140" s="19" t="s">
        <v>42</v>
      </c>
      <c r="U5140" s="102" t="s">
        <v>1393</v>
      </c>
      <c r="V5140" s="101">
        <v>45308</v>
      </c>
      <c r="W5140" s="17" t="s">
        <v>44</v>
      </c>
      <c r="X5140" s="17"/>
      <c r="Y5140" s="68">
        <v>45292</v>
      </c>
      <c r="Z5140" s="17" t="s">
        <v>191</v>
      </c>
      <c r="AA5140" s="17" t="s">
        <v>46</v>
      </c>
      <c r="AB5140" s="17" t="s">
        <v>1285</v>
      </c>
      <c r="AC5140" s="66">
        <v>45315</v>
      </c>
      <c r="AD5140" s="65">
        <v>1521</v>
      </c>
      <c r="AE5140" s="17" t="s">
        <v>48</v>
      </c>
      <c r="AF5140" s="17"/>
      <c r="AG5140" s="17"/>
      <c r="AH5140" s="17"/>
      <c r="AI5140" s="17"/>
      <c r="AJ5140" s="17"/>
      <c r="AK5140" s="17"/>
      <c r="AL5140" s="17"/>
      <c r="AM5140" s="17"/>
      <c r="AN5140" s="17"/>
      <c r="AO5140" s="17"/>
      <c r="AP5140" s="17"/>
      <c r="AQ5140" s="17"/>
      <c r="AR5140" s="17"/>
    </row>
    <row r="5141" s="20" customFormat="1" hidden="1" spans="1:44">
      <c r="A5141" s="17" t="s">
        <v>34</v>
      </c>
      <c r="B5141" s="19">
        <v>981</v>
      </c>
      <c r="C5141" s="183">
        <v>45307</v>
      </c>
      <c r="D5141" s="17" t="s">
        <v>52</v>
      </c>
      <c r="E5141" s="17" t="s">
        <v>1113</v>
      </c>
      <c r="F5141" s="17" t="s">
        <v>54</v>
      </c>
      <c r="G5141" s="17"/>
      <c r="H5141" s="124">
        <v>1.2311</v>
      </c>
      <c r="I5141" s="124"/>
      <c r="J5141" s="17" t="s">
        <v>49</v>
      </c>
      <c r="K5141" s="91">
        <v>2200</v>
      </c>
      <c r="L5141" s="19">
        <v>45</v>
      </c>
      <c r="M5141" s="19">
        <v>5800</v>
      </c>
      <c r="N5141" s="19" t="s">
        <v>66</v>
      </c>
      <c r="O5141" s="19" t="s">
        <v>141</v>
      </c>
      <c r="P5141" s="19">
        <v>3886</v>
      </c>
      <c r="Q5141" s="19">
        <v>4780</v>
      </c>
      <c r="R5141" s="19">
        <f t="shared" si="241"/>
        <v>-894</v>
      </c>
      <c r="S5141" s="19">
        <v>930</v>
      </c>
      <c r="T5141" s="19" t="s">
        <v>42</v>
      </c>
      <c r="U5141" s="102" t="s">
        <v>1393</v>
      </c>
      <c r="V5141" s="101">
        <v>45308</v>
      </c>
      <c r="W5141" s="17" t="s">
        <v>44</v>
      </c>
      <c r="X5141" s="17"/>
      <c r="Y5141" s="68">
        <v>45292</v>
      </c>
      <c r="Z5141" s="17" t="s">
        <v>191</v>
      </c>
      <c r="AA5141" s="17" t="s">
        <v>46</v>
      </c>
      <c r="AB5141" s="17" t="s">
        <v>1285</v>
      </c>
      <c r="AC5141" s="66">
        <v>45315</v>
      </c>
      <c r="AD5141" s="65">
        <v>1521</v>
      </c>
      <c r="AE5141" s="17" t="s">
        <v>48</v>
      </c>
      <c r="AF5141" s="17"/>
      <c r="AG5141" s="17"/>
      <c r="AH5141" s="17"/>
      <c r="AI5141" s="17"/>
      <c r="AJ5141" s="17"/>
      <c r="AK5141" s="17"/>
      <c r="AL5141" s="17"/>
      <c r="AM5141" s="17"/>
      <c r="AN5141" s="17"/>
      <c r="AO5141" s="17"/>
      <c r="AP5141" s="17"/>
      <c r="AQ5141" s="17"/>
      <c r="AR5141" s="17"/>
    </row>
    <row r="5142" s="21" customFormat="1" hidden="1" spans="1:44">
      <c r="A5142" s="17" t="s">
        <v>34</v>
      </c>
      <c r="B5142" s="19">
        <v>981</v>
      </c>
      <c r="C5142" s="183">
        <v>45307</v>
      </c>
      <c r="D5142" s="17" t="s">
        <v>52</v>
      </c>
      <c r="E5142" s="17" t="s">
        <v>1113</v>
      </c>
      <c r="F5142" s="17" t="s">
        <v>54</v>
      </c>
      <c r="G5142" s="17"/>
      <c r="H5142" s="124">
        <v>1.2311</v>
      </c>
      <c r="I5142" s="124"/>
      <c r="J5142" s="17" t="s">
        <v>49</v>
      </c>
      <c r="K5142" s="91">
        <v>2200</v>
      </c>
      <c r="L5142" s="19">
        <v>50</v>
      </c>
      <c r="M5142" s="19">
        <v>5800</v>
      </c>
      <c r="N5142" s="19" t="s">
        <v>66</v>
      </c>
      <c r="O5142" s="19" t="s">
        <v>141</v>
      </c>
      <c r="P5142" s="19">
        <v>8635</v>
      </c>
      <c r="Q5142" s="19">
        <f>5082+5088</f>
        <v>10170</v>
      </c>
      <c r="R5142" s="21">
        <f t="shared" si="241"/>
        <v>-1535</v>
      </c>
      <c r="S5142" s="19">
        <v>830</v>
      </c>
      <c r="T5142" s="19" t="s">
        <v>42</v>
      </c>
      <c r="U5142" s="102" t="s">
        <v>1393</v>
      </c>
      <c r="V5142" s="101">
        <v>45308</v>
      </c>
      <c r="W5142" s="17" t="s">
        <v>44</v>
      </c>
      <c r="X5142" s="17"/>
      <c r="Y5142" s="68">
        <v>45292</v>
      </c>
      <c r="Z5142" s="17" t="s">
        <v>191</v>
      </c>
      <c r="AA5142" s="17" t="s">
        <v>46</v>
      </c>
      <c r="AB5142" s="17" t="s">
        <v>1240</v>
      </c>
      <c r="AC5142" s="217">
        <v>45372</v>
      </c>
      <c r="AD5142" s="65">
        <v>1542</v>
      </c>
      <c r="AE5142" s="17" t="s">
        <v>48</v>
      </c>
      <c r="AF5142" s="17"/>
      <c r="AG5142" s="17"/>
      <c r="AH5142" s="17"/>
      <c r="AI5142" s="17"/>
      <c r="AJ5142" s="17"/>
      <c r="AK5142" s="17"/>
      <c r="AL5142" s="17"/>
      <c r="AM5142" s="17"/>
      <c r="AN5142" s="17"/>
      <c r="AO5142" s="17"/>
      <c r="AP5142" s="17"/>
      <c r="AQ5142" s="17"/>
      <c r="AR5142" s="17"/>
    </row>
    <row r="5143" s="20" customFormat="1" hidden="1" spans="1:44">
      <c r="A5143" s="17" t="s">
        <v>34</v>
      </c>
      <c r="B5143" s="19">
        <v>981</v>
      </c>
      <c r="C5143" s="183">
        <v>45307</v>
      </c>
      <c r="D5143" s="17" t="s">
        <v>52</v>
      </c>
      <c r="E5143" s="17" t="s">
        <v>1113</v>
      </c>
      <c r="F5143" s="17" t="s">
        <v>54</v>
      </c>
      <c r="G5143" s="17"/>
      <c r="H5143" s="124">
        <v>1.2311</v>
      </c>
      <c r="I5143" s="124"/>
      <c r="J5143" s="17" t="s">
        <v>49</v>
      </c>
      <c r="K5143" s="91">
        <v>2200</v>
      </c>
      <c r="L5143" s="19">
        <v>56</v>
      </c>
      <c r="M5143" s="19">
        <v>5800</v>
      </c>
      <c r="N5143" s="19" t="s">
        <v>66</v>
      </c>
      <c r="O5143" s="19" t="s">
        <v>141</v>
      </c>
      <c r="P5143" s="19">
        <v>4836</v>
      </c>
      <c r="Q5143" s="19">
        <v>5200</v>
      </c>
      <c r="R5143" s="19">
        <f t="shared" si="241"/>
        <v>-364</v>
      </c>
      <c r="S5143" s="19">
        <v>930</v>
      </c>
      <c r="T5143" s="19" t="s">
        <v>42</v>
      </c>
      <c r="U5143" s="102" t="s">
        <v>1393</v>
      </c>
      <c r="V5143" s="101">
        <v>45308</v>
      </c>
      <c r="W5143" s="17" t="s">
        <v>44</v>
      </c>
      <c r="X5143" s="17"/>
      <c r="Y5143" s="68">
        <v>45292</v>
      </c>
      <c r="Z5143" s="17" t="s">
        <v>191</v>
      </c>
      <c r="AA5143" s="17" t="s">
        <v>46</v>
      </c>
      <c r="AB5143" s="17" t="s">
        <v>1285</v>
      </c>
      <c r="AC5143" s="66">
        <v>45315</v>
      </c>
      <c r="AD5143" s="65">
        <v>1521</v>
      </c>
      <c r="AE5143" s="17" t="s">
        <v>48</v>
      </c>
      <c r="AF5143" s="17"/>
      <c r="AG5143" s="17"/>
      <c r="AH5143" s="17"/>
      <c r="AI5143" s="17"/>
      <c r="AJ5143" s="17"/>
      <c r="AK5143" s="17"/>
      <c r="AL5143" s="17"/>
      <c r="AM5143" s="17"/>
      <c r="AN5143" s="17"/>
      <c r="AO5143" s="17"/>
      <c r="AP5143" s="17"/>
      <c r="AQ5143" s="17"/>
      <c r="AR5143" s="17"/>
    </row>
    <row r="5144" s="20" customFormat="1" hidden="1" spans="1:44">
      <c r="A5144" s="17" t="s">
        <v>34</v>
      </c>
      <c r="B5144" s="19">
        <v>981</v>
      </c>
      <c r="C5144" s="183">
        <v>45307</v>
      </c>
      <c r="D5144" s="17" t="s">
        <v>52</v>
      </c>
      <c r="E5144" s="17" t="s">
        <v>1113</v>
      </c>
      <c r="F5144" s="17" t="s">
        <v>54</v>
      </c>
      <c r="G5144" s="17"/>
      <c r="H5144" s="124">
        <v>1.2311</v>
      </c>
      <c r="I5144" s="124"/>
      <c r="J5144" s="17" t="s">
        <v>49</v>
      </c>
      <c r="K5144" s="91">
        <v>2200</v>
      </c>
      <c r="L5144" s="19">
        <v>60</v>
      </c>
      <c r="M5144" s="19">
        <v>5800</v>
      </c>
      <c r="N5144" s="19" t="s">
        <v>66</v>
      </c>
      <c r="O5144" s="19" t="s">
        <v>141</v>
      </c>
      <c r="P5144" s="19">
        <v>5181</v>
      </c>
      <c r="Q5144" s="19">
        <v>6010</v>
      </c>
      <c r="R5144" s="19">
        <f t="shared" si="241"/>
        <v>-829</v>
      </c>
      <c r="S5144" s="19">
        <v>930</v>
      </c>
      <c r="T5144" s="19" t="s">
        <v>42</v>
      </c>
      <c r="U5144" s="102" t="s">
        <v>1393</v>
      </c>
      <c r="V5144" s="101">
        <v>45308</v>
      </c>
      <c r="W5144" s="17" t="s">
        <v>44</v>
      </c>
      <c r="X5144" s="17"/>
      <c r="Y5144" s="68">
        <v>45292</v>
      </c>
      <c r="Z5144" s="17" t="s">
        <v>191</v>
      </c>
      <c r="AA5144" s="17" t="s">
        <v>46</v>
      </c>
      <c r="AB5144" s="17" t="s">
        <v>1256</v>
      </c>
      <c r="AC5144" s="66">
        <v>45322</v>
      </c>
      <c r="AD5144" s="65">
        <v>1522</v>
      </c>
      <c r="AE5144" s="17" t="s">
        <v>48</v>
      </c>
      <c r="AF5144" s="17"/>
      <c r="AG5144" s="17"/>
      <c r="AH5144" s="17"/>
      <c r="AI5144" s="17"/>
      <c r="AJ5144" s="17"/>
      <c r="AK5144" s="17"/>
      <c r="AL5144" s="17"/>
      <c r="AM5144" s="17"/>
      <c r="AN5144" s="17"/>
      <c r="AO5144" s="17"/>
      <c r="AP5144" s="17"/>
      <c r="AQ5144" s="17"/>
      <c r="AR5144" s="17"/>
    </row>
    <row r="5145" s="20" customFormat="1" hidden="1" spans="1:44">
      <c r="A5145" s="17" t="s">
        <v>34</v>
      </c>
      <c r="B5145" s="19">
        <v>981</v>
      </c>
      <c r="C5145" s="183">
        <v>45307</v>
      </c>
      <c r="D5145" s="17" t="s">
        <v>52</v>
      </c>
      <c r="E5145" s="17" t="s">
        <v>1113</v>
      </c>
      <c r="F5145" s="17" t="s">
        <v>54</v>
      </c>
      <c r="G5145" s="17"/>
      <c r="H5145" s="124">
        <v>1.2311</v>
      </c>
      <c r="I5145" s="124"/>
      <c r="J5145" s="17" t="s">
        <v>49</v>
      </c>
      <c r="K5145" s="91">
        <v>2200</v>
      </c>
      <c r="L5145" s="19">
        <v>65</v>
      </c>
      <c r="M5145" s="19">
        <v>5800</v>
      </c>
      <c r="N5145" s="19" t="s">
        <v>66</v>
      </c>
      <c r="O5145" s="19" t="s">
        <v>141</v>
      </c>
      <c r="P5145" s="19">
        <v>5613</v>
      </c>
      <c r="Q5145" s="19">
        <v>6480</v>
      </c>
      <c r="R5145" s="19">
        <f t="shared" si="241"/>
        <v>-867</v>
      </c>
      <c r="S5145" s="19">
        <v>930</v>
      </c>
      <c r="T5145" s="19" t="s">
        <v>42</v>
      </c>
      <c r="U5145" s="102" t="s">
        <v>1393</v>
      </c>
      <c r="V5145" s="101">
        <v>45308</v>
      </c>
      <c r="W5145" s="17" t="s">
        <v>44</v>
      </c>
      <c r="X5145" s="17"/>
      <c r="Y5145" s="68">
        <v>45292</v>
      </c>
      <c r="Z5145" s="17" t="s">
        <v>191</v>
      </c>
      <c r="AA5145" s="17" t="s">
        <v>46</v>
      </c>
      <c r="AB5145" s="17" t="s">
        <v>1256</v>
      </c>
      <c r="AC5145" s="66">
        <v>45322</v>
      </c>
      <c r="AD5145" s="65">
        <v>1522</v>
      </c>
      <c r="AE5145" s="17" t="s">
        <v>48</v>
      </c>
      <c r="AF5145" s="17"/>
      <c r="AG5145" s="17"/>
      <c r="AH5145" s="17"/>
      <c r="AI5145" s="17"/>
      <c r="AJ5145" s="17"/>
      <c r="AK5145" s="17"/>
      <c r="AL5145" s="17"/>
      <c r="AM5145" s="17"/>
      <c r="AN5145" s="17"/>
      <c r="AO5145" s="17"/>
      <c r="AP5145" s="17"/>
      <c r="AQ5145" s="17"/>
      <c r="AR5145" s="17"/>
    </row>
    <row r="5146" s="20" customFormat="1" hidden="1" spans="1:44">
      <c r="A5146" s="17" t="s">
        <v>34</v>
      </c>
      <c r="B5146" s="19">
        <v>981</v>
      </c>
      <c r="C5146" s="183">
        <v>45307</v>
      </c>
      <c r="D5146" s="17" t="s">
        <v>52</v>
      </c>
      <c r="E5146" s="17" t="s">
        <v>1113</v>
      </c>
      <c r="F5146" s="17" t="s">
        <v>54</v>
      </c>
      <c r="G5146" s="17"/>
      <c r="H5146" s="124">
        <v>1.2311</v>
      </c>
      <c r="I5146" s="124"/>
      <c r="J5146" s="17" t="s">
        <v>49</v>
      </c>
      <c r="K5146" s="91">
        <v>2200</v>
      </c>
      <c r="L5146" s="19">
        <v>70</v>
      </c>
      <c r="M5146" s="19">
        <v>5800</v>
      </c>
      <c r="N5146" s="19" t="s">
        <v>66</v>
      </c>
      <c r="O5146" s="19" t="s">
        <v>141</v>
      </c>
      <c r="P5146" s="19">
        <v>6045</v>
      </c>
      <c r="Q5146" s="19">
        <v>7160</v>
      </c>
      <c r="R5146" s="19">
        <f t="shared" si="241"/>
        <v>-1115</v>
      </c>
      <c r="S5146" s="19">
        <v>930</v>
      </c>
      <c r="T5146" s="19" t="s">
        <v>42</v>
      </c>
      <c r="U5146" s="102" t="s">
        <v>1393</v>
      </c>
      <c r="V5146" s="101">
        <v>45308</v>
      </c>
      <c r="W5146" s="17" t="s">
        <v>44</v>
      </c>
      <c r="X5146" s="17"/>
      <c r="Y5146" s="68">
        <v>45292</v>
      </c>
      <c r="Z5146" s="17" t="s">
        <v>191</v>
      </c>
      <c r="AA5146" s="17" t="s">
        <v>46</v>
      </c>
      <c r="AB5146" s="17" t="s">
        <v>1285</v>
      </c>
      <c r="AC5146" s="66">
        <v>45315</v>
      </c>
      <c r="AD5146" s="65">
        <v>1521</v>
      </c>
      <c r="AE5146" s="17" t="s">
        <v>48</v>
      </c>
      <c r="AF5146" s="17"/>
      <c r="AG5146" s="17"/>
      <c r="AH5146" s="17"/>
      <c r="AI5146" s="17"/>
      <c r="AJ5146" s="17"/>
      <c r="AK5146" s="17"/>
      <c r="AL5146" s="17"/>
      <c r="AM5146" s="17"/>
      <c r="AN5146" s="17"/>
      <c r="AO5146" s="17"/>
      <c r="AP5146" s="17"/>
      <c r="AQ5146" s="17"/>
      <c r="AR5146" s="17"/>
    </row>
    <row r="5147" s="21" customFormat="1" hidden="1" spans="1:44">
      <c r="A5147" s="17" t="s">
        <v>34</v>
      </c>
      <c r="B5147" s="19">
        <v>981</v>
      </c>
      <c r="C5147" s="183">
        <v>45307</v>
      </c>
      <c r="D5147" s="17" t="s">
        <v>52</v>
      </c>
      <c r="E5147" s="17" t="s">
        <v>1113</v>
      </c>
      <c r="F5147" s="17" t="s">
        <v>54</v>
      </c>
      <c r="G5147" s="17"/>
      <c r="H5147" s="124">
        <v>1.2311</v>
      </c>
      <c r="I5147" s="124"/>
      <c r="J5147" s="17" t="s">
        <v>49</v>
      </c>
      <c r="K5147" s="91">
        <v>2200</v>
      </c>
      <c r="L5147" s="19">
        <v>80</v>
      </c>
      <c r="M5147" s="19">
        <v>5800</v>
      </c>
      <c r="N5147" s="19" t="s">
        <v>66</v>
      </c>
      <c r="O5147" s="19" t="s">
        <v>141</v>
      </c>
      <c r="P5147" s="19">
        <v>6908</v>
      </c>
      <c r="Q5147" s="19">
        <v>8160</v>
      </c>
      <c r="R5147" s="19">
        <f t="shared" si="241"/>
        <v>-1252</v>
      </c>
      <c r="S5147" s="19">
        <v>930</v>
      </c>
      <c r="T5147" s="19" t="s">
        <v>42</v>
      </c>
      <c r="U5147" s="102" t="s">
        <v>1393</v>
      </c>
      <c r="V5147" s="101">
        <v>45308</v>
      </c>
      <c r="W5147" s="17" t="s">
        <v>44</v>
      </c>
      <c r="X5147" s="17"/>
      <c r="Y5147" s="68">
        <v>45292</v>
      </c>
      <c r="Z5147" s="17" t="s">
        <v>191</v>
      </c>
      <c r="AA5147" s="17" t="s">
        <v>46</v>
      </c>
      <c r="AB5147" s="17" t="s">
        <v>1250</v>
      </c>
      <c r="AC5147" s="217">
        <v>45351</v>
      </c>
      <c r="AD5147" s="65">
        <v>1533</v>
      </c>
      <c r="AE5147" s="17" t="s">
        <v>48</v>
      </c>
      <c r="AF5147" s="17"/>
      <c r="AG5147" s="17"/>
      <c r="AH5147" s="17"/>
      <c r="AI5147" s="17"/>
      <c r="AJ5147" s="17"/>
      <c r="AK5147" s="17"/>
      <c r="AL5147" s="17"/>
      <c r="AM5147" s="17"/>
      <c r="AN5147" s="17"/>
      <c r="AO5147" s="17"/>
      <c r="AP5147" s="17"/>
      <c r="AQ5147" s="17"/>
      <c r="AR5147" s="17"/>
    </row>
    <row r="5148" s="21" customFormat="1" hidden="1" spans="1:44">
      <c r="A5148" s="17" t="s">
        <v>34</v>
      </c>
      <c r="B5148" s="19">
        <v>981</v>
      </c>
      <c r="C5148" s="183">
        <v>45307</v>
      </c>
      <c r="D5148" s="17" t="s">
        <v>52</v>
      </c>
      <c r="E5148" s="17" t="s">
        <v>1113</v>
      </c>
      <c r="F5148" s="17" t="s">
        <v>54</v>
      </c>
      <c r="G5148" s="17"/>
      <c r="H5148" s="124">
        <v>1.2311</v>
      </c>
      <c r="I5148" s="124"/>
      <c r="J5148" s="17" t="s">
        <v>49</v>
      </c>
      <c r="K5148" s="91">
        <v>2200</v>
      </c>
      <c r="L5148" s="19">
        <v>90</v>
      </c>
      <c r="M5148" s="19">
        <v>5800</v>
      </c>
      <c r="N5148" s="19" t="s">
        <v>66</v>
      </c>
      <c r="O5148" s="19" t="s">
        <v>141</v>
      </c>
      <c r="P5148" s="19">
        <v>7772</v>
      </c>
      <c r="Q5148" s="19">
        <v>9460</v>
      </c>
      <c r="R5148" s="19">
        <f t="shared" si="241"/>
        <v>-1688</v>
      </c>
      <c r="S5148" s="19">
        <v>930</v>
      </c>
      <c r="T5148" s="19" t="s">
        <v>42</v>
      </c>
      <c r="U5148" s="102" t="s">
        <v>1393</v>
      </c>
      <c r="V5148" s="101">
        <v>45308</v>
      </c>
      <c r="W5148" s="17" t="s">
        <v>44</v>
      </c>
      <c r="X5148" s="17"/>
      <c r="Y5148" s="68">
        <v>45292</v>
      </c>
      <c r="Z5148" s="17" t="s">
        <v>191</v>
      </c>
      <c r="AA5148" s="17" t="s">
        <v>46</v>
      </c>
      <c r="AB5148" s="17" t="s">
        <v>1250</v>
      </c>
      <c r="AC5148" s="217">
        <v>45351</v>
      </c>
      <c r="AD5148" s="65">
        <v>1533</v>
      </c>
      <c r="AE5148" s="17" t="s">
        <v>48</v>
      </c>
      <c r="AF5148" s="17"/>
      <c r="AG5148" s="17"/>
      <c r="AH5148" s="17"/>
      <c r="AI5148" s="17"/>
      <c r="AJ5148" s="17"/>
      <c r="AK5148" s="17"/>
      <c r="AL5148" s="17"/>
      <c r="AM5148" s="17"/>
      <c r="AN5148" s="17"/>
      <c r="AO5148" s="17"/>
      <c r="AP5148" s="17"/>
      <c r="AQ5148" s="17"/>
      <c r="AR5148" s="17"/>
    </row>
    <row r="5149" s="21" customFormat="1" hidden="1" spans="1:44">
      <c r="A5149" s="17" t="s">
        <v>34</v>
      </c>
      <c r="B5149" s="19">
        <v>981</v>
      </c>
      <c r="C5149" s="183">
        <v>45307</v>
      </c>
      <c r="D5149" s="17" t="s">
        <v>52</v>
      </c>
      <c r="E5149" s="17" t="s">
        <v>1113</v>
      </c>
      <c r="F5149" s="17" t="s">
        <v>54</v>
      </c>
      <c r="G5149" s="17"/>
      <c r="H5149" s="124">
        <v>1.2311</v>
      </c>
      <c r="I5149" s="124"/>
      <c r="J5149" s="17" t="s">
        <v>49</v>
      </c>
      <c r="K5149" s="91">
        <v>2200</v>
      </c>
      <c r="L5149" s="19">
        <v>100</v>
      </c>
      <c r="M5149" s="19">
        <v>5800</v>
      </c>
      <c r="N5149" s="19" t="s">
        <v>66</v>
      </c>
      <c r="O5149" s="19" t="s">
        <v>141</v>
      </c>
      <c r="P5149" s="19">
        <v>8635</v>
      </c>
      <c r="Q5149" s="19">
        <v>6950</v>
      </c>
      <c r="R5149" s="19">
        <f t="shared" si="241"/>
        <v>1685</v>
      </c>
      <c r="S5149" s="19">
        <f>930-100</f>
        <v>830</v>
      </c>
      <c r="T5149" s="19" t="s">
        <v>42</v>
      </c>
      <c r="U5149" s="102" t="s">
        <v>1393</v>
      </c>
      <c r="V5149" s="101">
        <v>45308</v>
      </c>
      <c r="W5149" s="17" t="s">
        <v>44</v>
      </c>
      <c r="X5149" s="17"/>
      <c r="Y5149" s="68">
        <v>45292</v>
      </c>
      <c r="Z5149" s="17" t="s">
        <v>191</v>
      </c>
      <c r="AA5149" s="17" t="s">
        <v>46</v>
      </c>
      <c r="AB5149" s="17" t="s">
        <v>1240</v>
      </c>
      <c r="AC5149" s="217">
        <v>45372</v>
      </c>
      <c r="AD5149" s="65">
        <v>1542</v>
      </c>
      <c r="AE5149" s="17" t="s">
        <v>48</v>
      </c>
      <c r="AF5149" s="17"/>
      <c r="AG5149" s="17"/>
      <c r="AH5149" s="17"/>
      <c r="AI5149" s="17"/>
      <c r="AJ5149" s="17"/>
      <c r="AK5149" s="17"/>
      <c r="AL5149" s="17"/>
      <c r="AM5149" s="17"/>
      <c r="AN5149" s="17"/>
      <c r="AO5149" s="17"/>
      <c r="AP5149" s="17"/>
      <c r="AQ5149" s="17"/>
      <c r="AR5149" s="17"/>
    </row>
    <row r="5150" s="21" customFormat="1" hidden="1" spans="1:44">
      <c r="A5150" s="17" t="s">
        <v>34</v>
      </c>
      <c r="B5150" s="19">
        <v>981</v>
      </c>
      <c r="C5150" s="183">
        <v>45307</v>
      </c>
      <c r="D5150" s="17" t="s">
        <v>52</v>
      </c>
      <c r="E5150" s="17" t="s">
        <v>1113</v>
      </c>
      <c r="F5150" s="17" t="s">
        <v>54</v>
      </c>
      <c r="G5150" s="17"/>
      <c r="H5150" s="124">
        <v>1.2311</v>
      </c>
      <c r="I5150" s="124"/>
      <c r="J5150" s="17" t="s">
        <v>49</v>
      </c>
      <c r="K5150" s="91">
        <v>2200</v>
      </c>
      <c r="L5150" s="19">
        <v>105</v>
      </c>
      <c r="M5150" s="19">
        <v>5800</v>
      </c>
      <c r="N5150" s="19" t="s">
        <v>66</v>
      </c>
      <c r="O5150" s="19" t="s">
        <v>141</v>
      </c>
      <c r="P5150" s="19">
        <v>9067</v>
      </c>
      <c r="Q5150" s="19">
        <v>10510</v>
      </c>
      <c r="R5150" s="19">
        <f t="shared" si="241"/>
        <v>-1443</v>
      </c>
      <c r="S5150" s="19">
        <v>930</v>
      </c>
      <c r="T5150" s="19" t="s">
        <v>42</v>
      </c>
      <c r="U5150" s="102" t="s">
        <v>1393</v>
      </c>
      <c r="V5150" s="101">
        <v>45308</v>
      </c>
      <c r="W5150" s="17" t="s">
        <v>44</v>
      </c>
      <c r="X5150" s="17"/>
      <c r="Y5150" s="68">
        <v>45292</v>
      </c>
      <c r="Z5150" s="17" t="s">
        <v>191</v>
      </c>
      <c r="AA5150" s="17" t="s">
        <v>46</v>
      </c>
      <c r="AB5150" s="17" t="s">
        <v>1250</v>
      </c>
      <c r="AC5150" s="217">
        <v>45351</v>
      </c>
      <c r="AD5150" s="65">
        <v>1533</v>
      </c>
      <c r="AE5150" s="17" t="s">
        <v>48</v>
      </c>
      <c r="AF5150" s="17"/>
      <c r="AG5150" s="17"/>
      <c r="AH5150" s="17"/>
      <c r="AI5150" s="17"/>
      <c r="AJ5150" s="17"/>
      <c r="AK5150" s="17"/>
      <c r="AL5150" s="17"/>
      <c r="AM5150" s="17"/>
      <c r="AN5150" s="17"/>
      <c r="AO5150" s="17"/>
      <c r="AP5150" s="17"/>
      <c r="AQ5150" s="17"/>
      <c r="AR5150" s="17"/>
    </row>
    <row r="5151" s="21" customFormat="1" hidden="1" spans="1:44">
      <c r="A5151" s="17" t="s">
        <v>34</v>
      </c>
      <c r="B5151" s="19">
        <v>981</v>
      </c>
      <c r="C5151" s="183">
        <v>45307</v>
      </c>
      <c r="D5151" s="17" t="s">
        <v>52</v>
      </c>
      <c r="E5151" s="17" t="s">
        <v>1113</v>
      </c>
      <c r="F5151" s="17" t="s">
        <v>54</v>
      </c>
      <c r="G5151" s="17"/>
      <c r="H5151" s="124">
        <v>1.2311</v>
      </c>
      <c r="I5151" s="124"/>
      <c r="J5151" s="17" t="s">
        <v>49</v>
      </c>
      <c r="K5151" s="91">
        <v>2200</v>
      </c>
      <c r="L5151" s="19">
        <v>120</v>
      </c>
      <c r="M5151" s="19">
        <v>5800</v>
      </c>
      <c r="N5151" s="19" t="s">
        <v>66</v>
      </c>
      <c r="O5151" s="19" t="s">
        <v>141</v>
      </c>
      <c r="P5151" s="19">
        <v>10362</v>
      </c>
      <c r="Q5151" s="19">
        <v>11235</v>
      </c>
      <c r="R5151" s="19">
        <f t="shared" si="241"/>
        <v>-873</v>
      </c>
      <c r="S5151" s="19">
        <v>930</v>
      </c>
      <c r="T5151" s="19" t="s">
        <v>42</v>
      </c>
      <c r="U5151" s="102" t="s">
        <v>1393</v>
      </c>
      <c r="V5151" s="101">
        <v>45308</v>
      </c>
      <c r="W5151" s="17" t="s">
        <v>44</v>
      </c>
      <c r="X5151" s="17"/>
      <c r="Y5151" s="68">
        <v>45292</v>
      </c>
      <c r="Z5151" s="17" t="s">
        <v>191</v>
      </c>
      <c r="AA5151" s="17" t="s">
        <v>46</v>
      </c>
      <c r="AB5151" s="17" t="s">
        <v>1261</v>
      </c>
      <c r="AC5151" s="66">
        <v>45364</v>
      </c>
      <c r="AD5151" s="65">
        <v>1538</v>
      </c>
      <c r="AE5151" s="17" t="s">
        <v>48</v>
      </c>
      <c r="AF5151" s="17"/>
      <c r="AG5151" s="17"/>
      <c r="AH5151" s="17"/>
      <c r="AI5151" s="17"/>
      <c r="AJ5151" s="17"/>
      <c r="AK5151" s="17"/>
      <c r="AL5151" s="17"/>
      <c r="AM5151" s="17"/>
      <c r="AN5151" s="17"/>
      <c r="AO5151" s="17"/>
      <c r="AP5151" s="17"/>
      <c r="AQ5151" s="17"/>
      <c r="AR5151" s="17"/>
    </row>
    <row r="5152" s="21" customFormat="1" hidden="1" spans="1:44">
      <c r="A5152" s="17" t="s">
        <v>34</v>
      </c>
      <c r="B5152" s="19">
        <v>982</v>
      </c>
      <c r="C5152" s="183">
        <v>45321</v>
      </c>
      <c r="D5152" s="17" t="s">
        <v>52</v>
      </c>
      <c r="E5152" s="17" t="s">
        <v>53</v>
      </c>
      <c r="F5152" s="17" t="s">
        <v>54</v>
      </c>
      <c r="G5152" s="17"/>
      <c r="H5152" s="124">
        <v>1.2379</v>
      </c>
      <c r="I5152" s="124"/>
      <c r="J5152" s="17" t="s">
        <v>82</v>
      </c>
      <c r="K5152" s="19">
        <v>710</v>
      </c>
      <c r="L5152" s="91">
        <v>180</v>
      </c>
      <c r="M5152" s="19">
        <v>5800</v>
      </c>
      <c r="N5152" s="19" t="s">
        <v>40</v>
      </c>
      <c r="O5152" s="19" t="s">
        <v>50</v>
      </c>
      <c r="P5152" s="19">
        <v>3790</v>
      </c>
      <c r="Q5152" s="19">
        <v>3790</v>
      </c>
      <c r="R5152" s="19">
        <f t="shared" si="241"/>
        <v>0</v>
      </c>
      <c r="S5152" s="19">
        <v>2200</v>
      </c>
      <c r="T5152" s="19" t="s">
        <v>42</v>
      </c>
      <c r="U5152" s="102" t="s">
        <v>1267</v>
      </c>
      <c r="V5152" s="101">
        <v>45315</v>
      </c>
      <c r="W5152" s="17" t="s">
        <v>58</v>
      </c>
      <c r="X5152" s="17"/>
      <c r="Y5152" s="68">
        <v>45323</v>
      </c>
      <c r="Z5152" s="17" t="s">
        <v>191</v>
      </c>
      <c r="AA5152" s="17" t="s">
        <v>46</v>
      </c>
      <c r="AB5152" s="17" t="s">
        <v>1267</v>
      </c>
      <c r="AC5152" s="217">
        <v>45323</v>
      </c>
      <c r="AD5152" s="65">
        <v>1527</v>
      </c>
      <c r="AE5152" s="17" t="s">
        <v>48</v>
      </c>
      <c r="AF5152" s="17"/>
      <c r="AG5152" s="17"/>
      <c r="AH5152" s="17"/>
      <c r="AI5152" s="17"/>
      <c r="AJ5152" s="17"/>
      <c r="AK5152" s="17"/>
      <c r="AL5152" s="17"/>
      <c r="AM5152" s="17"/>
      <c r="AN5152" s="17"/>
      <c r="AO5152" s="17"/>
      <c r="AP5152" s="17"/>
      <c r="AQ5152" s="17"/>
      <c r="AR5152" s="17"/>
    </row>
    <row r="5153" s="21" customFormat="1" hidden="1" spans="1:44">
      <c r="A5153" s="17" t="s">
        <v>34</v>
      </c>
      <c r="B5153" s="19">
        <v>982</v>
      </c>
      <c r="C5153" s="183">
        <v>45321</v>
      </c>
      <c r="D5153" s="17" t="s">
        <v>52</v>
      </c>
      <c r="E5153" s="17" t="s">
        <v>53</v>
      </c>
      <c r="F5153" s="17" t="s">
        <v>54</v>
      </c>
      <c r="G5153" s="17"/>
      <c r="H5153" s="124">
        <v>1.2379</v>
      </c>
      <c r="I5153" s="124"/>
      <c r="J5153" s="17" t="s">
        <v>82</v>
      </c>
      <c r="K5153" s="19">
        <v>710</v>
      </c>
      <c r="L5153" s="91">
        <v>210</v>
      </c>
      <c r="M5153" s="19">
        <v>5800</v>
      </c>
      <c r="N5153" s="19" t="s">
        <v>40</v>
      </c>
      <c r="O5153" s="19" t="s">
        <v>50</v>
      </c>
      <c r="P5153" s="19">
        <v>4618</v>
      </c>
      <c r="Q5153" s="19">
        <v>4618</v>
      </c>
      <c r="R5153" s="19">
        <f t="shared" si="241"/>
        <v>0</v>
      </c>
      <c r="S5153" s="19">
        <v>2200</v>
      </c>
      <c r="T5153" s="19" t="s">
        <v>42</v>
      </c>
      <c r="U5153" s="102" t="s">
        <v>1267</v>
      </c>
      <c r="V5153" s="101">
        <v>45315</v>
      </c>
      <c r="W5153" s="17" t="s">
        <v>58</v>
      </c>
      <c r="X5153" s="17"/>
      <c r="Y5153" s="68">
        <v>45323</v>
      </c>
      <c r="Z5153" s="17" t="s">
        <v>191</v>
      </c>
      <c r="AA5153" s="17" t="s">
        <v>46</v>
      </c>
      <c r="AB5153" s="17" t="s">
        <v>1267</v>
      </c>
      <c r="AC5153" s="217">
        <v>45323</v>
      </c>
      <c r="AD5153" s="65">
        <v>1527</v>
      </c>
      <c r="AE5153" s="17" t="s">
        <v>48</v>
      </c>
      <c r="AF5153" s="17"/>
      <c r="AG5153" s="17"/>
      <c r="AH5153" s="17"/>
      <c r="AI5153" s="17"/>
      <c r="AJ5153" s="17"/>
      <c r="AK5153" s="17"/>
      <c r="AL5153" s="17"/>
      <c r="AM5153" s="17"/>
      <c r="AN5153" s="17"/>
      <c r="AO5153" s="17"/>
      <c r="AP5153" s="17"/>
      <c r="AQ5153" s="17"/>
      <c r="AR5153" s="17"/>
    </row>
    <row r="5154" s="21" customFormat="1" hidden="1" spans="1:44">
      <c r="A5154" s="17" t="s">
        <v>34</v>
      </c>
      <c r="B5154" s="19">
        <v>982</v>
      </c>
      <c r="C5154" s="183">
        <v>45321</v>
      </c>
      <c r="D5154" s="17" t="s">
        <v>52</v>
      </c>
      <c r="E5154" s="17" t="s">
        <v>53</v>
      </c>
      <c r="F5154" s="17" t="s">
        <v>54</v>
      </c>
      <c r="G5154" s="17"/>
      <c r="H5154" s="124">
        <v>1.2379</v>
      </c>
      <c r="I5154" s="124"/>
      <c r="J5154" s="17" t="s">
        <v>82</v>
      </c>
      <c r="K5154" s="19">
        <v>710</v>
      </c>
      <c r="L5154" s="91">
        <v>260</v>
      </c>
      <c r="M5154" s="19">
        <v>5800</v>
      </c>
      <c r="N5154" s="19" t="s">
        <v>40</v>
      </c>
      <c r="O5154" s="19" t="s">
        <v>50</v>
      </c>
      <c r="P5154" s="19">
        <v>5916</v>
      </c>
      <c r="Q5154" s="19">
        <v>5916</v>
      </c>
      <c r="R5154" s="19">
        <f t="shared" si="241"/>
        <v>0</v>
      </c>
      <c r="S5154" s="19">
        <v>2200</v>
      </c>
      <c r="T5154" s="19" t="s">
        <v>42</v>
      </c>
      <c r="U5154" s="102" t="s">
        <v>1267</v>
      </c>
      <c r="V5154" s="101">
        <v>45315</v>
      </c>
      <c r="W5154" s="17" t="s">
        <v>58</v>
      </c>
      <c r="X5154" s="17"/>
      <c r="Y5154" s="68">
        <v>45323</v>
      </c>
      <c r="Z5154" s="17" t="s">
        <v>191</v>
      </c>
      <c r="AA5154" s="17" t="s">
        <v>46</v>
      </c>
      <c r="AB5154" s="17" t="s">
        <v>1267</v>
      </c>
      <c r="AC5154" s="217">
        <v>45323</v>
      </c>
      <c r="AD5154" s="65">
        <v>1527</v>
      </c>
      <c r="AE5154" s="17" t="s">
        <v>48</v>
      </c>
      <c r="AF5154" s="17"/>
      <c r="AG5154" s="17"/>
      <c r="AH5154" s="17"/>
      <c r="AI5154" s="17"/>
      <c r="AJ5154" s="17"/>
      <c r="AK5154" s="17"/>
      <c r="AL5154" s="17"/>
      <c r="AM5154" s="17"/>
      <c r="AN5154" s="17"/>
      <c r="AO5154" s="17"/>
      <c r="AP5154" s="17"/>
      <c r="AQ5154" s="17"/>
      <c r="AR5154" s="17"/>
    </row>
    <row r="5155" s="21" customFormat="1" hidden="1" spans="1:44">
      <c r="A5155" s="17" t="s">
        <v>34</v>
      </c>
      <c r="B5155" s="19">
        <v>982</v>
      </c>
      <c r="C5155" s="183">
        <v>45321</v>
      </c>
      <c r="D5155" s="17" t="s">
        <v>52</v>
      </c>
      <c r="E5155" s="17" t="s">
        <v>53</v>
      </c>
      <c r="F5155" s="17" t="s">
        <v>54</v>
      </c>
      <c r="G5155" s="17"/>
      <c r="H5155" s="124">
        <v>1.2379</v>
      </c>
      <c r="I5155" s="124"/>
      <c r="J5155" s="17" t="s">
        <v>82</v>
      </c>
      <c r="K5155" s="147">
        <v>610</v>
      </c>
      <c r="L5155" s="243">
        <v>300</v>
      </c>
      <c r="M5155" s="19">
        <v>5800</v>
      </c>
      <c r="N5155" s="19" t="s">
        <v>40</v>
      </c>
      <c r="O5155" s="19" t="s">
        <v>50</v>
      </c>
      <c r="P5155" s="19">
        <v>4748</v>
      </c>
      <c r="Q5155" s="19">
        <v>4748</v>
      </c>
      <c r="R5155" s="19">
        <f t="shared" si="241"/>
        <v>0</v>
      </c>
      <c r="S5155" s="19">
        <v>2200</v>
      </c>
      <c r="T5155" s="19" t="s">
        <v>42</v>
      </c>
      <c r="U5155" s="102" t="s">
        <v>1267</v>
      </c>
      <c r="V5155" s="101">
        <v>45315</v>
      </c>
      <c r="W5155" s="17" t="s">
        <v>58</v>
      </c>
      <c r="X5155" s="17"/>
      <c r="Y5155" s="68">
        <v>45323</v>
      </c>
      <c r="Z5155" s="17" t="s">
        <v>191</v>
      </c>
      <c r="AA5155" s="17" t="s">
        <v>46</v>
      </c>
      <c r="AB5155" s="17" t="s">
        <v>1267</v>
      </c>
      <c r="AC5155" s="217">
        <v>45323</v>
      </c>
      <c r="AD5155" s="65">
        <v>1527</v>
      </c>
      <c r="AE5155" s="17" t="s">
        <v>48</v>
      </c>
      <c r="AF5155" s="17"/>
      <c r="AG5155" s="17"/>
      <c r="AH5155" s="17"/>
      <c r="AI5155" s="17"/>
      <c r="AJ5155" s="17"/>
      <c r="AK5155" s="17"/>
      <c r="AL5155" s="17"/>
      <c r="AM5155" s="17"/>
      <c r="AN5155" s="17"/>
      <c r="AO5155" s="17"/>
      <c r="AP5155" s="17"/>
      <c r="AQ5155" s="17"/>
      <c r="AR5155" s="17"/>
    </row>
    <row r="5156" s="21" customFormat="1" hidden="1" spans="1:44">
      <c r="A5156" s="17" t="s">
        <v>34</v>
      </c>
      <c r="B5156" s="19">
        <v>983</v>
      </c>
      <c r="C5156" s="183">
        <v>45331</v>
      </c>
      <c r="D5156" s="17" t="s">
        <v>432</v>
      </c>
      <c r="E5156" s="17" t="s">
        <v>433</v>
      </c>
      <c r="F5156" s="17" t="s">
        <v>434</v>
      </c>
      <c r="G5156" s="17"/>
      <c r="H5156" s="124">
        <v>1.2738</v>
      </c>
      <c r="I5156" s="124"/>
      <c r="J5156" s="17" t="s">
        <v>82</v>
      </c>
      <c r="K5156" s="188" t="s">
        <v>1394</v>
      </c>
      <c r="L5156" s="188" t="s">
        <v>861</v>
      </c>
      <c r="M5156" s="238" t="s">
        <v>1395</v>
      </c>
      <c r="N5156" s="93" t="s">
        <v>66</v>
      </c>
      <c r="O5156" s="93" t="s">
        <v>98</v>
      </c>
      <c r="P5156" s="93">
        <v>2160</v>
      </c>
      <c r="Q5156" s="19">
        <v>2160</v>
      </c>
      <c r="R5156" s="19">
        <f t="shared" si="241"/>
        <v>0</v>
      </c>
      <c r="S5156" s="19">
        <v>1100</v>
      </c>
      <c r="T5156" s="19" t="s">
        <v>94</v>
      </c>
      <c r="U5156" s="102" t="s">
        <v>1396</v>
      </c>
      <c r="V5156" s="101">
        <v>45331</v>
      </c>
      <c r="W5156" s="17" t="s">
        <v>58</v>
      </c>
      <c r="X5156" s="17"/>
      <c r="Y5156" s="68">
        <v>45352</v>
      </c>
      <c r="Z5156" s="17" t="s">
        <v>551</v>
      </c>
      <c r="AA5156" s="17" t="s">
        <v>46</v>
      </c>
      <c r="AB5156" s="17" t="s">
        <v>1397</v>
      </c>
      <c r="AC5156" s="66">
        <v>45351</v>
      </c>
      <c r="AD5156" s="65">
        <v>1529</v>
      </c>
      <c r="AE5156" s="17" t="s">
        <v>48</v>
      </c>
      <c r="AF5156" s="17"/>
      <c r="AG5156" s="17"/>
      <c r="AH5156" s="17"/>
      <c r="AI5156" s="17"/>
      <c r="AJ5156" s="17"/>
      <c r="AK5156" s="17"/>
      <c r="AL5156" s="17"/>
      <c r="AM5156" s="17"/>
      <c r="AN5156" s="17"/>
      <c r="AO5156" s="17"/>
      <c r="AP5156" s="17"/>
      <c r="AQ5156" s="17"/>
      <c r="AR5156" s="17"/>
    </row>
    <row r="5157" s="21" customFormat="1" hidden="1" spans="1:44">
      <c r="A5157" s="17" t="s">
        <v>34</v>
      </c>
      <c r="B5157" s="19">
        <v>983</v>
      </c>
      <c r="C5157" s="183">
        <v>45331</v>
      </c>
      <c r="D5157" s="17" t="s">
        <v>432</v>
      </c>
      <c r="E5157" s="17" t="s">
        <v>433</v>
      </c>
      <c r="F5157" s="17" t="s">
        <v>434</v>
      </c>
      <c r="G5157" s="17"/>
      <c r="H5157" s="124">
        <v>1.2738</v>
      </c>
      <c r="I5157" s="124"/>
      <c r="J5157" s="17" t="s">
        <v>82</v>
      </c>
      <c r="K5157" s="188" t="s">
        <v>876</v>
      </c>
      <c r="L5157" s="188">
        <v>105</v>
      </c>
      <c r="M5157" s="188" t="s">
        <v>1398</v>
      </c>
      <c r="N5157" s="19" t="s">
        <v>66</v>
      </c>
      <c r="O5157" s="19" t="s">
        <v>98</v>
      </c>
      <c r="P5157" s="19">
        <v>1280</v>
      </c>
      <c r="Q5157" s="19">
        <v>1280</v>
      </c>
      <c r="R5157" s="19">
        <f t="shared" si="241"/>
        <v>0</v>
      </c>
      <c r="S5157" s="19">
        <v>1100</v>
      </c>
      <c r="T5157" s="19" t="s">
        <v>94</v>
      </c>
      <c r="U5157" s="102" t="s">
        <v>1396</v>
      </c>
      <c r="V5157" s="101">
        <v>45331</v>
      </c>
      <c r="W5157" s="17" t="s">
        <v>58</v>
      </c>
      <c r="X5157" s="17"/>
      <c r="Y5157" s="68">
        <v>45352</v>
      </c>
      <c r="Z5157" s="17" t="s">
        <v>551</v>
      </c>
      <c r="AA5157" s="17" t="s">
        <v>46</v>
      </c>
      <c r="AB5157" s="17" t="s">
        <v>1397</v>
      </c>
      <c r="AC5157" s="66">
        <v>45351</v>
      </c>
      <c r="AD5157" s="65">
        <v>1529</v>
      </c>
      <c r="AE5157" s="17" t="s">
        <v>48</v>
      </c>
      <c r="AF5157" s="17"/>
      <c r="AG5157" s="17"/>
      <c r="AH5157" s="17"/>
      <c r="AI5157" s="17"/>
      <c r="AJ5157" s="17"/>
      <c r="AK5157" s="17"/>
      <c r="AL5157" s="17"/>
      <c r="AM5157" s="17"/>
      <c r="AN5157" s="17"/>
      <c r="AO5157" s="17"/>
      <c r="AP5157" s="17"/>
      <c r="AQ5157" s="17"/>
      <c r="AR5157" s="17"/>
    </row>
    <row r="5158" s="21" customFormat="1" hidden="1" spans="1:44">
      <c r="A5158" s="17" t="s">
        <v>34</v>
      </c>
      <c r="B5158" s="19">
        <v>983</v>
      </c>
      <c r="C5158" s="183">
        <v>45331</v>
      </c>
      <c r="D5158" s="17" t="s">
        <v>432</v>
      </c>
      <c r="E5158" s="17" t="s">
        <v>433</v>
      </c>
      <c r="F5158" s="17" t="s">
        <v>434</v>
      </c>
      <c r="G5158" s="17"/>
      <c r="H5158" s="124">
        <v>1.2738</v>
      </c>
      <c r="I5158" s="124"/>
      <c r="J5158" s="17" t="s">
        <v>82</v>
      </c>
      <c r="K5158" s="188">
        <v>980</v>
      </c>
      <c r="L5158" s="188">
        <v>110</v>
      </c>
      <c r="M5158" s="188">
        <v>2610</v>
      </c>
      <c r="N5158" s="19" t="s">
        <v>66</v>
      </c>
      <c r="O5158" s="19" t="s">
        <v>98</v>
      </c>
      <c r="P5158" s="188">
        <v>2365</v>
      </c>
      <c r="Q5158" s="19">
        <v>2365</v>
      </c>
      <c r="R5158" s="19">
        <f t="shared" si="241"/>
        <v>0</v>
      </c>
      <c r="S5158" s="19">
        <v>1100</v>
      </c>
      <c r="T5158" s="19" t="s">
        <v>94</v>
      </c>
      <c r="U5158" s="102" t="s">
        <v>1396</v>
      </c>
      <c r="V5158" s="101">
        <v>45331</v>
      </c>
      <c r="W5158" s="17" t="s">
        <v>58</v>
      </c>
      <c r="X5158" s="17"/>
      <c r="Y5158" s="68">
        <v>45352</v>
      </c>
      <c r="Z5158" s="17" t="s">
        <v>551</v>
      </c>
      <c r="AA5158" s="17" t="s">
        <v>46</v>
      </c>
      <c r="AB5158" s="17" t="s">
        <v>1397</v>
      </c>
      <c r="AC5158" s="66">
        <v>45351</v>
      </c>
      <c r="AD5158" s="65">
        <v>1529</v>
      </c>
      <c r="AE5158" s="17" t="s">
        <v>48</v>
      </c>
      <c r="AF5158" s="17"/>
      <c r="AG5158" s="17"/>
      <c r="AH5158" s="17"/>
      <c r="AI5158" s="17"/>
      <c r="AJ5158" s="17"/>
      <c r="AK5158" s="17"/>
      <c r="AL5158" s="17"/>
      <c r="AM5158" s="17"/>
      <c r="AN5158" s="17"/>
      <c r="AO5158" s="17"/>
      <c r="AP5158" s="17"/>
      <c r="AQ5158" s="17"/>
      <c r="AR5158" s="17"/>
    </row>
    <row r="5159" s="21" customFormat="1" hidden="1" spans="1:44">
      <c r="A5159" s="17" t="s">
        <v>34</v>
      </c>
      <c r="B5159" s="19">
        <v>983</v>
      </c>
      <c r="C5159" s="183">
        <v>45331</v>
      </c>
      <c r="D5159" s="17" t="s">
        <v>432</v>
      </c>
      <c r="E5159" s="17" t="s">
        <v>433</v>
      </c>
      <c r="F5159" s="17" t="s">
        <v>434</v>
      </c>
      <c r="G5159" s="17"/>
      <c r="H5159" s="124">
        <v>1.2738</v>
      </c>
      <c r="I5159" s="124"/>
      <c r="J5159" s="17" t="s">
        <v>82</v>
      </c>
      <c r="K5159" s="188">
        <v>960</v>
      </c>
      <c r="L5159" s="188">
        <v>110</v>
      </c>
      <c r="M5159" s="188">
        <v>1105</v>
      </c>
      <c r="N5159" s="19" t="s">
        <v>66</v>
      </c>
      <c r="O5159" s="19" t="s">
        <v>98</v>
      </c>
      <c r="P5159" s="188">
        <v>1120</v>
      </c>
      <c r="Q5159" s="19">
        <v>1120</v>
      </c>
      <c r="R5159" s="19">
        <f t="shared" si="241"/>
        <v>0</v>
      </c>
      <c r="S5159" s="19">
        <v>1100</v>
      </c>
      <c r="T5159" s="19" t="s">
        <v>94</v>
      </c>
      <c r="U5159" s="102" t="s">
        <v>1396</v>
      </c>
      <c r="V5159" s="101">
        <v>45331</v>
      </c>
      <c r="W5159" s="17" t="s">
        <v>58</v>
      </c>
      <c r="X5159" s="17"/>
      <c r="Y5159" s="68">
        <v>45352</v>
      </c>
      <c r="Z5159" s="17" t="s">
        <v>551</v>
      </c>
      <c r="AA5159" s="17" t="s">
        <v>46</v>
      </c>
      <c r="AB5159" s="17" t="s">
        <v>1397</v>
      </c>
      <c r="AC5159" s="66">
        <v>45351</v>
      </c>
      <c r="AD5159" s="65">
        <v>1529</v>
      </c>
      <c r="AE5159" s="17" t="s">
        <v>48</v>
      </c>
      <c r="AF5159" s="17"/>
      <c r="AG5159" s="17"/>
      <c r="AH5159" s="17"/>
      <c r="AI5159" s="17"/>
      <c r="AJ5159" s="17"/>
      <c r="AK5159" s="17"/>
      <c r="AL5159" s="17"/>
      <c r="AM5159" s="17"/>
      <c r="AN5159" s="17"/>
      <c r="AO5159" s="17"/>
      <c r="AP5159" s="17"/>
      <c r="AQ5159" s="17"/>
      <c r="AR5159" s="17"/>
    </row>
    <row r="5160" s="21" customFormat="1" hidden="1" spans="1:44">
      <c r="A5160" s="17" t="s">
        <v>34</v>
      </c>
      <c r="B5160" s="19">
        <v>983</v>
      </c>
      <c r="C5160" s="183">
        <v>45331</v>
      </c>
      <c r="D5160" s="17" t="s">
        <v>432</v>
      </c>
      <c r="E5160" s="17" t="s">
        <v>433</v>
      </c>
      <c r="F5160" s="17" t="s">
        <v>434</v>
      </c>
      <c r="G5160" s="17"/>
      <c r="H5160" s="124">
        <v>1.2738</v>
      </c>
      <c r="I5160" s="124"/>
      <c r="J5160" s="17" t="s">
        <v>82</v>
      </c>
      <c r="K5160" s="188">
        <v>810</v>
      </c>
      <c r="L5160" s="188">
        <v>120</v>
      </c>
      <c r="M5160" s="188">
        <v>1570</v>
      </c>
      <c r="N5160" s="19" t="s">
        <v>66</v>
      </c>
      <c r="O5160" s="19" t="s">
        <v>98</v>
      </c>
      <c r="P5160" s="19">
        <v>1610</v>
      </c>
      <c r="Q5160" s="19">
        <v>1610</v>
      </c>
      <c r="R5160" s="19">
        <f t="shared" si="241"/>
        <v>0</v>
      </c>
      <c r="S5160" s="19">
        <v>1100</v>
      </c>
      <c r="T5160" s="19" t="s">
        <v>94</v>
      </c>
      <c r="U5160" s="102" t="s">
        <v>1396</v>
      </c>
      <c r="V5160" s="101">
        <v>45331</v>
      </c>
      <c r="W5160" s="17" t="s">
        <v>58</v>
      </c>
      <c r="X5160" s="17"/>
      <c r="Y5160" s="68">
        <v>45352</v>
      </c>
      <c r="Z5160" s="17" t="s">
        <v>551</v>
      </c>
      <c r="AA5160" s="17" t="s">
        <v>46</v>
      </c>
      <c r="AB5160" s="17" t="s">
        <v>1397</v>
      </c>
      <c r="AC5160" s="66">
        <v>45351</v>
      </c>
      <c r="AD5160" s="65">
        <v>1529</v>
      </c>
      <c r="AE5160" s="17" t="s">
        <v>48</v>
      </c>
      <c r="AF5160" s="17"/>
      <c r="AG5160" s="17"/>
      <c r="AH5160" s="17"/>
      <c r="AI5160" s="17"/>
      <c r="AJ5160" s="17"/>
      <c r="AK5160" s="17"/>
      <c r="AL5160" s="17"/>
      <c r="AM5160" s="17"/>
      <c r="AN5160" s="17"/>
      <c r="AO5160" s="17"/>
      <c r="AP5160" s="17"/>
      <c r="AQ5160" s="17"/>
      <c r="AR5160" s="17"/>
    </row>
    <row r="5161" s="21" customFormat="1" hidden="1" spans="1:44">
      <c r="A5161" s="17" t="s">
        <v>34</v>
      </c>
      <c r="B5161" s="19">
        <v>983</v>
      </c>
      <c r="C5161" s="183">
        <v>45331</v>
      </c>
      <c r="D5161" s="17" t="s">
        <v>432</v>
      </c>
      <c r="E5161" s="17" t="s">
        <v>433</v>
      </c>
      <c r="F5161" s="17" t="s">
        <v>434</v>
      </c>
      <c r="G5161" s="17"/>
      <c r="H5161" s="124">
        <v>1.2738</v>
      </c>
      <c r="I5161" s="124"/>
      <c r="J5161" s="17" t="s">
        <v>82</v>
      </c>
      <c r="K5161" s="188">
        <v>980</v>
      </c>
      <c r="L5161" s="188">
        <v>120</v>
      </c>
      <c r="M5161" s="188">
        <v>1395</v>
      </c>
      <c r="N5161" s="19" t="s">
        <v>66</v>
      </c>
      <c r="O5161" s="19" t="s">
        <v>98</v>
      </c>
      <c r="P5161" s="19">
        <v>1360</v>
      </c>
      <c r="Q5161" s="19">
        <v>1360</v>
      </c>
      <c r="R5161" s="19">
        <f t="shared" si="241"/>
        <v>0</v>
      </c>
      <c r="S5161" s="19">
        <v>1100</v>
      </c>
      <c r="T5161" s="19" t="s">
        <v>94</v>
      </c>
      <c r="U5161" s="102" t="s">
        <v>1396</v>
      </c>
      <c r="V5161" s="101">
        <v>45331</v>
      </c>
      <c r="W5161" s="17" t="s">
        <v>58</v>
      </c>
      <c r="X5161" s="17"/>
      <c r="Y5161" s="68">
        <v>45352</v>
      </c>
      <c r="Z5161" s="17" t="s">
        <v>551</v>
      </c>
      <c r="AA5161" s="17" t="s">
        <v>46</v>
      </c>
      <c r="AB5161" s="17" t="s">
        <v>1397</v>
      </c>
      <c r="AC5161" s="66">
        <v>45351</v>
      </c>
      <c r="AD5161" s="65">
        <v>1529</v>
      </c>
      <c r="AE5161" s="17" t="s">
        <v>48</v>
      </c>
      <c r="AF5161" s="17"/>
      <c r="AG5161" s="17"/>
      <c r="AH5161" s="17"/>
      <c r="AI5161" s="17"/>
      <c r="AJ5161" s="17"/>
      <c r="AK5161" s="17"/>
      <c r="AL5161" s="17"/>
      <c r="AM5161" s="17"/>
      <c r="AN5161" s="17"/>
      <c r="AO5161" s="17"/>
      <c r="AP5161" s="17"/>
      <c r="AQ5161" s="17"/>
      <c r="AR5161" s="17"/>
    </row>
    <row r="5162" s="21" customFormat="1" hidden="1" spans="1:44">
      <c r="A5162" s="17" t="s">
        <v>34</v>
      </c>
      <c r="B5162" s="19">
        <v>983</v>
      </c>
      <c r="C5162" s="183">
        <v>45331</v>
      </c>
      <c r="D5162" s="17" t="s">
        <v>432</v>
      </c>
      <c r="E5162" s="17" t="s">
        <v>433</v>
      </c>
      <c r="F5162" s="17" t="s">
        <v>434</v>
      </c>
      <c r="G5162" s="17"/>
      <c r="H5162" s="124">
        <v>1.2738</v>
      </c>
      <c r="I5162" s="124"/>
      <c r="J5162" s="17" t="s">
        <v>82</v>
      </c>
      <c r="K5162" s="188">
        <v>940</v>
      </c>
      <c r="L5162" s="188">
        <v>120</v>
      </c>
      <c r="M5162" s="188">
        <v>1210</v>
      </c>
      <c r="N5162" s="19" t="s">
        <v>66</v>
      </c>
      <c r="O5162" s="19" t="s">
        <v>98</v>
      </c>
      <c r="P5162" s="19">
        <v>1135</v>
      </c>
      <c r="Q5162" s="19">
        <v>1135</v>
      </c>
      <c r="R5162" s="19">
        <f t="shared" si="241"/>
        <v>0</v>
      </c>
      <c r="S5162" s="19">
        <v>1100</v>
      </c>
      <c r="T5162" s="19" t="s">
        <v>94</v>
      </c>
      <c r="U5162" s="102" t="s">
        <v>1396</v>
      </c>
      <c r="V5162" s="101">
        <v>45331</v>
      </c>
      <c r="W5162" s="17" t="s">
        <v>58</v>
      </c>
      <c r="X5162" s="17"/>
      <c r="Y5162" s="68">
        <v>45352</v>
      </c>
      <c r="Z5162" s="17" t="s">
        <v>551</v>
      </c>
      <c r="AA5162" s="17" t="s">
        <v>46</v>
      </c>
      <c r="AB5162" s="17" t="s">
        <v>1397</v>
      </c>
      <c r="AC5162" s="66">
        <v>45351</v>
      </c>
      <c r="AD5162" s="65">
        <v>1529</v>
      </c>
      <c r="AE5162" s="17" t="s">
        <v>48</v>
      </c>
      <c r="AF5162" s="17"/>
      <c r="AG5162" s="17"/>
      <c r="AH5162" s="17"/>
      <c r="AI5162" s="17"/>
      <c r="AJ5162" s="17"/>
      <c r="AK5162" s="17"/>
      <c r="AL5162" s="17"/>
      <c r="AM5162" s="17"/>
      <c r="AN5162" s="17"/>
      <c r="AO5162" s="17"/>
      <c r="AP5162" s="17"/>
      <c r="AQ5162" s="17"/>
      <c r="AR5162" s="17"/>
    </row>
    <row r="5163" s="21" customFormat="1" hidden="1" spans="1:44">
      <c r="A5163" s="17" t="s">
        <v>34</v>
      </c>
      <c r="B5163" s="19">
        <v>983</v>
      </c>
      <c r="C5163" s="183">
        <v>45331</v>
      </c>
      <c r="D5163" s="17" t="s">
        <v>432</v>
      </c>
      <c r="E5163" s="17" t="s">
        <v>433</v>
      </c>
      <c r="F5163" s="17" t="s">
        <v>434</v>
      </c>
      <c r="G5163" s="17"/>
      <c r="H5163" s="124">
        <v>1.2738</v>
      </c>
      <c r="I5163" s="124"/>
      <c r="J5163" s="17" t="s">
        <v>82</v>
      </c>
      <c r="K5163" s="188">
        <v>960</v>
      </c>
      <c r="L5163" s="188">
        <v>125</v>
      </c>
      <c r="M5163" s="188">
        <v>1040</v>
      </c>
      <c r="N5163" s="19" t="s">
        <v>66</v>
      </c>
      <c r="O5163" s="19" t="s">
        <v>98</v>
      </c>
      <c r="P5163" s="19">
        <v>1026</v>
      </c>
      <c r="Q5163" s="19">
        <v>1026</v>
      </c>
      <c r="R5163" s="19">
        <f t="shared" si="241"/>
        <v>0</v>
      </c>
      <c r="S5163" s="19">
        <v>1100</v>
      </c>
      <c r="T5163" s="19" t="s">
        <v>94</v>
      </c>
      <c r="U5163" s="102" t="s">
        <v>1396</v>
      </c>
      <c r="V5163" s="101">
        <v>45331</v>
      </c>
      <c r="W5163" s="17" t="s">
        <v>58</v>
      </c>
      <c r="X5163" s="17"/>
      <c r="Y5163" s="68">
        <v>45352</v>
      </c>
      <c r="Z5163" s="17" t="s">
        <v>551</v>
      </c>
      <c r="AA5163" s="17" t="s">
        <v>46</v>
      </c>
      <c r="AB5163" s="17" t="s">
        <v>1397</v>
      </c>
      <c r="AC5163" s="66">
        <v>45351</v>
      </c>
      <c r="AD5163" s="65">
        <v>1529</v>
      </c>
      <c r="AE5163" s="17" t="s">
        <v>48</v>
      </c>
      <c r="AF5163" s="17"/>
      <c r="AG5163" s="17"/>
      <c r="AH5163" s="17"/>
      <c r="AI5163" s="17"/>
      <c r="AJ5163" s="17"/>
      <c r="AK5163" s="17"/>
      <c r="AL5163" s="17"/>
      <c r="AM5163" s="17"/>
      <c r="AN5163" s="17"/>
      <c r="AO5163" s="17"/>
      <c r="AP5163" s="17"/>
      <c r="AQ5163" s="17"/>
      <c r="AR5163" s="17"/>
    </row>
    <row r="5164" s="21" customFormat="1" hidden="1" spans="1:44">
      <c r="A5164" s="17" t="s">
        <v>34</v>
      </c>
      <c r="B5164" s="19">
        <v>983</v>
      </c>
      <c r="C5164" s="183">
        <v>45331</v>
      </c>
      <c r="D5164" s="17" t="s">
        <v>432</v>
      </c>
      <c r="E5164" s="17" t="s">
        <v>433</v>
      </c>
      <c r="F5164" s="17" t="s">
        <v>434</v>
      </c>
      <c r="G5164" s="17"/>
      <c r="H5164" s="124">
        <v>1.2738</v>
      </c>
      <c r="I5164" s="124"/>
      <c r="J5164" s="17" t="s">
        <v>82</v>
      </c>
      <c r="K5164" s="188" t="s">
        <v>1399</v>
      </c>
      <c r="L5164" s="188" t="s">
        <v>879</v>
      </c>
      <c r="M5164" s="188" t="s">
        <v>454</v>
      </c>
      <c r="N5164" s="19" t="s">
        <v>66</v>
      </c>
      <c r="O5164" s="19" t="s">
        <v>98</v>
      </c>
      <c r="P5164" s="19">
        <v>1452</v>
      </c>
      <c r="Q5164" s="19">
        <v>1452</v>
      </c>
      <c r="R5164" s="19">
        <f t="shared" si="241"/>
        <v>0</v>
      </c>
      <c r="S5164" s="19">
        <v>1100</v>
      </c>
      <c r="T5164" s="19" t="s">
        <v>94</v>
      </c>
      <c r="U5164" s="102" t="s">
        <v>1396</v>
      </c>
      <c r="V5164" s="101">
        <v>45331</v>
      </c>
      <c r="W5164" s="17" t="s">
        <v>58</v>
      </c>
      <c r="X5164" s="17"/>
      <c r="Y5164" s="68">
        <v>45352</v>
      </c>
      <c r="Z5164" s="17" t="s">
        <v>551</v>
      </c>
      <c r="AA5164" s="17" t="s">
        <v>46</v>
      </c>
      <c r="AB5164" s="17" t="s">
        <v>1397</v>
      </c>
      <c r="AC5164" s="66">
        <v>45351</v>
      </c>
      <c r="AD5164" s="65">
        <v>1529</v>
      </c>
      <c r="AE5164" s="17" t="s">
        <v>48</v>
      </c>
      <c r="AF5164" s="17"/>
      <c r="AG5164" s="17"/>
      <c r="AH5164" s="17"/>
      <c r="AI5164" s="17"/>
      <c r="AJ5164" s="17"/>
      <c r="AK5164" s="17"/>
      <c r="AL5164" s="17"/>
      <c r="AM5164" s="17"/>
      <c r="AN5164" s="17"/>
      <c r="AO5164" s="17"/>
      <c r="AP5164" s="17"/>
      <c r="AQ5164" s="17"/>
      <c r="AR5164" s="17"/>
    </row>
    <row r="5165" s="21" customFormat="1" hidden="1" spans="1:44">
      <c r="A5165" s="17" t="s">
        <v>34</v>
      </c>
      <c r="B5165" s="19">
        <v>983</v>
      </c>
      <c r="C5165" s="183">
        <v>45331</v>
      </c>
      <c r="D5165" s="17" t="s">
        <v>432</v>
      </c>
      <c r="E5165" s="17" t="s">
        <v>433</v>
      </c>
      <c r="F5165" s="17" t="s">
        <v>434</v>
      </c>
      <c r="G5165" s="17"/>
      <c r="H5165" s="124">
        <v>1.2738</v>
      </c>
      <c r="I5165" s="124"/>
      <c r="J5165" s="17" t="s">
        <v>82</v>
      </c>
      <c r="K5165" s="188">
        <v>890</v>
      </c>
      <c r="L5165" s="188">
        <v>140</v>
      </c>
      <c r="M5165" s="188">
        <v>1560</v>
      </c>
      <c r="N5165" s="19" t="s">
        <v>66</v>
      </c>
      <c r="O5165" s="19" t="s">
        <v>98</v>
      </c>
      <c r="P5165" s="19">
        <v>1565</v>
      </c>
      <c r="Q5165" s="19">
        <v>1565</v>
      </c>
      <c r="R5165" s="19">
        <f t="shared" si="241"/>
        <v>0</v>
      </c>
      <c r="S5165" s="19">
        <v>1100</v>
      </c>
      <c r="T5165" s="19" t="s">
        <v>94</v>
      </c>
      <c r="U5165" s="102" t="s">
        <v>1396</v>
      </c>
      <c r="V5165" s="101">
        <v>45331</v>
      </c>
      <c r="W5165" s="17" t="s">
        <v>58</v>
      </c>
      <c r="X5165" s="17"/>
      <c r="Y5165" s="68">
        <v>45352</v>
      </c>
      <c r="Z5165" s="17" t="s">
        <v>551</v>
      </c>
      <c r="AA5165" s="17" t="s">
        <v>46</v>
      </c>
      <c r="AB5165" s="17" t="s">
        <v>1397</v>
      </c>
      <c r="AC5165" s="66">
        <v>45351</v>
      </c>
      <c r="AD5165" s="65">
        <v>1529</v>
      </c>
      <c r="AE5165" s="17" t="s">
        <v>48</v>
      </c>
      <c r="AF5165" s="17"/>
      <c r="AG5165" s="17"/>
      <c r="AH5165" s="17"/>
      <c r="AI5165" s="17"/>
      <c r="AJ5165" s="17"/>
      <c r="AK5165" s="17"/>
      <c r="AL5165" s="17"/>
      <c r="AM5165" s="17"/>
      <c r="AN5165" s="17"/>
      <c r="AO5165" s="17"/>
      <c r="AP5165" s="17"/>
      <c r="AQ5165" s="17"/>
      <c r="AR5165" s="17"/>
    </row>
    <row r="5166" s="21" customFormat="1" hidden="1" spans="1:44">
      <c r="A5166" s="17" t="s">
        <v>34</v>
      </c>
      <c r="B5166" s="19">
        <v>983</v>
      </c>
      <c r="C5166" s="183">
        <v>45331</v>
      </c>
      <c r="D5166" s="17" t="s">
        <v>432</v>
      </c>
      <c r="E5166" s="17" t="s">
        <v>433</v>
      </c>
      <c r="F5166" s="17" t="s">
        <v>434</v>
      </c>
      <c r="G5166" s="17"/>
      <c r="H5166" s="124">
        <v>1.2738</v>
      </c>
      <c r="I5166" s="124"/>
      <c r="J5166" s="17" t="s">
        <v>82</v>
      </c>
      <c r="K5166" s="188">
        <v>810</v>
      </c>
      <c r="L5166" s="188">
        <v>140</v>
      </c>
      <c r="M5166" s="188">
        <v>1600</v>
      </c>
      <c r="N5166" s="19" t="s">
        <v>66</v>
      </c>
      <c r="O5166" s="19" t="s">
        <v>98</v>
      </c>
      <c r="P5166" s="19">
        <v>1485</v>
      </c>
      <c r="Q5166" s="19">
        <v>1485</v>
      </c>
      <c r="R5166" s="19">
        <f t="shared" si="241"/>
        <v>0</v>
      </c>
      <c r="S5166" s="19">
        <v>1100</v>
      </c>
      <c r="T5166" s="19" t="s">
        <v>94</v>
      </c>
      <c r="U5166" s="102" t="s">
        <v>1396</v>
      </c>
      <c r="V5166" s="101">
        <v>45331</v>
      </c>
      <c r="W5166" s="17" t="s">
        <v>58</v>
      </c>
      <c r="X5166" s="17"/>
      <c r="Y5166" s="68">
        <v>45352</v>
      </c>
      <c r="Z5166" s="17" t="s">
        <v>551</v>
      </c>
      <c r="AA5166" s="17" t="s">
        <v>46</v>
      </c>
      <c r="AB5166" s="17" t="s">
        <v>1397</v>
      </c>
      <c r="AC5166" s="66">
        <v>45351</v>
      </c>
      <c r="AD5166" s="65">
        <v>1529</v>
      </c>
      <c r="AE5166" s="17" t="s">
        <v>48</v>
      </c>
      <c r="AF5166" s="17"/>
      <c r="AG5166" s="17"/>
      <c r="AH5166" s="17"/>
      <c r="AI5166" s="17"/>
      <c r="AJ5166" s="17"/>
      <c r="AK5166" s="17"/>
      <c r="AL5166" s="17"/>
      <c r="AM5166" s="17"/>
      <c r="AN5166" s="17"/>
      <c r="AO5166" s="17"/>
      <c r="AP5166" s="17"/>
      <c r="AQ5166" s="17"/>
      <c r="AR5166" s="17"/>
    </row>
    <row r="5167" s="21" customFormat="1" hidden="1" spans="1:44">
      <c r="A5167" s="17" t="s">
        <v>34</v>
      </c>
      <c r="B5167" s="19">
        <v>983</v>
      </c>
      <c r="C5167" s="183">
        <v>45331</v>
      </c>
      <c r="D5167" s="17" t="s">
        <v>432</v>
      </c>
      <c r="E5167" s="17" t="s">
        <v>433</v>
      </c>
      <c r="F5167" s="17" t="s">
        <v>434</v>
      </c>
      <c r="G5167" s="17"/>
      <c r="H5167" s="124">
        <v>1.2738</v>
      </c>
      <c r="I5167" s="124"/>
      <c r="J5167" s="17" t="s">
        <v>82</v>
      </c>
      <c r="K5167" s="188">
        <v>845</v>
      </c>
      <c r="L5167" s="188">
        <v>140</v>
      </c>
      <c r="M5167" s="188">
        <v>1460</v>
      </c>
      <c r="N5167" s="19" t="s">
        <v>66</v>
      </c>
      <c r="O5167" s="19" t="s">
        <v>98</v>
      </c>
      <c r="P5167" s="19">
        <v>1440</v>
      </c>
      <c r="Q5167" s="19">
        <v>1440</v>
      </c>
      <c r="R5167" s="19">
        <f t="shared" si="241"/>
        <v>0</v>
      </c>
      <c r="S5167" s="19">
        <v>1100</v>
      </c>
      <c r="T5167" s="19" t="s">
        <v>94</v>
      </c>
      <c r="U5167" s="102" t="s">
        <v>1396</v>
      </c>
      <c r="V5167" s="101">
        <v>45331</v>
      </c>
      <c r="W5167" s="17" t="s">
        <v>58</v>
      </c>
      <c r="X5167" s="17"/>
      <c r="Y5167" s="68">
        <v>45352</v>
      </c>
      <c r="Z5167" s="17" t="s">
        <v>551</v>
      </c>
      <c r="AA5167" s="17" t="s">
        <v>46</v>
      </c>
      <c r="AB5167" s="17" t="s">
        <v>1397</v>
      </c>
      <c r="AC5167" s="66">
        <v>45351</v>
      </c>
      <c r="AD5167" s="65">
        <v>1529</v>
      </c>
      <c r="AE5167" s="17" t="s">
        <v>48</v>
      </c>
      <c r="AF5167" s="17"/>
      <c r="AG5167" s="17"/>
      <c r="AH5167" s="17"/>
      <c r="AI5167" s="17"/>
      <c r="AJ5167" s="17"/>
      <c r="AK5167" s="17"/>
      <c r="AL5167" s="17"/>
      <c r="AM5167" s="17"/>
      <c r="AN5167" s="17"/>
      <c r="AO5167" s="17"/>
      <c r="AP5167" s="17"/>
      <c r="AQ5167" s="17"/>
      <c r="AR5167" s="17"/>
    </row>
    <row r="5168" s="21" customFormat="1" hidden="1" spans="1:44">
      <c r="A5168" s="17" t="s">
        <v>34</v>
      </c>
      <c r="B5168" s="19">
        <v>983</v>
      </c>
      <c r="C5168" s="183">
        <v>45331</v>
      </c>
      <c r="D5168" s="17" t="s">
        <v>432</v>
      </c>
      <c r="E5168" s="17" t="s">
        <v>433</v>
      </c>
      <c r="F5168" s="17" t="s">
        <v>434</v>
      </c>
      <c r="G5168" s="17"/>
      <c r="H5168" s="124">
        <v>1.2738</v>
      </c>
      <c r="I5168" s="124"/>
      <c r="J5168" s="17" t="s">
        <v>82</v>
      </c>
      <c r="K5168" s="188">
        <v>950</v>
      </c>
      <c r="L5168" s="188">
        <v>150</v>
      </c>
      <c r="M5168" s="188">
        <v>1665</v>
      </c>
      <c r="N5168" s="19" t="s">
        <v>66</v>
      </c>
      <c r="O5168" s="19" t="s">
        <v>98</v>
      </c>
      <c r="P5168" s="19">
        <v>2095</v>
      </c>
      <c r="Q5168" s="19">
        <v>2095</v>
      </c>
      <c r="R5168" s="19">
        <f t="shared" si="241"/>
        <v>0</v>
      </c>
      <c r="S5168" s="19">
        <v>1100</v>
      </c>
      <c r="T5168" s="19" t="s">
        <v>94</v>
      </c>
      <c r="U5168" s="102" t="s">
        <v>1396</v>
      </c>
      <c r="V5168" s="101">
        <v>45331</v>
      </c>
      <c r="W5168" s="17" t="s">
        <v>58</v>
      </c>
      <c r="X5168" s="17"/>
      <c r="Y5168" s="68">
        <v>45352</v>
      </c>
      <c r="Z5168" s="17" t="s">
        <v>551</v>
      </c>
      <c r="AA5168" s="17" t="s">
        <v>46</v>
      </c>
      <c r="AB5168" s="17" t="s">
        <v>1397</v>
      </c>
      <c r="AC5168" s="66">
        <v>45351</v>
      </c>
      <c r="AD5168" s="65">
        <v>1529</v>
      </c>
      <c r="AE5168" s="17" t="s">
        <v>48</v>
      </c>
      <c r="AF5168" s="17"/>
      <c r="AG5168" s="17"/>
      <c r="AH5168" s="17"/>
      <c r="AI5168" s="17"/>
      <c r="AJ5168" s="17"/>
      <c r="AK5168" s="17"/>
      <c r="AL5168" s="17"/>
      <c r="AM5168" s="17"/>
      <c r="AN5168" s="17"/>
      <c r="AO5168" s="17"/>
      <c r="AP5168" s="17"/>
      <c r="AQ5168" s="17"/>
      <c r="AR5168" s="17"/>
    </row>
    <row r="5169" s="21" customFormat="1" hidden="1" spans="1:44">
      <c r="A5169" s="17" t="s">
        <v>34</v>
      </c>
      <c r="B5169" s="19">
        <v>983</v>
      </c>
      <c r="C5169" s="183">
        <v>45331</v>
      </c>
      <c r="D5169" s="17" t="s">
        <v>432</v>
      </c>
      <c r="E5169" s="17" t="s">
        <v>433</v>
      </c>
      <c r="F5169" s="17" t="s">
        <v>434</v>
      </c>
      <c r="G5169" s="17"/>
      <c r="H5169" s="124">
        <v>1.2738</v>
      </c>
      <c r="I5169" s="124"/>
      <c r="J5169" s="17" t="s">
        <v>82</v>
      </c>
      <c r="K5169" s="188">
        <v>820</v>
      </c>
      <c r="L5169" s="188">
        <v>180</v>
      </c>
      <c r="M5169" s="188">
        <v>1465</v>
      </c>
      <c r="N5169" s="19" t="s">
        <v>66</v>
      </c>
      <c r="O5169" s="19" t="s">
        <v>98</v>
      </c>
      <c r="P5169" s="19">
        <v>1965</v>
      </c>
      <c r="Q5169" s="19">
        <v>1965</v>
      </c>
      <c r="R5169" s="19">
        <f t="shared" si="241"/>
        <v>0</v>
      </c>
      <c r="S5169" s="19">
        <v>1100</v>
      </c>
      <c r="T5169" s="19" t="s">
        <v>94</v>
      </c>
      <c r="U5169" s="102" t="s">
        <v>1396</v>
      </c>
      <c r="V5169" s="101">
        <v>45331</v>
      </c>
      <c r="W5169" s="17" t="s">
        <v>58</v>
      </c>
      <c r="X5169" s="17"/>
      <c r="Y5169" s="68">
        <v>45352</v>
      </c>
      <c r="Z5169" s="17" t="s">
        <v>551</v>
      </c>
      <c r="AA5169" s="17" t="s">
        <v>46</v>
      </c>
      <c r="AB5169" s="17" t="s">
        <v>1397</v>
      </c>
      <c r="AC5169" s="66">
        <v>45351</v>
      </c>
      <c r="AD5169" s="65">
        <v>1529</v>
      </c>
      <c r="AE5169" s="17" t="s">
        <v>48</v>
      </c>
      <c r="AF5169" s="17"/>
      <c r="AG5169" s="17"/>
      <c r="AH5169" s="17"/>
      <c r="AI5169" s="17"/>
      <c r="AJ5169" s="17"/>
      <c r="AK5169" s="17"/>
      <c r="AL5169" s="17"/>
      <c r="AM5169" s="17"/>
      <c r="AN5169" s="17"/>
      <c r="AO5169" s="17"/>
      <c r="AP5169" s="17"/>
      <c r="AQ5169" s="17"/>
      <c r="AR5169" s="17"/>
    </row>
    <row r="5170" s="21" customFormat="1" hidden="1" spans="1:44">
      <c r="A5170" s="17" t="s">
        <v>34</v>
      </c>
      <c r="B5170" s="19">
        <v>983</v>
      </c>
      <c r="C5170" s="183">
        <v>45331</v>
      </c>
      <c r="D5170" s="17" t="s">
        <v>432</v>
      </c>
      <c r="E5170" s="17" t="s">
        <v>433</v>
      </c>
      <c r="F5170" s="17" t="s">
        <v>434</v>
      </c>
      <c r="G5170" s="17"/>
      <c r="H5170" s="124">
        <v>1.2738</v>
      </c>
      <c r="I5170" s="124"/>
      <c r="J5170" s="17" t="s">
        <v>82</v>
      </c>
      <c r="K5170" s="188" t="s">
        <v>1400</v>
      </c>
      <c r="L5170" s="188" t="s">
        <v>440</v>
      </c>
      <c r="M5170" s="188" t="s">
        <v>1401</v>
      </c>
      <c r="N5170" s="19" t="s">
        <v>66</v>
      </c>
      <c r="O5170" s="19" t="s">
        <v>98</v>
      </c>
      <c r="P5170" s="19">
        <v>2510</v>
      </c>
      <c r="Q5170" s="19">
        <v>2510</v>
      </c>
      <c r="R5170" s="19">
        <f t="shared" si="241"/>
        <v>0</v>
      </c>
      <c r="S5170" s="19">
        <v>1100</v>
      </c>
      <c r="T5170" s="19" t="s">
        <v>94</v>
      </c>
      <c r="U5170" s="102" t="s">
        <v>1396</v>
      </c>
      <c r="V5170" s="101">
        <v>45331</v>
      </c>
      <c r="W5170" s="17" t="s">
        <v>58</v>
      </c>
      <c r="X5170" s="17"/>
      <c r="Y5170" s="68">
        <v>45352</v>
      </c>
      <c r="Z5170" s="17" t="s">
        <v>551</v>
      </c>
      <c r="AA5170" s="17" t="s">
        <v>46</v>
      </c>
      <c r="AB5170" s="17" t="s">
        <v>1397</v>
      </c>
      <c r="AC5170" s="66">
        <v>45351</v>
      </c>
      <c r="AD5170" s="65">
        <v>1529</v>
      </c>
      <c r="AE5170" s="17" t="s">
        <v>48</v>
      </c>
      <c r="AF5170" s="17"/>
      <c r="AG5170" s="17"/>
      <c r="AH5170" s="17"/>
      <c r="AI5170" s="17"/>
      <c r="AJ5170" s="17"/>
      <c r="AK5170" s="17"/>
      <c r="AL5170" s="17"/>
      <c r="AM5170" s="17"/>
      <c r="AN5170" s="17"/>
      <c r="AO5170" s="17"/>
      <c r="AP5170" s="17"/>
      <c r="AQ5170" s="17"/>
      <c r="AR5170" s="17"/>
    </row>
    <row r="5171" s="21" customFormat="1" hidden="1" spans="1:44">
      <c r="A5171" s="17" t="s">
        <v>34</v>
      </c>
      <c r="B5171" s="19">
        <v>983</v>
      </c>
      <c r="C5171" s="183">
        <v>45331</v>
      </c>
      <c r="D5171" s="17" t="s">
        <v>432</v>
      </c>
      <c r="E5171" s="17" t="s">
        <v>433</v>
      </c>
      <c r="F5171" s="17" t="s">
        <v>434</v>
      </c>
      <c r="G5171" s="17"/>
      <c r="H5171" s="124">
        <v>1.2738</v>
      </c>
      <c r="I5171" s="124"/>
      <c r="J5171" s="17" t="s">
        <v>82</v>
      </c>
      <c r="K5171" s="188">
        <v>960</v>
      </c>
      <c r="L5171" s="188">
        <v>210</v>
      </c>
      <c r="M5171" s="188">
        <v>1510</v>
      </c>
      <c r="N5171" s="19" t="s">
        <v>66</v>
      </c>
      <c r="O5171" s="19" t="s">
        <v>98</v>
      </c>
      <c r="P5171" s="19">
        <v>1975</v>
      </c>
      <c r="Q5171" s="19">
        <v>1975</v>
      </c>
      <c r="R5171" s="19">
        <f t="shared" ref="R5171:R5197" si="242">+P5171-Q5171</f>
        <v>0</v>
      </c>
      <c r="S5171" s="19">
        <v>1100</v>
      </c>
      <c r="T5171" s="19" t="s">
        <v>94</v>
      </c>
      <c r="U5171" s="102" t="s">
        <v>1396</v>
      </c>
      <c r="V5171" s="101">
        <v>45331</v>
      </c>
      <c r="W5171" s="17" t="s">
        <v>58</v>
      </c>
      <c r="X5171" s="17"/>
      <c r="Y5171" s="68">
        <v>45352</v>
      </c>
      <c r="Z5171" s="17" t="s">
        <v>551</v>
      </c>
      <c r="AA5171" s="17" t="s">
        <v>46</v>
      </c>
      <c r="AB5171" s="17" t="s">
        <v>1397</v>
      </c>
      <c r="AC5171" s="66">
        <v>45351</v>
      </c>
      <c r="AD5171" s="65">
        <v>1529</v>
      </c>
      <c r="AE5171" s="17" t="s">
        <v>48</v>
      </c>
      <c r="AF5171" s="17"/>
      <c r="AG5171" s="17"/>
      <c r="AH5171" s="17"/>
      <c r="AI5171" s="17"/>
      <c r="AJ5171" s="17"/>
      <c r="AK5171" s="17"/>
      <c r="AL5171" s="17"/>
      <c r="AM5171" s="17"/>
      <c r="AN5171" s="17"/>
      <c r="AO5171" s="17"/>
      <c r="AP5171" s="17"/>
      <c r="AQ5171" s="17"/>
      <c r="AR5171" s="17"/>
    </row>
    <row r="5172" s="21" customFormat="1" hidden="1" spans="1:44">
      <c r="A5172" s="17" t="s">
        <v>34</v>
      </c>
      <c r="B5172" s="19">
        <v>983</v>
      </c>
      <c r="C5172" s="183">
        <v>45331</v>
      </c>
      <c r="D5172" s="17" t="s">
        <v>432</v>
      </c>
      <c r="E5172" s="17" t="s">
        <v>433</v>
      </c>
      <c r="F5172" s="17" t="s">
        <v>434</v>
      </c>
      <c r="G5172" s="17"/>
      <c r="H5172" s="124">
        <v>1.2738</v>
      </c>
      <c r="I5172" s="124"/>
      <c r="J5172" s="17" t="s">
        <v>82</v>
      </c>
      <c r="K5172" s="188">
        <v>955</v>
      </c>
      <c r="L5172" s="188">
        <v>240</v>
      </c>
      <c r="M5172" s="188">
        <v>1245</v>
      </c>
      <c r="N5172" s="19" t="s">
        <v>66</v>
      </c>
      <c r="O5172" s="19" t="s">
        <v>98</v>
      </c>
      <c r="P5172" s="19">
        <v>2260</v>
      </c>
      <c r="Q5172" s="19">
        <v>2260</v>
      </c>
      <c r="R5172" s="19">
        <f t="shared" si="242"/>
        <v>0</v>
      </c>
      <c r="S5172" s="19">
        <v>1100</v>
      </c>
      <c r="T5172" s="19" t="s">
        <v>94</v>
      </c>
      <c r="U5172" s="102" t="s">
        <v>1396</v>
      </c>
      <c r="V5172" s="101">
        <v>45331</v>
      </c>
      <c r="W5172" s="17" t="s">
        <v>58</v>
      </c>
      <c r="X5172" s="17"/>
      <c r="Y5172" s="68">
        <v>45352</v>
      </c>
      <c r="Z5172" s="17" t="s">
        <v>551</v>
      </c>
      <c r="AA5172" s="17" t="s">
        <v>46</v>
      </c>
      <c r="AB5172" s="17" t="s">
        <v>1402</v>
      </c>
      <c r="AC5172" s="66">
        <v>45351</v>
      </c>
      <c r="AD5172" s="65">
        <v>1529</v>
      </c>
      <c r="AE5172" s="17" t="s">
        <v>48</v>
      </c>
      <c r="AF5172" s="17"/>
      <c r="AG5172" s="17"/>
      <c r="AH5172" s="17"/>
      <c r="AI5172" s="17"/>
      <c r="AJ5172" s="17"/>
      <c r="AK5172" s="17"/>
      <c r="AL5172" s="17"/>
      <c r="AM5172" s="17"/>
      <c r="AN5172" s="17"/>
      <c r="AO5172" s="17"/>
      <c r="AP5172" s="17"/>
      <c r="AQ5172" s="17"/>
      <c r="AR5172" s="17"/>
    </row>
    <row r="5173" s="21" customFormat="1" hidden="1" spans="1:44">
      <c r="A5173" s="17" t="s">
        <v>34</v>
      </c>
      <c r="B5173" s="19">
        <v>983</v>
      </c>
      <c r="C5173" s="183">
        <v>45331</v>
      </c>
      <c r="D5173" s="17" t="s">
        <v>432</v>
      </c>
      <c r="E5173" s="17" t="s">
        <v>433</v>
      </c>
      <c r="F5173" s="17" t="s">
        <v>434</v>
      </c>
      <c r="G5173" s="17"/>
      <c r="H5173" s="124">
        <v>1.2738</v>
      </c>
      <c r="I5173" s="124"/>
      <c r="J5173" s="17" t="s">
        <v>82</v>
      </c>
      <c r="K5173" s="188">
        <v>960</v>
      </c>
      <c r="L5173" s="188">
        <v>275</v>
      </c>
      <c r="M5173" s="188">
        <v>1055</v>
      </c>
      <c r="N5173" s="19" t="s">
        <v>66</v>
      </c>
      <c r="O5173" s="19" t="s">
        <v>98</v>
      </c>
      <c r="P5173" s="19">
        <v>2225</v>
      </c>
      <c r="Q5173" s="19">
        <v>2225</v>
      </c>
      <c r="R5173" s="19">
        <f t="shared" si="242"/>
        <v>0</v>
      </c>
      <c r="S5173" s="19">
        <v>1100</v>
      </c>
      <c r="T5173" s="19" t="s">
        <v>94</v>
      </c>
      <c r="U5173" s="102" t="s">
        <v>1396</v>
      </c>
      <c r="V5173" s="101">
        <v>45331</v>
      </c>
      <c r="W5173" s="17" t="s">
        <v>58</v>
      </c>
      <c r="X5173" s="17"/>
      <c r="Y5173" s="68">
        <v>45352</v>
      </c>
      <c r="Z5173" s="17" t="s">
        <v>551</v>
      </c>
      <c r="AA5173" s="17" t="s">
        <v>46</v>
      </c>
      <c r="AB5173" s="17" t="s">
        <v>1402</v>
      </c>
      <c r="AC5173" s="66">
        <v>45351</v>
      </c>
      <c r="AD5173" s="65">
        <v>1529</v>
      </c>
      <c r="AE5173" s="17" t="s">
        <v>48</v>
      </c>
      <c r="AF5173" s="17"/>
      <c r="AG5173" s="17"/>
      <c r="AH5173" s="17"/>
      <c r="AI5173" s="17"/>
      <c r="AJ5173" s="17"/>
      <c r="AK5173" s="17"/>
      <c r="AL5173" s="17"/>
      <c r="AM5173" s="17"/>
      <c r="AN5173" s="17"/>
      <c r="AO5173" s="17"/>
      <c r="AP5173" s="17"/>
      <c r="AQ5173" s="17"/>
      <c r="AR5173" s="17"/>
    </row>
    <row r="5174" s="21" customFormat="1" hidden="1" spans="1:44">
      <c r="A5174" s="17" t="s">
        <v>34</v>
      </c>
      <c r="B5174" s="19">
        <v>984</v>
      </c>
      <c r="C5174" s="183">
        <v>45331</v>
      </c>
      <c r="D5174" s="17" t="s">
        <v>432</v>
      </c>
      <c r="E5174" s="17" t="s">
        <v>433</v>
      </c>
      <c r="F5174" s="17" t="s">
        <v>434</v>
      </c>
      <c r="G5174" s="17"/>
      <c r="H5174" s="141" t="s">
        <v>1403</v>
      </c>
      <c r="I5174" s="141"/>
      <c r="J5174" s="17" t="s">
        <v>82</v>
      </c>
      <c r="K5174" s="188">
        <v>890</v>
      </c>
      <c r="L5174" s="188">
        <v>100</v>
      </c>
      <c r="M5174" s="188">
        <v>2000</v>
      </c>
      <c r="N5174" s="19" t="s">
        <v>66</v>
      </c>
      <c r="O5174" s="19" t="s">
        <v>98</v>
      </c>
      <c r="P5174" s="238">
        <v>1505</v>
      </c>
      <c r="Q5174" s="19">
        <v>1505</v>
      </c>
      <c r="R5174" s="19">
        <f t="shared" si="242"/>
        <v>0</v>
      </c>
      <c r="S5174" s="19">
        <v>1200</v>
      </c>
      <c r="T5174" s="19" t="s">
        <v>94</v>
      </c>
      <c r="U5174" s="102" t="s">
        <v>1404</v>
      </c>
      <c r="V5174" s="101">
        <v>45331</v>
      </c>
      <c r="W5174" s="17" t="s">
        <v>58</v>
      </c>
      <c r="X5174" s="17"/>
      <c r="Y5174" s="68">
        <v>45352</v>
      </c>
      <c r="Z5174" s="17" t="s">
        <v>551</v>
      </c>
      <c r="AA5174" s="17" t="s">
        <v>46</v>
      </c>
      <c r="AB5174" s="17" t="s">
        <v>1402</v>
      </c>
      <c r="AC5174" s="66">
        <v>45351</v>
      </c>
      <c r="AD5174" s="65">
        <v>1529</v>
      </c>
      <c r="AE5174" s="17" t="s">
        <v>48</v>
      </c>
      <c r="AF5174" s="17"/>
      <c r="AG5174" s="17"/>
      <c r="AH5174" s="17"/>
      <c r="AI5174" s="17"/>
      <c r="AJ5174" s="17"/>
      <c r="AK5174" s="17"/>
      <c r="AL5174" s="17"/>
      <c r="AM5174" s="17"/>
      <c r="AN5174" s="17"/>
      <c r="AO5174" s="17"/>
      <c r="AP5174" s="17"/>
      <c r="AQ5174" s="17"/>
      <c r="AR5174" s="17"/>
    </row>
    <row r="5175" s="21" customFormat="1" hidden="1" spans="1:44">
      <c r="A5175" s="17" t="s">
        <v>34</v>
      </c>
      <c r="B5175" s="19">
        <v>984</v>
      </c>
      <c r="C5175" s="183">
        <v>45331</v>
      </c>
      <c r="D5175" s="17" t="s">
        <v>432</v>
      </c>
      <c r="E5175" s="17" t="s">
        <v>433</v>
      </c>
      <c r="F5175" s="17" t="s">
        <v>434</v>
      </c>
      <c r="G5175" s="17"/>
      <c r="H5175" s="141" t="s">
        <v>1403</v>
      </c>
      <c r="I5175" s="141"/>
      <c r="J5175" s="17" t="s">
        <v>82</v>
      </c>
      <c r="K5175" s="188">
        <v>970</v>
      </c>
      <c r="L5175" s="188">
        <v>100</v>
      </c>
      <c r="M5175" s="188">
        <v>1010</v>
      </c>
      <c r="N5175" s="19" t="s">
        <v>66</v>
      </c>
      <c r="O5175" s="19" t="s">
        <v>98</v>
      </c>
      <c r="P5175" s="188">
        <v>838</v>
      </c>
      <c r="Q5175" s="19">
        <v>838</v>
      </c>
      <c r="R5175" s="19">
        <f t="shared" si="242"/>
        <v>0</v>
      </c>
      <c r="S5175" s="19">
        <v>1200</v>
      </c>
      <c r="T5175" s="19" t="s">
        <v>94</v>
      </c>
      <c r="U5175" s="102" t="s">
        <v>1404</v>
      </c>
      <c r="V5175" s="101">
        <v>45331</v>
      </c>
      <c r="W5175" s="17" t="s">
        <v>58</v>
      </c>
      <c r="X5175" s="17"/>
      <c r="Y5175" s="68">
        <v>45352</v>
      </c>
      <c r="Z5175" s="17" t="s">
        <v>551</v>
      </c>
      <c r="AA5175" s="17" t="s">
        <v>46</v>
      </c>
      <c r="AB5175" s="17" t="s">
        <v>1402</v>
      </c>
      <c r="AC5175" s="66">
        <v>45351</v>
      </c>
      <c r="AD5175" s="65">
        <v>1529</v>
      </c>
      <c r="AE5175" s="17" t="s">
        <v>48</v>
      </c>
      <c r="AF5175" s="17"/>
      <c r="AG5175" s="17"/>
      <c r="AH5175" s="17"/>
      <c r="AI5175" s="17"/>
      <c r="AJ5175" s="17"/>
      <c r="AK5175" s="17"/>
      <c r="AL5175" s="17"/>
      <c r="AM5175" s="17"/>
      <c r="AN5175" s="17"/>
      <c r="AO5175" s="17"/>
      <c r="AP5175" s="17"/>
      <c r="AQ5175" s="17"/>
      <c r="AR5175" s="17"/>
    </row>
    <row r="5176" s="21" customFormat="1" hidden="1" spans="1:44">
      <c r="A5176" s="17" t="s">
        <v>34</v>
      </c>
      <c r="B5176" s="19">
        <v>984</v>
      </c>
      <c r="C5176" s="183">
        <v>45331</v>
      </c>
      <c r="D5176" s="17" t="s">
        <v>432</v>
      </c>
      <c r="E5176" s="17" t="s">
        <v>433</v>
      </c>
      <c r="F5176" s="17" t="s">
        <v>434</v>
      </c>
      <c r="G5176" s="17"/>
      <c r="H5176" s="141" t="s">
        <v>1403</v>
      </c>
      <c r="I5176" s="141"/>
      <c r="J5176" s="17" t="s">
        <v>82</v>
      </c>
      <c r="K5176" s="188">
        <v>895</v>
      </c>
      <c r="L5176" s="188">
        <v>115</v>
      </c>
      <c r="M5176" s="188">
        <v>1485</v>
      </c>
      <c r="N5176" s="19" t="s">
        <v>66</v>
      </c>
      <c r="O5176" s="19" t="s">
        <v>98</v>
      </c>
      <c r="P5176" s="188">
        <v>1280</v>
      </c>
      <c r="Q5176" s="19">
        <v>1280</v>
      </c>
      <c r="R5176" s="19">
        <f t="shared" si="242"/>
        <v>0</v>
      </c>
      <c r="S5176" s="19">
        <v>1200</v>
      </c>
      <c r="T5176" s="19" t="s">
        <v>94</v>
      </c>
      <c r="U5176" s="102" t="s">
        <v>1404</v>
      </c>
      <c r="V5176" s="101">
        <v>45331</v>
      </c>
      <c r="W5176" s="17" t="s">
        <v>58</v>
      </c>
      <c r="X5176" s="17"/>
      <c r="Y5176" s="68">
        <v>45352</v>
      </c>
      <c r="Z5176" s="17" t="s">
        <v>551</v>
      </c>
      <c r="AA5176" s="17" t="s">
        <v>46</v>
      </c>
      <c r="AB5176" s="17" t="s">
        <v>1402</v>
      </c>
      <c r="AC5176" s="66">
        <v>45351</v>
      </c>
      <c r="AD5176" s="65">
        <v>1529</v>
      </c>
      <c r="AE5176" s="17" t="s">
        <v>48</v>
      </c>
      <c r="AF5176" s="17"/>
      <c r="AG5176" s="17"/>
      <c r="AH5176" s="17"/>
      <c r="AI5176" s="17"/>
      <c r="AJ5176" s="17"/>
      <c r="AK5176" s="17"/>
      <c r="AL5176" s="17"/>
      <c r="AM5176" s="17"/>
      <c r="AN5176" s="17"/>
      <c r="AO5176" s="17"/>
      <c r="AP5176" s="17"/>
      <c r="AQ5176" s="17"/>
      <c r="AR5176" s="17"/>
    </row>
    <row r="5177" s="21" customFormat="1" hidden="1" spans="1:44">
      <c r="A5177" s="17" t="s">
        <v>34</v>
      </c>
      <c r="B5177" s="19">
        <v>984</v>
      </c>
      <c r="C5177" s="183">
        <v>45331</v>
      </c>
      <c r="D5177" s="17" t="s">
        <v>432</v>
      </c>
      <c r="E5177" s="17" t="s">
        <v>433</v>
      </c>
      <c r="F5177" s="17" t="s">
        <v>434</v>
      </c>
      <c r="G5177" s="17"/>
      <c r="H5177" s="141" t="s">
        <v>1403</v>
      </c>
      <c r="I5177" s="141"/>
      <c r="J5177" s="17" t="s">
        <v>82</v>
      </c>
      <c r="K5177" s="188">
        <v>740</v>
      </c>
      <c r="L5177" s="188">
        <v>130</v>
      </c>
      <c r="M5177" s="188">
        <v>1920</v>
      </c>
      <c r="N5177" s="19" t="s">
        <v>66</v>
      </c>
      <c r="O5177" s="19" t="s">
        <v>98</v>
      </c>
      <c r="P5177" s="188">
        <v>1755</v>
      </c>
      <c r="Q5177" s="19">
        <v>1755</v>
      </c>
      <c r="R5177" s="19">
        <f t="shared" si="242"/>
        <v>0</v>
      </c>
      <c r="S5177" s="19">
        <v>1200</v>
      </c>
      <c r="T5177" s="19" t="s">
        <v>94</v>
      </c>
      <c r="U5177" s="102" t="s">
        <v>1404</v>
      </c>
      <c r="V5177" s="101">
        <v>45331</v>
      </c>
      <c r="W5177" s="17" t="s">
        <v>58</v>
      </c>
      <c r="X5177" s="17"/>
      <c r="Y5177" s="68">
        <v>45352</v>
      </c>
      <c r="Z5177" s="17" t="s">
        <v>551</v>
      </c>
      <c r="AA5177" s="17" t="s">
        <v>46</v>
      </c>
      <c r="AB5177" s="17" t="s">
        <v>1402</v>
      </c>
      <c r="AC5177" s="66">
        <v>45351</v>
      </c>
      <c r="AD5177" s="65">
        <v>1529</v>
      </c>
      <c r="AE5177" s="17" t="s">
        <v>48</v>
      </c>
      <c r="AF5177" s="17"/>
      <c r="AG5177" s="17"/>
      <c r="AH5177" s="17"/>
      <c r="AI5177" s="17"/>
      <c r="AJ5177" s="17"/>
      <c r="AK5177" s="17"/>
      <c r="AL5177" s="17"/>
      <c r="AM5177" s="17"/>
      <c r="AN5177" s="17"/>
      <c r="AO5177" s="17"/>
      <c r="AP5177" s="17"/>
      <c r="AQ5177" s="17"/>
      <c r="AR5177" s="17"/>
    </row>
    <row r="5178" s="21" customFormat="1" hidden="1" spans="1:44">
      <c r="A5178" s="17" t="s">
        <v>34</v>
      </c>
      <c r="B5178" s="19">
        <v>984</v>
      </c>
      <c r="C5178" s="183">
        <v>45331</v>
      </c>
      <c r="D5178" s="17" t="s">
        <v>432</v>
      </c>
      <c r="E5178" s="17" t="s">
        <v>433</v>
      </c>
      <c r="F5178" s="17" t="s">
        <v>434</v>
      </c>
      <c r="G5178" s="17"/>
      <c r="H5178" s="141" t="s">
        <v>1403</v>
      </c>
      <c r="I5178" s="141"/>
      <c r="J5178" s="17" t="s">
        <v>82</v>
      </c>
      <c r="K5178" s="188">
        <v>910</v>
      </c>
      <c r="L5178" s="188">
        <v>130</v>
      </c>
      <c r="M5178" s="188">
        <v>1060</v>
      </c>
      <c r="N5178" s="19" t="s">
        <v>66</v>
      </c>
      <c r="O5178" s="19" t="s">
        <v>98</v>
      </c>
      <c r="P5178" s="188">
        <v>1150</v>
      </c>
      <c r="Q5178" s="19">
        <v>1150</v>
      </c>
      <c r="R5178" s="19">
        <f t="shared" si="242"/>
        <v>0</v>
      </c>
      <c r="S5178" s="19">
        <v>1200</v>
      </c>
      <c r="T5178" s="19" t="s">
        <v>94</v>
      </c>
      <c r="U5178" s="102" t="s">
        <v>1404</v>
      </c>
      <c r="V5178" s="101">
        <v>45331</v>
      </c>
      <c r="W5178" s="17" t="s">
        <v>58</v>
      </c>
      <c r="X5178" s="17"/>
      <c r="Y5178" s="68">
        <v>45352</v>
      </c>
      <c r="Z5178" s="17" t="s">
        <v>551</v>
      </c>
      <c r="AA5178" s="17" t="s">
        <v>46</v>
      </c>
      <c r="AB5178" s="17" t="s">
        <v>1402</v>
      </c>
      <c r="AC5178" s="66">
        <v>45351</v>
      </c>
      <c r="AD5178" s="65">
        <v>1529</v>
      </c>
      <c r="AE5178" s="17" t="s">
        <v>48</v>
      </c>
      <c r="AF5178" s="17"/>
      <c r="AG5178" s="17"/>
      <c r="AH5178" s="17"/>
      <c r="AI5178" s="17"/>
      <c r="AJ5178" s="17"/>
      <c r="AK5178" s="17"/>
      <c r="AL5178" s="17"/>
      <c r="AM5178" s="17"/>
      <c r="AN5178" s="17"/>
      <c r="AO5178" s="17"/>
      <c r="AP5178" s="17"/>
      <c r="AQ5178" s="17"/>
      <c r="AR5178" s="17"/>
    </row>
    <row r="5179" s="21" customFormat="1" hidden="1" spans="1:44">
      <c r="A5179" s="17" t="s">
        <v>34</v>
      </c>
      <c r="B5179" s="19">
        <v>984</v>
      </c>
      <c r="C5179" s="183">
        <v>45331</v>
      </c>
      <c r="D5179" s="17" t="s">
        <v>432</v>
      </c>
      <c r="E5179" s="17" t="s">
        <v>433</v>
      </c>
      <c r="F5179" s="17" t="s">
        <v>434</v>
      </c>
      <c r="G5179" s="17"/>
      <c r="H5179" s="141" t="s">
        <v>1403</v>
      </c>
      <c r="I5179" s="141"/>
      <c r="J5179" s="17" t="s">
        <v>82</v>
      </c>
      <c r="K5179" s="188">
        <v>990</v>
      </c>
      <c r="L5179" s="188">
        <v>140</v>
      </c>
      <c r="M5179" s="188">
        <v>1120</v>
      </c>
      <c r="N5179" s="19" t="s">
        <v>66</v>
      </c>
      <c r="O5179" s="19" t="s">
        <v>98</v>
      </c>
      <c r="P5179" s="188">
        <v>1230</v>
      </c>
      <c r="Q5179" s="19">
        <v>1230</v>
      </c>
      <c r="R5179" s="19">
        <f t="shared" si="242"/>
        <v>0</v>
      </c>
      <c r="S5179" s="19">
        <v>1200</v>
      </c>
      <c r="T5179" s="19" t="s">
        <v>94</v>
      </c>
      <c r="U5179" s="102" t="s">
        <v>1404</v>
      </c>
      <c r="V5179" s="101">
        <v>45331</v>
      </c>
      <c r="W5179" s="17" t="s">
        <v>58</v>
      </c>
      <c r="X5179" s="17"/>
      <c r="Y5179" s="68">
        <v>45352</v>
      </c>
      <c r="Z5179" s="17" t="s">
        <v>551</v>
      </c>
      <c r="AA5179" s="17" t="s">
        <v>46</v>
      </c>
      <c r="AB5179" s="17" t="s">
        <v>1402</v>
      </c>
      <c r="AC5179" s="66">
        <v>45351</v>
      </c>
      <c r="AD5179" s="65">
        <v>1529</v>
      </c>
      <c r="AE5179" s="17" t="s">
        <v>48</v>
      </c>
      <c r="AF5179" s="17"/>
      <c r="AG5179" s="17"/>
      <c r="AH5179" s="17"/>
      <c r="AI5179" s="17"/>
      <c r="AJ5179" s="17"/>
      <c r="AK5179" s="17"/>
      <c r="AL5179" s="17"/>
      <c r="AM5179" s="17"/>
      <c r="AN5179" s="17"/>
      <c r="AO5179" s="17"/>
      <c r="AP5179" s="17"/>
      <c r="AQ5179" s="17"/>
      <c r="AR5179" s="17"/>
    </row>
    <row r="5180" s="21" customFormat="1" hidden="1" spans="1:44">
      <c r="A5180" s="17" t="s">
        <v>34</v>
      </c>
      <c r="B5180" s="19">
        <v>984</v>
      </c>
      <c r="C5180" s="183">
        <v>45331</v>
      </c>
      <c r="D5180" s="17" t="s">
        <v>432</v>
      </c>
      <c r="E5180" s="17" t="s">
        <v>433</v>
      </c>
      <c r="F5180" s="17" t="s">
        <v>434</v>
      </c>
      <c r="G5180" s="17"/>
      <c r="H5180" s="141" t="s">
        <v>1403</v>
      </c>
      <c r="I5180" s="141"/>
      <c r="J5180" s="17" t="s">
        <v>82</v>
      </c>
      <c r="K5180" s="188">
        <v>905</v>
      </c>
      <c r="L5180" s="188">
        <v>140</v>
      </c>
      <c r="M5180" s="188">
        <v>1085</v>
      </c>
      <c r="N5180" s="19" t="s">
        <v>66</v>
      </c>
      <c r="O5180" s="19" t="s">
        <v>98</v>
      </c>
      <c r="P5180" s="188">
        <v>1120</v>
      </c>
      <c r="Q5180" s="19">
        <v>1120</v>
      </c>
      <c r="R5180" s="19">
        <f t="shared" si="242"/>
        <v>0</v>
      </c>
      <c r="S5180" s="19">
        <v>1200</v>
      </c>
      <c r="T5180" s="19" t="s">
        <v>94</v>
      </c>
      <c r="U5180" s="102" t="s">
        <v>1404</v>
      </c>
      <c r="V5180" s="101">
        <v>45331</v>
      </c>
      <c r="W5180" s="17" t="s">
        <v>58</v>
      </c>
      <c r="X5180" s="17"/>
      <c r="Y5180" s="68">
        <v>45352</v>
      </c>
      <c r="Z5180" s="17" t="s">
        <v>551</v>
      </c>
      <c r="AA5180" s="17" t="s">
        <v>46</v>
      </c>
      <c r="AB5180" s="17" t="s">
        <v>1402</v>
      </c>
      <c r="AC5180" s="66">
        <v>45351</v>
      </c>
      <c r="AD5180" s="65">
        <v>1529</v>
      </c>
      <c r="AE5180" s="17" t="s">
        <v>48</v>
      </c>
      <c r="AF5180" s="17"/>
      <c r="AG5180" s="17"/>
      <c r="AH5180" s="17"/>
      <c r="AI5180" s="17"/>
      <c r="AJ5180" s="17"/>
      <c r="AK5180" s="17"/>
      <c r="AL5180" s="17"/>
      <c r="AM5180" s="17"/>
      <c r="AN5180" s="17"/>
      <c r="AO5180" s="17"/>
      <c r="AP5180" s="17"/>
      <c r="AQ5180" s="17"/>
      <c r="AR5180" s="17"/>
    </row>
    <row r="5181" s="21" customFormat="1" hidden="1" spans="1:44">
      <c r="A5181" s="17" t="s">
        <v>34</v>
      </c>
      <c r="B5181" s="19">
        <v>984</v>
      </c>
      <c r="C5181" s="183">
        <v>45331</v>
      </c>
      <c r="D5181" s="17" t="s">
        <v>432</v>
      </c>
      <c r="E5181" s="17" t="s">
        <v>433</v>
      </c>
      <c r="F5181" s="17" t="s">
        <v>434</v>
      </c>
      <c r="G5181" s="17"/>
      <c r="H5181" s="141" t="s">
        <v>1403</v>
      </c>
      <c r="I5181" s="141"/>
      <c r="J5181" s="17" t="s">
        <v>82</v>
      </c>
      <c r="K5181" s="188">
        <v>975</v>
      </c>
      <c r="L5181" s="188">
        <v>160</v>
      </c>
      <c r="M5181" s="188">
        <v>1230</v>
      </c>
      <c r="N5181" s="19" t="s">
        <v>66</v>
      </c>
      <c r="O5181" s="19" t="s">
        <v>98</v>
      </c>
      <c r="P5181" s="188">
        <v>1545</v>
      </c>
      <c r="Q5181" s="19">
        <v>1545</v>
      </c>
      <c r="R5181" s="19">
        <f t="shared" si="242"/>
        <v>0</v>
      </c>
      <c r="S5181" s="19">
        <v>1200</v>
      </c>
      <c r="T5181" s="19" t="s">
        <v>94</v>
      </c>
      <c r="U5181" s="102" t="s">
        <v>1404</v>
      </c>
      <c r="V5181" s="101">
        <v>45331</v>
      </c>
      <c r="W5181" s="17" t="s">
        <v>58</v>
      </c>
      <c r="X5181" s="17"/>
      <c r="Y5181" s="68">
        <v>45352</v>
      </c>
      <c r="Z5181" s="17" t="s">
        <v>551</v>
      </c>
      <c r="AA5181" s="17" t="s">
        <v>46</v>
      </c>
      <c r="AB5181" s="17" t="s">
        <v>1402</v>
      </c>
      <c r="AC5181" s="66">
        <v>45351</v>
      </c>
      <c r="AD5181" s="65">
        <v>1529</v>
      </c>
      <c r="AE5181" s="17" t="s">
        <v>48</v>
      </c>
      <c r="AF5181" s="17"/>
      <c r="AG5181" s="17"/>
      <c r="AH5181" s="17"/>
      <c r="AI5181" s="17"/>
      <c r="AJ5181" s="17"/>
      <c r="AK5181" s="17"/>
      <c r="AL5181" s="17"/>
      <c r="AM5181" s="17"/>
      <c r="AN5181" s="17"/>
      <c r="AO5181" s="17"/>
      <c r="AP5181" s="17"/>
      <c r="AQ5181" s="17"/>
      <c r="AR5181" s="17"/>
    </row>
    <row r="5182" s="21" customFormat="1" hidden="1" spans="1:44">
      <c r="A5182" s="17" t="s">
        <v>34</v>
      </c>
      <c r="B5182" s="19">
        <v>984</v>
      </c>
      <c r="C5182" s="183">
        <v>45331</v>
      </c>
      <c r="D5182" s="17" t="s">
        <v>432</v>
      </c>
      <c r="E5182" s="17" t="s">
        <v>433</v>
      </c>
      <c r="F5182" s="17" t="s">
        <v>434</v>
      </c>
      <c r="G5182" s="17"/>
      <c r="H5182" s="141" t="s">
        <v>1403</v>
      </c>
      <c r="I5182" s="141"/>
      <c r="J5182" s="17" t="s">
        <v>82</v>
      </c>
      <c r="K5182" s="188">
        <v>975</v>
      </c>
      <c r="L5182" s="188">
        <v>160</v>
      </c>
      <c r="M5182" s="188">
        <v>1230</v>
      </c>
      <c r="N5182" s="19" t="s">
        <v>66</v>
      </c>
      <c r="O5182" s="19" t="s">
        <v>98</v>
      </c>
      <c r="P5182" s="188">
        <v>1536</v>
      </c>
      <c r="Q5182" s="19">
        <v>1536</v>
      </c>
      <c r="R5182" s="19">
        <f t="shared" si="242"/>
        <v>0</v>
      </c>
      <c r="S5182" s="19">
        <v>1200</v>
      </c>
      <c r="T5182" s="19" t="s">
        <v>94</v>
      </c>
      <c r="U5182" s="102" t="s">
        <v>1404</v>
      </c>
      <c r="V5182" s="101">
        <v>45331</v>
      </c>
      <c r="W5182" s="17" t="s">
        <v>58</v>
      </c>
      <c r="X5182" s="17"/>
      <c r="Y5182" s="68">
        <v>45352</v>
      </c>
      <c r="Z5182" s="17" t="s">
        <v>551</v>
      </c>
      <c r="AA5182" s="17" t="s">
        <v>46</v>
      </c>
      <c r="AB5182" s="17" t="s">
        <v>1402</v>
      </c>
      <c r="AC5182" s="66">
        <v>45351</v>
      </c>
      <c r="AD5182" s="65">
        <v>1529</v>
      </c>
      <c r="AE5182" s="17" t="s">
        <v>48</v>
      </c>
      <c r="AF5182" s="17"/>
      <c r="AG5182" s="17"/>
      <c r="AH5182" s="17"/>
      <c r="AI5182" s="17"/>
      <c r="AJ5182" s="17"/>
      <c r="AK5182" s="17"/>
      <c r="AL5182" s="17"/>
      <c r="AM5182" s="17"/>
      <c r="AN5182" s="17"/>
      <c r="AO5182" s="17"/>
      <c r="AP5182" s="17"/>
      <c r="AQ5182" s="17"/>
      <c r="AR5182" s="17"/>
    </row>
    <row r="5183" s="21" customFormat="1" hidden="1" spans="1:44">
      <c r="A5183" s="17" t="s">
        <v>34</v>
      </c>
      <c r="B5183" s="19">
        <v>984</v>
      </c>
      <c r="C5183" s="183">
        <v>45331</v>
      </c>
      <c r="D5183" s="17" t="s">
        <v>432</v>
      </c>
      <c r="E5183" s="17" t="s">
        <v>433</v>
      </c>
      <c r="F5183" s="17" t="s">
        <v>434</v>
      </c>
      <c r="G5183" s="17"/>
      <c r="H5183" s="141" t="s">
        <v>1403</v>
      </c>
      <c r="I5183" s="141"/>
      <c r="J5183" s="17" t="s">
        <v>82</v>
      </c>
      <c r="K5183" s="188" t="s">
        <v>1405</v>
      </c>
      <c r="L5183" s="188" t="s">
        <v>510</v>
      </c>
      <c r="M5183" s="188" t="s">
        <v>1406</v>
      </c>
      <c r="N5183" s="19" t="s">
        <v>66</v>
      </c>
      <c r="O5183" s="19" t="s">
        <v>98</v>
      </c>
      <c r="P5183" s="19">
        <v>2010</v>
      </c>
      <c r="Q5183" s="19">
        <v>2010</v>
      </c>
      <c r="R5183" s="19">
        <f t="shared" si="242"/>
        <v>0</v>
      </c>
      <c r="S5183" s="19">
        <v>1200</v>
      </c>
      <c r="T5183" s="19" t="s">
        <v>94</v>
      </c>
      <c r="U5183" s="102" t="s">
        <v>1404</v>
      </c>
      <c r="V5183" s="101">
        <v>45331</v>
      </c>
      <c r="W5183" s="17" t="s">
        <v>58</v>
      </c>
      <c r="X5183" s="17"/>
      <c r="Y5183" s="68">
        <v>45352</v>
      </c>
      <c r="Z5183" s="17" t="s">
        <v>551</v>
      </c>
      <c r="AA5183" s="17" t="s">
        <v>46</v>
      </c>
      <c r="AB5183" s="17" t="s">
        <v>1402</v>
      </c>
      <c r="AC5183" s="66">
        <v>45351</v>
      </c>
      <c r="AD5183" s="65">
        <v>1529</v>
      </c>
      <c r="AE5183" s="17" t="s">
        <v>48</v>
      </c>
      <c r="AF5183" s="17"/>
      <c r="AG5183" s="17"/>
      <c r="AH5183" s="17"/>
      <c r="AI5183" s="17"/>
      <c r="AJ5183" s="17"/>
      <c r="AK5183" s="17"/>
      <c r="AL5183" s="17"/>
      <c r="AM5183" s="17"/>
      <c r="AN5183" s="17"/>
      <c r="AO5183" s="17"/>
      <c r="AP5183" s="17"/>
      <c r="AQ5183" s="17"/>
      <c r="AR5183" s="17"/>
    </row>
    <row r="5184" s="21" customFormat="1" hidden="1" spans="1:44">
      <c r="A5184" s="17" t="s">
        <v>34</v>
      </c>
      <c r="B5184" s="19">
        <v>984</v>
      </c>
      <c r="C5184" s="183">
        <v>45331</v>
      </c>
      <c r="D5184" s="17" t="s">
        <v>432</v>
      </c>
      <c r="E5184" s="17" t="s">
        <v>433</v>
      </c>
      <c r="F5184" s="17" t="s">
        <v>434</v>
      </c>
      <c r="G5184" s="17"/>
      <c r="H5184" s="141" t="s">
        <v>1403</v>
      </c>
      <c r="I5184" s="141"/>
      <c r="J5184" s="17" t="s">
        <v>82</v>
      </c>
      <c r="K5184" s="188">
        <v>985</v>
      </c>
      <c r="L5184" s="188">
        <v>180</v>
      </c>
      <c r="M5184" s="188">
        <v>1115</v>
      </c>
      <c r="N5184" s="19" t="s">
        <v>66</v>
      </c>
      <c r="O5184" s="19" t="s">
        <v>98</v>
      </c>
      <c r="P5184" s="188">
        <v>1595</v>
      </c>
      <c r="Q5184" s="19">
        <v>1595</v>
      </c>
      <c r="R5184" s="19">
        <f t="shared" si="242"/>
        <v>0</v>
      </c>
      <c r="S5184" s="19">
        <v>1200</v>
      </c>
      <c r="T5184" s="19" t="s">
        <v>94</v>
      </c>
      <c r="U5184" s="102" t="s">
        <v>1404</v>
      </c>
      <c r="V5184" s="101">
        <v>45331</v>
      </c>
      <c r="W5184" s="17" t="s">
        <v>58</v>
      </c>
      <c r="X5184" s="17"/>
      <c r="Y5184" s="68">
        <v>45352</v>
      </c>
      <c r="Z5184" s="17" t="s">
        <v>551</v>
      </c>
      <c r="AA5184" s="17" t="s">
        <v>46</v>
      </c>
      <c r="AB5184" s="17" t="s">
        <v>1402</v>
      </c>
      <c r="AC5184" s="66">
        <v>45351</v>
      </c>
      <c r="AD5184" s="65">
        <v>1529</v>
      </c>
      <c r="AE5184" s="17" t="s">
        <v>48</v>
      </c>
      <c r="AF5184" s="17"/>
      <c r="AG5184" s="17"/>
      <c r="AH5184" s="17"/>
      <c r="AI5184" s="17"/>
      <c r="AJ5184" s="17"/>
      <c r="AK5184" s="17"/>
      <c r="AL5184" s="17"/>
      <c r="AM5184" s="17"/>
      <c r="AN5184" s="17"/>
      <c r="AO5184" s="17"/>
      <c r="AP5184" s="17"/>
      <c r="AQ5184" s="17"/>
      <c r="AR5184" s="17"/>
    </row>
    <row r="5185" s="21" customFormat="1" hidden="1" spans="1:44">
      <c r="A5185" s="17" t="s">
        <v>34</v>
      </c>
      <c r="B5185" s="19">
        <v>984</v>
      </c>
      <c r="C5185" s="183">
        <v>45331</v>
      </c>
      <c r="D5185" s="17" t="s">
        <v>432</v>
      </c>
      <c r="E5185" s="17" t="s">
        <v>433</v>
      </c>
      <c r="F5185" s="17" t="s">
        <v>434</v>
      </c>
      <c r="G5185" s="17"/>
      <c r="H5185" s="141" t="s">
        <v>1403</v>
      </c>
      <c r="I5185" s="141"/>
      <c r="J5185" s="17" t="s">
        <v>82</v>
      </c>
      <c r="K5185" s="188">
        <v>720</v>
      </c>
      <c r="L5185" s="188">
        <v>190</v>
      </c>
      <c r="M5185" s="188">
        <v>1800</v>
      </c>
      <c r="N5185" s="19" t="s">
        <v>66</v>
      </c>
      <c r="O5185" s="19" t="s">
        <v>98</v>
      </c>
      <c r="P5185" s="188">
        <v>1985</v>
      </c>
      <c r="Q5185" s="19">
        <v>1985</v>
      </c>
      <c r="R5185" s="19">
        <f t="shared" si="242"/>
        <v>0</v>
      </c>
      <c r="S5185" s="19">
        <v>1200</v>
      </c>
      <c r="T5185" s="19" t="s">
        <v>94</v>
      </c>
      <c r="U5185" s="102" t="s">
        <v>1404</v>
      </c>
      <c r="V5185" s="101">
        <v>45331</v>
      </c>
      <c r="W5185" s="17" t="s">
        <v>58</v>
      </c>
      <c r="X5185" s="17"/>
      <c r="Y5185" s="68">
        <v>45352</v>
      </c>
      <c r="Z5185" s="17" t="s">
        <v>551</v>
      </c>
      <c r="AA5185" s="17" t="s">
        <v>46</v>
      </c>
      <c r="AB5185" s="17" t="s">
        <v>1402</v>
      </c>
      <c r="AC5185" s="66">
        <v>45351</v>
      </c>
      <c r="AD5185" s="65">
        <v>1529</v>
      </c>
      <c r="AE5185" s="17" t="s">
        <v>48</v>
      </c>
      <c r="AF5185" s="17"/>
      <c r="AG5185" s="17"/>
      <c r="AH5185" s="17"/>
      <c r="AI5185" s="17"/>
      <c r="AJ5185" s="17"/>
      <c r="AK5185" s="17"/>
      <c r="AL5185" s="17"/>
      <c r="AM5185" s="17"/>
      <c r="AN5185" s="17"/>
      <c r="AO5185" s="17"/>
      <c r="AP5185" s="17"/>
      <c r="AQ5185" s="17"/>
      <c r="AR5185" s="17"/>
    </row>
    <row r="5186" s="21" customFormat="1" hidden="1" spans="1:44">
      <c r="A5186" s="17" t="s">
        <v>34</v>
      </c>
      <c r="B5186" s="19">
        <v>984</v>
      </c>
      <c r="C5186" s="183">
        <v>45331</v>
      </c>
      <c r="D5186" s="17" t="s">
        <v>432</v>
      </c>
      <c r="E5186" s="17" t="s">
        <v>433</v>
      </c>
      <c r="F5186" s="17" t="s">
        <v>434</v>
      </c>
      <c r="G5186" s="17"/>
      <c r="H5186" s="141" t="s">
        <v>1403</v>
      </c>
      <c r="I5186" s="141"/>
      <c r="J5186" s="17" t="s">
        <v>82</v>
      </c>
      <c r="K5186" s="188" t="s">
        <v>1407</v>
      </c>
      <c r="L5186" s="188" t="s">
        <v>452</v>
      </c>
      <c r="M5186" s="188" t="s">
        <v>1400</v>
      </c>
      <c r="N5186" s="19" t="s">
        <v>66</v>
      </c>
      <c r="O5186" s="19" t="s">
        <v>98</v>
      </c>
      <c r="P5186" s="19">
        <v>1520</v>
      </c>
      <c r="Q5186" s="19">
        <v>1520</v>
      </c>
      <c r="R5186" s="19">
        <f t="shared" si="242"/>
        <v>0</v>
      </c>
      <c r="S5186" s="19">
        <v>1200</v>
      </c>
      <c r="T5186" s="19" t="s">
        <v>94</v>
      </c>
      <c r="U5186" s="102" t="s">
        <v>1404</v>
      </c>
      <c r="V5186" s="101">
        <v>45331</v>
      </c>
      <c r="W5186" s="17" t="s">
        <v>58</v>
      </c>
      <c r="X5186" s="17"/>
      <c r="Y5186" s="68">
        <v>45352</v>
      </c>
      <c r="Z5186" s="17" t="s">
        <v>551</v>
      </c>
      <c r="AA5186" s="17" t="s">
        <v>46</v>
      </c>
      <c r="AB5186" s="17" t="s">
        <v>1402</v>
      </c>
      <c r="AC5186" s="66">
        <v>45351</v>
      </c>
      <c r="AD5186" s="65">
        <v>1529</v>
      </c>
      <c r="AE5186" s="17" t="s">
        <v>48</v>
      </c>
      <c r="AF5186" s="17"/>
      <c r="AG5186" s="17"/>
      <c r="AH5186" s="17"/>
      <c r="AI5186" s="17"/>
      <c r="AJ5186" s="17"/>
      <c r="AK5186" s="17"/>
      <c r="AL5186" s="17"/>
      <c r="AM5186" s="17"/>
      <c r="AN5186" s="17"/>
      <c r="AO5186" s="17"/>
      <c r="AP5186" s="17"/>
      <c r="AQ5186" s="17"/>
      <c r="AR5186" s="17"/>
    </row>
    <row r="5187" s="21" customFormat="1" hidden="1" spans="1:44">
      <c r="A5187" s="17" t="s">
        <v>34</v>
      </c>
      <c r="B5187" s="19">
        <v>984</v>
      </c>
      <c r="C5187" s="183">
        <v>45331</v>
      </c>
      <c r="D5187" s="17" t="s">
        <v>432</v>
      </c>
      <c r="E5187" s="17" t="s">
        <v>433</v>
      </c>
      <c r="F5187" s="17" t="s">
        <v>434</v>
      </c>
      <c r="G5187" s="17"/>
      <c r="H5187" s="141" t="s">
        <v>1403</v>
      </c>
      <c r="I5187" s="141"/>
      <c r="J5187" s="17" t="s">
        <v>82</v>
      </c>
      <c r="K5187" s="188">
        <v>520</v>
      </c>
      <c r="L5187" s="188">
        <v>510</v>
      </c>
      <c r="M5187" s="188">
        <v>1315</v>
      </c>
      <c r="N5187" s="19" t="s">
        <v>66</v>
      </c>
      <c r="O5187" s="19" t="s">
        <v>98</v>
      </c>
      <c r="P5187" s="188">
        <v>2760</v>
      </c>
      <c r="Q5187" s="19">
        <v>2760</v>
      </c>
      <c r="R5187" s="19">
        <f t="shared" si="242"/>
        <v>0</v>
      </c>
      <c r="S5187" s="19">
        <v>1200</v>
      </c>
      <c r="T5187" s="19" t="s">
        <v>94</v>
      </c>
      <c r="U5187" s="102" t="s">
        <v>1404</v>
      </c>
      <c r="V5187" s="101">
        <v>45331</v>
      </c>
      <c r="W5187" s="17" t="s">
        <v>58</v>
      </c>
      <c r="X5187" s="17"/>
      <c r="Y5187" s="68">
        <v>45352</v>
      </c>
      <c r="Z5187" s="17" t="s">
        <v>551</v>
      </c>
      <c r="AA5187" s="17" t="s">
        <v>46</v>
      </c>
      <c r="AB5187" s="17" t="s">
        <v>1402</v>
      </c>
      <c r="AC5187" s="66">
        <v>45351</v>
      </c>
      <c r="AD5187" s="65">
        <v>1529</v>
      </c>
      <c r="AE5187" s="17" t="s">
        <v>48</v>
      </c>
      <c r="AF5187" s="17"/>
      <c r="AG5187" s="17"/>
      <c r="AH5187" s="17"/>
      <c r="AI5187" s="17"/>
      <c r="AJ5187" s="17"/>
      <c r="AK5187" s="17"/>
      <c r="AL5187" s="17"/>
      <c r="AM5187" s="17"/>
      <c r="AN5187" s="17"/>
      <c r="AO5187" s="17"/>
      <c r="AP5187" s="17"/>
      <c r="AQ5187" s="17"/>
      <c r="AR5187" s="17"/>
    </row>
    <row r="5188" s="21" customFormat="1" hidden="1" spans="1:44">
      <c r="A5188" s="17" t="s">
        <v>34</v>
      </c>
      <c r="B5188" s="19">
        <v>985</v>
      </c>
      <c r="C5188" s="183">
        <v>45348</v>
      </c>
      <c r="D5188" s="17" t="s">
        <v>91</v>
      </c>
      <c r="E5188" s="17" t="s">
        <v>550</v>
      </c>
      <c r="F5188" s="17" t="s">
        <v>93</v>
      </c>
      <c r="G5188" s="17"/>
      <c r="H5188" s="124">
        <v>1.2085</v>
      </c>
      <c r="I5188" s="124"/>
      <c r="J5188" s="17" t="s">
        <v>49</v>
      </c>
      <c r="K5188" s="19">
        <v>2000</v>
      </c>
      <c r="L5188" s="91">
        <v>25</v>
      </c>
      <c r="M5188" s="19">
        <v>5800</v>
      </c>
      <c r="N5188" s="19" t="s">
        <v>66</v>
      </c>
      <c r="O5188" s="19" t="s">
        <v>141</v>
      </c>
      <c r="P5188" s="99">
        <v>4640</v>
      </c>
      <c r="Q5188" s="19">
        <v>4645</v>
      </c>
      <c r="R5188" s="19">
        <f t="shared" si="242"/>
        <v>-5</v>
      </c>
      <c r="S5188" s="19">
        <v>2720</v>
      </c>
      <c r="T5188" s="19" t="s">
        <v>94</v>
      </c>
      <c r="U5188" s="102">
        <v>20043433</v>
      </c>
      <c r="V5188" s="101">
        <v>45351</v>
      </c>
      <c r="W5188" s="17" t="s">
        <v>44</v>
      </c>
      <c r="X5188" s="17"/>
      <c r="Y5188" s="68">
        <v>45383</v>
      </c>
      <c r="Z5188" s="17" t="s">
        <v>551</v>
      </c>
      <c r="AA5188" s="17" t="s">
        <v>46</v>
      </c>
      <c r="AB5188" s="17">
        <v>24201111833</v>
      </c>
      <c r="AC5188" s="66">
        <v>45448</v>
      </c>
      <c r="AD5188" s="65">
        <v>1576</v>
      </c>
      <c r="AE5188" s="17" t="s">
        <v>48</v>
      </c>
      <c r="AF5188" s="17"/>
      <c r="AG5188" s="17"/>
      <c r="AH5188" s="17"/>
      <c r="AI5188" s="17"/>
      <c r="AJ5188" s="17"/>
      <c r="AK5188" s="17"/>
      <c r="AL5188" s="17"/>
      <c r="AM5188" s="17"/>
      <c r="AN5188" s="17"/>
      <c r="AO5188" s="17"/>
      <c r="AP5188" s="17"/>
      <c r="AQ5188" s="17"/>
      <c r="AR5188" s="17"/>
    </row>
    <row r="5189" s="21" customFormat="1" hidden="1" spans="1:44">
      <c r="A5189" s="17" t="s">
        <v>34</v>
      </c>
      <c r="B5189" s="19">
        <v>985</v>
      </c>
      <c r="C5189" s="183">
        <v>45348</v>
      </c>
      <c r="D5189" s="17" t="s">
        <v>91</v>
      </c>
      <c r="E5189" s="17" t="s">
        <v>550</v>
      </c>
      <c r="F5189" s="17" t="s">
        <v>93</v>
      </c>
      <c r="G5189" s="17"/>
      <c r="H5189" s="124">
        <v>1.2085</v>
      </c>
      <c r="I5189" s="124"/>
      <c r="J5189" s="17" t="s">
        <v>49</v>
      </c>
      <c r="K5189" s="19">
        <v>2000</v>
      </c>
      <c r="L5189" s="91">
        <v>32</v>
      </c>
      <c r="M5189" s="19">
        <v>5800</v>
      </c>
      <c r="N5189" s="19" t="s">
        <v>66</v>
      </c>
      <c r="O5189" s="19" t="s">
        <v>141</v>
      </c>
      <c r="P5189" s="99">
        <v>2970</v>
      </c>
      <c r="Q5189" s="19">
        <v>2980</v>
      </c>
      <c r="R5189" s="19">
        <f t="shared" si="242"/>
        <v>-10</v>
      </c>
      <c r="S5189" s="19">
        <v>2720</v>
      </c>
      <c r="T5189" s="19" t="s">
        <v>94</v>
      </c>
      <c r="U5189" s="102">
        <v>20043433</v>
      </c>
      <c r="V5189" s="101">
        <v>45351</v>
      </c>
      <c r="W5189" s="17" t="s">
        <v>44</v>
      </c>
      <c r="X5189" s="17"/>
      <c r="Y5189" s="68">
        <v>45383</v>
      </c>
      <c r="Z5189" s="17" t="s">
        <v>551</v>
      </c>
      <c r="AA5189" s="17" t="s">
        <v>46</v>
      </c>
      <c r="AB5189" s="17">
        <v>24201111833</v>
      </c>
      <c r="AC5189" s="66">
        <v>45448</v>
      </c>
      <c r="AD5189" s="65">
        <v>1576</v>
      </c>
      <c r="AE5189" s="17" t="s">
        <v>48</v>
      </c>
      <c r="AF5189" s="17"/>
      <c r="AG5189" s="17"/>
      <c r="AH5189" s="17"/>
      <c r="AI5189" s="17"/>
      <c r="AJ5189" s="17"/>
      <c r="AK5189" s="17"/>
      <c r="AL5189" s="17"/>
      <c r="AM5189" s="17"/>
      <c r="AN5189" s="17"/>
      <c r="AO5189" s="17"/>
      <c r="AP5189" s="17"/>
      <c r="AQ5189" s="17"/>
      <c r="AR5189" s="17"/>
    </row>
    <row r="5190" s="21" customFormat="1" hidden="1" spans="1:44">
      <c r="A5190" s="17" t="s">
        <v>34</v>
      </c>
      <c r="B5190" s="19">
        <v>985</v>
      </c>
      <c r="C5190" s="183">
        <v>45348</v>
      </c>
      <c r="D5190" s="17" t="s">
        <v>91</v>
      </c>
      <c r="E5190" s="17" t="s">
        <v>550</v>
      </c>
      <c r="F5190" s="17" t="s">
        <v>93</v>
      </c>
      <c r="G5190" s="17"/>
      <c r="H5190" s="124">
        <v>1.2085</v>
      </c>
      <c r="I5190" s="124"/>
      <c r="J5190" s="17" t="s">
        <v>49</v>
      </c>
      <c r="K5190" s="19">
        <v>2000</v>
      </c>
      <c r="L5190" s="91">
        <v>36</v>
      </c>
      <c r="M5190" s="19">
        <v>5800</v>
      </c>
      <c r="N5190" s="19" t="s">
        <v>66</v>
      </c>
      <c r="O5190" s="19" t="s">
        <v>141</v>
      </c>
      <c r="P5190" s="99">
        <v>3341</v>
      </c>
      <c r="Q5190" s="19">
        <v>3350</v>
      </c>
      <c r="R5190" s="19">
        <f t="shared" si="242"/>
        <v>-9</v>
      </c>
      <c r="S5190" s="19">
        <v>2720</v>
      </c>
      <c r="T5190" s="19" t="s">
        <v>94</v>
      </c>
      <c r="U5190" s="102">
        <v>20043433</v>
      </c>
      <c r="V5190" s="101">
        <v>45351</v>
      </c>
      <c r="W5190" s="17" t="s">
        <v>44</v>
      </c>
      <c r="X5190" s="17"/>
      <c r="Y5190" s="68">
        <v>45383</v>
      </c>
      <c r="Z5190" s="17" t="s">
        <v>551</v>
      </c>
      <c r="AA5190" s="17" t="s">
        <v>46</v>
      </c>
      <c r="AB5190" s="17">
        <v>24201111833</v>
      </c>
      <c r="AC5190" s="66">
        <v>45448</v>
      </c>
      <c r="AD5190" s="65">
        <v>1576</v>
      </c>
      <c r="AE5190" s="17" t="s">
        <v>48</v>
      </c>
      <c r="AF5190" s="17"/>
      <c r="AG5190" s="17"/>
      <c r="AH5190" s="17"/>
      <c r="AI5190" s="17"/>
      <c r="AJ5190" s="17"/>
      <c r="AK5190" s="17"/>
      <c r="AL5190" s="17"/>
      <c r="AM5190" s="17"/>
      <c r="AN5190" s="17"/>
      <c r="AO5190" s="17"/>
      <c r="AP5190" s="17"/>
      <c r="AQ5190" s="17"/>
      <c r="AR5190" s="17"/>
    </row>
    <row r="5191" s="21" customFormat="1" hidden="1" spans="1:44">
      <c r="A5191" s="17" t="s">
        <v>34</v>
      </c>
      <c r="B5191" s="19">
        <v>985</v>
      </c>
      <c r="C5191" s="183">
        <v>45348</v>
      </c>
      <c r="D5191" s="17" t="s">
        <v>91</v>
      </c>
      <c r="E5191" s="17" t="s">
        <v>550</v>
      </c>
      <c r="F5191" s="17" t="s">
        <v>93</v>
      </c>
      <c r="G5191" s="17"/>
      <c r="H5191" s="124">
        <v>1.2085</v>
      </c>
      <c r="I5191" s="124"/>
      <c r="J5191" s="17" t="s">
        <v>49</v>
      </c>
      <c r="K5191" s="19">
        <v>2000</v>
      </c>
      <c r="L5191" s="91">
        <v>40</v>
      </c>
      <c r="M5191" s="19">
        <v>5800</v>
      </c>
      <c r="N5191" s="19" t="s">
        <v>66</v>
      </c>
      <c r="O5191" s="19" t="s">
        <v>141</v>
      </c>
      <c r="P5191" s="99">
        <v>3712</v>
      </c>
      <c r="Q5191" s="19">
        <v>3720</v>
      </c>
      <c r="R5191" s="19">
        <f t="shared" si="242"/>
        <v>-8</v>
      </c>
      <c r="S5191" s="19">
        <v>2720</v>
      </c>
      <c r="T5191" s="19" t="s">
        <v>94</v>
      </c>
      <c r="U5191" s="102">
        <v>20043433</v>
      </c>
      <c r="V5191" s="101">
        <v>45351</v>
      </c>
      <c r="W5191" s="17" t="s">
        <v>44</v>
      </c>
      <c r="X5191" s="17"/>
      <c r="Y5191" s="68">
        <v>45383</v>
      </c>
      <c r="Z5191" s="17" t="s">
        <v>551</v>
      </c>
      <c r="AA5191" s="17" t="s">
        <v>46</v>
      </c>
      <c r="AB5191" s="17">
        <v>24201111833</v>
      </c>
      <c r="AC5191" s="66">
        <v>45448</v>
      </c>
      <c r="AD5191" s="65">
        <v>1576</v>
      </c>
      <c r="AE5191" s="17" t="s">
        <v>48</v>
      </c>
      <c r="AF5191" s="17"/>
      <c r="AG5191" s="17"/>
      <c r="AH5191" s="17"/>
      <c r="AI5191" s="17"/>
      <c r="AJ5191" s="17"/>
      <c r="AK5191" s="17"/>
      <c r="AL5191" s="17"/>
      <c r="AM5191" s="17"/>
      <c r="AN5191" s="17"/>
      <c r="AO5191" s="17"/>
      <c r="AP5191" s="17"/>
      <c r="AQ5191" s="17"/>
      <c r="AR5191" s="17"/>
    </row>
    <row r="5192" s="21" customFormat="1" hidden="1" spans="1:44">
      <c r="A5192" s="17" t="s">
        <v>34</v>
      </c>
      <c r="B5192" s="19">
        <v>985</v>
      </c>
      <c r="C5192" s="183">
        <v>45348</v>
      </c>
      <c r="D5192" s="17" t="s">
        <v>91</v>
      </c>
      <c r="E5192" s="17" t="s">
        <v>550</v>
      </c>
      <c r="F5192" s="17" t="s">
        <v>93</v>
      </c>
      <c r="G5192" s="17"/>
      <c r="H5192" s="124">
        <v>1.2085</v>
      </c>
      <c r="I5192" s="124"/>
      <c r="J5192" s="17" t="s">
        <v>49</v>
      </c>
      <c r="K5192" s="19">
        <v>2000</v>
      </c>
      <c r="L5192" s="91">
        <v>45</v>
      </c>
      <c r="M5192" s="19">
        <v>5800</v>
      </c>
      <c r="N5192" s="19" t="s">
        <v>66</v>
      </c>
      <c r="O5192" s="19" t="s">
        <v>141</v>
      </c>
      <c r="P5192" s="99">
        <v>4176</v>
      </c>
      <c r="Q5192" s="19">
        <v>4175</v>
      </c>
      <c r="R5192" s="19">
        <f t="shared" si="242"/>
        <v>1</v>
      </c>
      <c r="S5192" s="19">
        <v>2720</v>
      </c>
      <c r="T5192" s="19" t="s">
        <v>94</v>
      </c>
      <c r="U5192" s="102">
        <v>20043433</v>
      </c>
      <c r="V5192" s="101">
        <v>45351</v>
      </c>
      <c r="W5192" s="17" t="s">
        <v>44</v>
      </c>
      <c r="X5192" s="17"/>
      <c r="Y5192" s="68">
        <v>45383</v>
      </c>
      <c r="Z5192" s="17" t="s">
        <v>551</v>
      </c>
      <c r="AA5192" s="17" t="s">
        <v>46</v>
      </c>
      <c r="AB5192" s="17">
        <v>24201111833</v>
      </c>
      <c r="AC5192" s="66">
        <v>45448</v>
      </c>
      <c r="AD5192" s="65">
        <v>1576</v>
      </c>
      <c r="AE5192" s="17" t="s">
        <v>48</v>
      </c>
      <c r="AF5192" s="17"/>
      <c r="AG5192" s="17"/>
      <c r="AH5192" s="17"/>
      <c r="AI5192" s="17"/>
      <c r="AJ5192" s="17"/>
      <c r="AK5192" s="17"/>
      <c r="AL5192" s="17"/>
      <c r="AM5192" s="17"/>
      <c r="AN5192" s="17"/>
      <c r="AO5192" s="17"/>
      <c r="AP5192" s="17"/>
      <c r="AQ5192" s="17"/>
      <c r="AR5192" s="17"/>
    </row>
    <row r="5193" s="21" customFormat="1" hidden="1" spans="1:44">
      <c r="A5193" s="17" t="s">
        <v>34</v>
      </c>
      <c r="B5193" s="19">
        <v>985</v>
      </c>
      <c r="C5193" s="183">
        <v>45348</v>
      </c>
      <c r="D5193" s="17" t="s">
        <v>91</v>
      </c>
      <c r="E5193" s="17" t="s">
        <v>550</v>
      </c>
      <c r="F5193" s="17" t="s">
        <v>93</v>
      </c>
      <c r="G5193" s="17"/>
      <c r="H5193" s="124">
        <v>1.2085</v>
      </c>
      <c r="I5193" s="124"/>
      <c r="J5193" s="17" t="s">
        <v>49</v>
      </c>
      <c r="K5193" s="19">
        <v>2000</v>
      </c>
      <c r="L5193" s="91">
        <v>50</v>
      </c>
      <c r="M5193" s="19">
        <v>5800</v>
      </c>
      <c r="N5193" s="19" t="s">
        <v>66</v>
      </c>
      <c r="O5193" s="19" t="s">
        <v>141</v>
      </c>
      <c r="P5193" s="99">
        <v>4640</v>
      </c>
      <c r="Q5193" s="19">
        <v>4665</v>
      </c>
      <c r="R5193" s="19">
        <f t="shared" si="242"/>
        <v>-25</v>
      </c>
      <c r="S5193" s="19">
        <v>2720</v>
      </c>
      <c r="T5193" s="19" t="s">
        <v>94</v>
      </c>
      <c r="U5193" s="102">
        <v>20043433</v>
      </c>
      <c r="V5193" s="101">
        <v>45351</v>
      </c>
      <c r="W5193" s="17" t="s">
        <v>44</v>
      </c>
      <c r="X5193" s="17"/>
      <c r="Y5193" s="68">
        <v>45383</v>
      </c>
      <c r="Z5193" s="17" t="s">
        <v>551</v>
      </c>
      <c r="AA5193" s="17" t="s">
        <v>46</v>
      </c>
      <c r="AB5193" s="17">
        <v>24201111833</v>
      </c>
      <c r="AC5193" s="66">
        <v>45448</v>
      </c>
      <c r="AD5193" s="65">
        <v>1576</v>
      </c>
      <c r="AE5193" s="17" t="s">
        <v>48</v>
      </c>
      <c r="AF5193" s="17"/>
      <c r="AG5193" s="17"/>
      <c r="AH5193" s="17"/>
      <c r="AI5193" s="17"/>
      <c r="AJ5193" s="17"/>
      <c r="AK5193" s="17"/>
      <c r="AL5193" s="17"/>
      <c r="AM5193" s="17"/>
      <c r="AN5193" s="17"/>
      <c r="AO5193" s="17"/>
      <c r="AP5193" s="17"/>
      <c r="AQ5193" s="17"/>
      <c r="AR5193" s="17"/>
    </row>
    <row r="5194" s="21" customFormat="1" hidden="1" spans="1:44">
      <c r="A5194" s="17" t="s">
        <v>34</v>
      </c>
      <c r="B5194" s="19">
        <v>985</v>
      </c>
      <c r="C5194" s="183">
        <v>45348</v>
      </c>
      <c r="D5194" s="17" t="s">
        <v>91</v>
      </c>
      <c r="E5194" s="17" t="s">
        <v>550</v>
      </c>
      <c r="F5194" s="17" t="s">
        <v>93</v>
      </c>
      <c r="G5194" s="17"/>
      <c r="H5194" s="124">
        <v>1.2085</v>
      </c>
      <c r="I5194" s="124"/>
      <c r="J5194" s="17" t="s">
        <v>49</v>
      </c>
      <c r="K5194" s="19">
        <v>2000</v>
      </c>
      <c r="L5194" s="91">
        <v>56</v>
      </c>
      <c r="M5194" s="19">
        <v>5800</v>
      </c>
      <c r="N5194" s="19" t="s">
        <v>66</v>
      </c>
      <c r="O5194" s="19" t="s">
        <v>141</v>
      </c>
      <c r="P5194" s="99">
        <v>5197</v>
      </c>
      <c r="Q5194" s="19">
        <v>5215</v>
      </c>
      <c r="R5194" s="19">
        <f t="shared" si="242"/>
        <v>-18</v>
      </c>
      <c r="S5194" s="19">
        <v>2720</v>
      </c>
      <c r="T5194" s="19" t="s">
        <v>94</v>
      </c>
      <c r="U5194" s="102">
        <v>20043349</v>
      </c>
      <c r="V5194" s="101">
        <v>45351</v>
      </c>
      <c r="W5194" s="17" t="s">
        <v>44</v>
      </c>
      <c r="X5194" s="17"/>
      <c r="Y5194" s="68">
        <v>45383</v>
      </c>
      <c r="Z5194" s="17" t="s">
        <v>1408</v>
      </c>
      <c r="AA5194" s="17" t="s">
        <v>46</v>
      </c>
      <c r="AB5194" s="17">
        <v>24201108810</v>
      </c>
      <c r="AC5194" s="66">
        <v>45415</v>
      </c>
      <c r="AD5194" s="65">
        <v>1565</v>
      </c>
      <c r="AE5194" s="17" t="s">
        <v>48</v>
      </c>
      <c r="AF5194" s="17"/>
      <c r="AG5194" s="17"/>
      <c r="AH5194" s="17"/>
      <c r="AI5194" s="17"/>
      <c r="AJ5194" s="17"/>
      <c r="AK5194" s="17"/>
      <c r="AL5194" s="17"/>
      <c r="AM5194" s="17"/>
      <c r="AN5194" s="17"/>
      <c r="AO5194" s="17"/>
      <c r="AP5194" s="17"/>
      <c r="AQ5194" s="17"/>
      <c r="AR5194" s="17"/>
    </row>
    <row r="5195" s="21" customFormat="1" hidden="1" spans="1:44">
      <c r="A5195" s="17" t="s">
        <v>34</v>
      </c>
      <c r="B5195" s="19">
        <v>985</v>
      </c>
      <c r="C5195" s="183">
        <v>45348</v>
      </c>
      <c r="D5195" s="17" t="s">
        <v>91</v>
      </c>
      <c r="E5195" s="17" t="s">
        <v>550</v>
      </c>
      <c r="F5195" s="17" t="s">
        <v>93</v>
      </c>
      <c r="G5195" s="17"/>
      <c r="H5195" s="124">
        <v>1.2085</v>
      </c>
      <c r="I5195" s="124"/>
      <c r="J5195" s="17" t="s">
        <v>49</v>
      </c>
      <c r="K5195" s="19">
        <v>2000</v>
      </c>
      <c r="L5195" s="91">
        <v>60</v>
      </c>
      <c r="M5195" s="19">
        <v>5800</v>
      </c>
      <c r="N5195" s="19" t="s">
        <v>66</v>
      </c>
      <c r="O5195" s="19" t="s">
        <v>141</v>
      </c>
      <c r="P5195" s="99">
        <v>5568</v>
      </c>
      <c r="Q5195" s="19">
        <v>5530</v>
      </c>
      <c r="R5195" s="19">
        <f t="shared" si="242"/>
        <v>38</v>
      </c>
      <c r="S5195" s="19">
        <v>2720</v>
      </c>
      <c r="T5195" s="19" t="s">
        <v>94</v>
      </c>
      <c r="U5195" s="102">
        <v>20043349</v>
      </c>
      <c r="V5195" s="101">
        <v>45351</v>
      </c>
      <c r="W5195" s="17" t="s">
        <v>44</v>
      </c>
      <c r="X5195" s="17"/>
      <c r="Y5195" s="68">
        <v>45383</v>
      </c>
      <c r="Z5195" s="17" t="s">
        <v>1408</v>
      </c>
      <c r="AA5195" s="17" t="s">
        <v>46</v>
      </c>
      <c r="AB5195" s="17">
        <v>24201108810</v>
      </c>
      <c r="AC5195" s="66">
        <v>45415</v>
      </c>
      <c r="AD5195" s="65">
        <v>1565</v>
      </c>
      <c r="AE5195" s="17" t="s">
        <v>48</v>
      </c>
      <c r="AF5195" s="17"/>
      <c r="AG5195" s="17"/>
      <c r="AH5195" s="17"/>
      <c r="AI5195" s="17"/>
      <c r="AJ5195" s="17"/>
      <c r="AK5195" s="17"/>
      <c r="AL5195" s="17"/>
      <c r="AM5195" s="17"/>
      <c r="AN5195" s="17"/>
      <c r="AO5195" s="17"/>
      <c r="AP5195" s="17"/>
      <c r="AQ5195" s="17"/>
      <c r="AR5195" s="17"/>
    </row>
    <row r="5196" s="21" customFormat="1" hidden="1" spans="1:44">
      <c r="A5196" s="17" t="s">
        <v>34</v>
      </c>
      <c r="B5196" s="19">
        <v>985</v>
      </c>
      <c r="C5196" s="183">
        <v>45348</v>
      </c>
      <c r="D5196" s="17" t="s">
        <v>91</v>
      </c>
      <c r="E5196" s="17" t="s">
        <v>550</v>
      </c>
      <c r="F5196" s="17" t="s">
        <v>93</v>
      </c>
      <c r="G5196" s="17"/>
      <c r="H5196" s="124">
        <v>1.2085</v>
      </c>
      <c r="I5196" s="124"/>
      <c r="J5196" s="17" t="s">
        <v>49</v>
      </c>
      <c r="K5196" s="19">
        <v>2000</v>
      </c>
      <c r="L5196" s="91">
        <v>65</v>
      </c>
      <c r="M5196" s="19">
        <v>5800</v>
      </c>
      <c r="N5196" s="19" t="s">
        <v>66</v>
      </c>
      <c r="O5196" s="19" t="s">
        <v>141</v>
      </c>
      <c r="P5196" s="99">
        <v>6032</v>
      </c>
      <c r="Q5196" s="19">
        <v>6020</v>
      </c>
      <c r="R5196" s="19">
        <f t="shared" si="242"/>
        <v>12</v>
      </c>
      <c r="S5196" s="19">
        <v>2720</v>
      </c>
      <c r="T5196" s="19" t="s">
        <v>94</v>
      </c>
      <c r="U5196" s="102">
        <v>20043349</v>
      </c>
      <c r="V5196" s="101">
        <v>45351</v>
      </c>
      <c r="W5196" s="17" t="s">
        <v>44</v>
      </c>
      <c r="X5196" s="17"/>
      <c r="Y5196" s="68">
        <v>45383</v>
      </c>
      <c r="Z5196" s="17" t="s">
        <v>1408</v>
      </c>
      <c r="AA5196" s="17" t="s">
        <v>46</v>
      </c>
      <c r="AB5196" s="17">
        <v>24201108679</v>
      </c>
      <c r="AC5196" s="66">
        <v>45412</v>
      </c>
      <c r="AD5196" s="65">
        <v>1565</v>
      </c>
      <c r="AE5196" s="17" t="s">
        <v>48</v>
      </c>
      <c r="AF5196" s="17"/>
      <c r="AG5196" s="17"/>
      <c r="AH5196" s="17"/>
      <c r="AI5196" s="17"/>
      <c r="AJ5196" s="17"/>
      <c r="AK5196" s="17"/>
      <c r="AL5196" s="17"/>
      <c r="AM5196" s="17"/>
      <c r="AN5196" s="17"/>
      <c r="AO5196" s="17"/>
      <c r="AP5196" s="17"/>
      <c r="AQ5196" s="17"/>
      <c r="AR5196" s="17"/>
    </row>
    <row r="5197" s="21" customFormat="1" hidden="1" spans="1:44">
      <c r="A5197" s="17" t="s">
        <v>34</v>
      </c>
      <c r="B5197" s="19">
        <v>985</v>
      </c>
      <c r="C5197" s="183">
        <v>45348</v>
      </c>
      <c r="D5197" s="17" t="s">
        <v>91</v>
      </c>
      <c r="E5197" s="17" t="s">
        <v>550</v>
      </c>
      <c r="F5197" s="17" t="s">
        <v>93</v>
      </c>
      <c r="G5197" s="17"/>
      <c r="H5197" s="124">
        <v>1.2085</v>
      </c>
      <c r="I5197" s="124"/>
      <c r="J5197" s="17" t="s">
        <v>49</v>
      </c>
      <c r="K5197" s="19">
        <v>2000</v>
      </c>
      <c r="L5197" s="91">
        <v>70</v>
      </c>
      <c r="M5197" s="19">
        <v>5800</v>
      </c>
      <c r="N5197" s="19" t="s">
        <v>66</v>
      </c>
      <c r="O5197" s="19" t="s">
        <v>141</v>
      </c>
      <c r="P5197" s="99">
        <v>6496</v>
      </c>
      <c r="Q5197" s="19">
        <v>6460</v>
      </c>
      <c r="R5197" s="19">
        <f t="shared" si="242"/>
        <v>36</v>
      </c>
      <c r="S5197" s="19">
        <v>2720</v>
      </c>
      <c r="T5197" s="19" t="s">
        <v>94</v>
      </c>
      <c r="U5197" s="102">
        <v>20043349</v>
      </c>
      <c r="V5197" s="101">
        <v>45351</v>
      </c>
      <c r="W5197" s="17" t="s">
        <v>44</v>
      </c>
      <c r="X5197" s="17"/>
      <c r="Y5197" s="68">
        <v>45383</v>
      </c>
      <c r="Z5197" s="17" t="s">
        <v>1408</v>
      </c>
      <c r="AA5197" s="17" t="s">
        <v>46</v>
      </c>
      <c r="AB5197" s="17">
        <v>24201108679</v>
      </c>
      <c r="AC5197" s="66">
        <v>45412</v>
      </c>
      <c r="AD5197" s="65">
        <v>1565</v>
      </c>
      <c r="AE5197" s="17" t="s">
        <v>48</v>
      </c>
      <c r="AF5197" s="17"/>
      <c r="AG5197" s="17"/>
      <c r="AH5197" s="17"/>
      <c r="AI5197" s="17"/>
      <c r="AJ5197" s="17"/>
      <c r="AK5197" s="17"/>
      <c r="AL5197" s="17"/>
      <c r="AM5197" s="17"/>
      <c r="AN5197" s="17"/>
      <c r="AO5197" s="17"/>
      <c r="AP5197" s="17"/>
      <c r="AQ5197" s="17"/>
      <c r="AR5197" s="17"/>
    </row>
    <row r="5198" s="21" customFormat="1" hidden="1" spans="1:44">
      <c r="A5198" s="17" t="s">
        <v>34</v>
      </c>
      <c r="B5198" s="19">
        <v>985</v>
      </c>
      <c r="C5198" s="183">
        <v>45348</v>
      </c>
      <c r="D5198" s="17" t="s">
        <v>91</v>
      </c>
      <c r="E5198" s="17" t="s">
        <v>550</v>
      </c>
      <c r="F5198" s="17" t="s">
        <v>93</v>
      </c>
      <c r="G5198" s="17"/>
      <c r="H5198" s="124">
        <v>1.2085</v>
      </c>
      <c r="I5198" s="124"/>
      <c r="J5198" s="17" t="s">
        <v>49</v>
      </c>
      <c r="K5198" s="19">
        <v>2000</v>
      </c>
      <c r="L5198" s="91">
        <v>80</v>
      </c>
      <c r="M5198" s="19">
        <v>5800</v>
      </c>
      <c r="N5198" s="19" t="s">
        <v>66</v>
      </c>
      <c r="O5198" s="19" t="s">
        <v>141</v>
      </c>
      <c r="P5198" s="99">
        <v>14848</v>
      </c>
      <c r="Q5198" s="19">
        <v>7370</v>
      </c>
      <c r="R5198" s="254"/>
      <c r="S5198" s="19">
        <v>2720</v>
      </c>
      <c r="T5198" s="19" t="s">
        <v>94</v>
      </c>
      <c r="U5198" s="102">
        <v>20043349</v>
      </c>
      <c r="V5198" s="101">
        <v>45351</v>
      </c>
      <c r="W5198" s="17" t="s">
        <v>44</v>
      </c>
      <c r="X5198" s="17"/>
      <c r="Y5198" s="68">
        <v>45383</v>
      </c>
      <c r="Z5198" s="17" t="s">
        <v>1408</v>
      </c>
      <c r="AA5198" s="17" t="s">
        <v>46</v>
      </c>
      <c r="AB5198" s="17">
        <v>24201107080</v>
      </c>
      <c r="AC5198" s="66">
        <v>45393</v>
      </c>
      <c r="AD5198" s="65">
        <v>1554</v>
      </c>
      <c r="AE5198" s="17" t="s">
        <v>48</v>
      </c>
      <c r="AF5198" s="17"/>
      <c r="AG5198" s="17"/>
      <c r="AH5198" s="17"/>
      <c r="AI5198" s="17"/>
      <c r="AJ5198" s="17"/>
      <c r="AK5198" s="17"/>
      <c r="AL5198" s="17"/>
      <c r="AM5198" s="17"/>
      <c r="AN5198" s="17"/>
      <c r="AO5198" s="17"/>
      <c r="AP5198" s="17"/>
      <c r="AQ5198" s="17"/>
      <c r="AR5198" s="17"/>
    </row>
    <row r="5199" s="21" customFormat="1" hidden="1" spans="1:44">
      <c r="A5199" s="17" t="s">
        <v>34</v>
      </c>
      <c r="B5199" s="19">
        <v>985</v>
      </c>
      <c r="C5199" s="183">
        <v>45348</v>
      </c>
      <c r="D5199" s="17" t="s">
        <v>91</v>
      </c>
      <c r="E5199" s="17" t="s">
        <v>550</v>
      </c>
      <c r="F5199" s="17" t="s">
        <v>93</v>
      </c>
      <c r="G5199" s="17"/>
      <c r="H5199" s="124">
        <v>1.2085</v>
      </c>
      <c r="I5199" s="124"/>
      <c r="J5199" s="17" t="s">
        <v>49</v>
      </c>
      <c r="K5199" s="19">
        <v>2000</v>
      </c>
      <c r="L5199" s="91">
        <v>80</v>
      </c>
      <c r="M5199" s="19">
        <v>5800</v>
      </c>
      <c r="N5199" s="19" t="s">
        <v>66</v>
      </c>
      <c r="O5199" s="19" t="s">
        <v>141</v>
      </c>
      <c r="P5199" s="99"/>
      <c r="Q5199" s="19">
        <v>7380</v>
      </c>
      <c r="R5199" s="99">
        <f>+P5198-Q5198-Q5199</f>
        <v>98</v>
      </c>
      <c r="S5199" s="19">
        <v>2720</v>
      </c>
      <c r="T5199" s="19" t="s">
        <v>94</v>
      </c>
      <c r="U5199" s="102">
        <v>20043349</v>
      </c>
      <c r="V5199" s="101">
        <v>45351</v>
      </c>
      <c r="W5199" s="17" t="s">
        <v>44</v>
      </c>
      <c r="X5199" s="17"/>
      <c r="Y5199" s="68">
        <v>45383</v>
      </c>
      <c r="Z5199" s="17" t="s">
        <v>1408</v>
      </c>
      <c r="AA5199" s="17" t="s">
        <v>46</v>
      </c>
      <c r="AB5199" s="17">
        <v>24201108679</v>
      </c>
      <c r="AC5199" s="66">
        <v>45412</v>
      </c>
      <c r="AD5199" s="65">
        <v>1565</v>
      </c>
      <c r="AE5199" s="17" t="s">
        <v>48</v>
      </c>
      <c r="AF5199" s="17"/>
      <c r="AG5199" s="17"/>
      <c r="AH5199" s="17"/>
      <c r="AI5199" s="17"/>
      <c r="AJ5199" s="17"/>
      <c r="AK5199" s="17"/>
      <c r="AL5199" s="17"/>
      <c r="AM5199" s="17"/>
      <c r="AN5199" s="17"/>
      <c r="AO5199" s="17"/>
      <c r="AP5199" s="17"/>
      <c r="AQ5199" s="17"/>
      <c r="AR5199" s="17"/>
    </row>
    <row r="5200" s="21" customFormat="1" hidden="1" spans="1:44">
      <c r="A5200" s="17" t="s">
        <v>34</v>
      </c>
      <c r="B5200" s="19">
        <v>985</v>
      </c>
      <c r="C5200" s="183">
        <v>45348</v>
      </c>
      <c r="D5200" s="17" t="s">
        <v>91</v>
      </c>
      <c r="E5200" s="17" t="s">
        <v>550</v>
      </c>
      <c r="F5200" s="17" t="s">
        <v>93</v>
      </c>
      <c r="G5200" s="17"/>
      <c r="H5200" s="124">
        <v>1.2085</v>
      </c>
      <c r="I5200" s="124"/>
      <c r="J5200" s="17" t="s">
        <v>49</v>
      </c>
      <c r="K5200" s="19">
        <v>2000</v>
      </c>
      <c r="L5200" s="91">
        <v>90</v>
      </c>
      <c r="M5200" s="19">
        <v>5800</v>
      </c>
      <c r="N5200" s="19" t="s">
        <v>66</v>
      </c>
      <c r="O5200" s="19" t="s">
        <v>141</v>
      </c>
      <c r="P5200" s="99">
        <v>16704</v>
      </c>
      <c r="Q5200" s="19">
        <v>8340</v>
      </c>
      <c r="S5200" s="19">
        <v>2720</v>
      </c>
      <c r="T5200" s="19" t="s">
        <v>94</v>
      </c>
      <c r="U5200" s="102">
        <v>20043349</v>
      </c>
      <c r="V5200" s="101">
        <v>45351</v>
      </c>
      <c r="W5200" s="17" t="s">
        <v>44</v>
      </c>
      <c r="X5200" s="17"/>
      <c r="Y5200" s="68">
        <v>45383</v>
      </c>
      <c r="Z5200" s="17" t="s">
        <v>1408</v>
      </c>
      <c r="AA5200" s="17" t="s">
        <v>46</v>
      </c>
      <c r="AB5200" s="17">
        <v>24201107080</v>
      </c>
      <c r="AC5200" s="66">
        <v>45393</v>
      </c>
      <c r="AD5200" s="65">
        <v>1554</v>
      </c>
      <c r="AE5200" s="17" t="s">
        <v>48</v>
      </c>
      <c r="AF5200" s="17"/>
      <c r="AG5200" s="17"/>
      <c r="AH5200" s="17"/>
      <c r="AI5200" s="17"/>
      <c r="AJ5200" s="17"/>
      <c r="AK5200" s="17"/>
      <c r="AL5200" s="17"/>
      <c r="AM5200" s="17"/>
      <c r="AN5200" s="17"/>
      <c r="AO5200" s="17"/>
      <c r="AP5200" s="17"/>
      <c r="AQ5200" s="17"/>
      <c r="AR5200" s="17"/>
    </row>
    <row r="5201" s="21" customFormat="1" hidden="1" spans="1:44">
      <c r="A5201" s="17" t="s">
        <v>34</v>
      </c>
      <c r="B5201" s="19">
        <v>985</v>
      </c>
      <c r="C5201" s="183">
        <v>45348</v>
      </c>
      <c r="D5201" s="17" t="s">
        <v>91</v>
      </c>
      <c r="E5201" s="17" t="s">
        <v>550</v>
      </c>
      <c r="F5201" s="17" t="s">
        <v>93</v>
      </c>
      <c r="G5201" s="17"/>
      <c r="H5201" s="124">
        <v>1.2085</v>
      </c>
      <c r="I5201" s="124"/>
      <c r="J5201" s="17" t="s">
        <v>49</v>
      </c>
      <c r="K5201" s="19">
        <v>2000</v>
      </c>
      <c r="L5201" s="91">
        <v>90</v>
      </c>
      <c r="M5201" s="19">
        <v>5800</v>
      </c>
      <c r="N5201" s="19" t="s">
        <v>66</v>
      </c>
      <c r="O5201" s="19" t="s">
        <v>141</v>
      </c>
      <c r="P5201" s="99"/>
      <c r="Q5201" s="19">
        <v>8325</v>
      </c>
      <c r="R5201" s="99">
        <f>+P5200-Q5200-Q5201</f>
        <v>39</v>
      </c>
      <c r="S5201" s="19">
        <v>2720</v>
      </c>
      <c r="T5201" s="19" t="s">
        <v>94</v>
      </c>
      <c r="U5201" s="102">
        <v>20043349</v>
      </c>
      <c r="V5201" s="101">
        <v>45351</v>
      </c>
      <c r="W5201" s="17" t="s">
        <v>44</v>
      </c>
      <c r="X5201" s="17"/>
      <c r="Y5201" s="68">
        <v>45383</v>
      </c>
      <c r="Z5201" s="17" t="s">
        <v>1408</v>
      </c>
      <c r="AA5201" s="17" t="s">
        <v>46</v>
      </c>
      <c r="AB5201" s="17">
        <v>24201108810</v>
      </c>
      <c r="AC5201" s="66">
        <v>45415</v>
      </c>
      <c r="AD5201" s="65">
        <v>1565</v>
      </c>
      <c r="AE5201" s="17" t="s">
        <v>48</v>
      </c>
      <c r="AF5201" s="17"/>
      <c r="AG5201" s="17"/>
      <c r="AH5201" s="17"/>
      <c r="AI5201" s="17"/>
      <c r="AJ5201" s="17"/>
      <c r="AK5201" s="17"/>
      <c r="AL5201" s="17"/>
      <c r="AM5201" s="17"/>
      <c r="AN5201" s="17"/>
      <c r="AO5201" s="17"/>
      <c r="AP5201" s="17"/>
      <c r="AQ5201" s="17"/>
      <c r="AR5201" s="17"/>
    </row>
    <row r="5202" s="21" customFormat="1" hidden="1" spans="1:44">
      <c r="A5202" s="17" t="s">
        <v>34</v>
      </c>
      <c r="B5202" s="19">
        <v>985</v>
      </c>
      <c r="C5202" s="183">
        <v>45348</v>
      </c>
      <c r="D5202" s="17" t="s">
        <v>91</v>
      </c>
      <c r="E5202" s="17" t="s">
        <v>550</v>
      </c>
      <c r="F5202" s="17" t="s">
        <v>93</v>
      </c>
      <c r="G5202" s="17"/>
      <c r="H5202" s="124">
        <v>1.2085</v>
      </c>
      <c r="I5202" s="124"/>
      <c r="J5202" s="17" t="s">
        <v>49</v>
      </c>
      <c r="K5202" s="19">
        <v>2000</v>
      </c>
      <c r="L5202" s="91">
        <v>105</v>
      </c>
      <c r="M5202" s="19">
        <v>5000</v>
      </c>
      <c r="N5202" s="19" t="s">
        <v>66</v>
      </c>
      <c r="O5202" s="19" t="s">
        <v>141</v>
      </c>
      <c r="P5202" s="99">
        <v>8400</v>
      </c>
      <c r="Q5202" s="19">
        <v>8350</v>
      </c>
      <c r="R5202" s="19">
        <f t="shared" ref="R5202:R5231" si="243">+P5202-Q5202</f>
        <v>50</v>
      </c>
      <c r="S5202" s="19">
        <v>2720</v>
      </c>
      <c r="T5202" s="19" t="s">
        <v>94</v>
      </c>
      <c r="U5202" s="102">
        <v>20043349</v>
      </c>
      <c r="V5202" s="101">
        <v>45351</v>
      </c>
      <c r="W5202" s="17" t="s">
        <v>44</v>
      </c>
      <c r="X5202" s="17"/>
      <c r="Y5202" s="68">
        <v>45383</v>
      </c>
      <c r="Z5202" s="17" t="s">
        <v>1408</v>
      </c>
      <c r="AA5202" s="17" t="s">
        <v>46</v>
      </c>
      <c r="AB5202" s="17">
        <v>24201107080</v>
      </c>
      <c r="AC5202" s="66">
        <v>45393</v>
      </c>
      <c r="AD5202" s="65">
        <v>1554</v>
      </c>
      <c r="AE5202" s="17" t="s">
        <v>48</v>
      </c>
      <c r="AF5202" s="17"/>
      <c r="AG5202" s="17"/>
      <c r="AH5202" s="17"/>
      <c r="AI5202" s="17"/>
      <c r="AJ5202" s="17"/>
      <c r="AK5202" s="17"/>
      <c r="AL5202" s="17"/>
      <c r="AM5202" s="17"/>
      <c r="AN5202" s="17"/>
      <c r="AO5202" s="17"/>
      <c r="AP5202" s="17"/>
      <c r="AQ5202" s="17"/>
      <c r="AR5202" s="17"/>
    </row>
    <row r="5203" s="21" customFormat="1" hidden="1" spans="1:44">
      <c r="A5203" s="17" t="s">
        <v>34</v>
      </c>
      <c r="B5203" s="19">
        <v>986</v>
      </c>
      <c r="C5203" s="183">
        <v>45348</v>
      </c>
      <c r="D5203" s="17" t="s">
        <v>52</v>
      </c>
      <c r="E5203" s="17" t="s">
        <v>1113</v>
      </c>
      <c r="F5203" s="17" t="s">
        <v>54</v>
      </c>
      <c r="G5203" s="17"/>
      <c r="H5203" s="124">
        <v>1.2311</v>
      </c>
      <c r="I5203" s="124"/>
      <c r="J5203" s="17" t="s">
        <v>49</v>
      </c>
      <c r="K5203" s="19">
        <v>2200</v>
      </c>
      <c r="L5203" s="91">
        <v>16</v>
      </c>
      <c r="M5203" s="19">
        <v>5800</v>
      </c>
      <c r="N5203" s="19" t="s">
        <v>66</v>
      </c>
      <c r="O5203" s="19" t="s">
        <v>141</v>
      </c>
      <c r="P5203" s="19">
        <v>5526</v>
      </c>
      <c r="Q5203" s="19">
        <v>6640</v>
      </c>
      <c r="R5203" s="19">
        <f t="shared" si="243"/>
        <v>-1114</v>
      </c>
      <c r="S5203" s="19">
        <v>925</v>
      </c>
      <c r="T5203" s="19" t="s">
        <v>42</v>
      </c>
      <c r="U5203" s="102" t="s">
        <v>1409</v>
      </c>
      <c r="V5203" s="101">
        <v>45349</v>
      </c>
      <c r="W5203" s="17" t="s">
        <v>44</v>
      </c>
      <c r="X5203" s="17"/>
      <c r="Y5203" s="68">
        <v>45352</v>
      </c>
      <c r="Z5203" s="17" t="s">
        <v>191</v>
      </c>
      <c r="AA5203" s="17" t="s">
        <v>46</v>
      </c>
      <c r="AB5203" s="17" t="s">
        <v>1284</v>
      </c>
      <c r="AC5203" s="66">
        <v>45372</v>
      </c>
      <c r="AD5203" s="65">
        <v>1543</v>
      </c>
      <c r="AE5203" s="17" t="s">
        <v>48</v>
      </c>
      <c r="AF5203" s="17"/>
      <c r="AG5203" s="17"/>
      <c r="AH5203" s="17"/>
      <c r="AI5203" s="17"/>
      <c r="AJ5203" s="17"/>
      <c r="AK5203" s="17"/>
      <c r="AL5203" s="17"/>
      <c r="AM5203" s="17"/>
      <c r="AN5203" s="17"/>
      <c r="AO5203" s="17"/>
      <c r="AP5203" s="17"/>
      <c r="AQ5203" s="17"/>
      <c r="AR5203" s="17"/>
    </row>
    <row r="5204" s="21" customFormat="1" hidden="1" spans="1:44">
      <c r="A5204" s="17" t="s">
        <v>34</v>
      </c>
      <c r="B5204" s="19">
        <v>987</v>
      </c>
      <c r="C5204" s="183">
        <v>45356</v>
      </c>
      <c r="D5204" s="17" t="s">
        <v>35</v>
      </c>
      <c r="E5204" s="17" t="s">
        <v>718</v>
      </c>
      <c r="F5204" s="17" t="s">
        <v>37</v>
      </c>
      <c r="G5204" s="17"/>
      <c r="H5204" s="124" t="s">
        <v>38</v>
      </c>
      <c r="I5204" s="124"/>
      <c r="J5204" s="17" t="s">
        <v>39</v>
      </c>
      <c r="K5204" s="19">
        <v>72</v>
      </c>
      <c r="L5204" s="91"/>
      <c r="M5204" s="19"/>
      <c r="N5204" s="19" t="s">
        <v>40</v>
      </c>
      <c r="O5204" s="19" t="s">
        <v>84</v>
      </c>
      <c r="P5204" s="19">
        <v>1000</v>
      </c>
      <c r="Q5204" s="19">
        <v>442</v>
      </c>
      <c r="R5204" s="19">
        <f t="shared" si="243"/>
        <v>558</v>
      </c>
      <c r="S5204" s="19">
        <v>3145</v>
      </c>
      <c r="T5204" s="19" t="s">
        <v>42</v>
      </c>
      <c r="U5204" s="102" t="s">
        <v>1410</v>
      </c>
      <c r="V5204" s="101">
        <v>45358</v>
      </c>
      <c r="W5204" s="17" t="s">
        <v>44</v>
      </c>
      <c r="X5204" s="17"/>
      <c r="Y5204" s="68">
        <v>45505</v>
      </c>
      <c r="Z5204" s="17" t="s">
        <v>78</v>
      </c>
      <c r="AA5204" s="17" t="s">
        <v>46</v>
      </c>
      <c r="AB5204" s="17" t="s">
        <v>1411</v>
      </c>
      <c r="AC5204" s="66">
        <v>45529</v>
      </c>
      <c r="AD5204" s="65">
        <v>1602</v>
      </c>
      <c r="AE5204" s="17" t="s">
        <v>48</v>
      </c>
      <c r="AF5204" s="17"/>
      <c r="AG5204" s="17"/>
      <c r="AH5204" s="17"/>
      <c r="AI5204" s="17"/>
      <c r="AJ5204" s="17"/>
      <c r="AK5204" s="17"/>
      <c r="AL5204" s="17"/>
      <c r="AM5204" s="17"/>
      <c r="AN5204" s="17"/>
      <c r="AO5204" s="17"/>
      <c r="AP5204" s="17"/>
      <c r="AQ5204" s="17"/>
      <c r="AR5204" s="17"/>
    </row>
    <row r="5205" s="21" customFormat="1" hidden="1" spans="1:44">
      <c r="A5205" s="17" t="s">
        <v>34</v>
      </c>
      <c r="B5205" s="19">
        <v>987</v>
      </c>
      <c r="C5205" s="183">
        <v>45356</v>
      </c>
      <c r="D5205" s="17" t="s">
        <v>35</v>
      </c>
      <c r="E5205" s="17" t="s">
        <v>718</v>
      </c>
      <c r="F5205" s="17" t="s">
        <v>37</v>
      </c>
      <c r="G5205" s="17"/>
      <c r="H5205" s="124" t="s">
        <v>38</v>
      </c>
      <c r="I5205" s="124"/>
      <c r="J5205" s="17" t="s">
        <v>39</v>
      </c>
      <c r="K5205" s="19">
        <v>85</v>
      </c>
      <c r="L5205" s="91"/>
      <c r="M5205" s="19"/>
      <c r="N5205" s="19" t="s">
        <v>40</v>
      </c>
      <c r="O5205" s="19" t="s">
        <v>84</v>
      </c>
      <c r="P5205" s="19">
        <v>8000</v>
      </c>
      <c r="Q5205" s="19">
        <f>720+1436+1434+1486+1232</f>
        <v>6308</v>
      </c>
      <c r="R5205" s="19">
        <f t="shared" si="243"/>
        <v>1692</v>
      </c>
      <c r="S5205" s="19">
        <v>3145</v>
      </c>
      <c r="T5205" s="19" t="s">
        <v>42</v>
      </c>
      <c r="U5205" s="102" t="s">
        <v>1410</v>
      </c>
      <c r="V5205" s="101">
        <v>45358</v>
      </c>
      <c r="W5205" s="17" t="s">
        <v>44</v>
      </c>
      <c r="X5205" s="17"/>
      <c r="Y5205" s="68">
        <v>45505</v>
      </c>
      <c r="Z5205" s="17" t="s">
        <v>78</v>
      </c>
      <c r="AA5205" s="17" t="s">
        <v>46</v>
      </c>
      <c r="AB5205" s="17" t="s">
        <v>1411</v>
      </c>
      <c r="AC5205" s="66">
        <v>45529</v>
      </c>
      <c r="AD5205" s="65">
        <v>1602</v>
      </c>
      <c r="AE5205" s="17" t="s">
        <v>48</v>
      </c>
      <c r="AF5205" s="17"/>
      <c r="AG5205" s="17"/>
      <c r="AH5205" s="17"/>
      <c r="AI5205" s="17"/>
      <c r="AJ5205" s="17"/>
      <c r="AK5205" s="17"/>
      <c r="AL5205" s="17"/>
      <c r="AM5205" s="17"/>
      <c r="AN5205" s="17"/>
      <c r="AO5205" s="17"/>
      <c r="AP5205" s="17"/>
      <c r="AQ5205" s="17"/>
      <c r="AR5205" s="17"/>
    </row>
    <row r="5206" s="21" customFormat="1" hidden="1" spans="1:44">
      <c r="A5206" s="17" t="s">
        <v>34</v>
      </c>
      <c r="B5206" s="19">
        <v>987</v>
      </c>
      <c r="C5206" s="183">
        <v>45356</v>
      </c>
      <c r="D5206" s="17" t="s">
        <v>35</v>
      </c>
      <c r="E5206" s="17" t="s">
        <v>718</v>
      </c>
      <c r="F5206" s="17" t="s">
        <v>37</v>
      </c>
      <c r="G5206" s="17"/>
      <c r="H5206" s="124" t="s">
        <v>38</v>
      </c>
      <c r="I5206" s="124"/>
      <c r="J5206" s="17" t="s">
        <v>39</v>
      </c>
      <c r="K5206" s="19">
        <v>102</v>
      </c>
      <c r="L5206" s="91"/>
      <c r="M5206" s="19"/>
      <c r="N5206" s="19" t="s">
        <v>40</v>
      </c>
      <c r="O5206" s="19" t="s">
        <v>84</v>
      </c>
      <c r="P5206" s="19">
        <v>6000</v>
      </c>
      <c r="Q5206" s="19">
        <v>5228</v>
      </c>
      <c r="R5206" s="19">
        <f t="shared" si="243"/>
        <v>772</v>
      </c>
      <c r="S5206" s="19">
        <v>3045</v>
      </c>
      <c r="T5206" s="19" t="s">
        <v>42</v>
      </c>
      <c r="U5206" s="102" t="s">
        <v>1410</v>
      </c>
      <c r="V5206" s="101">
        <v>45358</v>
      </c>
      <c r="W5206" s="17" t="s">
        <v>44</v>
      </c>
      <c r="X5206" s="17"/>
      <c r="Y5206" s="68">
        <v>45505</v>
      </c>
      <c r="Z5206" s="17" t="s">
        <v>78</v>
      </c>
      <c r="AA5206" s="17" t="s">
        <v>46</v>
      </c>
      <c r="AB5206" s="17" t="s">
        <v>1411</v>
      </c>
      <c r="AC5206" s="66">
        <v>45529</v>
      </c>
      <c r="AD5206" s="65">
        <v>1602</v>
      </c>
      <c r="AE5206" s="17" t="s">
        <v>48</v>
      </c>
      <c r="AF5206" s="17"/>
      <c r="AG5206" s="17"/>
      <c r="AH5206" s="17"/>
      <c r="AI5206" s="17"/>
      <c r="AJ5206" s="17"/>
      <c r="AK5206" s="17"/>
      <c r="AL5206" s="17"/>
      <c r="AM5206" s="17"/>
      <c r="AN5206" s="17"/>
      <c r="AO5206" s="17"/>
      <c r="AP5206" s="17"/>
      <c r="AQ5206" s="17"/>
      <c r="AR5206" s="17"/>
    </row>
    <row r="5207" s="21" customFormat="1" hidden="1" spans="1:44">
      <c r="A5207" s="17" t="s">
        <v>34</v>
      </c>
      <c r="B5207" s="19">
        <v>987</v>
      </c>
      <c r="C5207" s="183">
        <v>45356</v>
      </c>
      <c r="D5207" s="17" t="s">
        <v>35</v>
      </c>
      <c r="E5207" s="17" t="s">
        <v>718</v>
      </c>
      <c r="F5207" s="17" t="s">
        <v>37</v>
      </c>
      <c r="G5207" s="17"/>
      <c r="H5207" s="124" t="s">
        <v>38</v>
      </c>
      <c r="I5207" s="124"/>
      <c r="J5207" s="17" t="s">
        <v>39</v>
      </c>
      <c r="K5207" s="19">
        <v>125</v>
      </c>
      <c r="L5207" s="91"/>
      <c r="M5207" s="19"/>
      <c r="N5207" s="19" t="s">
        <v>40</v>
      </c>
      <c r="O5207" s="19" t="s">
        <v>84</v>
      </c>
      <c r="P5207" s="19">
        <v>8000</v>
      </c>
      <c r="Q5207" s="19">
        <v>6646</v>
      </c>
      <c r="R5207" s="19">
        <f t="shared" si="243"/>
        <v>1354</v>
      </c>
      <c r="S5207" s="19">
        <v>3045</v>
      </c>
      <c r="T5207" s="19" t="s">
        <v>42</v>
      </c>
      <c r="U5207" s="102" t="s">
        <v>1410</v>
      </c>
      <c r="V5207" s="101">
        <v>45358</v>
      </c>
      <c r="W5207" s="17" t="s">
        <v>44</v>
      </c>
      <c r="X5207" s="17"/>
      <c r="Y5207" s="68">
        <v>45505</v>
      </c>
      <c r="Z5207" s="17" t="s">
        <v>78</v>
      </c>
      <c r="AA5207" s="17" t="s">
        <v>46</v>
      </c>
      <c r="AB5207" s="17" t="s">
        <v>1411</v>
      </c>
      <c r="AC5207" s="66">
        <v>45529</v>
      </c>
      <c r="AD5207" s="65">
        <v>1602</v>
      </c>
      <c r="AE5207" s="17" t="s">
        <v>48</v>
      </c>
      <c r="AF5207" s="17"/>
      <c r="AG5207" s="17"/>
      <c r="AH5207" s="17"/>
      <c r="AI5207" s="17"/>
      <c r="AJ5207" s="17"/>
      <c r="AK5207" s="17"/>
      <c r="AL5207" s="17"/>
      <c r="AM5207" s="17"/>
      <c r="AN5207" s="17"/>
      <c r="AO5207" s="17"/>
      <c r="AP5207" s="17"/>
      <c r="AQ5207" s="17"/>
      <c r="AR5207" s="17"/>
    </row>
    <row r="5208" s="21" customFormat="1" hidden="1" spans="1:44">
      <c r="A5208" s="17" t="s">
        <v>34</v>
      </c>
      <c r="B5208" s="19">
        <v>987</v>
      </c>
      <c r="C5208" s="183">
        <v>45356</v>
      </c>
      <c r="D5208" s="17" t="s">
        <v>35</v>
      </c>
      <c r="E5208" s="17" t="s">
        <v>718</v>
      </c>
      <c r="F5208" s="17" t="s">
        <v>37</v>
      </c>
      <c r="G5208" s="17"/>
      <c r="H5208" s="124" t="s">
        <v>38</v>
      </c>
      <c r="I5208" s="124"/>
      <c r="J5208" s="17" t="s">
        <v>39</v>
      </c>
      <c r="K5208" s="19">
        <v>127</v>
      </c>
      <c r="L5208" s="91"/>
      <c r="M5208" s="19"/>
      <c r="N5208" s="19" t="s">
        <v>40</v>
      </c>
      <c r="O5208" s="19" t="s">
        <v>84</v>
      </c>
      <c r="P5208" s="19">
        <v>2000</v>
      </c>
      <c r="Q5208" s="19">
        <v>1350</v>
      </c>
      <c r="R5208" s="19">
        <f t="shared" si="243"/>
        <v>650</v>
      </c>
      <c r="S5208" s="19">
        <v>3045</v>
      </c>
      <c r="T5208" s="19" t="s">
        <v>42</v>
      </c>
      <c r="U5208" s="102" t="s">
        <v>1410</v>
      </c>
      <c r="V5208" s="101">
        <v>45358</v>
      </c>
      <c r="W5208" s="17" t="s">
        <v>44</v>
      </c>
      <c r="X5208" s="17"/>
      <c r="Y5208" s="68">
        <v>45505</v>
      </c>
      <c r="Z5208" s="17" t="s">
        <v>78</v>
      </c>
      <c r="AA5208" s="17" t="s">
        <v>46</v>
      </c>
      <c r="AB5208" s="17" t="s">
        <v>1411</v>
      </c>
      <c r="AC5208" s="66">
        <v>45529</v>
      </c>
      <c r="AD5208" s="65">
        <v>1602</v>
      </c>
      <c r="AE5208" s="17" t="s">
        <v>48</v>
      </c>
      <c r="AF5208" s="17"/>
      <c r="AG5208" s="17"/>
      <c r="AH5208" s="17"/>
      <c r="AI5208" s="17"/>
      <c r="AJ5208" s="17"/>
      <c r="AK5208" s="17"/>
      <c r="AL5208" s="17"/>
      <c r="AM5208" s="17"/>
      <c r="AN5208" s="17"/>
      <c r="AO5208" s="17"/>
      <c r="AP5208" s="17"/>
      <c r="AQ5208" s="17"/>
      <c r="AR5208" s="17"/>
    </row>
    <row r="5209" s="21" customFormat="1" hidden="1" spans="1:44">
      <c r="A5209" s="17" t="s">
        <v>34</v>
      </c>
      <c r="B5209" s="19">
        <v>988</v>
      </c>
      <c r="C5209" s="183">
        <v>45350</v>
      </c>
      <c r="D5209" s="17" t="s">
        <v>35</v>
      </c>
      <c r="E5209" s="17" t="s">
        <v>71</v>
      </c>
      <c r="F5209" s="17" t="s">
        <v>72</v>
      </c>
      <c r="G5209" s="17"/>
      <c r="H5209" s="124">
        <v>1.2379</v>
      </c>
      <c r="I5209" s="124"/>
      <c r="J5209" s="17" t="s">
        <v>39</v>
      </c>
      <c r="K5209" s="19">
        <v>50</v>
      </c>
      <c r="L5209" s="91"/>
      <c r="M5209" s="19">
        <v>5800</v>
      </c>
      <c r="N5209" s="19" t="s">
        <v>40</v>
      </c>
      <c r="O5209" s="19" t="s">
        <v>84</v>
      </c>
      <c r="P5209" s="19">
        <v>1000</v>
      </c>
      <c r="Q5209" s="19">
        <v>1420</v>
      </c>
      <c r="R5209" s="19">
        <f t="shared" si="243"/>
        <v>-420</v>
      </c>
      <c r="S5209" s="290">
        <f>2670-32.8</f>
        <v>2637.2</v>
      </c>
      <c r="T5209" s="19" t="s">
        <v>42</v>
      </c>
      <c r="U5209" s="102" t="s">
        <v>1412</v>
      </c>
      <c r="V5209" s="101">
        <v>45351</v>
      </c>
      <c r="W5209" s="17" t="s">
        <v>69</v>
      </c>
      <c r="X5209" s="17"/>
      <c r="Y5209" s="68">
        <v>45444</v>
      </c>
      <c r="Z5209" s="17" t="s">
        <v>1413</v>
      </c>
      <c r="AA5209" s="17" t="s">
        <v>46</v>
      </c>
      <c r="AB5209" s="17" t="s">
        <v>1414</v>
      </c>
      <c r="AC5209" s="66">
        <v>45595</v>
      </c>
      <c r="AD5209" s="65">
        <v>1644</v>
      </c>
      <c r="AE5209" s="17" t="s">
        <v>48</v>
      </c>
      <c r="AF5209" s="17"/>
      <c r="AG5209" s="17"/>
      <c r="AH5209" s="17"/>
      <c r="AI5209" s="17"/>
      <c r="AJ5209" s="17"/>
      <c r="AK5209" s="17"/>
      <c r="AL5209" s="17"/>
      <c r="AM5209" s="17"/>
      <c r="AN5209" s="17"/>
      <c r="AO5209" s="17"/>
      <c r="AP5209" s="17"/>
      <c r="AQ5209" s="17"/>
      <c r="AR5209" s="17"/>
    </row>
    <row r="5210" s="21" customFormat="1" hidden="1" spans="1:44">
      <c r="A5210" s="17" t="s">
        <v>34</v>
      </c>
      <c r="B5210" s="19">
        <v>988</v>
      </c>
      <c r="C5210" s="183">
        <v>45350</v>
      </c>
      <c r="D5210" s="17" t="s">
        <v>35</v>
      </c>
      <c r="E5210" s="17" t="s">
        <v>71</v>
      </c>
      <c r="F5210" s="17" t="s">
        <v>72</v>
      </c>
      <c r="G5210" s="17"/>
      <c r="H5210" s="124">
        <v>1.2379</v>
      </c>
      <c r="I5210" s="124"/>
      <c r="J5210" s="17" t="s">
        <v>39</v>
      </c>
      <c r="K5210" s="19">
        <v>56</v>
      </c>
      <c r="L5210" s="91"/>
      <c r="M5210" s="19">
        <v>5800</v>
      </c>
      <c r="N5210" s="19" t="s">
        <v>40</v>
      </c>
      <c r="O5210" s="19" t="s">
        <v>84</v>
      </c>
      <c r="P5210" s="19">
        <v>1000</v>
      </c>
      <c r="Q5210" s="19">
        <v>1272</v>
      </c>
      <c r="R5210" s="19">
        <f t="shared" si="243"/>
        <v>-272</v>
      </c>
      <c r="S5210" s="290">
        <f>2670-32.8</f>
        <v>2637.2</v>
      </c>
      <c r="T5210" s="19" t="s">
        <v>42</v>
      </c>
      <c r="U5210" s="102" t="s">
        <v>1412</v>
      </c>
      <c r="V5210" s="101">
        <v>45351</v>
      </c>
      <c r="W5210" s="17" t="s">
        <v>69</v>
      </c>
      <c r="X5210" s="17"/>
      <c r="Y5210" s="68">
        <v>45444</v>
      </c>
      <c r="Z5210" s="17" t="s">
        <v>1413</v>
      </c>
      <c r="AA5210" s="17" t="s">
        <v>46</v>
      </c>
      <c r="AB5210" s="17" t="s">
        <v>1414</v>
      </c>
      <c r="AC5210" s="66">
        <v>45595</v>
      </c>
      <c r="AD5210" s="65">
        <v>1644</v>
      </c>
      <c r="AE5210" s="17" t="s">
        <v>48</v>
      </c>
      <c r="AF5210" s="17"/>
      <c r="AG5210" s="17"/>
      <c r="AH5210" s="17"/>
      <c r="AI5210" s="17"/>
      <c r="AJ5210" s="17"/>
      <c r="AK5210" s="17"/>
      <c r="AL5210" s="17"/>
      <c r="AM5210" s="17"/>
      <c r="AN5210" s="17"/>
      <c r="AO5210" s="17"/>
      <c r="AP5210" s="17"/>
      <c r="AQ5210" s="17"/>
      <c r="AR5210" s="17"/>
    </row>
    <row r="5211" s="21" customFormat="1" hidden="1" spans="1:44">
      <c r="A5211" s="17" t="s">
        <v>34</v>
      </c>
      <c r="B5211" s="19">
        <v>988</v>
      </c>
      <c r="C5211" s="183">
        <v>45350</v>
      </c>
      <c r="D5211" s="17" t="s">
        <v>35</v>
      </c>
      <c r="E5211" s="17" t="s">
        <v>71</v>
      </c>
      <c r="F5211" s="17" t="s">
        <v>72</v>
      </c>
      <c r="G5211" s="17"/>
      <c r="H5211" s="124">
        <v>1.2379</v>
      </c>
      <c r="I5211" s="124"/>
      <c r="J5211" s="17" t="s">
        <v>39</v>
      </c>
      <c r="K5211" s="19">
        <v>81</v>
      </c>
      <c r="L5211" s="91"/>
      <c r="M5211" s="19">
        <v>5800</v>
      </c>
      <c r="N5211" s="19" t="s">
        <v>40</v>
      </c>
      <c r="O5211" s="19" t="s">
        <v>84</v>
      </c>
      <c r="P5211" s="19">
        <v>2000</v>
      </c>
      <c r="Q5211" s="19">
        <v>2002</v>
      </c>
      <c r="R5211" s="19">
        <f t="shared" si="243"/>
        <v>-2</v>
      </c>
      <c r="S5211" s="290">
        <f>2670-32.8</f>
        <v>2637.2</v>
      </c>
      <c r="T5211" s="19" t="s">
        <v>42</v>
      </c>
      <c r="U5211" s="102" t="s">
        <v>1412</v>
      </c>
      <c r="V5211" s="101">
        <v>45351</v>
      </c>
      <c r="W5211" s="17" t="s">
        <v>69</v>
      </c>
      <c r="X5211" s="17"/>
      <c r="Y5211" s="68">
        <v>45444</v>
      </c>
      <c r="Z5211" s="17" t="s">
        <v>1413</v>
      </c>
      <c r="AA5211" s="17" t="s">
        <v>46</v>
      </c>
      <c r="AB5211" s="17" t="s">
        <v>1414</v>
      </c>
      <c r="AC5211" s="66">
        <v>45595</v>
      </c>
      <c r="AD5211" s="65">
        <v>1644</v>
      </c>
      <c r="AE5211" s="17" t="s">
        <v>48</v>
      </c>
      <c r="AF5211" s="17"/>
      <c r="AG5211" s="17"/>
      <c r="AH5211" s="17"/>
      <c r="AI5211" s="17"/>
      <c r="AJ5211" s="17"/>
      <c r="AK5211" s="17"/>
      <c r="AL5211" s="17"/>
      <c r="AM5211" s="17"/>
      <c r="AN5211" s="17"/>
      <c r="AO5211" s="17"/>
      <c r="AP5211" s="17"/>
      <c r="AQ5211" s="17"/>
      <c r="AR5211" s="17"/>
    </row>
    <row r="5212" s="21" customFormat="1" hidden="1" spans="1:44">
      <c r="A5212" s="17" t="s">
        <v>34</v>
      </c>
      <c r="B5212" s="19">
        <v>988</v>
      </c>
      <c r="C5212" s="183">
        <v>45350</v>
      </c>
      <c r="D5212" s="17" t="s">
        <v>35</v>
      </c>
      <c r="E5212" s="17" t="s">
        <v>71</v>
      </c>
      <c r="F5212" s="17" t="s">
        <v>72</v>
      </c>
      <c r="G5212" s="17"/>
      <c r="H5212" s="124">
        <v>1.2379</v>
      </c>
      <c r="I5212" s="124"/>
      <c r="J5212" s="17" t="s">
        <v>39</v>
      </c>
      <c r="K5212" s="19">
        <v>83</v>
      </c>
      <c r="L5212" s="91"/>
      <c r="M5212" s="19">
        <v>5800</v>
      </c>
      <c r="N5212" s="19" t="s">
        <v>40</v>
      </c>
      <c r="O5212" s="19" t="s">
        <v>84</v>
      </c>
      <c r="P5212" s="19">
        <v>6000</v>
      </c>
      <c r="Q5212" s="19">
        <f>3552+3558</f>
        <v>7110</v>
      </c>
      <c r="R5212" s="19">
        <f t="shared" si="243"/>
        <v>-1110</v>
      </c>
      <c r="S5212" s="290">
        <f>2670-32.8</f>
        <v>2637.2</v>
      </c>
      <c r="T5212" s="19" t="s">
        <v>42</v>
      </c>
      <c r="U5212" s="102" t="s">
        <v>1412</v>
      </c>
      <c r="V5212" s="101">
        <v>45351</v>
      </c>
      <c r="W5212" s="17" t="s">
        <v>69</v>
      </c>
      <c r="X5212" s="17"/>
      <c r="Y5212" s="68">
        <v>45444</v>
      </c>
      <c r="Z5212" s="17" t="s">
        <v>1413</v>
      </c>
      <c r="AA5212" s="17" t="s">
        <v>46</v>
      </c>
      <c r="AB5212" s="17" t="s">
        <v>1414</v>
      </c>
      <c r="AC5212" s="66">
        <v>45595</v>
      </c>
      <c r="AD5212" s="65">
        <v>1644</v>
      </c>
      <c r="AE5212" s="17" t="s">
        <v>48</v>
      </c>
      <c r="AF5212" s="17"/>
      <c r="AG5212" s="17"/>
      <c r="AH5212" s="17"/>
      <c r="AI5212" s="17"/>
      <c r="AJ5212" s="17"/>
      <c r="AK5212" s="17"/>
      <c r="AL5212" s="17"/>
      <c r="AM5212" s="17"/>
      <c r="AN5212" s="17"/>
      <c r="AO5212" s="17"/>
      <c r="AP5212" s="17"/>
      <c r="AQ5212" s="17"/>
      <c r="AR5212" s="17"/>
    </row>
    <row r="5213" s="21" customFormat="1" hidden="1" spans="1:44">
      <c r="A5213" s="17" t="s">
        <v>34</v>
      </c>
      <c r="B5213" s="19">
        <v>988</v>
      </c>
      <c r="C5213" s="183">
        <v>45350</v>
      </c>
      <c r="D5213" s="17" t="s">
        <v>35</v>
      </c>
      <c r="E5213" s="17" t="s">
        <v>71</v>
      </c>
      <c r="F5213" s="17" t="s">
        <v>72</v>
      </c>
      <c r="G5213" s="17"/>
      <c r="H5213" s="124">
        <v>1.2379</v>
      </c>
      <c r="I5213" s="124"/>
      <c r="J5213" s="17" t="s">
        <v>39</v>
      </c>
      <c r="K5213" s="19">
        <v>91</v>
      </c>
      <c r="L5213" s="91"/>
      <c r="M5213" s="19">
        <v>5800</v>
      </c>
      <c r="N5213" s="19" t="s">
        <v>40</v>
      </c>
      <c r="O5213" s="19" t="s">
        <v>84</v>
      </c>
      <c r="P5213" s="19">
        <v>2000</v>
      </c>
      <c r="Q5213" s="19">
        <v>1251</v>
      </c>
      <c r="R5213" s="19">
        <f t="shared" si="243"/>
        <v>749</v>
      </c>
      <c r="S5213" s="290">
        <f>2530-32.8</f>
        <v>2497.2</v>
      </c>
      <c r="T5213" s="19" t="s">
        <v>42</v>
      </c>
      <c r="U5213" s="102" t="s">
        <v>1412</v>
      </c>
      <c r="V5213" s="101">
        <v>45351</v>
      </c>
      <c r="W5213" s="17" t="s">
        <v>69</v>
      </c>
      <c r="X5213" s="17"/>
      <c r="Y5213" s="68">
        <v>45444</v>
      </c>
      <c r="Z5213" s="17" t="s">
        <v>1413</v>
      </c>
      <c r="AA5213" s="17" t="s">
        <v>46</v>
      </c>
      <c r="AB5213" s="17" t="s">
        <v>1414</v>
      </c>
      <c r="AC5213" s="66">
        <v>45595</v>
      </c>
      <c r="AD5213" s="65">
        <v>1644</v>
      </c>
      <c r="AE5213" s="17" t="s">
        <v>48</v>
      </c>
      <c r="AF5213" s="17"/>
      <c r="AG5213" s="17"/>
      <c r="AH5213" s="17"/>
      <c r="AI5213" s="17"/>
      <c r="AJ5213" s="17"/>
      <c r="AK5213" s="17"/>
      <c r="AL5213" s="17"/>
      <c r="AM5213" s="17"/>
      <c r="AN5213" s="17"/>
      <c r="AO5213" s="17"/>
      <c r="AP5213" s="17"/>
      <c r="AQ5213" s="17"/>
      <c r="AR5213" s="17"/>
    </row>
    <row r="5214" s="21" customFormat="1" hidden="1" spans="1:44">
      <c r="A5214" s="17" t="s">
        <v>34</v>
      </c>
      <c r="B5214" s="19">
        <v>988</v>
      </c>
      <c r="C5214" s="183">
        <v>45350</v>
      </c>
      <c r="D5214" s="17" t="s">
        <v>35</v>
      </c>
      <c r="E5214" s="17" t="s">
        <v>71</v>
      </c>
      <c r="F5214" s="17" t="s">
        <v>72</v>
      </c>
      <c r="G5214" s="17"/>
      <c r="H5214" s="124">
        <v>1.2379</v>
      </c>
      <c r="I5214" s="124"/>
      <c r="J5214" s="17" t="s">
        <v>39</v>
      </c>
      <c r="K5214" s="19">
        <v>100</v>
      </c>
      <c r="L5214" s="91"/>
      <c r="M5214" s="19">
        <v>5800</v>
      </c>
      <c r="N5214" s="19" t="s">
        <v>40</v>
      </c>
      <c r="O5214" s="19" t="s">
        <v>84</v>
      </c>
      <c r="P5214" s="19">
        <v>3000</v>
      </c>
      <c r="Q5214" s="19">
        <f>1732+981</f>
        <v>2713</v>
      </c>
      <c r="R5214" s="19">
        <f t="shared" si="243"/>
        <v>287</v>
      </c>
      <c r="S5214" s="290">
        <f>2530-32.8</f>
        <v>2497.2</v>
      </c>
      <c r="T5214" s="19" t="s">
        <v>42</v>
      </c>
      <c r="U5214" s="102" t="s">
        <v>1412</v>
      </c>
      <c r="V5214" s="101">
        <v>45351</v>
      </c>
      <c r="W5214" s="17" t="s">
        <v>69</v>
      </c>
      <c r="X5214" s="17"/>
      <c r="Y5214" s="68">
        <v>45444</v>
      </c>
      <c r="Z5214" s="17" t="s">
        <v>1413</v>
      </c>
      <c r="AA5214" s="17" t="s">
        <v>46</v>
      </c>
      <c r="AB5214" s="17" t="s">
        <v>1414</v>
      </c>
      <c r="AC5214" s="66">
        <v>45595</v>
      </c>
      <c r="AD5214" s="65">
        <v>1644</v>
      </c>
      <c r="AE5214" s="17" t="s">
        <v>48</v>
      </c>
      <c r="AF5214" s="17"/>
      <c r="AG5214" s="17"/>
      <c r="AH5214" s="17"/>
      <c r="AI5214" s="17"/>
      <c r="AJ5214" s="17"/>
      <c r="AK5214" s="17"/>
      <c r="AL5214" s="17"/>
      <c r="AM5214" s="17"/>
      <c r="AN5214" s="17"/>
      <c r="AO5214" s="17"/>
      <c r="AP5214" s="17"/>
      <c r="AQ5214" s="17"/>
      <c r="AR5214" s="17"/>
    </row>
    <row r="5215" s="21" customFormat="1" hidden="1" spans="1:44">
      <c r="A5215" s="17" t="s">
        <v>34</v>
      </c>
      <c r="B5215" s="19">
        <v>988</v>
      </c>
      <c r="C5215" s="183">
        <v>45350</v>
      </c>
      <c r="D5215" s="17" t="s">
        <v>35</v>
      </c>
      <c r="E5215" s="17" t="s">
        <v>71</v>
      </c>
      <c r="F5215" s="17" t="s">
        <v>72</v>
      </c>
      <c r="G5215" s="17"/>
      <c r="H5215" s="124">
        <v>1.2379</v>
      </c>
      <c r="I5215" s="124"/>
      <c r="J5215" s="17" t="s">
        <v>39</v>
      </c>
      <c r="K5215" s="19">
        <v>123</v>
      </c>
      <c r="L5215" s="91"/>
      <c r="M5215" s="19">
        <v>5800</v>
      </c>
      <c r="N5215" s="19" t="s">
        <v>40</v>
      </c>
      <c r="O5215" s="19" t="s">
        <v>84</v>
      </c>
      <c r="P5215" s="19">
        <v>6000</v>
      </c>
      <c r="Q5215" s="19">
        <f>846+6200</f>
        <v>7046</v>
      </c>
      <c r="R5215" s="19">
        <f t="shared" si="243"/>
        <v>-1046</v>
      </c>
      <c r="S5215" s="290">
        <f>2530-32.8</f>
        <v>2497.2</v>
      </c>
      <c r="T5215" s="19" t="s">
        <v>42</v>
      </c>
      <c r="U5215" s="102" t="s">
        <v>1412</v>
      </c>
      <c r="V5215" s="101">
        <v>45351</v>
      </c>
      <c r="W5215" s="17" t="s">
        <v>69</v>
      </c>
      <c r="X5215" s="17"/>
      <c r="Y5215" s="68">
        <v>45444</v>
      </c>
      <c r="Z5215" s="17" t="s">
        <v>1413</v>
      </c>
      <c r="AA5215" s="17" t="s">
        <v>46</v>
      </c>
      <c r="AB5215" s="17" t="s">
        <v>1414</v>
      </c>
      <c r="AC5215" s="66">
        <v>45595</v>
      </c>
      <c r="AD5215" s="65">
        <v>1644</v>
      </c>
      <c r="AE5215" s="17" t="s">
        <v>48</v>
      </c>
      <c r="AF5215" s="17"/>
      <c r="AG5215" s="17"/>
      <c r="AH5215" s="17"/>
      <c r="AI5215" s="17"/>
      <c r="AJ5215" s="17"/>
      <c r="AK5215" s="17"/>
      <c r="AL5215" s="17"/>
      <c r="AM5215" s="17"/>
      <c r="AN5215" s="17"/>
      <c r="AO5215" s="17"/>
      <c r="AP5215" s="17"/>
      <c r="AQ5215" s="17"/>
      <c r="AR5215" s="17"/>
    </row>
    <row r="5216" s="21" customFormat="1" hidden="1" spans="1:44">
      <c r="A5216" s="17" t="s">
        <v>34</v>
      </c>
      <c r="B5216" s="19">
        <v>988</v>
      </c>
      <c r="C5216" s="183">
        <v>45350</v>
      </c>
      <c r="D5216" s="17" t="s">
        <v>35</v>
      </c>
      <c r="E5216" s="17" t="s">
        <v>71</v>
      </c>
      <c r="F5216" s="17" t="s">
        <v>72</v>
      </c>
      <c r="G5216" s="17"/>
      <c r="H5216" s="124">
        <v>1.2379</v>
      </c>
      <c r="I5216" s="124"/>
      <c r="J5216" s="17" t="s">
        <v>39</v>
      </c>
      <c r="K5216" s="19">
        <v>125</v>
      </c>
      <c r="L5216" s="91"/>
      <c r="M5216" s="19">
        <v>5800</v>
      </c>
      <c r="N5216" s="19" t="s">
        <v>40</v>
      </c>
      <c r="O5216" s="19" t="s">
        <v>84</v>
      </c>
      <c r="P5216" s="19">
        <v>1000</v>
      </c>
      <c r="Q5216" s="19">
        <v>816</v>
      </c>
      <c r="R5216" s="19">
        <f t="shared" si="243"/>
        <v>184</v>
      </c>
      <c r="S5216" s="290">
        <f>2530-32.8</f>
        <v>2497.2</v>
      </c>
      <c r="T5216" s="19" t="s">
        <v>42</v>
      </c>
      <c r="U5216" s="102" t="s">
        <v>1412</v>
      </c>
      <c r="V5216" s="101">
        <v>45351</v>
      </c>
      <c r="W5216" s="17" t="s">
        <v>69</v>
      </c>
      <c r="X5216" s="17"/>
      <c r="Y5216" s="68">
        <v>45444</v>
      </c>
      <c r="Z5216" s="17" t="s">
        <v>1413</v>
      </c>
      <c r="AA5216" s="17" t="s">
        <v>46</v>
      </c>
      <c r="AB5216" s="17" t="s">
        <v>1414</v>
      </c>
      <c r="AC5216" s="66">
        <v>45595</v>
      </c>
      <c r="AD5216" s="65">
        <v>1644</v>
      </c>
      <c r="AE5216" s="17" t="s">
        <v>48</v>
      </c>
      <c r="AF5216" s="17"/>
      <c r="AG5216" s="17"/>
      <c r="AH5216" s="17"/>
      <c r="AI5216" s="17"/>
      <c r="AJ5216" s="17"/>
      <c r="AK5216" s="17"/>
      <c r="AL5216" s="17"/>
      <c r="AM5216" s="17"/>
      <c r="AN5216" s="17"/>
      <c r="AO5216" s="17"/>
      <c r="AP5216" s="17"/>
      <c r="AQ5216" s="17"/>
      <c r="AR5216" s="17"/>
    </row>
    <row r="5217" s="21" customFormat="1" hidden="1" spans="1:44">
      <c r="A5217" s="17" t="s">
        <v>34</v>
      </c>
      <c r="B5217" s="19">
        <v>989</v>
      </c>
      <c r="C5217" s="183">
        <v>45351</v>
      </c>
      <c r="D5217" s="17" t="s">
        <v>35</v>
      </c>
      <c r="E5217" s="17" t="s">
        <v>71</v>
      </c>
      <c r="F5217" s="17" t="s">
        <v>72</v>
      </c>
      <c r="G5217" s="17"/>
      <c r="H5217" s="124">
        <v>1.2379</v>
      </c>
      <c r="I5217" s="124"/>
      <c r="J5217" s="17" t="s">
        <v>82</v>
      </c>
      <c r="K5217" s="91">
        <v>610</v>
      </c>
      <c r="L5217" s="91">
        <v>32</v>
      </c>
      <c r="M5217" s="19"/>
      <c r="N5217" s="19" t="s">
        <v>40</v>
      </c>
      <c r="O5217" s="19" t="s">
        <v>141</v>
      </c>
      <c r="P5217" s="19">
        <v>3000</v>
      </c>
      <c r="Q5217" s="19">
        <f>1572+1608</f>
        <v>3180</v>
      </c>
      <c r="R5217" s="19">
        <f t="shared" si="243"/>
        <v>-180</v>
      </c>
      <c r="S5217" s="19">
        <f t="shared" ref="S5217:S5229" si="244">2460-15</f>
        <v>2445</v>
      </c>
      <c r="T5217" s="19" t="s">
        <v>42</v>
      </c>
      <c r="U5217" s="102" t="s">
        <v>1415</v>
      </c>
      <c r="V5217" s="101">
        <v>45351</v>
      </c>
      <c r="W5217" s="17" t="s">
        <v>69</v>
      </c>
      <c r="X5217" s="17"/>
      <c r="Y5217" s="68">
        <v>45444</v>
      </c>
      <c r="Z5217" s="17" t="s">
        <v>1413</v>
      </c>
      <c r="AA5217" s="17" t="s">
        <v>46</v>
      </c>
      <c r="AB5217" s="17" t="s">
        <v>1416</v>
      </c>
      <c r="AC5217" s="66">
        <v>45509</v>
      </c>
      <c r="AD5217" s="65">
        <v>1611</v>
      </c>
      <c r="AE5217" s="17" t="s">
        <v>48</v>
      </c>
      <c r="AF5217" s="17" t="s">
        <v>1315</v>
      </c>
      <c r="AG5217" s="17"/>
      <c r="AH5217" s="17"/>
      <c r="AI5217" s="17"/>
      <c r="AJ5217" s="17"/>
      <c r="AK5217" s="17"/>
      <c r="AL5217" s="17"/>
      <c r="AM5217" s="17"/>
      <c r="AN5217" s="17"/>
      <c r="AO5217" s="17"/>
      <c r="AP5217" s="17"/>
      <c r="AQ5217" s="17"/>
      <c r="AR5217" s="17"/>
    </row>
    <row r="5218" s="21" customFormat="1" hidden="1" spans="1:44">
      <c r="A5218" s="17" t="s">
        <v>34</v>
      </c>
      <c r="B5218" s="19">
        <v>989</v>
      </c>
      <c r="C5218" s="183">
        <v>45351</v>
      </c>
      <c r="D5218" s="17" t="s">
        <v>35</v>
      </c>
      <c r="E5218" s="17" t="s">
        <v>71</v>
      </c>
      <c r="F5218" s="17" t="s">
        <v>72</v>
      </c>
      <c r="G5218" s="17"/>
      <c r="H5218" s="124">
        <v>1.2379</v>
      </c>
      <c r="I5218" s="124"/>
      <c r="J5218" s="17" t="s">
        <v>82</v>
      </c>
      <c r="K5218" s="91">
        <v>610</v>
      </c>
      <c r="L5218" s="91">
        <v>41</v>
      </c>
      <c r="M5218" s="19"/>
      <c r="N5218" s="19" t="s">
        <v>40</v>
      </c>
      <c r="O5218" s="19" t="s">
        <v>141</v>
      </c>
      <c r="P5218" s="19">
        <v>3000</v>
      </c>
      <c r="Q5218" s="19">
        <v>2986</v>
      </c>
      <c r="R5218" s="19">
        <f t="shared" si="243"/>
        <v>14</v>
      </c>
      <c r="S5218" s="19">
        <f t="shared" si="244"/>
        <v>2445</v>
      </c>
      <c r="T5218" s="19" t="s">
        <v>42</v>
      </c>
      <c r="U5218" s="102" t="s">
        <v>1415</v>
      </c>
      <c r="V5218" s="101">
        <v>45351</v>
      </c>
      <c r="W5218" s="17" t="s">
        <v>69</v>
      </c>
      <c r="X5218" s="17"/>
      <c r="Y5218" s="68">
        <v>45444</v>
      </c>
      <c r="Z5218" s="17" t="s">
        <v>1413</v>
      </c>
      <c r="AA5218" s="17" t="s">
        <v>46</v>
      </c>
      <c r="AB5218" s="17" t="s">
        <v>1416</v>
      </c>
      <c r="AC5218" s="66">
        <v>45509</v>
      </c>
      <c r="AD5218" s="65">
        <v>1611</v>
      </c>
      <c r="AE5218" s="17" t="s">
        <v>48</v>
      </c>
      <c r="AF5218" s="17" t="s">
        <v>1315</v>
      </c>
      <c r="AG5218" s="17"/>
      <c r="AH5218" s="17"/>
      <c r="AI5218" s="17"/>
      <c r="AJ5218" s="17"/>
      <c r="AK5218" s="17"/>
      <c r="AL5218" s="17"/>
      <c r="AM5218" s="17"/>
      <c r="AN5218" s="17"/>
      <c r="AO5218" s="17"/>
      <c r="AP5218" s="17"/>
      <c r="AQ5218" s="17"/>
      <c r="AR5218" s="17"/>
    </row>
    <row r="5219" s="21" customFormat="1" hidden="1" spans="1:44">
      <c r="A5219" s="17" t="s">
        <v>34</v>
      </c>
      <c r="B5219" s="19">
        <v>989</v>
      </c>
      <c r="C5219" s="183">
        <v>45351</v>
      </c>
      <c r="D5219" s="17" t="s">
        <v>35</v>
      </c>
      <c r="E5219" s="17" t="s">
        <v>71</v>
      </c>
      <c r="F5219" s="17" t="s">
        <v>72</v>
      </c>
      <c r="G5219" s="17"/>
      <c r="H5219" s="124">
        <v>1.2379</v>
      </c>
      <c r="I5219" s="124"/>
      <c r="J5219" s="17" t="s">
        <v>82</v>
      </c>
      <c r="K5219" s="91">
        <v>610</v>
      </c>
      <c r="L5219" s="91">
        <v>52</v>
      </c>
      <c r="M5219" s="19"/>
      <c r="N5219" s="19" t="s">
        <v>40</v>
      </c>
      <c r="O5219" s="19" t="s">
        <v>141</v>
      </c>
      <c r="P5219" s="19">
        <v>3000</v>
      </c>
      <c r="Q5219" s="19">
        <f>1200+1282</f>
        <v>2482</v>
      </c>
      <c r="R5219" s="19">
        <f t="shared" si="243"/>
        <v>518</v>
      </c>
      <c r="S5219" s="19">
        <f t="shared" si="244"/>
        <v>2445</v>
      </c>
      <c r="T5219" s="19" t="s">
        <v>42</v>
      </c>
      <c r="U5219" s="102" t="s">
        <v>1415</v>
      </c>
      <c r="V5219" s="101">
        <v>45351</v>
      </c>
      <c r="W5219" s="17" t="s">
        <v>69</v>
      </c>
      <c r="X5219" s="17"/>
      <c r="Y5219" s="68">
        <v>45444</v>
      </c>
      <c r="Z5219" s="17" t="s">
        <v>1413</v>
      </c>
      <c r="AA5219" s="17" t="s">
        <v>46</v>
      </c>
      <c r="AB5219" s="17" t="s">
        <v>1416</v>
      </c>
      <c r="AC5219" s="66">
        <v>45509</v>
      </c>
      <c r="AD5219" s="65">
        <v>1611</v>
      </c>
      <c r="AE5219" s="17" t="s">
        <v>48</v>
      </c>
      <c r="AF5219" s="17" t="s">
        <v>1315</v>
      </c>
      <c r="AG5219" s="17"/>
      <c r="AH5219" s="17"/>
      <c r="AI5219" s="17"/>
      <c r="AJ5219" s="17"/>
      <c r="AK5219" s="17"/>
      <c r="AL5219" s="17"/>
      <c r="AM5219" s="17"/>
      <c r="AN5219" s="17"/>
      <c r="AO5219" s="17"/>
      <c r="AP5219" s="17"/>
      <c r="AQ5219" s="17"/>
      <c r="AR5219" s="17"/>
    </row>
    <row r="5220" s="21" customFormat="1" hidden="1" spans="1:44">
      <c r="A5220" s="17" t="s">
        <v>34</v>
      </c>
      <c r="B5220" s="19">
        <v>989</v>
      </c>
      <c r="C5220" s="183">
        <v>45351</v>
      </c>
      <c r="D5220" s="17" t="s">
        <v>35</v>
      </c>
      <c r="E5220" s="17" t="s">
        <v>71</v>
      </c>
      <c r="F5220" s="17" t="s">
        <v>72</v>
      </c>
      <c r="G5220" s="17"/>
      <c r="H5220" s="124">
        <v>1.2379</v>
      </c>
      <c r="I5220" s="124"/>
      <c r="J5220" s="17" t="s">
        <v>82</v>
      </c>
      <c r="K5220" s="91">
        <v>610</v>
      </c>
      <c r="L5220" s="91">
        <v>65</v>
      </c>
      <c r="M5220" s="19"/>
      <c r="N5220" s="19" t="s">
        <v>40</v>
      </c>
      <c r="O5220" s="19" t="s">
        <v>141</v>
      </c>
      <c r="P5220" s="19">
        <v>3000</v>
      </c>
      <c r="Q5220" s="19">
        <f>1264+1014</f>
        <v>2278</v>
      </c>
      <c r="R5220" s="19">
        <f t="shared" si="243"/>
        <v>722</v>
      </c>
      <c r="S5220" s="19">
        <f t="shared" si="244"/>
        <v>2445</v>
      </c>
      <c r="T5220" s="19" t="s">
        <v>42</v>
      </c>
      <c r="U5220" s="102" t="s">
        <v>1415</v>
      </c>
      <c r="V5220" s="101">
        <v>45351</v>
      </c>
      <c r="W5220" s="17" t="s">
        <v>69</v>
      </c>
      <c r="X5220" s="17"/>
      <c r="Y5220" s="68">
        <v>45444</v>
      </c>
      <c r="Z5220" s="17" t="s">
        <v>1413</v>
      </c>
      <c r="AA5220" s="17" t="s">
        <v>46</v>
      </c>
      <c r="AB5220" s="17" t="s">
        <v>1416</v>
      </c>
      <c r="AC5220" s="66">
        <v>45509</v>
      </c>
      <c r="AD5220" s="65">
        <v>1611</v>
      </c>
      <c r="AE5220" s="17" t="s">
        <v>48</v>
      </c>
      <c r="AF5220" s="17" t="s">
        <v>1315</v>
      </c>
      <c r="AG5220" s="17"/>
      <c r="AH5220" s="17"/>
      <c r="AI5220" s="17"/>
      <c r="AJ5220" s="17"/>
      <c r="AK5220" s="17"/>
      <c r="AL5220" s="17"/>
      <c r="AM5220" s="17"/>
      <c r="AN5220" s="17"/>
      <c r="AO5220" s="17"/>
      <c r="AP5220" s="17"/>
      <c r="AQ5220" s="17"/>
      <c r="AR5220" s="17"/>
    </row>
    <row r="5221" s="21" customFormat="1" hidden="1" spans="1:44">
      <c r="A5221" s="17" t="s">
        <v>34</v>
      </c>
      <c r="B5221" s="19">
        <v>989</v>
      </c>
      <c r="C5221" s="183">
        <v>45351</v>
      </c>
      <c r="D5221" s="17" t="s">
        <v>35</v>
      </c>
      <c r="E5221" s="17" t="s">
        <v>71</v>
      </c>
      <c r="F5221" s="17" t="s">
        <v>72</v>
      </c>
      <c r="G5221" s="17"/>
      <c r="H5221" s="124">
        <v>1.2379</v>
      </c>
      <c r="I5221" s="124"/>
      <c r="J5221" s="17" t="s">
        <v>82</v>
      </c>
      <c r="K5221" s="91">
        <v>610</v>
      </c>
      <c r="L5221" s="91">
        <v>80</v>
      </c>
      <c r="M5221" s="19"/>
      <c r="N5221" s="19" t="s">
        <v>40</v>
      </c>
      <c r="O5221" s="19" t="s">
        <v>141</v>
      </c>
      <c r="P5221" s="19">
        <v>3000</v>
      </c>
      <c r="Q5221" s="19">
        <f>1378+1530</f>
        <v>2908</v>
      </c>
      <c r="R5221" s="19">
        <f t="shared" si="243"/>
        <v>92</v>
      </c>
      <c r="S5221" s="19">
        <f t="shared" si="244"/>
        <v>2445</v>
      </c>
      <c r="T5221" s="19" t="s">
        <v>42</v>
      </c>
      <c r="U5221" s="102" t="s">
        <v>1415</v>
      </c>
      <c r="V5221" s="101">
        <v>45351</v>
      </c>
      <c r="W5221" s="17" t="s">
        <v>69</v>
      </c>
      <c r="X5221" s="17"/>
      <c r="Y5221" s="68">
        <v>45444</v>
      </c>
      <c r="Z5221" s="17" t="s">
        <v>1413</v>
      </c>
      <c r="AA5221" s="17" t="s">
        <v>46</v>
      </c>
      <c r="AB5221" s="17" t="s">
        <v>1416</v>
      </c>
      <c r="AC5221" s="66">
        <v>45509</v>
      </c>
      <c r="AD5221" s="65">
        <v>1611</v>
      </c>
      <c r="AE5221" s="17" t="s">
        <v>48</v>
      </c>
      <c r="AF5221" s="17" t="s">
        <v>1315</v>
      </c>
      <c r="AG5221" s="17"/>
      <c r="AH5221" s="17"/>
      <c r="AI5221" s="17"/>
      <c r="AJ5221" s="17"/>
      <c r="AK5221" s="17"/>
      <c r="AL5221" s="17"/>
      <c r="AM5221" s="17"/>
      <c r="AN5221" s="17"/>
      <c r="AO5221" s="17"/>
      <c r="AP5221" s="17"/>
      <c r="AQ5221" s="17"/>
      <c r="AR5221" s="17"/>
    </row>
    <row r="5222" s="21" customFormat="1" hidden="1" spans="1:44">
      <c r="A5222" s="17" t="s">
        <v>34</v>
      </c>
      <c r="B5222" s="19">
        <v>989</v>
      </c>
      <c r="C5222" s="183">
        <v>45351</v>
      </c>
      <c r="D5222" s="17" t="s">
        <v>35</v>
      </c>
      <c r="E5222" s="17" t="s">
        <v>71</v>
      </c>
      <c r="F5222" s="17" t="s">
        <v>72</v>
      </c>
      <c r="G5222" s="17"/>
      <c r="H5222" s="124">
        <v>1.2379</v>
      </c>
      <c r="I5222" s="124"/>
      <c r="J5222" s="17" t="s">
        <v>82</v>
      </c>
      <c r="K5222" s="91">
        <v>610</v>
      </c>
      <c r="L5222" s="91">
        <v>105</v>
      </c>
      <c r="M5222" s="19"/>
      <c r="N5222" s="19" t="s">
        <v>40</v>
      </c>
      <c r="O5222" s="19" t="s">
        <v>141</v>
      </c>
      <c r="P5222" s="19">
        <v>3000</v>
      </c>
      <c r="Q5222" s="19">
        <f>1524+1520</f>
        <v>3044</v>
      </c>
      <c r="R5222" s="19">
        <f t="shared" si="243"/>
        <v>-44</v>
      </c>
      <c r="S5222" s="19">
        <f t="shared" si="244"/>
        <v>2445</v>
      </c>
      <c r="T5222" s="19" t="s">
        <v>42</v>
      </c>
      <c r="U5222" s="102" t="s">
        <v>1415</v>
      </c>
      <c r="V5222" s="101">
        <v>45351</v>
      </c>
      <c r="W5222" s="17" t="s">
        <v>69</v>
      </c>
      <c r="X5222" s="17"/>
      <c r="Y5222" s="68">
        <v>45444</v>
      </c>
      <c r="Z5222" s="17" t="s">
        <v>1413</v>
      </c>
      <c r="AA5222" s="17" t="s">
        <v>46</v>
      </c>
      <c r="AB5222" s="17" t="s">
        <v>1416</v>
      </c>
      <c r="AC5222" s="66">
        <v>45509</v>
      </c>
      <c r="AD5222" s="65">
        <v>1611</v>
      </c>
      <c r="AE5222" s="17" t="s">
        <v>48</v>
      </c>
      <c r="AF5222" s="17" t="s">
        <v>1315</v>
      </c>
      <c r="AG5222" s="17"/>
      <c r="AH5222" s="17"/>
      <c r="AI5222" s="17"/>
      <c r="AJ5222" s="17"/>
      <c r="AK5222" s="17"/>
      <c r="AL5222" s="17"/>
      <c r="AM5222" s="17"/>
      <c r="AN5222" s="17"/>
      <c r="AO5222" s="17"/>
      <c r="AP5222" s="17"/>
      <c r="AQ5222" s="17"/>
      <c r="AR5222" s="17"/>
    </row>
    <row r="5223" s="21" customFormat="1" hidden="1" spans="1:44">
      <c r="A5223" s="17" t="s">
        <v>34</v>
      </c>
      <c r="B5223" s="19">
        <v>989</v>
      </c>
      <c r="C5223" s="183">
        <v>45351</v>
      </c>
      <c r="D5223" s="17" t="s">
        <v>35</v>
      </c>
      <c r="E5223" s="17" t="s">
        <v>71</v>
      </c>
      <c r="F5223" s="17" t="s">
        <v>72</v>
      </c>
      <c r="G5223" s="17"/>
      <c r="H5223" s="124">
        <v>1.2379</v>
      </c>
      <c r="I5223" s="124"/>
      <c r="J5223" s="17" t="s">
        <v>82</v>
      </c>
      <c r="K5223" s="91">
        <v>610</v>
      </c>
      <c r="L5223" s="91">
        <v>120</v>
      </c>
      <c r="M5223" s="19"/>
      <c r="N5223" s="19" t="s">
        <v>40</v>
      </c>
      <c r="O5223" s="19" t="s">
        <v>141</v>
      </c>
      <c r="P5223" s="19">
        <v>3000</v>
      </c>
      <c r="Q5223" s="19">
        <v>3220</v>
      </c>
      <c r="R5223" s="19">
        <f t="shared" si="243"/>
        <v>-220</v>
      </c>
      <c r="S5223" s="19">
        <f t="shared" si="244"/>
        <v>2445</v>
      </c>
      <c r="T5223" s="19" t="s">
        <v>42</v>
      </c>
      <c r="U5223" s="102" t="s">
        <v>1415</v>
      </c>
      <c r="V5223" s="101">
        <v>45351</v>
      </c>
      <c r="W5223" s="17" t="s">
        <v>69</v>
      </c>
      <c r="X5223" s="17"/>
      <c r="Y5223" s="68">
        <v>45444</v>
      </c>
      <c r="Z5223" s="17" t="s">
        <v>1413</v>
      </c>
      <c r="AA5223" s="17" t="s">
        <v>46</v>
      </c>
      <c r="AB5223" s="17" t="s">
        <v>1416</v>
      </c>
      <c r="AC5223" s="66">
        <v>45509</v>
      </c>
      <c r="AD5223" s="65">
        <v>1611</v>
      </c>
      <c r="AE5223" s="17" t="s">
        <v>48</v>
      </c>
      <c r="AF5223" s="17" t="s">
        <v>1315</v>
      </c>
      <c r="AG5223" s="17"/>
      <c r="AH5223" s="17"/>
      <c r="AI5223" s="17"/>
      <c r="AJ5223" s="17"/>
      <c r="AK5223" s="17"/>
      <c r="AL5223" s="17"/>
      <c r="AM5223" s="17"/>
      <c r="AN5223" s="17"/>
      <c r="AO5223" s="17"/>
      <c r="AP5223" s="17"/>
      <c r="AQ5223" s="17"/>
      <c r="AR5223" s="17"/>
    </row>
    <row r="5224" s="21" customFormat="1" hidden="1" spans="1:44">
      <c r="A5224" s="17" t="s">
        <v>34</v>
      </c>
      <c r="B5224" s="19">
        <v>989</v>
      </c>
      <c r="C5224" s="183">
        <v>45351</v>
      </c>
      <c r="D5224" s="17" t="s">
        <v>35</v>
      </c>
      <c r="E5224" s="17" t="s">
        <v>71</v>
      </c>
      <c r="F5224" s="17" t="s">
        <v>72</v>
      </c>
      <c r="G5224" s="17"/>
      <c r="H5224" s="124">
        <v>1.2379</v>
      </c>
      <c r="I5224" s="124"/>
      <c r="J5224" s="17" t="s">
        <v>82</v>
      </c>
      <c r="K5224" s="91">
        <v>510</v>
      </c>
      <c r="L5224" s="91">
        <v>32</v>
      </c>
      <c r="M5224" s="19"/>
      <c r="N5224" s="19" t="s">
        <v>40</v>
      </c>
      <c r="O5224" s="19" t="s">
        <v>141</v>
      </c>
      <c r="P5224" s="19">
        <v>3000</v>
      </c>
      <c r="Q5224" s="19">
        <v>3066</v>
      </c>
      <c r="R5224" s="19">
        <f t="shared" si="243"/>
        <v>-66</v>
      </c>
      <c r="S5224" s="19">
        <f t="shared" si="244"/>
        <v>2445</v>
      </c>
      <c r="T5224" s="19" t="s">
        <v>42</v>
      </c>
      <c r="U5224" s="102" t="s">
        <v>1415</v>
      </c>
      <c r="V5224" s="101">
        <v>45351</v>
      </c>
      <c r="W5224" s="17" t="s">
        <v>69</v>
      </c>
      <c r="X5224" s="17"/>
      <c r="Y5224" s="68">
        <v>45444</v>
      </c>
      <c r="Z5224" s="17" t="s">
        <v>1413</v>
      </c>
      <c r="AA5224" s="17" t="s">
        <v>46</v>
      </c>
      <c r="AB5224" s="17" t="s">
        <v>1416</v>
      </c>
      <c r="AC5224" s="66">
        <v>45509</v>
      </c>
      <c r="AD5224" s="65">
        <v>1611</v>
      </c>
      <c r="AE5224" s="17" t="s">
        <v>48</v>
      </c>
      <c r="AF5224" s="17" t="s">
        <v>1315</v>
      </c>
      <c r="AG5224" s="17"/>
      <c r="AH5224" s="17"/>
      <c r="AI5224" s="17"/>
      <c r="AJ5224" s="17"/>
      <c r="AK5224" s="17"/>
      <c r="AL5224" s="17"/>
      <c r="AM5224" s="17"/>
      <c r="AN5224" s="17"/>
      <c r="AO5224" s="17"/>
      <c r="AP5224" s="17"/>
      <c r="AQ5224" s="17"/>
      <c r="AR5224" s="17"/>
    </row>
    <row r="5225" s="21" customFormat="1" hidden="1" spans="1:44">
      <c r="A5225" s="17" t="s">
        <v>34</v>
      </c>
      <c r="B5225" s="19">
        <v>989</v>
      </c>
      <c r="C5225" s="183">
        <v>45351</v>
      </c>
      <c r="D5225" s="17" t="s">
        <v>35</v>
      </c>
      <c r="E5225" s="17" t="s">
        <v>71</v>
      </c>
      <c r="F5225" s="17" t="s">
        <v>72</v>
      </c>
      <c r="G5225" s="17"/>
      <c r="H5225" s="124">
        <v>1.2379</v>
      </c>
      <c r="I5225" s="124"/>
      <c r="J5225" s="17" t="s">
        <v>82</v>
      </c>
      <c r="K5225" s="91">
        <v>510</v>
      </c>
      <c r="L5225" s="91">
        <v>41</v>
      </c>
      <c r="M5225" s="19"/>
      <c r="N5225" s="19" t="s">
        <v>40</v>
      </c>
      <c r="O5225" s="19" t="s">
        <v>141</v>
      </c>
      <c r="P5225" s="19">
        <v>3000</v>
      </c>
      <c r="Q5225" s="19">
        <f>1550+1536</f>
        <v>3086</v>
      </c>
      <c r="R5225" s="19">
        <f t="shared" si="243"/>
        <v>-86</v>
      </c>
      <c r="S5225" s="19">
        <f t="shared" si="244"/>
        <v>2445</v>
      </c>
      <c r="T5225" s="19" t="s">
        <v>42</v>
      </c>
      <c r="U5225" s="102" t="s">
        <v>1415</v>
      </c>
      <c r="V5225" s="101">
        <v>45351</v>
      </c>
      <c r="W5225" s="17" t="s">
        <v>69</v>
      </c>
      <c r="X5225" s="17"/>
      <c r="Y5225" s="68">
        <v>45444</v>
      </c>
      <c r="Z5225" s="17" t="s">
        <v>1413</v>
      </c>
      <c r="AA5225" s="17" t="s">
        <v>46</v>
      </c>
      <c r="AB5225" s="17" t="s">
        <v>1416</v>
      </c>
      <c r="AC5225" s="66">
        <v>45509</v>
      </c>
      <c r="AD5225" s="65">
        <v>1611</v>
      </c>
      <c r="AE5225" s="17" t="s">
        <v>48</v>
      </c>
      <c r="AF5225" s="17" t="s">
        <v>1315</v>
      </c>
      <c r="AG5225" s="17"/>
      <c r="AH5225" s="17"/>
      <c r="AI5225" s="17"/>
      <c r="AJ5225" s="17"/>
      <c r="AK5225" s="17"/>
      <c r="AL5225" s="17"/>
      <c r="AM5225" s="17"/>
      <c r="AN5225" s="17"/>
      <c r="AO5225" s="17"/>
      <c r="AP5225" s="17"/>
      <c r="AQ5225" s="17"/>
      <c r="AR5225" s="17"/>
    </row>
    <row r="5226" s="21" customFormat="1" hidden="1" spans="1:44">
      <c r="A5226" s="17" t="s">
        <v>34</v>
      </c>
      <c r="B5226" s="19">
        <v>989</v>
      </c>
      <c r="C5226" s="183">
        <v>45351</v>
      </c>
      <c r="D5226" s="17" t="s">
        <v>35</v>
      </c>
      <c r="E5226" s="17" t="s">
        <v>71</v>
      </c>
      <c r="F5226" s="17" t="s">
        <v>72</v>
      </c>
      <c r="G5226" s="17"/>
      <c r="H5226" s="124">
        <v>1.2379</v>
      </c>
      <c r="I5226" s="124"/>
      <c r="J5226" s="17" t="s">
        <v>82</v>
      </c>
      <c r="K5226" s="91">
        <v>510</v>
      </c>
      <c r="L5226" s="91">
        <v>52</v>
      </c>
      <c r="M5226" s="19"/>
      <c r="N5226" s="19" t="s">
        <v>40</v>
      </c>
      <c r="O5226" s="19" t="s">
        <v>141</v>
      </c>
      <c r="P5226" s="19">
        <v>3000</v>
      </c>
      <c r="Q5226" s="19">
        <v>2946</v>
      </c>
      <c r="R5226" s="19">
        <f t="shared" si="243"/>
        <v>54</v>
      </c>
      <c r="S5226" s="19">
        <f t="shared" si="244"/>
        <v>2445</v>
      </c>
      <c r="T5226" s="19" t="s">
        <v>42</v>
      </c>
      <c r="U5226" s="102" t="s">
        <v>1415</v>
      </c>
      <c r="V5226" s="101">
        <v>45351</v>
      </c>
      <c r="W5226" s="17" t="s">
        <v>69</v>
      </c>
      <c r="X5226" s="17"/>
      <c r="Y5226" s="68">
        <v>45444</v>
      </c>
      <c r="Z5226" s="17" t="s">
        <v>1413</v>
      </c>
      <c r="AA5226" s="17" t="s">
        <v>46</v>
      </c>
      <c r="AB5226" s="17" t="s">
        <v>1416</v>
      </c>
      <c r="AC5226" s="66">
        <v>45509</v>
      </c>
      <c r="AD5226" s="65">
        <v>1611</v>
      </c>
      <c r="AE5226" s="17" t="s">
        <v>48</v>
      </c>
      <c r="AF5226" s="17" t="s">
        <v>1315</v>
      </c>
      <c r="AG5226" s="17"/>
      <c r="AH5226" s="17"/>
      <c r="AI5226" s="17"/>
      <c r="AJ5226" s="17"/>
      <c r="AK5226" s="17"/>
      <c r="AL5226" s="17"/>
      <c r="AM5226" s="17"/>
      <c r="AN5226" s="17"/>
      <c r="AO5226" s="17"/>
      <c r="AP5226" s="17"/>
      <c r="AQ5226" s="17"/>
      <c r="AR5226" s="17"/>
    </row>
    <row r="5227" s="21" customFormat="1" hidden="1" spans="1:44">
      <c r="A5227" s="17" t="s">
        <v>34</v>
      </c>
      <c r="B5227" s="19">
        <v>989</v>
      </c>
      <c r="C5227" s="183">
        <v>45351</v>
      </c>
      <c r="D5227" s="17" t="s">
        <v>35</v>
      </c>
      <c r="E5227" s="17" t="s">
        <v>71</v>
      </c>
      <c r="F5227" s="17" t="s">
        <v>72</v>
      </c>
      <c r="G5227" s="17"/>
      <c r="H5227" s="124">
        <v>1.2379</v>
      </c>
      <c r="I5227" s="124"/>
      <c r="J5227" s="17" t="s">
        <v>82</v>
      </c>
      <c r="K5227" s="91">
        <v>510</v>
      </c>
      <c r="L5227" s="91">
        <v>65</v>
      </c>
      <c r="M5227" s="19"/>
      <c r="N5227" s="19" t="s">
        <v>40</v>
      </c>
      <c r="O5227" s="19" t="s">
        <v>141</v>
      </c>
      <c r="P5227" s="19">
        <v>3000</v>
      </c>
      <c r="Q5227" s="19">
        <f>878+1960</f>
        <v>2838</v>
      </c>
      <c r="R5227" s="19">
        <f t="shared" si="243"/>
        <v>162</v>
      </c>
      <c r="S5227" s="19">
        <f t="shared" si="244"/>
        <v>2445</v>
      </c>
      <c r="T5227" s="19" t="s">
        <v>42</v>
      </c>
      <c r="U5227" s="102" t="s">
        <v>1415</v>
      </c>
      <c r="V5227" s="101">
        <v>45351</v>
      </c>
      <c r="W5227" s="17" t="s">
        <v>69</v>
      </c>
      <c r="X5227" s="17"/>
      <c r="Y5227" s="68">
        <v>45444</v>
      </c>
      <c r="Z5227" s="17" t="s">
        <v>1413</v>
      </c>
      <c r="AA5227" s="17" t="s">
        <v>46</v>
      </c>
      <c r="AB5227" s="17" t="s">
        <v>1416</v>
      </c>
      <c r="AC5227" s="66">
        <v>45509</v>
      </c>
      <c r="AD5227" s="65">
        <v>1611</v>
      </c>
      <c r="AE5227" s="17" t="s">
        <v>48</v>
      </c>
      <c r="AF5227" s="17" t="s">
        <v>1315</v>
      </c>
      <c r="AG5227" s="17"/>
      <c r="AH5227" s="17"/>
      <c r="AI5227" s="17"/>
      <c r="AJ5227" s="17"/>
      <c r="AK5227" s="17"/>
      <c r="AL5227" s="17"/>
      <c r="AM5227" s="17"/>
      <c r="AN5227" s="17"/>
      <c r="AO5227" s="17"/>
      <c r="AP5227" s="17"/>
      <c r="AQ5227" s="17"/>
      <c r="AR5227" s="17"/>
    </row>
    <row r="5228" s="21" customFormat="1" hidden="1" spans="1:44">
      <c r="A5228" s="22" t="s">
        <v>34</v>
      </c>
      <c r="B5228" s="147">
        <v>989</v>
      </c>
      <c r="C5228" s="319">
        <v>45351</v>
      </c>
      <c r="D5228" s="22" t="s">
        <v>35</v>
      </c>
      <c r="E5228" s="22" t="s">
        <v>71</v>
      </c>
      <c r="F5228" s="22" t="s">
        <v>72</v>
      </c>
      <c r="G5228" s="22"/>
      <c r="H5228" s="141">
        <v>1.2379</v>
      </c>
      <c r="I5228" s="141"/>
      <c r="J5228" s="22" t="s">
        <v>82</v>
      </c>
      <c r="K5228" s="91">
        <v>510</v>
      </c>
      <c r="L5228" s="91">
        <v>80</v>
      </c>
      <c r="M5228" s="147"/>
      <c r="N5228" s="19" t="s">
        <v>40</v>
      </c>
      <c r="O5228" s="19" t="s">
        <v>141</v>
      </c>
      <c r="P5228" s="19">
        <v>3000</v>
      </c>
      <c r="Q5228" s="147">
        <f>1582+1554</f>
        <v>3136</v>
      </c>
      <c r="R5228" s="19">
        <f t="shared" si="243"/>
        <v>-136</v>
      </c>
      <c r="S5228" s="19">
        <f t="shared" si="244"/>
        <v>2445</v>
      </c>
      <c r="T5228" s="19" t="s">
        <v>42</v>
      </c>
      <c r="U5228" s="102" t="s">
        <v>1415</v>
      </c>
      <c r="V5228" s="101">
        <v>45351</v>
      </c>
      <c r="W5228" s="17" t="s">
        <v>69</v>
      </c>
      <c r="X5228" s="17"/>
      <c r="Y5228" s="68">
        <v>45444</v>
      </c>
      <c r="Z5228" s="17" t="s">
        <v>1413</v>
      </c>
      <c r="AA5228" s="17" t="s">
        <v>46</v>
      </c>
      <c r="AB5228" s="17" t="s">
        <v>1416</v>
      </c>
      <c r="AC5228" s="66">
        <v>45509</v>
      </c>
      <c r="AD5228" s="65">
        <v>1611</v>
      </c>
      <c r="AE5228" s="17" t="s">
        <v>48</v>
      </c>
      <c r="AF5228" s="17" t="s">
        <v>1315</v>
      </c>
      <c r="AG5228" s="22"/>
      <c r="AH5228" s="22"/>
      <c r="AI5228" s="22"/>
      <c r="AJ5228" s="22"/>
      <c r="AK5228" s="22"/>
      <c r="AL5228" s="22"/>
      <c r="AM5228" s="22"/>
      <c r="AN5228" s="22"/>
      <c r="AO5228" s="22"/>
      <c r="AP5228" s="22"/>
      <c r="AQ5228" s="22"/>
      <c r="AR5228" s="22"/>
    </row>
    <row r="5229" s="17" customFormat="1" hidden="1" spans="1:44">
      <c r="A5229" s="17" t="s">
        <v>34</v>
      </c>
      <c r="B5229" s="147">
        <v>989</v>
      </c>
      <c r="C5229" s="319">
        <v>45351</v>
      </c>
      <c r="D5229" s="22" t="s">
        <v>35</v>
      </c>
      <c r="E5229" s="22" t="s">
        <v>71</v>
      </c>
      <c r="F5229" s="22" t="s">
        <v>72</v>
      </c>
      <c r="G5229" s="22"/>
      <c r="H5229" s="141">
        <v>1.2379</v>
      </c>
      <c r="I5229" s="141"/>
      <c r="J5229" s="22" t="s">
        <v>82</v>
      </c>
      <c r="K5229" s="91">
        <v>510</v>
      </c>
      <c r="L5229" s="91">
        <v>105</v>
      </c>
      <c r="M5229" s="147"/>
      <c r="N5229" s="19" t="s">
        <v>40</v>
      </c>
      <c r="O5229" s="19" t="s">
        <v>141</v>
      </c>
      <c r="P5229" s="19">
        <v>3000</v>
      </c>
      <c r="Q5229" s="147">
        <f>1594+1584</f>
        <v>3178</v>
      </c>
      <c r="R5229" s="19">
        <f t="shared" si="243"/>
        <v>-178</v>
      </c>
      <c r="S5229" s="19">
        <f t="shared" si="244"/>
        <v>2445</v>
      </c>
      <c r="T5229" s="19" t="s">
        <v>42</v>
      </c>
      <c r="U5229" s="102" t="s">
        <v>1415</v>
      </c>
      <c r="V5229" s="101">
        <v>45351</v>
      </c>
      <c r="W5229" s="17" t="s">
        <v>69</v>
      </c>
      <c r="Y5229" s="68">
        <v>45444</v>
      </c>
      <c r="Z5229" s="17" t="s">
        <v>1413</v>
      </c>
      <c r="AA5229" s="17" t="s">
        <v>46</v>
      </c>
      <c r="AB5229" s="17" t="s">
        <v>1416</v>
      </c>
      <c r="AC5229" s="66">
        <v>45509</v>
      </c>
      <c r="AD5229" s="65">
        <v>1611</v>
      </c>
      <c r="AE5229" s="17" t="s">
        <v>48</v>
      </c>
      <c r="AF5229" s="17" t="s">
        <v>1315</v>
      </c>
    </row>
    <row r="5230" s="17" customFormat="1" hidden="1" spans="1:44">
      <c r="A5230" s="17" t="s">
        <v>34</v>
      </c>
      <c r="B5230" s="19">
        <v>990</v>
      </c>
      <c r="C5230" s="183">
        <v>45362</v>
      </c>
      <c r="D5230" s="22" t="s">
        <v>35</v>
      </c>
      <c r="E5230" s="17" t="s">
        <v>718</v>
      </c>
      <c r="F5230" s="17" t="s">
        <v>37</v>
      </c>
      <c r="H5230" s="141" t="s">
        <v>38</v>
      </c>
      <c r="I5230" s="141"/>
      <c r="J5230" s="17" t="s">
        <v>82</v>
      </c>
      <c r="K5230" s="19">
        <v>510</v>
      </c>
      <c r="L5230" s="91">
        <v>210</v>
      </c>
      <c r="M5230" s="19">
        <v>2000</v>
      </c>
      <c r="N5230" s="19" t="s">
        <v>40</v>
      </c>
      <c r="O5230" s="19" t="s">
        <v>50</v>
      </c>
      <c r="P5230" s="19">
        <v>6000</v>
      </c>
      <c r="Q5230" s="19">
        <v>3818</v>
      </c>
      <c r="R5230" s="19">
        <f t="shared" si="243"/>
        <v>2182</v>
      </c>
      <c r="S5230" s="19">
        <f>3225+135</f>
        <v>3360</v>
      </c>
      <c r="T5230" s="19" t="s">
        <v>42</v>
      </c>
      <c r="U5230" s="102" t="s">
        <v>1417</v>
      </c>
      <c r="V5230" s="186">
        <v>45365</v>
      </c>
      <c r="W5230" s="17" t="s">
        <v>58</v>
      </c>
      <c r="Y5230" s="68">
        <v>45536</v>
      </c>
      <c r="Z5230" s="17" t="s">
        <v>78</v>
      </c>
      <c r="AA5230" s="17" t="s">
        <v>46</v>
      </c>
      <c r="AB5230" s="17" t="s">
        <v>1385</v>
      </c>
      <c r="AC5230" s="217">
        <v>45503</v>
      </c>
      <c r="AD5230" s="65">
        <v>1585</v>
      </c>
      <c r="AE5230" s="17" t="s">
        <v>48</v>
      </c>
    </row>
    <row r="5231" s="17" customFormat="1" hidden="1" spans="1:44">
      <c r="A5231" s="17" t="s">
        <v>34</v>
      </c>
      <c r="B5231" s="19">
        <v>992</v>
      </c>
      <c r="C5231" s="183">
        <v>45367</v>
      </c>
      <c r="D5231" s="22" t="s">
        <v>52</v>
      </c>
      <c r="E5231" s="17" t="s">
        <v>1113</v>
      </c>
      <c r="F5231" s="17" t="s">
        <v>54</v>
      </c>
      <c r="H5231" s="141" t="s">
        <v>1114</v>
      </c>
      <c r="I5231" s="141"/>
      <c r="J5231" s="17" t="s">
        <v>49</v>
      </c>
      <c r="K5231" s="19">
        <v>2200</v>
      </c>
      <c r="L5231" s="19">
        <v>130</v>
      </c>
      <c r="M5231" s="19">
        <v>5800</v>
      </c>
      <c r="N5231" s="19" t="s">
        <v>66</v>
      </c>
      <c r="O5231" s="19" t="s">
        <v>141</v>
      </c>
      <c r="P5231" s="19">
        <f>10103+12348</f>
        <v>22451</v>
      </c>
      <c r="Q5231" s="19">
        <f>10660+10600</f>
        <v>21260</v>
      </c>
      <c r="R5231" s="242">
        <f t="shared" si="243"/>
        <v>1191</v>
      </c>
      <c r="S5231" s="19">
        <f>1123+80</f>
        <v>1203</v>
      </c>
      <c r="T5231" s="19" t="s">
        <v>42</v>
      </c>
      <c r="U5231" s="102" t="s">
        <v>1418</v>
      </c>
      <c r="V5231" s="186">
        <v>45387</v>
      </c>
      <c r="W5231" s="17" t="s">
        <v>44</v>
      </c>
      <c r="Y5231" s="68">
        <v>45383</v>
      </c>
      <c r="Z5231" s="17" t="s">
        <v>191</v>
      </c>
      <c r="AA5231" s="17" t="s">
        <v>46</v>
      </c>
      <c r="AB5231" s="17" t="s">
        <v>1344</v>
      </c>
      <c r="AC5231" s="217">
        <v>45495</v>
      </c>
      <c r="AD5231" s="65">
        <v>1599</v>
      </c>
      <c r="AE5231" s="17" t="s">
        <v>129</v>
      </c>
    </row>
    <row r="5232" s="17" customFormat="1" hidden="1" spans="1:44">
      <c r="A5232" s="17" t="s">
        <v>34</v>
      </c>
      <c r="B5232" s="19">
        <v>992</v>
      </c>
      <c r="C5232" s="183">
        <v>45367</v>
      </c>
      <c r="D5232" s="22" t="s">
        <v>52</v>
      </c>
      <c r="E5232" s="17" t="s">
        <v>1113</v>
      </c>
      <c r="F5232" s="17" t="s">
        <v>54</v>
      </c>
      <c r="H5232" s="141" t="s">
        <v>1114</v>
      </c>
      <c r="I5232" s="141"/>
      <c r="J5232" s="17" t="s">
        <v>49</v>
      </c>
      <c r="K5232" s="19">
        <v>2200</v>
      </c>
      <c r="L5232" s="19">
        <v>140</v>
      </c>
      <c r="M5232" s="19"/>
      <c r="N5232" s="19" t="s">
        <v>66</v>
      </c>
      <c r="O5232" s="19" t="s">
        <v>141</v>
      </c>
      <c r="P5232" s="19">
        <v>19782</v>
      </c>
      <c r="Q5232" s="19">
        <f>11010</f>
        <v>11010</v>
      </c>
      <c r="S5232" s="19">
        <v>1123</v>
      </c>
      <c r="T5232" s="19" t="s">
        <v>42</v>
      </c>
      <c r="U5232" s="102" t="s">
        <v>1418</v>
      </c>
      <c r="V5232" s="186">
        <v>45387</v>
      </c>
      <c r="W5232" s="17" t="s">
        <v>44</v>
      </c>
      <c r="Y5232" s="68">
        <v>45383</v>
      </c>
      <c r="Z5232" s="17" t="s">
        <v>191</v>
      </c>
      <c r="AA5232" s="17" t="s">
        <v>46</v>
      </c>
      <c r="AB5232" s="17" t="s">
        <v>1341</v>
      </c>
      <c r="AC5232" s="217">
        <v>45400</v>
      </c>
      <c r="AD5232" s="65">
        <v>1562</v>
      </c>
      <c r="AE5232" s="17" t="s">
        <v>129</v>
      </c>
    </row>
    <row r="5233" s="17" customFormat="1" hidden="1" spans="1:32">
      <c r="A5233" s="17" t="s">
        <v>34</v>
      </c>
      <c r="B5233" s="19">
        <v>992</v>
      </c>
      <c r="C5233" s="183">
        <v>45367</v>
      </c>
      <c r="D5233" s="22" t="s">
        <v>52</v>
      </c>
      <c r="E5233" s="17" t="s">
        <v>1113</v>
      </c>
      <c r="F5233" s="17" t="s">
        <v>54</v>
      </c>
      <c r="H5233" s="141" t="s">
        <v>1114</v>
      </c>
      <c r="I5233" s="141"/>
      <c r="J5233" s="17" t="s">
        <v>49</v>
      </c>
      <c r="K5233" s="19">
        <v>2200</v>
      </c>
      <c r="L5233" s="19">
        <v>140</v>
      </c>
      <c r="M5233" s="19"/>
      <c r="N5233" s="19" t="s">
        <v>66</v>
      </c>
      <c r="O5233" s="19" t="s">
        <v>141</v>
      </c>
      <c r="P5233" s="19"/>
      <c r="Q5233" s="19">
        <v>10820</v>
      </c>
      <c r="R5233" s="19">
        <f>+P5232-Q5232-Q5233</f>
        <v>-2048</v>
      </c>
      <c r="S5233" s="19">
        <v>1123</v>
      </c>
      <c r="T5233" s="19" t="s">
        <v>42</v>
      </c>
      <c r="U5233" s="102" t="s">
        <v>1418</v>
      </c>
      <c r="V5233" s="186">
        <v>45387</v>
      </c>
      <c r="W5233" s="17" t="s">
        <v>44</v>
      </c>
      <c r="Y5233" s="68">
        <v>45383</v>
      </c>
      <c r="Z5233" s="17" t="s">
        <v>191</v>
      </c>
      <c r="AA5233" s="17" t="s">
        <v>46</v>
      </c>
      <c r="AB5233" s="17" t="s">
        <v>1337</v>
      </c>
      <c r="AC5233" s="217">
        <v>45400</v>
      </c>
      <c r="AD5233" s="65">
        <v>1563</v>
      </c>
      <c r="AE5233" s="17" t="s">
        <v>129</v>
      </c>
    </row>
    <row r="5234" s="17" customFormat="1" hidden="1" spans="1:32">
      <c r="A5234" s="17" t="s">
        <v>34</v>
      </c>
      <c r="B5234" s="19">
        <v>992</v>
      </c>
      <c r="C5234" s="183">
        <v>45367</v>
      </c>
      <c r="D5234" s="22" t="s">
        <v>52</v>
      </c>
      <c r="E5234" s="17" t="s">
        <v>1113</v>
      </c>
      <c r="F5234" s="17" t="s">
        <v>54</v>
      </c>
      <c r="H5234" s="141" t="s">
        <v>1114</v>
      </c>
      <c r="I5234" s="141"/>
      <c r="J5234" s="17" t="s">
        <v>49</v>
      </c>
      <c r="K5234" s="19">
        <v>2200</v>
      </c>
      <c r="L5234" s="19">
        <v>155</v>
      </c>
      <c r="M5234" s="19"/>
      <c r="N5234" s="19" t="s">
        <v>66</v>
      </c>
      <c r="O5234" s="19" t="s">
        <v>141</v>
      </c>
      <c r="P5234" s="19">
        <v>21902</v>
      </c>
      <c r="Q5234" s="19">
        <v>10355</v>
      </c>
      <c r="S5234" s="19">
        <v>1123</v>
      </c>
      <c r="T5234" s="19" t="s">
        <v>42</v>
      </c>
      <c r="U5234" s="102" t="s">
        <v>1418</v>
      </c>
      <c r="V5234" s="186">
        <v>45387</v>
      </c>
      <c r="W5234" s="17" t="s">
        <v>44</v>
      </c>
      <c r="Y5234" s="68">
        <v>45383</v>
      </c>
      <c r="Z5234" s="17" t="s">
        <v>191</v>
      </c>
      <c r="AA5234" s="17" t="s">
        <v>46</v>
      </c>
      <c r="AB5234" s="17" t="s">
        <v>1348</v>
      </c>
      <c r="AC5234" s="217">
        <v>45394</v>
      </c>
      <c r="AD5234" s="65">
        <v>1556</v>
      </c>
      <c r="AE5234" s="17" t="s">
        <v>48</v>
      </c>
    </row>
    <row r="5235" s="17" customFormat="1" hidden="1" spans="1:32">
      <c r="A5235" s="17" t="s">
        <v>34</v>
      </c>
      <c r="B5235" s="19">
        <v>992</v>
      </c>
      <c r="C5235" s="183">
        <v>45367</v>
      </c>
      <c r="D5235" s="22" t="s">
        <v>52</v>
      </c>
      <c r="E5235" s="17" t="s">
        <v>1113</v>
      </c>
      <c r="F5235" s="17" t="s">
        <v>54</v>
      </c>
      <c r="H5235" s="141" t="s">
        <v>1114</v>
      </c>
      <c r="I5235" s="141"/>
      <c r="J5235" s="17" t="s">
        <v>49</v>
      </c>
      <c r="K5235" s="19">
        <v>2200</v>
      </c>
      <c r="L5235" s="19">
        <v>155</v>
      </c>
      <c r="M5235" s="19"/>
      <c r="N5235" s="19" t="s">
        <v>66</v>
      </c>
      <c r="O5235" s="19" t="s">
        <v>141</v>
      </c>
      <c r="P5235" s="19"/>
      <c r="Q5235" s="19">
        <v>12515</v>
      </c>
      <c r="R5235" s="19">
        <f>+P5234-Q5234-Q5235</f>
        <v>-968</v>
      </c>
      <c r="S5235" s="19">
        <v>1123</v>
      </c>
      <c r="T5235" s="19" t="s">
        <v>42</v>
      </c>
      <c r="U5235" s="102" t="s">
        <v>1418</v>
      </c>
      <c r="V5235" s="186">
        <v>45387</v>
      </c>
      <c r="W5235" s="17" t="s">
        <v>44</v>
      </c>
      <c r="Y5235" s="68">
        <v>45383</v>
      </c>
      <c r="Z5235" s="17" t="s">
        <v>191</v>
      </c>
      <c r="AA5235" s="17" t="s">
        <v>46</v>
      </c>
      <c r="AB5235" s="17" t="s">
        <v>1350</v>
      </c>
      <c r="AC5235" s="217">
        <v>45399</v>
      </c>
      <c r="AD5235" s="65">
        <v>1560</v>
      </c>
      <c r="AE5235" s="17" t="s">
        <v>48</v>
      </c>
    </row>
    <row r="5236" s="17" customFormat="1" hidden="1" spans="1:32">
      <c r="B5236" s="19">
        <v>992</v>
      </c>
      <c r="C5236" s="183">
        <v>45367</v>
      </c>
      <c r="D5236" s="22" t="s">
        <v>52</v>
      </c>
      <c r="E5236" s="17" t="s">
        <v>1113</v>
      </c>
      <c r="F5236" s="17" t="s">
        <v>54</v>
      </c>
      <c r="H5236" s="141" t="s">
        <v>1114</v>
      </c>
      <c r="I5236" s="141"/>
      <c r="J5236" s="17" t="s">
        <v>49</v>
      </c>
      <c r="K5236" s="19">
        <v>2200</v>
      </c>
      <c r="L5236" s="320">
        <v>205</v>
      </c>
      <c r="M5236" s="19">
        <v>2240</v>
      </c>
      <c r="N5236" s="19" t="s">
        <v>66</v>
      </c>
      <c r="O5236" s="19" t="s">
        <v>141</v>
      </c>
      <c r="P5236" s="99">
        <v>19472</v>
      </c>
      <c r="Q5236" s="19">
        <v>14450</v>
      </c>
      <c r="R5236" s="99">
        <f t="shared" ref="R5236:R5255" si="245">+P5236-Q5236</f>
        <v>5022</v>
      </c>
      <c r="S5236" s="318">
        <f>1055+80-20</f>
        <v>1115</v>
      </c>
      <c r="T5236" s="19" t="s">
        <v>42</v>
      </c>
      <c r="U5236" s="102" t="s">
        <v>1418</v>
      </c>
      <c r="V5236" s="186">
        <v>45387</v>
      </c>
      <c r="W5236" s="17" t="s">
        <v>69</v>
      </c>
      <c r="Y5236" s="68">
        <v>45383</v>
      </c>
      <c r="Z5236" s="17" t="s">
        <v>191</v>
      </c>
      <c r="AA5236" s="17" t="s">
        <v>46</v>
      </c>
      <c r="AB5236" s="17" t="s">
        <v>1343</v>
      </c>
      <c r="AC5236" s="217">
        <v>45433</v>
      </c>
      <c r="AD5236" s="65">
        <v>1575</v>
      </c>
      <c r="AE5236" s="17" t="s">
        <v>48</v>
      </c>
      <c r="AF5236" s="17" t="s">
        <v>1347</v>
      </c>
    </row>
    <row r="5237" s="17" customFormat="1" hidden="1" spans="1:32">
      <c r="A5237" s="17" t="s">
        <v>34</v>
      </c>
      <c r="B5237" s="19">
        <v>992</v>
      </c>
      <c r="C5237" s="183">
        <v>45367</v>
      </c>
      <c r="D5237" s="22" t="s">
        <v>52</v>
      </c>
      <c r="E5237" s="17" t="s">
        <v>1113</v>
      </c>
      <c r="F5237" s="17" t="s">
        <v>54</v>
      </c>
      <c r="H5237" s="141" t="s">
        <v>1114</v>
      </c>
      <c r="I5237" s="141"/>
      <c r="J5237" s="17" t="s">
        <v>49</v>
      </c>
      <c r="K5237" s="19">
        <v>2200</v>
      </c>
      <c r="L5237" s="320">
        <v>210</v>
      </c>
      <c r="M5237" s="19">
        <v>5500</v>
      </c>
      <c r="N5237" s="19" t="s">
        <v>66</v>
      </c>
      <c r="O5237" s="19" t="s">
        <v>141</v>
      </c>
      <c r="P5237" s="99">
        <v>19947</v>
      </c>
      <c r="Q5237" s="146">
        <v>16540</v>
      </c>
      <c r="R5237" s="315">
        <f t="shared" si="245"/>
        <v>3407</v>
      </c>
      <c r="S5237" s="19">
        <f>1055+80</f>
        <v>1135</v>
      </c>
      <c r="T5237" s="19" t="s">
        <v>42</v>
      </c>
      <c r="U5237" s="102" t="s">
        <v>1418</v>
      </c>
      <c r="V5237" s="186">
        <v>45387</v>
      </c>
      <c r="W5237" s="17" t="s">
        <v>69</v>
      </c>
      <c r="Y5237" s="68">
        <v>45383</v>
      </c>
      <c r="Z5237" s="17" t="s">
        <v>191</v>
      </c>
      <c r="AA5237" s="17" t="s">
        <v>46</v>
      </c>
      <c r="AB5237" s="17" t="s">
        <v>1340</v>
      </c>
      <c r="AC5237" s="217">
        <v>45498</v>
      </c>
      <c r="AD5237" s="65">
        <v>1603</v>
      </c>
      <c r="AE5237" s="17" t="s">
        <v>48</v>
      </c>
      <c r="AF5237" s="17" t="s">
        <v>1347</v>
      </c>
    </row>
    <row r="5238" s="17" customFormat="1" hidden="1" spans="1:32">
      <c r="A5238" s="17" t="s">
        <v>34</v>
      </c>
      <c r="B5238" s="19">
        <v>992</v>
      </c>
      <c r="C5238" s="183">
        <v>45367</v>
      </c>
      <c r="D5238" s="22" t="s">
        <v>52</v>
      </c>
      <c r="E5238" s="17" t="s">
        <v>1113</v>
      </c>
      <c r="F5238" s="17" t="s">
        <v>54</v>
      </c>
      <c r="H5238" s="141" t="s">
        <v>1114</v>
      </c>
      <c r="I5238" s="141"/>
      <c r="J5238" s="17" t="s">
        <v>49</v>
      </c>
      <c r="K5238" s="19">
        <v>2200</v>
      </c>
      <c r="L5238" s="320">
        <v>50</v>
      </c>
      <c r="M5238" s="19">
        <v>5800</v>
      </c>
      <c r="N5238" s="19" t="s">
        <v>66</v>
      </c>
      <c r="O5238" s="19" t="s">
        <v>141</v>
      </c>
      <c r="P5238" s="99">
        <v>4416</v>
      </c>
      <c r="Q5238" s="19">
        <v>5200</v>
      </c>
      <c r="R5238" s="19">
        <f t="shared" si="245"/>
        <v>-784</v>
      </c>
      <c r="S5238" s="19">
        <v>830</v>
      </c>
      <c r="T5238" s="19" t="s">
        <v>42</v>
      </c>
      <c r="U5238" s="102" t="s">
        <v>1418</v>
      </c>
      <c r="V5238" s="186">
        <v>45387</v>
      </c>
      <c r="W5238" s="17" t="s">
        <v>44</v>
      </c>
      <c r="Y5238" s="68">
        <v>45383</v>
      </c>
      <c r="Z5238" s="17" t="s">
        <v>191</v>
      </c>
      <c r="AA5238" s="17" t="s">
        <v>46</v>
      </c>
      <c r="AB5238" s="17" t="s">
        <v>1350</v>
      </c>
      <c r="AC5238" s="217">
        <v>45399</v>
      </c>
      <c r="AD5238" s="65">
        <v>1560</v>
      </c>
      <c r="AE5238" s="17" t="s">
        <v>48</v>
      </c>
    </row>
    <row r="5239" s="17" customFormat="1" hidden="1" spans="1:32">
      <c r="A5239" s="17" t="s">
        <v>34</v>
      </c>
      <c r="B5239" s="19">
        <v>992</v>
      </c>
      <c r="C5239" s="183">
        <v>45367</v>
      </c>
      <c r="D5239" s="22" t="s">
        <v>52</v>
      </c>
      <c r="E5239" s="17" t="s">
        <v>1113</v>
      </c>
      <c r="F5239" s="17" t="s">
        <v>54</v>
      </c>
      <c r="H5239" s="141" t="s">
        <v>1114</v>
      </c>
      <c r="I5239" s="141"/>
      <c r="J5239" s="17" t="s">
        <v>49</v>
      </c>
      <c r="K5239" s="19">
        <v>2200</v>
      </c>
      <c r="L5239" s="320">
        <v>65</v>
      </c>
      <c r="M5239" s="19">
        <v>5800</v>
      </c>
      <c r="N5239" s="19" t="s">
        <v>66</v>
      </c>
      <c r="O5239" s="19" t="s">
        <v>141</v>
      </c>
      <c r="P5239" s="99">
        <v>11481</v>
      </c>
      <c r="Q5239" s="19">
        <f>6590+6590</f>
        <v>13180</v>
      </c>
      <c r="R5239" s="19">
        <f t="shared" si="245"/>
        <v>-1699</v>
      </c>
      <c r="S5239" s="19">
        <v>830</v>
      </c>
      <c r="T5239" s="19" t="s">
        <v>42</v>
      </c>
      <c r="U5239" s="102" t="s">
        <v>1418</v>
      </c>
      <c r="V5239" s="186">
        <v>45387</v>
      </c>
      <c r="W5239" s="17" t="s">
        <v>44</v>
      </c>
      <c r="Y5239" s="68">
        <v>45383</v>
      </c>
      <c r="Z5239" s="17" t="s">
        <v>191</v>
      </c>
      <c r="AA5239" s="17" t="s">
        <v>46</v>
      </c>
      <c r="AB5239" s="17" t="s">
        <v>1350</v>
      </c>
      <c r="AC5239" s="217">
        <v>45399</v>
      </c>
      <c r="AD5239" s="65">
        <v>1560</v>
      </c>
      <c r="AE5239" s="17" t="s">
        <v>48</v>
      </c>
    </row>
    <row r="5240" s="17" customFormat="1" hidden="1" spans="1:32">
      <c r="A5240" s="17" t="s">
        <v>34</v>
      </c>
      <c r="B5240" s="19">
        <v>992</v>
      </c>
      <c r="C5240" s="183">
        <v>45367</v>
      </c>
      <c r="D5240" s="22" t="s">
        <v>52</v>
      </c>
      <c r="E5240" s="17" t="s">
        <v>1113</v>
      </c>
      <c r="F5240" s="17" t="s">
        <v>54</v>
      </c>
      <c r="H5240" s="141" t="s">
        <v>1114</v>
      </c>
      <c r="I5240" s="141"/>
      <c r="J5240" s="17" t="s">
        <v>49</v>
      </c>
      <c r="K5240" s="19">
        <v>2200</v>
      </c>
      <c r="L5240" s="320">
        <v>100</v>
      </c>
      <c r="M5240" s="19">
        <v>5800</v>
      </c>
      <c r="N5240" s="19" t="s">
        <v>66</v>
      </c>
      <c r="O5240" s="19" t="s">
        <v>141</v>
      </c>
      <c r="P5240" s="99">
        <v>8831</v>
      </c>
      <c r="Q5240" s="19">
        <v>10070</v>
      </c>
      <c r="R5240" s="19">
        <f t="shared" si="245"/>
        <v>-1239</v>
      </c>
      <c r="S5240" s="19">
        <v>830</v>
      </c>
      <c r="T5240" s="19" t="s">
        <v>42</v>
      </c>
      <c r="U5240" s="102" t="s">
        <v>1418</v>
      </c>
      <c r="V5240" s="186">
        <v>45387</v>
      </c>
      <c r="W5240" s="17" t="s">
        <v>44</v>
      </c>
      <c r="Y5240" s="68">
        <v>45383</v>
      </c>
      <c r="Z5240" s="17" t="s">
        <v>191</v>
      </c>
      <c r="AA5240" s="17" t="s">
        <v>46</v>
      </c>
      <c r="AB5240" s="17" t="s">
        <v>1348</v>
      </c>
      <c r="AC5240" s="217">
        <v>45394</v>
      </c>
      <c r="AD5240" s="65">
        <v>1556</v>
      </c>
      <c r="AE5240" s="17" t="s">
        <v>48</v>
      </c>
    </row>
    <row r="5241" s="17" customFormat="1" hidden="1" spans="1:32">
      <c r="A5241" s="17" t="s">
        <v>34</v>
      </c>
      <c r="B5241" s="19">
        <v>992</v>
      </c>
      <c r="C5241" s="183">
        <v>45367</v>
      </c>
      <c r="D5241" s="22" t="s">
        <v>52</v>
      </c>
      <c r="E5241" s="17" t="s">
        <v>1113</v>
      </c>
      <c r="F5241" s="17" t="s">
        <v>54</v>
      </c>
      <c r="H5241" s="141" t="s">
        <v>1114</v>
      </c>
      <c r="I5241" s="141"/>
      <c r="J5241" s="17" t="s">
        <v>49</v>
      </c>
      <c r="K5241" s="19">
        <v>2200</v>
      </c>
      <c r="L5241" s="320">
        <v>125</v>
      </c>
      <c r="M5241" s="19">
        <v>5800</v>
      </c>
      <c r="N5241" s="19" t="s">
        <v>66</v>
      </c>
      <c r="O5241" s="19" t="s">
        <v>141</v>
      </c>
      <c r="P5241" s="99">
        <v>11039</v>
      </c>
      <c r="Q5241" s="19">
        <v>10270</v>
      </c>
      <c r="R5241" s="19">
        <f t="shared" si="245"/>
        <v>769</v>
      </c>
      <c r="S5241" s="19">
        <v>830</v>
      </c>
      <c r="T5241" s="19" t="s">
        <v>42</v>
      </c>
      <c r="U5241" s="102" t="s">
        <v>1418</v>
      </c>
      <c r="V5241" s="186">
        <v>45387</v>
      </c>
      <c r="W5241" s="17" t="s">
        <v>44</v>
      </c>
      <c r="Y5241" s="68">
        <v>45383</v>
      </c>
      <c r="Z5241" s="17" t="s">
        <v>191</v>
      </c>
      <c r="AA5241" s="17" t="s">
        <v>46</v>
      </c>
      <c r="AB5241" s="17" t="s">
        <v>1348</v>
      </c>
      <c r="AC5241" s="217">
        <v>45394</v>
      </c>
      <c r="AD5241" s="65">
        <v>1556</v>
      </c>
      <c r="AE5241" s="17" t="s">
        <v>48</v>
      </c>
    </row>
    <row r="5242" s="17" customFormat="1" hidden="1" spans="1:32">
      <c r="A5242" s="17" t="s">
        <v>34</v>
      </c>
      <c r="B5242" s="19">
        <v>992</v>
      </c>
      <c r="C5242" s="183">
        <v>45367</v>
      </c>
      <c r="D5242" s="22" t="s">
        <v>52</v>
      </c>
      <c r="E5242" s="17" t="s">
        <v>1113</v>
      </c>
      <c r="F5242" s="17" t="s">
        <v>54</v>
      </c>
      <c r="H5242" s="141" t="s">
        <v>1114</v>
      </c>
      <c r="I5242" s="141"/>
      <c r="J5242" s="17" t="s">
        <v>49</v>
      </c>
      <c r="K5242" s="19">
        <v>2200</v>
      </c>
      <c r="L5242" s="320">
        <v>120</v>
      </c>
      <c r="M5242" s="19">
        <v>5800</v>
      </c>
      <c r="N5242" s="19" t="s">
        <v>66</v>
      </c>
      <c r="O5242" s="19" t="s">
        <v>141</v>
      </c>
      <c r="P5242" s="99">
        <v>10598</v>
      </c>
      <c r="Q5242" s="19">
        <v>11315</v>
      </c>
      <c r="R5242" s="19">
        <f t="shared" si="245"/>
        <v>-717</v>
      </c>
      <c r="S5242" s="19">
        <v>830</v>
      </c>
      <c r="T5242" s="19" t="s">
        <v>42</v>
      </c>
      <c r="U5242" s="102" t="s">
        <v>1418</v>
      </c>
      <c r="V5242" s="186">
        <v>45387</v>
      </c>
      <c r="W5242" s="17" t="s">
        <v>44</v>
      </c>
      <c r="Y5242" s="68">
        <v>45383</v>
      </c>
      <c r="Z5242" s="17" t="s">
        <v>191</v>
      </c>
      <c r="AA5242" s="17" t="s">
        <v>46</v>
      </c>
      <c r="AB5242" s="17" t="s">
        <v>1350</v>
      </c>
      <c r="AC5242" s="217">
        <v>45399</v>
      </c>
      <c r="AD5242" s="65">
        <v>1560</v>
      </c>
      <c r="AE5242" s="17" t="s">
        <v>48</v>
      </c>
    </row>
    <row r="5243" s="17" customFormat="1" hidden="1" spans="1:32">
      <c r="A5243" s="17" t="s">
        <v>34</v>
      </c>
      <c r="B5243" s="19">
        <v>993</v>
      </c>
      <c r="C5243" s="183">
        <v>45372</v>
      </c>
      <c r="D5243" s="22" t="s">
        <v>52</v>
      </c>
      <c r="E5243" s="17" t="s">
        <v>1113</v>
      </c>
      <c r="F5243" s="17" t="s">
        <v>54</v>
      </c>
      <c r="H5243" s="141">
        <v>1.2311</v>
      </c>
      <c r="I5243" s="141"/>
      <c r="J5243" s="17" t="s">
        <v>49</v>
      </c>
      <c r="K5243" s="91">
        <v>2200</v>
      </c>
      <c r="L5243" s="91">
        <v>25</v>
      </c>
      <c r="M5243" s="19">
        <v>5500</v>
      </c>
      <c r="N5243" s="19" t="s">
        <v>66</v>
      </c>
      <c r="O5243" s="19" t="s">
        <v>141</v>
      </c>
      <c r="P5243" s="160">
        <v>2374.625</v>
      </c>
      <c r="Q5243" s="19">
        <v>2560</v>
      </c>
      <c r="R5243" s="99">
        <f t="shared" si="245"/>
        <v>-185.375</v>
      </c>
      <c r="S5243" s="19">
        <v>845</v>
      </c>
      <c r="T5243" s="19" t="s">
        <v>42</v>
      </c>
      <c r="U5243" s="102" t="s">
        <v>1419</v>
      </c>
      <c r="V5243" s="186">
        <v>45373</v>
      </c>
      <c r="W5243" s="17" t="s">
        <v>69</v>
      </c>
      <c r="Y5243" s="68">
        <v>45383</v>
      </c>
      <c r="Z5243" s="17" t="s">
        <v>191</v>
      </c>
      <c r="AA5243" s="17" t="s">
        <v>46</v>
      </c>
      <c r="AB5243" s="17" t="s">
        <v>1350</v>
      </c>
      <c r="AC5243" s="217">
        <v>45399</v>
      </c>
      <c r="AD5243" s="65">
        <v>1560</v>
      </c>
      <c r="AE5243" s="17" t="s">
        <v>48</v>
      </c>
    </row>
    <row r="5244" s="17" customFormat="1" hidden="1" spans="1:32">
      <c r="A5244" s="17" t="s">
        <v>34</v>
      </c>
      <c r="B5244" s="19">
        <v>993</v>
      </c>
      <c r="C5244" s="183">
        <v>45372</v>
      </c>
      <c r="D5244" s="22" t="s">
        <v>52</v>
      </c>
      <c r="E5244" s="17" t="s">
        <v>1113</v>
      </c>
      <c r="F5244" s="17" t="s">
        <v>54</v>
      </c>
      <c r="H5244" s="141">
        <v>1.2311</v>
      </c>
      <c r="I5244" s="141"/>
      <c r="J5244" s="17" t="s">
        <v>49</v>
      </c>
      <c r="K5244" s="91">
        <v>2200</v>
      </c>
      <c r="L5244" s="91">
        <v>32</v>
      </c>
      <c r="M5244" s="19">
        <v>5500</v>
      </c>
      <c r="N5244" s="19" t="s">
        <v>66</v>
      </c>
      <c r="O5244" s="19" t="s">
        <v>141</v>
      </c>
      <c r="P5244" s="160">
        <v>3039.52</v>
      </c>
      <c r="Q5244" s="19">
        <v>3165</v>
      </c>
      <c r="R5244" s="99">
        <f t="shared" si="245"/>
        <v>-125.48</v>
      </c>
      <c r="S5244" s="19">
        <v>845</v>
      </c>
      <c r="T5244" s="19" t="s">
        <v>42</v>
      </c>
      <c r="U5244" s="102" t="s">
        <v>1419</v>
      </c>
      <c r="V5244" s="186">
        <v>45373</v>
      </c>
      <c r="W5244" s="17" t="s">
        <v>69</v>
      </c>
      <c r="Y5244" s="68">
        <v>45383</v>
      </c>
      <c r="Z5244" s="17" t="s">
        <v>191</v>
      </c>
      <c r="AA5244" s="17" t="s">
        <v>46</v>
      </c>
      <c r="AB5244" s="17" t="s">
        <v>1342</v>
      </c>
      <c r="AC5244" s="217">
        <v>45394</v>
      </c>
      <c r="AD5244" s="65">
        <v>1555</v>
      </c>
      <c r="AE5244" s="17" t="s">
        <v>48</v>
      </c>
    </row>
    <row r="5245" s="17" customFormat="1" hidden="1" spans="1:32">
      <c r="A5245" s="17" t="s">
        <v>34</v>
      </c>
      <c r="B5245" s="19">
        <v>993</v>
      </c>
      <c r="C5245" s="183">
        <v>45372</v>
      </c>
      <c r="D5245" s="22" t="s">
        <v>52</v>
      </c>
      <c r="E5245" s="17" t="s">
        <v>1113</v>
      </c>
      <c r="F5245" s="17" t="s">
        <v>54</v>
      </c>
      <c r="H5245" s="141">
        <v>1.2311</v>
      </c>
      <c r="I5245" s="141"/>
      <c r="J5245" s="17" t="s">
        <v>49</v>
      </c>
      <c r="K5245" s="91">
        <v>2200</v>
      </c>
      <c r="L5245" s="91">
        <v>36</v>
      </c>
      <c r="M5245" s="19">
        <v>5500</v>
      </c>
      <c r="N5245" s="19" t="s">
        <v>66</v>
      </c>
      <c r="O5245" s="19" t="s">
        <v>141</v>
      </c>
      <c r="P5245" s="160">
        <v>3419.46</v>
      </c>
      <c r="Q5245" s="19">
        <v>3490</v>
      </c>
      <c r="R5245" s="99">
        <f t="shared" si="245"/>
        <v>-70.5400000000004</v>
      </c>
      <c r="S5245" s="19">
        <v>845</v>
      </c>
      <c r="T5245" s="19" t="s">
        <v>42</v>
      </c>
      <c r="U5245" s="102" t="s">
        <v>1419</v>
      </c>
      <c r="V5245" s="186">
        <v>45373</v>
      </c>
      <c r="W5245" s="17" t="s">
        <v>69</v>
      </c>
      <c r="Y5245" s="68">
        <v>45383</v>
      </c>
      <c r="Z5245" s="17" t="s">
        <v>191</v>
      </c>
      <c r="AA5245" s="17" t="s">
        <v>46</v>
      </c>
      <c r="AB5245" s="17" t="s">
        <v>1348</v>
      </c>
      <c r="AC5245" s="217">
        <v>45394</v>
      </c>
      <c r="AD5245" s="65">
        <v>1556</v>
      </c>
      <c r="AE5245" s="17" t="s">
        <v>48</v>
      </c>
    </row>
    <row r="5246" s="17" customFormat="1" hidden="1" spans="1:32">
      <c r="A5246" s="17" t="s">
        <v>34</v>
      </c>
      <c r="B5246" s="19">
        <v>993</v>
      </c>
      <c r="C5246" s="183">
        <v>45372</v>
      </c>
      <c r="D5246" s="22" t="s">
        <v>52</v>
      </c>
      <c r="E5246" s="17" t="s">
        <v>1113</v>
      </c>
      <c r="F5246" s="17" t="s">
        <v>54</v>
      </c>
      <c r="H5246" s="141">
        <v>1.2311</v>
      </c>
      <c r="I5246" s="141"/>
      <c r="J5246" s="17" t="s">
        <v>49</v>
      </c>
      <c r="K5246" s="91">
        <v>2200</v>
      </c>
      <c r="L5246" s="91">
        <v>40</v>
      </c>
      <c r="M5246" s="19">
        <v>5500</v>
      </c>
      <c r="N5246" s="19" t="s">
        <v>66</v>
      </c>
      <c r="O5246" s="19" t="s">
        <v>141</v>
      </c>
      <c r="P5246" s="160">
        <v>3799.4</v>
      </c>
      <c r="Q5246" s="19">
        <v>3965</v>
      </c>
      <c r="R5246" s="99">
        <f t="shared" si="245"/>
        <v>-165.6</v>
      </c>
      <c r="S5246" s="19">
        <v>845</v>
      </c>
      <c r="T5246" s="19" t="s">
        <v>42</v>
      </c>
      <c r="U5246" s="102" t="s">
        <v>1419</v>
      </c>
      <c r="V5246" s="186">
        <v>45373</v>
      </c>
      <c r="W5246" s="17" t="s">
        <v>69</v>
      </c>
      <c r="Y5246" s="68">
        <v>45383</v>
      </c>
      <c r="Z5246" s="17" t="s">
        <v>191</v>
      </c>
      <c r="AA5246" s="17" t="s">
        <v>46</v>
      </c>
      <c r="AB5246" s="17" t="s">
        <v>1348</v>
      </c>
      <c r="AC5246" s="217">
        <v>45394</v>
      </c>
      <c r="AD5246" s="65">
        <v>1556</v>
      </c>
      <c r="AE5246" s="17" t="s">
        <v>48</v>
      </c>
    </row>
    <row r="5247" s="17" customFormat="1" hidden="1" spans="1:32">
      <c r="A5247" s="17" t="s">
        <v>34</v>
      </c>
      <c r="B5247" s="19">
        <v>993</v>
      </c>
      <c r="C5247" s="183">
        <v>45372</v>
      </c>
      <c r="D5247" s="22" t="s">
        <v>52</v>
      </c>
      <c r="E5247" s="17" t="s">
        <v>1113</v>
      </c>
      <c r="F5247" s="17" t="s">
        <v>54</v>
      </c>
      <c r="H5247" s="141">
        <v>1.2311</v>
      </c>
      <c r="I5247" s="141"/>
      <c r="J5247" s="17" t="s">
        <v>49</v>
      </c>
      <c r="K5247" s="91">
        <v>2200</v>
      </c>
      <c r="L5247" s="91">
        <v>45</v>
      </c>
      <c r="M5247" s="19">
        <v>5500</v>
      </c>
      <c r="N5247" s="19" t="s">
        <v>66</v>
      </c>
      <c r="O5247" s="19" t="s">
        <v>141</v>
      </c>
      <c r="P5247" s="160">
        <v>4274.325</v>
      </c>
      <c r="Q5247" s="19">
        <v>4432</v>
      </c>
      <c r="R5247" s="99">
        <f t="shared" si="245"/>
        <v>-157.675</v>
      </c>
      <c r="S5247" s="19">
        <f>845-20</f>
        <v>825</v>
      </c>
      <c r="T5247" s="19" t="s">
        <v>42</v>
      </c>
      <c r="U5247" s="102" t="s">
        <v>1419</v>
      </c>
      <c r="V5247" s="186">
        <v>45373</v>
      </c>
      <c r="W5247" s="17" t="s">
        <v>69</v>
      </c>
      <c r="Y5247" s="68">
        <v>45383</v>
      </c>
      <c r="Z5247" s="17" t="s">
        <v>191</v>
      </c>
      <c r="AA5247" s="17" t="s">
        <v>46</v>
      </c>
      <c r="AB5247" s="17" t="s">
        <v>1345</v>
      </c>
      <c r="AC5247" s="217">
        <v>45443</v>
      </c>
      <c r="AD5247" s="65">
        <v>1580</v>
      </c>
      <c r="AE5247" s="17" t="s">
        <v>48</v>
      </c>
    </row>
    <row r="5248" s="17" customFormat="1" hidden="1" spans="1:32">
      <c r="A5248" s="17" t="s">
        <v>34</v>
      </c>
      <c r="B5248" s="19">
        <v>993</v>
      </c>
      <c r="C5248" s="183">
        <v>45372</v>
      </c>
      <c r="D5248" s="22" t="s">
        <v>52</v>
      </c>
      <c r="E5248" s="17" t="s">
        <v>1113</v>
      </c>
      <c r="F5248" s="17" t="s">
        <v>54</v>
      </c>
      <c r="H5248" s="141">
        <v>1.2311</v>
      </c>
      <c r="I5248" s="141"/>
      <c r="J5248" s="17" t="s">
        <v>49</v>
      </c>
      <c r="K5248" s="91">
        <v>2200</v>
      </c>
      <c r="L5248" s="91">
        <v>50</v>
      </c>
      <c r="M5248" s="19">
        <v>5500</v>
      </c>
      <c r="N5248" s="19" t="s">
        <v>66</v>
      </c>
      <c r="O5248" s="19" t="s">
        <v>141</v>
      </c>
      <c r="P5248" s="160">
        <v>4749.25</v>
      </c>
      <c r="Q5248" s="19">
        <v>4660</v>
      </c>
      <c r="R5248" s="99">
        <f t="shared" si="245"/>
        <v>89.25</v>
      </c>
      <c r="S5248" s="19">
        <v>845</v>
      </c>
      <c r="T5248" s="19" t="s">
        <v>42</v>
      </c>
      <c r="U5248" s="102" t="s">
        <v>1419</v>
      </c>
      <c r="V5248" s="186">
        <v>45373</v>
      </c>
      <c r="W5248" s="17" t="s">
        <v>69</v>
      </c>
      <c r="Y5248" s="68">
        <v>45383</v>
      </c>
      <c r="Z5248" s="17" t="s">
        <v>191</v>
      </c>
      <c r="AA5248" s="17" t="s">
        <v>46</v>
      </c>
      <c r="AB5248" s="17" t="s">
        <v>1342</v>
      </c>
      <c r="AC5248" s="217">
        <v>45394</v>
      </c>
      <c r="AD5248" s="65">
        <v>1555</v>
      </c>
      <c r="AE5248" s="17" t="s">
        <v>48</v>
      </c>
    </row>
    <row r="5249" s="17" customFormat="1" hidden="1" spans="1:31">
      <c r="A5249" s="17" t="s">
        <v>34</v>
      </c>
      <c r="B5249" s="19">
        <v>993</v>
      </c>
      <c r="C5249" s="183">
        <v>45372</v>
      </c>
      <c r="D5249" s="22" t="s">
        <v>52</v>
      </c>
      <c r="E5249" s="17" t="s">
        <v>1113</v>
      </c>
      <c r="F5249" s="17" t="s">
        <v>54</v>
      </c>
      <c r="H5249" s="141">
        <v>1.2311</v>
      </c>
      <c r="I5249" s="141"/>
      <c r="J5249" s="17" t="s">
        <v>49</v>
      </c>
      <c r="K5249" s="91">
        <v>2200</v>
      </c>
      <c r="L5249" s="91">
        <v>56</v>
      </c>
      <c r="M5249" s="19">
        <v>5500</v>
      </c>
      <c r="N5249" s="19" t="s">
        <v>66</v>
      </c>
      <c r="O5249" s="19" t="s">
        <v>141</v>
      </c>
      <c r="P5249" s="160">
        <v>5319.16</v>
      </c>
      <c r="Q5249" s="19">
        <v>3175</v>
      </c>
      <c r="R5249" s="99">
        <f t="shared" si="245"/>
        <v>2144.16</v>
      </c>
      <c r="S5249" s="318">
        <f>845-70+80-20</f>
        <v>835</v>
      </c>
      <c r="T5249" s="19" t="s">
        <v>42</v>
      </c>
      <c r="U5249" s="102" t="s">
        <v>1419</v>
      </c>
      <c r="V5249" s="186">
        <v>45373</v>
      </c>
      <c r="W5249" s="17" t="s">
        <v>69</v>
      </c>
      <c r="Y5249" s="68">
        <v>45383</v>
      </c>
      <c r="Z5249" s="17" t="s">
        <v>191</v>
      </c>
      <c r="AA5249" s="17" t="s">
        <v>46</v>
      </c>
      <c r="AB5249" s="17" t="s">
        <v>1343</v>
      </c>
      <c r="AC5249" s="217">
        <v>45433</v>
      </c>
      <c r="AD5249" s="65">
        <v>1575</v>
      </c>
      <c r="AE5249" s="17" t="s">
        <v>48</v>
      </c>
    </row>
    <row r="5250" s="17" customFormat="1" hidden="1" spans="1:31">
      <c r="A5250" s="17" t="s">
        <v>34</v>
      </c>
      <c r="B5250" s="19">
        <v>993</v>
      </c>
      <c r="C5250" s="183">
        <v>45372</v>
      </c>
      <c r="D5250" s="22" t="s">
        <v>52</v>
      </c>
      <c r="E5250" s="17" t="s">
        <v>1113</v>
      </c>
      <c r="F5250" s="17" t="s">
        <v>54</v>
      </c>
      <c r="H5250" s="141">
        <v>1.2311</v>
      </c>
      <c r="I5250" s="141"/>
      <c r="J5250" s="17" t="s">
        <v>49</v>
      </c>
      <c r="K5250" s="91">
        <v>2200</v>
      </c>
      <c r="L5250" s="91">
        <v>60</v>
      </c>
      <c r="M5250" s="19">
        <v>5500</v>
      </c>
      <c r="N5250" s="19" t="s">
        <v>66</v>
      </c>
      <c r="O5250" s="19" t="s">
        <v>141</v>
      </c>
      <c r="P5250" s="160">
        <v>5699.1</v>
      </c>
      <c r="Q5250" s="19">
        <v>5990</v>
      </c>
      <c r="R5250" s="99">
        <f t="shared" si="245"/>
        <v>-290.900000000001</v>
      </c>
      <c r="S5250" s="19">
        <v>845</v>
      </c>
      <c r="T5250" s="19" t="s">
        <v>42</v>
      </c>
      <c r="U5250" s="102" t="s">
        <v>1419</v>
      </c>
      <c r="V5250" s="186">
        <v>45373</v>
      </c>
      <c r="W5250" s="17" t="s">
        <v>69</v>
      </c>
      <c r="Y5250" s="68">
        <v>45383</v>
      </c>
      <c r="Z5250" s="17" t="s">
        <v>191</v>
      </c>
      <c r="AA5250" s="17" t="s">
        <v>46</v>
      </c>
      <c r="AB5250" s="17" t="s">
        <v>1350</v>
      </c>
      <c r="AC5250" s="217">
        <v>45399</v>
      </c>
      <c r="AD5250" s="65">
        <v>1560</v>
      </c>
      <c r="AE5250" s="17" t="s">
        <v>48</v>
      </c>
    </row>
    <row r="5251" s="17" customFormat="1" hidden="1" spans="1:31">
      <c r="A5251" s="17" t="s">
        <v>34</v>
      </c>
      <c r="B5251" s="19">
        <v>993</v>
      </c>
      <c r="C5251" s="183">
        <v>45372</v>
      </c>
      <c r="D5251" s="22" t="s">
        <v>52</v>
      </c>
      <c r="E5251" s="17" t="s">
        <v>1113</v>
      </c>
      <c r="F5251" s="17" t="s">
        <v>54</v>
      </c>
      <c r="H5251" s="141">
        <v>1.2311</v>
      </c>
      <c r="I5251" s="141"/>
      <c r="J5251" s="17" t="s">
        <v>49</v>
      </c>
      <c r="K5251" s="91">
        <v>2200</v>
      </c>
      <c r="L5251" s="91">
        <v>65</v>
      </c>
      <c r="M5251" s="19">
        <v>5500</v>
      </c>
      <c r="N5251" s="19" t="s">
        <v>66</v>
      </c>
      <c r="O5251" s="19" t="s">
        <v>141</v>
      </c>
      <c r="P5251" s="160">
        <v>6174.025</v>
      </c>
      <c r="Q5251" s="19">
        <v>6740</v>
      </c>
      <c r="R5251" s="99">
        <f t="shared" si="245"/>
        <v>-565.975000000001</v>
      </c>
      <c r="S5251" s="19">
        <v>845</v>
      </c>
      <c r="T5251" s="19" t="s">
        <v>42</v>
      </c>
      <c r="U5251" s="102" t="s">
        <v>1419</v>
      </c>
      <c r="V5251" s="186">
        <v>45373</v>
      </c>
      <c r="W5251" s="17" t="s">
        <v>69</v>
      </c>
      <c r="Y5251" s="68">
        <v>45383</v>
      </c>
      <c r="Z5251" s="17" t="s">
        <v>191</v>
      </c>
      <c r="AA5251" s="17" t="s">
        <v>46</v>
      </c>
      <c r="AB5251" s="17" t="s">
        <v>1348</v>
      </c>
      <c r="AC5251" s="217">
        <v>45394</v>
      </c>
      <c r="AD5251" s="65">
        <v>1556</v>
      </c>
      <c r="AE5251" s="17" t="s">
        <v>48</v>
      </c>
    </row>
    <row r="5252" s="17" customFormat="1" hidden="1" spans="1:31">
      <c r="A5252" s="17" t="s">
        <v>34</v>
      </c>
      <c r="B5252" s="19">
        <v>993</v>
      </c>
      <c r="C5252" s="183">
        <v>45372</v>
      </c>
      <c r="D5252" s="22" t="s">
        <v>52</v>
      </c>
      <c r="E5252" s="17" t="s">
        <v>1113</v>
      </c>
      <c r="F5252" s="17" t="s">
        <v>54</v>
      </c>
      <c r="H5252" s="141">
        <v>1.2311</v>
      </c>
      <c r="I5252" s="141"/>
      <c r="J5252" s="17" t="s">
        <v>49</v>
      </c>
      <c r="K5252" s="91">
        <v>2200</v>
      </c>
      <c r="L5252" s="91">
        <v>71</v>
      </c>
      <c r="M5252" s="19">
        <v>5500</v>
      </c>
      <c r="N5252" s="19" t="s">
        <v>66</v>
      </c>
      <c r="O5252" s="19" t="s">
        <v>141</v>
      </c>
      <c r="P5252" s="160">
        <v>6743.935</v>
      </c>
      <c r="Q5252" s="19">
        <v>6525</v>
      </c>
      <c r="R5252" s="99">
        <f t="shared" si="245"/>
        <v>218.934999999999</v>
      </c>
      <c r="S5252" s="19">
        <v>845</v>
      </c>
      <c r="T5252" s="19" t="s">
        <v>42</v>
      </c>
      <c r="U5252" s="102" t="s">
        <v>1419</v>
      </c>
      <c r="V5252" s="186">
        <v>45373</v>
      </c>
      <c r="W5252" s="17" t="s">
        <v>69</v>
      </c>
      <c r="Y5252" s="68">
        <v>45383</v>
      </c>
      <c r="Z5252" s="17" t="s">
        <v>191</v>
      </c>
      <c r="AA5252" s="17" t="s">
        <v>46</v>
      </c>
      <c r="AB5252" s="17" t="s">
        <v>1348</v>
      </c>
      <c r="AC5252" s="217">
        <v>45394</v>
      </c>
      <c r="AD5252" s="65">
        <v>1556</v>
      </c>
      <c r="AE5252" s="17" t="s">
        <v>48</v>
      </c>
    </row>
    <row r="5253" s="17" customFormat="1" hidden="1" spans="1:31">
      <c r="A5253" s="17" t="s">
        <v>34</v>
      </c>
      <c r="B5253" s="19">
        <v>993</v>
      </c>
      <c r="C5253" s="183">
        <v>45372</v>
      </c>
      <c r="D5253" s="22" t="s">
        <v>52</v>
      </c>
      <c r="E5253" s="17" t="s">
        <v>1113</v>
      </c>
      <c r="F5253" s="17" t="s">
        <v>54</v>
      </c>
      <c r="H5253" s="141">
        <v>1.2311</v>
      </c>
      <c r="I5253" s="141"/>
      <c r="J5253" s="17" t="s">
        <v>49</v>
      </c>
      <c r="K5253" s="91">
        <v>2200</v>
      </c>
      <c r="L5253" s="91">
        <v>80</v>
      </c>
      <c r="M5253" s="19">
        <v>5500</v>
      </c>
      <c r="N5253" s="19" t="s">
        <v>66</v>
      </c>
      <c r="O5253" s="19" t="s">
        <v>141</v>
      </c>
      <c r="P5253" s="160">
        <v>7598.8</v>
      </c>
      <c r="Q5253" s="19">
        <v>8380</v>
      </c>
      <c r="R5253" s="99">
        <f t="shared" si="245"/>
        <v>-781.200000000001</v>
      </c>
      <c r="S5253" s="19">
        <v>845</v>
      </c>
      <c r="T5253" s="19" t="s">
        <v>42</v>
      </c>
      <c r="U5253" s="102" t="s">
        <v>1419</v>
      </c>
      <c r="V5253" s="186">
        <v>45373</v>
      </c>
      <c r="W5253" s="17" t="s">
        <v>69</v>
      </c>
      <c r="Y5253" s="68">
        <v>45383</v>
      </c>
      <c r="Z5253" s="17" t="s">
        <v>191</v>
      </c>
      <c r="AA5253" s="17" t="s">
        <v>46</v>
      </c>
      <c r="AB5253" s="17" t="s">
        <v>1342</v>
      </c>
      <c r="AC5253" s="217">
        <v>45394</v>
      </c>
      <c r="AD5253" s="65">
        <v>1555</v>
      </c>
      <c r="AE5253" s="17" t="s">
        <v>48</v>
      </c>
    </row>
    <row r="5254" s="17" customFormat="1" hidden="1" spans="1:31">
      <c r="A5254" s="17" t="s">
        <v>34</v>
      </c>
      <c r="B5254" s="19">
        <v>993</v>
      </c>
      <c r="C5254" s="183">
        <v>45372</v>
      </c>
      <c r="D5254" s="22" t="s">
        <v>52</v>
      </c>
      <c r="E5254" s="17" t="s">
        <v>1113</v>
      </c>
      <c r="F5254" s="17" t="s">
        <v>54</v>
      </c>
      <c r="H5254" s="141">
        <v>1.2311</v>
      </c>
      <c r="I5254" s="141"/>
      <c r="J5254" s="17" t="s">
        <v>49</v>
      </c>
      <c r="K5254" s="91">
        <v>2200</v>
      </c>
      <c r="L5254" s="91">
        <v>91</v>
      </c>
      <c r="M5254" s="19">
        <v>5500</v>
      </c>
      <c r="N5254" s="19" t="s">
        <v>66</v>
      </c>
      <c r="O5254" s="19" t="s">
        <v>141</v>
      </c>
      <c r="P5254" s="160">
        <v>8643.635</v>
      </c>
      <c r="Q5254" s="19">
        <v>8030</v>
      </c>
      <c r="R5254" s="99">
        <f t="shared" si="245"/>
        <v>613.635</v>
      </c>
      <c r="S5254" s="19">
        <v>845</v>
      </c>
      <c r="T5254" s="19" t="s">
        <v>42</v>
      </c>
      <c r="U5254" s="102" t="s">
        <v>1419</v>
      </c>
      <c r="V5254" s="186">
        <v>45373</v>
      </c>
      <c r="W5254" s="17" t="s">
        <v>69</v>
      </c>
      <c r="Y5254" s="68">
        <v>45383</v>
      </c>
      <c r="Z5254" s="17" t="s">
        <v>191</v>
      </c>
      <c r="AA5254" s="17" t="s">
        <v>46</v>
      </c>
      <c r="AB5254" s="17" t="s">
        <v>1342</v>
      </c>
      <c r="AC5254" s="217">
        <v>45394</v>
      </c>
      <c r="AD5254" s="65">
        <v>1555</v>
      </c>
      <c r="AE5254" s="17" t="s">
        <v>48</v>
      </c>
    </row>
    <row r="5255" s="17" customFormat="1" hidden="1" spans="1:31">
      <c r="A5255" s="17" t="s">
        <v>34</v>
      </c>
      <c r="B5255" s="19">
        <v>993</v>
      </c>
      <c r="C5255" s="183">
        <v>45372</v>
      </c>
      <c r="D5255" s="22" t="s">
        <v>52</v>
      </c>
      <c r="E5255" s="17" t="s">
        <v>1113</v>
      </c>
      <c r="F5255" s="17" t="s">
        <v>54</v>
      </c>
      <c r="H5255" s="141">
        <v>1.2311</v>
      </c>
      <c r="I5255" s="141"/>
      <c r="J5255" s="17" t="s">
        <v>49</v>
      </c>
      <c r="K5255" s="91">
        <v>2200</v>
      </c>
      <c r="L5255" s="91">
        <v>105</v>
      </c>
      <c r="M5255" s="19">
        <v>5500</v>
      </c>
      <c r="N5255" s="19" t="s">
        <v>66</v>
      </c>
      <c r="O5255" s="19" t="s">
        <v>141</v>
      </c>
      <c r="P5255" s="160">
        <v>9973.425</v>
      </c>
      <c r="Q5255" s="19">
        <v>10300</v>
      </c>
      <c r="R5255" s="99">
        <f t="shared" si="245"/>
        <v>-326.575000000001</v>
      </c>
      <c r="S5255" s="19">
        <v>845</v>
      </c>
      <c r="T5255" s="19" t="s">
        <v>42</v>
      </c>
      <c r="U5255" s="102" t="s">
        <v>1419</v>
      </c>
      <c r="V5255" s="186">
        <v>45373</v>
      </c>
      <c r="W5255" s="17" t="s">
        <v>69</v>
      </c>
      <c r="Y5255" s="68">
        <v>45383</v>
      </c>
      <c r="Z5255" s="17" t="s">
        <v>191</v>
      </c>
      <c r="AA5255" s="17" t="s">
        <v>46</v>
      </c>
      <c r="AB5255" s="17" t="s">
        <v>1348</v>
      </c>
      <c r="AC5255" s="217">
        <v>45394</v>
      </c>
      <c r="AD5255" s="65">
        <v>1556</v>
      </c>
      <c r="AE5255" s="17" t="s">
        <v>48</v>
      </c>
    </row>
    <row r="5256" s="17" customFormat="1" ht="15.6" hidden="1" spans="1:31">
      <c r="A5256" s="17" t="s">
        <v>34</v>
      </c>
      <c r="B5256" s="19">
        <v>993</v>
      </c>
      <c r="C5256" s="183">
        <v>45372</v>
      </c>
      <c r="D5256" s="22" t="s">
        <v>52</v>
      </c>
      <c r="E5256" s="17" t="s">
        <v>1113</v>
      </c>
      <c r="F5256" s="17" t="s">
        <v>54</v>
      </c>
      <c r="H5256" s="141">
        <v>1.2311</v>
      </c>
      <c r="I5256" s="141"/>
      <c r="J5256" s="17" t="s">
        <v>82</v>
      </c>
      <c r="K5256" s="19">
        <v>205</v>
      </c>
      <c r="L5256" s="19">
        <v>32</v>
      </c>
      <c r="M5256" s="98">
        <v>2200</v>
      </c>
      <c r="N5256" s="19" t="s">
        <v>66</v>
      </c>
      <c r="O5256" s="19" t="s">
        <v>141</v>
      </c>
      <c r="P5256" s="321">
        <v>579</v>
      </c>
      <c r="Q5256" s="19">
        <v>118</v>
      </c>
      <c r="S5256" s="91">
        <v>865</v>
      </c>
      <c r="T5256" s="19" t="s">
        <v>42</v>
      </c>
      <c r="U5256" s="102" t="s">
        <v>1419</v>
      </c>
      <c r="V5256" s="186">
        <v>45373</v>
      </c>
      <c r="W5256" s="17" t="s">
        <v>69</v>
      </c>
      <c r="Y5256" s="68">
        <v>45383</v>
      </c>
      <c r="Z5256" s="17" t="s">
        <v>191</v>
      </c>
      <c r="AA5256" s="17" t="s">
        <v>46</v>
      </c>
      <c r="AB5256" s="17" t="s">
        <v>1338</v>
      </c>
      <c r="AC5256" s="217">
        <v>45395</v>
      </c>
      <c r="AD5256" s="65">
        <v>1557</v>
      </c>
      <c r="AE5256" s="17" t="s">
        <v>48</v>
      </c>
    </row>
    <row r="5257" s="17" customFormat="1" ht="15.6" hidden="1" spans="1:31">
      <c r="A5257" s="17" t="s">
        <v>34</v>
      </c>
      <c r="B5257" s="19">
        <v>993</v>
      </c>
      <c r="C5257" s="183">
        <v>45372</v>
      </c>
      <c r="D5257" s="22" t="s">
        <v>52</v>
      </c>
      <c r="E5257" s="17" t="s">
        <v>1113</v>
      </c>
      <c r="F5257" s="17" t="s">
        <v>54</v>
      </c>
      <c r="H5257" s="141">
        <v>1.2311</v>
      </c>
      <c r="I5257" s="141"/>
      <c r="J5257" s="17" t="s">
        <v>82</v>
      </c>
      <c r="K5257" s="19">
        <v>205</v>
      </c>
      <c r="L5257" s="19">
        <v>32</v>
      </c>
      <c r="M5257" s="98">
        <v>2200</v>
      </c>
      <c r="N5257" s="19" t="s">
        <v>66</v>
      </c>
      <c r="O5257" s="19" t="s">
        <v>141</v>
      </c>
      <c r="P5257" s="321"/>
      <c r="Q5257" s="19">
        <v>486</v>
      </c>
      <c r="R5257" s="99">
        <f>+P5256-Q5256-Q5257</f>
        <v>-25</v>
      </c>
      <c r="S5257" s="322">
        <f>865-70+80-20</f>
        <v>855</v>
      </c>
      <c r="T5257" s="19" t="s">
        <v>42</v>
      </c>
      <c r="U5257" s="102" t="s">
        <v>1419</v>
      </c>
      <c r="V5257" s="186">
        <v>45373</v>
      </c>
      <c r="W5257" s="17" t="s">
        <v>69</v>
      </c>
      <c r="Y5257" s="68">
        <v>45383</v>
      </c>
      <c r="Z5257" s="17" t="s">
        <v>191</v>
      </c>
      <c r="AA5257" s="17" t="s">
        <v>46</v>
      </c>
      <c r="AB5257" s="17" t="s">
        <v>1343</v>
      </c>
      <c r="AC5257" s="217">
        <v>45433</v>
      </c>
      <c r="AD5257" s="65">
        <v>1575</v>
      </c>
      <c r="AE5257" s="17" t="s">
        <v>48</v>
      </c>
    </row>
    <row r="5258" s="17" customFormat="1" ht="15.6" hidden="1" spans="1:31">
      <c r="A5258" s="17" t="s">
        <v>34</v>
      </c>
      <c r="B5258" s="19">
        <v>993</v>
      </c>
      <c r="C5258" s="183">
        <v>45372</v>
      </c>
      <c r="D5258" s="22" t="s">
        <v>52</v>
      </c>
      <c r="E5258" s="17" t="s">
        <v>1113</v>
      </c>
      <c r="F5258" s="17" t="s">
        <v>54</v>
      </c>
      <c r="H5258" s="141">
        <v>1.2311</v>
      </c>
      <c r="I5258" s="141"/>
      <c r="J5258" s="17" t="s">
        <v>82</v>
      </c>
      <c r="K5258" s="19">
        <v>255</v>
      </c>
      <c r="L5258" s="19">
        <v>32</v>
      </c>
      <c r="M5258" s="98">
        <v>2200</v>
      </c>
      <c r="N5258" s="19" t="s">
        <v>66</v>
      </c>
      <c r="O5258" s="19" t="s">
        <v>141</v>
      </c>
      <c r="P5258" s="321">
        <v>577</v>
      </c>
      <c r="Q5258" s="19">
        <v>576</v>
      </c>
      <c r="R5258" s="99">
        <f>+P5258-Q5258</f>
        <v>1</v>
      </c>
      <c r="S5258" s="91">
        <v>865</v>
      </c>
      <c r="T5258" s="19" t="s">
        <v>42</v>
      </c>
      <c r="U5258" s="102" t="s">
        <v>1419</v>
      </c>
      <c r="V5258" s="186">
        <v>45373</v>
      </c>
      <c r="W5258" s="17" t="s">
        <v>69</v>
      </c>
      <c r="Y5258" s="68">
        <v>45383</v>
      </c>
      <c r="Z5258" s="17" t="s">
        <v>191</v>
      </c>
      <c r="AA5258" s="17" t="s">
        <v>46</v>
      </c>
      <c r="AB5258" s="17" t="s">
        <v>1341</v>
      </c>
      <c r="AC5258" s="217">
        <v>45400</v>
      </c>
      <c r="AD5258" s="65">
        <v>1562</v>
      </c>
      <c r="AE5258" s="17" t="s">
        <v>48</v>
      </c>
    </row>
    <row r="5259" s="17" customFormat="1" ht="15.6" hidden="1" spans="1:31">
      <c r="A5259" s="17" t="s">
        <v>34</v>
      </c>
      <c r="B5259" s="19">
        <v>993</v>
      </c>
      <c r="C5259" s="183">
        <v>45372</v>
      </c>
      <c r="D5259" s="22" t="s">
        <v>52</v>
      </c>
      <c r="E5259" s="17" t="s">
        <v>1113</v>
      </c>
      <c r="F5259" s="17" t="s">
        <v>54</v>
      </c>
      <c r="H5259" s="141">
        <v>1.2311</v>
      </c>
      <c r="I5259" s="141"/>
      <c r="J5259" s="17" t="s">
        <v>82</v>
      </c>
      <c r="K5259" s="19">
        <v>305</v>
      </c>
      <c r="L5259" s="19">
        <v>32</v>
      </c>
      <c r="M5259" s="98">
        <v>2200</v>
      </c>
      <c r="N5259" s="19" t="s">
        <v>66</v>
      </c>
      <c r="O5259" s="19" t="s">
        <v>141</v>
      </c>
      <c r="P5259" s="321">
        <v>517</v>
      </c>
      <c r="Q5259" s="19">
        <v>539</v>
      </c>
      <c r="R5259" s="99">
        <f>+P5259-Q5259</f>
        <v>-22</v>
      </c>
      <c r="S5259" s="261">
        <f>865+40</f>
        <v>905</v>
      </c>
      <c r="T5259" s="19" t="s">
        <v>42</v>
      </c>
      <c r="U5259" s="102" t="s">
        <v>1419</v>
      </c>
      <c r="V5259" s="186">
        <v>45373</v>
      </c>
      <c r="W5259" s="17" t="s">
        <v>69</v>
      </c>
      <c r="Y5259" s="68">
        <v>45383</v>
      </c>
      <c r="Z5259" s="17" t="s">
        <v>191</v>
      </c>
      <c r="AA5259" s="17" t="s">
        <v>46</v>
      </c>
      <c r="AB5259" s="17" t="s">
        <v>1343</v>
      </c>
      <c r="AC5259" s="217">
        <v>45433</v>
      </c>
      <c r="AD5259" s="65">
        <v>1575</v>
      </c>
      <c r="AE5259" s="17" t="s">
        <v>48</v>
      </c>
    </row>
    <row r="5260" s="17" customFormat="1" ht="15.6" hidden="1" spans="1:31">
      <c r="A5260" s="17" t="s">
        <v>34</v>
      </c>
      <c r="B5260" s="19">
        <v>993</v>
      </c>
      <c r="C5260" s="183">
        <v>45372</v>
      </c>
      <c r="D5260" s="22" t="s">
        <v>52</v>
      </c>
      <c r="E5260" s="17" t="s">
        <v>1113</v>
      </c>
      <c r="F5260" s="17" t="s">
        <v>54</v>
      </c>
      <c r="H5260" s="141">
        <v>1.2311</v>
      </c>
      <c r="I5260" s="141"/>
      <c r="J5260" s="17" t="s">
        <v>82</v>
      </c>
      <c r="K5260" s="19">
        <v>355</v>
      </c>
      <c r="L5260" s="19">
        <v>32</v>
      </c>
      <c r="M5260" s="98">
        <v>2200</v>
      </c>
      <c r="N5260" s="19" t="s">
        <v>66</v>
      </c>
      <c r="O5260" s="19" t="s">
        <v>141</v>
      </c>
      <c r="P5260" s="321">
        <v>602</v>
      </c>
      <c r="Q5260" s="19">
        <v>624</v>
      </c>
      <c r="R5260" s="99">
        <f>+P5260-Q5260</f>
        <v>-22</v>
      </c>
      <c r="S5260" s="261">
        <f>865+40</f>
        <v>905</v>
      </c>
      <c r="T5260" s="19" t="s">
        <v>42</v>
      </c>
      <c r="U5260" s="102" t="s">
        <v>1419</v>
      </c>
      <c r="V5260" s="186">
        <v>45373</v>
      </c>
      <c r="W5260" s="17" t="s">
        <v>69</v>
      </c>
      <c r="Y5260" s="68">
        <v>45383</v>
      </c>
      <c r="Z5260" s="17" t="s">
        <v>191</v>
      </c>
      <c r="AA5260" s="17" t="s">
        <v>46</v>
      </c>
      <c r="AB5260" s="17" t="s">
        <v>1343</v>
      </c>
      <c r="AC5260" s="217">
        <v>45433</v>
      </c>
      <c r="AD5260" s="65">
        <v>1575</v>
      </c>
      <c r="AE5260" s="17" t="s">
        <v>48</v>
      </c>
    </row>
    <row r="5261" s="17" customFormat="1" ht="15.6" hidden="1" spans="1:31">
      <c r="A5261" s="17" t="s">
        <v>34</v>
      </c>
      <c r="B5261" s="19">
        <v>993</v>
      </c>
      <c r="C5261" s="183">
        <v>45372</v>
      </c>
      <c r="D5261" s="22" t="s">
        <v>52</v>
      </c>
      <c r="E5261" s="17" t="s">
        <v>1113</v>
      </c>
      <c r="F5261" s="17" t="s">
        <v>54</v>
      </c>
      <c r="H5261" s="141">
        <v>1.2311</v>
      </c>
      <c r="I5261" s="141"/>
      <c r="J5261" s="17" t="s">
        <v>82</v>
      </c>
      <c r="K5261" s="19">
        <v>405</v>
      </c>
      <c r="L5261" s="19">
        <v>32</v>
      </c>
      <c r="M5261" s="98">
        <v>2200</v>
      </c>
      <c r="N5261" s="19" t="s">
        <v>66</v>
      </c>
      <c r="O5261" s="19" t="s">
        <v>141</v>
      </c>
      <c r="P5261" s="321">
        <v>458</v>
      </c>
      <c r="Q5261" s="19">
        <v>474</v>
      </c>
      <c r="R5261" s="99">
        <f>+P5261-Q5261</f>
        <v>-16</v>
      </c>
      <c r="S5261" s="261">
        <f>865+40</f>
        <v>905</v>
      </c>
      <c r="T5261" s="19" t="s">
        <v>42</v>
      </c>
      <c r="U5261" s="102" t="s">
        <v>1419</v>
      </c>
      <c r="V5261" s="186">
        <v>45373</v>
      </c>
      <c r="W5261" s="17" t="s">
        <v>69</v>
      </c>
      <c r="Y5261" s="68">
        <v>45383</v>
      </c>
      <c r="Z5261" s="17" t="s">
        <v>191</v>
      </c>
      <c r="AA5261" s="17" t="s">
        <v>46</v>
      </c>
      <c r="AB5261" s="17" t="s">
        <v>1343</v>
      </c>
      <c r="AC5261" s="217">
        <v>45433</v>
      </c>
      <c r="AD5261" s="65">
        <v>1575</v>
      </c>
      <c r="AE5261" s="17" t="s">
        <v>48</v>
      </c>
    </row>
    <row r="5262" s="17" customFormat="1" ht="15.6" hidden="1" spans="1:31">
      <c r="A5262" s="17" t="s">
        <v>34</v>
      </c>
      <c r="B5262" s="19">
        <v>993</v>
      </c>
      <c r="C5262" s="183">
        <v>45372</v>
      </c>
      <c r="D5262" s="22" t="s">
        <v>52</v>
      </c>
      <c r="E5262" s="17" t="s">
        <v>1113</v>
      </c>
      <c r="F5262" s="17" t="s">
        <v>54</v>
      </c>
      <c r="H5262" s="141">
        <v>1.2311</v>
      </c>
      <c r="I5262" s="141"/>
      <c r="J5262" s="17" t="s">
        <v>82</v>
      </c>
      <c r="K5262" s="19">
        <v>455</v>
      </c>
      <c r="L5262" s="19">
        <v>32</v>
      </c>
      <c r="M5262" s="98">
        <v>2200</v>
      </c>
      <c r="N5262" s="19" t="s">
        <v>66</v>
      </c>
      <c r="O5262" s="19" t="s">
        <v>141</v>
      </c>
      <c r="P5262" s="321">
        <v>514</v>
      </c>
      <c r="Q5262" s="19">
        <v>534</v>
      </c>
      <c r="R5262" s="99">
        <f>+P5262-Q5262</f>
        <v>-20</v>
      </c>
      <c r="S5262" s="261">
        <f>865+40</f>
        <v>905</v>
      </c>
      <c r="T5262" s="19" t="s">
        <v>42</v>
      </c>
      <c r="U5262" s="102" t="s">
        <v>1419</v>
      </c>
      <c r="V5262" s="186">
        <v>45373</v>
      </c>
      <c r="W5262" s="17" t="s">
        <v>69</v>
      </c>
      <c r="Y5262" s="68">
        <v>45383</v>
      </c>
      <c r="Z5262" s="17" t="s">
        <v>191</v>
      </c>
      <c r="AA5262" s="17" t="s">
        <v>46</v>
      </c>
      <c r="AB5262" s="17" t="s">
        <v>1343</v>
      </c>
      <c r="AC5262" s="217">
        <v>45433</v>
      </c>
      <c r="AD5262" s="65">
        <v>1575</v>
      </c>
      <c r="AE5262" s="17" t="s">
        <v>48</v>
      </c>
    </row>
    <row r="5263" s="17" customFormat="1" ht="15.6" hidden="1" spans="1:31">
      <c r="A5263" s="17" t="s">
        <v>34</v>
      </c>
      <c r="B5263" s="19">
        <v>993</v>
      </c>
      <c r="C5263" s="183">
        <v>45372</v>
      </c>
      <c r="D5263" s="22" t="s">
        <v>52</v>
      </c>
      <c r="E5263" s="17" t="s">
        <v>1113</v>
      </c>
      <c r="F5263" s="17" t="s">
        <v>54</v>
      </c>
      <c r="H5263" s="141">
        <v>1.2311</v>
      </c>
      <c r="I5263" s="141"/>
      <c r="J5263" s="17" t="s">
        <v>82</v>
      </c>
      <c r="K5263" s="19">
        <v>505</v>
      </c>
      <c r="L5263" s="19">
        <v>32</v>
      </c>
      <c r="M5263" s="98">
        <v>2200</v>
      </c>
      <c r="N5263" s="19" t="s">
        <v>66</v>
      </c>
      <c r="O5263" s="19" t="s">
        <v>141</v>
      </c>
      <c r="P5263" s="321">
        <v>571</v>
      </c>
      <c r="Q5263" s="19">
        <v>293</v>
      </c>
      <c r="S5263" s="91">
        <v>865</v>
      </c>
      <c r="T5263" s="19" t="s">
        <v>42</v>
      </c>
      <c r="U5263" s="102" t="s">
        <v>1419</v>
      </c>
      <c r="V5263" s="186">
        <v>45373</v>
      </c>
      <c r="W5263" s="17" t="s">
        <v>69</v>
      </c>
      <c r="Y5263" s="68">
        <v>45383</v>
      </c>
      <c r="Z5263" s="17" t="s">
        <v>191</v>
      </c>
      <c r="AA5263" s="17" t="s">
        <v>46</v>
      </c>
      <c r="AB5263" s="17" t="s">
        <v>1337</v>
      </c>
      <c r="AC5263" s="217">
        <v>45400</v>
      </c>
      <c r="AD5263" s="65">
        <v>1563</v>
      </c>
      <c r="AE5263" s="17" t="s">
        <v>48</v>
      </c>
    </row>
    <row r="5264" s="17" customFormat="1" ht="15.6" hidden="1" spans="1:31">
      <c r="A5264" s="17" t="s">
        <v>34</v>
      </c>
      <c r="B5264" s="19">
        <v>993</v>
      </c>
      <c r="C5264" s="183">
        <v>45372</v>
      </c>
      <c r="D5264" s="22" t="s">
        <v>52</v>
      </c>
      <c r="E5264" s="17" t="s">
        <v>1113</v>
      </c>
      <c r="F5264" s="17" t="s">
        <v>54</v>
      </c>
      <c r="H5264" s="141">
        <v>1.2311</v>
      </c>
      <c r="I5264" s="141"/>
      <c r="J5264" s="17" t="s">
        <v>82</v>
      </c>
      <c r="K5264" s="19">
        <v>505</v>
      </c>
      <c r="L5264" s="19">
        <v>32</v>
      </c>
      <c r="M5264" s="98">
        <v>2200</v>
      </c>
      <c r="N5264" s="19" t="s">
        <v>66</v>
      </c>
      <c r="O5264" s="19" t="s">
        <v>141</v>
      </c>
      <c r="P5264" s="321"/>
      <c r="Q5264" s="19">
        <v>294</v>
      </c>
      <c r="R5264" s="99">
        <f>+P5263-Q5263-Q5264</f>
        <v>-16</v>
      </c>
      <c r="S5264" s="261">
        <f>865+40</f>
        <v>905</v>
      </c>
      <c r="T5264" s="19" t="s">
        <v>42</v>
      </c>
      <c r="U5264" s="102" t="s">
        <v>1419</v>
      </c>
      <c r="V5264" s="186">
        <v>45373</v>
      </c>
      <c r="W5264" s="17" t="s">
        <v>69</v>
      </c>
      <c r="Y5264" s="68">
        <v>45383</v>
      </c>
      <c r="Z5264" s="17" t="s">
        <v>191</v>
      </c>
      <c r="AA5264" s="17" t="s">
        <v>46</v>
      </c>
      <c r="AB5264" s="17" t="s">
        <v>1343</v>
      </c>
      <c r="AC5264" s="217">
        <v>45433</v>
      </c>
      <c r="AD5264" s="65">
        <v>1575</v>
      </c>
      <c r="AE5264" s="17" t="s">
        <v>48</v>
      </c>
    </row>
    <row r="5265" s="17" customFormat="1" ht="15.6" hidden="1" spans="1:31">
      <c r="A5265" s="17" t="s">
        <v>34</v>
      </c>
      <c r="B5265" s="19">
        <v>993</v>
      </c>
      <c r="C5265" s="183">
        <v>45372</v>
      </c>
      <c r="D5265" s="22" t="s">
        <v>52</v>
      </c>
      <c r="E5265" s="17" t="s">
        <v>1113</v>
      </c>
      <c r="F5265" s="17" t="s">
        <v>54</v>
      </c>
      <c r="H5265" s="141">
        <v>1.2311</v>
      </c>
      <c r="I5265" s="141"/>
      <c r="J5265" s="17" t="s">
        <v>82</v>
      </c>
      <c r="K5265" s="19">
        <v>205</v>
      </c>
      <c r="L5265" s="19">
        <v>40</v>
      </c>
      <c r="M5265" s="98">
        <v>2200</v>
      </c>
      <c r="N5265" s="19" t="s">
        <v>66</v>
      </c>
      <c r="O5265" s="19" t="s">
        <v>141</v>
      </c>
      <c r="P5265" s="321">
        <v>1014</v>
      </c>
      <c r="Q5265" s="19">
        <v>636</v>
      </c>
      <c r="S5265" s="91">
        <v>865</v>
      </c>
      <c r="T5265" s="19" t="s">
        <v>42</v>
      </c>
      <c r="U5265" s="102" t="s">
        <v>1419</v>
      </c>
      <c r="V5265" s="186">
        <v>45373</v>
      </c>
      <c r="W5265" s="17" t="s">
        <v>69</v>
      </c>
      <c r="Y5265" s="68">
        <v>45383</v>
      </c>
      <c r="Z5265" s="17" t="s">
        <v>191</v>
      </c>
      <c r="AA5265" s="17" t="s">
        <v>46</v>
      </c>
      <c r="AB5265" s="17" t="s">
        <v>1338</v>
      </c>
      <c r="AC5265" s="217">
        <v>45395</v>
      </c>
      <c r="AD5265" s="65">
        <v>1557</v>
      </c>
      <c r="AE5265" s="17" t="s">
        <v>48</v>
      </c>
    </row>
    <row r="5266" s="17" customFormat="1" ht="15.6" hidden="1" spans="1:31">
      <c r="A5266" s="17" t="s">
        <v>34</v>
      </c>
      <c r="B5266" s="19">
        <v>993</v>
      </c>
      <c r="C5266" s="183">
        <v>45372</v>
      </c>
      <c r="D5266" s="22" t="s">
        <v>52</v>
      </c>
      <c r="E5266" s="17" t="s">
        <v>1113</v>
      </c>
      <c r="F5266" s="17" t="s">
        <v>54</v>
      </c>
      <c r="H5266" s="141">
        <v>1.2311</v>
      </c>
      <c r="I5266" s="141"/>
      <c r="J5266" s="17" t="s">
        <v>82</v>
      </c>
      <c r="K5266" s="19">
        <v>205</v>
      </c>
      <c r="L5266" s="19">
        <v>40</v>
      </c>
      <c r="M5266" s="98">
        <v>2200</v>
      </c>
      <c r="N5266" s="19" t="s">
        <v>66</v>
      </c>
      <c r="O5266" s="19" t="s">
        <v>141</v>
      </c>
      <c r="P5266" s="321"/>
      <c r="Q5266" s="19">
        <v>155</v>
      </c>
      <c r="S5266" s="91">
        <f>865+60</f>
        <v>925</v>
      </c>
      <c r="T5266" s="19" t="s">
        <v>42</v>
      </c>
      <c r="U5266" s="102" t="s">
        <v>1419</v>
      </c>
      <c r="V5266" s="186">
        <v>45373</v>
      </c>
      <c r="W5266" s="17" t="s">
        <v>69</v>
      </c>
      <c r="Y5266" s="68">
        <v>45383</v>
      </c>
      <c r="Z5266" s="17" t="s">
        <v>191</v>
      </c>
      <c r="AA5266" s="17" t="s">
        <v>46</v>
      </c>
      <c r="AB5266" s="17" t="s">
        <v>1339</v>
      </c>
      <c r="AC5266" s="217">
        <v>45433</v>
      </c>
      <c r="AD5266" s="65">
        <v>1570</v>
      </c>
      <c r="AE5266" s="17" t="s">
        <v>48</v>
      </c>
    </row>
    <row r="5267" s="17" customFormat="1" ht="15.6" hidden="1" spans="1:31">
      <c r="A5267" s="17" t="s">
        <v>34</v>
      </c>
      <c r="B5267" s="19">
        <v>993</v>
      </c>
      <c r="C5267" s="183">
        <v>45372</v>
      </c>
      <c r="D5267" s="22" t="s">
        <v>52</v>
      </c>
      <c r="E5267" s="17" t="s">
        <v>1113</v>
      </c>
      <c r="F5267" s="17" t="s">
        <v>54</v>
      </c>
      <c r="H5267" s="141">
        <v>1.2311</v>
      </c>
      <c r="I5267" s="141"/>
      <c r="J5267" s="17" t="s">
        <v>82</v>
      </c>
      <c r="K5267" s="19">
        <v>205</v>
      </c>
      <c r="L5267" s="19">
        <v>40</v>
      </c>
      <c r="M5267" s="98">
        <v>2200</v>
      </c>
      <c r="N5267" s="19" t="s">
        <v>66</v>
      </c>
      <c r="O5267" s="19" t="s">
        <v>141</v>
      </c>
      <c r="P5267" s="321"/>
      <c r="Q5267" s="146">
        <v>295</v>
      </c>
      <c r="R5267" s="99">
        <f>+P5265-Q5265-Q5266-Q5267</f>
        <v>-72</v>
      </c>
      <c r="S5267" s="91">
        <f>865</f>
        <v>865</v>
      </c>
      <c r="T5267" s="19" t="s">
        <v>42</v>
      </c>
      <c r="U5267" s="102" t="s">
        <v>1419</v>
      </c>
      <c r="V5267" s="186">
        <v>45373</v>
      </c>
      <c r="W5267" s="17" t="s">
        <v>69</v>
      </c>
      <c r="Y5267" s="68">
        <v>45383</v>
      </c>
      <c r="Z5267" s="17" t="s">
        <v>191</v>
      </c>
      <c r="AA5267" s="17" t="s">
        <v>46</v>
      </c>
      <c r="AB5267" s="17" t="s">
        <v>1340</v>
      </c>
      <c r="AC5267" s="217">
        <v>45498</v>
      </c>
      <c r="AD5267" s="65">
        <v>1603</v>
      </c>
      <c r="AE5267" s="17" t="s">
        <v>48</v>
      </c>
    </row>
    <row r="5268" s="17" customFormat="1" ht="15.6" hidden="1" spans="1:31">
      <c r="A5268" s="17" t="s">
        <v>34</v>
      </c>
      <c r="B5268" s="19">
        <v>993</v>
      </c>
      <c r="C5268" s="183">
        <v>45372</v>
      </c>
      <c r="D5268" s="22" t="s">
        <v>52</v>
      </c>
      <c r="E5268" s="17" t="s">
        <v>1113</v>
      </c>
      <c r="F5268" s="17" t="s">
        <v>54</v>
      </c>
      <c r="H5268" s="141">
        <v>1.2311</v>
      </c>
      <c r="I5268" s="141"/>
      <c r="J5268" s="17" t="s">
        <v>82</v>
      </c>
      <c r="K5268" s="19">
        <v>255</v>
      </c>
      <c r="L5268" s="19">
        <v>40</v>
      </c>
      <c r="M5268" s="98">
        <v>2200</v>
      </c>
      <c r="N5268" s="19" t="s">
        <v>66</v>
      </c>
      <c r="O5268" s="19" t="s">
        <v>141</v>
      </c>
      <c r="P5268" s="321">
        <v>1081</v>
      </c>
      <c r="Q5268" s="19">
        <v>196</v>
      </c>
      <c r="S5268" s="91">
        <v>865</v>
      </c>
      <c r="T5268" s="19" t="s">
        <v>42</v>
      </c>
      <c r="U5268" s="102" t="s">
        <v>1419</v>
      </c>
      <c r="V5268" s="186">
        <v>45373</v>
      </c>
      <c r="W5268" s="17" t="s">
        <v>69</v>
      </c>
      <c r="Y5268" s="68">
        <v>45383</v>
      </c>
      <c r="Z5268" s="17" t="s">
        <v>191</v>
      </c>
      <c r="AA5268" s="17" t="s">
        <v>46</v>
      </c>
      <c r="AB5268" s="17" t="s">
        <v>1338</v>
      </c>
      <c r="AC5268" s="217">
        <v>45395</v>
      </c>
      <c r="AD5268" s="65">
        <v>1557</v>
      </c>
      <c r="AE5268" s="17" t="s">
        <v>48</v>
      </c>
    </row>
    <row r="5269" s="17" customFormat="1" ht="15.6" hidden="1" spans="1:31">
      <c r="A5269" s="17" t="s">
        <v>34</v>
      </c>
      <c r="B5269" s="19">
        <v>993</v>
      </c>
      <c r="C5269" s="183">
        <v>45372</v>
      </c>
      <c r="D5269" s="22" t="s">
        <v>52</v>
      </c>
      <c r="E5269" s="17" t="s">
        <v>1113</v>
      </c>
      <c r="F5269" s="17" t="s">
        <v>54</v>
      </c>
      <c r="H5269" s="141">
        <v>1.2311</v>
      </c>
      <c r="I5269" s="141"/>
      <c r="J5269" s="17" t="s">
        <v>82</v>
      </c>
      <c r="K5269" s="19">
        <v>255</v>
      </c>
      <c r="L5269" s="19">
        <v>40</v>
      </c>
      <c r="M5269" s="98">
        <v>2200</v>
      </c>
      <c r="N5269" s="19" t="s">
        <v>66</v>
      </c>
      <c r="O5269" s="19" t="s">
        <v>141</v>
      </c>
      <c r="P5269" s="321"/>
      <c r="Q5269" s="19">
        <v>778</v>
      </c>
      <c r="S5269" s="91">
        <v>865</v>
      </c>
      <c r="T5269" s="19" t="s">
        <v>42</v>
      </c>
      <c r="U5269" s="102" t="s">
        <v>1419</v>
      </c>
      <c r="V5269" s="186">
        <v>45373</v>
      </c>
      <c r="W5269" s="17" t="s">
        <v>69</v>
      </c>
      <c r="Y5269" s="68">
        <v>45383</v>
      </c>
      <c r="Z5269" s="17" t="s">
        <v>191</v>
      </c>
      <c r="AA5269" s="17" t="s">
        <v>46</v>
      </c>
      <c r="AB5269" s="17" t="s">
        <v>1341</v>
      </c>
      <c r="AC5269" s="217">
        <v>45400</v>
      </c>
      <c r="AD5269" s="65">
        <v>1562</v>
      </c>
      <c r="AE5269" s="17" t="s">
        <v>48</v>
      </c>
    </row>
    <row r="5270" s="17" customFormat="1" ht="15.6" hidden="1" spans="1:31">
      <c r="A5270" s="17" t="s">
        <v>34</v>
      </c>
      <c r="B5270" s="19">
        <v>993</v>
      </c>
      <c r="C5270" s="183">
        <v>45372</v>
      </c>
      <c r="D5270" s="22" t="s">
        <v>52</v>
      </c>
      <c r="E5270" s="17" t="s">
        <v>1113</v>
      </c>
      <c r="F5270" s="17" t="s">
        <v>54</v>
      </c>
      <c r="H5270" s="141">
        <v>1.2311</v>
      </c>
      <c r="I5270" s="141"/>
      <c r="J5270" s="17" t="s">
        <v>82</v>
      </c>
      <c r="K5270" s="19">
        <v>255</v>
      </c>
      <c r="L5270" s="19">
        <v>40</v>
      </c>
      <c r="M5270" s="98">
        <v>2200</v>
      </c>
      <c r="N5270" s="19" t="s">
        <v>66</v>
      </c>
      <c r="O5270" s="19" t="s">
        <v>141</v>
      </c>
      <c r="P5270" s="321"/>
      <c r="Q5270" s="19">
        <v>192</v>
      </c>
      <c r="R5270" s="99">
        <f>+P5268-Q5268-Q5269-Q5270</f>
        <v>-85</v>
      </c>
      <c r="S5270" s="261">
        <f>865+40</f>
        <v>905</v>
      </c>
      <c r="T5270" s="19" t="s">
        <v>42</v>
      </c>
      <c r="U5270" s="102" t="s">
        <v>1419</v>
      </c>
      <c r="V5270" s="186">
        <v>45373</v>
      </c>
      <c r="W5270" s="17" t="s">
        <v>69</v>
      </c>
      <c r="Y5270" s="68">
        <v>45383</v>
      </c>
      <c r="Z5270" s="17" t="s">
        <v>191</v>
      </c>
      <c r="AA5270" s="17" t="s">
        <v>46</v>
      </c>
      <c r="AB5270" s="17" t="s">
        <v>1343</v>
      </c>
      <c r="AC5270" s="217">
        <v>45433</v>
      </c>
      <c r="AD5270" s="65">
        <v>1575</v>
      </c>
      <c r="AE5270" s="17" t="s">
        <v>48</v>
      </c>
    </row>
    <row r="5271" s="17" customFormat="1" ht="15.6" hidden="1" spans="1:31">
      <c r="A5271" s="17" t="s">
        <v>34</v>
      </c>
      <c r="B5271" s="19">
        <v>993</v>
      </c>
      <c r="C5271" s="183">
        <v>45372</v>
      </c>
      <c r="D5271" s="22" t="s">
        <v>52</v>
      </c>
      <c r="E5271" s="17" t="s">
        <v>1113</v>
      </c>
      <c r="F5271" s="17" t="s">
        <v>54</v>
      </c>
      <c r="H5271" s="141">
        <v>1.2311</v>
      </c>
      <c r="I5271" s="141"/>
      <c r="J5271" s="17" t="s">
        <v>82</v>
      </c>
      <c r="K5271" s="19">
        <v>305</v>
      </c>
      <c r="L5271" s="19">
        <v>40</v>
      </c>
      <c r="M5271" s="98">
        <v>2200</v>
      </c>
      <c r="N5271" s="19" t="s">
        <v>66</v>
      </c>
      <c r="O5271" s="19" t="s">
        <v>141</v>
      </c>
      <c r="P5271" s="321">
        <v>1077</v>
      </c>
      <c r="Q5271" s="19">
        <f>699+470</f>
        <v>1169</v>
      </c>
      <c r="R5271" s="99">
        <f>+P5271-Q5271</f>
        <v>-92</v>
      </c>
      <c r="S5271" s="91">
        <v>865</v>
      </c>
      <c r="T5271" s="19" t="s">
        <v>42</v>
      </c>
      <c r="U5271" s="102" t="s">
        <v>1419</v>
      </c>
      <c r="V5271" s="186">
        <v>45373</v>
      </c>
      <c r="W5271" s="17" t="s">
        <v>69</v>
      </c>
      <c r="Y5271" s="68">
        <v>45383</v>
      </c>
      <c r="Z5271" s="17" t="s">
        <v>191</v>
      </c>
      <c r="AA5271" s="17" t="s">
        <v>46</v>
      </c>
      <c r="AB5271" s="17" t="s">
        <v>1338</v>
      </c>
      <c r="AC5271" s="217">
        <v>45395</v>
      </c>
      <c r="AD5271" s="65">
        <v>1557</v>
      </c>
      <c r="AE5271" s="17" t="s">
        <v>48</v>
      </c>
    </row>
    <row r="5272" s="17" customFormat="1" ht="15.6" hidden="1" spans="1:31">
      <c r="A5272" s="17" t="s">
        <v>34</v>
      </c>
      <c r="B5272" s="19">
        <v>993</v>
      </c>
      <c r="C5272" s="183">
        <v>45372</v>
      </c>
      <c r="D5272" s="22" t="s">
        <v>52</v>
      </c>
      <c r="E5272" s="17" t="s">
        <v>1113</v>
      </c>
      <c r="F5272" s="17" t="s">
        <v>54</v>
      </c>
      <c r="H5272" s="141">
        <v>1.2311</v>
      </c>
      <c r="I5272" s="141"/>
      <c r="J5272" s="17" t="s">
        <v>82</v>
      </c>
      <c r="K5272" s="19">
        <v>355</v>
      </c>
      <c r="L5272" s="19">
        <v>40</v>
      </c>
      <c r="M5272" s="98">
        <v>2200</v>
      </c>
      <c r="N5272" s="19" t="s">
        <v>66</v>
      </c>
      <c r="O5272" s="19" t="s">
        <v>141</v>
      </c>
      <c r="P5272" s="321">
        <v>1003</v>
      </c>
      <c r="Q5272" s="19">
        <v>268</v>
      </c>
      <c r="S5272" s="91">
        <v>865</v>
      </c>
      <c r="T5272" s="19" t="s">
        <v>42</v>
      </c>
      <c r="U5272" s="102" t="s">
        <v>1419</v>
      </c>
      <c r="V5272" s="186">
        <v>45373</v>
      </c>
      <c r="W5272" s="17" t="s">
        <v>69</v>
      </c>
      <c r="Y5272" s="68">
        <v>45383</v>
      </c>
      <c r="Z5272" s="17" t="s">
        <v>191</v>
      </c>
      <c r="AA5272" s="17" t="s">
        <v>46</v>
      </c>
      <c r="AB5272" s="17" t="s">
        <v>1341</v>
      </c>
      <c r="AC5272" s="217">
        <v>45400</v>
      </c>
      <c r="AD5272" s="65">
        <v>1562</v>
      </c>
      <c r="AE5272" s="17" t="s">
        <v>48</v>
      </c>
    </row>
    <row r="5273" s="17" customFormat="1" ht="15.6" hidden="1" spans="1:31">
      <c r="A5273" s="17" t="s">
        <v>34</v>
      </c>
      <c r="B5273" s="19">
        <v>993</v>
      </c>
      <c r="C5273" s="183">
        <v>45372</v>
      </c>
      <c r="D5273" s="22" t="s">
        <v>52</v>
      </c>
      <c r="E5273" s="17" t="s">
        <v>1113</v>
      </c>
      <c r="F5273" s="17" t="s">
        <v>54</v>
      </c>
      <c r="H5273" s="141">
        <v>1.2311</v>
      </c>
      <c r="I5273" s="141"/>
      <c r="J5273" s="17" t="s">
        <v>82</v>
      </c>
      <c r="K5273" s="19">
        <v>355</v>
      </c>
      <c r="L5273" s="19">
        <v>40</v>
      </c>
      <c r="M5273" s="98">
        <v>2200</v>
      </c>
      <c r="N5273" s="19" t="s">
        <v>66</v>
      </c>
      <c r="O5273" s="19" t="s">
        <v>141</v>
      </c>
      <c r="P5273" s="321"/>
      <c r="Q5273" s="19">
        <v>265</v>
      </c>
      <c r="S5273" s="91">
        <f>865+60</f>
        <v>925</v>
      </c>
      <c r="T5273" s="19" t="s">
        <v>42</v>
      </c>
      <c r="U5273" s="102" t="s">
        <v>1419</v>
      </c>
      <c r="V5273" s="186">
        <v>45373</v>
      </c>
      <c r="W5273" s="17" t="s">
        <v>69</v>
      </c>
      <c r="Y5273" s="68">
        <v>45383</v>
      </c>
      <c r="Z5273" s="17" t="s">
        <v>191</v>
      </c>
      <c r="AA5273" s="17" t="s">
        <v>46</v>
      </c>
      <c r="AB5273" s="17" t="s">
        <v>1339</v>
      </c>
      <c r="AC5273" s="217">
        <v>45433</v>
      </c>
      <c r="AD5273" s="65">
        <v>1570</v>
      </c>
      <c r="AE5273" s="17" t="s">
        <v>48</v>
      </c>
    </row>
    <row r="5274" s="17" customFormat="1" ht="15.6" hidden="1" spans="1:31">
      <c r="A5274" s="17" t="s">
        <v>34</v>
      </c>
      <c r="B5274" s="19">
        <v>993</v>
      </c>
      <c r="C5274" s="183">
        <v>45372</v>
      </c>
      <c r="D5274" s="22" t="s">
        <v>52</v>
      </c>
      <c r="E5274" s="17" t="s">
        <v>1113</v>
      </c>
      <c r="F5274" s="17" t="s">
        <v>54</v>
      </c>
      <c r="H5274" s="141">
        <v>1.2311</v>
      </c>
      <c r="I5274" s="141"/>
      <c r="J5274" s="17" t="s">
        <v>82</v>
      </c>
      <c r="K5274" s="19">
        <v>355</v>
      </c>
      <c r="L5274" s="19">
        <v>40</v>
      </c>
      <c r="M5274" s="98">
        <v>2200</v>
      </c>
      <c r="N5274" s="19" t="s">
        <v>66</v>
      </c>
      <c r="O5274" s="19" t="s">
        <v>141</v>
      </c>
      <c r="P5274" s="321"/>
      <c r="Q5274" s="19">
        <v>519</v>
      </c>
      <c r="R5274" s="99">
        <f>+P5272-Q5272-Q5273-Q5274</f>
        <v>-49</v>
      </c>
      <c r="S5274" s="261">
        <f>865+40</f>
        <v>905</v>
      </c>
      <c r="T5274" s="19" t="s">
        <v>42</v>
      </c>
      <c r="U5274" s="102" t="s">
        <v>1419</v>
      </c>
      <c r="V5274" s="186">
        <v>45373</v>
      </c>
      <c r="W5274" s="17" t="s">
        <v>69</v>
      </c>
      <c r="Y5274" s="68">
        <v>45383</v>
      </c>
      <c r="Z5274" s="17" t="s">
        <v>191</v>
      </c>
      <c r="AA5274" s="17" t="s">
        <v>46</v>
      </c>
      <c r="AB5274" s="17" t="s">
        <v>1343</v>
      </c>
      <c r="AC5274" s="217">
        <v>45433</v>
      </c>
      <c r="AD5274" s="65">
        <v>1575</v>
      </c>
      <c r="AE5274" s="17" t="s">
        <v>48</v>
      </c>
    </row>
    <row r="5275" s="17" customFormat="1" ht="15.6" hidden="1" spans="1:31">
      <c r="A5275" s="17" t="s">
        <v>34</v>
      </c>
      <c r="B5275" s="19">
        <v>993</v>
      </c>
      <c r="C5275" s="183">
        <v>45372</v>
      </c>
      <c r="D5275" s="22" t="s">
        <v>52</v>
      </c>
      <c r="E5275" s="17" t="s">
        <v>1113</v>
      </c>
      <c r="F5275" s="17" t="s">
        <v>54</v>
      </c>
      <c r="H5275" s="141">
        <v>1.2311</v>
      </c>
      <c r="I5275" s="141"/>
      <c r="J5275" s="17" t="s">
        <v>82</v>
      </c>
      <c r="K5275" s="19">
        <v>405</v>
      </c>
      <c r="L5275" s="19">
        <v>40</v>
      </c>
      <c r="M5275" s="98">
        <v>2200</v>
      </c>
      <c r="N5275" s="19" t="s">
        <v>66</v>
      </c>
      <c r="O5275" s="19" t="s">
        <v>141</v>
      </c>
      <c r="P5275" s="321">
        <v>1145</v>
      </c>
      <c r="Q5275" s="19">
        <v>902</v>
      </c>
      <c r="S5275" s="91">
        <v>865</v>
      </c>
      <c r="T5275" s="19" t="s">
        <v>42</v>
      </c>
      <c r="U5275" s="102" t="s">
        <v>1419</v>
      </c>
      <c r="V5275" s="186">
        <v>45373</v>
      </c>
      <c r="W5275" s="17" t="s">
        <v>69</v>
      </c>
      <c r="Y5275" s="68">
        <v>45383</v>
      </c>
      <c r="Z5275" s="17" t="s">
        <v>191</v>
      </c>
      <c r="AA5275" s="17" t="s">
        <v>46</v>
      </c>
      <c r="AB5275" s="17" t="s">
        <v>1341</v>
      </c>
      <c r="AC5275" s="217">
        <v>45400</v>
      </c>
      <c r="AD5275" s="65">
        <v>1562</v>
      </c>
      <c r="AE5275" s="17" t="s">
        <v>48</v>
      </c>
    </row>
    <row r="5276" s="17" customFormat="1" ht="15.6" hidden="1" spans="1:31">
      <c r="A5276" s="17" t="s">
        <v>34</v>
      </c>
      <c r="B5276" s="19">
        <v>993</v>
      </c>
      <c r="C5276" s="183">
        <v>45372</v>
      </c>
      <c r="D5276" s="22" t="s">
        <v>52</v>
      </c>
      <c r="E5276" s="17" t="s">
        <v>1113</v>
      </c>
      <c r="F5276" s="17" t="s">
        <v>54</v>
      </c>
      <c r="H5276" s="141">
        <v>1.2311</v>
      </c>
      <c r="I5276" s="141"/>
      <c r="J5276" s="17" t="s">
        <v>82</v>
      </c>
      <c r="K5276" s="19">
        <v>405</v>
      </c>
      <c r="L5276" s="19">
        <v>40</v>
      </c>
      <c r="M5276" s="98">
        <v>2200</v>
      </c>
      <c r="N5276" s="19" t="s">
        <v>66</v>
      </c>
      <c r="O5276" s="19" t="s">
        <v>141</v>
      </c>
      <c r="P5276" s="321"/>
      <c r="Q5276" s="19">
        <v>304</v>
      </c>
      <c r="R5276" s="99">
        <f>+P5275-Q5275</f>
        <v>243</v>
      </c>
      <c r="S5276" s="91">
        <f>865+60</f>
        <v>925</v>
      </c>
      <c r="T5276" s="19" t="s">
        <v>42</v>
      </c>
      <c r="U5276" s="102" t="s">
        <v>1419</v>
      </c>
      <c r="V5276" s="186">
        <v>45373</v>
      </c>
      <c r="W5276" s="17" t="s">
        <v>69</v>
      </c>
      <c r="Y5276" s="68">
        <v>45383</v>
      </c>
      <c r="Z5276" s="17" t="s">
        <v>191</v>
      </c>
      <c r="AA5276" s="17" t="s">
        <v>46</v>
      </c>
      <c r="AB5276" s="17" t="s">
        <v>1339</v>
      </c>
      <c r="AC5276" s="217">
        <v>45433</v>
      </c>
      <c r="AD5276" s="65">
        <v>1570</v>
      </c>
      <c r="AE5276" s="17" t="s">
        <v>48</v>
      </c>
    </row>
    <row r="5277" s="17" customFormat="1" ht="15.6" hidden="1" spans="1:31">
      <c r="A5277" s="17" t="s">
        <v>34</v>
      </c>
      <c r="B5277" s="19">
        <v>993</v>
      </c>
      <c r="C5277" s="183">
        <v>45372</v>
      </c>
      <c r="D5277" s="22" t="s">
        <v>52</v>
      </c>
      <c r="E5277" s="17" t="s">
        <v>1113</v>
      </c>
      <c r="F5277" s="17" t="s">
        <v>54</v>
      </c>
      <c r="H5277" s="141">
        <v>1.2311</v>
      </c>
      <c r="I5277" s="141"/>
      <c r="J5277" s="17" t="s">
        <v>82</v>
      </c>
      <c r="K5277" s="19">
        <v>455</v>
      </c>
      <c r="L5277" s="19">
        <v>40</v>
      </c>
      <c r="M5277" s="98">
        <v>2200</v>
      </c>
      <c r="N5277" s="19" t="s">
        <v>66</v>
      </c>
      <c r="O5277" s="19" t="s">
        <v>141</v>
      </c>
      <c r="P5277" s="321">
        <v>964</v>
      </c>
      <c r="Q5277" s="19">
        <v>679</v>
      </c>
      <c r="S5277" s="91">
        <v>865</v>
      </c>
      <c r="T5277" s="19" t="s">
        <v>42</v>
      </c>
      <c r="U5277" s="102" t="s">
        <v>1419</v>
      </c>
      <c r="V5277" s="186">
        <v>45373</v>
      </c>
      <c r="W5277" s="17" t="s">
        <v>69</v>
      </c>
      <c r="Y5277" s="68">
        <v>45383</v>
      </c>
      <c r="Z5277" s="17" t="s">
        <v>191</v>
      </c>
      <c r="AA5277" s="17" t="s">
        <v>46</v>
      </c>
      <c r="AB5277" s="17" t="s">
        <v>1338</v>
      </c>
      <c r="AC5277" s="217">
        <v>45395</v>
      </c>
      <c r="AD5277" s="65">
        <v>1557</v>
      </c>
      <c r="AE5277" s="17" t="s">
        <v>48</v>
      </c>
    </row>
    <row r="5278" s="17" customFormat="1" ht="15.6" hidden="1" spans="1:31">
      <c r="A5278" s="17" t="s">
        <v>34</v>
      </c>
      <c r="B5278" s="19">
        <v>993</v>
      </c>
      <c r="C5278" s="183">
        <v>45372</v>
      </c>
      <c r="D5278" s="22" t="s">
        <v>52</v>
      </c>
      <c r="E5278" s="17" t="s">
        <v>1113</v>
      </c>
      <c r="F5278" s="17" t="s">
        <v>54</v>
      </c>
      <c r="H5278" s="141">
        <v>1.2311</v>
      </c>
      <c r="I5278" s="141"/>
      <c r="J5278" s="17" t="s">
        <v>82</v>
      </c>
      <c r="K5278" s="19">
        <v>455</v>
      </c>
      <c r="L5278" s="19">
        <v>40</v>
      </c>
      <c r="M5278" s="98">
        <v>2200</v>
      </c>
      <c r="N5278" s="19" t="s">
        <v>66</v>
      </c>
      <c r="O5278" s="19" t="s">
        <v>141</v>
      </c>
      <c r="P5278" s="321"/>
      <c r="Q5278" s="146">
        <v>323</v>
      </c>
      <c r="R5278" s="99">
        <f>+P5277-Q5277-Q5278</f>
        <v>-38</v>
      </c>
      <c r="S5278" s="91">
        <v>865</v>
      </c>
      <c r="T5278" s="19" t="s">
        <v>42</v>
      </c>
      <c r="U5278" s="102" t="s">
        <v>1419</v>
      </c>
      <c r="V5278" s="186">
        <v>45373</v>
      </c>
      <c r="W5278" s="17" t="s">
        <v>69</v>
      </c>
      <c r="Y5278" s="68">
        <v>45383</v>
      </c>
      <c r="Z5278" s="17" t="s">
        <v>191</v>
      </c>
      <c r="AA5278" s="17" t="s">
        <v>46</v>
      </c>
      <c r="AB5278" s="17" t="s">
        <v>1340</v>
      </c>
      <c r="AC5278" s="217">
        <v>45498</v>
      </c>
      <c r="AD5278" s="65">
        <v>1603</v>
      </c>
      <c r="AE5278" s="17" t="s">
        <v>48</v>
      </c>
    </row>
    <row r="5279" s="17" customFormat="1" ht="15.6" hidden="1" spans="1:31">
      <c r="A5279" s="17" t="s">
        <v>34</v>
      </c>
      <c r="B5279" s="19">
        <v>993</v>
      </c>
      <c r="C5279" s="183">
        <v>45372</v>
      </c>
      <c r="D5279" s="22" t="s">
        <v>52</v>
      </c>
      <c r="E5279" s="17" t="s">
        <v>1113</v>
      </c>
      <c r="F5279" s="17" t="s">
        <v>54</v>
      </c>
      <c r="H5279" s="141">
        <v>1.2311</v>
      </c>
      <c r="I5279" s="141"/>
      <c r="J5279" s="17" t="s">
        <v>82</v>
      </c>
      <c r="K5279" s="19">
        <v>505</v>
      </c>
      <c r="L5279" s="19">
        <v>40</v>
      </c>
      <c r="M5279" s="98">
        <v>2200</v>
      </c>
      <c r="N5279" s="19" t="s">
        <v>66</v>
      </c>
      <c r="O5279" s="19" t="s">
        <v>141</v>
      </c>
      <c r="P5279" s="321">
        <v>1070</v>
      </c>
      <c r="Q5279" s="19">
        <v>774</v>
      </c>
      <c r="S5279" s="91">
        <v>865</v>
      </c>
      <c r="T5279" s="19" t="s">
        <v>42</v>
      </c>
      <c r="U5279" s="102" t="s">
        <v>1419</v>
      </c>
      <c r="V5279" s="186">
        <v>45373</v>
      </c>
      <c r="W5279" s="17" t="s">
        <v>69</v>
      </c>
      <c r="Y5279" s="68">
        <v>45383</v>
      </c>
      <c r="Z5279" s="17" t="s">
        <v>191</v>
      </c>
      <c r="AA5279" s="17" t="s">
        <v>46</v>
      </c>
      <c r="AB5279" s="17" t="s">
        <v>1341</v>
      </c>
      <c r="AC5279" s="217">
        <v>45400</v>
      </c>
      <c r="AD5279" s="65">
        <v>1562</v>
      </c>
      <c r="AE5279" s="17" t="s">
        <v>48</v>
      </c>
    </row>
    <row r="5280" s="17" customFormat="1" ht="15.6" hidden="1" spans="1:31">
      <c r="A5280" s="17" t="s">
        <v>34</v>
      </c>
      <c r="B5280" s="19">
        <v>993</v>
      </c>
      <c r="C5280" s="183">
        <v>45372</v>
      </c>
      <c r="D5280" s="22" t="s">
        <v>52</v>
      </c>
      <c r="E5280" s="17" t="s">
        <v>1113</v>
      </c>
      <c r="F5280" s="17" t="s">
        <v>54</v>
      </c>
      <c r="H5280" s="141">
        <v>1.2311</v>
      </c>
      <c r="I5280" s="141"/>
      <c r="J5280" s="17" t="s">
        <v>82</v>
      </c>
      <c r="K5280" s="19">
        <v>505</v>
      </c>
      <c r="L5280" s="19">
        <v>40</v>
      </c>
      <c r="M5280" s="98">
        <v>2200</v>
      </c>
      <c r="N5280" s="19" t="s">
        <v>66</v>
      </c>
      <c r="O5280" s="19" t="s">
        <v>141</v>
      </c>
      <c r="P5280" s="321"/>
      <c r="Q5280" s="19">
        <v>388</v>
      </c>
      <c r="R5280" s="99">
        <f>+P5279-Q5279-Q5280</f>
        <v>-92</v>
      </c>
      <c r="S5280" s="261">
        <f>865+40</f>
        <v>905</v>
      </c>
      <c r="T5280" s="19" t="s">
        <v>42</v>
      </c>
      <c r="U5280" s="102" t="s">
        <v>1419</v>
      </c>
      <c r="V5280" s="186">
        <v>45373</v>
      </c>
      <c r="W5280" s="17" t="s">
        <v>69</v>
      </c>
      <c r="Y5280" s="68">
        <v>45383</v>
      </c>
      <c r="Z5280" s="17" t="s">
        <v>191</v>
      </c>
      <c r="AA5280" s="17" t="s">
        <v>46</v>
      </c>
      <c r="AB5280" s="17" t="s">
        <v>1343</v>
      </c>
      <c r="AC5280" s="217">
        <v>45433</v>
      </c>
      <c r="AD5280" s="65">
        <v>1575</v>
      </c>
      <c r="AE5280" s="17" t="s">
        <v>48</v>
      </c>
    </row>
    <row r="5281" s="17" customFormat="1" ht="15.6" hidden="1" spans="1:31">
      <c r="A5281" s="17" t="s">
        <v>34</v>
      </c>
      <c r="B5281" s="19">
        <v>993</v>
      </c>
      <c r="C5281" s="183">
        <v>45372</v>
      </c>
      <c r="D5281" s="22" t="s">
        <v>52</v>
      </c>
      <c r="E5281" s="17" t="s">
        <v>1113</v>
      </c>
      <c r="F5281" s="17" t="s">
        <v>54</v>
      </c>
      <c r="H5281" s="141">
        <v>1.2311</v>
      </c>
      <c r="I5281" s="141"/>
      <c r="J5281" s="17" t="s">
        <v>82</v>
      </c>
      <c r="K5281" s="19">
        <v>205</v>
      </c>
      <c r="L5281" s="19">
        <v>50</v>
      </c>
      <c r="M5281" s="98">
        <v>2200</v>
      </c>
      <c r="N5281" s="19" t="s">
        <v>66</v>
      </c>
      <c r="O5281" s="19" t="s">
        <v>141</v>
      </c>
      <c r="P5281" s="321">
        <v>1086</v>
      </c>
      <c r="Q5281" s="19">
        <f>192+384</f>
        <v>576</v>
      </c>
      <c r="S5281" s="91">
        <v>865</v>
      </c>
      <c r="T5281" s="19" t="s">
        <v>42</v>
      </c>
      <c r="U5281" s="102" t="s">
        <v>1419</v>
      </c>
      <c r="V5281" s="186">
        <v>45373</v>
      </c>
      <c r="W5281" s="17" t="s">
        <v>69</v>
      </c>
      <c r="Y5281" s="68">
        <v>45383</v>
      </c>
      <c r="Z5281" s="17" t="s">
        <v>191</v>
      </c>
      <c r="AA5281" s="17" t="s">
        <v>46</v>
      </c>
      <c r="AB5281" s="17" t="s">
        <v>1338</v>
      </c>
      <c r="AC5281" s="217">
        <v>45395</v>
      </c>
      <c r="AD5281" s="65">
        <v>1557</v>
      </c>
      <c r="AE5281" s="17" t="s">
        <v>48</v>
      </c>
    </row>
    <row r="5282" s="17" customFormat="1" ht="15.6" hidden="1" spans="1:31">
      <c r="A5282" s="17" t="s">
        <v>34</v>
      </c>
      <c r="B5282" s="19">
        <v>993</v>
      </c>
      <c r="C5282" s="183">
        <v>45372</v>
      </c>
      <c r="D5282" s="22" t="s">
        <v>52</v>
      </c>
      <c r="E5282" s="17" t="s">
        <v>1113</v>
      </c>
      <c r="F5282" s="17" t="s">
        <v>54</v>
      </c>
      <c r="H5282" s="141">
        <v>1.2311</v>
      </c>
      <c r="I5282" s="141"/>
      <c r="J5282" s="17" t="s">
        <v>82</v>
      </c>
      <c r="K5282" s="19">
        <v>205</v>
      </c>
      <c r="L5282" s="19">
        <v>50</v>
      </c>
      <c r="M5282" s="98">
        <v>2200</v>
      </c>
      <c r="N5282" s="19" t="s">
        <v>66</v>
      </c>
      <c r="O5282" s="19" t="s">
        <v>141</v>
      </c>
      <c r="P5282" s="321"/>
      <c r="Q5282" s="19">
        <f>194+385</f>
        <v>579</v>
      </c>
      <c r="R5282" s="99">
        <f>+P5281-Q5281-Q5282</f>
        <v>-69</v>
      </c>
      <c r="S5282" s="91">
        <f>865+60</f>
        <v>925</v>
      </c>
      <c r="T5282" s="19" t="s">
        <v>42</v>
      </c>
      <c r="U5282" s="102" t="s">
        <v>1419</v>
      </c>
      <c r="V5282" s="186">
        <v>45373</v>
      </c>
      <c r="W5282" s="17" t="s">
        <v>69</v>
      </c>
      <c r="Y5282" s="68">
        <v>45383</v>
      </c>
      <c r="Z5282" s="17" t="s">
        <v>191</v>
      </c>
      <c r="AA5282" s="17" t="s">
        <v>46</v>
      </c>
      <c r="AB5282" s="17" t="s">
        <v>1339</v>
      </c>
      <c r="AC5282" s="217">
        <v>45433</v>
      </c>
      <c r="AD5282" s="65">
        <v>1570</v>
      </c>
      <c r="AE5282" s="17" t="s">
        <v>48</v>
      </c>
    </row>
    <row r="5283" s="17" customFormat="1" ht="15.6" hidden="1" spans="1:31">
      <c r="A5283" s="17" t="s">
        <v>34</v>
      </c>
      <c r="B5283" s="19">
        <v>993</v>
      </c>
      <c r="C5283" s="183">
        <v>45372</v>
      </c>
      <c r="D5283" s="22" t="s">
        <v>52</v>
      </c>
      <c r="E5283" s="17" t="s">
        <v>1113</v>
      </c>
      <c r="F5283" s="17" t="s">
        <v>54</v>
      </c>
      <c r="H5283" s="141">
        <v>1.2311</v>
      </c>
      <c r="I5283" s="141"/>
      <c r="J5283" s="17" t="s">
        <v>82</v>
      </c>
      <c r="K5283" s="19">
        <v>255</v>
      </c>
      <c r="L5283" s="19">
        <v>50</v>
      </c>
      <c r="M5283" s="98">
        <v>2200</v>
      </c>
      <c r="N5283" s="19" t="s">
        <v>66</v>
      </c>
      <c r="O5283" s="19" t="s">
        <v>141</v>
      </c>
      <c r="P5283" s="321">
        <v>1126</v>
      </c>
      <c r="Q5283" s="19">
        <v>956</v>
      </c>
      <c r="S5283" s="91">
        <v>865</v>
      </c>
      <c r="T5283" s="19" t="s">
        <v>42</v>
      </c>
      <c r="U5283" s="102" t="s">
        <v>1419</v>
      </c>
      <c r="V5283" s="186">
        <v>45373</v>
      </c>
      <c r="W5283" s="17" t="s">
        <v>69</v>
      </c>
      <c r="Y5283" s="68">
        <v>45383</v>
      </c>
      <c r="Z5283" s="17" t="s">
        <v>191</v>
      </c>
      <c r="AA5283" s="17" t="s">
        <v>46</v>
      </c>
      <c r="AB5283" s="17" t="s">
        <v>1338</v>
      </c>
      <c r="AC5283" s="217">
        <v>45395</v>
      </c>
      <c r="AD5283" s="65">
        <v>1557</v>
      </c>
      <c r="AE5283" s="17" t="s">
        <v>48</v>
      </c>
    </row>
    <row r="5284" s="17" customFormat="1" ht="15.6" hidden="1" spans="1:31">
      <c r="A5284" s="17" t="s">
        <v>34</v>
      </c>
      <c r="B5284" s="19">
        <v>993</v>
      </c>
      <c r="C5284" s="183">
        <v>45372</v>
      </c>
      <c r="D5284" s="22" t="s">
        <v>52</v>
      </c>
      <c r="E5284" s="17" t="s">
        <v>1113</v>
      </c>
      <c r="F5284" s="17" t="s">
        <v>54</v>
      </c>
      <c r="H5284" s="141">
        <v>1.2311</v>
      </c>
      <c r="I5284" s="141"/>
      <c r="J5284" s="17" t="s">
        <v>82</v>
      </c>
      <c r="K5284" s="19">
        <v>255</v>
      </c>
      <c r="L5284" s="19">
        <v>50</v>
      </c>
      <c r="M5284" s="98">
        <v>2200</v>
      </c>
      <c r="N5284" s="19" t="s">
        <v>66</v>
      </c>
      <c r="O5284" s="19" t="s">
        <v>141</v>
      </c>
      <c r="P5284" s="321"/>
      <c r="Q5284" s="19">
        <v>239</v>
      </c>
      <c r="R5284" s="99">
        <f>+P5283-Q5283-Q5284</f>
        <v>-69</v>
      </c>
      <c r="S5284" s="261">
        <f>865+40</f>
        <v>905</v>
      </c>
      <c r="T5284" s="19" t="s">
        <v>42</v>
      </c>
      <c r="U5284" s="102" t="s">
        <v>1419</v>
      </c>
      <c r="V5284" s="186">
        <v>45373</v>
      </c>
      <c r="W5284" s="17" t="s">
        <v>69</v>
      </c>
      <c r="Y5284" s="68">
        <v>45383</v>
      </c>
      <c r="Z5284" s="17" t="s">
        <v>191</v>
      </c>
      <c r="AA5284" s="17" t="s">
        <v>46</v>
      </c>
      <c r="AB5284" s="17" t="s">
        <v>1343</v>
      </c>
      <c r="AC5284" s="217">
        <v>45433</v>
      </c>
      <c r="AD5284" s="65">
        <v>1575</v>
      </c>
      <c r="AE5284" s="17" t="s">
        <v>48</v>
      </c>
    </row>
    <row r="5285" s="17" customFormat="1" ht="15.6" hidden="1" spans="1:31">
      <c r="A5285" s="17" t="s">
        <v>34</v>
      </c>
      <c r="B5285" s="19">
        <v>993</v>
      </c>
      <c r="C5285" s="183">
        <v>45372</v>
      </c>
      <c r="D5285" s="22" t="s">
        <v>52</v>
      </c>
      <c r="E5285" s="17" t="s">
        <v>1113</v>
      </c>
      <c r="F5285" s="17" t="s">
        <v>54</v>
      </c>
      <c r="H5285" s="141">
        <v>1.2311</v>
      </c>
      <c r="I5285" s="141"/>
      <c r="J5285" s="17" t="s">
        <v>82</v>
      </c>
      <c r="K5285" s="19">
        <v>305</v>
      </c>
      <c r="L5285" s="19">
        <v>50</v>
      </c>
      <c r="M5285" s="98">
        <v>2200</v>
      </c>
      <c r="N5285" s="19" t="s">
        <v>66</v>
      </c>
      <c r="O5285" s="19" t="s">
        <v>141</v>
      </c>
      <c r="P5285" s="321">
        <v>1077</v>
      </c>
      <c r="Q5285" s="19">
        <v>573</v>
      </c>
      <c r="S5285" s="91">
        <v>865</v>
      </c>
      <c r="T5285" s="19" t="s">
        <v>42</v>
      </c>
      <c r="U5285" s="102" t="s">
        <v>1419</v>
      </c>
      <c r="V5285" s="186">
        <v>45373</v>
      </c>
      <c r="W5285" s="17" t="s">
        <v>69</v>
      </c>
      <c r="Y5285" s="68">
        <v>45383</v>
      </c>
      <c r="Z5285" s="17" t="s">
        <v>191</v>
      </c>
      <c r="AA5285" s="17" t="s">
        <v>46</v>
      </c>
      <c r="AB5285" s="17" t="s">
        <v>1338</v>
      </c>
      <c r="AC5285" s="217">
        <v>45395</v>
      </c>
      <c r="AD5285" s="65">
        <v>1557</v>
      </c>
      <c r="AE5285" s="17" t="s">
        <v>48</v>
      </c>
    </row>
    <row r="5286" s="17" customFormat="1" ht="15.6" hidden="1" spans="1:31">
      <c r="A5286" s="17" t="s">
        <v>34</v>
      </c>
      <c r="B5286" s="19">
        <v>993</v>
      </c>
      <c r="C5286" s="183">
        <v>45372</v>
      </c>
      <c r="D5286" s="22" t="s">
        <v>52</v>
      </c>
      <c r="E5286" s="17" t="s">
        <v>1113</v>
      </c>
      <c r="F5286" s="17" t="s">
        <v>54</v>
      </c>
      <c r="H5286" s="141">
        <v>1.2311</v>
      </c>
      <c r="I5286" s="141"/>
      <c r="J5286" s="17" t="s">
        <v>82</v>
      </c>
      <c r="K5286" s="19">
        <v>305</v>
      </c>
      <c r="L5286" s="19">
        <v>50</v>
      </c>
      <c r="M5286" s="98">
        <v>2200</v>
      </c>
      <c r="N5286" s="19" t="s">
        <v>66</v>
      </c>
      <c r="O5286" s="19" t="s">
        <v>141</v>
      </c>
      <c r="P5286" s="321"/>
      <c r="Q5286" s="19">
        <v>571</v>
      </c>
      <c r="R5286" s="99">
        <f>+P5285-Q5285-Q5286</f>
        <v>-67</v>
      </c>
      <c r="S5286" s="91">
        <v>865</v>
      </c>
      <c r="T5286" s="19" t="s">
        <v>42</v>
      </c>
      <c r="U5286" s="102" t="s">
        <v>1419</v>
      </c>
      <c r="V5286" s="186">
        <v>45373</v>
      </c>
      <c r="W5286" s="17" t="s">
        <v>69</v>
      </c>
      <c r="Y5286" s="68">
        <v>45383</v>
      </c>
      <c r="Z5286" s="17" t="s">
        <v>191</v>
      </c>
      <c r="AA5286" s="17" t="s">
        <v>46</v>
      </c>
      <c r="AB5286" s="17" t="s">
        <v>1341</v>
      </c>
      <c r="AC5286" s="217">
        <v>45400</v>
      </c>
      <c r="AD5286" s="65">
        <v>1562</v>
      </c>
      <c r="AE5286" s="17" t="s">
        <v>48</v>
      </c>
    </row>
    <row r="5287" s="17" customFormat="1" ht="15.6" hidden="1" spans="1:31">
      <c r="A5287" s="17" t="s">
        <v>34</v>
      </c>
      <c r="B5287" s="19">
        <v>993</v>
      </c>
      <c r="C5287" s="183">
        <v>45372</v>
      </c>
      <c r="D5287" s="22" t="s">
        <v>52</v>
      </c>
      <c r="E5287" s="17" t="s">
        <v>1113</v>
      </c>
      <c r="F5287" s="17" t="s">
        <v>54</v>
      </c>
      <c r="H5287" s="141">
        <v>1.2311</v>
      </c>
      <c r="I5287" s="141"/>
      <c r="J5287" s="17" t="s">
        <v>82</v>
      </c>
      <c r="K5287" s="19">
        <v>355</v>
      </c>
      <c r="L5287" s="19">
        <v>50</v>
      </c>
      <c r="M5287" s="98">
        <v>2200</v>
      </c>
      <c r="N5287" s="19" t="s">
        <v>66</v>
      </c>
      <c r="O5287" s="19" t="s">
        <v>141</v>
      </c>
      <c r="P5287" s="321">
        <v>1254</v>
      </c>
      <c r="Q5287" s="19">
        <v>331</v>
      </c>
      <c r="S5287" s="91">
        <v>865</v>
      </c>
      <c r="T5287" s="19" t="s">
        <v>42</v>
      </c>
      <c r="U5287" s="102" t="s">
        <v>1419</v>
      </c>
      <c r="V5287" s="186">
        <v>45373</v>
      </c>
      <c r="W5287" s="17" t="s">
        <v>69</v>
      </c>
      <c r="Y5287" s="68">
        <v>45383</v>
      </c>
      <c r="Z5287" s="17" t="s">
        <v>191</v>
      </c>
      <c r="AA5287" s="17" t="s">
        <v>46</v>
      </c>
      <c r="AB5287" s="17" t="s">
        <v>1338</v>
      </c>
      <c r="AC5287" s="217">
        <v>45395</v>
      </c>
      <c r="AD5287" s="65">
        <v>1557</v>
      </c>
      <c r="AE5287" s="17" t="s">
        <v>48</v>
      </c>
    </row>
    <row r="5288" s="17" customFormat="1" ht="15.6" hidden="1" spans="1:31">
      <c r="A5288" s="17" t="s">
        <v>34</v>
      </c>
      <c r="B5288" s="19">
        <v>993</v>
      </c>
      <c r="C5288" s="183">
        <v>45372</v>
      </c>
      <c r="D5288" s="22" t="s">
        <v>52</v>
      </c>
      <c r="E5288" s="17" t="s">
        <v>1113</v>
      </c>
      <c r="F5288" s="17" t="s">
        <v>54</v>
      </c>
      <c r="H5288" s="141">
        <v>1.2311</v>
      </c>
      <c r="I5288" s="141"/>
      <c r="J5288" s="17" t="s">
        <v>82</v>
      </c>
      <c r="K5288" s="19">
        <v>355</v>
      </c>
      <c r="L5288" s="19">
        <v>50</v>
      </c>
      <c r="M5288" s="98">
        <v>2200</v>
      </c>
      <c r="N5288" s="19" t="s">
        <v>66</v>
      </c>
      <c r="O5288" s="19" t="s">
        <v>141</v>
      </c>
      <c r="P5288" s="321"/>
      <c r="Q5288" s="19">
        <v>973</v>
      </c>
      <c r="R5288" s="99">
        <f>+P5287-Q5287-Q5288</f>
        <v>-50</v>
      </c>
      <c r="S5288" s="91">
        <v>865</v>
      </c>
      <c r="T5288" s="19" t="s">
        <v>42</v>
      </c>
      <c r="U5288" s="102" t="s">
        <v>1419</v>
      </c>
      <c r="V5288" s="186">
        <v>45373</v>
      </c>
      <c r="W5288" s="17" t="s">
        <v>69</v>
      </c>
      <c r="Y5288" s="68">
        <v>45383</v>
      </c>
      <c r="Z5288" s="17" t="s">
        <v>191</v>
      </c>
      <c r="AA5288" s="17" t="s">
        <v>46</v>
      </c>
      <c r="AB5288" s="17" t="s">
        <v>1337</v>
      </c>
      <c r="AC5288" s="217">
        <v>45400</v>
      </c>
      <c r="AD5288" s="65">
        <v>1563</v>
      </c>
      <c r="AE5288" s="17" t="s">
        <v>48</v>
      </c>
    </row>
    <row r="5289" s="17" customFormat="1" ht="15.6" hidden="1" spans="1:31">
      <c r="A5289" s="17" t="s">
        <v>34</v>
      </c>
      <c r="B5289" s="19">
        <v>993</v>
      </c>
      <c r="C5289" s="183">
        <v>45372</v>
      </c>
      <c r="D5289" s="22" t="s">
        <v>52</v>
      </c>
      <c r="E5289" s="17" t="s">
        <v>1113</v>
      </c>
      <c r="F5289" s="17" t="s">
        <v>54</v>
      </c>
      <c r="H5289" s="141">
        <v>1.2311</v>
      </c>
      <c r="I5289" s="141"/>
      <c r="J5289" s="17" t="s">
        <v>82</v>
      </c>
      <c r="K5289" s="19">
        <v>405</v>
      </c>
      <c r="L5289" s="19">
        <v>50</v>
      </c>
      <c r="M5289" s="98">
        <v>2200</v>
      </c>
      <c r="N5289" s="19" t="s">
        <v>66</v>
      </c>
      <c r="O5289" s="19" t="s">
        <v>141</v>
      </c>
      <c r="P5289" s="321">
        <v>1073</v>
      </c>
      <c r="Q5289" s="19">
        <f>374+750</f>
        <v>1124</v>
      </c>
      <c r="R5289" s="99">
        <f>+P5289-Q5289</f>
        <v>-51</v>
      </c>
      <c r="S5289" s="91">
        <f>865+60</f>
        <v>925</v>
      </c>
      <c r="T5289" s="19" t="s">
        <v>42</v>
      </c>
      <c r="U5289" s="102" t="s">
        <v>1419</v>
      </c>
      <c r="V5289" s="186">
        <v>45373</v>
      </c>
      <c r="W5289" s="17" t="s">
        <v>69</v>
      </c>
      <c r="Y5289" s="68">
        <v>45383</v>
      </c>
      <c r="Z5289" s="17" t="s">
        <v>191</v>
      </c>
      <c r="AA5289" s="17" t="s">
        <v>46</v>
      </c>
      <c r="AB5289" s="17" t="s">
        <v>1339</v>
      </c>
      <c r="AC5289" s="217">
        <v>45433</v>
      </c>
      <c r="AD5289" s="65">
        <v>1570</v>
      </c>
      <c r="AE5289" s="17" t="s">
        <v>48</v>
      </c>
    </row>
    <row r="5290" s="17" customFormat="1" ht="15.6" hidden="1" spans="1:31">
      <c r="A5290" s="17" t="s">
        <v>34</v>
      </c>
      <c r="B5290" s="19">
        <v>993</v>
      </c>
      <c r="C5290" s="183">
        <v>45372</v>
      </c>
      <c r="D5290" s="22" t="s">
        <v>52</v>
      </c>
      <c r="E5290" s="17" t="s">
        <v>1113</v>
      </c>
      <c r="F5290" s="17" t="s">
        <v>54</v>
      </c>
      <c r="H5290" s="141">
        <v>1.2311</v>
      </c>
      <c r="I5290" s="141"/>
      <c r="J5290" s="17" t="s">
        <v>82</v>
      </c>
      <c r="K5290" s="19">
        <v>455</v>
      </c>
      <c r="L5290" s="19">
        <v>50</v>
      </c>
      <c r="M5290" s="98">
        <v>2200</v>
      </c>
      <c r="N5290" s="19" t="s">
        <v>66</v>
      </c>
      <c r="O5290" s="19" t="s">
        <v>141</v>
      </c>
      <c r="P5290" s="321">
        <v>1205</v>
      </c>
      <c r="Q5290" s="19">
        <v>1280</v>
      </c>
      <c r="R5290" s="99">
        <f>+P5290-Q5290</f>
        <v>-75</v>
      </c>
      <c r="S5290" s="91">
        <v>865</v>
      </c>
      <c r="T5290" s="19" t="s">
        <v>42</v>
      </c>
      <c r="U5290" s="102" t="s">
        <v>1419</v>
      </c>
      <c r="V5290" s="186">
        <v>45373</v>
      </c>
      <c r="W5290" s="17" t="s">
        <v>69</v>
      </c>
      <c r="Y5290" s="68">
        <v>45383</v>
      </c>
      <c r="Z5290" s="17" t="s">
        <v>191</v>
      </c>
      <c r="AA5290" s="17" t="s">
        <v>46</v>
      </c>
      <c r="AB5290" s="17" t="s">
        <v>1342</v>
      </c>
      <c r="AC5290" s="217">
        <v>45394</v>
      </c>
      <c r="AD5290" s="65">
        <v>1555</v>
      </c>
      <c r="AE5290" s="17" t="s">
        <v>48</v>
      </c>
    </row>
    <row r="5291" s="17" customFormat="1" ht="15.6" hidden="1" spans="1:31">
      <c r="A5291" s="17" t="s">
        <v>34</v>
      </c>
      <c r="B5291" s="19">
        <v>993</v>
      </c>
      <c r="C5291" s="183">
        <v>45372</v>
      </c>
      <c r="D5291" s="22" t="s">
        <v>52</v>
      </c>
      <c r="E5291" s="17" t="s">
        <v>1113</v>
      </c>
      <c r="F5291" s="17" t="s">
        <v>54</v>
      </c>
      <c r="H5291" s="141">
        <v>1.2311</v>
      </c>
      <c r="I5291" s="141"/>
      <c r="J5291" s="17" t="s">
        <v>82</v>
      </c>
      <c r="K5291" s="19">
        <v>505</v>
      </c>
      <c r="L5291" s="19">
        <v>50</v>
      </c>
      <c r="M5291" s="98">
        <v>2200</v>
      </c>
      <c r="N5291" s="19" t="s">
        <v>66</v>
      </c>
      <c r="O5291" s="19" t="s">
        <v>141</v>
      </c>
      <c r="P5291" s="321">
        <v>1338</v>
      </c>
      <c r="Q5291" s="19">
        <v>949</v>
      </c>
      <c r="S5291" s="91">
        <v>865</v>
      </c>
      <c r="T5291" s="19" t="s">
        <v>42</v>
      </c>
      <c r="U5291" s="102" t="s">
        <v>1419</v>
      </c>
      <c r="V5291" s="186">
        <v>45373</v>
      </c>
      <c r="W5291" s="17" t="s">
        <v>69</v>
      </c>
      <c r="Y5291" s="68">
        <v>45383</v>
      </c>
      <c r="Z5291" s="17" t="s">
        <v>191</v>
      </c>
      <c r="AA5291" s="17" t="s">
        <v>46</v>
      </c>
      <c r="AB5291" s="17" t="s">
        <v>1342</v>
      </c>
      <c r="AC5291" s="217">
        <v>45394</v>
      </c>
      <c r="AD5291" s="65">
        <v>1555</v>
      </c>
      <c r="AE5291" s="17" t="s">
        <v>48</v>
      </c>
    </row>
    <row r="5292" s="17" customFormat="1" ht="15.6" hidden="1" spans="1:31">
      <c r="A5292" s="17" t="s">
        <v>34</v>
      </c>
      <c r="B5292" s="19">
        <v>993</v>
      </c>
      <c r="C5292" s="183">
        <v>45372</v>
      </c>
      <c r="D5292" s="22" t="s">
        <v>52</v>
      </c>
      <c r="E5292" s="17" t="s">
        <v>1113</v>
      </c>
      <c r="F5292" s="17" t="s">
        <v>54</v>
      </c>
      <c r="H5292" s="141">
        <v>1.2311</v>
      </c>
      <c r="I5292" s="141"/>
      <c r="J5292" s="17" t="s">
        <v>82</v>
      </c>
      <c r="K5292" s="19">
        <v>505</v>
      </c>
      <c r="L5292" s="19">
        <v>50</v>
      </c>
      <c r="M5292" s="98">
        <v>2200</v>
      </c>
      <c r="N5292" s="19" t="s">
        <v>66</v>
      </c>
      <c r="O5292" s="19" t="s">
        <v>141</v>
      </c>
      <c r="P5292" s="321"/>
      <c r="Q5292" s="19">
        <v>469</v>
      </c>
      <c r="R5292" s="99">
        <f>+P5291-Q5291-Q5292</f>
        <v>-80</v>
      </c>
      <c r="S5292" s="91">
        <v>865</v>
      </c>
      <c r="T5292" s="19" t="s">
        <v>42</v>
      </c>
      <c r="U5292" s="102" t="s">
        <v>1419</v>
      </c>
      <c r="V5292" s="186">
        <v>45373</v>
      </c>
      <c r="W5292" s="17" t="s">
        <v>69</v>
      </c>
      <c r="Y5292" s="68">
        <v>45383</v>
      </c>
      <c r="Z5292" s="17" t="s">
        <v>191</v>
      </c>
      <c r="AA5292" s="17" t="s">
        <v>46</v>
      </c>
      <c r="AB5292" s="17" t="s">
        <v>1337</v>
      </c>
      <c r="AC5292" s="217">
        <v>45400</v>
      </c>
      <c r="AD5292" s="65">
        <v>1563</v>
      </c>
      <c r="AE5292" s="17" t="s">
        <v>48</v>
      </c>
    </row>
    <row r="5293" s="17" customFormat="1" ht="15.6" hidden="1" spans="1:31">
      <c r="A5293" s="17" t="s">
        <v>34</v>
      </c>
      <c r="B5293" s="19">
        <v>993</v>
      </c>
      <c r="C5293" s="183">
        <v>45372</v>
      </c>
      <c r="D5293" s="22" t="s">
        <v>52</v>
      </c>
      <c r="E5293" s="17" t="s">
        <v>1113</v>
      </c>
      <c r="F5293" s="17" t="s">
        <v>54</v>
      </c>
      <c r="H5293" s="141">
        <v>1.2311</v>
      </c>
      <c r="I5293" s="141"/>
      <c r="J5293" s="17" t="s">
        <v>82</v>
      </c>
      <c r="K5293" s="19">
        <v>510</v>
      </c>
      <c r="L5293" s="19">
        <v>50</v>
      </c>
      <c r="M5293" s="19">
        <v>2200</v>
      </c>
      <c r="N5293" s="19" t="s">
        <v>66</v>
      </c>
      <c r="O5293" s="19" t="s">
        <v>141</v>
      </c>
      <c r="P5293" s="321">
        <v>3153</v>
      </c>
      <c r="Q5293" s="19">
        <v>3325</v>
      </c>
      <c r="R5293" s="99">
        <f>+P5293-Q5293</f>
        <v>-172</v>
      </c>
      <c r="S5293" s="91">
        <v>865</v>
      </c>
      <c r="T5293" s="19" t="s">
        <v>42</v>
      </c>
      <c r="U5293" s="102" t="s">
        <v>1419</v>
      </c>
      <c r="V5293" s="186">
        <v>45373</v>
      </c>
      <c r="W5293" s="17" t="s">
        <v>69</v>
      </c>
      <c r="Y5293" s="68">
        <v>45383</v>
      </c>
      <c r="Z5293" s="17" t="s">
        <v>191</v>
      </c>
      <c r="AA5293" s="17" t="s">
        <v>46</v>
      </c>
      <c r="AB5293" s="17" t="s">
        <v>1338</v>
      </c>
      <c r="AC5293" s="217">
        <v>45395</v>
      </c>
      <c r="AD5293" s="65">
        <v>1557</v>
      </c>
      <c r="AE5293" s="17" t="s">
        <v>48</v>
      </c>
    </row>
    <row r="5294" s="17" customFormat="1" ht="15.6" hidden="1" spans="1:31">
      <c r="A5294" s="17" t="s">
        <v>34</v>
      </c>
      <c r="B5294" s="19">
        <v>993</v>
      </c>
      <c r="C5294" s="183">
        <v>45372</v>
      </c>
      <c r="D5294" s="22" t="s">
        <v>52</v>
      </c>
      <c r="E5294" s="17" t="s">
        <v>1113</v>
      </c>
      <c r="F5294" s="17" t="s">
        <v>54</v>
      </c>
      <c r="H5294" s="141">
        <v>1.2311</v>
      </c>
      <c r="I5294" s="141"/>
      <c r="J5294" s="17" t="s">
        <v>82</v>
      </c>
      <c r="K5294" s="19">
        <v>205</v>
      </c>
      <c r="L5294" s="19">
        <v>65</v>
      </c>
      <c r="M5294" s="98">
        <v>2200</v>
      </c>
      <c r="N5294" s="19" t="s">
        <v>66</v>
      </c>
      <c r="O5294" s="19" t="s">
        <v>141</v>
      </c>
      <c r="P5294" s="321">
        <v>471</v>
      </c>
      <c r="Q5294" s="19">
        <f>246+251</f>
        <v>497</v>
      </c>
      <c r="R5294" s="99">
        <f>+P5294-Q5294</f>
        <v>-26</v>
      </c>
      <c r="S5294" s="91">
        <v>865</v>
      </c>
      <c r="T5294" s="19" t="s">
        <v>42</v>
      </c>
      <c r="U5294" s="102" t="s">
        <v>1419</v>
      </c>
      <c r="V5294" s="186">
        <v>45373</v>
      </c>
      <c r="W5294" s="17" t="s">
        <v>69</v>
      </c>
      <c r="Y5294" s="68">
        <v>45383</v>
      </c>
      <c r="Z5294" s="17" t="s">
        <v>191</v>
      </c>
      <c r="AA5294" s="17" t="s">
        <v>46</v>
      </c>
      <c r="AB5294" s="17" t="s">
        <v>1338</v>
      </c>
      <c r="AC5294" s="217">
        <v>45395</v>
      </c>
      <c r="AD5294" s="65">
        <v>1557</v>
      </c>
      <c r="AE5294" s="17" t="s">
        <v>48</v>
      </c>
    </row>
    <row r="5295" s="17" customFormat="1" ht="15.6" hidden="1" spans="1:31">
      <c r="A5295" s="17" t="s">
        <v>34</v>
      </c>
      <c r="B5295" s="19">
        <v>993</v>
      </c>
      <c r="C5295" s="183">
        <v>45372</v>
      </c>
      <c r="D5295" s="22" t="s">
        <v>52</v>
      </c>
      <c r="E5295" s="17" t="s">
        <v>1113</v>
      </c>
      <c r="F5295" s="17" t="s">
        <v>54</v>
      </c>
      <c r="H5295" s="141">
        <v>1.2311</v>
      </c>
      <c r="I5295" s="141"/>
      <c r="J5295" s="17" t="s">
        <v>82</v>
      </c>
      <c r="K5295" s="19">
        <v>255</v>
      </c>
      <c r="L5295" s="19">
        <v>65</v>
      </c>
      <c r="M5295" s="98">
        <v>2200</v>
      </c>
      <c r="N5295" s="19" t="s">
        <v>66</v>
      </c>
      <c r="O5295" s="19" t="s">
        <v>141</v>
      </c>
      <c r="P5295" s="321">
        <v>586</v>
      </c>
      <c r="Q5295" s="19">
        <v>305</v>
      </c>
      <c r="S5295" s="91">
        <v>865</v>
      </c>
      <c r="T5295" s="19" t="s">
        <v>42</v>
      </c>
      <c r="U5295" s="102" t="s">
        <v>1419</v>
      </c>
      <c r="V5295" s="186">
        <v>45373</v>
      </c>
      <c r="W5295" s="17" t="s">
        <v>69</v>
      </c>
      <c r="Y5295" s="68">
        <v>45383</v>
      </c>
      <c r="Z5295" s="17" t="s">
        <v>191</v>
      </c>
      <c r="AA5295" s="17" t="s">
        <v>46</v>
      </c>
      <c r="AB5295" s="17" t="s">
        <v>1338</v>
      </c>
      <c r="AC5295" s="217">
        <v>45395</v>
      </c>
      <c r="AD5295" s="65">
        <v>1557</v>
      </c>
      <c r="AE5295" s="17" t="s">
        <v>48</v>
      </c>
    </row>
    <row r="5296" s="17" customFormat="1" ht="15.6" hidden="1" spans="1:31">
      <c r="A5296" s="17" t="s">
        <v>34</v>
      </c>
      <c r="B5296" s="19">
        <v>993</v>
      </c>
      <c r="C5296" s="183">
        <v>45372</v>
      </c>
      <c r="D5296" s="22" t="s">
        <v>52</v>
      </c>
      <c r="E5296" s="17" t="s">
        <v>1113</v>
      </c>
      <c r="F5296" s="17" t="s">
        <v>54</v>
      </c>
      <c r="H5296" s="141">
        <v>1.2311</v>
      </c>
      <c r="I5296" s="141"/>
      <c r="J5296" s="17" t="s">
        <v>82</v>
      </c>
      <c r="K5296" s="19">
        <v>255</v>
      </c>
      <c r="L5296" s="19">
        <v>65</v>
      </c>
      <c r="M5296" s="98">
        <v>2200</v>
      </c>
      <c r="N5296" s="19" t="s">
        <v>66</v>
      </c>
      <c r="O5296" s="19" t="s">
        <v>141</v>
      </c>
      <c r="P5296" s="321"/>
      <c r="Q5296" s="19">
        <v>308</v>
      </c>
      <c r="R5296" s="99">
        <f>+P5295-Q5295-Q5296</f>
        <v>-27</v>
      </c>
      <c r="S5296" s="91">
        <f>865+60</f>
        <v>925</v>
      </c>
      <c r="T5296" s="19" t="s">
        <v>42</v>
      </c>
      <c r="U5296" s="102" t="s">
        <v>1419</v>
      </c>
      <c r="V5296" s="186">
        <v>45373</v>
      </c>
      <c r="W5296" s="17" t="s">
        <v>69</v>
      </c>
      <c r="Y5296" s="68">
        <v>45383</v>
      </c>
      <c r="Z5296" s="17" t="s">
        <v>191</v>
      </c>
      <c r="AA5296" s="17" t="s">
        <v>46</v>
      </c>
      <c r="AB5296" s="17" t="s">
        <v>1339</v>
      </c>
      <c r="AC5296" s="217">
        <v>45433</v>
      </c>
      <c r="AD5296" s="65">
        <v>1570</v>
      </c>
      <c r="AE5296" s="17" t="s">
        <v>48</v>
      </c>
    </row>
    <row r="5297" s="17" customFormat="1" ht="15.6" hidden="1" spans="1:31">
      <c r="A5297" s="17" t="s">
        <v>34</v>
      </c>
      <c r="B5297" s="19">
        <v>993</v>
      </c>
      <c r="C5297" s="183">
        <v>45372</v>
      </c>
      <c r="D5297" s="22" t="s">
        <v>52</v>
      </c>
      <c r="E5297" s="17" t="s">
        <v>1113</v>
      </c>
      <c r="F5297" s="17" t="s">
        <v>54</v>
      </c>
      <c r="H5297" s="141">
        <v>1.2311</v>
      </c>
      <c r="I5297" s="141"/>
      <c r="J5297" s="17" t="s">
        <v>82</v>
      </c>
      <c r="K5297" s="19">
        <v>305</v>
      </c>
      <c r="L5297" s="19">
        <v>65</v>
      </c>
      <c r="M5297" s="98">
        <v>2200</v>
      </c>
      <c r="N5297" s="19" t="s">
        <v>66</v>
      </c>
      <c r="O5297" s="19" t="s">
        <v>141</v>
      </c>
      <c r="P5297" s="321">
        <v>350</v>
      </c>
      <c r="Q5297" s="19">
        <v>366</v>
      </c>
      <c r="R5297" s="99">
        <f>+P5297-Q5297</f>
        <v>-16</v>
      </c>
      <c r="S5297" s="91">
        <v>865</v>
      </c>
      <c r="T5297" s="19" t="s">
        <v>42</v>
      </c>
      <c r="U5297" s="102" t="s">
        <v>1419</v>
      </c>
      <c r="V5297" s="186">
        <v>45373</v>
      </c>
      <c r="W5297" s="17" t="s">
        <v>69</v>
      </c>
      <c r="Y5297" s="68">
        <v>45383</v>
      </c>
      <c r="Z5297" s="17" t="s">
        <v>191</v>
      </c>
      <c r="AA5297" s="17" t="s">
        <v>46</v>
      </c>
      <c r="AB5297" s="17" t="s">
        <v>1338</v>
      </c>
      <c r="AC5297" s="217">
        <v>45395</v>
      </c>
      <c r="AD5297" s="65">
        <v>1557</v>
      </c>
      <c r="AE5297" s="17" t="s">
        <v>48</v>
      </c>
    </row>
    <row r="5298" s="17" customFormat="1" ht="15.6" hidden="1" spans="1:31">
      <c r="A5298" s="17" t="s">
        <v>34</v>
      </c>
      <c r="B5298" s="19">
        <v>993</v>
      </c>
      <c r="C5298" s="183">
        <v>45372</v>
      </c>
      <c r="D5298" s="22" t="s">
        <v>52</v>
      </c>
      <c r="E5298" s="17" t="s">
        <v>1113</v>
      </c>
      <c r="F5298" s="17" t="s">
        <v>54</v>
      </c>
      <c r="H5298" s="141">
        <v>1.2311</v>
      </c>
      <c r="I5298" s="141"/>
      <c r="J5298" s="17" t="s">
        <v>82</v>
      </c>
      <c r="K5298" s="19">
        <v>355</v>
      </c>
      <c r="L5298" s="19">
        <v>65</v>
      </c>
      <c r="M5298" s="98">
        <v>2200</v>
      </c>
      <c r="N5298" s="19" t="s">
        <v>66</v>
      </c>
      <c r="O5298" s="19" t="s">
        <v>141</v>
      </c>
      <c r="P5298" s="321">
        <v>408</v>
      </c>
      <c r="Q5298" s="19">
        <v>427</v>
      </c>
      <c r="R5298" s="99">
        <f>+P5298-Q5298</f>
        <v>-19</v>
      </c>
      <c r="S5298" s="91">
        <v>865</v>
      </c>
      <c r="T5298" s="19" t="s">
        <v>42</v>
      </c>
      <c r="U5298" s="102" t="s">
        <v>1419</v>
      </c>
      <c r="V5298" s="186">
        <v>45373</v>
      </c>
      <c r="W5298" s="17" t="s">
        <v>69</v>
      </c>
      <c r="Y5298" s="68">
        <v>45383</v>
      </c>
      <c r="Z5298" s="17" t="s">
        <v>191</v>
      </c>
      <c r="AA5298" s="17" t="s">
        <v>46</v>
      </c>
      <c r="AB5298" s="17" t="s">
        <v>1341</v>
      </c>
      <c r="AC5298" s="217">
        <v>45400</v>
      </c>
      <c r="AD5298" s="65">
        <v>1562</v>
      </c>
      <c r="AE5298" s="17" t="s">
        <v>48</v>
      </c>
    </row>
    <row r="5299" s="17" customFormat="1" ht="15.6" hidden="1" spans="1:31">
      <c r="A5299" s="17" t="s">
        <v>34</v>
      </c>
      <c r="B5299" s="19">
        <v>993</v>
      </c>
      <c r="C5299" s="183">
        <v>45372</v>
      </c>
      <c r="D5299" s="22" t="s">
        <v>52</v>
      </c>
      <c r="E5299" s="17" t="s">
        <v>1113</v>
      </c>
      <c r="F5299" s="17" t="s">
        <v>54</v>
      </c>
      <c r="H5299" s="141">
        <v>1.2311</v>
      </c>
      <c r="I5299" s="141"/>
      <c r="J5299" s="17" t="s">
        <v>82</v>
      </c>
      <c r="K5299" s="19">
        <v>405</v>
      </c>
      <c r="L5299" s="19">
        <v>65</v>
      </c>
      <c r="M5299" s="98">
        <v>2200</v>
      </c>
      <c r="N5299" s="19" t="s">
        <v>66</v>
      </c>
      <c r="O5299" s="19" t="s">
        <v>141</v>
      </c>
      <c r="P5299" s="321">
        <v>465</v>
      </c>
      <c r="Q5299" s="19">
        <v>490</v>
      </c>
      <c r="R5299" s="99">
        <f>+P5299-Q5299</f>
        <v>-25</v>
      </c>
      <c r="S5299" s="91">
        <f>865+60</f>
        <v>925</v>
      </c>
      <c r="T5299" s="19" t="s">
        <v>42</v>
      </c>
      <c r="U5299" s="102" t="s">
        <v>1419</v>
      </c>
      <c r="V5299" s="186">
        <v>45373</v>
      </c>
      <c r="W5299" s="17" t="s">
        <v>69</v>
      </c>
      <c r="Y5299" s="68">
        <v>45383</v>
      </c>
      <c r="Z5299" s="17" t="s">
        <v>191</v>
      </c>
      <c r="AA5299" s="17" t="s">
        <v>46</v>
      </c>
      <c r="AB5299" s="17" t="s">
        <v>1339</v>
      </c>
      <c r="AC5299" s="217">
        <v>45433</v>
      </c>
      <c r="AD5299" s="65">
        <v>1570</v>
      </c>
      <c r="AE5299" s="17" t="s">
        <v>48</v>
      </c>
    </row>
    <row r="5300" s="17" customFormat="1" ht="15.6" hidden="1" spans="1:31">
      <c r="A5300" s="17" t="s">
        <v>34</v>
      </c>
      <c r="B5300" s="19">
        <v>993</v>
      </c>
      <c r="C5300" s="183">
        <v>45372</v>
      </c>
      <c r="D5300" s="22" t="s">
        <v>52</v>
      </c>
      <c r="E5300" s="17" t="s">
        <v>1113</v>
      </c>
      <c r="F5300" s="17" t="s">
        <v>54</v>
      </c>
      <c r="H5300" s="141">
        <v>1.2311</v>
      </c>
      <c r="I5300" s="141"/>
      <c r="J5300" s="17" t="s">
        <v>82</v>
      </c>
      <c r="K5300" s="19">
        <v>455</v>
      </c>
      <c r="L5300" s="19">
        <v>65</v>
      </c>
      <c r="M5300" s="98">
        <v>2200</v>
      </c>
      <c r="N5300" s="19" t="s">
        <v>66</v>
      </c>
      <c r="O5300" s="19" t="s">
        <v>141</v>
      </c>
      <c r="P5300" s="321">
        <v>522</v>
      </c>
      <c r="Q5300" s="19">
        <v>541</v>
      </c>
      <c r="R5300" s="99">
        <f>+P5300-Q5300</f>
        <v>-19</v>
      </c>
      <c r="S5300" s="91">
        <v>865</v>
      </c>
      <c r="T5300" s="19" t="s">
        <v>42</v>
      </c>
      <c r="U5300" s="102" t="s">
        <v>1419</v>
      </c>
      <c r="V5300" s="186">
        <v>45373</v>
      </c>
      <c r="W5300" s="17" t="s">
        <v>69</v>
      </c>
      <c r="Y5300" s="68">
        <v>45383</v>
      </c>
      <c r="Z5300" s="17" t="s">
        <v>191</v>
      </c>
      <c r="AA5300" s="17" t="s">
        <v>46</v>
      </c>
      <c r="AB5300" s="17" t="s">
        <v>1338</v>
      </c>
      <c r="AC5300" s="217">
        <v>45395</v>
      </c>
      <c r="AD5300" s="65">
        <v>1557</v>
      </c>
      <c r="AE5300" s="17" t="s">
        <v>48</v>
      </c>
    </row>
    <row r="5301" s="17" customFormat="1" ht="15.6" hidden="1" spans="1:31">
      <c r="A5301" s="17" t="s">
        <v>34</v>
      </c>
      <c r="B5301" s="19">
        <v>993</v>
      </c>
      <c r="C5301" s="183">
        <v>45372</v>
      </c>
      <c r="D5301" s="22" t="s">
        <v>52</v>
      </c>
      <c r="E5301" s="17" t="s">
        <v>1113</v>
      </c>
      <c r="F5301" s="17" t="s">
        <v>54</v>
      </c>
      <c r="H5301" s="141">
        <v>1.2311</v>
      </c>
      <c r="I5301" s="141"/>
      <c r="J5301" s="17" t="s">
        <v>82</v>
      </c>
      <c r="K5301" s="19">
        <v>505</v>
      </c>
      <c r="L5301" s="19">
        <v>65</v>
      </c>
      <c r="M5301" s="98">
        <v>2200</v>
      </c>
      <c r="N5301" s="19" t="s">
        <v>66</v>
      </c>
      <c r="O5301" s="19" t="s">
        <v>141</v>
      </c>
      <c r="P5301" s="321">
        <v>580</v>
      </c>
      <c r="Q5301" s="19">
        <v>606</v>
      </c>
      <c r="R5301" s="99">
        <f>+P5301-Q5301</f>
        <v>-26</v>
      </c>
      <c r="S5301" s="91">
        <v>865</v>
      </c>
      <c r="T5301" s="19" t="s">
        <v>42</v>
      </c>
      <c r="U5301" s="102" t="s">
        <v>1419</v>
      </c>
      <c r="V5301" s="186">
        <v>45373</v>
      </c>
      <c r="W5301" s="17" t="s">
        <v>69</v>
      </c>
      <c r="Y5301" s="68">
        <v>45383</v>
      </c>
      <c r="Z5301" s="17" t="s">
        <v>191</v>
      </c>
      <c r="AA5301" s="17" t="s">
        <v>46</v>
      </c>
      <c r="AB5301" s="17" t="s">
        <v>1341</v>
      </c>
      <c r="AC5301" s="217">
        <v>45400</v>
      </c>
      <c r="AD5301" s="65">
        <v>1562</v>
      </c>
      <c r="AE5301" s="17" t="s">
        <v>48</v>
      </c>
    </row>
    <row r="5302" s="17" customFormat="1" ht="15.6" hidden="1" spans="1:31">
      <c r="A5302" s="17" t="s">
        <v>34</v>
      </c>
      <c r="B5302" s="19">
        <v>993</v>
      </c>
      <c r="C5302" s="183">
        <v>45372</v>
      </c>
      <c r="D5302" s="22" t="s">
        <v>52</v>
      </c>
      <c r="E5302" s="17" t="s">
        <v>1113</v>
      </c>
      <c r="F5302" s="17" t="s">
        <v>54</v>
      </c>
      <c r="H5302" s="141">
        <v>1.2311</v>
      </c>
      <c r="I5302" s="141"/>
      <c r="J5302" s="17" t="s">
        <v>82</v>
      </c>
      <c r="K5302" s="19">
        <v>205</v>
      </c>
      <c r="L5302" s="274">
        <v>80</v>
      </c>
      <c r="M5302" s="98">
        <v>2200</v>
      </c>
      <c r="N5302" s="19" t="s">
        <v>66</v>
      </c>
      <c r="O5302" s="19" t="s">
        <v>141</v>
      </c>
      <c r="P5302" s="321">
        <v>579</v>
      </c>
      <c r="Q5302" s="19">
        <v>306</v>
      </c>
      <c r="S5302" s="91">
        <v>865</v>
      </c>
      <c r="T5302" s="19" t="s">
        <v>42</v>
      </c>
      <c r="U5302" s="102" t="s">
        <v>1419</v>
      </c>
      <c r="V5302" s="186">
        <v>45373</v>
      </c>
      <c r="W5302" s="17" t="s">
        <v>69</v>
      </c>
      <c r="Y5302" s="68">
        <v>45383</v>
      </c>
      <c r="Z5302" s="17" t="s">
        <v>191</v>
      </c>
      <c r="AA5302" s="17" t="s">
        <v>46</v>
      </c>
      <c r="AB5302" s="17" t="s">
        <v>1341</v>
      </c>
      <c r="AC5302" s="217">
        <v>45400</v>
      </c>
      <c r="AD5302" s="65">
        <v>1562</v>
      </c>
      <c r="AE5302" s="17" t="s">
        <v>48</v>
      </c>
    </row>
    <row r="5303" s="17" customFormat="1" ht="15.6" hidden="1" spans="1:31">
      <c r="A5303" s="17" t="s">
        <v>34</v>
      </c>
      <c r="B5303" s="19">
        <v>993</v>
      </c>
      <c r="C5303" s="183">
        <v>45372</v>
      </c>
      <c r="D5303" s="22" t="s">
        <v>52</v>
      </c>
      <c r="E5303" s="17" t="s">
        <v>1113</v>
      </c>
      <c r="F5303" s="17" t="s">
        <v>54</v>
      </c>
      <c r="H5303" s="141">
        <v>1.2311</v>
      </c>
      <c r="I5303" s="141"/>
      <c r="J5303" s="17" t="s">
        <v>82</v>
      </c>
      <c r="K5303" s="19">
        <v>205</v>
      </c>
      <c r="L5303" s="274">
        <v>80</v>
      </c>
      <c r="M5303" s="98">
        <v>2200</v>
      </c>
      <c r="N5303" s="19" t="s">
        <v>66</v>
      </c>
      <c r="O5303" s="19" t="s">
        <v>141</v>
      </c>
      <c r="P5303" s="321"/>
      <c r="Q5303" s="19">
        <v>308</v>
      </c>
      <c r="R5303" s="99">
        <f>+P5302-Q5302-Q5303</f>
        <v>-35</v>
      </c>
      <c r="S5303" s="91">
        <v>865</v>
      </c>
      <c r="T5303" s="19" t="s">
        <v>42</v>
      </c>
      <c r="U5303" s="102" t="s">
        <v>1419</v>
      </c>
      <c r="V5303" s="186">
        <v>45373</v>
      </c>
      <c r="W5303" s="17" t="s">
        <v>69</v>
      </c>
      <c r="Y5303" s="68">
        <v>45383</v>
      </c>
      <c r="Z5303" s="17" t="s">
        <v>191</v>
      </c>
      <c r="AA5303" s="17" t="s">
        <v>46</v>
      </c>
      <c r="AB5303" s="17" t="s">
        <v>1337</v>
      </c>
      <c r="AC5303" s="217">
        <v>45400</v>
      </c>
      <c r="AD5303" s="65">
        <v>1563</v>
      </c>
      <c r="AE5303" s="17" t="s">
        <v>48</v>
      </c>
    </row>
    <row r="5304" s="17" customFormat="1" ht="15.6" hidden="1" spans="1:31">
      <c r="A5304" s="17" t="s">
        <v>34</v>
      </c>
      <c r="B5304" s="19">
        <v>993</v>
      </c>
      <c r="C5304" s="183">
        <v>45372</v>
      </c>
      <c r="D5304" s="22" t="s">
        <v>52</v>
      </c>
      <c r="E5304" s="17" t="s">
        <v>1113</v>
      </c>
      <c r="F5304" s="17" t="s">
        <v>54</v>
      </c>
      <c r="H5304" s="141">
        <v>1.2311</v>
      </c>
      <c r="I5304" s="141"/>
      <c r="J5304" s="17" t="s">
        <v>82</v>
      </c>
      <c r="K5304" s="19">
        <v>255</v>
      </c>
      <c r="L5304" s="274">
        <v>80</v>
      </c>
      <c r="M5304" s="98">
        <v>2200</v>
      </c>
      <c r="N5304" s="19" t="s">
        <v>66</v>
      </c>
      <c r="O5304" s="19" t="s">
        <v>141</v>
      </c>
      <c r="P5304" s="321">
        <v>360</v>
      </c>
      <c r="Q5304" s="19">
        <v>384</v>
      </c>
      <c r="R5304" s="99">
        <f t="shared" ref="R5304:R5316" si="246">+P5304-Q5304</f>
        <v>-24</v>
      </c>
      <c r="S5304" s="91">
        <v>865</v>
      </c>
      <c r="T5304" s="19" t="s">
        <v>42</v>
      </c>
      <c r="U5304" s="102" t="s">
        <v>1419</v>
      </c>
      <c r="V5304" s="186">
        <v>45373</v>
      </c>
      <c r="W5304" s="17" t="s">
        <v>69</v>
      </c>
      <c r="Y5304" s="68">
        <v>45383</v>
      </c>
      <c r="Z5304" s="17" t="s">
        <v>191</v>
      </c>
      <c r="AA5304" s="17" t="s">
        <v>46</v>
      </c>
      <c r="AB5304" s="17" t="s">
        <v>1341</v>
      </c>
      <c r="AC5304" s="217">
        <v>45400</v>
      </c>
      <c r="AD5304" s="65">
        <v>1562</v>
      </c>
      <c r="AE5304" s="17" t="s">
        <v>48</v>
      </c>
    </row>
    <row r="5305" s="17" customFormat="1" ht="15.6" hidden="1" spans="1:31">
      <c r="A5305" s="17" t="s">
        <v>34</v>
      </c>
      <c r="B5305" s="19">
        <v>993</v>
      </c>
      <c r="C5305" s="183">
        <v>45372</v>
      </c>
      <c r="D5305" s="22" t="s">
        <v>52</v>
      </c>
      <c r="E5305" s="17" t="s">
        <v>1113</v>
      </c>
      <c r="F5305" s="17" t="s">
        <v>54</v>
      </c>
      <c r="H5305" s="141">
        <v>1.2311</v>
      </c>
      <c r="I5305" s="141"/>
      <c r="J5305" s="17" t="s">
        <v>82</v>
      </c>
      <c r="K5305" s="19">
        <v>305</v>
      </c>
      <c r="L5305" s="274">
        <v>80</v>
      </c>
      <c r="M5305" s="98">
        <v>2200</v>
      </c>
      <c r="N5305" s="19" t="s">
        <v>66</v>
      </c>
      <c r="O5305" s="19" t="s">
        <v>141</v>
      </c>
      <c r="P5305" s="321">
        <v>431</v>
      </c>
      <c r="Q5305" s="19">
        <v>454</v>
      </c>
      <c r="R5305" s="99">
        <f t="shared" si="246"/>
        <v>-23</v>
      </c>
      <c r="S5305" s="91">
        <v>865</v>
      </c>
      <c r="T5305" s="19" t="s">
        <v>42</v>
      </c>
      <c r="U5305" s="102" t="s">
        <v>1419</v>
      </c>
      <c r="V5305" s="186">
        <v>45373</v>
      </c>
      <c r="W5305" s="17" t="s">
        <v>69</v>
      </c>
      <c r="Y5305" s="68">
        <v>45383</v>
      </c>
      <c r="Z5305" s="17" t="s">
        <v>191</v>
      </c>
      <c r="AA5305" s="17" t="s">
        <v>46</v>
      </c>
      <c r="AB5305" s="17" t="s">
        <v>1337</v>
      </c>
      <c r="AC5305" s="217">
        <v>45400</v>
      </c>
      <c r="AD5305" s="65">
        <v>1563</v>
      </c>
      <c r="AE5305" s="17" t="s">
        <v>48</v>
      </c>
    </row>
    <row r="5306" s="17" customFormat="1" ht="15.6" hidden="1" spans="1:31">
      <c r="A5306" s="17" t="s">
        <v>34</v>
      </c>
      <c r="B5306" s="19">
        <v>993</v>
      </c>
      <c r="C5306" s="183">
        <v>45372</v>
      </c>
      <c r="D5306" s="22" t="s">
        <v>52</v>
      </c>
      <c r="E5306" s="17" t="s">
        <v>1113</v>
      </c>
      <c r="F5306" s="17" t="s">
        <v>54</v>
      </c>
      <c r="H5306" s="141">
        <v>1.2311</v>
      </c>
      <c r="I5306" s="141"/>
      <c r="J5306" s="17" t="s">
        <v>82</v>
      </c>
      <c r="K5306" s="19">
        <v>355</v>
      </c>
      <c r="L5306" s="274">
        <v>80</v>
      </c>
      <c r="M5306" s="98">
        <v>2200</v>
      </c>
      <c r="N5306" s="19" t="s">
        <v>66</v>
      </c>
      <c r="O5306" s="19" t="s">
        <v>141</v>
      </c>
      <c r="P5306" s="321">
        <v>502</v>
      </c>
      <c r="Q5306" s="19">
        <v>525</v>
      </c>
      <c r="R5306" s="99">
        <f t="shared" si="246"/>
        <v>-23</v>
      </c>
      <c r="S5306" s="91">
        <v>865</v>
      </c>
      <c r="T5306" s="19" t="s">
        <v>42</v>
      </c>
      <c r="U5306" s="102" t="s">
        <v>1419</v>
      </c>
      <c r="V5306" s="186">
        <v>45373</v>
      </c>
      <c r="W5306" s="17" t="s">
        <v>69</v>
      </c>
      <c r="Y5306" s="68">
        <v>45383</v>
      </c>
      <c r="Z5306" s="17" t="s">
        <v>191</v>
      </c>
      <c r="AA5306" s="17" t="s">
        <v>46</v>
      </c>
      <c r="AB5306" s="17" t="s">
        <v>1338</v>
      </c>
      <c r="AC5306" s="217">
        <v>45395</v>
      </c>
      <c r="AD5306" s="65">
        <v>1557</v>
      </c>
      <c r="AE5306" s="17" t="s">
        <v>48</v>
      </c>
    </row>
    <row r="5307" s="17" customFormat="1" ht="15.6" hidden="1" spans="1:31">
      <c r="A5307" s="17" t="s">
        <v>34</v>
      </c>
      <c r="B5307" s="19">
        <v>993</v>
      </c>
      <c r="C5307" s="183">
        <v>45372</v>
      </c>
      <c r="D5307" s="22" t="s">
        <v>52</v>
      </c>
      <c r="E5307" s="17" t="s">
        <v>1113</v>
      </c>
      <c r="F5307" s="17" t="s">
        <v>54</v>
      </c>
      <c r="H5307" s="141">
        <v>1.2311</v>
      </c>
      <c r="I5307" s="141"/>
      <c r="J5307" s="17" t="s">
        <v>82</v>
      </c>
      <c r="K5307" s="19">
        <v>405</v>
      </c>
      <c r="L5307" s="274">
        <v>80</v>
      </c>
      <c r="M5307" s="98">
        <v>2200</v>
      </c>
      <c r="N5307" s="19" t="s">
        <v>66</v>
      </c>
      <c r="O5307" s="19" t="s">
        <v>141</v>
      </c>
      <c r="P5307" s="321">
        <v>572</v>
      </c>
      <c r="Q5307" s="19">
        <v>590</v>
      </c>
      <c r="R5307" s="99">
        <f t="shared" si="246"/>
        <v>-18</v>
      </c>
      <c r="S5307" s="91">
        <v>865</v>
      </c>
      <c r="T5307" s="19" t="s">
        <v>42</v>
      </c>
      <c r="U5307" s="102" t="s">
        <v>1419</v>
      </c>
      <c r="V5307" s="186">
        <v>45373</v>
      </c>
      <c r="W5307" s="17" t="s">
        <v>69</v>
      </c>
      <c r="Y5307" s="68">
        <v>45383</v>
      </c>
      <c r="Z5307" s="17" t="s">
        <v>191</v>
      </c>
      <c r="AA5307" s="17" t="s">
        <v>46</v>
      </c>
      <c r="AB5307" s="17" t="s">
        <v>1337</v>
      </c>
      <c r="AC5307" s="217">
        <v>45400</v>
      </c>
      <c r="AD5307" s="65">
        <v>1563</v>
      </c>
      <c r="AE5307" s="17" t="s">
        <v>48</v>
      </c>
    </row>
    <row r="5308" s="17" customFormat="1" ht="15.6" hidden="1" spans="1:31">
      <c r="A5308" s="17" t="s">
        <v>34</v>
      </c>
      <c r="B5308" s="19">
        <v>993</v>
      </c>
      <c r="C5308" s="183">
        <v>45372</v>
      </c>
      <c r="D5308" s="22" t="s">
        <v>52</v>
      </c>
      <c r="E5308" s="17" t="s">
        <v>1113</v>
      </c>
      <c r="F5308" s="17" t="s">
        <v>54</v>
      </c>
      <c r="H5308" s="141">
        <v>1.2311</v>
      </c>
      <c r="I5308" s="141"/>
      <c r="J5308" s="17" t="s">
        <v>82</v>
      </c>
      <c r="K5308" s="19">
        <v>455</v>
      </c>
      <c r="L5308" s="274">
        <v>80</v>
      </c>
      <c r="M5308" s="98">
        <v>2200</v>
      </c>
      <c r="N5308" s="19" t="s">
        <v>66</v>
      </c>
      <c r="O5308" s="19" t="s">
        <v>141</v>
      </c>
      <c r="P5308" s="321">
        <v>643</v>
      </c>
      <c r="Q5308" s="19">
        <v>673</v>
      </c>
      <c r="R5308" s="99">
        <f t="shared" si="246"/>
        <v>-30</v>
      </c>
      <c r="S5308" s="91">
        <v>865</v>
      </c>
      <c r="T5308" s="19" t="s">
        <v>42</v>
      </c>
      <c r="U5308" s="102" t="s">
        <v>1419</v>
      </c>
      <c r="V5308" s="186">
        <v>45373</v>
      </c>
      <c r="W5308" s="17" t="s">
        <v>69</v>
      </c>
      <c r="Y5308" s="68">
        <v>45383</v>
      </c>
      <c r="Z5308" s="17" t="s">
        <v>191</v>
      </c>
      <c r="AA5308" s="17" t="s">
        <v>46</v>
      </c>
      <c r="AB5308" s="17" t="s">
        <v>1341</v>
      </c>
      <c r="AC5308" s="217">
        <v>45400</v>
      </c>
      <c r="AD5308" s="65">
        <v>1562</v>
      </c>
      <c r="AE5308" s="17" t="s">
        <v>48</v>
      </c>
    </row>
    <row r="5309" s="17" customFormat="1" ht="15.6" hidden="1" spans="1:31">
      <c r="A5309" s="17" t="s">
        <v>34</v>
      </c>
      <c r="B5309" s="19">
        <v>993</v>
      </c>
      <c r="C5309" s="183">
        <v>45372</v>
      </c>
      <c r="D5309" s="22" t="s">
        <v>52</v>
      </c>
      <c r="E5309" s="17" t="s">
        <v>1113</v>
      </c>
      <c r="F5309" s="17" t="s">
        <v>54</v>
      </c>
      <c r="H5309" s="141">
        <v>1.2311</v>
      </c>
      <c r="I5309" s="141"/>
      <c r="J5309" s="17" t="s">
        <v>82</v>
      </c>
      <c r="K5309" s="19">
        <v>505</v>
      </c>
      <c r="L5309" s="274">
        <v>80</v>
      </c>
      <c r="M5309" s="98">
        <v>2200</v>
      </c>
      <c r="N5309" s="19" t="s">
        <v>66</v>
      </c>
      <c r="O5309" s="19" t="s">
        <v>141</v>
      </c>
      <c r="P5309" s="321">
        <v>714</v>
      </c>
      <c r="Q5309" s="19">
        <v>747</v>
      </c>
      <c r="R5309" s="99">
        <f t="shared" si="246"/>
        <v>-33</v>
      </c>
      <c r="S5309" s="91">
        <v>865</v>
      </c>
      <c r="T5309" s="19" t="s">
        <v>42</v>
      </c>
      <c r="U5309" s="102" t="s">
        <v>1419</v>
      </c>
      <c r="V5309" s="186">
        <v>45373</v>
      </c>
      <c r="W5309" s="17" t="s">
        <v>69</v>
      </c>
      <c r="Y5309" s="68">
        <v>45383</v>
      </c>
      <c r="Z5309" s="17" t="s">
        <v>191</v>
      </c>
      <c r="AA5309" s="17" t="s">
        <v>46</v>
      </c>
      <c r="AB5309" s="17" t="s">
        <v>1341</v>
      </c>
      <c r="AC5309" s="217">
        <v>45400</v>
      </c>
      <c r="AD5309" s="65">
        <v>1562</v>
      </c>
      <c r="AE5309" s="17" t="s">
        <v>48</v>
      </c>
    </row>
    <row r="5310" s="17" customFormat="1" ht="15.6" hidden="1" spans="1:31">
      <c r="A5310" s="17" t="s">
        <v>34</v>
      </c>
      <c r="B5310" s="19">
        <v>993</v>
      </c>
      <c r="C5310" s="183">
        <v>45372</v>
      </c>
      <c r="D5310" s="22" t="s">
        <v>52</v>
      </c>
      <c r="E5310" s="17" t="s">
        <v>1113</v>
      </c>
      <c r="F5310" s="17" t="s">
        <v>54</v>
      </c>
      <c r="H5310" s="141">
        <v>1.2311</v>
      </c>
      <c r="I5310" s="141"/>
      <c r="J5310" s="17" t="s">
        <v>82</v>
      </c>
      <c r="K5310" s="19">
        <v>205</v>
      </c>
      <c r="L5310" s="274">
        <v>105</v>
      </c>
      <c r="M5310" s="98">
        <v>2200</v>
      </c>
      <c r="N5310" s="19" t="s">
        <v>66</v>
      </c>
      <c r="O5310" s="19" t="s">
        <v>141</v>
      </c>
      <c r="P5310" s="321">
        <v>380</v>
      </c>
      <c r="Q5310" s="19">
        <v>398</v>
      </c>
      <c r="R5310" s="99">
        <f t="shared" si="246"/>
        <v>-18</v>
      </c>
      <c r="S5310" s="91">
        <v>865</v>
      </c>
      <c r="T5310" s="19" t="s">
        <v>42</v>
      </c>
      <c r="U5310" s="102" t="s">
        <v>1419</v>
      </c>
      <c r="V5310" s="186">
        <v>45373</v>
      </c>
      <c r="W5310" s="17" t="s">
        <v>69</v>
      </c>
      <c r="Y5310" s="68">
        <v>45383</v>
      </c>
      <c r="Z5310" s="17" t="s">
        <v>191</v>
      </c>
      <c r="AA5310" s="17" t="s">
        <v>46</v>
      </c>
      <c r="AB5310" s="17" t="s">
        <v>1338</v>
      </c>
      <c r="AC5310" s="217">
        <v>45395</v>
      </c>
      <c r="AD5310" s="65">
        <v>1557</v>
      </c>
      <c r="AE5310" s="17" t="s">
        <v>48</v>
      </c>
    </row>
    <row r="5311" s="17" customFormat="1" ht="15.6" hidden="1" spans="1:31">
      <c r="A5311" s="17" t="s">
        <v>34</v>
      </c>
      <c r="B5311" s="19">
        <v>993</v>
      </c>
      <c r="C5311" s="183">
        <v>45372</v>
      </c>
      <c r="D5311" s="22" t="s">
        <v>52</v>
      </c>
      <c r="E5311" s="17" t="s">
        <v>1113</v>
      </c>
      <c r="F5311" s="17" t="s">
        <v>54</v>
      </c>
      <c r="H5311" s="141">
        <v>1.2311</v>
      </c>
      <c r="I5311" s="141"/>
      <c r="J5311" s="17" t="s">
        <v>82</v>
      </c>
      <c r="K5311" s="19">
        <v>255</v>
      </c>
      <c r="L5311" s="274">
        <v>105</v>
      </c>
      <c r="M5311" s="98">
        <v>2200</v>
      </c>
      <c r="N5311" s="19" t="s">
        <v>66</v>
      </c>
      <c r="O5311" s="19" t="s">
        <v>141</v>
      </c>
      <c r="P5311" s="321">
        <v>473</v>
      </c>
      <c r="Q5311" s="19">
        <v>493</v>
      </c>
      <c r="R5311" s="99">
        <f t="shared" si="246"/>
        <v>-20</v>
      </c>
      <c r="S5311" s="91">
        <v>865</v>
      </c>
      <c r="T5311" s="19" t="s">
        <v>42</v>
      </c>
      <c r="U5311" s="102" t="s">
        <v>1419</v>
      </c>
      <c r="V5311" s="186">
        <v>45373</v>
      </c>
      <c r="W5311" s="17" t="s">
        <v>69</v>
      </c>
      <c r="Y5311" s="68">
        <v>45383</v>
      </c>
      <c r="Z5311" s="17" t="s">
        <v>191</v>
      </c>
      <c r="AA5311" s="17" t="s">
        <v>46</v>
      </c>
      <c r="AB5311" s="17" t="s">
        <v>1338</v>
      </c>
      <c r="AC5311" s="217">
        <v>45395</v>
      </c>
      <c r="AD5311" s="65">
        <v>1557</v>
      </c>
      <c r="AE5311" s="17" t="s">
        <v>48</v>
      </c>
    </row>
    <row r="5312" s="17" customFormat="1" ht="15.6" hidden="1" spans="1:31">
      <c r="A5312" s="17" t="s">
        <v>34</v>
      </c>
      <c r="B5312" s="19">
        <v>993</v>
      </c>
      <c r="C5312" s="183">
        <v>45372</v>
      </c>
      <c r="D5312" s="22" t="s">
        <v>52</v>
      </c>
      <c r="E5312" s="17" t="s">
        <v>1113</v>
      </c>
      <c r="F5312" s="17" t="s">
        <v>54</v>
      </c>
      <c r="H5312" s="141">
        <v>1.2311</v>
      </c>
      <c r="I5312" s="141"/>
      <c r="J5312" s="17" t="s">
        <v>82</v>
      </c>
      <c r="K5312" s="19">
        <v>305</v>
      </c>
      <c r="L5312" s="274">
        <v>105</v>
      </c>
      <c r="M5312" s="98">
        <v>2200</v>
      </c>
      <c r="N5312" s="19" t="s">
        <v>66</v>
      </c>
      <c r="O5312" s="19" t="s">
        <v>141</v>
      </c>
      <c r="P5312" s="321">
        <v>566</v>
      </c>
      <c r="Q5312" s="19">
        <v>587</v>
      </c>
      <c r="R5312" s="99">
        <f t="shared" si="246"/>
        <v>-21</v>
      </c>
      <c r="S5312" s="91">
        <v>865</v>
      </c>
      <c r="T5312" s="19" t="s">
        <v>42</v>
      </c>
      <c r="U5312" s="102" t="s">
        <v>1419</v>
      </c>
      <c r="V5312" s="186">
        <v>45373</v>
      </c>
      <c r="W5312" s="17" t="s">
        <v>69</v>
      </c>
      <c r="Y5312" s="68">
        <v>45383</v>
      </c>
      <c r="Z5312" s="17" t="s">
        <v>191</v>
      </c>
      <c r="AA5312" s="17" t="s">
        <v>46</v>
      </c>
      <c r="AB5312" s="17" t="s">
        <v>1341</v>
      </c>
      <c r="AC5312" s="217">
        <v>45400</v>
      </c>
      <c r="AD5312" s="65">
        <v>1562</v>
      </c>
      <c r="AE5312" s="17" t="s">
        <v>48</v>
      </c>
    </row>
    <row r="5313" s="17" customFormat="1" ht="15.6" hidden="1" spans="1:31">
      <c r="A5313" s="17" t="s">
        <v>34</v>
      </c>
      <c r="B5313" s="19">
        <v>993</v>
      </c>
      <c r="C5313" s="183">
        <v>45372</v>
      </c>
      <c r="D5313" s="22" t="s">
        <v>52</v>
      </c>
      <c r="E5313" s="17" t="s">
        <v>1113</v>
      </c>
      <c r="F5313" s="17" t="s">
        <v>54</v>
      </c>
      <c r="H5313" s="141">
        <v>1.2311</v>
      </c>
      <c r="I5313" s="141"/>
      <c r="J5313" s="17" t="s">
        <v>82</v>
      </c>
      <c r="K5313" s="19">
        <v>355</v>
      </c>
      <c r="L5313" s="274">
        <v>105</v>
      </c>
      <c r="M5313" s="98">
        <v>2200</v>
      </c>
      <c r="N5313" s="19" t="s">
        <v>66</v>
      </c>
      <c r="O5313" s="19" t="s">
        <v>141</v>
      </c>
      <c r="P5313" s="321">
        <v>658</v>
      </c>
      <c r="Q5313" s="19">
        <v>685</v>
      </c>
      <c r="R5313" s="99">
        <f t="shared" si="246"/>
        <v>-27</v>
      </c>
      <c r="S5313" s="91">
        <v>865</v>
      </c>
      <c r="T5313" s="19" t="s">
        <v>42</v>
      </c>
      <c r="U5313" s="102" t="s">
        <v>1419</v>
      </c>
      <c r="V5313" s="186">
        <v>45373</v>
      </c>
      <c r="W5313" s="17" t="s">
        <v>69</v>
      </c>
      <c r="Y5313" s="68">
        <v>45383</v>
      </c>
      <c r="Z5313" s="17" t="s">
        <v>191</v>
      </c>
      <c r="AA5313" s="17" t="s">
        <v>46</v>
      </c>
      <c r="AB5313" s="17" t="s">
        <v>1338</v>
      </c>
      <c r="AC5313" s="217">
        <v>45395</v>
      </c>
      <c r="AD5313" s="65">
        <v>1557</v>
      </c>
      <c r="AE5313" s="17" t="s">
        <v>48</v>
      </c>
    </row>
    <row r="5314" s="17" customFormat="1" ht="15.6" hidden="1" spans="1:31">
      <c r="A5314" s="17" t="s">
        <v>34</v>
      </c>
      <c r="B5314" s="19">
        <v>993</v>
      </c>
      <c r="C5314" s="183">
        <v>45372</v>
      </c>
      <c r="D5314" s="22" t="s">
        <v>52</v>
      </c>
      <c r="E5314" s="17" t="s">
        <v>1113</v>
      </c>
      <c r="F5314" s="17" t="s">
        <v>54</v>
      </c>
      <c r="H5314" s="141">
        <v>1.2311</v>
      </c>
      <c r="I5314" s="141"/>
      <c r="J5314" s="17" t="s">
        <v>82</v>
      </c>
      <c r="K5314" s="19">
        <v>405</v>
      </c>
      <c r="L5314" s="274">
        <v>105</v>
      </c>
      <c r="M5314" s="98">
        <v>2200</v>
      </c>
      <c r="N5314" s="19" t="s">
        <v>66</v>
      </c>
      <c r="O5314" s="19" t="s">
        <v>141</v>
      </c>
      <c r="P5314" s="321">
        <v>751</v>
      </c>
      <c r="Q5314" s="19">
        <v>778</v>
      </c>
      <c r="R5314" s="99">
        <f t="shared" si="246"/>
        <v>-27</v>
      </c>
      <c r="S5314" s="91">
        <v>865</v>
      </c>
      <c r="T5314" s="19" t="s">
        <v>42</v>
      </c>
      <c r="U5314" s="102" t="s">
        <v>1419</v>
      </c>
      <c r="V5314" s="186">
        <v>45373</v>
      </c>
      <c r="W5314" s="17" t="s">
        <v>69</v>
      </c>
      <c r="Y5314" s="68">
        <v>45383</v>
      </c>
      <c r="Z5314" s="17" t="s">
        <v>191</v>
      </c>
      <c r="AA5314" s="17" t="s">
        <v>46</v>
      </c>
      <c r="AB5314" s="17" t="s">
        <v>1338</v>
      </c>
      <c r="AC5314" s="217">
        <v>45395</v>
      </c>
      <c r="AD5314" s="65">
        <v>1557</v>
      </c>
      <c r="AE5314" s="17" t="s">
        <v>48</v>
      </c>
    </row>
    <row r="5315" s="17" customFormat="1" ht="15.6" hidden="1" spans="1:31">
      <c r="A5315" s="17" t="s">
        <v>34</v>
      </c>
      <c r="B5315" s="19">
        <v>993</v>
      </c>
      <c r="C5315" s="183">
        <v>45372</v>
      </c>
      <c r="D5315" s="22" t="s">
        <v>52</v>
      </c>
      <c r="E5315" s="17" t="s">
        <v>1113</v>
      </c>
      <c r="F5315" s="17" t="s">
        <v>54</v>
      </c>
      <c r="H5315" s="141">
        <v>1.2311</v>
      </c>
      <c r="I5315" s="141"/>
      <c r="J5315" s="17" t="s">
        <v>82</v>
      </c>
      <c r="K5315" s="19">
        <v>455</v>
      </c>
      <c r="L5315" s="274">
        <v>105</v>
      </c>
      <c r="M5315" s="98">
        <v>2200</v>
      </c>
      <c r="N5315" s="19" t="s">
        <v>66</v>
      </c>
      <c r="O5315" s="19" t="s">
        <v>141</v>
      </c>
      <c r="P5315" s="321">
        <v>844</v>
      </c>
      <c r="Q5315" s="19">
        <v>884</v>
      </c>
      <c r="R5315" s="99">
        <f t="shared" si="246"/>
        <v>-40</v>
      </c>
      <c r="S5315" s="91">
        <v>865</v>
      </c>
      <c r="T5315" s="19" t="s">
        <v>42</v>
      </c>
      <c r="U5315" s="102" t="s">
        <v>1419</v>
      </c>
      <c r="V5315" s="186">
        <v>45373</v>
      </c>
      <c r="W5315" s="17" t="s">
        <v>69</v>
      </c>
      <c r="Y5315" s="68">
        <v>45383</v>
      </c>
      <c r="Z5315" s="17" t="s">
        <v>191</v>
      </c>
      <c r="AA5315" s="17" t="s">
        <v>46</v>
      </c>
      <c r="AB5315" s="17" t="s">
        <v>1341</v>
      </c>
      <c r="AC5315" s="217">
        <v>45400</v>
      </c>
      <c r="AD5315" s="65">
        <v>1562</v>
      </c>
      <c r="AE5315" s="17" t="s">
        <v>48</v>
      </c>
    </row>
    <row r="5316" s="17" customFormat="1" ht="15.6" hidden="1" spans="1:31">
      <c r="A5316" s="17" t="s">
        <v>34</v>
      </c>
      <c r="B5316" s="19">
        <v>993</v>
      </c>
      <c r="C5316" s="183">
        <v>45372</v>
      </c>
      <c r="D5316" s="22" t="s">
        <v>52</v>
      </c>
      <c r="E5316" s="17" t="s">
        <v>1113</v>
      </c>
      <c r="F5316" s="17" t="s">
        <v>54</v>
      </c>
      <c r="H5316" s="141">
        <v>1.2311</v>
      </c>
      <c r="I5316" s="141"/>
      <c r="J5316" s="17" t="s">
        <v>82</v>
      </c>
      <c r="K5316" s="19">
        <v>505</v>
      </c>
      <c r="L5316" s="274">
        <v>105</v>
      </c>
      <c r="M5316" s="98">
        <v>2200</v>
      </c>
      <c r="N5316" s="19" t="s">
        <v>66</v>
      </c>
      <c r="O5316" s="19" t="s">
        <v>141</v>
      </c>
      <c r="P5316" s="321">
        <v>937</v>
      </c>
      <c r="Q5316" s="19">
        <v>969</v>
      </c>
      <c r="R5316" s="99">
        <f t="shared" si="246"/>
        <v>-32</v>
      </c>
      <c r="S5316" s="91">
        <v>865</v>
      </c>
      <c r="T5316" s="19" t="s">
        <v>42</v>
      </c>
      <c r="U5316" s="102" t="s">
        <v>1419</v>
      </c>
      <c r="V5316" s="186">
        <v>45373</v>
      </c>
      <c r="W5316" s="17" t="s">
        <v>69</v>
      </c>
      <c r="Y5316" s="68">
        <v>45383</v>
      </c>
      <c r="Z5316" s="17" t="s">
        <v>191</v>
      </c>
      <c r="AA5316" s="17" t="s">
        <v>46</v>
      </c>
      <c r="AB5316" s="17" t="s">
        <v>1337</v>
      </c>
      <c r="AC5316" s="217">
        <v>45400</v>
      </c>
      <c r="AD5316" s="65">
        <v>1563</v>
      </c>
      <c r="AE5316" s="17" t="s">
        <v>48</v>
      </c>
    </row>
    <row r="5317" s="17" customFormat="1" hidden="1" spans="1:31">
      <c r="A5317" s="17" t="s">
        <v>34</v>
      </c>
      <c r="B5317" s="19">
        <v>994</v>
      </c>
      <c r="C5317" s="183">
        <v>45372</v>
      </c>
      <c r="D5317" s="22" t="s">
        <v>52</v>
      </c>
      <c r="E5317" s="17" t="s">
        <v>1113</v>
      </c>
      <c r="F5317" s="17" t="s">
        <v>54</v>
      </c>
      <c r="H5317" s="141">
        <v>1.2311</v>
      </c>
      <c r="I5317" s="141"/>
      <c r="J5317" s="17" t="s">
        <v>82</v>
      </c>
      <c r="K5317" s="91">
        <v>1100</v>
      </c>
      <c r="L5317" s="91">
        <v>25</v>
      </c>
      <c r="M5317" s="98">
        <v>2200</v>
      </c>
      <c r="N5317" s="19" t="s">
        <v>66</v>
      </c>
      <c r="O5317" s="19" t="s">
        <v>141</v>
      </c>
      <c r="P5317" s="160">
        <v>1500</v>
      </c>
      <c r="Q5317" s="19">
        <f>521+520</f>
        <v>1041</v>
      </c>
      <c r="S5317" s="91">
        <v>855</v>
      </c>
      <c r="T5317" s="19" t="s">
        <v>42</v>
      </c>
      <c r="U5317" s="102" t="s">
        <v>1420</v>
      </c>
      <c r="V5317" s="186">
        <v>45373</v>
      </c>
      <c r="W5317" s="17" t="s">
        <v>69</v>
      </c>
      <c r="Y5317" s="68">
        <v>45383</v>
      </c>
      <c r="Z5317" s="17" t="s">
        <v>191</v>
      </c>
      <c r="AA5317" s="17" t="s">
        <v>46</v>
      </c>
      <c r="AB5317" s="17" t="s">
        <v>1342</v>
      </c>
      <c r="AC5317" s="217">
        <v>45394</v>
      </c>
      <c r="AD5317" s="65">
        <v>1555</v>
      </c>
      <c r="AE5317" s="17" t="s">
        <v>74</v>
      </c>
    </row>
    <row r="5318" s="17" customFormat="1" hidden="1" spans="1:31">
      <c r="A5318" s="17" t="s">
        <v>34</v>
      </c>
      <c r="B5318" s="19">
        <v>994</v>
      </c>
      <c r="C5318" s="183">
        <v>45372</v>
      </c>
      <c r="D5318" s="22" t="s">
        <v>52</v>
      </c>
      <c r="E5318" s="17" t="s">
        <v>1113</v>
      </c>
      <c r="F5318" s="17" t="s">
        <v>54</v>
      </c>
      <c r="H5318" s="141">
        <v>1.2311</v>
      </c>
      <c r="I5318" s="141"/>
      <c r="J5318" s="17" t="s">
        <v>82</v>
      </c>
      <c r="K5318" s="91">
        <v>1100</v>
      </c>
      <c r="L5318" s="91">
        <v>25</v>
      </c>
      <c r="M5318" s="98">
        <v>2200</v>
      </c>
      <c r="N5318" s="19" t="s">
        <v>66</v>
      </c>
      <c r="O5318" s="19" t="s">
        <v>141</v>
      </c>
      <c r="P5318" s="160"/>
      <c r="Q5318" s="19">
        <v>513</v>
      </c>
      <c r="R5318" s="99">
        <f>+P5317-Q5317-Q5318</f>
        <v>-54</v>
      </c>
      <c r="S5318" s="91">
        <v>855</v>
      </c>
      <c r="T5318" s="19" t="s">
        <v>42</v>
      </c>
      <c r="U5318" s="102" t="s">
        <v>1420</v>
      </c>
      <c r="V5318" s="186">
        <v>45373</v>
      </c>
      <c r="W5318" s="17" t="s">
        <v>69</v>
      </c>
      <c r="Y5318" s="68">
        <v>45383</v>
      </c>
      <c r="Z5318" s="17" t="s">
        <v>191</v>
      </c>
      <c r="AA5318" s="17" t="s">
        <v>46</v>
      </c>
      <c r="AB5318" s="17" t="s">
        <v>1341</v>
      </c>
      <c r="AC5318" s="217">
        <v>45400</v>
      </c>
      <c r="AD5318" s="65">
        <v>1562</v>
      </c>
      <c r="AE5318" s="17" t="s">
        <v>74</v>
      </c>
    </row>
    <row r="5319" s="17" customFormat="1" hidden="1" spans="1:31">
      <c r="A5319" s="17" t="s">
        <v>34</v>
      </c>
      <c r="B5319" s="19">
        <v>994</v>
      </c>
      <c r="C5319" s="183">
        <v>45372</v>
      </c>
      <c r="D5319" s="22" t="s">
        <v>52</v>
      </c>
      <c r="E5319" s="17" t="s">
        <v>1113</v>
      </c>
      <c r="F5319" s="17" t="s">
        <v>54</v>
      </c>
      <c r="H5319" s="141">
        <v>1.2311</v>
      </c>
      <c r="I5319" s="141"/>
      <c r="J5319" s="17" t="s">
        <v>82</v>
      </c>
      <c r="K5319" s="91">
        <v>1100</v>
      </c>
      <c r="L5319" s="91">
        <v>32</v>
      </c>
      <c r="M5319" s="98">
        <v>2200</v>
      </c>
      <c r="N5319" s="19" t="s">
        <v>66</v>
      </c>
      <c r="O5319" s="19" t="s">
        <v>141</v>
      </c>
      <c r="P5319" s="160">
        <v>1500</v>
      </c>
      <c r="Q5319" s="19">
        <f>622+624</f>
        <v>1246</v>
      </c>
      <c r="S5319" s="91">
        <v>855</v>
      </c>
      <c r="T5319" s="19" t="s">
        <v>42</v>
      </c>
      <c r="U5319" s="102" t="s">
        <v>1420</v>
      </c>
      <c r="V5319" s="186">
        <v>45373</v>
      </c>
      <c r="W5319" s="17" t="s">
        <v>69</v>
      </c>
      <c r="Y5319" s="68">
        <v>45383</v>
      </c>
      <c r="Z5319" s="17" t="s">
        <v>191</v>
      </c>
      <c r="AA5319" s="17" t="s">
        <v>46</v>
      </c>
      <c r="AB5319" s="17" t="s">
        <v>1342</v>
      </c>
      <c r="AC5319" s="217">
        <v>45394</v>
      </c>
      <c r="AD5319" s="65">
        <v>1555</v>
      </c>
      <c r="AE5319" s="17" t="s">
        <v>74</v>
      </c>
    </row>
    <row r="5320" s="17" customFormat="1" hidden="1" spans="1:31">
      <c r="A5320" s="17" t="s">
        <v>34</v>
      </c>
      <c r="B5320" s="19">
        <v>994</v>
      </c>
      <c r="C5320" s="183">
        <v>45372</v>
      </c>
      <c r="D5320" s="22" t="s">
        <v>52</v>
      </c>
      <c r="E5320" s="17" t="s">
        <v>1113</v>
      </c>
      <c r="F5320" s="17" t="s">
        <v>54</v>
      </c>
      <c r="H5320" s="141">
        <v>1.2311</v>
      </c>
      <c r="I5320" s="141"/>
      <c r="J5320" s="17" t="s">
        <v>82</v>
      </c>
      <c r="K5320" s="91">
        <v>1100</v>
      </c>
      <c r="L5320" s="91">
        <v>32</v>
      </c>
      <c r="M5320" s="98">
        <v>2200</v>
      </c>
      <c r="N5320" s="19" t="s">
        <v>66</v>
      </c>
      <c r="O5320" s="19" t="s">
        <v>141</v>
      </c>
      <c r="P5320" s="160"/>
      <c r="Q5320" s="19">
        <v>616</v>
      </c>
      <c r="R5320" s="99">
        <f>+P5319-Q5319-Q5320</f>
        <v>-362</v>
      </c>
      <c r="S5320" s="91">
        <v>855</v>
      </c>
      <c r="T5320" s="19" t="s">
        <v>42</v>
      </c>
      <c r="U5320" s="102" t="s">
        <v>1420</v>
      </c>
      <c r="V5320" s="186">
        <v>45373</v>
      </c>
      <c r="W5320" s="17" t="s">
        <v>69</v>
      </c>
      <c r="Y5320" s="68">
        <v>45383</v>
      </c>
      <c r="Z5320" s="17" t="s">
        <v>191</v>
      </c>
      <c r="AA5320" s="17" t="s">
        <v>46</v>
      </c>
      <c r="AB5320" s="17" t="s">
        <v>1337</v>
      </c>
      <c r="AC5320" s="217">
        <v>45400</v>
      </c>
      <c r="AD5320" s="65">
        <v>1563</v>
      </c>
      <c r="AE5320" s="17" t="s">
        <v>74</v>
      </c>
    </row>
    <row r="5321" s="17" customFormat="1" hidden="1" spans="1:31">
      <c r="A5321" s="17" t="s">
        <v>34</v>
      </c>
      <c r="B5321" s="19">
        <v>994</v>
      </c>
      <c r="C5321" s="183">
        <v>45372</v>
      </c>
      <c r="D5321" s="22" t="s">
        <v>52</v>
      </c>
      <c r="E5321" s="17" t="s">
        <v>1113</v>
      </c>
      <c r="F5321" s="17" t="s">
        <v>54</v>
      </c>
      <c r="H5321" s="141">
        <v>1.2311</v>
      </c>
      <c r="I5321" s="141"/>
      <c r="J5321" s="17" t="s">
        <v>82</v>
      </c>
      <c r="K5321" s="91">
        <v>1100</v>
      </c>
      <c r="L5321" s="91">
        <v>36</v>
      </c>
      <c r="M5321" s="98">
        <v>2200</v>
      </c>
      <c r="N5321" s="19" t="s">
        <v>66</v>
      </c>
      <c r="O5321" s="19" t="s">
        <v>141</v>
      </c>
      <c r="P5321" s="160">
        <v>2000</v>
      </c>
      <c r="Q5321" s="19">
        <v>1439</v>
      </c>
      <c r="S5321" s="91">
        <v>855</v>
      </c>
      <c r="T5321" s="19" t="s">
        <v>42</v>
      </c>
      <c r="U5321" s="102" t="s">
        <v>1420</v>
      </c>
      <c r="V5321" s="186">
        <v>45373</v>
      </c>
      <c r="W5321" s="17" t="s">
        <v>69</v>
      </c>
      <c r="Y5321" s="68">
        <v>45383</v>
      </c>
      <c r="Z5321" s="17" t="s">
        <v>191</v>
      </c>
      <c r="AA5321" s="17" t="s">
        <v>46</v>
      </c>
      <c r="AB5321" s="17" t="s">
        <v>1342</v>
      </c>
      <c r="AC5321" s="217">
        <v>45394</v>
      </c>
      <c r="AD5321" s="65">
        <v>1555</v>
      </c>
      <c r="AE5321" s="17" t="s">
        <v>74</v>
      </c>
    </row>
    <row r="5322" s="17" customFormat="1" hidden="1" spans="1:31">
      <c r="A5322" s="17" t="s">
        <v>34</v>
      </c>
      <c r="B5322" s="19">
        <v>994</v>
      </c>
      <c r="C5322" s="183">
        <v>45372</v>
      </c>
      <c r="D5322" s="22" t="s">
        <v>52</v>
      </c>
      <c r="E5322" s="17" t="s">
        <v>1113</v>
      </c>
      <c r="F5322" s="17" t="s">
        <v>54</v>
      </c>
      <c r="H5322" s="141">
        <v>1.2311</v>
      </c>
      <c r="I5322" s="141"/>
      <c r="J5322" s="17" t="s">
        <v>82</v>
      </c>
      <c r="K5322" s="91">
        <v>1100</v>
      </c>
      <c r="L5322" s="91">
        <v>36</v>
      </c>
      <c r="M5322" s="98">
        <v>2200</v>
      </c>
      <c r="N5322" s="19" t="s">
        <v>66</v>
      </c>
      <c r="O5322" s="19" t="s">
        <v>141</v>
      </c>
      <c r="P5322" s="160"/>
      <c r="Q5322" s="19">
        <v>717</v>
      </c>
      <c r="R5322" s="99">
        <f>+P5321-Q5321-Q5322</f>
        <v>-156</v>
      </c>
      <c r="S5322" s="91">
        <v>855</v>
      </c>
      <c r="T5322" s="19" t="s">
        <v>42</v>
      </c>
      <c r="U5322" s="102" t="s">
        <v>1420</v>
      </c>
      <c r="V5322" s="186">
        <v>45373</v>
      </c>
      <c r="W5322" s="17" t="s">
        <v>69</v>
      </c>
      <c r="Y5322" s="68">
        <v>45383</v>
      </c>
      <c r="Z5322" s="17" t="s">
        <v>191</v>
      </c>
      <c r="AA5322" s="17" t="s">
        <v>46</v>
      </c>
      <c r="AB5322" s="17" t="s">
        <v>1337</v>
      </c>
      <c r="AC5322" s="217">
        <v>45400</v>
      </c>
      <c r="AD5322" s="65">
        <v>1563</v>
      </c>
      <c r="AE5322" s="17" t="s">
        <v>74</v>
      </c>
    </row>
    <row r="5323" s="17" customFormat="1" hidden="1" spans="1:31">
      <c r="A5323" s="17" t="s">
        <v>34</v>
      </c>
      <c r="B5323" s="19">
        <v>994</v>
      </c>
      <c r="C5323" s="183">
        <v>45372</v>
      </c>
      <c r="D5323" s="22" t="s">
        <v>52</v>
      </c>
      <c r="E5323" s="17" t="s">
        <v>1113</v>
      </c>
      <c r="F5323" s="17" t="s">
        <v>54</v>
      </c>
      <c r="H5323" s="141">
        <v>1.2311</v>
      </c>
      <c r="I5323" s="141"/>
      <c r="J5323" s="17" t="s">
        <v>82</v>
      </c>
      <c r="K5323" s="91">
        <v>1100</v>
      </c>
      <c r="L5323" s="91">
        <v>40</v>
      </c>
      <c r="M5323" s="98">
        <v>2200</v>
      </c>
      <c r="N5323" s="19" t="s">
        <v>66</v>
      </c>
      <c r="O5323" s="19" t="s">
        <v>141</v>
      </c>
      <c r="P5323" s="160">
        <v>2500</v>
      </c>
      <c r="Q5323" s="19">
        <v>1629</v>
      </c>
      <c r="S5323" s="91">
        <v>855</v>
      </c>
      <c r="T5323" s="19" t="s">
        <v>42</v>
      </c>
      <c r="U5323" s="102" t="s">
        <v>1420</v>
      </c>
      <c r="V5323" s="186">
        <v>45373</v>
      </c>
      <c r="W5323" s="17" t="s">
        <v>69</v>
      </c>
      <c r="Y5323" s="68">
        <v>45383</v>
      </c>
      <c r="Z5323" s="17" t="s">
        <v>191</v>
      </c>
      <c r="AA5323" s="17" t="s">
        <v>46</v>
      </c>
      <c r="AB5323" s="17" t="s">
        <v>1342</v>
      </c>
      <c r="AC5323" s="217">
        <v>45394</v>
      </c>
      <c r="AD5323" s="65">
        <v>1555</v>
      </c>
      <c r="AE5323" s="17" t="s">
        <v>74</v>
      </c>
    </row>
    <row r="5324" s="17" customFormat="1" hidden="1" spans="1:31">
      <c r="A5324" s="17" t="s">
        <v>34</v>
      </c>
      <c r="B5324" s="19">
        <v>994</v>
      </c>
      <c r="C5324" s="183">
        <v>45372</v>
      </c>
      <c r="D5324" s="22" t="s">
        <v>52</v>
      </c>
      <c r="E5324" s="17" t="s">
        <v>1113</v>
      </c>
      <c r="F5324" s="17" t="s">
        <v>54</v>
      </c>
      <c r="H5324" s="141">
        <v>1.2311</v>
      </c>
      <c r="I5324" s="141"/>
      <c r="J5324" s="17" t="s">
        <v>82</v>
      </c>
      <c r="K5324" s="91">
        <v>1100</v>
      </c>
      <c r="L5324" s="91">
        <v>40</v>
      </c>
      <c r="M5324" s="98">
        <v>2200</v>
      </c>
      <c r="N5324" s="19" t="s">
        <v>66</v>
      </c>
      <c r="O5324" s="19" t="s">
        <v>141</v>
      </c>
      <c r="P5324" s="160"/>
      <c r="Q5324" s="19">
        <v>823</v>
      </c>
      <c r="R5324" s="99">
        <f>+P5323-Q5323-Q5324</f>
        <v>48</v>
      </c>
      <c r="S5324" s="91">
        <v>855</v>
      </c>
      <c r="T5324" s="19" t="s">
        <v>42</v>
      </c>
      <c r="U5324" s="102" t="s">
        <v>1420</v>
      </c>
      <c r="V5324" s="186">
        <v>45373</v>
      </c>
      <c r="W5324" s="17" t="s">
        <v>69</v>
      </c>
      <c r="Y5324" s="68">
        <v>45383</v>
      </c>
      <c r="Z5324" s="17" t="s">
        <v>191</v>
      </c>
      <c r="AA5324" s="17" t="s">
        <v>46</v>
      </c>
      <c r="AB5324" s="17" t="s">
        <v>1341</v>
      </c>
      <c r="AC5324" s="217">
        <v>45400</v>
      </c>
      <c r="AD5324" s="65">
        <v>1562</v>
      </c>
      <c r="AE5324" s="17" t="s">
        <v>74</v>
      </c>
    </row>
    <row r="5325" s="17" customFormat="1" hidden="1" spans="1:31">
      <c r="A5325" s="17" t="s">
        <v>34</v>
      </c>
      <c r="B5325" s="19">
        <v>994</v>
      </c>
      <c r="C5325" s="183">
        <v>45372</v>
      </c>
      <c r="D5325" s="22" t="s">
        <v>52</v>
      </c>
      <c r="E5325" s="17" t="s">
        <v>1113</v>
      </c>
      <c r="F5325" s="17" t="s">
        <v>54</v>
      </c>
      <c r="H5325" s="141">
        <v>1.2311</v>
      </c>
      <c r="I5325" s="141"/>
      <c r="J5325" s="17" t="s">
        <v>82</v>
      </c>
      <c r="K5325" s="91">
        <v>1100</v>
      </c>
      <c r="L5325" s="91">
        <v>45</v>
      </c>
      <c r="M5325" s="98">
        <v>2200</v>
      </c>
      <c r="N5325" s="19" t="s">
        <v>66</v>
      </c>
      <c r="O5325" s="19" t="s">
        <v>141</v>
      </c>
      <c r="P5325" s="160">
        <v>2500</v>
      </c>
      <c r="Q5325" s="19">
        <v>1839</v>
      </c>
      <c r="S5325" s="91">
        <v>855</v>
      </c>
      <c r="T5325" s="19" t="s">
        <v>42</v>
      </c>
      <c r="U5325" s="102" t="s">
        <v>1420</v>
      </c>
      <c r="V5325" s="186">
        <v>45373</v>
      </c>
      <c r="W5325" s="17" t="s">
        <v>69</v>
      </c>
      <c r="Y5325" s="68">
        <v>45383</v>
      </c>
      <c r="Z5325" s="17" t="s">
        <v>191</v>
      </c>
      <c r="AA5325" s="17" t="s">
        <v>46</v>
      </c>
      <c r="AB5325" s="17" t="s">
        <v>1342</v>
      </c>
      <c r="AC5325" s="217">
        <v>45394</v>
      </c>
      <c r="AD5325" s="65">
        <v>1555</v>
      </c>
      <c r="AE5325" s="17" t="s">
        <v>74</v>
      </c>
    </row>
    <row r="5326" s="17" customFormat="1" hidden="1" spans="1:31">
      <c r="A5326" s="17" t="s">
        <v>34</v>
      </c>
      <c r="B5326" s="19">
        <v>994</v>
      </c>
      <c r="C5326" s="183">
        <v>45372</v>
      </c>
      <c r="D5326" s="22" t="s">
        <v>52</v>
      </c>
      <c r="E5326" s="17" t="s">
        <v>1113</v>
      </c>
      <c r="F5326" s="17" t="s">
        <v>54</v>
      </c>
      <c r="H5326" s="141">
        <v>1.2311</v>
      </c>
      <c r="I5326" s="141"/>
      <c r="J5326" s="17" t="s">
        <v>82</v>
      </c>
      <c r="K5326" s="91">
        <v>1100</v>
      </c>
      <c r="L5326" s="91">
        <v>45</v>
      </c>
      <c r="M5326" s="98">
        <v>2200</v>
      </c>
      <c r="N5326" s="19" t="s">
        <v>66</v>
      </c>
      <c r="O5326" s="19" t="s">
        <v>141</v>
      </c>
      <c r="P5326" s="160"/>
      <c r="Q5326" s="19">
        <v>926</v>
      </c>
      <c r="R5326" s="99">
        <f>+P5325-Q5325-Q5326</f>
        <v>-265</v>
      </c>
      <c r="S5326" s="91">
        <v>855</v>
      </c>
      <c r="T5326" s="19" t="s">
        <v>42</v>
      </c>
      <c r="U5326" s="102" t="s">
        <v>1420</v>
      </c>
      <c r="V5326" s="186">
        <v>45373</v>
      </c>
      <c r="W5326" s="17" t="s">
        <v>69</v>
      </c>
      <c r="Y5326" s="68">
        <v>45383</v>
      </c>
      <c r="Z5326" s="17" t="s">
        <v>191</v>
      </c>
      <c r="AA5326" s="17" t="s">
        <v>46</v>
      </c>
      <c r="AB5326" s="17" t="s">
        <v>1341</v>
      </c>
      <c r="AC5326" s="217">
        <v>45400</v>
      </c>
      <c r="AD5326" s="65">
        <v>1562</v>
      </c>
      <c r="AE5326" s="17" t="s">
        <v>74</v>
      </c>
    </row>
    <row r="5327" s="17" customFormat="1" hidden="1" spans="1:31">
      <c r="A5327" s="17" t="s">
        <v>34</v>
      </c>
      <c r="B5327" s="19">
        <v>994</v>
      </c>
      <c r="C5327" s="183">
        <v>45372</v>
      </c>
      <c r="D5327" s="22" t="s">
        <v>52</v>
      </c>
      <c r="E5327" s="17" t="s">
        <v>1113</v>
      </c>
      <c r="F5327" s="17" t="s">
        <v>54</v>
      </c>
      <c r="H5327" s="141">
        <v>1.2311</v>
      </c>
      <c r="I5327" s="141"/>
      <c r="J5327" s="17" t="s">
        <v>82</v>
      </c>
      <c r="K5327" s="91">
        <v>1100</v>
      </c>
      <c r="L5327" s="91">
        <v>50</v>
      </c>
      <c r="M5327" s="98">
        <v>2200</v>
      </c>
      <c r="N5327" s="19" t="s">
        <v>66</v>
      </c>
      <c r="O5327" s="19" t="s">
        <v>141</v>
      </c>
      <c r="P5327" s="160">
        <v>3886</v>
      </c>
      <c r="Q5327" s="19">
        <v>2044</v>
      </c>
      <c r="S5327" s="91">
        <v>855</v>
      </c>
      <c r="T5327" s="19" t="s">
        <v>42</v>
      </c>
      <c r="U5327" s="102" t="s">
        <v>1420</v>
      </c>
      <c r="V5327" s="186">
        <v>45373</v>
      </c>
      <c r="W5327" s="17" t="s">
        <v>69</v>
      </c>
      <c r="Y5327" s="68">
        <v>45383</v>
      </c>
      <c r="Z5327" s="17" t="s">
        <v>191</v>
      </c>
      <c r="AA5327" s="17" t="s">
        <v>46</v>
      </c>
      <c r="AB5327" s="17" t="s">
        <v>1338</v>
      </c>
      <c r="AC5327" s="217">
        <v>45395</v>
      </c>
      <c r="AD5327" s="65">
        <v>1557</v>
      </c>
      <c r="AE5327" s="17" t="s">
        <v>74</v>
      </c>
    </row>
    <row r="5328" s="17" customFormat="1" hidden="1" spans="1:31">
      <c r="A5328" s="17" t="s">
        <v>34</v>
      </c>
      <c r="B5328" s="19">
        <v>994</v>
      </c>
      <c r="C5328" s="183">
        <v>45372</v>
      </c>
      <c r="D5328" s="22" t="s">
        <v>52</v>
      </c>
      <c r="E5328" s="17" t="s">
        <v>1113</v>
      </c>
      <c r="F5328" s="17" t="s">
        <v>54</v>
      </c>
      <c r="H5328" s="141">
        <v>1.2311</v>
      </c>
      <c r="I5328" s="141"/>
      <c r="J5328" s="17" t="s">
        <v>82</v>
      </c>
      <c r="K5328" s="91">
        <v>1100</v>
      </c>
      <c r="L5328" s="91">
        <v>50</v>
      </c>
      <c r="M5328" s="98">
        <v>2200</v>
      </c>
      <c r="N5328" s="19" t="s">
        <v>66</v>
      </c>
      <c r="O5328" s="19" t="s">
        <v>141</v>
      </c>
      <c r="P5328" s="160"/>
      <c r="Q5328" s="19">
        <v>1020</v>
      </c>
      <c r="S5328" s="91">
        <v>855</v>
      </c>
      <c r="T5328" s="19" t="s">
        <v>42</v>
      </c>
      <c r="U5328" s="102" t="s">
        <v>1420</v>
      </c>
      <c r="V5328" s="186">
        <v>45373</v>
      </c>
      <c r="W5328" s="17" t="s">
        <v>69</v>
      </c>
      <c r="Y5328" s="68">
        <v>45383</v>
      </c>
      <c r="Z5328" s="17" t="s">
        <v>191</v>
      </c>
      <c r="AA5328" s="17" t="s">
        <v>46</v>
      </c>
      <c r="AB5328" s="17" t="s">
        <v>1350</v>
      </c>
      <c r="AC5328" s="217">
        <v>45399</v>
      </c>
      <c r="AD5328" s="65">
        <v>1560</v>
      </c>
      <c r="AE5328" s="17" t="s">
        <v>74</v>
      </c>
    </row>
    <row r="5329" s="17" customFormat="1" hidden="1" spans="1:31">
      <c r="A5329" s="17" t="s">
        <v>34</v>
      </c>
      <c r="B5329" s="19">
        <v>994</v>
      </c>
      <c r="C5329" s="183">
        <v>45372</v>
      </c>
      <c r="D5329" s="22" t="s">
        <v>52</v>
      </c>
      <c r="E5329" s="17" t="s">
        <v>1113</v>
      </c>
      <c r="F5329" s="17" t="s">
        <v>54</v>
      </c>
      <c r="H5329" s="141">
        <v>1.2311</v>
      </c>
      <c r="I5329" s="141"/>
      <c r="J5329" s="17" t="s">
        <v>82</v>
      </c>
      <c r="K5329" s="91">
        <v>1100</v>
      </c>
      <c r="L5329" s="91">
        <v>50</v>
      </c>
      <c r="M5329" s="98">
        <v>2200</v>
      </c>
      <c r="N5329" s="19" t="s">
        <v>66</v>
      </c>
      <c r="O5329" s="19" t="s">
        <v>141</v>
      </c>
      <c r="P5329" s="160"/>
      <c r="Q5329" s="19">
        <v>1004</v>
      </c>
      <c r="R5329" s="99">
        <f>+P5327-Q5327-Q5328-Q5329</f>
        <v>-182</v>
      </c>
      <c r="S5329" s="91">
        <f>840-70+80</f>
        <v>850</v>
      </c>
      <c r="T5329" s="19" t="s">
        <v>42</v>
      </c>
      <c r="U5329" s="102" t="s">
        <v>1420</v>
      </c>
      <c r="V5329" s="186">
        <v>45373</v>
      </c>
      <c r="W5329" s="17" t="s">
        <v>69</v>
      </c>
      <c r="Y5329" s="68">
        <v>45383</v>
      </c>
      <c r="Z5329" s="17" t="s">
        <v>191</v>
      </c>
      <c r="AA5329" s="17" t="s">
        <v>46</v>
      </c>
      <c r="AB5329" s="17" t="s">
        <v>1339</v>
      </c>
      <c r="AC5329" s="217">
        <v>45433</v>
      </c>
      <c r="AD5329" s="65">
        <v>1570</v>
      </c>
      <c r="AE5329" s="17" t="s">
        <v>74</v>
      </c>
    </row>
    <row r="5330" s="17" customFormat="1" hidden="1" spans="1:31">
      <c r="A5330" s="17" t="s">
        <v>34</v>
      </c>
      <c r="B5330" s="19">
        <v>994</v>
      </c>
      <c r="C5330" s="183">
        <v>45372</v>
      </c>
      <c r="D5330" s="22" t="s">
        <v>52</v>
      </c>
      <c r="E5330" s="17" t="s">
        <v>1113</v>
      </c>
      <c r="F5330" s="17" t="s">
        <v>54</v>
      </c>
      <c r="H5330" s="141">
        <v>1.2311</v>
      </c>
      <c r="I5330" s="141"/>
      <c r="J5330" s="17" t="s">
        <v>82</v>
      </c>
      <c r="K5330" s="91">
        <v>1100</v>
      </c>
      <c r="L5330" s="91">
        <v>55</v>
      </c>
      <c r="M5330" s="98">
        <v>2200</v>
      </c>
      <c r="N5330" s="19" t="s">
        <v>66</v>
      </c>
      <c r="O5330" s="19" t="s">
        <v>141</v>
      </c>
      <c r="P5330" s="160">
        <v>3000</v>
      </c>
      <c r="Q5330" s="19">
        <v>2258</v>
      </c>
      <c r="S5330" s="91">
        <v>855</v>
      </c>
      <c r="T5330" s="19" t="s">
        <v>42</v>
      </c>
      <c r="U5330" s="102" t="s">
        <v>1420</v>
      </c>
      <c r="V5330" s="186">
        <v>45373</v>
      </c>
      <c r="W5330" s="17" t="s">
        <v>69</v>
      </c>
      <c r="Y5330" s="68">
        <v>45383</v>
      </c>
      <c r="Z5330" s="17" t="s">
        <v>191</v>
      </c>
      <c r="AA5330" s="17" t="s">
        <v>46</v>
      </c>
      <c r="AB5330" s="17" t="s">
        <v>1342</v>
      </c>
      <c r="AC5330" s="217">
        <v>45394</v>
      </c>
      <c r="AD5330" s="65">
        <v>1555</v>
      </c>
      <c r="AE5330" s="17" t="s">
        <v>74</v>
      </c>
    </row>
    <row r="5331" s="17" customFormat="1" hidden="1" spans="1:31">
      <c r="A5331" s="17" t="s">
        <v>34</v>
      </c>
      <c r="B5331" s="19">
        <v>994</v>
      </c>
      <c r="C5331" s="183">
        <v>45372</v>
      </c>
      <c r="D5331" s="22" t="s">
        <v>52</v>
      </c>
      <c r="E5331" s="17" t="s">
        <v>1113</v>
      </c>
      <c r="F5331" s="17" t="s">
        <v>54</v>
      </c>
      <c r="H5331" s="141">
        <v>1.2311</v>
      </c>
      <c r="I5331" s="141"/>
      <c r="J5331" s="17" t="s">
        <v>82</v>
      </c>
      <c r="K5331" s="91">
        <v>1100</v>
      </c>
      <c r="L5331" s="91">
        <v>55</v>
      </c>
      <c r="M5331" s="98">
        <v>2200</v>
      </c>
      <c r="N5331" s="19" t="s">
        <v>66</v>
      </c>
      <c r="O5331" s="19" t="s">
        <v>141</v>
      </c>
      <c r="P5331" s="160"/>
      <c r="Q5331" s="19">
        <v>1117</v>
      </c>
      <c r="R5331" s="99">
        <f>+P5330-Q5330-Q5331</f>
        <v>-375</v>
      </c>
      <c r="S5331" s="91">
        <v>855</v>
      </c>
      <c r="T5331" s="19" t="s">
        <v>42</v>
      </c>
      <c r="U5331" s="102" t="s">
        <v>1420</v>
      </c>
      <c r="V5331" s="186">
        <v>45373</v>
      </c>
      <c r="W5331" s="17" t="s">
        <v>69</v>
      </c>
      <c r="Y5331" s="68">
        <v>45383</v>
      </c>
      <c r="Z5331" s="17" t="s">
        <v>191</v>
      </c>
      <c r="AA5331" s="17" t="s">
        <v>46</v>
      </c>
      <c r="AB5331" s="17" t="s">
        <v>1341</v>
      </c>
      <c r="AC5331" s="217">
        <v>45400</v>
      </c>
      <c r="AD5331" s="65">
        <v>1562</v>
      </c>
      <c r="AE5331" s="17" t="s">
        <v>74</v>
      </c>
    </row>
    <row r="5332" s="17" customFormat="1" hidden="1" spans="1:31">
      <c r="A5332" s="17" t="s">
        <v>34</v>
      </c>
      <c r="B5332" s="19">
        <v>994</v>
      </c>
      <c r="C5332" s="183">
        <v>45372</v>
      </c>
      <c r="D5332" s="22" t="s">
        <v>52</v>
      </c>
      <c r="E5332" s="17" t="s">
        <v>1113</v>
      </c>
      <c r="F5332" s="17" t="s">
        <v>54</v>
      </c>
      <c r="H5332" s="141">
        <v>1.2311</v>
      </c>
      <c r="I5332" s="141"/>
      <c r="J5332" s="17" t="s">
        <v>82</v>
      </c>
      <c r="K5332" s="91">
        <v>1100</v>
      </c>
      <c r="L5332" s="91">
        <v>60</v>
      </c>
      <c r="M5332" s="98">
        <v>2200</v>
      </c>
      <c r="N5332" s="19" t="s">
        <v>66</v>
      </c>
      <c r="O5332" s="19" t="s">
        <v>141</v>
      </c>
      <c r="P5332" s="160">
        <v>3497</v>
      </c>
      <c r="Q5332" s="19">
        <v>2450</v>
      </c>
      <c r="S5332" s="91">
        <v>855</v>
      </c>
      <c r="T5332" s="19" t="s">
        <v>42</v>
      </c>
      <c r="U5332" s="102" t="s">
        <v>1420</v>
      </c>
      <c r="V5332" s="186">
        <v>45373</v>
      </c>
      <c r="W5332" s="17" t="s">
        <v>69</v>
      </c>
      <c r="Y5332" s="68">
        <v>45383</v>
      </c>
      <c r="Z5332" s="17" t="s">
        <v>191</v>
      </c>
      <c r="AA5332" s="17" t="s">
        <v>46</v>
      </c>
      <c r="AB5332" s="17" t="s">
        <v>1342</v>
      </c>
      <c r="AC5332" s="217">
        <v>45394</v>
      </c>
      <c r="AD5332" s="65">
        <v>1555</v>
      </c>
      <c r="AE5332" s="17" t="s">
        <v>74</v>
      </c>
    </row>
    <row r="5333" s="17" customFormat="1" hidden="1" spans="1:31">
      <c r="A5333" s="17" t="s">
        <v>34</v>
      </c>
      <c r="B5333" s="19">
        <v>994</v>
      </c>
      <c r="C5333" s="183">
        <v>45372</v>
      </c>
      <c r="D5333" s="22" t="s">
        <v>52</v>
      </c>
      <c r="E5333" s="17" t="s">
        <v>1113</v>
      </c>
      <c r="F5333" s="17" t="s">
        <v>54</v>
      </c>
      <c r="H5333" s="141">
        <v>1.2311</v>
      </c>
      <c r="I5333" s="141"/>
      <c r="J5333" s="17" t="s">
        <v>82</v>
      </c>
      <c r="K5333" s="91">
        <v>1100</v>
      </c>
      <c r="L5333" s="91">
        <v>60</v>
      </c>
      <c r="M5333" s="98">
        <v>2200</v>
      </c>
      <c r="N5333" s="19" t="s">
        <v>66</v>
      </c>
      <c r="O5333" s="19" t="s">
        <v>141</v>
      </c>
      <c r="P5333" s="160"/>
      <c r="Q5333" s="19">
        <v>1229</v>
      </c>
      <c r="R5333" s="99">
        <f>+P5332-Q5332-Q5333</f>
        <v>-182</v>
      </c>
      <c r="S5333" s="91">
        <f>855+60</f>
        <v>915</v>
      </c>
      <c r="T5333" s="19" t="s">
        <v>42</v>
      </c>
      <c r="U5333" s="102" t="s">
        <v>1420</v>
      </c>
      <c r="V5333" s="186">
        <v>45373</v>
      </c>
      <c r="W5333" s="17" t="s">
        <v>69</v>
      </c>
      <c r="Y5333" s="68">
        <v>45383</v>
      </c>
      <c r="Z5333" s="17" t="s">
        <v>191</v>
      </c>
      <c r="AA5333" s="17" t="s">
        <v>46</v>
      </c>
      <c r="AB5333" s="17" t="s">
        <v>1339</v>
      </c>
      <c r="AC5333" s="217">
        <v>45433</v>
      </c>
      <c r="AD5333" s="65">
        <v>1570</v>
      </c>
      <c r="AE5333" s="17" t="s">
        <v>74</v>
      </c>
    </row>
    <row r="5334" s="17" customFormat="1" hidden="1" spans="1:31">
      <c r="A5334" s="17" t="s">
        <v>34</v>
      </c>
      <c r="B5334" s="19">
        <v>994</v>
      </c>
      <c r="C5334" s="183">
        <v>45372</v>
      </c>
      <c r="D5334" s="22" t="s">
        <v>52</v>
      </c>
      <c r="E5334" s="17" t="s">
        <v>1113</v>
      </c>
      <c r="F5334" s="17" t="s">
        <v>54</v>
      </c>
      <c r="H5334" s="141">
        <v>1.2311</v>
      </c>
      <c r="I5334" s="141"/>
      <c r="J5334" s="17" t="s">
        <v>82</v>
      </c>
      <c r="K5334" s="91">
        <v>1100</v>
      </c>
      <c r="L5334" s="91">
        <v>65</v>
      </c>
      <c r="M5334" s="98">
        <v>2200</v>
      </c>
      <c r="N5334" s="19" t="s">
        <v>66</v>
      </c>
      <c r="O5334" s="19" t="s">
        <v>141</v>
      </c>
      <c r="P5334" s="160">
        <v>2526</v>
      </c>
      <c r="Q5334" s="19">
        <v>1321</v>
      </c>
      <c r="S5334" s="91">
        <f>855+60</f>
        <v>915</v>
      </c>
      <c r="T5334" s="19" t="s">
        <v>42</v>
      </c>
      <c r="U5334" s="102" t="s">
        <v>1420</v>
      </c>
      <c r="V5334" s="186">
        <v>45373</v>
      </c>
      <c r="W5334" s="17" t="s">
        <v>69</v>
      </c>
      <c r="Y5334" s="68">
        <v>45383</v>
      </c>
      <c r="Z5334" s="17" t="s">
        <v>191</v>
      </c>
      <c r="AA5334" s="17" t="s">
        <v>46</v>
      </c>
      <c r="AB5334" s="17" t="s">
        <v>1339</v>
      </c>
      <c r="AC5334" s="217">
        <v>45433</v>
      </c>
      <c r="AD5334" s="65">
        <v>1570</v>
      </c>
      <c r="AE5334" s="17" t="s">
        <v>74</v>
      </c>
    </row>
    <row r="5335" s="17" customFormat="1" hidden="1" spans="1:31">
      <c r="A5335" s="17" t="s">
        <v>34</v>
      </c>
      <c r="B5335" s="19">
        <v>994</v>
      </c>
      <c r="C5335" s="183">
        <v>45372</v>
      </c>
      <c r="D5335" s="22" t="s">
        <v>52</v>
      </c>
      <c r="E5335" s="17" t="s">
        <v>1113</v>
      </c>
      <c r="F5335" s="17" t="s">
        <v>54</v>
      </c>
      <c r="H5335" s="141">
        <v>1.2311</v>
      </c>
      <c r="I5335" s="141"/>
      <c r="J5335" s="17" t="s">
        <v>82</v>
      </c>
      <c r="K5335" s="91">
        <v>1100</v>
      </c>
      <c r="L5335" s="91">
        <v>65</v>
      </c>
      <c r="M5335" s="98">
        <v>2200</v>
      </c>
      <c r="N5335" s="19" t="s">
        <v>66</v>
      </c>
      <c r="O5335" s="19" t="s">
        <v>141</v>
      </c>
      <c r="P5335" s="160"/>
      <c r="Q5335" s="146">
        <v>1303</v>
      </c>
      <c r="R5335" s="99">
        <f>+P5334-Q5334-Q5335</f>
        <v>-98</v>
      </c>
      <c r="S5335" s="91">
        <f>855</f>
        <v>855</v>
      </c>
      <c r="T5335" s="19" t="s">
        <v>42</v>
      </c>
      <c r="U5335" s="102" t="s">
        <v>1420</v>
      </c>
      <c r="V5335" s="186">
        <v>45373</v>
      </c>
      <c r="W5335" s="17" t="s">
        <v>69</v>
      </c>
      <c r="Y5335" s="68">
        <v>45383</v>
      </c>
      <c r="Z5335" s="17" t="s">
        <v>191</v>
      </c>
      <c r="AA5335" s="17" t="s">
        <v>46</v>
      </c>
      <c r="AB5335" s="17" t="s">
        <v>1340</v>
      </c>
      <c r="AC5335" s="217">
        <v>45498</v>
      </c>
      <c r="AD5335" s="65">
        <v>1603</v>
      </c>
      <c r="AE5335" s="17" t="s">
        <v>74</v>
      </c>
    </row>
    <row r="5336" s="17" customFormat="1" hidden="1" spans="1:31">
      <c r="A5336" s="17" t="s">
        <v>34</v>
      </c>
      <c r="B5336" s="19">
        <v>994</v>
      </c>
      <c r="C5336" s="183">
        <v>45372</v>
      </c>
      <c r="D5336" s="22" t="s">
        <v>52</v>
      </c>
      <c r="E5336" s="17" t="s">
        <v>1113</v>
      </c>
      <c r="F5336" s="17" t="s">
        <v>54</v>
      </c>
      <c r="H5336" s="141">
        <v>1.2311</v>
      </c>
      <c r="I5336" s="141"/>
      <c r="J5336" s="17" t="s">
        <v>82</v>
      </c>
      <c r="K5336" s="91">
        <v>1100</v>
      </c>
      <c r="L5336" s="91">
        <v>70</v>
      </c>
      <c r="M5336" s="98">
        <v>2200</v>
      </c>
      <c r="N5336" s="19" t="s">
        <v>66</v>
      </c>
      <c r="O5336" s="19" t="s">
        <v>141</v>
      </c>
      <c r="P5336" s="160">
        <v>2720</v>
      </c>
      <c r="Q5336" s="19">
        <v>1411</v>
      </c>
      <c r="S5336" s="91">
        <v>855</v>
      </c>
      <c r="T5336" s="19" t="s">
        <v>42</v>
      </c>
      <c r="U5336" s="102" t="s">
        <v>1420</v>
      </c>
      <c r="V5336" s="186">
        <v>45373</v>
      </c>
      <c r="W5336" s="17" t="s">
        <v>69</v>
      </c>
      <c r="Y5336" s="68">
        <v>45383</v>
      </c>
      <c r="Z5336" s="17" t="s">
        <v>191</v>
      </c>
      <c r="AA5336" s="17" t="s">
        <v>46</v>
      </c>
      <c r="AB5336" s="17" t="s">
        <v>1350</v>
      </c>
      <c r="AC5336" s="217">
        <v>45399</v>
      </c>
      <c r="AD5336" s="65">
        <v>1560</v>
      </c>
      <c r="AE5336" s="17" t="s">
        <v>74</v>
      </c>
    </row>
    <row r="5337" s="17" customFormat="1" hidden="1" spans="1:31">
      <c r="A5337" s="17" t="s">
        <v>34</v>
      </c>
      <c r="B5337" s="19">
        <v>994</v>
      </c>
      <c r="C5337" s="183">
        <v>45372</v>
      </c>
      <c r="D5337" s="22" t="s">
        <v>52</v>
      </c>
      <c r="E5337" s="17" t="s">
        <v>1113</v>
      </c>
      <c r="F5337" s="17" t="s">
        <v>54</v>
      </c>
      <c r="H5337" s="141">
        <v>1.2311</v>
      </c>
      <c r="I5337" s="141"/>
      <c r="J5337" s="17" t="s">
        <v>82</v>
      </c>
      <c r="K5337" s="91">
        <v>1100</v>
      </c>
      <c r="L5337" s="91">
        <v>70</v>
      </c>
      <c r="M5337" s="98">
        <v>2200</v>
      </c>
      <c r="N5337" s="19" t="s">
        <v>66</v>
      </c>
      <c r="O5337" s="19" t="s">
        <v>141</v>
      </c>
      <c r="P5337" s="160"/>
      <c r="Q5337" s="19">
        <v>1423</v>
      </c>
      <c r="R5337" s="99">
        <f>+P5336-Q5336-Q5337</f>
        <v>-114</v>
      </c>
      <c r="S5337" s="91">
        <f>855+60</f>
        <v>915</v>
      </c>
      <c r="T5337" s="19" t="s">
        <v>42</v>
      </c>
      <c r="U5337" s="102" t="s">
        <v>1420</v>
      </c>
      <c r="V5337" s="186">
        <v>45373</v>
      </c>
      <c r="W5337" s="17" t="s">
        <v>69</v>
      </c>
      <c r="Y5337" s="68">
        <v>45383</v>
      </c>
      <c r="Z5337" s="17" t="s">
        <v>191</v>
      </c>
      <c r="AA5337" s="17" t="s">
        <v>46</v>
      </c>
      <c r="AB5337" s="17" t="s">
        <v>1339</v>
      </c>
      <c r="AC5337" s="217">
        <v>45433</v>
      </c>
      <c r="AD5337" s="65">
        <v>1570</v>
      </c>
      <c r="AE5337" s="17" t="s">
        <v>74</v>
      </c>
    </row>
    <row r="5338" s="17" customFormat="1" hidden="1" spans="1:31">
      <c r="A5338" s="17" t="s">
        <v>34</v>
      </c>
      <c r="B5338" s="19">
        <v>994</v>
      </c>
      <c r="C5338" s="183">
        <v>45372</v>
      </c>
      <c r="D5338" s="22" t="s">
        <v>52</v>
      </c>
      <c r="E5338" s="17" t="s">
        <v>1113</v>
      </c>
      <c r="F5338" s="17" t="s">
        <v>54</v>
      </c>
      <c r="H5338" s="141">
        <v>1.2311</v>
      </c>
      <c r="I5338" s="141"/>
      <c r="J5338" s="17" t="s">
        <v>82</v>
      </c>
      <c r="K5338" s="91">
        <v>1100</v>
      </c>
      <c r="L5338" s="91">
        <v>75</v>
      </c>
      <c r="M5338" s="98">
        <v>2200</v>
      </c>
      <c r="N5338" s="19" t="s">
        <v>66</v>
      </c>
      <c r="O5338" s="19" t="s">
        <v>141</v>
      </c>
      <c r="P5338" s="160">
        <v>2914</v>
      </c>
      <c r="Q5338" s="19">
        <v>1502</v>
      </c>
      <c r="S5338" s="91">
        <v>855</v>
      </c>
      <c r="T5338" s="19" t="s">
        <v>42</v>
      </c>
      <c r="U5338" s="102" t="s">
        <v>1420</v>
      </c>
      <c r="V5338" s="186">
        <v>45373</v>
      </c>
      <c r="W5338" s="17" t="s">
        <v>69</v>
      </c>
      <c r="Y5338" s="68">
        <v>45383</v>
      </c>
      <c r="Z5338" s="17" t="s">
        <v>191</v>
      </c>
      <c r="AA5338" s="17" t="s">
        <v>46</v>
      </c>
      <c r="AB5338" s="17" t="s">
        <v>1350</v>
      </c>
      <c r="AC5338" s="217">
        <v>45399</v>
      </c>
      <c r="AD5338" s="65">
        <v>1560</v>
      </c>
      <c r="AE5338" s="17" t="s">
        <v>74</v>
      </c>
    </row>
    <row r="5339" s="17" customFormat="1" hidden="1" spans="1:31">
      <c r="A5339" s="17" t="s">
        <v>34</v>
      </c>
      <c r="B5339" s="19">
        <v>994</v>
      </c>
      <c r="C5339" s="183">
        <v>45372</v>
      </c>
      <c r="D5339" s="22" t="s">
        <v>52</v>
      </c>
      <c r="E5339" s="17" t="s">
        <v>1113</v>
      </c>
      <c r="F5339" s="17" t="s">
        <v>54</v>
      </c>
      <c r="H5339" s="141">
        <v>1.2311</v>
      </c>
      <c r="I5339" s="141"/>
      <c r="J5339" s="17" t="s">
        <v>82</v>
      </c>
      <c r="K5339" s="91">
        <v>1100</v>
      </c>
      <c r="L5339" s="91">
        <v>75</v>
      </c>
      <c r="M5339" s="98">
        <v>2200</v>
      </c>
      <c r="N5339" s="19" t="s">
        <v>66</v>
      </c>
      <c r="O5339" s="19" t="s">
        <v>141</v>
      </c>
      <c r="P5339" s="160"/>
      <c r="Q5339" s="19">
        <v>1524</v>
      </c>
      <c r="R5339" s="99">
        <f>+P5338-Q5338-Q5339</f>
        <v>-112</v>
      </c>
      <c r="S5339" s="91">
        <f>855+60</f>
        <v>915</v>
      </c>
      <c r="T5339" s="19" t="s">
        <v>42</v>
      </c>
      <c r="U5339" s="102" t="s">
        <v>1420</v>
      </c>
      <c r="V5339" s="186">
        <v>45373</v>
      </c>
      <c r="W5339" s="17" t="s">
        <v>69</v>
      </c>
      <c r="Y5339" s="68">
        <v>45383</v>
      </c>
      <c r="Z5339" s="17" t="s">
        <v>191</v>
      </c>
      <c r="AA5339" s="17" t="s">
        <v>46</v>
      </c>
      <c r="AB5339" s="17" t="s">
        <v>1339</v>
      </c>
      <c r="AC5339" s="217">
        <v>45433</v>
      </c>
      <c r="AD5339" s="65">
        <v>1570</v>
      </c>
      <c r="AE5339" s="17" t="s">
        <v>74</v>
      </c>
    </row>
    <row r="5340" s="17" customFormat="1" hidden="1" spans="1:31">
      <c r="A5340" s="17" t="s">
        <v>34</v>
      </c>
      <c r="B5340" s="19">
        <v>994</v>
      </c>
      <c r="C5340" s="183">
        <v>45372</v>
      </c>
      <c r="D5340" s="22" t="s">
        <v>52</v>
      </c>
      <c r="E5340" s="17" t="s">
        <v>1113</v>
      </c>
      <c r="F5340" s="17" t="s">
        <v>54</v>
      </c>
      <c r="H5340" s="141">
        <v>1.2311</v>
      </c>
      <c r="I5340" s="141"/>
      <c r="J5340" s="17" t="s">
        <v>82</v>
      </c>
      <c r="K5340" s="91">
        <v>1100</v>
      </c>
      <c r="L5340" s="91">
        <v>80</v>
      </c>
      <c r="M5340" s="98">
        <v>2200</v>
      </c>
      <c r="N5340" s="19" t="s">
        <v>66</v>
      </c>
      <c r="O5340" s="19" t="s">
        <v>141</v>
      </c>
      <c r="P5340" s="160">
        <v>3109</v>
      </c>
      <c r="Q5340" s="19">
        <v>1614</v>
      </c>
      <c r="S5340" s="91">
        <v>855</v>
      </c>
      <c r="T5340" s="19" t="s">
        <v>42</v>
      </c>
      <c r="U5340" s="102" t="s">
        <v>1420</v>
      </c>
      <c r="V5340" s="186">
        <v>45373</v>
      </c>
      <c r="W5340" s="17" t="s">
        <v>69</v>
      </c>
      <c r="Y5340" s="68">
        <v>45383</v>
      </c>
      <c r="Z5340" s="17" t="s">
        <v>191</v>
      </c>
      <c r="AA5340" s="17" t="s">
        <v>46</v>
      </c>
      <c r="AB5340" s="17" t="s">
        <v>1342</v>
      </c>
      <c r="AC5340" s="217">
        <v>45394</v>
      </c>
      <c r="AD5340" s="65">
        <v>1555</v>
      </c>
      <c r="AE5340" s="17" t="s">
        <v>74</v>
      </c>
    </row>
    <row r="5341" s="17" customFormat="1" hidden="1" spans="1:31">
      <c r="A5341" s="17" t="s">
        <v>34</v>
      </c>
      <c r="B5341" s="19">
        <v>994</v>
      </c>
      <c r="C5341" s="183">
        <v>45372</v>
      </c>
      <c r="D5341" s="22" t="s">
        <v>52</v>
      </c>
      <c r="E5341" s="17" t="s">
        <v>1113</v>
      </c>
      <c r="F5341" s="17" t="s">
        <v>54</v>
      </c>
      <c r="H5341" s="141">
        <v>1.2311</v>
      </c>
      <c r="I5341" s="141"/>
      <c r="J5341" s="17" t="s">
        <v>82</v>
      </c>
      <c r="K5341" s="91">
        <v>1100</v>
      </c>
      <c r="L5341" s="91">
        <v>80</v>
      </c>
      <c r="M5341" s="98">
        <v>2200</v>
      </c>
      <c r="N5341" s="19" t="s">
        <v>66</v>
      </c>
      <c r="O5341" s="19" t="s">
        <v>141</v>
      </c>
      <c r="P5341" s="160"/>
      <c r="Q5341" s="19">
        <v>1615</v>
      </c>
      <c r="R5341" s="99">
        <f>+P5340-Q5340-Q5341</f>
        <v>-120</v>
      </c>
      <c r="S5341" s="91">
        <f>855+60</f>
        <v>915</v>
      </c>
      <c r="T5341" s="19" t="s">
        <v>42</v>
      </c>
      <c r="U5341" s="102" t="s">
        <v>1420</v>
      </c>
      <c r="V5341" s="186">
        <v>45373</v>
      </c>
      <c r="W5341" s="17" t="s">
        <v>69</v>
      </c>
      <c r="Y5341" s="68">
        <v>45383</v>
      </c>
      <c r="Z5341" s="17" t="s">
        <v>191</v>
      </c>
      <c r="AA5341" s="17" t="s">
        <v>46</v>
      </c>
      <c r="AB5341" s="17" t="s">
        <v>1339</v>
      </c>
      <c r="AC5341" s="217">
        <v>45433</v>
      </c>
      <c r="AD5341" s="65">
        <v>1570</v>
      </c>
      <c r="AE5341" s="17" t="s">
        <v>74</v>
      </c>
    </row>
    <row r="5342" s="17" customFormat="1" hidden="1" spans="1:31">
      <c r="A5342" s="17" t="s">
        <v>34</v>
      </c>
      <c r="B5342" s="19">
        <v>994</v>
      </c>
      <c r="C5342" s="183">
        <v>45372</v>
      </c>
      <c r="D5342" s="22" t="s">
        <v>52</v>
      </c>
      <c r="E5342" s="17" t="s">
        <v>1113</v>
      </c>
      <c r="F5342" s="17" t="s">
        <v>54</v>
      </c>
      <c r="H5342" s="141">
        <v>1.2311</v>
      </c>
      <c r="I5342" s="141"/>
      <c r="J5342" s="17" t="s">
        <v>82</v>
      </c>
      <c r="K5342" s="91">
        <v>1100</v>
      </c>
      <c r="L5342" s="91">
        <v>90</v>
      </c>
      <c r="M5342" s="98">
        <v>2200</v>
      </c>
      <c r="N5342" s="19" t="s">
        <v>66</v>
      </c>
      <c r="O5342" s="19" t="s">
        <v>141</v>
      </c>
      <c r="P5342" s="160">
        <v>3497</v>
      </c>
      <c r="Q5342" s="19">
        <v>1814</v>
      </c>
      <c r="S5342" s="91">
        <v>855</v>
      </c>
      <c r="T5342" s="19" t="s">
        <v>42</v>
      </c>
      <c r="U5342" s="102" t="s">
        <v>1420</v>
      </c>
      <c r="V5342" s="186">
        <v>45373</v>
      </c>
      <c r="W5342" s="17" t="s">
        <v>69</v>
      </c>
      <c r="Y5342" s="68">
        <v>45383</v>
      </c>
      <c r="Z5342" s="17" t="s">
        <v>191</v>
      </c>
      <c r="AA5342" s="17" t="s">
        <v>46</v>
      </c>
      <c r="AB5342" s="17" t="s">
        <v>1342</v>
      </c>
      <c r="AC5342" s="217">
        <v>45394</v>
      </c>
      <c r="AD5342" s="65">
        <v>1555</v>
      </c>
      <c r="AE5342" s="17" t="s">
        <v>74</v>
      </c>
    </row>
    <row r="5343" s="17" customFormat="1" hidden="1" spans="1:31">
      <c r="A5343" s="17" t="s">
        <v>34</v>
      </c>
      <c r="B5343" s="19">
        <v>994</v>
      </c>
      <c r="C5343" s="183">
        <v>45372</v>
      </c>
      <c r="D5343" s="22" t="s">
        <v>52</v>
      </c>
      <c r="E5343" s="17" t="s">
        <v>1113</v>
      </c>
      <c r="F5343" s="17" t="s">
        <v>54</v>
      </c>
      <c r="H5343" s="141">
        <v>1.2311</v>
      </c>
      <c r="I5343" s="141"/>
      <c r="J5343" s="17" t="s">
        <v>82</v>
      </c>
      <c r="K5343" s="91">
        <v>1100</v>
      </c>
      <c r="L5343" s="91">
        <v>90</v>
      </c>
      <c r="M5343" s="98">
        <v>2200</v>
      </c>
      <c r="N5343" s="19" t="s">
        <v>66</v>
      </c>
      <c r="O5343" s="19" t="s">
        <v>141</v>
      </c>
      <c r="P5343" s="160"/>
      <c r="Q5343" s="19">
        <v>1781</v>
      </c>
      <c r="R5343" s="99">
        <f>+P5342-Q5342-Q5343</f>
        <v>-98</v>
      </c>
      <c r="S5343" s="91">
        <v>855</v>
      </c>
      <c r="T5343" s="19" t="s">
        <v>42</v>
      </c>
      <c r="U5343" s="102" t="s">
        <v>1420</v>
      </c>
      <c r="V5343" s="186">
        <v>45373</v>
      </c>
      <c r="W5343" s="17" t="s">
        <v>69</v>
      </c>
      <c r="Y5343" s="68">
        <v>45383</v>
      </c>
      <c r="Z5343" s="17" t="s">
        <v>191</v>
      </c>
      <c r="AA5343" s="17" t="s">
        <v>46</v>
      </c>
      <c r="AB5343" s="17" t="s">
        <v>1341</v>
      </c>
      <c r="AC5343" s="217">
        <v>45400</v>
      </c>
      <c r="AD5343" s="65">
        <v>1562</v>
      </c>
      <c r="AE5343" s="17" t="s">
        <v>74</v>
      </c>
    </row>
    <row r="5344" s="17" customFormat="1" hidden="1" spans="1:31">
      <c r="A5344" s="17" t="s">
        <v>34</v>
      </c>
      <c r="B5344" s="19">
        <v>994</v>
      </c>
      <c r="C5344" s="183">
        <v>45372</v>
      </c>
      <c r="D5344" s="22" t="s">
        <v>52</v>
      </c>
      <c r="E5344" s="17" t="s">
        <v>1113</v>
      </c>
      <c r="F5344" s="17" t="s">
        <v>54</v>
      </c>
      <c r="H5344" s="141">
        <v>1.2311</v>
      </c>
      <c r="I5344" s="141"/>
      <c r="J5344" s="17" t="s">
        <v>82</v>
      </c>
      <c r="K5344" s="91">
        <v>1100</v>
      </c>
      <c r="L5344" s="91">
        <v>100</v>
      </c>
      <c r="M5344" s="98">
        <v>2200</v>
      </c>
      <c r="N5344" s="19" t="s">
        <v>66</v>
      </c>
      <c r="O5344" s="19" t="s">
        <v>141</v>
      </c>
      <c r="P5344" s="160">
        <v>3886</v>
      </c>
      <c r="Q5344" s="19">
        <v>2016</v>
      </c>
      <c r="S5344" s="91">
        <v>855</v>
      </c>
      <c r="T5344" s="19" t="s">
        <v>42</v>
      </c>
      <c r="U5344" s="102" t="s">
        <v>1420</v>
      </c>
      <c r="V5344" s="186">
        <v>45373</v>
      </c>
      <c r="W5344" s="17" t="s">
        <v>69</v>
      </c>
      <c r="Y5344" s="68">
        <v>45383</v>
      </c>
      <c r="Z5344" s="17" t="s">
        <v>191</v>
      </c>
      <c r="AA5344" s="17" t="s">
        <v>46</v>
      </c>
      <c r="AB5344" s="17" t="s">
        <v>1337</v>
      </c>
      <c r="AC5344" s="217">
        <v>45400</v>
      </c>
      <c r="AD5344" s="65">
        <v>1563</v>
      </c>
      <c r="AE5344" s="17" t="s">
        <v>74</v>
      </c>
    </row>
    <row r="5345" s="17" customFormat="1" hidden="1" spans="1:31">
      <c r="A5345" s="17" t="s">
        <v>34</v>
      </c>
      <c r="B5345" s="19">
        <v>994</v>
      </c>
      <c r="C5345" s="183">
        <v>45372</v>
      </c>
      <c r="D5345" s="22" t="s">
        <v>52</v>
      </c>
      <c r="E5345" s="17" t="s">
        <v>1113</v>
      </c>
      <c r="F5345" s="17" t="s">
        <v>54</v>
      </c>
      <c r="H5345" s="141">
        <v>1.2311</v>
      </c>
      <c r="I5345" s="141"/>
      <c r="J5345" s="17" t="s">
        <v>82</v>
      </c>
      <c r="K5345" s="91">
        <v>1100</v>
      </c>
      <c r="L5345" s="91">
        <v>100</v>
      </c>
      <c r="M5345" s="98">
        <v>2200</v>
      </c>
      <c r="N5345" s="19" t="s">
        <v>66</v>
      </c>
      <c r="O5345" s="19" t="s">
        <v>141</v>
      </c>
      <c r="P5345" s="160"/>
      <c r="Q5345" s="146">
        <v>2004</v>
      </c>
      <c r="R5345" s="99">
        <f>+P5344-Q5344-Q5345</f>
        <v>-134</v>
      </c>
      <c r="S5345" s="91">
        <v>855</v>
      </c>
      <c r="T5345" s="19" t="s">
        <v>42</v>
      </c>
      <c r="U5345" s="102" t="s">
        <v>1420</v>
      </c>
      <c r="V5345" s="186">
        <v>45373</v>
      </c>
      <c r="W5345" s="17" t="s">
        <v>69</v>
      </c>
      <c r="Y5345" s="68">
        <v>45383</v>
      </c>
      <c r="Z5345" s="17" t="s">
        <v>191</v>
      </c>
      <c r="AA5345" s="17" t="s">
        <v>46</v>
      </c>
      <c r="AB5345" s="17" t="s">
        <v>1340</v>
      </c>
      <c r="AC5345" s="217">
        <v>45498</v>
      </c>
      <c r="AD5345" s="65">
        <v>1603</v>
      </c>
      <c r="AE5345" s="17" t="s">
        <v>74</v>
      </c>
    </row>
    <row r="5346" s="17" customFormat="1" hidden="1" spans="1:31">
      <c r="A5346" s="17" t="s">
        <v>34</v>
      </c>
      <c r="B5346" s="19">
        <v>994</v>
      </c>
      <c r="C5346" s="183">
        <v>45372</v>
      </c>
      <c r="D5346" s="22" t="s">
        <v>52</v>
      </c>
      <c r="E5346" s="17" t="s">
        <v>1113</v>
      </c>
      <c r="F5346" s="17" t="s">
        <v>54</v>
      </c>
      <c r="H5346" s="141">
        <v>1.2311</v>
      </c>
      <c r="I5346" s="141"/>
      <c r="J5346" s="17" t="s">
        <v>82</v>
      </c>
      <c r="K5346" s="91">
        <v>1100</v>
      </c>
      <c r="L5346" s="91">
        <v>105</v>
      </c>
      <c r="M5346" s="98">
        <v>2200</v>
      </c>
      <c r="N5346" s="19" t="s">
        <v>66</v>
      </c>
      <c r="O5346" s="19" t="s">
        <v>141</v>
      </c>
      <c r="P5346" s="160">
        <v>4080</v>
      </c>
      <c r="Q5346" s="19">
        <v>2096</v>
      </c>
      <c r="S5346" s="91">
        <v>855</v>
      </c>
      <c r="T5346" s="19" t="s">
        <v>42</v>
      </c>
      <c r="U5346" s="102" t="s">
        <v>1420</v>
      </c>
      <c r="V5346" s="186">
        <v>45373</v>
      </c>
      <c r="W5346" s="17" t="s">
        <v>69</v>
      </c>
      <c r="Y5346" s="68">
        <v>45383</v>
      </c>
      <c r="Z5346" s="17" t="s">
        <v>191</v>
      </c>
      <c r="AA5346" s="17" t="s">
        <v>46</v>
      </c>
      <c r="AB5346" s="17" t="s">
        <v>1338</v>
      </c>
      <c r="AC5346" s="217">
        <v>45395</v>
      </c>
      <c r="AD5346" s="65">
        <v>1557</v>
      </c>
      <c r="AE5346" s="17" t="s">
        <v>74</v>
      </c>
    </row>
    <row r="5347" s="17" customFormat="1" hidden="1" spans="1:31">
      <c r="A5347" s="17" t="s">
        <v>34</v>
      </c>
      <c r="B5347" s="19">
        <v>994</v>
      </c>
      <c r="C5347" s="183">
        <v>45372</v>
      </c>
      <c r="D5347" s="22" t="s">
        <v>52</v>
      </c>
      <c r="E5347" s="17" t="s">
        <v>1113</v>
      </c>
      <c r="F5347" s="17" t="s">
        <v>54</v>
      </c>
      <c r="H5347" s="141">
        <v>1.2311</v>
      </c>
      <c r="I5347" s="141"/>
      <c r="J5347" s="17" t="s">
        <v>82</v>
      </c>
      <c r="K5347" s="91">
        <v>1100</v>
      </c>
      <c r="L5347" s="91">
        <v>105</v>
      </c>
      <c r="M5347" s="98">
        <v>2200</v>
      </c>
      <c r="N5347" s="19" t="s">
        <v>66</v>
      </c>
      <c r="O5347" s="19" t="s">
        <v>141</v>
      </c>
      <c r="P5347" s="160"/>
      <c r="Q5347" s="19">
        <v>2071</v>
      </c>
      <c r="R5347" s="99">
        <f>+P5346-Q5346-Q5347</f>
        <v>-87</v>
      </c>
      <c r="S5347" s="91">
        <v>855</v>
      </c>
      <c r="T5347" s="19" t="s">
        <v>42</v>
      </c>
      <c r="U5347" s="102" t="s">
        <v>1420</v>
      </c>
      <c r="V5347" s="186">
        <v>45373</v>
      </c>
      <c r="W5347" s="17" t="s">
        <v>69</v>
      </c>
      <c r="Y5347" s="68">
        <v>45383</v>
      </c>
      <c r="Z5347" s="17" t="s">
        <v>191</v>
      </c>
      <c r="AA5347" s="17" t="s">
        <v>46</v>
      </c>
      <c r="AB5347" s="17" t="s">
        <v>1341</v>
      </c>
      <c r="AC5347" s="217">
        <v>45400</v>
      </c>
      <c r="AD5347" s="65">
        <v>1562</v>
      </c>
      <c r="AE5347" s="17" t="s">
        <v>74</v>
      </c>
    </row>
    <row r="5348" s="17" customFormat="1" hidden="1" spans="1:31">
      <c r="A5348" s="17" t="s">
        <v>34</v>
      </c>
      <c r="B5348" s="19">
        <v>994</v>
      </c>
      <c r="C5348" s="183">
        <v>45372</v>
      </c>
      <c r="D5348" s="22" t="s">
        <v>52</v>
      </c>
      <c r="E5348" s="17" t="s">
        <v>1113</v>
      </c>
      <c r="F5348" s="17" t="s">
        <v>54</v>
      </c>
      <c r="H5348" s="141">
        <v>1.2311</v>
      </c>
      <c r="I5348" s="141"/>
      <c r="J5348" s="17" t="s">
        <v>82</v>
      </c>
      <c r="K5348" s="91">
        <v>1100</v>
      </c>
      <c r="L5348" s="91">
        <v>110</v>
      </c>
      <c r="M5348" s="98">
        <v>2200</v>
      </c>
      <c r="N5348" s="19" t="s">
        <v>66</v>
      </c>
      <c r="O5348" s="19" t="s">
        <v>141</v>
      </c>
      <c r="P5348" s="160">
        <v>4274</v>
      </c>
      <c r="Q5348" s="19">
        <f>2205+2208</f>
        <v>4413</v>
      </c>
      <c r="R5348" s="19">
        <f>+P5348-Q5348</f>
        <v>-139</v>
      </c>
      <c r="S5348" s="91">
        <v>855</v>
      </c>
      <c r="T5348" s="19" t="s">
        <v>42</v>
      </c>
      <c r="U5348" s="102" t="s">
        <v>1420</v>
      </c>
      <c r="V5348" s="186">
        <v>45373</v>
      </c>
      <c r="W5348" s="17" t="s">
        <v>69</v>
      </c>
      <c r="Y5348" s="68">
        <v>45383</v>
      </c>
      <c r="Z5348" s="17" t="s">
        <v>191</v>
      </c>
      <c r="AA5348" s="17" t="s">
        <v>46</v>
      </c>
      <c r="AB5348" s="17" t="s">
        <v>1350</v>
      </c>
      <c r="AC5348" s="217">
        <v>45399</v>
      </c>
      <c r="AD5348" s="65">
        <v>1560</v>
      </c>
      <c r="AE5348" s="17" t="s">
        <v>74</v>
      </c>
    </row>
    <row r="5349" s="17" customFormat="1" hidden="1" spans="1:31">
      <c r="A5349" s="17" t="s">
        <v>34</v>
      </c>
      <c r="B5349" s="19">
        <v>994</v>
      </c>
      <c r="C5349" s="183">
        <v>45372</v>
      </c>
      <c r="D5349" s="22" t="s">
        <v>52</v>
      </c>
      <c r="E5349" s="17" t="s">
        <v>1113</v>
      </c>
      <c r="F5349" s="17" t="s">
        <v>54</v>
      </c>
      <c r="H5349" s="141">
        <v>1.2311</v>
      </c>
      <c r="I5349" s="141"/>
      <c r="J5349" s="17" t="s">
        <v>82</v>
      </c>
      <c r="K5349" s="91">
        <v>1100</v>
      </c>
      <c r="L5349" s="91">
        <v>120</v>
      </c>
      <c r="M5349" s="98">
        <v>2200</v>
      </c>
      <c r="N5349" s="19" t="s">
        <v>66</v>
      </c>
      <c r="O5349" s="19" t="s">
        <v>141</v>
      </c>
      <c r="P5349" s="160">
        <v>4663</v>
      </c>
      <c r="Q5349" s="19">
        <v>2390</v>
      </c>
      <c r="S5349" s="91">
        <v>855</v>
      </c>
      <c r="T5349" s="19" t="s">
        <v>42</v>
      </c>
      <c r="U5349" s="102" t="s">
        <v>1420</v>
      </c>
      <c r="V5349" s="186">
        <v>45373</v>
      </c>
      <c r="W5349" s="17" t="s">
        <v>69</v>
      </c>
      <c r="Y5349" s="68">
        <v>45383</v>
      </c>
      <c r="Z5349" s="17" t="s">
        <v>191</v>
      </c>
      <c r="AA5349" s="17" t="s">
        <v>46</v>
      </c>
      <c r="AB5349" s="17" t="s">
        <v>1338</v>
      </c>
      <c r="AC5349" s="217">
        <v>45395</v>
      </c>
      <c r="AD5349" s="65">
        <v>1557</v>
      </c>
      <c r="AE5349" s="17" t="s">
        <v>74</v>
      </c>
    </row>
    <row r="5350" s="17" customFormat="1" hidden="1" spans="1:31">
      <c r="A5350" s="17" t="s">
        <v>34</v>
      </c>
      <c r="B5350" s="19">
        <v>994</v>
      </c>
      <c r="C5350" s="183">
        <v>45372</v>
      </c>
      <c r="D5350" s="22" t="s">
        <v>52</v>
      </c>
      <c r="E5350" s="17" t="s">
        <v>1113</v>
      </c>
      <c r="F5350" s="17" t="s">
        <v>54</v>
      </c>
      <c r="H5350" s="141">
        <v>1.2311</v>
      </c>
      <c r="I5350" s="141"/>
      <c r="J5350" s="17" t="s">
        <v>82</v>
      </c>
      <c r="K5350" s="91">
        <v>1100</v>
      </c>
      <c r="L5350" s="91">
        <v>120</v>
      </c>
      <c r="M5350" s="98">
        <v>2200</v>
      </c>
      <c r="N5350" s="19" t="s">
        <v>66</v>
      </c>
      <c r="O5350" s="19" t="s">
        <v>141</v>
      </c>
      <c r="P5350" s="160"/>
      <c r="Q5350" s="19">
        <v>2378</v>
      </c>
      <c r="R5350" s="99">
        <f>+P5349-Q5349-Q5350</f>
        <v>-105</v>
      </c>
      <c r="S5350" s="91">
        <v>855</v>
      </c>
      <c r="T5350" s="19" t="s">
        <v>42</v>
      </c>
      <c r="U5350" s="102" t="s">
        <v>1420</v>
      </c>
      <c r="V5350" s="186">
        <v>45373</v>
      </c>
      <c r="W5350" s="17" t="s">
        <v>69</v>
      </c>
      <c r="Y5350" s="68">
        <v>45383</v>
      </c>
      <c r="Z5350" s="17" t="s">
        <v>191</v>
      </c>
      <c r="AA5350" s="17" t="s">
        <v>46</v>
      </c>
      <c r="AB5350" s="17" t="s">
        <v>1350</v>
      </c>
      <c r="AC5350" s="217">
        <v>45399</v>
      </c>
      <c r="AD5350" s="65">
        <v>1560</v>
      </c>
      <c r="AE5350" s="17" t="s">
        <v>74</v>
      </c>
    </row>
    <row r="5351" s="17" customFormat="1" hidden="1" spans="1:31">
      <c r="A5351" s="17" t="s">
        <v>34</v>
      </c>
      <c r="B5351" s="19">
        <v>994</v>
      </c>
      <c r="C5351" s="183">
        <v>45372</v>
      </c>
      <c r="D5351" s="22" t="s">
        <v>52</v>
      </c>
      <c r="E5351" s="17" t="s">
        <v>1113</v>
      </c>
      <c r="F5351" s="17" t="s">
        <v>54</v>
      </c>
      <c r="H5351" s="141">
        <v>1.2311</v>
      </c>
      <c r="I5351" s="141"/>
      <c r="J5351" s="17" t="s">
        <v>82</v>
      </c>
      <c r="K5351" s="19">
        <v>205</v>
      </c>
      <c r="L5351" s="19">
        <v>20</v>
      </c>
      <c r="M5351" s="98">
        <v>2200</v>
      </c>
      <c r="N5351" s="19" t="s">
        <v>66</v>
      </c>
      <c r="O5351" s="19" t="s">
        <v>141</v>
      </c>
      <c r="P5351" s="19">
        <v>507</v>
      </c>
      <c r="Q5351" s="19">
        <v>165</v>
      </c>
      <c r="S5351" s="91">
        <v>865</v>
      </c>
      <c r="T5351" s="19" t="s">
        <v>42</v>
      </c>
      <c r="U5351" s="102" t="s">
        <v>1420</v>
      </c>
      <c r="V5351" s="186">
        <v>45373</v>
      </c>
      <c r="W5351" s="17" t="s">
        <v>69</v>
      </c>
      <c r="Y5351" s="68">
        <v>45383</v>
      </c>
      <c r="Z5351" s="17" t="s">
        <v>191</v>
      </c>
      <c r="AA5351" s="17" t="s">
        <v>46</v>
      </c>
      <c r="AB5351" s="17" t="s">
        <v>1338</v>
      </c>
      <c r="AC5351" s="217">
        <v>45395</v>
      </c>
      <c r="AD5351" s="65">
        <v>1557</v>
      </c>
      <c r="AE5351" s="17" t="s">
        <v>74</v>
      </c>
    </row>
    <row r="5352" s="17" customFormat="1" hidden="1" spans="1:31">
      <c r="A5352" s="17" t="s">
        <v>34</v>
      </c>
      <c r="B5352" s="19">
        <v>994</v>
      </c>
      <c r="C5352" s="183">
        <v>45372</v>
      </c>
      <c r="D5352" s="22" t="s">
        <v>52</v>
      </c>
      <c r="E5352" s="17" t="s">
        <v>1113</v>
      </c>
      <c r="F5352" s="17" t="s">
        <v>54</v>
      </c>
      <c r="H5352" s="141">
        <v>1.2311</v>
      </c>
      <c r="I5352" s="141"/>
      <c r="J5352" s="17" t="s">
        <v>82</v>
      </c>
      <c r="K5352" s="19">
        <v>205</v>
      </c>
      <c r="L5352" s="19">
        <v>20</v>
      </c>
      <c r="M5352" s="98">
        <v>2200</v>
      </c>
      <c r="N5352" s="19" t="s">
        <v>66</v>
      </c>
      <c r="O5352" s="19" t="s">
        <v>141</v>
      </c>
      <c r="P5352" s="19"/>
      <c r="Q5352" s="19">
        <v>326</v>
      </c>
      <c r="S5352" s="91">
        <f>865+60</f>
        <v>925</v>
      </c>
      <c r="T5352" s="19" t="s">
        <v>42</v>
      </c>
      <c r="U5352" s="102" t="s">
        <v>1420</v>
      </c>
      <c r="V5352" s="186">
        <v>45373</v>
      </c>
      <c r="W5352" s="17" t="s">
        <v>69</v>
      </c>
      <c r="Y5352" s="68">
        <v>45383</v>
      </c>
      <c r="Z5352" s="17" t="s">
        <v>191</v>
      </c>
      <c r="AA5352" s="17" t="s">
        <v>46</v>
      </c>
      <c r="AB5352" s="17" t="s">
        <v>1339</v>
      </c>
      <c r="AC5352" s="217">
        <v>45433</v>
      </c>
      <c r="AD5352" s="65">
        <v>1570</v>
      </c>
      <c r="AE5352" s="17" t="s">
        <v>74</v>
      </c>
    </row>
    <row r="5353" s="17" customFormat="1" hidden="1" spans="1:31">
      <c r="A5353" s="17" t="s">
        <v>34</v>
      </c>
      <c r="B5353" s="19">
        <v>994</v>
      </c>
      <c r="C5353" s="183">
        <v>45372</v>
      </c>
      <c r="D5353" s="22" t="s">
        <v>52</v>
      </c>
      <c r="E5353" s="17" t="s">
        <v>1113</v>
      </c>
      <c r="F5353" s="17" t="s">
        <v>54</v>
      </c>
      <c r="H5353" s="141">
        <v>1.2311</v>
      </c>
      <c r="I5353" s="141"/>
      <c r="J5353" s="17" t="s">
        <v>82</v>
      </c>
      <c r="K5353" s="19">
        <v>205</v>
      </c>
      <c r="L5353" s="19">
        <v>20</v>
      </c>
      <c r="M5353" s="98">
        <v>2200</v>
      </c>
      <c r="N5353" s="19" t="s">
        <v>66</v>
      </c>
      <c r="O5353" s="19" t="s">
        <v>141</v>
      </c>
      <c r="P5353" s="19"/>
      <c r="Q5353" s="19">
        <v>83</v>
      </c>
      <c r="R5353" s="19">
        <f>+P5351-Q5351-Q5352-Q5353</f>
        <v>-67</v>
      </c>
      <c r="S5353" s="322">
        <f>865-70+80-20</f>
        <v>855</v>
      </c>
      <c r="T5353" s="19" t="s">
        <v>42</v>
      </c>
      <c r="U5353" s="102" t="s">
        <v>1420</v>
      </c>
      <c r="V5353" s="186">
        <v>45373</v>
      </c>
      <c r="W5353" s="17" t="s">
        <v>69</v>
      </c>
      <c r="Y5353" s="68">
        <v>45383</v>
      </c>
      <c r="Z5353" s="17" t="s">
        <v>191</v>
      </c>
      <c r="AA5353" s="17" t="s">
        <v>46</v>
      </c>
      <c r="AB5353" s="17" t="s">
        <v>1343</v>
      </c>
      <c r="AC5353" s="217">
        <v>45433</v>
      </c>
      <c r="AD5353" s="65">
        <v>1575</v>
      </c>
      <c r="AE5353" s="17" t="s">
        <v>74</v>
      </c>
    </row>
    <row r="5354" s="17" customFormat="1" ht="15.6" hidden="1" spans="1:31">
      <c r="A5354" s="17" t="s">
        <v>34</v>
      </c>
      <c r="B5354" s="19">
        <v>994</v>
      </c>
      <c r="C5354" s="183">
        <v>45372</v>
      </c>
      <c r="D5354" s="22" t="s">
        <v>52</v>
      </c>
      <c r="E5354" s="17" t="s">
        <v>1113</v>
      </c>
      <c r="F5354" s="17" t="s">
        <v>54</v>
      </c>
      <c r="H5354" s="141">
        <v>1.2311</v>
      </c>
      <c r="I5354" s="141"/>
      <c r="J5354" s="17" t="s">
        <v>82</v>
      </c>
      <c r="K5354" s="19">
        <v>255</v>
      </c>
      <c r="L5354" s="19">
        <v>20</v>
      </c>
      <c r="M5354" s="98">
        <v>2200</v>
      </c>
      <c r="N5354" s="19" t="s">
        <v>66</v>
      </c>
      <c r="O5354" s="19" t="s">
        <v>141</v>
      </c>
      <c r="P5354" s="321">
        <v>540</v>
      </c>
      <c r="Q5354" s="19">
        <v>101</v>
      </c>
      <c r="S5354" s="91">
        <v>865</v>
      </c>
      <c r="T5354" s="19" t="s">
        <v>42</v>
      </c>
      <c r="U5354" s="102" t="s">
        <v>1420</v>
      </c>
      <c r="V5354" s="186">
        <v>45373</v>
      </c>
      <c r="W5354" s="17" t="s">
        <v>69</v>
      </c>
      <c r="Y5354" s="68">
        <v>45383</v>
      </c>
      <c r="Z5354" s="17" t="s">
        <v>191</v>
      </c>
      <c r="AA5354" s="17" t="s">
        <v>46</v>
      </c>
      <c r="AB5354" s="17" t="s">
        <v>1338</v>
      </c>
      <c r="AC5354" s="217">
        <v>45395</v>
      </c>
      <c r="AD5354" s="65">
        <v>1557</v>
      </c>
      <c r="AE5354" s="17" t="s">
        <v>74</v>
      </c>
    </row>
    <row r="5355" s="17" customFormat="1" ht="15.6" hidden="1" spans="1:31">
      <c r="A5355" s="17" t="s">
        <v>34</v>
      </c>
      <c r="B5355" s="19">
        <v>994</v>
      </c>
      <c r="C5355" s="183">
        <v>45372</v>
      </c>
      <c r="D5355" s="22" t="s">
        <v>52</v>
      </c>
      <c r="E5355" s="17" t="s">
        <v>1113</v>
      </c>
      <c r="F5355" s="17" t="s">
        <v>54</v>
      </c>
      <c r="H5355" s="141">
        <v>1.2311</v>
      </c>
      <c r="I5355" s="141"/>
      <c r="J5355" s="17" t="s">
        <v>82</v>
      </c>
      <c r="K5355" s="19">
        <v>255</v>
      </c>
      <c r="L5355" s="19">
        <v>20</v>
      </c>
      <c r="M5355" s="98">
        <v>2200</v>
      </c>
      <c r="N5355" s="19" t="s">
        <v>66</v>
      </c>
      <c r="O5355" s="19" t="s">
        <v>141</v>
      </c>
      <c r="P5355" s="321"/>
      <c r="Q5355" s="19">
        <f>202+298</f>
        <v>500</v>
      </c>
      <c r="R5355" s="99">
        <f>+P5354-Q5354-Q5355</f>
        <v>-61</v>
      </c>
      <c r="S5355" s="91">
        <v>865</v>
      </c>
      <c r="T5355" s="19" t="s">
        <v>42</v>
      </c>
      <c r="U5355" s="102" t="s">
        <v>1420</v>
      </c>
      <c r="V5355" s="186">
        <v>45373</v>
      </c>
      <c r="W5355" s="17" t="s">
        <v>69</v>
      </c>
      <c r="Y5355" s="68">
        <v>45383</v>
      </c>
      <c r="Z5355" s="17" t="s">
        <v>191</v>
      </c>
      <c r="AA5355" s="17" t="s">
        <v>46</v>
      </c>
      <c r="AB5355" s="17" t="s">
        <v>1341</v>
      </c>
      <c r="AC5355" s="217">
        <v>45400</v>
      </c>
      <c r="AD5355" s="65">
        <v>1562</v>
      </c>
      <c r="AE5355" s="17" t="s">
        <v>74</v>
      </c>
    </row>
    <row r="5356" s="17" customFormat="1" ht="15.6" hidden="1" spans="1:31">
      <c r="A5356" s="17" t="s">
        <v>34</v>
      </c>
      <c r="B5356" s="19">
        <v>994</v>
      </c>
      <c r="C5356" s="183">
        <v>45372</v>
      </c>
      <c r="D5356" s="22" t="s">
        <v>52</v>
      </c>
      <c r="E5356" s="17" t="s">
        <v>1113</v>
      </c>
      <c r="F5356" s="17" t="s">
        <v>54</v>
      </c>
      <c r="H5356" s="141">
        <v>1.2311</v>
      </c>
      <c r="I5356" s="141"/>
      <c r="J5356" s="17" t="s">
        <v>82</v>
      </c>
      <c r="K5356" s="19">
        <v>305</v>
      </c>
      <c r="L5356" s="19">
        <v>20</v>
      </c>
      <c r="M5356" s="98">
        <v>2200</v>
      </c>
      <c r="N5356" s="19" t="s">
        <v>66</v>
      </c>
      <c r="O5356" s="19" t="s">
        <v>141</v>
      </c>
      <c r="P5356" s="321">
        <v>539</v>
      </c>
      <c r="Q5356" s="19">
        <v>121</v>
      </c>
      <c r="S5356" s="91">
        <v>865</v>
      </c>
      <c r="T5356" s="19" t="s">
        <v>42</v>
      </c>
      <c r="U5356" s="102" t="s">
        <v>1420</v>
      </c>
      <c r="V5356" s="186">
        <v>45373</v>
      </c>
      <c r="W5356" s="17" t="s">
        <v>69</v>
      </c>
      <c r="Y5356" s="68">
        <v>45383</v>
      </c>
      <c r="Z5356" s="17" t="s">
        <v>191</v>
      </c>
      <c r="AA5356" s="17" t="s">
        <v>46</v>
      </c>
      <c r="AB5356" s="17" t="s">
        <v>1338</v>
      </c>
      <c r="AC5356" s="217">
        <v>45395</v>
      </c>
      <c r="AD5356" s="65">
        <v>1557</v>
      </c>
      <c r="AE5356" s="17" t="s">
        <v>74</v>
      </c>
    </row>
    <row r="5357" s="17" customFormat="1" ht="15.6" hidden="1" spans="1:31">
      <c r="A5357" s="17" t="s">
        <v>34</v>
      </c>
      <c r="B5357" s="19">
        <v>994</v>
      </c>
      <c r="C5357" s="183">
        <v>45372</v>
      </c>
      <c r="D5357" s="22" t="s">
        <v>52</v>
      </c>
      <c r="E5357" s="17" t="s">
        <v>1113</v>
      </c>
      <c r="F5357" s="17" t="s">
        <v>54</v>
      </c>
      <c r="H5357" s="141">
        <v>1.2311</v>
      </c>
      <c r="I5357" s="141"/>
      <c r="J5357" s="17" t="s">
        <v>82</v>
      </c>
      <c r="K5357" s="19">
        <v>305</v>
      </c>
      <c r="L5357" s="19">
        <v>20</v>
      </c>
      <c r="M5357" s="98">
        <v>2200</v>
      </c>
      <c r="N5357" s="19" t="s">
        <v>66</v>
      </c>
      <c r="O5357" s="19" t="s">
        <v>141</v>
      </c>
      <c r="P5357" s="321"/>
      <c r="Q5357" s="19">
        <v>358</v>
      </c>
      <c r="S5357" s="91">
        <v>865</v>
      </c>
      <c r="T5357" s="19" t="s">
        <v>42</v>
      </c>
      <c r="U5357" s="102" t="s">
        <v>1420</v>
      </c>
      <c r="V5357" s="186">
        <v>45373</v>
      </c>
      <c r="W5357" s="17" t="s">
        <v>69</v>
      </c>
      <c r="Y5357" s="68">
        <v>45383</v>
      </c>
      <c r="Z5357" s="17" t="s">
        <v>191</v>
      </c>
      <c r="AA5357" s="17" t="s">
        <v>46</v>
      </c>
      <c r="AB5357" s="17" t="s">
        <v>1341</v>
      </c>
      <c r="AC5357" s="217">
        <v>45400</v>
      </c>
      <c r="AD5357" s="65">
        <v>1562</v>
      </c>
      <c r="AE5357" s="17" t="s">
        <v>74</v>
      </c>
    </row>
    <row r="5358" s="17" customFormat="1" ht="15.6" hidden="1" spans="1:31">
      <c r="A5358" s="17" t="s">
        <v>34</v>
      </c>
      <c r="B5358" s="19">
        <v>994</v>
      </c>
      <c r="C5358" s="183">
        <v>45372</v>
      </c>
      <c r="D5358" s="22" t="s">
        <v>52</v>
      </c>
      <c r="E5358" s="17" t="s">
        <v>1113</v>
      </c>
      <c r="F5358" s="17" t="s">
        <v>54</v>
      </c>
      <c r="H5358" s="141">
        <v>1.2311</v>
      </c>
      <c r="I5358" s="141"/>
      <c r="J5358" s="17" t="s">
        <v>82</v>
      </c>
      <c r="K5358" s="19">
        <v>305</v>
      </c>
      <c r="L5358" s="19">
        <v>20</v>
      </c>
      <c r="M5358" s="98">
        <v>2200</v>
      </c>
      <c r="N5358" s="19" t="s">
        <v>66</v>
      </c>
      <c r="O5358" s="19" t="s">
        <v>141</v>
      </c>
      <c r="P5358" s="321"/>
      <c r="Q5358" s="19">
        <v>121</v>
      </c>
      <c r="R5358" s="99">
        <f>+P5356-Q5356-Q5357-Q5358</f>
        <v>-61</v>
      </c>
      <c r="S5358" s="322">
        <f>865+40</f>
        <v>905</v>
      </c>
      <c r="T5358" s="19" t="s">
        <v>42</v>
      </c>
      <c r="U5358" s="102" t="s">
        <v>1420</v>
      </c>
      <c r="V5358" s="186">
        <v>45373</v>
      </c>
      <c r="W5358" s="17" t="s">
        <v>69</v>
      </c>
      <c r="Y5358" s="68">
        <v>45383</v>
      </c>
      <c r="Z5358" s="17" t="s">
        <v>191</v>
      </c>
      <c r="AA5358" s="17" t="s">
        <v>46</v>
      </c>
      <c r="AB5358" s="17" t="s">
        <v>1343</v>
      </c>
      <c r="AC5358" s="217">
        <v>45433</v>
      </c>
      <c r="AD5358" s="65">
        <v>1575</v>
      </c>
      <c r="AE5358" s="17" t="s">
        <v>74</v>
      </c>
    </row>
    <row r="5359" s="17" customFormat="1" ht="15.6" hidden="1" spans="1:31">
      <c r="A5359" s="17" t="s">
        <v>34</v>
      </c>
      <c r="B5359" s="19">
        <v>994</v>
      </c>
      <c r="C5359" s="183">
        <v>45372</v>
      </c>
      <c r="D5359" s="22" t="s">
        <v>52</v>
      </c>
      <c r="E5359" s="17" t="s">
        <v>1113</v>
      </c>
      <c r="F5359" s="17" t="s">
        <v>54</v>
      </c>
      <c r="H5359" s="141">
        <v>1.2311</v>
      </c>
      <c r="I5359" s="141"/>
      <c r="J5359" s="17" t="s">
        <v>82</v>
      </c>
      <c r="K5359" s="19">
        <v>355</v>
      </c>
      <c r="L5359" s="19">
        <v>20</v>
      </c>
      <c r="M5359" s="98">
        <v>2200</v>
      </c>
      <c r="N5359" s="19" t="s">
        <v>66</v>
      </c>
      <c r="O5359" s="19" t="s">
        <v>141</v>
      </c>
      <c r="P5359" s="321">
        <v>502</v>
      </c>
      <c r="Q5359" s="19">
        <v>275</v>
      </c>
      <c r="S5359" s="91">
        <v>865</v>
      </c>
      <c r="T5359" s="19" t="s">
        <v>42</v>
      </c>
      <c r="U5359" s="102" t="s">
        <v>1420</v>
      </c>
      <c r="V5359" s="186">
        <v>45373</v>
      </c>
      <c r="W5359" s="17" t="s">
        <v>69</v>
      </c>
      <c r="Y5359" s="68">
        <v>45383</v>
      </c>
      <c r="Z5359" s="17" t="s">
        <v>191</v>
      </c>
      <c r="AA5359" s="17" t="s">
        <v>46</v>
      </c>
      <c r="AB5359" s="17" t="s">
        <v>1338</v>
      </c>
      <c r="AC5359" s="217">
        <v>45395</v>
      </c>
      <c r="AD5359" s="65">
        <v>1557</v>
      </c>
      <c r="AE5359" s="17" t="s">
        <v>74</v>
      </c>
    </row>
    <row r="5360" s="17" customFormat="1" ht="15.6" hidden="1" spans="1:31">
      <c r="A5360" s="17" t="s">
        <v>34</v>
      </c>
      <c r="B5360" s="19">
        <v>994</v>
      </c>
      <c r="C5360" s="183">
        <v>45372</v>
      </c>
      <c r="D5360" s="22" t="s">
        <v>52</v>
      </c>
      <c r="E5360" s="17" t="s">
        <v>1113</v>
      </c>
      <c r="F5360" s="17" t="s">
        <v>54</v>
      </c>
      <c r="H5360" s="141">
        <v>1.2311</v>
      </c>
      <c r="I5360" s="141"/>
      <c r="J5360" s="17" t="s">
        <v>82</v>
      </c>
      <c r="K5360" s="19">
        <v>355</v>
      </c>
      <c r="L5360" s="19">
        <v>20</v>
      </c>
      <c r="M5360" s="98">
        <v>2200</v>
      </c>
      <c r="N5360" s="19" t="s">
        <v>66</v>
      </c>
      <c r="O5360" s="19" t="s">
        <v>141</v>
      </c>
      <c r="P5360" s="321"/>
      <c r="Q5360" s="19">
        <v>138</v>
      </c>
      <c r="S5360" s="91">
        <v>865</v>
      </c>
      <c r="T5360" s="19" t="s">
        <v>42</v>
      </c>
      <c r="U5360" s="102" t="s">
        <v>1420</v>
      </c>
      <c r="V5360" s="186">
        <v>45373</v>
      </c>
      <c r="W5360" s="17" t="s">
        <v>69</v>
      </c>
      <c r="Y5360" s="68">
        <v>45383</v>
      </c>
      <c r="Z5360" s="17" t="s">
        <v>191</v>
      </c>
      <c r="AA5360" s="17" t="s">
        <v>46</v>
      </c>
      <c r="AB5360" s="17" t="s">
        <v>1341</v>
      </c>
      <c r="AC5360" s="217">
        <v>45400</v>
      </c>
      <c r="AD5360" s="65">
        <v>1562</v>
      </c>
      <c r="AE5360" s="17" t="s">
        <v>74</v>
      </c>
    </row>
    <row r="5361" s="17" customFormat="1" ht="15.6" hidden="1" spans="1:31">
      <c r="A5361" s="17" t="s">
        <v>34</v>
      </c>
      <c r="B5361" s="19">
        <v>994</v>
      </c>
      <c r="C5361" s="183">
        <v>45372</v>
      </c>
      <c r="D5361" s="22" t="s">
        <v>52</v>
      </c>
      <c r="E5361" s="17" t="s">
        <v>1113</v>
      </c>
      <c r="F5361" s="17" t="s">
        <v>54</v>
      </c>
      <c r="H5361" s="141">
        <v>1.2311</v>
      </c>
      <c r="I5361" s="141"/>
      <c r="J5361" s="17" t="s">
        <v>82</v>
      </c>
      <c r="K5361" s="19">
        <v>355</v>
      </c>
      <c r="L5361" s="19">
        <v>20</v>
      </c>
      <c r="M5361" s="98">
        <v>2200</v>
      </c>
      <c r="N5361" s="19" t="s">
        <v>66</v>
      </c>
      <c r="O5361" s="19" t="s">
        <v>141</v>
      </c>
      <c r="P5361" s="321"/>
      <c r="Q5361" s="19">
        <v>139</v>
      </c>
      <c r="R5361" s="99">
        <f>+P5359-Q5359-Q5360-Q5361</f>
        <v>-50</v>
      </c>
      <c r="S5361" s="91">
        <f>865+60</f>
        <v>925</v>
      </c>
      <c r="T5361" s="19" t="s">
        <v>42</v>
      </c>
      <c r="U5361" s="102" t="s">
        <v>1420</v>
      </c>
      <c r="V5361" s="186">
        <v>45373</v>
      </c>
      <c r="W5361" s="17" t="s">
        <v>69</v>
      </c>
      <c r="Y5361" s="68">
        <v>45383</v>
      </c>
      <c r="Z5361" s="17" t="s">
        <v>191</v>
      </c>
      <c r="AA5361" s="17" t="s">
        <v>46</v>
      </c>
      <c r="AB5361" s="17" t="s">
        <v>1339</v>
      </c>
      <c r="AC5361" s="217">
        <v>45433</v>
      </c>
      <c r="AD5361" s="65">
        <v>1570</v>
      </c>
      <c r="AE5361" s="17" t="s">
        <v>74</v>
      </c>
    </row>
    <row r="5362" s="17" customFormat="1" ht="15.6" hidden="1" spans="1:31">
      <c r="A5362" s="17" t="s">
        <v>34</v>
      </c>
      <c r="B5362" s="19">
        <v>994</v>
      </c>
      <c r="C5362" s="183">
        <v>45372</v>
      </c>
      <c r="D5362" s="22" t="s">
        <v>52</v>
      </c>
      <c r="E5362" s="17" t="s">
        <v>1113</v>
      </c>
      <c r="F5362" s="17" t="s">
        <v>54</v>
      </c>
      <c r="H5362" s="141">
        <v>1.2311</v>
      </c>
      <c r="I5362" s="141"/>
      <c r="J5362" s="17" t="s">
        <v>82</v>
      </c>
      <c r="K5362" s="19">
        <v>405</v>
      </c>
      <c r="L5362" s="19">
        <v>20</v>
      </c>
      <c r="M5362" s="98">
        <v>2200</v>
      </c>
      <c r="N5362" s="19" t="s">
        <v>66</v>
      </c>
      <c r="O5362" s="19" t="s">
        <v>141</v>
      </c>
      <c r="P5362" s="321">
        <v>572</v>
      </c>
      <c r="Q5362" s="19">
        <v>315</v>
      </c>
      <c r="S5362" s="91">
        <v>865</v>
      </c>
      <c r="T5362" s="19" t="s">
        <v>42</v>
      </c>
      <c r="U5362" s="102" t="s">
        <v>1420</v>
      </c>
      <c r="V5362" s="186">
        <v>45373</v>
      </c>
      <c r="W5362" s="17" t="s">
        <v>69</v>
      </c>
      <c r="Y5362" s="68">
        <v>45383</v>
      </c>
      <c r="Z5362" s="17" t="s">
        <v>191</v>
      </c>
      <c r="AA5362" s="17" t="s">
        <v>46</v>
      </c>
      <c r="AB5362" s="17" t="s">
        <v>1337</v>
      </c>
      <c r="AC5362" s="217">
        <v>45400</v>
      </c>
      <c r="AD5362" s="65">
        <v>1563</v>
      </c>
      <c r="AE5362" s="17" t="s">
        <v>74</v>
      </c>
    </row>
    <row r="5363" s="17" customFormat="1" ht="15.6" hidden="1" spans="1:31">
      <c r="A5363" s="17" t="s">
        <v>34</v>
      </c>
      <c r="B5363" s="19">
        <v>994</v>
      </c>
      <c r="C5363" s="183">
        <v>45372</v>
      </c>
      <c r="D5363" s="22" t="s">
        <v>52</v>
      </c>
      <c r="E5363" s="17" t="s">
        <v>1113</v>
      </c>
      <c r="F5363" s="17" t="s">
        <v>54</v>
      </c>
      <c r="H5363" s="141">
        <v>1.2311</v>
      </c>
      <c r="I5363" s="141"/>
      <c r="J5363" s="17" t="s">
        <v>82</v>
      </c>
      <c r="K5363" s="19">
        <v>405</v>
      </c>
      <c r="L5363" s="19">
        <v>20</v>
      </c>
      <c r="M5363" s="98">
        <v>2200</v>
      </c>
      <c r="N5363" s="19" t="s">
        <v>66</v>
      </c>
      <c r="O5363" s="19" t="s">
        <v>141</v>
      </c>
      <c r="P5363" s="321"/>
      <c r="Q5363" s="19">
        <v>313</v>
      </c>
      <c r="R5363" s="99">
        <f>+P5362-Q5362-Q5363</f>
        <v>-56</v>
      </c>
      <c r="S5363" s="91">
        <f>865+60</f>
        <v>925</v>
      </c>
      <c r="T5363" s="19" t="s">
        <v>42</v>
      </c>
      <c r="U5363" s="102" t="s">
        <v>1420</v>
      </c>
      <c r="V5363" s="186">
        <v>45373</v>
      </c>
      <c r="W5363" s="17" t="s">
        <v>69</v>
      </c>
      <c r="Y5363" s="68">
        <v>45383</v>
      </c>
      <c r="Z5363" s="17" t="s">
        <v>191</v>
      </c>
      <c r="AA5363" s="17" t="s">
        <v>46</v>
      </c>
      <c r="AB5363" s="17" t="s">
        <v>1339</v>
      </c>
      <c r="AC5363" s="217">
        <v>45433</v>
      </c>
      <c r="AD5363" s="65">
        <v>1570</v>
      </c>
      <c r="AE5363" s="17" t="s">
        <v>74</v>
      </c>
    </row>
    <row r="5364" s="17" customFormat="1" ht="15.6" hidden="1" spans="1:31">
      <c r="A5364" s="17" t="s">
        <v>34</v>
      </c>
      <c r="B5364" s="19">
        <v>994</v>
      </c>
      <c r="C5364" s="183">
        <v>45372</v>
      </c>
      <c r="D5364" s="22" t="s">
        <v>52</v>
      </c>
      <c r="E5364" s="17" t="s">
        <v>1113</v>
      </c>
      <c r="F5364" s="17" t="s">
        <v>54</v>
      </c>
      <c r="H5364" s="141">
        <v>1.2311</v>
      </c>
      <c r="I5364" s="141"/>
      <c r="J5364" s="17" t="s">
        <v>82</v>
      </c>
      <c r="K5364" s="19">
        <v>455</v>
      </c>
      <c r="L5364" s="19">
        <v>20</v>
      </c>
      <c r="M5364" s="98">
        <v>2200</v>
      </c>
      <c r="N5364" s="19" t="s">
        <v>66</v>
      </c>
      <c r="O5364" s="19" t="s">
        <v>141</v>
      </c>
      <c r="P5364" s="321">
        <v>482</v>
      </c>
      <c r="Q5364" s="19">
        <v>525</v>
      </c>
      <c r="R5364" s="19">
        <f>+P5364-Q5364</f>
        <v>-43</v>
      </c>
      <c r="S5364" s="91">
        <f>865+60</f>
        <v>925</v>
      </c>
      <c r="T5364" s="19" t="s">
        <v>42</v>
      </c>
      <c r="U5364" s="102" t="s">
        <v>1420</v>
      </c>
      <c r="V5364" s="186">
        <v>45373</v>
      </c>
      <c r="W5364" s="17" t="s">
        <v>69</v>
      </c>
      <c r="Y5364" s="68">
        <v>45383</v>
      </c>
      <c r="Z5364" s="17" t="s">
        <v>191</v>
      </c>
      <c r="AA5364" s="17" t="s">
        <v>46</v>
      </c>
      <c r="AB5364" s="17" t="s">
        <v>1339</v>
      </c>
      <c r="AC5364" s="217">
        <v>45433</v>
      </c>
      <c r="AD5364" s="65">
        <v>1570</v>
      </c>
      <c r="AE5364" s="17" t="s">
        <v>74</v>
      </c>
    </row>
    <row r="5365" s="17" customFormat="1" ht="15.6" hidden="1" spans="1:31">
      <c r="A5365" s="17" t="s">
        <v>34</v>
      </c>
      <c r="B5365" s="19">
        <v>994</v>
      </c>
      <c r="C5365" s="183">
        <v>45372</v>
      </c>
      <c r="D5365" s="22" t="s">
        <v>52</v>
      </c>
      <c r="E5365" s="17" t="s">
        <v>1113</v>
      </c>
      <c r="F5365" s="17" t="s">
        <v>54</v>
      </c>
      <c r="H5365" s="141">
        <v>1.2311</v>
      </c>
      <c r="I5365" s="141"/>
      <c r="J5365" s="17" t="s">
        <v>82</v>
      </c>
      <c r="K5365" s="19">
        <v>505</v>
      </c>
      <c r="L5365" s="19">
        <v>20</v>
      </c>
      <c r="M5365" s="98">
        <v>2200</v>
      </c>
      <c r="N5365" s="19" t="s">
        <v>66</v>
      </c>
      <c r="O5365" s="19" t="s">
        <v>141</v>
      </c>
      <c r="P5365" s="321">
        <v>535</v>
      </c>
      <c r="Q5365" s="19">
        <f>197+392</f>
        <v>589</v>
      </c>
      <c r="R5365" s="19">
        <f>+P5365-Q5365</f>
        <v>-54</v>
      </c>
      <c r="S5365" s="91">
        <f>865+60</f>
        <v>925</v>
      </c>
      <c r="T5365" s="19" t="s">
        <v>42</v>
      </c>
      <c r="U5365" s="102" t="s">
        <v>1420</v>
      </c>
      <c r="V5365" s="186">
        <v>45373</v>
      </c>
      <c r="W5365" s="17" t="s">
        <v>69</v>
      </c>
      <c r="Y5365" s="68">
        <v>45383</v>
      </c>
      <c r="Z5365" s="17" t="s">
        <v>191</v>
      </c>
      <c r="AA5365" s="17" t="s">
        <v>46</v>
      </c>
      <c r="AB5365" s="17" t="s">
        <v>1339</v>
      </c>
      <c r="AC5365" s="217">
        <v>45433</v>
      </c>
      <c r="AD5365" s="65">
        <v>1570</v>
      </c>
      <c r="AE5365" s="17" t="s">
        <v>74</v>
      </c>
    </row>
    <row r="5366" s="17" customFormat="1" ht="15.6" hidden="1" spans="1:31">
      <c r="A5366" s="17" t="s">
        <v>34</v>
      </c>
      <c r="B5366" s="19">
        <v>994</v>
      </c>
      <c r="C5366" s="183">
        <v>45372</v>
      </c>
      <c r="D5366" s="22" t="s">
        <v>52</v>
      </c>
      <c r="E5366" s="17" t="s">
        <v>1113</v>
      </c>
      <c r="F5366" s="17" t="s">
        <v>54</v>
      </c>
      <c r="H5366" s="141">
        <v>1.2311</v>
      </c>
      <c r="I5366" s="141"/>
      <c r="J5366" s="17" t="s">
        <v>82</v>
      </c>
      <c r="K5366" s="19">
        <v>205</v>
      </c>
      <c r="L5366" s="19">
        <v>25</v>
      </c>
      <c r="M5366" s="98">
        <v>2200</v>
      </c>
      <c r="N5366" s="19" t="s">
        <v>66</v>
      </c>
      <c r="O5366" s="19" t="s">
        <v>141</v>
      </c>
      <c r="P5366" s="321">
        <v>543</v>
      </c>
      <c r="Q5366" s="19">
        <v>196</v>
      </c>
      <c r="S5366" s="91">
        <v>865</v>
      </c>
      <c r="T5366" s="19" t="s">
        <v>42</v>
      </c>
      <c r="U5366" s="102" t="s">
        <v>1420</v>
      </c>
      <c r="V5366" s="186">
        <v>45373</v>
      </c>
      <c r="W5366" s="17" t="s">
        <v>69</v>
      </c>
      <c r="Y5366" s="68">
        <v>45383</v>
      </c>
      <c r="Z5366" s="17" t="s">
        <v>191</v>
      </c>
      <c r="AA5366" s="17" t="s">
        <v>46</v>
      </c>
      <c r="AB5366" s="17" t="s">
        <v>1341</v>
      </c>
      <c r="AC5366" s="217">
        <v>45400</v>
      </c>
      <c r="AD5366" s="65">
        <v>1562</v>
      </c>
      <c r="AE5366" s="17" t="s">
        <v>74</v>
      </c>
    </row>
    <row r="5367" s="17" customFormat="1" ht="15.6" hidden="1" spans="1:31">
      <c r="A5367" s="17" t="s">
        <v>34</v>
      </c>
      <c r="B5367" s="19">
        <v>994</v>
      </c>
      <c r="C5367" s="183">
        <v>45372</v>
      </c>
      <c r="D5367" s="22" t="s">
        <v>52</v>
      </c>
      <c r="E5367" s="17" t="s">
        <v>1113</v>
      </c>
      <c r="F5367" s="17" t="s">
        <v>54</v>
      </c>
      <c r="H5367" s="141">
        <v>1.2311</v>
      </c>
      <c r="I5367" s="141"/>
      <c r="J5367" s="17" t="s">
        <v>82</v>
      </c>
      <c r="K5367" s="19">
        <v>205</v>
      </c>
      <c r="L5367" s="19">
        <v>25</v>
      </c>
      <c r="M5367" s="98">
        <v>2200</v>
      </c>
      <c r="N5367" s="19" t="s">
        <v>66</v>
      </c>
      <c r="O5367" s="19" t="s">
        <v>141</v>
      </c>
      <c r="P5367" s="321"/>
      <c r="Q5367" s="19">
        <v>195</v>
      </c>
      <c r="S5367" s="91">
        <v>865</v>
      </c>
      <c r="T5367" s="19" t="s">
        <v>42</v>
      </c>
      <c r="U5367" s="102" t="s">
        <v>1420</v>
      </c>
      <c r="V5367" s="186">
        <v>45373</v>
      </c>
      <c r="W5367" s="17" t="s">
        <v>69</v>
      </c>
      <c r="Y5367" s="68">
        <v>45383</v>
      </c>
      <c r="Z5367" s="17" t="s">
        <v>191</v>
      </c>
      <c r="AA5367" s="17" t="s">
        <v>46</v>
      </c>
      <c r="AB5367" s="17" t="s">
        <v>1337</v>
      </c>
      <c r="AC5367" s="217">
        <v>45400</v>
      </c>
      <c r="AD5367" s="65">
        <v>1563</v>
      </c>
      <c r="AE5367" s="17" t="s">
        <v>74</v>
      </c>
    </row>
    <row r="5368" s="17" customFormat="1" ht="15.6" hidden="1" spans="1:31">
      <c r="A5368" s="17" t="s">
        <v>34</v>
      </c>
      <c r="B5368" s="19">
        <v>994</v>
      </c>
      <c r="C5368" s="183">
        <v>45372</v>
      </c>
      <c r="D5368" s="22" t="s">
        <v>52</v>
      </c>
      <c r="E5368" s="17" t="s">
        <v>1113</v>
      </c>
      <c r="F5368" s="17" t="s">
        <v>54</v>
      </c>
      <c r="H5368" s="141">
        <v>1.2311</v>
      </c>
      <c r="I5368" s="141"/>
      <c r="J5368" s="17" t="s">
        <v>82</v>
      </c>
      <c r="K5368" s="19">
        <v>205</v>
      </c>
      <c r="L5368" s="19">
        <v>25</v>
      </c>
      <c r="M5368" s="98">
        <v>2200</v>
      </c>
      <c r="N5368" s="19" t="s">
        <v>66</v>
      </c>
      <c r="O5368" s="19" t="s">
        <v>141</v>
      </c>
      <c r="P5368" s="321"/>
      <c r="Q5368" s="146">
        <v>196</v>
      </c>
      <c r="R5368" s="99">
        <f>+P5366-Q5366-Q5367-Q5368</f>
        <v>-44</v>
      </c>
      <c r="S5368" s="91">
        <v>865</v>
      </c>
      <c r="T5368" s="19" t="s">
        <v>42</v>
      </c>
      <c r="U5368" s="102" t="s">
        <v>1420</v>
      </c>
      <c r="V5368" s="186">
        <v>45373</v>
      </c>
      <c r="W5368" s="17" t="s">
        <v>69</v>
      </c>
      <c r="Y5368" s="68">
        <v>45383</v>
      </c>
      <c r="Z5368" s="17" t="s">
        <v>191</v>
      </c>
      <c r="AA5368" s="17" t="s">
        <v>46</v>
      </c>
      <c r="AB5368" s="17" t="s">
        <v>1340</v>
      </c>
      <c r="AC5368" s="217">
        <v>45498</v>
      </c>
      <c r="AD5368" s="65">
        <v>1603</v>
      </c>
      <c r="AE5368" s="17" t="s">
        <v>74</v>
      </c>
    </row>
    <row r="5369" s="17" customFormat="1" ht="15.6" hidden="1" spans="1:31">
      <c r="A5369" s="17" t="s">
        <v>34</v>
      </c>
      <c r="B5369" s="19">
        <v>994</v>
      </c>
      <c r="C5369" s="183">
        <v>45372</v>
      </c>
      <c r="D5369" s="22" t="s">
        <v>52</v>
      </c>
      <c r="E5369" s="17" t="s">
        <v>1113</v>
      </c>
      <c r="F5369" s="17" t="s">
        <v>54</v>
      </c>
      <c r="H5369" s="141">
        <v>1.2311</v>
      </c>
      <c r="I5369" s="141"/>
      <c r="J5369" s="17" t="s">
        <v>82</v>
      </c>
      <c r="K5369" s="19">
        <v>255</v>
      </c>
      <c r="L5369" s="19">
        <v>25</v>
      </c>
      <c r="M5369" s="98">
        <v>2200</v>
      </c>
      <c r="N5369" s="19" t="s">
        <v>66</v>
      </c>
      <c r="O5369" s="19" t="s">
        <v>141</v>
      </c>
      <c r="P5369" s="321">
        <v>563</v>
      </c>
      <c r="Q5369" s="146">
        <v>612</v>
      </c>
      <c r="R5369" s="19">
        <f>+P5369-Q5369</f>
        <v>-49</v>
      </c>
      <c r="S5369" s="91">
        <v>865</v>
      </c>
      <c r="T5369" s="19" t="s">
        <v>42</v>
      </c>
      <c r="U5369" s="102" t="s">
        <v>1420</v>
      </c>
      <c r="V5369" s="186">
        <v>45373</v>
      </c>
      <c r="W5369" s="17" t="s">
        <v>69</v>
      </c>
      <c r="Y5369" s="68">
        <v>45383</v>
      </c>
      <c r="Z5369" s="17" t="s">
        <v>191</v>
      </c>
      <c r="AA5369" s="17" t="s">
        <v>46</v>
      </c>
      <c r="AB5369" s="17" t="s">
        <v>1340</v>
      </c>
      <c r="AC5369" s="217">
        <v>45498</v>
      </c>
      <c r="AD5369" s="65">
        <v>1603</v>
      </c>
      <c r="AE5369" s="17" t="s">
        <v>74</v>
      </c>
    </row>
    <row r="5370" s="17" customFormat="1" ht="15.6" hidden="1" spans="1:31">
      <c r="A5370" s="17" t="s">
        <v>34</v>
      </c>
      <c r="B5370" s="19">
        <v>994</v>
      </c>
      <c r="C5370" s="183">
        <v>45372</v>
      </c>
      <c r="D5370" s="22" t="s">
        <v>52</v>
      </c>
      <c r="E5370" s="17" t="s">
        <v>1113</v>
      </c>
      <c r="F5370" s="17" t="s">
        <v>54</v>
      </c>
      <c r="H5370" s="141">
        <v>1.2311</v>
      </c>
      <c r="I5370" s="141"/>
      <c r="J5370" s="17" t="s">
        <v>82</v>
      </c>
      <c r="K5370" s="19">
        <v>305</v>
      </c>
      <c r="L5370" s="19">
        <v>25</v>
      </c>
      <c r="M5370" s="98">
        <v>2200</v>
      </c>
      <c r="N5370" s="19" t="s">
        <v>66</v>
      </c>
      <c r="O5370" s="19" t="s">
        <v>141</v>
      </c>
      <c r="P5370" s="321">
        <v>539</v>
      </c>
      <c r="Q5370" s="19">
        <v>288</v>
      </c>
      <c r="S5370" s="91">
        <v>865</v>
      </c>
      <c r="T5370" s="19" t="s">
        <v>42</v>
      </c>
      <c r="U5370" s="102" t="s">
        <v>1420</v>
      </c>
      <c r="V5370" s="186">
        <v>45373</v>
      </c>
      <c r="W5370" s="17" t="s">
        <v>69</v>
      </c>
      <c r="Y5370" s="68">
        <v>45383</v>
      </c>
      <c r="Z5370" s="17" t="s">
        <v>191</v>
      </c>
      <c r="AA5370" s="17" t="s">
        <v>46</v>
      </c>
      <c r="AB5370" s="17" t="s">
        <v>1341</v>
      </c>
      <c r="AC5370" s="217">
        <v>45400</v>
      </c>
      <c r="AD5370" s="65">
        <v>1562</v>
      </c>
      <c r="AE5370" s="17" t="s">
        <v>74</v>
      </c>
    </row>
    <row r="5371" s="17" customFormat="1" ht="15.6" hidden="1" spans="1:31">
      <c r="A5371" s="17" t="s">
        <v>34</v>
      </c>
      <c r="B5371" s="19">
        <v>994</v>
      </c>
      <c r="C5371" s="183">
        <v>45372</v>
      </c>
      <c r="D5371" s="22" t="s">
        <v>52</v>
      </c>
      <c r="E5371" s="17" t="s">
        <v>1113</v>
      </c>
      <c r="F5371" s="17" t="s">
        <v>54</v>
      </c>
      <c r="H5371" s="141">
        <v>1.2311</v>
      </c>
      <c r="I5371" s="141"/>
      <c r="J5371" s="17" t="s">
        <v>82</v>
      </c>
      <c r="K5371" s="19">
        <v>305</v>
      </c>
      <c r="L5371" s="19">
        <v>25</v>
      </c>
      <c r="M5371" s="98">
        <v>2200</v>
      </c>
      <c r="N5371" s="19" t="s">
        <v>66</v>
      </c>
      <c r="O5371" s="19" t="s">
        <v>141</v>
      </c>
      <c r="P5371" s="321"/>
      <c r="Q5371" s="19">
        <v>290</v>
      </c>
      <c r="R5371" s="99">
        <f>+P5370-Q5370-Q5371</f>
        <v>-39</v>
      </c>
      <c r="S5371" s="91">
        <f>865+60</f>
        <v>925</v>
      </c>
      <c r="T5371" s="19" t="s">
        <v>42</v>
      </c>
      <c r="U5371" s="102" t="s">
        <v>1420</v>
      </c>
      <c r="V5371" s="186">
        <v>45373</v>
      </c>
      <c r="W5371" s="17" t="s">
        <v>69</v>
      </c>
      <c r="Y5371" s="68">
        <v>45383</v>
      </c>
      <c r="Z5371" s="17" t="s">
        <v>191</v>
      </c>
      <c r="AA5371" s="17" t="s">
        <v>46</v>
      </c>
      <c r="AB5371" s="17" t="s">
        <v>1339</v>
      </c>
      <c r="AC5371" s="217">
        <v>45433</v>
      </c>
      <c r="AD5371" s="65">
        <v>1570</v>
      </c>
      <c r="AE5371" s="17" t="s">
        <v>74</v>
      </c>
    </row>
    <row r="5372" s="17" customFormat="1" ht="15.6" hidden="1" spans="1:31">
      <c r="A5372" s="17" t="s">
        <v>34</v>
      </c>
      <c r="B5372" s="19">
        <v>994</v>
      </c>
      <c r="C5372" s="183">
        <v>45372</v>
      </c>
      <c r="D5372" s="22" t="s">
        <v>52</v>
      </c>
      <c r="E5372" s="17" t="s">
        <v>1113</v>
      </c>
      <c r="F5372" s="17" t="s">
        <v>54</v>
      </c>
      <c r="H5372" s="141">
        <v>1.2311</v>
      </c>
      <c r="I5372" s="141"/>
      <c r="J5372" s="17" t="s">
        <v>82</v>
      </c>
      <c r="K5372" s="19">
        <v>355</v>
      </c>
      <c r="L5372" s="19">
        <v>25</v>
      </c>
      <c r="M5372" s="98">
        <v>2200</v>
      </c>
      <c r="N5372" s="19" t="s">
        <v>66</v>
      </c>
      <c r="O5372" s="19" t="s">
        <v>141</v>
      </c>
      <c r="P5372" s="321">
        <v>470</v>
      </c>
      <c r="Q5372" s="19">
        <v>506</v>
      </c>
      <c r="R5372" s="19">
        <f>+P5372-Q5372</f>
        <v>-36</v>
      </c>
      <c r="S5372" s="91">
        <f>865+60</f>
        <v>925</v>
      </c>
      <c r="T5372" s="19" t="s">
        <v>42</v>
      </c>
      <c r="U5372" s="102" t="s">
        <v>1420</v>
      </c>
      <c r="V5372" s="186">
        <v>45373</v>
      </c>
      <c r="W5372" s="17" t="s">
        <v>69</v>
      </c>
      <c r="Y5372" s="68">
        <v>45383</v>
      </c>
      <c r="Z5372" s="17" t="s">
        <v>191</v>
      </c>
      <c r="AA5372" s="17" t="s">
        <v>46</v>
      </c>
      <c r="AB5372" s="17" t="s">
        <v>1339</v>
      </c>
      <c r="AC5372" s="217">
        <v>45433</v>
      </c>
      <c r="AD5372" s="65">
        <v>1570</v>
      </c>
      <c r="AE5372" s="17" t="s">
        <v>74</v>
      </c>
    </row>
    <row r="5373" s="17" customFormat="1" ht="15.6" hidden="1" spans="1:31">
      <c r="A5373" s="17" t="s">
        <v>34</v>
      </c>
      <c r="B5373" s="19">
        <v>994</v>
      </c>
      <c r="C5373" s="183">
        <v>45372</v>
      </c>
      <c r="D5373" s="22" t="s">
        <v>52</v>
      </c>
      <c r="E5373" s="17" t="s">
        <v>1113</v>
      </c>
      <c r="F5373" s="17" t="s">
        <v>54</v>
      </c>
      <c r="H5373" s="141">
        <v>1.2311</v>
      </c>
      <c r="I5373" s="141"/>
      <c r="J5373" s="17" t="s">
        <v>82</v>
      </c>
      <c r="K5373" s="19">
        <v>405</v>
      </c>
      <c r="L5373" s="19">
        <v>25</v>
      </c>
      <c r="M5373" s="98">
        <v>2200</v>
      </c>
      <c r="N5373" s="19" t="s">
        <v>66</v>
      </c>
      <c r="O5373" s="19" t="s">
        <v>141</v>
      </c>
      <c r="P5373" s="321">
        <v>536</v>
      </c>
      <c r="Q5373" s="19">
        <v>572</v>
      </c>
      <c r="R5373" s="19">
        <f>+P5373-Q5373</f>
        <v>-36</v>
      </c>
      <c r="S5373" s="91">
        <f>865+60</f>
        <v>925</v>
      </c>
      <c r="T5373" s="19" t="s">
        <v>42</v>
      </c>
      <c r="U5373" s="102" t="s">
        <v>1420</v>
      </c>
      <c r="V5373" s="186">
        <v>45373</v>
      </c>
      <c r="W5373" s="17" t="s">
        <v>69</v>
      </c>
      <c r="Y5373" s="68">
        <v>45383</v>
      </c>
      <c r="Z5373" s="17" t="s">
        <v>191</v>
      </c>
      <c r="AA5373" s="17" t="s">
        <v>46</v>
      </c>
      <c r="AB5373" s="17" t="s">
        <v>1339</v>
      </c>
      <c r="AC5373" s="217">
        <v>45433</v>
      </c>
      <c r="AD5373" s="65">
        <v>1570</v>
      </c>
      <c r="AE5373" s="17" t="s">
        <v>74</v>
      </c>
    </row>
    <row r="5374" s="17" customFormat="1" ht="15.6" hidden="1" spans="1:31">
      <c r="A5374" s="17" t="s">
        <v>34</v>
      </c>
      <c r="B5374" s="19">
        <v>994</v>
      </c>
      <c r="C5374" s="183">
        <v>45372</v>
      </c>
      <c r="D5374" s="22" t="s">
        <v>52</v>
      </c>
      <c r="E5374" s="17" t="s">
        <v>1113</v>
      </c>
      <c r="F5374" s="17" t="s">
        <v>54</v>
      </c>
      <c r="H5374" s="141">
        <v>1.2311</v>
      </c>
      <c r="I5374" s="141"/>
      <c r="J5374" s="17" t="s">
        <v>82</v>
      </c>
      <c r="K5374" s="19">
        <v>455</v>
      </c>
      <c r="L5374" s="19">
        <v>25</v>
      </c>
      <c r="M5374" s="98">
        <v>2200</v>
      </c>
      <c r="N5374" s="19" t="s">
        <v>66</v>
      </c>
      <c r="O5374" s="19" t="s">
        <v>141</v>
      </c>
      <c r="P5374" s="321">
        <v>402</v>
      </c>
      <c r="Q5374" s="19">
        <v>431</v>
      </c>
      <c r="R5374" s="19">
        <f>+P5374-Q5374</f>
        <v>-29</v>
      </c>
      <c r="S5374" s="91">
        <f>865+60</f>
        <v>925</v>
      </c>
      <c r="T5374" s="19" t="s">
        <v>42</v>
      </c>
      <c r="U5374" s="102" t="s">
        <v>1420</v>
      </c>
      <c r="V5374" s="186">
        <v>45373</v>
      </c>
      <c r="W5374" s="17" t="s">
        <v>69</v>
      </c>
      <c r="Y5374" s="68">
        <v>45383</v>
      </c>
      <c r="Z5374" s="17" t="s">
        <v>191</v>
      </c>
      <c r="AA5374" s="17" t="s">
        <v>46</v>
      </c>
      <c r="AB5374" s="17" t="s">
        <v>1339</v>
      </c>
      <c r="AC5374" s="217">
        <v>45433</v>
      </c>
      <c r="AD5374" s="65">
        <v>1570</v>
      </c>
      <c r="AE5374" s="17" t="s">
        <v>74</v>
      </c>
    </row>
    <row r="5375" s="17" customFormat="1" ht="15.6" hidden="1" spans="1:31">
      <c r="A5375" s="17" t="s">
        <v>34</v>
      </c>
      <c r="B5375" s="19">
        <v>994</v>
      </c>
      <c r="C5375" s="183">
        <v>45372</v>
      </c>
      <c r="D5375" s="22" t="s">
        <v>52</v>
      </c>
      <c r="E5375" s="17" t="s">
        <v>1113</v>
      </c>
      <c r="F5375" s="17" t="s">
        <v>54</v>
      </c>
      <c r="H5375" s="141">
        <v>1.2311</v>
      </c>
      <c r="I5375" s="141"/>
      <c r="J5375" s="17" t="s">
        <v>82</v>
      </c>
      <c r="K5375" s="19">
        <v>505</v>
      </c>
      <c r="L5375" s="19">
        <v>25</v>
      </c>
      <c r="M5375" s="98">
        <v>2200</v>
      </c>
      <c r="N5375" s="19" t="s">
        <v>66</v>
      </c>
      <c r="O5375" s="19" t="s">
        <v>141</v>
      </c>
      <c r="P5375" s="321">
        <v>446</v>
      </c>
      <c r="Q5375" s="19">
        <v>474</v>
      </c>
      <c r="R5375" s="19">
        <f>+P5375-Q5375</f>
        <v>-28</v>
      </c>
      <c r="S5375" s="91">
        <f>865+60</f>
        <v>925</v>
      </c>
      <c r="T5375" s="19" t="s">
        <v>42</v>
      </c>
      <c r="U5375" s="102" t="s">
        <v>1420</v>
      </c>
      <c r="V5375" s="186">
        <v>45373</v>
      </c>
      <c r="W5375" s="17" t="s">
        <v>69</v>
      </c>
      <c r="Y5375" s="68">
        <v>45383</v>
      </c>
      <c r="Z5375" s="17" t="s">
        <v>191</v>
      </c>
      <c r="AA5375" s="17" t="s">
        <v>46</v>
      </c>
      <c r="AB5375" s="17" t="s">
        <v>1339</v>
      </c>
      <c r="AC5375" s="217">
        <v>45433</v>
      </c>
      <c r="AD5375" s="65">
        <v>1570</v>
      </c>
      <c r="AE5375" s="17" t="s">
        <v>74</v>
      </c>
    </row>
    <row r="5376" s="17" customFormat="1" ht="15.6" hidden="1" spans="1:31">
      <c r="A5376" s="17" t="s">
        <v>34</v>
      </c>
      <c r="B5376" s="19">
        <v>994</v>
      </c>
      <c r="C5376" s="183">
        <v>45372</v>
      </c>
      <c r="D5376" s="22" t="s">
        <v>52</v>
      </c>
      <c r="E5376" s="17" t="s">
        <v>1113</v>
      </c>
      <c r="F5376" s="17" t="s">
        <v>54</v>
      </c>
      <c r="H5376" s="141">
        <v>1.2311</v>
      </c>
      <c r="I5376" s="141"/>
      <c r="J5376" s="17" t="s">
        <v>82</v>
      </c>
      <c r="K5376" s="19">
        <v>205</v>
      </c>
      <c r="L5376" s="19">
        <v>32</v>
      </c>
      <c r="M5376" s="98">
        <v>2200</v>
      </c>
      <c r="N5376" s="19" t="s">
        <v>66</v>
      </c>
      <c r="O5376" s="19" t="s">
        <v>141</v>
      </c>
      <c r="P5376" s="321">
        <v>1506</v>
      </c>
      <c r="Q5376" s="19">
        <v>701</v>
      </c>
      <c r="S5376" s="91">
        <v>865</v>
      </c>
      <c r="T5376" s="19" t="s">
        <v>42</v>
      </c>
      <c r="U5376" s="102" t="s">
        <v>1420</v>
      </c>
      <c r="V5376" s="186">
        <v>45373</v>
      </c>
      <c r="W5376" s="17" t="s">
        <v>69</v>
      </c>
      <c r="Y5376" s="68">
        <v>45383</v>
      </c>
      <c r="Z5376" s="17" t="s">
        <v>191</v>
      </c>
      <c r="AA5376" s="17" t="s">
        <v>46</v>
      </c>
      <c r="AB5376" s="17" t="s">
        <v>1337</v>
      </c>
      <c r="AC5376" s="217">
        <v>45400</v>
      </c>
      <c r="AD5376" s="65">
        <v>1563</v>
      </c>
      <c r="AE5376" s="17" t="s">
        <v>74</v>
      </c>
    </row>
    <row r="5377" s="17" customFormat="1" ht="15.6" hidden="1" spans="1:31">
      <c r="A5377" s="17" t="s">
        <v>34</v>
      </c>
      <c r="B5377" s="19">
        <v>994</v>
      </c>
      <c r="C5377" s="183">
        <v>45372</v>
      </c>
      <c r="D5377" s="22" t="s">
        <v>52</v>
      </c>
      <c r="E5377" s="17" t="s">
        <v>1113</v>
      </c>
      <c r="F5377" s="17" t="s">
        <v>54</v>
      </c>
      <c r="H5377" s="141">
        <v>1.2311</v>
      </c>
      <c r="I5377" s="141"/>
      <c r="J5377" s="17" t="s">
        <v>82</v>
      </c>
      <c r="K5377" s="19">
        <v>205</v>
      </c>
      <c r="L5377" s="19">
        <v>32</v>
      </c>
      <c r="M5377" s="98">
        <v>2200</v>
      </c>
      <c r="N5377" s="19" t="s">
        <v>66</v>
      </c>
      <c r="O5377" s="19" t="s">
        <v>141</v>
      </c>
      <c r="P5377" s="321"/>
      <c r="Q5377" s="19">
        <v>350</v>
      </c>
      <c r="S5377" s="91">
        <f>865+60</f>
        <v>925</v>
      </c>
      <c r="T5377" s="19" t="s">
        <v>42</v>
      </c>
      <c r="U5377" s="102" t="s">
        <v>1420</v>
      </c>
      <c r="V5377" s="186">
        <v>45373</v>
      </c>
      <c r="W5377" s="17" t="s">
        <v>69</v>
      </c>
      <c r="Y5377" s="68">
        <v>45383</v>
      </c>
      <c r="Z5377" s="17" t="s">
        <v>191</v>
      </c>
      <c r="AA5377" s="17" t="s">
        <v>46</v>
      </c>
      <c r="AB5377" s="17" t="s">
        <v>1339</v>
      </c>
      <c r="AC5377" s="217">
        <v>45433</v>
      </c>
      <c r="AD5377" s="65">
        <v>1570</v>
      </c>
      <c r="AE5377" s="17" t="s">
        <v>74</v>
      </c>
    </row>
    <row r="5378" s="17" customFormat="1" ht="15.6" hidden="1" spans="1:31">
      <c r="A5378" s="17" t="s">
        <v>34</v>
      </c>
      <c r="B5378" s="19">
        <v>994</v>
      </c>
      <c r="C5378" s="183">
        <v>45372</v>
      </c>
      <c r="D5378" s="22" t="s">
        <v>52</v>
      </c>
      <c r="E5378" s="17" t="s">
        <v>1113</v>
      </c>
      <c r="F5378" s="17" t="s">
        <v>54</v>
      </c>
      <c r="H5378" s="141">
        <v>1.2311</v>
      </c>
      <c r="I5378" s="141"/>
      <c r="J5378" s="17" t="s">
        <v>82</v>
      </c>
      <c r="K5378" s="19">
        <v>205</v>
      </c>
      <c r="L5378" s="19">
        <v>32</v>
      </c>
      <c r="M5378" s="98">
        <v>2200</v>
      </c>
      <c r="N5378" s="19" t="s">
        <v>66</v>
      </c>
      <c r="O5378" s="19" t="s">
        <v>141</v>
      </c>
      <c r="P5378" s="321"/>
      <c r="Q5378" s="19">
        <v>487</v>
      </c>
      <c r="R5378" s="99">
        <f>+P5376-Q5376-Q5377-Q5378</f>
        <v>-32</v>
      </c>
      <c r="S5378" s="322">
        <f>865+40</f>
        <v>905</v>
      </c>
      <c r="T5378" s="19" t="s">
        <v>42</v>
      </c>
      <c r="U5378" s="102" t="s">
        <v>1420</v>
      </c>
      <c r="V5378" s="186">
        <v>45373</v>
      </c>
      <c r="W5378" s="17" t="s">
        <v>69</v>
      </c>
      <c r="Y5378" s="68">
        <v>45383</v>
      </c>
      <c r="Z5378" s="17" t="s">
        <v>191</v>
      </c>
      <c r="AA5378" s="17" t="s">
        <v>46</v>
      </c>
      <c r="AB5378" s="17" t="s">
        <v>1343</v>
      </c>
      <c r="AC5378" s="217">
        <v>45433</v>
      </c>
      <c r="AD5378" s="65">
        <v>1575</v>
      </c>
      <c r="AE5378" s="17" t="s">
        <v>74</v>
      </c>
    </row>
    <row r="5379" s="17" customFormat="1" ht="15.6" hidden="1" spans="1:31">
      <c r="A5379" s="17" t="s">
        <v>34</v>
      </c>
      <c r="B5379" s="19">
        <v>994</v>
      </c>
      <c r="C5379" s="183">
        <v>45372</v>
      </c>
      <c r="D5379" s="22" t="s">
        <v>52</v>
      </c>
      <c r="E5379" s="17" t="s">
        <v>1113</v>
      </c>
      <c r="F5379" s="17" t="s">
        <v>54</v>
      </c>
      <c r="H5379" s="141">
        <v>1.2311</v>
      </c>
      <c r="I5379" s="141"/>
      <c r="J5379" s="17" t="s">
        <v>82</v>
      </c>
      <c r="K5379" s="19">
        <v>255</v>
      </c>
      <c r="L5379" s="19">
        <v>32</v>
      </c>
      <c r="M5379" s="98">
        <v>2200</v>
      </c>
      <c r="N5379" s="19" t="s">
        <v>66</v>
      </c>
      <c r="O5379" s="19" t="s">
        <v>141</v>
      </c>
      <c r="P5379" s="321">
        <v>1585</v>
      </c>
      <c r="Q5379" s="19">
        <v>144</v>
      </c>
      <c r="S5379" s="91">
        <f>865+60</f>
        <v>925</v>
      </c>
      <c r="T5379" s="19" t="s">
        <v>42</v>
      </c>
      <c r="U5379" s="102" t="s">
        <v>1420</v>
      </c>
      <c r="V5379" s="186">
        <v>45373</v>
      </c>
      <c r="W5379" s="17" t="s">
        <v>69</v>
      </c>
      <c r="Y5379" s="68">
        <v>45383</v>
      </c>
      <c r="Z5379" s="17" t="s">
        <v>191</v>
      </c>
      <c r="AA5379" s="17" t="s">
        <v>46</v>
      </c>
      <c r="AB5379" s="17" t="s">
        <v>1339</v>
      </c>
      <c r="AC5379" s="217">
        <v>45433</v>
      </c>
      <c r="AD5379" s="65">
        <v>1570</v>
      </c>
      <c r="AE5379" s="17" t="s">
        <v>74</v>
      </c>
    </row>
    <row r="5380" s="17" customFormat="1" ht="15.6" hidden="1" spans="1:31">
      <c r="A5380" s="17" t="s">
        <v>34</v>
      </c>
      <c r="B5380" s="19">
        <v>994</v>
      </c>
      <c r="C5380" s="183">
        <v>45372</v>
      </c>
      <c r="D5380" s="22" t="s">
        <v>52</v>
      </c>
      <c r="E5380" s="17" t="s">
        <v>1113</v>
      </c>
      <c r="F5380" s="17" t="s">
        <v>54</v>
      </c>
      <c r="H5380" s="141">
        <v>1.2311</v>
      </c>
      <c r="I5380" s="141"/>
      <c r="J5380" s="17" t="s">
        <v>82</v>
      </c>
      <c r="K5380" s="19">
        <v>255</v>
      </c>
      <c r="L5380" s="19">
        <v>32</v>
      </c>
      <c r="M5380" s="98">
        <v>2200</v>
      </c>
      <c r="N5380" s="19" t="s">
        <v>66</v>
      </c>
      <c r="O5380" s="19" t="s">
        <v>141</v>
      </c>
      <c r="P5380" s="321"/>
      <c r="Q5380" s="19">
        <v>1485</v>
      </c>
      <c r="R5380" s="99">
        <f>+P5379-Q5379-Q5380</f>
        <v>-44</v>
      </c>
      <c r="S5380" s="322">
        <f>865+40</f>
        <v>905</v>
      </c>
      <c r="T5380" s="19" t="s">
        <v>42</v>
      </c>
      <c r="U5380" s="102" t="s">
        <v>1420</v>
      </c>
      <c r="V5380" s="186">
        <v>45373</v>
      </c>
      <c r="W5380" s="17" t="s">
        <v>69</v>
      </c>
      <c r="Y5380" s="68">
        <v>45383</v>
      </c>
      <c r="Z5380" s="17" t="s">
        <v>191</v>
      </c>
      <c r="AA5380" s="17" t="s">
        <v>46</v>
      </c>
      <c r="AB5380" s="17" t="s">
        <v>1343</v>
      </c>
      <c r="AC5380" s="217">
        <v>45433</v>
      </c>
      <c r="AD5380" s="65">
        <v>1575</v>
      </c>
      <c r="AE5380" s="17" t="s">
        <v>74</v>
      </c>
    </row>
    <row r="5381" s="17" customFormat="1" ht="15.6" hidden="1" spans="1:31">
      <c r="A5381" s="17" t="s">
        <v>34</v>
      </c>
      <c r="B5381" s="19">
        <v>994</v>
      </c>
      <c r="C5381" s="183">
        <v>45372</v>
      </c>
      <c r="D5381" s="22" t="s">
        <v>52</v>
      </c>
      <c r="E5381" s="17" t="s">
        <v>1113</v>
      </c>
      <c r="F5381" s="17" t="s">
        <v>54</v>
      </c>
      <c r="H5381" s="141">
        <v>1.2311</v>
      </c>
      <c r="I5381" s="141"/>
      <c r="J5381" s="17" t="s">
        <v>82</v>
      </c>
      <c r="K5381" s="19">
        <v>305</v>
      </c>
      <c r="L5381" s="19">
        <v>32</v>
      </c>
      <c r="M5381" s="98">
        <v>2200</v>
      </c>
      <c r="N5381" s="19" t="s">
        <v>66</v>
      </c>
      <c r="O5381" s="19" t="s">
        <v>141</v>
      </c>
      <c r="P5381" s="321">
        <v>517</v>
      </c>
      <c r="Q5381" s="19">
        <v>589</v>
      </c>
      <c r="R5381" s="19">
        <f>+P5381-Q5381</f>
        <v>-72</v>
      </c>
      <c r="S5381" s="322">
        <f>865+40</f>
        <v>905</v>
      </c>
      <c r="T5381" s="19" t="s">
        <v>42</v>
      </c>
      <c r="U5381" s="102" t="s">
        <v>1420</v>
      </c>
      <c r="V5381" s="186">
        <v>45373</v>
      </c>
      <c r="W5381" s="17" t="s">
        <v>69</v>
      </c>
      <c r="Y5381" s="68">
        <v>45383</v>
      </c>
      <c r="Z5381" s="17" t="s">
        <v>191</v>
      </c>
      <c r="AA5381" s="17" t="s">
        <v>46</v>
      </c>
      <c r="AB5381" s="17" t="s">
        <v>1343</v>
      </c>
      <c r="AC5381" s="217">
        <v>45433</v>
      </c>
      <c r="AD5381" s="65">
        <v>1575</v>
      </c>
      <c r="AE5381" s="17" t="s">
        <v>74</v>
      </c>
    </row>
    <row r="5382" s="17" customFormat="1" ht="15.6" hidden="1" spans="1:31">
      <c r="A5382" s="17" t="s">
        <v>34</v>
      </c>
      <c r="B5382" s="19">
        <v>994</v>
      </c>
      <c r="C5382" s="183">
        <v>45372</v>
      </c>
      <c r="D5382" s="22" t="s">
        <v>52</v>
      </c>
      <c r="E5382" s="17" t="s">
        <v>1113</v>
      </c>
      <c r="F5382" s="17" t="s">
        <v>54</v>
      </c>
      <c r="H5382" s="141">
        <v>1.2311</v>
      </c>
      <c r="I5382" s="141"/>
      <c r="J5382" s="17" t="s">
        <v>82</v>
      </c>
      <c r="K5382" s="19">
        <v>355</v>
      </c>
      <c r="L5382" s="19">
        <v>32</v>
      </c>
      <c r="M5382" s="98">
        <v>2200</v>
      </c>
      <c r="N5382" s="19" t="s">
        <v>66</v>
      </c>
      <c r="O5382" s="19" t="s">
        <v>141</v>
      </c>
      <c r="P5382" s="321">
        <v>602</v>
      </c>
      <c r="Q5382" s="19">
        <v>622</v>
      </c>
      <c r="R5382" s="19">
        <f>+P5382-Q5382</f>
        <v>-20</v>
      </c>
      <c r="S5382" s="322">
        <f>865+40</f>
        <v>905</v>
      </c>
      <c r="T5382" s="19" t="s">
        <v>42</v>
      </c>
      <c r="U5382" s="102" t="s">
        <v>1420</v>
      </c>
      <c r="V5382" s="186">
        <v>45373</v>
      </c>
      <c r="W5382" s="17" t="s">
        <v>69</v>
      </c>
      <c r="Y5382" s="68">
        <v>45383</v>
      </c>
      <c r="Z5382" s="17" t="s">
        <v>191</v>
      </c>
      <c r="AA5382" s="17" t="s">
        <v>46</v>
      </c>
      <c r="AB5382" s="17" t="s">
        <v>1343</v>
      </c>
      <c r="AC5382" s="217">
        <v>45433</v>
      </c>
      <c r="AD5382" s="65">
        <v>1575</v>
      </c>
      <c r="AE5382" s="17" t="s">
        <v>74</v>
      </c>
    </row>
    <row r="5383" s="17" customFormat="1" ht="15.6" hidden="1" spans="1:31">
      <c r="A5383" s="17" t="s">
        <v>34</v>
      </c>
      <c r="B5383" s="19">
        <v>994</v>
      </c>
      <c r="C5383" s="183">
        <v>45372</v>
      </c>
      <c r="D5383" s="22" t="s">
        <v>52</v>
      </c>
      <c r="E5383" s="17" t="s">
        <v>1113</v>
      </c>
      <c r="F5383" s="17" t="s">
        <v>54</v>
      </c>
      <c r="H5383" s="141">
        <v>1.2311</v>
      </c>
      <c r="I5383" s="141"/>
      <c r="J5383" s="17" t="s">
        <v>82</v>
      </c>
      <c r="K5383" s="19">
        <v>405</v>
      </c>
      <c r="L5383" s="19">
        <v>32</v>
      </c>
      <c r="M5383" s="98">
        <v>2200</v>
      </c>
      <c r="N5383" s="19" t="s">
        <v>66</v>
      </c>
      <c r="O5383" s="19" t="s">
        <v>141</v>
      </c>
      <c r="P5383" s="321">
        <v>458</v>
      </c>
      <c r="Q5383" s="19">
        <v>473</v>
      </c>
      <c r="R5383" s="19">
        <f>+P5383-Q5383</f>
        <v>-15</v>
      </c>
      <c r="S5383" s="322">
        <f>865+40</f>
        <v>905</v>
      </c>
      <c r="T5383" s="19" t="s">
        <v>42</v>
      </c>
      <c r="U5383" s="102" t="s">
        <v>1420</v>
      </c>
      <c r="V5383" s="186">
        <v>45373</v>
      </c>
      <c r="W5383" s="17" t="s">
        <v>69</v>
      </c>
      <c r="Y5383" s="68">
        <v>45383</v>
      </c>
      <c r="Z5383" s="17" t="s">
        <v>191</v>
      </c>
      <c r="AA5383" s="17" t="s">
        <v>46</v>
      </c>
      <c r="AB5383" s="17" t="s">
        <v>1343</v>
      </c>
      <c r="AC5383" s="217">
        <v>45433</v>
      </c>
      <c r="AD5383" s="65">
        <v>1575</v>
      </c>
      <c r="AE5383" s="17" t="s">
        <v>74</v>
      </c>
    </row>
    <row r="5384" s="17" customFormat="1" ht="15.6" hidden="1" spans="1:31">
      <c r="A5384" s="17" t="s">
        <v>34</v>
      </c>
      <c r="B5384" s="19">
        <v>994</v>
      </c>
      <c r="C5384" s="183">
        <v>45372</v>
      </c>
      <c r="D5384" s="22" t="s">
        <v>52</v>
      </c>
      <c r="E5384" s="17" t="s">
        <v>1113</v>
      </c>
      <c r="F5384" s="17" t="s">
        <v>54</v>
      </c>
      <c r="H5384" s="141">
        <v>1.2311</v>
      </c>
      <c r="I5384" s="141"/>
      <c r="J5384" s="17" t="s">
        <v>82</v>
      </c>
      <c r="K5384" s="19">
        <v>455</v>
      </c>
      <c r="L5384" s="19">
        <v>32</v>
      </c>
      <c r="M5384" s="98">
        <v>2200</v>
      </c>
      <c r="N5384" s="19" t="s">
        <v>66</v>
      </c>
      <c r="O5384" s="19" t="s">
        <v>141</v>
      </c>
      <c r="P5384" s="321">
        <v>514</v>
      </c>
      <c r="Q5384" s="19">
        <v>511</v>
      </c>
      <c r="R5384" s="19">
        <f>+P5384-Q5384</f>
        <v>3</v>
      </c>
      <c r="S5384" s="91">
        <v>865</v>
      </c>
      <c r="T5384" s="19" t="s">
        <v>42</v>
      </c>
      <c r="U5384" s="102" t="s">
        <v>1420</v>
      </c>
      <c r="V5384" s="186">
        <v>45373</v>
      </c>
      <c r="W5384" s="17" t="s">
        <v>69</v>
      </c>
      <c r="Y5384" s="68">
        <v>45383</v>
      </c>
      <c r="Z5384" s="17" t="s">
        <v>191</v>
      </c>
      <c r="AA5384" s="17" t="s">
        <v>46</v>
      </c>
      <c r="AB5384" s="17" t="s">
        <v>1341</v>
      </c>
      <c r="AC5384" s="217">
        <v>45400</v>
      </c>
      <c r="AD5384" s="65">
        <v>1562</v>
      </c>
      <c r="AE5384" s="17" t="s">
        <v>74</v>
      </c>
    </row>
    <row r="5385" s="17" customFormat="1" ht="15.6" hidden="1" spans="1:31">
      <c r="A5385" s="17" t="s">
        <v>34</v>
      </c>
      <c r="B5385" s="19">
        <v>994</v>
      </c>
      <c r="C5385" s="183">
        <v>45372</v>
      </c>
      <c r="D5385" s="22" t="s">
        <v>52</v>
      </c>
      <c r="E5385" s="17" t="s">
        <v>1113</v>
      </c>
      <c r="F5385" s="17" t="s">
        <v>54</v>
      </c>
      <c r="H5385" s="141">
        <v>1.2311</v>
      </c>
      <c r="I5385" s="141"/>
      <c r="J5385" s="17" t="s">
        <v>82</v>
      </c>
      <c r="K5385" s="19">
        <v>505</v>
      </c>
      <c r="L5385" s="19">
        <v>32</v>
      </c>
      <c r="M5385" s="98">
        <v>2200</v>
      </c>
      <c r="N5385" s="19" t="s">
        <v>66</v>
      </c>
      <c r="O5385" s="19" t="s">
        <v>141</v>
      </c>
      <c r="P5385" s="321">
        <v>571</v>
      </c>
      <c r="Q5385" s="19">
        <v>589</v>
      </c>
      <c r="R5385" s="19">
        <f>+P5385-Q5385</f>
        <v>-18</v>
      </c>
      <c r="S5385" s="322">
        <f>865+40</f>
        <v>905</v>
      </c>
      <c r="T5385" s="19" t="s">
        <v>42</v>
      </c>
      <c r="U5385" s="102" t="s">
        <v>1420</v>
      </c>
      <c r="V5385" s="186">
        <v>45373</v>
      </c>
      <c r="W5385" s="17" t="s">
        <v>69</v>
      </c>
      <c r="Y5385" s="68">
        <v>45383</v>
      </c>
      <c r="Z5385" s="17" t="s">
        <v>191</v>
      </c>
      <c r="AA5385" s="17" t="s">
        <v>46</v>
      </c>
      <c r="AB5385" s="17" t="s">
        <v>1343</v>
      </c>
      <c r="AC5385" s="217">
        <v>45433</v>
      </c>
      <c r="AD5385" s="65">
        <v>1575</v>
      </c>
      <c r="AE5385" s="17" t="s">
        <v>74</v>
      </c>
    </row>
    <row r="5386" s="17" customFormat="1" ht="15.6" hidden="1" spans="1:31">
      <c r="A5386" s="17" t="s">
        <v>34</v>
      </c>
      <c r="B5386" s="19">
        <v>994</v>
      </c>
      <c r="C5386" s="183">
        <v>45372</v>
      </c>
      <c r="D5386" s="22" t="s">
        <v>52</v>
      </c>
      <c r="E5386" s="17" t="s">
        <v>1113</v>
      </c>
      <c r="F5386" s="17" t="s">
        <v>54</v>
      </c>
      <c r="H5386" s="141">
        <v>1.2311</v>
      </c>
      <c r="I5386" s="141"/>
      <c r="J5386" s="17" t="s">
        <v>82</v>
      </c>
      <c r="K5386" s="19">
        <v>205</v>
      </c>
      <c r="L5386" s="19">
        <v>36</v>
      </c>
      <c r="M5386" s="98">
        <v>2200</v>
      </c>
      <c r="N5386" s="19" t="s">
        <v>66</v>
      </c>
      <c r="O5386" s="19" t="s">
        <v>141</v>
      </c>
      <c r="P5386" s="321">
        <v>1564</v>
      </c>
      <c r="Q5386" s="19">
        <v>591</v>
      </c>
      <c r="S5386" s="91">
        <v>865</v>
      </c>
      <c r="T5386" s="19" t="s">
        <v>42</v>
      </c>
      <c r="U5386" s="102" t="s">
        <v>1420</v>
      </c>
      <c r="V5386" s="186">
        <v>45373</v>
      </c>
      <c r="W5386" s="17" t="s">
        <v>69</v>
      </c>
      <c r="Y5386" s="68">
        <v>45383</v>
      </c>
      <c r="Z5386" s="17" t="s">
        <v>191</v>
      </c>
      <c r="AA5386" s="17" t="s">
        <v>46</v>
      </c>
      <c r="AB5386" s="17" t="s">
        <v>1338</v>
      </c>
      <c r="AC5386" s="217">
        <v>45395</v>
      </c>
      <c r="AD5386" s="65">
        <v>1557</v>
      </c>
      <c r="AE5386" s="17" t="s">
        <v>74</v>
      </c>
    </row>
    <row r="5387" s="17" customFormat="1" ht="15.6" hidden="1" spans="1:31">
      <c r="A5387" s="17" t="s">
        <v>34</v>
      </c>
      <c r="B5387" s="19">
        <v>994</v>
      </c>
      <c r="C5387" s="183">
        <v>45372</v>
      </c>
      <c r="D5387" s="22" t="s">
        <v>52</v>
      </c>
      <c r="E5387" s="17" t="s">
        <v>1113</v>
      </c>
      <c r="F5387" s="17" t="s">
        <v>54</v>
      </c>
      <c r="H5387" s="141">
        <v>1.2311</v>
      </c>
      <c r="I5387" s="141"/>
      <c r="J5387" s="17" t="s">
        <v>82</v>
      </c>
      <c r="K5387" s="19">
        <v>205</v>
      </c>
      <c r="L5387" s="19">
        <v>36</v>
      </c>
      <c r="M5387" s="98">
        <v>2200</v>
      </c>
      <c r="N5387" s="19" t="s">
        <v>66</v>
      </c>
      <c r="O5387" s="19" t="s">
        <v>141</v>
      </c>
      <c r="P5387" s="321"/>
      <c r="Q5387" s="19">
        <v>547</v>
      </c>
      <c r="S5387" s="91">
        <v>865</v>
      </c>
      <c r="T5387" s="19" t="s">
        <v>42</v>
      </c>
      <c r="U5387" s="102" t="s">
        <v>1420</v>
      </c>
      <c r="V5387" s="186">
        <v>45373</v>
      </c>
      <c r="W5387" s="17" t="s">
        <v>69</v>
      </c>
      <c r="Y5387" s="68">
        <v>45383</v>
      </c>
      <c r="Z5387" s="17" t="s">
        <v>191</v>
      </c>
      <c r="AA5387" s="17" t="s">
        <v>46</v>
      </c>
      <c r="AB5387" s="17" t="s">
        <v>1337</v>
      </c>
      <c r="AC5387" s="217">
        <v>45400</v>
      </c>
      <c r="AD5387" s="65">
        <v>1563</v>
      </c>
      <c r="AE5387" s="17" t="s">
        <v>74</v>
      </c>
    </row>
    <row r="5388" s="17" customFormat="1" ht="15.6" hidden="1" spans="1:31">
      <c r="A5388" s="17" t="s">
        <v>34</v>
      </c>
      <c r="B5388" s="19">
        <v>994</v>
      </c>
      <c r="C5388" s="183">
        <v>45372</v>
      </c>
      <c r="D5388" s="22" t="s">
        <v>52</v>
      </c>
      <c r="E5388" s="17" t="s">
        <v>1113</v>
      </c>
      <c r="F5388" s="17" t="s">
        <v>54</v>
      </c>
      <c r="H5388" s="141">
        <v>1.2311</v>
      </c>
      <c r="I5388" s="141"/>
      <c r="J5388" s="17" t="s">
        <v>82</v>
      </c>
      <c r="K5388" s="19">
        <v>205</v>
      </c>
      <c r="L5388" s="19">
        <v>36</v>
      </c>
      <c r="M5388" s="98">
        <v>2200</v>
      </c>
      <c r="N5388" s="19" t="s">
        <v>66</v>
      </c>
      <c r="O5388" s="19" t="s">
        <v>141</v>
      </c>
      <c r="P5388" s="321"/>
      <c r="Q5388" s="19">
        <v>822</v>
      </c>
      <c r="R5388" s="99">
        <f>+P5386-Q5386-Q5387-Q5388</f>
        <v>-396</v>
      </c>
      <c r="S5388" s="91">
        <f>865+60</f>
        <v>925</v>
      </c>
      <c r="T5388" s="19" t="s">
        <v>42</v>
      </c>
      <c r="U5388" s="102" t="s">
        <v>1420</v>
      </c>
      <c r="V5388" s="186">
        <v>45373</v>
      </c>
      <c r="W5388" s="17" t="s">
        <v>69</v>
      </c>
      <c r="Y5388" s="68">
        <v>45383</v>
      </c>
      <c r="Z5388" s="17" t="s">
        <v>191</v>
      </c>
      <c r="AA5388" s="17" t="s">
        <v>46</v>
      </c>
      <c r="AB5388" s="17" t="s">
        <v>1339</v>
      </c>
      <c r="AC5388" s="217">
        <v>45433</v>
      </c>
      <c r="AD5388" s="65">
        <v>1570</v>
      </c>
      <c r="AE5388" s="17" t="s">
        <v>74</v>
      </c>
    </row>
    <row r="5389" s="17" customFormat="1" ht="15.6" hidden="1" spans="1:31">
      <c r="A5389" s="17" t="s">
        <v>34</v>
      </c>
      <c r="B5389" s="19">
        <v>994</v>
      </c>
      <c r="C5389" s="183">
        <v>45372</v>
      </c>
      <c r="D5389" s="22" t="s">
        <v>52</v>
      </c>
      <c r="E5389" s="17" t="s">
        <v>1113</v>
      </c>
      <c r="F5389" s="17" t="s">
        <v>54</v>
      </c>
      <c r="H5389" s="141">
        <v>1.2311</v>
      </c>
      <c r="I5389" s="141"/>
      <c r="J5389" s="17" t="s">
        <v>82</v>
      </c>
      <c r="K5389" s="19">
        <v>255</v>
      </c>
      <c r="L5389" s="19">
        <v>36</v>
      </c>
      <c r="M5389" s="98">
        <v>2200</v>
      </c>
      <c r="N5389" s="19" t="s">
        <v>66</v>
      </c>
      <c r="O5389" s="19" t="s">
        <v>141</v>
      </c>
      <c r="P5389" s="321">
        <v>1459</v>
      </c>
      <c r="Q5389" s="19">
        <v>172</v>
      </c>
      <c r="S5389" s="91">
        <v>865</v>
      </c>
      <c r="T5389" s="19" t="s">
        <v>42</v>
      </c>
      <c r="U5389" s="102" t="s">
        <v>1420</v>
      </c>
      <c r="V5389" s="186">
        <v>45373</v>
      </c>
      <c r="W5389" s="17" t="s">
        <v>69</v>
      </c>
      <c r="Y5389" s="68">
        <v>45383</v>
      </c>
      <c r="Z5389" s="17" t="s">
        <v>191</v>
      </c>
      <c r="AA5389" s="17" t="s">
        <v>46</v>
      </c>
      <c r="AB5389" s="17" t="s">
        <v>1338</v>
      </c>
      <c r="AC5389" s="217">
        <v>45395</v>
      </c>
      <c r="AD5389" s="65">
        <v>1557</v>
      </c>
      <c r="AE5389" s="17" t="s">
        <v>74</v>
      </c>
    </row>
    <row r="5390" s="17" customFormat="1" ht="15.6" hidden="1" spans="1:31">
      <c r="A5390" s="17" t="s">
        <v>34</v>
      </c>
      <c r="B5390" s="19">
        <v>994</v>
      </c>
      <c r="C5390" s="183">
        <v>45372</v>
      </c>
      <c r="D5390" s="22" t="s">
        <v>52</v>
      </c>
      <c r="E5390" s="17" t="s">
        <v>1113</v>
      </c>
      <c r="F5390" s="17" t="s">
        <v>54</v>
      </c>
      <c r="H5390" s="141">
        <v>1.2311</v>
      </c>
      <c r="I5390" s="141"/>
      <c r="J5390" s="17" t="s">
        <v>82</v>
      </c>
      <c r="K5390" s="19">
        <v>255</v>
      </c>
      <c r="L5390" s="19">
        <v>36</v>
      </c>
      <c r="M5390" s="98">
        <v>2200</v>
      </c>
      <c r="N5390" s="19" t="s">
        <v>66</v>
      </c>
      <c r="O5390" s="19" t="s">
        <v>141</v>
      </c>
      <c r="P5390" s="321"/>
      <c r="Q5390" s="19">
        <f>345+340</f>
        <v>685</v>
      </c>
      <c r="S5390" s="91">
        <v>865</v>
      </c>
      <c r="T5390" s="19" t="s">
        <v>42</v>
      </c>
      <c r="U5390" s="102" t="s">
        <v>1420</v>
      </c>
      <c r="V5390" s="186">
        <v>45373</v>
      </c>
      <c r="W5390" s="17" t="s">
        <v>69</v>
      </c>
      <c r="Y5390" s="68">
        <v>45383</v>
      </c>
      <c r="Z5390" s="17" t="s">
        <v>191</v>
      </c>
      <c r="AA5390" s="17" t="s">
        <v>46</v>
      </c>
      <c r="AB5390" s="17" t="s">
        <v>1341</v>
      </c>
      <c r="AC5390" s="217">
        <v>45400</v>
      </c>
      <c r="AD5390" s="65">
        <v>1562</v>
      </c>
      <c r="AE5390" s="17" t="s">
        <v>74</v>
      </c>
    </row>
    <row r="5391" s="17" customFormat="1" ht="15.6" hidden="1" spans="1:31">
      <c r="A5391" s="17" t="s">
        <v>34</v>
      </c>
      <c r="B5391" s="19">
        <v>994</v>
      </c>
      <c r="C5391" s="183">
        <v>45372</v>
      </c>
      <c r="D5391" s="22" t="s">
        <v>52</v>
      </c>
      <c r="E5391" s="17" t="s">
        <v>1113</v>
      </c>
      <c r="F5391" s="17" t="s">
        <v>54</v>
      </c>
      <c r="H5391" s="141">
        <v>1.2311</v>
      </c>
      <c r="I5391" s="141"/>
      <c r="J5391" s="17" t="s">
        <v>82</v>
      </c>
      <c r="K5391" s="19">
        <v>255</v>
      </c>
      <c r="L5391" s="19">
        <v>36</v>
      </c>
      <c r="M5391" s="98">
        <v>2200</v>
      </c>
      <c r="N5391" s="19" t="s">
        <v>66</v>
      </c>
      <c r="O5391" s="19" t="s">
        <v>141</v>
      </c>
      <c r="P5391" s="321"/>
      <c r="Q5391" s="19">
        <v>678</v>
      </c>
      <c r="R5391" s="99">
        <f>+P5389-Q5389-Q5390-Q5391</f>
        <v>-76</v>
      </c>
      <c r="S5391" s="91">
        <f>865+60</f>
        <v>925</v>
      </c>
      <c r="T5391" s="19" t="s">
        <v>42</v>
      </c>
      <c r="U5391" s="102" t="s">
        <v>1420</v>
      </c>
      <c r="V5391" s="186">
        <v>45373</v>
      </c>
      <c r="W5391" s="17" t="s">
        <v>69</v>
      </c>
      <c r="Y5391" s="68">
        <v>45383</v>
      </c>
      <c r="Z5391" s="17" t="s">
        <v>191</v>
      </c>
      <c r="AA5391" s="17" t="s">
        <v>46</v>
      </c>
      <c r="AB5391" s="17" t="s">
        <v>1339</v>
      </c>
      <c r="AC5391" s="217">
        <v>45433</v>
      </c>
      <c r="AD5391" s="65">
        <v>1570</v>
      </c>
      <c r="AE5391" s="17" t="s">
        <v>74</v>
      </c>
    </row>
    <row r="5392" s="17" customFormat="1" ht="15.6" hidden="1" spans="1:31">
      <c r="A5392" s="17" t="s">
        <v>34</v>
      </c>
      <c r="B5392" s="19">
        <v>994</v>
      </c>
      <c r="C5392" s="183">
        <v>45372</v>
      </c>
      <c r="D5392" s="22" t="s">
        <v>52</v>
      </c>
      <c r="E5392" s="17" t="s">
        <v>1113</v>
      </c>
      <c r="F5392" s="17" t="s">
        <v>54</v>
      </c>
      <c r="H5392" s="141">
        <v>1.2311</v>
      </c>
      <c r="I5392" s="141"/>
      <c r="J5392" s="17" t="s">
        <v>82</v>
      </c>
      <c r="K5392" s="19">
        <v>305</v>
      </c>
      <c r="L5392" s="19">
        <v>36</v>
      </c>
      <c r="M5392" s="98">
        <v>2200</v>
      </c>
      <c r="N5392" s="19" t="s">
        <v>66</v>
      </c>
      <c r="O5392" s="19" t="s">
        <v>141</v>
      </c>
      <c r="P5392" s="321">
        <v>582</v>
      </c>
      <c r="Q5392" s="19">
        <v>403</v>
      </c>
      <c r="S5392" s="91">
        <v>865</v>
      </c>
      <c r="T5392" s="19" t="s">
        <v>42</v>
      </c>
      <c r="U5392" s="102" t="s">
        <v>1420</v>
      </c>
      <c r="V5392" s="186">
        <v>45373</v>
      </c>
      <c r="W5392" s="17" t="s">
        <v>69</v>
      </c>
      <c r="Y5392" s="68">
        <v>45383</v>
      </c>
      <c r="Z5392" s="17" t="s">
        <v>191</v>
      </c>
      <c r="AA5392" s="17" t="s">
        <v>46</v>
      </c>
      <c r="AB5392" s="17" t="s">
        <v>1337</v>
      </c>
      <c r="AC5392" s="217">
        <v>45400</v>
      </c>
      <c r="AD5392" s="65">
        <v>1563</v>
      </c>
      <c r="AE5392" s="17" t="s">
        <v>74</v>
      </c>
    </row>
    <row r="5393" s="17" customFormat="1" ht="15.6" hidden="1" spans="1:31">
      <c r="A5393" s="17" t="s">
        <v>34</v>
      </c>
      <c r="B5393" s="19">
        <v>994</v>
      </c>
      <c r="C5393" s="183">
        <v>45372</v>
      </c>
      <c r="D5393" s="22" t="s">
        <v>52</v>
      </c>
      <c r="E5393" s="17" t="s">
        <v>1113</v>
      </c>
      <c r="F5393" s="17" t="s">
        <v>54</v>
      </c>
      <c r="H5393" s="141">
        <v>1.2311</v>
      </c>
      <c r="I5393" s="141"/>
      <c r="J5393" s="17" t="s">
        <v>82</v>
      </c>
      <c r="K5393" s="19">
        <v>305</v>
      </c>
      <c r="L5393" s="19">
        <v>36</v>
      </c>
      <c r="M5393" s="98">
        <v>2200</v>
      </c>
      <c r="N5393" s="19" t="s">
        <v>66</v>
      </c>
      <c r="O5393" s="19" t="s">
        <v>141</v>
      </c>
      <c r="P5393" s="321"/>
      <c r="Q5393" s="19">
        <v>201</v>
      </c>
      <c r="R5393" s="99">
        <f>+P5392-Q5392-Q5393</f>
        <v>-22</v>
      </c>
      <c r="S5393" s="91">
        <f>865+60</f>
        <v>925</v>
      </c>
      <c r="T5393" s="19" t="s">
        <v>42</v>
      </c>
      <c r="U5393" s="102" t="s">
        <v>1420</v>
      </c>
      <c r="V5393" s="186">
        <v>45373</v>
      </c>
      <c r="W5393" s="17" t="s">
        <v>69</v>
      </c>
      <c r="Y5393" s="68">
        <v>45383</v>
      </c>
      <c r="Z5393" s="17" t="s">
        <v>191</v>
      </c>
      <c r="AA5393" s="17" t="s">
        <v>46</v>
      </c>
      <c r="AB5393" s="17" t="s">
        <v>1339</v>
      </c>
      <c r="AC5393" s="217">
        <v>45433</v>
      </c>
      <c r="AD5393" s="65">
        <v>1570</v>
      </c>
      <c r="AE5393" s="17" t="s">
        <v>74</v>
      </c>
    </row>
    <row r="5394" s="17" customFormat="1" ht="15.6" hidden="1" spans="1:31">
      <c r="A5394" s="17" t="s">
        <v>34</v>
      </c>
      <c r="B5394" s="19">
        <v>994</v>
      </c>
      <c r="C5394" s="183">
        <v>45372</v>
      </c>
      <c r="D5394" s="22" t="s">
        <v>52</v>
      </c>
      <c r="E5394" s="17" t="s">
        <v>1113</v>
      </c>
      <c r="F5394" s="17" t="s">
        <v>54</v>
      </c>
      <c r="H5394" s="141">
        <v>1.2311</v>
      </c>
      <c r="I5394" s="141"/>
      <c r="J5394" s="17" t="s">
        <v>82</v>
      </c>
      <c r="K5394" s="19">
        <v>355</v>
      </c>
      <c r="L5394" s="19">
        <v>36</v>
      </c>
      <c r="M5394" s="98">
        <v>2200</v>
      </c>
      <c r="N5394" s="19" t="s">
        <v>66</v>
      </c>
      <c r="O5394" s="19" t="s">
        <v>141</v>
      </c>
      <c r="P5394" s="321">
        <v>451</v>
      </c>
      <c r="Q5394" s="19">
        <v>467</v>
      </c>
      <c r="R5394" s="19">
        <f>+P5394-Q5394</f>
        <v>-16</v>
      </c>
      <c r="S5394" s="91">
        <f>865+60</f>
        <v>925</v>
      </c>
      <c r="T5394" s="19" t="s">
        <v>42</v>
      </c>
      <c r="U5394" s="102" t="s">
        <v>1420</v>
      </c>
      <c r="V5394" s="186">
        <v>45373</v>
      </c>
      <c r="W5394" s="17" t="s">
        <v>69</v>
      </c>
      <c r="Y5394" s="68">
        <v>45383</v>
      </c>
      <c r="Z5394" s="17" t="s">
        <v>191</v>
      </c>
      <c r="AA5394" s="17" t="s">
        <v>46</v>
      </c>
      <c r="AB5394" s="17" t="s">
        <v>1339</v>
      </c>
      <c r="AC5394" s="217">
        <v>45433</v>
      </c>
      <c r="AD5394" s="65">
        <v>1570</v>
      </c>
      <c r="AE5394" s="17" t="s">
        <v>74</v>
      </c>
    </row>
    <row r="5395" s="17" customFormat="1" ht="15.6" hidden="1" spans="1:31">
      <c r="A5395" s="17" t="s">
        <v>34</v>
      </c>
      <c r="B5395" s="19">
        <v>994</v>
      </c>
      <c r="C5395" s="183">
        <v>45372</v>
      </c>
      <c r="D5395" s="22" t="s">
        <v>52</v>
      </c>
      <c r="E5395" s="17" t="s">
        <v>1113</v>
      </c>
      <c r="F5395" s="17" t="s">
        <v>54</v>
      </c>
      <c r="H5395" s="141">
        <v>1.2311</v>
      </c>
      <c r="I5395" s="141"/>
      <c r="J5395" s="17" t="s">
        <v>82</v>
      </c>
      <c r="K5395" s="19">
        <v>405</v>
      </c>
      <c r="L5395" s="19">
        <v>36</v>
      </c>
      <c r="M5395" s="98">
        <v>2200</v>
      </c>
      <c r="N5395" s="19" t="s">
        <v>66</v>
      </c>
      <c r="O5395" s="19" t="s">
        <v>141</v>
      </c>
      <c r="P5395" s="321">
        <v>515</v>
      </c>
      <c r="Q5395" s="19">
        <v>267</v>
      </c>
      <c r="S5395" s="91">
        <v>865</v>
      </c>
      <c r="T5395" s="19" t="s">
        <v>42</v>
      </c>
      <c r="U5395" s="102" t="s">
        <v>1420</v>
      </c>
      <c r="V5395" s="186">
        <v>45373</v>
      </c>
      <c r="W5395" s="17" t="s">
        <v>69</v>
      </c>
      <c r="Y5395" s="68">
        <v>45383</v>
      </c>
      <c r="Z5395" s="17" t="s">
        <v>191</v>
      </c>
      <c r="AA5395" s="17" t="s">
        <v>46</v>
      </c>
      <c r="AB5395" s="17" t="s">
        <v>1341</v>
      </c>
      <c r="AC5395" s="217">
        <v>45400</v>
      </c>
      <c r="AD5395" s="65">
        <v>1562</v>
      </c>
      <c r="AE5395" s="17" t="s">
        <v>74</v>
      </c>
    </row>
    <row r="5396" s="17" customFormat="1" ht="15.6" hidden="1" spans="1:31">
      <c r="A5396" s="17" t="s">
        <v>34</v>
      </c>
      <c r="B5396" s="19">
        <v>994</v>
      </c>
      <c r="C5396" s="183">
        <v>45372</v>
      </c>
      <c r="D5396" s="22" t="s">
        <v>52</v>
      </c>
      <c r="E5396" s="17" t="s">
        <v>1113</v>
      </c>
      <c r="F5396" s="17" t="s">
        <v>54</v>
      </c>
      <c r="H5396" s="141">
        <v>1.2311</v>
      </c>
      <c r="I5396" s="141"/>
      <c r="J5396" s="17" t="s">
        <v>82</v>
      </c>
      <c r="K5396" s="19">
        <v>405</v>
      </c>
      <c r="L5396" s="19">
        <v>36</v>
      </c>
      <c r="M5396" s="98">
        <v>2200</v>
      </c>
      <c r="N5396" s="19" t="s">
        <v>66</v>
      </c>
      <c r="O5396" s="19" t="s">
        <v>141</v>
      </c>
      <c r="P5396" s="321"/>
      <c r="Q5396" s="19">
        <v>270</v>
      </c>
      <c r="R5396" s="99">
        <f>+P5395-Q5395-Q5396</f>
        <v>-22</v>
      </c>
      <c r="S5396" s="91">
        <f>865+60</f>
        <v>925</v>
      </c>
      <c r="T5396" s="19" t="s">
        <v>42</v>
      </c>
      <c r="U5396" s="102" t="s">
        <v>1420</v>
      </c>
      <c r="V5396" s="186">
        <v>45373</v>
      </c>
      <c r="W5396" s="17" t="s">
        <v>69</v>
      </c>
      <c r="Y5396" s="68">
        <v>45383</v>
      </c>
      <c r="Z5396" s="17" t="s">
        <v>191</v>
      </c>
      <c r="AA5396" s="17" t="s">
        <v>46</v>
      </c>
      <c r="AB5396" s="17" t="s">
        <v>1339</v>
      </c>
      <c r="AC5396" s="217">
        <v>45433</v>
      </c>
      <c r="AD5396" s="65">
        <v>1570</v>
      </c>
      <c r="AE5396" s="17" t="s">
        <v>74</v>
      </c>
    </row>
    <row r="5397" s="17" customFormat="1" ht="15.6" hidden="1" spans="1:31">
      <c r="A5397" s="17" t="s">
        <v>34</v>
      </c>
      <c r="B5397" s="19">
        <v>994</v>
      </c>
      <c r="C5397" s="183">
        <v>45372</v>
      </c>
      <c r="D5397" s="22" t="s">
        <v>52</v>
      </c>
      <c r="E5397" s="17" t="s">
        <v>1113</v>
      </c>
      <c r="F5397" s="17" t="s">
        <v>54</v>
      </c>
      <c r="H5397" s="141">
        <v>1.2311</v>
      </c>
      <c r="I5397" s="141"/>
      <c r="J5397" s="17" t="s">
        <v>82</v>
      </c>
      <c r="K5397" s="19">
        <v>455</v>
      </c>
      <c r="L5397" s="19">
        <v>36</v>
      </c>
      <c r="M5397" s="98">
        <v>2200</v>
      </c>
      <c r="N5397" s="19" t="s">
        <v>66</v>
      </c>
      <c r="O5397" s="19" t="s">
        <v>141</v>
      </c>
      <c r="P5397" s="321">
        <v>579</v>
      </c>
      <c r="Q5397" s="19">
        <v>593</v>
      </c>
      <c r="R5397" s="19">
        <f>+P5397-Q5397</f>
        <v>-14</v>
      </c>
      <c r="S5397" s="91">
        <f>865+60</f>
        <v>925</v>
      </c>
      <c r="T5397" s="19" t="s">
        <v>42</v>
      </c>
      <c r="U5397" s="102" t="s">
        <v>1420</v>
      </c>
      <c r="V5397" s="186">
        <v>45373</v>
      </c>
      <c r="W5397" s="17" t="s">
        <v>69</v>
      </c>
      <c r="Y5397" s="68">
        <v>45383</v>
      </c>
      <c r="Z5397" s="17" t="s">
        <v>191</v>
      </c>
      <c r="AA5397" s="17" t="s">
        <v>46</v>
      </c>
      <c r="AB5397" s="17" t="s">
        <v>1339</v>
      </c>
      <c r="AC5397" s="217">
        <v>45433</v>
      </c>
      <c r="AD5397" s="65">
        <v>1570</v>
      </c>
      <c r="AE5397" s="17" t="s">
        <v>74</v>
      </c>
    </row>
    <row r="5398" s="17" customFormat="1" ht="15.6" hidden="1" spans="1:31">
      <c r="A5398" s="17" t="s">
        <v>34</v>
      </c>
      <c r="B5398" s="19">
        <v>994</v>
      </c>
      <c r="C5398" s="183">
        <v>45372</v>
      </c>
      <c r="D5398" s="22" t="s">
        <v>52</v>
      </c>
      <c r="E5398" s="17" t="s">
        <v>1113</v>
      </c>
      <c r="F5398" s="17" t="s">
        <v>54</v>
      </c>
      <c r="H5398" s="141">
        <v>1.2311</v>
      </c>
      <c r="I5398" s="141"/>
      <c r="J5398" s="17" t="s">
        <v>82</v>
      </c>
      <c r="K5398" s="19">
        <v>505</v>
      </c>
      <c r="L5398" s="19">
        <v>36</v>
      </c>
      <c r="M5398" s="98">
        <v>2200</v>
      </c>
      <c r="N5398" s="19" t="s">
        <v>66</v>
      </c>
      <c r="O5398" s="19" t="s">
        <v>141</v>
      </c>
      <c r="P5398" s="321">
        <v>642</v>
      </c>
      <c r="Q5398" s="19">
        <v>664</v>
      </c>
      <c r="R5398" s="19">
        <f>+P5398-Q5398</f>
        <v>-22</v>
      </c>
      <c r="S5398" s="91">
        <f>865+60</f>
        <v>925</v>
      </c>
      <c r="T5398" s="19" t="s">
        <v>42</v>
      </c>
      <c r="U5398" s="102" t="s">
        <v>1420</v>
      </c>
      <c r="V5398" s="186">
        <v>45373</v>
      </c>
      <c r="W5398" s="17" t="s">
        <v>69</v>
      </c>
      <c r="Y5398" s="68">
        <v>45383</v>
      </c>
      <c r="Z5398" s="17" t="s">
        <v>191</v>
      </c>
      <c r="AA5398" s="17" t="s">
        <v>46</v>
      </c>
      <c r="AB5398" s="17" t="s">
        <v>1339</v>
      </c>
      <c r="AC5398" s="217">
        <v>45433</v>
      </c>
      <c r="AD5398" s="65">
        <v>1570</v>
      </c>
      <c r="AE5398" s="17" t="s">
        <v>74</v>
      </c>
    </row>
    <row r="5399" s="17" customFormat="1" ht="15.6" hidden="1" spans="1:31">
      <c r="A5399" s="17" t="s">
        <v>34</v>
      </c>
      <c r="B5399" s="19">
        <v>994</v>
      </c>
      <c r="C5399" s="183">
        <v>45372</v>
      </c>
      <c r="D5399" s="22" t="s">
        <v>52</v>
      </c>
      <c r="E5399" s="17" t="s">
        <v>1113</v>
      </c>
      <c r="F5399" s="17" t="s">
        <v>54</v>
      </c>
      <c r="H5399" s="141">
        <v>1.2311</v>
      </c>
      <c r="I5399" s="141"/>
      <c r="J5399" s="17" t="s">
        <v>82</v>
      </c>
      <c r="K5399" s="19">
        <v>205</v>
      </c>
      <c r="L5399" s="19">
        <v>40</v>
      </c>
      <c r="M5399" s="98">
        <v>2200</v>
      </c>
      <c r="N5399" s="19" t="s">
        <v>66</v>
      </c>
      <c r="O5399" s="19" t="s">
        <v>141</v>
      </c>
      <c r="P5399" s="321">
        <v>2028</v>
      </c>
      <c r="Q5399" s="19">
        <v>627</v>
      </c>
      <c r="S5399" s="91">
        <v>865</v>
      </c>
      <c r="T5399" s="19" t="s">
        <v>42</v>
      </c>
      <c r="U5399" s="102" t="s">
        <v>1420</v>
      </c>
      <c r="V5399" s="186">
        <v>45373</v>
      </c>
      <c r="W5399" s="17" t="s">
        <v>69</v>
      </c>
      <c r="Y5399" s="68">
        <v>45383</v>
      </c>
      <c r="Z5399" s="17" t="s">
        <v>191</v>
      </c>
      <c r="AA5399" s="17" t="s">
        <v>46</v>
      </c>
      <c r="AB5399" s="17" t="s">
        <v>1341</v>
      </c>
      <c r="AC5399" s="217">
        <v>45400</v>
      </c>
      <c r="AD5399" s="65">
        <v>1562</v>
      </c>
      <c r="AE5399" s="17" t="s">
        <v>74</v>
      </c>
    </row>
    <row r="5400" s="17" customFormat="1" ht="15.6" hidden="1" spans="1:31">
      <c r="A5400" s="17" t="s">
        <v>34</v>
      </c>
      <c r="B5400" s="19">
        <v>994</v>
      </c>
      <c r="C5400" s="183">
        <v>45372</v>
      </c>
      <c r="D5400" s="22" t="s">
        <v>52</v>
      </c>
      <c r="E5400" s="17" t="s">
        <v>1113</v>
      </c>
      <c r="F5400" s="17" t="s">
        <v>54</v>
      </c>
      <c r="H5400" s="141">
        <v>1.2311</v>
      </c>
      <c r="I5400" s="141"/>
      <c r="J5400" s="17" t="s">
        <v>82</v>
      </c>
      <c r="K5400" s="19">
        <v>205</v>
      </c>
      <c r="L5400" s="19">
        <v>40</v>
      </c>
      <c r="M5400" s="98">
        <v>2200</v>
      </c>
      <c r="N5400" s="19" t="s">
        <v>66</v>
      </c>
      <c r="O5400" s="19" t="s">
        <v>141</v>
      </c>
      <c r="P5400" s="321"/>
      <c r="Q5400" s="19">
        <v>623</v>
      </c>
      <c r="S5400" s="91">
        <v>865</v>
      </c>
      <c r="T5400" s="19" t="s">
        <v>42</v>
      </c>
      <c r="U5400" s="102" t="s">
        <v>1420</v>
      </c>
      <c r="V5400" s="186">
        <v>45373</v>
      </c>
      <c r="W5400" s="17" t="s">
        <v>69</v>
      </c>
      <c r="Y5400" s="68">
        <v>45383</v>
      </c>
      <c r="Z5400" s="17" t="s">
        <v>191</v>
      </c>
      <c r="AA5400" s="17" t="s">
        <v>46</v>
      </c>
      <c r="AB5400" s="17" t="s">
        <v>1337</v>
      </c>
      <c r="AC5400" s="217">
        <v>45400</v>
      </c>
      <c r="AD5400" s="65">
        <v>1563</v>
      </c>
      <c r="AE5400" s="17" t="s">
        <v>74</v>
      </c>
    </row>
    <row r="5401" s="17" customFormat="1" ht="15.6" hidden="1" spans="1:31">
      <c r="A5401" s="17" t="s">
        <v>34</v>
      </c>
      <c r="B5401" s="19">
        <v>994</v>
      </c>
      <c r="C5401" s="183">
        <v>45372</v>
      </c>
      <c r="D5401" s="22" t="s">
        <v>52</v>
      </c>
      <c r="E5401" s="17" t="s">
        <v>1113</v>
      </c>
      <c r="F5401" s="17" t="s">
        <v>54</v>
      </c>
      <c r="H5401" s="141">
        <v>1.2311</v>
      </c>
      <c r="I5401" s="141"/>
      <c r="J5401" s="17" t="s">
        <v>82</v>
      </c>
      <c r="K5401" s="19">
        <v>205</v>
      </c>
      <c r="L5401" s="19">
        <v>40</v>
      </c>
      <c r="M5401" s="98">
        <v>2200</v>
      </c>
      <c r="N5401" s="19" t="s">
        <v>66</v>
      </c>
      <c r="O5401" s="19" t="s">
        <v>141</v>
      </c>
      <c r="P5401" s="321"/>
      <c r="Q5401" s="19">
        <v>932</v>
      </c>
      <c r="R5401" s="99">
        <f>+P5399-Q5399-Q5400-Q5401</f>
        <v>-154</v>
      </c>
      <c r="S5401" s="91">
        <f>865+60</f>
        <v>925</v>
      </c>
      <c r="T5401" s="19" t="s">
        <v>42</v>
      </c>
      <c r="U5401" s="102" t="s">
        <v>1420</v>
      </c>
      <c r="V5401" s="186">
        <v>45373</v>
      </c>
      <c r="W5401" s="17" t="s">
        <v>69</v>
      </c>
      <c r="Y5401" s="68">
        <v>45383</v>
      </c>
      <c r="Z5401" s="17" t="s">
        <v>191</v>
      </c>
      <c r="AA5401" s="17" t="s">
        <v>46</v>
      </c>
      <c r="AB5401" s="17" t="s">
        <v>1339</v>
      </c>
      <c r="AC5401" s="217">
        <v>45433</v>
      </c>
      <c r="AD5401" s="65">
        <v>1570</v>
      </c>
      <c r="AE5401" s="17" t="s">
        <v>74</v>
      </c>
    </row>
    <row r="5402" s="17" customFormat="1" ht="15.6" hidden="1" spans="1:31">
      <c r="A5402" s="17" t="s">
        <v>34</v>
      </c>
      <c r="B5402" s="19">
        <v>994</v>
      </c>
      <c r="C5402" s="183">
        <v>45372</v>
      </c>
      <c r="D5402" s="22" t="s">
        <v>52</v>
      </c>
      <c r="E5402" s="17" t="s">
        <v>1113</v>
      </c>
      <c r="F5402" s="17" t="s">
        <v>54</v>
      </c>
      <c r="H5402" s="141">
        <v>1.2311</v>
      </c>
      <c r="I5402" s="141"/>
      <c r="J5402" s="17" t="s">
        <v>82</v>
      </c>
      <c r="K5402" s="19">
        <v>255</v>
      </c>
      <c r="L5402" s="19">
        <v>40</v>
      </c>
      <c r="M5402" s="98">
        <v>2200</v>
      </c>
      <c r="N5402" s="19" t="s">
        <v>66</v>
      </c>
      <c r="O5402" s="19" t="s">
        <v>141</v>
      </c>
      <c r="P5402" s="321">
        <v>3243</v>
      </c>
      <c r="Q5402" s="19">
        <v>384</v>
      </c>
      <c r="S5402" s="91">
        <v>865</v>
      </c>
      <c r="T5402" s="19" t="s">
        <v>42</v>
      </c>
      <c r="U5402" s="102" t="s">
        <v>1420</v>
      </c>
      <c r="V5402" s="186">
        <v>45373</v>
      </c>
      <c r="W5402" s="17" t="s">
        <v>69</v>
      </c>
      <c r="Y5402" s="68">
        <v>45383</v>
      </c>
      <c r="Z5402" s="17" t="s">
        <v>191</v>
      </c>
      <c r="AA5402" s="17" t="s">
        <v>46</v>
      </c>
      <c r="AB5402" s="17" t="s">
        <v>1341</v>
      </c>
      <c r="AC5402" s="217">
        <v>45400</v>
      </c>
      <c r="AD5402" s="65">
        <v>1562</v>
      </c>
      <c r="AE5402" s="17" t="s">
        <v>74</v>
      </c>
    </row>
    <row r="5403" s="17" customFormat="1" ht="15.6" hidden="1" spans="1:31">
      <c r="A5403" s="17" t="s">
        <v>34</v>
      </c>
      <c r="B5403" s="19">
        <v>994</v>
      </c>
      <c r="C5403" s="183">
        <v>45372</v>
      </c>
      <c r="D5403" s="22" t="s">
        <v>52</v>
      </c>
      <c r="E5403" s="17" t="s">
        <v>1113</v>
      </c>
      <c r="F5403" s="17" t="s">
        <v>54</v>
      </c>
      <c r="H5403" s="141">
        <v>1.2311</v>
      </c>
      <c r="I5403" s="141"/>
      <c r="J5403" s="17" t="s">
        <v>82</v>
      </c>
      <c r="K5403" s="19">
        <v>255</v>
      </c>
      <c r="L5403" s="19">
        <v>40</v>
      </c>
      <c r="M5403" s="98">
        <v>2200</v>
      </c>
      <c r="N5403" s="19" t="s">
        <v>66</v>
      </c>
      <c r="O5403" s="19" t="s">
        <v>141</v>
      </c>
      <c r="P5403" s="321"/>
      <c r="Q5403" s="19">
        <v>1180</v>
      </c>
      <c r="S5403" s="91">
        <v>865</v>
      </c>
      <c r="T5403" s="19" t="s">
        <v>42</v>
      </c>
      <c r="U5403" s="102" t="s">
        <v>1420</v>
      </c>
      <c r="V5403" s="186">
        <v>45373</v>
      </c>
      <c r="W5403" s="17" t="s">
        <v>69</v>
      </c>
      <c r="Y5403" s="68">
        <v>45383</v>
      </c>
      <c r="Z5403" s="17" t="s">
        <v>191</v>
      </c>
      <c r="AA5403" s="17" t="s">
        <v>46</v>
      </c>
      <c r="AB5403" s="17" t="s">
        <v>1337</v>
      </c>
      <c r="AC5403" s="217">
        <v>45400</v>
      </c>
      <c r="AD5403" s="65">
        <v>1563</v>
      </c>
      <c r="AE5403" s="17" t="s">
        <v>74</v>
      </c>
    </row>
    <row r="5404" s="17" customFormat="1" ht="15.6" hidden="1" spans="1:31">
      <c r="A5404" s="17" t="s">
        <v>34</v>
      </c>
      <c r="B5404" s="19">
        <v>994</v>
      </c>
      <c r="C5404" s="183">
        <v>45372</v>
      </c>
      <c r="D5404" s="22" t="s">
        <v>52</v>
      </c>
      <c r="E5404" s="17" t="s">
        <v>1113</v>
      </c>
      <c r="F5404" s="17" t="s">
        <v>54</v>
      </c>
      <c r="H5404" s="141">
        <v>1.2311</v>
      </c>
      <c r="I5404" s="141"/>
      <c r="J5404" s="17" t="s">
        <v>82</v>
      </c>
      <c r="K5404" s="19">
        <v>255</v>
      </c>
      <c r="L5404" s="19">
        <v>40</v>
      </c>
      <c r="M5404" s="98">
        <v>2200</v>
      </c>
      <c r="N5404" s="19" t="s">
        <v>66</v>
      </c>
      <c r="O5404" s="19" t="s">
        <v>141</v>
      </c>
      <c r="P5404" s="321"/>
      <c r="Q5404" s="19">
        <f>578+768</f>
        <v>1346</v>
      </c>
      <c r="S5404" s="91">
        <f>865+60</f>
        <v>925</v>
      </c>
      <c r="T5404" s="19" t="s">
        <v>42</v>
      </c>
      <c r="U5404" s="102" t="s">
        <v>1420</v>
      </c>
      <c r="V5404" s="186">
        <v>45373</v>
      </c>
      <c r="W5404" s="17" t="s">
        <v>69</v>
      </c>
      <c r="Y5404" s="68">
        <v>45383</v>
      </c>
      <c r="Z5404" s="17" t="s">
        <v>191</v>
      </c>
      <c r="AA5404" s="17" t="s">
        <v>46</v>
      </c>
      <c r="AB5404" s="17" t="s">
        <v>1339</v>
      </c>
      <c r="AC5404" s="217">
        <v>45433</v>
      </c>
      <c r="AD5404" s="65">
        <v>1570</v>
      </c>
      <c r="AE5404" s="17" t="s">
        <v>74</v>
      </c>
    </row>
    <row r="5405" s="17" customFormat="1" ht="15.6" hidden="1" spans="1:31">
      <c r="A5405" s="17" t="s">
        <v>34</v>
      </c>
      <c r="B5405" s="19">
        <v>994</v>
      </c>
      <c r="C5405" s="183">
        <v>45372</v>
      </c>
      <c r="D5405" s="22" t="s">
        <v>52</v>
      </c>
      <c r="E5405" s="17" t="s">
        <v>1113</v>
      </c>
      <c r="F5405" s="17" t="s">
        <v>54</v>
      </c>
      <c r="H5405" s="141">
        <v>1.2311</v>
      </c>
      <c r="I5405" s="141"/>
      <c r="J5405" s="17" t="s">
        <v>82</v>
      </c>
      <c r="K5405" s="19">
        <v>255</v>
      </c>
      <c r="L5405" s="19">
        <v>40</v>
      </c>
      <c r="M5405" s="98">
        <v>2200</v>
      </c>
      <c r="N5405" s="19" t="s">
        <v>66</v>
      </c>
      <c r="O5405" s="19" t="s">
        <v>141</v>
      </c>
      <c r="P5405" s="321"/>
      <c r="Q5405" s="19">
        <v>583</v>
      </c>
      <c r="R5405" s="99">
        <f>+P5402-Q5402-Q5403-Q5404-Q5405</f>
        <v>-250</v>
      </c>
      <c r="S5405" s="322">
        <f>865+40</f>
        <v>905</v>
      </c>
      <c r="T5405" s="19" t="s">
        <v>42</v>
      </c>
      <c r="U5405" s="102" t="s">
        <v>1420</v>
      </c>
      <c r="V5405" s="186">
        <v>45373</v>
      </c>
      <c r="W5405" s="17" t="s">
        <v>69</v>
      </c>
      <c r="Y5405" s="68">
        <v>45383</v>
      </c>
      <c r="Z5405" s="17" t="s">
        <v>191</v>
      </c>
      <c r="AA5405" s="17" t="s">
        <v>46</v>
      </c>
      <c r="AB5405" s="17" t="s">
        <v>1343</v>
      </c>
      <c r="AC5405" s="217">
        <v>45433</v>
      </c>
      <c r="AD5405" s="65">
        <v>1575</v>
      </c>
      <c r="AE5405" s="17" t="s">
        <v>74</v>
      </c>
    </row>
    <row r="5406" s="17" customFormat="1" ht="15.6" hidden="1" spans="1:31">
      <c r="A5406" s="17" t="s">
        <v>34</v>
      </c>
      <c r="B5406" s="19">
        <v>994</v>
      </c>
      <c r="C5406" s="183">
        <v>45372</v>
      </c>
      <c r="D5406" s="22" t="s">
        <v>52</v>
      </c>
      <c r="E5406" s="17" t="s">
        <v>1113</v>
      </c>
      <c r="F5406" s="17" t="s">
        <v>54</v>
      </c>
      <c r="H5406" s="141">
        <v>1.2311</v>
      </c>
      <c r="I5406" s="141"/>
      <c r="J5406" s="17" t="s">
        <v>82</v>
      </c>
      <c r="K5406" s="19">
        <v>305</v>
      </c>
      <c r="L5406" s="19">
        <v>40</v>
      </c>
      <c r="M5406" s="98">
        <v>2200</v>
      </c>
      <c r="N5406" s="19" t="s">
        <v>66</v>
      </c>
      <c r="O5406" s="19" t="s">
        <v>141</v>
      </c>
      <c r="P5406" s="321">
        <v>3232</v>
      </c>
      <c r="Q5406" s="19">
        <v>464</v>
      </c>
      <c r="S5406" s="91">
        <v>865</v>
      </c>
      <c r="T5406" s="19" t="s">
        <v>42</v>
      </c>
      <c r="U5406" s="102" t="s">
        <v>1420</v>
      </c>
      <c r="V5406" s="186">
        <v>45373</v>
      </c>
      <c r="W5406" s="17" t="s">
        <v>69</v>
      </c>
      <c r="Y5406" s="68">
        <v>45383</v>
      </c>
      <c r="Z5406" s="17" t="s">
        <v>191</v>
      </c>
      <c r="AA5406" s="17" t="s">
        <v>46</v>
      </c>
      <c r="AB5406" s="17" t="s">
        <v>1341</v>
      </c>
      <c r="AC5406" s="217">
        <v>45400</v>
      </c>
      <c r="AD5406" s="65">
        <v>1562</v>
      </c>
      <c r="AE5406" s="17" t="s">
        <v>74</v>
      </c>
    </row>
    <row r="5407" s="17" customFormat="1" ht="15.6" hidden="1" spans="1:31">
      <c r="A5407" s="17" t="s">
        <v>34</v>
      </c>
      <c r="B5407" s="19">
        <v>994</v>
      </c>
      <c r="C5407" s="183">
        <v>45372</v>
      </c>
      <c r="D5407" s="22" t="s">
        <v>52</v>
      </c>
      <c r="E5407" s="17" t="s">
        <v>1113</v>
      </c>
      <c r="F5407" s="17" t="s">
        <v>54</v>
      </c>
      <c r="H5407" s="141">
        <v>1.2311</v>
      </c>
      <c r="I5407" s="141"/>
      <c r="J5407" s="17" t="s">
        <v>82</v>
      </c>
      <c r="K5407" s="19">
        <v>305</v>
      </c>
      <c r="L5407" s="19">
        <v>40</v>
      </c>
      <c r="M5407" s="98">
        <v>2200</v>
      </c>
      <c r="N5407" s="19" t="s">
        <v>66</v>
      </c>
      <c r="O5407" s="19" t="s">
        <v>141</v>
      </c>
      <c r="P5407" s="321"/>
      <c r="Q5407" s="19">
        <f>1155+1378</f>
        <v>2533</v>
      </c>
      <c r="S5407" s="91">
        <v>865</v>
      </c>
      <c r="T5407" s="19" t="s">
        <v>42</v>
      </c>
      <c r="U5407" s="102" t="s">
        <v>1420</v>
      </c>
      <c r="V5407" s="186">
        <v>45373</v>
      </c>
      <c r="W5407" s="17" t="s">
        <v>69</v>
      </c>
      <c r="Y5407" s="68">
        <v>45383</v>
      </c>
      <c r="Z5407" s="17" t="s">
        <v>191</v>
      </c>
      <c r="AA5407" s="17" t="s">
        <v>46</v>
      </c>
      <c r="AB5407" s="17" t="s">
        <v>1337</v>
      </c>
      <c r="AC5407" s="217">
        <v>45400</v>
      </c>
      <c r="AD5407" s="65">
        <v>1563</v>
      </c>
      <c r="AE5407" s="17" t="s">
        <v>74</v>
      </c>
    </row>
    <row r="5408" s="17" customFormat="1" ht="15.6" hidden="1" spans="1:31">
      <c r="A5408" s="17" t="s">
        <v>34</v>
      </c>
      <c r="B5408" s="19">
        <v>994</v>
      </c>
      <c r="C5408" s="183">
        <v>45372</v>
      </c>
      <c r="D5408" s="22" t="s">
        <v>52</v>
      </c>
      <c r="E5408" s="17" t="s">
        <v>1113</v>
      </c>
      <c r="F5408" s="17" t="s">
        <v>54</v>
      </c>
      <c r="H5408" s="141">
        <v>1.2311</v>
      </c>
      <c r="I5408" s="141"/>
      <c r="J5408" s="17" t="s">
        <v>82</v>
      </c>
      <c r="K5408" s="19">
        <v>305</v>
      </c>
      <c r="L5408" s="19">
        <v>40</v>
      </c>
      <c r="M5408" s="98">
        <v>2200</v>
      </c>
      <c r="N5408" s="19" t="s">
        <v>66</v>
      </c>
      <c r="O5408" s="19" t="s">
        <v>141</v>
      </c>
      <c r="P5408" s="321"/>
      <c r="Q5408" s="19">
        <v>459</v>
      </c>
      <c r="R5408" s="99">
        <f>+P5406-Q5406-Q5407-Q5408</f>
        <v>-224</v>
      </c>
      <c r="S5408" s="91">
        <f>865+60</f>
        <v>925</v>
      </c>
      <c r="T5408" s="19" t="s">
        <v>42</v>
      </c>
      <c r="U5408" s="102" t="s">
        <v>1420</v>
      </c>
      <c r="V5408" s="186">
        <v>45373</v>
      </c>
      <c r="W5408" s="17" t="s">
        <v>69</v>
      </c>
      <c r="Y5408" s="68">
        <v>45383</v>
      </c>
      <c r="Z5408" s="17" t="s">
        <v>191</v>
      </c>
      <c r="AA5408" s="17" t="s">
        <v>46</v>
      </c>
      <c r="AB5408" s="17" t="s">
        <v>1339</v>
      </c>
      <c r="AC5408" s="217">
        <v>45433</v>
      </c>
      <c r="AD5408" s="65">
        <v>1570</v>
      </c>
      <c r="AE5408" s="17" t="s">
        <v>74</v>
      </c>
    </row>
    <row r="5409" s="17" customFormat="1" ht="15.6" hidden="1" spans="1:31">
      <c r="A5409" s="17" t="s">
        <v>34</v>
      </c>
      <c r="B5409" s="19">
        <v>994</v>
      </c>
      <c r="C5409" s="183">
        <v>45372</v>
      </c>
      <c r="D5409" s="22" t="s">
        <v>52</v>
      </c>
      <c r="E5409" s="17" t="s">
        <v>1113</v>
      </c>
      <c r="F5409" s="17" t="s">
        <v>54</v>
      </c>
      <c r="H5409" s="141">
        <v>1.2311</v>
      </c>
      <c r="I5409" s="141"/>
      <c r="J5409" s="17" t="s">
        <v>82</v>
      </c>
      <c r="K5409" s="19">
        <v>355</v>
      </c>
      <c r="L5409" s="19">
        <v>40</v>
      </c>
      <c r="M5409" s="98">
        <v>2200</v>
      </c>
      <c r="N5409" s="19" t="s">
        <v>66</v>
      </c>
      <c r="O5409" s="19" t="s">
        <v>141</v>
      </c>
      <c r="P5409" s="321">
        <v>3010</v>
      </c>
      <c r="Q5409" s="19">
        <v>2421</v>
      </c>
      <c r="S5409" s="91">
        <v>865</v>
      </c>
      <c r="T5409" s="19" t="s">
        <v>42</v>
      </c>
      <c r="U5409" s="102" t="s">
        <v>1420</v>
      </c>
      <c r="V5409" s="186">
        <v>45373</v>
      </c>
      <c r="W5409" s="17" t="s">
        <v>69</v>
      </c>
      <c r="Y5409" s="68">
        <v>45383</v>
      </c>
      <c r="Z5409" s="17" t="s">
        <v>191</v>
      </c>
      <c r="AA5409" s="17" t="s">
        <v>46</v>
      </c>
      <c r="AB5409" s="17" t="s">
        <v>1338</v>
      </c>
      <c r="AC5409" s="217">
        <v>45395</v>
      </c>
      <c r="AD5409" s="65">
        <v>1557</v>
      </c>
      <c r="AE5409" s="17" t="s">
        <v>74</v>
      </c>
    </row>
    <row r="5410" s="17" customFormat="1" ht="15.6" hidden="1" spans="1:31">
      <c r="A5410" s="17" t="s">
        <v>34</v>
      </c>
      <c r="B5410" s="19">
        <v>994</v>
      </c>
      <c r="C5410" s="183">
        <v>45372</v>
      </c>
      <c r="D5410" s="22" t="s">
        <v>52</v>
      </c>
      <c r="E5410" s="17" t="s">
        <v>1113</v>
      </c>
      <c r="F5410" s="17" t="s">
        <v>54</v>
      </c>
      <c r="H5410" s="141">
        <v>1.2311</v>
      </c>
      <c r="I5410" s="141"/>
      <c r="J5410" s="17" t="s">
        <v>82</v>
      </c>
      <c r="K5410" s="19">
        <v>355</v>
      </c>
      <c r="L5410" s="19">
        <v>40</v>
      </c>
      <c r="M5410" s="98">
        <v>2200</v>
      </c>
      <c r="N5410" s="19" t="s">
        <v>66</v>
      </c>
      <c r="O5410" s="19" t="s">
        <v>141</v>
      </c>
      <c r="P5410" s="321"/>
      <c r="Q5410" s="19">
        <v>801</v>
      </c>
      <c r="R5410" s="99">
        <f>+P5409-Q5409-Q5410</f>
        <v>-212</v>
      </c>
      <c r="S5410" s="91">
        <f>865+60</f>
        <v>925</v>
      </c>
      <c r="T5410" s="19" t="s">
        <v>42</v>
      </c>
      <c r="U5410" s="102" t="s">
        <v>1420</v>
      </c>
      <c r="V5410" s="186">
        <v>45373</v>
      </c>
      <c r="W5410" s="17" t="s">
        <v>69</v>
      </c>
      <c r="Y5410" s="68">
        <v>45383</v>
      </c>
      <c r="Z5410" s="17" t="s">
        <v>191</v>
      </c>
      <c r="AA5410" s="17" t="s">
        <v>46</v>
      </c>
      <c r="AB5410" s="17" t="s">
        <v>1339</v>
      </c>
      <c r="AC5410" s="217">
        <v>45433</v>
      </c>
      <c r="AD5410" s="65">
        <v>1570</v>
      </c>
      <c r="AE5410" s="17" t="s">
        <v>74</v>
      </c>
    </row>
    <row r="5411" s="17" customFormat="1" ht="15.6" hidden="1" spans="1:31">
      <c r="A5411" s="17" t="s">
        <v>34</v>
      </c>
      <c r="B5411" s="19">
        <v>994</v>
      </c>
      <c r="C5411" s="183">
        <v>45372</v>
      </c>
      <c r="D5411" s="22" t="s">
        <v>52</v>
      </c>
      <c r="E5411" s="17" t="s">
        <v>1113</v>
      </c>
      <c r="F5411" s="17" t="s">
        <v>54</v>
      </c>
      <c r="H5411" s="141">
        <v>1.2311</v>
      </c>
      <c r="I5411" s="141"/>
      <c r="J5411" s="17" t="s">
        <v>82</v>
      </c>
      <c r="K5411" s="19">
        <v>405</v>
      </c>
      <c r="L5411" s="19">
        <v>40</v>
      </c>
      <c r="M5411" s="98">
        <v>2200</v>
      </c>
      <c r="N5411" s="19" t="s">
        <v>66</v>
      </c>
      <c r="O5411" s="19" t="s">
        <v>141</v>
      </c>
      <c r="P5411" s="321">
        <v>2861</v>
      </c>
      <c r="Q5411" s="19">
        <v>2768</v>
      </c>
      <c r="S5411" s="91">
        <v>865</v>
      </c>
      <c r="T5411" s="19" t="s">
        <v>42</v>
      </c>
      <c r="U5411" s="102" t="s">
        <v>1420</v>
      </c>
      <c r="V5411" s="186">
        <v>45373</v>
      </c>
      <c r="W5411" s="17" t="s">
        <v>69</v>
      </c>
      <c r="Y5411" s="68">
        <v>45383</v>
      </c>
      <c r="Z5411" s="17" t="s">
        <v>191</v>
      </c>
      <c r="AA5411" s="17" t="s">
        <v>46</v>
      </c>
      <c r="AB5411" s="17" t="s">
        <v>1338</v>
      </c>
      <c r="AC5411" s="217">
        <v>45395</v>
      </c>
      <c r="AD5411" s="65">
        <v>1557</v>
      </c>
      <c r="AE5411" s="17" t="s">
        <v>74</v>
      </c>
    </row>
    <row r="5412" s="17" customFormat="1" ht="15.6" hidden="1" spans="1:31">
      <c r="A5412" s="17" t="s">
        <v>34</v>
      </c>
      <c r="B5412" s="19">
        <v>994</v>
      </c>
      <c r="C5412" s="183">
        <v>45372</v>
      </c>
      <c r="D5412" s="22" t="s">
        <v>52</v>
      </c>
      <c r="E5412" s="17" t="s">
        <v>1113</v>
      </c>
      <c r="F5412" s="17" t="s">
        <v>54</v>
      </c>
      <c r="H5412" s="141">
        <v>1.2311</v>
      </c>
      <c r="I5412" s="141"/>
      <c r="J5412" s="17" t="s">
        <v>82</v>
      </c>
      <c r="K5412" s="19">
        <v>405</v>
      </c>
      <c r="L5412" s="19">
        <v>40</v>
      </c>
      <c r="M5412" s="98">
        <v>2200</v>
      </c>
      <c r="N5412" s="19" t="s">
        <v>66</v>
      </c>
      <c r="O5412" s="19" t="s">
        <v>141</v>
      </c>
      <c r="P5412" s="321"/>
      <c r="Q5412" s="19">
        <v>303</v>
      </c>
      <c r="R5412" s="99">
        <f>+P5411-Q5411-Q5412</f>
        <v>-210</v>
      </c>
      <c r="S5412" s="91">
        <f>865+60</f>
        <v>925</v>
      </c>
      <c r="T5412" s="19" t="s">
        <v>42</v>
      </c>
      <c r="U5412" s="102" t="s">
        <v>1420</v>
      </c>
      <c r="V5412" s="186">
        <v>45373</v>
      </c>
      <c r="W5412" s="17" t="s">
        <v>69</v>
      </c>
      <c r="Y5412" s="68">
        <v>45383</v>
      </c>
      <c r="Z5412" s="17" t="s">
        <v>191</v>
      </c>
      <c r="AA5412" s="17" t="s">
        <v>46</v>
      </c>
      <c r="AB5412" s="17" t="s">
        <v>1339</v>
      </c>
      <c r="AC5412" s="217">
        <v>45433</v>
      </c>
      <c r="AD5412" s="65">
        <v>1570</v>
      </c>
      <c r="AE5412" s="17" t="s">
        <v>74</v>
      </c>
    </row>
    <row r="5413" s="17" customFormat="1" ht="15.6" hidden="1" spans="1:31">
      <c r="A5413" s="17" t="s">
        <v>34</v>
      </c>
      <c r="B5413" s="19">
        <v>994</v>
      </c>
      <c r="C5413" s="183">
        <v>45372</v>
      </c>
      <c r="D5413" s="22" t="s">
        <v>52</v>
      </c>
      <c r="E5413" s="17" t="s">
        <v>1113</v>
      </c>
      <c r="F5413" s="17" t="s">
        <v>54</v>
      </c>
      <c r="H5413" s="141">
        <v>1.2311</v>
      </c>
      <c r="I5413" s="141"/>
      <c r="J5413" s="17" t="s">
        <v>82</v>
      </c>
      <c r="K5413" s="19">
        <v>455</v>
      </c>
      <c r="L5413" s="19">
        <v>40</v>
      </c>
      <c r="M5413" s="98">
        <v>2200</v>
      </c>
      <c r="N5413" s="19" t="s">
        <v>66</v>
      </c>
      <c r="O5413" s="19" t="s">
        <v>141</v>
      </c>
      <c r="P5413" s="321">
        <v>1929</v>
      </c>
      <c r="Q5413" s="19">
        <v>1046</v>
      </c>
      <c r="S5413" s="91">
        <v>865</v>
      </c>
      <c r="T5413" s="19" t="s">
        <v>42</v>
      </c>
      <c r="U5413" s="102" t="s">
        <v>1420</v>
      </c>
      <c r="V5413" s="186">
        <v>45373</v>
      </c>
      <c r="W5413" s="17" t="s">
        <v>69</v>
      </c>
      <c r="Y5413" s="68">
        <v>45383</v>
      </c>
      <c r="Z5413" s="17" t="s">
        <v>191</v>
      </c>
      <c r="AA5413" s="17" t="s">
        <v>46</v>
      </c>
      <c r="AB5413" s="17" t="s">
        <v>1337</v>
      </c>
      <c r="AC5413" s="217">
        <v>45400</v>
      </c>
      <c r="AD5413" s="65">
        <v>1563</v>
      </c>
      <c r="AE5413" s="17" t="s">
        <v>74</v>
      </c>
    </row>
    <row r="5414" s="17" customFormat="1" ht="15.6" hidden="1" spans="1:31">
      <c r="A5414" s="17" t="s">
        <v>34</v>
      </c>
      <c r="B5414" s="19">
        <v>994</v>
      </c>
      <c r="C5414" s="183">
        <v>45372</v>
      </c>
      <c r="D5414" s="22" t="s">
        <v>52</v>
      </c>
      <c r="E5414" s="17" t="s">
        <v>1113</v>
      </c>
      <c r="F5414" s="17" t="s">
        <v>54</v>
      </c>
      <c r="H5414" s="141">
        <v>1.2311</v>
      </c>
      <c r="I5414" s="141"/>
      <c r="J5414" s="17" t="s">
        <v>82</v>
      </c>
      <c r="K5414" s="19">
        <v>455</v>
      </c>
      <c r="L5414" s="19">
        <v>40</v>
      </c>
      <c r="M5414" s="98">
        <v>2200</v>
      </c>
      <c r="N5414" s="19" t="s">
        <v>66</v>
      </c>
      <c r="O5414" s="19" t="s">
        <v>141</v>
      </c>
      <c r="P5414" s="321"/>
      <c r="Q5414" s="19">
        <v>678</v>
      </c>
      <c r="S5414" s="91">
        <f>865+60</f>
        <v>925</v>
      </c>
      <c r="T5414" s="19" t="s">
        <v>42</v>
      </c>
      <c r="U5414" s="102" t="s">
        <v>1420</v>
      </c>
      <c r="V5414" s="186">
        <v>45373</v>
      </c>
      <c r="W5414" s="17" t="s">
        <v>69</v>
      </c>
      <c r="Y5414" s="68">
        <v>45383</v>
      </c>
      <c r="Z5414" s="17" t="s">
        <v>191</v>
      </c>
      <c r="AA5414" s="17" t="s">
        <v>46</v>
      </c>
      <c r="AB5414" s="17" t="s">
        <v>1339</v>
      </c>
      <c r="AC5414" s="217">
        <v>45433</v>
      </c>
      <c r="AD5414" s="65">
        <v>1570</v>
      </c>
      <c r="AE5414" s="17" t="s">
        <v>74</v>
      </c>
    </row>
    <row r="5415" s="17" customFormat="1" ht="15.6" hidden="1" spans="1:31">
      <c r="A5415" s="17" t="s">
        <v>34</v>
      </c>
      <c r="B5415" s="19">
        <v>994</v>
      </c>
      <c r="C5415" s="183">
        <v>45372</v>
      </c>
      <c r="D5415" s="22" t="s">
        <v>52</v>
      </c>
      <c r="E5415" s="17" t="s">
        <v>1113</v>
      </c>
      <c r="F5415" s="17" t="s">
        <v>54</v>
      </c>
      <c r="H5415" s="141">
        <v>1.2311</v>
      </c>
      <c r="I5415" s="141"/>
      <c r="J5415" s="17" t="s">
        <v>82</v>
      </c>
      <c r="K5415" s="19">
        <v>455</v>
      </c>
      <c r="L5415" s="19">
        <v>40</v>
      </c>
      <c r="M5415" s="98">
        <v>2200</v>
      </c>
      <c r="N5415" s="19" t="s">
        <v>66</v>
      </c>
      <c r="O5415" s="19" t="s">
        <v>141</v>
      </c>
      <c r="P5415" s="321"/>
      <c r="Q5415" s="19">
        <v>326</v>
      </c>
      <c r="R5415" s="99">
        <f>+P5413-Q5413-Q5414-Q5415</f>
        <v>-121</v>
      </c>
      <c r="S5415" s="322">
        <f>865+40</f>
        <v>905</v>
      </c>
      <c r="T5415" s="19" t="s">
        <v>42</v>
      </c>
      <c r="U5415" s="102" t="s">
        <v>1420</v>
      </c>
      <c r="V5415" s="186">
        <v>45373</v>
      </c>
      <c r="W5415" s="17" t="s">
        <v>69</v>
      </c>
      <c r="Y5415" s="68">
        <v>45383</v>
      </c>
      <c r="Z5415" s="17" t="s">
        <v>191</v>
      </c>
      <c r="AA5415" s="17" t="s">
        <v>46</v>
      </c>
      <c r="AB5415" s="17" t="s">
        <v>1343</v>
      </c>
      <c r="AC5415" s="217">
        <v>45433</v>
      </c>
      <c r="AD5415" s="65">
        <v>1575</v>
      </c>
      <c r="AE5415" s="17" t="s">
        <v>74</v>
      </c>
    </row>
    <row r="5416" s="17" customFormat="1" ht="15.6" hidden="1" spans="1:31">
      <c r="A5416" s="17" t="s">
        <v>34</v>
      </c>
      <c r="B5416" s="19">
        <v>994</v>
      </c>
      <c r="C5416" s="183">
        <v>45372</v>
      </c>
      <c r="D5416" s="22" t="s">
        <v>52</v>
      </c>
      <c r="E5416" s="17" t="s">
        <v>1113</v>
      </c>
      <c r="F5416" s="17" t="s">
        <v>54</v>
      </c>
      <c r="H5416" s="141">
        <v>1.2311</v>
      </c>
      <c r="I5416" s="141"/>
      <c r="J5416" s="17" t="s">
        <v>82</v>
      </c>
      <c r="K5416" s="19">
        <v>505</v>
      </c>
      <c r="L5416" s="19">
        <v>40</v>
      </c>
      <c r="M5416" s="98">
        <v>2200</v>
      </c>
      <c r="N5416" s="19" t="s">
        <v>66</v>
      </c>
      <c r="O5416" s="19" t="s">
        <v>141</v>
      </c>
      <c r="P5416" s="321">
        <v>2141</v>
      </c>
      <c r="Q5416" s="19">
        <v>1141</v>
      </c>
      <c r="S5416" s="91">
        <v>865</v>
      </c>
      <c r="T5416" s="19" t="s">
        <v>42</v>
      </c>
      <c r="U5416" s="102" t="s">
        <v>1420</v>
      </c>
      <c r="V5416" s="186">
        <v>45373</v>
      </c>
      <c r="W5416" s="17" t="s">
        <v>69</v>
      </c>
      <c r="Y5416" s="68">
        <v>45383</v>
      </c>
      <c r="Z5416" s="17" t="s">
        <v>191</v>
      </c>
      <c r="AA5416" s="17" t="s">
        <v>46</v>
      </c>
      <c r="AB5416" s="17" t="s">
        <v>1337</v>
      </c>
      <c r="AC5416" s="217">
        <v>45400</v>
      </c>
      <c r="AD5416" s="65">
        <v>1563</v>
      </c>
      <c r="AE5416" s="17" t="s">
        <v>74</v>
      </c>
    </row>
    <row r="5417" s="17" customFormat="1" ht="15.6" hidden="1" spans="1:31">
      <c r="A5417" s="17" t="s">
        <v>34</v>
      </c>
      <c r="B5417" s="19">
        <v>994</v>
      </c>
      <c r="C5417" s="183">
        <v>45372</v>
      </c>
      <c r="D5417" s="22" t="s">
        <v>52</v>
      </c>
      <c r="E5417" s="17" t="s">
        <v>1113</v>
      </c>
      <c r="F5417" s="17" t="s">
        <v>54</v>
      </c>
      <c r="H5417" s="141">
        <v>1.2311</v>
      </c>
      <c r="I5417" s="141"/>
      <c r="J5417" s="17" t="s">
        <v>82</v>
      </c>
      <c r="K5417" s="19">
        <v>505</v>
      </c>
      <c r="L5417" s="19">
        <v>40</v>
      </c>
      <c r="M5417" s="98">
        <v>2200</v>
      </c>
      <c r="N5417" s="19" t="s">
        <v>66</v>
      </c>
      <c r="O5417" s="19" t="s">
        <v>141</v>
      </c>
      <c r="P5417" s="321"/>
      <c r="Q5417" s="19">
        <v>1135</v>
      </c>
      <c r="R5417" s="99">
        <f>+P5416-Q5416-Q5417</f>
        <v>-135</v>
      </c>
      <c r="S5417" s="91">
        <f>865+60</f>
        <v>925</v>
      </c>
      <c r="T5417" s="19" t="s">
        <v>42</v>
      </c>
      <c r="U5417" s="102" t="s">
        <v>1420</v>
      </c>
      <c r="V5417" s="186">
        <v>45373</v>
      </c>
      <c r="W5417" s="17" t="s">
        <v>69</v>
      </c>
      <c r="Y5417" s="68">
        <v>45383</v>
      </c>
      <c r="Z5417" s="17" t="s">
        <v>191</v>
      </c>
      <c r="AA5417" s="17" t="s">
        <v>46</v>
      </c>
      <c r="AB5417" s="17" t="s">
        <v>1339</v>
      </c>
      <c r="AC5417" s="217">
        <v>45433</v>
      </c>
      <c r="AD5417" s="65">
        <v>1570</v>
      </c>
      <c r="AE5417" s="17" t="s">
        <v>74</v>
      </c>
    </row>
    <row r="5418" s="17" customFormat="1" ht="15.6" hidden="1" spans="1:31">
      <c r="A5418" s="17" t="s">
        <v>34</v>
      </c>
      <c r="B5418" s="19">
        <v>994</v>
      </c>
      <c r="C5418" s="183">
        <v>45372</v>
      </c>
      <c r="D5418" s="22" t="s">
        <v>52</v>
      </c>
      <c r="E5418" s="17" t="s">
        <v>1113</v>
      </c>
      <c r="F5418" s="17" t="s">
        <v>54</v>
      </c>
      <c r="H5418" s="141">
        <v>1.2311</v>
      </c>
      <c r="I5418" s="141"/>
      <c r="J5418" s="17" t="s">
        <v>82</v>
      </c>
      <c r="K5418" s="19">
        <v>555</v>
      </c>
      <c r="L5418" s="19">
        <v>40</v>
      </c>
      <c r="M5418" s="98">
        <v>2200</v>
      </c>
      <c r="N5418" s="19" t="s">
        <v>66</v>
      </c>
      <c r="O5418" s="19" t="s">
        <v>141</v>
      </c>
      <c r="P5418" s="321">
        <v>1961</v>
      </c>
      <c r="Q5418" s="19">
        <v>826</v>
      </c>
      <c r="S5418" s="91">
        <v>865</v>
      </c>
      <c r="T5418" s="19" t="s">
        <v>42</v>
      </c>
      <c r="U5418" s="102" t="s">
        <v>1420</v>
      </c>
      <c r="V5418" s="186">
        <v>45373</v>
      </c>
      <c r="W5418" s="17" t="s">
        <v>69</v>
      </c>
      <c r="Y5418" s="68">
        <v>45383</v>
      </c>
      <c r="Z5418" s="17" t="s">
        <v>191</v>
      </c>
      <c r="AA5418" s="17" t="s">
        <v>46</v>
      </c>
      <c r="AB5418" s="17" t="s">
        <v>1338</v>
      </c>
      <c r="AC5418" s="217">
        <v>45395</v>
      </c>
      <c r="AD5418" s="65">
        <v>1557</v>
      </c>
      <c r="AE5418" s="17" t="s">
        <v>74</v>
      </c>
    </row>
    <row r="5419" s="17" customFormat="1" ht="15.6" hidden="1" spans="1:31">
      <c r="A5419" s="17" t="s">
        <v>34</v>
      </c>
      <c r="B5419" s="19">
        <v>994</v>
      </c>
      <c r="C5419" s="183">
        <v>45372</v>
      </c>
      <c r="D5419" s="22" t="s">
        <v>52</v>
      </c>
      <c r="E5419" s="17" t="s">
        <v>1113</v>
      </c>
      <c r="F5419" s="17" t="s">
        <v>54</v>
      </c>
      <c r="H5419" s="141">
        <v>1.2311</v>
      </c>
      <c r="I5419" s="141"/>
      <c r="J5419" s="17" t="s">
        <v>82</v>
      </c>
      <c r="K5419" s="19">
        <v>555</v>
      </c>
      <c r="L5419" s="19">
        <v>40</v>
      </c>
      <c r="M5419" s="98">
        <v>2200</v>
      </c>
      <c r="N5419" s="19" t="s">
        <v>66</v>
      </c>
      <c r="O5419" s="19" t="s">
        <v>141</v>
      </c>
      <c r="P5419" s="321"/>
      <c r="Q5419" s="19">
        <v>1245</v>
      </c>
      <c r="R5419" s="99">
        <f>+P5418-Q5418-Q5419</f>
        <v>-110</v>
      </c>
      <c r="S5419" s="91">
        <v>865</v>
      </c>
      <c r="T5419" s="19" t="s">
        <v>42</v>
      </c>
      <c r="U5419" s="102" t="s">
        <v>1420</v>
      </c>
      <c r="V5419" s="186">
        <v>45373</v>
      </c>
      <c r="W5419" s="17" t="s">
        <v>69</v>
      </c>
      <c r="Y5419" s="68">
        <v>45383</v>
      </c>
      <c r="Z5419" s="17" t="s">
        <v>191</v>
      </c>
      <c r="AA5419" s="17" t="s">
        <v>46</v>
      </c>
      <c r="AB5419" s="17" t="s">
        <v>1337</v>
      </c>
      <c r="AC5419" s="217">
        <v>45400</v>
      </c>
      <c r="AD5419" s="65">
        <v>1563</v>
      </c>
      <c r="AE5419" s="17" t="s">
        <v>74</v>
      </c>
    </row>
    <row r="5420" s="17" customFormat="1" ht="15.6" hidden="1" spans="1:31">
      <c r="A5420" s="17" t="s">
        <v>34</v>
      </c>
      <c r="B5420" s="19">
        <v>994</v>
      </c>
      <c r="C5420" s="183">
        <v>45372</v>
      </c>
      <c r="D5420" s="22" t="s">
        <v>52</v>
      </c>
      <c r="E5420" s="17" t="s">
        <v>1113</v>
      </c>
      <c r="F5420" s="17" t="s">
        <v>54</v>
      </c>
      <c r="H5420" s="141">
        <v>1.2311</v>
      </c>
      <c r="I5420" s="141"/>
      <c r="J5420" s="17" t="s">
        <v>82</v>
      </c>
      <c r="K5420" s="19">
        <v>605</v>
      </c>
      <c r="L5420" s="19">
        <v>40</v>
      </c>
      <c r="M5420" s="98">
        <v>2200</v>
      </c>
      <c r="N5420" s="19" t="s">
        <v>66</v>
      </c>
      <c r="O5420" s="19" t="s">
        <v>141</v>
      </c>
      <c r="P5420" s="321">
        <v>2137</v>
      </c>
      <c r="Q5420" s="19">
        <v>913</v>
      </c>
      <c r="S5420" s="91">
        <v>865</v>
      </c>
      <c r="T5420" s="19" t="s">
        <v>42</v>
      </c>
      <c r="U5420" s="102" t="s">
        <v>1420</v>
      </c>
      <c r="V5420" s="186">
        <v>45373</v>
      </c>
      <c r="W5420" s="17" t="s">
        <v>69</v>
      </c>
      <c r="Y5420" s="68">
        <v>45383</v>
      </c>
      <c r="Z5420" s="17" t="s">
        <v>191</v>
      </c>
      <c r="AA5420" s="17" t="s">
        <v>46</v>
      </c>
      <c r="AB5420" s="17" t="s">
        <v>1338</v>
      </c>
      <c r="AC5420" s="217">
        <v>45395</v>
      </c>
      <c r="AD5420" s="65">
        <v>1557</v>
      </c>
      <c r="AE5420" s="17" t="s">
        <v>74</v>
      </c>
    </row>
    <row r="5421" s="17" customFormat="1" ht="15.6" hidden="1" spans="1:31">
      <c r="A5421" s="17" t="s">
        <v>34</v>
      </c>
      <c r="B5421" s="19">
        <v>994</v>
      </c>
      <c r="C5421" s="183">
        <v>45372</v>
      </c>
      <c r="D5421" s="22" t="s">
        <v>52</v>
      </c>
      <c r="E5421" s="17" t="s">
        <v>1113</v>
      </c>
      <c r="F5421" s="17" t="s">
        <v>54</v>
      </c>
      <c r="H5421" s="141">
        <v>1.2311</v>
      </c>
      <c r="I5421" s="141"/>
      <c r="J5421" s="17" t="s">
        <v>82</v>
      </c>
      <c r="K5421" s="19">
        <v>605</v>
      </c>
      <c r="L5421" s="19">
        <v>40</v>
      </c>
      <c r="M5421" s="98">
        <v>2200</v>
      </c>
      <c r="N5421" s="19" t="s">
        <v>66</v>
      </c>
      <c r="O5421" s="19" t="s">
        <v>141</v>
      </c>
      <c r="P5421" s="321"/>
      <c r="Q5421" s="19">
        <v>1358</v>
      </c>
      <c r="R5421" s="99">
        <f>+P5420-Q5420-Q5421</f>
        <v>-134</v>
      </c>
      <c r="S5421" s="91">
        <v>865</v>
      </c>
      <c r="T5421" s="19" t="s">
        <v>42</v>
      </c>
      <c r="U5421" s="102" t="s">
        <v>1420</v>
      </c>
      <c r="V5421" s="186">
        <v>45373</v>
      </c>
      <c r="W5421" s="17" t="s">
        <v>69</v>
      </c>
      <c r="Y5421" s="68">
        <v>45383</v>
      </c>
      <c r="Z5421" s="17" t="s">
        <v>191</v>
      </c>
      <c r="AA5421" s="17" t="s">
        <v>46</v>
      </c>
      <c r="AB5421" s="17" t="s">
        <v>1337</v>
      </c>
      <c r="AC5421" s="217">
        <v>45400</v>
      </c>
      <c r="AD5421" s="65">
        <v>1563</v>
      </c>
      <c r="AE5421" s="17" t="s">
        <v>74</v>
      </c>
    </row>
    <row r="5422" s="17" customFormat="1" ht="15.6" hidden="1" spans="1:31">
      <c r="A5422" s="17" t="s">
        <v>34</v>
      </c>
      <c r="B5422" s="19">
        <v>994</v>
      </c>
      <c r="C5422" s="183">
        <v>45372</v>
      </c>
      <c r="D5422" s="22" t="s">
        <v>52</v>
      </c>
      <c r="E5422" s="17" t="s">
        <v>1113</v>
      </c>
      <c r="F5422" s="17" t="s">
        <v>54</v>
      </c>
      <c r="H5422" s="141">
        <v>1.2311</v>
      </c>
      <c r="I5422" s="141"/>
      <c r="J5422" s="17" t="s">
        <v>82</v>
      </c>
      <c r="K5422" s="19">
        <v>205</v>
      </c>
      <c r="L5422" s="19">
        <v>50</v>
      </c>
      <c r="M5422" s="98">
        <v>2200</v>
      </c>
      <c r="N5422" s="19" t="s">
        <v>66</v>
      </c>
      <c r="O5422" s="19" t="s">
        <v>141</v>
      </c>
      <c r="P5422" s="321">
        <v>1991</v>
      </c>
      <c r="Q5422" s="19">
        <v>774</v>
      </c>
      <c r="S5422" s="91">
        <v>865</v>
      </c>
      <c r="T5422" s="19" t="s">
        <v>42</v>
      </c>
      <c r="U5422" s="102" t="s">
        <v>1420</v>
      </c>
      <c r="V5422" s="186">
        <v>45373</v>
      </c>
      <c r="W5422" s="17" t="s">
        <v>69</v>
      </c>
      <c r="Y5422" s="68">
        <v>45383</v>
      </c>
      <c r="Z5422" s="17" t="s">
        <v>191</v>
      </c>
      <c r="AA5422" s="17" t="s">
        <v>46</v>
      </c>
      <c r="AB5422" s="17" t="s">
        <v>1341</v>
      </c>
      <c r="AC5422" s="217">
        <v>45400</v>
      </c>
      <c r="AD5422" s="65">
        <v>1562</v>
      </c>
      <c r="AE5422" s="17" t="s">
        <v>74</v>
      </c>
    </row>
    <row r="5423" s="17" customFormat="1" ht="15.6" hidden="1" spans="1:31">
      <c r="A5423" s="17" t="s">
        <v>34</v>
      </c>
      <c r="B5423" s="19">
        <v>994</v>
      </c>
      <c r="C5423" s="183">
        <v>45372</v>
      </c>
      <c r="D5423" s="22" t="s">
        <v>52</v>
      </c>
      <c r="E5423" s="17" t="s">
        <v>1113</v>
      </c>
      <c r="F5423" s="17" t="s">
        <v>54</v>
      </c>
      <c r="H5423" s="141">
        <v>1.2311</v>
      </c>
      <c r="I5423" s="141"/>
      <c r="J5423" s="17" t="s">
        <v>82</v>
      </c>
      <c r="K5423" s="19">
        <v>205</v>
      </c>
      <c r="L5423" s="19">
        <v>50</v>
      </c>
      <c r="M5423" s="98">
        <v>2200</v>
      </c>
      <c r="N5423" s="19" t="s">
        <v>66</v>
      </c>
      <c r="O5423" s="19" t="s">
        <v>141</v>
      </c>
      <c r="P5423" s="321"/>
      <c r="Q5423" s="19">
        <v>767</v>
      </c>
      <c r="S5423" s="91">
        <v>865</v>
      </c>
      <c r="T5423" s="19" t="s">
        <v>42</v>
      </c>
      <c r="U5423" s="102" t="s">
        <v>1420</v>
      </c>
      <c r="V5423" s="186">
        <v>45373</v>
      </c>
      <c r="W5423" s="17" t="s">
        <v>69</v>
      </c>
      <c r="Y5423" s="68">
        <v>45383</v>
      </c>
      <c r="Z5423" s="17" t="s">
        <v>191</v>
      </c>
      <c r="AA5423" s="17" t="s">
        <v>46</v>
      </c>
      <c r="AB5423" s="17" t="s">
        <v>1337</v>
      </c>
      <c r="AC5423" s="217">
        <v>45400</v>
      </c>
      <c r="AD5423" s="65">
        <v>1563</v>
      </c>
      <c r="AE5423" s="17" t="s">
        <v>74</v>
      </c>
    </row>
    <row r="5424" s="17" customFormat="1" ht="15.6" hidden="1" spans="1:31">
      <c r="A5424" s="17" t="s">
        <v>34</v>
      </c>
      <c r="B5424" s="19">
        <v>994</v>
      </c>
      <c r="C5424" s="183">
        <v>45372</v>
      </c>
      <c r="D5424" s="22" t="s">
        <v>52</v>
      </c>
      <c r="E5424" s="17" t="s">
        <v>1113</v>
      </c>
      <c r="F5424" s="17" t="s">
        <v>54</v>
      </c>
      <c r="H5424" s="141">
        <v>1.2311</v>
      </c>
      <c r="I5424" s="141"/>
      <c r="J5424" s="17" t="s">
        <v>82</v>
      </c>
      <c r="K5424" s="19">
        <v>205</v>
      </c>
      <c r="L5424" s="19">
        <v>50</v>
      </c>
      <c r="M5424" s="98">
        <v>2200</v>
      </c>
      <c r="N5424" s="19" t="s">
        <v>66</v>
      </c>
      <c r="O5424" s="19" t="s">
        <v>141</v>
      </c>
      <c r="P5424" s="321"/>
      <c r="Q5424" s="19">
        <v>581</v>
      </c>
      <c r="R5424" s="99">
        <f>+P5422-Q5422-Q5423-Q5424</f>
        <v>-131</v>
      </c>
      <c r="S5424" s="91">
        <f>865+60</f>
        <v>925</v>
      </c>
      <c r="T5424" s="19" t="s">
        <v>42</v>
      </c>
      <c r="U5424" s="102" t="s">
        <v>1420</v>
      </c>
      <c r="V5424" s="186">
        <v>45373</v>
      </c>
      <c r="W5424" s="17" t="s">
        <v>69</v>
      </c>
      <c r="Y5424" s="68">
        <v>45383</v>
      </c>
      <c r="Z5424" s="17" t="s">
        <v>191</v>
      </c>
      <c r="AA5424" s="17" t="s">
        <v>46</v>
      </c>
      <c r="AB5424" s="17" t="s">
        <v>1339</v>
      </c>
      <c r="AC5424" s="217">
        <v>45433</v>
      </c>
      <c r="AD5424" s="65">
        <v>1570</v>
      </c>
      <c r="AE5424" s="17" t="s">
        <v>74</v>
      </c>
    </row>
    <row r="5425" s="17" customFormat="1" ht="15.6" hidden="1" spans="1:31">
      <c r="A5425" s="17" t="s">
        <v>34</v>
      </c>
      <c r="B5425" s="19">
        <v>994</v>
      </c>
      <c r="C5425" s="183">
        <v>45372</v>
      </c>
      <c r="D5425" s="22" t="s">
        <v>52</v>
      </c>
      <c r="E5425" s="17" t="s">
        <v>1113</v>
      </c>
      <c r="F5425" s="17" t="s">
        <v>54</v>
      </c>
      <c r="H5425" s="141">
        <v>1.2311</v>
      </c>
      <c r="I5425" s="141"/>
      <c r="J5425" s="17" t="s">
        <v>82</v>
      </c>
      <c r="K5425" s="19">
        <v>255</v>
      </c>
      <c r="L5425" s="19">
        <v>50</v>
      </c>
      <c r="M5425" s="98">
        <v>2200</v>
      </c>
      <c r="N5425" s="19" t="s">
        <v>66</v>
      </c>
      <c r="O5425" s="19" t="s">
        <v>141</v>
      </c>
      <c r="P5425" s="321">
        <v>2928</v>
      </c>
      <c r="Q5425" s="19">
        <v>957</v>
      </c>
      <c r="S5425" s="91">
        <v>865</v>
      </c>
      <c r="T5425" s="19" t="s">
        <v>42</v>
      </c>
      <c r="U5425" s="102" t="s">
        <v>1420</v>
      </c>
      <c r="V5425" s="186">
        <v>45373</v>
      </c>
      <c r="W5425" s="17" t="s">
        <v>69</v>
      </c>
      <c r="Y5425" s="68">
        <v>45383</v>
      </c>
      <c r="Z5425" s="17" t="s">
        <v>191</v>
      </c>
      <c r="AA5425" s="17" t="s">
        <v>46</v>
      </c>
      <c r="AB5425" s="17" t="s">
        <v>1341</v>
      </c>
      <c r="AC5425" s="217">
        <v>45400</v>
      </c>
      <c r="AD5425" s="65">
        <v>1562</v>
      </c>
      <c r="AE5425" s="17" t="s">
        <v>74</v>
      </c>
    </row>
    <row r="5426" s="17" customFormat="1" ht="15.6" hidden="1" spans="1:31">
      <c r="A5426" s="17" t="s">
        <v>34</v>
      </c>
      <c r="B5426" s="19">
        <v>994</v>
      </c>
      <c r="C5426" s="183">
        <v>45372</v>
      </c>
      <c r="D5426" s="22" t="s">
        <v>52</v>
      </c>
      <c r="E5426" s="17" t="s">
        <v>1113</v>
      </c>
      <c r="F5426" s="17" t="s">
        <v>54</v>
      </c>
      <c r="H5426" s="141">
        <v>1.2311</v>
      </c>
      <c r="I5426" s="141"/>
      <c r="J5426" s="17" t="s">
        <v>82</v>
      </c>
      <c r="K5426" s="19">
        <v>255</v>
      </c>
      <c r="L5426" s="19">
        <v>50</v>
      </c>
      <c r="M5426" s="98">
        <v>2200</v>
      </c>
      <c r="N5426" s="19" t="s">
        <v>66</v>
      </c>
      <c r="O5426" s="19" t="s">
        <v>141</v>
      </c>
      <c r="P5426" s="321"/>
      <c r="Q5426" s="19">
        <v>1425</v>
      </c>
      <c r="S5426" s="91">
        <f>865+60</f>
        <v>925</v>
      </c>
      <c r="T5426" s="19" t="s">
        <v>42</v>
      </c>
      <c r="U5426" s="102" t="s">
        <v>1420</v>
      </c>
      <c r="V5426" s="186">
        <v>45373</v>
      </c>
      <c r="W5426" s="17" t="s">
        <v>69</v>
      </c>
      <c r="Y5426" s="68">
        <v>45383</v>
      </c>
      <c r="Z5426" s="17" t="s">
        <v>191</v>
      </c>
      <c r="AA5426" s="17" t="s">
        <v>46</v>
      </c>
      <c r="AB5426" s="17" t="s">
        <v>1339</v>
      </c>
      <c r="AC5426" s="217">
        <v>45433</v>
      </c>
      <c r="AD5426" s="65">
        <v>1570</v>
      </c>
      <c r="AE5426" s="17" t="s">
        <v>74</v>
      </c>
    </row>
    <row r="5427" s="17" customFormat="1" ht="15.6" hidden="1" spans="1:31">
      <c r="A5427" s="17" t="s">
        <v>34</v>
      </c>
      <c r="B5427" s="19">
        <v>994</v>
      </c>
      <c r="C5427" s="183">
        <v>45372</v>
      </c>
      <c r="D5427" s="22" t="s">
        <v>52</v>
      </c>
      <c r="E5427" s="17" t="s">
        <v>1113</v>
      </c>
      <c r="F5427" s="17" t="s">
        <v>54</v>
      </c>
      <c r="H5427" s="141">
        <v>1.2311</v>
      </c>
      <c r="I5427" s="141"/>
      <c r="J5427" s="17" t="s">
        <v>82</v>
      </c>
      <c r="K5427" s="19">
        <v>255</v>
      </c>
      <c r="L5427" s="19">
        <v>50</v>
      </c>
      <c r="M5427" s="98">
        <v>2200</v>
      </c>
      <c r="N5427" s="19" t="s">
        <v>66</v>
      </c>
      <c r="O5427" s="19" t="s">
        <v>141</v>
      </c>
      <c r="P5427" s="321"/>
      <c r="Q5427" s="19">
        <v>716</v>
      </c>
      <c r="R5427" s="99">
        <f>+P5425-Q5425-Q5426-Q5427</f>
        <v>-170</v>
      </c>
      <c r="S5427" s="322">
        <f>865+40</f>
        <v>905</v>
      </c>
      <c r="T5427" s="19" t="s">
        <v>42</v>
      </c>
      <c r="U5427" s="102" t="s">
        <v>1420</v>
      </c>
      <c r="V5427" s="186">
        <v>45373</v>
      </c>
      <c r="W5427" s="17" t="s">
        <v>69</v>
      </c>
      <c r="Y5427" s="68">
        <v>45383</v>
      </c>
      <c r="Z5427" s="17" t="s">
        <v>191</v>
      </c>
      <c r="AA5427" s="17" t="s">
        <v>46</v>
      </c>
      <c r="AB5427" s="17" t="s">
        <v>1343</v>
      </c>
      <c r="AC5427" s="217">
        <v>45433</v>
      </c>
      <c r="AD5427" s="65">
        <v>1575</v>
      </c>
      <c r="AE5427" s="17" t="s">
        <v>74</v>
      </c>
    </row>
    <row r="5428" s="17" customFormat="1" ht="15.6" hidden="1" spans="1:31">
      <c r="A5428" s="17" t="s">
        <v>34</v>
      </c>
      <c r="B5428" s="19">
        <v>994</v>
      </c>
      <c r="C5428" s="183">
        <v>45372</v>
      </c>
      <c r="D5428" s="22" t="s">
        <v>52</v>
      </c>
      <c r="E5428" s="17" t="s">
        <v>1113</v>
      </c>
      <c r="F5428" s="17" t="s">
        <v>54</v>
      </c>
      <c r="H5428" s="141">
        <v>1.2311</v>
      </c>
      <c r="I5428" s="141"/>
      <c r="J5428" s="17" t="s">
        <v>82</v>
      </c>
      <c r="K5428" s="19">
        <v>305</v>
      </c>
      <c r="L5428" s="19">
        <v>50</v>
      </c>
      <c r="M5428" s="98">
        <v>2200</v>
      </c>
      <c r="N5428" s="19" t="s">
        <v>66</v>
      </c>
      <c r="O5428" s="19" t="s">
        <v>141</v>
      </c>
      <c r="P5428" s="321">
        <v>3232</v>
      </c>
      <c r="Q5428" s="19">
        <v>860</v>
      </c>
      <c r="S5428" s="91">
        <v>865</v>
      </c>
      <c r="T5428" s="19" t="s">
        <v>42</v>
      </c>
      <c r="U5428" s="102" t="s">
        <v>1420</v>
      </c>
      <c r="V5428" s="186">
        <v>45373</v>
      </c>
      <c r="W5428" s="17" t="s">
        <v>69</v>
      </c>
      <c r="Y5428" s="68">
        <v>45383</v>
      </c>
      <c r="Z5428" s="17" t="s">
        <v>191</v>
      </c>
      <c r="AA5428" s="17" t="s">
        <v>46</v>
      </c>
      <c r="AB5428" s="17" t="s">
        <v>1338</v>
      </c>
      <c r="AC5428" s="217">
        <v>45395</v>
      </c>
      <c r="AD5428" s="65">
        <v>1557</v>
      </c>
      <c r="AE5428" s="17" t="s">
        <v>74</v>
      </c>
    </row>
    <row r="5429" s="17" customFormat="1" ht="15.6" hidden="1" spans="1:31">
      <c r="A5429" s="17" t="s">
        <v>34</v>
      </c>
      <c r="B5429" s="19">
        <v>994</v>
      </c>
      <c r="C5429" s="183">
        <v>45372</v>
      </c>
      <c r="D5429" s="22" t="s">
        <v>52</v>
      </c>
      <c r="E5429" s="17" t="s">
        <v>1113</v>
      </c>
      <c r="F5429" s="17" t="s">
        <v>54</v>
      </c>
      <c r="H5429" s="141">
        <v>1.2311</v>
      </c>
      <c r="I5429" s="141"/>
      <c r="J5429" s="17" t="s">
        <v>82</v>
      </c>
      <c r="K5429" s="19">
        <v>305</v>
      </c>
      <c r="L5429" s="19">
        <v>50</v>
      </c>
      <c r="M5429" s="98">
        <v>2200</v>
      </c>
      <c r="N5429" s="19" t="s">
        <v>66</v>
      </c>
      <c r="O5429" s="19" t="s">
        <v>141</v>
      </c>
      <c r="P5429" s="321"/>
      <c r="Q5429" s="19">
        <v>566</v>
      </c>
      <c r="S5429" s="91">
        <v>865</v>
      </c>
      <c r="T5429" s="19" t="s">
        <v>42</v>
      </c>
      <c r="U5429" s="102" t="s">
        <v>1420</v>
      </c>
      <c r="V5429" s="186">
        <v>45373</v>
      </c>
      <c r="W5429" s="17" t="s">
        <v>69</v>
      </c>
      <c r="Y5429" s="68">
        <v>45383</v>
      </c>
      <c r="Z5429" s="17" t="s">
        <v>191</v>
      </c>
      <c r="AA5429" s="17" t="s">
        <v>46</v>
      </c>
      <c r="AB5429" s="17" t="s">
        <v>1341</v>
      </c>
      <c r="AC5429" s="217">
        <v>45400</v>
      </c>
      <c r="AD5429" s="65">
        <v>1562</v>
      </c>
      <c r="AE5429" s="17" t="s">
        <v>74</v>
      </c>
    </row>
    <row r="5430" s="17" customFormat="1" ht="15.6" hidden="1" spans="1:31">
      <c r="A5430" s="17" t="s">
        <v>34</v>
      </c>
      <c r="B5430" s="19">
        <v>994</v>
      </c>
      <c r="C5430" s="183">
        <v>45372</v>
      </c>
      <c r="D5430" s="22" t="s">
        <v>52</v>
      </c>
      <c r="E5430" s="17" t="s">
        <v>1113</v>
      </c>
      <c r="F5430" s="17" t="s">
        <v>54</v>
      </c>
      <c r="H5430" s="141">
        <v>1.2311</v>
      </c>
      <c r="I5430" s="141"/>
      <c r="J5430" s="17" t="s">
        <v>82</v>
      </c>
      <c r="K5430" s="19">
        <v>305</v>
      </c>
      <c r="L5430" s="19">
        <v>50</v>
      </c>
      <c r="M5430" s="98">
        <v>2200</v>
      </c>
      <c r="N5430" s="19" t="s">
        <v>66</v>
      </c>
      <c r="O5430" s="19" t="s">
        <v>141</v>
      </c>
      <c r="P5430" s="321"/>
      <c r="Q5430" s="19">
        <f>570+567</f>
        <v>1137</v>
      </c>
      <c r="S5430" s="91">
        <v>865</v>
      </c>
      <c r="T5430" s="19" t="s">
        <v>42</v>
      </c>
      <c r="U5430" s="102" t="s">
        <v>1420</v>
      </c>
      <c r="V5430" s="186">
        <v>45373</v>
      </c>
      <c r="W5430" s="17" t="s">
        <v>69</v>
      </c>
      <c r="Y5430" s="68">
        <v>45383</v>
      </c>
      <c r="Z5430" s="17" t="s">
        <v>191</v>
      </c>
      <c r="AA5430" s="17" t="s">
        <v>46</v>
      </c>
      <c r="AB5430" s="17" t="s">
        <v>1337</v>
      </c>
      <c r="AC5430" s="217">
        <v>45400</v>
      </c>
      <c r="AD5430" s="65">
        <v>1563</v>
      </c>
      <c r="AE5430" s="17" t="s">
        <v>74</v>
      </c>
    </row>
    <row r="5431" s="17" customFormat="1" ht="15.6" hidden="1" spans="1:31">
      <c r="A5431" s="17" t="s">
        <v>34</v>
      </c>
      <c r="B5431" s="19">
        <v>994</v>
      </c>
      <c r="C5431" s="183">
        <v>45372</v>
      </c>
      <c r="D5431" s="22" t="s">
        <v>52</v>
      </c>
      <c r="E5431" s="17" t="s">
        <v>1113</v>
      </c>
      <c r="F5431" s="17" t="s">
        <v>54</v>
      </c>
      <c r="H5431" s="141">
        <v>1.2311</v>
      </c>
      <c r="I5431" s="141"/>
      <c r="J5431" s="17" t="s">
        <v>82</v>
      </c>
      <c r="K5431" s="19">
        <v>305</v>
      </c>
      <c r="L5431" s="19">
        <v>50</v>
      </c>
      <c r="M5431" s="98">
        <v>2200</v>
      </c>
      <c r="N5431" s="19" t="s">
        <v>66</v>
      </c>
      <c r="O5431" s="19" t="s">
        <v>141</v>
      </c>
      <c r="P5431" s="321"/>
      <c r="Q5431" s="19">
        <f>283+283</f>
        <v>566</v>
      </c>
      <c r="S5431" s="91">
        <f>865+60</f>
        <v>925</v>
      </c>
      <c r="T5431" s="19" t="s">
        <v>42</v>
      </c>
      <c r="U5431" s="102" t="s">
        <v>1420</v>
      </c>
      <c r="V5431" s="186">
        <v>45373</v>
      </c>
      <c r="W5431" s="17" t="s">
        <v>69</v>
      </c>
      <c r="Y5431" s="68">
        <v>45383</v>
      </c>
      <c r="Z5431" s="17" t="s">
        <v>191</v>
      </c>
      <c r="AA5431" s="17" t="s">
        <v>46</v>
      </c>
      <c r="AB5431" s="17" t="s">
        <v>1339</v>
      </c>
      <c r="AC5431" s="217">
        <v>45433</v>
      </c>
      <c r="AD5431" s="65">
        <v>1570</v>
      </c>
      <c r="AE5431" s="17" t="s">
        <v>74</v>
      </c>
    </row>
    <row r="5432" s="17" customFormat="1" ht="15.6" hidden="1" spans="1:31">
      <c r="A5432" s="17" t="s">
        <v>34</v>
      </c>
      <c r="B5432" s="19">
        <v>994</v>
      </c>
      <c r="C5432" s="183">
        <v>45372</v>
      </c>
      <c r="D5432" s="22" t="s">
        <v>52</v>
      </c>
      <c r="E5432" s="17" t="s">
        <v>1113</v>
      </c>
      <c r="F5432" s="17" t="s">
        <v>54</v>
      </c>
      <c r="H5432" s="141">
        <v>1.2311</v>
      </c>
      <c r="I5432" s="141"/>
      <c r="J5432" s="17" t="s">
        <v>82</v>
      </c>
      <c r="K5432" s="19">
        <v>305</v>
      </c>
      <c r="L5432" s="19">
        <v>50</v>
      </c>
      <c r="M5432" s="98">
        <v>2200</v>
      </c>
      <c r="N5432" s="19" t="s">
        <v>66</v>
      </c>
      <c r="O5432" s="19" t="s">
        <v>141</v>
      </c>
      <c r="P5432" s="321"/>
      <c r="Q5432" s="146">
        <v>283</v>
      </c>
      <c r="R5432" s="99">
        <f>+P5428-Q5428-Q5429-Q5430-Q5431-Q5432</f>
        <v>-180</v>
      </c>
      <c r="S5432" s="91">
        <f>865</f>
        <v>865</v>
      </c>
      <c r="T5432" s="19" t="s">
        <v>42</v>
      </c>
      <c r="U5432" s="102" t="s">
        <v>1420</v>
      </c>
      <c r="V5432" s="186">
        <v>45373</v>
      </c>
      <c r="W5432" s="17" t="s">
        <v>69</v>
      </c>
      <c r="Y5432" s="68">
        <v>45383</v>
      </c>
      <c r="Z5432" s="17" t="s">
        <v>191</v>
      </c>
      <c r="AA5432" s="17" t="s">
        <v>46</v>
      </c>
      <c r="AB5432" s="17" t="s">
        <v>1340</v>
      </c>
      <c r="AC5432" s="217">
        <v>45498</v>
      </c>
      <c r="AD5432" s="65">
        <v>1603</v>
      </c>
      <c r="AE5432" s="17" t="s">
        <v>74</v>
      </c>
    </row>
    <row r="5433" s="17" customFormat="1" ht="15.6" hidden="1" spans="1:31">
      <c r="A5433" s="17" t="s">
        <v>34</v>
      </c>
      <c r="B5433" s="19">
        <v>994</v>
      </c>
      <c r="C5433" s="183">
        <v>45372</v>
      </c>
      <c r="D5433" s="22" t="s">
        <v>52</v>
      </c>
      <c r="E5433" s="17" t="s">
        <v>1113</v>
      </c>
      <c r="F5433" s="17" t="s">
        <v>54</v>
      </c>
      <c r="H5433" s="141">
        <v>1.2311</v>
      </c>
      <c r="I5433" s="141"/>
      <c r="J5433" s="17" t="s">
        <v>82</v>
      </c>
      <c r="K5433" s="19">
        <v>355</v>
      </c>
      <c r="L5433" s="19">
        <v>50</v>
      </c>
      <c r="M5433" s="98">
        <v>2200</v>
      </c>
      <c r="N5433" s="19" t="s">
        <v>66</v>
      </c>
      <c r="O5433" s="19" t="s">
        <v>141</v>
      </c>
      <c r="P5433" s="321">
        <v>2822</v>
      </c>
      <c r="Q5433" s="19">
        <v>1999</v>
      </c>
      <c r="S5433" s="91">
        <v>865</v>
      </c>
      <c r="T5433" s="19" t="s">
        <v>42</v>
      </c>
      <c r="U5433" s="102" t="s">
        <v>1420</v>
      </c>
      <c r="V5433" s="186">
        <v>45373</v>
      </c>
      <c r="W5433" s="17" t="s">
        <v>69</v>
      </c>
      <c r="Y5433" s="68">
        <v>45383</v>
      </c>
      <c r="Z5433" s="17" t="s">
        <v>191</v>
      </c>
      <c r="AA5433" s="17" t="s">
        <v>46</v>
      </c>
      <c r="AB5433" s="17" t="s">
        <v>1338</v>
      </c>
      <c r="AC5433" s="217">
        <v>45395</v>
      </c>
      <c r="AD5433" s="65">
        <v>1557</v>
      </c>
      <c r="AE5433" s="17" t="s">
        <v>74</v>
      </c>
    </row>
    <row r="5434" s="17" customFormat="1" ht="15.6" hidden="1" spans="1:31">
      <c r="A5434" s="17" t="s">
        <v>34</v>
      </c>
      <c r="B5434" s="19">
        <v>994</v>
      </c>
      <c r="C5434" s="183">
        <v>45372</v>
      </c>
      <c r="D5434" s="22" t="s">
        <v>52</v>
      </c>
      <c r="E5434" s="17" t="s">
        <v>1113</v>
      </c>
      <c r="F5434" s="17" t="s">
        <v>54</v>
      </c>
      <c r="H5434" s="141">
        <v>1.2311</v>
      </c>
      <c r="I5434" s="141"/>
      <c r="J5434" s="17" t="s">
        <v>82</v>
      </c>
      <c r="K5434" s="19">
        <v>355</v>
      </c>
      <c r="L5434" s="19">
        <v>50</v>
      </c>
      <c r="M5434" s="98">
        <v>2200</v>
      </c>
      <c r="N5434" s="19" t="s">
        <v>66</v>
      </c>
      <c r="O5434" s="19" t="s">
        <v>141</v>
      </c>
      <c r="P5434" s="321"/>
      <c r="Q5434" s="19">
        <v>328</v>
      </c>
      <c r="S5434" s="91">
        <v>865</v>
      </c>
      <c r="T5434" s="19" t="s">
        <v>42</v>
      </c>
      <c r="U5434" s="102" t="s">
        <v>1420</v>
      </c>
      <c r="V5434" s="186">
        <v>45373</v>
      </c>
      <c r="W5434" s="17" t="s">
        <v>69</v>
      </c>
      <c r="Y5434" s="68">
        <v>45383</v>
      </c>
      <c r="Z5434" s="17" t="s">
        <v>191</v>
      </c>
      <c r="AA5434" s="17" t="s">
        <v>46</v>
      </c>
      <c r="AB5434" s="17" t="s">
        <v>1337</v>
      </c>
      <c r="AC5434" s="217">
        <v>45400</v>
      </c>
      <c r="AD5434" s="65">
        <v>1563</v>
      </c>
      <c r="AE5434" s="17" t="s">
        <v>74</v>
      </c>
    </row>
    <row r="5435" s="17" customFormat="1" ht="15.6" hidden="1" spans="1:31">
      <c r="A5435" s="17" t="s">
        <v>34</v>
      </c>
      <c r="B5435" s="19">
        <v>994</v>
      </c>
      <c r="C5435" s="183">
        <v>45372</v>
      </c>
      <c r="D5435" s="22" t="s">
        <v>52</v>
      </c>
      <c r="E5435" s="17" t="s">
        <v>1113</v>
      </c>
      <c r="F5435" s="17" t="s">
        <v>54</v>
      </c>
      <c r="H5435" s="141">
        <v>1.2311</v>
      </c>
      <c r="I5435" s="141"/>
      <c r="J5435" s="17" t="s">
        <v>82</v>
      </c>
      <c r="K5435" s="19">
        <v>355</v>
      </c>
      <c r="L5435" s="19">
        <v>50</v>
      </c>
      <c r="M5435" s="98">
        <v>2200</v>
      </c>
      <c r="N5435" s="19" t="s">
        <v>66</v>
      </c>
      <c r="O5435" s="19" t="s">
        <v>141</v>
      </c>
      <c r="P5435" s="321"/>
      <c r="Q5435" s="19">
        <v>641</v>
      </c>
      <c r="R5435" s="99">
        <f>+P5433-Q5433-Q5434-Q5435</f>
        <v>-146</v>
      </c>
      <c r="S5435" s="322">
        <f>865+40</f>
        <v>905</v>
      </c>
      <c r="T5435" s="19" t="s">
        <v>42</v>
      </c>
      <c r="U5435" s="102" t="s">
        <v>1420</v>
      </c>
      <c r="V5435" s="186">
        <v>45373</v>
      </c>
      <c r="W5435" s="17" t="s">
        <v>69</v>
      </c>
      <c r="Y5435" s="68">
        <v>45383</v>
      </c>
      <c r="Z5435" s="17" t="s">
        <v>191</v>
      </c>
      <c r="AA5435" s="17" t="s">
        <v>46</v>
      </c>
      <c r="AB5435" s="17" t="s">
        <v>1343</v>
      </c>
      <c r="AC5435" s="217">
        <v>45433</v>
      </c>
      <c r="AD5435" s="65">
        <v>1575</v>
      </c>
      <c r="AE5435" s="17" t="s">
        <v>74</v>
      </c>
    </row>
    <row r="5436" s="17" customFormat="1" ht="15.6" hidden="1" spans="1:31">
      <c r="A5436" s="17" t="s">
        <v>34</v>
      </c>
      <c r="B5436" s="19">
        <v>994</v>
      </c>
      <c r="C5436" s="183">
        <v>45372</v>
      </c>
      <c r="D5436" s="22" t="s">
        <v>52</v>
      </c>
      <c r="E5436" s="17" t="s">
        <v>1113</v>
      </c>
      <c r="F5436" s="17" t="s">
        <v>54</v>
      </c>
      <c r="H5436" s="141">
        <v>1.2311</v>
      </c>
      <c r="I5436" s="141"/>
      <c r="J5436" s="17" t="s">
        <v>82</v>
      </c>
      <c r="K5436" s="19">
        <v>405</v>
      </c>
      <c r="L5436" s="19">
        <v>50</v>
      </c>
      <c r="M5436" s="98">
        <v>2200</v>
      </c>
      <c r="N5436" s="19" t="s">
        <v>66</v>
      </c>
      <c r="O5436" s="19" t="s">
        <v>141</v>
      </c>
      <c r="P5436" s="321">
        <v>2861</v>
      </c>
      <c r="Q5436" s="19">
        <v>2282</v>
      </c>
      <c r="S5436" s="91">
        <v>865</v>
      </c>
      <c r="T5436" s="19" t="s">
        <v>42</v>
      </c>
      <c r="U5436" s="102" t="s">
        <v>1420</v>
      </c>
      <c r="V5436" s="186">
        <v>45373</v>
      </c>
      <c r="W5436" s="17" t="s">
        <v>69</v>
      </c>
      <c r="Y5436" s="68">
        <v>45383</v>
      </c>
      <c r="Z5436" s="17" t="s">
        <v>191</v>
      </c>
      <c r="AA5436" s="17" t="s">
        <v>46</v>
      </c>
      <c r="AB5436" s="17" t="s">
        <v>1338</v>
      </c>
      <c r="AC5436" s="217">
        <v>45395</v>
      </c>
      <c r="AD5436" s="65">
        <v>1557</v>
      </c>
      <c r="AE5436" s="17" t="s">
        <v>74</v>
      </c>
    </row>
    <row r="5437" s="17" customFormat="1" ht="15.6" hidden="1" spans="1:31">
      <c r="A5437" s="17" t="s">
        <v>34</v>
      </c>
      <c r="B5437" s="19">
        <v>994</v>
      </c>
      <c r="C5437" s="183">
        <v>45372</v>
      </c>
      <c r="D5437" s="22" t="s">
        <v>52</v>
      </c>
      <c r="E5437" s="17" t="s">
        <v>1113</v>
      </c>
      <c r="F5437" s="17" t="s">
        <v>54</v>
      </c>
      <c r="H5437" s="141">
        <v>1.2311</v>
      </c>
      <c r="I5437" s="141"/>
      <c r="J5437" s="17" t="s">
        <v>82</v>
      </c>
      <c r="K5437" s="19">
        <v>405</v>
      </c>
      <c r="L5437" s="19">
        <v>50</v>
      </c>
      <c r="M5437" s="98">
        <v>2200</v>
      </c>
      <c r="N5437" s="19" t="s">
        <v>66</v>
      </c>
      <c r="O5437" s="19" t="s">
        <v>141</v>
      </c>
      <c r="P5437" s="321"/>
      <c r="Q5437" s="19">
        <f>380+377</f>
        <v>757</v>
      </c>
      <c r="R5437" s="99">
        <f>+P5436-Q5436-Q5437</f>
        <v>-178</v>
      </c>
      <c r="S5437" s="91">
        <v>865</v>
      </c>
      <c r="T5437" s="19" t="s">
        <v>42</v>
      </c>
      <c r="U5437" s="102" t="s">
        <v>1420</v>
      </c>
      <c r="V5437" s="186">
        <v>45373</v>
      </c>
      <c r="W5437" s="17" t="s">
        <v>69</v>
      </c>
      <c r="Y5437" s="68">
        <v>45383</v>
      </c>
      <c r="Z5437" s="17" t="s">
        <v>191</v>
      </c>
      <c r="AA5437" s="17" t="s">
        <v>46</v>
      </c>
      <c r="AB5437" s="17" t="s">
        <v>1337</v>
      </c>
      <c r="AC5437" s="217">
        <v>45400</v>
      </c>
      <c r="AD5437" s="65">
        <v>1563</v>
      </c>
      <c r="AE5437" s="17" t="s">
        <v>74</v>
      </c>
    </row>
    <row r="5438" s="17" customFormat="1" ht="15.6" hidden="1" spans="1:31">
      <c r="A5438" s="17" t="s">
        <v>34</v>
      </c>
      <c r="B5438" s="19">
        <v>994</v>
      </c>
      <c r="C5438" s="183">
        <v>45372</v>
      </c>
      <c r="D5438" s="22" t="s">
        <v>52</v>
      </c>
      <c r="E5438" s="17" t="s">
        <v>1113</v>
      </c>
      <c r="F5438" s="17" t="s">
        <v>54</v>
      </c>
      <c r="H5438" s="141">
        <v>1.2311</v>
      </c>
      <c r="I5438" s="141"/>
      <c r="J5438" s="17" t="s">
        <v>82</v>
      </c>
      <c r="K5438" s="19">
        <v>455</v>
      </c>
      <c r="L5438" s="19">
        <v>50</v>
      </c>
      <c r="M5438" s="98">
        <v>2200</v>
      </c>
      <c r="N5438" s="19" t="s">
        <v>66</v>
      </c>
      <c r="O5438" s="19" t="s">
        <v>141</v>
      </c>
      <c r="P5438" s="321">
        <v>2813</v>
      </c>
      <c r="Q5438" s="19">
        <v>423</v>
      </c>
      <c r="S5438" s="91">
        <v>865</v>
      </c>
      <c r="T5438" s="19" t="s">
        <v>42</v>
      </c>
      <c r="U5438" s="102" t="s">
        <v>1420</v>
      </c>
      <c r="V5438" s="186">
        <v>45373</v>
      </c>
      <c r="W5438" s="17" t="s">
        <v>69</v>
      </c>
      <c r="Y5438" s="68">
        <v>45383</v>
      </c>
      <c r="Z5438" s="17" t="s">
        <v>191</v>
      </c>
      <c r="AA5438" s="17" t="s">
        <v>46</v>
      </c>
      <c r="AB5438" s="17" t="s">
        <v>1341</v>
      </c>
      <c r="AC5438" s="217">
        <v>45400</v>
      </c>
      <c r="AD5438" s="65">
        <v>1562</v>
      </c>
      <c r="AE5438" s="17" t="s">
        <v>74</v>
      </c>
    </row>
    <row r="5439" s="17" customFormat="1" ht="15.6" hidden="1" spans="1:31">
      <c r="A5439" s="17" t="s">
        <v>34</v>
      </c>
      <c r="B5439" s="19">
        <v>994</v>
      </c>
      <c r="C5439" s="183">
        <v>45372</v>
      </c>
      <c r="D5439" s="22" t="s">
        <v>52</v>
      </c>
      <c r="E5439" s="17" t="s">
        <v>1113</v>
      </c>
      <c r="F5439" s="17" t="s">
        <v>54</v>
      </c>
      <c r="H5439" s="141">
        <v>1.2311</v>
      </c>
      <c r="I5439" s="141"/>
      <c r="J5439" s="17" t="s">
        <v>82</v>
      </c>
      <c r="K5439" s="19">
        <v>455</v>
      </c>
      <c r="L5439" s="19">
        <v>50</v>
      </c>
      <c r="M5439" s="98">
        <v>2200</v>
      </c>
      <c r="N5439" s="19" t="s">
        <v>66</v>
      </c>
      <c r="O5439" s="19" t="s">
        <v>141</v>
      </c>
      <c r="P5439" s="321"/>
      <c r="Q5439" s="19">
        <f>1266+1251</f>
        <v>2517</v>
      </c>
      <c r="R5439" s="99">
        <f>+P5438-Q5438-Q5439</f>
        <v>-127</v>
      </c>
      <c r="S5439" s="91">
        <v>865</v>
      </c>
      <c r="T5439" s="19" t="s">
        <v>42</v>
      </c>
      <c r="U5439" s="102" t="s">
        <v>1420</v>
      </c>
      <c r="V5439" s="186">
        <v>45373</v>
      </c>
      <c r="W5439" s="17" t="s">
        <v>69</v>
      </c>
      <c r="Y5439" s="68">
        <v>45383</v>
      </c>
      <c r="Z5439" s="17" t="s">
        <v>191</v>
      </c>
      <c r="AA5439" s="17" t="s">
        <v>46</v>
      </c>
      <c r="AB5439" s="17" t="s">
        <v>1337</v>
      </c>
      <c r="AC5439" s="217">
        <v>45400</v>
      </c>
      <c r="AD5439" s="65">
        <v>1563</v>
      </c>
      <c r="AE5439" s="17" t="s">
        <v>74</v>
      </c>
    </row>
    <row r="5440" s="17" customFormat="1" ht="15.6" hidden="1" spans="1:31">
      <c r="A5440" s="17" t="s">
        <v>34</v>
      </c>
      <c r="B5440" s="19">
        <v>994</v>
      </c>
      <c r="C5440" s="183">
        <v>45372</v>
      </c>
      <c r="D5440" s="22" t="s">
        <v>52</v>
      </c>
      <c r="E5440" s="17" t="s">
        <v>1113</v>
      </c>
      <c r="F5440" s="17" t="s">
        <v>54</v>
      </c>
      <c r="H5440" s="141">
        <v>1.2311</v>
      </c>
      <c r="I5440" s="141"/>
      <c r="J5440" s="17" t="s">
        <v>82</v>
      </c>
      <c r="K5440" s="19">
        <v>505</v>
      </c>
      <c r="L5440" s="19">
        <v>50</v>
      </c>
      <c r="M5440" s="98">
        <v>2200</v>
      </c>
      <c r="N5440" s="19" t="s">
        <v>66</v>
      </c>
      <c r="O5440" s="19" t="s">
        <v>141</v>
      </c>
      <c r="P5440" s="321">
        <v>2230</v>
      </c>
      <c r="Q5440" s="19">
        <v>1422</v>
      </c>
      <c r="S5440" s="91">
        <v>865</v>
      </c>
      <c r="T5440" s="19" t="s">
        <v>42</v>
      </c>
      <c r="U5440" s="102" t="s">
        <v>1420</v>
      </c>
      <c r="V5440" s="186">
        <v>45373</v>
      </c>
      <c r="W5440" s="17" t="s">
        <v>69</v>
      </c>
      <c r="Y5440" s="68">
        <v>45383</v>
      </c>
      <c r="Z5440" s="17" t="s">
        <v>191</v>
      </c>
      <c r="AA5440" s="17" t="s">
        <v>46</v>
      </c>
      <c r="AB5440" s="17" t="s">
        <v>1341</v>
      </c>
      <c r="AC5440" s="217">
        <v>45400</v>
      </c>
      <c r="AD5440" s="65">
        <v>1562</v>
      </c>
      <c r="AE5440" s="17" t="s">
        <v>74</v>
      </c>
    </row>
    <row r="5441" s="17" customFormat="1" ht="15.6" hidden="1" spans="1:31">
      <c r="A5441" s="17" t="s">
        <v>34</v>
      </c>
      <c r="B5441" s="19">
        <v>994</v>
      </c>
      <c r="C5441" s="183">
        <v>45372</v>
      </c>
      <c r="D5441" s="22" t="s">
        <v>52</v>
      </c>
      <c r="E5441" s="17" t="s">
        <v>1113</v>
      </c>
      <c r="F5441" s="17" t="s">
        <v>54</v>
      </c>
      <c r="H5441" s="141">
        <v>1.2311</v>
      </c>
      <c r="I5441" s="141"/>
      <c r="J5441" s="17" t="s">
        <v>82</v>
      </c>
      <c r="K5441" s="19">
        <v>505</v>
      </c>
      <c r="L5441" s="19">
        <v>50</v>
      </c>
      <c r="M5441" s="98">
        <v>2200</v>
      </c>
      <c r="N5441" s="19" t="s">
        <v>66</v>
      </c>
      <c r="O5441" s="19" t="s">
        <v>141</v>
      </c>
      <c r="P5441" s="321"/>
      <c r="Q5441" s="19">
        <v>939</v>
      </c>
      <c r="R5441" s="99">
        <f>+P5440-Q5440-Q5441</f>
        <v>-131</v>
      </c>
      <c r="S5441" s="91">
        <v>865</v>
      </c>
      <c r="T5441" s="19" t="s">
        <v>42</v>
      </c>
      <c r="U5441" s="102" t="s">
        <v>1420</v>
      </c>
      <c r="V5441" s="186">
        <v>45373</v>
      </c>
      <c r="W5441" s="17" t="s">
        <v>69</v>
      </c>
      <c r="Y5441" s="68">
        <v>45383</v>
      </c>
      <c r="Z5441" s="17" t="s">
        <v>191</v>
      </c>
      <c r="AA5441" s="17" t="s">
        <v>46</v>
      </c>
      <c r="AB5441" s="17" t="s">
        <v>1337</v>
      </c>
      <c r="AC5441" s="217">
        <v>45400</v>
      </c>
      <c r="AD5441" s="65">
        <v>1563</v>
      </c>
      <c r="AE5441" s="17" t="s">
        <v>74</v>
      </c>
    </row>
    <row r="5442" s="17" customFormat="1" ht="15.6" hidden="1" spans="1:31">
      <c r="A5442" s="17" t="s">
        <v>34</v>
      </c>
      <c r="B5442" s="19">
        <v>994</v>
      </c>
      <c r="C5442" s="183">
        <v>45372</v>
      </c>
      <c r="D5442" s="22" t="s">
        <v>52</v>
      </c>
      <c r="E5442" s="17" t="s">
        <v>1113</v>
      </c>
      <c r="F5442" s="17" t="s">
        <v>54</v>
      </c>
      <c r="H5442" s="141">
        <v>1.2311</v>
      </c>
      <c r="I5442" s="141"/>
      <c r="J5442" s="17" t="s">
        <v>82</v>
      </c>
      <c r="K5442" s="19">
        <v>555</v>
      </c>
      <c r="L5442" s="19">
        <v>50</v>
      </c>
      <c r="M5442" s="98">
        <v>2200</v>
      </c>
      <c r="N5442" s="19" t="s">
        <v>66</v>
      </c>
      <c r="O5442" s="19" t="s">
        <v>141</v>
      </c>
      <c r="P5442" s="321">
        <v>1961</v>
      </c>
      <c r="Q5442" s="19">
        <v>1038</v>
      </c>
      <c r="S5442" s="91">
        <v>865</v>
      </c>
      <c r="T5442" s="19" t="s">
        <v>42</v>
      </c>
      <c r="U5442" s="102" t="s">
        <v>1420</v>
      </c>
      <c r="V5442" s="186">
        <v>45373</v>
      </c>
      <c r="W5442" s="17" t="s">
        <v>69</v>
      </c>
      <c r="Y5442" s="68">
        <v>45383</v>
      </c>
      <c r="Z5442" s="17" t="s">
        <v>191</v>
      </c>
      <c r="AA5442" s="17" t="s">
        <v>46</v>
      </c>
      <c r="AB5442" s="17" t="s">
        <v>1338</v>
      </c>
      <c r="AC5442" s="217">
        <v>45395</v>
      </c>
      <c r="AD5442" s="65">
        <v>1557</v>
      </c>
      <c r="AE5442" s="17" t="s">
        <v>74</v>
      </c>
    </row>
    <row r="5443" s="17" customFormat="1" ht="15.6" hidden="1" spans="1:31">
      <c r="A5443" s="17" t="s">
        <v>34</v>
      </c>
      <c r="B5443" s="19">
        <v>994</v>
      </c>
      <c r="C5443" s="183">
        <v>45372</v>
      </c>
      <c r="D5443" s="22" t="s">
        <v>52</v>
      </c>
      <c r="E5443" s="17" t="s">
        <v>1113</v>
      </c>
      <c r="F5443" s="17" t="s">
        <v>54</v>
      </c>
      <c r="H5443" s="141">
        <v>1.2311</v>
      </c>
      <c r="I5443" s="141"/>
      <c r="J5443" s="17" t="s">
        <v>82</v>
      </c>
      <c r="K5443" s="19">
        <v>555</v>
      </c>
      <c r="L5443" s="19">
        <v>50</v>
      </c>
      <c r="M5443" s="98">
        <v>2200</v>
      </c>
      <c r="N5443" s="19" t="s">
        <v>66</v>
      </c>
      <c r="O5443" s="19" t="s">
        <v>141</v>
      </c>
      <c r="P5443" s="321"/>
      <c r="Q5443" s="19">
        <f>515+513</f>
        <v>1028</v>
      </c>
      <c r="R5443" s="99">
        <f>+P5442-Q5442-Q5443</f>
        <v>-105</v>
      </c>
      <c r="S5443" s="91">
        <f>865+60</f>
        <v>925</v>
      </c>
      <c r="T5443" s="19" t="s">
        <v>42</v>
      </c>
      <c r="U5443" s="102" t="s">
        <v>1420</v>
      </c>
      <c r="V5443" s="186">
        <v>45373</v>
      </c>
      <c r="W5443" s="17" t="s">
        <v>69</v>
      </c>
      <c r="Y5443" s="68">
        <v>45383</v>
      </c>
      <c r="Z5443" s="17" t="s">
        <v>191</v>
      </c>
      <c r="AA5443" s="17" t="s">
        <v>46</v>
      </c>
      <c r="AB5443" s="17" t="s">
        <v>1339</v>
      </c>
      <c r="AC5443" s="217">
        <v>45433</v>
      </c>
      <c r="AD5443" s="65">
        <v>1570</v>
      </c>
      <c r="AE5443" s="17" t="s">
        <v>74</v>
      </c>
    </row>
    <row r="5444" s="17" customFormat="1" ht="15.6" hidden="1" spans="1:31">
      <c r="A5444" s="17" t="s">
        <v>34</v>
      </c>
      <c r="B5444" s="19">
        <v>994</v>
      </c>
      <c r="C5444" s="183">
        <v>45372</v>
      </c>
      <c r="D5444" s="22" t="s">
        <v>52</v>
      </c>
      <c r="E5444" s="17" t="s">
        <v>1113</v>
      </c>
      <c r="F5444" s="17" t="s">
        <v>54</v>
      </c>
      <c r="H5444" s="141">
        <v>1.2311</v>
      </c>
      <c r="I5444" s="141"/>
      <c r="J5444" s="17" t="s">
        <v>82</v>
      </c>
      <c r="K5444" s="19">
        <v>605</v>
      </c>
      <c r="L5444" s="19">
        <v>50</v>
      </c>
      <c r="M5444" s="98">
        <v>2200</v>
      </c>
      <c r="N5444" s="19" t="s">
        <v>66</v>
      </c>
      <c r="O5444" s="19" t="s">
        <v>141</v>
      </c>
      <c r="P5444" s="321">
        <v>2137</v>
      </c>
      <c r="Q5444" s="19">
        <v>1125</v>
      </c>
      <c r="S5444" s="91">
        <v>865</v>
      </c>
      <c r="T5444" s="19" t="s">
        <v>42</v>
      </c>
      <c r="U5444" s="102" t="s">
        <v>1420</v>
      </c>
      <c r="V5444" s="186">
        <v>45373</v>
      </c>
      <c r="W5444" s="17" t="s">
        <v>69</v>
      </c>
      <c r="Y5444" s="68">
        <v>45383</v>
      </c>
      <c r="Z5444" s="17" t="s">
        <v>191</v>
      </c>
      <c r="AA5444" s="17" t="s">
        <v>46</v>
      </c>
      <c r="AB5444" s="17" t="s">
        <v>1338</v>
      </c>
      <c r="AC5444" s="217">
        <v>45395</v>
      </c>
      <c r="AD5444" s="65">
        <v>1557</v>
      </c>
      <c r="AE5444" s="17" t="s">
        <v>74</v>
      </c>
    </row>
    <row r="5445" s="17" customFormat="1" ht="15.6" hidden="1" spans="1:31">
      <c r="A5445" s="17" t="s">
        <v>34</v>
      </c>
      <c r="B5445" s="19">
        <v>994</v>
      </c>
      <c r="C5445" s="183">
        <v>45372</v>
      </c>
      <c r="D5445" s="22" t="s">
        <v>52</v>
      </c>
      <c r="E5445" s="17" t="s">
        <v>1113</v>
      </c>
      <c r="F5445" s="17" t="s">
        <v>54</v>
      </c>
      <c r="H5445" s="141">
        <v>1.2311</v>
      </c>
      <c r="I5445" s="141"/>
      <c r="J5445" s="17" t="s">
        <v>82</v>
      </c>
      <c r="K5445" s="19">
        <v>605</v>
      </c>
      <c r="L5445" s="19">
        <v>50</v>
      </c>
      <c r="M5445" s="98">
        <v>2200</v>
      </c>
      <c r="N5445" s="19" t="s">
        <v>66</v>
      </c>
      <c r="O5445" s="19" t="s">
        <v>141</v>
      </c>
      <c r="P5445" s="321"/>
      <c r="Q5445" s="19">
        <v>1126</v>
      </c>
      <c r="R5445" s="99">
        <f>+P5444-Q5444-Q5445</f>
        <v>-114</v>
      </c>
      <c r="S5445" s="91">
        <v>865</v>
      </c>
      <c r="T5445" s="19" t="s">
        <v>42</v>
      </c>
      <c r="U5445" s="102" t="s">
        <v>1420</v>
      </c>
      <c r="V5445" s="186">
        <v>45373</v>
      </c>
      <c r="W5445" s="17" t="s">
        <v>69</v>
      </c>
      <c r="Y5445" s="68">
        <v>45383</v>
      </c>
      <c r="Z5445" s="17" t="s">
        <v>191</v>
      </c>
      <c r="AA5445" s="17" t="s">
        <v>46</v>
      </c>
      <c r="AB5445" s="17" t="s">
        <v>1337</v>
      </c>
      <c r="AC5445" s="217">
        <v>45400</v>
      </c>
      <c r="AD5445" s="65">
        <v>1563</v>
      </c>
      <c r="AE5445" s="17" t="s">
        <v>74</v>
      </c>
    </row>
    <row r="5446" s="17" customFormat="1" ht="15.6" hidden="1" spans="1:31">
      <c r="A5446" s="17" t="s">
        <v>34</v>
      </c>
      <c r="B5446" s="19">
        <v>994</v>
      </c>
      <c r="C5446" s="183">
        <v>45372</v>
      </c>
      <c r="D5446" s="22" t="s">
        <v>52</v>
      </c>
      <c r="E5446" s="17" t="s">
        <v>1113</v>
      </c>
      <c r="F5446" s="17" t="s">
        <v>54</v>
      </c>
      <c r="H5446" s="141">
        <v>1.2311</v>
      </c>
      <c r="I5446" s="141"/>
      <c r="J5446" s="17" t="s">
        <v>82</v>
      </c>
      <c r="K5446" s="19">
        <v>205</v>
      </c>
      <c r="L5446" s="19">
        <v>65</v>
      </c>
      <c r="M5446" s="98">
        <v>2200</v>
      </c>
      <c r="N5446" s="19" t="s">
        <v>66</v>
      </c>
      <c r="O5446" s="19" t="s">
        <v>141</v>
      </c>
      <c r="P5446" s="321">
        <v>2118</v>
      </c>
      <c r="Q5446" s="19">
        <v>739</v>
      </c>
      <c r="S5446" s="91">
        <v>865</v>
      </c>
      <c r="T5446" s="19" t="s">
        <v>42</v>
      </c>
      <c r="U5446" s="102" t="s">
        <v>1420</v>
      </c>
      <c r="V5446" s="186">
        <v>45373</v>
      </c>
      <c r="W5446" s="17" t="s">
        <v>69</v>
      </c>
      <c r="Y5446" s="68">
        <v>45383</v>
      </c>
      <c r="Z5446" s="17" t="s">
        <v>191</v>
      </c>
      <c r="AA5446" s="17" t="s">
        <v>46</v>
      </c>
      <c r="AB5446" s="17" t="s">
        <v>1338</v>
      </c>
      <c r="AC5446" s="217">
        <v>45395</v>
      </c>
      <c r="AD5446" s="65">
        <v>1557</v>
      </c>
      <c r="AE5446" s="17" t="s">
        <v>74</v>
      </c>
    </row>
    <row r="5447" s="17" customFormat="1" ht="15.6" hidden="1" spans="1:31">
      <c r="A5447" s="17" t="s">
        <v>34</v>
      </c>
      <c r="B5447" s="19">
        <v>994</v>
      </c>
      <c r="C5447" s="183">
        <v>45372</v>
      </c>
      <c r="D5447" s="22" t="s">
        <v>52</v>
      </c>
      <c r="E5447" s="17" t="s">
        <v>1113</v>
      </c>
      <c r="F5447" s="17" t="s">
        <v>54</v>
      </c>
      <c r="H5447" s="141">
        <v>1.2311</v>
      </c>
      <c r="I5447" s="141"/>
      <c r="J5447" s="17" t="s">
        <v>82</v>
      </c>
      <c r="K5447" s="19">
        <v>205</v>
      </c>
      <c r="L5447" s="19">
        <v>65</v>
      </c>
      <c r="M5447" s="98">
        <v>2200</v>
      </c>
      <c r="N5447" s="19" t="s">
        <v>66</v>
      </c>
      <c r="O5447" s="19" t="s">
        <v>141</v>
      </c>
      <c r="P5447" s="321"/>
      <c r="Q5447" s="19">
        <f>494+1006</f>
        <v>1500</v>
      </c>
      <c r="R5447" s="99">
        <f>+P5446-Q5446-Q5447</f>
        <v>-121</v>
      </c>
      <c r="S5447" s="91">
        <v>865</v>
      </c>
      <c r="T5447" s="19" t="s">
        <v>42</v>
      </c>
      <c r="U5447" s="102" t="s">
        <v>1420</v>
      </c>
      <c r="V5447" s="186">
        <v>45373</v>
      </c>
      <c r="W5447" s="17" t="s">
        <v>69</v>
      </c>
      <c r="Y5447" s="68">
        <v>45383</v>
      </c>
      <c r="Z5447" s="17" t="s">
        <v>191</v>
      </c>
      <c r="AA5447" s="17" t="s">
        <v>46</v>
      </c>
      <c r="AB5447" s="17" t="s">
        <v>1341</v>
      </c>
      <c r="AC5447" s="217">
        <v>45400</v>
      </c>
      <c r="AD5447" s="65">
        <v>1562</v>
      </c>
      <c r="AE5447" s="17" t="s">
        <v>74</v>
      </c>
    </row>
    <row r="5448" s="17" customFormat="1" ht="15.6" hidden="1" spans="1:31">
      <c r="A5448" s="17" t="s">
        <v>34</v>
      </c>
      <c r="B5448" s="19">
        <v>994</v>
      </c>
      <c r="C5448" s="183">
        <v>45372</v>
      </c>
      <c r="D5448" s="22" t="s">
        <v>52</v>
      </c>
      <c r="E5448" s="17" t="s">
        <v>1113</v>
      </c>
      <c r="F5448" s="17" t="s">
        <v>54</v>
      </c>
      <c r="H5448" s="141">
        <v>1.2311</v>
      </c>
      <c r="I5448" s="141"/>
      <c r="J5448" s="17" t="s">
        <v>82</v>
      </c>
      <c r="K5448" s="19">
        <v>305</v>
      </c>
      <c r="L5448" s="19">
        <v>65</v>
      </c>
      <c r="M5448" s="98">
        <v>2200</v>
      </c>
      <c r="N5448" s="19" t="s">
        <v>66</v>
      </c>
      <c r="O5448" s="19" t="s">
        <v>141</v>
      </c>
      <c r="P5448" s="321">
        <v>3151</v>
      </c>
      <c r="Q5448" s="19">
        <v>732</v>
      </c>
      <c r="S5448" s="91">
        <v>865</v>
      </c>
      <c r="T5448" s="19" t="s">
        <v>42</v>
      </c>
      <c r="U5448" s="102" t="s">
        <v>1420</v>
      </c>
      <c r="V5448" s="186">
        <v>45373</v>
      </c>
      <c r="W5448" s="17" t="s">
        <v>69</v>
      </c>
      <c r="Y5448" s="68">
        <v>45383</v>
      </c>
      <c r="Z5448" s="17" t="s">
        <v>191</v>
      </c>
      <c r="AA5448" s="17" t="s">
        <v>46</v>
      </c>
      <c r="AB5448" s="17" t="s">
        <v>1338</v>
      </c>
      <c r="AC5448" s="217">
        <v>45395</v>
      </c>
      <c r="AD5448" s="65">
        <v>1557</v>
      </c>
      <c r="AE5448" s="17" t="s">
        <v>74</v>
      </c>
    </row>
    <row r="5449" s="17" customFormat="1" ht="15.6" hidden="1" spans="1:31">
      <c r="A5449" s="17" t="s">
        <v>34</v>
      </c>
      <c r="B5449" s="19">
        <v>994</v>
      </c>
      <c r="C5449" s="183">
        <v>45372</v>
      </c>
      <c r="D5449" s="22" t="s">
        <v>52</v>
      </c>
      <c r="E5449" s="17" t="s">
        <v>1113</v>
      </c>
      <c r="F5449" s="17" t="s">
        <v>54</v>
      </c>
      <c r="H5449" s="141">
        <v>1.2311</v>
      </c>
      <c r="I5449" s="141"/>
      <c r="J5449" s="17" t="s">
        <v>82</v>
      </c>
      <c r="K5449" s="19">
        <v>305</v>
      </c>
      <c r="L5449" s="19">
        <v>65</v>
      </c>
      <c r="M5449" s="98">
        <v>2200</v>
      </c>
      <c r="N5449" s="19" t="s">
        <v>66</v>
      </c>
      <c r="O5449" s="19" t="s">
        <v>141</v>
      </c>
      <c r="P5449" s="321"/>
      <c r="Q5449" s="19">
        <f>367+739</f>
        <v>1106</v>
      </c>
      <c r="S5449" s="91">
        <v>865</v>
      </c>
      <c r="T5449" s="19" t="s">
        <v>42</v>
      </c>
      <c r="U5449" s="102" t="s">
        <v>1420</v>
      </c>
      <c r="V5449" s="186">
        <v>45373</v>
      </c>
      <c r="W5449" s="17" t="s">
        <v>69</v>
      </c>
      <c r="Y5449" s="68">
        <v>45383</v>
      </c>
      <c r="Z5449" s="17" t="s">
        <v>191</v>
      </c>
      <c r="AA5449" s="17" t="s">
        <v>46</v>
      </c>
      <c r="AB5449" s="17" t="s">
        <v>1341</v>
      </c>
      <c r="AC5449" s="217">
        <v>45400</v>
      </c>
      <c r="AD5449" s="65">
        <v>1562</v>
      </c>
      <c r="AE5449" s="17" t="s">
        <v>74</v>
      </c>
    </row>
    <row r="5450" s="17" customFormat="1" ht="15.6" hidden="1" spans="1:31">
      <c r="A5450" s="17" t="s">
        <v>34</v>
      </c>
      <c r="B5450" s="19">
        <v>994</v>
      </c>
      <c r="C5450" s="183">
        <v>45372</v>
      </c>
      <c r="D5450" s="22" t="s">
        <v>52</v>
      </c>
      <c r="E5450" s="17" t="s">
        <v>1113</v>
      </c>
      <c r="F5450" s="17" t="s">
        <v>54</v>
      </c>
      <c r="H5450" s="141">
        <v>1.2311</v>
      </c>
      <c r="I5450" s="141"/>
      <c r="J5450" s="17" t="s">
        <v>82</v>
      </c>
      <c r="K5450" s="19">
        <v>305</v>
      </c>
      <c r="L5450" s="19">
        <v>65</v>
      </c>
      <c r="M5450" s="98">
        <v>2200</v>
      </c>
      <c r="N5450" s="19" t="s">
        <v>66</v>
      </c>
      <c r="O5450" s="19" t="s">
        <v>141</v>
      </c>
      <c r="P5450" s="321"/>
      <c r="Q5450" s="19">
        <f>365+371</f>
        <v>736</v>
      </c>
      <c r="S5450" s="91">
        <v>865</v>
      </c>
      <c r="T5450" s="19" t="s">
        <v>42</v>
      </c>
      <c r="U5450" s="102" t="s">
        <v>1420</v>
      </c>
      <c r="V5450" s="186">
        <v>45373</v>
      </c>
      <c r="W5450" s="17" t="s">
        <v>69</v>
      </c>
      <c r="Y5450" s="68">
        <v>45383</v>
      </c>
      <c r="Z5450" s="17" t="s">
        <v>191</v>
      </c>
      <c r="AA5450" s="17" t="s">
        <v>46</v>
      </c>
      <c r="AB5450" s="17" t="s">
        <v>1337</v>
      </c>
      <c r="AC5450" s="217">
        <v>45400</v>
      </c>
      <c r="AD5450" s="65">
        <v>1563</v>
      </c>
      <c r="AE5450" s="17" t="s">
        <v>74</v>
      </c>
    </row>
    <row r="5451" s="17" customFormat="1" ht="15.6" hidden="1" spans="1:31">
      <c r="A5451" s="17" t="s">
        <v>34</v>
      </c>
      <c r="B5451" s="19">
        <v>994</v>
      </c>
      <c r="C5451" s="183">
        <v>45372</v>
      </c>
      <c r="D5451" s="22" t="s">
        <v>52</v>
      </c>
      <c r="E5451" s="17" t="s">
        <v>1113</v>
      </c>
      <c r="F5451" s="17" t="s">
        <v>54</v>
      </c>
      <c r="H5451" s="141">
        <v>1.2311</v>
      </c>
      <c r="I5451" s="141"/>
      <c r="J5451" s="17" t="s">
        <v>82</v>
      </c>
      <c r="K5451" s="19">
        <v>305</v>
      </c>
      <c r="L5451" s="19">
        <v>65</v>
      </c>
      <c r="M5451" s="98">
        <v>2200</v>
      </c>
      <c r="N5451" s="19" t="s">
        <v>66</v>
      </c>
      <c r="O5451" s="19" t="s">
        <v>141</v>
      </c>
      <c r="P5451" s="321"/>
      <c r="Q5451" s="19">
        <f>370+372</f>
        <v>742</v>
      </c>
      <c r="R5451" s="99">
        <f>+P5448-Q5448-Q5449-Q5450-Q5451</f>
        <v>-165</v>
      </c>
      <c r="S5451" s="91">
        <f>865+60</f>
        <v>925</v>
      </c>
      <c r="T5451" s="19" t="s">
        <v>42</v>
      </c>
      <c r="U5451" s="102" t="s">
        <v>1420</v>
      </c>
      <c r="V5451" s="186">
        <v>45373</v>
      </c>
      <c r="W5451" s="17" t="s">
        <v>69</v>
      </c>
      <c r="Y5451" s="68">
        <v>45383</v>
      </c>
      <c r="Z5451" s="17" t="s">
        <v>191</v>
      </c>
      <c r="AA5451" s="17" t="s">
        <v>46</v>
      </c>
      <c r="AB5451" s="17" t="s">
        <v>1339</v>
      </c>
      <c r="AC5451" s="217">
        <v>45433</v>
      </c>
      <c r="AD5451" s="65">
        <v>1570</v>
      </c>
      <c r="AE5451" s="17" t="s">
        <v>74</v>
      </c>
    </row>
    <row r="5452" s="17" customFormat="1" ht="15.6" hidden="1" spans="1:31">
      <c r="A5452" s="17" t="s">
        <v>34</v>
      </c>
      <c r="B5452" s="19">
        <v>994</v>
      </c>
      <c r="C5452" s="183">
        <v>45372</v>
      </c>
      <c r="D5452" s="22" t="s">
        <v>52</v>
      </c>
      <c r="E5452" s="17" t="s">
        <v>1113</v>
      </c>
      <c r="F5452" s="17" t="s">
        <v>54</v>
      </c>
      <c r="H5452" s="141">
        <v>1.2311</v>
      </c>
      <c r="I5452" s="141"/>
      <c r="J5452" s="17" t="s">
        <v>82</v>
      </c>
      <c r="K5452" s="19">
        <v>355</v>
      </c>
      <c r="L5452" s="19">
        <v>65</v>
      </c>
      <c r="M5452" s="98">
        <v>2200</v>
      </c>
      <c r="N5452" s="19" t="s">
        <v>66</v>
      </c>
      <c r="O5452" s="19" t="s">
        <v>141</v>
      </c>
      <c r="P5452" s="321">
        <v>2445</v>
      </c>
      <c r="Q5452" s="19">
        <v>1695</v>
      </c>
      <c r="S5452" s="91">
        <v>865</v>
      </c>
      <c r="T5452" s="19" t="s">
        <v>42</v>
      </c>
      <c r="U5452" s="102" t="s">
        <v>1420</v>
      </c>
      <c r="V5452" s="186">
        <v>45373</v>
      </c>
      <c r="W5452" s="17" t="s">
        <v>69</v>
      </c>
      <c r="Y5452" s="68">
        <v>45383</v>
      </c>
      <c r="Z5452" s="17" t="s">
        <v>191</v>
      </c>
      <c r="AA5452" s="17" t="s">
        <v>46</v>
      </c>
      <c r="AB5452" s="17" t="s">
        <v>1338</v>
      </c>
      <c r="AC5452" s="217">
        <v>45395</v>
      </c>
      <c r="AD5452" s="65">
        <v>1557</v>
      </c>
      <c r="AE5452" s="17" t="s">
        <v>74</v>
      </c>
    </row>
    <row r="5453" s="17" customFormat="1" ht="15.6" hidden="1" spans="1:31">
      <c r="A5453" s="17" t="s">
        <v>34</v>
      </c>
      <c r="B5453" s="19">
        <v>994</v>
      </c>
      <c r="C5453" s="183">
        <v>45372</v>
      </c>
      <c r="D5453" s="22" t="s">
        <v>52</v>
      </c>
      <c r="E5453" s="17" t="s">
        <v>1113</v>
      </c>
      <c r="F5453" s="17" t="s">
        <v>54</v>
      </c>
      <c r="H5453" s="141">
        <v>1.2311</v>
      </c>
      <c r="I5453" s="141"/>
      <c r="J5453" s="17" t="s">
        <v>82</v>
      </c>
      <c r="K5453" s="19">
        <v>355</v>
      </c>
      <c r="L5453" s="19">
        <v>65</v>
      </c>
      <c r="M5453" s="98">
        <v>2200</v>
      </c>
      <c r="N5453" s="19" t="s">
        <v>66</v>
      </c>
      <c r="O5453" s="19" t="s">
        <v>141</v>
      </c>
      <c r="P5453" s="321"/>
      <c r="Q5453" s="19">
        <v>862</v>
      </c>
      <c r="R5453" s="99">
        <f>+P5452-Q5452-Q5453</f>
        <v>-112</v>
      </c>
      <c r="S5453" s="91">
        <f>865+60</f>
        <v>925</v>
      </c>
      <c r="T5453" s="19" t="s">
        <v>42</v>
      </c>
      <c r="U5453" s="102" t="s">
        <v>1420</v>
      </c>
      <c r="V5453" s="186">
        <v>45373</v>
      </c>
      <c r="W5453" s="17" t="s">
        <v>69</v>
      </c>
      <c r="Y5453" s="68">
        <v>45383</v>
      </c>
      <c r="Z5453" s="17" t="s">
        <v>191</v>
      </c>
      <c r="AA5453" s="17" t="s">
        <v>46</v>
      </c>
      <c r="AB5453" s="17" t="s">
        <v>1339</v>
      </c>
      <c r="AC5453" s="217">
        <v>45433</v>
      </c>
      <c r="AD5453" s="65">
        <v>1570</v>
      </c>
      <c r="AE5453" s="17" t="s">
        <v>74</v>
      </c>
    </row>
    <row r="5454" s="17" customFormat="1" ht="15.6" hidden="1" spans="1:31">
      <c r="A5454" s="17" t="s">
        <v>34</v>
      </c>
      <c r="B5454" s="19">
        <v>994</v>
      </c>
      <c r="C5454" s="183">
        <v>45372</v>
      </c>
      <c r="D5454" s="22" t="s">
        <v>52</v>
      </c>
      <c r="E5454" s="17" t="s">
        <v>1113</v>
      </c>
      <c r="F5454" s="17" t="s">
        <v>54</v>
      </c>
      <c r="H5454" s="141">
        <v>1.2311</v>
      </c>
      <c r="I5454" s="141"/>
      <c r="J5454" s="17" t="s">
        <v>82</v>
      </c>
      <c r="K5454" s="19">
        <v>405</v>
      </c>
      <c r="L5454" s="19">
        <v>65</v>
      </c>
      <c r="M5454" s="98">
        <v>2200</v>
      </c>
      <c r="N5454" s="19" t="s">
        <v>66</v>
      </c>
      <c r="O5454" s="19" t="s">
        <v>141</v>
      </c>
      <c r="P5454" s="321">
        <v>2325</v>
      </c>
      <c r="Q5454" s="19">
        <v>1449</v>
      </c>
      <c r="S5454" s="91">
        <v>865</v>
      </c>
      <c r="T5454" s="19" t="s">
        <v>42</v>
      </c>
      <c r="U5454" s="102" t="s">
        <v>1420</v>
      </c>
      <c r="V5454" s="186">
        <v>45373</v>
      </c>
      <c r="W5454" s="17" t="s">
        <v>69</v>
      </c>
      <c r="Y5454" s="68">
        <v>45383</v>
      </c>
      <c r="Z5454" s="17" t="s">
        <v>191</v>
      </c>
      <c r="AA5454" s="17" t="s">
        <v>46</v>
      </c>
      <c r="AB5454" s="17" t="s">
        <v>1338</v>
      </c>
      <c r="AC5454" s="217">
        <v>45395</v>
      </c>
      <c r="AD5454" s="65">
        <v>1557</v>
      </c>
      <c r="AE5454" s="17" t="s">
        <v>74</v>
      </c>
    </row>
    <row r="5455" s="17" customFormat="1" ht="15.6" hidden="1" spans="1:31">
      <c r="A5455" s="17" t="s">
        <v>34</v>
      </c>
      <c r="B5455" s="19">
        <v>994</v>
      </c>
      <c r="C5455" s="183">
        <v>45372</v>
      </c>
      <c r="D5455" s="22" t="s">
        <v>52</v>
      </c>
      <c r="E5455" s="17" t="s">
        <v>1113</v>
      </c>
      <c r="F5455" s="17" t="s">
        <v>54</v>
      </c>
      <c r="H5455" s="141">
        <v>1.2311</v>
      </c>
      <c r="I5455" s="141"/>
      <c r="J5455" s="17" t="s">
        <v>82</v>
      </c>
      <c r="K5455" s="19">
        <v>405</v>
      </c>
      <c r="L5455" s="19">
        <v>65</v>
      </c>
      <c r="M5455" s="98">
        <v>2200</v>
      </c>
      <c r="N5455" s="19" t="s">
        <v>66</v>
      </c>
      <c r="O5455" s="19" t="s">
        <v>141</v>
      </c>
      <c r="P5455" s="321"/>
      <c r="Q5455" s="19">
        <v>976</v>
      </c>
      <c r="R5455" s="99">
        <f>+P5454-Q5454-Q5455</f>
        <v>-100</v>
      </c>
      <c r="S5455" s="91">
        <v>865</v>
      </c>
      <c r="T5455" s="19" t="s">
        <v>42</v>
      </c>
      <c r="U5455" s="102" t="s">
        <v>1420</v>
      </c>
      <c r="V5455" s="186">
        <v>45373</v>
      </c>
      <c r="W5455" s="17" t="s">
        <v>69</v>
      </c>
      <c r="Y5455" s="68">
        <v>45383</v>
      </c>
      <c r="Z5455" s="17" t="s">
        <v>191</v>
      </c>
      <c r="AA5455" s="17" t="s">
        <v>46</v>
      </c>
      <c r="AB5455" s="17" t="s">
        <v>1337</v>
      </c>
      <c r="AC5455" s="217">
        <v>45400</v>
      </c>
      <c r="AD5455" s="65">
        <v>1563</v>
      </c>
      <c r="AE5455" s="17" t="s">
        <v>74</v>
      </c>
    </row>
    <row r="5456" s="17" customFormat="1" ht="15.6" hidden="1" spans="1:31">
      <c r="A5456" s="17" t="s">
        <v>34</v>
      </c>
      <c r="B5456" s="19">
        <v>994</v>
      </c>
      <c r="C5456" s="183">
        <v>45372</v>
      </c>
      <c r="D5456" s="22" t="s">
        <v>52</v>
      </c>
      <c r="E5456" s="17" t="s">
        <v>1113</v>
      </c>
      <c r="F5456" s="17" t="s">
        <v>54</v>
      </c>
      <c r="H5456" s="141">
        <v>1.2311</v>
      </c>
      <c r="I5456" s="141"/>
      <c r="J5456" s="17" t="s">
        <v>82</v>
      </c>
      <c r="K5456" s="19">
        <v>455</v>
      </c>
      <c r="L5456" s="19">
        <v>65</v>
      </c>
      <c r="M5456" s="98">
        <v>2200</v>
      </c>
      <c r="N5456" s="19" t="s">
        <v>66</v>
      </c>
      <c r="O5456" s="19" t="s">
        <v>141</v>
      </c>
      <c r="P5456" s="321">
        <v>2612</v>
      </c>
      <c r="Q5456" s="19">
        <v>1090</v>
      </c>
      <c r="S5456" s="91">
        <v>865</v>
      </c>
      <c r="T5456" s="19" t="s">
        <v>42</v>
      </c>
      <c r="U5456" s="102" t="s">
        <v>1420</v>
      </c>
      <c r="V5456" s="186">
        <v>45373</v>
      </c>
      <c r="W5456" s="17" t="s">
        <v>69</v>
      </c>
      <c r="Y5456" s="68">
        <v>45383</v>
      </c>
      <c r="Z5456" s="17" t="s">
        <v>191</v>
      </c>
      <c r="AA5456" s="17" t="s">
        <v>46</v>
      </c>
      <c r="AB5456" s="17" t="s">
        <v>1341</v>
      </c>
      <c r="AC5456" s="217">
        <v>45400</v>
      </c>
      <c r="AD5456" s="65">
        <v>1562</v>
      </c>
      <c r="AE5456" s="17" t="s">
        <v>74</v>
      </c>
    </row>
    <row r="5457" s="17" customFormat="1" ht="15.6" hidden="1" spans="1:31">
      <c r="A5457" s="17" t="s">
        <v>34</v>
      </c>
      <c r="B5457" s="19">
        <v>994</v>
      </c>
      <c r="C5457" s="183">
        <v>45372</v>
      </c>
      <c r="D5457" s="22" t="s">
        <v>52</v>
      </c>
      <c r="E5457" s="17" t="s">
        <v>1113</v>
      </c>
      <c r="F5457" s="17" t="s">
        <v>54</v>
      </c>
      <c r="H5457" s="141">
        <v>1.2311</v>
      </c>
      <c r="I5457" s="141"/>
      <c r="J5457" s="17" t="s">
        <v>82</v>
      </c>
      <c r="K5457" s="19">
        <v>455</v>
      </c>
      <c r="L5457" s="19">
        <v>65</v>
      </c>
      <c r="M5457" s="98">
        <v>2200</v>
      </c>
      <c r="N5457" s="19" t="s">
        <v>66</v>
      </c>
      <c r="O5457" s="19" t="s">
        <v>141</v>
      </c>
      <c r="P5457" s="321"/>
      <c r="Q5457" s="19">
        <v>545</v>
      </c>
      <c r="S5457" s="91">
        <v>865</v>
      </c>
      <c r="T5457" s="19" t="s">
        <v>42</v>
      </c>
      <c r="U5457" s="102" t="s">
        <v>1420</v>
      </c>
      <c r="V5457" s="186">
        <v>45373</v>
      </c>
      <c r="W5457" s="17" t="s">
        <v>69</v>
      </c>
      <c r="Y5457" s="68">
        <v>45383</v>
      </c>
      <c r="Z5457" s="17" t="s">
        <v>191</v>
      </c>
      <c r="AA5457" s="17" t="s">
        <v>46</v>
      </c>
      <c r="AB5457" s="17" t="s">
        <v>1337</v>
      </c>
      <c r="AC5457" s="217">
        <v>45400</v>
      </c>
      <c r="AD5457" s="65">
        <v>1563</v>
      </c>
      <c r="AE5457" s="17" t="s">
        <v>74</v>
      </c>
    </row>
    <row r="5458" s="17" customFormat="1" ht="15.6" hidden="1" spans="1:31">
      <c r="A5458" s="17" t="s">
        <v>34</v>
      </c>
      <c r="B5458" s="19">
        <v>994</v>
      </c>
      <c r="C5458" s="183">
        <v>45372</v>
      </c>
      <c r="D5458" s="22" t="s">
        <v>52</v>
      </c>
      <c r="E5458" s="17" t="s">
        <v>1113</v>
      </c>
      <c r="F5458" s="17" t="s">
        <v>54</v>
      </c>
      <c r="H5458" s="141">
        <v>1.2311</v>
      </c>
      <c r="I5458" s="141"/>
      <c r="J5458" s="17" t="s">
        <v>82</v>
      </c>
      <c r="K5458" s="19">
        <v>455</v>
      </c>
      <c r="L5458" s="19">
        <v>65</v>
      </c>
      <c r="M5458" s="98">
        <v>2200</v>
      </c>
      <c r="N5458" s="19" t="s">
        <v>66</v>
      </c>
      <c r="O5458" s="19" t="s">
        <v>141</v>
      </c>
      <c r="P5458" s="321"/>
      <c r="Q5458" s="19">
        <v>545</v>
      </c>
      <c r="S5458" s="91">
        <f>865-70+80-20</f>
        <v>855</v>
      </c>
      <c r="T5458" s="19" t="s">
        <v>42</v>
      </c>
      <c r="U5458" s="102" t="s">
        <v>1420</v>
      </c>
      <c r="V5458" s="186">
        <v>45373</v>
      </c>
      <c r="W5458" s="17" t="s">
        <v>69</v>
      </c>
      <c r="Y5458" s="68">
        <v>45383</v>
      </c>
      <c r="Z5458" s="17" t="s">
        <v>191</v>
      </c>
      <c r="AA5458" s="17" t="s">
        <v>46</v>
      </c>
      <c r="AB5458" s="17" t="s">
        <v>1345</v>
      </c>
      <c r="AC5458" s="217">
        <v>45443</v>
      </c>
      <c r="AD5458" s="65">
        <v>1580</v>
      </c>
      <c r="AE5458" s="17" t="s">
        <v>74</v>
      </c>
    </row>
    <row r="5459" s="17" customFormat="1" ht="15.6" hidden="1" spans="1:31">
      <c r="A5459" s="17" t="s">
        <v>34</v>
      </c>
      <c r="B5459" s="19">
        <v>994</v>
      </c>
      <c r="C5459" s="183">
        <v>45372</v>
      </c>
      <c r="D5459" s="22" t="s">
        <v>52</v>
      </c>
      <c r="E5459" s="17" t="s">
        <v>1113</v>
      </c>
      <c r="F5459" s="17" t="s">
        <v>54</v>
      </c>
      <c r="H5459" s="141">
        <v>1.2311</v>
      </c>
      <c r="I5459" s="141"/>
      <c r="J5459" s="17" t="s">
        <v>82</v>
      </c>
      <c r="K5459" s="19">
        <v>455</v>
      </c>
      <c r="L5459" s="19">
        <v>65</v>
      </c>
      <c r="M5459" s="98">
        <v>2200</v>
      </c>
      <c r="N5459" s="19" t="s">
        <v>66</v>
      </c>
      <c r="O5459" s="19" t="s">
        <v>141</v>
      </c>
      <c r="P5459" s="321"/>
      <c r="Q5459" s="146">
        <v>1089</v>
      </c>
      <c r="R5459" s="99">
        <f>+P5456-Q5456-Q5457-Q5458-Q5459</f>
        <v>-657</v>
      </c>
      <c r="S5459" s="91">
        <f>865</f>
        <v>865</v>
      </c>
      <c r="T5459" s="19" t="s">
        <v>42</v>
      </c>
      <c r="U5459" s="102" t="s">
        <v>1420</v>
      </c>
      <c r="V5459" s="186">
        <v>45373</v>
      </c>
      <c r="W5459" s="17" t="s">
        <v>69</v>
      </c>
      <c r="Y5459" s="68">
        <v>45383</v>
      </c>
      <c r="Z5459" s="17" t="s">
        <v>191</v>
      </c>
      <c r="AA5459" s="17" t="s">
        <v>46</v>
      </c>
      <c r="AB5459" s="17" t="s">
        <v>1340</v>
      </c>
      <c r="AC5459" s="217">
        <v>45498</v>
      </c>
      <c r="AD5459" s="65">
        <v>1603</v>
      </c>
      <c r="AE5459" s="17" t="s">
        <v>74</v>
      </c>
    </row>
    <row r="5460" s="17" customFormat="1" ht="15.6" hidden="1" spans="1:31">
      <c r="A5460" s="17" t="s">
        <v>34</v>
      </c>
      <c r="B5460" s="19">
        <v>994</v>
      </c>
      <c r="C5460" s="183">
        <v>45372</v>
      </c>
      <c r="D5460" s="22" t="s">
        <v>52</v>
      </c>
      <c r="E5460" s="17" t="s">
        <v>1113</v>
      </c>
      <c r="F5460" s="17" t="s">
        <v>54</v>
      </c>
      <c r="H5460" s="141">
        <v>1.2311</v>
      </c>
      <c r="I5460" s="141"/>
      <c r="J5460" s="17" t="s">
        <v>82</v>
      </c>
      <c r="K5460" s="19">
        <v>505</v>
      </c>
      <c r="L5460" s="19">
        <v>65</v>
      </c>
      <c r="M5460" s="98">
        <v>2200</v>
      </c>
      <c r="N5460" s="19" t="s">
        <v>66</v>
      </c>
      <c r="O5460" s="19" t="s">
        <v>141</v>
      </c>
      <c r="P5460" s="321">
        <v>2899</v>
      </c>
      <c r="Q5460" s="19">
        <v>1825</v>
      </c>
      <c r="S5460" s="91">
        <f>865+60</f>
        <v>925</v>
      </c>
      <c r="T5460" s="19" t="s">
        <v>42</v>
      </c>
      <c r="U5460" s="102" t="s">
        <v>1420</v>
      </c>
      <c r="V5460" s="186">
        <v>45373</v>
      </c>
      <c r="W5460" s="17" t="s">
        <v>69</v>
      </c>
      <c r="Y5460" s="68">
        <v>45383</v>
      </c>
      <c r="Z5460" s="17" t="s">
        <v>191</v>
      </c>
      <c r="AA5460" s="17" t="s">
        <v>46</v>
      </c>
      <c r="AB5460" s="17" t="s">
        <v>1339</v>
      </c>
      <c r="AC5460" s="217">
        <v>45433</v>
      </c>
      <c r="AD5460" s="65">
        <v>1570</v>
      </c>
      <c r="AE5460" s="17" t="s">
        <v>74</v>
      </c>
    </row>
    <row r="5461" s="17" customFormat="1" ht="15.6" hidden="1" spans="1:31">
      <c r="A5461" s="17" t="s">
        <v>34</v>
      </c>
      <c r="B5461" s="19">
        <v>994</v>
      </c>
      <c r="C5461" s="183">
        <v>45372</v>
      </c>
      <c r="D5461" s="22" t="s">
        <v>52</v>
      </c>
      <c r="E5461" s="17" t="s">
        <v>1113</v>
      </c>
      <c r="F5461" s="17" t="s">
        <v>54</v>
      </c>
      <c r="H5461" s="141">
        <v>1.2311</v>
      </c>
      <c r="I5461" s="141"/>
      <c r="J5461" s="17" t="s">
        <v>82</v>
      </c>
      <c r="K5461" s="19">
        <v>505</v>
      </c>
      <c r="L5461" s="19">
        <v>65</v>
      </c>
      <c r="M5461" s="98">
        <v>2200</v>
      </c>
      <c r="N5461" s="19" t="s">
        <v>66</v>
      </c>
      <c r="O5461" s="19" t="s">
        <v>141</v>
      </c>
      <c r="P5461" s="321"/>
      <c r="Q5461" s="146">
        <v>1200</v>
      </c>
      <c r="R5461" s="99">
        <f>+P5460-Q5460-Q5461</f>
        <v>-126</v>
      </c>
      <c r="S5461" s="91">
        <f>865</f>
        <v>865</v>
      </c>
      <c r="T5461" s="19" t="s">
        <v>42</v>
      </c>
      <c r="U5461" s="102" t="s">
        <v>1420</v>
      </c>
      <c r="V5461" s="186">
        <v>45373</v>
      </c>
      <c r="W5461" s="17" t="s">
        <v>69</v>
      </c>
      <c r="Y5461" s="68">
        <v>45383</v>
      </c>
      <c r="Z5461" s="17" t="s">
        <v>191</v>
      </c>
      <c r="AA5461" s="17" t="s">
        <v>46</v>
      </c>
      <c r="AB5461" s="17" t="s">
        <v>1340</v>
      </c>
      <c r="AC5461" s="217">
        <v>45498</v>
      </c>
      <c r="AD5461" s="65">
        <v>1603</v>
      </c>
      <c r="AE5461" s="17" t="s">
        <v>74</v>
      </c>
    </row>
    <row r="5462" s="17" customFormat="1" ht="15.6" hidden="1" spans="1:31">
      <c r="A5462" s="17" t="s">
        <v>34</v>
      </c>
      <c r="B5462" s="19">
        <v>994</v>
      </c>
      <c r="C5462" s="183">
        <v>45372</v>
      </c>
      <c r="D5462" s="22" t="s">
        <v>52</v>
      </c>
      <c r="E5462" s="17" t="s">
        <v>1113</v>
      </c>
      <c r="F5462" s="17" t="s">
        <v>54</v>
      </c>
      <c r="H5462" s="141">
        <v>1.2311</v>
      </c>
      <c r="I5462" s="141"/>
      <c r="J5462" s="17" t="s">
        <v>82</v>
      </c>
      <c r="K5462" s="19">
        <v>555</v>
      </c>
      <c r="L5462" s="19">
        <v>65</v>
      </c>
      <c r="M5462" s="98">
        <v>2200</v>
      </c>
      <c r="N5462" s="19" t="s">
        <v>66</v>
      </c>
      <c r="O5462" s="19" t="s">
        <v>141</v>
      </c>
      <c r="P5462" s="321">
        <v>1912</v>
      </c>
      <c r="Q5462" s="19">
        <v>2008</v>
      </c>
      <c r="R5462" s="19">
        <f>+P5462-Q5462</f>
        <v>-96</v>
      </c>
      <c r="S5462" s="91">
        <v>865</v>
      </c>
      <c r="T5462" s="19" t="s">
        <v>42</v>
      </c>
      <c r="U5462" s="102" t="s">
        <v>1420</v>
      </c>
      <c r="V5462" s="186">
        <v>45373</v>
      </c>
      <c r="W5462" s="17" t="s">
        <v>69</v>
      </c>
      <c r="Y5462" s="68">
        <v>45383</v>
      </c>
      <c r="Z5462" s="17" t="s">
        <v>191</v>
      </c>
      <c r="AA5462" s="17" t="s">
        <v>46</v>
      </c>
      <c r="AB5462" s="17" t="s">
        <v>1337</v>
      </c>
      <c r="AC5462" s="217">
        <v>45400</v>
      </c>
      <c r="AD5462" s="65">
        <v>1563</v>
      </c>
      <c r="AE5462" s="17" t="s">
        <v>74</v>
      </c>
    </row>
    <row r="5463" s="17" customFormat="1" ht="15.6" hidden="1" spans="1:31">
      <c r="A5463" s="17" t="s">
        <v>34</v>
      </c>
      <c r="B5463" s="19">
        <v>994</v>
      </c>
      <c r="C5463" s="183">
        <v>45372</v>
      </c>
      <c r="D5463" s="22" t="s">
        <v>52</v>
      </c>
      <c r="E5463" s="17" t="s">
        <v>1113</v>
      </c>
      <c r="F5463" s="17" t="s">
        <v>54</v>
      </c>
      <c r="H5463" s="141">
        <v>1.2311</v>
      </c>
      <c r="I5463" s="141"/>
      <c r="J5463" s="17" t="s">
        <v>82</v>
      </c>
      <c r="K5463" s="19">
        <v>605</v>
      </c>
      <c r="L5463" s="19">
        <v>65</v>
      </c>
      <c r="M5463" s="98">
        <v>2200</v>
      </c>
      <c r="N5463" s="19" t="s">
        <v>66</v>
      </c>
      <c r="O5463" s="19" t="s">
        <v>141</v>
      </c>
      <c r="P5463" s="321">
        <v>2084</v>
      </c>
      <c r="Q5463" s="19">
        <v>2198</v>
      </c>
      <c r="R5463" s="19">
        <f>+P5463-Q5463</f>
        <v>-114</v>
      </c>
      <c r="S5463" s="91">
        <v>865</v>
      </c>
      <c r="T5463" s="19" t="s">
        <v>42</v>
      </c>
      <c r="U5463" s="102" t="s">
        <v>1420</v>
      </c>
      <c r="V5463" s="186">
        <v>45373</v>
      </c>
      <c r="W5463" s="17" t="s">
        <v>69</v>
      </c>
      <c r="Y5463" s="68">
        <v>45383</v>
      </c>
      <c r="Z5463" s="17" t="s">
        <v>191</v>
      </c>
      <c r="AA5463" s="17" t="s">
        <v>46</v>
      </c>
      <c r="AB5463" s="17" t="s">
        <v>1337</v>
      </c>
      <c r="AC5463" s="217">
        <v>45400</v>
      </c>
      <c r="AD5463" s="65">
        <v>1563</v>
      </c>
      <c r="AE5463" s="17" t="s">
        <v>74</v>
      </c>
    </row>
    <row r="5464" s="17" customFormat="1" ht="17.25" hidden="1" customHeight="1" spans="1:31">
      <c r="A5464" s="17" t="s">
        <v>34</v>
      </c>
      <c r="B5464" s="19">
        <v>994</v>
      </c>
      <c r="C5464" s="183">
        <v>45372</v>
      </c>
      <c r="D5464" s="22" t="s">
        <v>52</v>
      </c>
      <c r="E5464" s="17" t="s">
        <v>1113</v>
      </c>
      <c r="F5464" s="17" t="s">
        <v>54</v>
      </c>
      <c r="H5464" s="141">
        <v>1.2311</v>
      </c>
      <c r="I5464" s="141"/>
      <c r="J5464" s="17" t="s">
        <v>82</v>
      </c>
      <c r="K5464" s="19">
        <v>205</v>
      </c>
      <c r="L5464" s="274">
        <v>80</v>
      </c>
      <c r="M5464" s="98">
        <v>2200</v>
      </c>
      <c r="N5464" s="19" t="s">
        <v>66</v>
      </c>
      <c r="O5464" s="19" t="s">
        <v>141</v>
      </c>
      <c r="P5464" s="321">
        <v>2028</v>
      </c>
      <c r="Q5464" s="19">
        <v>1522</v>
      </c>
      <c r="S5464" s="91">
        <v>865</v>
      </c>
      <c r="T5464" s="19" t="s">
        <v>42</v>
      </c>
      <c r="U5464" s="102" t="s">
        <v>1420</v>
      </c>
      <c r="V5464" s="186">
        <v>45373</v>
      </c>
      <c r="W5464" s="17" t="s">
        <v>69</v>
      </c>
      <c r="Y5464" s="68">
        <v>45383</v>
      </c>
      <c r="Z5464" s="17" t="s">
        <v>191</v>
      </c>
      <c r="AA5464" s="17" t="s">
        <v>46</v>
      </c>
      <c r="AB5464" s="17" t="s">
        <v>1338</v>
      </c>
      <c r="AC5464" s="217">
        <v>45395</v>
      </c>
      <c r="AD5464" s="65">
        <v>1557</v>
      </c>
      <c r="AE5464" s="17" t="s">
        <v>74</v>
      </c>
    </row>
    <row r="5465" s="17" customFormat="1" ht="17.25" hidden="1" customHeight="1" spans="1:31">
      <c r="A5465" s="17" t="s">
        <v>34</v>
      </c>
      <c r="B5465" s="19">
        <v>994</v>
      </c>
      <c r="C5465" s="183">
        <v>45372</v>
      </c>
      <c r="D5465" s="22" t="s">
        <v>52</v>
      </c>
      <c r="E5465" s="17" t="s">
        <v>1113</v>
      </c>
      <c r="F5465" s="17" t="s">
        <v>54</v>
      </c>
      <c r="H5465" s="141">
        <v>1.2311</v>
      </c>
      <c r="I5465" s="141"/>
      <c r="J5465" s="17" t="s">
        <v>82</v>
      </c>
      <c r="K5465" s="19">
        <v>205</v>
      </c>
      <c r="L5465" s="274">
        <v>80</v>
      </c>
      <c r="M5465" s="98">
        <v>2200</v>
      </c>
      <c r="N5465" s="19" t="s">
        <v>66</v>
      </c>
      <c r="O5465" s="19" t="s">
        <v>141</v>
      </c>
      <c r="P5465" s="321"/>
      <c r="Q5465" s="19">
        <v>613</v>
      </c>
      <c r="R5465" s="99">
        <f>+P5464-Q5464-Q5465</f>
        <v>-107</v>
      </c>
      <c r="S5465" s="91">
        <v>865</v>
      </c>
      <c r="T5465" s="19" t="s">
        <v>42</v>
      </c>
      <c r="U5465" s="102" t="s">
        <v>1420</v>
      </c>
      <c r="V5465" s="186">
        <v>45373</v>
      </c>
      <c r="W5465" s="17" t="s">
        <v>69</v>
      </c>
      <c r="Y5465" s="68">
        <v>45383</v>
      </c>
      <c r="Z5465" s="17" t="s">
        <v>191</v>
      </c>
      <c r="AA5465" s="17" t="s">
        <v>46</v>
      </c>
      <c r="AB5465" s="17" t="s">
        <v>1341</v>
      </c>
      <c r="AC5465" s="217">
        <v>45400</v>
      </c>
      <c r="AD5465" s="65">
        <v>1562</v>
      </c>
      <c r="AE5465" s="17" t="s">
        <v>74</v>
      </c>
    </row>
    <row r="5466" s="17" customFormat="1" ht="15.6" hidden="1" spans="1:31">
      <c r="A5466" s="17" t="s">
        <v>34</v>
      </c>
      <c r="B5466" s="19">
        <v>994</v>
      </c>
      <c r="C5466" s="183">
        <v>45372</v>
      </c>
      <c r="D5466" s="22" t="s">
        <v>52</v>
      </c>
      <c r="E5466" s="17" t="s">
        <v>1113</v>
      </c>
      <c r="F5466" s="17" t="s">
        <v>54</v>
      </c>
      <c r="H5466" s="141">
        <v>1.2311</v>
      </c>
      <c r="I5466" s="141"/>
      <c r="J5466" s="17" t="s">
        <v>82</v>
      </c>
      <c r="K5466" s="19">
        <v>255</v>
      </c>
      <c r="L5466" s="274">
        <v>80</v>
      </c>
      <c r="M5466" s="98">
        <v>2200</v>
      </c>
      <c r="N5466" s="19" t="s">
        <v>66</v>
      </c>
      <c r="O5466" s="19" t="s">
        <v>141</v>
      </c>
      <c r="P5466" s="321">
        <v>2162</v>
      </c>
      <c r="Q5466" s="19">
        <v>1134</v>
      </c>
      <c r="S5466" s="91">
        <v>865</v>
      </c>
      <c r="T5466" s="19" t="s">
        <v>42</v>
      </c>
      <c r="U5466" s="102" t="s">
        <v>1420</v>
      </c>
      <c r="V5466" s="186">
        <v>45373</v>
      </c>
      <c r="W5466" s="17" t="s">
        <v>69</v>
      </c>
      <c r="Y5466" s="68">
        <v>45383</v>
      </c>
      <c r="Z5466" s="17" t="s">
        <v>191</v>
      </c>
      <c r="AA5466" s="17" t="s">
        <v>46</v>
      </c>
      <c r="AB5466" s="17" t="s">
        <v>1341</v>
      </c>
      <c r="AC5466" s="217">
        <v>45400</v>
      </c>
      <c r="AD5466" s="65">
        <v>1562</v>
      </c>
      <c r="AE5466" s="17" t="s">
        <v>74</v>
      </c>
    </row>
    <row r="5467" s="17" customFormat="1" ht="15.6" hidden="1" spans="1:31">
      <c r="A5467" s="17" t="s">
        <v>34</v>
      </c>
      <c r="B5467" s="19">
        <v>994</v>
      </c>
      <c r="C5467" s="183">
        <v>45372</v>
      </c>
      <c r="D5467" s="22" t="s">
        <v>52</v>
      </c>
      <c r="E5467" s="17" t="s">
        <v>1113</v>
      </c>
      <c r="F5467" s="17" t="s">
        <v>54</v>
      </c>
      <c r="H5467" s="141">
        <v>1.2311</v>
      </c>
      <c r="I5467" s="141"/>
      <c r="J5467" s="17" t="s">
        <v>82</v>
      </c>
      <c r="K5467" s="19">
        <v>255</v>
      </c>
      <c r="L5467" s="274">
        <v>80</v>
      </c>
      <c r="M5467" s="98">
        <v>2200</v>
      </c>
      <c r="N5467" s="19" t="s">
        <v>66</v>
      </c>
      <c r="O5467" s="19" t="s">
        <v>141</v>
      </c>
      <c r="P5467" s="321"/>
      <c r="Q5467" s="19">
        <v>384</v>
      </c>
      <c r="S5467" s="91">
        <v>865</v>
      </c>
      <c r="T5467" s="19" t="s">
        <v>42</v>
      </c>
      <c r="U5467" s="102" t="s">
        <v>1420</v>
      </c>
      <c r="V5467" s="186">
        <v>45373</v>
      </c>
      <c r="W5467" s="17" t="s">
        <v>69</v>
      </c>
      <c r="Y5467" s="68">
        <v>45383</v>
      </c>
      <c r="Z5467" s="17" t="s">
        <v>191</v>
      </c>
      <c r="AA5467" s="17" t="s">
        <v>46</v>
      </c>
      <c r="AB5467" s="17" t="s">
        <v>1337</v>
      </c>
      <c r="AC5467" s="217">
        <v>45400</v>
      </c>
      <c r="AD5467" s="65">
        <v>1563</v>
      </c>
      <c r="AE5467" s="17" t="s">
        <v>74</v>
      </c>
    </row>
    <row r="5468" s="17" customFormat="1" ht="15.6" hidden="1" spans="1:31">
      <c r="A5468" s="17" t="s">
        <v>34</v>
      </c>
      <c r="B5468" s="19">
        <v>994</v>
      </c>
      <c r="C5468" s="183">
        <v>45372</v>
      </c>
      <c r="D5468" s="22" t="s">
        <v>52</v>
      </c>
      <c r="E5468" s="17" t="s">
        <v>1113</v>
      </c>
      <c r="F5468" s="17" t="s">
        <v>54</v>
      </c>
      <c r="H5468" s="141">
        <v>1.2311</v>
      </c>
      <c r="I5468" s="141"/>
      <c r="J5468" s="17" t="s">
        <v>82</v>
      </c>
      <c r="K5468" s="19">
        <v>255</v>
      </c>
      <c r="L5468" s="274">
        <v>80</v>
      </c>
      <c r="M5468" s="98">
        <v>2200</v>
      </c>
      <c r="N5468" s="19" t="s">
        <v>66</v>
      </c>
      <c r="O5468" s="19" t="s">
        <v>141</v>
      </c>
      <c r="P5468" s="321"/>
      <c r="Q5468" s="19">
        <v>385</v>
      </c>
      <c r="S5468" s="91">
        <f>865+60</f>
        <v>925</v>
      </c>
      <c r="T5468" s="19" t="s">
        <v>42</v>
      </c>
      <c r="U5468" s="102" t="s">
        <v>1420</v>
      </c>
      <c r="V5468" s="186">
        <v>45373</v>
      </c>
      <c r="W5468" s="17" t="s">
        <v>69</v>
      </c>
      <c r="Y5468" s="68">
        <v>45383</v>
      </c>
      <c r="Z5468" s="17" t="s">
        <v>191</v>
      </c>
      <c r="AA5468" s="17" t="s">
        <v>46</v>
      </c>
      <c r="AB5468" s="17" t="s">
        <v>1339</v>
      </c>
      <c r="AC5468" s="217">
        <v>45433</v>
      </c>
      <c r="AD5468" s="65">
        <v>1570</v>
      </c>
      <c r="AE5468" s="17" t="s">
        <v>74</v>
      </c>
    </row>
    <row r="5469" s="17" customFormat="1" ht="15.6" hidden="1" spans="1:31">
      <c r="A5469" s="17" t="s">
        <v>34</v>
      </c>
      <c r="B5469" s="19">
        <v>994</v>
      </c>
      <c r="C5469" s="183">
        <v>45372</v>
      </c>
      <c r="D5469" s="22" t="s">
        <v>52</v>
      </c>
      <c r="E5469" s="17" t="s">
        <v>1113</v>
      </c>
      <c r="F5469" s="17" t="s">
        <v>54</v>
      </c>
      <c r="H5469" s="141">
        <v>1.2311</v>
      </c>
      <c r="I5469" s="141"/>
      <c r="J5469" s="17" t="s">
        <v>82</v>
      </c>
      <c r="K5469" s="19">
        <v>255</v>
      </c>
      <c r="L5469" s="274">
        <v>80</v>
      </c>
      <c r="M5469" s="98">
        <v>2200</v>
      </c>
      <c r="N5469" s="19" t="s">
        <v>66</v>
      </c>
      <c r="O5469" s="19" t="s">
        <v>141</v>
      </c>
      <c r="P5469" s="321"/>
      <c r="Q5469" s="146">
        <v>383</v>
      </c>
      <c r="R5469" s="99">
        <f>+P5466-Q5466-Q5467-Q5468-Q5469</f>
        <v>-124</v>
      </c>
      <c r="S5469" s="91">
        <f>865</f>
        <v>865</v>
      </c>
      <c r="T5469" s="19" t="s">
        <v>42</v>
      </c>
      <c r="U5469" s="102" t="s">
        <v>1420</v>
      </c>
      <c r="V5469" s="186">
        <v>45373</v>
      </c>
      <c r="W5469" s="17" t="s">
        <v>69</v>
      </c>
      <c r="Y5469" s="68">
        <v>45383</v>
      </c>
      <c r="Z5469" s="17" t="s">
        <v>191</v>
      </c>
      <c r="AA5469" s="17" t="s">
        <v>46</v>
      </c>
      <c r="AB5469" s="17" t="s">
        <v>1340</v>
      </c>
      <c r="AC5469" s="217">
        <v>45498</v>
      </c>
      <c r="AD5469" s="65">
        <v>1603</v>
      </c>
      <c r="AE5469" s="17" t="s">
        <v>74</v>
      </c>
    </row>
    <row r="5470" s="17" customFormat="1" ht="15.6" hidden="1" spans="1:31">
      <c r="A5470" s="17" t="s">
        <v>34</v>
      </c>
      <c r="B5470" s="19">
        <v>994</v>
      </c>
      <c r="C5470" s="183">
        <v>45372</v>
      </c>
      <c r="D5470" s="22" t="s">
        <v>52</v>
      </c>
      <c r="E5470" s="17" t="s">
        <v>1113</v>
      </c>
      <c r="F5470" s="17" t="s">
        <v>54</v>
      </c>
      <c r="H5470" s="141">
        <v>1.2311</v>
      </c>
      <c r="I5470" s="141"/>
      <c r="J5470" s="17" t="s">
        <v>82</v>
      </c>
      <c r="K5470" s="19">
        <v>305</v>
      </c>
      <c r="L5470" s="274">
        <v>80</v>
      </c>
      <c r="M5470" s="98">
        <v>2200</v>
      </c>
      <c r="N5470" s="19" t="s">
        <v>66</v>
      </c>
      <c r="O5470" s="19" t="s">
        <v>141</v>
      </c>
      <c r="P5470" s="321">
        <v>3879</v>
      </c>
      <c r="Q5470" s="19">
        <f>1791+1360+456</f>
        <v>3607</v>
      </c>
      <c r="S5470" s="91">
        <v>865</v>
      </c>
      <c r="T5470" s="19" t="s">
        <v>42</v>
      </c>
      <c r="U5470" s="102" t="s">
        <v>1420</v>
      </c>
      <c r="V5470" s="186">
        <v>45373</v>
      </c>
      <c r="W5470" s="17" t="s">
        <v>69</v>
      </c>
      <c r="Y5470" s="68">
        <v>45383</v>
      </c>
      <c r="Z5470" s="17" t="s">
        <v>191</v>
      </c>
      <c r="AA5470" s="17" t="s">
        <v>46</v>
      </c>
      <c r="AB5470" s="17" t="s">
        <v>1341</v>
      </c>
      <c r="AC5470" s="217">
        <v>45400</v>
      </c>
      <c r="AD5470" s="65">
        <v>1562</v>
      </c>
      <c r="AE5470" s="17" t="s">
        <v>74</v>
      </c>
    </row>
    <row r="5471" s="17" customFormat="1" ht="15.6" hidden="1" spans="1:31">
      <c r="A5471" s="17" t="s">
        <v>34</v>
      </c>
      <c r="B5471" s="19">
        <v>994</v>
      </c>
      <c r="C5471" s="183">
        <v>45372</v>
      </c>
      <c r="D5471" s="22" t="s">
        <v>52</v>
      </c>
      <c r="E5471" s="17" t="s">
        <v>1113</v>
      </c>
      <c r="F5471" s="17" t="s">
        <v>54</v>
      </c>
      <c r="H5471" s="141">
        <v>1.2311</v>
      </c>
      <c r="I5471" s="141"/>
      <c r="J5471" s="17" t="s">
        <v>82</v>
      </c>
      <c r="K5471" s="19">
        <v>305</v>
      </c>
      <c r="L5471" s="274">
        <v>80</v>
      </c>
      <c r="M5471" s="98">
        <v>2200</v>
      </c>
      <c r="N5471" s="19" t="s">
        <v>66</v>
      </c>
      <c r="O5471" s="19" t="s">
        <v>141</v>
      </c>
      <c r="P5471" s="321"/>
      <c r="Q5471" s="19">
        <v>453</v>
      </c>
      <c r="R5471" s="99">
        <f>+P5470-Q5470-Q5471</f>
        <v>-181</v>
      </c>
      <c r="S5471" s="91">
        <f>865+60</f>
        <v>925</v>
      </c>
      <c r="T5471" s="19" t="s">
        <v>42</v>
      </c>
      <c r="U5471" s="102" t="s">
        <v>1420</v>
      </c>
      <c r="V5471" s="186">
        <v>45373</v>
      </c>
      <c r="W5471" s="17" t="s">
        <v>69</v>
      </c>
      <c r="Y5471" s="68">
        <v>45383</v>
      </c>
      <c r="Z5471" s="17" t="s">
        <v>191</v>
      </c>
      <c r="AA5471" s="17" t="s">
        <v>46</v>
      </c>
      <c r="AB5471" s="17" t="s">
        <v>1339</v>
      </c>
      <c r="AC5471" s="217">
        <v>45433</v>
      </c>
      <c r="AD5471" s="65">
        <v>1570</v>
      </c>
      <c r="AE5471" s="17" t="s">
        <v>74</v>
      </c>
    </row>
    <row r="5472" s="17" customFormat="1" ht="15.6" hidden="1" spans="1:31">
      <c r="A5472" s="17" t="s">
        <v>34</v>
      </c>
      <c r="B5472" s="19">
        <v>994</v>
      </c>
      <c r="C5472" s="183">
        <v>45372</v>
      </c>
      <c r="D5472" s="22" t="s">
        <v>52</v>
      </c>
      <c r="E5472" s="17" t="s">
        <v>1113</v>
      </c>
      <c r="F5472" s="17" t="s">
        <v>54</v>
      </c>
      <c r="H5472" s="141">
        <v>1.2311</v>
      </c>
      <c r="I5472" s="141"/>
      <c r="J5472" s="17" t="s">
        <v>82</v>
      </c>
      <c r="K5472" s="19">
        <v>355</v>
      </c>
      <c r="L5472" s="274">
        <v>80</v>
      </c>
      <c r="M5472" s="98">
        <v>2200</v>
      </c>
      <c r="N5472" s="19" t="s">
        <v>66</v>
      </c>
      <c r="O5472" s="19" t="s">
        <v>141</v>
      </c>
      <c r="P5472" s="321">
        <v>2508</v>
      </c>
      <c r="Q5472" s="19">
        <f>1059+529</f>
        <v>1588</v>
      </c>
      <c r="S5472" s="91">
        <v>865</v>
      </c>
      <c r="T5472" s="19" t="s">
        <v>42</v>
      </c>
      <c r="U5472" s="102" t="s">
        <v>1420</v>
      </c>
      <c r="V5472" s="186">
        <v>45373</v>
      </c>
      <c r="W5472" s="17" t="s">
        <v>69</v>
      </c>
      <c r="Y5472" s="68">
        <v>45383</v>
      </c>
      <c r="Z5472" s="17" t="s">
        <v>191</v>
      </c>
      <c r="AA5472" s="17" t="s">
        <v>46</v>
      </c>
      <c r="AB5472" s="17" t="s">
        <v>1341</v>
      </c>
      <c r="AC5472" s="217">
        <v>45400</v>
      </c>
      <c r="AD5472" s="65">
        <v>1562</v>
      </c>
      <c r="AE5472" s="17" t="s">
        <v>74</v>
      </c>
    </row>
    <row r="5473" s="17" customFormat="1" ht="15.6" hidden="1" spans="1:31">
      <c r="A5473" s="17" t="s">
        <v>34</v>
      </c>
      <c r="B5473" s="19">
        <v>994</v>
      </c>
      <c r="C5473" s="183">
        <v>45372</v>
      </c>
      <c r="D5473" s="22" t="s">
        <v>52</v>
      </c>
      <c r="E5473" s="17" t="s">
        <v>1113</v>
      </c>
      <c r="F5473" s="17" t="s">
        <v>54</v>
      </c>
      <c r="H5473" s="141">
        <v>1.2311</v>
      </c>
      <c r="I5473" s="141"/>
      <c r="J5473" s="17" t="s">
        <v>82</v>
      </c>
      <c r="K5473" s="19">
        <v>355</v>
      </c>
      <c r="L5473" s="274">
        <v>80</v>
      </c>
      <c r="M5473" s="98">
        <v>2200</v>
      </c>
      <c r="N5473" s="19" t="s">
        <v>66</v>
      </c>
      <c r="O5473" s="19" t="s">
        <v>141</v>
      </c>
      <c r="P5473" s="321"/>
      <c r="Q5473" s="19">
        <v>1057</v>
      </c>
      <c r="R5473" s="99">
        <f>+P5472-Q5472-Q5473</f>
        <v>-137</v>
      </c>
      <c r="S5473" s="91">
        <v>865</v>
      </c>
      <c r="T5473" s="19" t="s">
        <v>42</v>
      </c>
      <c r="U5473" s="102" t="s">
        <v>1420</v>
      </c>
      <c r="V5473" s="186">
        <v>45373</v>
      </c>
      <c r="W5473" s="17" t="s">
        <v>69</v>
      </c>
      <c r="Y5473" s="68">
        <v>45383</v>
      </c>
      <c r="Z5473" s="17" t="s">
        <v>191</v>
      </c>
      <c r="AA5473" s="17" t="s">
        <v>46</v>
      </c>
      <c r="AB5473" s="17" t="s">
        <v>1337</v>
      </c>
      <c r="AC5473" s="217">
        <v>45400</v>
      </c>
      <c r="AD5473" s="65">
        <v>1563</v>
      </c>
      <c r="AE5473" s="17" t="s">
        <v>74</v>
      </c>
    </row>
    <row r="5474" s="17" customFormat="1" ht="15.6" hidden="1" spans="1:31">
      <c r="A5474" s="17" t="s">
        <v>34</v>
      </c>
      <c r="B5474" s="19">
        <v>994</v>
      </c>
      <c r="C5474" s="183">
        <v>45372</v>
      </c>
      <c r="D5474" s="22" t="s">
        <v>52</v>
      </c>
      <c r="E5474" s="17" t="s">
        <v>1113</v>
      </c>
      <c r="F5474" s="17" t="s">
        <v>54</v>
      </c>
      <c r="H5474" s="141">
        <v>1.2311</v>
      </c>
      <c r="I5474" s="141"/>
      <c r="J5474" s="17" t="s">
        <v>82</v>
      </c>
      <c r="K5474" s="19">
        <v>405</v>
      </c>
      <c r="L5474" s="274">
        <v>80</v>
      </c>
      <c r="M5474" s="98">
        <v>2200</v>
      </c>
      <c r="N5474" s="19" t="s">
        <v>66</v>
      </c>
      <c r="O5474" s="19" t="s">
        <v>141</v>
      </c>
      <c r="P5474" s="321">
        <v>2861</v>
      </c>
      <c r="Q5474" s="19">
        <v>3041</v>
      </c>
      <c r="R5474" s="19">
        <f>+P5474-Q5474</f>
        <v>-180</v>
      </c>
      <c r="S5474" s="91">
        <v>865</v>
      </c>
      <c r="T5474" s="19" t="s">
        <v>42</v>
      </c>
      <c r="U5474" s="102" t="s">
        <v>1420</v>
      </c>
      <c r="V5474" s="186">
        <v>45373</v>
      </c>
      <c r="W5474" s="17" t="s">
        <v>69</v>
      </c>
      <c r="Y5474" s="68">
        <v>45383</v>
      </c>
      <c r="Z5474" s="17" t="s">
        <v>191</v>
      </c>
      <c r="AA5474" s="17" t="s">
        <v>46</v>
      </c>
      <c r="AB5474" s="17" t="s">
        <v>1341</v>
      </c>
      <c r="AC5474" s="217">
        <v>45400</v>
      </c>
      <c r="AD5474" s="65">
        <v>1562</v>
      </c>
      <c r="AE5474" s="17" t="s">
        <v>74</v>
      </c>
    </row>
    <row r="5475" s="17" customFormat="1" ht="15.6" hidden="1" spans="1:31">
      <c r="A5475" s="17" t="s">
        <v>34</v>
      </c>
      <c r="B5475" s="19">
        <v>994</v>
      </c>
      <c r="C5475" s="183">
        <v>45372</v>
      </c>
      <c r="D5475" s="22" t="s">
        <v>52</v>
      </c>
      <c r="E5475" s="17" t="s">
        <v>1113</v>
      </c>
      <c r="F5475" s="17" t="s">
        <v>54</v>
      </c>
      <c r="H5475" s="141">
        <v>1.2311</v>
      </c>
      <c r="I5475" s="141"/>
      <c r="J5475" s="17" t="s">
        <v>82</v>
      </c>
      <c r="K5475" s="19">
        <v>455</v>
      </c>
      <c r="L5475" s="274">
        <v>80</v>
      </c>
      <c r="M5475" s="98">
        <v>2200</v>
      </c>
      <c r="N5475" s="19" t="s">
        <v>66</v>
      </c>
      <c r="O5475" s="19" t="s">
        <v>141</v>
      </c>
      <c r="P5475" s="321">
        <v>1929</v>
      </c>
      <c r="Q5475" s="19">
        <f>667+1360</f>
        <v>2027</v>
      </c>
      <c r="R5475" s="19">
        <f>+P5475-Q5475</f>
        <v>-98</v>
      </c>
      <c r="S5475" s="91">
        <v>865</v>
      </c>
      <c r="T5475" s="19" t="s">
        <v>42</v>
      </c>
      <c r="U5475" s="102" t="s">
        <v>1420</v>
      </c>
      <c r="V5475" s="186">
        <v>45373</v>
      </c>
      <c r="W5475" s="17" t="s">
        <v>69</v>
      </c>
      <c r="Y5475" s="68">
        <v>45383</v>
      </c>
      <c r="Z5475" s="17" t="s">
        <v>191</v>
      </c>
      <c r="AA5475" s="17" t="s">
        <v>46</v>
      </c>
      <c r="AB5475" s="17" t="s">
        <v>1341</v>
      </c>
      <c r="AC5475" s="217">
        <v>45400</v>
      </c>
      <c r="AD5475" s="65">
        <v>1562</v>
      </c>
      <c r="AE5475" s="17" t="s">
        <v>74</v>
      </c>
    </row>
    <row r="5476" s="17" customFormat="1" ht="15.6" hidden="1" spans="1:31">
      <c r="A5476" s="17" t="s">
        <v>34</v>
      </c>
      <c r="B5476" s="19">
        <v>994</v>
      </c>
      <c r="C5476" s="183">
        <v>45372</v>
      </c>
      <c r="D5476" s="22" t="s">
        <v>52</v>
      </c>
      <c r="E5476" s="17" t="s">
        <v>1113</v>
      </c>
      <c r="F5476" s="17" t="s">
        <v>54</v>
      </c>
      <c r="H5476" s="141">
        <v>1.2311</v>
      </c>
      <c r="I5476" s="141"/>
      <c r="J5476" s="17" t="s">
        <v>82</v>
      </c>
      <c r="K5476" s="19">
        <v>505</v>
      </c>
      <c r="L5476" s="274">
        <v>80</v>
      </c>
      <c r="M5476" s="98">
        <v>2200</v>
      </c>
      <c r="N5476" s="19" t="s">
        <v>66</v>
      </c>
      <c r="O5476" s="19" t="s">
        <v>141</v>
      </c>
      <c r="P5476" s="321">
        <v>2141</v>
      </c>
      <c r="Q5476" s="19">
        <v>1499</v>
      </c>
      <c r="S5476" s="91">
        <v>865</v>
      </c>
      <c r="T5476" s="19" t="s">
        <v>42</v>
      </c>
      <c r="U5476" s="102" t="s">
        <v>1420</v>
      </c>
      <c r="V5476" s="186">
        <v>45373</v>
      </c>
      <c r="W5476" s="17" t="s">
        <v>69</v>
      </c>
      <c r="Y5476" s="68">
        <v>45383</v>
      </c>
      <c r="Z5476" s="17" t="s">
        <v>191</v>
      </c>
      <c r="AA5476" s="17" t="s">
        <v>46</v>
      </c>
      <c r="AB5476" s="17" t="s">
        <v>1337</v>
      </c>
      <c r="AC5476" s="217">
        <v>45400</v>
      </c>
      <c r="AD5476" s="65">
        <v>1563</v>
      </c>
      <c r="AE5476" s="17" t="s">
        <v>74</v>
      </c>
    </row>
    <row r="5477" s="17" customFormat="1" ht="15.6" hidden="1" spans="1:31">
      <c r="A5477" s="17" t="s">
        <v>34</v>
      </c>
      <c r="B5477" s="19">
        <v>994</v>
      </c>
      <c r="C5477" s="183">
        <v>45372</v>
      </c>
      <c r="D5477" s="22" t="s">
        <v>52</v>
      </c>
      <c r="E5477" s="17" t="s">
        <v>1113</v>
      </c>
      <c r="F5477" s="17" t="s">
        <v>54</v>
      </c>
      <c r="H5477" s="141">
        <v>1.2311</v>
      </c>
      <c r="I5477" s="141"/>
      <c r="J5477" s="17" t="s">
        <v>82</v>
      </c>
      <c r="K5477" s="19">
        <v>505</v>
      </c>
      <c r="L5477" s="274">
        <v>80</v>
      </c>
      <c r="M5477" s="98">
        <v>2200</v>
      </c>
      <c r="N5477" s="19" t="s">
        <v>66</v>
      </c>
      <c r="O5477" s="19" t="s">
        <v>141</v>
      </c>
      <c r="P5477" s="321"/>
      <c r="Q5477" s="19">
        <v>736</v>
      </c>
      <c r="R5477" s="99">
        <f>+P5476-Q5476-Q5477</f>
        <v>-94</v>
      </c>
      <c r="S5477" s="322">
        <f>865+40</f>
        <v>905</v>
      </c>
      <c r="T5477" s="19" t="s">
        <v>42</v>
      </c>
      <c r="U5477" s="102" t="s">
        <v>1420</v>
      </c>
      <c r="V5477" s="186">
        <v>45373</v>
      </c>
      <c r="W5477" s="17" t="s">
        <v>69</v>
      </c>
      <c r="Y5477" s="68">
        <v>45383</v>
      </c>
      <c r="Z5477" s="17" t="s">
        <v>191</v>
      </c>
      <c r="AA5477" s="17" t="s">
        <v>46</v>
      </c>
      <c r="AB5477" s="17" t="s">
        <v>1343</v>
      </c>
      <c r="AC5477" s="217">
        <v>45433</v>
      </c>
      <c r="AD5477" s="65">
        <v>1575</v>
      </c>
      <c r="AE5477" s="17" t="s">
        <v>74</v>
      </c>
    </row>
    <row r="5478" s="17" customFormat="1" ht="15.6" hidden="1" spans="1:31">
      <c r="A5478" s="17" t="s">
        <v>34</v>
      </c>
      <c r="B5478" s="19">
        <v>994</v>
      </c>
      <c r="C5478" s="183">
        <v>45372</v>
      </c>
      <c r="D5478" s="22" t="s">
        <v>52</v>
      </c>
      <c r="E5478" s="17" t="s">
        <v>1113</v>
      </c>
      <c r="F5478" s="17" t="s">
        <v>54</v>
      </c>
      <c r="H5478" s="141">
        <v>1.2311</v>
      </c>
      <c r="I5478" s="141"/>
      <c r="J5478" s="17" t="s">
        <v>82</v>
      </c>
      <c r="K5478" s="19">
        <v>555</v>
      </c>
      <c r="L5478" s="274">
        <v>80</v>
      </c>
      <c r="M5478" s="98">
        <v>2200</v>
      </c>
      <c r="N5478" s="19" t="s">
        <v>66</v>
      </c>
      <c r="O5478" s="19" t="s">
        <v>141</v>
      </c>
      <c r="P5478" s="321">
        <v>2353</v>
      </c>
      <c r="Q5478" s="19">
        <v>2442</v>
      </c>
      <c r="R5478" s="19">
        <f>+P5478-Q5478</f>
        <v>-89</v>
      </c>
      <c r="S5478" s="91">
        <v>865</v>
      </c>
      <c r="T5478" s="19" t="s">
        <v>42</v>
      </c>
      <c r="U5478" s="102" t="s">
        <v>1420</v>
      </c>
      <c r="V5478" s="186">
        <v>45373</v>
      </c>
      <c r="W5478" s="17" t="s">
        <v>69</v>
      </c>
      <c r="Y5478" s="68">
        <v>45383</v>
      </c>
      <c r="Z5478" s="17" t="s">
        <v>191</v>
      </c>
      <c r="AA5478" s="17" t="s">
        <v>46</v>
      </c>
      <c r="AB5478" s="17" t="s">
        <v>1337</v>
      </c>
      <c r="AC5478" s="217">
        <v>45400</v>
      </c>
      <c r="AD5478" s="65">
        <v>1563</v>
      </c>
      <c r="AE5478" s="17" t="s">
        <v>74</v>
      </c>
    </row>
    <row r="5479" s="17" customFormat="1" ht="15.6" hidden="1" spans="1:31">
      <c r="A5479" s="17" t="s">
        <v>34</v>
      </c>
      <c r="B5479" s="19">
        <v>994</v>
      </c>
      <c r="C5479" s="183">
        <v>45372</v>
      </c>
      <c r="D5479" s="22" t="s">
        <v>52</v>
      </c>
      <c r="E5479" s="17" t="s">
        <v>1113</v>
      </c>
      <c r="F5479" s="17" t="s">
        <v>54</v>
      </c>
      <c r="H5479" s="141">
        <v>1.2311</v>
      </c>
      <c r="I5479" s="141"/>
      <c r="J5479" s="17" t="s">
        <v>82</v>
      </c>
      <c r="K5479" s="19">
        <v>605</v>
      </c>
      <c r="L5479" s="274">
        <v>80</v>
      </c>
      <c r="M5479" s="98">
        <v>2200</v>
      </c>
      <c r="N5479" s="19" t="s">
        <v>66</v>
      </c>
      <c r="O5479" s="19" t="s">
        <v>141</v>
      </c>
      <c r="P5479" s="321">
        <v>1710</v>
      </c>
      <c r="Q5479" s="19">
        <v>1794</v>
      </c>
      <c r="R5479" s="19">
        <f>+P5479-Q5479</f>
        <v>-84</v>
      </c>
      <c r="S5479" s="91">
        <v>865</v>
      </c>
      <c r="T5479" s="19" t="s">
        <v>42</v>
      </c>
      <c r="U5479" s="102" t="s">
        <v>1420</v>
      </c>
      <c r="V5479" s="186">
        <v>45373</v>
      </c>
      <c r="W5479" s="17" t="s">
        <v>69</v>
      </c>
      <c r="Y5479" s="68">
        <v>45383</v>
      </c>
      <c r="Z5479" s="17" t="s">
        <v>191</v>
      </c>
      <c r="AA5479" s="17" t="s">
        <v>46</v>
      </c>
      <c r="AB5479" s="17" t="s">
        <v>1337</v>
      </c>
      <c r="AC5479" s="217">
        <v>45400</v>
      </c>
      <c r="AD5479" s="65">
        <v>1563</v>
      </c>
      <c r="AE5479" s="17" t="s">
        <v>74</v>
      </c>
    </row>
    <row r="5480" s="17" customFormat="1" ht="15.6" hidden="1" spans="1:31">
      <c r="A5480" s="17" t="s">
        <v>34</v>
      </c>
      <c r="B5480" s="19">
        <v>994</v>
      </c>
      <c r="C5480" s="183">
        <v>45372</v>
      </c>
      <c r="D5480" s="22" t="s">
        <v>52</v>
      </c>
      <c r="E5480" s="17" t="s">
        <v>1113</v>
      </c>
      <c r="F5480" s="17" t="s">
        <v>54</v>
      </c>
      <c r="H5480" s="141">
        <v>1.2311</v>
      </c>
      <c r="I5480" s="141"/>
      <c r="J5480" s="17" t="s">
        <v>82</v>
      </c>
      <c r="K5480" s="19">
        <v>255</v>
      </c>
      <c r="L5480" s="19">
        <v>65</v>
      </c>
      <c r="M5480" s="98">
        <v>2200</v>
      </c>
      <c r="N5480" s="19" t="s">
        <v>66</v>
      </c>
      <c r="O5480" s="19" t="s">
        <v>141</v>
      </c>
      <c r="P5480" s="321">
        <v>2342</v>
      </c>
      <c r="Q5480" s="19">
        <f>613+617</f>
        <v>1230</v>
      </c>
      <c r="S5480" s="91">
        <v>865</v>
      </c>
      <c r="T5480" s="19" t="s">
        <v>42</v>
      </c>
      <c r="U5480" s="102" t="s">
        <v>1420</v>
      </c>
      <c r="V5480" s="186">
        <v>45373</v>
      </c>
      <c r="W5480" s="17" t="s">
        <v>69</v>
      </c>
      <c r="Y5480" s="68">
        <v>45383</v>
      </c>
      <c r="Z5480" s="17" t="s">
        <v>191</v>
      </c>
      <c r="AA5480" s="17" t="s">
        <v>46</v>
      </c>
      <c r="AB5480" s="17" t="s">
        <v>1341</v>
      </c>
      <c r="AC5480" s="217">
        <v>45400</v>
      </c>
      <c r="AD5480" s="65">
        <v>1562</v>
      </c>
      <c r="AE5480" s="17" t="s">
        <v>74</v>
      </c>
    </row>
    <row r="5481" s="17" customFormat="1" ht="15.6" hidden="1" spans="1:31">
      <c r="A5481" s="17" t="s">
        <v>34</v>
      </c>
      <c r="B5481" s="19">
        <v>994</v>
      </c>
      <c r="C5481" s="183">
        <v>45372</v>
      </c>
      <c r="D5481" s="22" t="s">
        <v>52</v>
      </c>
      <c r="E5481" s="17" t="s">
        <v>1113</v>
      </c>
      <c r="F5481" s="17" t="s">
        <v>54</v>
      </c>
      <c r="H5481" s="141">
        <v>1.2311</v>
      </c>
      <c r="I5481" s="141"/>
      <c r="J5481" s="17" t="s">
        <v>82</v>
      </c>
      <c r="K5481" s="19">
        <v>255</v>
      </c>
      <c r="L5481" s="19">
        <v>65</v>
      </c>
      <c r="M5481" s="98">
        <v>2200</v>
      </c>
      <c r="N5481" s="19" t="s">
        <v>66</v>
      </c>
      <c r="O5481" s="19" t="s">
        <v>141</v>
      </c>
      <c r="P5481" s="321"/>
      <c r="Q5481" s="19">
        <v>614</v>
      </c>
      <c r="S5481" s="322">
        <f>865+40</f>
        <v>905</v>
      </c>
      <c r="T5481" s="19" t="s">
        <v>42</v>
      </c>
      <c r="U5481" s="102" t="s">
        <v>1420</v>
      </c>
      <c r="V5481" s="186">
        <v>45373</v>
      </c>
      <c r="W5481" s="17" t="s">
        <v>69</v>
      </c>
      <c r="Y5481" s="68">
        <v>45383</v>
      </c>
      <c r="Z5481" s="17" t="s">
        <v>191</v>
      </c>
      <c r="AA5481" s="17" t="s">
        <v>46</v>
      </c>
      <c r="AB5481" s="17" t="s">
        <v>1343</v>
      </c>
      <c r="AC5481" s="217">
        <v>45433</v>
      </c>
      <c r="AD5481" s="65">
        <v>1575</v>
      </c>
      <c r="AE5481" s="17" t="s">
        <v>74</v>
      </c>
    </row>
    <row r="5482" s="17" customFormat="1" ht="15.6" hidden="1" spans="1:31">
      <c r="A5482" s="17" t="s">
        <v>34</v>
      </c>
      <c r="B5482" s="19">
        <v>994</v>
      </c>
      <c r="C5482" s="183">
        <v>45372</v>
      </c>
      <c r="D5482" s="22" t="s">
        <v>52</v>
      </c>
      <c r="E5482" s="17" t="s">
        <v>1113</v>
      </c>
      <c r="F5482" s="17" t="s">
        <v>54</v>
      </c>
      <c r="H5482" s="141">
        <v>1.2311</v>
      </c>
      <c r="I5482" s="141"/>
      <c r="J5482" s="17" t="s">
        <v>82</v>
      </c>
      <c r="K5482" s="19">
        <v>255</v>
      </c>
      <c r="L5482" s="19">
        <v>65</v>
      </c>
      <c r="M5482" s="98">
        <v>2200</v>
      </c>
      <c r="N5482" s="19" t="s">
        <v>66</v>
      </c>
      <c r="O5482" s="19" t="s">
        <v>141</v>
      </c>
      <c r="P5482" s="321"/>
      <c r="Q5482" s="19">
        <v>612</v>
      </c>
      <c r="R5482" s="99">
        <f>+P5480-Q5480-Q5481-Q5482</f>
        <v>-114</v>
      </c>
      <c r="S5482" s="323">
        <f>865</f>
        <v>865</v>
      </c>
      <c r="T5482" s="19" t="s">
        <v>42</v>
      </c>
      <c r="U5482" s="102" t="s">
        <v>1420</v>
      </c>
      <c r="V5482" s="186">
        <v>45373</v>
      </c>
      <c r="W5482" s="17" t="s">
        <v>69</v>
      </c>
      <c r="Y5482" s="68">
        <v>45383</v>
      </c>
      <c r="Z5482" s="17" t="s">
        <v>191</v>
      </c>
      <c r="AA5482" s="17" t="s">
        <v>46</v>
      </c>
      <c r="AB5482" s="17" t="s">
        <v>1351</v>
      </c>
      <c r="AC5482" s="66">
        <v>45516</v>
      </c>
      <c r="AD5482" s="65">
        <v>1615</v>
      </c>
      <c r="AE5482" s="17" t="s">
        <v>74</v>
      </c>
    </row>
    <row r="5483" s="17" customFormat="1" hidden="1" spans="1:31">
      <c r="A5483" s="17" t="s">
        <v>34</v>
      </c>
      <c r="B5483" s="19">
        <v>995</v>
      </c>
      <c r="C5483" s="183">
        <v>45372</v>
      </c>
      <c r="D5483" s="17" t="s">
        <v>52</v>
      </c>
      <c r="E5483" s="17" t="s">
        <v>1113</v>
      </c>
      <c r="F5483" s="17" t="s">
        <v>54</v>
      </c>
      <c r="H5483" s="141" t="s">
        <v>1114</v>
      </c>
      <c r="I5483" s="141"/>
      <c r="J5483" s="17" t="s">
        <v>49</v>
      </c>
      <c r="K5483" s="19">
        <v>2200</v>
      </c>
      <c r="L5483" s="19">
        <v>36</v>
      </c>
      <c r="M5483" s="19">
        <v>5000</v>
      </c>
      <c r="N5483" s="19" t="s">
        <v>66</v>
      </c>
      <c r="O5483" s="19" t="s">
        <v>141</v>
      </c>
      <c r="P5483" s="99">
        <v>17804</v>
      </c>
      <c r="Q5483" s="19">
        <f>2091+2093+2117+2049</f>
        <v>8350</v>
      </c>
      <c r="S5483" s="91">
        <v>1010</v>
      </c>
      <c r="T5483" s="19" t="s">
        <v>42</v>
      </c>
      <c r="U5483" s="102" t="s">
        <v>1421</v>
      </c>
      <c r="V5483" s="186">
        <v>45382</v>
      </c>
      <c r="W5483" s="17" t="s">
        <v>44</v>
      </c>
      <c r="Y5483" s="68">
        <v>45383</v>
      </c>
      <c r="Z5483" s="17" t="s">
        <v>191</v>
      </c>
      <c r="AA5483" s="17" t="s">
        <v>46</v>
      </c>
      <c r="AB5483" s="17" t="s">
        <v>1337</v>
      </c>
      <c r="AC5483" s="217">
        <v>45400</v>
      </c>
      <c r="AD5483" s="65">
        <v>1563</v>
      </c>
      <c r="AE5483" s="17" t="s">
        <v>48</v>
      </c>
    </row>
    <row r="5484" s="17" customFormat="1" hidden="1" spans="1:31">
      <c r="A5484" s="17" t="s">
        <v>34</v>
      </c>
      <c r="B5484" s="19">
        <v>995</v>
      </c>
      <c r="C5484" s="183">
        <v>45372</v>
      </c>
      <c r="D5484" s="17" t="s">
        <v>52</v>
      </c>
      <c r="E5484" s="17" t="s">
        <v>1113</v>
      </c>
      <c r="F5484" s="17" t="s">
        <v>54</v>
      </c>
      <c r="H5484" s="141" t="s">
        <v>1114</v>
      </c>
      <c r="I5484" s="141"/>
      <c r="J5484" s="17" t="s">
        <v>49</v>
      </c>
      <c r="K5484" s="19">
        <v>2200</v>
      </c>
      <c r="L5484" s="19">
        <v>36</v>
      </c>
      <c r="M5484" s="19">
        <v>5000</v>
      </c>
      <c r="N5484" s="19" t="s">
        <v>66</v>
      </c>
      <c r="O5484" s="19" t="s">
        <v>141</v>
      </c>
      <c r="P5484" s="99"/>
      <c r="Q5484" s="19">
        <v>2091</v>
      </c>
      <c r="S5484" s="91">
        <f>1010+60</f>
        <v>1070</v>
      </c>
      <c r="T5484" s="19" t="s">
        <v>42</v>
      </c>
      <c r="U5484" s="102" t="s">
        <v>1421</v>
      </c>
      <c r="V5484" s="186">
        <v>45382</v>
      </c>
      <c r="W5484" s="17" t="s">
        <v>69</v>
      </c>
      <c r="Y5484" s="68">
        <v>45383</v>
      </c>
      <c r="Z5484" s="17" t="s">
        <v>191</v>
      </c>
      <c r="AA5484" s="17" t="s">
        <v>46</v>
      </c>
      <c r="AB5484" s="17" t="s">
        <v>1339</v>
      </c>
      <c r="AC5484" s="217">
        <v>45433</v>
      </c>
      <c r="AD5484" s="65">
        <v>1570</v>
      </c>
      <c r="AE5484" s="17" t="s">
        <v>48</v>
      </c>
    </row>
    <row r="5485" s="17" customFormat="1" hidden="1" spans="1:31">
      <c r="A5485" s="17" t="s">
        <v>34</v>
      </c>
      <c r="B5485" s="19">
        <v>995</v>
      </c>
      <c r="C5485" s="183">
        <v>45372</v>
      </c>
      <c r="D5485" s="17" t="s">
        <v>52</v>
      </c>
      <c r="E5485" s="17" t="s">
        <v>1113</v>
      </c>
      <c r="F5485" s="17" t="s">
        <v>54</v>
      </c>
      <c r="H5485" s="141" t="s">
        <v>1114</v>
      </c>
      <c r="I5485" s="141"/>
      <c r="J5485" s="17" t="s">
        <v>49</v>
      </c>
      <c r="K5485" s="19">
        <v>2200</v>
      </c>
      <c r="L5485" s="19">
        <v>36</v>
      </c>
      <c r="M5485" s="19">
        <v>5000</v>
      </c>
      <c r="N5485" s="19" t="s">
        <v>66</v>
      </c>
      <c r="O5485" s="19" t="s">
        <v>141</v>
      </c>
      <c r="P5485" s="99"/>
      <c r="Q5485" s="19">
        <f>3540+3680</f>
        <v>7220</v>
      </c>
      <c r="R5485" s="99">
        <f>+P5483-Q5483-Q5484-Q5485</f>
        <v>143</v>
      </c>
      <c r="S5485" s="91">
        <f>1010</f>
        <v>1010</v>
      </c>
      <c r="T5485" s="19" t="s">
        <v>42</v>
      </c>
      <c r="U5485" s="102" t="s">
        <v>1421</v>
      </c>
      <c r="V5485" s="186">
        <v>45382</v>
      </c>
      <c r="W5485" s="17" t="s">
        <v>69</v>
      </c>
      <c r="Y5485" s="68">
        <v>45383</v>
      </c>
      <c r="Z5485" s="17" t="s">
        <v>191</v>
      </c>
      <c r="AA5485" s="17" t="s">
        <v>46</v>
      </c>
      <c r="AB5485" s="17" t="s">
        <v>1351</v>
      </c>
      <c r="AC5485" s="66">
        <v>45516</v>
      </c>
      <c r="AD5485" s="65">
        <v>1615</v>
      </c>
      <c r="AE5485" s="17" t="s">
        <v>48</v>
      </c>
    </row>
    <row r="5486" s="17" customFormat="1" hidden="1" spans="1:31">
      <c r="A5486" s="17" t="s">
        <v>34</v>
      </c>
      <c r="B5486" s="19">
        <v>995</v>
      </c>
      <c r="C5486" s="183">
        <v>45372</v>
      </c>
      <c r="D5486" s="17" t="s">
        <v>52</v>
      </c>
      <c r="E5486" s="17" t="s">
        <v>1113</v>
      </c>
      <c r="F5486" s="17" t="s">
        <v>54</v>
      </c>
      <c r="H5486" s="141" t="s">
        <v>1114</v>
      </c>
      <c r="I5486" s="141"/>
      <c r="J5486" s="17" t="s">
        <v>82</v>
      </c>
      <c r="K5486" s="19">
        <v>230</v>
      </c>
      <c r="L5486" s="19">
        <v>50</v>
      </c>
      <c r="M5486" s="19">
        <v>2200</v>
      </c>
      <c r="N5486" s="19" t="s">
        <v>66</v>
      </c>
      <c r="O5486" s="19" t="s">
        <v>141</v>
      </c>
      <c r="P5486" s="99">
        <v>609</v>
      </c>
      <c r="Q5486" s="19">
        <v>209</v>
      </c>
      <c r="S5486" s="91">
        <v>1030</v>
      </c>
      <c r="T5486" s="19" t="s">
        <v>42</v>
      </c>
      <c r="U5486" s="102" t="s">
        <v>1421</v>
      </c>
      <c r="V5486" s="186">
        <v>45382</v>
      </c>
      <c r="W5486" s="17" t="s">
        <v>44</v>
      </c>
      <c r="Y5486" s="68">
        <v>45383</v>
      </c>
      <c r="Z5486" s="17" t="s">
        <v>191</v>
      </c>
      <c r="AA5486" s="17" t="s">
        <v>46</v>
      </c>
      <c r="AB5486" s="17" t="s">
        <v>1337</v>
      </c>
      <c r="AC5486" s="217">
        <v>45400</v>
      </c>
      <c r="AD5486" s="65">
        <v>1563</v>
      </c>
      <c r="AE5486" s="17" t="s">
        <v>48</v>
      </c>
    </row>
    <row r="5487" s="17" customFormat="1" hidden="1" spans="1:31">
      <c r="A5487" s="17" t="s">
        <v>34</v>
      </c>
      <c r="B5487" s="19">
        <v>995</v>
      </c>
      <c r="C5487" s="183">
        <v>45372</v>
      </c>
      <c r="D5487" s="17" t="s">
        <v>52</v>
      </c>
      <c r="E5487" s="17" t="s">
        <v>1113</v>
      </c>
      <c r="F5487" s="17" t="s">
        <v>54</v>
      </c>
      <c r="H5487" s="141" t="s">
        <v>1114</v>
      </c>
      <c r="I5487" s="141"/>
      <c r="J5487" s="17" t="s">
        <v>82</v>
      </c>
      <c r="K5487" s="19">
        <v>230</v>
      </c>
      <c r="L5487" s="19">
        <v>50</v>
      </c>
      <c r="M5487" s="19">
        <v>2200</v>
      </c>
      <c r="N5487" s="19" t="s">
        <v>66</v>
      </c>
      <c r="O5487" s="19" t="s">
        <v>141</v>
      </c>
      <c r="P5487" s="99"/>
      <c r="Q5487" s="19">
        <v>210</v>
      </c>
      <c r="S5487" s="91">
        <f>1030+80-20</f>
        <v>1090</v>
      </c>
      <c r="T5487" s="19" t="s">
        <v>42</v>
      </c>
      <c r="U5487" s="102" t="s">
        <v>1421</v>
      </c>
      <c r="V5487" s="186">
        <v>45382</v>
      </c>
      <c r="W5487" s="17" t="s">
        <v>69</v>
      </c>
      <c r="Y5487" s="68">
        <v>45383</v>
      </c>
      <c r="Z5487" s="17" t="s">
        <v>191</v>
      </c>
      <c r="AA5487" s="17" t="s">
        <v>46</v>
      </c>
      <c r="AB5487" s="17" t="s">
        <v>1336</v>
      </c>
      <c r="AC5487" s="66">
        <v>45435</v>
      </c>
      <c r="AD5487" s="65">
        <v>1577</v>
      </c>
      <c r="AE5487" s="17" t="s">
        <v>48</v>
      </c>
    </row>
    <row r="5488" s="17" customFormat="1" hidden="1" spans="1:31">
      <c r="A5488" s="17" t="s">
        <v>34</v>
      </c>
      <c r="B5488" s="19">
        <v>995</v>
      </c>
      <c r="C5488" s="183">
        <v>45372</v>
      </c>
      <c r="D5488" s="17" t="s">
        <v>52</v>
      </c>
      <c r="E5488" s="17" t="s">
        <v>1113</v>
      </c>
      <c r="F5488" s="17" t="s">
        <v>54</v>
      </c>
      <c r="H5488" s="141" t="s">
        <v>1114</v>
      </c>
      <c r="I5488" s="141"/>
      <c r="J5488" s="17" t="s">
        <v>82</v>
      </c>
      <c r="K5488" s="19">
        <v>230</v>
      </c>
      <c r="L5488" s="19">
        <v>50</v>
      </c>
      <c r="M5488" s="19">
        <v>2200</v>
      </c>
      <c r="N5488" s="19" t="s">
        <v>66</v>
      </c>
      <c r="O5488" s="19" t="s">
        <v>141</v>
      </c>
      <c r="P5488" s="99"/>
      <c r="Q5488" s="19">
        <v>201</v>
      </c>
      <c r="R5488" s="99">
        <f>+P5486-Q5486-Q5487-Q5488</f>
        <v>-11</v>
      </c>
      <c r="S5488" s="91">
        <f>1030</f>
        <v>1030</v>
      </c>
      <c r="T5488" s="19" t="s">
        <v>42</v>
      </c>
      <c r="U5488" s="102" t="s">
        <v>1421</v>
      </c>
      <c r="V5488" s="186">
        <v>45382</v>
      </c>
      <c r="W5488" s="17" t="s">
        <v>69</v>
      </c>
      <c r="Y5488" s="68">
        <v>45383</v>
      </c>
      <c r="Z5488" s="17" t="s">
        <v>191</v>
      </c>
      <c r="AA5488" s="17" t="s">
        <v>46</v>
      </c>
      <c r="AB5488" s="17" t="s">
        <v>1351</v>
      </c>
      <c r="AC5488" s="66">
        <v>45516</v>
      </c>
      <c r="AD5488" s="65">
        <v>1615</v>
      </c>
      <c r="AE5488" s="17" t="s">
        <v>48</v>
      </c>
    </row>
    <row r="5489" s="17" customFormat="1" hidden="1" spans="1:32">
      <c r="A5489" s="17" t="s">
        <v>34</v>
      </c>
      <c r="B5489" s="19">
        <v>995</v>
      </c>
      <c r="C5489" s="183">
        <v>45372</v>
      </c>
      <c r="D5489" s="17" t="s">
        <v>52</v>
      </c>
      <c r="E5489" s="17" t="s">
        <v>1113</v>
      </c>
      <c r="F5489" s="17" t="s">
        <v>54</v>
      </c>
      <c r="H5489" s="141" t="s">
        <v>1114</v>
      </c>
      <c r="I5489" s="141"/>
      <c r="J5489" s="17" t="s">
        <v>82</v>
      </c>
      <c r="K5489" s="19">
        <v>455</v>
      </c>
      <c r="L5489" s="19">
        <v>50</v>
      </c>
      <c r="M5489" s="19">
        <v>2200</v>
      </c>
      <c r="N5489" s="19" t="s">
        <v>66</v>
      </c>
      <c r="O5489" s="19" t="s">
        <v>141</v>
      </c>
      <c r="P5489" s="99">
        <f>402+804</f>
        <v>1206</v>
      </c>
      <c r="Q5489" s="19">
        <f>410+409</f>
        <v>819</v>
      </c>
      <c r="S5489" s="91">
        <v>1030</v>
      </c>
      <c r="T5489" s="19" t="s">
        <v>42</v>
      </c>
      <c r="U5489" s="102" t="s">
        <v>1421</v>
      </c>
      <c r="V5489" s="186">
        <v>45382</v>
      </c>
      <c r="W5489" s="17" t="s">
        <v>44</v>
      </c>
      <c r="Y5489" s="68">
        <v>45383</v>
      </c>
      <c r="Z5489" s="17" t="s">
        <v>191</v>
      </c>
      <c r="AA5489" s="17" t="s">
        <v>46</v>
      </c>
      <c r="AB5489" s="17" t="s">
        <v>1342</v>
      </c>
      <c r="AC5489" s="217">
        <v>45394</v>
      </c>
      <c r="AD5489" s="65">
        <v>1555</v>
      </c>
      <c r="AE5489" s="17" t="s">
        <v>48</v>
      </c>
    </row>
    <row r="5490" s="17" customFormat="1" hidden="1" spans="1:32">
      <c r="A5490" s="17" t="s">
        <v>34</v>
      </c>
      <c r="B5490" s="19">
        <v>995</v>
      </c>
      <c r="C5490" s="183">
        <v>45372</v>
      </c>
      <c r="D5490" s="17" t="s">
        <v>52</v>
      </c>
      <c r="E5490" s="17" t="s">
        <v>1113</v>
      </c>
      <c r="F5490" s="17" t="s">
        <v>54</v>
      </c>
      <c r="H5490" s="141" t="s">
        <v>1114</v>
      </c>
      <c r="I5490" s="141"/>
      <c r="J5490" s="17" t="s">
        <v>82</v>
      </c>
      <c r="K5490" s="19">
        <v>455</v>
      </c>
      <c r="L5490" s="19">
        <v>50</v>
      </c>
      <c r="M5490" s="19">
        <v>2200</v>
      </c>
      <c r="N5490" s="19" t="s">
        <v>66</v>
      </c>
      <c r="O5490" s="19" t="s">
        <v>141</v>
      </c>
      <c r="P5490" s="99"/>
      <c r="Q5490" s="19">
        <v>398</v>
      </c>
      <c r="R5490" s="99">
        <f>+P5489-Q5489-Q5490</f>
        <v>-11</v>
      </c>
      <c r="S5490" s="91">
        <v>1030</v>
      </c>
      <c r="T5490" s="19" t="s">
        <v>42</v>
      </c>
      <c r="U5490" s="102" t="s">
        <v>1421</v>
      </c>
      <c r="V5490" s="186">
        <v>45382</v>
      </c>
      <c r="W5490" s="17" t="s">
        <v>69</v>
      </c>
      <c r="Y5490" s="68">
        <v>45383</v>
      </c>
      <c r="Z5490" s="17" t="s">
        <v>191</v>
      </c>
      <c r="AA5490" s="17" t="s">
        <v>46</v>
      </c>
      <c r="AB5490" s="17" t="s">
        <v>1351</v>
      </c>
      <c r="AC5490" s="66">
        <v>45516</v>
      </c>
      <c r="AD5490" s="65">
        <v>1615</v>
      </c>
      <c r="AE5490" s="17" t="s">
        <v>48</v>
      </c>
    </row>
    <row r="5491" s="17" customFormat="1" hidden="1" spans="1:32">
      <c r="A5491" s="17" t="s">
        <v>34</v>
      </c>
      <c r="B5491" s="19">
        <v>995</v>
      </c>
      <c r="C5491" s="183">
        <v>45372</v>
      </c>
      <c r="D5491" s="17" t="s">
        <v>52</v>
      </c>
      <c r="E5491" s="17" t="s">
        <v>1113</v>
      </c>
      <c r="F5491" s="17" t="s">
        <v>54</v>
      </c>
      <c r="H5491" s="141" t="s">
        <v>1114</v>
      </c>
      <c r="I5491" s="141"/>
      <c r="J5491" s="17" t="s">
        <v>82</v>
      </c>
      <c r="K5491" s="19">
        <v>305</v>
      </c>
      <c r="L5491" s="19">
        <v>80</v>
      </c>
      <c r="M5491" s="19">
        <v>2200</v>
      </c>
      <c r="N5491" s="19" t="s">
        <v>66</v>
      </c>
      <c r="O5491" s="19" t="s">
        <v>141</v>
      </c>
      <c r="P5491" s="99">
        <v>862</v>
      </c>
      <c r="Q5491" s="19">
        <v>442</v>
      </c>
      <c r="S5491" s="91">
        <v>1030</v>
      </c>
      <c r="T5491" s="19" t="s">
        <v>42</v>
      </c>
      <c r="U5491" s="102" t="s">
        <v>1421</v>
      </c>
      <c r="V5491" s="186">
        <v>45382</v>
      </c>
      <c r="W5491" s="17" t="s">
        <v>44</v>
      </c>
      <c r="Y5491" s="68">
        <v>45383</v>
      </c>
      <c r="Z5491" s="17" t="s">
        <v>191</v>
      </c>
      <c r="AA5491" s="17" t="s">
        <v>46</v>
      </c>
      <c r="AB5491" s="17" t="s">
        <v>1249</v>
      </c>
      <c r="AC5491" s="217">
        <v>45380</v>
      </c>
      <c r="AD5491" s="65">
        <v>1547</v>
      </c>
      <c r="AE5491" s="17" t="s">
        <v>74</v>
      </c>
    </row>
    <row r="5492" s="18" customFormat="1" hidden="1" spans="1:32">
      <c r="A5492" s="17" t="s">
        <v>34</v>
      </c>
      <c r="B5492" s="19">
        <v>995</v>
      </c>
      <c r="C5492" s="183">
        <v>45372</v>
      </c>
      <c r="D5492" s="17" t="s">
        <v>52</v>
      </c>
      <c r="E5492" s="17" t="s">
        <v>1113</v>
      </c>
      <c r="F5492" s="17" t="s">
        <v>54</v>
      </c>
      <c r="G5492" s="17"/>
      <c r="H5492" s="141" t="s">
        <v>1114</v>
      </c>
      <c r="I5492" s="141"/>
      <c r="J5492" s="17" t="s">
        <v>82</v>
      </c>
      <c r="K5492" s="19">
        <v>305</v>
      </c>
      <c r="L5492" s="19">
        <v>80</v>
      </c>
      <c r="M5492" s="19">
        <v>2200</v>
      </c>
      <c r="N5492" s="19" t="s">
        <v>66</v>
      </c>
      <c r="O5492" s="19" t="s">
        <v>141</v>
      </c>
      <c r="P5492" s="324"/>
      <c r="Q5492" s="324">
        <v>430</v>
      </c>
      <c r="R5492" s="99">
        <f>+P5491-Q5491-Q5492</f>
        <v>-10</v>
      </c>
      <c r="S5492" s="91">
        <v>1030</v>
      </c>
      <c r="T5492" s="19" t="s">
        <v>42</v>
      </c>
      <c r="U5492" s="102" t="s">
        <v>1421</v>
      </c>
      <c r="V5492" s="186">
        <v>45382</v>
      </c>
      <c r="W5492" s="17" t="s">
        <v>69</v>
      </c>
      <c r="X5492" s="17"/>
      <c r="Y5492" s="68">
        <v>45383</v>
      </c>
      <c r="Z5492" s="17" t="s">
        <v>191</v>
      </c>
      <c r="AA5492" s="17" t="s">
        <v>46</v>
      </c>
      <c r="AB5492" s="17" t="s">
        <v>1351</v>
      </c>
      <c r="AC5492" s="66">
        <v>45516</v>
      </c>
      <c r="AD5492" s="65">
        <v>1615</v>
      </c>
      <c r="AE5492" s="17" t="s">
        <v>48</v>
      </c>
    </row>
    <row r="5493" s="17" customFormat="1" hidden="1" spans="1:32">
      <c r="B5493" s="19">
        <v>995</v>
      </c>
      <c r="C5493" s="183">
        <v>45372</v>
      </c>
      <c r="D5493" s="17" t="s">
        <v>52</v>
      </c>
      <c r="E5493" s="17" t="s">
        <v>1113</v>
      </c>
      <c r="F5493" s="17" t="s">
        <v>54</v>
      </c>
      <c r="H5493" s="141" t="s">
        <v>1114</v>
      </c>
      <c r="I5493" s="141"/>
      <c r="J5493" s="17" t="s">
        <v>49</v>
      </c>
      <c r="K5493" s="19">
        <v>2200</v>
      </c>
      <c r="L5493" s="19">
        <v>61</v>
      </c>
      <c r="M5493" s="19">
        <v>5000</v>
      </c>
      <c r="N5493" s="19" t="s">
        <v>66</v>
      </c>
      <c r="O5493" s="19" t="s">
        <v>141</v>
      </c>
      <c r="P5493" s="99">
        <v>8619</v>
      </c>
      <c r="Q5493" s="19">
        <v>0</v>
      </c>
      <c r="R5493" s="19">
        <v>0</v>
      </c>
      <c r="S5493" s="91">
        <v>1010</v>
      </c>
      <c r="T5493" s="19" t="s">
        <v>42</v>
      </c>
      <c r="U5493" s="102" t="s">
        <v>1421</v>
      </c>
      <c r="V5493" s="186">
        <v>45382</v>
      </c>
      <c r="W5493" s="17" t="s">
        <v>44</v>
      </c>
      <c r="Y5493" s="68">
        <v>45383</v>
      </c>
      <c r="Z5493" s="17" t="s">
        <v>191</v>
      </c>
      <c r="AA5493" s="17" t="s">
        <v>46</v>
      </c>
      <c r="AC5493" s="102"/>
      <c r="AD5493" s="65"/>
      <c r="AE5493" s="17" t="s">
        <v>48</v>
      </c>
    </row>
    <row r="5494" s="17" customFormat="1" hidden="1" spans="1:32">
      <c r="A5494" s="17" t="s">
        <v>34</v>
      </c>
      <c r="B5494" s="19">
        <v>995</v>
      </c>
      <c r="C5494" s="183">
        <v>45372</v>
      </c>
      <c r="D5494" s="17" t="s">
        <v>52</v>
      </c>
      <c r="E5494" s="17" t="s">
        <v>1113</v>
      </c>
      <c r="F5494" s="17" t="s">
        <v>54</v>
      </c>
      <c r="H5494" s="141" t="s">
        <v>1114</v>
      </c>
      <c r="I5494" s="141"/>
      <c r="J5494" s="17" t="s">
        <v>49</v>
      </c>
      <c r="K5494" s="19">
        <v>2200</v>
      </c>
      <c r="L5494" s="19">
        <v>40</v>
      </c>
      <c r="M5494" s="19">
        <v>5000</v>
      </c>
      <c r="N5494" s="19" t="s">
        <v>66</v>
      </c>
      <c r="O5494" s="19" t="s">
        <v>141</v>
      </c>
      <c r="P5494" s="99">
        <v>8478</v>
      </c>
      <c r="Q5494" s="19">
        <f>3090+3072</f>
        <v>6162</v>
      </c>
      <c r="S5494" s="91">
        <v>1010</v>
      </c>
      <c r="T5494" s="19" t="s">
        <v>42</v>
      </c>
      <c r="U5494" s="102" t="s">
        <v>1421</v>
      </c>
      <c r="V5494" s="186">
        <v>45382</v>
      </c>
      <c r="W5494" s="17" t="s">
        <v>44</v>
      </c>
      <c r="Y5494" s="68">
        <v>45383</v>
      </c>
      <c r="Z5494" s="17" t="s">
        <v>191</v>
      </c>
      <c r="AA5494" s="17" t="s">
        <v>46</v>
      </c>
      <c r="AB5494" s="17" t="s">
        <v>1341</v>
      </c>
      <c r="AC5494" s="217">
        <v>45400</v>
      </c>
      <c r="AD5494" s="65">
        <v>1562</v>
      </c>
      <c r="AE5494" s="17" t="s">
        <v>48</v>
      </c>
    </row>
    <row r="5495" s="17" customFormat="1" hidden="1" spans="1:32">
      <c r="A5495" s="17" t="s">
        <v>34</v>
      </c>
      <c r="B5495" s="19">
        <v>995</v>
      </c>
      <c r="C5495" s="183">
        <v>45372</v>
      </c>
      <c r="D5495" s="17" t="s">
        <v>52</v>
      </c>
      <c r="E5495" s="17" t="s">
        <v>1113</v>
      </c>
      <c r="F5495" s="17" t="s">
        <v>54</v>
      </c>
      <c r="H5495" s="141" t="s">
        <v>1114</v>
      </c>
      <c r="I5495" s="141"/>
      <c r="J5495" s="17" t="s">
        <v>49</v>
      </c>
      <c r="K5495" s="19">
        <v>2200</v>
      </c>
      <c r="L5495" s="19">
        <v>40</v>
      </c>
      <c r="M5495" s="19">
        <v>5000</v>
      </c>
      <c r="N5495" s="19" t="s">
        <v>66</v>
      </c>
      <c r="O5495" s="19" t="s">
        <v>141</v>
      </c>
      <c r="P5495" s="99"/>
      <c r="Q5495" s="146">
        <v>3070</v>
      </c>
      <c r="R5495" s="99">
        <f>+P5494-Q5494-Q5495</f>
        <v>-754</v>
      </c>
      <c r="S5495" s="91">
        <f>1010+80</f>
        <v>1090</v>
      </c>
      <c r="T5495" s="19" t="s">
        <v>42</v>
      </c>
      <c r="U5495" s="102" t="s">
        <v>1421</v>
      </c>
      <c r="V5495" s="186">
        <v>45382</v>
      </c>
      <c r="W5495" s="17" t="s">
        <v>69</v>
      </c>
      <c r="Y5495" s="68">
        <v>45383</v>
      </c>
      <c r="Z5495" s="17" t="s">
        <v>191</v>
      </c>
      <c r="AA5495" s="17" t="s">
        <v>46</v>
      </c>
      <c r="AB5495" s="17" t="s">
        <v>1340</v>
      </c>
      <c r="AC5495" s="217">
        <v>45498</v>
      </c>
      <c r="AD5495" s="65">
        <v>1603</v>
      </c>
      <c r="AE5495" s="17" t="s">
        <v>48</v>
      </c>
    </row>
    <row r="5496" s="17" customFormat="1" hidden="1" spans="1:32">
      <c r="B5496" s="19">
        <v>995</v>
      </c>
      <c r="C5496" s="183">
        <v>45372</v>
      </c>
      <c r="D5496" s="17" t="s">
        <v>52</v>
      </c>
      <c r="E5496" s="17" t="s">
        <v>1113</v>
      </c>
      <c r="F5496" s="17" t="s">
        <v>54</v>
      </c>
      <c r="H5496" s="141" t="s">
        <v>1114</v>
      </c>
      <c r="I5496" s="141"/>
      <c r="J5496" s="17" t="s">
        <v>49</v>
      </c>
      <c r="K5496" s="19">
        <v>2200</v>
      </c>
      <c r="L5496" s="19">
        <v>56</v>
      </c>
      <c r="M5496" s="19">
        <v>5000</v>
      </c>
      <c r="N5496" s="19" t="s">
        <v>66</v>
      </c>
      <c r="O5496" s="19" t="s">
        <v>141</v>
      </c>
      <c r="P5496" s="99">
        <v>3956</v>
      </c>
      <c r="Q5496" s="19">
        <v>0</v>
      </c>
      <c r="R5496" s="19">
        <v>0</v>
      </c>
      <c r="S5496" s="91">
        <v>1010</v>
      </c>
      <c r="T5496" s="19" t="s">
        <v>42</v>
      </c>
      <c r="U5496" s="102" t="s">
        <v>1421</v>
      </c>
      <c r="V5496" s="186">
        <v>45382</v>
      </c>
      <c r="W5496" s="17" t="s">
        <v>44</v>
      </c>
      <c r="Y5496" s="68">
        <v>45383</v>
      </c>
      <c r="Z5496" s="17" t="s">
        <v>191</v>
      </c>
      <c r="AA5496" s="17" t="s">
        <v>46</v>
      </c>
      <c r="AC5496" s="102"/>
      <c r="AD5496" s="65"/>
      <c r="AE5496" s="17" t="s">
        <v>48</v>
      </c>
      <c r="AF5496" s="17" t="s">
        <v>1422</v>
      </c>
    </row>
    <row r="5497" s="17" customFormat="1" hidden="1" spans="1:32">
      <c r="B5497" s="19">
        <v>995</v>
      </c>
      <c r="C5497" s="183">
        <v>45372</v>
      </c>
      <c r="D5497" s="17" t="s">
        <v>52</v>
      </c>
      <c r="E5497" s="17" t="s">
        <v>1113</v>
      </c>
      <c r="F5497" s="17" t="s">
        <v>54</v>
      </c>
      <c r="H5497" s="141" t="s">
        <v>1114</v>
      </c>
      <c r="I5497" s="141"/>
      <c r="J5497" s="17" t="s">
        <v>49</v>
      </c>
      <c r="K5497" s="19">
        <v>205</v>
      </c>
      <c r="L5497" s="19">
        <v>25</v>
      </c>
      <c r="M5497" s="19">
        <v>2300</v>
      </c>
      <c r="N5497" s="19" t="s">
        <v>66</v>
      </c>
      <c r="O5497" s="19" t="s">
        <v>141</v>
      </c>
      <c r="P5497" s="99">
        <v>362</v>
      </c>
      <c r="Q5497" s="19">
        <v>0</v>
      </c>
      <c r="R5497" s="19">
        <v>0</v>
      </c>
      <c r="S5497" s="91">
        <v>1030</v>
      </c>
      <c r="T5497" s="19" t="s">
        <v>42</v>
      </c>
      <c r="U5497" s="102" t="s">
        <v>1421</v>
      </c>
      <c r="V5497" s="186">
        <v>45382</v>
      </c>
      <c r="W5497" s="17" t="s">
        <v>44</v>
      </c>
      <c r="Y5497" s="68">
        <v>45383</v>
      </c>
      <c r="Z5497" s="17" t="s">
        <v>191</v>
      </c>
      <c r="AA5497" s="17" t="s">
        <v>46</v>
      </c>
      <c r="AC5497" s="102"/>
      <c r="AD5497" s="65"/>
      <c r="AF5497" s="17" t="s">
        <v>1422</v>
      </c>
    </row>
    <row r="5498" s="17" customFormat="1" hidden="1" spans="1:32">
      <c r="B5498" s="19">
        <v>995</v>
      </c>
      <c r="C5498" s="183">
        <v>45372</v>
      </c>
      <c r="D5498" s="17" t="s">
        <v>52</v>
      </c>
      <c r="E5498" s="17" t="s">
        <v>1113</v>
      </c>
      <c r="F5498" s="17" t="s">
        <v>54</v>
      </c>
      <c r="H5498" s="141" t="s">
        <v>1114</v>
      </c>
      <c r="I5498" s="141"/>
      <c r="J5498" s="17" t="s">
        <v>49</v>
      </c>
      <c r="K5498" s="19">
        <v>255</v>
      </c>
      <c r="L5498" s="19">
        <v>25</v>
      </c>
      <c r="M5498" s="19">
        <v>2300</v>
      </c>
      <c r="N5498" s="19" t="s">
        <v>66</v>
      </c>
      <c r="O5498" s="19" t="s">
        <v>141</v>
      </c>
      <c r="P5498" s="99">
        <v>225</v>
      </c>
      <c r="Q5498" s="19">
        <v>0</v>
      </c>
      <c r="R5498" s="19">
        <v>0</v>
      </c>
      <c r="S5498" s="91">
        <v>1030</v>
      </c>
      <c r="T5498" s="19" t="s">
        <v>42</v>
      </c>
      <c r="U5498" s="102" t="s">
        <v>1421</v>
      </c>
      <c r="V5498" s="186">
        <v>45382</v>
      </c>
      <c r="W5498" s="17" t="s">
        <v>44</v>
      </c>
      <c r="Y5498" s="68">
        <v>45383</v>
      </c>
      <c r="Z5498" s="17" t="s">
        <v>191</v>
      </c>
      <c r="AA5498" s="17" t="s">
        <v>46</v>
      </c>
      <c r="AC5498" s="102"/>
      <c r="AD5498" s="65"/>
      <c r="AF5498" s="17" t="s">
        <v>1422</v>
      </c>
    </row>
    <row r="5499" s="17" customFormat="1" hidden="1" spans="1:32">
      <c r="B5499" s="19">
        <v>995</v>
      </c>
      <c r="C5499" s="183">
        <v>45372</v>
      </c>
      <c r="D5499" s="17" t="s">
        <v>52</v>
      </c>
      <c r="E5499" s="17" t="s">
        <v>1113</v>
      </c>
      <c r="F5499" s="17" t="s">
        <v>54</v>
      </c>
      <c r="H5499" s="141" t="s">
        <v>1114</v>
      </c>
      <c r="I5499" s="141"/>
      <c r="J5499" s="17" t="s">
        <v>49</v>
      </c>
      <c r="K5499" s="19">
        <v>455</v>
      </c>
      <c r="L5499" s="19">
        <v>25</v>
      </c>
      <c r="M5499" s="19">
        <v>2300</v>
      </c>
      <c r="N5499" s="19" t="s">
        <v>66</v>
      </c>
      <c r="O5499" s="19" t="s">
        <v>141</v>
      </c>
      <c r="P5499" s="99">
        <v>402</v>
      </c>
      <c r="Q5499" s="19">
        <v>0</v>
      </c>
      <c r="R5499" s="19">
        <v>0</v>
      </c>
      <c r="S5499" s="91">
        <v>1030</v>
      </c>
      <c r="T5499" s="19" t="s">
        <v>42</v>
      </c>
      <c r="U5499" s="102" t="s">
        <v>1421</v>
      </c>
      <c r="V5499" s="186">
        <v>45382</v>
      </c>
      <c r="W5499" s="17" t="s">
        <v>44</v>
      </c>
      <c r="Y5499" s="68">
        <v>45383</v>
      </c>
      <c r="Z5499" s="17" t="s">
        <v>191</v>
      </c>
      <c r="AA5499" s="17" t="s">
        <v>46</v>
      </c>
      <c r="AC5499" s="102"/>
      <c r="AD5499" s="65"/>
      <c r="AF5499" s="17" t="s">
        <v>1422</v>
      </c>
    </row>
    <row r="5500" s="17" customFormat="1" hidden="1" spans="1:32">
      <c r="A5500" s="17" t="s">
        <v>34</v>
      </c>
      <c r="B5500" s="19">
        <v>995</v>
      </c>
      <c r="C5500" s="183">
        <v>45372</v>
      </c>
      <c r="D5500" s="17" t="s">
        <v>52</v>
      </c>
      <c r="E5500" s="17" t="s">
        <v>1113</v>
      </c>
      <c r="F5500" s="17" t="s">
        <v>54</v>
      </c>
      <c r="H5500" s="141" t="s">
        <v>1114</v>
      </c>
      <c r="I5500" s="141"/>
      <c r="J5500" s="17" t="s">
        <v>82</v>
      </c>
      <c r="K5500" s="19">
        <v>505</v>
      </c>
      <c r="L5500" s="19">
        <v>25</v>
      </c>
      <c r="M5500" s="19">
        <v>2300</v>
      </c>
      <c r="N5500" s="19" t="s">
        <v>66</v>
      </c>
      <c r="O5500" s="19" t="s">
        <v>141</v>
      </c>
      <c r="P5500" s="99">
        <v>446</v>
      </c>
      <c r="Q5500" s="19">
        <v>232</v>
      </c>
      <c r="R5500" s="19">
        <f>+P5500-Q5500</f>
        <v>214</v>
      </c>
      <c r="S5500" s="91">
        <v>1030</v>
      </c>
      <c r="T5500" s="19" t="s">
        <v>42</v>
      </c>
      <c r="U5500" s="102" t="s">
        <v>1421</v>
      </c>
      <c r="V5500" s="186">
        <v>45382</v>
      </c>
      <c r="W5500" s="17" t="s">
        <v>44</v>
      </c>
      <c r="Y5500" s="68">
        <v>45383</v>
      </c>
      <c r="Z5500" s="17" t="s">
        <v>191</v>
      </c>
      <c r="AA5500" s="17" t="s">
        <v>46</v>
      </c>
      <c r="AB5500" s="17" t="s">
        <v>1342</v>
      </c>
      <c r="AC5500" s="217">
        <v>45394</v>
      </c>
      <c r="AD5500" s="65">
        <v>1555</v>
      </c>
      <c r="AE5500" s="17" t="s">
        <v>48</v>
      </c>
    </row>
    <row r="5501" s="17" customFormat="1" hidden="1" spans="1:32">
      <c r="B5501" s="19">
        <v>995</v>
      </c>
      <c r="C5501" s="183">
        <v>45372</v>
      </c>
      <c r="D5501" s="17" t="s">
        <v>52</v>
      </c>
      <c r="E5501" s="17" t="s">
        <v>1113</v>
      </c>
      <c r="F5501" s="17" t="s">
        <v>54</v>
      </c>
      <c r="H5501" s="141" t="s">
        <v>1114</v>
      </c>
      <c r="I5501" s="141"/>
      <c r="J5501" s="17" t="s">
        <v>49</v>
      </c>
      <c r="K5501" s="19">
        <v>505</v>
      </c>
      <c r="L5501" s="19">
        <v>25</v>
      </c>
      <c r="M5501" s="19">
        <v>2300</v>
      </c>
      <c r="N5501" s="19" t="s">
        <v>66</v>
      </c>
      <c r="O5501" s="19" t="s">
        <v>141</v>
      </c>
      <c r="P5501" s="99">
        <v>223</v>
      </c>
      <c r="Q5501" s="19">
        <v>0</v>
      </c>
      <c r="R5501" s="19">
        <v>0</v>
      </c>
      <c r="S5501" s="91">
        <v>1030</v>
      </c>
      <c r="T5501" s="19" t="s">
        <v>42</v>
      </c>
      <c r="U5501" s="102" t="s">
        <v>1421</v>
      </c>
      <c r="V5501" s="186">
        <v>45382</v>
      </c>
      <c r="W5501" s="17" t="s">
        <v>44</v>
      </c>
      <c r="Y5501" s="68">
        <v>45383</v>
      </c>
      <c r="Z5501" s="17" t="s">
        <v>191</v>
      </c>
      <c r="AA5501" s="17" t="s">
        <v>46</v>
      </c>
      <c r="AC5501" s="102"/>
      <c r="AD5501" s="65"/>
      <c r="AE5501" s="17" t="s">
        <v>48</v>
      </c>
      <c r="AF5501" s="17" t="s">
        <v>1349</v>
      </c>
    </row>
    <row r="5502" s="17" customFormat="1" hidden="1" spans="1:32">
      <c r="A5502" s="17" t="s">
        <v>34</v>
      </c>
      <c r="B5502" s="19">
        <v>995</v>
      </c>
      <c r="C5502" s="183">
        <v>45372</v>
      </c>
      <c r="D5502" s="17" t="s">
        <v>52</v>
      </c>
      <c r="E5502" s="17" t="s">
        <v>1113</v>
      </c>
      <c r="F5502" s="17" t="s">
        <v>54</v>
      </c>
      <c r="H5502" s="141" t="s">
        <v>1114</v>
      </c>
      <c r="I5502" s="141"/>
      <c r="J5502" s="17" t="s">
        <v>82</v>
      </c>
      <c r="K5502" s="19">
        <v>405</v>
      </c>
      <c r="L5502" s="19">
        <v>32</v>
      </c>
      <c r="M5502" s="19">
        <v>2300</v>
      </c>
      <c r="N5502" s="19" t="s">
        <v>66</v>
      </c>
      <c r="O5502" s="19" t="s">
        <v>141</v>
      </c>
      <c r="P5502" s="99">
        <v>229</v>
      </c>
      <c r="Q5502" s="19">
        <v>234</v>
      </c>
      <c r="R5502" s="19">
        <f>+P5502-Q5502</f>
        <v>-5</v>
      </c>
      <c r="S5502" s="91">
        <f>1030+80-20</f>
        <v>1090</v>
      </c>
      <c r="T5502" s="19" t="s">
        <v>42</v>
      </c>
      <c r="U5502" s="102" t="s">
        <v>1421</v>
      </c>
      <c r="V5502" s="186">
        <v>45382</v>
      </c>
      <c r="W5502" s="17" t="s">
        <v>69</v>
      </c>
      <c r="Y5502" s="68">
        <v>45383</v>
      </c>
      <c r="Z5502" s="17" t="s">
        <v>191</v>
      </c>
      <c r="AA5502" s="17" t="s">
        <v>46</v>
      </c>
      <c r="AB5502" s="17" t="s">
        <v>1336</v>
      </c>
      <c r="AC5502" s="66">
        <v>45435</v>
      </c>
      <c r="AD5502" s="65">
        <v>1577</v>
      </c>
      <c r="AE5502" s="17" t="s">
        <v>48</v>
      </c>
    </row>
    <row r="5503" s="17" customFormat="1" hidden="1" spans="1:32">
      <c r="A5503" s="17" t="s">
        <v>34</v>
      </c>
      <c r="B5503" s="19">
        <v>995</v>
      </c>
      <c r="C5503" s="183">
        <v>45372</v>
      </c>
      <c r="D5503" s="17" t="s">
        <v>52</v>
      </c>
      <c r="E5503" s="17" t="s">
        <v>1113</v>
      </c>
      <c r="F5503" s="17" t="s">
        <v>54</v>
      </c>
      <c r="H5503" s="141" t="s">
        <v>1114</v>
      </c>
      <c r="I5503" s="141"/>
      <c r="J5503" s="17" t="s">
        <v>82</v>
      </c>
      <c r="K5503" s="19">
        <v>205</v>
      </c>
      <c r="L5503" s="19">
        <v>35</v>
      </c>
      <c r="M5503" s="19">
        <v>2300</v>
      </c>
      <c r="N5503" s="19" t="s">
        <v>66</v>
      </c>
      <c r="O5503" s="19" t="s">
        <v>141</v>
      </c>
      <c r="P5503" s="99">
        <v>253</v>
      </c>
      <c r="Q5503" s="17">
        <v>270</v>
      </c>
      <c r="R5503" s="99">
        <f>+P5503-Q5503</f>
        <v>-17</v>
      </c>
      <c r="S5503" s="91">
        <v>1030</v>
      </c>
      <c r="T5503" s="19" t="s">
        <v>42</v>
      </c>
      <c r="U5503" s="102" t="s">
        <v>1421</v>
      </c>
      <c r="V5503" s="186">
        <v>45382</v>
      </c>
      <c r="W5503" s="17" t="s">
        <v>44</v>
      </c>
      <c r="Y5503" s="68">
        <v>45383</v>
      </c>
      <c r="Z5503" s="17" t="s">
        <v>191</v>
      </c>
      <c r="AA5503" s="17" t="s">
        <v>46</v>
      </c>
      <c r="AB5503" s="17" t="s">
        <v>1245</v>
      </c>
      <c r="AC5503" s="66">
        <v>45379</v>
      </c>
      <c r="AD5503" s="65">
        <v>1546</v>
      </c>
      <c r="AE5503" s="17" t="s">
        <v>48</v>
      </c>
    </row>
    <row r="5504" s="17" customFormat="1" hidden="1" spans="1:32">
      <c r="A5504" s="17" t="s">
        <v>34</v>
      </c>
      <c r="B5504" s="19">
        <v>995</v>
      </c>
      <c r="C5504" s="183">
        <v>45372</v>
      </c>
      <c r="D5504" s="17" t="s">
        <v>52</v>
      </c>
      <c r="E5504" s="17" t="s">
        <v>1113</v>
      </c>
      <c r="F5504" s="17" t="s">
        <v>54</v>
      </c>
      <c r="H5504" s="141" t="s">
        <v>1114</v>
      </c>
      <c r="I5504" s="141"/>
      <c r="J5504" s="17" t="s">
        <v>82</v>
      </c>
      <c r="K5504" s="19">
        <v>205</v>
      </c>
      <c r="L5504" s="19">
        <v>35</v>
      </c>
      <c r="M5504" s="19">
        <v>2300</v>
      </c>
      <c r="N5504" s="19" t="s">
        <v>66</v>
      </c>
      <c r="O5504" s="19" t="s">
        <v>141</v>
      </c>
      <c r="P5504" s="99">
        <v>127</v>
      </c>
      <c r="Q5504" s="19">
        <v>137</v>
      </c>
      <c r="R5504" s="99">
        <f>+P5504-Q5504</f>
        <v>-10</v>
      </c>
      <c r="S5504" s="91">
        <v>1030</v>
      </c>
      <c r="T5504" s="19" t="s">
        <v>42</v>
      </c>
      <c r="U5504" s="102" t="s">
        <v>1421</v>
      </c>
      <c r="V5504" s="186">
        <v>45382</v>
      </c>
      <c r="W5504" s="17" t="s">
        <v>44</v>
      </c>
      <c r="Y5504" s="68">
        <v>45383</v>
      </c>
      <c r="Z5504" s="17" t="s">
        <v>191</v>
      </c>
      <c r="AA5504" s="17" t="s">
        <v>46</v>
      </c>
      <c r="AB5504" s="17" t="s">
        <v>1342</v>
      </c>
      <c r="AC5504" s="217">
        <v>45394</v>
      </c>
      <c r="AD5504" s="65">
        <v>1555</v>
      </c>
      <c r="AE5504" s="17" t="s">
        <v>48</v>
      </c>
    </row>
    <row r="5505" s="17" customFormat="1" hidden="1" spans="1:32">
      <c r="A5505" s="17" t="s">
        <v>34</v>
      </c>
      <c r="B5505" s="19">
        <v>995</v>
      </c>
      <c r="C5505" s="183">
        <v>45372</v>
      </c>
      <c r="D5505" s="17" t="s">
        <v>52</v>
      </c>
      <c r="E5505" s="17" t="s">
        <v>1113</v>
      </c>
      <c r="F5505" s="17" t="s">
        <v>54</v>
      </c>
      <c r="H5505" s="141" t="s">
        <v>1114</v>
      </c>
      <c r="I5505" s="141"/>
      <c r="J5505" s="17" t="s">
        <v>82</v>
      </c>
      <c r="K5505" s="19">
        <v>305</v>
      </c>
      <c r="L5505" s="19">
        <v>35</v>
      </c>
      <c r="M5505" s="19">
        <v>2300</v>
      </c>
      <c r="N5505" s="19" t="s">
        <v>66</v>
      </c>
      <c r="O5505" s="19" t="s">
        <v>141</v>
      </c>
      <c r="P5505" s="99">
        <v>754</v>
      </c>
      <c r="Q5505" s="19">
        <v>413</v>
      </c>
      <c r="R5505" s="19">
        <f>+P5505-Q5505</f>
        <v>341</v>
      </c>
      <c r="S5505" s="322">
        <f>1030+80-20</f>
        <v>1090</v>
      </c>
      <c r="T5505" s="19" t="s">
        <v>42</v>
      </c>
      <c r="U5505" s="102" t="s">
        <v>1421</v>
      </c>
      <c r="V5505" s="186">
        <v>45382</v>
      </c>
      <c r="W5505" s="17" t="s">
        <v>69</v>
      </c>
      <c r="Y5505" s="68">
        <v>45383</v>
      </c>
      <c r="Z5505" s="17" t="s">
        <v>191</v>
      </c>
      <c r="AA5505" s="17" t="s">
        <v>46</v>
      </c>
      <c r="AB5505" s="17" t="s">
        <v>1343</v>
      </c>
      <c r="AC5505" s="217">
        <v>45433</v>
      </c>
      <c r="AD5505" s="65">
        <v>1575</v>
      </c>
      <c r="AE5505" s="17" t="s">
        <v>48</v>
      </c>
    </row>
    <row r="5506" s="17" customFormat="1" hidden="1" spans="1:32">
      <c r="A5506" s="17" t="s">
        <v>34</v>
      </c>
      <c r="B5506" s="19">
        <v>995</v>
      </c>
      <c r="C5506" s="183">
        <v>45372</v>
      </c>
      <c r="D5506" s="17" t="s">
        <v>52</v>
      </c>
      <c r="E5506" s="17" t="s">
        <v>1113</v>
      </c>
      <c r="F5506" s="17" t="s">
        <v>54</v>
      </c>
      <c r="H5506" s="141" t="s">
        <v>1114</v>
      </c>
      <c r="I5506" s="141"/>
      <c r="J5506" s="17" t="s">
        <v>82</v>
      </c>
      <c r="K5506" s="19">
        <v>355</v>
      </c>
      <c r="L5506" s="19">
        <v>35</v>
      </c>
      <c r="M5506" s="19">
        <v>2300</v>
      </c>
      <c r="N5506" s="19" t="s">
        <v>66</v>
      </c>
      <c r="O5506" s="19" t="s">
        <v>141</v>
      </c>
      <c r="P5506" s="99">
        <v>439</v>
      </c>
      <c r="Q5506" s="19">
        <v>0</v>
      </c>
      <c r="R5506" s="19">
        <v>0</v>
      </c>
      <c r="S5506" s="91">
        <v>1030</v>
      </c>
      <c r="T5506" s="19" t="s">
        <v>42</v>
      </c>
      <c r="U5506" s="102" t="s">
        <v>1421</v>
      </c>
      <c r="V5506" s="186">
        <v>45382</v>
      </c>
      <c r="W5506" s="17" t="s">
        <v>44</v>
      </c>
      <c r="Y5506" s="68">
        <v>45383</v>
      </c>
      <c r="Z5506" s="17" t="s">
        <v>191</v>
      </c>
      <c r="AA5506" s="17" t="s">
        <v>46</v>
      </c>
      <c r="AC5506" s="102"/>
      <c r="AD5506" s="65"/>
      <c r="AE5506" s="17" t="s">
        <v>48</v>
      </c>
      <c r="AF5506" s="17" t="s">
        <v>1347</v>
      </c>
    </row>
    <row r="5507" s="17" customFormat="1" hidden="1" spans="1:32">
      <c r="A5507" s="17" t="s">
        <v>34</v>
      </c>
      <c r="B5507" s="19">
        <v>995</v>
      </c>
      <c r="C5507" s="183">
        <v>45372</v>
      </c>
      <c r="D5507" s="17" t="s">
        <v>52</v>
      </c>
      <c r="E5507" s="17" t="s">
        <v>1113</v>
      </c>
      <c r="F5507" s="17" t="s">
        <v>54</v>
      </c>
      <c r="H5507" s="141" t="s">
        <v>1114</v>
      </c>
      <c r="I5507" s="141"/>
      <c r="J5507" s="17" t="s">
        <v>82</v>
      </c>
      <c r="K5507" s="19">
        <v>205</v>
      </c>
      <c r="L5507" s="19">
        <v>40</v>
      </c>
      <c r="M5507" s="19">
        <v>2300</v>
      </c>
      <c r="N5507" s="19" t="s">
        <v>66</v>
      </c>
      <c r="O5507" s="19" t="s">
        <v>141</v>
      </c>
      <c r="P5507" s="99">
        <v>579</v>
      </c>
      <c r="Q5507" s="17">
        <v>0</v>
      </c>
      <c r="R5507" s="99">
        <v>0</v>
      </c>
      <c r="S5507" s="91">
        <v>1030</v>
      </c>
      <c r="T5507" s="19" t="s">
        <v>42</v>
      </c>
      <c r="U5507" s="102" t="s">
        <v>1421</v>
      </c>
      <c r="V5507" s="186">
        <v>45382</v>
      </c>
      <c r="W5507" s="17" t="s">
        <v>44</v>
      </c>
      <c r="Y5507" s="68">
        <v>45383</v>
      </c>
      <c r="Z5507" s="17" t="s">
        <v>191</v>
      </c>
      <c r="AA5507" s="17" t="s">
        <v>46</v>
      </c>
      <c r="AE5507" s="17" t="s">
        <v>48</v>
      </c>
      <c r="AF5507" s="17" t="s">
        <v>1423</v>
      </c>
    </row>
    <row r="5508" s="17" customFormat="1" hidden="1" spans="1:32">
      <c r="A5508" s="17" t="s">
        <v>34</v>
      </c>
      <c r="B5508" s="19">
        <v>995</v>
      </c>
      <c r="C5508" s="183">
        <v>45372</v>
      </c>
      <c r="D5508" s="17" t="s">
        <v>52</v>
      </c>
      <c r="E5508" s="17" t="s">
        <v>1113</v>
      </c>
      <c r="F5508" s="17" t="s">
        <v>54</v>
      </c>
      <c r="H5508" s="141" t="s">
        <v>1114</v>
      </c>
      <c r="I5508" s="141"/>
      <c r="J5508" s="17" t="s">
        <v>82</v>
      </c>
      <c r="K5508" s="19">
        <v>255</v>
      </c>
      <c r="L5508" s="19">
        <v>40</v>
      </c>
      <c r="M5508" s="19">
        <v>2300</v>
      </c>
      <c r="N5508" s="19" t="s">
        <v>66</v>
      </c>
      <c r="O5508" s="19" t="s">
        <v>141</v>
      </c>
      <c r="P5508" s="99">
        <v>1621</v>
      </c>
      <c r="Q5508" s="19">
        <v>187</v>
      </c>
      <c r="S5508" s="91">
        <v>1030</v>
      </c>
      <c r="T5508" s="19" t="s">
        <v>42</v>
      </c>
      <c r="U5508" s="102" t="s">
        <v>1421</v>
      </c>
      <c r="V5508" s="186">
        <v>45382</v>
      </c>
      <c r="W5508" s="17" t="s">
        <v>44</v>
      </c>
      <c r="Y5508" s="68">
        <v>45383</v>
      </c>
      <c r="Z5508" s="17" t="s">
        <v>191</v>
      </c>
      <c r="AA5508" s="17" t="s">
        <v>46</v>
      </c>
      <c r="AB5508" s="17" t="s">
        <v>1342</v>
      </c>
      <c r="AC5508" s="217">
        <v>45394</v>
      </c>
      <c r="AD5508" s="65">
        <v>1555</v>
      </c>
      <c r="AE5508" s="17" t="s">
        <v>48</v>
      </c>
    </row>
    <row r="5509" s="17" customFormat="1" hidden="1" spans="1:32">
      <c r="A5509" s="17" t="s">
        <v>34</v>
      </c>
      <c r="B5509" s="19">
        <v>995</v>
      </c>
      <c r="C5509" s="183">
        <v>45372</v>
      </c>
      <c r="D5509" s="17" t="s">
        <v>52</v>
      </c>
      <c r="E5509" s="17" t="s">
        <v>1113</v>
      </c>
      <c r="F5509" s="17" t="s">
        <v>54</v>
      </c>
      <c r="H5509" s="141" t="s">
        <v>1114</v>
      </c>
      <c r="I5509" s="141"/>
      <c r="J5509" s="17" t="s">
        <v>82</v>
      </c>
      <c r="K5509" s="19">
        <v>255</v>
      </c>
      <c r="L5509" s="19">
        <v>40</v>
      </c>
      <c r="M5509" s="19">
        <v>2300</v>
      </c>
      <c r="N5509" s="19" t="s">
        <v>66</v>
      </c>
      <c r="O5509" s="19" t="s">
        <v>141</v>
      </c>
      <c r="P5509" s="99"/>
      <c r="Q5509" s="19">
        <f>564+368+190</f>
        <v>1122</v>
      </c>
      <c r="R5509" s="99">
        <f>+P5508-Q5508-Q5509</f>
        <v>312</v>
      </c>
      <c r="S5509" s="91">
        <v>1030</v>
      </c>
      <c r="T5509" s="19" t="s">
        <v>42</v>
      </c>
      <c r="U5509" s="102" t="s">
        <v>1421</v>
      </c>
      <c r="V5509" s="186">
        <v>45382</v>
      </c>
      <c r="W5509" s="17" t="s">
        <v>44</v>
      </c>
      <c r="Y5509" s="68">
        <v>45383</v>
      </c>
      <c r="Z5509" s="17" t="s">
        <v>191</v>
      </c>
      <c r="AA5509" s="17" t="s">
        <v>46</v>
      </c>
      <c r="AB5509" s="17" t="s">
        <v>1341</v>
      </c>
      <c r="AC5509" s="217">
        <v>45400</v>
      </c>
      <c r="AD5509" s="65">
        <v>1562</v>
      </c>
      <c r="AE5509" s="17" t="s">
        <v>48</v>
      </c>
    </row>
    <row r="5510" s="17" customFormat="1" hidden="1" spans="1:32">
      <c r="A5510" s="17" t="s">
        <v>34</v>
      </c>
      <c r="B5510" s="19">
        <v>995</v>
      </c>
      <c r="C5510" s="183">
        <v>45372</v>
      </c>
      <c r="D5510" s="17" t="s">
        <v>52</v>
      </c>
      <c r="E5510" s="17" t="s">
        <v>1113</v>
      </c>
      <c r="F5510" s="17" t="s">
        <v>54</v>
      </c>
      <c r="H5510" s="141" t="s">
        <v>1114</v>
      </c>
      <c r="I5510" s="141"/>
      <c r="J5510" s="17" t="s">
        <v>82</v>
      </c>
      <c r="K5510" s="19">
        <v>230</v>
      </c>
      <c r="L5510" s="19">
        <v>40</v>
      </c>
      <c r="M5510" s="19">
        <v>2300</v>
      </c>
      <c r="N5510" s="19" t="s">
        <v>66</v>
      </c>
      <c r="O5510" s="19" t="s">
        <v>141</v>
      </c>
      <c r="P5510" s="99">
        <v>162</v>
      </c>
      <c r="Q5510" s="19">
        <v>169</v>
      </c>
      <c r="R5510" s="19">
        <f>+P5510-Q5510</f>
        <v>-7</v>
      </c>
      <c r="S5510" s="91">
        <v>1030</v>
      </c>
      <c r="T5510" s="19" t="s">
        <v>42</v>
      </c>
      <c r="U5510" s="102" t="s">
        <v>1421</v>
      </c>
      <c r="V5510" s="186">
        <v>45382</v>
      </c>
      <c r="W5510" s="17" t="s">
        <v>44</v>
      </c>
      <c r="Y5510" s="68">
        <v>45383</v>
      </c>
      <c r="Z5510" s="17" t="s">
        <v>191</v>
      </c>
      <c r="AA5510" s="17" t="s">
        <v>46</v>
      </c>
      <c r="AB5510" s="17" t="s">
        <v>1337</v>
      </c>
      <c r="AC5510" s="217">
        <v>45400</v>
      </c>
      <c r="AD5510" s="65">
        <v>1563</v>
      </c>
      <c r="AE5510" s="17" t="s">
        <v>74</v>
      </c>
    </row>
    <row r="5511" s="17" customFormat="1" hidden="1" spans="1:32">
      <c r="A5511" s="17" t="s">
        <v>34</v>
      </c>
      <c r="B5511" s="19">
        <v>995</v>
      </c>
      <c r="C5511" s="183">
        <v>45372</v>
      </c>
      <c r="D5511" s="17" t="s">
        <v>52</v>
      </c>
      <c r="E5511" s="17" t="s">
        <v>1113</v>
      </c>
      <c r="F5511" s="17" t="s">
        <v>54</v>
      </c>
      <c r="H5511" s="141" t="s">
        <v>1114</v>
      </c>
      <c r="I5511" s="141"/>
      <c r="J5511" s="17" t="s">
        <v>82</v>
      </c>
      <c r="K5511" s="19">
        <v>280</v>
      </c>
      <c r="L5511" s="19">
        <v>40</v>
      </c>
      <c r="M5511" s="19">
        <v>2300</v>
      </c>
      <c r="N5511" s="19" t="s">
        <v>66</v>
      </c>
      <c r="O5511" s="19" t="s">
        <v>141</v>
      </c>
      <c r="P5511" s="99">
        <v>198</v>
      </c>
      <c r="Q5511" s="19">
        <v>207</v>
      </c>
      <c r="R5511" s="19">
        <f>+P5511-Q5511</f>
        <v>-9</v>
      </c>
      <c r="S5511" s="91">
        <f>1030+60</f>
        <v>1090</v>
      </c>
      <c r="T5511" s="19" t="s">
        <v>42</v>
      </c>
      <c r="U5511" s="102" t="s">
        <v>1421</v>
      </c>
      <c r="V5511" s="186">
        <v>45382</v>
      </c>
      <c r="W5511" s="17" t="s">
        <v>69</v>
      </c>
      <c r="Y5511" s="68">
        <v>45383</v>
      </c>
      <c r="Z5511" s="17" t="s">
        <v>191</v>
      </c>
      <c r="AA5511" s="17" t="s">
        <v>46</v>
      </c>
      <c r="AB5511" s="17" t="s">
        <v>1339</v>
      </c>
      <c r="AC5511" s="217">
        <v>45433</v>
      </c>
      <c r="AD5511" s="65">
        <v>1570</v>
      </c>
      <c r="AE5511" s="17" t="s">
        <v>74</v>
      </c>
    </row>
    <row r="5512" s="17" customFormat="1" hidden="1" spans="1:32">
      <c r="B5512" s="19">
        <v>995</v>
      </c>
      <c r="C5512" s="183">
        <v>45372</v>
      </c>
      <c r="D5512" s="17" t="s">
        <v>52</v>
      </c>
      <c r="E5512" s="17" t="s">
        <v>1113</v>
      </c>
      <c r="F5512" s="17" t="s">
        <v>54</v>
      </c>
      <c r="H5512" s="141" t="s">
        <v>1114</v>
      </c>
      <c r="I5512" s="141"/>
      <c r="J5512" s="17" t="s">
        <v>82</v>
      </c>
      <c r="K5512" s="19">
        <v>205</v>
      </c>
      <c r="L5512" s="19">
        <v>50</v>
      </c>
      <c r="M5512" s="19">
        <v>2300</v>
      </c>
      <c r="N5512" s="19" t="s">
        <v>66</v>
      </c>
      <c r="O5512" s="19" t="s">
        <v>141</v>
      </c>
      <c r="P5512" s="99">
        <v>905</v>
      </c>
      <c r="Q5512" s="19">
        <v>0</v>
      </c>
      <c r="R5512" s="19">
        <v>0</v>
      </c>
      <c r="S5512" s="91">
        <v>1030</v>
      </c>
      <c r="T5512" s="19" t="s">
        <v>42</v>
      </c>
      <c r="U5512" s="102" t="s">
        <v>1421</v>
      </c>
      <c r="V5512" s="186">
        <v>45382</v>
      </c>
      <c r="W5512" s="17" t="s">
        <v>44</v>
      </c>
      <c r="Y5512" s="68">
        <v>45383</v>
      </c>
      <c r="Z5512" s="17" t="s">
        <v>191</v>
      </c>
      <c r="AA5512" s="17" t="s">
        <v>46</v>
      </c>
      <c r="AC5512" s="102"/>
      <c r="AD5512" s="65"/>
      <c r="AF5512" s="17" t="s">
        <v>1349</v>
      </c>
    </row>
    <row r="5513" s="17" customFormat="1" hidden="1" spans="1:32">
      <c r="A5513" s="17" t="s">
        <v>34</v>
      </c>
      <c r="B5513" s="19">
        <v>995</v>
      </c>
      <c r="C5513" s="183">
        <v>45372</v>
      </c>
      <c r="D5513" s="17" t="s">
        <v>52</v>
      </c>
      <c r="E5513" s="17" t="s">
        <v>1113</v>
      </c>
      <c r="F5513" s="17" t="s">
        <v>54</v>
      </c>
      <c r="H5513" s="141" t="s">
        <v>1114</v>
      </c>
      <c r="I5513" s="141"/>
      <c r="J5513" s="17" t="s">
        <v>82</v>
      </c>
      <c r="K5513" s="19">
        <v>230</v>
      </c>
      <c r="L5513" s="19">
        <v>50</v>
      </c>
      <c r="M5513" s="19">
        <v>2300</v>
      </c>
      <c r="N5513" s="19" t="s">
        <v>66</v>
      </c>
      <c r="O5513" s="19" t="s">
        <v>141</v>
      </c>
      <c r="P5513" s="99">
        <v>203</v>
      </c>
      <c r="Q5513" s="19">
        <v>211</v>
      </c>
      <c r="R5513" s="19">
        <f>+P5513-Q5513</f>
        <v>-8</v>
      </c>
      <c r="S5513" s="91">
        <v>1030</v>
      </c>
      <c r="T5513" s="19" t="s">
        <v>42</v>
      </c>
      <c r="U5513" s="102" t="s">
        <v>1421</v>
      </c>
      <c r="V5513" s="186">
        <v>45382</v>
      </c>
      <c r="W5513" s="17" t="s">
        <v>44</v>
      </c>
      <c r="Y5513" s="68">
        <v>45383</v>
      </c>
      <c r="Z5513" s="17" t="s">
        <v>191</v>
      </c>
      <c r="AA5513" s="17" t="s">
        <v>46</v>
      </c>
      <c r="AB5513" s="17" t="s">
        <v>1338</v>
      </c>
      <c r="AC5513" s="217">
        <v>45395</v>
      </c>
      <c r="AD5513" s="65">
        <v>1557</v>
      </c>
      <c r="AE5513" s="17" t="s">
        <v>48</v>
      </c>
    </row>
    <row r="5514" s="17" customFormat="1" hidden="1" spans="1:32">
      <c r="B5514" s="19">
        <v>995</v>
      </c>
      <c r="C5514" s="183">
        <v>45372</v>
      </c>
      <c r="D5514" s="17" t="s">
        <v>52</v>
      </c>
      <c r="E5514" s="17" t="s">
        <v>1113</v>
      </c>
      <c r="F5514" s="17" t="s">
        <v>54</v>
      </c>
      <c r="H5514" s="141" t="s">
        <v>1114</v>
      </c>
      <c r="I5514" s="141"/>
      <c r="J5514" s="17" t="s">
        <v>82</v>
      </c>
      <c r="K5514" s="19">
        <v>255</v>
      </c>
      <c r="L5514" s="19">
        <v>50</v>
      </c>
      <c r="M5514" s="19">
        <v>2300</v>
      </c>
      <c r="N5514" s="19" t="s">
        <v>66</v>
      </c>
      <c r="O5514" s="19" t="s">
        <v>141</v>
      </c>
      <c r="P5514" s="99">
        <v>676</v>
      </c>
      <c r="Q5514" s="19">
        <v>0</v>
      </c>
      <c r="R5514" s="19">
        <v>0</v>
      </c>
      <c r="S5514" s="91">
        <v>1030</v>
      </c>
      <c r="T5514" s="19" t="s">
        <v>42</v>
      </c>
      <c r="U5514" s="102" t="s">
        <v>1421</v>
      </c>
      <c r="V5514" s="186">
        <v>45382</v>
      </c>
      <c r="W5514" s="17" t="s">
        <v>44</v>
      </c>
      <c r="Y5514" s="68">
        <v>45383</v>
      </c>
      <c r="Z5514" s="17" t="s">
        <v>191</v>
      </c>
      <c r="AA5514" s="17" t="s">
        <v>46</v>
      </c>
      <c r="AC5514" s="102"/>
      <c r="AD5514" s="65"/>
      <c r="AE5514" s="17" t="s">
        <v>48</v>
      </c>
      <c r="AF5514" s="17" t="s">
        <v>1349</v>
      </c>
    </row>
    <row r="5515" s="17" customFormat="1" hidden="1" spans="1:32">
      <c r="B5515" s="19">
        <v>995</v>
      </c>
      <c r="C5515" s="183">
        <v>45372</v>
      </c>
      <c r="D5515" s="17" t="s">
        <v>52</v>
      </c>
      <c r="E5515" s="17" t="s">
        <v>1113</v>
      </c>
      <c r="F5515" s="17" t="s">
        <v>54</v>
      </c>
      <c r="H5515" s="141" t="s">
        <v>1114</v>
      </c>
      <c r="I5515" s="141"/>
      <c r="J5515" s="17" t="s">
        <v>82</v>
      </c>
      <c r="K5515" s="19">
        <v>255</v>
      </c>
      <c r="L5515" s="19">
        <v>50</v>
      </c>
      <c r="M5515" s="19">
        <v>2300</v>
      </c>
      <c r="N5515" s="19" t="s">
        <v>66</v>
      </c>
      <c r="O5515" s="19" t="s">
        <v>141</v>
      </c>
      <c r="P5515" s="99">
        <v>225</v>
      </c>
      <c r="Q5515" s="19">
        <v>0</v>
      </c>
      <c r="R5515" s="19">
        <v>0</v>
      </c>
      <c r="S5515" s="91">
        <v>1030</v>
      </c>
      <c r="T5515" s="19" t="s">
        <v>42</v>
      </c>
      <c r="U5515" s="102" t="s">
        <v>1421</v>
      </c>
      <c r="V5515" s="186">
        <v>45382</v>
      </c>
      <c r="W5515" s="17" t="s">
        <v>44</v>
      </c>
      <c r="Y5515" s="68">
        <v>45383</v>
      </c>
      <c r="Z5515" s="17" t="s">
        <v>191</v>
      </c>
      <c r="AA5515" s="17" t="s">
        <v>46</v>
      </c>
      <c r="AC5515" s="102"/>
      <c r="AD5515" s="65"/>
      <c r="AE5515" s="17" t="s">
        <v>48</v>
      </c>
      <c r="AF5515" s="17" t="s">
        <v>1349</v>
      </c>
    </row>
    <row r="5516" s="17" customFormat="1" hidden="1" spans="1:32">
      <c r="A5516" s="17" t="s">
        <v>34</v>
      </c>
      <c r="B5516" s="19">
        <v>995</v>
      </c>
      <c r="C5516" s="183">
        <v>45372</v>
      </c>
      <c r="D5516" s="17" t="s">
        <v>52</v>
      </c>
      <c r="E5516" s="17" t="s">
        <v>1113</v>
      </c>
      <c r="F5516" s="17" t="s">
        <v>54</v>
      </c>
      <c r="H5516" s="141" t="s">
        <v>1114</v>
      </c>
      <c r="I5516" s="141"/>
      <c r="J5516" s="17" t="s">
        <v>82</v>
      </c>
      <c r="K5516" s="19">
        <v>605</v>
      </c>
      <c r="L5516" s="19">
        <v>50</v>
      </c>
      <c r="M5516" s="19">
        <v>2300</v>
      </c>
      <c r="N5516" s="19" t="s">
        <v>66</v>
      </c>
      <c r="O5516" s="19" t="s">
        <v>141</v>
      </c>
      <c r="P5516" s="99">
        <v>1075</v>
      </c>
      <c r="Q5516" s="19">
        <v>542</v>
      </c>
      <c r="R5516" s="19">
        <f>+P5516-Q5516</f>
        <v>533</v>
      </c>
      <c r="S5516" s="91">
        <v>1030</v>
      </c>
      <c r="T5516" s="19" t="s">
        <v>42</v>
      </c>
      <c r="U5516" s="102" t="s">
        <v>1421</v>
      </c>
      <c r="V5516" s="186">
        <v>45382</v>
      </c>
      <c r="W5516" s="17" t="s">
        <v>44</v>
      </c>
      <c r="Y5516" s="68">
        <v>45383</v>
      </c>
      <c r="Z5516" s="17" t="s">
        <v>191</v>
      </c>
      <c r="AA5516" s="17" t="s">
        <v>46</v>
      </c>
      <c r="AB5516" s="17" t="s">
        <v>1338</v>
      </c>
      <c r="AC5516" s="217">
        <v>45395</v>
      </c>
      <c r="AD5516" s="65">
        <v>1557</v>
      </c>
      <c r="AE5516" s="17" t="s">
        <v>48</v>
      </c>
      <c r="AF5516" s="17" t="s">
        <v>1349</v>
      </c>
    </row>
    <row r="5517" s="17" customFormat="1" hidden="1" spans="1:32">
      <c r="B5517" s="19">
        <v>995</v>
      </c>
      <c r="C5517" s="183">
        <v>45372</v>
      </c>
      <c r="D5517" s="17" t="s">
        <v>52</v>
      </c>
      <c r="E5517" s="17" t="s">
        <v>1113</v>
      </c>
      <c r="F5517" s="17" t="s">
        <v>54</v>
      </c>
      <c r="H5517" s="141" t="s">
        <v>1114</v>
      </c>
      <c r="I5517" s="141"/>
      <c r="J5517" s="17" t="s">
        <v>82</v>
      </c>
      <c r="K5517" s="19">
        <v>205</v>
      </c>
      <c r="L5517" s="19">
        <v>40</v>
      </c>
      <c r="M5517" s="19">
        <v>2200</v>
      </c>
      <c r="N5517" s="19" t="s">
        <v>66</v>
      </c>
      <c r="O5517" s="19" t="s">
        <v>141</v>
      </c>
      <c r="P5517" s="99">
        <v>2897</v>
      </c>
      <c r="Q5517" s="19">
        <v>302</v>
      </c>
      <c r="R5517" s="99">
        <f>+P5517-Q5517</f>
        <v>2595</v>
      </c>
      <c r="S5517" s="91">
        <v>1030</v>
      </c>
      <c r="T5517" s="19" t="s">
        <v>42</v>
      </c>
      <c r="U5517" s="102" t="s">
        <v>1421</v>
      </c>
      <c r="V5517" s="186">
        <v>45382</v>
      </c>
      <c r="W5517" s="17" t="s">
        <v>44</v>
      </c>
      <c r="Y5517" s="68">
        <v>45383</v>
      </c>
      <c r="Z5517" s="17" t="s">
        <v>191</v>
      </c>
      <c r="AA5517" s="17" t="s">
        <v>46</v>
      </c>
      <c r="AB5517" s="17" t="s">
        <v>1342</v>
      </c>
      <c r="AC5517" s="217">
        <v>45394</v>
      </c>
      <c r="AD5517" s="65">
        <v>1555</v>
      </c>
      <c r="AE5517" s="17" t="s">
        <v>48</v>
      </c>
    </row>
    <row r="5518" s="17" customFormat="1" hidden="1" spans="1:32">
      <c r="B5518" s="19">
        <v>995</v>
      </c>
      <c r="C5518" s="183">
        <v>45372</v>
      </c>
      <c r="D5518" s="17" t="s">
        <v>52</v>
      </c>
      <c r="E5518" s="17" t="s">
        <v>1113</v>
      </c>
      <c r="F5518" s="17" t="s">
        <v>54</v>
      </c>
      <c r="H5518" s="141" t="s">
        <v>1114</v>
      </c>
      <c r="I5518" s="141"/>
      <c r="J5518" s="17" t="s">
        <v>82</v>
      </c>
      <c r="K5518" s="19">
        <v>255</v>
      </c>
      <c r="L5518" s="19">
        <v>40</v>
      </c>
      <c r="M5518" s="19">
        <v>2200</v>
      </c>
      <c r="N5518" s="19" t="s">
        <v>66</v>
      </c>
      <c r="O5518" s="19" t="s">
        <v>141</v>
      </c>
      <c r="P5518" s="99">
        <v>3243</v>
      </c>
      <c r="Q5518" s="19">
        <v>0</v>
      </c>
      <c r="R5518" s="19">
        <v>278</v>
      </c>
      <c r="S5518" s="91">
        <v>1030</v>
      </c>
      <c r="T5518" s="19" t="s">
        <v>42</v>
      </c>
      <c r="U5518" s="102" t="s">
        <v>1421</v>
      </c>
      <c r="V5518" s="186">
        <v>45382</v>
      </c>
      <c r="W5518" s="17" t="s">
        <v>44</v>
      </c>
      <c r="Y5518" s="68">
        <v>45383</v>
      </c>
      <c r="Z5518" s="17" t="s">
        <v>191</v>
      </c>
      <c r="AA5518" s="17" t="s">
        <v>46</v>
      </c>
      <c r="AC5518" s="102"/>
      <c r="AD5518" s="65"/>
      <c r="AE5518" s="17" t="s">
        <v>48</v>
      </c>
      <c r="AF5518" s="17" t="s">
        <v>1424</v>
      </c>
    </row>
    <row r="5519" s="17" customFormat="1" hidden="1" spans="1:32">
      <c r="A5519" s="17" t="s">
        <v>34</v>
      </c>
      <c r="B5519" s="19">
        <v>995</v>
      </c>
      <c r="C5519" s="183">
        <v>45372</v>
      </c>
      <c r="D5519" s="17" t="s">
        <v>52</v>
      </c>
      <c r="E5519" s="17" t="s">
        <v>1113</v>
      </c>
      <c r="F5519" s="17" t="s">
        <v>54</v>
      </c>
      <c r="H5519" s="141" t="s">
        <v>1114</v>
      </c>
      <c r="I5519" s="141"/>
      <c r="J5519" s="17" t="s">
        <v>82</v>
      </c>
      <c r="K5519" s="19">
        <v>1100</v>
      </c>
      <c r="L5519" s="19">
        <v>40</v>
      </c>
      <c r="M5519" s="19">
        <v>2200</v>
      </c>
      <c r="N5519" s="19" t="s">
        <v>66</v>
      </c>
      <c r="O5519" s="19" t="s">
        <v>141</v>
      </c>
      <c r="P5519" s="99">
        <v>3109</v>
      </c>
      <c r="Q5519" s="19">
        <v>3224</v>
      </c>
      <c r="R5519" s="19">
        <f>+P5519-Q5519</f>
        <v>-115</v>
      </c>
      <c r="S5519" s="91">
        <v>1020</v>
      </c>
      <c r="T5519" s="19" t="s">
        <v>42</v>
      </c>
      <c r="U5519" s="102" t="s">
        <v>1421</v>
      </c>
      <c r="V5519" s="186">
        <v>45382</v>
      </c>
      <c r="W5519" s="17" t="s">
        <v>44</v>
      </c>
      <c r="Y5519" s="68">
        <v>45383</v>
      </c>
      <c r="Z5519" s="17" t="s">
        <v>191</v>
      </c>
      <c r="AA5519" s="17" t="s">
        <v>46</v>
      </c>
      <c r="AB5519" s="17" t="s">
        <v>1342</v>
      </c>
      <c r="AC5519" s="217">
        <v>45394</v>
      </c>
      <c r="AD5519" s="65">
        <v>1555</v>
      </c>
      <c r="AE5519" s="17" t="s">
        <v>48</v>
      </c>
    </row>
    <row r="5520" s="17" customFormat="1" hidden="1" spans="1:32">
      <c r="A5520" s="17" t="s">
        <v>34</v>
      </c>
      <c r="B5520" s="19">
        <v>995</v>
      </c>
      <c r="C5520" s="183">
        <v>45372</v>
      </c>
      <c r="D5520" s="17" t="s">
        <v>52</v>
      </c>
      <c r="E5520" s="17" t="s">
        <v>1113</v>
      </c>
      <c r="F5520" s="17" t="s">
        <v>54</v>
      </c>
      <c r="H5520" s="141" t="s">
        <v>1114</v>
      </c>
      <c r="I5520" s="141"/>
      <c r="J5520" s="17" t="s">
        <v>82</v>
      </c>
      <c r="K5520" s="19">
        <v>280</v>
      </c>
      <c r="L5520" s="19">
        <v>50</v>
      </c>
      <c r="M5520" s="19">
        <v>2200</v>
      </c>
      <c r="N5520" s="19" t="s">
        <v>66</v>
      </c>
      <c r="O5520" s="19" t="s">
        <v>141</v>
      </c>
      <c r="P5520" s="99">
        <v>495</v>
      </c>
      <c r="Q5520" s="19">
        <v>509</v>
      </c>
      <c r="R5520" s="19">
        <f>+P5520-Q5520</f>
        <v>-14</v>
      </c>
      <c r="S5520" s="91">
        <f>1030+60</f>
        <v>1090</v>
      </c>
      <c r="T5520" s="19" t="s">
        <v>42</v>
      </c>
      <c r="U5520" s="102" t="s">
        <v>1421</v>
      </c>
      <c r="V5520" s="186">
        <v>45382</v>
      </c>
      <c r="W5520" s="17" t="s">
        <v>69</v>
      </c>
      <c r="Y5520" s="68">
        <v>45383</v>
      </c>
      <c r="Z5520" s="17" t="s">
        <v>191</v>
      </c>
      <c r="AA5520" s="17" t="s">
        <v>46</v>
      </c>
      <c r="AB5520" s="17" t="s">
        <v>1339</v>
      </c>
      <c r="AC5520" s="217">
        <v>45433</v>
      </c>
      <c r="AD5520" s="65">
        <v>1570</v>
      </c>
      <c r="AE5520" s="17" t="s">
        <v>48</v>
      </c>
    </row>
    <row r="5521" s="17" customFormat="1" hidden="1" spans="1:32">
      <c r="B5521" s="19">
        <v>995</v>
      </c>
      <c r="C5521" s="183">
        <v>45372</v>
      </c>
      <c r="D5521" s="17" t="s">
        <v>52</v>
      </c>
      <c r="E5521" s="17" t="s">
        <v>1113</v>
      </c>
      <c r="F5521" s="17" t="s">
        <v>54</v>
      </c>
      <c r="H5521" s="141" t="s">
        <v>1114</v>
      </c>
      <c r="I5521" s="141"/>
      <c r="J5521" s="17" t="s">
        <v>82</v>
      </c>
      <c r="K5521" s="19">
        <v>305</v>
      </c>
      <c r="L5521" s="19">
        <v>50</v>
      </c>
      <c r="M5521" s="19">
        <v>2200</v>
      </c>
      <c r="N5521" s="19" t="s">
        <v>66</v>
      </c>
      <c r="O5521" s="19" t="s">
        <v>141</v>
      </c>
      <c r="P5521" s="99">
        <v>808</v>
      </c>
      <c r="Q5521" s="19">
        <v>0</v>
      </c>
      <c r="R5521" s="19">
        <v>0</v>
      </c>
      <c r="S5521" s="91">
        <v>1030</v>
      </c>
      <c r="T5521" s="19" t="s">
        <v>42</v>
      </c>
      <c r="U5521" s="102" t="s">
        <v>1421</v>
      </c>
      <c r="V5521" s="186">
        <v>45382</v>
      </c>
      <c r="W5521" s="17" t="s">
        <v>44</v>
      </c>
      <c r="Y5521" s="68">
        <v>45383</v>
      </c>
      <c r="Z5521" s="17" t="s">
        <v>191</v>
      </c>
      <c r="AA5521" s="17" t="s">
        <v>46</v>
      </c>
      <c r="AC5521" s="102"/>
      <c r="AD5521" s="65"/>
      <c r="AE5521" s="17" t="s">
        <v>48</v>
      </c>
      <c r="AF5521" s="17" t="s">
        <v>1349</v>
      </c>
    </row>
    <row r="5522" s="17" customFormat="1" hidden="1" spans="1:32">
      <c r="A5522" s="17" t="s">
        <v>34</v>
      </c>
      <c r="B5522" s="19">
        <v>995</v>
      </c>
      <c r="C5522" s="183">
        <v>45372</v>
      </c>
      <c r="D5522" s="17" t="s">
        <v>52</v>
      </c>
      <c r="E5522" s="17" t="s">
        <v>1113</v>
      </c>
      <c r="F5522" s="17" t="s">
        <v>54</v>
      </c>
      <c r="H5522" s="141" t="s">
        <v>1114</v>
      </c>
      <c r="I5522" s="141"/>
      <c r="J5522" s="17" t="s">
        <v>82</v>
      </c>
      <c r="K5522" s="19">
        <v>505</v>
      </c>
      <c r="L5522" s="19">
        <v>50</v>
      </c>
      <c r="M5522" s="19">
        <v>2200</v>
      </c>
      <c r="N5522" s="19" t="s">
        <v>66</v>
      </c>
      <c r="O5522" s="19" t="s">
        <v>141</v>
      </c>
      <c r="P5522" s="99">
        <v>446</v>
      </c>
      <c r="Q5522" s="19">
        <v>452</v>
      </c>
      <c r="S5522" s="91">
        <v>1030</v>
      </c>
      <c r="T5522" s="19" t="s">
        <v>42</v>
      </c>
      <c r="U5522" s="102" t="s">
        <v>1421</v>
      </c>
      <c r="V5522" s="186">
        <v>45382</v>
      </c>
      <c r="W5522" s="17" t="s">
        <v>44</v>
      </c>
      <c r="Y5522" s="68">
        <v>45383</v>
      </c>
      <c r="Z5522" s="17" t="s">
        <v>191</v>
      </c>
      <c r="AA5522" s="17" t="s">
        <v>46</v>
      </c>
      <c r="AB5522" s="17" t="s">
        <v>1342</v>
      </c>
      <c r="AC5522" s="217">
        <v>45394</v>
      </c>
      <c r="AD5522" s="65">
        <v>1555</v>
      </c>
      <c r="AE5522" s="17" t="s">
        <v>48</v>
      </c>
    </row>
    <row r="5523" s="17" customFormat="1" hidden="1" spans="1:32">
      <c r="A5523" s="17" t="s">
        <v>34</v>
      </c>
      <c r="B5523" s="19">
        <v>995</v>
      </c>
      <c r="C5523" s="183">
        <v>45372</v>
      </c>
      <c r="D5523" s="17" t="s">
        <v>52</v>
      </c>
      <c r="E5523" s="17" t="s">
        <v>1113</v>
      </c>
      <c r="F5523" s="17" t="s">
        <v>54</v>
      </c>
      <c r="H5523" s="141" t="s">
        <v>1114</v>
      </c>
      <c r="I5523" s="141"/>
      <c r="J5523" s="17" t="s">
        <v>82</v>
      </c>
      <c r="K5523" s="19">
        <v>505</v>
      </c>
      <c r="L5523" s="19">
        <v>50</v>
      </c>
      <c r="M5523" s="19">
        <v>2200</v>
      </c>
      <c r="N5523" s="19" t="s">
        <v>66</v>
      </c>
      <c r="O5523" s="19" t="s">
        <v>141</v>
      </c>
      <c r="P5523" s="99"/>
      <c r="Q5523" s="19">
        <v>457</v>
      </c>
      <c r="R5523" s="99">
        <f>+P5522-Q5522-Q5523</f>
        <v>-463</v>
      </c>
      <c r="S5523" s="91">
        <f>1030+80-20</f>
        <v>1090</v>
      </c>
      <c r="T5523" s="19" t="s">
        <v>42</v>
      </c>
      <c r="U5523" s="102" t="s">
        <v>1421</v>
      </c>
      <c r="V5523" s="186">
        <v>45382</v>
      </c>
      <c r="W5523" s="17" t="s">
        <v>69</v>
      </c>
      <c r="Y5523" s="68">
        <v>45383</v>
      </c>
      <c r="Z5523" s="17" t="s">
        <v>191</v>
      </c>
      <c r="AA5523" s="17" t="s">
        <v>46</v>
      </c>
      <c r="AB5523" s="17" t="s">
        <v>1336</v>
      </c>
      <c r="AC5523" s="66">
        <v>45435</v>
      </c>
      <c r="AD5523" s="65">
        <v>1577</v>
      </c>
      <c r="AE5523" s="17" t="s">
        <v>48</v>
      </c>
    </row>
    <row r="5524" s="17" customFormat="1" hidden="1" spans="1:32">
      <c r="B5524" s="19">
        <v>995</v>
      </c>
      <c r="C5524" s="183">
        <v>45372</v>
      </c>
      <c r="D5524" s="17" t="s">
        <v>52</v>
      </c>
      <c r="E5524" s="17" t="s">
        <v>1113</v>
      </c>
      <c r="F5524" s="17" t="s">
        <v>54</v>
      </c>
      <c r="H5524" s="141" t="s">
        <v>1114</v>
      </c>
      <c r="I5524" s="141"/>
      <c r="J5524" s="17" t="s">
        <v>82</v>
      </c>
      <c r="K5524" s="19">
        <v>555</v>
      </c>
      <c r="L5524" s="19">
        <v>50</v>
      </c>
      <c r="M5524" s="19">
        <v>2200</v>
      </c>
      <c r="N5524" s="19" t="s">
        <v>66</v>
      </c>
      <c r="O5524" s="19" t="s">
        <v>141</v>
      </c>
      <c r="P5524" s="99">
        <v>490</v>
      </c>
      <c r="Q5524" s="19">
        <v>0</v>
      </c>
      <c r="R5524" s="19">
        <v>0</v>
      </c>
      <c r="S5524" s="91">
        <v>1030</v>
      </c>
      <c r="T5524" s="19" t="s">
        <v>42</v>
      </c>
      <c r="U5524" s="102" t="s">
        <v>1421</v>
      </c>
      <c r="V5524" s="186">
        <v>45382</v>
      </c>
      <c r="W5524" s="17" t="s">
        <v>44</v>
      </c>
      <c r="Y5524" s="68">
        <v>45383</v>
      </c>
      <c r="Z5524" s="17" t="s">
        <v>191</v>
      </c>
      <c r="AA5524" s="17" t="s">
        <v>46</v>
      </c>
      <c r="AC5524" s="102"/>
      <c r="AD5524" s="65"/>
      <c r="AE5524" s="17" t="s">
        <v>48</v>
      </c>
      <c r="AF5524" s="17" t="s">
        <v>1349</v>
      </c>
    </row>
    <row r="5525" s="17" customFormat="1" hidden="1" spans="1:32">
      <c r="A5525" s="17" t="s">
        <v>34</v>
      </c>
      <c r="B5525" s="19">
        <v>995</v>
      </c>
      <c r="C5525" s="183">
        <v>45372</v>
      </c>
      <c r="D5525" s="17" t="s">
        <v>52</v>
      </c>
      <c r="E5525" s="17" t="s">
        <v>1113</v>
      </c>
      <c r="F5525" s="17" t="s">
        <v>54</v>
      </c>
      <c r="H5525" s="141" t="s">
        <v>1114</v>
      </c>
      <c r="I5525" s="141"/>
      <c r="J5525" s="17" t="s">
        <v>82</v>
      </c>
      <c r="K5525" s="19">
        <v>605</v>
      </c>
      <c r="L5525" s="19">
        <v>50</v>
      </c>
      <c r="M5525" s="19">
        <v>2200</v>
      </c>
      <c r="N5525" s="19" t="s">
        <v>66</v>
      </c>
      <c r="O5525" s="19" t="s">
        <v>141</v>
      </c>
      <c r="P5525" s="99">
        <v>1069</v>
      </c>
      <c r="Q5525" s="19">
        <v>548</v>
      </c>
      <c r="R5525" s="19">
        <f>+P5525-Q5525</f>
        <v>521</v>
      </c>
      <c r="S5525" s="91">
        <v>1030</v>
      </c>
      <c r="T5525" s="19" t="s">
        <v>42</v>
      </c>
      <c r="U5525" s="102" t="s">
        <v>1421</v>
      </c>
      <c r="V5525" s="186">
        <v>45382</v>
      </c>
      <c r="W5525" s="17" t="s">
        <v>44</v>
      </c>
      <c r="Y5525" s="68">
        <v>45383</v>
      </c>
      <c r="Z5525" s="17" t="s">
        <v>191</v>
      </c>
      <c r="AA5525" s="17" t="s">
        <v>46</v>
      </c>
      <c r="AB5525" s="17" t="s">
        <v>1342</v>
      </c>
      <c r="AC5525" s="217">
        <v>45394</v>
      </c>
      <c r="AD5525" s="65">
        <v>1555</v>
      </c>
      <c r="AE5525" s="17" t="s">
        <v>48</v>
      </c>
      <c r="AF5525" s="17" t="s">
        <v>1349</v>
      </c>
    </row>
    <row r="5526" s="17" customFormat="1" hidden="1" spans="1:32">
      <c r="B5526" s="19">
        <v>995</v>
      </c>
      <c r="C5526" s="183">
        <v>45372</v>
      </c>
      <c r="D5526" s="17" t="s">
        <v>52</v>
      </c>
      <c r="E5526" s="17" t="s">
        <v>1113</v>
      </c>
      <c r="F5526" s="17" t="s">
        <v>54</v>
      </c>
      <c r="H5526" s="141" t="s">
        <v>1114</v>
      </c>
      <c r="I5526" s="141"/>
      <c r="J5526" s="17" t="s">
        <v>82</v>
      </c>
      <c r="K5526" s="19">
        <v>205</v>
      </c>
      <c r="L5526" s="19">
        <v>65</v>
      </c>
      <c r="M5526" s="19">
        <v>2200</v>
      </c>
      <c r="N5526" s="19" t="s">
        <v>66</v>
      </c>
      <c r="O5526" s="19" t="s">
        <v>141</v>
      </c>
      <c r="P5526" s="99">
        <v>1883</v>
      </c>
      <c r="Q5526" s="19">
        <v>0</v>
      </c>
      <c r="R5526" s="19">
        <v>0</v>
      </c>
      <c r="S5526" s="91">
        <v>1030</v>
      </c>
      <c r="T5526" s="19" t="s">
        <v>42</v>
      </c>
      <c r="U5526" s="102" t="s">
        <v>1421</v>
      </c>
      <c r="V5526" s="186">
        <v>45382</v>
      </c>
      <c r="W5526" s="17" t="s">
        <v>44</v>
      </c>
      <c r="Y5526" s="68">
        <v>45383</v>
      </c>
      <c r="Z5526" s="17" t="s">
        <v>191</v>
      </c>
      <c r="AA5526" s="17" t="s">
        <v>46</v>
      </c>
      <c r="AC5526" s="102"/>
      <c r="AD5526" s="65"/>
      <c r="AE5526" s="17" t="s">
        <v>48</v>
      </c>
      <c r="AF5526" s="17" t="s">
        <v>1332</v>
      </c>
    </row>
    <row r="5527" s="17" customFormat="1" hidden="1" spans="1:32">
      <c r="B5527" s="19">
        <v>995</v>
      </c>
      <c r="C5527" s="183">
        <v>45372</v>
      </c>
      <c r="D5527" s="17" t="s">
        <v>52</v>
      </c>
      <c r="E5527" s="17" t="s">
        <v>1113</v>
      </c>
      <c r="F5527" s="17" t="s">
        <v>54</v>
      </c>
      <c r="H5527" s="141" t="s">
        <v>1114</v>
      </c>
      <c r="I5527" s="141"/>
      <c r="J5527" s="17" t="s">
        <v>82</v>
      </c>
      <c r="K5527" s="19">
        <v>255</v>
      </c>
      <c r="L5527" s="19">
        <v>65</v>
      </c>
      <c r="M5527" s="19">
        <v>2200</v>
      </c>
      <c r="N5527" s="19" t="s">
        <v>66</v>
      </c>
      <c r="O5527" s="19" t="s">
        <v>141</v>
      </c>
      <c r="P5527" s="99">
        <v>1464</v>
      </c>
      <c r="Q5527" s="19">
        <v>0</v>
      </c>
      <c r="R5527" s="19">
        <v>0</v>
      </c>
      <c r="S5527" s="91">
        <v>1030</v>
      </c>
      <c r="T5527" s="19" t="s">
        <v>42</v>
      </c>
      <c r="U5527" s="102" t="s">
        <v>1421</v>
      </c>
      <c r="V5527" s="186">
        <v>45382</v>
      </c>
      <c r="W5527" s="17" t="s">
        <v>44</v>
      </c>
      <c r="Y5527" s="68">
        <v>45383</v>
      </c>
      <c r="Z5527" s="17" t="s">
        <v>191</v>
      </c>
      <c r="AA5527" s="17" t="s">
        <v>46</v>
      </c>
      <c r="AC5527" s="102"/>
      <c r="AD5527" s="65"/>
      <c r="AE5527" s="17" t="s">
        <v>48</v>
      </c>
      <c r="AF5527" s="17" t="s">
        <v>1349</v>
      </c>
    </row>
    <row r="5528" s="17" customFormat="1" hidden="1" spans="1:32">
      <c r="B5528" s="19">
        <v>995</v>
      </c>
      <c r="C5528" s="183">
        <v>45372</v>
      </c>
      <c r="D5528" s="17" t="s">
        <v>52</v>
      </c>
      <c r="E5528" s="17" t="s">
        <v>1113</v>
      </c>
      <c r="F5528" s="17" t="s">
        <v>54</v>
      </c>
      <c r="H5528" s="141" t="s">
        <v>1114</v>
      </c>
      <c r="I5528" s="141"/>
      <c r="J5528" s="17" t="s">
        <v>82</v>
      </c>
      <c r="K5528" s="19">
        <v>255</v>
      </c>
      <c r="L5528" s="19">
        <v>65</v>
      </c>
      <c r="M5528" s="19">
        <v>2200</v>
      </c>
      <c r="N5528" s="19" t="s">
        <v>66</v>
      </c>
      <c r="O5528" s="19" t="s">
        <v>141</v>
      </c>
      <c r="P5528" s="99">
        <v>293</v>
      </c>
      <c r="Q5528" s="19">
        <v>0</v>
      </c>
      <c r="R5528" s="19">
        <v>0</v>
      </c>
      <c r="S5528" s="91">
        <v>1030</v>
      </c>
      <c r="T5528" s="19" t="s">
        <v>42</v>
      </c>
      <c r="U5528" s="102" t="s">
        <v>1421</v>
      </c>
      <c r="V5528" s="186">
        <v>45382</v>
      </c>
      <c r="W5528" s="17" t="s">
        <v>44</v>
      </c>
      <c r="Y5528" s="68">
        <v>45383</v>
      </c>
      <c r="Z5528" s="17" t="s">
        <v>191</v>
      </c>
      <c r="AA5528" s="17" t="s">
        <v>46</v>
      </c>
      <c r="AC5528" s="102"/>
      <c r="AD5528" s="65"/>
      <c r="AE5528" s="17" t="s">
        <v>48</v>
      </c>
      <c r="AF5528" s="17" t="s">
        <v>1422</v>
      </c>
    </row>
    <row r="5529" s="17" customFormat="1" hidden="1" spans="1:32">
      <c r="B5529" s="19">
        <v>995</v>
      </c>
      <c r="C5529" s="183">
        <v>45372</v>
      </c>
      <c r="D5529" s="17" t="s">
        <v>52</v>
      </c>
      <c r="E5529" s="17" t="s">
        <v>1113</v>
      </c>
      <c r="F5529" s="17" t="s">
        <v>54</v>
      </c>
      <c r="H5529" s="141" t="s">
        <v>1114</v>
      </c>
      <c r="I5529" s="141"/>
      <c r="J5529" s="17" t="s">
        <v>82</v>
      </c>
      <c r="K5529" s="19">
        <v>305</v>
      </c>
      <c r="L5529" s="19">
        <v>65</v>
      </c>
      <c r="M5529" s="19">
        <v>2200</v>
      </c>
      <c r="N5529" s="19" t="s">
        <v>66</v>
      </c>
      <c r="O5529" s="19" t="s">
        <v>141</v>
      </c>
      <c r="P5529" s="99">
        <v>700</v>
      </c>
      <c r="Q5529" s="19">
        <v>0</v>
      </c>
      <c r="R5529" s="19">
        <v>0</v>
      </c>
      <c r="S5529" s="91">
        <v>1030</v>
      </c>
      <c r="T5529" s="19" t="s">
        <v>42</v>
      </c>
      <c r="U5529" s="102" t="s">
        <v>1421</v>
      </c>
      <c r="V5529" s="186">
        <v>45382</v>
      </c>
      <c r="W5529" s="17" t="s">
        <v>44</v>
      </c>
      <c r="Y5529" s="68">
        <v>45383</v>
      </c>
      <c r="Z5529" s="17" t="s">
        <v>191</v>
      </c>
      <c r="AA5529" s="17" t="s">
        <v>46</v>
      </c>
      <c r="AC5529" s="102"/>
      <c r="AD5529" s="65"/>
      <c r="AE5529" s="17" t="s">
        <v>48</v>
      </c>
      <c r="AF5529" s="17" t="s">
        <v>1422</v>
      </c>
    </row>
    <row r="5530" s="17" customFormat="1" hidden="1" spans="1:32">
      <c r="A5530" s="17" t="s">
        <v>34</v>
      </c>
      <c r="B5530" s="19">
        <v>995</v>
      </c>
      <c r="C5530" s="183">
        <v>45372</v>
      </c>
      <c r="D5530" s="17" t="s">
        <v>52</v>
      </c>
      <c r="E5530" s="17" t="s">
        <v>1113</v>
      </c>
      <c r="F5530" s="17" t="s">
        <v>54</v>
      </c>
      <c r="H5530" s="141" t="s">
        <v>1114</v>
      </c>
      <c r="I5530" s="141"/>
      <c r="J5530" s="17" t="s">
        <v>82</v>
      </c>
      <c r="K5530" s="19">
        <v>405</v>
      </c>
      <c r="L5530" s="19">
        <v>80</v>
      </c>
      <c r="M5530" s="19">
        <v>2200</v>
      </c>
      <c r="N5530" s="19" t="s">
        <v>66</v>
      </c>
      <c r="O5530" s="19" t="s">
        <v>141</v>
      </c>
      <c r="P5530" s="99">
        <v>572</v>
      </c>
      <c r="Q5530" s="19">
        <v>587</v>
      </c>
      <c r="R5530" s="19">
        <f>+P5530-Q5530</f>
        <v>-15</v>
      </c>
      <c r="S5530" s="91">
        <v>1030</v>
      </c>
      <c r="T5530" s="19" t="s">
        <v>42</v>
      </c>
      <c r="U5530" s="102" t="s">
        <v>1421</v>
      </c>
      <c r="V5530" s="186">
        <v>45382</v>
      </c>
      <c r="W5530" s="17" t="s">
        <v>44</v>
      </c>
      <c r="Y5530" s="68">
        <v>45383</v>
      </c>
      <c r="Z5530" s="17" t="s">
        <v>191</v>
      </c>
      <c r="AA5530" s="17" t="s">
        <v>46</v>
      </c>
      <c r="AB5530" s="17" t="s">
        <v>1342</v>
      </c>
      <c r="AC5530" s="217">
        <v>45394</v>
      </c>
      <c r="AD5530" s="65">
        <v>1555</v>
      </c>
      <c r="AE5530" s="17" t="s">
        <v>48</v>
      </c>
    </row>
    <row r="5531" s="17" customFormat="1" hidden="1" spans="1:32">
      <c r="A5531" s="17" t="s">
        <v>34</v>
      </c>
      <c r="B5531" s="19">
        <v>995</v>
      </c>
      <c r="C5531" s="183">
        <v>45372</v>
      </c>
      <c r="D5531" s="17" t="s">
        <v>52</v>
      </c>
      <c r="E5531" s="17" t="s">
        <v>1113</v>
      </c>
      <c r="F5531" s="17" t="s">
        <v>54</v>
      </c>
      <c r="H5531" s="141" t="s">
        <v>1114</v>
      </c>
      <c r="I5531" s="141"/>
      <c r="J5531" s="17" t="s">
        <v>82</v>
      </c>
      <c r="K5531" s="19">
        <v>405</v>
      </c>
      <c r="L5531" s="19">
        <v>80</v>
      </c>
      <c r="M5531" s="19">
        <v>2200</v>
      </c>
      <c r="N5531" s="19" t="s">
        <v>66</v>
      </c>
      <c r="O5531" s="19" t="s">
        <v>141</v>
      </c>
      <c r="P5531" s="99">
        <v>572</v>
      </c>
      <c r="Q5531" s="19">
        <v>0</v>
      </c>
      <c r="R5531" s="19">
        <v>0</v>
      </c>
      <c r="S5531" s="91">
        <v>1030</v>
      </c>
      <c r="T5531" s="19" t="s">
        <v>42</v>
      </c>
      <c r="U5531" s="102" t="s">
        <v>1421</v>
      </c>
      <c r="V5531" s="186">
        <v>45382</v>
      </c>
      <c r="W5531" s="17" t="s">
        <v>44</v>
      </c>
      <c r="Y5531" s="68">
        <v>45383</v>
      </c>
      <c r="Z5531" s="17" t="s">
        <v>191</v>
      </c>
      <c r="AA5531" s="17" t="s">
        <v>46</v>
      </c>
      <c r="AC5531" s="102"/>
      <c r="AD5531" s="65"/>
      <c r="AF5531" s="17" t="s">
        <v>1422</v>
      </c>
    </row>
    <row r="5532" s="17" customFormat="1" hidden="1" spans="1:32">
      <c r="A5532" s="17" t="s">
        <v>34</v>
      </c>
      <c r="B5532" s="19">
        <v>995</v>
      </c>
      <c r="C5532" s="183">
        <v>45372</v>
      </c>
      <c r="D5532" s="17" t="s">
        <v>52</v>
      </c>
      <c r="E5532" s="17" t="s">
        <v>1113</v>
      </c>
      <c r="F5532" s="17" t="s">
        <v>54</v>
      </c>
      <c r="H5532" s="141" t="s">
        <v>1114</v>
      </c>
      <c r="I5532" s="141"/>
      <c r="J5532" s="17" t="s">
        <v>82</v>
      </c>
      <c r="K5532" s="19">
        <v>455</v>
      </c>
      <c r="L5532" s="19">
        <v>80</v>
      </c>
      <c r="M5532" s="19">
        <v>2200</v>
      </c>
      <c r="N5532" s="19" t="s">
        <v>66</v>
      </c>
      <c r="O5532" s="19" t="s">
        <v>141</v>
      </c>
      <c r="P5532" s="99">
        <v>643</v>
      </c>
      <c r="Q5532" s="19">
        <v>661</v>
      </c>
      <c r="R5532" s="19">
        <f t="shared" ref="R5532:R5563" si="247">+P5532-Q5532</f>
        <v>-18</v>
      </c>
      <c r="S5532" s="91">
        <f>1030+60</f>
        <v>1090</v>
      </c>
      <c r="T5532" s="19" t="s">
        <v>42</v>
      </c>
      <c r="U5532" s="102" t="s">
        <v>1421</v>
      </c>
      <c r="V5532" s="186">
        <v>45382</v>
      </c>
      <c r="W5532" s="17" t="s">
        <v>69</v>
      </c>
      <c r="Y5532" s="68">
        <v>45383</v>
      </c>
      <c r="Z5532" s="17" t="s">
        <v>191</v>
      </c>
      <c r="AA5532" s="17" t="s">
        <v>46</v>
      </c>
      <c r="AB5532" s="17" t="s">
        <v>1345</v>
      </c>
      <c r="AC5532" s="217">
        <v>45443</v>
      </c>
      <c r="AD5532" s="65">
        <v>1580</v>
      </c>
    </row>
    <row r="5533" s="17" customFormat="1" hidden="1" spans="1:32">
      <c r="A5533" s="17" t="s">
        <v>34</v>
      </c>
      <c r="B5533" s="19">
        <v>995</v>
      </c>
      <c r="C5533" s="183">
        <v>45372</v>
      </c>
      <c r="D5533" s="17" t="s">
        <v>52</v>
      </c>
      <c r="E5533" s="17" t="s">
        <v>1113</v>
      </c>
      <c r="F5533" s="17" t="s">
        <v>54</v>
      </c>
      <c r="H5533" s="141" t="s">
        <v>1114</v>
      </c>
      <c r="I5533" s="141"/>
      <c r="J5533" s="17" t="s">
        <v>82</v>
      </c>
      <c r="K5533" s="19">
        <v>505</v>
      </c>
      <c r="L5533" s="19">
        <v>80</v>
      </c>
      <c r="M5533" s="19">
        <v>2200</v>
      </c>
      <c r="N5533" s="19" t="s">
        <v>66</v>
      </c>
      <c r="O5533" s="19" t="s">
        <v>141</v>
      </c>
      <c r="P5533" s="99">
        <v>714</v>
      </c>
      <c r="Q5533" s="19">
        <v>730</v>
      </c>
      <c r="R5533" s="19">
        <f t="shared" si="247"/>
        <v>-16</v>
      </c>
      <c r="S5533" s="91">
        <f>1030+60</f>
        <v>1090</v>
      </c>
      <c r="T5533" s="19" t="s">
        <v>42</v>
      </c>
      <c r="U5533" s="102" t="s">
        <v>1421</v>
      </c>
      <c r="V5533" s="186">
        <v>45382</v>
      </c>
      <c r="W5533" s="17" t="s">
        <v>69</v>
      </c>
      <c r="Y5533" s="68">
        <v>45383</v>
      </c>
      <c r="Z5533" s="17" t="s">
        <v>191</v>
      </c>
      <c r="AA5533" s="17" t="s">
        <v>46</v>
      </c>
      <c r="AB5533" s="17" t="s">
        <v>1339</v>
      </c>
      <c r="AC5533" s="217">
        <v>45433</v>
      </c>
      <c r="AD5533" s="65">
        <v>1570</v>
      </c>
      <c r="AE5533" s="17" t="s">
        <v>48</v>
      </c>
    </row>
    <row r="5534" s="18" customFormat="1" hidden="1" spans="1:32">
      <c r="B5534" s="75">
        <v>996</v>
      </c>
      <c r="C5534" s="213">
        <v>45372</v>
      </c>
      <c r="D5534" s="18" t="s">
        <v>52</v>
      </c>
      <c r="E5534" s="18" t="s">
        <v>53</v>
      </c>
      <c r="F5534" s="18" t="s">
        <v>54</v>
      </c>
      <c r="H5534" s="325">
        <v>1.2344</v>
      </c>
      <c r="I5534" s="325"/>
      <c r="J5534" s="18" t="s">
        <v>82</v>
      </c>
      <c r="K5534" s="308">
        <v>1800</v>
      </c>
      <c r="L5534" s="308">
        <v>40</v>
      </c>
      <c r="M5534" s="75">
        <v>5800</v>
      </c>
      <c r="N5534" s="75" t="s">
        <v>40</v>
      </c>
      <c r="O5534" s="75" t="s">
        <v>98</v>
      </c>
      <c r="P5534" s="75">
        <v>2386</v>
      </c>
      <c r="Q5534" s="75"/>
      <c r="R5534" s="75">
        <f t="shared" si="247"/>
        <v>2386</v>
      </c>
      <c r="S5534" s="75">
        <v>2480</v>
      </c>
      <c r="T5534" s="75" t="s">
        <v>42</v>
      </c>
      <c r="U5534" s="137" t="s">
        <v>1425</v>
      </c>
      <c r="V5534" s="193">
        <v>45384</v>
      </c>
      <c r="W5534" s="18" t="s">
        <v>58</v>
      </c>
      <c r="Y5534" s="114">
        <v>45413</v>
      </c>
      <c r="Z5534" s="18" t="s">
        <v>191</v>
      </c>
      <c r="AA5534" s="18" t="s">
        <v>46</v>
      </c>
      <c r="AC5534" s="137"/>
      <c r="AD5534" s="77"/>
      <c r="AE5534" s="18" t="s">
        <v>48</v>
      </c>
      <c r="AF5534" s="18" t="s">
        <v>1</v>
      </c>
    </row>
    <row r="5535" s="18" customFormat="1" hidden="1" spans="1:32">
      <c r="B5535" s="75">
        <v>996</v>
      </c>
      <c r="C5535" s="213">
        <v>45372</v>
      </c>
      <c r="D5535" s="18" t="s">
        <v>52</v>
      </c>
      <c r="E5535" s="18" t="s">
        <v>53</v>
      </c>
      <c r="F5535" s="18" t="s">
        <v>54</v>
      </c>
      <c r="H5535" s="325">
        <v>1.2344</v>
      </c>
      <c r="I5535" s="325"/>
      <c r="J5535" s="18" t="s">
        <v>82</v>
      </c>
      <c r="K5535" s="308">
        <v>1800</v>
      </c>
      <c r="L5535" s="308">
        <v>50</v>
      </c>
      <c r="M5535" s="75">
        <v>5800</v>
      </c>
      <c r="N5535" s="75" t="s">
        <v>40</v>
      </c>
      <c r="O5535" s="75" t="s">
        <v>98</v>
      </c>
      <c r="P5535" s="75">
        <v>2983</v>
      </c>
      <c r="Q5535" s="75"/>
      <c r="R5535" s="75">
        <f t="shared" si="247"/>
        <v>2983</v>
      </c>
      <c r="S5535" s="75">
        <v>2480</v>
      </c>
      <c r="T5535" s="75" t="s">
        <v>42</v>
      </c>
      <c r="U5535" s="137" t="s">
        <v>1425</v>
      </c>
      <c r="V5535" s="193">
        <v>45384</v>
      </c>
      <c r="W5535" s="18" t="s">
        <v>58</v>
      </c>
      <c r="Y5535" s="114">
        <v>45413</v>
      </c>
      <c r="Z5535" s="18" t="s">
        <v>191</v>
      </c>
      <c r="AA5535" s="18" t="s">
        <v>46</v>
      </c>
      <c r="AC5535" s="137"/>
      <c r="AD5535" s="77"/>
      <c r="AE5535" s="18" t="s">
        <v>48</v>
      </c>
      <c r="AF5535" s="18" t="s">
        <v>1</v>
      </c>
    </row>
    <row r="5536" s="18" customFormat="1" hidden="1" spans="1:32">
      <c r="B5536" s="75">
        <v>996</v>
      </c>
      <c r="C5536" s="213">
        <v>45372</v>
      </c>
      <c r="D5536" s="18" t="s">
        <v>52</v>
      </c>
      <c r="E5536" s="18" t="s">
        <v>53</v>
      </c>
      <c r="F5536" s="18" t="s">
        <v>54</v>
      </c>
      <c r="H5536" s="325">
        <v>1.2344</v>
      </c>
      <c r="I5536" s="325"/>
      <c r="J5536" s="18" t="s">
        <v>82</v>
      </c>
      <c r="K5536" s="308">
        <v>1800</v>
      </c>
      <c r="L5536" s="308">
        <v>65</v>
      </c>
      <c r="M5536" s="75">
        <v>5800</v>
      </c>
      <c r="N5536" s="75" t="s">
        <v>40</v>
      </c>
      <c r="O5536" s="75" t="s">
        <v>98</v>
      </c>
      <c r="P5536" s="75">
        <v>3877</v>
      </c>
      <c r="Q5536" s="75"/>
      <c r="R5536" s="75">
        <f t="shared" si="247"/>
        <v>3877</v>
      </c>
      <c r="S5536" s="75">
        <v>2480</v>
      </c>
      <c r="T5536" s="75" t="s">
        <v>42</v>
      </c>
      <c r="U5536" s="137" t="s">
        <v>1425</v>
      </c>
      <c r="V5536" s="193">
        <v>45384</v>
      </c>
      <c r="W5536" s="18" t="s">
        <v>58</v>
      </c>
      <c r="Y5536" s="114">
        <v>45413</v>
      </c>
      <c r="Z5536" s="18" t="s">
        <v>191</v>
      </c>
      <c r="AA5536" s="18" t="s">
        <v>46</v>
      </c>
      <c r="AC5536" s="137"/>
      <c r="AD5536" s="77"/>
      <c r="AE5536" s="18" t="s">
        <v>48</v>
      </c>
      <c r="AF5536" s="18" t="s">
        <v>1</v>
      </c>
    </row>
    <row r="5537" s="18" customFormat="1" hidden="1" spans="1:32">
      <c r="B5537" s="75">
        <v>996</v>
      </c>
      <c r="C5537" s="213">
        <v>45372</v>
      </c>
      <c r="D5537" s="18" t="s">
        <v>52</v>
      </c>
      <c r="E5537" s="18" t="s">
        <v>53</v>
      </c>
      <c r="F5537" s="18" t="s">
        <v>54</v>
      </c>
      <c r="H5537" s="325">
        <v>1.2379</v>
      </c>
      <c r="I5537" s="325"/>
      <c r="J5537" s="18" t="s">
        <v>82</v>
      </c>
      <c r="K5537" s="75">
        <v>1200</v>
      </c>
      <c r="L5537" s="75">
        <v>10</v>
      </c>
      <c r="M5537" s="75">
        <v>5800</v>
      </c>
      <c r="N5537" s="75" t="s">
        <v>40</v>
      </c>
      <c r="O5537" s="75" t="s">
        <v>98</v>
      </c>
      <c r="P5537" s="75">
        <v>408</v>
      </c>
      <c r="Q5537" s="75"/>
      <c r="R5537" s="75">
        <f t="shared" si="247"/>
        <v>408</v>
      </c>
      <c r="S5537" s="75">
        <v>2450</v>
      </c>
      <c r="T5537" s="75" t="s">
        <v>42</v>
      </c>
      <c r="U5537" s="137" t="s">
        <v>1425</v>
      </c>
      <c r="V5537" s="193">
        <v>45384</v>
      </c>
      <c r="W5537" s="18" t="s">
        <v>58</v>
      </c>
      <c r="Y5537" s="114">
        <v>45413</v>
      </c>
      <c r="Z5537" s="18" t="s">
        <v>191</v>
      </c>
      <c r="AA5537" s="18" t="s">
        <v>46</v>
      </c>
      <c r="AC5537" s="137"/>
      <c r="AD5537" s="77"/>
      <c r="AE5537" s="18" t="s">
        <v>48</v>
      </c>
      <c r="AF5537" s="18" t="s">
        <v>1</v>
      </c>
    </row>
    <row r="5538" s="18" customFormat="1" hidden="1" spans="1:32">
      <c r="B5538" s="75">
        <v>996</v>
      </c>
      <c r="C5538" s="213">
        <v>45372</v>
      </c>
      <c r="D5538" s="18" t="s">
        <v>52</v>
      </c>
      <c r="E5538" s="18" t="s">
        <v>53</v>
      </c>
      <c r="F5538" s="18" t="s">
        <v>54</v>
      </c>
      <c r="H5538" s="325">
        <v>1.2379</v>
      </c>
      <c r="I5538" s="325"/>
      <c r="J5538" s="18" t="s">
        <v>82</v>
      </c>
      <c r="K5538" s="75">
        <v>1200</v>
      </c>
      <c r="L5538" s="75">
        <v>14</v>
      </c>
      <c r="M5538" s="75">
        <v>5800</v>
      </c>
      <c r="N5538" s="75" t="s">
        <v>40</v>
      </c>
      <c r="O5538" s="75" t="s">
        <v>98</v>
      </c>
      <c r="P5538" s="75">
        <v>571</v>
      </c>
      <c r="Q5538" s="75"/>
      <c r="R5538" s="75">
        <f t="shared" si="247"/>
        <v>571</v>
      </c>
      <c r="S5538" s="75">
        <v>2450</v>
      </c>
      <c r="T5538" s="75" t="s">
        <v>42</v>
      </c>
      <c r="U5538" s="137" t="s">
        <v>1425</v>
      </c>
      <c r="V5538" s="193">
        <v>45384</v>
      </c>
      <c r="W5538" s="18" t="s">
        <v>58</v>
      </c>
      <c r="Y5538" s="114">
        <v>45413</v>
      </c>
      <c r="Z5538" s="18" t="s">
        <v>191</v>
      </c>
      <c r="AA5538" s="18" t="s">
        <v>46</v>
      </c>
      <c r="AC5538" s="137"/>
      <c r="AD5538" s="77"/>
      <c r="AE5538" s="18" t="s">
        <v>48</v>
      </c>
      <c r="AF5538" s="18" t="s">
        <v>1</v>
      </c>
    </row>
    <row r="5539" s="18" customFormat="1" hidden="1" spans="1:32">
      <c r="B5539" s="75">
        <v>996</v>
      </c>
      <c r="C5539" s="213">
        <v>45372</v>
      </c>
      <c r="D5539" s="18" t="s">
        <v>52</v>
      </c>
      <c r="E5539" s="18" t="s">
        <v>53</v>
      </c>
      <c r="F5539" s="18" t="s">
        <v>54</v>
      </c>
      <c r="H5539" s="325">
        <v>1.2379</v>
      </c>
      <c r="I5539" s="325"/>
      <c r="J5539" s="18" t="s">
        <v>82</v>
      </c>
      <c r="K5539" s="75">
        <v>1200</v>
      </c>
      <c r="L5539" s="75">
        <v>18</v>
      </c>
      <c r="M5539" s="75">
        <v>5800</v>
      </c>
      <c r="N5539" s="75" t="s">
        <v>40</v>
      </c>
      <c r="O5539" s="75" t="s">
        <v>98</v>
      </c>
      <c r="P5539" s="75">
        <v>734</v>
      </c>
      <c r="Q5539" s="75"/>
      <c r="R5539" s="75">
        <f t="shared" si="247"/>
        <v>734</v>
      </c>
      <c r="S5539" s="75">
        <v>2450</v>
      </c>
      <c r="T5539" s="75" t="s">
        <v>42</v>
      </c>
      <c r="U5539" s="137" t="s">
        <v>1425</v>
      </c>
      <c r="V5539" s="193">
        <v>45384</v>
      </c>
      <c r="W5539" s="18" t="s">
        <v>58</v>
      </c>
      <c r="Y5539" s="114">
        <v>45413</v>
      </c>
      <c r="Z5539" s="18" t="s">
        <v>191</v>
      </c>
      <c r="AA5539" s="18" t="s">
        <v>46</v>
      </c>
      <c r="AC5539" s="137"/>
      <c r="AD5539" s="77"/>
      <c r="AE5539" s="18" t="s">
        <v>48</v>
      </c>
      <c r="AF5539" s="18" t="s">
        <v>1</v>
      </c>
    </row>
    <row r="5540" s="18" customFormat="1" hidden="1" spans="1:32">
      <c r="B5540" s="75">
        <v>996</v>
      </c>
      <c r="C5540" s="213">
        <v>45372</v>
      </c>
      <c r="D5540" s="18" t="s">
        <v>52</v>
      </c>
      <c r="E5540" s="18" t="s">
        <v>53</v>
      </c>
      <c r="F5540" s="18" t="s">
        <v>54</v>
      </c>
      <c r="H5540" s="325">
        <v>1.2379</v>
      </c>
      <c r="I5540" s="325"/>
      <c r="J5540" s="18" t="s">
        <v>82</v>
      </c>
      <c r="K5540" s="75">
        <v>1200</v>
      </c>
      <c r="L5540" s="75">
        <v>24</v>
      </c>
      <c r="M5540" s="75">
        <v>5800</v>
      </c>
      <c r="N5540" s="75" t="s">
        <v>40</v>
      </c>
      <c r="O5540" s="75" t="s">
        <v>98</v>
      </c>
      <c r="P5540" s="75">
        <v>979</v>
      </c>
      <c r="Q5540" s="75"/>
      <c r="R5540" s="75">
        <f t="shared" si="247"/>
        <v>979</v>
      </c>
      <c r="S5540" s="75">
        <v>2450</v>
      </c>
      <c r="T5540" s="75" t="s">
        <v>42</v>
      </c>
      <c r="U5540" s="137" t="s">
        <v>1425</v>
      </c>
      <c r="V5540" s="193">
        <v>45384</v>
      </c>
      <c r="W5540" s="18" t="s">
        <v>58</v>
      </c>
      <c r="Y5540" s="114">
        <v>45413</v>
      </c>
      <c r="Z5540" s="18" t="s">
        <v>191</v>
      </c>
      <c r="AA5540" s="18" t="s">
        <v>46</v>
      </c>
      <c r="AC5540" s="137"/>
      <c r="AD5540" s="77"/>
      <c r="AE5540" s="18" t="s">
        <v>48</v>
      </c>
      <c r="AF5540" s="18" t="s">
        <v>1</v>
      </c>
    </row>
    <row r="5541" s="18" customFormat="1" hidden="1" spans="1:32">
      <c r="B5541" s="75">
        <v>996</v>
      </c>
      <c r="C5541" s="213">
        <v>45372</v>
      </c>
      <c r="D5541" s="18" t="s">
        <v>52</v>
      </c>
      <c r="E5541" s="18" t="s">
        <v>53</v>
      </c>
      <c r="F5541" s="18" t="s">
        <v>54</v>
      </c>
      <c r="H5541" s="325">
        <v>1.2379</v>
      </c>
      <c r="I5541" s="325"/>
      <c r="J5541" s="18" t="s">
        <v>82</v>
      </c>
      <c r="K5541" s="75">
        <v>1200</v>
      </c>
      <c r="L5541" s="75">
        <v>30</v>
      </c>
      <c r="M5541" s="75">
        <v>5800</v>
      </c>
      <c r="N5541" s="75" t="s">
        <v>40</v>
      </c>
      <c r="O5541" s="75" t="s">
        <v>98</v>
      </c>
      <c r="P5541" s="75">
        <v>1224</v>
      </c>
      <c r="Q5541" s="75"/>
      <c r="R5541" s="75">
        <f t="shared" si="247"/>
        <v>1224</v>
      </c>
      <c r="S5541" s="75">
        <v>2450</v>
      </c>
      <c r="T5541" s="75" t="s">
        <v>42</v>
      </c>
      <c r="U5541" s="137" t="s">
        <v>1425</v>
      </c>
      <c r="V5541" s="193">
        <v>45384</v>
      </c>
      <c r="W5541" s="18" t="s">
        <v>58</v>
      </c>
      <c r="Y5541" s="114">
        <v>45413</v>
      </c>
      <c r="Z5541" s="18" t="s">
        <v>191</v>
      </c>
      <c r="AA5541" s="18" t="s">
        <v>46</v>
      </c>
      <c r="AC5541" s="137"/>
      <c r="AD5541" s="77"/>
      <c r="AE5541" s="18" t="s">
        <v>48</v>
      </c>
      <c r="AF5541" s="18" t="s">
        <v>1</v>
      </c>
    </row>
    <row r="5542" s="18" customFormat="1" hidden="1" spans="1:32">
      <c r="B5542" s="75">
        <v>996</v>
      </c>
      <c r="C5542" s="213">
        <v>45372</v>
      </c>
      <c r="D5542" s="18" t="s">
        <v>52</v>
      </c>
      <c r="E5542" s="18" t="s">
        <v>53</v>
      </c>
      <c r="F5542" s="18" t="s">
        <v>54</v>
      </c>
      <c r="H5542" s="325">
        <v>1.2379</v>
      </c>
      <c r="I5542" s="325"/>
      <c r="J5542" s="18" t="s">
        <v>82</v>
      </c>
      <c r="K5542" s="75">
        <v>1200</v>
      </c>
      <c r="L5542" s="75">
        <v>38</v>
      </c>
      <c r="M5542" s="75">
        <v>5800</v>
      </c>
      <c r="N5542" s="75" t="s">
        <v>40</v>
      </c>
      <c r="O5542" s="75" t="s">
        <v>98</v>
      </c>
      <c r="P5542" s="75">
        <v>1551</v>
      </c>
      <c r="Q5542" s="75"/>
      <c r="R5542" s="75">
        <f t="shared" si="247"/>
        <v>1551</v>
      </c>
      <c r="S5542" s="75">
        <v>2450</v>
      </c>
      <c r="T5542" s="75" t="s">
        <v>42</v>
      </c>
      <c r="U5542" s="137" t="s">
        <v>1425</v>
      </c>
      <c r="V5542" s="193">
        <v>45384</v>
      </c>
      <c r="W5542" s="18" t="s">
        <v>58</v>
      </c>
      <c r="Y5542" s="114">
        <v>45413</v>
      </c>
      <c r="Z5542" s="18" t="s">
        <v>191</v>
      </c>
      <c r="AA5542" s="18" t="s">
        <v>46</v>
      </c>
      <c r="AC5542" s="137"/>
      <c r="AD5542" s="77"/>
      <c r="AE5542" s="18" t="s">
        <v>48</v>
      </c>
      <c r="AF5542" s="18" t="s">
        <v>1</v>
      </c>
    </row>
    <row r="5543" s="18" customFormat="1" hidden="1" spans="1:32">
      <c r="B5543" s="75">
        <v>996</v>
      </c>
      <c r="C5543" s="213">
        <v>45372</v>
      </c>
      <c r="D5543" s="18" t="s">
        <v>52</v>
      </c>
      <c r="E5543" s="18" t="s">
        <v>53</v>
      </c>
      <c r="F5543" s="18" t="s">
        <v>54</v>
      </c>
      <c r="H5543" s="325">
        <v>1.2379</v>
      </c>
      <c r="I5543" s="325"/>
      <c r="J5543" s="18" t="s">
        <v>82</v>
      </c>
      <c r="K5543" s="75">
        <v>1200</v>
      </c>
      <c r="L5543" s="75">
        <v>49</v>
      </c>
      <c r="M5543" s="75">
        <v>5800</v>
      </c>
      <c r="N5543" s="75" t="s">
        <v>40</v>
      </c>
      <c r="O5543" s="75" t="s">
        <v>98</v>
      </c>
      <c r="P5543" s="75">
        <v>2000</v>
      </c>
      <c r="Q5543" s="75"/>
      <c r="R5543" s="75">
        <f t="shared" si="247"/>
        <v>2000</v>
      </c>
      <c r="S5543" s="75">
        <v>2450</v>
      </c>
      <c r="T5543" s="75" t="s">
        <v>42</v>
      </c>
      <c r="U5543" s="137" t="s">
        <v>1425</v>
      </c>
      <c r="V5543" s="193">
        <v>45384</v>
      </c>
      <c r="W5543" s="18" t="s">
        <v>58</v>
      </c>
      <c r="Y5543" s="114">
        <v>45413</v>
      </c>
      <c r="Z5543" s="18" t="s">
        <v>191</v>
      </c>
      <c r="AA5543" s="18" t="s">
        <v>46</v>
      </c>
      <c r="AC5543" s="137"/>
      <c r="AD5543" s="77"/>
      <c r="AE5543" s="18" t="s">
        <v>48</v>
      </c>
      <c r="AF5543" s="18" t="s">
        <v>1</v>
      </c>
    </row>
    <row r="5544" s="18" customFormat="1" hidden="1" spans="1:32">
      <c r="B5544" s="75">
        <v>996</v>
      </c>
      <c r="C5544" s="213">
        <v>45372</v>
      </c>
      <c r="D5544" s="18" t="s">
        <v>52</v>
      </c>
      <c r="E5544" s="18" t="s">
        <v>53</v>
      </c>
      <c r="F5544" s="18" t="s">
        <v>54</v>
      </c>
      <c r="H5544" s="325">
        <v>1.2379</v>
      </c>
      <c r="I5544" s="325"/>
      <c r="J5544" s="18" t="s">
        <v>82</v>
      </c>
      <c r="K5544" s="75">
        <v>1200</v>
      </c>
      <c r="L5544" s="75">
        <v>63</v>
      </c>
      <c r="M5544" s="75">
        <v>5800</v>
      </c>
      <c r="N5544" s="75" t="s">
        <v>40</v>
      </c>
      <c r="O5544" s="75" t="s">
        <v>98</v>
      </c>
      <c r="P5544" s="75">
        <v>2571</v>
      </c>
      <c r="Q5544" s="75"/>
      <c r="R5544" s="75">
        <f t="shared" si="247"/>
        <v>2571</v>
      </c>
      <c r="S5544" s="75">
        <v>2450</v>
      </c>
      <c r="T5544" s="75" t="s">
        <v>42</v>
      </c>
      <c r="U5544" s="137" t="s">
        <v>1425</v>
      </c>
      <c r="V5544" s="193">
        <v>45384</v>
      </c>
      <c r="W5544" s="18" t="s">
        <v>58</v>
      </c>
      <c r="Y5544" s="114">
        <v>45413</v>
      </c>
      <c r="Z5544" s="18" t="s">
        <v>191</v>
      </c>
      <c r="AA5544" s="18" t="s">
        <v>46</v>
      </c>
      <c r="AC5544" s="137"/>
      <c r="AD5544" s="77"/>
      <c r="AE5544" s="18" t="s">
        <v>48</v>
      </c>
      <c r="AF5544" s="18" t="s">
        <v>1</v>
      </c>
    </row>
    <row r="5545" s="18" customFormat="1" hidden="1" spans="1:32">
      <c r="B5545" s="75">
        <v>996</v>
      </c>
      <c r="C5545" s="213">
        <v>45372</v>
      </c>
      <c r="D5545" s="18" t="s">
        <v>52</v>
      </c>
      <c r="E5545" s="18" t="s">
        <v>53</v>
      </c>
      <c r="F5545" s="18" t="s">
        <v>54</v>
      </c>
      <c r="H5545" s="325">
        <v>1.251</v>
      </c>
      <c r="I5545" s="325"/>
      <c r="J5545" s="18" t="s">
        <v>82</v>
      </c>
      <c r="K5545" s="75">
        <v>1800</v>
      </c>
      <c r="L5545" s="75">
        <v>10</v>
      </c>
      <c r="M5545" s="75">
        <v>5800</v>
      </c>
      <c r="N5545" s="75" t="s">
        <v>40</v>
      </c>
      <c r="O5545" s="75" t="s">
        <v>98</v>
      </c>
      <c r="P5545" s="75">
        <v>522</v>
      </c>
      <c r="Q5545" s="75"/>
      <c r="R5545" s="75">
        <f t="shared" si="247"/>
        <v>522</v>
      </c>
      <c r="S5545" s="75">
        <v>1695</v>
      </c>
      <c r="T5545" s="75" t="s">
        <v>42</v>
      </c>
      <c r="U5545" s="137" t="s">
        <v>1425</v>
      </c>
      <c r="V5545" s="193">
        <v>45384</v>
      </c>
      <c r="W5545" s="18" t="s">
        <v>58</v>
      </c>
      <c r="Y5545" s="114">
        <v>45413</v>
      </c>
      <c r="Z5545" s="18" t="s">
        <v>191</v>
      </c>
      <c r="AA5545" s="18" t="s">
        <v>46</v>
      </c>
      <c r="AC5545" s="137"/>
      <c r="AD5545" s="77"/>
      <c r="AE5545" s="18" t="s">
        <v>48</v>
      </c>
      <c r="AF5545" s="18" t="s">
        <v>1</v>
      </c>
    </row>
    <row r="5546" s="18" customFormat="1" hidden="1" spans="1:32">
      <c r="B5546" s="75">
        <v>996</v>
      </c>
      <c r="C5546" s="213">
        <v>45372</v>
      </c>
      <c r="D5546" s="18" t="s">
        <v>52</v>
      </c>
      <c r="E5546" s="18" t="s">
        <v>53</v>
      </c>
      <c r="F5546" s="18" t="s">
        <v>54</v>
      </c>
      <c r="H5546" s="325">
        <v>1.251</v>
      </c>
      <c r="I5546" s="325"/>
      <c r="J5546" s="18" t="s">
        <v>82</v>
      </c>
      <c r="K5546" s="75">
        <v>1800</v>
      </c>
      <c r="L5546" s="75">
        <v>14</v>
      </c>
      <c r="M5546" s="75">
        <v>5800</v>
      </c>
      <c r="N5546" s="75" t="s">
        <v>40</v>
      </c>
      <c r="O5546" s="75" t="s">
        <v>98</v>
      </c>
      <c r="P5546" s="75">
        <v>730</v>
      </c>
      <c r="Q5546" s="75"/>
      <c r="R5546" s="75">
        <f t="shared" si="247"/>
        <v>730</v>
      </c>
      <c r="S5546" s="75">
        <v>1695</v>
      </c>
      <c r="T5546" s="75" t="s">
        <v>42</v>
      </c>
      <c r="U5546" s="137" t="s">
        <v>1425</v>
      </c>
      <c r="V5546" s="193">
        <v>45384</v>
      </c>
      <c r="W5546" s="18" t="s">
        <v>58</v>
      </c>
      <c r="Y5546" s="114">
        <v>45413</v>
      </c>
      <c r="Z5546" s="18" t="s">
        <v>191</v>
      </c>
      <c r="AA5546" s="18" t="s">
        <v>46</v>
      </c>
      <c r="AC5546" s="137"/>
      <c r="AD5546" s="77"/>
      <c r="AE5546" s="18" t="s">
        <v>48</v>
      </c>
      <c r="AF5546" s="18" t="s">
        <v>1</v>
      </c>
    </row>
    <row r="5547" s="18" customFormat="1" hidden="1" spans="1:32">
      <c r="B5547" s="75">
        <v>996</v>
      </c>
      <c r="C5547" s="213">
        <v>45372</v>
      </c>
      <c r="D5547" s="18" t="s">
        <v>52</v>
      </c>
      <c r="E5547" s="18" t="s">
        <v>53</v>
      </c>
      <c r="F5547" s="18" t="s">
        <v>54</v>
      </c>
      <c r="H5547" s="325">
        <v>1.251</v>
      </c>
      <c r="I5547" s="325"/>
      <c r="J5547" s="18" t="s">
        <v>82</v>
      </c>
      <c r="K5547" s="75">
        <v>1800</v>
      </c>
      <c r="L5547" s="75">
        <v>18</v>
      </c>
      <c r="M5547" s="75">
        <v>5800</v>
      </c>
      <c r="N5547" s="75" t="s">
        <v>40</v>
      </c>
      <c r="O5547" s="75" t="s">
        <v>98</v>
      </c>
      <c r="P5547" s="75">
        <v>939</v>
      </c>
      <c r="Q5547" s="75"/>
      <c r="R5547" s="75">
        <f t="shared" si="247"/>
        <v>939</v>
      </c>
      <c r="S5547" s="75">
        <v>1695</v>
      </c>
      <c r="T5547" s="75" t="s">
        <v>42</v>
      </c>
      <c r="U5547" s="137" t="s">
        <v>1425</v>
      </c>
      <c r="V5547" s="193">
        <v>45384</v>
      </c>
      <c r="W5547" s="18" t="s">
        <v>58</v>
      </c>
      <c r="Y5547" s="114">
        <v>45413</v>
      </c>
      <c r="Z5547" s="18" t="s">
        <v>191</v>
      </c>
      <c r="AA5547" s="18" t="s">
        <v>46</v>
      </c>
      <c r="AC5547" s="137"/>
      <c r="AD5547" s="77"/>
      <c r="AE5547" s="18" t="s">
        <v>48</v>
      </c>
      <c r="AF5547" s="18" t="s">
        <v>1</v>
      </c>
    </row>
    <row r="5548" s="18" customFormat="1" hidden="1" spans="1:32">
      <c r="B5548" s="75">
        <v>996</v>
      </c>
      <c r="C5548" s="213">
        <v>45372</v>
      </c>
      <c r="D5548" s="18" t="s">
        <v>52</v>
      </c>
      <c r="E5548" s="18" t="s">
        <v>53</v>
      </c>
      <c r="F5548" s="18" t="s">
        <v>54</v>
      </c>
      <c r="H5548" s="325">
        <v>1.251</v>
      </c>
      <c r="I5548" s="325"/>
      <c r="J5548" s="18" t="s">
        <v>82</v>
      </c>
      <c r="K5548" s="75">
        <v>1800</v>
      </c>
      <c r="L5548" s="75">
        <v>24</v>
      </c>
      <c r="M5548" s="75">
        <v>5800</v>
      </c>
      <c r="N5548" s="75" t="s">
        <v>40</v>
      </c>
      <c r="O5548" s="75" t="s">
        <v>98</v>
      </c>
      <c r="P5548" s="75">
        <v>1252</v>
      </c>
      <c r="Q5548" s="75"/>
      <c r="R5548" s="75">
        <f t="shared" si="247"/>
        <v>1252</v>
      </c>
      <c r="S5548" s="75">
        <v>1695</v>
      </c>
      <c r="T5548" s="75" t="s">
        <v>42</v>
      </c>
      <c r="U5548" s="137" t="s">
        <v>1425</v>
      </c>
      <c r="V5548" s="193">
        <v>45384</v>
      </c>
      <c r="W5548" s="18" t="s">
        <v>58</v>
      </c>
      <c r="Y5548" s="114">
        <v>45413</v>
      </c>
      <c r="Z5548" s="18" t="s">
        <v>191</v>
      </c>
      <c r="AA5548" s="18" t="s">
        <v>46</v>
      </c>
      <c r="AC5548" s="137"/>
      <c r="AD5548" s="77"/>
      <c r="AE5548" s="18" t="s">
        <v>48</v>
      </c>
      <c r="AF5548" s="18" t="s">
        <v>1</v>
      </c>
    </row>
    <row r="5549" s="18" customFormat="1" hidden="1" spans="1:32">
      <c r="B5549" s="75">
        <v>996</v>
      </c>
      <c r="C5549" s="213">
        <v>45372</v>
      </c>
      <c r="D5549" s="18" t="s">
        <v>52</v>
      </c>
      <c r="E5549" s="18" t="s">
        <v>53</v>
      </c>
      <c r="F5549" s="18" t="s">
        <v>54</v>
      </c>
      <c r="H5549" s="325">
        <v>1.251</v>
      </c>
      <c r="I5549" s="325"/>
      <c r="J5549" s="18" t="s">
        <v>82</v>
      </c>
      <c r="K5549" s="75">
        <v>1800</v>
      </c>
      <c r="L5549" s="75">
        <v>30</v>
      </c>
      <c r="M5549" s="75">
        <v>5800</v>
      </c>
      <c r="N5549" s="75" t="s">
        <v>40</v>
      </c>
      <c r="O5549" s="75" t="s">
        <v>98</v>
      </c>
      <c r="P5549" s="75">
        <v>1566</v>
      </c>
      <c r="Q5549" s="75"/>
      <c r="R5549" s="75">
        <f t="shared" si="247"/>
        <v>1566</v>
      </c>
      <c r="S5549" s="75">
        <v>1695</v>
      </c>
      <c r="T5549" s="75" t="s">
        <v>42</v>
      </c>
      <c r="U5549" s="137" t="s">
        <v>1425</v>
      </c>
      <c r="V5549" s="193">
        <v>45384</v>
      </c>
      <c r="W5549" s="18" t="s">
        <v>58</v>
      </c>
      <c r="Y5549" s="114">
        <v>45413</v>
      </c>
      <c r="Z5549" s="18" t="s">
        <v>191</v>
      </c>
      <c r="AA5549" s="18" t="s">
        <v>46</v>
      </c>
      <c r="AC5549" s="137"/>
      <c r="AD5549" s="77"/>
      <c r="AE5549" s="18" t="s">
        <v>48</v>
      </c>
      <c r="AF5549" s="18" t="s">
        <v>1</v>
      </c>
    </row>
    <row r="5550" s="18" customFormat="1" hidden="1" spans="1:32">
      <c r="B5550" s="75">
        <v>996</v>
      </c>
      <c r="C5550" s="213">
        <v>45372</v>
      </c>
      <c r="D5550" s="18" t="s">
        <v>52</v>
      </c>
      <c r="E5550" s="18" t="s">
        <v>53</v>
      </c>
      <c r="F5550" s="18" t="s">
        <v>54</v>
      </c>
      <c r="H5550" s="325">
        <v>1.251</v>
      </c>
      <c r="I5550" s="325"/>
      <c r="J5550" s="18" t="s">
        <v>82</v>
      </c>
      <c r="K5550" s="75">
        <v>1800</v>
      </c>
      <c r="L5550" s="75">
        <v>38</v>
      </c>
      <c r="M5550" s="75">
        <v>5800</v>
      </c>
      <c r="N5550" s="75" t="s">
        <v>40</v>
      </c>
      <c r="O5550" s="75" t="s">
        <v>98</v>
      </c>
      <c r="P5550" s="75">
        <v>1983</v>
      </c>
      <c r="Q5550" s="75"/>
      <c r="R5550" s="75">
        <f t="shared" si="247"/>
        <v>1983</v>
      </c>
      <c r="S5550" s="75">
        <v>1695</v>
      </c>
      <c r="T5550" s="75" t="s">
        <v>42</v>
      </c>
      <c r="U5550" s="137" t="s">
        <v>1425</v>
      </c>
      <c r="V5550" s="193">
        <v>45384</v>
      </c>
      <c r="W5550" s="18" t="s">
        <v>58</v>
      </c>
      <c r="Y5550" s="114">
        <v>45413</v>
      </c>
      <c r="Z5550" s="18" t="s">
        <v>191</v>
      </c>
      <c r="AA5550" s="18" t="s">
        <v>46</v>
      </c>
      <c r="AC5550" s="137"/>
      <c r="AD5550" s="77"/>
      <c r="AE5550" s="18" t="s">
        <v>48</v>
      </c>
      <c r="AF5550" s="18" t="s">
        <v>1</v>
      </c>
    </row>
    <row r="5551" s="17" customFormat="1" hidden="1" spans="1:32">
      <c r="A5551" s="17" t="s">
        <v>34</v>
      </c>
      <c r="B5551" s="19">
        <v>997</v>
      </c>
      <c r="C5551" s="183">
        <v>45392</v>
      </c>
      <c r="D5551" s="17" t="s">
        <v>52</v>
      </c>
      <c r="E5551" s="17" t="s">
        <v>1113</v>
      </c>
      <c r="F5551" s="17" t="s">
        <v>54</v>
      </c>
      <c r="H5551" s="141" t="s">
        <v>1370</v>
      </c>
      <c r="I5551" s="141"/>
      <c r="J5551" s="17" t="s">
        <v>49</v>
      </c>
      <c r="K5551" s="19">
        <v>2200</v>
      </c>
      <c r="L5551" s="19">
        <v>22</v>
      </c>
      <c r="M5551" s="19">
        <v>4500</v>
      </c>
      <c r="N5551" s="19" t="s">
        <v>40</v>
      </c>
      <c r="O5551" s="19" t="s">
        <v>84</v>
      </c>
      <c r="P5551" s="19">
        <v>1710</v>
      </c>
      <c r="Q5551" s="19">
        <v>1805</v>
      </c>
      <c r="R5551" s="19">
        <f t="shared" si="247"/>
        <v>-95</v>
      </c>
      <c r="S5551" s="19">
        <f>855</f>
        <v>855</v>
      </c>
      <c r="T5551" s="19" t="s">
        <v>42</v>
      </c>
      <c r="U5551" s="102" t="s">
        <v>1426</v>
      </c>
      <c r="V5551" s="186">
        <v>45421</v>
      </c>
      <c r="W5551" s="17" t="s">
        <v>69</v>
      </c>
      <c r="Y5551" s="68">
        <v>45444</v>
      </c>
      <c r="Z5551" s="17" t="s">
        <v>191</v>
      </c>
      <c r="AA5551" s="17" t="s">
        <v>1427</v>
      </c>
      <c r="AB5551" s="17" t="s">
        <v>1428</v>
      </c>
      <c r="AC5551" s="217">
        <v>45476</v>
      </c>
      <c r="AD5551" s="65">
        <v>1595</v>
      </c>
      <c r="AE5551" s="17" t="s">
        <v>48</v>
      </c>
    </row>
    <row r="5552" s="17" customFormat="1" hidden="1" spans="1:32">
      <c r="A5552" s="17" t="s">
        <v>34</v>
      </c>
      <c r="B5552" s="19">
        <v>997</v>
      </c>
      <c r="C5552" s="183">
        <v>45392</v>
      </c>
      <c r="D5552" s="17" t="s">
        <v>52</v>
      </c>
      <c r="E5552" s="17" t="s">
        <v>1113</v>
      </c>
      <c r="F5552" s="17" t="s">
        <v>54</v>
      </c>
      <c r="H5552" s="141" t="s">
        <v>1370</v>
      </c>
      <c r="I5552" s="141"/>
      <c r="J5552" s="17" t="s">
        <v>49</v>
      </c>
      <c r="K5552" s="19">
        <v>2200</v>
      </c>
      <c r="L5552" s="19">
        <v>25</v>
      </c>
      <c r="M5552" s="19">
        <v>4500</v>
      </c>
      <c r="N5552" s="19" t="s">
        <v>40</v>
      </c>
      <c r="O5552" s="19" t="s">
        <v>84</v>
      </c>
      <c r="P5552" s="19">
        <v>1943</v>
      </c>
      <c r="Q5552" s="19">
        <v>2024</v>
      </c>
      <c r="R5552" s="19">
        <f t="shared" si="247"/>
        <v>-81</v>
      </c>
      <c r="S5552" s="19">
        <f>835</f>
        <v>835</v>
      </c>
      <c r="T5552" s="19" t="s">
        <v>42</v>
      </c>
      <c r="U5552" s="102" t="s">
        <v>1426</v>
      </c>
      <c r="V5552" s="186">
        <v>45421</v>
      </c>
      <c r="W5552" s="17" t="s">
        <v>69</v>
      </c>
      <c r="Y5552" s="68">
        <v>45444</v>
      </c>
      <c r="Z5552" s="17" t="s">
        <v>191</v>
      </c>
      <c r="AA5552" s="17" t="s">
        <v>1427</v>
      </c>
      <c r="AB5552" s="17" t="s">
        <v>1428</v>
      </c>
      <c r="AC5552" s="217">
        <v>45476</v>
      </c>
      <c r="AD5552" s="65">
        <v>1595</v>
      </c>
      <c r="AE5552" s="17" t="s">
        <v>48</v>
      </c>
    </row>
    <row r="5553" s="17" customFormat="1" hidden="1" spans="1:31">
      <c r="A5553" s="17" t="s">
        <v>34</v>
      </c>
      <c r="B5553" s="19">
        <v>997</v>
      </c>
      <c r="C5553" s="183">
        <v>45392</v>
      </c>
      <c r="D5553" s="17" t="s">
        <v>52</v>
      </c>
      <c r="E5553" s="17" t="s">
        <v>1113</v>
      </c>
      <c r="F5553" s="17" t="s">
        <v>54</v>
      </c>
      <c r="H5553" s="141" t="s">
        <v>1370</v>
      </c>
      <c r="I5553" s="141"/>
      <c r="J5553" s="17" t="s">
        <v>49</v>
      </c>
      <c r="K5553" s="19">
        <v>2200</v>
      </c>
      <c r="L5553" s="19">
        <v>30</v>
      </c>
      <c r="M5553" s="19">
        <v>4500</v>
      </c>
      <c r="N5553" s="19" t="s">
        <v>40</v>
      </c>
      <c r="O5553" s="19" t="s">
        <v>84</v>
      </c>
      <c r="P5553" s="19">
        <v>2331</v>
      </c>
      <c r="Q5553" s="19">
        <v>2367</v>
      </c>
      <c r="R5553" s="19">
        <f t="shared" si="247"/>
        <v>-36</v>
      </c>
      <c r="S5553" s="19">
        <f>835</f>
        <v>835</v>
      </c>
      <c r="T5553" s="19" t="s">
        <v>42</v>
      </c>
      <c r="U5553" s="102" t="s">
        <v>1426</v>
      </c>
      <c r="V5553" s="186">
        <v>45421</v>
      </c>
      <c r="W5553" s="17" t="s">
        <v>69</v>
      </c>
      <c r="Y5553" s="68">
        <v>45444</v>
      </c>
      <c r="Z5553" s="17" t="s">
        <v>191</v>
      </c>
      <c r="AA5553" s="17" t="s">
        <v>1427</v>
      </c>
      <c r="AB5553" s="17" t="s">
        <v>1428</v>
      </c>
      <c r="AC5553" s="217">
        <v>45476</v>
      </c>
      <c r="AD5553" s="65">
        <v>1595</v>
      </c>
      <c r="AE5553" s="17" t="s">
        <v>48</v>
      </c>
    </row>
    <row r="5554" s="17" customFormat="1" hidden="1" spans="1:31">
      <c r="A5554" s="17" t="s">
        <v>34</v>
      </c>
      <c r="B5554" s="19">
        <v>997</v>
      </c>
      <c r="C5554" s="183">
        <v>45392</v>
      </c>
      <c r="D5554" s="17" t="s">
        <v>52</v>
      </c>
      <c r="E5554" s="17" t="s">
        <v>1113</v>
      </c>
      <c r="F5554" s="17" t="s">
        <v>54</v>
      </c>
      <c r="H5554" s="141" t="s">
        <v>1370</v>
      </c>
      <c r="I5554" s="141"/>
      <c r="J5554" s="17" t="s">
        <v>49</v>
      </c>
      <c r="K5554" s="19">
        <v>2200</v>
      </c>
      <c r="L5554" s="19">
        <v>32</v>
      </c>
      <c r="M5554" s="19">
        <v>4500</v>
      </c>
      <c r="N5554" s="19" t="s">
        <v>40</v>
      </c>
      <c r="O5554" s="19" t="s">
        <v>84</v>
      </c>
      <c r="P5554" s="19">
        <v>7461</v>
      </c>
      <c r="Q5554" s="19">
        <f>2536+2530+2546</f>
        <v>7612</v>
      </c>
      <c r="R5554" s="19">
        <f t="shared" si="247"/>
        <v>-151</v>
      </c>
      <c r="S5554" s="19">
        <f>805</f>
        <v>805</v>
      </c>
      <c r="T5554" s="19" t="s">
        <v>42</v>
      </c>
      <c r="U5554" s="102" t="s">
        <v>1426</v>
      </c>
      <c r="V5554" s="186">
        <v>45421</v>
      </c>
      <c r="W5554" s="17" t="s">
        <v>69</v>
      </c>
      <c r="Y5554" s="68">
        <v>45444</v>
      </c>
      <c r="Z5554" s="17" t="s">
        <v>191</v>
      </c>
      <c r="AA5554" s="17" t="s">
        <v>1427</v>
      </c>
      <c r="AB5554" s="17" t="s">
        <v>1428</v>
      </c>
      <c r="AC5554" s="217">
        <v>45476</v>
      </c>
      <c r="AD5554" s="65">
        <v>1595</v>
      </c>
      <c r="AE5554" s="17" t="s">
        <v>48</v>
      </c>
    </row>
    <row r="5555" s="17" customFormat="1" hidden="1" spans="1:31">
      <c r="A5555" s="17" t="s">
        <v>34</v>
      </c>
      <c r="B5555" s="19">
        <v>997</v>
      </c>
      <c r="C5555" s="183">
        <v>45392</v>
      </c>
      <c r="D5555" s="17" t="s">
        <v>52</v>
      </c>
      <c r="E5555" s="17" t="s">
        <v>1113</v>
      </c>
      <c r="F5555" s="17" t="s">
        <v>54</v>
      </c>
      <c r="H5555" s="141" t="s">
        <v>1370</v>
      </c>
      <c r="I5555" s="141"/>
      <c r="J5555" s="17" t="s">
        <v>49</v>
      </c>
      <c r="K5555" s="19">
        <v>2200</v>
      </c>
      <c r="L5555" s="19">
        <v>35</v>
      </c>
      <c r="M5555" s="19">
        <v>4500</v>
      </c>
      <c r="N5555" s="19" t="s">
        <v>40</v>
      </c>
      <c r="O5555" s="19" t="s">
        <v>84</v>
      </c>
      <c r="P5555" s="19">
        <v>5440</v>
      </c>
      <c r="Q5555" s="19">
        <f>2823+2807</f>
        <v>5630</v>
      </c>
      <c r="R5555" s="19">
        <f t="shared" si="247"/>
        <v>-190</v>
      </c>
      <c r="S5555" s="19">
        <f>805</f>
        <v>805</v>
      </c>
      <c r="T5555" s="19" t="s">
        <v>42</v>
      </c>
      <c r="U5555" s="102" t="s">
        <v>1426</v>
      </c>
      <c r="V5555" s="186">
        <v>45421</v>
      </c>
      <c r="W5555" s="17" t="s">
        <v>69</v>
      </c>
      <c r="Y5555" s="68">
        <v>45444</v>
      </c>
      <c r="Z5555" s="17" t="s">
        <v>191</v>
      </c>
      <c r="AA5555" s="17" t="s">
        <v>1427</v>
      </c>
      <c r="AB5555" s="17" t="s">
        <v>1428</v>
      </c>
      <c r="AC5555" s="217">
        <v>45476</v>
      </c>
      <c r="AD5555" s="65">
        <v>1595</v>
      </c>
      <c r="AE5555" s="17" t="s">
        <v>48</v>
      </c>
    </row>
    <row r="5556" s="17" customFormat="1" hidden="1" spans="1:31">
      <c r="A5556" s="17" t="s">
        <v>34</v>
      </c>
      <c r="B5556" s="19">
        <v>997</v>
      </c>
      <c r="C5556" s="183">
        <v>45392</v>
      </c>
      <c r="D5556" s="17" t="s">
        <v>52</v>
      </c>
      <c r="E5556" s="17" t="s">
        <v>1113</v>
      </c>
      <c r="F5556" s="17" t="s">
        <v>54</v>
      </c>
      <c r="H5556" s="141" t="s">
        <v>1370</v>
      </c>
      <c r="I5556" s="141"/>
      <c r="J5556" s="17" t="s">
        <v>49</v>
      </c>
      <c r="K5556" s="19">
        <v>2200</v>
      </c>
      <c r="L5556" s="19">
        <v>40</v>
      </c>
      <c r="M5556" s="19">
        <v>4500</v>
      </c>
      <c r="N5556" s="19" t="s">
        <v>40</v>
      </c>
      <c r="O5556" s="19" t="s">
        <v>84</v>
      </c>
      <c r="P5556" s="19">
        <v>3109</v>
      </c>
      <c r="Q5556" s="19">
        <v>3250</v>
      </c>
      <c r="R5556" s="19">
        <f t="shared" si="247"/>
        <v>-141</v>
      </c>
      <c r="S5556" s="19">
        <f>795</f>
        <v>795</v>
      </c>
      <c r="T5556" s="19" t="s">
        <v>42</v>
      </c>
      <c r="U5556" s="102" t="s">
        <v>1426</v>
      </c>
      <c r="V5556" s="186">
        <v>45421</v>
      </c>
      <c r="W5556" s="17" t="s">
        <v>69</v>
      </c>
      <c r="Y5556" s="68">
        <v>45444</v>
      </c>
      <c r="Z5556" s="17" t="s">
        <v>191</v>
      </c>
      <c r="AA5556" s="17" t="s">
        <v>1427</v>
      </c>
      <c r="AB5556" s="17" t="s">
        <v>1428</v>
      </c>
      <c r="AC5556" s="217">
        <v>45476</v>
      </c>
      <c r="AD5556" s="65">
        <v>1595</v>
      </c>
      <c r="AE5556" s="17" t="s">
        <v>48</v>
      </c>
    </row>
    <row r="5557" s="17" customFormat="1" hidden="1" spans="1:31">
      <c r="A5557" s="17" t="s">
        <v>34</v>
      </c>
      <c r="B5557" s="19">
        <v>997</v>
      </c>
      <c r="C5557" s="183">
        <v>45392</v>
      </c>
      <c r="D5557" s="17" t="s">
        <v>52</v>
      </c>
      <c r="E5557" s="17" t="s">
        <v>1113</v>
      </c>
      <c r="F5557" s="17" t="s">
        <v>54</v>
      </c>
      <c r="H5557" s="141" t="s">
        <v>1370</v>
      </c>
      <c r="I5557" s="141"/>
      <c r="J5557" s="17" t="s">
        <v>49</v>
      </c>
      <c r="K5557" s="19">
        <v>2200</v>
      </c>
      <c r="L5557" s="19">
        <v>45</v>
      </c>
      <c r="M5557" s="19">
        <v>4500</v>
      </c>
      <c r="N5557" s="19" t="s">
        <v>40</v>
      </c>
      <c r="O5557" s="19" t="s">
        <v>84</v>
      </c>
      <c r="P5557" s="19">
        <v>3497</v>
      </c>
      <c r="Q5557" s="19">
        <v>3609</v>
      </c>
      <c r="R5557" s="19">
        <f t="shared" si="247"/>
        <v>-112</v>
      </c>
      <c r="S5557" s="19">
        <f>790</f>
        <v>790</v>
      </c>
      <c r="T5557" s="19" t="s">
        <v>42</v>
      </c>
      <c r="U5557" s="102" t="s">
        <v>1426</v>
      </c>
      <c r="V5557" s="186">
        <v>45421</v>
      </c>
      <c r="W5557" s="17" t="s">
        <v>69</v>
      </c>
      <c r="Y5557" s="68">
        <v>45444</v>
      </c>
      <c r="Z5557" s="17" t="s">
        <v>191</v>
      </c>
      <c r="AA5557" s="17" t="s">
        <v>1427</v>
      </c>
      <c r="AB5557" s="17" t="s">
        <v>1428</v>
      </c>
      <c r="AC5557" s="217">
        <v>45476</v>
      </c>
      <c r="AD5557" s="65">
        <v>1595</v>
      </c>
      <c r="AE5557" s="17" t="s">
        <v>48</v>
      </c>
    </row>
    <row r="5558" s="17" customFormat="1" hidden="1" spans="1:31">
      <c r="A5558" s="17" t="s">
        <v>34</v>
      </c>
      <c r="B5558" s="19">
        <v>998</v>
      </c>
      <c r="C5558" s="183">
        <v>45397</v>
      </c>
      <c r="D5558" s="17" t="s">
        <v>35</v>
      </c>
      <c r="E5558" s="17" t="s">
        <v>718</v>
      </c>
      <c r="F5558" s="17" t="s">
        <v>37</v>
      </c>
      <c r="H5558" s="141" t="s">
        <v>38</v>
      </c>
      <c r="I5558" s="141"/>
      <c r="J5558" s="17" t="s">
        <v>39</v>
      </c>
      <c r="K5558" s="19">
        <v>43</v>
      </c>
      <c r="L5558" s="19"/>
      <c r="M5558" s="19"/>
      <c r="N5558" s="19" t="s">
        <v>40</v>
      </c>
      <c r="O5558" s="19" t="s">
        <v>84</v>
      </c>
      <c r="P5558" s="232">
        <v>476</v>
      </c>
      <c r="Q5558" s="232">
        <v>478</v>
      </c>
      <c r="R5558" s="19">
        <f t="shared" si="247"/>
        <v>-2</v>
      </c>
      <c r="S5558" s="91">
        <v>3345</v>
      </c>
      <c r="T5558" s="91" t="s">
        <v>42</v>
      </c>
      <c r="U5558" s="102" t="s">
        <v>1429</v>
      </c>
      <c r="V5558" s="186">
        <v>45406</v>
      </c>
      <c r="W5558" s="17" t="s">
        <v>44</v>
      </c>
      <c r="Y5558" s="68">
        <v>45474</v>
      </c>
      <c r="Z5558" s="17" t="s">
        <v>78</v>
      </c>
      <c r="AA5558" s="17" t="s">
        <v>46</v>
      </c>
      <c r="AB5558" s="17" t="s">
        <v>1430</v>
      </c>
      <c r="AC5558" s="217">
        <v>45592</v>
      </c>
      <c r="AD5558" s="65">
        <v>1627</v>
      </c>
      <c r="AE5558" s="17" t="s">
        <v>48</v>
      </c>
    </row>
    <row r="5559" s="17" customFormat="1" hidden="1" spans="1:31">
      <c r="A5559" s="17" t="s">
        <v>34</v>
      </c>
      <c r="B5559" s="19">
        <v>998</v>
      </c>
      <c r="C5559" s="183">
        <v>45397</v>
      </c>
      <c r="D5559" s="17" t="s">
        <v>35</v>
      </c>
      <c r="E5559" s="17" t="s">
        <v>718</v>
      </c>
      <c r="F5559" s="17" t="s">
        <v>37</v>
      </c>
      <c r="H5559" s="141" t="s">
        <v>38</v>
      </c>
      <c r="I5559" s="141"/>
      <c r="J5559" s="17" t="s">
        <v>39</v>
      </c>
      <c r="K5559" s="19">
        <v>47</v>
      </c>
      <c r="L5559" s="19"/>
      <c r="M5559" s="19"/>
      <c r="N5559" s="19" t="s">
        <v>40</v>
      </c>
      <c r="O5559" s="19" t="s">
        <v>84</v>
      </c>
      <c r="P5559" s="232">
        <v>366</v>
      </c>
      <c r="Q5559" s="232">
        <v>366</v>
      </c>
      <c r="R5559" s="19">
        <f t="shared" si="247"/>
        <v>0</v>
      </c>
      <c r="S5559" s="91">
        <v>3345</v>
      </c>
      <c r="T5559" s="91" t="s">
        <v>42</v>
      </c>
      <c r="U5559" s="102" t="s">
        <v>1429</v>
      </c>
      <c r="V5559" s="186">
        <v>45406</v>
      </c>
      <c r="W5559" s="17" t="s">
        <v>44</v>
      </c>
      <c r="Y5559" s="68">
        <v>45474</v>
      </c>
      <c r="Z5559" s="17" t="s">
        <v>78</v>
      </c>
      <c r="AA5559" s="17" t="s">
        <v>46</v>
      </c>
      <c r="AB5559" s="17" t="s">
        <v>1430</v>
      </c>
      <c r="AC5559" s="217">
        <v>45592</v>
      </c>
      <c r="AD5559" s="65">
        <v>1627</v>
      </c>
      <c r="AE5559" s="17" t="s">
        <v>48</v>
      </c>
    </row>
    <row r="5560" s="17" customFormat="1" hidden="1" spans="1:31">
      <c r="A5560" s="17" t="s">
        <v>34</v>
      </c>
      <c r="B5560" s="19">
        <v>998</v>
      </c>
      <c r="C5560" s="183">
        <v>45397</v>
      </c>
      <c r="D5560" s="17" t="s">
        <v>35</v>
      </c>
      <c r="E5560" s="17" t="s">
        <v>718</v>
      </c>
      <c r="F5560" s="17" t="s">
        <v>37</v>
      </c>
      <c r="H5560" s="141" t="s">
        <v>38</v>
      </c>
      <c r="I5560" s="141"/>
      <c r="J5560" s="17" t="s">
        <v>39</v>
      </c>
      <c r="K5560" s="19">
        <v>51</v>
      </c>
      <c r="L5560" s="19"/>
      <c r="M5560" s="19"/>
      <c r="N5560" s="19" t="s">
        <v>40</v>
      </c>
      <c r="O5560" s="19" t="s">
        <v>84</v>
      </c>
      <c r="P5560" s="232">
        <v>492</v>
      </c>
      <c r="Q5560" s="232">
        <v>492</v>
      </c>
      <c r="R5560" s="19">
        <f t="shared" si="247"/>
        <v>0</v>
      </c>
      <c r="S5560" s="91">
        <v>3345</v>
      </c>
      <c r="T5560" s="91" t="s">
        <v>42</v>
      </c>
      <c r="U5560" s="102" t="s">
        <v>1429</v>
      </c>
      <c r="V5560" s="186">
        <v>45406</v>
      </c>
      <c r="W5560" s="17" t="s">
        <v>44</v>
      </c>
      <c r="Y5560" s="68">
        <v>45474</v>
      </c>
      <c r="Z5560" s="17" t="s">
        <v>78</v>
      </c>
      <c r="AA5560" s="17" t="s">
        <v>46</v>
      </c>
      <c r="AB5560" s="17" t="s">
        <v>1430</v>
      </c>
      <c r="AC5560" s="217">
        <v>45592</v>
      </c>
      <c r="AD5560" s="65">
        <v>1627</v>
      </c>
      <c r="AE5560" s="17" t="s">
        <v>48</v>
      </c>
    </row>
    <row r="5561" s="17" customFormat="1" hidden="1" spans="1:31">
      <c r="A5561" s="17" t="s">
        <v>34</v>
      </c>
      <c r="B5561" s="19">
        <v>998</v>
      </c>
      <c r="C5561" s="183">
        <v>45397</v>
      </c>
      <c r="D5561" s="17" t="s">
        <v>35</v>
      </c>
      <c r="E5561" s="17" t="s">
        <v>718</v>
      </c>
      <c r="F5561" s="17" t="s">
        <v>37</v>
      </c>
      <c r="H5561" s="141" t="s">
        <v>38</v>
      </c>
      <c r="I5561" s="141"/>
      <c r="J5561" s="17" t="s">
        <v>39</v>
      </c>
      <c r="K5561" s="19">
        <v>56</v>
      </c>
      <c r="L5561" s="19"/>
      <c r="M5561" s="19"/>
      <c r="N5561" s="19" t="s">
        <v>40</v>
      </c>
      <c r="O5561" s="19" t="s">
        <v>84</v>
      </c>
      <c r="P5561" s="232">
        <v>520</v>
      </c>
      <c r="Q5561" s="232">
        <v>514</v>
      </c>
      <c r="R5561" s="19">
        <f t="shared" si="247"/>
        <v>6</v>
      </c>
      <c r="S5561" s="91">
        <v>3345</v>
      </c>
      <c r="T5561" s="91" t="s">
        <v>42</v>
      </c>
      <c r="U5561" s="102" t="s">
        <v>1429</v>
      </c>
      <c r="V5561" s="186">
        <v>45406</v>
      </c>
      <c r="W5561" s="17" t="s">
        <v>44</v>
      </c>
      <c r="Y5561" s="68">
        <v>45474</v>
      </c>
      <c r="Z5561" s="17" t="s">
        <v>78</v>
      </c>
      <c r="AA5561" s="17" t="s">
        <v>46</v>
      </c>
      <c r="AB5561" s="17" t="s">
        <v>1430</v>
      </c>
      <c r="AC5561" s="217">
        <v>45592</v>
      </c>
      <c r="AD5561" s="65">
        <v>1627</v>
      </c>
      <c r="AE5561" s="17" t="s">
        <v>48</v>
      </c>
    </row>
    <row r="5562" s="17" customFormat="1" hidden="1" spans="1:31">
      <c r="A5562" s="17" t="s">
        <v>34</v>
      </c>
      <c r="B5562" s="19">
        <v>998</v>
      </c>
      <c r="C5562" s="183">
        <v>45397</v>
      </c>
      <c r="D5562" s="17" t="s">
        <v>35</v>
      </c>
      <c r="E5562" s="17" t="s">
        <v>718</v>
      </c>
      <c r="F5562" s="17" t="s">
        <v>37</v>
      </c>
      <c r="H5562" s="141" t="s">
        <v>38</v>
      </c>
      <c r="I5562" s="141"/>
      <c r="J5562" s="17" t="s">
        <v>39</v>
      </c>
      <c r="K5562" s="19">
        <v>56</v>
      </c>
      <c r="L5562" s="19"/>
      <c r="M5562" s="19"/>
      <c r="N5562" s="19" t="s">
        <v>40</v>
      </c>
      <c r="O5562" s="19" t="s">
        <v>84</v>
      </c>
      <c r="P5562" s="232">
        <v>462</v>
      </c>
      <c r="Q5562" s="232">
        <v>458</v>
      </c>
      <c r="R5562" s="19">
        <f t="shared" si="247"/>
        <v>4</v>
      </c>
      <c r="S5562" s="91">
        <v>3345</v>
      </c>
      <c r="T5562" s="91" t="s">
        <v>42</v>
      </c>
      <c r="U5562" s="102" t="s">
        <v>1429</v>
      </c>
      <c r="V5562" s="186">
        <v>45406</v>
      </c>
      <c r="W5562" s="17" t="s">
        <v>44</v>
      </c>
      <c r="Y5562" s="68">
        <v>45474</v>
      </c>
      <c r="Z5562" s="17" t="s">
        <v>78</v>
      </c>
      <c r="AA5562" s="17" t="s">
        <v>46</v>
      </c>
      <c r="AB5562" s="17" t="s">
        <v>1430</v>
      </c>
      <c r="AC5562" s="217">
        <v>45592</v>
      </c>
      <c r="AD5562" s="65">
        <v>1627</v>
      </c>
      <c r="AE5562" s="17" t="s">
        <v>48</v>
      </c>
    </row>
    <row r="5563" s="17" customFormat="1" hidden="1" spans="1:31">
      <c r="A5563" s="17" t="s">
        <v>34</v>
      </c>
      <c r="B5563" s="19">
        <v>998</v>
      </c>
      <c r="C5563" s="183">
        <v>45397</v>
      </c>
      <c r="D5563" s="17" t="s">
        <v>35</v>
      </c>
      <c r="E5563" s="17" t="s">
        <v>718</v>
      </c>
      <c r="F5563" s="17" t="s">
        <v>37</v>
      </c>
      <c r="H5563" s="141" t="s">
        <v>38</v>
      </c>
      <c r="I5563" s="141"/>
      <c r="J5563" s="17" t="s">
        <v>39</v>
      </c>
      <c r="K5563" s="19">
        <v>56</v>
      </c>
      <c r="L5563" s="19"/>
      <c r="M5563" s="19"/>
      <c r="N5563" s="19" t="s">
        <v>40</v>
      </c>
      <c r="O5563" s="19" t="s">
        <v>84</v>
      </c>
      <c r="P5563" s="232">
        <v>500</v>
      </c>
      <c r="Q5563" s="232">
        <v>502</v>
      </c>
      <c r="R5563" s="19">
        <f t="shared" si="247"/>
        <v>-2</v>
      </c>
      <c r="S5563" s="91">
        <v>3345</v>
      </c>
      <c r="T5563" s="91" t="s">
        <v>42</v>
      </c>
      <c r="U5563" s="102" t="s">
        <v>1429</v>
      </c>
      <c r="V5563" s="186">
        <v>45406</v>
      </c>
      <c r="W5563" s="17" t="s">
        <v>44</v>
      </c>
      <c r="Y5563" s="68">
        <v>45474</v>
      </c>
      <c r="Z5563" s="17" t="s">
        <v>78</v>
      </c>
      <c r="AA5563" s="17" t="s">
        <v>46</v>
      </c>
      <c r="AB5563" s="17" t="s">
        <v>1430</v>
      </c>
      <c r="AC5563" s="217">
        <v>45592</v>
      </c>
      <c r="AD5563" s="65">
        <v>1627</v>
      </c>
      <c r="AE5563" s="17" t="s">
        <v>48</v>
      </c>
    </row>
    <row r="5564" s="17" customFormat="1" hidden="1" spans="1:31">
      <c r="A5564" s="17" t="s">
        <v>34</v>
      </c>
      <c r="B5564" s="19">
        <v>998</v>
      </c>
      <c r="C5564" s="183">
        <v>45397</v>
      </c>
      <c r="D5564" s="17" t="s">
        <v>35</v>
      </c>
      <c r="E5564" s="17" t="s">
        <v>718</v>
      </c>
      <c r="F5564" s="17" t="s">
        <v>37</v>
      </c>
      <c r="H5564" s="141" t="s">
        <v>38</v>
      </c>
      <c r="I5564" s="141"/>
      <c r="J5564" s="17" t="s">
        <v>39</v>
      </c>
      <c r="K5564" s="19">
        <v>61</v>
      </c>
      <c r="L5564" s="19"/>
      <c r="M5564" s="19"/>
      <c r="N5564" s="19" t="s">
        <v>40</v>
      </c>
      <c r="O5564" s="19" t="s">
        <v>84</v>
      </c>
      <c r="P5564" s="232">
        <v>456</v>
      </c>
      <c r="Q5564" s="232">
        <v>450</v>
      </c>
      <c r="R5564" s="19">
        <f t="shared" ref="R5564:R5595" si="248">+P5564-Q5564</f>
        <v>6</v>
      </c>
      <c r="S5564" s="91">
        <v>3345</v>
      </c>
      <c r="T5564" s="91" t="s">
        <v>42</v>
      </c>
      <c r="U5564" s="102" t="s">
        <v>1429</v>
      </c>
      <c r="V5564" s="186">
        <v>45406</v>
      </c>
      <c r="W5564" s="17" t="s">
        <v>44</v>
      </c>
      <c r="Y5564" s="68">
        <v>45474</v>
      </c>
      <c r="Z5564" s="17" t="s">
        <v>78</v>
      </c>
      <c r="AA5564" s="17" t="s">
        <v>46</v>
      </c>
      <c r="AB5564" s="17" t="s">
        <v>1430</v>
      </c>
      <c r="AC5564" s="217">
        <v>45592</v>
      </c>
      <c r="AD5564" s="65">
        <v>1627</v>
      </c>
      <c r="AE5564" s="17" t="s">
        <v>48</v>
      </c>
    </row>
    <row r="5565" s="17" customFormat="1" hidden="1" spans="1:31">
      <c r="A5565" s="17" t="s">
        <v>34</v>
      </c>
      <c r="B5565" s="19">
        <v>998</v>
      </c>
      <c r="C5565" s="183">
        <v>45397</v>
      </c>
      <c r="D5565" s="17" t="s">
        <v>35</v>
      </c>
      <c r="E5565" s="17" t="s">
        <v>718</v>
      </c>
      <c r="F5565" s="17" t="s">
        <v>37</v>
      </c>
      <c r="H5565" s="141" t="s">
        <v>38</v>
      </c>
      <c r="I5565" s="141"/>
      <c r="J5565" s="17" t="s">
        <v>39</v>
      </c>
      <c r="K5565" s="91">
        <v>66</v>
      </c>
      <c r="L5565" s="91"/>
      <c r="M5565" s="19"/>
      <c r="N5565" s="19" t="s">
        <v>40</v>
      </c>
      <c r="O5565" s="19" t="s">
        <v>84</v>
      </c>
      <c r="P5565" s="232">
        <v>290</v>
      </c>
      <c r="Q5565" s="232">
        <v>280</v>
      </c>
      <c r="R5565" s="19">
        <f t="shared" si="248"/>
        <v>10</v>
      </c>
      <c r="S5565" s="91">
        <v>3345</v>
      </c>
      <c r="T5565" s="91" t="s">
        <v>42</v>
      </c>
      <c r="U5565" s="102" t="s">
        <v>1429</v>
      </c>
      <c r="V5565" s="186">
        <v>45406</v>
      </c>
      <c r="W5565" s="17" t="s">
        <v>44</v>
      </c>
      <c r="Y5565" s="68">
        <v>45474</v>
      </c>
      <c r="Z5565" s="17" t="s">
        <v>78</v>
      </c>
      <c r="AA5565" s="17" t="s">
        <v>46</v>
      </c>
      <c r="AB5565" s="17" t="s">
        <v>1430</v>
      </c>
      <c r="AC5565" s="217">
        <v>45592</v>
      </c>
      <c r="AD5565" s="65">
        <v>1627</v>
      </c>
      <c r="AE5565" s="17" t="s">
        <v>48</v>
      </c>
    </row>
    <row r="5566" s="17" customFormat="1" hidden="1" spans="1:31">
      <c r="A5566" s="17" t="s">
        <v>34</v>
      </c>
      <c r="B5566" s="19">
        <v>998</v>
      </c>
      <c r="C5566" s="183">
        <v>45397</v>
      </c>
      <c r="D5566" s="17" t="s">
        <v>35</v>
      </c>
      <c r="E5566" s="17" t="s">
        <v>718</v>
      </c>
      <c r="F5566" s="17" t="s">
        <v>37</v>
      </c>
      <c r="H5566" s="141" t="s">
        <v>38</v>
      </c>
      <c r="I5566" s="141"/>
      <c r="J5566" s="17" t="s">
        <v>39</v>
      </c>
      <c r="K5566" s="91">
        <v>66</v>
      </c>
      <c r="L5566" s="91"/>
      <c r="M5566" s="19"/>
      <c r="N5566" s="19" t="s">
        <v>40</v>
      </c>
      <c r="O5566" s="19" t="s">
        <v>84</v>
      </c>
      <c r="P5566" s="232">
        <v>286</v>
      </c>
      <c r="Q5566" s="232">
        <v>286</v>
      </c>
      <c r="R5566" s="19">
        <f t="shared" si="248"/>
        <v>0</v>
      </c>
      <c r="S5566" s="91">
        <v>3345</v>
      </c>
      <c r="T5566" s="91" t="s">
        <v>42</v>
      </c>
      <c r="U5566" s="102" t="s">
        <v>1429</v>
      </c>
      <c r="V5566" s="186">
        <v>45406</v>
      </c>
      <c r="W5566" s="17" t="s">
        <v>44</v>
      </c>
      <c r="Y5566" s="68">
        <v>45474</v>
      </c>
      <c r="Z5566" s="17" t="s">
        <v>78</v>
      </c>
      <c r="AA5566" s="17" t="s">
        <v>46</v>
      </c>
      <c r="AB5566" s="17" t="s">
        <v>1430</v>
      </c>
      <c r="AC5566" s="217">
        <v>45592</v>
      </c>
      <c r="AD5566" s="65">
        <v>1627</v>
      </c>
      <c r="AE5566" s="17" t="s">
        <v>48</v>
      </c>
    </row>
    <row r="5567" s="17" customFormat="1" hidden="1" spans="1:31">
      <c r="A5567" s="17" t="s">
        <v>34</v>
      </c>
      <c r="B5567" s="19">
        <v>998</v>
      </c>
      <c r="C5567" s="183">
        <v>45397</v>
      </c>
      <c r="D5567" s="17" t="s">
        <v>35</v>
      </c>
      <c r="E5567" s="17" t="s">
        <v>718</v>
      </c>
      <c r="F5567" s="17" t="s">
        <v>37</v>
      </c>
      <c r="H5567" s="141" t="s">
        <v>38</v>
      </c>
      <c r="I5567" s="141"/>
      <c r="J5567" s="17" t="s">
        <v>39</v>
      </c>
      <c r="K5567" s="91">
        <v>71</v>
      </c>
      <c r="L5567" s="91"/>
      <c r="M5567" s="19"/>
      <c r="N5567" s="19" t="s">
        <v>40</v>
      </c>
      <c r="O5567" s="19" t="s">
        <v>84</v>
      </c>
      <c r="P5567" s="232">
        <v>474</v>
      </c>
      <c r="Q5567" s="232">
        <v>464</v>
      </c>
      <c r="R5567" s="19">
        <f t="shared" si="248"/>
        <v>10</v>
      </c>
      <c r="S5567" s="91">
        <v>3345</v>
      </c>
      <c r="T5567" s="91" t="s">
        <v>42</v>
      </c>
      <c r="U5567" s="102" t="s">
        <v>1429</v>
      </c>
      <c r="V5567" s="186">
        <v>45406</v>
      </c>
      <c r="W5567" s="17" t="s">
        <v>44</v>
      </c>
      <c r="Y5567" s="68">
        <v>45474</v>
      </c>
      <c r="Z5567" s="17" t="s">
        <v>78</v>
      </c>
      <c r="AA5567" s="17" t="s">
        <v>46</v>
      </c>
      <c r="AB5567" s="17" t="s">
        <v>1430</v>
      </c>
      <c r="AC5567" s="217">
        <v>45592</v>
      </c>
      <c r="AD5567" s="65">
        <v>1627</v>
      </c>
      <c r="AE5567" s="17" t="s">
        <v>48</v>
      </c>
    </row>
    <row r="5568" s="17" customFormat="1" hidden="1" spans="1:31">
      <c r="A5568" s="17" t="s">
        <v>34</v>
      </c>
      <c r="B5568" s="19">
        <v>998</v>
      </c>
      <c r="C5568" s="183">
        <v>45397</v>
      </c>
      <c r="D5568" s="17" t="s">
        <v>35</v>
      </c>
      <c r="E5568" s="17" t="s">
        <v>718</v>
      </c>
      <c r="F5568" s="17" t="s">
        <v>37</v>
      </c>
      <c r="H5568" s="141" t="s">
        <v>38</v>
      </c>
      <c r="I5568" s="141"/>
      <c r="J5568" s="17" t="s">
        <v>39</v>
      </c>
      <c r="K5568" s="91">
        <v>76</v>
      </c>
      <c r="L5568" s="91"/>
      <c r="M5568" s="19"/>
      <c r="N5568" s="19" t="s">
        <v>40</v>
      </c>
      <c r="O5568" s="19" t="s">
        <v>84</v>
      </c>
      <c r="P5568" s="232">
        <v>396</v>
      </c>
      <c r="Q5568" s="232">
        <v>390</v>
      </c>
      <c r="R5568" s="19">
        <f t="shared" si="248"/>
        <v>6</v>
      </c>
      <c r="S5568" s="91">
        <v>3345</v>
      </c>
      <c r="T5568" s="91" t="s">
        <v>42</v>
      </c>
      <c r="U5568" s="102" t="s">
        <v>1429</v>
      </c>
      <c r="V5568" s="186">
        <v>45406</v>
      </c>
      <c r="W5568" s="17" t="s">
        <v>44</v>
      </c>
      <c r="Y5568" s="68">
        <v>45474</v>
      </c>
      <c r="Z5568" s="17" t="s">
        <v>78</v>
      </c>
      <c r="AA5568" s="17" t="s">
        <v>46</v>
      </c>
      <c r="AB5568" s="17" t="s">
        <v>1430</v>
      </c>
      <c r="AC5568" s="217">
        <v>45592</v>
      </c>
      <c r="AD5568" s="65">
        <v>1627</v>
      </c>
      <c r="AE5568" s="17" t="s">
        <v>48</v>
      </c>
    </row>
    <row r="5569" s="17" customFormat="1" hidden="1" spans="1:31">
      <c r="A5569" s="17" t="s">
        <v>34</v>
      </c>
      <c r="B5569" s="19">
        <v>998</v>
      </c>
      <c r="C5569" s="183">
        <v>45397</v>
      </c>
      <c r="D5569" s="17" t="s">
        <v>35</v>
      </c>
      <c r="E5569" s="17" t="s">
        <v>718</v>
      </c>
      <c r="F5569" s="17" t="s">
        <v>37</v>
      </c>
      <c r="H5569" s="141" t="s">
        <v>38</v>
      </c>
      <c r="I5569" s="141"/>
      <c r="J5569" s="17" t="s">
        <v>39</v>
      </c>
      <c r="K5569" s="91">
        <v>82</v>
      </c>
      <c r="L5569" s="91"/>
      <c r="M5569" s="19"/>
      <c r="N5569" s="19" t="s">
        <v>40</v>
      </c>
      <c r="O5569" s="19" t="s">
        <v>84</v>
      </c>
      <c r="P5569" s="232">
        <v>434</v>
      </c>
      <c r="Q5569" s="232">
        <v>430</v>
      </c>
      <c r="R5569" s="19">
        <f t="shared" si="248"/>
        <v>4</v>
      </c>
      <c r="S5569" s="91">
        <v>3345</v>
      </c>
      <c r="T5569" s="91" t="s">
        <v>42</v>
      </c>
      <c r="U5569" s="102" t="s">
        <v>1429</v>
      </c>
      <c r="V5569" s="186">
        <v>45406</v>
      </c>
      <c r="W5569" s="17" t="s">
        <v>44</v>
      </c>
      <c r="Y5569" s="68">
        <v>45474</v>
      </c>
      <c r="Z5569" s="17" t="s">
        <v>78</v>
      </c>
      <c r="AA5569" s="17" t="s">
        <v>46</v>
      </c>
      <c r="AB5569" s="17" t="s">
        <v>1430</v>
      </c>
      <c r="AC5569" s="217">
        <v>45592</v>
      </c>
      <c r="AD5569" s="65">
        <v>1627</v>
      </c>
      <c r="AE5569" s="17" t="s">
        <v>48</v>
      </c>
    </row>
    <row r="5570" s="17" customFormat="1" hidden="1" spans="1:31">
      <c r="A5570" s="17" t="s">
        <v>34</v>
      </c>
      <c r="B5570" s="19">
        <v>998</v>
      </c>
      <c r="C5570" s="183">
        <v>45397</v>
      </c>
      <c r="D5570" s="17" t="s">
        <v>35</v>
      </c>
      <c r="E5570" s="17" t="s">
        <v>718</v>
      </c>
      <c r="F5570" s="17" t="s">
        <v>37</v>
      </c>
      <c r="H5570" s="141" t="s">
        <v>38</v>
      </c>
      <c r="I5570" s="141"/>
      <c r="J5570" s="17" t="s">
        <v>39</v>
      </c>
      <c r="K5570" s="91">
        <v>87</v>
      </c>
      <c r="L5570" s="91"/>
      <c r="M5570" s="19"/>
      <c r="N5570" s="19" t="s">
        <v>40</v>
      </c>
      <c r="O5570" s="19" t="s">
        <v>84</v>
      </c>
      <c r="P5570" s="326">
        <v>1432</v>
      </c>
      <c r="Q5570" s="326">
        <v>1432</v>
      </c>
      <c r="R5570" s="19">
        <f t="shared" si="248"/>
        <v>0</v>
      </c>
      <c r="S5570" s="91">
        <v>3345</v>
      </c>
      <c r="T5570" s="91" t="s">
        <v>42</v>
      </c>
      <c r="U5570" s="102" t="s">
        <v>1429</v>
      </c>
      <c r="V5570" s="186">
        <v>45406</v>
      </c>
      <c r="W5570" s="17" t="s">
        <v>44</v>
      </c>
      <c r="Y5570" s="68">
        <v>45474</v>
      </c>
      <c r="Z5570" s="17" t="s">
        <v>78</v>
      </c>
      <c r="AA5570" s="17" t="s">
        <v>46</v>
      </c>
      <c r="AB5570" s="17" t="s">
        <v>1430</v>
      </c>
      <c r="AC5570" s="217">
        <v>45592</v>
      </c>
      <c r="AD5570" s="65">
        <v>1627</v>
      </c>
      <c r="AE5570" s="17" t="s">
        <v>48</v>
      </c>
    </row>
    <row r="5571" s="17" customFormat="1" hidden="1" spans="1:31">
      <c r="A5571" s="17" t="s">
        <v>34</v>
      </c>
      <c r="B5571" s="19">
        <v>998</v>
      </c>
      <c r="C5571" s="183">
        <v>45397</v>
      </c>
      <c r="D5571" s="17" t="s">
        <v>35</v>
      </c>
      <c r="E5571" s="17" t="s">
        <v>718</v>
      </c>
      <c r="F5571" s="17" t="s">
        <v>37</v>
      </c>
      <c r="H5571" s="141" t="s">
        <v>38</v>
      </c>
      <c r="I5571" s="141"/>
      <c r="J5571" s="17" t="s">
        <v>39</v>
      </c>
      <c r="K5571" s="91">
        <v>87</v>
      </c>
      <c r="L5571" s="91"/>
      <c r="M5571" s="19"/>
      <c r="N5571" s="19" t="s">
        <v>40</v>
      </c>
      <c r="O5571" s="19" t="s">
        <v>84</v>
      </c>
      <c r="P5571" s="326">
        <v>1292</v>
      </c>
      <c r="Q5571" s="326">
        <v>1288</v>
      </c>
      <c r="R5571" s="19">
        <f t="shared" si="248"/>
        <v>4</v>
      </c>
      <c r="S5571" s="91">
        <v>3345</v>
      </c>
      <c r="T5571" s="91" t="s">
        <v>42</v>
      </c>
      <c r="U5571" s="102" t="s">
        <v>1429</v>
      </c>
      <c r="V5571" s="186">
        <v>45406</v>
      </c>
      <c r="W5571" s="17" t="s">
        <v>44</v>
      </c>
      <c r="Y5571" s="68">
        <v>45474</v>
      </c>
      <c r="Z5571" s="17" t="s">
        <v>78</v>
      </c>
      <c r="AA5571" s="17" t="s">
        <v>46</v>
      </c>
      <c r="AB5571" s="17" t="s">
        <v>1430</v>
      </c>
      <c r="AC5571" s="217">
        <v>45592</v>
      </c>
      <c r="AD5571" s="65">
        <v>1627</v>
      </c>
      <c r="AE5571" s="17" t="s">
        <v>48</v>
      </c>
    </row>
    <row r="5572" s="17" customFormat="1" hidden="1" spans="1:31">
      <c r="A5572" s="17" t="s">
        <v>34</v>
      </c>
      <c r="B5572" s="19">
        <v>998</v>
      </c>
      <c r="C5572" s="183">
        <v>45397</v>
      </c>
      <c r="D5572" s="17" t="s">
        <v>35</v>
      </c>
      <c r="E5572" s="17" t="s">
        <v>718</v>
      </c>
      <c r="F5572" s="17" t="s">
        <v>37</v>
      </c>
      <c r="H5572" s="141" t="s">
        <v>38</v>
      </c>
      <c r="I5572" s="141"/>
      <c r="J5572" s="17" t="s">
        <v>39</v>
      </c>
      <c r="K5572" s="91">
        <v>87</v>
      </c>
      <c r="L5572" s="91"/>
      <c r="M5572" s="19"/>
      <c r="N5572" s="19" t="s">
        <v>40</v>
      </c>
      <c r="O5572" s="19" t="s">
        <v>84</v>
      </c>
      <c r="P5572" s="232">
        <v>469</v>
      </c>
      <c r="Q5572" s="232">
        <v>462</v>
      </c>
      <c r="R5572" s="19">
        <f t="shared" si="248"/>
        <v>7</v>
      </c>
      <c r="S5572" s="91">
        <v>3345</v>
      </c>
      <c r="T5572" s="91" t="s">
        <v>42</v>
      </c>
      <c r="U5572" s="102" t="s">
        <v>1429</v>
      </c>
      <c r="V5572" s="186">
        <v>45406</v>
      </c>
      <c r="W5572" s="17" t="s">
        <v>44</v>
      </c>
      <c r="Y5572" s="68">
        <v>45474</v>
      </c>
      <c r="Z5572" s="17" t="s">
        <v>78</v>
      </c>
      <c r="AA5572" s="17" t="s">
        <v>46</v>
      </c>
      <c r="AB5572" s="17" t="s">
        <v>1430</v>
      </c>
      <c r="AC5572" s="217">
        <v>45592</v>
      </c>
      <c r="AD5572" s="65">
        <v>1627</v>
      </c>
      <c r="AE5572" s="17" t="s">
        <v>48</v>
      </c>
    </row>
    <row r="5573" s="17" customFormat="1" hidden="1" spans="1:31">
      <c r="A5573" s="17" t="s">
        <v>34</v>
      </c>
      <c r="B5573" s="19">
        <v>998</v>
      </c>
      <c r="C5573" s="183">
        <v>45397</v>
      </c>
      <c r="D5573" s="17" t="s">
        <v>35</v>
      </c>
      <c r="E5573" s="17" t="s">
        <v>718</v>
      </c>
      <c r="F5573" s="17" t="s">
        <v>37</v>
      </c>
      <c r="H5573" s="141" t="s">
        <v>38</v>
      </c>
      <c r="I5573" s="141"/>
      <c r="J5573" s="17" t="s">
        <v>39</v>
      </c>
      <c r="K5573" s="91">
        <v>104</v>
      </c>
      <c r="L5573" s="91"/>
      <c r="M5573" s="19"/>
      <c r="N5573" s="19" t="s">
        <v>40</v>
      </c>
      <c r="O5573" s="19" t="s">
        <v>84</v>
      </c>
      <c r="P5573" s="232">
        <v>1598</v>
      </c>
      <c r="Q5573" s="232">
        <v>1592</v>
      </c>
      <c r="R5573" s="19">
        <f t="shared" si="248"/>
        <v>6</v>
      </c>
      <c r="S5573" s="91">
        <v>3345</v>
      </c>
      <c r="T5573" s="91" t="s">
        <v>42</v>
      </c>
      <c r="U5573" s="102" t="s">
        <v>1429</v>
      </c>
      <c r="V5573" s="186">
        <v>45406</v>
      </c>
      <c r="W5573" s="17" t="s">
        <v>44</v>
      </c>
      <c r="Y5573" s="68">
        <v>45474</v>
      </c>
      <c r="Z5573" s="17" t="s">
        <v>78</v>
      </c>
      <c r="AA5573" s="17" t="s">
        <v>46</v>
      </c>
      <c r="AB5573" s="17" t="s">
        <v>1430</v>
      </c>
      <c r="AC5573" s="217">
        <v>45592</v>
      </c>
      <c r="AD5573" s="65">
        <v>1627</v>
      </c>
      <c r="AE5573" s="17" t="s">
        <v>48</v>
      </c>
    </row>
    <row r="5574" s="17" customFormat="1" hidden="1" spans="1:31">
      <c r="A5574" s="17" t="s">
        <v>34</v>
      </c>
      <c r="B5574" s="19">
        <v>998</v>
      </c>
      <c r="C5574" s="183">
        <v>45397</v>
      </c>
      <c r="D5574" s="17" t="s">
        <v>35</v>
      </c>
      <c r="E5574" s="17" t="s">
        <v>718</v>
      </c>
      <c r="F5574" s="17" t="s">
        <v>37</v>
      </c>
      <c r="H5574" s="141" t="s">
        <v>38</v>
      </c>
      <c r="I5574" s="141"/>
      <c r="J5574" s="17" t="s">
        <v>39</v>
      </c>
      <c r="K5574" s="91">
        <v>124</v>
      </c>
      <c r="L5574" s="91"/>
      <c r="M5574" s="19"/>
      <c r="N5574" s="19" t="s">
        <v>40</v>
      </c>
      <c r="O5574" s="19" t="s">
        <v>84</v>
      </c>
      <c r="P5574" s="232">
        <v>1796</v>
      </c>
      <c r="Q5574" s="232">
        <v>1792</v>
      </c>
      <c r="R5574" s="19">
        <f t="shared" si="248"/>
        <v>4</v>
      </c>
      <c r="S5574" s="91">
        <v>3100</v>
      </c>
      <c r="T5574" s="91" t="s">
        <v>42</v>
      </c>
      <c r="U5574" s="102" t="s">
        <v>1429</v>
      </c>
      <c r="V5574" s="186">
        <v>45406</v>
      </c>
      <c r="W5574" s="17" t="s">
        <v>44</v>
      </c>
      <c r="Y5574" s="68">
        <v>45474</v>
      </c>
      <c r="Z5574" s="17" t="s">
        <v>78</v>
      </c>
      <c r="AA5574" s="17" t="s">
        <v>46</v>
      </c>
      <c r="AB5574" s="17" t="s">
        <v>1430</v>
      </c>
      <c r="AC5574" s="217">
        <v>45592</v>
      </c>
      <c r="AD5574" s="65">
        <v>1627</v>
      </c>
      <c r="AE5574" s="17" t="s">
        <v>48</v>
      </c>
    </row>
    <row r="5575" s="17" customFormat="1" hidden="1" spans="1:31">
      <c r="A5575" s="17" t="s">
        <v>34</v>
      </c>
      <c r="B5575" s="19">
        <v>998</v>
      </c>
      <c r="C5575" s="183">
        <v>45397</v>
      </c>
      <c r="D5575" s="17" t="s">
        <v>35</v>
      </c>
      <c r="E5575" s="17" t="s">
        <v>718</v>
      </c>
      <c r="F5575" s="17" t="s">
        <v>37</v>
      </c>
      <c r="H5575" s="141" t="s">
        <v>38</v>
      </c>
      <c r="I5575" s="141"/>
      <c r="J5575" s="17" t="s">
        <v>39</v>
      </c>
      <c r="K5575" s="91">
        <v>124</v>
      </c>
      <c r="L5575" s="91"/>
      <c r="M5575" s="19"/>
      <c r="N5575" s="19" t="s">
        <v>40</v>
      </c>
      <c r="O5575" s="19" t="s">
        <v>84</v>
      </c>
      <c r="P5575" s="232">
        <v>465</v>
      </c>
      <c r="Q5575" s="232">
        <v>458</v>
      </c>
      <c r="R5575" s="19">
        <f t="shared" si="248"/>
        <v>7</v>
      </c>
      <c r="S5575" s="91">
        <v>3100</v>
      </c>
      <c r="T5575" s="91" t="s">
        <v>42</v>
      </c>
      <c r="U5575" s="102" t="s">
        <v>1429</v>
      </c>
      <c r="V5575" s="186">
        <v>45406</v>
      </c>
      <c r="W5575" s="17" t="s">
        <v>44</v>
      </c>
      <c r="Y5575" s="68">
        <v>45474</v>
      </c>
      <c r="Z5575" s="17" t="s">
        <v>78</v>
      </c>
      <c r="AA5575" s="17" t="s">
        <v>46</v>
      </c>
      <c r="AB5575" s="17" t="s">
        <v>1430</v>
      </c>
      <c r="AC5575" s="217">
        <v>45592</v>
      </c>
      <c r="AD5575" s="65">
        <v>1627</v>
      </c>
      <c r="AE5575" s="17" t="s">
        <v>48</v>
      </c>
    </row>
    <row r="5576" s="17" customFormat="1" hidden="1" spans="1:31">
      <c r="A5576" s="17" t="s">
        <v>34</v>
      </c>
      <c r="B5576" s="19">
        <v>998</v>
      </c>
      <c r="C5576" s="183">
        <v>45397</v>
      </c>
      <c r="D5576" s="17" t="s">
        <v>35</v>
      </c>
      <c r="E5576" s="17" t="s">
        <v>718</v>
      </c>
      <c r="F5576" s="17" t="s">
        <v>37</v>
      </c>
      <c r="H5576" s="141" t="s">
        <v>38</v>
      </c>
      <c r="I5576" s="141"/>
      <c r="J5576" s="17" t="s">
        <v>39</v>
      </c>
      <c r="K5576" s="91">
        <v>144</v>
      </c>
      <c r="L5576" s="91"/>
      <c r="M5576" s="19"/>
      <c r="N5576" s="19" t="s">
        <v>40</v>
      </c>
      <c r="O5576" s="19" t="s">
        <v>84</v>
      </c>
      <c r="P5576" s="232">
        <v>600</v>
      </c>
      <c r="Q5576" s="232">
        <v>600</v>
      </c>
      <c r="R5576" s="19">
        <f t="shared" si="248"/>
        <v>0</v>
      </c>
      <c r="S5576" s="91">
        <v>3100</v>
      </c>
      <c r="T5576" s="91" t="s">
        <v>42</v>
      </c>
      <c r="U5576" s="102" t="s">
        <v>1429</v>
      </c>
      <c r="V5576" s="186">
        <v>45406</v>
      </c>
      <c r="W5576" s="17" t="s">
        <v>44</v>
      </c>
      <c r="Y5576" s="68">
        <v>45474</v>
      </c>
      <c r="Z5576" s="17" t="s">
        <v>78</v>
      </c>
      <c r="AA5576" s="17" t="s">
        <v>46</v>
      </c>
      <c r="AB5576" s="17" t="s">
        <v>1430</v>
      </c>
      <c r="AC5576" s="217">
        <v>45592</v>
      </c>
      <c r="AD5576" s="65">
        <v>1627</v>
      </c>
      <c r="AE5576" s="17" t="s">
        <v>48</v>
      </c>
    </row>
    <row r="5577" s="17" customFormat="1" hidden="1" spans="1:31">
      <c r="A5577" s="17" t="s">
        <v>34</v>
      </c>
      <c r="B5577" s="19">
        <v>998</v>
      </c>
      <c r="C5577" s="183">
        <v>45397</v>
      </c>
      <c r="D5577" s="17" t="s">
        <v>35</v>
      </c>
      <c r="E5577" s="17" t="s">
        <v>718</v>
      </c>
      <c r="F5577" s="17" t="s">
        <v>37</v>
      </c>
      <c r="H5577" s="141" t="s">
        <v>38</v>
      </c>
      <c r="I5577" s="141"/>
      <c r="J5577" s="17" t="s">
        <v>39</v>
      </c>
      <c r="K5577" s="91">
        <v>154</v>
      </c>
      <c r="L5577" s="91"/>
      <c r="M5577" s="19"/>
      <c r="N5577" s="19" t="s">
        <v>40</v>
      </c>
      <c r="O5577" s="19" t="s">
        <v>84</v>
      </c>
      <c r="P5577" s="232">
        <v>576</v>
      </c>
      <c r="Q5577" s="232">
        <v>562</v>
      </c>
      <c r="R5577" s="19">
        <f t="shared" si="248"/>
        <v>14</v>
      </c>
      <c r="S5577" s="91">
        <v>3100</v>
      </c>
      <c r="T5577" s="91" t="s">
        <v>42</v>
      </c>
      <c r="U5577" s="102" t="s">
        <v>1429</v>
      </c>
      <c r="V5577" s="186">
        <v>45406</v>
      </c>
      <c r="W5577" s="17" t="s">
        <v>44</v>
      </c>
      <c r="Y5577" s="68">
        <v>45474</v>
      </c>
      <c r="Z5577" s="17" t="s">
        <v>78</v>
      </c>
      <c r="AA5577" s="17" t="s">
        <v>46</v>
      </c>
      <c r="AB5577" s="17" t="s">
        <v>1430</v>
      </c>
      <c r="AC5577" s="217">
        <v>45592</v>
      </c>
      <c r="AD5577" s="65">
        <v>1627</v>
      </c>
      <c r="AE5577" s="17" t="s">
        <v>48</v>
      </c>
    </row>
    <row r="5578" s="17" customFormat="1" hidden="1" spans="1:31">
      <c r="A5578" s="17" t="s">
        <v>34</v>
      </c>
      <c r="B5578" s="19">
        <v>998</v>
      </c>
      <c r="C5578" s="183">
        <v>45397</v>
      </c>
      <c r="D5578" s="17" t="s">
        <v>35</v>
      </c>
      <c r="E5578" s="17" t="s">
        <v>718</v>
      </c>
      <c r="F5578" s="17" t="s">
        <v>37</v>
      </c>
      <c r="H5578" s="141" t="s">
        <v>38</v>
      </c>
      <c r="I5578" s="141"/>
      <c r="J5578" s="17" t="s">
        <v>39</v>
      </c>
      <c r="K5578" s="91">
        <v>174</v>
      </c>
      <c r="L5578" s="91"/>
      <c r="M5578" s="19"/>
      <c r="N5578" s="19" t="s">
        <v>40</v>
      </c>
      <c r="O5578" s="19" t="s">
        <v>84</v>
      </c>
      <c r="P5578" s="232">
        <v>892</v>
      </c>
      <c r="Q5578" s="232">
        <v>882</v>
      </c>
      <c r="R5578" s="19">
        <f t="shared" si="248"/>
        <v>10</v>
      </c>
      <c r="S5578" s="91">
        <v>3100</v>
      </c>
      <c r="T5578" s="91" t="s">
        <v>42</v>
      </c>
      <c r="U5578" s="102" t="s">
        <v>1429</v>
      </c>
      <c r="V5578" s="186">
        <v>45406</v>
      </c>
      <c r="W5578" s="17" t="s">
        <v>44</v>
      </c>
      <c r="Y5578" s="68">
        <v>45474</v>
      </c>
      <c r="Z5578" s="17" t="s">
        <v>78</v>
      </c>
      <c r="AA5578" s="17" t="s">
        <v>46</v>
      </c>
      <c r="AB5578" s="17" t="s">
        <v>1430</v>
      </c>
      <c r="AC5578" s="217">
        <v>45592</v>
      </c>
      <c r="AD5578" s="65">
        <v>1627</v>
      </c>
      <c r="AE5578" s="17" t="s">
        <v>48</v>
      </c>
    </row>
    <row r="5579" s="17" customFormat="1" hidden="1" spans="1:31">
      <c r="A5579" s="17" t="s">
        <v>34</v>
      </c>
      <c r="B5579" s="19">
        <v>998</v>
      </c>
      <c r="C5579" s="183">
        <v>45397</v>
      </c>
      <c r="D5579" s="17" t="s">
        <v>35</v>
      </c>
      <c r="E5579" s="17" t="s">
        <v>718</v>
      </c>
      <c r="F5579" s="17" t="s">
        <v>37</v>
      </c>
      <c r="H5579" s="141" t="s">
        <v>38</v>
      </c>
      <c r="I5579" s="141"/>
      <c r="J5579" s="17" t="s">
        <v>39</v>
      </c>
      <c r="K5579" s="91">
        <v>184</v>
      </c>
      <c r="L5579" s="91"/>
      <c r="M5579" s="19"/>
      <c r="N5579" s="19" t="s">
        <v>40</v>
      </c>
      <c r="O5579" s="19" t="s">
        <v>84</v>
      </c>
      <c r="P5579" s="232">
        <v>828</v>
      </c>
      <c r="Q5579" s="232">
        <v>806</v>
      </c>
      <c r="R5579" s="19">
        <f t="shared" si="248"/>
        <v>22</v>
      </c>
      <c r="S5579" s="91">
        <v>3100</v>
      </c>
      <c r="T5579" s="91" t="s">
        <v>42</v>
      </c>
      <c r="U5579" s="102" t="s">
        <v>1429</v>
      </c>
      <c r="V5579" s="186">
        <v>45406</v>
      </c>
      <c r="W5579" s="17" t="s">
        <v>44</v>
      </c>
      <c r="Y5579" s="68">
        <v>45474</v>
      </c>
      <c r="Z5579" s="17" t="s">
        <v>78</v>
      </c>
      <c r="AA5579" s="17" t="s">
        <v>46</v>
      </c>
      <c r="AB5579" s="17" t="s">
        <v>1430</v>
      </c>
      <c r="AC5579" s="217">
        <v>45592</v>
      </c>
      <c r="AD5579" s="65">
        <v>1627</v>
      </c>
      <c r="AE5579" s="17" t="s">
        <v>48</v>
      </c>
    </row>
    <row r="5580" s="17" customFormat="1" hidden="1" spans="1:31">
      <c r="A5580" s="17" t="s">
        <v>34</v>
      </c>
      <c r="B5580" s="19">
        <v>998</v>
      </c>
      <c r="C5580" s="183">
        <v>45397</v>
      </c>
      <c r="D5580" s="17" t="s">
        <v>35</v>
      </c>
      <c r="E5580" s="17" t="s">
        <v>718</v>
      </c>
      <c r="F5580" s="17" t="s">
        <v>37</v>
      </c>
      <c r="H5580" s="141" t="s">
        <v>38</v>
      </c>
      <c r="I5580" s="141"/>
      <c r="J5580" s="17" t="s">
        <v>39</v>
      </c>
      <c r="K5580" s="91">
        <v>204</v>
      </c>
      <c r="L5580" s="91"/>
      <c r="M5580" s="19"/>
      <c r="N5580" s="19" t="s">
        <v>40</v>
      </c>
      <c r="O5580" s="19" t="s">
        <v>50</v>
      </c>
      <c r="P5580" s="232">
        <v>819</v>
      </c>
      <c r="Q5580" s="232">
        <v>802</v>
      </c>
      <c r="R5580" s="19">
        <f t="shared" si="248"/>
        <v>17</v>
      </c>
      <c r="S5580" s="91">
        <v>3200</v>
      </c>
      <c r="T5580" s="91" t="s">
        <v>42</v>
      </c>
      <c r="U5580" s="102" t="s">
        <v>1429</v>
      </c>
      <c r="V5580" s="186">
        <v>45406</v>
      </c>
      <c r="W5580" s="17" t="s">
        <v>44</v>
      </c>
      <c r="Y5580" s="68">
        <v>45474</v>
      </c>
      <c r="Z5580" s="17" t="s">
        <v>78</v>
      </c>
      <c r="AA5580" s="17" t="s">
        <v>46</v>
      </c>
      <c r="AB5580" s="17" t="s">
        <v>1430</v>
      </c>
      <c r="AC5580" s="217">
        <v>45592</v>
      </c>
      <c r="AD5580" s="65">
        <v>1627</v>
      </c>
      <c r="AE5580" s="17" t="s">
        <v>48</v>
      </c>
    </row>
    <row r="5581" s="17" customFormat="1" hidden="1" spans="1:31">
      <c r="A5581" s="17" t="s">
        <v>34</v>
      </c>
      <c r="B5581" s="19">
        <v>998</v>
      </c>
      <c r="C5581" s="183">
        <v>45397</v>
      </c>
      <c r="D5581" s="17" t="s">
        <v>35</v>
      </c>
      <c r="E5581" s="17" t="s">
        <v>718</v>
      </c>
      <c r="F5581" s="17" t="s">
        <v>37</v>
      </c>
      <c r="H5581" s="141" t="s">
        <v>38</v>
      </c>
      <c r="I5581" s="141"/>
      <c r="J5581" s="17" t="s">
        <v>39</v>
      </c>
      <c r="K5581" s="91">
        <v>314</v>
      </c>
      <c r="L5581" s="91"/>
      <c r="M5581" s="19"/>
      <c r="N5581" s="19" t="s">
        <v>40</v>
      </c>
      <c r="O5581" s="19" t="s">
        <v>50</v>
      </c>
      <c r="P5581" s="232">
        <v>1576</v>
      </c>
      <c r="Q5581" s="232">
        <v>1534</v>
      </c>
      <c r="R5581" s="19">
        <f t="shared" si="248"/>
        <v>42</v>
      </c>
      <c r="S5581" s="91">
        <v>3100</v>
      </c>
      <c r="T5581" s="91" t="s">
        <v>42</v>
      </c>
      <c r="U5581" s="102" t="s">
        <v>1429</v>
      </c>
      <c r="V5581" s="186">
        <v>45406</v>
      </c>
      <c r="W5581" s="17" t="s">
        <v>44</v>
      </c>
      <c r="Y5581" s="68">
        <v>45474</v>
      </c>
      <c r="Z5581" s="17" t="s">
        <v>78</v>
      </c>
      <c r="AA5581" s="17" t="s">
        <v>46</v>
      </c>
      <c r="AB5581" s="17" t="s">
        <v>1430</v>
      </c>
      <c r="AC5581" s="217">
        <v>45592</v>
      </c>
      <c r="AD5581" s="65">
        <v>1627</v>
      </c>
      <c r="AE5581" s="17" t="s">
        <v>48</v>
      </c>
    </row>
    <row r="5582" s="17" customFormat="1" hidden="1" spans="1:31">
      <c r="A5582" s="17" t="s">
        <v>34</v>
      </c>
      <c r="B5582" s="19">
        <v>998</v>
      </c>
      <c r="C5582" s="183">
        <v>45397</v>
      </c>
      <c r="D5582" s="17" t="s">
        <v>35</v>
      </c>
      <c r="E5582" s="17" t="s">
        <v>718</v>
      </c>
      <c r="F5582" s="17" t="s">
        <v>37</v>
      </c>
      <c r="H5582" s="141" t="s">
        <v>38</v>
      </c>
      <c r="I5582" s="141"/>
      <c r="J5582" s="17" t="s">
        <v>39</v>
      </c>
      <c r="K5582" s="243">
        <v>404</v>
      </c>
      <c r="L5582" s="243"/>
      <c r="M5582" s="19"/>
      <c r="N5582" s="19" t="s">
        <v>40</v>
      </c>
      <c r="O5582" s="19" t="s">
        <v>50</v>
      </c>
      <c r="P5582" s="324">
        <v>2504</v>
      </c>
      <c r="Q5582" s="324">
        <v>2440</v>
      </c>
      <c r="R5582" s="19">
        <f t="shared" si="248"/>
        <v>64</v>
      </c>
      <c r="S5582" s="91">
        <v>3100</v>
      </c>
      <c r="T5582" s="91" t="s">
        <v>42</v>
      </c>
      <c r="U5582" s="102" t="s">
        <v>1429</v>
      </c>
      <c r="V5582" s="186">
        <v>45406</v>
      </c>
      <c r="W5582" s="17" t="s">
        <v>44</v>
      </c>
      <c r="Y5582" s="68">
        <v>45474</v>
      </c>
      <c r="Z5582" s="17" t="s">
        <v>78</v>
      </c>
      <c r="AA5582" s="17" t="s">
        <v>46</v>
      </c>
      <c r="AB5582" s="17" t="s">
        <v>1430</v>
      </c>
      <c r="AC5582" s="217">
        <v>45592</v>
      </c>
      <c r="AD5582" s="65">
        <v>1627</v>
      </c>
      <c r="AE5582" s="17" t="s">
        <v>48</v>
      </c>
    </row>
    <row r="5583" s="17" customFormat="1" hidden="1" spans="1:31">
      <c r="A5583" s="17" t="s">
        <v>34</v>
      </c>
      <c r="B5583" s="19">
        <v>998</v>
      </c>
      <c r="C5583" s="183">
        <v>45397</v>
      </c>
      <c r="D5583" s="17" t="s">
        <v>35</v>
      </c>
      <c r="E5583" s="17" t="s">
        <v>718</v>
      </c>
      <c r="F5583" s="17" t="s">
        <v>37</v>
      </c>
      <c r="H5583" s="141">
        <v>1.2344</v>
      </c>
      <c r="I5583" s="141"/>
      <c r="J5583" s="17" t="s">
        <v>39</v>
      </c>
      <c r="K5583" s="327">
        <v>134</v>
      </c>
      <c r="L5583" s="243"/>
      <c r="M5583" s="19"/>
      <c r="N5583" s="19" t="s">
        <v>40</v>
      </c>
      <c r="O5583" s="19" t="s">
        <v>84</v>
      </c>
      <c r="P5583" s="324">
        <v>1902</v>
      </c>
      <c r="Q5583" s="324">
        <v>1892</v>
      </c>
      <c r="R5583" s="19">
        <f t="shared" si="248"/>
        <v>10</v>
      </c>
      <c r="S5583" s="91">
        <v>3750</v>
      </c>
      <c r="T5583" s="91" t="s">
        <v>42</v>
      </c>
      <c r="U5583" s="102" t="s">
        <v>1429</v>
      </c>
      <c r="V5583" s="186">
        <v>45406</v>
      </c>
      <c r="W5583" s="17" t="s">
        <v>44</v>
      </c>
      <c r="Y5583" s="68">
        <v>45474</v>
      </c>
      <c r="Z5583" s="17" t="s">
        <v>78</v>
      </c>
      <c r="AA5583" s="17" t="s">
        <v>46</v>
      </c>
      <c r="AB5583" s="17" t="s">
        <v>1430</v>
      </c>
      <c r="AC5583" s="217">
        <v>45592</v>
      </c>
      <c r="AD5583" s="65">
        <v>1627</v>
      </c>
      <c r="AE5583" s="17" t="s">
        <v>48</v>
      </c>
    </row>
    <row r="5584" s="17" customFormat="1" hidden="1" spans="1:31">
      <c r="A5584" s="17" t="s">
        <v>34</v>
      </c>
      <c r="B5584" s="19">
        <v>998</v>
      </c>
      <c r="C5584" s="183">
        <v>45397</v>
      </c>
      <c r="D5584" s="17" t="s">
        <v>35</v>
      </c>
      <c r="E5584" s="17" t="s">
        <v>718</v>
      </c>
      <c r="F5584" s="17" t="s">
        <v>37</v>
      </c>
      <c r="H5584" s="141">
        <v>1.2344</v>
      </c>
      <c r="I5584" s="141"/>
      <c r="J5584" s="17" t="s">
        <v>39</v>
      </c>
      <c r="K5584" s="327">
        <v>164</v>
      </c>
      <c r="L5584" s="243"/>
      <c r="M5584" s="19"/>
      <c r="N5584" s="19" t="s">
        <v>40</v>
      </c>
      <c r="O5584" s="19" t="s">
        <v>84</v>
      </c>
      <c r="P5584" s="324">
        <v>2002</v>
      </c>
      <c r="Q5584" s="324">
        <v>1990</v>
      </c>
      <c r="R5584" s="19">
        <f t="shared" si="248"/>
        <v>12</v>
      </c>
      <c r="S5584" s="91">
        <v>3750</v>
      </c>
      <c r="T5584" s="91" t="s">
        <v>42</v>
      </c>
      <c r="U5584" s="102" t="s">
        <v>1429</v>
      </c>
      <c r="V5584" s="186">
        <v>45406</v>
      </c>
      <c r="W5584" s="17" t="s">
        <v>44</v>
      </c>
      <c r="Y5584" s="68">
        <v>45474</v>
      </c>
      <c r="Z5584" s="17" t="s">
        <v>78</v>
      </c>
      <c r="AA5584" s="17" t="s">
        <v>46</v>
      </c>
      <c r="AB5584" s="17" t="s">
        <v>1430</v>
      </c>
      <c r="AC5584" s="217">
        <v>45592</v>
      </c>
      <c r="AD5584" s="65">
        <v>1627</v>
      </c>
      <c r="AE5584" s="17" t="s">
        <v>48</v>
      </c>
    </row>
    <row r="5585" s="17" customFormat="1" hidden="1" spans="1:31">
      <c r="A5585" s="17" t="s">
        <v>34</v>
      </c>
      <c r="B5585" s="19">
        <v>999</v>
      </c>
      <c r="C5585" s="183">
        <v>45400</v>
      </c>
      <c r="D5585" s="17" t="s">
        <v>109</v>
      </c>
      <c r="E5585" s="17" t="s">
        <v>110</v>
      </c>
      <c r="F5585" s="17" t="s">
        <v>72</v>
      </c>
      <c r="H5585" s="141">
        <v>1.2738</v>
      </c>
      <c r="I5585" s="328"/>
      <c r="J5585" s="185" t="s">
        <v>39</v>
      </c>
      <c r="K5585" s="19">
        <v>16</v>
      </c>
      <c r="L5585" s="19"/>
      <c r="M5585" s="19">
        <v>5800</v>
      </c>
      <c r="N5585" s="19" t="s">
        <v>66</v>
      </c>
      <c r="O5585" s="19" t="s">
        <v>141</v>
      </c>
      <c r="P5585" s="19">
        <v>1063</v>
      </c>
      <c r="Q5585" s="19">
        <v>1070</v>
      </c>
      <c r="R5585" s="19">
        <f t="shared" si="248"/>
        <v>-7</v>
      </c>
      <c r="S5585" s="19">
        <v>1610</v>
      </c>
      <c r="T5585" s="91" t="s">
        <v>42</v>
      </c>
      <c r="U5585" s="102" t="s">
        <v>1431</v>
      </c>
      <c r="V5585" s="186">
        <v>45401</v>
      </c>
      <c r="W5585" s="17" t="s">
        <v>44</v>
      </c>
      <c r="Y5585" s="68">
        <v>45413</v>
      </c>
      <c r="Z5585" s="17" t="s">
        <v>78</v>
      </c>
      <c r="AA5585" s="17" t="s">
        <v>46</v>
      </c>
      <c r="AB5585" s="17" t="s">
        <v>1432</v>
      </c>
      <c r="AC5585" s="217">
        <v>45415</v>
      </c>
      <c r="AD5585" s="65">
        <v>1567</v>
      </c>
      <c r="AE5585" s="17" t="s">
        <v>48</v>
      </c>
    </row>
    <row r="5586" s="17" customFormat="1" hidden="1" spans="1:31">
      <c r="A5586" s="17" t="s">
        <v>34</v>
      </c>
      <c r="B5586" s="19">
        <v>999</v>
      </c>
      <c r="C5586" s="183">
        <v>45400</v>
      </c>
      <c r="D5586" s="17" t="s">
        <v>109</v>
      </c>
      <c r="E5586" s="17" t="s">
        <v>110</v>
      </c>
      <c r="F5586" s="17" t="s">
        <v>72</v>
      </c>
      <c r="H5586" s="141">
        <v>1.2738</v>
      </c>
      <c r="I5586" s="328"/>
      <c r="J5586" s="185" t="s">
        <v>39</v>
      </c>
      <c r="K5586" s="19">
        <v>25</v>
      </c>
      <c r="L5586" s="19"/>
      <c r="M5586" s="19">
        <v>5800</v>
      </c>
      <c r="N5586" s="19" t="s">
        <v>66</v>
      </c>
      <c r="O5586" s="19" t="s">
        <v>141</v>
      </c>
      <c r="P5586" s="19">
        <v>3000</v>
      </c>
      <c r="Q5586" s="19">
        <v>2960</v>
      </c>
      <c r="R5586" s="19">
        <f t="shared" si="248"/>
        <v>40</v>
      </c>
      <c r="S5586" s="19">
        <v>1610</v>
      </c>
      <c r="T5586" s="91" t="s">
        <v>42</v>
      </c>
      <c r="U5586" s="102" t="s">
        <v>1431</v>
      </c>
      <c r="V5586" s="186">
        <v>45401</v>
      </c>
      <c r="W5586" s="17" t="s">
        <v>44</v>
      </c>
      <c r="Y5586" s="68">
        <v>45413</v>
      </c>
      <c r="Z5586" s="17" t="s">
        <v>78</v>
      </c>
      <c r="AA5586" s="17" t="s">
        <v>46</v>
      </c>
      <c r="AB5586" s="17" t="s">
        <v>1432</v>
      </c>
      <c r="AC5586" s="217">
        <v>45415</v>
      </c>
      <c r="AD5586" s="65">
        <v>1567</v>
      </c>
      <c r="AE5586" s="17" t="s">
        <v>48</v>
      </c>
    </row>
    <row r="5587" s="17" customFormat="1" hidden="1" spans="1:31">
      <c r="A5587" s="17" t="s">
        <v>34</v>
      </c>
      <c r="B5587" s="19">
        <v>999</v>
      </c>
      <c r="C5587" s="183">
        <v>45400</v>
      </c>
      <c r="D5587" s="17" t="s">
        <v>109</v>
      </c>
      <c r="E5587" s="17" t="s">
        <v>110</v>
      </c>
      <c r="F5587" s="17" t="s">
        <v>72</v>
      </c>
      <c r="H5587" s="141">
        <v>1.2738</v>
      </c>
      <c r="I5587" s="328"/>
      <c r="J5587" s="185" t="s">
        <v>39</v>
      </c>
      <c r="K5587" s="19">
        <v>28</v>
      </c>
      <c r="L5587" s="19"/>
      <c r="M5587" s="19">
        <v>5800</v>
      </c>
      <c r="N5587" s="19" t="s">
        <v>66</v>
      </c>
      <c r="O5587" s="19" t="s">
        <v>141</v>
      </c>
      <c r="P5587" s="19">
        <v>3000</v>
      </c>
      <c r="Q5587" s="19">
        <v>2973</v>
      </c>
      <c r="R5587" s="19">
        <f t="shared" si="248"/>
        <v>27</v>
      </c>
      <c r="S5587" s="19">
        <v>1610</v>
      </c>
      <c r="T5587" s="91" t="s">
        <v>42</v>
      </c>
      <c r="U5587" s="102" t="s">
        <v>1431</v>
      </c>
      <c r="V5587" s="186">
        <v>45401</v>
      </c>
      <c r="W5587" s="17" t="s">
        <v>44</v>
      </c>
      <c r="Y5587" s="68">
        <v>45413</v>
      </c>
      <c r="Z5587" s="17" t="s">
        <v>78</v>
      </c>
      <c r="AA5587" s="17" t="s">
        <v>46</v>
      </c>
      <c r="AB5587" s="17" t="s">
        <v>1432</v>
      </c>
      <c r="AC5587" s="217">
        <v>45415</v>
      </c>
      <c r="AD5587" s="65">
        <v>1567</v>
      </c>
      <c r="AE5587" s="17" t="s">
        <v>48</v>
      </c>
    </row>
    <row r="5588" s="17" customFormat="1" hidden="1" spans="1:31">
      <c r="A5588" s="17" t="s">
        <v>34</v>
      </c>
      <c r="B5588" s="19">
        <v>999</v>
      </c>
      <c r="C5588" s="183">
        <v>45400</v>
      </c>
      <c r="D5588" s="17" t="s">
        <v>109</v>
      </c>
      <c r="E5588" s="17" t="s">
        <v>110</v>
      </c>
      <c r="F5588" s="17" t="s">
        <v>72</v>
      </c>
      <c r="H5588" s="141">
        <v>1.2738</v>
      </c>
      <c r="I5588" s="328"/>
      <c r="J5588" s="185" t="s">
        <v>39</v>
      </c>
      <c r="K5588" s="19">
        <v>30</v>
      </c>
      <c r="L5588" s="19"/>
      <c r="M5588" s="19">
        <v>5800</v>
      </c>
      <c r="N5588" s="19" t="s">
        <v>66</v>
      </c>
      <c r="O5588" s="19" t="s">
        <v>141</v>
      </c>
      <c r="P5588" s="19">
        <v>2000</v>
      </c>
      <c r="Q5588" s="19">
        <v>2048</v>
      </c>
      <c r="R5588" s="19">
        <f t="shared" si="248"/>
        <v>-48</v>
      </c>
      <c r="S5588" s="19">
        <v>1537</v>
      </c>
      <c r="T5588" s="91" t="s">
        <v>42</v>
      </c>
      <c r="U5588" s="102" t="s">
        <v>1431</v>
      </c>
      <c r="V5588" s="186">
        <v>45401</v>
      </c>
      <c r="W5588" s="17" t="s">
        <v>44</v>
      </c>
      <c r="Y5588" s="68">
        <v>45413</v>
      </c>
      <c r="Z5588" s="17" t="s">
        <v>78</v>
      </c>
      <c r="AA5588" s="17" t="s">
        <v>46</v>
      </c>
      <c r="AB5588" s="17" t="s">
        <v>1432</v>
      </c>
      <c r="AC5588" s="217">
        <v>45415</v>
      </c>
      <c r="AD5588" s="65">
        <v>1567</v>
      </c>
      <c r="AE5588" s="17" t="s">
        <v>48</v>
      </c>
    </row>
    <row r="5589" s="17" customFormat="1" hidden="1" spans="1:31">
      <c r="A5589" s="17" t="s">
        <v>34</v>
      </c>
      <c r="B5589" s="19">
        <v>999</v>
      </c>
      <c r="C5589" s="183">
        <v>45400</v>
      </c>
      <c r="D5589" s="17" t="s">
        <v>109</v>
      </c>
      <c r="E5589" s="17" t="s">
        <v>110</v>
      </c>
      <c r="F5589" s="17" t="s">
        <v>72</v>
      </c>
      <c r="H5589" s="141">
        <v>1.2738</v>
      </c>
      <c r="I5589" s="328"/>
      <c r="J5589" s="185" t="s">
        <v>39</v>
      </c>
      <c r="K5589" s="19">
        <v>40</v>
      </c>
      <c r="L5589" s="19"/>
      <c r="M5589" s="19">
        <v>5800</v>
      </c>
      <c r="N5589" s="19" t="s">
        <v>66</v>
      </c>
      <c r="O5589" s="19" t="s">
        <v>141</v>
      </c>
      <c r="P5589" s="19">
        <v>500</v>
      </c>
      <c r="Q5589" s="19">
        <v>522</v>
      </c>
      <c r="R5589" s="19">
        <f t="shared" si="248"/>
        <v>-22</v>
      </c>
      <c r="S5589" s="19">
        <v>1537</v>
      </c>
      <c r="T5589" s="91" t="s">
        <v>42</v>
      </c>
      <c r="U5589" s="102" t="s">
        <v>1431</v>
      </c>
      <c r="V5589" s="186">
        <v>45401</v>
      </c>
      <c r="W5589" s="17" t="s">
        <v>44</v>
      </c>
      <c r="Y5589" s="68">
        <v>45413</v>
      </c>
      <c r="Z5589" s="17" t="s">
        <v>78</v>
      </c>
      <c r="AA5589" s="17" t="s">
        <v>46</v>
      </c>
      <c r="AB5589" s="17" t="s">
        <v>1432</v>
      </c>
      <c r="AC5589" s="217">
        <v>45415</v>
      </c>
      <c r="AD5589" s="65">
        <v>1567</v>
      </c>
      <c r="AE5589" s="17" t="s">
        <v>48</v>
      </c>
    </row>
    <row r="5590" s="17" customFormat="1" hidden="1" spans="1:31">
      <c r="A5590" s="17" t="s">
        <v>34</v>
      </c>
      <c r="B5590" s="19">
        <v>999</v>
      </c>
      <c r="C5590" s="183">
        <v>45400</v>
      </c>
      <c r="D5590" s="17" t="s">
        <v>109</v>
      </c>
      <c r="E5590" s="17" t="s">
        <v>110</v>
      </c>
      <c r="F5590" s="17" t="s">
        <v>72</v>
      </c>
      <c r="H5590" s="141">
        <v>1.2738</v>
      </c>
      <c r="I5590" s="328"/>
      <c r="J5590" s="185" t="s">
        <v>39</v>
      </c>
      <c r="K5590" s="19">
        <v>45</v>
      </c>
      <c r="L5590" s="19"/>
      <c r="M5590" s="19">
        <v>5800</v>
      </c>
      <c r="N5590" s="19" t="s">
        <v>66</v>
      </c>
      <c r="O5590" s="19" t="s">
        <v>141</v>
      </c>
      <c r="P5590" s="19">
        <v>500</v>
      </c>
      <c r="Q5590" s="19">
        <v>514</v>
      </c>
      <c r="R5590" s="19">
        <f t="shared" si="248"/>
        <v>-14</v>
      </c>
      <c r="S5590" s="19">
        <v>1537</v>
      </c>
      <c r="T5590" s="91" t="s">
        <v>42</v>
      </c>
      <c r="U5590" s="102" t="s">
        <v>1431</v>
      </c>
      <c r="V5590" s="186">
        <v>45401</v>
      </c>
      <c r="W5590" s="17" t="s">
        <v>44</v>
      </c>
      <c r="Y5590" s="68">
        <v>45413</v>
      </c>
      <c r="Z5590" s="17" t="s">
        <v>78</v>
      </c>
      <c r="AA5590" s="17" t="s">
        <v>46</v>
      </c>
      <c r="AB5590" s="17" t="s">
        <v>1432</v>
      </c>
      <c r="AC5590" s="217">
        <v>45415</v>
      </c>
      <c r="AD5590" s="65">
        <v>1567</v>
      </c>
      <c r="AE5590" s="17" t="s">
        <v>48</v>
      </c>
    </row>
    <row r="5591" s="17" customFormat="1" hidden="1" spans="1:31">
      <c r="A5591" s="17" t="s">
        <v>34</v>
      </c>
      <c r="B5591" s="19">
        <v>999</v>
      </c>
      <c r="C5591" s="183">
        <v>45400</v>
      </c>
      <c r="D5591" s="17" t="s">
        <v>109</v>
      </c>
      <c r="E5591" s="17" t="s">
        <v>110</v>
      </c>
      <c r="F5591" s="17" t="s">
        <v>72</v>
      </c>
      <c r="H5591" s="141">
        <v>1.2738</v>
      </c>
      <c r="I5591" s="328"/>
      <c r="J5591" s="185" t="s">
        <v>39</v>
      </c>
      <c r="K5591" s="19">
        <v>80</v>
      </c>
      <c r="L5591" s="19"/>
      <c r="M5591" s="19">
        <v>5800</v>
      </c>
      <c r="N5591" s="19" t="s">
        <v>66</v>
      </c>
      <c r="O5591" s="19" t="s">
        <v>141</v>
      </c>
      <c r="P5591" s="19">
        <v>1000</v>
      </c>
      <c r="Q5591" s="19">
        <v>926</v>
      </c>
      <c r="R5591" s="19">
        <f t="shared" si="248"/>
        <v>74</v>
      </c>
      <c r="S5591" s="19">
        <v>1537</v>
      </c>
      <c r="T5591" s="91" t="s">
        <v>42</v>
      </c>
      <c r="U5591" s="102" t="s">
        <v>1431</v>
      </c>
      <c r="V5591" s="186">
        <v>45401</v>
      </c>
      <c r="W5591" s="17" t="s">
        <v>44</v>
      </c>
      <c r="Y5591" s="68">
        <v>45413</v>
      </c>
      <c r="Z5591" s="17" t="s">
        <v>78</v>
      </c>
      <c r="AA5591" s="17" t="s">
        <v>46</v>
      </c>
      <c r="AB5591" s="17" t="s">
        <v>1432</v>
      </c>
      <c r="AC5591" s="217">
        <v>45415</v>
      </c>
      <c r="AD5591" s="65">
        <v>1567</v>
      </c>
      <c r="AE5591" s="17" t="s">
        <v>48</v>
      </c>
    </row>
    <row r="5592" s="17" customFormat="1" hidden="1" spans="1:31">
      <c r="A5592" s="17" t="s">
        <v>34</v>
      </c>
      <c r="B5592" s="19">
        <v>999</v>
      </c>
      <c r="C5592" s="183">
        <v>45400</v>
      </c>
      <c r="D5592" s="17" t="s">
        <v>109</v>
      </c>
      <c r="E5592" s="17" t="s">
        <v>110</v>
      </c>
      <c r="F5592" s="17" t="s">
        <v>72</v>
      </c>
      <c r="H5592" s="141">
        <v>1.2738</v>
      </c>
      <c r="I5592" s="328"/>
      <c r="J5592" s="185" t="s">
        <v>39</v>
      </c>
      <c r="K5592" s="19">
        <v>85</v>
      </c>
      <c r="L5592" s="19"/>
      <c r="M5592" s="19">
        <v>5800</v>
      </c>
      <c r="N5592" s="19" t="s">
        <v>66</v>
      </c>
      <c r="O5592" s="19" t="s">
        <v>141</v>
      </c>
      <c r="P5592" s="19">
        <v>1000</v>
      </c>
      <c r="Q5592" s="19">
        <v>1038</v>
      </c>
      <c r="R5592" s="19">
        <f t="shared" si="248"/>
        <v>-38</v>
      </c>
      <c r="S5592" s="19">
        <v>1537</v>
      </c>
      <c r="T5592" s="91" t="s">
        <v>42</v>
      </c>
      <c r="U5592" s="102" t="s">
        <v>1431</v>
      </c>
      <c r="V5592" s="186">
        <v>45401</v>
      </c>
      <c r="W5592" s="17" t="s">
        <v>44</v>
      </c>
      <c r="Y5592" s="68">
        <v>45413</v>
      </c>
      <c r="Z5592" s="17" t="s">
        <v>78</v>
      </c>
      <c r="AA5592" s="17" t="s">
        <v>46</v>
      </c>
      <c r="AB5592" s="17" t="s">
        <v>1432</v>
      </c>
      <c r="AC5592" s="217">
        <v>45415</v>
      </c>
      <c r="AD5592" s="65">
        <v>1567</v>
      </c>
      <c r="AE5592" s="17" t="s">
        <v>48</v>
      </c>
    </row>
    <row r="5593" s="17" customFormat="1" hidden="1" spans="1:31">
      <c r="A5593" s="17" t="s">
        <v>34</v>
      </c>
      <c r="B5593" s="19">
        <v>999</v>
      </c>
      <c r="C5593" s="183">
        <v>45400</v>
      </c>
      <c r="D5593" s="17" t="s">
        <v>109</v>
      </c>
      <c r="E5593" s="17" t="s">
        <v>110</v>
      </c>
      <c r="F5593" s="17" t="s">
        <v>72</v>
      </c>
      <c r="H5593" s="141">
        <v>1.2738</v>
      </c>
      <c r="I5593" s="328"/>
      <c r="J5593" s="185" t="s">
        <v>39</v>
      </c>
      <c r="K5593" s="19">
        <v>90</v>
      </c>
      <c r="L5593" s="19"/>
      <c r="M5593" s="19">
        <v>5800</v>
      </c>
      <c r="N5593" s="19" t="s">
        <v>66</v>
      </c>
      <c r="O5593" s="19" t="s">
        <v>141</v>
      </c>
      <c r="P5593" s="19">
        <v>3000</v>
      </c>
      <c r="Q5593" s="19">
        <v>3128</v>
      </c>
      <c r="R5593" s="19">
        <f t="shared" si="248"/>
        <v>-128</v>
      </c>
      <c r="S5593" s="19">
        <v>1537</v>
      </c>
      <c r="T5593" s="91" t="s">
        <v>42</v>
      </c>
      <c r="U5593" s="102" t="s">
        <v>1431</v>
      </c>
      <c r="V5593" s="186">
        <v>45401</v>
      </c>
      <c r="W5593" s="17" t="s">
        <v>44</v>
      </c>
      <c r="Y5593" s="68">
        <v>45413</v>
      </c>
      <c r="Z5593" s="17" t="s">
        <v>78</v>
      </c>
      <c r="AA5593" s="17" t="s">
        <v>46</v>
      </c>
      <c r="AB5593" s="17" t="s">
        <v>1432</v>
      </c>
      <c r="AC5593" s="217">
        <v>45415</v>
      </c>
      <c r="AD5593" s="65">
        <v>1567</v>
      </c>
      <c r="AE5593" s="17" t="s">
        <v>48</v>
      </c>
    </row>
    <row r="5594" s="17" customFormat="1" hidden="1" spans="1:31">
      <c r="A5594" s="17" t="s">
        <v>34</v>
      </c>
      <c r="B5594" s="19">
        <v>999</v>
      </c>
      <c r="C5594" s="183">
        <v>45400</v>
      </c>
      <c r="D5594" s="17" t="s">
        <v>109</v>
      </c>
      <c r="E5594" s="17" t="s">
        <v>110</v>
      </c>
      <c r="F5594" s="17" t="s">
        <v>72</v>
      </c>
      <c r="H5594" s="141">
        <v>1.2738</v>
      </c>
      <c r="I5594" s="328"/>
      <c r="J5594" s="185" t="s">
        <v>39</v>
      </c>
      <c r="K5594" s="19">
        <v>95</v>
      </c>
      <c r="L5594" s="19"/>
      <c r="M5594" s="19">
        <v>5800</v>
      </c>
      <c r="N5594" s="19" t="s">
        <v>66</v>
      </c>
      <c r="O5594" s="19" t="s">
        <v>141</v>
      </c>
      <c r="P5594" s="19">
        <v>2000</v>
      </c>
      <c r="Q5594" s="19">
        <v>1922</v>
      </c>
      <c r="R5594" s="19">
        <f t="shared" si="248"/>
        <v>78</v>
      </c>
      <c r="S5594" s="19">
        <v>1537</v>
      </c>
      <c r="T5594" s="91" t="s">
        <v>42</v>
      </c>
      <c r="U5594" s="102" t="s">
        <v>1431</v>
      </c>
      <c r="V5594" s="186">
        <v>45401</v>
      </c>
      <c r="W5594" s="17" t="s">
        <v>44</v>
      </c>
      <c r="Y5594" s="68">
        <v>45413</v>
      </c>
      <c r="Z5594" s="17" t="s">
        <v>78</v>
      </c>
      <c r="AA5594" s="17" t="s">
        <v>46</v>
      </c>
      <c r="AB5594" s="17" t="s">
        <v>1432</v>
      </c>
      <c r="AC5594" s="217">
        <v>45415</v>
      </c>
      <c r="AD5594" s="65">
        <v>1567</v>
      </c>
      <c r="AE5594" s="17" t="s">
        <v>48</v>
      </c>
    </row>
    <row r="5595" s="17" customFormat="1" hidden="1" spans="1:31">
      <c r="A5595" s="17" t="s">
        <v>34</v>
      </c>
      <c r="B5595" s="19">
        <v>999</v>
      </c>
      <c r="C5595" s="183">
        <v>45400</v>
      </c>
      <c r="D5595" s="17" t="s">
        <v>109</v>
      </c>
      <c r="E5595" s="17" t="s">
        <v>110</v>
      </c>
      <c r="F5595" s="17" t="s">
        <v>72</v>
      </c>
      <c r="H5595" s="141">
        <v>1.2738</v>
      </c>
      <c r="I5595" s="328"/>
      <c r="J5595" s="185" t="s">
        <v>39</v>
      </c>
      <c r="K5595" s="19">
        <v>100</v>
      </c>
      <c r="L5595" s="19"/>
      <c r="M5595" s="19">
        <v>5800</v>
      </c>
      <c r="N5595" s="19" t="s">
        <v>66</v>
      </c>
      <c r="O5595" s="19" t="s">
        <v>141</v>
      </c>
      <c r="P5595" s="19">
        <v>2000</v>
      </c>
      <c r="Q5595" s="19">
        <v>1094</v>
      </c>
      <c r="R5595" s="19">
        <f t="shared" si="248"/>
        <v>906</v>
      </c>
      <c r="S5595" s="19">
        <v>1537</v>
      </c>
      <c r="T5595" s="91" t="s">
        <v>42</v>
      </c>
      <c r="U5595" s="102" t="s">
        <v>1431</v>
      </c>
      <c r="V5595" s="186">
        <v>45401</v>
      </c>
      <c r="W5595" s="17" t="s">
        <v>44</v>
      </c>
      <c r="Y5595" s="68">
        <v>45413</v>
      </c>
      <c r="Z5595" s="17" t="s">
        <v>78</v>
      </c>
      <c r="AA5595" s="17" t="s">
        <v>46</v>
      </c>
      <c r="AB5595" s="17" t="s">
        <v>1432</v>
      </c>
      <c r="AC5595" s="217">
        <v>45415</v>
      </c>
      <c r="AD5595" s="65">
        <v>1567</v>
      </c>
      <c r="AE5595" s="17" t="s">
        <v>48</v>
      </c>
    </row>
    <row r="5596" s="17" customFormat="1" hidden="1" spans="1:31">
      <c r="A5596" s="17" t="s">
        <v>34</v>
      </c>
      <c r="B5596" s="19">
        <v>999</v>
      </c>
      <c r="C5596" s="183">
        <v>45400</v>
      </c>
      <c r="D5596" s="17" t="s">
        <v>109</v>
      </c>
      <c r="E5596" s="17" t="s">
        <v>110</v>
      </c>
      <c r="F5596" s="17" t="s">
        <v>72</v>
      </c>
      <c r="H5596" s="141">
        <v>1.2738</v>
      </c>
      <c r="I5596" s="328"/>
      <c r="J5596" s="185" t="s">
        <v>39</v>
      </c>
      <c r="K5596" s="19">
        <v>105</v>
      </c>
      <c r="L5596" s="19"/>
      <c r="M5596" s="19">
        <v>5800</v>
      </c>
      <c r="N5596" s="19" t="s">
        <v>66</v>
      </c>
      <c r="O5596" s="19" t="s">
        <v>141</v>
      </c>
      <c r="P5596" s="19">
        <v>2000</v>
      </c>
      <c r="Q5596" s="19">
        <v>2000</v>
      </c>
      <c r="R5596" s="19">
        <f t="shared" ref="R5596:R5618" si="249">+P5596-Q5596</f>
        <v>0</v>
      </c>
      <c r="S5596" s="19">
        <v>1537</v>
      </c>
      <c r="T5596" s="91" t="s">
        <v>42</v>
      </c>
      <c r="U5596" s="102" t="s">
        <v>1431</v>
      </c>
      <c r="V5596" s="186">
        <v>45401</v>
      </c>
      <c r="W5596" s="17" t="s">
        <v>44</v>
      </c>
      <c r="Y5596" s="68">
        <v>45413</v>
      </c>
      <c r="Z5596" s="17" t="s">
        <v>78</v>
      </c>
      <c r="AA5596" s="17" t="s">
        <v>46</v>
      </c>
      <c r="AB5596" s="17" t="s">
        <v>1432</v>
      </c>
      <c r="AC5596" s="217">
        <v>45415</v>
      </c>
      <c r="AD5596" s="65">
        <v>1567</v>
      </c>
      <c r="AE5596" s="17" t="s">
        <v>48</v>
      </c>
    </row>
    <row r="5597" s="17" customFormat="1" hidden="1" spans="1:31">
      <c r="A5597" s="17" t="s">
        <v>34</v>
      </c>
      <c r="B5597" s="19">
        <v>999</v>
      </c>
      <c r="C5597" s="183">
        <v>45400</v>
      </c>
      <c r="D5597" s="17" t="s">
        <v>109</v>
      </c>
      <c r="E5597" s="17" t="s">
        <v>110</v>
      </c>
      <c r="F5597" s="17" t="s">
        <v>72</v>
      </c>
      <c r="H5597" s="141">
        <v>1.2738</v>
      </c>
      <c r="I5597" s="328"/>
      <c r="J5597" s="185" t="s">
        <v>39</v>
      </c>
      <c r="K5597" s="19">
        <v>110</v>
      </c>
      <c r="L5597" s="19"/>
      <c r="M5597" s="19">
        <v>5800</v>
      </c>
      <c r="N5597" s="19" t="s">
        <v>66</v>
      </c>
      <c r="O5597" s="19" t="s">
        <v>141</v>
      </c>
      <c r="P5597" s="19">
        <v>2000</v>
      </c>
      <c r="Q5597" s="19">
        <v>1760</v>
      </c>
      <c r="R5597" s="19">
        <f t="shared" si="249"/>
        <v>240</v>
      </c>
      <c r="S5597" s="19">
        <v>1537</v>
      </c>
      <c r="T5597" s="91" t="s">
        <v>42</v>
      </c>
      <c r="U5597" s="102" t="s">
        <v>1431</v>
      </c>
      <c r="V5597" s="186">
        <v>45401</v>
      </c>
      <c r="W5597" s="17" t="s">
        <v>44</v>
      </c>
      <c r="Y5597" s="68">
        <v>45413</v>
      </c>
      <c r="Z5597" s="17" t="s">
        <v>78</v>
      </c>
      <c r="AA5597" s="17" t="s">
        <v>46</v>
      </c>
      <c r="AB5597" s="17" t="s">
        <v>1432</v>
      </c>
      <c r="AC5597" s="217">
        <v>45415</v>
      </c>
      <c r="AD5597" s="65">
        <v>1567</v>
      </c>
      <c r="AE5597" s="17" t="s">
        <v>48</v>
      </c>
    </row>
    <row r="5598" s="17" customFormat="1" hidden="1" spans="1:31">
      <c r="A5598" s="17" t="s">
        <v>34</v>
      </c>
      <c r="B5598" s="19">
        <v>999</v>
      </c>
      <c r="C5598" s="183">
        <v>45400</v>
      </c>
      <c r="D5598" s="17" t="s">
        <v>109</v>
      </c>
      <c r="E5598" s="17" t="s">
        <v>110</v>
      </c>
      <c r="F5598" s="17" t="s">
        <v>72</v>
      </c>
      <c r="H5598" s="141">
        <v>1.2738</v>
      </c>
      <c r="I5598" s="328"/>
      <c r="J5598" s="185" t="s">
        <v>39</v>
      </c>
      <c r="K5598" s="19">
        <v>115</v>
      </c>
      <c r="L5598" s="19"/>
      <c r="M5598" s="19">
        <v>5800</v>
      </c>
      <c r="N5598" s="19" t="s">
        <v>66</v>
      </c>
      <c r="O5598" s="19" t="s">
        <v>141</v>
      </c>
      <c r="P5598" s="19">
        <v>1000</v>
      </c>
      <c r="Q5598" s="19">
        <v>966</v>
      </c>
      <c r="R5598" s="19">
        <f t="shared" si="249"/>
        <v>34</v>
      </c>
      <c r="S5598" s="19">
        <v>1537</v>
      </c>
      <c r="T5598" s="91" t="s">
        <v>42</v>
      </c>
      <c r="U5598" s="102" t="s">
        <v>1431</v>
      </c>
      <c r="V5598" s="186">
        <v>45401</v>
      </c>
      <c r="W5598" s="17" t="s">
        <v>44</v>
      </c>
      <c r="Y5598" s="68">
        <v>45413</v>
      </c>
      <c r="Z5598" s="17" t="s">
        <v>78</v>
      </c>
      <c r="AA5598" s="17" t="s">
        <v>46</v>
      </c>
      <c r="AB5598" s="17" t="s">
        <v>1432</v>
      </c>
      <c r="AC5598" s="217">
        <v>45415</v>
      </c>
      <c r="AD5598" s="65">
        <v>1567</v>
      </c>
      <c r="AE5598" s="17" t="s">
        <v>48</v>
      </c>
    </row>
    <row r="5599" s="17" customFormat="1" hidden="1" spans="1:31">
      <c r="A5599" s="17" t="s">
        <v>34</v>
      </c>
      <c r="B5599" s="19">
        <v>999</v>
      </c>
      <c r="C5599" s="183">
        <v>45400</v>
      </c>
      <c r="D5599" s="17" t="s">
        <v>109</v>
      </c>
      <c r="E5599" s="17" t="s">
        <v>110</v>
      </c>
      <c r="F5599" s="17" t="s">
        <v>72</v>
      </c>
      <c r="H5599" s="141">
        <v>1.2738</v>
      </c>
      <c r="I5599" s="328"/>
      <c r="J5599" s="185" t="s">
        <v>39</v>
      </c>
      <c r="K5599" s="19">
        <v>120</v>
      </c>
      <c r="L5599" s="19"/>
      <c r="M5599" s="19">
        <v>5800</v>
      </c>
      <c r="N5599" s="19" t="s">
        <v>66</v>
      </c>
      <c r="O5599" s="19" t="s">
        <v>141</v>
      </c>
      <c r="P5599" s="19">
        <v>2000</v>
      </c>
      <c r="Q5599" s="19">
        <v>2106</v>
      </c>
      <c r="R5599" s="19">
        <f t="shared" si="249"/>
        <v>-106</v>
      </c>
      <c r="S5599" s="19">
        <v>1537</v>
      </c>
      <c r="T5599" s="91" t="s">
        <v>42</v>
      </c>
      <c r="U5599" s="102" t="s">
        <v>1431</v>
      </c>
      <c r="V5599" s="186">
        <v>45401</v>
      </c>
      <c r="W5599" s="17" t="s">
        <v>44</v>
      </c>
      <c r="Y5599" s="68">
        <v>45413</v>
      </c>
      <c r="Z5599" s="17" t="s">
        <v>78</v>
      </c>
      <c r="AA5599" s="17" t="s">
        <v>46</v>
      </c>
      <c r="AB5599" s="17" t="s">
        <v>1432</v>
      </c>
      <c r="AC5599" s="217">
        <v>45415</v>
      </c>
      <c r="AD5599" s="65">
        <v>1567</v>
      </c>
      <c r="AE5599" s="17" t="s">
        <v>48</v>
      </c>
    </row>
    <row r="5600" s="17" customFormat="1" hidden="1" spans="1:31">
      <c r="A5600" s="17" t="s">
        <v>34</v>
      </c>
      <c r="B5600" s="19">
        <v>999</v>
      </c>
      <c r="C5600" s="183">
        <v>45400</v>
      </c>
      <c r="D5600" s="17" t="s">
        <v>109</v>
      </c>
      <c r="E5600" s="17" t="s">
        <v>110</v>
      </c>
      <c r="F5600" s="17" t="s">
        <v>72</v>
      </c>
      <c r="H5600" s="141">
        <v>1.2738</v>
      </c>
      <c r="I5600" s="328"/>
      <c r="J5600" s="185" t="s">
        <v>39</v>
      </c>
      <c r="K5600" s="19">
        <v>130</v>
      </c>
      <c r="L5600" s="19"/>
      <c r="M5600" s="19">
        <v>5800</v>
      </c>
      <c r="N5600" s="19" t="s">
        <v>66</v>
      </c>
      <c r="O5600" s="19" t="s">
        <v>141</v>
      </c>
      <c r="P5600" s="19">
        <v>2000</v>
      </c>
      <c r="Q5600" s="19">
        <v>1850</v>
      </c>
      <c r="R5600" s="19">
        <f t="shared" si="249"/>
        <v>150</v>
      </c>
      <c r="S5600" s="19">
        <v>1610</v>
      </c>
      <c r="T5600" s="91" t="s">
        <v>42</v>
      </c>
      <c r="U5600" s="102" t="s">
        <v>1431</v>
      </c>
      <c r="V5600" s="186">
        <v>45401</v>
      </c>
      <c r="W5600" s="17" t="s">
        <v>44</v>
      </c>
      <c r="Y5600" s="68">
        <v>45413</v>
      </c>
      <c r="Z5600" s="17" t="s">
        <v>78</v>
      </c>
      <c r="AA5600" s="17" t="s">
        <v>46</v>
      </c>
      <c r="AB5600" s="17" t="s">
        <v>1432</v>
      </c>
      <c r="AC5600" s="217">
        <v>45415</v>
      </c>
      <c r="AD5600" s="65">
        <v>1567</v>
      </c>
      <c r="AE5600" s="17" t="s">
        <v>48</v>
      </c>
    </row>
    <row r="5601" s="17" customFormat="1" hidden="1" spans="1:31">
      <c r="A5601" s="17" t="s">
        <v>34</v>
      </c>
      <c r="B5601" s="19">
        <v>999</v>
      </c>
      <c r="C5601" s="183">
        <v>45400</v>
      </c>
      <c r="D5601" s="17" t="s">
        <v>109</v>
      </c>
      <c r="E5601" s="17" t="s">
        <v>110</v>
      </c>
      <c r="F5601" s="17" t="s">
        <v>72</v>
      </c>
      <c r="H5601" s="141">
        <v>1.2738</v>
      </c>
      <c r="I5601" s="328"/>
      <c r="J5601" s="185" t="s">
        <v>39</v>
      </c>
      <c r="K5601" s="19">
        <v>140</v>
      </c>
      <c r="L5601" s="19"/>
      <c r="M5601" s="19">
        <v>5800</v>
      </c>
      <c r="N5601" s="19" t="s">
        <v>66</v>
      </c>
      <c r="O5601" s="19" t="s">
        <v>141</v>
      </c>
      <c r="P5601" s="19">
        <v>2000</v>
      </c>
      <c r="Q5601" s="19">
        <v>2138</v>
      </c>
      <c r="R5601" s="19">
        <f t="shared" si="249"/>
        <v>-138</v>
      </c>
      <c r="S5601" s="19">
        <v>1610</v>
      </c>
      <c r="T5601" s="91" t="s">
        <v>42</v>
      </c>
      <c r="U5601" s="102" t="s">
        <v>1431</v>
      </c>
      <c r="V5601" s="186">
        <v>45401</v>
      </c>
      <c r="W5601" s="17" t="s">
        <v>44</v>
      </c>
      <c r="Y5601" s="68">
        <v>45413</v>
      </c>
      <c r="Z5601" s="17" t="s">
        <v>78</v>
      </c>
      <c r="AA5601" s="17" t="s">
        <v>46</v>
      </c>
      <c r="AB5601" s="17" t="s">
        <v>1432</v>
      </c>
      <c r="AC5601" s="217">
        <v>45415</v>
      </c>
      <c r="AD5601" s="65">
        <v>1567</v>
      </c>
      <c r="AE5601" s="17" t="s">
        <v>48</v>
      </c>
    </row>
    <row r="5602" s="17" customFormat="1" hidden="1" spans="1:31">
      <c r="A5602" s="17" t="s">
        <v>34</v>
      </c>
      <c r="B5602" s="19">
        <v>999</v>
      </c>
      <c r="C5602" s="183">
        <v>45400</v>
      </c>
      <c r="D5602" s="17" t="s">
        <v>109</v>
      </c>
      <c r="E5602" s="17" t="s">
        <v>110</v>
      </c>
      <c r="F5602" s="17" t="s">
        <v>72</v>
      </c>
      <c r="H5602" s="141">
        <v>1.2738</v>
      </c>
      <c r="I5602" s="328"/>
      <c r="J5602" s="185" t="s">
        <v>39</v>
      </c>
      <c r="K5602" s="19">
        <v>150</v>
      </c>
      <c r="L5602" s="19"/>
      <c r="M5602" s="19">
        <v>5800</v>
      </c>
      <c r="N5602" s="19" t="s">
        <v>66</v>
      </c>
      <c r="O5602" s="19" t="s">
        <v>141</v>
      </c>
      <c r="P5602" s="19">
        <v>2000</v>
      </c>
      <c r="Q5602" s="19">
        <v>2442</v>
      </c>
      <c r="R5602" s="19">
        <f t="shared" si="249"/>
        <v>-442</v>
      </c>
      <c r="S5602" s="19">
        <v>1610</v>
      </c>
      <c r="T5602" s="91" t="s">
        <v>42</v>
      </c>
      <c r="U5602" s="102" t="s">
        <v>1431</v>
      </c>
      <c r="V5602" s="186">
        <v>45401</v>
      </c>
      <c r="W5602" s="17" t="s">
        <v>44</v>
      </c>
      <c r="Y5602" s="68">
        <v>45413</v>
      </c>
      <c r="Z5602" s="17" t="s">
        <v>78</v>
      </c>
      <c r="AA5602" s="17" t="s">
        <v>46</v>
      </c>
      <c r="AB5602" s="17" t="s">
        <v>1432</v>
      </c>
      <c r="AC5602" s="217">
        <v>45415</v>
      </c>
      <c r="AD5602" s="65">
        <v>1567</v>
      </c>
      <c r="AE5602" s="17" t="s">
        <v>48</v>
      </c>
    </row>
    <row r="5603" s="17" customFormat="1" hidden="1" spans="1:31">
      <c r="A5603" s="17" t="s">
        <v>34</v>
      </c>
      <c r="B5603" s="19">
        <v>999</v>
      </c>
      <c r="C5603" s="183">
        <v>45400</v>
      </c>
      <c r="D5603" s="17" t="s">
        <v>109</v>
      </c>
      <c r="E5603" s="17" t="s">
        <v>110</v>
      </c>
      <c r="F5603" s="17" t="s">
        <v>72</v>
      </c>
      <c r="H5603" s="141">
        <v>1.2738</v>
      </c>
      <c r="I5603" s="328"/>
      <c r="J5603" s="185" t="s">
        <v>39</v>
      </c>
      <c r="K5603" s="19">
        <v>160</v>
      </c>
      <c r="L5603" s="19"/>
      <c r="M5603" s="19">
        <v>5800</v>
      </c>
      <c r="N5603" s="19" t="s">
        <v>66</v>
      </c>
      <c r="O5603" s="19" t="s">
        <v>141</v>
      </c>
      <c r="P5603" s="19">
        <v>2000</v>
      </c>
      <c r="Q5603" s="19">
        <v>1862</v>
      </c>
      <c r="R5603" s="19">
        <f t="shared" si="249"/>
        <v>138</v>
      </c>
      <c r="S5603" s="19">
        <v>1610</v>
      </c>
      <c r="T5603" s="91" t="s">
        <v>42</v>
      </c>
      <c r="U5603" s="102" t="s">
        <v>1431</v>
      </c>
      <c r="V5603" s="186">
        <v>45401</v>
      </c>
      <c r="W5603" s="17" t="s">
        <v>44</v>
      </c>
      <c r="Y5603" s="68">
        <v>45413</v>
      </c>
      <c r="Z5603" s="17" t="s">
        <v>78</v>
      </c>
      <c r="AA5603" s="17" t="s">
        <v>46</v>
      </c>
      <c r="AB5603" s="17" t="s">
        <v>1432</v>
      </c>
      <c r="AC5603" s="217">
        <v>45415</v>
      </c>
      <c r="AD5603" s="65">
        <v>1567</v>
      </c>
      <c r="AE5603" s="17" t="s">
        <v>48</v>
      </c>
    </row>
    <row r="5604" s="17" customFormat="1" hidden="1" spans="1:31">
      <c r="A5604" s="17" t="s">
        <v>34</v>
      </c>
      <c r="B5604" s="19">
        <v>999</v>
      </c>
      <c r="C5604" s="183">
        <v>45400</v>
      </c>
      <c r="D5604" s="17" t="s">
        <v>109</v>
      </c>
      <c r="E5604" s="17" t="s">
        <v>110</v>
      </c>
      <c r="F5604" s="17" t="s">
        <v>72</v>
      </c>
      <c r="H5604" s="141">
        <v>1.2738</v>
      </c>
      <c r="I5604" s="328"/>
      <c r="J5604" s="185" t="s">
        <v>39</v>
      </c>
      <c r="K5604" s="19">
        <v>170</v>
      </c>
      <c r="L5604" s="19"/>
      <c r="M5604" s="19">
        <v>5800</v>
      </c>
      <c r="N5604" s="19" t="s">
        <v>66</v>
      </c>
      <c r="O5604" s="19" t="s">
        <v>141</v>
      </c>
      <c r="P5604" s="19">
        <v>2000</v>
      </c>
      <c r="Q5604" s="19">
        <v>2094</v>
      </c>
      <c r="R5604" s="19">
        <f t="shared" si="249"/>
        <v>-94</v>
      </c>
      <c r="S5604" s="19">
        <v>1610</v>
      </c>
      <c r="T5604" s="91" t="s">
        <v>42</v>
      </c>
      <c r="U5604" s="102" t="s">
        <v>1431</v>
      </c>
      <c r="V5604" s="186">
        <v>45401</v>
      </c>
      <c r="W5604" s="17" t="s">
        <v>44</v>
      </c>
      <c r="Y5604" s="68">
        <v>45413</v>
      </c>
      <c r="Z5604" s="17" t="s">
        <v>78</v>
      </c>
      <c r="AA5604" s="17" t="s">
        <v>46</v>
      </c>
      <c r="AB5604" s="17" t="s">
        <v>1432</v>
      </c>
      <c r="AC5604" s="217">
        <v>45415</v>
      </c>
      <c r="AD5604" s="65">
        <v>1567</v>
      </c>
      <c r="AE5604" s="17" t="s">
        <v>48</v>
      </c>
    </row>
    <row r="5605" s="17" customFormat="1" hidden="1" spans="1:31">
      <c r="A5605" s="17" t="s">
        <v>34</v>
      </c>
      <c r="B5605" s="19">
        <v>999</v>
      </c>
      <c r="C5605" s="183">
        <v>45400</v>
      </c>
      <c r="D5605" s="17" t="s">
        <v>109</v>
      </c>
      <c r="E5605" s="17" t="s">
        <v>110</v>
      </c>
      <c r="F5605" s="17" t="s">
        <v>72</v>
      </c>
      <c r="H5605" s="141">
        <v>1.2738</v>
      </c>
      <c r="I5605" s="328"/>
      <c r="J5605" s="185" t="s">
        <v>39</v>
      </c>
      <c r="K5605" s="19">
        <v>180</v>
      </c>
      <c r="L5605" s="19"/>
      <c r="M5605" s="19">
        <v>5800</v>
      </c>
      <c r="N5605" s="19" t="s">
        <v>66</v>
      </c>
      <c r="O5605" s="19" t="s">
        <v>141</v>
      </c>
      <c r="P5605" s="19">
        <v>2000</v>
      </c>
      <c r="Q5605" s="19">
        <v>2346</v>
      </c>
      <c r="R5605" s="19">
        <f t="shared" si="249"/>
        <v>-346</v>
      </c>
      <c r="S5605" s="19">
        <v>1610</v>
      </c>
      <c r="T5605" s="91" t="s">
        <v>42</v>
      </c>
      <c r="U5605" s="102" t="s">
        <v>1431</v>
      </c>
      <c r="V5605" s="186">
        <v>45401</v>
      </c>
      <c r="W5605" s="17" t="s">
        <v>44</v>
      </c>
      <c r="Y5605" s="68">
        <v>45413</v>
      </c>
      <c r="Z5605" s="17" t="s">
        <v>78</v>
      </c>
      <c r="AA5605" s="17" t="s">
        <v>46</v>
      </c>
      <c r="AB5605" s="17" t="s">
        <v>1432</v>
      </c>
      <c r="AC5605" s="217">
        <v>45415</v>
      </c>
      <c r="AD5605" s="65">
        <v>1567</v>
      </c>
      <c r="AE5605" s="17" t="s">
        <v>48</v>
      </c>
    </row>
    <row r="5606" s="17" customFormat="1" hidden="1" spans="1:31">
      <c r="A5606" s="17" t="s">
        <v>34</v>
      </c>
      <c r="B5606" s="19">
        <v>999</v>
      </c>
      <c r="C5606" s="183">
        <v>45400</v>
      </c>
      <c r="D5606" s="17" t="s">
        <v>109</v>
      </c>
      <c r="E5606" s="17" t="s">
        <v>110</v>
      </c>
      <c r="F5606" s="17" t="s">
        <v>72</v>
      </c>
      <c r="H5606" s="141">
        <v>1.2738</v>
      </c>
      <c r="I5606" s="328"/>
      <c r="J5606" s="185" t="s">
        <v>39</v>
      </c>
      <c r="K5606" s="19">
        <v>190</v>
      </c>
      <c r="L5606" s="19"/>
      <c r="M5606" s="19">
        <v>5800</v>
      </c>
      <c r="N5606" s="19" t="s">
        <v>66</v>
      </c>
      <c r="O5606" s="19" t="s">
        <v>141</v>
      </c>
      <c r="P5606" s="19">
        <v>1500</v>
      </c>
      <c r="Q5606" s="19">
        <v>1800</v>
      </c>
      <c r="R5606" s="19">
        <f t="shared" si="249"/>
        <v>-300</v>
      </c>
      <c r="S5606" s="19">
        <v>1610</v>
      </c>
      <c r="T5606" s="91" t="s">
        <v>42</v>
      </c>
      <c r="U5606" s="102" t="s">
        <v>1431</v>
      </c>
      <c r="V5606" s="186">
        <v>45401</v>
      </c>
      <c r="W5606" s="17" t="s">
        <v>44</v>
      </c>
      <c r="Y5606" s="68">
        <v>45413</v>
      </c>
      <c r="Z5606" s="17" t="s">
        <v>78</v>
      </c>
      <c r="AA5606" s="17" t="s">
        <v>46</v>
      </c>
      <c r="AB5606" s="17" t="s">
        <v>1432</v>
      </c>
      <c r="AC5606" s="217">
        <v>45415</v>
      </c>
      <c r="AD5606" s="65">
        <v>1567</v>
      </c>
      <c r="AE5606" s="17" t="s">
        <v>48</v>
      </c>
    </row>
    <row r="5607" s="17" customFormat="1" hidden="1" spans="1:31">
      <c r="A5607" s="17" t="s">
        <v>34</v>
      </c>
      <c r="B5607" s="19">
        <v>999</v>
      </c>
      <c r="C5607" s="183">
        <v>45400</v>
      </c>
      <c r="D5607" s="17" t="s">
        <v>109</v>
      </c>
      <c r="E5607" s="17" t="s">
        <v>110</v>
      </c>
      <c r="F5607" s="17" t="s">
        <v>72</v>
      </c>
      <c r="H5607" s="141">
        <v>1.2738</v>
      </c>
      <c r="I5607" s="328"/>
      <c r="J5607" s="185" t="s">
        <v>39</v>
      </c>
      <c r="K5607" s="19">
        <v>200</v>
      </c>
      <c r="L5607" s="19"/>
      <c r="M5607" s="19">
        <v>5800</v>
      </c>
      <c r="N5607" s="19" t="s">
        <v>66</v>
      </c>
      <c r="O5607" s="19" t="s">
        <v>141</v>
      </c>
      <c r="P5607" s="19">
        <v>2000</v>
      </c>
      <c r="Q5607" s="19">
        <v>1452</v>
      </c>
      <c r="R5607" s="19">
        <f t="shared" si="249"/>
        <v>548</v>
      </c>
      <c r="S5607" s="19">
        <v>1610</v>
      </c>
      <c r="T5607" s="91" t="s">
        <v>42</v>
      </c>
      <c r="U5607" s="102" t="s">
        <v>1431</v>
      </c>
      <c r="V5607" s="186">
        <v>45401</v>
      </c>
      <c r="W5607" s="17" t="s">
        <v>44</v>
      </c>
      <c r="Y5607" s="68">
        <v>45413</v>
      </c>
      <c r="Z5607" s="17" t="s">
        <v>78</v>
      </c>
      <c r="AA5607" s="17" t="s">
        <v>46</v>
      </c>
      <c r="AB5607" s="17" t="s">
        <v>1432</v>
      </c>
      <c r="AC5607" s="217">
        <v>45415</v>
      </c>
      <c r="AD5607" s="65">
        <v>1567</v>
      </c>
      <c r="AE5607" s="17" t="s">
        <v>48</v>
      </c>
    </row>
    <row r="5608" s="17" customFormat="1" hidden="1" spans="1:31">
      <c r="A5608" s="17" t="s">
        <v>34</v>
      </c>
      <c r="B5608" s="19">
        <v>999</v>
      </c>
      <c r="C5608" s="183">
        <v>45400</v>
      </c>
      <c r="D5608" s="17" t="s">
        <v>109</v>
      </c>
      <c r="E5608" s="17" t="s">
        <v>110</v>
      </c>
      <c r="F5608" s="17" t="s">
        <v>72</v>
      </c>
      <c r="H5608" s="141">
        <v>1.2738</v>
      </c>
      <c r="I5608" s="328"/>
      <c r="J5608" s="185" t="s">
        <v>39</v>
      </c>
      <c r="K5608" s="19">
        <v>210</v>
      </c>
      <c r="L5608" s="19"/>
      <c r="M5608" s="19">
        <v>5800</v>
      </c>
      <c r="N5608" s="19" t="s">
        <v>66</v>
      </c>
      <c r="O5608" s="19" t="s">
        <v>141</v>
      </c>
      <c r="P5608" s="19">
        <v>2000</v>
      </c>
      <c r="Q5608" s="19">
        <v>1610</v>
      </c>
      <c r="R5608" s="19">
        <f t="shared" si="249"/>
        <v>390</v>
      </c>
      <c r="S5608" s="19">
        <v>1610</v>
      </c>
      <c r="T5608" s="91" t="s">
        <v>42</v>
      </c>
      <c r="U5608" s="102" t="s">
        <v>1431</v>
      </c>
      <c r="V5608" s="186">
        <v>45401</v>
      </c>
      <c r="W5608" s="17" t="s">
        <v>44</v>
      </c>
      <c r="Y5608" s="68">
        <v>45413</v>
      </c>
      <c r="Z5608" s="17" t="s">
        <v>78</v>
      </c>
      <c r="AA5608" s="17" t="s">
        <v>46</v>
      </c>
      <c r="AB5608" s="17" t="s">
        <v>1432</v>
      </c>
      <c r="AC5608" s="217">
        <v>45415</v>
      </c>
      <c r="AD5608" s="65">
        <v>1567</v>
      </c>
      <c r="AE5608" s="17" t="s">
        <v>48</v>
      </c>
    </row>
    <row r="5609" s="17" customFormat="1" hidden="1" spans="1:31">
      <c r="A5609" s="17" t="s">
        <v>34</v>
      </c>
      <c r="B5609" s="19">
        <v>999</v>
      </c>
      <c r="C5609" s="183">
        <v>45400</v>
      </c>
      <c r="D5609" s="17" t="s">
        <v>109</v>
      </c>
      <c r="E5609" s="17" t="s">
        <v>110</v>
      </c>
      <c r="F5609" s="17" t="s">
        <v>72</v>
      </c>
      <c r="H5609" s="141">
        <v>1.2738</v>
      </c>
      <c r="I5609" s="328"/>
      <c r="J5609" s="185" t="s">
        <v>39</v>
      </c>
      <c r="K5609" s="19">
        <v>220</v>
      </c>
      <c r="L5609" s="19"/>
      <c r="M5609" s="19">
        <v>5800</v>
      </c>
      <c r="N5609" s="19" t="s">
        <v>66</v>
      </c>
      <c r="O5609" s="19" t="s">
        <v>141</v>
      </c>
      <c r="P5609" s="19">
        <v>2000</v>
      </c>
      <c r="Q5609" s="19">
        <v>1680</v>
      </c>
      <c r="R5609" s="19">
        <f t="shared" si="249"/>
        <v>320</v>
      </c>
      <c r="S5609" s="19">
        <v>1684</v>
      </c>
      <c r="T5609" s="91" t="s">
        <v>42</v>
      </c>
      <c r="U5609" s="102" t="s">
        <v>1431</v>
      </c>
      <c r="V5609" s="186">
        <v>45401</v>
      </c>
      <c r="W5609" s="17" t="s">
        <v>44</v>
      </c>
      <c r="Y5609" s="68">
        <v>45413</v>
      </c>
      <c r="Z5609" s="17" t="s">
        <v>78</v>
      </c>
      <c r="AA5609" s="17" t="s">
        <v>46</v>
      </c>
      <c r="AB5609" s="17" t="s">
        <v>1432</v>
      </c>
      <c r="AC5609" s="217">
        <v>45415</v>
      </c>
      <c r="AD5609" s="65">
        <v>1567</v>
      </c>
      <c r="AE5609" s="17" t="s">
        <v>48</v>
      </c>
    </row>
    <row r="5610" s="17" customFormat="1" hidden="1" spans="1:31">
      <c r="A5610" s="17" t="s">
        <v>34</v>
      </c>
      <c r="B5610" s="19">
        <v>999</v>
      </c>
      <c r="C5610" s="183">
        <v>45400</v>
      </c>
      <c r="D5610" s="17" t="s">
        <v>109</v>
      </c>
      <c r="E5610" s="17" t="s">
        <v>110</v>
      </c>
      <c r="F5610" s="17" t="s">
        <v>72</v>
      </c>
      <c r="H5610" s="141">
        <v>1.2738</v>
      </c>
      <c r="I5610" s="328"/>
      <c r="J5610" s="185" t="s">
        <v>39</v>
      </c>
      <c r="K5610" s="19">
        <v>230</v>
      </c>
      <c r="L5610" s="19"/>
      <c r="M5610" s="19">
        <v>5800</v>
      </c>
      <c r="N5610" s="19" t="s">
        <v>66</v>
      </c>
      <c r="O5610" s="19" t="s">
        <v>141</v>
      </c>
      <c r="P5610" s="19">
        <v>2000</v>
      </c>
      <c r="Q5610" s="19">
        <v>1914</v>
      </c>
      <c r="R5610" s="19">
        <f t="shared" si="249"/>
        <v>86</v>
      </c>
      <c r="S5610" s="19">
        <v>1684</v>
      </c>
      <c r="T5610" s="91" t="s">
        <v>42</v>
      </c>
      <c r="U5610" s="102" t="s">
        <v>1431</v>
      </c>
      <c r="V5610" s="186">
        <v>45401</v>
      </c>
      <c r="W5610" s="17" t="s">
        <v>44</v>
      </c>
      <c r="Y5610" s="68">
        <v>45413</v>
      </c>
      <c r="Z5610" s="17" t="s">
        <v>78</v>
      </c>
      <c r="AA5610" s="17" t="s">
        <v>46</v>
      </c>
      <c r="AB5610" s="17" t="s">
        <v>1432</v>
      </c>
      <c r="AC5610" s="217">
        <v>45415</v>
      </c>
      <c r="AD5610" s="65">
        <v>1567</v>
      </c>
      <c r="AE5610" s="17" t="s">
        <v>48</v>
      </c>
    </row>
    <row r="5611" s="17" customFormat="1" hidden="1" spans="1:31">
      <c r="A5611" s="17" t="s">
        <v>34</v>
      </c>
      <c r="B5611" s="19">
        <v>999</v>
      </c>
      <c r="C5611" s="183">
        <v>45400</v>
      </c>
      <c r="D5611" s="17" t="s">
        <v>109</v>
      </c>
      <c r="E5611" s="17" t="s">
        <v>110</v>
      </c>
      <c r="F5611" s="17" t="s">
        <v>72</v>
      </c>
      <c r="H5611" s="141">
        <v>1.2738</v>
      </c>
      <c r="I5611" s="328"/>
      <c r="J5611" s="185" t="s">
        <v>39</v>
      </c>
      <c r="K5611" s="19">
        <v>250</v>
      </c>
      <c r="L5611" s="19"/>
      <c r="M5611" s="19">
        <v>5800</v>
      </c>
      <c r="N5611" s="19" t="s">
        <v>66</v>
      </c>
      <c r="O5611" s="19" t="s">
        <v>98</v>
      </c>
      <c r="P5611" s="19">
        <v>2000</v>
      </c>
      <c r="Q5611" s="19">
        <v>3270</v>
      </c>
      <c r="R5611" s="19">
        <f t="shared" si="249"/>
        <v>-1270</v>
      </c>
      <c r="S5611" s="19">
        <v>1684</v>
      </c>
      <c r="T5611" s="91" t="s">
        <v>42</v>
      </c>
      <c r="U5611" s="102" t="s">
        <v>1431</v>
      </c>
      <c r="V5611" s="186">
        <v>45401</v>
      </c>
      <c r="W5611" s="17" t="s">
        <v>44</v>
      </c>
      <c r="Y5611" s="68">
        <v>45413</v>
      </c>
      <c r="Z5611" s="17" t="s">
        <v>78</v>
      </c>
      <c r="AA5611" s="17" t="s">
        <v>46</v>
      </c>
      <c r="AB5611" s="17" t="s">
        <v>1432</v>
      </c>
      <c r="AC5611" s="217">
        <v>45415</v>
      </c>
      <c r="AD5611" s="65">
        <v>1567</v>
      </c>
      <c r="AE5611" s="17" t="s">
        <v>48</v>
      </c>
    </row>
    <row r="5612" s="17" customFormat="1" hidden="1" spans="1:31">
      <c r="A5612" s="17" t="s">
        <v>34</v>
      </c>
      <c r="B5612" s="19">
        <v>999</v>
      </c>
      <c r="C5612" s="183">
        <v>45400</v>
      </c>
      <c r="D5612" s="17" t="s">
        <v>109</v>
      </c>
      <c r="E5612" s="17" t="s">
        <v>110</v>
      </c>
      <c r="F5612" s="17" t="s">
        <v>72</v>
      </c>
      <c r="H5612" s="141">
        <v>1.2738</v>
      </c>
      <c r="I5612" s="328"/>
      <c r="J5612" s="185" t="s">
        <v>39</v>
      </c>
      <c r="K5612" s="19">
        <v>260</v>
      </c>
      <c r="L5612" s="19"/>
      <c r="M5612" s="19">
        <v>2600</v>
      </c>
      <c r="N5612" s="19" t="s">
        <v>66</v>
      </c>
      <c r="O5612" s="19" t="s">
        <v>98</v>
      </c>
      <c r="P5612" s="19">
        <v>1142</v>
      </c>
      <c r="Q5612" s="19">
        <v>1142</v>
      </c>
      <c r="R5612" s="19">
        <f t="shared" si="249"/>
        <v>0</v>
      </c>
      <c r="S5612" s="19">
        <v>1684</v>
      </c>
      <c r="T5612" s="91" t="s">
        <v>42</v>
      </c>
      <c r="U5612" s="102" t="s">
        <v>1431</v>
      </c>
      <c r="V5612" s="186">
        <v>45401</v>
      </c>
      <c r="W5612" s="17" t="s">
        <v>44</v>
      </c>
      <c r="Y5612" s="68">
        <v>45413</v>
      </c>
      <c r="Z5612" s="17" t="s">
        <v>78</v>
      </c>
      <c r="AA5612" s="17" t="s">
        <v>46</v>
      </c>
      <c r="AB5612" s="17" t="s">
        <v>1432</v>
      </c>
      <c r="AC5612" s="217">
        <v>45415</v>
      </c>
      <c r="AD5612" s="65">
        <v>1567</v>
      </c>
      <c r="AE5612" s="17" t="s">
        <v>48</v>
      </c>
    </row>
    <row r="5613" s="17" customFormat="1" hidden="1" spans="1:31">
      <c r="A5613" s="17" t="s">
        <v>34</v>
      </c>
      <c r="B5613" s="19">
        <v>999</v>
      </c>
      <c r="C5613" s="183">
        <v>45400</v>
      </c>
      <c r="D5613" s="17" t="s">
        <v>109</v>
      </c>
      <c r="E5613" s="17" t="s">
        <v>110</v>
      </c>
      <c r="F5613" s="17" t="s">
        <v>72</v>
      </c>
      <c r="H5613" s="141">
        <v>1.2738</v>
      </c>
      <c r="I5613" s="328"/>
      <c r="J5613" s="185" t="s">
        <v>39</v>
      </c>
      <c r="K5613" s="147">
        <v>290</v>
      </c>
      <c r="L5613" s="147"/>
      <c r="M5613" s="19">
        <v>5800</v>
      </c>
      <c r="N5613" s="19" t="s">
        <v>66</v>
      </c>
      <c r="O5613" s="19" t="s">
        <v>98</v>
      </c>
      <c r="P5613" s="19">
        <v>3745</v>
      </c>
      <c r="Q5613" s="19">
        <v>3745</v>
      </c>
      <c r="R5613" s="19">
        <f t="shared" si="249"/>
        <v>0</v>
      </c>
      <c r="S5613" s="19">
        <v>1684</v>
      </c>
      <c r="T5613" s="91" t="s">
        <v>42</v>
      </c>
      <c r="U5613" s="102" t="s">
        <v>1431</v>
      </c>
      <c r="V5613" s="186">
        <v>45401</v>
      </c>
      <c r="W5613" s="17" t="s">
        <v>44</v>
      </c>
      <c r="Y5613" s="68">
        <v>45413</v>
      </c>
      <c r="Z5613" s="17" t="s">
        <v>78</v>
      </c>
      <c r="AA5613" s="17" t="s">
        <v>46</v>
      </c>
      <c r="AB5613" s="17" t="s">
        <v>1432</v>
      </c>
      <c r="AC5613" s="217">
        <v>45415</v>
      </c>
      <c r="AD5613" s="65">
        <v>1567</v>
      </c>
      <c r="AE5613" s="17" t="s">
        <v>48</v>
      </c>
    </row>
    <row r="5614" s="17" customFormat="1" hidden="1" spans="1:31">
      <c r="A5614" s="17" t="s">
        <v>34</v>
      </c>
      <c r="B5614" s="19">
        <v>1000</v>
      </c>
      <c r="C5614" s="183">
        <v>45401</v>
      </c>
      <c r="D5614" s="17" t="s">
        <v>52</v>
      </c>
      <c r="E5614" s="17" t="s">
        <v>1113</v>
      </c>
      <c r="F5614" s="17" t="s">
        <v>54</v>
      </c>
      <c r="H5614" s="141">
        <v>1.2738</v>
      </c>
      <c r="I5614" s="141"/>
      <c r="J5614" s="17" t="s">
        <v>82</v>
      </c>
      <c r="K5614" s="184">
        <v>205</v>
      </c>
      <c r="L5614" s="19">
        <v>20</v>
      </c>
      <c r="M5614" s="19">
        <v>2200</v>
      </c>
      <c r="N5614" s="19" t="s">
        <v>66</v>
      </c>
      <c r="O5614" s="19" t="s">
        <v>141</v>
      </c>
      <c r="P5614" s="19">
        <v>1086</v>
      </c>
      <c r="Q5614" s="19">
        <v>1172</v>
      </c>
      <c r="R5614" s="19">
        <f t="shared" si="249"/>
        <v>-86</v>
      </c>
      <c r="S5614" s="91">
        <f t="shared" ref="S5614:S5621" si="250">1120</f>
        <v>1120</v>
      </c>
      <c r="T5614" s="91" t="s">
        <v>42</v>
      </c>
      <c r="U5614" s="102" t="s">
        <v>1433</v>
      </c>
      <c r="V5614" s="186">
        <v>45402</v>
      </c>
      <c r="W5614" s="17" t="s">
        <v>69</v>
      </c>
      <c r="Y5614" s="68">
        <v>45413</v>
      </c>
      <c r="Z5614" s="17" t="s">
        <v>191</v>
      </c>
      <c r="AA5614" s="17" t="s">
        <v>46</v>
      </c>
      <c r="AB5614" s="17" t="s">
        <v>1434</v>
      </c>
      <c r="AC5614" s="217">
        <v>45485</v>
      </c>
      <c r="AD5614" s="65">
        <v>1597</v>
      </c>
      <c r="AE5614" s="17" t="s">
        <v>48</v>
      </c>
    </row>
    <row r="5615" s="17" customFormat="1" hidden="1" spans="1:31">
      <c r="A5615" s="17" t="s">
        <v>34</v>
      </c>
      <c r="B5615" s="19">
        <v>1000</v>
      </c>
      <c r="C5615" s="183">
        <v>45401</v>
      </c>
      <c r="D5615" s="17" t="s">
        <v>52</v>
      </c>
      <c r="E5615" s="17" t="s">
        <v>1113</v>
      </c>
      <c r="F5615" s="17" t="s">
        <v>54</v>
      </c>
      <c r="H5615" s="141">
        <v>1.2738</v>
      </c>
      <c r="I5615" s="141"/>
      <c r="J5615" s="17" t="s">
        <v>82</v>
      </c>
      <c r="K5615" s="184">
        <v>255</v>
      </c>
      <c r="L5615" s="19">
        <v>20</v>
      </c>
      <c r="M5615" s="19">
        <v>2200</v>
      </c>
      <c r="N5615" s="19" t="s">
        <v>66</v>
      </c>
      <c r="O5615" s="19" t="s">
        <v>141</v>
      </c>
      <c r="P5615" s="19">
        <v>1081</v>
      </c>
      <c r="Q5615" s="19">
        <v>1166</v>
      </c>
      <c r="R5615" s="19">
        <f t="shared" si="249"/>
        <v>-85</v>
      </c>
      <c r="S5615" s="91">
        <f t="shared" si="250"/>
        <v>1120</v>
      </c>
      <c r="T5615" s="91" t="s">
        <v>42</v>
      </c>
      <c r="U5615" s="102" t="s">
        <v>1433</v>
      </c>
      <c r="V5615" s="186">
        <v>45402</v>
      </c>
      <c r="W5615" s="17" t="s">
        <v>69</v>
      </c>
      <c r="Y5615" s="68">
        <v>45413</v>
      </c>
      <c r="Z5615" s="17" t="s">
        <v>191</v>
      </c>
      <c r="AA5615" s="17" t="s">
        <v>46</v>
      </c>
      <c r="AB5615" s="17" t="s">
        <v>1434</v>
      </c>
      <c r="AC5615" s="217">
        <v>45485</v>
      </c>
      <c r="AD5615" s="65">
        <v>1597</v>
      </c>
      <c r="AE5615" s="17" t="s">
        <v>48</v>
      </c>
    </row>
    <row r="5616" s="17" customFormat="1" hidden="1" spans="1:31">
      <c r="A5616" s="17" t="s">
        <v>34</v>
      </c>
      <c r="B5616" s="19">
        <v>1000</v>
      </c>
      <c r="C5616" s="183">
        <v>45401</v>
      </c>
      <c r="D5616" s="17" t="s">
        <v>52</v>
      </c>
      <c r="E5616" s="17" t="s">
        <v>1113</v>
      </c>
      <c r="F5616" s="17" t="s">
        <v>54</v>
      </c>
      <c r="H5616" s="141">
        <v>1.2738</v>
      </c>
      <c r="I5616" s="141"/>
      <c r="J5616" s="17" t="s">
        <v>82</v>
      </c>
      <c r="K5616" s="184">
        <v>305</v>
      </c>
      <c r="L5616" s="19">
        <v>20</v>
      </c>
      <c r="M5616" s="19">
        <v>2200</v>
      </c>
      <c r="N5616" s="19" t="s">
        <v>66</v>
      </c>
      <c r="O5616" s="19" t="s">
        <v>141</v>
      </c>
      <c r="P5616" s="19">
        <v>1077</v>
      </c>
      <c r="Q5616" s="19">
        <v>1152</v>
      </c>
      <c r="R5616" s="19">
        <f t="shared" si="249"/>
        <v>-75</v>
      </c>
      <c r="S5616" s="91">
        <f t="shared" si="250"/>
        <v>1120</v>
      </c>
      <c r="T5616" s="91" t="s">
        <v>42</v>
      </c>
      <c r="U5616" s="102" t="s">
        <v>1433</v>
      </c>
      <c r="V5616" s="186">
        <v>45402</v>
      </c>
      <c r="W5616" s="17" t="s">
        <v>69</v>
      </c>
      <c r="Y5616" s="68">
        <v>45413</v>
      </c>
      <c r="Z5616" s="17" t="s">
        <v>191</v>
      </c>
      <c r="AA5616" s="17" t="s">
        <v>46</v>
      </c>
      <c r="AB5616" s="17" t="s">
        <v>1434</v>
      </c>
      <c r="AC5616" s="217">
        <v>45485</v>
      </c>
      <c r="AD5616" s="65">
        <v>1597</v>
      </c>
      <c r="AE5616" s="17" t="s">
        <v>48</v>
      </c>
    </row>
    <row r="5617" s="17" customFormat="1" hidden="1" spans="1:31">
      <c r="A5617" s="17" t="s">
        <v>34</v>
      </c>
      <c r="B5617" s="19">
        <v>1000</v>
      </c>
      <c r="C5617" s="183">
        <v>45401</v>
      </c>
      <c r="D5617" s="17" t="s">
        <v>52</v>
      </c>
      <c r="E5617" s="17" t="s">
        <v>1113</v>
      </c>
      <c r="F5617" s="17" t="s">
        <v>54</v>
      </c>
      <c r="H5617" s="141">
        <v>1.2738</v>
      </c>
      <c r="I5617" s="141"/>
      <c r="J5617" s="17" t="s">
        <v>82</v>
      </c>
      <c r="K5617" s="184">
        <v>355</v>
      </c>
      <c r="L5617" s="19">
        <v>20</v>
      </c>
      <c r="M5617" s="19">
        <v>2200</v>
      </c>
      <c r="N5617" s="19" t="s">
        <v>66</v>
      </c>
      <c r="O5617" s="19" t="s">
        <v>141</v>
      </c>
      <c r="P5617" s="19">
        <v>1003</v>
      </c>
      <c r="Q5617" s="19">
        <v>1064</v>
      </c>
      <c r="R5617" s="19">
        <f t="shared" si="249"/>
        <v>-61</v>
      </c>
      <c r="S5617" s="91">
        <f t="shared" si="250"/>
        <v>1120</v>
      </c>
      <c r="T5617" s="91" t="s">
        <v>42</v>
      </c>
      <c r="U5617" s="102" t="s">
        <v>1433</v>
      </c>
      <c r="V5617" s="186">
        <v>45402</v>
      </c>
      <c r="W5617" s="17" t="s">
        <v>69</v>
      </c>
      <c r="Y5617" s="68">
        <v>45413</v>
      </c>
      <c r="Z5617" s="17" t="s">
        <v>191</v>
      </c>
      <c r="AA5617" s="17" t="s">
        <v>46</v>
      </c>
      <c r="AB5617" s="17" t="s">
        <v>1434</v>
      </c>
      <c r="AC5617" s="217">
        <v>45485</v>
      </c>
      <c r="AD5617" s="65">
        <v>1597</v>
      </c>
      <c r="AE5617" s="17" t="s">
        <v>48</v>
      </c>
    </row>
    <row r="5618" s="17" customFormat="1" hidden="1" spans="1:31">
      <c r="A5618" s="17" t="s">
        <v>34</v>
      </c>
      <c r="B5618" s="19">
        <v>1000</v>
      </c>
      <c r="C5618" s="183">
        <v>45401</v>
      </c>
      <c r="D5618" s="17" t="s">
        <v>52</v>
      </c>
      <c r="E5618" s="17" t="s">
        <v>1113</v>
      </c>
      <c r="F5618" s="17" t="s">
        <v>54</v>
      </c>
      <c r="H5618" s="141">
        <v>1.2738</v>
      </c>
      <c r="I5618" s="141"/>
      <c r="J5618" s="17" t="s">
        <v>82</v>
      </c>
      <c r="K5618" s="184">
        <v>205</v>
      </c>
      <c r="L5618" s="19">
        <v>25</v>
      </c>
      <c r="M5618" s="19">
        <v>2200</v>
      </c>
      <c r="N5618" s="19" t="s">
        <v>66</v>
      </c>
      <c r="O5618" s="19" t="s">
        <v>141</v>
      </c>
      <c r="P5618" s="19">
        <v>1086</v>
      </c>
      <c r="Q5618" s="19">
        <v>1179</v>
      </c>
      <c r="R5618" s="19">
        <f t="shared" si="249"/>
        <v>-93</v>
      </c>
      <c r="S5618" s="91">
        <f t="shared" si="250"/>
        <v>1120</v>
      </c>
      <c r="T5618" s="91" t="s">
        <v>42</v>
      </c>
      <c r="U5618" s="102" t="s">
        <v>1433</v>
      </c>
      <c r="V5618" s="186">
        <v>45402</v>
      </c>
      <c r="W5618" s="17" t="s">
        <v>69</v>
      </c>
      <c r="Y5618" s="68">
        <v>45413</v>
      </c>
      <c r="Z5618" s="17" t="s">
        <v>191</v>
      </c>
      <c r="AA5618" s="17" t="s">
        <v>46</v>
      </c>
      <c r="AB5618" s="17" t="s">
        <v>1352</v>
      </c>
      <c r="AC5618" s="217">
        <v>45531</v>
      </c>
      <c r="AD5618" s="65">
        <v>1623</v>
      </c>
      <c r="AE5618" s="17" t="s">
        <v>48</v>
      </c>
    </row>
    <row r="5619" s="17" customFormat="1" hidden="1" spans="1:31">
      <c r="A5619" s="17" t="s">
        <v>34</v>
      </c>
      <c r="B5619" s="19">
        <v>1000</v>
      </c>
      <c r="C5619" s="183">
        <v>45401</v>
      </c>
      <c r="D5619" s="17" t="s">
        <v>52</v>
      </c>
      <c r="E5619" s="17" t="s">
        <v>1113</v>
      </c>
      <c r="F5619" s="17" t="s">
        <v>54</v>
      </c>
      <c r="H5619" s="141">
        <v>1.2738</v>
      </c>
      <c r="I5619" s="141"/>
      <c r="J5619" s="17" t="s">
        <v>82</v>
      </c>
      <c r="K5619" s="184">
        <v>255</v>
      </c>
      <c r="L5619" s="19">
        <v>25</v>
      </c>
      <c r="M5619" s="19">
        <v>2200</v>
      </c>
      <c r="N5619" s="19" t="s">
        <v>66</v>
      </c>
      <c r="O5619" s="19" t="s">
        <v>141</v>
      </c>
      <c r="P5619" s="19">
        <v>1126</v>
      </c>
      <c r="Q5619" s="19">
        <v>589</v>
      </c>
      <c r="S5619" s="91">
        <f t="shared" si="250"/>
        <v>1120</v>
      </c>
      <c r="T5619" s="91" t="s">
        <v>42</v>
      </c>
      <c r="U5619" s="102" t="s">
        <v>1433</v>
      </c>
      <c r="V5619" s="186">
        <v>45402</v>
      </c>
      <c r="W5619" s="17" t="s">
        <v>69</v>
      </c>
      <c r="Y5619" s="68">
        <v>45413</v>
      </c>
      <c r="Z5619" s="17" t="s">
        <v>191</v>
      </c>
      <c r="AA5619" s="17" t="s">
        <v>46</v>
      </c>
      <c r="AB5619" s="17" t="s">
        <v>1435</v>
      </c>
      <c r="AC5619" s="217">
        <v>45510</v>
      </c>
      <c r="AD5619" s="65">
        <v>1613</v>
      </c>
      <c r="AE5619" s="17" t="s">
        <v>48</v>
      </c>
    </row>
    <row r="5620" s="17" customFormat="1" hidden="1" spans="1:31">
      <c r="A5620" s="17" t="s">
        <v>34</v>
      </c>
      <c r="B5620" s="19">
        <v>1000</v>
      </c>
      <c r="C5620" s="183">
        <v>45401</v>
      </c>
      <c r="D5620" s="17" t="s">
        <v>52</v>
      </c>
      <c r="E5620" s="17" t="s">
        <v>1113</v>
      </c>
      <c r="F5620" s="17" t="s">
        <v>54</v>
      </c>
      <c r="H5620" s="141">
        <v>1.2738</v>
      </c>
      <c r="I5620" s="141"/>
      <c r="J5620" s="17" t="s">
        <v>82</v>
      </c>
      <c r="K5620" s="184">
        <v>255</v>
      </c>
      <c r="L5620" s="19">
        <v>25</v>
      </c>
      <c r="M5620" s="19">
        <v>2200</v>
      </c>
      <c r="N5620" s="19" t="s">
        <v>66</v>
      </c>
      <c r="O5620" s="19" t="s">
        <v>141</v>
      </c>
      <c r="P5620" s="19"/>
      <c r="Q5620" s="19">
        <v>245</v>
      </c>
      <c r="R5620" s="19">
        <f>+P5619-Q5619-Q5620</f>
        <v>292</v>
      </c>
      <c r="S5620" s="91">
        <f t="shared" si="250"/>
        <v>1120</v>
      </c>
      <c r="T5620" s="91" t="s">
        <v>42</v>
      </c>
      <c r="U5620" s="102" t="s">
        <v>1433</v>
      </c>
      <c r="V5620" s="186">
        <v>45402</v>
      </c>
      <c r="W5620" s="17" t="s">
        <v>69</v>
      </c>
      <c r="Y5620" s="68">
        <v>45413</v>
      </c>
      <c r="Z5620" s="17" t="s">
        <v>191</v>
      </c>
      <c r="AA5620" s="17" t="s">
        <v>46</v>
      </c>
      <c r="AB5620" s="17" t="s">
        <v>1352</v>
      </c>
      <c r="AC5620" s="217">
        <v>45531</v>
      </c>
      <c r="AD5620" s="65">
        <v>1623</v>
      </c>
      <c r="AE5620" s="17" t="s">
        <v>48</v>
      </c>
    </row>
    <row r="5621" s="17" customFormat="1" hidden="1" spans="1:31">
      <c r="A5621" s="17" t="s">
        <v>34</v>
      </c>
      <c r="B5621" s="19">
        <v>1000</v>
      </c>
      <c r="C5621" s="183">
        <v>45401</v>
      </c>
      <c r="D5621" s="17" t="s">
        <v>52</v>
      </c>
      <c r="E5621" s="17" t="s">
        <v>1113</v>
      </c>
      <c r="F5621" s="17" t="s">
        <v>54</v>
      </c>
      <c r="H5621" s="141">
        <v>1.2738</v>
      </c>
      <c r="I5621" s="141"/>
      <c r="J5621" s="17" t="s">
        <v>82</v>
      </c>
      <c r="K5621" s="184">
        <v>305</v>
      </c>
      <c r="L5621" s="19">
        <v>25</v>
      </c>
      <c r="M5621" s="19">
        <v>2200</v>
      </c>
      <c r="N5621" s="19" t="s">
        <v>66</v>
      </c>
      <c r="O5621" s="19" t="s">
        <v>141</v>
      </c>
      <c r="P5621" s="19">
        <v>1077</v>
      </c>
      <c r="Q5621" s="19">
        <v>1119</v>
      </c>
      <c r="R5621" s="19">
        <f>+P5621-Q5621</f>
        <v>-42</v>
      </c>
      <c r="S5621" s="91">
        <f t="shared" si="250"/>
        <v>1120</v>
      </c>
      <c r="T5621" s="91" t="s">
        <v>42</v>
      </c>
      <c r="U5621" s="102" t="s">
        <v>1433</v>
      </c>
      <c r="V5621" s="186">
        <v>45402</v>
      </c>
      <c r="W5621" s="17" t="s">
        <v>69</v>
      </c>
      <c r="Y5621" s="68">
        <v>45413</v>
      </c>
      <c r="Z5621" s="17" t="s">
        <v>191</v>
      </c>
      <c r="AA5621" s="17" t="s">
        <v>46</v>
      </c>
      <c r="AB5621" s="17" t="s">
        <v>1435</v>
      </c>
      <c r="AC5621" s="217">
        <v>45510</v>
      </c>
      <c r="AD5621" s="65">
        <v>1613</v>
      </c>
      <c r="AE5621" s="17" t="s">
        <v>48</v>
      </c>
    </row>
    <row r="5622" s="17" customFormat="1" hidden="1" spans="1:31">
      <c r="A5622" s="17" t="s">
        <v>34</v>
      </c>
      <c r="B5622" s="19">
        <v>1000</v>
      </c>
      <c r="C5622" s="183">
        <v>45401</v>
      </c>
      <c r="D5622" s="17" t="s">
        <v>52</v>
      </c>
      <c r="E5622" s="17" t="s">
        <v>1113</v>
      </c>
      <c r="F5622" s="17" t="s">
        <v>54</v>
      </c>
      <c r="H5622" s="141">
        <v>1.2738</v>
      </c>
      <c r="I5622" s="141"/>
      <c r="J5622" s="17" t="s">
        <v>82</v>
      </c>
      <c r="K5622" s="184">
        <v>355</v>
      </c>
      <c r="L5622" s="19">
        <v>25</v>
      </c>
      <c r="M5622" s="19">
        <v>2200</v>
      </c>
      <c r="N5622" s="19" t="s">
        <v>66</v>
      </c>
      <c r="O5622" s="19" t="s">
        <v>141</v>
      </c>
      <c r="P5622" s="19">
        <v>941</v>
      </c>
      <c r="Q5622" s="19">
        <v>169</v>
      </c>
      <c r="S5622" s="91">
        <f>1120-20</f>
        <v>1100</v>
      </c>
      <c r="T5622" s="91" t="s">
        <v>42</v>
      </c>
      <c r="U5622" s="102" t="s">
        <v>1433</v>
      </c>
      <c r="V5622" s="186">
        <v>45402</v>
      </c>
      <c r="W5622" s="17" t="s">
        <v>69</v>
      </c>
      <c r="Y5622" s="68">
        <v>45413</v>
      </c>
      <c r="Z5622" s="17" t="s">
        <v>191</v>
      </c>
      <c r="AA5622" s="17" t="s">
        <v>46</v>
      </c>
      <c r="AB5622" s="17" t="s">
        <v>1436</v>
      </c>
      <c r="AC5622" s="217">
        <v>45434</v>
      </c>
      <c r="AD5622" s="65">
        <v>1582</v>
      </c>
      <c r="AE5622" s="17" t="s">
        <v>48</v>
      </c>
    </row>
    <row r="5623" s="17" customFormat="1" hidden="1" spans="1:31">
      <c r="A5623" s="17" t="s">
        <v>34</v>
      </c>
      <c r="B5623" s="19">
        <v>1000</v>
      </c>
      <c r="C5623" s="183">
        <v>45401</v>
      </c>
      <c r="D5623" s="17" t="s">
        <v>52</v>
      </c>
      <c r="E5623" s="17" t="s">
        <v>1113</v>
      </c>
      <c r="F5623" s="17" t="s">
        <v>54</v>
      </c>
      <c r="H5623" s="141">
        <v>1.2738</v>
      </c>
      <c r="I5623" s="141"/>
      <c r="J5623" s="17" t="s">
        <v>82</v>
      </c>
      <c r="K5623" s="184">
        <v>355</v>
      </c>
      <c r="L5623" s="19">
        <v>25</v>
      </c>
      <c r="M5623" s="19">
        <v>2200</v>
      </c>
      <c r="N5623" s="19" t="s">
        <v>66</v>
      </c>
      <c r="O5623" s="19" t="s">
        <v>141</v>
      </c>
      <c r="P5623" s="19"/>
      <c r="Q5623" s="19">
        <v>822</v>
      </c>
      <c r="R5623" s="19">
        <f>+P5622-Q5622-Q5623</f>
        <v>-50</v>
      </c>
      <c r="S5623" s="91">
        <f t="shared" ref="S5623:S5629" si="251">1120</f>
        <v>1120</v>
      </c>
      <c r="T5623" s="91" t="s">
        <v>42</v>
      </c>
      <c r="U5623" s="102" t="s">
        <v>1433</v>
      </c>
      <c r="V5623" s="186">
        <v>45402</v>
      </c>
      <c r="W5623" s="17" t="s">
        <v>69</v>
      </c>
      <c r="Y5623" s="68">
        <v>45413</v>
      </c>
      <c r="Z5623" s="17" t="s">
        <v>191</v>
      </c>
      <c r="AA5623" s="17" t="s">
        <v>46</v>
      </c>
      <c r="AB5623" s="17" t="s">
        <v>1435</v>
      </c>
      <c r="AC5623" s="217">
        <v>45510</v>
      </c>
      <c r="AD5623" s="65">
        <v>1613</v>
      </c>
      <c r="AE5623" s="17" t="s">
        <v>48</v>
      </c>
    </row>
    <row r="5624" s="17" customFormat="1" hidden="1" spans="1:31">
      <c r="A5624" s="17" t="s">
        <v>34</v>
      </c>
      <c r="B5624" s="19">
        <v>1000</v>
      </c>
      <c r="C5624" s="183">
        <v>45401</v>
      </c>
      <c r="D5624" s="17" t="s">
        <v>52</v>
      </c>
      <c r="E5624" s="17" t="s">
        <v>1113</v>
      </c>
      <c r="F5624" s="17" t="s">
        <v>54</v>
      </c>
      <c r="H5624" s="141">
        <v>1.2738</v>
      </c>
      <c r="I5624" s="141"/>
      <c r="J5624" s="17" t="s">
        <v>82</v>
      </c>
      <c r="K5624" s="184">
        <v>205</v>
      </c>
      <c r="L5624" s="19">
        <v>32</v>
      </c>
      <c r="M5624" s="19">
        <v>2200</v>
      </c>
      <c r="N5624" s="19" t="s">
        <v>66</v>
      </c>
      <c r="O5624" s="19" t="s">
        <v>141</v>
      </c>
      <c r="P5624" s="19">
        <v>927</v>
      </c>
      <c r="Q5624" s="19">
        <v>913</v>
      </c>
      <c r="R5624" s="19">
        <f t="shared" ref="R5624:R5632" si="252">+P5624-Q5624</f>
        <v>14</v>
      </c>
      <c r="S5624" s="91">
        <f t="shared" si="251"/>
        <v>1120</v>
      </c>
      <c r="T5624" s="91" t="s">
        <v>42</v>
      </c>
      <c r="U5624" s="102" t="s">
        <v>1433</v>
      </c>
      <c r="V5624" s="186">
        <v>45402</v>
      </c>
      <c r="W5624" s="17" t="s">
        <v>69</v>
      </c>
      <c r="Y5624" s="68">
        <v>45413</v>
      </c>
      <c r="Z5624" s="17" t="s">
        <v>191</v>
      </c>
      <c r="AA5624" s="17" t="s">
        <v>46</v>
      </c>
      <c r="AB5624" s="17" t="s">
        <v>1434</v>
      </c>
      <c r="AC5624" s="217">
        <v>45485</v>
      </c>
      <c r="AD5624" s="65">
        <v>1597</v>
      </c>
      <c r="AE5624" s="17" t="s">
        <v>48</v>
      </c>
    </row>
    <row r="5625" s="17" customFormat="1" hidden="1" spans="1:31">
      <c r="A5625" s="17" t="s">
        <v>34</v>
      </c>
      <c r="B5625" s="19">
        <v>1000</v>
      </c>
      <c r="C5625" s="183">
        <v>45401</v>
      </c>
      <c r="D5625" s="17" t="s">
        <v>52</v>
      </c>
      <c r="E5625" s="17" t="s">
        <v>1113</v>
      </c>
      <c r="F5625" s="17" t="s">
        <v>54</v>
      </c>
      <c r="H5625" s="141">
        <v>1.2738</v>
      </c>
      <c r="I5625" s="141"/>
      <c r="J5625" s="17" t="s">
        <v>82</v>
      </c>
      <c r="K5625" s="184">
        <v>255</v>
      </c>
      <c r="L5625" s="19">
        <v>32</v>
      </c>
      <c r="M5625" s="19">
        <v>2200</v>
      </c>
      <c r="N5625" s="19" t="s">
        <v>66</v>
      </c>
      <c r="O5625" s="19" t="s">
        <v>141</v>
      </c>
      <c r="P5625" s="19">
        <v>1009</v>
      </c>
      <c r="Q5625" s="19">
        <v>981</v>
      </c>
      <c r="R5625" s="19">
        <f t="shared" si="252"/>
        <v>28</v>
      </c>
      <c r="S5625" s="91">
        <f t="shared" si="251"/>
        <v>1120</v>
      </c>
      <c r="T5625" s="91" t="s">
        <v>42</v>
      </c>
      <c r="U5625" s="102" t="s">
        <v>1433</v>
      </c>
      <c r="V5625" s="186">
        <v>45402</v>
      </c>
      <c r="W5625" s="17" t="s">
        <v>69</v>
      </c>
      <c r="Y5625" s="68">
        <v>45413</v>
      </c>
      <c r="Z5625" s="17" t="s">
        <v>191</v>
      </c>
      <c r="AA5625" s="17" t="s">
        <v>46</v>
      </c>
      <c r="AB5625" s="17" t="s">
        <v>1434</v>
      </c>
      <c r="AC5625" s="217">
        <v>45485</v>
      </c>
      <c r="AD5625" s="65">
        <v>1597</v>
      </c>
      <c r="AE5625" s="17" t="s">
        <v>48</v>
      </c>
    </row>
    <row r="5626" s="17" customFormat="1" hidden="1" spans="1:31">
      <c r="A5626" s="17" t="s">
        <v>34</v>
      </c>
      <c r="B5626" s="19">
        <v>1000</v>
      </c>
      <c r="C5626" s="183">
        <v>45401</v>
      </c>
      <c r="D5626" s="17" t="s">
        <v>52</v>
      </c>
      <c r="E5626" s="17" t="s">
        <v>1113</v>
      </c>
      <c r="F5626" s="17" t="s">
        <v>54</v>
      </c>
      <c r="H5626" s="141">
        <v>1.2738</v>
      </c>
      <c r="I5626" s="141"/>
      <c r="J5626" s="17" t="s">
        <v>82</v>
      </c>
      <c r="K5626" s="184">
        <v>305</v>
      </c>
      <c r="L5626" s="19">
        <v>32</v>
      </c>
      <c r="M5626" s="19">
        <v>2200</v>
      </c>
      <c r="N5626" s="19" t="s">
        <v>66</v>
      </c>
      <c r="O5626" s="19" t="s">
        <v>141</v>
      </c>
      <c r="P5626" s="19">
        <v>1034</v>
      </c>
      <c r="Q5626" s="19">
        <f>844+171</f>
        <v>1015</v>
      </c>
      <c r="R5626" s="19">
        <f t="shared" si="252"/>
        <v>19</v>
      </c>
      <c r="S5626" s="91">
        <f t="shared" si="251"/>
        <v>1120</v>
      </c>
      <c r="T5626" s="91" t="s">
        <v>42</v>
      </c>
      <c r="U5626" s="102" t="s">
        <v>1433</v>
      </c>
      <c r="V5626" s="186">
        <v>45402</v>
      </c>
      <c r="W5626" s="17" t="s">
        <v>69</v>
      </c>
      <c r="Y5626" s="68">
        <v>45413</v>
      </c>
      <c r="Z5626" s="17" t="s">
        <v>191</v>
      </c>
      <c r="AA5626" s="17" t="s">
        <v>46</v>
      </c>
      <c r="AB5626" s="17" t="s">
        <v>1434</v>
      </c>
      <c r="AC5626" s="217">
        <v>45485</v>
      </c>
      <c r="AD5626" s="65">
        <v>1597</v>
      </c>
      <c r="AE5626" s="17" t="s">
        <v>48</v>
      </c>
    </row>
    <row r="5627" s="17" customFormat="1" hidden="1" spans="1:31">
      <c r="A5627" s="17" t="s">
        <v>34</v>
      </c>
      <c r="B5627" s="19">
        <v>1000</v>
      </c>
      <c r="C5627" s="183">
        <v>45401</v>
      </c>
      <c r="D5627" s="17" t="s">
        <v>52</v>
      </c>
      <c r="E5627" s="17" t="s">
        <v>1113</v>
      </c>
      <c r="F5627" s="17" t="s">
        <v>54</v>
      </c>
      <c r="H5627" s="141">
        <v>1.2738</v>
      </c>
      <c r="I5627" s="141"/>
      <c r="J5627" s="17" t="s">
        <v>82</v>
      </c>
      <c r="K5627" s="184">
        <v>355</v>
      </c>
      <c r="L5627" s="19">
        <v>32</v>
      </c>
      <c r="M5627" s="19">
        <v>2200</v>
      </c>
      <c r="N5627" s="19" t="s">
        <v>66</v>
      </c>
      <c r="O5627" s="19" t="s">
        <v>141</v>
      </c>
      <c r="P5627" s="19">
        <v>1003</v>
      </c>
      <c r="Q5627" s="19">
        <v>1163</v>
      </c>
      <c r="R5627" s="19">
        <f t="shared" si="252"/>
        <v>-160</v>
      </c>
      <c r="S5627" s="91">
        <f t="shared" si="251"/>
        <v>1120</v>
      </c>
      <c r="T5627" s="91" t="s">
        <v>42</v>
      </c>
      <c r="U5627" s="102" t="s">
        <v>1433</v>
      </c>
      <c r="V5627" s="186">
        <v>45402</v>
      </c>
      <c r="W5627" s="17" t="s">
        <v>69</v>
      </c>
      <c r="Y5627" s="68">
        <v>45413</v>
      </c>
      <c r="Z5627" s="17" t="s">
        <v>191</v>
      </c>
      <c r="AA5627" s="17" t="s">
        <v>46</v>
      </c>
      <c r="AB5627" s="17" t="s">
        <v>1434</v>
      </c>
      <c r="AC5627" s="217">
        <v>45485</v>
      </c>
      <c r="AD5627" s="65">
        <v>1597</v>
      </c>
      <c r="AE5627" s="17" t="s">
        <v>48</v>
      </c>
    </row>
    <row r="5628" s="17" customFormat="1" hidden="1" spans="1:31">
      <c r="A5628" s="17" t="s">
        <v>34</v>
      </c>
      <c r="B5628" s="19">
        <v>1000</v>
      </c>
      <c r="C5628" s="183">
        <v>45401</v>
      </c>
      <c r="D5628" s="17" t="s">
        <v>52</v>
      </c>
      <c r="E5628" s="17" t="s">
        <v>1113</v>
      </c>
      <c r="F5628" s="17" t="s">
        <v>54</v>
      </c>
      <c r="H5628" s="141">
        <v>1.2738</v>
      </c>
      <c r="I5628" s="141"/>
      <c r="J5628" s="17" t="s">
        <v>82</v>
      </c>
      <c r="K5628" s="184">
        <v>205</v>
      </c>
      <c r="L5628" s="19">
        <v>40</v>
      </c>
      <c r="M5628" s="19">
        <v>2200</v>
      </c>
      <c r="N5628" s="19" t="s">
        <v>66</v>
      </c>
      <c r="O5628" s="19" t="s">
        <v>141</v>
      </c>
      <c r="P5628" s="19">
        <v>1014</v>
      </c>
      <c r="Q5628" s="19">
        <v>1046</v>
      </c>
      <c r="R5628" s="19">
        <f t="shared" si="252"/>
        <v>-32</v>
      </c>
      <c r="S5628" s="91">
        <f t="shared" si="251"/>
        <v>1120</v>
      </c>
      <c r="T5628" s="91" t="s">
        <v>42</v>
      </c>
      <c r="U5628" s="102" t="s">
        <v>1433</v>
      </c>
      <c r="V5628" s="186">
        <v>45402</v>
      </c>
      <c r="W5628" s="17" t="s">
        <v>69</v>
      </c>
      <c r="Y5628" s="68">
        <v>45413</v>
      </c>
      <c r="Z5628" s="17" t="s">
        <v>191</v>
      </c>
      <c r="AA5628" s="17" t="s">
        <v>46</v>
      </c>
      <c r="AB5628" s="17" t="s">
        <v>1434</v>
      </c>
      <c r="AC5628" s="217">
        <v>45485</v>
      </c>
      <c r="AD5628" s="65">
        <v>1597</v>
      </c>
      <c r="AE5628" s="17" t="s">
        <v>48</v>
      </c>
    </row>
    <row r="5629" s="17" customFormat="1" hidden="1" spans="1:31">
      <c r="A5629" s="17" t="s">
        <v>34</v>
      </c>
      <c r="B5629" s="19">
        <v>1000</v>
      </c>
      <c r="C5629" s="183">
        <v>45401</v>
      </c>
      <c r="D5629" s="17" t="s">
        <v>52</v>
      </c>
      <c r="E5629" s="17" t="s">
        <v>1113</v>
      </c>
      <c r="F5629" s="17" t="s">
        <v>54</v>
      </c>
      <c r="H5629" s="141">
        <v>1.2738</v>
      </c>
      <c r="I5629" s="141"/>
      <c r="J5629" s="17" t="s">
        <v>82</v>
      </c>
      <c r="K5629" s="184">
        <v>255</v>
      </c>
      <c r="L5629" s="19">
        <v>40</v>
      </c>
      <c r="M5629" s="19">
        <v>2200</v>
      </c>
      <c r="N5629" s="19" t="s">
        <v>66</v>
      </c>
      <c r="O5629" s="19" t="s">
        <v>141</v>
      </c>
      <c r="P5629" s="19">
        <v>1081</v>
      </c>
      <c r="Q5629" s="19">
        <v>1297</v>
      </c>
      <c r="R5629" s="19">
        <f t="shared" si="252"/>
        <v>-216</v>
      </c>
      <c r="S5629" s="91">
        <f t="shared" si="251"/>
        <v>1120</v>
      </c>
      <c r="T5629" s="91" t="s">
        <v>42</v>
      </c>
      <c r="U5629" s="102" t="s">
        <v>1433</v>
      </c>
      <c r="V5629" s="186">
        <v>45402</v>
      </c>
      <c r="W5629" s="17" t="s">
        <v>69</v>
      </c>
      <c r="Y5629" s="68">
        <v>45413</v>
      </c>
      <c r="Z5629" s="17" t="s">
        <v>191</v>
      </c>
      <c r="AA5629" s="17" t="s">
        <v>46</v>
      </c>
      <c r="AB5629" s="17" t="s">
        <v>1434</v>
      </c>
      <c r="AC5629" s="217">
        <v>45485</v>
      </c>
      <c r="AD5629" s="65">
        <v>1597</v>
      </c>
      <c r="AE5629" s="17" t="s">
        <v>48</v>
      </c>
    </row>
    <row r="5630" s="17" customFormat="1" hidden="1" spans="1:31">
      <c r="A5630" s="17" t="s">
        <v>34</v>
      </c>
      <c r="B5630" s="19">
        <v>1000</v>
      </c>
      <c r="C5630" s="183">
        <v>45401</v>
      </c>
      <c r="D5630" s="17" t="s">
        <v>52</v>
      </c>
      <c r="E5630" s="17" t="s">
        <v>1113</v>
      </c>
      <c r="F5630" s="17" t="s">
        <v>54</v>
      </c>
      <c r="H5630" s="141">
        <v>1.2738</v>
      </c>
      <c r="I5630" s="141"/>
      <c r="J5630" s="17" t="s">
        <v>82</v>
      </c>
      <c r="K5630" s="184">
        <v>305</v>
      </c>
      <c r="L5630" s="19">
        <v>40</v>
      </c>
      <c r="M5630" s="19">
        <v>2200</v>
      </c>
      <c r="N5630" s="19" t="s">
        <v>66</v>
      </c>
      <c r="O5630" s="19" t="s">
        <v>141</v>
      </c>
      <c r="P5630" s="19">
        <v>1077</v>
      </c>
      <c r="Q5630" s="19">
        <v>1103</v>
      </c>
      <c r="R5630" s="19">
        <f t="shared" si="252"/>
        <v>-26</v>
      </c>
      <c r="S5630" s="91">
        <f>1120-20</f>
        <v>1100</v>
      </c>
      <c r="T5630" s="91" t="s">
        <v>42</v>
      </c>
      <c r="U5630" s="102" t="s">
        <v>1433</v>
      </c>
      <c r="V5630" s="186">
        <v>45402</v>
      </c>
      <c r="W5630" s="17" t="s">
        <v>69</v>
      </c>
      <c r="Y5630" s="68">
        <v>45413</v>
      </c>
      <c r="Z5630" s="17" t="s">
        <v>191</v>
      </c>
      <c r="AA5630" s="17" t="s">
        <v>46</v>
      </c>
      <c r="AB5630" s="17" t="s">
        <v>1436</v>
      </c>
      <c r="AC5630" s="217">
        <v>45434</v>
      </c>
      <c r="AD5630" s="65">
        <v>1582</v>
      </c>
      <c r="AE5630" s="17" t="s">
        <v>48</v>
      </c>
    </row>
    <row r="5631" s="17" customFormat="1" hidden="1" spans="1:31">
      <c r="A5631" s="17" t="s">
        <v>34</v>
      </c>
      <c r="B5631" s="19">
        <v>1000</v>
      </c>
      <c r="C5631" s="183">
        <v>45401</v>
      </c>
      <c r="D5631" s="17" t="s">
        <v>52</v>
      </c>
      <c r="E5631" s="17" t="s">
        <v>1113</v>
      </c>
      <c r="F5631" s="17" t="s">
        <v>54</v>
      </c>
      <c r="H5631" s="141">
        <v>1.2738</v>
      </c>
      <c r="I5631" s="141"/>
      <c r="J5631" s="17" t="s">
        <v>82</v>
      </c>
      <c r="K5631" s="184">
        <v>355</v>
      </c>
      <c r="L5631" s="19">
        <v>40</v>
      </c>
      <c r="M5631" s="19">
        <v>2200</v>
      </c>
      <c r="N5631" s="19" t="s">
        <v>66</v>
      </c>
      <c r="O5631" s="19" t="s">
        <v>141</v>
      </c>
      <c r="P5631" s="19">
        <v>1003</v>
      </c>
      <c r="Q5631" s="19">
        <v>1020</v>
      </c>
      <c r="R5631" s="19">
        <f t="shared" si="252"/>
        <v>-17</v>
      </c>
      <c r="S5631" s="91">
        <f>1120</f>
        <v>1120</v>
      </c>
      <c r="T5631" s="91" t="s">
        <v>42</v>
      </c>
      <c r="U5631" s="102" t="s">
        <v>1433</v>
      </c>
      <c r="V5631" s="186">
        <v>45402</v>
      </c>
      <c r="W5631" s="17" t="s">
        <v>69</v>
      </c>
      <c r="Y5631" s="68">
        <v>45413</v>
      </c>
      <c r="Z5631" s="17" t="s">
        <v>191</v>
      </c>
      <c r="AA5631" s="17" t="s">
        <v>46</v>
      </c>
      <c r="AB5631" s="17" t="s">
        <v>1434</v>
      </c>
      <c r="AC5631" s="217">
        <v>45485</v>
      </c>
      <c r="AD5631" s="65">
        <v>1597</v>
      </c>
      <c r="AE5631" s="17" t="s">
        <v>48</v>
      </c>
    </row>
    <row r="5632" s="17" customFormat="1" hidden="1" spans="1:31">
      <c r="A5632" s="17" t="s">
        <v>34</v>
      </c>
      <c r="B5632" s="19">
        <v>1000</v>
      </c>
      <c r="C5632" s="183">
        <v>45401</v>
      </c>
      <c r="D5632" s="17" t="s">
        <v>52</v>
      </c>
      <c r="E5632" s="17" t="s">
        <v>1113</v>
      </c>
      <c r="F5632" s="17" t="s">
        <v>54</v>
      </c>
      <c r="H5632" s="141">
        <v>1.2738</v>
      </c>
      <c r="I5632" s="141"/>
      <c r="J5632" s="17" t="s">
        <v>82</v>
      </c>
      <c r="K5632" s="184">
        <v>405</v>
      </c>
      <c r="L5632" s="19">
        <v>40</v>
      </c>
      <c r="M5632" s="19">
        <v>2200</v>
      </c>
      <c r="N5632" s="19" t="s">
        <v>66</v>
      </c>
      <c r="O5632" s="19" t="s">
        <v>141</v>
      </c>
      <c r="P5632" s="19">
        <v>1145</v>
      </c>
      <c r="Q5632" s="19">
        <v>1179</v>
      </c>
      <c r="R5632" s="19">
        <f t="shared" si="252"/>
        <v>-34</v>
      </c>
      <c r="S5632" s="91">
        <f>1120-20</f>
        <v>1100</v>
      </c>
      <c r="T5632" s="91" t="s">
        <v>42</v>
      </c>
      <c r="U5632" s="102" t="s">
        <v>1433</v>
      </c>
      <c r="V5632" s="186">
        <v>45402</v>
      </c>
      <c r="W5632" s="17" t="s">
        <v>69</v>
      </c>
      <c r="Y5632" s="68">
        <v>45413</v>
      </c>
      <c r="Z5632" s="17" t="s">
        <v>191</v>
      </c>
      <c r="AA5632" s="17" t="s">
        <v>46</v>
      </c>
      <c r="AB5632" s="17" t="s">
        <v>1436</v>
      </c>
      <c r="AC5632" s="217">
        <v>45434</v>
      </c>
      <c r="AD5632" s="65">
        <v>1582</v>
      </c>
      <c r="AE5632" s="17" t="s">
        <v>48</v>
      </c>
    </row>
    <row r="5633" s="17" customFormat="1" hidden="1" spans="1:31">
      <c r="A5633" s="17" t="s">
        <v>34</v>
      </c>
      <c r="B5633" s="19">
        <v>1000</v>
      </c>
      <c r="C5633" s="183">
        <v>45401</v>
      </c>
      <c r="D5633" s="17" t="s">
        <v>52</v>
      </c>
      <c r="E5633" s="17" t="s">
        <v>1113</v>
      </c>
      <c r="F5633" s="17" t="s">
        <v>54</v>
      </c>
      <c r="H5633" s="141">
        <v>1.2738</v>
      </c>
      <c r="I5633" s="141"/>
      <c r="J5633" s="17" t="s">
        <v>82</v>
      </c>
      <c r="K5633" s="184">
        <v>455</v>
      </c>
      <c r="L5633" s="19">
        <v>40</v>
      </c>
      <c r="M5633" s="19">
        <v>2200</v>
      </c>
      <c r="N5633" s="19" t="s">
        <v>66</v>
      </c>
      <c r="O5633" s="19" t="s">
        <v>141</v>
      </c>
      <c r="P5633" s="19">
        <v>964</v>
      </c>
      <c r="Q5633" s="19">
        <v>665</v>
      </c>
      <c r="S5633" s="91">
        <f>1120-20</f>
        <v>1100</v>
      </c>
      <c r="T5633" s="91" t="s">
        <v>42</v>
      </c>
      <c r="U5633" s="102" t="s">
        <v>1433</v>
      </c>
      <c r="V5633" s="186">
        <v>45402</v>
      </c>
      <c r="W5633" s="17" t="s">
        <v>69</v>
      </c>
      <c r="Y5633" s="68">
        <v>45413</v>
      </c>
      <c r="Z5633" s="17" t="s">
        <v>191</v>
      </c>
      <c r="AA5633" s="17" t="s">
        <v>46</v>
      </c>
      <c r="AB5633" s="17" t="s">
        <v>1436</v>
      </c>
      <c r="AC5633" s="217">
        <v>45434</v>
      </c>
      <c r="AD5633" s="65">
        <v>1582</v>
      </c>
      <c r="AE5633" s="17" t="s">
        <v>48</v>
      </c>
    </row>
    <row r="5634" s="17" customFormat="1" hidden="1" spans="1:31">
      <c r="A5634" s="17" t="s">
        <v>34</v>
      </c>
      <c r="B5634" s="19">
        <v>1000</v>
      </c>
      <c r="C5634" s="183">
        <v>45401</v>
      </c>
      <c r="D5634" s="17" t="s">
        <v>52</v>
      </c>
      <c r="E5634" s="17" t="s">
        <v>1113</v>
      </c>
      <c r="F5634" s="17" t="s">
        <v>54</v>
      </c>
      <c r="H5634" s="141">
        <v>1.2738</v>
      </c>
      <c r="I5634" s="141"/>
      <c r="J5634" s="17" t="s">
        <v>82</v>
      </c>
      <c r="K5634" s="184">
        <v>455</v>
      </c>
      <c r="L5634" s="19">
        <v>40</v>
      </c>
      <c r="M5634" s="19">
        <v>2200</v>
      </c>
      <c r="N5634" s="19" t="s">
        <v>66</v>
      </c>
      <c r="O5634" s="19" t="s">
        <v>141</v>
      </c>
      <c r="P5634" s="19"/>
      <c r="Q5634" s="19">
        <v>326</v>
      </c>
      <c r="R5634" s="19">
        <f>+P5633-Q5633-Q5634</f>
        <v>-27</v>
      </c>
      <c r="S5634" s="91">
        <f>1120-20</f>
        <v>1100</v>
      </c>
      <c r="T5634" s="91" t="s">
        <v>42</v>
      </c>
      <c r="U5634" s="102" t="s">
        <v>1433</v>
      </c>
      <c r="V5634" s="186">
        <v>45402</v>
      </c>
      <c r="W5634" s="17" t="s">
        <v>69</v>
      </c>
      <c r="Y5634" s="68">
        <v>45413</v>
      </c>
      <c r="Z5634" s="17" t="s">
        <v>191</v>
      </c>
      <c r="AA5634" s="17" t="s">
        <v>46</v>
      </c>
      <c r="AB5634" s="17" t="s">
        <v>1434</v>
      </c>
      <c r="AC5634" s="217">
        <v>45485</v>
      </c>
      <c r="AD5634" s="65">
        <v>1597</v>
      </c>
      <c r="AE5634" s="17" t="s">
        <v>48</v>
      </c>
    </row>
    <row r="5635" s="17" customFormat="1" hidden="1" spans="1:31">
      <c r="A5635" s="17" t="s">
        <v>34</v>
      </c>
      <c r="B5635" s="19">
        <v>1000</v>
      </c>
      <c r="C5635" s="183">
        <v>45401</v>
      </c>
      <c r="D5635" s="17" t="s">
        <v>52</v>
      </c>
      <c r="E5635" s="17" t="s">
        <v>1113</v>
      </c>
      <c r="F5635" s="17" t="s">
        <v>54</v>
      </c>
      <c r="H5635" s="141">
        <v>1.2738</v>
      </c>
      <c r="I5635" s="141"/>
      <c r="J5635" s="17" t="s">
        <v>82</v>
      </c>
      <c r="K5635" s="184">
        <v>505</v>
      </c>
      <c r="L5635" s="19">
        <v>40</v>
      </c>
      <c r="M5635" s="19">
        <v>2200</v>
      </c>
      <c r="N5635" s="19" t="s">
        <v>66</v>
      </c>
      <c r="O5635" s="19" t="s">
        <v>141</v>
      </c>
      <c r="P5635" s="19">
        <v>1070</v>
      </c>
      <c r="Q5635" s="19">
        <v>1108</v>
      </c>
      <c r="R5635" s="19">
        <f t="shared" ref="R5635:R5640" si="253">+P5635-Q5635</f>
        <v>-38</v>
      </c>
      <c r="S5635" s="91">
        <f>1120-20</f>
        <v>1100</v>
      </c>
      <c r="T5635" s="91" t="s">
        <v>42</v>
      </c>
      <c r="U5635" s="102" t="s">
        <v>1433</v>
      </c>
      <c r="V5635" s="186">
        <v>45402</v>
      </c>
      <c r="W5635" s="17" t="s">
        <v>69</v>
      </c>
      <c r="Y5635" s="68">
        <v>45413</v>
      </c>
      <c r="Z5635" s="17" t="s">
        <v>191</v>
      </c>
      <c r="AA5635" s="17" t="s">
        <v>46</v>
      </c>
      <c r="AB5635" s="17" t="s">
        <v>1436</v>
      </c>
      <c r="AC5635" s="217">
        <v>45434</v>
      </c>
      <c r="AD5635" s="65">
        <v>1582</v>
      </c>
      <c r="AE5635" s="17" t="s">
        <v>48</v>
      </c>
    </row>
    <row r="5636" s="17" customFormat="1" hidden="1" spans="1:31">
      <c r="A5636" s="17" t="s">
        <v>34</v>
      </c>
      <c r="B5636" s="19">
        <v>1000</v>
      </c>
      <c r="C5636" s="183">
        <v>45401</v>
      </c>
      <c r="D5636" s="17" t="s">
        <v>52</v>
      </c>
      <c r="E5636" s="17" t="s">
        <v>1113</v>
      </c>
      <c r="F5636" s="17" t="s">
        <v>54</v>
      </c>
      <c r="H5636" s="141">
        <v>1.2738</v>
      </c>
      <c r="I5636" s="141"/>
      <c r="J5636" s="17" t="s">
        <v>82</v>
      </c>
      <c r="K5636" s="184">
        <v>205</v>
      </c>
      <c r="L5636" s="19">
        <v>50</v>
      </c>
      <c r="M5636" s="19">
        <v>2200</v>
      </c>
      <c r="N5636" s="19" t="s">
        <v>66</v>
      </c>
      <c r="O5636" s="19" t="s">
        <v>141</v>
      </c>
      <c r="P5636" s="19">
        <v>1086</v>
      </c>
      <c r="Q5636" s="19">
        <f>380+739</f>
        <v>1119</v>
      </c>
      <c r="R5636" s="19">
        <f t="shared" si="253"/>
        <v>-33</v>
      </c>
      <c r="S5636" s="91">
        <f>1120</f>
        <v>1120</v>
      </c>
      <c r="T5636" s="91" t="s">
        <v>42</v>
      </c>
      <c r="U5636" s="102" t="s">
        <v>1433</v>
      </c>
      <c r="V5636" s="186">
        <v>45402</v>
      </c>
      <c r="W5636" s="17" t="s">
        <v>69</v>
      </c>
      <c r="Y5636" s="68">
        <v>45413</v>
      </c>
      <c r="Z5636" s="17" t="s">
        <v>191</v>
      </c>
      <c r="AA5636" s="17" t="s">
        <v>46</v>
      </c>
      <c r="AB5636" s="17" t="s">
        <v>1434</v>
      </c>
      <c r="AC5636" s="217">
        <v>45485</v>
      </c>
      <c r="AD5636" s="65">
        <v>1597</v>
      </c>
      <c r="AE5636" s="17" t="s">
        <v>48</v>
      </c>
    </row>
    <row r="5637" s="17" customFormat="1" hidden="1" spans="1:31">
      <c r="A5637" s="17" t="s">
        <v>34</v>
      </c>
      <c r="B5637" s="19">
        <v>1000</v>
      </c>
      <c r="C5637" s="183">
        <v>45401</v>
      </c>
      <c r="D5637" s="17" t="s">
        <v>52</v>
      </c>
      <c r="E5637" s="17" t="s">
        <v>1113</v>
      </c>
      <c r="F5637" s="17" t="s">
        <v>54</v>
      </c>
      <c r="H5637" s="141">
        <v>1.2738</v>
      </c>
      <c r="I5637" s="141"/>
      <c r="J5637" s="17" t="s">
        <v>82</v>
      </c>
      <c r="K5637" s="184">
        <v>255</v>
      </c>
      <c r="L5637" s="19">
        <v>50</v>
      </c>
      <c r="M5637" s="19">
        <v>2200</v>
      </c>
      <c r="N5637" s="19" t="s">
        <v>66</v>
      </c>
      <c r="O5637" s="19" t="s">
        <v>141</v>
      </c>
      <c r="P5637" s="19">
        <v>1126</v>
      </c>
      <c r="Q5637" s="19">
        <f>232+920</f>
        <v>1152</v>
      </c>
      <c r="R5637" s="19">
        <f t="shared" si="253"/>
        <v>-26</v>
      </c>
      <c r="S5637" s="91">
        <f>1120</f>
        <v>1120</v>
      </c>
      <c r="T5637" s="91" t="s">
        <v>42</v>
      </c>
      <c r="U5637" s="102" t="s">
        <v>1433</v>
      </c>
      <c r="V5637" s="186">
        <v>45402</v>
      </c>
      <c r="W5637" s="17" t="s">
        <v>69</v>
      </c>
      <c r="Y5637" s="68">
        <v>45413</v>
      </c>
      <c r="Z5637" s="17" t="s">
        <v>191</v>
      </c>
      <c r="AA5637" s="17" t="s">
        <v>46</v>
      </c>
      <c r="AB5637" s="17" t="s">
        <v>1434</v>
      </c>
      <c r="AC5637" s="217">
        <v>45485</v>
      </c>
      <c r="AD5637" s="65">
        <v>1597</v>
      </c>
      <c r="AE5637" s="17" t="s">
        <v>48</v>
      </c>
    </row>
    <row r="5638" s="17" customFormat="1" hidden="1" spans="1:31">
      <c r="A5638" s="17" t="s">
        <v>34</v>
      </c>
      <c r="B5638" s="19">
        <v>1000</v>
      </c>
      <c r="C5638" s="183">
        <v>45401</v>
      </c>
      <c r="D5638" s="17" t="s">
        <v>52</v>
      </c>
      <c r="E5638" s="17" t="s">
        <v>1113</v>
      </c>
      <c r="F5638" s="17" t="s">
        <v>54</v>
      </c>
      <c r="H5638" s="141">
        <v>1.2738</v>
      </c>
      <c r="I5638" s="141"/>
      <c r="J5638" s="17" t="s">
        <v>82</v>
      </c>
      <c r="K5638" s="184">
        <v>305</v>
      </c>
      <c r="L5638" s="19">
        <v>50</v>
      </c>
      <c r="M5638" s="19">
        <v>2200</v>
      </c>
      <c r="N5638" s="19" t="s">
        <v>66</v>
      </c>
      <c r="O5638" s="19" t="s">
        <v>141</v>
      </c>
      <c r="P5638" s="19">
        <v>1077</v>
      </c>
      <c r="Q5638" s="19">
        <v>1105</v>
      </c>
      <c r="R5638" s="19">
        <f t="shared" si="253"/>
        <v>-28</v>
      </c>
      <c r="S5638" s="91">
        <f>1120-20</f>
        <v>1100</v>
      </c>
      <c r="T5638" s="91" t="s">
        <v>42</v>
      </c>
      <c r="U5638" s="102" t="s">
        <v>1433</v>
      </c>
      <c r="V5638" s="186">
        <v>45402</v>
      </c>
      <c r="W5638" s="17" t="s">
        <v>69</v>
      </c>
      <c r="Y5638" s="68">
        <v>45413</v>
      </c>
      <c r="Z5638" s="17" t="s">
        <v>191</v>
      </c>
      <c r="AA5638" s="17" t="s">
        <v>46</v>
      </c>
      <c r="AB5638" s="17" t="s">
        <v>1436</v>
      </c>
      <c r="AC5638" s="217">
        <v>45434</v>
      </c>
      <c r="AD5638" s="65">
        <v>1582</v>
      </c>
      <c r="AE5638" s="17" t="s">
        <v>48</v>
      </c>
    </row>
    <row r="5639" s="17" customFormat="1" hidden="1" spans="1:31">
      <c r="A5639" s="17" t="s">
        <v>34</v>
      </c>
      <c r="B5639" s="19">
        <v>1000</v>
      </c>
      <c r="C5639" s="183">
        <v>45401</v>
      </c>
      <c r="D5639" s="17" t="s">
        <v>52</v>
      </c>
      <c r="E5639" s="17" t="s">
        <v>1113</v>
      </c>
      <c r="F5639" s="17" t="s">
        <v>54</v>
      </c>
      <c r="H5639" s="141">
        <v>1.2738</v>
      </c>
      <c r="I5639" s="141"/>
      <c r="J5639" s="17" t="s">
        <v>82</v>
      </c>
      <c r="K5639" s="184">
        <v>355</v>
      </c>
      <c r="L5639" s="19">
        <v>50</v>
      </c>
      <c r="M5639" s="19">
        <v>2200</v>
      </c>
      <c r="N5639" s="19" t="s">
        <v>66</v>
      </c>
      <c r="O5639" s="19" t="s">
        <v>141</v>
      </c>
      <c r="P5639" s="19">
        <v>941</v>
      </c>
      <c r="Q5639" s="19">
        <v>950</v>
      </c>
      <c r="R5639" s="19">
        <f t="shared" si="253"/>
        <v>-9</v>
      </c>
      <c r="S5639" s="91">
        <f>1120</f>
        <v>1120</v>
      </c>
      <c r="T5639" s="91" t="s">
        <v>42</v>
      </c>
      <c r="U5639" s="102" t="s">
        <v>1433</v>
      </c>
      <c r="V5639" s="186">
        <v>45402</v>
      </c>
      <c r="W5639" s="17" t="s">
        <v>69</v>
      </c>
      <c r="Y5639" s="68">
        <v>45413</v>
      </c>
      <c r="Z5639" s="17" t="s">
        <v>191</v>
      </c>
      <c r="AA5639" s="17" t="s">
        <v>46</v>
      </c>
      <c r="AB5639" s="17" t="s">
        <v>1434</v>
      </c>
      <c r="AC5639" s="217">
        <v>45485</v>
      </c>
      <c r="AD5639" s="65">
        <v>1597</v>
      </c>
      <c r="AE5639" s="17" t="s">
        <v>48</v>
      </c>
    </row>
    <row r="5640" s="17" customFormat="1" hidden="1" spans="1:31">
      <c r="A5640" s="17" t="s">
        <v>34</v>
      </c>
      <c r="B5640" s="19">
        <v>1000</v>
      </c>
      <c r="C5640" s="183">
        <v>45401</v>
      </c>
      <c r="D5640" s="17" t="s">
        <v>52</v>
      </c>
      <c r="E5640" s="17" t="s">
        <v>1113</v>
      </c>
      <c r="F5640" s="17" t="s">
        <v>54</v>
      </c>
      <c r="H5640" s="141">
        <v>1.2738</v>
      </c>
      <c r="I5640" s="141"/>
      <c r="J5640" s="17" t="s">
        <v>82</v>
      </c>
      <c r="K5640" s="184">
        <v>405</v>
      </c>
      <c r="L5640" s="19">
        <v>50</v>
      </c>
      <c r="M5640" s="19">
        <v>2200</v>
      </c>
      <c r="N5640" s="19" t="s">
        <v>66</v>
      </c>
      <c r="O5640" s="19" t="s">
        <v>141</v>
      </c>
      <c r="P5640" s="19">
        <v>1073</v>
      </c>
      <c r="Q5640" s="19">
        <v>1110</v>
      </c>
      <c r="R5640" s="19">
        <f t="shared" si="253"/>
        <v>-37</v>
      </c>
      <c r="S5640" s="91">
        <f>1120-20</f>
        <v>1100</v>
      </c>
      <c r="T5640" s="91" t="s">
        <v>42</v>
      </c>
      <c r="U5640" s="102" t="s">
        <v>1433</v>
      </c>
      <c r="V5640" s="186">
        <v>45402</v>
      </c>
      <c r="W5640" s="17" t="s">
        <v>69</v>
      </c>
      <c r="Y5640" s="68">
        <v>45413</v>
      </c>
      <c r="Z5640" s="17" t="s">
        <v>191</v>
      </c>
      <c r="AA5640" s="17" t="s">
        <v>46</v>
      </c>
      <c r="AB5640" s="17" t="s">
        <v>1436</v>
      </c>
      <c r="AC5640" s="217">
        <v>45434</v>
      </c>
      <c r="AD5640" s="65">
        <v>1582</v>
      </c>
      <c r="AE5640" s="17" t="s">
        <v>48</v>
      </c>
    </row>
    <row r="5641" s="17" customFormat="1" hidden="1" spans="1:31">
      <c r="A5641" s="17" t="s">
        <v>34</v>
      </c>
      <c r="B5641" s="19">
        <v>1000</v>
      </c>
      <c r="C5641" s="183">
        <v>45401</v>
      </c>
      <c r="D5641" s="17" t="s">
        <v>52</v>
      </c>
      <c r="E5641" s="17" t="s">
        <v>1113</v>
      </c>
      <c r="F5641" s="17" t="s">
        <v>54</v>
      </c>
      <c r="H5641" s="141">
        <v>1.2738</v>
      </c>
      <c r="I5641" s="141"/>
      <c r="J5641" s="17" t="s">
        <v>82</v>
      </c>
      <c r="K5641" s="184">
        <v>455</v>
      </c>
      <c r="L5641" s="19">
        <v>50</v>
      </c>
      <c r="M5641" s="19">
        <v>2200</v>
      </c>
      <c r="N5641" s="19" t="s">
        <v>66</v>
      </c>
      <c r="O5641" s="19" t="s">
        <v>141</v>
      </c>
      <c r="P5641" s="19">
        <v>1205</v>
      </c>
      <c r="Q5641" s="19">
        <v>415</v>
      </c>
      <c r="S5641" s="91">
        <f>1120-20</f>
        <v>1100</v>
      </c>
      <c r="T5641" s="91" t="s">
        <v>42</v>
      </c>
      <c r="U5641" s="102" t="s">
        <v>1433</v>
      </c>
      <c r="V5641" s="186">
        <v>45402</v>
      </c>
      <c r="W5641" s="17" t="s">
        <v>69</v>
      </c>
      <c r="Y5641" s="68">
        <v>45413</v>
      </c>
      <c r="Z5641" s="17" t="s">
        <v>191</v>
      </c>
      <c r="AA5641" s="17" t="s">
        <v>46</v>
      </c>
      <c r="AB5641" s="17" t="s">
        <v>1436</v>
      </c>
      <c r="AC5641" s="217">
        <v>45434</v>
      </c>
      <c r="AD5641" s="65">
        <v>1582</v>
      </c>
      <c r="AE5641" s="17" t="s">
        <v>48</v>
      </c>
    </row>
    <row r="5642" s="17" customFormat="1" hidden="1" spans="1:31">
      <c r="A5642" s="17" t="s">
        <v>34</v>
      </c>
      <c r="B5642" s="19">
        <v>1000</v>
      </c>
      <c r="C5642" s="183">
        <v>45401</v>
      </c>
      <c r="D5642" s="17" t="s">
        <v>52</v>
      </c>
      <c r="E5642" s="17" t="s">
        <v>1113</v>
      </c>
      <c r="F5642" s="17" t="s">
        <v>54</v>
      </c>
      <c r="H5642" s="141">
        <v>1.2738</v>
      </c>
      <c r="I5642" s="141"/>
      <c r="J5642" s="17" t="s">
        <v>82</v>
      </c>
      <c r="K5642" s="184">
        <v>455</v>
      </c>
      <c r="L5642" s="19">
        <v>50</v>
      </c>
      <c r="M5642" s="19">
        <v>2200</v>
      </c>
      <c r="N5642" s="19" t="s">
        <v>66</v>
      </c>
      <c r="O5642" s="19" t="s">
        <v>141</v>
      </c>
      <c r="P5642" s="19"/>
      <c r="Q5642" s="19">
        <v>801</v>
      </c>
      <c r="R5642" s="19">
        <f>+P5641-Q5641-Q5642</f>
        <v>-11</v>
      </c>
      <c r="S5642" s="91">
        <f>1120-20</f>
        <v>1100</v>
      </c>
      <c r="T5642" s="91" t="s">
        <v>42</v>
      </c>
      <c r="U5642" s="102" t="s">
        <v>1433</v>
      </c>
      <c r="V5642" s="186">
        <v>45402</v>
      </c>
      <c r="W5642" s="17" t="s">
        <v>69</v>
      </c>
      <c r="Y5642" s="68">
        <v>45413</v>
      </c>
      <c r="Z5642" s="17" t="s">
        <v>191</v>
      </c>
      <c r="AA5642" s="17" t="s">
        <v>46</v>
      </c>
      <c r="AB5642" s="17" t="s">
        <v>1434</v>
      </c>
      <c r="AC5642" s="217">
        <v>45485</v>
      </c>
      <c r="AD5642" s="65">
        <v>1597</v>
      </c>
      <c r="AE5642" s="17" t="s">
        <v>48</v>
      </c>
    </row>
    <row r="5643" s="17" customFormat="1" hidden="1" spans="1:31">
      <c r="A5643" s="17" t="s">
        <v>34</v>
      </c>
      <c r="B5643" s="19">
        <v>1000</v>
      </c>
      <c r="C5643" s="183">
        <v>45401</v>
      </c>
      <c r="D5643" s="17" t="s">
        <v>52</v>
      </c>
      <c r="E5643" s="17" t="s">
        <v>1113</v>
      </c>
      <c r="F5643" s="17" t="s">
        <v>54</v>
      </c>
      <c r="H5643" s="141">
        <v>1.2738</v>
      </c>
      <c r="I5643" s="141"/>
      <c r="J5643" s="17" t="s">
        <v>82</v>
      </c>
      <c r="K5643" s="184">
        <v>505</v>
      </c>
      <c r="L5643" s="19">
        <v>50</v>
      </c>
      <c r="M5643" s="19">
        <v>2200</v>
      </c>
      <c r="N5643" s="19" t="s">
        <v>66</v>
      </c>
      <c r="O5643" s="19" t="s">
        <v>141</v>
      </c>
      <c r="P5643" s="19">
        <v>892</v>
      </c>
      <c r="Q5643" s="19">
        <v>913</v>
      </c>
      <c r="R5643" s="19">
        <f>+P5643-Q5643</f>
        <v>-21</v>
      </c>
      <c r="S5643" s="91">
        <f>1120-20</f>
        <v>1100</v>
      </c>
      <c r="T5643" s="91" t="s">
        <v>42</v>
      </c>
      <c r="U5643" s="102" t="s">
        <v>1433</v>
      </c>
      <c r="V5643" s="186">
        <v>45402</v>
      </c>
      <c r="W5643" s="17" t="s">
        <v>69</v>
      </c>
      <c r="Y5643" s="68">
        <v>45413</v>
      </c>
      <c r="Z5643" s="17" t="s">
        <v>191</v>
      </c>
      <c r="AA5643" s="17" t="s">
        <v>46</v>
      </c>
      <c r="AB5643" s="17" t="s">
        <v>1436</v>
      </c>
      <c r="AC5643" s="217">
        <v>45434</v>
      </c>
      <c r="AD5643" s="65">
        <v>1582</v>
      </c>
      <c r="AE5643" s="17" t="s">
        <v>48</v>
      </c>
    </row>
    <row r="5644" s="17" customFormat="1" hidden="1" spans="1:31">
      <c r="A5644" s="17" t="s">
        <v>34</v>
      </c>
      <c r="B5644" s="19">
        <v>1000</v>
      </c>
      <c r="C5644" s="183">
        <v>45401</v>
      </c>
      <c r="D5644" s="17" t="s">
        <v>52</v>
      </c>
      <c r="E5644" s="17" t="s">
        <v>1113</v>
      </c>
      <c r="F5644" s="17" t="s">
        <v>54</v>
      </c>
      <c r="H5644" s="141">
        <v>1.2738</v>
      </c>
      <c r="I5644" s="141"/>
      <c r="J5644" s="17" t="s">
        <v>82</v>
      </c>
      <c r="K5644" s="184">
        <v>205</v>
      </c>
      <c r="L5644" s="19">
        <v>65</v>
      </c>
      <c r="M5644" s="19">
        <v>2200</v>
      </c>
      <c r="N5644" s="19" t="s">
        <v>66</v>
      </c>
      <c r="O5644" s="19" t="s">
        <v>141</v>
      </c>
      <c r="P5644" s="19">
        <v>941</v>
      </c>
      <c r="Q5644" s="19">
        <v>957</v>
      </c>
      <c r="R5644" s="19">
        <f>+P5644-Q5644</f>
        <v>-16</v>
      </c>
      <c r="S5644" s="91">
        <f>1120</f>
        <v>1120</v>
      </c>
      <c r="T5644" s="91" t="s">
        <v>42</v>
      </c>
      <c r="U5644" s="102" t="s">
        <v>1433</v>
      </c>
      <c r="V5644" s="186">
        <v>45402</v>
      </c>
      <c r="W5644" s="17" t="s">
        <v>69</v>
      </c>
      <c r="Y5644" s="68">
        <v>45413</v>
      </c>
      <c r="Z5644" s="17" t="s">
        <v>191</v>
      </c>
      <c r="AA5644" s="17" t="s">
        <v>46</v>
      </c>
      <c r="AB5644" s="17" t="s">
        <v>1434</v>
      </c>
      <c r="AC5644" s="217">
        <v>45485</v>
      </c>
      <c r="AD5644" s="65">
        <v>1597</v>
      </c>
      <c r="AE5644" s="17" t="s">
        <v>48</v>
      </c>
    </row>
    <row r="5645" s="17" customFormat="1" hidden="1" spans="1:31">
      <c r="A5645" s="17" t="s">
        <v>34</v>
      </c>
      <c r="B5645" s="19">
        <v>1000</v>
      </c>
      <c r="C5645" s="183">
        <v>45401</v>
      </c>
      <c r="D5645" s="17" t="s">
        <v>52</v>
      </c>
      <c r="E5645" s="17" t="s">
        <v>1113</v>
      </c>
      <c r="F5645" s="17" t="s">
        <v>54</v>
      </c>
      <c r="H5645" s="141">
        <v>1.2738</v>
      </c>
      <c r="I5645" s="141"/>
      <c r="J5645" s="17" t="s">
        <v>82</v>
      </c>
      <c r="K5645" s="184">
        <v>255</v>
      </c>
      <c r="L5645" s="19">
        <v>65</v>
      </c>
      <c r="M5645" s="19">
        <v>2200</v>
      </c>
      <c r="N5645" s="19" t="s">
        <v>66</v>
      </c>
      <c r="O5645" s="19" t="s">
        <v>141</v>
      </c>
      <c r="P5645" s="19">
        <v>1171</v>
      </c>
      <c r="Q5645" s="19">
        <v>1189</v>
      </c>
      <c r="R5645" s="19">
        <f>+P5645-Q5645</f>
        <v>-18</v>
      </c>
      <c r="S5645" s="91">
        <f>1120</f>
        <v>1120</v>
      </c>
      <c r="T5645" s="91" t="s">
        <v>42</v>
      </c>
      <c r="U5645" s="102" t="s">
        <v>1433</v>
      </c>
      <c r="V5645" s="186">
        <v>45402</v>
      </c>
      <c r="W5645" s="17" t="s">
        <v>69</v>
      </c>
      <c r="Y5645" s="68">
        <v>45413</v>
      </c>
      <c r="Z5645" s="17" t="s">
        <v>191</v>
      </c>
      <c r="AA5645" s="17" t="s">
        <v>46</v>
      </c>
      <c r="AB5645" s="17" t="s">
        <v>1434</v>
      </c>
      <c r="AC5645" s="217">
        <v>45485</v>
      </c>
      <c r="AD5645" s="65">
        <v>1597</v>
      </c>
      <c r="AE5645" s="17" t="s">
        <v>48</v>
      </c>
    </row>
    <row r="5646" s="17" customFormat="1" hidden="1" spans="1:31">
      <c r="A5646" s="17" t="s">
        <v>34</v>
      </c>
      <c r="B5646" s="19">
        <v>1000</v>
      </c>
      <c r="C5646" s="183">
        <v>45401</v>
      </c>
      <c r="D5646" s="17" t="s">
        <v>52</v>
      </c>
      <c r="E5646" s="17" t="s">
        <v>1113</v>
      </c>
      <c r="F5646" s="17" t="s">
        <v>54</v>
      </c>
      <c r="H5646" s="141">
        <v>1.2738</v>
      </c>
      <c r="I5646" s="141"/>
      <c r="J5646" s="17" t="s">
        <v>82</v>
      </c>
      <c r="K5646" s="184">
        <v>305</v>
      </c>
      <c r="L5646" s="19">
        <v>65</v>
      </c>
      <c r="M5646" s="19">
        <v>2200</v>
      </c>
      <c r="N5646" s="19" t="s">
        <v>66</v>
      </c>
      <c r="O5646" s="19" t="s">
        <v>141</v>
      </c>
      <c r="P5646" s="19">
        <v>1050</v>
      </c>
      <c r="Q5646" s="19">
        <v>1079</v>
      </c>
      <c r="R5646" s="19">
        <f>+P5646-Q5646</f>
        <v>-29</v>
      </c>
      <c r="S5646" s="91">
        <f>1120-20</f>
        <v>1100</v>
      </c>
      <c r="T5646" s="91" t="s">
        <v>42</v>
      </c>
      <c r="U5646" s="102" t="s">
        <v>1433</v>
      </c>
      <c r="V5646" s="186">
        <v>45402</v>
      </c>
      <c r="W5646" s="17" t="s">
        <v>69</v>
      </c>
      <c r="Y5646" s="68">
        <v>45413</v>
      </c>
      <c r="Z5646" s="17" t="s">
        <v>191</v>
      </c>
      <c r="AA5646" s="17" t="s">
        <v>46</v>
      </c>
      <c r="AB5646" s="17" t="s">
        <v>1436</v>
      </c>
      <c r="AC5646" s="217">
        <v>45434</v>
      </c>
      <c r="AD5646" s="65">
        <v>1582</v>
      </c>
      <c r="AE5646" s="17" t="s">
        <v>48</v>
      </c>
    </row>
    <row r="5647" s="17" customFormat="1" hidden="1" spans="1:31">
      <c r="A5647" s="17" t="s">
        <v>34</v>
      </c>
      <c r="B5647" s="19">
        <v>1000</v>
      </c>
      <c r="C5647" s="183">
        <v>45401</v>
      </c>
      <c r="D5647" s="17" t="s">
        <v>52</v>
      </c>
      <c r="E5647" s="17" t="s">
        <v>1113</v>
      </c>
      <c r="F5647" s="17" t="s">
        <v>54</v>
      </c>
      <c r="H5647" s="141">
        <v>1.2738</v>
      </c>
      <c r="I5647" s="141"/>
      <c r="J5647" s="17" t="s">
        <v>82</v>
      </c>
      <c r="K5647" s="184">
        <v>355</v>
      </c>
      <c r="L5647" s="19">
        <v>65</v>
      </c>
      <c r="M5647" s="19">
        <v>2200</v>
      </c>
      <c r="N5647" s="19" t="s">
        <v>66</v>
      </c>
      <c r="O5647" s="19" t="s">
        <v>141</v>
      </c>
      <c r="P5647" s="19">
        <v>1223</v>
      </c>
      <c r="Q5647" s="19">
        <v>816</v>
      </c>
      <c r="S5647" s="91">
        <f>1120</f>
        <v>1120</v>
      </c>
      <c r="T5647" s="91" t="s">
        <v>42</v>
      </c>
      <c r="U5647" s="102" t="s">
        <v>1433</v>
      </c>
      <c r="V5647" s="186">
        <v>45402</v>
      </c>
      <c r="W5647" s="17" t="s">
        <v>69</v>
      </c>
      <c r="Y5647" s="68">
        <v>45413</v>
      </c>
      <c r="Z5647" s="17" t="s">
        <v>191</v>
      </c>
      <c r="AA5647" s="17" t="s">
        <v>46</v>
      </c>
      <c r="AB5647" s="17" t="s">
        <v>1434</v>
      </c>
      <c r="AC5647" s="217">
        <v>45485</v>
      </c>
      <c r="AD5647" s="65">
        <v>1597</v>
      </c>
      <c r="AE5647" s="17" t="s">
        <v>48</v>
      </c>
    </row>
    <row r="5648" s="17" customFormat="1" hidden="1" spans="1:31">
      <c r="A5648" s="17" t="s">
        <v>34</v>
      </c>
      <c r="B5648" s="19">
        <v>1000</v>
      </c>
      <c r="C5648" s="183">
        <v>45401</v>
      </c>
      <c r="D5648" s="17" t="s">
        <v>52</v>
      </c>
      <c r="E5648" s="17" t="s">
        <v>1113</v>
      </c>
      <c r="F5648" s="17" t="s">
        <v>54</v>
      </c>
      <c r="H5648" s="141">
        <v>1.2738</v>
      </c>
      <c r="I5648" s="141"/>
      <c r="J5648" s="17" t="s">
        <v>82</v>
      </c>
      <c r="K5648" s="184">
        <v>355</v>
      </c>
      <c r="L5648" s="19">
        <v>65</v>
      </c>
      <c r="M5648" s="19">
        <v>2200</v>
      </c>
      <c r="N5648" s="19" t="s">
        <v>66</v>
      </c>
      <c r="O5648" s="19" t="s">
        <v>141</v>
      </c>
      <c r="P5648" s="19"/>
      <c r="Q5648" s="19">
        <v>410</v>
      </c>
      <c r="R5648" s="19">
        <f>+P5647-Q5647-Q5648</f>
        <v>-3</v>
      </c>
      <c r="S5648" s="91">
        <f>1120</f>
        <v>1120</v>
      </c>
      <c r="T5648" s="91" t="s">
        <v>42</v>
      </c>
      <c r="U5648" s="102" t="s">
        <v>1433</v>
      </c>
      <c r="V5648" s="186">
        <v>45402</v>
      </c>
      <c r="W5648" s="17" t="s">
        <v>69</v>
      </c>
      <c r="Y5648" s="68">
        <v>45413</v>
      </c>
      <c r="Z5648" s="17" t="s">
        <v>191</v>
      </c>
      <c r="AA5648" s="17" t="s">
        <v>46</v>
      </c>
      <c r="AB5648" s="17" t="s">
        <v>1435</v>
      </c>
      <c r="AC5648" s="217">
        <v>45510</v>
      </c>
      <c r="AD5648" s="65">
        <v>1613</v>
      </c>
      <c r="AE5648" s="17" t="s">
        <v>48</v>
      </c>
    </row>
    <row r="5649" s="17" customFormat="1" hidden="1" spans="1:31">
      <c r="A5649" s="17" t="s">
        <v>34</v>
      </c>
      <c r="B5649" s="19">
        <v>1000</v>
      </c>
      <c r="C5649" s="183">
        <v>45401</v>
      </c>
      <c r="D5649" s="17" t="s">
        <v>52</v>
      </c>
      <c r="E5649" s="17" t="s">
        <v>1113</v>
      </c>
      <c r="F5649" s="17" t="s">
        <v>54</v>
      </c>
      <c r="H5649" s="141">
        <v>1.2738</v>
      </c>
      <c r="I5649" s="141"/>
      <c r="J5649" s="17" t="s">
        <v>82</v>
      </c>
      <c r="K5649" s="184">
        <v>405</v>
      </c>
      <c r="L5649" s="19">
        <v>65</v>
      </c>
      <c r="M5649" s="19">
        <v>2200</v>
      </c>
      <c r="N5649" s="19" t="s">
        <v>66</v>
      </c>
      <c r="O5649" s="19" t="s">
        <v>141</v>
      </c>
      <c r="P5649" s="19">
        <v>930</v>
      </c>
      <c r="Q5649" s="19">
        <v>958</v>
      </c>
      <c r="R5649" s="19">
        <f t="shared" ref="R5649:R5683" si="254">+P5649-Q5649</f>
        <v>-28</v>
      </c>
      <c r="S5649" s="91">
        <f>1120-20</f>
        <v>1100</v>
      </c>
      <c r="T5649" s="91" t="s">
        <v>42</v>
      </c>
      <c r="U5649" s="102" t="s">
        <v>1433</v>
      </c>
      <c r="V5649" s="186">
        <v>45402</v>
      </c>
      <c r="W5649" s="17" t="s">
        <v>69</v>
      </c>
      <c r="Y5649" s="68">
        <v>45413</v>
      </c>
      <c r="Z5649" s="17" t="s">
        <v>191</v>
      </c>
      <c r="AA5649" s="17" t="s">
        <v>46</v>
      </c>
      <c r="AB5649" s="17" t="s">
        <v>1436</v>
      </c>
      <c r="AC5649" s="217">
        <v>45434</v>
      </c>
      <c r="AD5649" s="65">
        <v>1582</v>
      </c>
      <c r="AE5649" s="17" t="s">
        <v>48</v>
      </c>
    </row>
    <row r="5650" s="17" customFormat="1" hidden="1" spans="1:31">
      <c r="A5650" s="17" t="s">
        <v>34</v>
      </c>
      <c r="B5650" s="19">
        <v>1000</v>
      </c>
      <c r="C5650" s="183">
        <v>45401</v>
      </c>
      <c r="D5650" s="17" t="s">
        <v>52</v>
      </c>
      <c r="E5650" s="17" t="s">
        <v>1113</v>
      </c>
      <c r="F5650" s="17" t="s">
        <v>54</v>
      </c>
      <c r="H5650" s="141">
        <v>1.2738</v>
      </c>
      <c r="I5650" s="141"/>
      <c r="J5650" s="17" t="s">
        <v>82</v>
      </c>
      <c r="K5650" s="184">
        <v>455</v>
      </c>
      <c r="L5650" s="19">
        <v>65</v>
      </c>
      <c r="M5650" s="19">
        <v>2200</v>
      </c>
      <c r="N5650" s="19" t="s">
        <v>66</v>
      </c>
      <c r="O5650" s="19" t="s">
        <v>141</v>
      </c>
      <c r="P5650" s="19">
        <v>1045</v>
      </c>
      <c r="Q5650" s="19">
        <v>1065</v>
      </c>
      <c r="R5650" s="19">
        <f t="shared" si="254"/>
        <v>-20</v>
      </c>
      <c r="S5650" s="91">
        <f>1120-20</f>
        <v>1100</v>
      </c>
      <c r="T5650" s="91" t="s">
        <v>42</v>
      </c>
      <c r="U5650" s="102" t="s">
        <v>1433</v>
      </c>
      <c r="V5650" s="186">
        <v>45402</v>
      </c>
      <c r="W5650" s="17" t="s">
        <v>69</v>
      </c>
      <c r="Y5650" s="68">
        <v>45413</v>
      </c>
      <c r="Z5650" s="17" t="s">
        <v>191</v>
      </c>
      <c r="AA5650" s="17" t="s">
        <v>46</v>
      </c>
      <c r="AB5650" s="17" t="s">
        <v>1436</v>
      </c>
      <c r="AC5650" s="217">
        <v>45434</v>
      </c>
      <c r="AD5650" s="65">
        <v>1582</v>
      </c>
      <c r="AE5650" s="17" t="s">
        <v>48</v>
      </c>
    </row>
    <row r="5651" s="17" customFormat="1" hidden="1" spans="1:31">
      <c r="A5651" s="17" t="s">
        <v>34</v>
      </c>
      <c r="B5651" s="19">
        <v>1000</v>
      </c>
      <c r="C5651" s="183">
        <v>45401</v>
      </c>
      <c r="D5651" s="17" t="s">
        <v>52</v>
      </c>
      <c r="E5651" s="17" t="s">
        <v>1113</v>
      </c>
      <c r="F5651" s="17" t="s">
        <v>54</v>
      </c>
      <c r="H5651" s="141">
        <v>1.2738</v>
      </c>
      <c r="I5651" s="141"/>
      <c r="J5651" s="17" t="s">
        <v>82</v>
      </c>
      <c r="K5651" s="184">
        <v>505</v>
      </c>
      <c r="L5651" s="19">
        <v>65</v>
      </c>
      <c r="M5651" s="19">
        <v>2200</v>
      </c>
      <c r="N5651" s="19" t="s">
        <v>66</v>
      </c>
      <c r="O5651" s="19" t="s">
        <v>141</v>
      </c>
      <c r="P5651" s="19">
        <v>1160</v>
      </c>
      <c r="Q5651" s="19">
        <f>582+582</f>
        <v>1164</v>
      </c>
      <c r="R5651" s="19">
        <f t="shared" si="254"/>
        <v>-4</v>
      </c>
      <c r="S5651" s="91">
        <f>1120</f>
        <v>1120</v>
      </c>
      <c r="T5651" s="91" t="s">
        <v>42</v>
      </c>
      <c r="U5651" s="102" t="s">
        <v>1433</v>
      </c>
      <c r="V5651" s="186">
        <v>45402</v>
      </c>
      <c r="W5651" s="17" t="s">
        <v>69</v>
      </c>
      <c r="Y5651" s="68">
        <v>45413</v>
      </c>
      <c r="Z5651" s="17" t="s">
        <v>191</v>
      </c>
      <c r="AA5651" s="17" t="s">
        <v>46</v>
      </c>
      <c r="AB5651" s="17" t="s">
        <v>1435</v>
      </c>
      <c r="AC5651" s="217">
        <v>45510</v>
      </c>
      <c r="AD5651" s="65">
        <v>1613</v>
      </c>
      <c r="AE5651" s="17" t="s">
        <v>48</v>
      </c>
    </row>
    <row r="5652" s="17" customFormat="1" hidden="1" spans="1:31">
      <c r="A5652" s="17" t="s">
        <v>34</v>
      </c>
      <c r="B5652" s="19">
        <v>1000</v>
      </c>
      <c r="C5652" s="183">
        <v>45401</v>
      </c>
      <c r="D5652" s="17" t="s">
        <v>52</v>
      </c>
      <c r="E5652" s="17" t="s">
        <v>1113</v>
      </c>
      <c r="F5652" s="17" t="s">
        <v>54</v>
      </c>
      <c r="H5652" s="141">
        <v>1.2738</v>
      </c>
      <c r="I5652" s="141"/>
      <c r="J5652" s="17" t="s">
        <v>82</v>
      </c>
      <c r="K5652" s="184">
        <v>255</v>
      </c>
      <c r="L5652" s="19">
        <v>80</v>
      </c>
      <c r="M5652" s="19">
        <v>2200</v>
      </c>
      <c r="N5652" s="19" t="s">
        <v>66</v>
      </c>
      <c r="O5652" s="19" t="s">
        <v>141</v>
      </c>
      <c r="P5652" s="19">
        <v>1081</v>
      </c>
      <c r="Q5652" s="19">
        <v>1120</v>
      </c>
      <c r="R5652" s="19">
        <f t="shared" si="254"/>
        <v>-39</v>
      </c>
      <c r="S5652" s="91">
        <f t="shared" ref="S5652:S5663" si="255">1120-20</f>
        <v>1100</v>
      </c>
      <c r="T5652" s="91" t="s">
        <v>42</v>
      </c>
      <c r="U5652" s="102" t="s">
        <v>1433</v>
      </c>
      <c r="V5652" s="186">
        <v>45402</v>
      </c>
      <c r="W5652" s="17" t="s">
        <v>69</v>
      </c>
      <c r="Y5652" s="68">
        <v>45413</v>
      </c>
      <c r="Z5652" s="17" t="s">
        <v>191</v>
      </c>
      <c r="AA5652" s="17" t="s">
        <v>46</v>
      </c>
      <c r="AB5652" s="17" t="s">
        <v>1436</v>
      </c>
      <c r="AC5652" s="217">
        <v>45434</v>
      </c>
      <c r="AD5652" s="65">
        <v>1582</v>
      </c>
      <c r="AE5652" s="17" t="s">
        <v>48</v>
      </c>
    </row>
    <row r="5653" s="17" customFormat="1" hidden="1" spans="1:31">
      <c r="A5653" s="17" t="s">
        <v>34</v>
      </c>
      <c r="B5653" s="19">
        <v>1000</v>
      </c>
      <c r="C5653" s="183">
        <v>45401</v>
      </c>
      <c r="D5653" s="17" t="s">
        <v>52</v>
      </c>
      <c r="E5653" s="17" t="s">
        <v>1113</v>
      </c>
      <c r="F5653" s="17" t="s">
        <v>54</v>
      </c>
      <c r="H5653" s="141">
        <v>1.2738</v>
      </c>
      <c r="I5653" s="141"/>
      <c r="J5653" s="17" t="s">
        <v>82</v>
      </c>
      <c r="K5653" s="184">
        <v>305</v>
      </c>
      <c r="L5653" s="19">
        <v>80</v>
      </c>
      <c r="M5653" s="19">
        <v>2200</v>
      </c>
      <c r="N5653" s="19" t="s">
        <v>66</v>
      </c>
      <c r="O5653" s="19" t="s">
        <v>141</v>
      </c>
      <c r="P5653" s="19">
        <v>1293</v>
      </c>
      <c r="Q5653" s="19">
        <v>1337</v>
      </c>
      <c r="R5653" s="19">
        <f t="shared" si="254"/>
        <v>-44</v>
      </c>
      <c r="S5653" s="91">
        <f t="shared" si="255"/>
        <v>1100</v>
      </c>
      <c r="T5653" s="91" t="s">
        <v>42</v>
      </c>
      <c r="U5653" s="102" t="s">
        <v>1433</v>
      </c>
      <c r="V5653" s="186">
        <v>45402</v>
      </c>
      <c r="W5653" s="17" t="s">
        <v>69</v>
      </c>
      <c r="Y5653" s="68">
        <v>45413</v>
      </c>
      <c r="Z5653" s="17" t="s">
        <v>191</v>
      </c>
      <c r="AA5653" s="17" t="s">
        <v>46</v>
      </c>
      <c r="AB5653" s="17" t="s">
        <v>1436</v>
      </c>
      <c r="AC5653" s="217">
        <v>45434</v>
      </c>
      <c r="AD5653" s="65">
        <v>1582</v>
      </c>
      <c r="AE5653" s="17" t="s">
        <v>48</v>
      </c>
    </row>
    <row r="5654" s="17" customFormat="1" hidden="1" spans="1:31">
      <c r="A5654" s="17" t="s">
        <v>34</v>
      </c>
      <c r="B5654" s="19">
        <v>1000</v>
      </c>
      <c r="C5654" s="183">
        <v>45401</v>
      </c>
      <c r="D5654" s="17" t="s">
        <v>52</v>
      </c>
      <c r="E5654" s="17" t="s">
        <v>1113</v>
      </c>
      <c r="F5654" s="17" t="s">
        <v>54</v>
      </c>
      <c r="H5654" s="141">
        <v>1.2738</v>
      </c>
      <c r="I5654" s="141"/>
      <c r="J5654" s="17" t="s">
        <v>82</v>
      </c>
      <c r="K5654" s="184">
        <v>355</v>
      </c>
      <c r="L5654" s="19">
        <v>80</v>
      </c>
      <c r="M5654" s="19">
        <v>2200</v>
      </c>
      <c r="N5654" s="19" t="s">
        <v>66</v>
      </c>
      <c r="O5654" s="19" t="s">
        <v>141</v>
      </c>
      <c r="P5654" s="19">
        <v>1003</v>
      </c>
      <c r="Q5654" s="19">
        <v>1026</v>
      </c>
      <c r="R5654" s="19">
        <f t="shared" si="254"/>
        <v>-23</v>
      </c>
      <c r="S5654" s="91">
        <f t="shared" si="255"/>
        <v>1100</v>
      </c>
      <c r="T5654" s="91" t="s">
        <v>42</v>
      </c>
      <c r="U5654" s="102" t="s">
        <v>1433</v>
      </c>
      <c r="V5654" s="186">
        <v>45402</v>
      </c>
      <c r="W5654" s="17" t="s">
        <v>69</v>
      </c>
      <c r="Y5654" s="68">
        <v>45413</v>
      </c>
      <c r="Z5654" s="17" t="s">
        <v>191</v>
      </c>
      <c r="AA5654" s="17" t="s">
        <v>46</v>
      </c>
      <c r="AB5654" s="17" t="s">
        <v>1436</v>
      </c>
      <c r="AC5654" s="217">
        <v>45434</v>
      </c>
      <c r="AD5654" s="65">
        <v>1582</v>
      </c>
      <c r="AE5654" s="17" t="s">
        <v>48</v>
      </c>
    </row>
    <row r="5655" s="17" customFormat="1" hidden="1" spans="1:31">
      <c r="A5655" s="17" t="s">
        <v>34</v>
      </c>
      <c r="B5655" s="19">
        <v>1000</v>
      </c>
      <c r="C5655" s="183">
        <v>45401</v>
      </c>
      <c r="D5655" s="17" t="s">
        <v>52</v>
      </c>
      <c r="E5655" s="17" t="s">
        <v>1113</v>
      </c>
      <c r="F5655" s="17" t="s">
        <v>54</v>
      </c>
      <c r="H5655" s="141">
        <v>1.2738</v>
      </c>
      <c r="I5655" s="141"/>
      <c r="J5655" s="17" t="s">
        <v>82</v>
      </c>
      <c r="K5655" s="184">
        <v>405</v>
      </c>
      <c r="L5655" s="19">
        <v>80</v>
      </c>
      <c r="M5655" s="19">
        <v>2200</v>
      </c>
      <c r="N5655" s="19" t="s">
        <v>66</v>
      </c>
      <c r="O5655" s="19" t="s">
        <v>141</v>
      </c>
      <c r="P5655" s="19">
        <v>1145</v>
      </c>
      <c r="Q5655" s="19">
        <v>1186</v>
      </c>
      <c r="R5655" s="19">
        <f t="shared" si="254"/>
        <v>-41</v>
      </c>
      <c r="S5655" s="91">
        <f t="shared" si="255"/>
        <v>1100</v>
      </c>
      <c r="T5655" s="91" t="s">
        <v>42</v>
      </c>
      <c r="U5655" s="102" t="s">
        <v>1433</v>
      </c>
      <c r="V5655" s="186">
        <v>45402</v>
      </c>
      <c r="W5655" s="17" t="s">
        <v>69</v>
      </c>
      <c r="Y5655" s="68">
        <v>45413</v>
      </c>
      <c r="Z5655" s="17" t="s">
        <v>191</v>
      </c>
      <c r="AA5655" s="17" t="s">
        <v>46</v>
      </c>
      <c r="AB5655" s="17" t="s">
        <v>1436</v>
      </c>
      <c r="AC5655" s="217">
        <v>45434</v>
      </c>
      <c r="AD5655" s="65">
        <v>1582</v>
      </c>
      <c r="AE5655" s="17" t="s">
        <v>48</v>
      </c>
    </row>
    <row r="5656" s="17" customFormat="1" hidden="1" spans="1:31">
      <c r="A5656" s="17" t="s">
        <v>34</v>
      </c>
      <c r="B5656" s="19">
        <v>1000</v>
      </c>
      <c r="C5656" s="183">
        <v>45401</v>
      </c>
      <c r="D5656" s="17" t="s">
        <v>52</v>
      </c>
      <c r="E5656" s="17" t="s">
        <v>1113</v>
      </c>
      <c r="F5656" s="17" t="s">
        <v>54</v>
      </c>
      <c r="H5656" s="141">
        <v>1.2738</v>
      </c>
      <c r="I5656" s="141"/>
      <c r="J5656" s="17" t="s">
        <v>82</v>
      </c>
      <c r="K5656" s="184">
        <v>455</v>
      </c>
      <c r="L5656" s="19">
        <v>80</v>
      </c>
      <c r="M5656" s="19">
        <v>2200</v>
      </c>
      <c r="N5656" s="19" t="s">
        <v>66</v>
      </c>
      <c r="O5656" s="19" t="s">
        <v>141</v>
      </c>
      <c r="P5656" s="19">
        <v>1286</v>
      </c>
      <c r="Q5656" s="19">
        <v>1324</v>
      </c>
      <c r="R5656" s="19">
        <f t="shared" si="254"/>
        <v>-38</v>
      </c>
      <c r="S5656" s="91">
        <f t="shared" si="255"/>
        <v>1100</v>
      </c>
      <c r="T5656" s="91" t="s">
        <v>42</v>
      </c>
      <c r="U5656" s="102" t="s">
        <v>1433</v>
      </c>
      <c r="V5656" s="186">
        <v>45402</v>
      </c>
      <c r="W5656" s="17" t="s">
        <v>69</v>
      </c>
      <c r="Y5656" s="68">
        <v>45413</v>
      </c>
      <c r="Z5656" s="17" t="s">
        <v>191</v>
      </c>
      <c r="AA5656" s="17" t="s">
        <v>46</v>
      </c>
      <c r="AB5656" s="17" t="s">
        <v>1436</v>
      </c>
      <c r="AC5656" s="217">
        <v>45434</v>
      </c>
      <c r="AD5656" s="65">
        <v>1582</v>
      </c>
      <c r="AE5656" s="17" t="s">
        <v>48</v>
      </c>
    </row>
    <row r="5657" s="17" customFormat="1" hidden="1" spans="1:31">
      <c r="A5657" s="17" t="s">
        <v>34</v>
      </c>
      <c r="B5657" s="19">
        <v>1000</v>
      </c>
      <c r="C5657" s="183">
        <v>45401</v>
      </c>
      <c r="D5657" s="17" t="s">
        <v>52</v>
      </c>
      <c r="E5657" s="17" t="s">
        <v>1113</v>
      </c>
      <c r="F5657" s="17" t="s">
        <v>54</v>
      </c>
      <c r="H5657" s="141">
        <v>1.2738</v>
      </c>
      <c r="I5657" s="141"/>
      <c r="J5657" s="17" t="s">
        <v>82</v>
      </c>
      <c r="K5657" s="184">
        <v>505</v>
      </c>
      <c r="L5657" s="19">
        <v>80</v>
      </c>
      <c r="M5657" s="19">
        <v>2200</v>
      </c>
      <c r="N5657" s="19" t="s">
        <v>66</v>
      </c>
      <c r="O5657" s="19" t="s">
        <v>141</v>
      </c>
      <c r="P5657" s="19">
        <v>1427</v>
      </c>
      <c r="Q5657" s="19">
        <v>1460</v>
      </c>
      <c r="R5657" s="19">
        <f t="shared" si="254"/>
        <v>-33</v>
      </c>
      <c r="S5657" s="91">
        <f t="shared" si="255"/>
        <v>1100</v>
      </c>
      <c r="T5657" s="91" t="s">
        <v>42</v>
      </c>
      <c r="U5657" s="102" t="s">
        <v>1433</v>
      </c>
      <c r="V5657" s="186">
        <v>45402</v>
      </c>
      <c r="W5657" s="17" t="s">
        <v>69</v>
      </c>
      <c r="Y5657" s="68">
        <v>45413</v>
      </c>
      <c r="Z5657" s="17" t="s">
        <v>191</v>
      </c>
      <c r="AA5657" s="17" t="s">
        <v>46</v>
      </c>
      <c r="AB5657" s="17" t="s">
        <v>1436</v>
      </c>
      <c r="AC5657" s="217">
        <v>45434</v>
      </c>
      <c r="AD5657" s="65">
        <v>1582</v>
      </c>
      <c r="AE5657" s="17" t="s">
        <v>48</v>
      </c>
    </row>
    <row r="5658" s="17" customFormat="1" hidden="1" spans="1:31">
      <c r="A5658" s="17" t="s">
        <v>34</v>
      </c>
      <c r="B5658" s="19">
        <v>1000</v>
      </c>
      <c r="C5658" s="183">
        <v>45401</v>
      </c>
      <c r="D5658" s="17" t="s">
        <v>52</v>
      </c>
      <c r="E5658" s="17" t="s">
        <v>1113</v>
      </c>
      <c r="F5658" s="17" t="s">
        <v>54</v>
      </c>
      <c r="H5658" s="141">
        <v>1.2738</v>
      </c>
      <c r="I5658" s="141"/>
      <c r="J5658" s="17" t="s">
        <v>82</v>
      </c>
      <c r="K5658" s="184">
        <v>255</v>
      </c>
      <c r="L5658" s="19">
        <v>105</v>
      </c>
      <c r="M5658" s="19">
        <v>2200</v>
      </c>
      <c r="N5658" s="19" t="s">
        <v>66</v>
      </c>
      <c r="O5658" s="19" t="s">
        <v>141</v>
      </c>
      <c r="P5658" s="19">
        <v>946</v>
      </c>
      <c r="Q5658" s="19">
        <v>970</v>
      </c>
      <c r="R5658" s="19">
        <f t="shared" si="254"/>
        <v>-24</v>
      </c>
      <c r="S5658" s="91">
        <f t="shared" si="255"/>
        <v>1100</v>
      </c>
      <c r="T5658" s="91" t="s">
        <v>42</v>
      </c>
      <c r="U5658" s="102" t="s">
        <v>1433</v>
      </c>
      <c r="V5658" s="186">
        <v>45402</v>
      </c>
      <c r="W5658" s="17" t="s">
        <v>69</v>
      </c>
      <c r="Y5658" s="68">
        <v>45413</v>
      </c>
      <c r="Z5658" s="17" t="s">
        <v>191</v>
      </c>
      <c r="AA5658" s="17" t="s">
        <v>46</v>
      </c>
      <c r="AB5658" s="17" t="s">
        <v>1436</v>
      </c>
      <c r="AC5658" s="217">
        <v>45434</v>
      </c>
      <c r="AD5658" s="65">
        <v>1582</v>
      </c>
      <c r="AE5658" s="17" t="s">
        <v>48</v>
      </c>
    </row>
    <row r="5659" s="17" customFormat="1" hidden="1" spans="1:31">
      <c r="A5659" s="17" t="s">
        <v>34</v>
      </c>
      <c r="B5659" s="19">
        <v>1000</v>
      </c>
      <c r="C5659" s="183">
        <v>45401</v>
      </c>
      <c r="D5659" s="17" t="s">
        <v>52</v>
      </c>
      <c r="E5659" s="17" t="s">
        <v>1113</v>
      </c>
      <c r="F5659" s="17" t="s">
        <v>54</v>
      </c>
      <c r="H5659" s="141">
        <v>1.2738</v>
      </c>
      <c r="I5659" s="141"/>
      <c r="J5659" s="17" t="s">
        <v>82</v>
      </c>
      <c r="K5659" s="184">
        <v>305</v>
      </c>
      <c r="L5659" s="19">
        <v>105</v>
      </c>
      <c r="M5659" s="19">
        <v>2200</v>
      </c>
      <c r="N5659" s="19" t="s">
        <v>66</v>
      </c>
      <c r="O5659" s="19" t="s">
        <v>141</v>
      </c>
      <c r="P5659" s="19">
        <v>1131</v>
      </c>
      <c r="Q5659" s="19">
        <v>1162</v>
      </c>
      <c r="R5659" s="19">
        <f t="shared" si="254"/>
        <v>-31</v>
      </c>
      <c r="S5659" s="91">
        <f t="shared" si="255"/>
        <v>1100</v>
      </c>
      <c r="T5659" s="91" t="s">
        <v>42</v>
      </c>
      <c r="U5659" s="102" t="s">
        <v>1433</v>
      </c>
      <c r="V5659" s="186">
        <v>45402</v>
      </c>
      <c r="W5659" s="17" t="s">
        <v>69</v>
      </c>
      <c r="Y5659" s="68">
        <v>45413</v>
      </c>
      <c r="Z5659" s="17" t="s">
        <v>191</v>
      </c>
      <c r="AA5659" s="17" t="s">
        <v>46</v>
      </c>
      <c r="AB5659" s="17" t="s">
        <v>1436</v>
      </c>
      <c r="AC5659" s="217">
        <v>45434</v>
      </c>
      <c r="AD5659" s="65">
        <v>1582</v>
      </c>
      <c r="AE5659" s="17" t="s">
        <v>48</v>
      </c>
    </row>
    <row r="5660" s="17" customFormat="1" hidden="1" spans="1:31">
      <c r="A5660" s="17" t="s">
        <v>34</v>
      </c>
      <c r="B5660" s="19">
        <v>1000</v>
      </c>
      <c r="C5660" s="183">
        <v>45401</v>
      </c>
      <c r="D5660" s="17" t="s">
        <v>52</v>
      </c>
      <c r="E5660" s="17" t="s">
        <v>1113</v>
      </c>
      <c r="F5660" s="17" t="s">
        <v>54</v>
      </c>
      <c r="H5660" s="141">
        <v>1.2738</v>
      </c>
      <c r="I5660" s="141"/>
      <c r="J5660" s="17" t="s">
        <v>82</v>
      </c>
      <c r="K5660" s="184">
        <v>355</v>
      </c>
      <c r="L5660" s="19">
        <v>105</v>
      </c>
      <c r="M5660" s="19">
        <v>2200</v>
      </c>
      <c r="N5660" s="19" t="s">
        <v>66</v>
      </c>
      <c r="O5660" s="19" t="s">
        <v>141</v>
      </c>
      <c r="P5660" s="19">
        <v>1317</v>
      </c>
      <c r="Q5660" s="19">
        <v>1346</v>
      </c>
      <c r="R5660" s="19">
        <f t="shared" si="254"/>
        <v>-29</v>
      </c>
      <c r="S5660" s="91">
        <f t="shared" si="255"/>
        <v>1100</v>
      </c>
      <c r="T5660" s="91" t="s">
        <v>42</v>
      </c>
      <c r="U5660" s="102" t="s">
        <v>1433</v>
      </c>
      <c r="V5660" s="186">
        <v>45402</v>
      </c>
      <c r="W5660" s="17" t="s">
        <v>69</v>
      </c>
      <c r="Y5660" s="68">
        <v>45413</v>
      </c>
      <c r="Z5660" s="17" t="s">
        <v>191</v>
      </c>
      <c r="AA5660" s="17" t="s">
        <v>46</v>
      </c>
      <c r="AB5660" s="17" t="s">
        <v>1436</v>
      </c>
      <c r="AC5660" s="217">
        <v>45434</v>
      </c>
      <c r="AD5660" s="65">
        <v>1582</v>
      </c>
      <c r="AE5660" s="17" t="s">
        <v>48</v>
      </c>
    </row>
    <row r="5661" s="17" customFormat="1" hidden="1" spans="1:31">
      <c r="A5661" s="17" t="s">
        <v>34</v>
      </c>
      <c r="B5661" s="19">
        <v>1000</v>
      </c>
      <c r="C5661" s="183">
        <v>45401</v>
      </c>
      <c r="D5661" s="17" t="s">
        <v>52</v>
      </c>
      <c r="E5661" s="17" t="s">
        <v>1113</v>
      </c>
      <c r="F5661" s="17" t="s">
        <v>54</v>
      </c>
      <c r="H5661" s="141">
        <v>1.2738</v>
      </c>
      <c r="I5661" s="141"/>
      <c r="J5661" s="17" t="s">
        <v>82</v>
      </c>
      <c r="K5661" s="184">
        <v>405</v>
      </c>
      <c r="L5661" s="19">
        <v>105</v>
      </c>
      <c r="M5661" s="19">
        <v>2200</v>
      </c>
      <c r="N5661" s="19" t="s">
        <v>66</v>
      </c>
      <c r="O5661" s="19" t="s">
        <v>141</v>
      </c>
      <c r="P5661" s="19">
        <v>751</v>
      </c>
      <c r="Q5661" s="19">
        <v>767</v>
      </c>
      <c r="R5661" s="19">
        <f t="shared" si="254"/>
        <v>-16</v>
      </c>
      <c r="S5661" s="91">
        <f t="shared" si="255"/>
        <v>1100</v>
      </c>
      <c r="T5661" s="91" t="s">
        <v>42</v>
      </c>
      <c r="U5661" s="102" t="s">
        <v>1433</v>
      </c>
      <c r="V5661" s="186">
        <v>45402</v>
      </c>
      <c r="W5661" s="17" t="s">
        <v>69</v>
      </c>
      <c r="Y5661" s="68">
        <v>45413</v>
      </c>
      <c r="Z5661" s="17" t="s">
        <v>191</v>
      </c>
      <c r="AA5661" s="17" t="s">
        <v>46</v>
      </c>
      <c r="AB5661" s="17" t="s">
        <v>1436</v>
      </c>
      <c r="AC5661" s="217">
        <v>45434</v>
      </c>
      <c r="AD5661" s="65">
        <v>1582</v>
      </c>
      <c r="AE5661" s="17" t="s">
        <v>48</v>
      </c>
    </row>
    <row r="5662" s="17" customFormat="1" hidden="1" spans="1:31">
      <c r="A5662" s="17" t="s">
        <v>34</v>
      </c>
      <c r="B5662" s="19">
        <v>1000</v>
      </c>
      <c r="C5662" s="183">
        <v>45401</v>
      </c>
      <c r="D5662" s="17" t="s">
        <v>52</v>
      </c>
      <c r="E5662" s="17" t="s">
        <v>1113</v>
      </c>
      <c r="F5662" s="17" t="s">
        <v>54</v>
      </c>
      <c r="H5662" s="141">
        <v>1.2738</v>
      </c>
      <c r="I5662" s="141"/>
      <c r="J5662" s="17" t="s">
        <v>82</v>
      </c>
      <c r="K5662" s="184">
        <v>455</v>
      </c>
      <c r="L5662" s="19">
        <v>105</v>
      </c>
      <c r="M5662" s="19">
        <v>2200</v>
      </c>
      <c r="N5662" s="19" t="s">
        <v>66</v>
      </c>
      <c r="O5662" s="19" t="s">
        <v>141</v>
      </c>
      <c r="P5662" s="19">
        <v>844</v>
      </c>
      <c r="Q5662" s="19">
        <v>864</v>
      </c>
      <c r="R5662" s="19">
        <f t="shared" si="254"/>
        <v>-20</v>
      </c>
      <c r="S5662" s="91">
        <f t="shared" si="255"/>
        <v>1100</v>
      </c>
      <c r="T5662" s="91" t="s">
        <v>42</v>
      </c>
      <c r="U5662" s="102" t="s">
        <v>1433</v>
      </c>
      <c r="V5662" s="186">
        <v>45402</v>
      </c>
      <c r="W5662" s="17" t="s">
        <v>69</v>
      </c>
      <c r="Y5662" s="68">
        <v>45413</v>
      </c>
      <c r="Z5662" s="17" t="s">
        <v>191</v>
      </c>
      <c r="AA5662" s="17" t="s">
        <v>46</v>
      </c>
      <c r="AB5662" s="17" t="s">
        <v>1436</v>
      </c>
      <c r="AC5662" s="217">
        <v>45434</v>
      </c>
      <c r="AD5662" s="65">
        <v>1582</v>
      </c>
      <c r="AE5662" s="17" t="s">
        <v>48</v>
      </c>
    </row>
    <row r="5663" s="17" customFormat="1" hidden="1" spans="1:31">
      <c r="A5663" s="17" t="s">
        <v>34</v>
      </c>
      <c r="B5663" s="19">
        <v>1000</v>
      </c>
      <c r="C5663" s="183">
        <v>45401</v>
      </c>
      <c r="D5663" s="17" t="s">
        <v>52</v>
      </c>
      <c r="E5663" s="17" t="s">
        <v>1113</v>
      </c>
      <c r="F5663" s="17" t="s">
        <v>54</v>
      </c>
      <c r="H5663" s="141">
        <v>1.2738</v>
      </c>
      <c r="I5663" s="141"/>
      <c r="J5663" s="17" t="s">
        <v>82</v>
      </c>
      <c r="K5663" s="184">
        <v>505</v>
      </c>
      <c r="L5663" s="19">
        <v>105</v>
      </c>
      <c r="M5663" s="19">
        <v>2200</v>
      </c>
      <c r="N5663" s="19" t="s">
        <v>66</v>
      </c>
      <c r="O5663" s="19" t="s">
        <v>141</v>
      </c>
      <c r="P5663" s="19">
        <v>937</v>
      </c>
      <c r="Q5663" s="19">
        <v>958</v>
      </c>
      <c r="R5663" s="19">
        <f t="shared" si="254"/>
        <v>-21</v>
      </c>
      <c r="S5663" s="91">
        <f t="shared" si="255"/>
        <v>1100</v>
      </c>
      <c r="T5663" s="91" t="s">
        <v>42</v>
      </c>
      <c r="U5663" s="102" t="s">
        <v>1433</v>
      </c>
      <c r="V5663" s="186">
        <v>45402</v>
      </c>
      <c r="W5663" s="17" t="s">
        <v>69</v>
      </c>
      <c r="Y5663" s="68">
        <v>45413</v>
      </c>
      <c r="Z5663" s="17" t="s">
        <v>191</v>
      </c>
      <c r="AA5663" s="17" t="s">
        <v>46</v>
      </c>
      <c r="AB5663" s="17" t="s">
        <v>1436</v>
      </c>
      <c r="AC5663" s="217">
        <v>45434</v>
      </c>
      <c r="AD5663" s="65">
        <v>1582</v>
      </c>
      <c r="AE5663" s="17" t="s">
        <v>48</v>
      </c>
    </row>
    <row r="5664" s="17" customFormat="1" hidden="1" spans="1:31">
      <c r="A5664" s="17" t="s">
        <v>34</v>
      </c>
      <c r="B5664" s="19">
        <v>1000</v>
      </c>
      <c r="C5664" s="183">
        <v>45401</v>
      </c>
      <c r="D5664" s="17" t="s">
        <v>52</v>
      </c>
      <c r="E5664" s="17" t="s">
        <v>1113</v>
      </c>
      <c r="F5664" s="17" t="s">
        <v>54</v>
      </c>
      <c r="H5664" s="141">
        <v>1.2738</v>
      </c>
      <c r="I5664" s="141"/>
      <c r="J5664" s="17" t="s">
        <v>49</v>
      </c>
      <c r="K5664" s="19">
        <v>2200</v>
      </c>
      <c r="L5664" s="19">
        <v>25</v>
      </c>
      <c r="M5664" s="17">
        <v>4000</v>
      </c>
      <c r="N5664" s="19" t="s">
        <v>66</v>
      </c>
      <c r="O5664" s="19" t="s">
        <v>141</v>
      </c>
      <c r="P5664" s="19">
        <v>1727</v>
      </c>
      <c r="Q5664" s="19">
        <v>2550</v>
      </c>
      <c r="R5664" s="19">
        <f t="shared" si="254"/>
        <v>-823</v>
      </c>
      <c r="S5664" s="91">
        <f>1100+60</f>
        <v>1160</v>
      </c>
      <c r="T5664" s="91" t="s">
        <v>42</v>
      </c>
      <c r="U5664" s="102" t="s">
        <v>1433</v>
      </c>
      <c r="V5664" s="186">
        <v>45402</v>
      </c>
      <c r="W5664" s="17" t="s">
        <v>69</v>
      </c>
      <c r="Y5664" s="68">
        <v>45413</v>
      </c>
      <c r="Z5664" s="17" t="s">
        <v>191</v>
      </c>
      <c r="AA5664" s="17" t="s">
        <v>46</v>
      </c>
      <c r="AB5664" s="17" t="s">
        <v>1360</v>
      </c>
      <c r="AC5664" s="217">
        <v>45433</v>
      </c>
      <c r="AD5664" s="65">
        <v>1572</v>
      </c>
      <c r="AE5664" s="17" t="s">
        <v>48</v>
      </c>
    </row>
    <row r="5665" s="17" customFormat="1" hidden="1" spans="1:31">
      <c r="A5665" s="17" t="s">
        <v>34</v>
      </c>
      <c r="B5665" s="19">
        <v>1000</v>
      </c>
      <c r="C5665" s="183">
        <v>45401</v>
      </c>
      <c r="D5665" s="17" t="s">
        <v>52</v>
      </c>
      <c r="E5665" s="17" t="s">
        <v>1113</v>
      </c>
      <c r="F5665" s="17" t="s">
        <v>54</v>
      </c>
      <c r="H5665" s="141">
        <v>1.2738</v>
      </c>
      <c r="I5665" s="141"/>
      <c r="J5665" s="17" t="s">
        <v>49</v>
      </c>
      <c r="K5665" s="19">
        <v>2200</v>
      </c>
      <c r="L5665" s="19">
        <v>25</v>
      </c>
      <c r="M5665" s="17">
        <v>4000</v>
      </c>
      <c r="N5665" s="19" t="s">
        <v>66</v>
      </c>
      <c r="O5665" s="19" t="s">
        <v>141</v>
      </c>
      <c r="P5665" s="19">
        <v>1727</v>
      </c>
      <c r="Q5665" s="19">
        <v>2555</v>
      </c>
      <c r="R5665" s="19">
        <f t="shared" si="254"/>
        <v>-828</v>
      </c>
      <c r="S5665" s="91">
        <f>1100+60</f>
        <v>1160</v>
      </c>
      <c r="T5665" s="91" t="s">
        <v>42</v>
      </c>
      <c r="U5665" s="102" t="s">
        <v>1433</v>
      </c>
      <c r="V5665" s="186">
        <v>45402</v>
      </c>
      <c r="W5665" s="17" t="s">
        <v>69</v>
      </c>
      <c r="Y5665" s="68">
        <v>45413</v>
      </c>
      <c r="Z5665" s="17" t="s">
        <v>191</v>
      </c>
      <c r="AA5665" s="17" t="s">
        <v>46</v>
      </c>
      <c r="AB5665" s="17" t="s">
        <v>1360</v>
      </c>
      <c r="AC5665" s="217">
        <v>45433</v>
      </c>
      <c r="AD5665" s="65">
        <v>1572</v>
      </c>
      <c r="AE5665" s="17" t="s">
        <v>48</v>
      </c>
    </row>
    <row r="5666" s="17" customFormat="1" hidden="1" spans="1:31">
      <c r="A5666" s="17" t="s">
        <v>34</v>
      </c>
      <c r="B5666" s="19">
        <v>1000</v>
      </c>
      <c r="C5666" s="183">
        <v>45401</v>
      </c>
      <c r="D5666" s="17" t="s">
        <v>52</v>
      </c>
      <c r="E5666" s="17" t="s">
        <v>1113</v>
      </c>
      <c r="F5666" s="17" t="s">
        <v>54</v>
      </c>
      <c r="H5666" s="141">
        <v>1.2738</v>
      </c>
      <c r="I5666" s="141"/>
      <c r="J5666" s="17" t="s">
        <v>49</v>
      </c>
      <c r="K5666" s="19">
        <v>2200</v>
      </c>
      <c r="L5666" s="19">
        <v>32</v>
      </c>
      <c r="M5666" s="17">
        <v>4000</v>
      </c>
      <c r="N5666" s="19" t="s">
        <v>66</v>
      </c>
      <c r="O5666" s="19" t="s">
        <v>141</v>
      </c>
      <c r="P5666" s="19">
        <v>2211</v>
      </c>
      <c r="Q5666" s="19">
        <v>2970</v>
      </c>
      <c r="R5666" s="19">
        <f t="shared" si="254"/>
        <v>-759</v>
      </c>
      <c r="S5666" s="91">
        <f>1100</f>
        <v>1100</v>
      </c>
      <c r="T5666" s="91" t="s">
        <v>42</v>
      </c>
      <c r="U5666" s="102" t="s">
        <v>1433</v>
      </c>
      <c r="V5666" s="186">
        <v>45402</v>
      </c>
      <c r="W5666" s="17" t="s">
        <v>69</v>
      </c>
      <c r="Y5666" s="68">
        <v>45413</v>
      </c>
      <c r="Z5666" s="17" t="s">
        <v>191</v>
      </c>
      <c r="AA5666" s="17" t="s">
        <v>46</v>
      </c>
      <c r="AB5666" s="17" t="s">
        <v>1377</v>
      </c>
      <c r="AC5666" s="217">
        <v>45408</v>
      </c>
      <c r="AD5666" s="65">
        <v>1566</v>
      </c>
      <c r="AE5666" s="17" t="s">
        <v>48</v>
      </c>
    </row>
    <row r="5667" s="17" customFormat="1" hidden="1" spans="1:31">
      <c r="A5667" s="17" t="s">
        <v>34</v>
      </c>
      <c r="B5667" s="19">
        <v>1000</v>
      </c>
      <c r="C5667" s="183">
        <v>45401</v>
      </c>
      <c r="D5667" s="17" t="s">
        <v>52</v>
      </c>
      <c r="E5667" s="17" t="s">
        <v>1113</v>
      </c>
      <c r="F5667" s="17" t="s">
        <v>54</v>
      </c>
      <c r="H5667" s="141">
        <v>1.2738</v>
      </c>
      <c r="I5667" s="141"/>
      <c r="J5667" s="17" t="s">
        <v>49</v>
      </c>
      <c r="K5667" s="19">
        <v>2200</v>
      </c>
      <c r="L5667" s="19">
        <v>32</v>
      </c>
      <c r="M5667" s="17">
        <v>4000</v>
      </c>
      <c r="N5667" s="19" t="s">
        <v>66</v>
      </c>
      <c r="O5667" s="19" t="s">
        <v>141</v>
      </c>
      <c r="P5667" s="19">
        <v>2211</v>
      </c>
      <c r="Q5667" s="19">
        <v>3020</v>
      </c>
      <c r="R5667" s="19">
        <f t="shared" si="254"/>
        <v>-809</v>
      </c>
      <c r="S5667" s="91">
        <f>1100+60</f>
        <v>1160</v>
      </c>
      <c r="T5667" s="91" t="s">
        <v>42</v>
      </c>
      <c r="U5667" s="102" t="s">
        <v>1433</v>
      </c>
      <c r="V5667" s="186">
        <v>45402</v>
      </c>
      <c r="W5667" s="17" t="s">
        <v>69</v>
      </c>
      <c r="Y5667" s="68">
        <v>45413</v>
      </c>
      <c r="Z5667" s="17" t="s">
        <v>191</v>
      </c>
      <c r="AA5667" s="17" t="s">
        <v>46</v>
      </c>
      <c r="AB5667" s="17" t="s">
        <v>1360</v>
      </c>
      <c r="AC5667" s="217">
        <v>45433</v>
      </c>
      <c r="AD5667" s="65">
        <v>1572</v>
      </c>
      <c r="AE5667" s="17" t="s">
        <v>48</v>
      </c>
    </row>
    <row r="5668" s="17" customFormat="1" hidden="1" spans="1:31">
      <c r="A5668" s="17" t="s">
        <v>34</v>
      </c>
      <c r="B5668" s="19">
        <v>1000</v>
      </c>
      <c r="C5668" s="183">
        <v>45401</v>
      </c>
      <c r="D5668" s="17" t="s">
        <v>52</v>
      </c>
      <c r="E5668" s="17" t="s">
        <v>1113</v>
      </c>
      <c r="F5668" s="17" t="s">
        <v>54</v>
      </c>
      <c r="H5668" s="141">
        <v>1.2738</v>
      </c>
      <c r="I5668" s="141"/>
      <c r="J5668" s="17" t="s">
        <v>49</v>
      </c>
      <c r="K5668" s="19">
        <v>2200</v>
      </c>
      <c r="L5668" s="19">
        <v>36</v>
      </c>
      <c r="M5668" s="17">
        <v>5000</v>
      </c>
      <c r="N5668" s="19" t="s">
        <v>66</v>
      </c>
      <c r="O5668" s="19" t="s">
        <v>141</v>
      </c>
      <c r="P5668" s="19">
        <v>3109</v>
      </c>
      <c r="Q5668" s="19">
        <v>3670</v>
      </c>
      <c r="R5668" s="19">
        <f t="shared" si="254"/>
        <v>-561</v>
      </c>
      <c r="S5668" s="91">
        <f>1100+60</f>
        <v>1160</v>
      </c>
      <c r="T5668" s="91" t="s">
        <v>42</v>
      </c>
      <c r="U5668" s="102" t="s">
        <v>1433</v>
      </c>
      <c r="V5668" s="186">
        <v>45402</v>
      </c>
      <c r="W5668" s="17" t="s">
        <v>69</v>
      </c>
      <c r="Y5668" s="68">
        <v>45413</v>
      </c>
      <c r="Z5668" s="17" t="s">
        <v>191</v>
      </c>
      <c r="AA5668" s="17" t="s">
        <v>46</v>
      </c>
      <c r="AB5668" s="17" t="s">
        <v>1360</v>
      </c>
      <c r="AC5668" s="217">
        <v>45433</v>
      </c>
      <c r="AD5668" s="65">
        <v>1572</v>
      </c>
      <c r="AE5668" s="17" t="s">
        <v>48</v>
      </c>
    </row>
    <row r="5669" s="17" customFormat="1" hidden="1" spans="1:31">
      <c r="A5669" s="17" t="s">
        <v>34</v>
      </c>
      <c r="B5669" s="19">
        <v>1000</v>
      </c>
      <c r="C5669" s="183">
        <v>45401</v>
      </c>
      <c r="D5669" s="17" t="s">
        <v>52</v>
      </c>
      <c r="E5669" s="17" t="s">
        <v>1113</v>
      </c>
      <c r="F5669" s="17" t="s">
        <v>54</v>
      </c>
      <c r="H5669" s="141">
        <v>1.2738</v>
      </c>
      <c r="I5669" s="141"/>
      <c r="J5669" s="17" t="s">
        <v>49</v>
      </c>
      <c r="K5669" s="19">
        <v>2200</v>
      </c>
      <c r="L5669" s="19">
        <v>40</v>
      </c>
      <c r="M5669" s="17">
        <v>5000</v>
      </c>
      <c r="N5669" s="19" t="s">
        <v>66</v>
      </c>
      <c r="O5669" s="19" t="s">
        <v>141</v>
      </c>
      <c r="P5669" s="19">
        <v>3454</v>
      </c>
      <c r="Q5669" s="19">
        <v>4230</v>
      </c>
      <c r="R5669" s="19">
        <f t="shared" si="254"/>
        <v>-776</v>
      </c>
      <c r="S5669" s="91">
        <f>1100</f>
        <v>1100</v>
      </c>
      <c r="T5669" s="91" t="s">
        <v>42</v>
      </c>
      <c r="U5669" s="102" t="s">
        <v>1433</v>
      </c>
      <c r="V5669" s="186">
        <v>45402</v>
      </c>
      <c r="W5669" s="17" t="s">
        <v>69</v>
      </c>
      <c r="Y5669" s="68">
        <v>45413</v>
      </c>
      <c r="Z5669" s="17" t="s">
        <v>191</v>
      </c>
      <c r="AA5669" s="17" t="s">
        <v>46</v>
      </c>
      <c r="AB5669" s="17" t="s">
        <v>1376</v>
      </c>
      <c r="AC5669" s="217">
        <v>45408</v>
      </c>
      <c r="AD5669" s="65">
        <v>1569</v>
      </c>
      <c r="AE5669" s="17" t="s">
        <v>48</v>
      </c>
    </row>
    <row r="5670" s="17" customFormat="1" hidden="1" spans="1:31">
      <c r="A5670" s="17" t="s">
        <v>34</v>
      </c>
      <c r="B5670" s="19">
        <v>1000</v>
      </c>
      <c r="C5670" s="183">
        <v>45401</v>
      </c>
      <c r="D5670" s="17" t="s">
        <v>52</v>
      </c>
      <c r="E5670" s="17" t="s">
        <v>1113</v>
      </c>
      <c r="F5670" s="17" t="s">
        <v>54</v>
      </c>
      <c r="H5670" s="141">
        <v>1.2738</v>
      </c>
      <c r="I5670" s="141"/>
      <c r="J5670" s="17" t="s">
        <v>49</v>
      </c>
      <c r="K5670" s="19">
        <v>2200</v>
      </c>
      <c r="L5670" s="19">
        <v>40</v>
      </c>
      <c r="M5670" s="17">
        <v>5000</v>
      </c>
      <c r="N5670" s="19" t="s">
        <v>66</v>
      </c>
      <c r="O5670" s="19" t="s">
        <v>141</v>
      </c>
      <c r="P5670" s="19">
        <v>3454</v>
      </c>
      <c r="Q5670" s="19">
        <v>3990</v>
      </c>
      <c r="R5670" s="19">
        <f t="shared" si="254"/>
        <v>-536</v>
      </c>
      <c r="S5670" s="91">
        <f>1100+60</f>
        <v>1160</v>
      </c>
      <c r="T5670" s="91" t="s">
        <v>42</v>
      </c>
      <c r="U5670" s="102" t="s">
        <v>1433</v>
      </c>
      <c r="V5670" s="186">
        <v>45402</v>
      </c>
      <c r="W5670" s="17" t="s">
        <v>69</v>
      </c>
      <c r="Y5670" s="68">
        <v>45413</v>
      </c>
      <c r="Z5670" s="17" t="s">
        <v>191</v>
      </c>
      <c r="AA5670" s="17" t="s">
        <v>46</v>
      </c>
      <c r="AB5670" s="17" t="s">
        <v>1360</v>
      </c>
      <c r="AC5670" s="217">
        <v>45433</v>
      </c>
      <c r="AD5670" s="65">
        <v>1572</v>
      </c>
      <c r="AE5670" s="17" t="s">
        <v>48</v>
      </c>
    </row>
    <row r="5671" s="17" customFormat="1" hidden="1" spans="1:31">
      <c r="A5671" s="17" t="s">
        <v>34</v>
      </c>
      <c r="B5671" s="19">
        <v>1000</v>
      </c>
      <c r="C5671" s="183">
        <v>45401</v>
      </c>
      <c r="D5671" s="17" t="s">
        <v>52</v>
      </c>
      <c r="E5671" s="17" t="s">
        <v>1113</v>
      </c>
      <c r="F5671" s="17" t="s">
        <v>54</v>
      </c>
      <c r="H5671" s="141">
        <v>1.2738</v>
      </c>
      <c r="I5671" s="141"/>
      <c r="J5671" s="17" t="s">
        <v>49</v>
      </c>
      <c r="K5671" s="19">
        <v>2200</v>
      </c>
      <c r="L5671" s="19">
        <v>45</v>
      </c>
      <c r="M5671" s="19">
        <v>5000</v>
      </c>
      <c r="N5671" s="19" t="s">
        <v>66</v>
      </c>
      <c r="O5671" s="19" t="s">
        <v>141</v>
      </c>
      <c r="P5671" s="19">
        <v>3886</v>
      </c>
      <c r="Q5671" s="19">
        <v>4735</v>
      </c>
      <c r="R5671" s="19">
        <f t="shared" si="254"/>
        <v>-849</v>
      </c>
      <c r="S5671" s="91">
        <f>1100-20</f>
        <v>1080</v>
      </c>
      <c r="T5671" s="91" t="s">
        <v>42</v>
      </c>
      <c r="U5671" s="102" t="s">
        <v>1433</v>
      </c>
      <c r="V5671" s="186">
        <v>45402</v>
      </c>
      <c r="W5671" s="17" t="s">
        <v>69</v>
      </c>
      <c r="Y5671" s="68">
        <v>45413</v>
      </c>
      <c r="Z5671" s="17" t="s">
        <v>191</v>
      </c>
      <c r="AA5671" s="17" t="s">
        <v>46</v>
      </c>
      <c r="AB5671" s="17" t="s">
        <v>1436</v>
      </c>
      <c r="AC5671" s="217">
        <v>45434</v>
      </c>
      <c r="AD5671" s="65">
        <v>1582</v>
      </c>
      <c r="AE5671" s="17" t="s">
        <v>48</v>
      </c>
    </row>
    <row r="5672" s="17" customFormat="1" hidden="1" spans="1:31">
      <c r="A5672" s="17" t="s">
        <v>34</v>
      </c>
      <c r="B5672" s="19">
        <v>1000</v>
      </c>
      <c r="C5672" s="183">
        <v>45401</v>
      </c>
      <c r="D5672" s="17" t="s">
        <v>52</v>
      </c>
      <c r="E5672" s="17" t="s">
        <v>1113</v>
      </c>
      <c r="F5672" s="17" t="s">
        <v>54</v>
      </c>
      <c r="H5672" s="141">
        <v>1.2738</v>
      </c>
      <c r="I5672" s="141"/>
      <c r="J5672" s="17" t="s">
        <v>49</v>
      </c>
      <c r="K5672" s="19">
        <v>2200</v>
      </c>
      <c r="L5672" s="19">
        <v>50</v>
      </c>
      <c r="M5672" s="17">
        <v>5000</v>
      </c>
      <c r="N5672" s="19" t="s">
        <v>66</v>
      </c>
      <c r="O5672" s="19" t="s">
        <v>141</v>
      </c>
      <c r="P5672" s="19">
        <v>4318</v>
      </c>
      <c r="Q5672" s="19">
        <v>4910</v>
      </c>
      <c r="R5672" s="19">
        <f t="shared" si="254"/>
        <v>-592</v>
      </c>
      <c r="S5672" s="91">
        <f>1100</f>
        <v>1100</v>
      </c>
      <c r="T5672" s="91" t="s">
        <v>42</v>
      </c>
      <c r="U5672" s="102" t="s">
        <v>1433</v>
      </c>
      <c r="V5672" s="186">
        <v>45402</v>
      </c>
      <c r="W5672" s="17" t="s">
        <v>69</v>
      </c>
      <c r="Y5672" s="68">
        <v>45413</v>
      </c>
      <c r="Z5672" s="17" t="s">
        <v>191</v>
      </c>
      <c r="AA5672" s="17" t="s">
        <v>46</v>
      </c>
      <c r="AB5672" s="17" t="s">
        <v>1377</v>
      </c>
      <c r="AC5672" s="217">
        <v>45408</v>
      </c>
      <c r="AD5672" s="65">
        <v>1566</v>
      </c>
      <c r="AE5672" s="17" t="s">
        <v>48</v>
      </c>
    </row>
    <row r="5673" s="17" customFormat="1" hidden="1" spans="1:31">
      <c r="A5673" s="17" t="s">
        <v>34</v>
      </c>
      <c r="B5673" s="19">
        <v>1000</v>
      </c>
      <c r="C5673" s="183">
        <v>45401</v>
      </c>
      <c r="D5673" s="17" t="s">
        <v>52</v>
      </c>
      <c r="E5673" s="17" t="s">
        <v>1113</v>
      </c>
      <c r="F5673" s="17" t="s">
        <v>54</v>
      </c>
      <c r="H5673" s="141">
        <v>1.2738</v>
      </c>
      <c r="I5673" s="141"/>
      <c r="J5673" s="17" t="s">
        <v>49</v>
      </c>
      <c r="K5673" s="19">
        <v>2200</v>
      </c>
      <c r="L5673" s="19">
        <v>50</v>
      </c>
      <c r="M5673" s="17">
        <v>5000</v>
      </c>
      <c r="N5673" s="19" t="s">
        <v>66</v>
      </c>
      <c r="O5673" s="19" t="s">
        <v>141</v>
      </c>
      <c r="P5673" s="19">
        <v>4318</v>
      </c>
      <c r="Q5673" s="19">
        <v>5010</v>
      </c>
      <c r="R5673" s="19">
        <f t="shared" si="254"/>
        <v>-692</v>
      </c>
      <c r="S5673" s="91">
        <f>1100</f>
        <v>1100</v>
      </c>
      <c r="T5673" s="91" t="s">
        <v>42</v>
      </c>
      <c r="U5673" s="102" t="s">
        <v>1433</v>
      </c>
      <c r="V5673" s="186">
        <v>45402</v>
      </c>
      <c r="W5673" s="17" t="s">
        <v>69</v>
      </c>
      <c r="Y5673" s="68">
        <v>45413</v>
      </c>
      <c r="Z5673" s="17" t="s">
        <v>191</v>
      </c>
      <c r="AA5673" s="17" t="s">
        <v>46</v>
      </c>
      <c r="AB5673" s="17" t="s">
        <v>1376</v>
      </c>
      <c r="AC5673" s="217">
        <v>45408</v>
      </c>
      <c r="AD5673" s="65">
        <v>1569</v>
      </c>
      <c r="AE5673" s="17" t="s">
        <v>48</v>
      </c>
    </row>
    <row r="5674" s="17" customFormat="1" hidden="1" spans="1:31">
      <c r="A5674" s="17" t="s">
        <v>34</v>
      </c>
      <c r="B5674" s="19">
        <v>1000</v>
      </c>
      <c r="C5674" s="183">
        <v>45401</v>
      </c>
      <c r="D5674" s="17" t="s">
        <v>52</v>
      </c>
      <c r="E5674" s="17" t="s">
        <v>1113</v>
      </c>
      <c r="F5674" s="17" t="s">
        <v>54</v>
      </c>
      <c r="H5674" s="141">
        <v>1.2738</v>
      </c>
      <c r="I5674" s="141"/>
      <c r="J5674" s="17" t="s">
        <v>49</v>
      </c>
      <c r="K5674" s="19">
        <v>2200</v>
      </c>
      <c r="L5674" s="19">
        <v>56</v>
      </c>
      <c r="M5674" s="17">
        <v>5000</v>
      </c>
      <c r="N5674" s="19" t="s">
        <v>66</v>
      </c>
      <c r="O5674" s="19" t="s">
        <v>141</v>
      </c>
      <c r="P5674" s="19">
        <v>4836</v>
      </c>
      <c r="Q5674" s="19">
        <v>5450</v>
      </c>
      <c r="R5674" s="19">
        <f t="shared" si="254"/>
        <v>-614</v>
      </c>
      <c r="S5674" s="91">
        <f>1100</f>
        <v>1100</v>
      </c>
      <c r="T5674" s="91" t="s">
        <v>42</v>
      </c>
      <c r="U5674" s="102" t="s">
        <v>1433</v>
      </c>
      <c r="V5674" s="186">
        <v>45402</v>
      </c>
      <c r="W5674" s="17" t="s">
        <v>69</v>
      </c>
      <c r="Y5674" s="68">
        <v>45413</v>
      </c>
      <c r="Z5674" s="17" t="s">
        <v>191</v>
      </c>
      <c r="AA5674" s="17" t="s">
        <v>46</v>
      </c>
      <c r="AB5674" s="17" t="s">
        <v>1376</v>
      </c>
      <c r="AC5674" s="217">
        <v>45408</v>
      </c>
      <c r="AD5674" s="65">
        <v>1569</v>
      </c>
      <c r="AE5674" s="17" t="s">
        <v>48</v>
      </c>
    </row>
    <row r="5675" s="17" customFormat="1" hidden="1" spans="1:31">
      <c r="A5675" s="17" t="s">
        <v>34</v>
      </c>
      <c r="B5675" s="19">
        <v>1000</v>
      </c>
      <c r="C5675" s="183">
        <v>45401</v>
      </c>
      <c r="D5675" s="17" t="s">
        <v>52</v>
      </c>
      <c r="E5675" s="17" t="s">
        <v>1113</v>
      </c>
      <c r="F5675" s="17" t="s">
        <v>54</v>
      </c>
      <c r="H5675" s="141">
        <v>1.2738</v>
      </c>
      <c r="I5675" s="141"/>
      <c r="J5675" s="17" t="s">
        <v>49</v>
      </c>
      <c r="K5675" s="19">
        <v>2200</v>
      </c>
      <c r="L5675" s="19">
        <v>61</v>
      </c>
      <c r="M5675" s="17">
        <v>5000</v>
      </c>
      <c r="N5675" s="19" t="s">
        <v>66</v>
      </c>
      <c r="O5675" s="19" t="s">
        <v>141</v>
      </c>
      <c r="P5675" s="19">
        <v>5267</v>
      </c>
      <c r="Q5675" s="19">
        <v>5995</v>
      </c>
      <c r="R5675" s="19">
        <f t="shared" si="254"/>
        <v>-728</v>
      </c>
      <c r="S5675" s="91">
        <f>1100</f>
        <v>1100</v>
      </c>
      <c r="T5675" s="91" t="s">
        <v>42</v>
      </c>
      <c r="U5675" s="102" t="s">
        <v>1433</v>
      </c>
      <c r="V5675" s="186">
        <v>45402</v>
      </c>
      <c r="W5675" s="17" t="s">
        <v>69</v>
      </c>
      <c r="Y5675" s="68">
        <v>45413</v>
      </c>
      <c r="Z5675" s="17" t="s">
        <v>191</v>
      </c>
      <c r="AA5675" s="17" t="s">
        <v>46</v>
      </c>
      <c r="AB5675" s="17" t="s">
        <v>1435</v>
      </c>
      <c r="AC5675" s="217">
        <v>45510</v>
      </c>
      <c r="AD5675" s="65">
        <v>1613</v>
      </c>
      <c r="AE5675" s="17" t="s">
        <v>48</v>
      </c>
    </row>
    <row r="5676" s="17" customFormat="1" hidden="1" spans="1:31">
      <c r="A5676" s="17" t="s">
        <v>34</v>
      </c>
      <c r="B5676" s="19">
        <v>1000</v>
      </c>
      <c r="C5676" s="183">
        <v>45401</v>
      </c>
      <c r="D5676" s="17" t="s">
        <v>52</v>
      </c>
      <c r="E5676" s="17" t="s">
        <v>1113</v>
      </c>
      <c r="F5676" s="17" t="s">
        <v>54</v>
      </c>
      <c r="H5676" s="141">
        <v>1.2738</v>
      </c>
      <c r="I5676" s="141"/>
      <c r="J5676" s="17" t="s">
        <v>49</v>
      </c>
      <c r="K5676" s="19">
        <v>2200</v>
      </c>
      <c r="L5676" s="19">
        <v>65</v>
      </c>
      <c r="M5676" s="17">
        <v>5000</v>
      </c>
      <c r="N5676" s="19" t="s">
        <v>66</v>
      </c>
      <c r="O5676" s="19" t="s">
        <v>141</v>
      </c>
      <c r="P5676" s="19">
        <v>5613</v>
      </c>
      <c r="Q5676" s="19">
        <v>6680</v>
      </c>
      <c r="R5676" s="19">
        <f t="shared" si="254"/>
        <v>-1067</v>
      </c>
      <c r="S5676" s="91">
        <f>1100+60</f>
        <v>1160</v>
      </c>
      <c r="T5676" s="91" t="s">
        <v>42</v>
      </c>
      <c r="U5676" s="102" t="s">
        <v>1433</v>
      </c>
      <c r="V5676" s="186">
        <v>45402</v>
      </c>
      <c r="W5676" s="17" t="s">
        <v>69</v>
      </c>
      <c r="Y5676" s="68">
        <v>45413</v>
      </c>
      <c r="Z5676" s="17" t="s">
        <v>191</v>
      </c>
      <c r="AA5676" s="17" t="s">
        <v>46</v>
      </c>
      <c r="AB5676" s="17" t="s">
        <v>1360</v>
      </c>
      <c r="AC5676" s="217">
        <v>45433</v>
      </c>
      <c r="AD5676" s="65">
        <v>1572</v>
      </c>
      <c r="AE5676" s="17" t="s">
        <v>48</v>
      </c>
    </row>
    <row r="5677" s="17" customFormat="1" hidden="1" spans="1:31">
      <c r="A5677" s="17" t="s">
        <v>34</v>
      </c>
      <c r="B5677" s="19">
        <v>1000</v>
      </c>
      <c r="C5677" s="183">
        <v>45401</v>
      </c>
      <c r="D5677" s="17" t="s">
        <v>52</v>
      </c>
      <c r="E5677" s="17" t="s">
        <v>1113</v>
      </c>
      <c r="F5677" s="17" t="s">
        <v>54</v>
      </c>
      <c r="H5677" s="141">
        <v>1.2738</v>
      </c>
      <c r="I5677" s="141"/>
      <c r="J5677" s="17" t="s">
        <v>49</v>
      </c>
      <c r="K5677" s="19">
        <v>2200</v>
      </c>
      <c r="L5677" s="19">
        <v>65</v>
      </c>
      <c r="M5677" s="17">
        <v>5000</v>
      </c>
      <c r="N5677" s="19" t="s">
        <v>66</v>
      </c>
      <c r="O5677" s="19" t="s">
        <v>141</v>
      </c>
      <c r="P5677" s="19">
        <v>5613</v>
      </c>
      <c r="Q5677" s="19">
        <v>6629</v>
      </c>
      <c r="R5677" s="19">
        <f t="shared" si="254"/>
        <v>-1016</v>
      </c>
      <c r="S5677" s="91">
        <f>1100+60</f>
        <v>1160</v>
      </c>
      <c r="T5677" s="91" t="s">
        <v>42</v>
      </c>
      <c r="U5677" s="102" t="s">
        <v>1433</v>
      </c>
      <c r="V5677" s="186">
        <v>45402</v>
      </c>
      <c r="W5677" s="17" t="s">
        <v>69</v>
      </c>
      <c r="Y5677" s="68">
        <v>45413</v>
      </c>
      <c r="Z5677" s="17" t="s">
        <v>191</v>
      </c>
      <c r="AA5677" s="17" t="s">
        <v>46</v>
      </c>
      <c r="AB5677" s="17" t="s">
        <v>1360</v>
      </c>
      <c r="AC5677" s="217">
        <v>45433</v>
      </c>
      <c r="AD5677" s="65">
        <v>1572</v>
      </c>
      <c r="AE5677" s="17" t="s">
        <v>48</v>
      </c>
    </row>
    <row r="5678" s="17" customFormat="1" hidden="1" spans="1:31">
      <c r="A5678" s="17" t="s">
        <v>34</v>
      </c>
      <c r="B5678" s="19">
        <v>1000</v>
      </c>
      <c r="C5678" s="183">
        <v>45401</v>
      </c>
      <c r="D5678" s="17" t="s">
        <v>52</v>
      </c>
      <c r="E5678" s="17" t="s">
        <v>1113</v>
      </c>
      <c r="F5678" s="17" t="s">
        <v>54</v>
      </c>
      <c r="H5678" s="141">
        <v>1.2738</v>
      </c>
      <c r="I5678" s="141"/>
      <c r="J5678" s="17" t="s">
        <v>49</v>
      </c>
      <c r="K5678" s="19">
        <v>2200</v>
      </c>
      <c r="L5678" s="19">
        <v>71</v>
      </c>
      <c r="M5678" s="17">
        <v>5000</v>
      </c>
      <c r="N5678" s="19" t="s">
        <v>66</v>
      </c>
      <c r="O5678" s="19" t="s">
        <v>141</v>
      </c>
      <c r="P5678" s="19">
        <v>6131</v>
      </c>
      <c r="Q5678" s="19">
        <v>6965</v>
      </c>
      <c r="R5678" s="19">
        <f t="shared" si="254"/>
        <v>-834</v>
      </c>
      <c r="S5678" s="91">
        <f>1100</f>
        <v>1100</v>
      </c>
      <c r="T5678" s="91" t="s">
        <v>42</v>
      </c>
      <c r="U5678" s="102" t="s">
        <v>1433</v>
      </c>
      <c r="V5678" s="186">
        <v>45402</v>
      </c>
      <c r="W5678" s="17" t="s">
        <v>69</v>
      </c>
      <c r="Y5678" s="68">
        <v>45413</v>
      </c>
      <c r="Z5678" s="17" t="s">
        <v>191</v>
      </c>
      <c r="AA5678" s="17" t="s">
        <v>46</v>
      </c>
      <c r="AB5678" s="17" t="s">
        <v>1377</v>
      </c>
      <c r="AC5678" s="217">
        <v>45408</v>
      </c>
      <c r="AD5678" s="65">
        <v>1566</v>
      </c>
      <c r="AE5678" s="17" t="s">
        <v>48</v>
      </c>
    </row>
    <row r="5679" s="17" customFormat="1" hidden="1" spans="1:31">
      <c r="A5679" s="17" t="s">
        <v>34</v>
      </c>
      <c r="B5679" s="19">
        <v>1000</v>
      </c>
      <c r="C5679" s="183">
        <v>45401</v>
      </c>
      <c r="D5679" s="17" t="s">
        <v>52</v>
      </c>
      <c r="E5679" s="17" t="s">
        <v>1113</v>
      </c>
      <c r="F5679" s="17" t="s">
        <v>54</v>
      </c>
      <c r="H5679" s="141">
        <v>1.2738</v>
      </c>
      <c r="I5679" s="141"/>
      <c r="J5679" s="17" t="s">
        <v>49</v>
      </c>
      <c r="K5679" s="19">
        <v>2200</v>
      </c>
      <c r="L5679" s="19">
        <v>80</v>
      </c>
      <c r="M5679" s="19">
        <v>5000</v>
      </c>
      <c r="N5679" s="19" t="s">
        <v>66</v>
      </c>
      <c r="O5679" s="19" t="s">
        <v>141</v>
      </c>
      <c r="P5679" s="19">
        <v>6908</v>
      </c>
      <c r="Q5679" s="19">
        <v>8210</v>
      </c>
      <c r="R5679" s="19">
        <f t="shared" si="254"/>
        <v>-1302</v>
      </c>
      <c r="S5679" s="91">
        <f>1100-20</f>
        <v>1080</v>
      </c>
      <c r="T5679" s="91" t="s">
        <v>42</v>
      </c>
      <c r="U5679" s="102" t="s">
        <v>1433</v>
      </c>
      <c r="V5679" s="186">
        <v>45402</v>
      </c>
      <c r="W5679" s="17" t="s">
        <v>69</v>
      </c>
      <c r="Y5679" s="68">
        <v>45413</v>
      </c>
      <c r="Z5679" s="17" t="s">
        <v>191</v>
      </c>
      <c r="AA5679" s="17" t="s">
        <v>46</v>
      </c>
      <c r="AB5679" s="17" t="s">
        <v>1436</v>
      </c>
      <c r="AC5679" s="217">
        <v>45434</v>
      </c>
      <c r="AD5679" s="65">
        <v>1582</v>
      </c>
      <c r="AE5679" s="17" t="s">
        <v>48</v>
      </c>
    </row>
    <row r="5680" s="17" customFormat="1" hidden="1" spans="1:31">
      <c r="A5680" s="17" t="s">
        <v>34</v>
      </c>
      <c r="B5680" s="19">
        <v>1000</v>
      </c>
      <c r="C5680" s="183">
        <v>45401</v>
      </c>
      <c r="D5680" s="17" t="s">
        <v>52</v>
      </c>
      <c r="E5680" s="17" t="s">
        <v>1113</v>
      </c>
      <c r="F5680" s="17" t="s">
        <v>54</v>
      </c>
      <c r="H5680" s="141">
        <v>1.2738</v>
      </c>
      <c r="I5680" s="141"/>
      <c r="J5680" s="17" t="s">
        <v>49</v>
      </c>
      <c r="K5680" s="19">
        <v>2200</v>
      </c>
      <c r="L5680" s="19">
        <v>80</v>
      </c>
      <c r="M5680" s="19">
        <v>5000</v>
      </c>
      <c r="N5680" s="19" t="s">
        <v>66</v>
      </c>
      <c r="O5680" s="19" t="s">
        <v>141</v>
      </c>
      <c r="P5680" s="19">
        <v>6908</v>
      </c>
      <c r="Q5680" s="19">
        <v>8180</v>
      </c>
      <c r="R5680" s="19">
        <f t="shared" si="254"/>
        <v>-1272</v>
      </c>
      <c r="S5680" s="91">
        <f>1100-20</f>
        <v>1080</v>
      </c>
      <c r="T5680" s="91" t="s">
        <v>42</v>
      </c>
      <c r="U5680" s="102" t="s">
        <v>1433</v>
      </c>
      <c r="V5680" s="186">
        <v>45402</v>
      </c>
      <c r="W5680" s="17" t="s">
        <v>69</v>
      </c>
      <c r="Y5680" s="68">
        <v>45413</v>
      </c>
      <c r="Z5680" s="17" t="s">
        <v>191</v>
      </c>
      <c r="AA5680" s="17" t="s">
        <v>46</v>
      </c>
      <c r="AB5680" s="17" t="s">
        <v>1436</v>
      </c>
      <c r="AC5680" s="217">
        <v>45434</v>
      </c>
      <c r="AD5680" s="65">
        <v>1582</v>
      </c>
      <c r="AE5680" s="17" t="s">
        <v>48</v>
      </c>
    </row>
    <row r="5681" s="17" customFormat="1" hidden="1" spans="1:32">
      <c r="A5681" s="17" t="s">
        <v>34</v>
      </c>
      <c r="B5681" s="19">
        <v>1000</v>
      </c>
      <c r="C5681" s="183">
        <v>45401</v>
      </c>
      <c r="D5681" s="17" t="s">
        <v>52</v>
      </c>
      <c r="E5681" s="17" t="s">
        <v>1113</v>
      </c>
      <c r="F5681" s="17" t="s">
        <v>54</v>
      </c>
      <c r="H5681" s="141">
        <v>1.2738</v>
      </c>
      <c r="I5681" s="141"/>
      <c r="J5681" s="17" t="s">
        <v>49</v>
      </c>
      <c r="K5681" s="19">
        <v>2200</v>
      </c>
      <c r="L5681" s="19">
        <v>90</v>
      </c>
      <c r="M5681" s="19">
        <v>5000</v>
      </c>
      <c r="N5681" s="19" t="s">
        <v>66</v>
      </c>
      <c r="O5681" s="19" t="s">
        <v>141</v>
      </c>
      <c r="P5681" s="19">
        <v>7772</v>
      </c>
      <c r="Q5681" s="19">
        <v>8260</v>
      </c>
      <c r="R5681" s="19">
        <f t="shared" si="254"/>
        <v>-488</v>
      </c>
      <c r="S5681" s="91">
        <f>1100-20</f>
        <v>1080</v>
      </c>
      <c r="T5681" s="91" t="s">
        <v>42</v>
      </c>
      <c r="U5681" s="102" t="s">
        <v>1433</v>
      </c>
      <c r="V5681" s="186">
        <v>45402</v>
      </c>
      <c r="W5681" s="17" t="s">
        <v>69</v>
      </c>
      <c r="Y5681" s="68">
        <v>45413</v>
      </c>
      <c r="Z5681" s="17" t="s">
        <v>191</v>
      </c>
      <c r="AA5681" s="17" t="s">
        <v>46</v>
      </c>
      <c r="AB5681" s="17" t="s">
        <v>1436</v>
      </c>
      <c r="AC5681" s="217">
        <v>45434</v>
      </c>
      <c r="AD5681" s="65">
        <v>1582</v>
      </c>
      <c r="AE5681" s="17" t="s">
        <v>48</v>
      </c>
    </row>
    <row r="5682" s="17" customFormat="1" hidden="1" spans="1:32">
      <c r="A5682" s="17" t="s">
        <v>34</v>
      </c>
      <c r="B5682" s="19">
        <v>1000</v>
      </c>
      <c r="C5682" s="183">
        <v>45401</v>
      </c>
      <c r="D5682" s="17" t="s">
        <v>52</v>
      </c>
      <c r="E5682" s="17" t="s">
        <v>1113</v>
      </c>
      <c r="F5682" s="17" t="s">
        <v>54</v>
      </c>
      <c r="H5682" s="141">
        <v>1.2738</v>
      </c>
      <c r="I5682" s="141"/>
      <c r="J5682" s="17" t="s">
        <v>49</v>
      </c>
      <c r="K5682" s="19">
        <v>2200</v>
      </c>
      <c r="L5682" s="19">
        <v>105</v>
      </c>
      <c r="M5682" s="19">
        <v>5000</v>
      </c>
      <c r="N5682" s="19" t="s">
        <v>66</v>
      </c>
      <c r="O5682" s="19" t="s">
        <v>141</v>
      </c>
      <c r="P5682" s="19">
        <v>9067</v>
      </c>
      <c r="Q5682" s="19">
        <v>10375</v>
      </c>
      <c r="R5682" s="19">
        <f t="shared" si="254"/>
        <v>-1308</v>
      </c>
      <c r="S5682" s="91">
        <f>1100-20</f>
        <v>1080</v>
      </c>
      <c r="T5682" s="91" t="s">
        <v>42</v>
      </c>
      <c r="U5682" s="102" t="s">
        <v>1433</v>
      </c>
      <c r="V5682" s="186">
        <v>45402</v>
      </c>
      <c r="W5682" s="17" t="s">
        <v>69</v>
      </c>
      <c r="Y5682" s="68">
        <v>45413</v>
      </c>
      <c r="Z5682" s="17" t="s">
        <v>191</v>
      </c>
      <c r="AA5682" s="17" t="s">
        <v>46</v>
      </c>
      <c r="AB5682" s="17" t="s">
        <v>1436</v>
      </c>
      <c r="AC5682" s="217">
        <v>45434</v>
      </c>
      <c r="AD5682" s="65">
        <v>1582</v>
      </c>
      <c r="AE5682" s="17" t="s">
        <v>48</v>
      </c>
    </row>
    <row r="5683" s="17" customFormat="1" hidden="1" spans="1:32">
      <c r="A5683" s="17" t="s">
        <v>34</v>
      </c>
      <c r="B5683" s="19">
        <v>1000</v>
      </c>
      <c r="C5683" s="183">
        <v>45401</v>
      </c>
      <c r="D5683" s="17" t="s">
        <v>52</v>
      </c>
      <c r="E5683" s="17" t="s">
        <v>1113</v>
      </c>
      <c r="F5683" s="17" t="s">
        <v>54</v>
      </c>
      <c r="H5683" s="141">
        <v>1.2738</v>
      </c>
      <c r="I5683" s="141"/>
      <c r="J5683" s="17" t="s">
        <v>49</v>
      </c>
      <c r="K5683" s="19">
        <v>2200</v>
      </c>
      <c r="L5683" s="19">
        <v>105</v>
      </c>
      <c r="M5683" s="19">
        <v>5000</v>
      </c>
      <c r="N5683" s="19" t="s">
        <v>66</v>
      </c>
      <c r="O5683" s="19" t="s">
        <v>141</v>
      </c>
      <c r="P5683" s="19">
        <v>9067</v>
      </c>
      <c r="Q5683" s="19">
        <v>10155</v>
      </c>
      <c r="R5683" s="19">
        <f t="shared" si="254"/>
        <v>-1088</v>
      </c>
      <c r="S5683" s="91">
        <f>1100-20</f>
        <v>1080</v>
      </c>
      <c r="T5683" s="91" t="s">
        <v>42</v>
      </c>
      <c r="U5683" s="102" t="s">
        <v>1433</v>
      </c>
      <c r="V5683" s="186">
        <v>45402</v>
      </c>
      <c r="W5683" s="17" t="s">
        <v>69</v>
      </c>
      <c r="Y5683" s="68">
        <v>45413</v>
      </c>
      <c r="Z5683" s="17" t="s">
        <v>191</v>
      </c>
      <c r="AA5683" s="17" t="s">
        <v>46</v>
      </c>
      <c r="AB5683" s="17" t="s">
        <v>1436</v>
      </c>
      <c r="AC5683" s="217">
        <v>45434</v>
      </c>
      <c r="AD5683" s="65">
        <v>1582</v>
      </c>
      <c r="AE5683" s="17" t="s">
        <v>48</v>
      </c>
    </row>
    <row r="5684" s="18" customFormat="1" hidden="1" spans="1:32">
      <c r="B5684" s="75">
        <v>1000</v>
      </c>
      <c r="C5684" s="213">
        <v>45401</v>
      </c>
      <c r="D5684" s="18" t="s">
        <v>52</v>
      </c>
      <c r="E5684" s="17" t="s">
        <v>1113</v>
      </c>
      <c r="F5684" s="18" t="s">
        <v>54</v>
      </c>
      <c r="H5684" s="325">
        <v>1.2738</v>
      </c>
      <c r="I5684" s="325"/>
      <c r="J5684" s="18" t="s">
        <v>49</v>
      </c>
      <c r="K5684" s="75">
        <v>2200</v>
      </c>
      <c r="L5684" s="75">
        <v>120</v>
      </c>
      <c r="M5684" s="18">
        <v>5000</v>
      </c>
      <c r="N5684" s="75" t="s">
        <v>66</v>
      </c>
      <c r="O5684" s="75" t="s">
        <v>141</v>
      </c>
      <c r="P5684" s="75">
        <v>10362</v>
      </c>
      <c r="Q5684" s="75">
        <v>0</v>
      </c>
      <c r="R5684" s="75">
        <v>0</v>
      </c>
      <c r="S5684" s="111">
        <f>1100</f>
        <v>1100</v>
      </c>
      <c r="T5684" s="111" t="s">
        <v>42</v>
      </c>
      <c r="U5684" s="137" t="s">
        <v>1433</v>
      </c>
      <c r="V5684" s="193">
        <v>45402</v>
      </c>
      <c r="W5684" s="18" t="s">
        <v>69</v>
      </c>
      <c r="Y5684" s="114">
        <v>45413</v>
      </c>
      <c r="Z5684" s="18" t="s">
        <v>191</v>
      </c>
      <c r="AA5684" s="18" t="s">
        <v>46</v>
      </c>
      <c r="AC5684" s="137"/>
      <c r="AD5684" s="77"/>
      <c r="AE5684" s="18" t="s">
        <v>48</v>
      </c>
      <c r="AF5684" s="18" t="s">
        <v>1332</v>
      </c>
    </row>
    <row r="5685" s="17" customFormat="1" hidden="1" spans="1:32">
      <c r="A5685" s="17" t="s">
        <v>34</v>
      </c>
      <c r="B5685" s="19">
        <v>1001</v>
      </c>
      <c r="C5685" s="183">
        <v>45401</v>
      </c>
      <c r="D5685" s="17" t="s">
        <v>52</v>
      </c>
      <c r="E5685" s="17" t="s">
        <v>1113</v>
      </c>
      <c r="F5685" s="17" t="s">
        <v>54</v>
      </c>
      <c r="H5685" s="141" t="s">
        <v>1370</v>
      </c>
      <c r="I5685" s="141"/>
      <c r="J5685" s="17" t="s">
        <v>49</v>
      </c>
      <c r="K5685" s="71">
        <v>2200</v>
      </c>
      <c r="L5685" s="71">
        <v>26</v>
      </c>
      <c r="M5685" s="17">
        <v>5000</v>
      </c>
      <c r="N5685" s="19" t="s">
        <v>40</v>
      </c>
      <c r="O5685" s="19" t="s">
        <v>141</v>
      </c>
      <c r="P5685" s="19">
        <v>2245</v>
      </c>
      <c r="Q5685" s="19">
        <v>2540</v>
      </c>
      <c r="R5685" s="19">
        <f t="shared" ref="R5685:R5713" si="256">+P5685-Q5685</f>
        <v>-295</v>
      </c>
      <c r="S5685" s="19">
        <f t="shared" ref="S5685:S5696" si="257">645-20</f>
        <v>625</v>
      </c>
      <c r="T5685" s="91" t="s">
        <v>42</v>
      </c>
      <c r="U5685" s="102" t="s">
        <v>1437</v>
      </c>
      <c r="V5685" s="186">
        <v>45402</v>
      </c>
      <c r="W5685" s="17" t="s">
        <v>69</v>
      </c>
      <c r="Y5685" s="68">
        <v>45413</v>
      </c>
      <c r="Z5685" s="17" t="s">
        <v>191</v>
      </c>
      <c r="AA5685" s="17" t="s">
        <v>46</v>
      </c>
      <c r="AB5685" s="17" t="s">
        <v>1438</v>
      </c>
      <c r="AC5685" s="217">
        <v>45434</v>
      </c>
      <c r="AD5685" s="65">
        <v>1573</v>
      </c>
      <c r="AE5685" s="17" t="s">
        <v>48</v>
      </c>
    </row>
    <row r="5686" s="17" customFormat="1" hidden="1" spans="1:32">
      <c r="A5686" s="17" t="s">
        <v>34</v>
      </c>
      <c r="B5686" s="19">
        <v>1001</v>
      </c>
      <c r="C5686" s="183">
        <v>45401</v>
      </c>
      <c r="D5686" s="17" t="s">
        <v>52</v>
      </c>
      <c r="E5686" s="17" t="s">
        <v>1113</v>
      </c>
      <c r="F5686" s="17" t="s">
        <v>54</v>
      </c>
      <c r="H5686" s="141" t="s">
        <v>1370</v>
      </c>
      <c r="I5686" s="141"/>
      <c r="J5686" s="17" t="s">
        <v>49</v>
      </c>
      <c r="K5686" s="71">
        <v>2200</v>
      </c>
      <c r="L5686" s="71">
        <v>32</v>
      </c>
      <c r="M5686" s="17">
        <v>5000</v>
      </c>
      <c r="N5686" s="19" t="s">
        <v>40</v>
      </c>
      <c r="O5686" s="19" t="s">
        <v>141</v>
      </c>
      <c r="P5686" s="19">
        <v>2763</v>
      </c>
      <c r="Q5686" s="19">
        <v>2920</v>
      </c>
      <c r="R5686" s="19">
        <f t="shared" si="256"/>
        <v>-157</v>
      </c>
      <c r="S5686" s="19">
        <f t="shared" si="257"/>
        <v>625</v>
      </c>
      <c r="T5686" s="91" t="s">
        <v>42</v>
      </c>
      <c r="U5686" s="102" t="s">
        <v>1437</v>
      </c>
      <c r="V5686" s="186">
        <v>45402</v>
      </c>
      <c r="W5686" s="17" t="s">
        <v>69</v>
      </c>
      <c r="Y5686" s="68">
        <v>45413</v>
      </c>
      <c r="Z5686" s="17" t="s">
        <v>191</v>
      </c>
      <c r="AA5686" s="17" t="s">
        <v>46</v>
      </c>
      <c r="AB5686" s="17" t="s">
        <v>1438</v>
      </c>
      <c r="AC5686" s="217">
        <v>45434</v>
      </c>
      <c r="AD5686" s="65">
        <v>1573</v>
      </c>
      <c r="AE5686" s="17" t="s">
        <v>48</v>
      </c>
    </row>
    <row r="5687" s="17" customFormat="1" hidden="1" spans="1:32">
      <c r="A5687" s="17" t="s">
        <v>34</v>
      </c>
      <c r="B5687" s="19">
        <v>1001</v>
      </c>
      <c r="C5687" s="183">
        <v>45401</v>
      </c>
      <c r="D5687" s="17" t="s">
        <v>52</v>
      </c>
      <c r="E5687" s="17" t="s">
        <v>1113</v>
      </c>
      <c r="F5687" s="17" t="s">
        <v>54</v>
      </c>
      <c r="H5687" s="141" t="s">
        <v>1370</v>
      </c>
      <c r="I5687" s="141"/>
      <c r="J5687" s="17" t="s">
        <v>49</v>
      </c>
      <c r="K5687" s="71">
        <v>2200</v>
      </c>
      <c r="L5687" s="71">
        <v>33</v>
      </c>
      <c r="M5687" s="17">
        <v>5000</v>
      </c>
      <c r="N5687" s="19" t="s">
        <v>40</v>
      </c>
      <c r="O5687" s="19" t="s">
        <v>141</v>
      </c>
      <c r="P5687" s="19">
        <v>5699</v>
      </c>
      <c r="Q5687" s="19">
        <f>2930+2930</f>
        <v>5860</v>
      </c>
      <c r="R5687" s="19">
        <f t="shared" si="256"/>
        <v>-161</v>
      </c>
      <c r="S5687" s="19">
        <f t="shared" si="257"/>
        <v>625</v>
      </c>
      <c r="T5687" s="91" t="s">
        <v>42</v>
      </c>
      <c r="U5687" s="102" t="s">
        <v>1437</v>
      </c>
      <c r="V5687" s="186">
        <v>45402</v>
      </c>
      <c r="W5687" s="17" t="s">
        <v>69</v>
      </c>
      <c r="Y5687" s="68">
        <v>45413</v>
      </c>
      <c r="Z5687" s="17" t="s">
        <v>191</v>
      </c>
      <c r="AA5687" s="17" t="s">
        <v>46</v>
      </c>
      <c r="AB5687" s="17" t="s">
        <v>1438</v>
      </c>
      <c r="AC5687" s="217">
        <v>45434</v>
      </c>
      <c r="AD5687" s="65">
        <v>1573</v>
      </c>
      <c r="AE5687" s="17" t="s">
        <v>48</v>
      </c>
    </row>
    <row r="5688" s="17" customFormat="1" hidden="1" spans="1:32">
      <c r="A5688" s="17" t="s">
        <v>34</v>
      </c>
      <c r="B5688" s="19">
        <v>1001</v>
      </c>
      <c r="C5688" s="183">
        <v>45401</v>
      </c>
      <c r="D5688" s="17" t="s">
        <v>52</v>
      </c>
      <c r="E5688" s="17" t="s">
        <v>1113</v>
      </c>
      <c r="F5688" s="17" t="s">
        <v>54</v>
      </c>
      <c r="H5688" s="141" t="s">
        <v>1370</v>
      </c>
      <c r="I5688" s="141"/>
      <c r="J5688" s="17" t="s">
        <v>49</v>
      </c>
      <c r="K5688" s="71">
        <v>2200</v>
      </c>
      <c r="L5688" s="71">
        <v>36</v>
      </c>
      <c r="M5688" s="17">
        <v>5000</v>
      </c>
      <c r="N5688" s="19" t="s">
        <v>40</v>
      </c>
      <c r="O5688" s="19" t="s">
        <v>141</v>
      </c>
      <c r="P5688" s="19">
        <v>3109</v>
      </c>
      <c r="Q5688" s="19">
        <v>3380</v>
      </c>
      <c r="R5688" s="19">
        <f t="shared" si="256"/>
        <v>-271</v>
      </c>
      <c r="S5688" s="19">
        <f t="shared" si="257"/>
        <v>625</v>
      </c>
      <c r="T5688" s="91" t="s">
        <v>42</v>
      </c>
      <c r="U5688" s="102" t="s">
        <v>1437</v>
      </c>
      <c r="V5688" s="186">
        <v>45402</v>
      </c>
      <c r="W5688" s="17" t="s">
        <v>69</v>
      </c>
      <c r="Y5688" s="68">
        <v>45413</v>
      </c>
      <c r="Z5688" s="17" t="s">
        <v>191</v>
      </c>
      <c r="AA5688" s="17" t="s">
        <v>46</v>
      </c>
      <c r="AB5688" s="17" t="s">
        <v>1438</v>
      </c>
      <c r="AC5688" s="217">
        <v>45434</v>
      </c>
      <c r="AD5688" s="65">
        <v>1573</v>
      </c>
      <c r="AE5688" s="17" t="s">
        <v>48</v>
      </c>
    </row>
    <row r="5689" s="17" customFormat="1" hidden="1" spans="1:32">
      <c r="A5689" s="17" t="s">
        <v>34</v>
      </c>
      <c r="B5689" s="19">
        <v>1001</v>
      </c>
      <c r="C5689" s="183">
        <v>45401</v>
      </c>
      <c r="D5689" s="17" t="s">
        <v>52</v>
      </c>
      <c r="E5689" s="17" t="s">
        <v>1113</v>
      </c>
      <c r="F5689" s="17" t="s">
        <v>54</v>
      </c>
      <c r="H5689" s="141" t="s">
        <v>1370</v>
      </c>
      <c r="I5689" s="141"/>
      <c r="J5689" s="17" t="s">
        <v>49</v>
      </c>
      <c r="K5689" s="71">
        <v>2200</v>
      </c>
      <c r="L5689" s="71">
        <v>45</v>
      </c>
      <c r="M5689" s="17">
        <v>5000</v>
      </c>
      <c r="N5689" s="19" t="s">
        <v>40</v>
      </c>
      <c r="O5689" s="19" t="s">
        <v>141</v>
      </c>
      <c r="P5689" s="19">
        <f>3886+3886</f>
        <v>7772</v>
      </c>
      <c r="Q5689" s="19">
        <f>4030+3720</f>
        <v>7750</v>
      </c>
      <c r="R5689" s="19">
        <f t="shared" si="256"/>
        <v>22</v>
      </c>
      <c r="S5689" s="19">
        <f t="shared" si="257"/>
        <v>625</v>
      </c>
      <c r="T5689" s="91" t="s">
        <v>42</v>
      </c>
      <c r="U5689" s="102" t="s">
        <v>1437</v>
      </c>
      <c r="V5689" s="186">
        <v>45402</v>
      </c>
      <c r="W5689" s="17" t="s">
        <v>69</v>
      </c>
      <c r="Y5689" s="68">
        <v>45413</v>
      </c>
      <c r="Z5689" s="17" t="s">
        <v>191</v>
      </c>
      <c r="AA5689" s="17" t="s">
        <v>46</v>
      </c>
      <c r="AB5689" s="17" t="s">
        <v>1438</v>
      </c>
      <c r="AC5689" s="217">
        <v>45434</v>
      </c>
      <c r="AD5689" s="65">
        <v>1573</v>
      </c>
      <c r="AE5689" s="17" t="s">
        <v>48</v>
      </c>
    </row>
    <row r="5690" s="17" customFormat="1" hidden="1" spans="1:32">
      <c r="A5690" s="17" t="s">
        <v>34</v>
      </c>
      <c r="B5690" s="19">
        <v>1001</v>
      </c>
      <c r="C5690" s="183">
        <v>45401</v>
      </c>
      <c r="D5690" s="17" t="s">
        <v>52</v>
      </c>
      <c r="E5690" s="17" t="s">
        <v>1113</v>
      </c>
      <c r="F5690" s="17" t="s">
        <v>54</v>
      </c>
      <c r="H5690" s="141" t="s">
        <v>1370</v>
      </c>
      <c r="I5690" s="141"/>
      <c r="J5690" s="17" t="s">
        <v>49</v>
      </c>
      <c r="K5690" s="71">
        <v>2200</v>
      </c>
      <c r="L5690" s="71">
        <v>50</v>
      </c>
      <c r="M5690" s="17">
        <v>5000</v>
      </c>
      <c r="N5690" s="19" t="s">
        <v>40</v>
      </c>
      <c r="O5690" s="19" t="s">
        <v>141</v>
      </c>
      <c r="P5690" s="19">
        <f>4318+4318</f>
        <v>8636</v>
      </c>
      <c r="Q5690" s="19">
        <f>4280+4130</f>
        <v>8410</v>
      </c>
      <c r="R5690" s="19">
        <f t="shared" si="256"/>
        <v>226</v>
      </c>
      <c r="S5690" s="19">
        <f t="shared" si="257"/>
        <v>625</v>
      </c>
      <c r="T5690" s="91" t="s">
        <v>42</v>
      </c>
      <c r="U5690" s="102" t="s">
        <v>1437</v>
      </c>
      <c r="V5690" s="186">
        <v>45402</v>
      </c>
      <c r="W5690" s="17" t="s">
        <v>69</v>
      </c>
      <c r="Y5690" s="68">
        <v>45413</v>
      </c>
      <c r="Z5690" s="17" t="s">
        <v>191</v>
      </c>
      <c r="AA5690" s="17" t="s">
        <v>46</v>
      </c>
      <c r="AB5690" s="17" t="s">
        <v>1438</v>
      </c>
      <c r="AC5690" s="217">
        <v>45434</v>
      </c>
      <c r="AD5690" s="65">
        <v>1573</v>
      </c>
      <c r="AE5690" s="17" t="s">
        <v>48</v>
      </c>
    </row>
    <row r="5691" s="17" customFormat="1" hidden="1" spans="1:32">
      <c r="A5691" s="17" t="s">
        <v>34</v>
      </c>
      <c r="B5691" s="19">
        <v>1001</v>
      </c>
      <c r="C5691" s="183">
        <v>45401</v>
      </c>
      <c r="D5691" s="17" t="s">
        <v>52</v>
      </c>
      <c r="E5691" s="17" t="s">
        <v>1113</v>
      </c>
      <c r="F5691" s="17" t="s">
        <v>54</v>
      </c>
      <c r="H5691" s="141" t="s">
        <v>1370</v>
      </c>
      <c r="I5691" s="141"/>
      <c r="J5691" s="17" t="s">
        <v>49</v>
      </c>
      <c r="K5691" s="71">
        <v>2200</v>
      </c>
      <c r="L5691" s="71">
        <v>56</v>
      </c>
      <c r="M5691" s="17">
        <v>5000</v>
      </c>
      <c r="N5691" s="19" t="s">
        <v>40</v>
      </c>
      <c r="O5691" s="19" t="s">
        <v>141</v>
      </c>
      <c r="P5691" s="19">
        <v>4836</v>
      </c>
      <c r="Q5691" s="19">
        <v>4800</v>
      </c>
      <c r="R5691" s="19">
        <f t="shared" si="256"/>
        <v>36</v>
      </c>
      <c r="S5691" s="19">
        <f t="shared" si="257"/>
        <v>625</v>
      </c>
      <c r="T5691" s="91" t="s">
        <v>42</v>
      </c>
      <c r="U5691" s="102" t="s">
        <v>1437</v>
      </c>
      <c r="V5691" s="186">
        <v>45402</v>
      </c>
      <c r="W5691" s="17" t="s">
        <v>69</v>
      </c>
      <c r="Y5691" s="68">
        <v>45413</v>
      </c>
      <c r="Z5691" s="17" t="s">
        <v>191</v>
      </c>
      <c r="AA5691" s="17" t="s">
        <v>46</v>
      </c>
      <c r="AB5691" s="17" t="s">
        <v>1438</v>
      </c>
      <c r="AC5691" s="217">
        <v>45434</v>
      </c>
      <c r="AD5691" s="65">
        <v>1573</v>
      </c>
      <c r="AE5691" s="17" t="s">
        <v>48</v>
      </c>
    </row>
    <row r="5692" s="17" customFormat="1" hidden="1" spans="1:32">
      <c r="A5692" s="17" t="s">
        <v>34</v>
      </c>
      <c r="B5692" s="19">
        <v>1001</v>
      </c>
      <c r="C5692" s="183">
        <v>45401</v>
      </c>
      <c r="D5692" s="17" t="s">
        <v>52</v>
      </c>
      <c r="E5692" s="17" t="s">
        <v>1113</v>
      </c>
      <c r="F5692" s="17" t="s">
        <v>54</v>
      </c>
      <c r="H5692" s="141" t="s">
        <v>1370</v>
      </c>
      <c r="I5692" s="141"/>
      <c r="J5692" s="17" t="s">
        <v>49</v>
      </c>
      <c r="K5692" s="71">
        <v>2200</v>
      </c>
      <c r="L5692" s="71">
        <v>75</v>
      </c>
      <c r="M5692" s="17">
        <v>5000</v>
      </c>
      <c r="N5692" s="19" t="s">
        <v>40</v>
      </c>
      <c r="O5692" s="19" t="s">
        <v>141</v>
      </c>
      <c r="P5692" s="19">
        <v>6476</v>
      </c>
      <c r="Q5692" s="19">
        <v>6610</v>
      </c>
      <c r="R5692" s="19">
        <f t="shared" si="256"/>
        <v>-134</v>
      </c>
      <c r="S5692" s="19">
        <f t="shared" si="257"/>
        <v>625</v>
      </c>
      <c r="T5692" s="91" t="s">
        <v>42</v>
      </c>
      <c r="U5692" s="102" t="s">
        <v>1437</v>
      </c>
      <c r="V5692" s="186">
        <v>45402</v>
      </c>
      <c r="W5692" s="17" t="s">
        <v>69</v>
      </c>
      <c r="Y5692" s="68">
        <v>45413</v>
      </c>
      <c r="Z5692" s="17" t="s">
        <v>191</v>
      </c>
      <c r="AA5692" s="17" t="s">
        <v>46</v>
      </c>
      <c r="AB5692" s="17" t="s">
        <v>1438</v>
      </c>
      <c r="AC5692" s="217">
        <v>45434</v>
      </c>
      <c r="AD5692" s="65">
        <v>1573</v>
      </c>
      <c r="AE5692" s="17" t="s">
        <v>48</v>
      </c>
    </row>
    <row r="5693" s="17" customFormat="1" hidden="1" spans="1:32">
      <c r="A5693" s="17" t="s">
        <v>34</v>
      </c>
      <c r="B5693" s="19">
        <v>1001</v>
      </c>
      <c r="C5693" s="183">
        <v>45401</v>
      </c>
      <c r="D5693" s="17" t="s">
        <v>52</v>
      </c>
      <c r="E5693" s="17" t="s">
        <v>1113</v>
      </c>
      <c r="F5693" s="17" t="s">
        <v>54</v>
      </c>
      <c r="H5693" s="141" t="s">
        <v>1370</v>
      </c>
      <c r="I5693" s="141"/>
      <c r="J5693" s="17" t="s">
        <v>49</v>
      </c>
      <c r="K5693" s="71">
        <v>2200</v>
      </c>
      <c r="L5693" s="71">
        <v>80</v>
      </c>
      <c r="M5693" s="17">
        <v>5000</v>
      </c>
      <c r="N5693" s="19" t="s">
        <v>40</v>
      </c>
      <c r="O5693" s="19" t="s">
        <v>141</v>
      </c>
      <c r="P5693" s="19">
        <v>6908</v>
      </c>
      <c r="Q5693" s="19">
        <v>7040</v>
      </c>
      <c r="R5693" s="19">
        <f t="shared" si="256"/>
        <v>-132</v>
      </c>
      <c r="S5693" s="19">
        <f t="shared" si="257"/>
        <v>625</v>
      </c>
      <c r="T5693" s="91" t="s">
        <v>42</v>
      </c>
      <c r="U5693" s="102" t="s">
        <v>1437</v>
      </c>
      <c r="V5693" s="186">
        <v>45402</v>
      </c>
      <c r="W5693" s="17" t="s">
        <v>69</v>
      </c>
      <c r="Y5693" s="68">
        <v>45413</v>
      </c>
      <c r="Z5693" s="17" t="s">
        <v>191</v>
      </c>
      <c r="AA5693" s="17" t="s">
        <v>46</v>
      </c>
      <c r="AB5693" s="17" t="s">
        <v>1438</v>
      </c>
      <c r="AC5693" s="217">
        <v>45434</v>
      </c>
      <c r="AD5693" s="65">
        <v>1573</v>
      </c>
      <c r="AE5693" s="17" t="s">
        <v>48</v>
      </c>
    </row>
    <row r="5694" s="17" customFormat="1" hidden="1" spans="1:32">
      <c r="A5694" s="17" t="s">
        <v>34</v>
      </c>
      <c r="B5694" s="19">
        <v>1001</v>
      </c>
      <c r="C5694" s="183">
        <v>45401</v>
      </c>
      <c r="D5694" s="17" t="s">
        <v>52</v>
      </c>
      <c r="E5694" s="17" t="s">
        <v>1113</v>
      </c>
      <c r="F5694" s="17" t="s">
        <v>54</v>
      </c>
      <c r="H5694" s="141" t="s">
        <v>1370</v>
      </c>
      <c r="I5694" s="141"/>
      <c r="J5694" s="17" t="s">
        <v>49</v>
      </c>
      <c r="K5694" s="71">
        <v>2200</v>
      </c>
      <c r="L5694" s="71">
        <v>85</v>
      </c>
      <c r="M5694" s="17">
        <v>5000</v>
      </c>
      <c r="N5694" s="19" t="s">
        <v>40</v>
      </c>
      <c r="O5694" s="19" t="s">
        <v>141</v>
      </c>
      <c r="P5694" s="19">
        <v>7340</v>
      </c>
      <c r="Q5694" s="19">
        <v>7530</v>
      </c>
      <c r="R5694" s="19">
        <f t="shared" si="256"/>
        <v>-190</v>
      </c>
      <c r="S5694" s="19">
        <f t="shared" si="257"/>
        <v>625</v>
      </c>
      <c r="T5694" s="91" t="s">
        <v>42</v>
      </c>
      <c r="U5694" s="102" t="s">
        <v>1437</v>
      </c>
      <c r="V5694" s="186">
        <v>45402</v>
      </c>
      <c r="W5694" s="17" t="s">
        <v>69</v>
      </c>
      <c r="Y5694" s="68">
        <v>45413</v>
      </c>
      <c r="Z5694" s="17" t="s">
        <v>191</v>
      </c>
      <c r="AA5694" s="17" t="s">
        <v>46</v>
      </c>
      <c r="AB5694" s="17" t="s">
        <v>1438</v>
      </c>
      <c r="AC5694" s="217">
        <v>45434</v>
      </c>
      <c r="AD5694" s="65">
        <v>1573</v>
      </c>
      <c r="AE5694" s="17" t="s">
        <v>48</v>
      </c>
    </row>
    <row r="5695" s="17" customFormat="1" hidden="1" spans="1:32">
      <c r="A5695" s="17" t="s">
        <v>34</v>
      </c>
      <c r="B5695" s="19">
        <v>1001</v>
      </c>
      <c r="C5695" s="183">
        <v>45401</v>
      </c>
      <c r="D5695" s="17" t="s">
        <v>52</v>
      </c>
      <c r="E5695" s="17" t="s">
        <v>1113</v>
      </c>
      <c r="F5695" s="17" t="s">
        <v>54</v>
      </c>
      <c r="H5695" s="141" t="s">
        <v>1370</v>
      </c>
      <c r="I5695" s="141"/>
      <c r="J5695" s="17" t="s">
        <v>49</v>
      </c>
      <c r="K5695" s="71">
        <v>2200</v>
      </c>
      <c r="L5695" s="71">
        <v>90</v>
      </c>
      <c r="M5695" s="17">
        <v>5000</v>
      </c>
      <c r="N5695" s="19" t="s">
        <v>40</v>
      </c>
      <c r="O5695" s="19" t="s">
        <v>141</v>
      </c>
      <c r="P5695" s="19">
        <v>7772</v>
      </c>
      <c r="Q5695" s="19">
        <v>8070</v>
      </c>
      <c r="R5695" s="19">
        <f t="shared" si="256"/>
        <v>-298</v>
      </c>
      <c r="S5695" s="19">
        <f t="shared" si="257"/>
        <v>625</v>
      </c>
      <c r="T5695" s="91" t="s">
        <v>42</v>
      </c>
      <c r="U5695" s="102" t="s">
        <v>1437</v>
      </c>
      <c r="V5695" s="186">
        <v>45402</v>
      </c>
      <c r="W5695" s="17" t="s">
        <v>69</v>
      </c>
      <c r="Y5695" s="68">
        <v>45413</v>
      </c>
      <c r="Z5695" s="17" t="s">
        <v>191</v>
      </c>
      <c r="AA5695" s="17" t="s">
        <v>46</v>
      </c>
      <c r="AB5695" s="17" t="s">
        <v>1438</v>
      </c>
      <c r="AC5695" s="217">
        <v>45434</v>
      </c>
      <c r="AD5695" s="65">
        <v>1573</v>
      </c>
      <c r="AE5695" s="17" t="s">
        <v>48</v>
      </c>
    </row>
    <row r="5696" s="17" customFormat="1" hidden="1" spans="1:32">
      <c r="A5696" s="17" t="s">
        <v>34</v>
      </c>
      <c r="B5696" s="19">
        <v>1001</v>
      </c>
      <c r="C5696" s="183">
        <v>45401</v>
      </c>
      <c r="D5696" s="17" t="s">
        <v>52</v>
      </c>
      <c r="E5696" s="17" t="s">
        <v>1113</v>
      </c>
      <c r="F5696" s="17" t="s">
        <v>54</v>
      </c>
      <c r="H5696" s="141" t="s">
        <v>1370</v>
      </c>
      <c r="I5696" s="141"/>
      <c r="J5696" s="17" t="s">
        <v>49</v>
      </c>
      <c r="K5696" s="71">
        <v>2200</v>
      </c>
      <c r="L5696" s="71">
        <v>95</v>
      </c>
      <c r="M5696" s="17">
        <v>5000</v>
      </c>
      <c r="N5696" s="19" t="s">
        <v>40</v>
      </c>
      <c r="O5696" s="19" t="s">
        <v>141</v>
      </c>
      <c r="P5696" s="19">
        <v>8203</v>
      </c>
      <c r="Q5696" s="19">
        <v>8400</v>
      </c>
      <c r="R5696" s="19">
        <f t="shared" si="256"/>
        <v>-197</v>
      </c>
      <c r="S5696" s="19">
        <f t="shared" si="257"/>
        <v>625</v>
      </c>
      <c r="T5696" s="91" t="s">
        <v>42</v>
      </c>
      <c r="U5696" s="102" t="s">
        <v>1437</v>
      </c>
      <c r="V5696" s="186">
        <v>45402</v>
      </c>
      <c r="W5696" s="17" t="s">
        <v>69</v>
      </c>
      <c r="Y5696" s="68">
        <v>45413</v>
      </c>
      <c r="Z5696" s="17" t="s">
        <v>191</v>
      </c>
      <c r="AA5696" s="17" t="s">
        <v>46</v>
      </c>
      <c r="AB5696" s="17" t="s">
        <v>1438</v>
      </c>
      <c r="AC5696" s="217">
        <v>45434</v>
      </c>
      <c r="AD5696" s="65">
        <v>1573</v>
      </c>
      <c r="AE5696" s="17" t="s">
        <v>48</v>
      </c>
    </row>
    <row r="5697" s="17" customFormat="1" hidden="1" spans="1:31">
      <c r="A5697" s="17" t="s">
        <v>34</v>
      </c>
      <c r="B5697" s="19">
        <v>1001</v>
      </c>
      <c r="C5697" s="183">
        <v>45401</v>
      </c>
      <c r="D5697" s="17" t="s">
        <v>52</v>
      </c>
      <c r="E5697" s="17" t="s">
        <v>1113</v>
      </c>
      <c r="F5697" s="17" t="s">
        <v>54</v>
      </c>
      <c r="H5697" s="141" t="s">
        <v>1370</v>
      </c>
      <c r="I5697" s="141"/>
      <c r="J5697" s="17" t="s">
        <v>49</v>
      </c>
      <c r="K5697" s="71">
        <v>2200</v>
      </c>
      <c r="L5697" s="71">
        <v>105</v>
      </c>
      <c r="M5697" s="17">
        <v>5000</v>
      </c>
      <c r="N5697" s="19" t="s">
        <v>40</v>
      </c>
      <c r="O5697" s="19" t="s">
        <v>141</v>
      </c>
      <c r="P5697" s="19">
        <v>9067</v>
      </c>
      <c r="Q5697" s="19">
        <v>9600</v>
      </c>
      <c r="R5697" s="19">
        <f t="shared" si="256"/>
        <v>-533</v>
      </c>
      <c r="S5697" s="19">
        <f>660-20</f>
        <v>640</v>
      </c>
      <c r="T5697" s="91" t="s">
        <v>42</v>
      </c>
      <c r="U5697" s="102" t="s">
        <v>1437</v>
      </c>
      <c r="V5697" s="186">
        <v>45402</v>
      </c>
      <c r="W5697" s="17" t="s">
        <v>69</v>
      </c>
      <c r="Y5697" s="68">
        <v>45413</v>
      </c>
      <c r="Z5697" s="17" t="s">
        <v>191</v>
      </c>
      <c r="AA5697" s="17" t="s">
        <v>46</v>
      </c>
      <c r="AB5697" s="17" t="s">
        <v>1438</v>
      </c>
      <c r="AC5697" s="217">
        <v>45434</v>
      </c>
      <c r="AD5697" s="65">
        <v>1573</v>
      </c>
      <c r="AE5697" s="17" t="s">
        <v>48</v>
      </c>
    </row>
    <row r="5698" s="17" customFormat="1" hidden="1" spans="1:31">
      <c r="A5698" s="17" t="s">
        <v>34</v>
      </c>
      <c r="B5698" s="19">
        <v>1002</v>
      </c>
      <c r="C5698" s="183">
        <v>45402</v>
      </c>
      <c r="D5698" s="17" t="s">
        <v>35</v>
      </c>
      <c r="E5698" s="17" t="s">
        <v>718</v>
      </c>
      <c r="F5698" s="17" t="s">
        <v>37</v>
      </c>
      <c r="H5698" s="141">
        <v>1.2344</v>
      </c>
      <c r="I5698" s="141"/>
      <c r="J5698" s="17" t="s">
        <v>39</v>
      </c>
      <c r="K5698" s="19">
        <v>85</v>
      </c>
      <c r="L5698" s="19"/>
      <c r="M5698" s="19"/>
      <c r="N5698" s="19" t="s">
        <v>40</v>
      </c>
      <c r="O5698" s="19" t="s">
        <v>84</v>
      </c>
      <c r="P5698" s="19">
        <v>1000</v>
      </c>
      <c r="Q5698" s="19">
        <v>712</v>
      </c>
      <c r="R5698" s="19">
        <f t="shared" si="256"/>
        <v>288</v>
      </c>
      <c r="S5698" s="19">
        <v>3500</v>
      </c>
      <c r="T5698" s="91" t="s">
        <v>42</v>
      </c>
      <c r="U5698" s="102" t="s">
        <v>1439</v>
      </c>
      <c r="V5698" s="186">
        <v>45406</v>
      </c>
      <c r="W5698" s="17" t="s">
        <v>44</v>
      </c>
      <c r="Y5698" s="68">
        <v>45566</v>
      </c>
      <c r="Z5698" s="17" t="s">
        <v>78</v>
      </c>
      <c r="AA5698" s="17" t="s">
        <v>46</v>
      </c>
      <c r="AB5698" s="17" t="s">
        <v>1440</v>
      </c>
      <c r="AC5698" s="217">
        <v>45622</v>
      </c>
      <c r="AD5698" s="65">
        <v>1642</v>
      </c>
      <c r="AE5698" s="17" t="s">
        <v>48</v>
      </c>
    </row>
    <row r="5699" s="17" customFormat="1" hidden="1" spans="1:31">
      <c r="A5699" s="17" t="s">
        <v>34</v>
      </c>
      <c r="B5699" s="19">
        <v>1002</v>
      </c>
      <c r="C5699" s="183">
        <v>45402</v>
      </c>
      <c r="D5699" s="17" t="s">
        <v>35</v>
      </c>
      <c r="E5699" s="17" t="s">
        <v>718</v>
      </c>
      <c r="F5699" s="17" t="s">
        <v>37</v>
      </c>
      <c r="H5699" s="141">
        <v>1.2344</v>
      </c>
      <c r="I5699" s="141"/>
      <c r="J5699" s="17" t="s">
        <v>39</v>
      </c>
      <c r="K5699" s="19">
        <v>132</v>
      </c>
      <c r="L5699" s="19"/>
      <c r="M5699" s="19"/>
      <c r="N5699" s="19" t="s">
        <v>40</v>
      </c>
      <c r="O5699" s="19" t="s">
        <v>84</v>
      </c>
      <c r="P5699" s="19">
        <v>2000</v>
      </c>
      <c r="Q5699" s="19">
        <v>1982</v>
      </c>
      <c r="R5699" s="19">
        <f t="shared" si="256"/>
        <v>18</v>
      </c>
      <c r="S5699" s="19">
        <v>3500</v>
      </c>
      <c r="T5699" s="91" t="s">
        <v>42</v>
      </c>
      <c r="U5699" s="102" t="s">
        <v>1439</v>
      </c>
      <c r="V5699" s="186">
        <v>45406</v>
      </c>
      <c r="W5699" s="17" t="s">
        <v>44</v>
      </c>
      <c r="Y5699" s="68">
        <v>45566</v>
      </c>
      <c r="Z5699" s="17" t="s">
        <v>78</v>
      </c>
      <c r="AA5699" s="17" t="s">
        <v>46</v>
      </c>
      <c r="AB5699" s="17" t="s">
        <v>1440</v>
      </c>
      <c r="AC5699" s="217">
        <v>45622</v>
      </c>
      <c r="AD5699" s="65">
        <v>1642</v>
      </c>
      <c r="AE5699" s="17" t="s">
        <v>48</v>
      </c>
    </row>
    <row r="5700" s="17" customFormat="1" hidden="1" spans="1:31">
      <c r="A5700" s="17" t="s">
        <v>34</v>
      </c>
      <c r="B5700" s="19">
        <v>1002</v>
      </c>
      <c r="C5700" s="183">
        <v>45402</v>
      </c>
      <c r="D5700" s="17" t="s">
        <v>35</v>
      </c>
      <c r="E5700" s="17" t="s">
        <v>718</v>
      </c>
      <c r="F5700" s="17" t="s">
        <v>37</v>
      </c>
      <c r="H5700" s="141">
        <v>1.2344</v>
      </c>
      <c r="I5700" s="141"/>
      <c r="J5700" s="17" t="s">
        <v>39</v>
      </c>
      <c r="K5700" s="19">
        <v>182</v>
      </c>
      <c r="L5700" s="19"/>
      <c r="M5700" s="19"/>
      <c r="N5700" s="19" t="s">
        <v>40</v>
      </c>
      <c r="O5700" s="19" t="s">
        <v>84</v>
      </c>
      <c r="P5700" s="19">
        <v>2000</v>
      </c>
      <c r="Q5700" s="19">
        <v>1008</v>
      </c>
      <c r="R5700" s="19">
        <f t="shared" si="256"/>
        <v>992</v>
      </c>
      <c r="S5700" s="19">
        <v>3700</v>
      </c>
      <c r="T5700" s="91" t="s">
        <v>42</v>
      </c>
      <c r="U5700" s="102" t="s">
        <v>1439</v>
      </c>
      <c r="V5700" s="186">
        <v>45406</v>
      </c>
      <c r="W5700" s="17" t="s">
        <v>44</v>
      </c>
      <c r="Y5700" s="68">
        <v>45566</v>
      </c>
      <c r="Z5700" s="17" t="s">
        <v>78</v>
      </c>
      <c r="AA5700" s="17" t="s">
        <v>46</v>
      </c>
      <c r="AB5700" s="17" t="s">
        <v>1440</v>
      </c>
      <c r="AC5700" s="217">
        <v>45622</v>
      </c>
      <c r="AD5700" s="65">
        <v>1642</v>
      </c>
      <c r="AE5700" s="17" t="s">
        <v>48</v>
      </c>
    </row>
    <row r="5701" s="17" customFormat="1" hidden="1" spans="1:31">
      <c r="A5701" s="17" t="s">
        <v>34</v>
      </c>
      <c r="B5701" s="19">
        <v>1002</v>
      </c>
      <c r="C5701" s="183">
        <v>45402</v>
      </c>
      <c r="D5701" s="17" t="s">
        <v>35</v>
      </c>
      <c r="E5701" s="17" t="s">
        <v>718</v>
      </c>
      <c r="F5701" s="17" t="s">
        <v>37</v>
      </c>
      <c r="H5701" s="141">
        <v>1.2344</v>
      </c>
      <c r="I5701" s="141"/>
      <c r="J5701" s="17" t="s">
        <v>39</v>
      </c>
      <c r="K5701" s="19">
        <v>192</v>
      </c>
      <c r="L5701" s="19"/>
      <c r="M5701" s="19"/>
      <c r="N5701" s="19" t="s">
        <v>40</v>
      </c>
      <c r="O5701" s="19" t="s">
        <v>84</v>
      </c>
      <c r="P5701" s="19">
        <v>2000</v>
      </c>
      <c r="Q5701" s="19">
        <v>1874</v>
      </c>
      <c r="R5701" s="19">
        <f t="shared" si="256"/>
        <v>126</v>
      </c>
      <c r="S5701" s="19">
        <v>3700</v>
      </c>
      <c r="T5701" s="91" t="s">
        <v>42</v>
      </c>
      <c r="U5701" s="102" t="s">
        <v>1439</v>
      </c>
      <c r="V5701" s="186">
        <v>45406</v>
      </c>
      <c r="W5701" s="17" t="s">
        <v>44</v>
      </c>
      <c r="Y5701" s="68">
        <v>45566</v>
      </c>
      <c r="Z5701" s="17" t="s">
        <v>78</v>
      </c>
      <c r="AA5701" s="17" t="s">
        <v>46</v>
      </c>
      <c r="AB5701" s="17" t="s">
        <v>1440</v>
      </c>
      <c r="AC5701" s="217">
        <v>45622</v>
      </c>
      <c r="AD5701" s="65">
        <v>1642</v>
      </c>
      <c r="AE5701" s="17" t="s">
        <v>48</v>
      </c>
    </row>
    <row r="5702" s="17" customFormat="1" hidden="1" spans="1:31">
      <c r="A5702" s="17" t="s">
        <v>34</v>
      </c>
      <c r="B5702" s="19">
        <v>1002</v>
      </c>
      <c r="C5702" s="183">
        <v>45402</v>
      </c>
      <c r="D5702" s="17" t="s">
        <v>35</v>
      </c>
      <c r="E5702" s="17" t="s">
        <v>718</v>
      </c>
      <c r="F5702" s="17" t="s">
        <v>37</v>
      </c>
      <c r="H5702" s="141">
        <v>1.2344</v>
      </c>
      <c r="I5702" s="141"/>
      <c r="J5702" s="17" t="s">
        <v>39</v>
      </c>
      <c r="K5702" s="19">
        <v>222</v>
      </c>
      <c r="L5702" s="19"/>
      <c r="M5702" s="19"/>
      <c r="N5702" s="19" t="s">
        <v>40</v>
      </c>
      <c r="O5702" s="19" t="s">
        <v>50</v>
      </c>
      <c r="P5702" s="19">
        <v>2000</v>
      </c>
      <c r="Q5702" s="19">
        <v>1880</v>
      </c>
      <c r="R5702" s="19">
        <f t="shared" si="256"/>
        <v>120</v>
      </c>
      <c r="S5702" s="19">
        <v>3700</v>
      </c>
      <c r="T5702" s="91" t="s">
        <v>42</v>
      </c>
      <c r="U5702" s="102" t="s">
        <v>1439</v>
      </c>
      <c r="V5702" s="186">
        <v>45406</v>
      </c>
      <c r="W5702" s="17" t="s">
        <v>44</v>
      </c>
      <c r="Y5702" s="68">
        <v>45566</v>
      </c>
      <c r="Z5702" s="17" t="s">
        <v>78</v>
      </c>
      <c r="AA5702" s="17" t="s">
        <v>46</v>
      </c>
      <c r="AB5702" s="17" t="s">
        <v>1440</v>
      </c>
      <c r="AC5702" s="217">
        <v>45622</v>
      </c>
      <c r="AD5702" s="65">
        <v>1642</v>
      </c>
      <c r="AE5702" s="17" t="s">
        <v>48</v>
      </c>
    </row>
    <row r="5703" s="17" customFormat="1" hidden="1" spans="1:31">
      <c r="A5703" s="17" t="s">
        <v>34</v>
      </c>
      <c r="B5703" s="19">
        <v>1002</v>
      </c>
      <c r="C5703" s="183">
        <v>45402</v>
      </c>
      <c r="D5703" s="17" t="s">
        <v>35</v>
      </c>
      <c r="E5703" s="17" t="s">
        <v>718</v>
      </c>
      <c r="F5703" s="17" t="s">
        <v>37</v>
      </c>
      <c r="H5703" s="141">
        <v>1.2344</v>
      </c>
      <c r="I5703" s="141"/>
      <c r="J5703" s="17" t="s">
        <v>39</v>
      </c>
      <c r="K5703" s="19">
        <v>282</v>
      </c>
      <c r="L5703" s="19"/>
      <c r="M5703" s="19"/>
      <c r="N5703" s="19" t="s">
        <v>40</v>
      </c>
      <c r="O5703" s="19" t="s">
        <v>50</v>
      </c>
      <c r="P5703" s="19">
        <v>4000</v>
      </c>
      <c r="Q5703" s="19">
        <v>3356</v>
      </c>
      <c r="R5703" s="19">
        <f t="shared" si="256"/>
        <v>644</v>
      </c>
      <c r="S5703" s="19">
        <v>3500</v>
      </c>
      <c r="T5703" s="91" t="s">
        <v>42</v>
      </c>
      <c r="U5703" s="102" t="s">
        <v>1439</v>
      </c>
      <c r="V5703" s="186">
        <v>45406</v>
      </c>
      <c r="W5703" s="17" t="s">
        <v>44</v>
      </c>
      <c r="Y5703" s="68">
        <v>45566</v>
      </c>
      <c r="Z5703" s="17" t="s">
        <v>78</v>
      </c>
      <c r="AA5703" s="17" t="s">
        <v>46</v>
      </c>
      <c r="AB5703" s="17" t="s">
        <v>1440</v>
      </c>
      <c r="AC5703" s="217">
        <v>45622</v>
      </c>
      <c r="AD5703" s="65">
        <v>1642</v>
      </c>
      <c r="AE5703" s="17" t="s">
        <v>48</v>
      </c>
    </row>
    <row r="5704" s="17" customFormat="1" hidden="1" spans="1:31">
      <c r="A5704" s="17" t="s">
        <v>34</v>
      </c>
      <c r="B5704" s="19">
        <v>1002</v>
      </c>
      <c r="C5704" s="183">
        <v>45402</v>
      </c>
      <c r="D5704" s="17" t="s">
        <v>35</v>
      </c>
      <c r="E5704" s="17" t="s">
        <v>718</v>
      </c>
      <c r="F5704" s="17" t="s">
        <v>37</v>
      </c>
      <c r="H5704" s="141">
        <v>1.2344</v>
      </c>
      <c r="I5704" s="141"/>
      <c r="J5704" s="17" t="s">
        <v>39</v>
      </c>
      <c r="K5704" s="19">
        <v>333</v>
      </c>
      <c r="L5704" s="19"/>
      <c r="M5704" s="19"/>
      <c r="N5704" s="19" t="s">
        <v>40</v>
      </c>
      <c r="O5704" s="19" t="s">
        <v>50</v>
      </c>
      <c r="P5704" s="19">
        <v>4000</v>
      </c>
      <c r="Q5704" s="19">
        <v>3880</v>
      </c>
      <c r="R5704" s="19">
        <f t="shared" si="256"/>
        <v>120</v>
      </c>
      <c r="S5704" s="19">
        <v>3500</v>
      </c>
      <c r="T5704" s="91" t="s">
        <v>42</v>
      </c>
      <c r="U5704" s="102" t="s">
        <v>1439</v>
      </c>
      <c r="V5704" s="186">
        <v>45406</v>
      </c>
      <c r="W5704" s="17" t="s">
        <v>44</v>
      </c>
      <c r="Y5704" s="68">
        <v>45566</v>
      </c>
      <c r="Z5704" s="17" t="s">
        <v>78</v>
      </c>
      <c r="AA5704" s="17" t="s">
        <v>46</v>
      </c>
      <c r="AB5704" s="17" t="s">
        <v>1440</v>
      </c>
      <c r="AC5704" s="217">
        <v>45622</v>
      </c>
      <c r="AD5704" s="65">
        <v>1642</v>
      </c>
      <c r="AE5704" s="17" t="s">
        <v>48</v>
      </c>
    </row>
    <row r="5705" s="17" customFormat="1" hidden="1" spans="1:31">
      <c r="A5705" s="17" t="s">
        <v>34</v>
      </c>
      <c r="B5705" s="19">
        <v>1002</v>
      </c>
      <c r="C5705" s="183">
        <v>45402</v>
      </c>
      <c r="D5705" s="17" t="s">
        <v>35</v>
      </c>
      <c r="E5705" s="17" t="s">
        <v>718</v>
      </c>
      <c r="F5705" s="17" t="s">
        <v>37</v>
      </c>
      <c r="H5705" s="141" t="s">
        <v>197</v>
      </c>
      <c r="I5705" s="141"/>
      <c r="J5705" s="17" t="s">
        <v>39</v>
      </c>
      <c r="K5705" s="19">
        <v>172</v>
      </c>
      <c r="L5705" s="19"/>
      <c r="M5705" s="19"/>
      <c r="N5705" s="19" t="s">
        <v>40</v>
      </c>
      <c r="O5705" s="19" t="s">
        <v>84</v>
      </c>
      <c r="P5705" s="19">
        <v>2000</v>
      </c>
      <c r="Q5705" s="147">
        <v>1840</v>
      </c>
      <c r="R5705" s="19">
        <f t="shared" si="256"/>
        <v>160</v>
      </c>
      <c r="S5705" s="19">
        <v>5875</v>
      </c>
      <c r="T5705" s="91" t="s">
        <v>42</v>
      </c>
      <c r="U5705" s="102" t="s">
        <v>1439</v>
      </c>
      <c r="V5705" s="186">
        <v>45406</v>
      </c>
      <c r="W5705" s="17" t="s">
        <v>44</v>
      </c>
      <c r="Y5705" s="68">
        <v>45566</v>
      </c>
      <c r="Z5705" s="17" t="s">
        <v>78</v>
      </c>
      <c r="AA5705" s="17" t="s">
        <v>46</v>
      </c>
      <c r="AB5705" s="17" t="s">
        <v>1440</v>
      </c>
      <c r="AC5705" s="217">
        <v>45622</v>
      </c>
      <c r="AD5705" s="65">
        <v>1642</v>
      </c>
      <c r="AE5705" s="17" t="s">
        <v>48</v>
      </c>
    </row>
    <row r="5706" s="17" customFormat="1" hidden="1" spans="1:31">
      <c r="A5706" s="17" t="s">
        <v>34</v>
      </c>
      <c r="B5706" s="19">
        <v>1003</v>
      </c>
      <c r="C5706" s="183">
        <v>45410</v>
      </c>
      <c r="D5706" s="17" t="s">
        <v>109</v>
      </c>
      <c r="E5706" s="17" t="s">
        <v>110</v>
      </c>
      <c r="F5706" s="17" t="s">
        <v>72</v>
      </c>
      <c r="H5706" s="141">
        <v>1.2379</v>
      </c>
      <c r="I5706" s="141"/>
      <c r="J5706" s="17" t="s">
        <v>82</v>
      </c>
      <c r="K5706" s="19">
        <v>610</v>
      </c>
      <c r="L5706" s="19">
        <v>20</v>
      </c>
      <c r="M5706" s="19">
        <v>5800</v>
      </c>
      <c r="N5706" s="19" t="s">
        <v>40</v>
      </c>
      <c r="O5706" s="19" t="s">
        <v>141</v>
      </c>
      <c r="P5706" s="19">
        <v>1500</v>
      </c>
      <c r="Q5706" s="19">
        <v>2234</v>
      </c>
      <c r="R5706" s="19">
        <f t="shared" si="256"/>
        <v>-734</v>
      </c>
      <c r="S5706" s="175">
        <v>2650</v>
      </c>
      <c r="T5706" s="91" t="s">
        <v>42</v>
      </c>
      <c r="U5706" s="102" t="s">
        <v>1441</v>
      </c>
      <c r="V5706" s="186">
        <v>45410</v>
      </c>
      <c r="W5706" s="17" t="s">
        <v>69</v>
      </c>
      <c r="Y5706" s="68">
        <v>45474</v>
      </c>
      <c r="Z5706" s="17" t="s">
        <v>1442</v>
      </c>
      <c r="AA5706" s="17" t="s">
        <v>46</v>
      </c>
      <c r="AB5706" s="17" t="s">
        <v>1443</v>
      </c>
      <c r="AC5706" s="217">
        <v>45498</v>
      </c>
      <c r="AD5706" s="65">
        <v>1609</v>
      </c>
      <c r="AE5706" s="17" t="s">
        <v>48</v>
      </c>
    </row>
    <row r="5707" s="17" customFormat="1" hidden="1" spans="1:31">
      <c r="A5707" s="17" t="s">
        <v>34</v>
      </c>
      <c r="B5707" s="19">
        <v>1003</v>
      </c>
      <c r="C5707" s="183">
        <v>45410</v>
      </c>
      <c r="D5707" s="17" t="s">
        <v>109</v>
      </c>
      <c r="E5707" s="17" t="s">
        <v>110</v>
      </c>
      <c r="F5707" s="17" t="s">
        <v>72</v>
      </c>
      <c r="H5707" s="141">
        <v>1.2379</v>
      </c>
      <c r="I5707" s="141"/>
      <c r="J5707" s="17" t="s">
        <v>82</v>
      </c>
      <c r="K5707" s="19">
        <v>610</v>
      </c>
      <c r="L5707" s="19">
        <v>26</v>
      </c>
      <c r="M5707" s="19">
        <v>5800</v>
      </c>
      <c r="N5707" s="19" t="s">
        <v>40</v>
      </c>
      <c r="O5707" s="19" t="s">
        <v>141</v>
      </c>
      <c r="P5707" s="19">
        <v>1500</v>
      </c>
      <c r="Q5707" s="19">
        <v>1890</v>
      </c>
      <c r="R5707" s="19">
        <f t="shared" si="256"/>
        <v>-390</v>
      </c>
      <c r="S5707" s="19">
        <v>2650</v>
      </c>
      <c r="T5707" s="91" t="s">
        <v>42</v>
      </c>
      <c r="U5707" s="102" t="s">
        <v>1441</v>
      </c>
      <c r="V5707" s="186">
        <v>45410</v>
      </c>
      <c r="W5707" s="17" t="s">
        <v>69</v>
      </c>
      <c r="Y5707" s="68">
        <v>45474</v>
      </c>
      <c r="Z5707" s="17" t="s">
        <v>1442</v>
      </c>
      <c r="AA5707" s="17" t="s">
        <v>46</v>
      </c>
      <c r="AB5707" s="17" t="s">
        <v>1443</v>
      </c>
      <c r="AC5707" s="217">
        <v>45498</v>
      </c>
      <c r="AD5707" s="65">
        <v>1609</v>
      </c>
      <c r="AE5707" s="17" t="s">
        <v>48</v>
      </c>
    </row>
    <row r="5708" s="17" customFormat="1" hidden="1" spans="1:31">
      <c r="A5708" s="17" t="s">
        <v>34</v>
      </c>
      <c r="B5708" s="19">
        <v>1003</v>
      </c>
      <c r="C5708" s="183">
        <v>45410</v>
      </c>
      <c r="D5708" s="17" t="s">
        <v>109</v>
      </c>
      <c r="E5708" s="17" t="s">
        <v>110</v>
      </c>
      <c r="F5708" s="17" t="s">
        <v>72</v>
      </c>
      <c r="H5708" s="141">
        <v>1.2379</v>
      </c>
      <c r="I5708" s="141"/>
      <c r="J5708" s="17" t="s">
        <v>82</v>
      </c>
      <c r="K5708" s="19">
        <v>610</v>
      </c>
      <c r="L5708" s="19">
        <v>32</v>
      </c>
      <c r="M5708" s="19">
        <v>5800</v>
      </c>
      <c r="N5708" s="19" t="s">
        <v>40</v>
      </c>
      <c r="O5708" s="19" t="s">
        <v>141</v>
      </c>
      <c r="P5708" s="19">
        <v>1500</v>
      </c>
      <c r="Q5708" s="19">
        <v>2608</v>
      </c>
      <c r="R5708" s="19">
        <f t="shared" si="256"/>
        <v>-1108</v>
      </c>
      <c r="S5708" s="19">
        <v>2650</v>
      </c>
      <c r="T5708" s="91" t="s">
        <v>42</v>
      </c>
      <c r="U5708" s="102" t="s">
        <v>1441</v>
      </c>
      <c r="V5708" s="186">
        <v>45410</v>
      </c>
      <c r="W5708" s="17" t="s">
        <v>69</v>
      </c>
      <c r="Y5708" s="68">
        <v>45474</v>
      </c>
      <c r="Z5708" s="17" t="s">
        <v>1442</v>
      </c>
      <c r="AA5708" s="17" t="s">
        <v>46</v>
      </c>
      <c r="AB5708" s="17" t="s">
        <v>1443</v>
      </c>
      <c r="AC5708" s="217">
        <v>45498</v>
      </c>
      <c r="AD5708" s="65">
        <v>1609</v>
      </c>
      <c r="AE5708" s="17" t="s">
        <v>48</v>
      </c>
    </row>
    <row r="5709" s="17" customFormat="1" hidden="1" spans="1:31">
      <c r="A5709" s="17" t="s">
        <v>34</v>
      </c>
      <c r="B5709" s="19">
        <v>1003</v>
      </c>
      <c r="C5709" s="183">
        <v>45410</v>
      </c>
      <c r="D5709" s="17" t="s">
        <v>109</v>
      </c>
      <c r="E5709" s="17" t="s">
        <v>110</v>
      </c>
      <c r="F5709" s="17" t="s">
        <v>72</v>
      </c>
      <c r="H5709" s="141">
        <v>1.2379</v>
      </c>
      <c r="I5709" s="141"/>
      <c r="J5709" s="17" t="s">
        <v>82</v>
      </c>
      <c r="K5709" s="19">
        <v>610</v>
      </c>
      <c r="L5709" s="19">
        <v>40</v>
      </c>
      <c r="M5709" s="19">
        <v>5800</v>
      </c>
      <c r="N5709" s="19" t="s">
        <v>40</v>
      </c>
      <c r="O5709" s="19" t="s">
        <v>141</v>
      </c>
      <c r="P5709" s="19">
        <v>1500</v>
      </c>
      <c r="Q5709" s="19">
        <v>2404</v>
      </c>
      <c r="R5709" s="19">
        <f t="shared" si="256"/>
        <v>-904</v>
      </c>
      <c r="S5709" s="19">
        <v>2650</v>
      </c>
      <c r="T5709" s="91" t="s">
        <v>42</v>
      </c>
      <c r="U5709" s="102" t="s">
        <v>1441</v>
      </c>
      <c r="V5709" s="186">
        <v>45410</v>
      </c>
      <c r="W5709" s="17" t="s">
        <v>69</v>
      </c>
      <c r="Y5709" s="68">
        <v>45474</v>
      </c>
      <c r="Z5709" s="17" t="s">
        <v>1442</v>
      </c>
      <c r="AA5709" s="17" t="s">
        <v>46</v>
      </c>
      <c r="AB5709" s="17" t="s">
        <v>1443</v>
      </c>
      <c r="AC5709" s="217">
        <v>45498</v>
      </c>
      <c r="AD5709" s="65">
        <v>1609</v>
      </c>
      <c r="AE5709" s="17" t="s">
        <v>48</v>
      </c>
    </row>
    <row r="5710" s="17" customFormat="1" hidden="1" spans="1:31">
      <c r="A5710" s="17" t="s">
        <v>34</v>
      </c>
      <c r="B5710" s="19">
        <v>1003</v>
      </c>
      <c r="C5710" s="183">
        <v>45410</v>
      </c>
      <c r="D5710" s="17" t="s">
        <v>109</v>
      </c>
      <c r="E5710" s="17" t="s">
        <v>110</v>
      </c>
      <c r="F5710" s="17" t="s">
        <v>72</v>
      </c>
      <c r="H5710" s="141">
        <v>1.2379</v>
      </c>
      <c r="I5710" s="141"/>
      <c r="J5710" s="17" t="s">
        <v>82</v>
      </c>
      <c r="K5710" s="19">
        <v>610</v>
      </c>
      <c r="L5710" s="19">
        <v>45</v>
      </c>
      <c r="M5710" s="19">
        <v>5800</v>
      </c>
      <c r="N5710" s="19" t="s">
        <v>40</v>
      </c>
      <c r="O5710" s="19" t="s">
        <v>141</v>
      </c>
      <c r="P5710" s="19">
        <v>1500</v>
      </c>
      <c r="Q5710" s="19">
        <v>1610</v>
      </c>
      <c r="R5710" s="19">
        <f t="shared" si="256"/>
        <v>-110</v>
      </c>
      <c r="S5710" s="19">
        <v>2650</v>
      </c>
      <c r="T5710" s="91" t="s">
        <v>42</v>
      </c>
      <c r="U5710" s="102" t="s">
        <v>1441</v>
      </c>
      <c r="V5710" s="186">
        <v>45410</v>
      </c>
      <c r="W5710" s="17" t="s">
        <v>69</v>
      </c>
      <c r="Y5710" s="68">
        <v>45474</v>
      </c>
      <c r="Z5710" s="17" t="s">
        <v>1442</v>
      </c>
      <c r="AA5710" s="17" t="s">
        <v>46</v>
      </c>
      <c r="AB5710" s="17" t="s">
        <v>1443</v>
      </c>
      <c r="AC5710" s="217">
        <v>45498</v>
      </c>
      <c r="AD5710" s="65">
        <v>1609</v>
      </c>
      <c r="AE5710" s="17" t="s">
        <v>48</v>
      </c>
    </row>
    <row r="5711" s="17" customFormat="1" hidden="1" spans="1:31">
      <c r="A5711" s="17" t="s">
        <v>34</v>
      </c>
      <c r="B5711" s="19">
        <v>1003</v>
      </c>
      <c r="C5711" s="183">
        <v>45410</v>
      </c>
      <c r="D5711" s="17" t="s">
        <v>109</v>
      </c>
      <c r="E5711" s="17" t="s">
        <v>110</v>
      </c>
      <c r="F5711" s="17" t="s">
        <v>72</v>
      </c>
      <c r="H5711" s="141">
        <v>1.2379</v>
      </c>
      <c r="I5711" s="141"/>
      <c r="J5711" s="17" t="s">
        <v>82</v>
      </c>
      <c r="K5711" s="19">
        <v>610</v>
      </c>
      <c r="L5711" s="19">
        <v>50</v>
      </c>
      <c r="M5711" s="19">
        <v>5800</v>
      </c>
      <c r="N5711" s="19" t="s">
        <v>40</v>
      </c>
      <c r="O5711" s="19" t="s">
        <v>141</v>
      </c>
      <c r="P5711" s="19">
        <v>1500</v>
      </c>
      <c r="Q5711" s="19">
        <v>1034</v>
      </c>
      <c r="R5711" s="19">
        <f t="shared" si="256"/>
        <v>466</v>
      </c>
      <c r="S5711" s="19">
        <v>2650</v>
      </c>
      <c r="T5711" s="91" t="s">
        <v>42</v>
      </c>
      <c r="U5711" s="102" t="s">
        <v>1441</v>
      </c>
      <c r="V5711" s="186">
        <v>45410</v>
      </c>
      <c r="W5711" s="17" t="s">
        <v>69</v>
      </c>
      <c r="Y5711" s="68">
        <v>45474</v>
      </c>
      <c r="Z5711" s="17" t="s">
        <v>1442</v>
      </c>
      <c r="AA5711" s="17" t="s">
        <v>46</v>
      </c>
      <c r="AB5711" s="17" t="s">
        <v>1443</v>
      </c>
      <c r="AC5711" s="217">
        <v>45498</v>
      </c>
      <c r="AD5711" s="65">
        <v>1609</v>
      </c>
      <c r="AE5711" s="17" t="s">
        <v>48</v>
      </c>
    </row>
    <row r="5712" s="17" customFormat="1" hidden="1" spans="1:31">
      <c r="A5712" s="17" t="s">
        <v>34</v>
      </c>
      <c r="B5712" s="19">
        <v>1003</v>
      </c>
      <c r="C5712" s="183">
        <v>45410</v>
      </c>
      <c r="D5712" s="17" t="s">
        <v>109</v>
      </c>
      <c r="E5712" s="17" t="s">
        <v>110</v>
      </c>
      <c r="F5712" s="17" t="s">
        <v>72</v>
      </c>
      <c r="H5712" s="141">
        <v>1.2379</v>
      </c>
      <c r="I5712" s="141"/>
      <c r="J5712" s="17" t="s">
        <v>82</v>
      </c>
      <c r="K5712" s="19">
        <v>610</v>
      </c>
      <c r="L5712" s="19">
        <v>60</v>
      </c>
      <c r="M5712" s="19">
        <v>5800</v>
      </c>
      <c r="N5712" s="19" t="s">
        <v>40</v>
      </c>
      <c r="O5712" s="19" t="s">
        <v>141</v>
      </c>
      <c r="P5712" s="19">
        <v>3000</v>
      </c>
      <c r="Q5712" s="19">
        <v>2772</v>
      </c>
      <c r="R5712" s="19">
        <f t="shared" si="256"/>
        <v>228</v>
      </c>
      <c r="S5712" s="19">
        <v>2650</v>
      </c>
      <c r="T5712" s="91" t="s">
        <v>42</v>
      </c>
      <c r="U5712" s="102" t="s">
        <v>1441</v>
      </c>
      <c r="V5712" s="186">
        <v>45410</v>
      </c>
      <c r="W5712" s="17" t="s">
        <v>69</v>
      </c>
      <c r="Y5712" s="68">
        <v>45474</v>
      </c>
      <c r="Z5712" s="17" t="s">
        <v>1442</v>
      </c>
      <c r="AA5712" s="17" t="s">
        <v>46</v>
      </c>
      <c r="AB5712" s="17" t="s">
        <v>1443</v>
      </c>
      <c r="AC5712" s="217">
        <v>45498</v>
      </c>
      <c r="AD5712" s="65">
        <v>1609</v>
      </c>
      <c r="AE5712" s="17" t="s">
        <v>48</v>
      </c>
    </row>
    <row r="5713" s="17" customFormat="1" hidden="1" spans="1:32">
      <c r="A5713" s="17" t="s">
        <v>34</v>
      </c>
      <c r="B5713" s="19">
        <v>1003</v>
      </c>
      <c r="C5713" s="183">
        <v>45410</v>
      </c>
      <c r="D5713" s="17" t="s">
        <v>109</v>
      </c>
      <c r="E5713" s="17" t="s">
        <v>110</v>
      </c>
      <c r="F5713" s="17" t="s">
        <v>72</v>
      </c>
      <c r="H5713" s="141">
        <v>1.2379</v>
      </c>
      <c r="I5713" s="141"/>
      <c r="J5713" s="17" t="s">
        <v>82</v>
      </c>
      <c r="K5713" s="19">
        <v>610</v>
      </c>
      <c r="L5713" s="19">
        <v>65</v>
      </c>
      <c r="M5713" s="19">
        <v>5800</v>
      </c>
      <c r="N5713" s="19" t="s">
        <v>40</v>
      </c>
      <c r="O5713" s="19" t="s">
        <v>141</v>
      </c>
      <c r="P5713" s="19">
        <v>3000</v>
      </c>
      <c r="Q5713" s="19">
        <v>2608</v>
      </c>
      <c r="R5713" s="19">
        <f t="shared" si="256"/>
        <v>392</v>
      </c>
      <c r="S5713" s="19">
        <v>2650</v>
      </c>
      <c r="T5713" s="91" t="s">
        <v>42</v>
      </c>
      <c r="U5713" s="102" t="s">
        <v>1441</v>
      </c>
      <c r="V5713" s="186">
        <v>45410</v>
      </c>
      <c r="W5713" s="17" t="s">
        <v>69</v>
      </c>
      <c r="Y5713" s="68">
        <v>45474</v>
      </c>
      <c r="Z5713" s="17" t="s">
        <v>1442</v>
      </c>
      <c r="AA5713" s="17" t="s">
        <v>46</v>
      </c>
      <c r="AB5713" s="17" t="s">
        <v>1443</v>
      </c>
      <c r="AC5713" s="217">
        <v>45498</v>
      </c>
      <c r="AD5713" s="65">
        <v>1609</v>
      </c>
      <c r="AE5713" s="17" t="s">
        <v>48</v>
      </c>
    </row>
    <row r="5714" s="17" customFormat="1" hidden="1" spans="1:32">
      <c r="A5714" s="17" t="s">
        <v>34</v>
      </c>
      <c r="B5714" s="19">
        <v>1003</v>
      </c>
      <c r="C5714" s="183">
        <v>45410</v>
      </c>
      <c r="D5714" s="17" t="s">
        <v>109</v>
      </c>
      <c r="E5714" s="17" t="s">
        <v>110</v>
      </c>
      <c r="F5714" s="17" t="s">
        <v>72</v>
      </c>
      <c r="H5714" s="141">
        <v>1.2379</v>
      </c>
      <c r="I5714" s="141"/>
      <c r="J5714" s="17" t="s">
        <v>82</v>
      </c>
      <c r="K5714" s="19">
        <v>610</v>
      </c>
      <c r="L5714" s="19">
        <v>80</v>
      </c>
      <c r="M5714" s="19">
        <v>5800</v>
      </c>
      <c r="N5714" s="19" t="s">
        <v>40</v>
      </c>
      <c r="O5714" s="19" t="s">
        <v>141</v>
      </c>
      <c r="P5714" s="19">
        <v>3000</v>
      </c>
      <c r="Q5714" s="19">
        <v>1194</v>
      </c>
      <c r="S5714" s="19">
        <v>2650</v>
      </c>
      <c r="T5714" s="91" t="s">
        <v>42</v>
      </c>
      <c r="U5714" s="102" t="s">
        <v>1441</v>
      </c>
      <c r="V5714" s="186">
        <v>45410</v>
      </c>
      <c r="W5714" s="17" t="s">
        <v>69</v>
      </c>
      <c r="Y5714" s="68">
        <v>45474</v>
      </c>
      <c r="Z5714" s="17" t="s">
        <v>1442</v>
      </c>
      <c r="AA5714" s="17" t="s">
        <v>46</v>
      </c>
      <c r="AB5714" s="17" t="s">
        <v>1443</v>
      </c>
      <c r="AC5714" s="217">
        <v>45498</v>
      </c>
      <c r="AD5714" s="65">
        <v>1609</v>
      </c>
      <c r="AE5714" s="17" t="s">
        <v>48</v>
      </c>
    </row>
    <row r="5715" s="17" customFormat="1" hidden="1" spans="1:32">
      <c r="A5715" s="17" t="s">
        <v>34</v>
      </c>
      <c r="B5715" s="19">
        <v>1003</v>
      </c>
      <c r="C5715" s="183">
        <v>45410</v>
      </c>
      <c r="D5715" s="17" t="s">
        <v>109</v>
      </c>
      <c r="E5715" s="17" t="s">
        <v>110</v>
      </c>
      <c r="F5715" s="17" t="s">
        <v>72</v>
      </c>
      <c r="H5715" s="141">
        <v>1.2379</v>
      </c>
      <c r="I5715" s="141"/>
      <c r="J5715" s="17" t="s">
        <v>82</v>
      </c>
      <c r="K5715" s="19">
        <v>610</v>
      </c>
      <c r="L5715" s="19">
        <v>80</v>
      </c>
      <c r="M5715" s="19">
        <v>5800</v>
      </c>
      <c r="N5715" s="19" t="s">
        <v>40</v>
      </c>
      <c r="O5715" s="19" t="s">
        <v>141</v>
      </c>
      <c r="P5715" s="19"/>
      <c r="Q5715" s="19">
        <v>1132</v>
      </c>
      <c r="R5715" s="19">
        <f>+P5714-Q5714-Q5715</f>
        <v>674</v>
      </c>
      <c r="S5715" s="19">
        <v>2650</v>
      </c>
      <c r="T5715" s="91" t="s">
        <v>42</v>
      </c>
      <c r="U5715" s="102" t="s">
        <v>1441</v>
      </c>
      <c r="V5715" s="186">
        <v>45410</v>
      </c>
      <c r="W5715" s="17" t="s">
        <v>69</v>
      </c>
      <c r="Y5715" s="68">
        <v>45474</v>
      </c>
      <c r="Z5715" s="17" t="s">
        <v>1442</v>
      </c>
      <c r="AA5715" s="17" t="s">
        <v>46</v>
      </c>
      <c r="AB5715" s="17" t="s">
        <v>1444</v>
      </c>
      <c r="AC5715" s="217">
        <v>45593</v>
      </c>
      <c r="AD5715" s="65">
        <v>1643</v>
      </c>
      <c r="AE5715" s="17" t="s">
        <v>48</v>
      </c>
    </row>
    <row r="5716" s="17" customFormat="1" hidden="1" spans="1:32">
      <c r="A5716" s="17" t="s">
        <v>34</v>
      </c>
      <c r="B5716" s="19">
        <v>1003</v>
      </c>
      <c r="C5716" s="183">
        <v>45410</v>
      </c>
      <c r="D5716" s="17" t="s">
        <v>109</v>
      </c>
      <c r="E5716" s="17" t="s">
        <v>110</v>
      </c>
      <c r="F5716" s="17" t="s">
        <v>72</v>
      </c>
      <c r="H5716" s="141">
        <v>1.2379</v>
      </c>
      <c r="I5716" s="141"/>
      <c r="J5716" s="17" t="s">
        <v>82</v>
      </c>
      <c r="K5716" s="19">
        <v>610</v>
      </c>
      <c r="L5716" s="19">
        <v>105</v>
      </c>
      <c r="M5716" s="19">
        <v>5800</v>
      </c>
      <c r="N5716" s="19" t="s">
        <v>40</v>
      </c>
      <c r="O5716" s="19" t="s">
        <v>141</v>
      </c>
      <c r="P5716" s="19">
        <v>3000</v>
      </c>
      <c r="Q5716" s="19">
        <v>3126</v>
      </c>
      <c r="R5716" s="19">
        <f t="shared" ref="R5716:R5763" si="258">+P5716-Q5716</f>
        <v>-126</v>
      </c>
      <c r="S5716" s="19">
        <v>2650</v>
      </c>
      <c r="T5716" s="91" t="s">
        <v>42</v>
      </c>
      <c r="U5716" s="102" t="s">
        <v>1441</v>
      </c>
      <c r="V5716" s="186">
        <v>45410</v>
      </c>
      <c r="W5716" s="17" t="s">
        <v>69</v>
      </c>
      <c r="Y5716" s="68">
        <v>45474</v>
      </c>
      <c r="Z5716" s="17" t="s">
        <v>1442</v>
      </c>
      <c r="AA5716" s="17" t="s">
        <v>46</v>
      </c>
      <c r="AB5716" s="17" t="s">
        <v>1443</v>
      </c>
      <c r="AC5716" s="217">
        <v>45498</v>
      </c>
      <c r="AD5716" s="65">
        <v>1609</v>
      </c>
      <c r="AE5716" s="17" t="s">
        <v>48</v>
      </c>
    </row>
    <row r="5717" s="17" customFormat="1" hidden="1" spans="1:32">
      <c r="A5717" s="17" t="s">
        <v>34</v>
      </c>
      <c r="B5717" s="19">
        <v>1003</v>
      </c>
      <c r="C5717" s="183">
        <v>45410</v>
      </c>
      <c r="D5717" s="17" t="s">
        <v>109</v>
      </c>
      <c r="E5717" s="17" t="s">
        <v>110</v>
      </c>
      <c r="F5717" s="17" t="s">
        <v>72</v>
      </c>
      <c r="H5717" s="141">
        <v>1.2379</v>
      </c>
      <c r="I5717" s="141"/>
      <c r="J5717" s="17" t="s">
        <v>82</v>
      </c>
      <c r="K5717" s="19">
        <v>610</v>
      </c>
      <c r="L5717" s="19">
        <v>120</v>
      </c>
      <c r="M5717" s="19">
        <v>5800</v>
      </c>
      <c r="N5717" s="19" t="s">
        <v>40</v>
      </c>
      <c r="O5717" s="19" t="s">
        <v>141</v>
      </c>
      <c r="P5717" s="19">
        <v>3000</v>
      </c>
      <c r="Q5717" s="19">
        <v>3000</v>
      </c>
      <c r="R5717" s="19">
        <f t="shared" si="258"/>
        <v>0</v>
      </c>
      <c r="S5717" s="19">
        <v>2650</v>
      </c>
      <c r="T5717" s="91" t="s">
        <v>42</v>
      </c>
      <c r="U5717" s="102" t="s">
        <v>1441</v>
      </c>
      <c r="V5717" s="186">
        <v>45410</v>
      </c>
      <c r="W5717" s="17" t="s">
        <v>69</v>
      </c>
      <c r="Y5717" s="68">
        <v>45474</v>
      </c>
      <c r="Z5717" s="17" t="s">
        <v>1442</v>
      </c>
      <c r="AA5717" s="17" t="s">
        <v>46</v>
      </c>
      <c r="AB5717" s="17" t="s">
        <v>1443</v>
      </c>
      <c r="AC5717" s="217">
        <v>45498</v>
      </c>
      <c r="AD5717" s="65">
        <v>1609</v>
      </c>
      <c r="AE5717" s="17" t="s">
        <v>48</v>
      </c>
    </row>
    <row r="5718" s="17" customFormat="1" hidden="1" spans="1:32">
      <c r="A5718" s="17" t="s">
        <v>34</v>
      </c>
      <c r="B5718" s="19">
        <v>1003</v>
      </c>
      <c r="C5718" s="183">
        <v>45410</v>
      </c>
      <c r="D5718" s="17" t="s">
        <v>109</v>
      </c>
      <c r="E5718" s="17" t="s">
        <v>110</v>
      </c>
      <c r="F5718" s="17" t="s">
        <v>72</v>
      </c>
      <c r="H5718" s="141">
        <v>1.2379</v>
      </c>
      <c r="I5718" s="141"/>
      <c r="J5718" s="17" t="s">
        <v>82</v>
      </c>
      <c r="K5718" s="19">
        <v>510</v>
      </c>
      <c r="L5718" s="19">
        <v>20</v>
      </c>
      <c r="M5718" s="19">
        <v>5800</v>
      </c>
      <c r="N5718" s="19" t="s">
        <v>40</v>
      </c>
      <c r="O5718" s="19" t="s">
        <v>141</v>
      </c>
      <c r="P5718" s="19">
        <v>1500</v>
      </c>
      <c r="Q5718" s="19">
        <v>1566</v>
      </c>
      <c r="R5718" s="19">
        <f t="shared" si="258"/>
        <v>-66</v>
      </c>
      <c r="S5718" s="19">
        <v>2650</v>
      </c>
      <c r="T5718" s="91" t="s">
        <v>42</v>
      </c>
      <c r="U5718" s="102" t="s">
        <v>1441</v>
      </c>
      <c r="V5718" s="186">
        <v>45410</v>
      </c>
      <c r="W5718" s="17" t="s">
        <v>69</v>
      </c>
      <c r="Y5718" s="68">
        <v>45474</v>
      </c>
      <c r="Z5718" s="17" t="s">
        <v>1442</v>
      </c>
      <c r="AA5718" s="17" t="s">
        <v>46</v>
      </c>
      <c r="AB5718" s="17" t="s">
        <v>1443</v>
      </c>
      <c r="AC5718" s="217">
        <v>45498</v>
      </c>
      <c r="AD5718" s="65">
        <v>1609</v>
      </c>
      <c r="AE5718" s="17" t="s">
        <v>48</v>
      </c>
    </row>
    <row r="5719" s="17" customFormat="1" hidden="1" spans="1:32">
      <c r="A5719" s="17" t="s">
        <v>34</v>
      </c>
      <c r="B5719" s="19">
        <v>1003</v>
      </c>
      <c r="C5719" s="183">
        <v>45410</v>
      </c>
      <c r="D5719" s="17" t="s">
        <v>109</v>
      </c>
      <c r="E5719" s="17" t="s">
        <v>110</v>
      </c>
      <c r="F5719" s="17" t="s">
        <v>72</v>
      </c>
      <c r="H5719" s="141">
        <v>1.2379</v>
      </c>
      <c r="I5719" s="141"/>
      <c r="J5719" s="17" t="s">
        <v>82</v>
      </c>
      <c r="K5719" s="19">
        <v>510</v>
      </c>
      <c r="L5719" s="19">
        <v>26</v>
      </c>
      <c r="M5719" s="19">
        <v>5800</v>
      </c>
      <c r="N5719" s="19" t="s">
        <v>40</v>
      </c>
      <c r="O5719" s="19" t="s">
        <v>141</v>
      </c>
      <c r="P5719" s="19">
        <v>1500</v>
      </c>
      <c r="Q5719" s="19">
        <v>1704</v>
      </c>
      <c r="R5719" s="19">
        <f t="shared" si="258"/>
        <v>-204</v>
      </c>
      <c r="S5719" s="19">
        <v>2650</v>
      </c>
      <c r="T5719" s="91" t="s">
        <v>42</v>
      </c>
      <c r="U5719" s="102" t="s">
        <v>1441</v>
      </c>
      <c r="V5719" s="186">
        <v>45410</v>
      </c>
      <c r="W5719" s="17" t="s">
        <v>69</v>
      </c>
      <c r="Y5719" s="68">
        <v>45474</v>
      </c>
      <c r="Z5719" s="17" t="s">
        <v>1442</v>
      </c>
      <c r="AA5719" s="17" t="s">
        <v>46</v>
      </c>
      <c r="AB5719" s="17" t="s">
        <v>1443</v>
      </c>
      <c r="AC5719" s="217">
        <v>45498</v>
      </c>
      <c r="AD5719" s="65">
        <v>1609</v>
      </c>
      <c r="AE5719" s="17" t="s">
        <v>48</v>
      </c>
    </row>
    <row r="5720" s="17" customFormat="1" hidden="1" spans="1:32">
      <c r="A5720" s="17" t="s">
        <v>34</v>
      </c>
      <c r="B5720" s="19">
        <v>1003</v>
      </c>
      <c r="C5720" s="183">
        <v>45410</v>
      </c>
      <c r="D5720" s="17" t="s">
        <v>109</v>
      </c>
      <c r="E5720" s="17" t="s">
        <v>110</v>
      </c>
      <c r="F5720" s="17" t="s">
        <v>72</v>
      </c>
      <c r="H5720" s="141">
        <v>1.2379</v>
      </c>
      <c r="I5720" s="141"/>
      <c r="J5720" s="17" t="s">
        <v>82</v>
      </c>
      <c r="K5720" s="19">
        <v>510</v>
      </c>
      <c r="L5720" s="19">
        <v>32</v>
      </c>
      <c r="M5720" s="19">
        <v>5800</v>
      </c>
      <c r="N5720" s="19" t="s">
        <v>40</v>
      </c>
      <c r="O5720" s="19" t="s">
        <v>141</v>
      </c>
      <c r="P5720" s="19">
        <v>1500</v>
      </c>
      <c r="Q5720" s="19">
        <v>1822</v>
      </c>
      <c r="R5720" s="19">
        <f t="shared" si="258"/>
        <v>-322</v>
      </c>
      <c r="S5720" s="19">
        <v>2650</v>
      </c>
      <c r="T5720" s="91" t="s">
        <v>42</v>
      </c>
      <c r="U5720" s="102" t="s">
        <v>1441</v>
      </c>
      <c r="V5720" s="186">
        <v>45410</v>
      </c>
      <c r="W5720" s="17" t="s">
        <v>69</v>
      </c>
      <c r="Y5720" s="68">
        <v>45474</v>
      </c>
      <c r="Z5720" s="17" t="s">
        <v>1442</v>
      </c>
      <c r="AA5720" s="17" t="s">
        <v>46</v>
      </c>
      <c r="AB5720" s="17" t="s">
        <v>1443</v>
      </c>
      <c r="AC5720" s="217">
        <v>45498</v>
      </c>
      <c r="AD5720" s="65">
        <v>1609</v>
      </c>
      <c r="AE5720" s="17" t="s">
        <v>48</v>
      </c>
    </row>
    <row r="5721" s="17" customFormat="1" hidden="1" spans="1:32">
      <c r="A5721" s="17" t="s">
        <v>34</v>
      </c>
      <c r="B5721" s="19">
        <v>1003</v>
      </c>
      <c r="C5721" s="183">
        <v>45410</v>
      </c>
      <c r="D5721" s="17" t="s">
        <v>109</v>
      </c>
      <c r="E5721" s="17" t="s">
        <v>110</v>
      </c>
      <c r="F5721" s="17" t="s">
        <v>72</v>
      </c>
      <c r="H5721" s="141">
        <v>1.2379</v>
      </c>
      <c r="I5721" s="141"/>
      <c r="J5721" s="17" t="s">
        <v>82</v>
      </c>
      <c r="K5721" s="19">
        <v>510</v>
      </c>
      <c r="L5721" s="19">
        <v>40</v>
      </c>
      <c r="M5721" s="19">
        <v>5800</v>
      </c>
      <c r="N5721" s="19" t="s">
        <v>40</v>
      </c>
      <c r="O5721" s="19" t="s">
        <v>141</v>
      </c>
      <c r="P5721" s="19">
        <v>1500</v>
      </c>
      <c r="Q5721" s="19">
        <v>1810</v>
      </c>
      <c r="R5721" s="19">
        <f t="shared" si="258"/>
        <v>-310</v>
      </c>
      <c r="S5721" s="19">
        <v>2650</v>
      </c>
      <c r="T5721" s="91" t="s">
        <v>42</v>
      </c>
      <c r="U5721" s="102" t="s">
        <v>1441</v>
      </c>
      <c r="V5721" s="186">
        <v>45410</v>
      </c>
      <c r="W5721" s="17" t="s">
        <v>69</v>
      </c>
      <c r="Y5721" s="68">
        <v>45474</v>
      </c>
      <c r="Z5721" s="17" t="s">
        <v>1442</v>
      </c>
      <c r="AA5721" s="17" t="s">
        <v>46</v>
      </c>
      <c r="AB5721" s="17" t="s">
        <v>1443</v>
      </c>
      <c r="AC5721" s="217">
        <v>45498</v>
      </c>
      <c r="AD5721" s="65">
        <v>1609</v>
      </c>
      <c r="AE5721" s="17" t="s">
        <v>48</v>
      </c>
    </row>
    <row r="5722" s="17" customFormat="1" hidden="1" spans="1:32">
      <c r="A5722" s="17" t="s">
        <v>34</v>
      </c>
      <c r="B5722" s="19">
        <v>1003</v>
      </c>
      <c r="C5722" s="183">
        <v>45410</v>
      </c>
      <c r="D5722" s="17" t="s">
        <v>109</v>
      </c>
      <c r="E5722" s="17" t="s">
        <v>110</v>
      </c>
      <c r="F5722" s="17" t="s">
        <v>72</v>
      </c>
      <c r="H5722" s="141">
        <v>1.2379</v>
      </c>
      <c r="I5722" s="141"/>
      <c r="J5722" s="17" t="s">
        <v>82</v>
      </c>
      <c r="K5722" s="19">
        <v>510</v>
      </c>
      <c r="L5722" s="19">
        <v>50</v>
      </c>
      <c r="M5722" s="19">
        <v>5800</v>
      </c>
      <c r="N5722" s="19" t="s">
        <v>40</v>
      </c>
      <c r="O5722" s="19" t="s">
        <v>141</v>
      </c>
      <c r="P5722" s="19">
        <v>1500</v>
      </c>
      <c r="Q5722" s="19">
        <v>2718</v>
      </c>
      <c r="R5722" s="19">
        <f t="shared" si="258"/>
        <v>-1218</v>
      </c>
      <c r="S5722" s="19">
        <v>2650</v>
      </c>
      <c r="T5722" s="91" t="s">
        <v>42</v>
      </c>
      <c r="U5722" s="102" t="s">
        <v>1441</v>
      </c>
      <c r="V5722" s="186">
        <v>45410</v>
      </c>
      <c r="W5722" s="17" t="s">
        <v>69</v>
      </c>
      <c r="Y5722" s="68">
        <v>45474</v>
      </c>
      <c r="Z5722" s="17" t="s">
        <v>1442</v>
      </c>
      <c r="AA5722" s="17" t="s">
        <v>46</v>
      </c>
      <c r="AB5722" s="17" t="s">
        <v>1443</v>
      </c>
      <c r="AC5722" s="217">
        <v>45498</v>
      </c>
      <c r="AD5722" s="65">
        <v>1609</v>
      </c>
      <c r="AE5722" s="17" t="s">
        <v>48</v>
      </c>
    </row>
    <row r="5723" s="17" customFormat="1" hidden="1" spans="1:32">
      <c r="A5723" s="17" t="s">
        <v>34</v>
      </c>
      <c r="B5723" s="19">
        <v>1003</v>
      </c>
      <c r="C5723" s="183">
        <v>45410</v>
      </c>
      <c r="D5723" s="17" t="s">
        <v>109</v>
      </c>
      <c r="E5723" s="17" t="s">
        <v>110</v>
      </c>
      <c r="F5723" s="17" t="s">
        <v>72</v>
      </c>
      <c r="H5723" s="141">
        <v>1.2379</v>
      </c>
      <c r="I5723" s="141"/>
      <c r="J5723" s="17" t="s">
        <v>82</v>
      </c>
      <c r="K5723" s="147">
        <v>510</v>
      </c>
      <c r="L5723" s="147">
        <v>65</v>
      </c>
      <c r="M5723" s="19">
        <v>5800</v>
      </c>
      <c r="N5723" s="19" t="s">
        <v>40</v>
      </c>
      <c r="O5723" s="19" t="s">
        <v>141</v>
      </c>
      <c r="P5723" s="19">
        <v>3000</v>
      </c>
      <c r="Q5723" s="19">
        <v>2706</v>
      </c>
      <c r="R5723" s="19">
        <f t="shared" si="258"/>
        <v>294</v>
      </c>
      <c r="S5723" s="19">
        <v>2650</v>
      </c>
      <c r="T5723" s="91" t="s">
        <v>42</v>
      </c>
      <c r="U5723" s="102" t="s">
        <v>1441</v>
      </c>
      <c r="V5723" s="186">
        <v>45410</v>
      </c>
      <c r="W5723" s="17" t="s">
        <v>69</v>
      </c>
      <c r="Y5723" s="68">
        <v>45474</v>
      </c>
      <c r="Z5723" s="17" t="s">
        <v>1442</v>
      </c>
      <c r="AA5723" s="17" t="s">
        <v>46</v>
      </c>
      <c r="AB5723" s="17" t="s">
        <v>1443</v>
      </c>
      <c r="AC5723" s="217">
        <v>45498</v>
      </c>
      <c r="AD5723" s="65">
        <v>1609</v>
      </c>
      <c r="AE5723" s="17" t="s">
        <v>48</v>
      </c>
    </row>
    <row r="5724" s="18" customFormat="1" hidden="1" spans="1:32">
      <c r="B5724" s="75">
        <v>1004</v>
      </c>
      <c r="C5724" s="213">
        <v>45413</v>
      </c>
      <c r="D5724" s="18" t="s">
        <v>52</v>
      </c>
      <c r="E5724" s="17" t="s">
        <v>1113</v>
      </c>
      <c r="F5724" s="18" t="s">
        <v>54</v>
      </c>
      <c r="H5724" s="325" t="s">
        <v>1403</v>
      </c>
      <c r="I5724" s="325"/>
      <c r="J5724" s="18" t="s">
        <v>49</v>
      </c>
      <c r="K5724" s="111">
        <v>908</v>
      </c>
      <c r="L5724" s="111">
        <v>148</v>
      </c>
      <c r="M5724" s="192">
        <v>1818</v>
      </c>
      <c r="N5724" s="75" t="s">
        <v>66</v>
      </c>
      <c r="O5724" s="329" t="s">
        <v>50</v>
      </c>
      <c r="P5724" s="192">
        <v>1918</v>
      </c>
      <c r="Q5724" s="75">
        <v>0</v>
      </c>
      <c r="R5724" s="75">
        <f t="shared" si="258"/>
        <v>1918</v>
      </c>
      <c r="S5724" s="192">
        <f>1495</f>
        <v>1495</v>
      </c>
      <c r="T5724" s="111" t="s">
        <v>42</v>
      </c>
      <c r="U5724" s="137" t="s">
        <v>1445</v>
      </c>
      <c r="V5724" s="193">
        <v>45419</v>
      </c>
      <c r="W5724" s="18" t="s">
        <v>69</v>
      </c>
      <c r="Y5724" s="114">
        <v>45444</v>
      </c>
      <c r="Z5724" s="18" t="s">
        <v>191</v>
      </c>
      <c r="AA5724" s="18" t="s">
        <v>46</v>
      </c>
      <c r="AC5724" s="137"/>
      <c r="AD5724" s="77"/>
      <c r="AE5724" s="18" t="s">
        <v>48</v>
      </c>
      <c r="AF5724" s="18" t="s">
        <v>1446</v>
      </c>
    </row>
    <row r="5725" s="18" customFormat="1" hidden="1" spans="1:32">
      <c r="B5725" s="75">
        <v>1004</v>
      </c>
      <c r="C5725" s="213">
        <v>45413</v>
      </c>
      <c r="D5725" s="18" t="s">
        <v>52</v>
      </c>
      <c r="E5725" s="17" t="s">
        <v>1113</v>
      </c>
      <c r="F5725" s="18" t="s">
        <v>54</v>
      </c>
      <c r="H5725" s="325" t="s">
        <v>1403</v>
      </c>
      <c r="I5725" s="325"/>
      <c r="J5725" s="18" t="s">
        <v>49</v>
      </c>
      <c r="K5725" s="80">
        <v>910</v>
      </c>
      <c r="L5725" s="80">
        <v>151</v>
      </c>
      <c r="M5725" s="80">
        <v>1810</v>
      </c>
      <c r="N5725" s="75" t="s">
        <v>66</v>
      </c>
      <c r="O5725" s="329" t="s">
        <v>50</v>
      </c>
      <c r="P5725" s="112">
        <v>1952</v>
      </c>
      <c r="Q5725" s="75">
        <v>0</v>
      </c>
      <c r="R5725" s="75">
        <f t="shared" si="258"/>
        <v>1952</v>
      </c>
      <c r="S5725" s="192">
        <f>1495</f>
        <v>1495</v>
      </c>
      <c r="T5725" s="111" t="s">
        <v>42</v>
      </c>
      <c r="U5725" s="137" t="s">
        <v>1445</v>
      </c>
      <c r="V5725" s="193">
        <v>45419</v>
      </c>
      <c r="W5725" s="18" t="s">
        <v>69</v>
      </c>
      <c r="Y5725" s="114">
        <v>45444</v>
      </c>
      <c r="Z5725" s="18" t="s">
        <v>191</v>
      </c>
      <c r="AA5725" s="18" t="s">
        <v>46</v>
      </c>
      <c r="AC5725" s="137"/>
      <c r="AD5725" s="77"/>
      <c r="AE5725" s="18" t="s">
        <v>48</v>
      </c>
      <c r="AF5725" s="18" t="s">
        <v>1446</v>
      </c>
    </row>
    <row r="5726" s="17" customFormat="1" hidden="1" spans="1:32">
      <c r="A5726" s="17" t="s">
        <v>34</v>
      </c>
      <c r="B5726" s="19">
        <v>1004</v>
      </c>
      <c r="C5726" s="183">
        <v>45413</v>
      </c>
      <c r="D5726" s="17" t="s">
        <v>52</v>
      </c>
      <c r="E5726" s="17" t="s">
        <v>1113</v>
      </c>
      <c r="F5726" s="17" t="s">
        <v>54</v>
      </c>
      <c r="H5726" s="141" t="s">
        <v>1403</v>
      </c>
      <c r="I5726" s="141"/>
      <c r="J5726" s="17" t="s">
        <v>49</v>
      </c>
      <c r="K5726" s="71">
        <v>991</v>
      </c>
      <c r="L5726" s="71">
        <v>158</v>
      </c>
      <c r="M5726" s="71">
        <v>1665</v>
      </c>
      <c r="N5726" s="19" t="s">
        <v>66</v>
      </c>
      <c r="O5726" s="147" t="s">
        <v>50</v>
      </c>
      <c r="P5726" s="99">
        <v>2047</v>
      </c>
      <c r="Q5726" s="19">
        <v>1674</v>
      </c>
      <c r="R5726" s="19">
        <f t="shared" si="258"/>
        <v>373</v>
      </c>
      <c r="S5726" s="168">
        <f>1495-98</f>
        <v>1397</v>
      </c>
      <c r="T5726" s="91" t="s">
        <v>42</v>
      </c>
      <c r="U5726" s="102" t="s">
        <v>1445</v>
      </c>
      <c r="V5726" s="186">
        <v>45419</v>
      </c>
      <c r="W5726" s="17" t="s">
        <v>69</v>
      </c>
      <c r="Y5726" s="68">
        <v>45444</v>
      </c>
      <c r="Z5726" s="17" t="s">
        <v>191</v>
      </c>
      <c r="AA5726" s="17" t="s">
        <v>46</v>
      </c>
      <c r="AB5726" s="17" t="s">
        <v>1447</v>
      </c>
      <c r="AC5726" s="217">
        <v>45484</v>
      </c>
      <c r="AD5726" s="65">
        <v>1596</v>
      </c>
      <c r="AE5726" s="17" t="s">
        <v>48</v>
      </c>
    </row>
    <row r="5727" s="18" customFormat="1" hidden="1" spans="1:32">
      <c r="B5727" s="75">
        <v>1004</v>
      </c>
      <c r="C5727" s="213">
        <v>45413</v>
      </c>
      <c r="D5727" s="18" t="s">
        <v>52</v>
      </c>
      <c r="E5727" s="17" t="s">
        <v>1113</v>
      </c>
      <c r="F5727" s="18" t="s">
        <v>54</v>
      </c>
      <c r="H5727" s="325" t="s">
        <v>1403</v>
      </c>
      <c r="I5727" s="325"/>
      <c r="J5727" s="18" t="s">
        <v>49</v>
      </c>
      <c r="K5727" s="80">
        <v>907</v>
      </c>
      <c r="L5727" s="80">
        <v>164</v>
      </c>
      <c r="M5727" s="80">
        <v>1785</v>
      </c>
      <c r="N5727" s="75" t="s">
        <v>66</v>
      </c>
      <c r="O5727" s="329" t="s">
        <v>50</v>
      </c>
      <c r="P5727" s="112">
        <v>2084</v>
      </c>
      <c r="Q5727" s="75">
        <v>0</v>
      </c>
      <c r="R5727" s="75">
        <f t="shared" si="258"/>
        <v>2084</v>
      </c>
      <c r="S5727" s="192">
        <f>1495</f>
        <v>1495</v>
      </c>
      <c r="T5727" s="111" t="s">
        <v>42</v>
      </c>
      <c r="U5727" s="137" t="s">
        <v>1445</v>
      </c>
      <c r="V5727" s="193">
        <v>45419</v>
      </c>
      <c r="W5727" s="18" t="s">
        <v>69</v>
      </c>
      <c r="Y5727" s="114">
        <v>45444</v>
      </c>
      <c r="Z5727" s="18" t="s">
        <v>191</v>
      </c>
      <c r="AA5727" s="18" t="s">
        <v>46</v>
      </c>
      <c r="AC5727" s="137"/>
      <c r="AD5727" s="77"/>
      <c r="AE5727" s="18" t="s">
        <v>48</v>
      </c>
      <c r="AF5727" s="18" t="s">
        <v>1446</v>
      </c>
    </row>
    <row r="5728" s="17" customFormat="1" hidden="1" spans="1:32">
      <c r="A5728" s="17" t="s">
        <v>34</v>
      </c>
      <c r="B5728" s="19">
        <v>1004</v>
      </c>
      <c r="C5728" s="183">
        <v>45413</v>
      </c>
      <c r="D5728" s="17" t="s">
        <v>52</v>
      </c>
      <c r="E5728" s="17" t="s">
        <v>1113</v>
      </c>
      <c r="F5728" s="17" t="s">
        <v>54</v>
      </c>
      <c r="H5728" s="141" t="s">
        <v>1403</v>
      </c>
      <c r="I5728" s="141"/>
      <c r="J5728" s="17" t="s">
        <v>49</v>
      </c>
      <c r="K5728" s="71">
        <v>1411</v>
      </c>
      <c r="L5728" s="71">
        <v>185</v>
      </c>
      <c r="M5728" s="71">
        <v>2270</v>
      </c>
      <c r="N5728" s="19" t="s">
        <v>66</v>
      </c>
      <c r="O5728" s="147" t="s">
        <v>50</v>
      </c>
      <c r="P5728" s="99">
        <v>4652</v>
      </c>
      <c r="Q5728" s="19">
        <v>4680</v>
      </c>
      <c r="R5728" s="19">
        <f t="shared" si="258"/>
        <v>-28</v>
      </c>
      <c r="S5728" s="168">
        <f>1495-20</f>
        <v>1475</v>
      </c>
      <c r="T5728" s="91" t="s">
        <v>42</v>
      </c>
      <c r="U5728" s="102" t="s">
        <v>1445</v>
      </c>
      <c r="V5728" s="186">
        <v>45419</v>
      </c>
      <c r="W5728" s="17" t="s">
        <v>69</v>
      </c>
      <c r="Y5728" s="68">
        <v>45444</v>
      </c>
      <c r="Z5728" s="17" t="s">
        <v>191</v>
      </c>
      <c r="AA5728" s="17" t="s">
        <v>46</v>
      </c>
      <c r="AB5728" s="17" t="s">
        <v>1335</v>
      </c>
      <c r="AC5728" s="217">
        <v>45443</v>
      </c>
      <c r="AD5728" s="65">
        <v>1581</v>
      </c>
      <c r="AE5728" s="17" t="s">
        <v>48</v>
      </c>
    </row>
    <row r="5729" s="17" customFormat="1" hidden="1" spans="1:32">
      <c r="A5729" s="17" t="s">
        <v>34</v>
      </c>
      <c r="B5729" s="19">
        <v>1004</v>
      </c>
      <c r="C5729" s="183">
        <v>45413</v>
      </c>
      <c r="D5729" s="17" t="s">
        <v>52</v>
      </c>
      <c r="E5729" s="17" t="s">
        <v>1113</v>
      </c>
      <c r="F5729" s="17" t="s">
        <v>54</v>
      </c>
      <c r="H5729" s="141" t="s">
        <v>1403</v>
      </c>
      <c r="I5729" s="141"/>
      <c r="J5729" s="17" t="s">
        <v>49</v>
      </c>
      <c r="K5729" s="71">
        <v>1009</v>
      </c>
      <c r="L5729" s="71">
        <v>199</v>
      </c>
      <c r="M5729" s="71">
        <v>3930</v>
      </c>
      <c r="N5729" s="19" t="s">
        <v>66</v>
      </c>
      <c r="O5729" s="147" t="s">
        <v>50</v>
      </c>
      <c r="P5729" s="99">
        <v>6195</v>
      </c>
      <c r="Q5729" s="19">
        <v>6212</v>
      </c>
      <c r="R5729" s="19">
        <f t="shared" si="258"/>
        <v>-17</v>
      </c>
      <c r="S5729" s="168">
        <f>1495-20</f>
        <v>1475</v>
      </c>
      <c r="T5729" s="91" t="s">
        <v>42</v>
      </c>
      <c r="U5729" s="102" t="s">
        <v>1445</v>
      </c>
      <c r="V5729" s="186">
        <v>45419</v>
      </c>
      <c r="W5729" s="17" t="s">
        <v>69</v>
      </c>
      <c r="Y5729" s="68">
        <v>45444</v>
      </c>
      <c r="Z5729" s="17" t="s">
        <v>191</v>
      </c>
      <c r="AA5729" s="17" t="s">
        <v>46</v>
      </c>
      <c r="AB5729" s="17" t="s">
        <v>1335</v>
      </c>
      <c r="AC5729" s="217">
        <v>45443</v>
      </c>
      <c r="AD5729" s="65">
        <v>1581</v>
      </c>
      <c r="AE5729" s="17" t="s">
        <v>48</v>
      </c>
    </row>
    <row r="5730" s="17" customFormat="1" hidden="1" spans="1:32">
      <c r="A5730" s="17" t="s">
        <v>34</v>
      </c>
      <c r="B5730" s="19">
        <v>1004</v>
      </c>
      <c r="C5730" s="183">
        <v>45413</v>
      </c>
      <c r="D5730" s="17" t="s">
        <v>52</v>
      </c>
      <c r="E5730" s="17" t="s">
        <v>1113</v>
      </c>
      <c r="F5730" s="17" t="s">
        <v>54</v>
      </c>
      <c r="H5730" s="141" t="s">
        <v>1403</v>
      </c>
      <c r="I5730" s="141"/>
      <c r="J5730" s="17" t="s">
        <v>49</v>
      </c>
      <c r="K5730" s="71">
        <v>1620</v>
      </c>
      <c r="L5730" s="71">
        <v>210</v>
      </c>
      <c r="M5730" s="71">
        <v>2790</v>
      </c>
      <c r="N5730" s="19" t="s">
        <v>66</v>
      </c>
      <c r="O5730" s="147" t="s">
        <v>50</v>
      </c>
      <c r="P5730" s="99">
        <v>5420</v>
      </c>
      <c r="Q5730" s="19">
        <v>7560</v>
      </c>
      <c r="R5730" s="19">
        <f t="shared" si="258"/>
        <v>-2140</v>
      </c>
      <c r="S5730" s="168">
        <f>1495-98</f>
        <v>1397</v>
      </c>
      <c r="T5730" s="91" t="s">
        <v>42</v>
      </c>
      <c r="U5730" s="102" t="s">
        <v>1445</v>
      </c>
      <c r="V5730" s="186">
        <v>45419</v>
      </c>
      <c r="W5730" s="17" t="s">
        <v>69</v>
      </c>
      <c r="Y5730" s="68">
        <v>45444</v>
      </c>
      <c r="Z5730" s="17" t="s">
        <v>191</v>
      </c>
      <c r="AA5730" s="17" t="s">
        <v>46</v>
      </c>
      <c r="AB5730" s="17" t="s">
        <v>1434</v>
      </c>
      <c r="AC5730" s="217">
        <v>45485</v>
      </c>
      <c r="AD5730" s="65">
        <v>1597</v>
      </c>
      <c r="AE5730" s="17" t="s">
        <v>48</v>
      </c>
    </row>
    <row r="5731" s="17" customFormat="1" hidden="1" spans="1:32">
      <c r="A5731" s="17" t="s">
        <v>34</v>
      </c>
      <c r="B5731" s="19">
        <v>1004</v>
      </c>
      <c r="C5731" s="183">
        <v>45413</v>
      </c>
      <c r="D5731" s="17" t="s">
        <v>52</v>
      </c>
      <c r="E5731" s="17" t="s">
        <v>1113</v>
      </c>
      <c r="F5731" s="17" t="s">
        <v>54</v>
      </c>
      <c r="H5731" s="141" t="s">
        <v>1403</v>
      </c>
      <c r="I5731" s="141"/>
      <c r="J5731" s="17" t="s">
        <v>49</v>
      </c>
      <c r="K5731" s="71">
        <v>1620</v>
      </c>
      <c r="L5731" s="71">
        <v>210</v>
      </c>
      <c r="M5731" s="71">
        <v>2460</v>
      </c>
      <c r="N5731" s="19" t="s">
        <v>66</v>
      </c>
      <c r="O5731" s="147" t="s">
        <v>50</v>
      </c>
      <c r="P5731" s="99">
        <v>5006</v>
      </c>
      <c r="Q5731" s="19">
        <v>6750</v>
      </c>
      <c r="R5731" s="19">
        <f t="shared" si="258"/>
        <v>-1744</v>
      </c>
      <c r="S5731" s="168">
        <f>1495-98</f>
        <v>1397</v>
      </c>
      <c r="T5731" s="91" t="s">
        <v>42</v>
      </c>
      <c r="U5731" s="102" t="s">
        <v>1445</v>
      </c>
      <c r="V5731" s="186">
        <v>45419</v>
      </c>
      <c r="W5731" s="17" t="s">
        <v>69</v>
      </c>
      <c r="Y5731" s="68">
        <v>45444</v>
      </c>
      <c r="Z5731" s="17" t="s">
        <v>191</v>
      </c>
      <c r="AA5731" s="17" t="s">
        <v>46</v>
      </c>
      <c r="AB5731" s="17" t="s">
        <v>1434</v>
      </c>
      <c r="AC5731" s="217">
        <v>45485</v>
      </c>
      <c r="AD5731" s="65">
        <v>1597</v>
      </c>
      <c r="AE5731" s="17" t="s">
        <v>48</v>
      </c>
    </row>
    <row r="5732" s="17" customFormat="1" hidden="1" spans="1:32">
      <c r="A5732" s="17" t="s">
        <v>34</v>
      </c>
      <c r="B5732" s="19">
        <v>1004</v>
      </c>
      <c r="C5732" s="183">
        <v>45413</v>
      </c>
      <c r="D5732" s="17" t="s">
        <v>52</v>
      </c>
      <c r="E5732" s="17" t="s">
        <v>1113</v>
      </c>
      <c r="F5732" s="17" t="s">
        <v>54</v>
      </c>
      <c r="H5732" s="141" t="s">
        <v>1403</v>
      </c>
      <c r="I5732" s="141"/>
      <c r="J5732" s="17" t="s">
        <v>49</v>
      </c>
      <c r="K5732" s="71">
        <v>1491</v>
      </c>
      <c r="L5732" s="71">
        <v>217</v>
      </c>
      <c r="M5732" s="71">
        <v>3794</v>
      </c>
      <c r="N5732" s="19" t="s">
        <v>66</v>
      </c>
      <c r="O5732" s="147" t="s">
        <v>50</v>
      </c>
      <c r="P5732" s="99">
        <v>9636</v>
      </c>
      <c r="Q5732" s="19">
        <v>5660</v>
      </c>
      <c r="R5732" s="19">
        <f t="shared" si="258"/>
        <v>3976</v>
      </c>
      <c r="S5732" s="168">
        <f>1495-98</f>
        <v>1397</v>
      </c>
      <c r="T5732" s="91" t="s">
        <v>42</v>
      </c>
      <c r="U5732" s="102" t="s">
        <v>1445</v>
      </c>
      <c r="V5732" s="186">
        <v>45419</v>
      </c>
      <c r="W5732" s="17" t="s">
        <v>69</v>
      </c>
      <c r="Y5732" s="68">
        <v>45444</v>
      </c>
      <c r="Z5732" s="17" t="s">
        <v>191</v>
      </c>
      <c r="AA5732" s="17" t="s">
        <v>46</v>
      </c>
      <c r="AB5732" s="17" t="s">
        <v>1434</v>
      </c>
      <c r="AC5732" s="217">
        <v>45485</v>
      </c>
      <c r="AD5732" s="65">
        <v>1597</v>
      </c>
      <c r="AE5732" s="17" t="s">
        <v>48</v>
      </c>
    </row>
    <row r="5733" s="17" customFormat="1" hidden="1" spans="1:32">
      <c r="A5733" s="17" t="s">
        <v>34</v>
      </c>
      <c r="B5733" s="19">
        <v>1004</v>
      </c>
      <c r="C5733" s="183">
        <v>45413</v>
      </c>
      <c r="D5733" s="17" t="s">
        <v>52</v>
      </c>
      <c r="E5733" s="17" t="s">
        <v>1113</v>
      </c>
      <c r="F5733" s="17" t="s">
        <v>54</v>
      </c>
      <c r="H5733" s="141" t="s">
        <v>1403</v>
      </c>
      <c r="I5733" s="141"/>
      <c r="J5733" s="17" t="s">
        <v>49</v>
      </c>
      <c r="K5733" s="71">
        <v>1215</v>
      </c>
      <c r="L5733" s="71">
        <v>220</v>
      </c>
      <c r="M5733" s="71">
        <v>2867</v>
      </c>
      <c r="N5733" s="19" t="s">
        <v>66</v>
      </c>
      <c r="O5733" s="147" t="s">
        <v>50</v>
      </c>
      <c r="P5733" s="99">
        <v>6016</v>
      </c>
      <c r="Q5733" s="19">
        <v>5480</v>
      </c>
      <c r="R5733" s="19">
        <f t="shared" si="258"/>
        <v>536</v>
      </c>
      <c r="S5733" s="168">
        <f>1495-98</f>
        <v>1397</v>
      </c>
      <c r="T5733" s="91" t="s">
        <v>42</v>
      </c>
      <c r="U5733" s="102" t="s">
        <v>1445</v>
      </c>
      <c r="V5733" s="186">
        <v>45419</v>
      </c>
      <c r="W5733" s="17" t="s">
        <v>69</v>
      </c>
      <c r="Y5733" s="68">
        <v>45444</v>
      </c>
      <c r="Z5733" s="17" t="s">
        <v>191</v>
      </c>
      <c r="AA5733" s="17" t="s">
        <v>46</v>
      </c>
      <c r="AB5733" s="17" t="s">
        <v>1434</v>
      </c>
      <c r="AC5733" s="217">
        <v>45485</v>
      </c>
      <c r="AD5733" s="65">
        <v>1597</v>
      </c>
      <c r="AE5733" s="17" t="s">
        <v>48</v>
      </c>
    </row>
    <row r="5734" s="18" customFormat="1" ht="15.6" hidden="1" spans="1:32">
      <c r="B5734" s="75">
        <v>1004</v>
      </c>
      <c r="C5734" s="213">
        <v>45413</v>
      </c>
      <c r="D5734" s="18" t="s">
        <v>52</v>
      </c>
      <c r="E5734" s="17" t="s">
        <v>1113</v>
      </c>
      <c r="F5734" s="18" t="s">
        <v>54</v>
      </c>
      <c r="H5734" s="325" t="s">
        <v>1403</v>
      </c>
      <c r="I5734" s="325"/>
      <c r="J5734" s="18" t="s">
        <v>49</v>
      </c>
      <c r="K5734" s="80">
        <v>1200</v>
      </c>
      <c r="L5734" s="80">
        <v>257</v>
      </c>
      <c r="M5734" s="80">
        <v>2780</v>
      </c>
      <c r="N5734" s="75" t="s">
        <v>66</v>
      </c>
      <c r="O5734" s="329" t="s">
        <v>50</v>
      </c>
      <c r="P5734" s="112">
        <v>6730</v>
      </c>
      <c r="Q5734" s="75">
        <v>0</v>
      </c>
      <c r="R5734" s="75">
        <f t="shared" si="258"/>
        <v>6730</v>
      </c>
      <c r="S5734" s="276">
        <f>1455</f>
        <v>1455</v>
      </c>
      <c r="T5734" s="111" t="s">
        <v>42</v>
      </c>
      <c r="U5734" s="137" t="s">
        <v>1445</v>
      </c>
      <c r="V5734" s="193">
        <v>45419</v>
      </c>
      <c r="W5734" s="18" t="s">
        <v>69</v>
      </c>
      <c r="Y5734" s="114">
        <v>45444</v>
      </c>
      <c r="Z5734" s="18" t="s">
        <v>191</v>
      </c>
      <c r="AA5734" s="18" t="s">
        <v>46</v>
      </c>
      <c r="AC5734" s="137"/>
      <c r="AD5734" s="77"/>
      <c r="AE5734" s="18" t="s">
        <v>48</v>
      </c>
      <c r="AF5734" s="18" t="s">
        <v>1446</v>
      </c>
    </row>
    <row r="5735" s="17" customFormat="1" ht="15.6" hidden="1" spans="1:32">
      <c r="A5735" s="17" t="s">
        <v>34</v>
      </c>
      <c r="B5735" s="19">
        <v>1004</v>
      </c>
      <c r="C5735" s="183">
        <v>45413</v>
      </c>
      <c r="D5735" s="17" t="s">
        <v>52</v>
      </c>
      <c r="E5735" s="17" t="s">
        <v>1113</v>
      </c>
      <c r="F5735" s="17" t="s">
        <v>54</v>
      </c>
      <c r="H5735" s="141" t="s">
        <v>1403</v>
      </c>
      <c r="I5735" s="141"/>
      <c r="J5735" s="17" t="s">
        <v>49</v>
      </c>
      <c r="K5735" s="71">
        <v>1618</v>
      </c>
      <c r="L5735" s="71">
        <v>260</v>
      </c>
      <c r="M5735" s="71">
        <v>3228</v>
      </c>
      <c r="N5735" s="19" t="s">
        <v>66</v>
      </c>
      <c r="O5735" s="147" t="s">
        <v>50</v>
      </c>
      <c r="P5735" s="99">
        <v>10660</v>
      </c>
      <c r="Q5735" s="19">
        <v>10370</v>
      </c>
      <c r="R5735" s="19">
        <f t="shared" si="258"/>
        <v>290</v>
      </c>
      <c r="S5735" s="274">
        <f>1455-98</f>
        <v>1357</v>
      </c>
      <c r="T5735" s="91" t="s">
        <v>42</v>
      </c>
      <c r="U5735" s="102" t="s">
        <v>1445</v>
      </c>
      <c r="V5735" s="186">
        <v>45419</v>
      </c>
      <c r="W5735" s="17" t="s">
        <v>69</v>
      </c>
      <c r="Y5735" s="68">
        <v>45444</v>
      </c>
      <c r="Z5735" s="17" t="s">
        <v>191</v>
      </c>
      <c r="AA5735" s="17" t="s">
        <v>46</v>
      </c>
      <c r="AB5735" s="17" t="s">
        <v>1447</v>
      </c>
      <c r="AC5735" s="217">
        <v>45484</v>
      </c>
      <c r="AD5735" s="65">
        <v>1596</v>
      </c>
      <c r="AE5735" s="17" t="s">
        <v>48</v>
      </c>
    </row>
    <row r="5736" s="17" customFormat="1" ht="15.6" hidden="1" spans="1:32">
      <c r="A5736" s="17" t="s">
        <v>34</v>
      </c>
      <c r="B5736" s="19">
        <v>1004</v>
      </c>
      <c r="C5736" s="183">
        <v>45413</v>
      </c>
      <c r="D5736" s="17" t="s">
        <v>52</v>
      </c>
      <c r="E5736" s="17" t="s">
        <v>1113</v>
      </c>
      <c r="F5736" s="17" t="s">
        <v>54</v>
      </c>
      <c r="H5736" s="141" t="s">
        <v>1403</v>
      </c>
      <c r="I5736" s="141"/>
      <c r="J5736" s="17" t="s">
        <v>49</v>
      </c>
      <c r="K5736" s="71">
        <v>1503</v>
      </c>
      <c r="L5736" s="71">
        <v>282</v>
      </c>
      <c r="M5736" s="71">
        <v>3644</v>
      </c>
      <c r="N5736" s="19" t="s">
        <v>66</v>
      </c>
      <c r="O5736" s="147" t="s">
        <v>50</v>
      </c>
      <c r="P5736" s="99">
        <v>12124</v>
      </c>
      <c r="Q5736" s="19">
        <v>12080</v>
      </c>
      <c r="R5736" s="19">
        <f t="shared" si="258"/>
        <v>44</v>
      </c>
      <c r="S5736" s="274">
        <f>1455-20</f>
        <v>1435</v>
      </c>
      <c r="T5736" s="91" t="s">
        <v>42</v>
      </c>
      <c r="U5736" s="102" t="s">
        <v>1445</v>
      </c>
      <c r="V5736" s="186">
        <v>45419</v>
      </c>
      <c r="W5736" s="17" t="s">
        <v>69</v>
      </c>
      <c r="Y5736" s="68">
        <v>45444</v>
      </c>
      <c r="Z5736" s="17" t="s">
        <v>191</v>
      </c>
      <c r="AA5736" s="17" t="s">
        <v>46</v>
      </c>
      <c r="AB5736" s="17" t="s">
        <v>1335</v>
      </c>
      <c r="AC5736" s="217">
        <v>45443</v>
      </c>
      <c r="AD5736" s="65">
        <v>1581</v>
      </c>
      <c r="AE5736" s="17" t="s">
        <v>48</v>
      </c>
    </row>
    <row r="5737" s="17" customFormat="1" ht="15.6" hidden="1" spans="1:32">
      <c r="A5737" s="17" t="s">
        <v>34</v>
      </c>
      <c r="B5737" s="19">
        <v>1004</v>
      </c>
      <c r="C5737" s="183">
        <v>45413</v>
      </c>
      <c r="D5737" s="17" t="s">
        <v>52</v>
      </c>
      <c r="E5737" s="17" t="s">
        <v>1113</v>
      </c>
      <c r="F5737" s="17" t="s">
        <v>54</v>
      </c>
      <c r="H5737" s="141" t="s">
        <v>1403</v>
      </c>
      <c r="I5737" s="141"/>
      <c r="J5737" s="17" t="s">
        <v>49</v>
      </c>
      <c r="K5737" s="71">
        <v>1486</v>
      </c>
      <c r="L5737" s="71">
        <v>307</v>
      </c>
      <c r="M5737" s="71">
        <v>4004</v>
      </c>
      <c r="N5737" s="19" t="s">
        <v>66</v>
      </c>
      <c r="O5737" s="147" t="s">
        <v>50</v>
      </c>
      <c r="P5737" s="99">
        <v>14339</v>
      </c>
      <c r="Q5737" s="19">
        <v>14210</v>
      </c>
      <c r="R5737" s="19">
        <f t="shared" si="258"/>
        <v>129</v>
      </c>
      <c r="S5737" s="274">
        <f>1455-98</f>
        <v>1357</v>
      </c>
      <c r="T5737" s="91" t="s">
        <v>42</v>
      </c>
      <c r="U5737" s="102" t="s">
        <v>1445</v>
      </c>
      <c r="V5737" s="186">
        <v>45419</v>
      </c>
      <c r="W5737" s="17" t="s">
        <v>69</v>
      </c>
      <c r="Y5737" s="68">
        <v>45444</v>
      </c>
      <c r="Z5737" s="17" t="s">
        <v>191</v>
      </c>
      <c r="AA5737" s="17" t="s">
        <v>46</v>
      </c>
      <c r="AB5737" s="17" t="s">
        <v>1447</v>
      </c>
      <c r="AC5737" s="217">
        <v>45484</v>
      </c>
      <c r="AD5737" s="65">
        <v>1596</v>
      </c>
      <c r="AE5737" s="17" t="s">
        <v>48</v>
      </c>
    </row>
    <row r="5738" s="17" customFormat="1" ht="15.6" hidden="1" spans="1:32">
      <c r="A5738" s="17" t="s">
        <v>34</v>
      </c>
      <c r="B5738" s="19">
        <v>1004</v>
      </c>
      <c r="C5738" s="183">
        <v>45413</v>
      </c>
      <c r="D5738" s="17" t="s">
        <v>52</v>
      </c>
      <c r="E5738" s="17" t="s">
        <v>1113</v>
      </c>
      <c r="F5738" s="17" t="s">
        <v>54</v>
      </c>
      <c r="H5738" s="141" t="s">
        <v>1403</v>
      </c>
      <c r="I5738" s="141"/>
      <c r="J5738" s="17" t="s">
        <v>49</v>
      </c>
      <c r="K5738" s="71">
        <v>1620</v>
      </c>
      <c r="L5738" s="71">
        <v>307</v>
      </c>
      <c r="M5738" s="330">
        <v>3090</v>
      </c>
      <c r="N5738" s="19" t="s">
        <v>66</v>
      </c>
      <c r="O5738" s="147" t="s">
        <v>50</v>
      </c>
      <c r="P5738" s="157">
        <v>10827</v>
      </c>
      <c r="Q5738" s="19">
        <v>12170</v>
      </c>
      <c r="R5738" s="19">
        <f t="shared" si="258"/>
        <v>-1343</v>
      </c>
      <c r="S5738" s="274">
        <f>1455-98</f>
        <v>1357</v>
      </c>
      <c r="T5738" s="91" t="s">
        <v>42</v>
      </c>
      <c r="U5738" s="102" t="s">
        <v>1445</v>
      </c>
      <c r="V5738" s="186">
        <v>45419</v>
      </c>
      <c r="W5738" s="17" t="s">
        <v>69</v>
      </c>
      <c r="Y5738" s="68">
        <v>45444</v>
      </c>
      <c r="Z5738" s="17" t="s">
        <v>191</v>
      </c>
      <c r="AA5738" s="17" t="s">
        <v>46</v>
      </c>
      <c r="AB5738" s="17" t="s">
        <v>1434</v>
      </c>
      <c r="AC5738" s="217">
        <v>45485</v>
      </c>
      <c r="AD5738" s="65">
        <v>1597</v>
      </c>
      <c r="AE5738" s="17" t="s">
        <v>48</v>
      </c>
    </row>
    <row r="5739" s="17" customFormat="1" ht="15.6" hidden="1" spans="1:32">
      <c r="A5739" s="17" t="s">
        <v>34</v>
      </c>
      <c r="B5739" s="19">
        <v>1004</v>
      </c>
      <c r="C5739" s="183">
        <v>45413</v>
      </c>
      <c r="D5739" s="17" t="s">
        <v>52</v>
      </c>
      <c r="E5739" s="17" t="s">
        <v>1113</v>
      </c>
      <c r="F5739" s="17" t="s">
        <v>54</v>
      </c>
      <c r="H5739" s="141" t="s">
        <v>1403</v>
      </c>
      <c r="I5739" s="141"/>
      <c r="J5739" s="17" t="s">
        <v>49</v>
      </c>
      <c r="K5739" s="71">
        <v>1607</v>
      </c>
      <c r="L5739" s="71">
        <v>332</v>
      </c>
      <c r="M5739" s="330">
        <v>3271</v>
      </c>
      <c r="N5739" s="19" t="s">
        <v>66</v>
      </c>
      <c r="O5739" s="147" t="s">
        <v>50</v>
      </c>
      <c r="P5739" s="157">
        <v>13699</v>
      </c>
      <c r="Q5739" s="19">
        <v>10680</v>
      </c>
      <c r="R5739" s="19">
        <f t="shared" si="258"/>
        <v>3019</v>
      </c>
      <c r="S5739" s="274">
        <f>1455</f>
        <v>1455</v>
      </c>
      <c r="T5739" s="91" t="s">
        <v>42</v>
      </c>
      <c r="U5739" s="102" t="s">
        <v>1445</v>
      </c>
      <c r="V5739" s="186">
        <v>45419</v>
      </c>
      <c r="W5739" s="17" t="s">
        <v>69</v>
      </c>
      <c r="Y5739" s="68">
        <v>45444</v>
      </c>
      <c r="Z5739" s="17" t="s">
        <v>191</v>
      </c>
      <c r="AA5739" s="17" t="s">
        <v>46</v>
      </c>
      <c r="AB5739" s="17" t="s">
        <v>1435</v>
      </c>
      <c r="AC5739" s="217">
        <v>45510</v>
      </c>
      <c r="AD5739" s="65">
        <v>1613</v>
      </c>
      <c r="AE5739" s="17" t="s">
        <v>48</v>
      </c>
    </row>
    <row r="5740" s="17" customFormat="1" ht="15.6" hidden="1" spans="1:32">
      <c r="A5740" s="17" t="s">
        <v>34</v>
      </c>
      <c r="B5740" s="19">
        <v>1004</v>
      </c>
      <c r="C5740" s="183">
        <v>45413</v>
      </c>
      <c r="D5740" s="17" t="s">
        <v>52</v>
      </c>
      <c r="E5740" s="17" t="s">
        <v>1113</v>
      </c>
      <c r="F5740" s="17" t="s">
        <v>54</v>
      </c>
      <c r="H5740" s="141" t="s">
        <v>1403</v>
      </c>
      <c r="I5740" s="141"/>
      <c r="J5740" s="17" t="s">
        <v>49</v>
      </c>
      <c r="K5740" s="71">
        <v>1625</v>
      </c>
      <c r="L5740" s="71">
        <v>391</v>
      </c>
      <c r="M5740" s="330">
        <v>3103</v>
      </c>
      <c r="N5740" s="19" t="s">
        <v>66</v>
      </c>
      <c r="O5740" s="147" t="s">
        <v>50</v>
      </c>
      <c r="P5740" s="157">
        <v>15477</v>
      </c>
      <c r="Q5740" s="19">
        <v>15300</v>
      </c>
      <c r="R5740" s="19">
        <f t="shared" si="258"/>
        <v>177</v>
      </c>
      <c r="S5740" s="280">
        <f>1555-98</f>
        <v>1457</v>
      </c>
      <c r="T5740" s="91" t="s">
        <v>42</v>
      </c>
      <c r="U5740" s="102" t="s">
        <v>1445</v>
      </c>
      <c r="V5740" s="186">
        <v>45419</v>
      </c>
      <c r="W5740" s="17" t="s">
        <v>69</v>
      </c>
      <c r="Y5740" s="68">
        <v>45444</v>
      </c>
      <c r="Z5740" s="17" t="s">
        <v>191</v>
      </c>
      <c r="AA5740" s="17" t="s">
        <v>46</v>
      </c>
      <c r="AB5740" s="17" t="s">
        <v>1447</v>
      </c>
      <c r="AC5740" s="217">
        <v>45484</v>
      </c>
      <c r="AD5740" s="65">
        <v>1596</v>
      </c>
      <c r="AE5740" s="17" t="s">
        <v>48</v>
      </c>
    </row>
    <row r="5741" s="17" customFormat="1" ht="15.6" hidden="1" spans="1:32">
      <c r="A5741" s="17" t="s">
        <v>34</v>
      </c>
      <c r="B5741" s="19">
        <v>1004</v>
      </c>
      <c r="C5741" s="183">
        <v>45413</v>
      </c>
      <c r="D5741" s="17" t="s">
        <v>52</v>
      </c>
      <c r="E5741" s="17" t="s">
        <v>1113</v>
      </c>
      <c r="F5741" s="17" t="s">
        <v>54</v>
      </c>
      <c r="H5741" s="141" t="s">
        <v>1403</v>
      </c>
      <c r="I5741" s="141"/>
      <c r="J5741" s="17" t="s">
        <v>49</v>
      </c>
      <c r="K5741" s="71">
        <v>1618</v>
      </c>
      <c r="L5741" s="71">
        <v>424</v>
      </c>
      <c r="M5741" s="330">
        <v>2752</v>
      </c>
      <c r="N5741" s="19" t="s">
        <v>66</v>
      </c>
      <c r="O5741" s="147" t="s">
        <v>50</v>
      </c>
      <c r="P5741" s="157">
        <v>14820</v>
      </c>
      <c r="Q5741" s="19">
        <v>19650</v>
      </c>
      <c r="R5741" s="19">
        <f t="shared" si="258"/>
        <v>-4830</v>
      </c>
      <c r="S5741" s="280">
        <f>1555</f>
        <v>1555</v>
      </c>
      <c r="T5741" s="91" t="s">
        <v>42</v>
      </c>
      <c r="U5741" s="102" t="s">
        <v>1445</v>
      </c>
      <c r="V5741" s="186">
        <v>45419</v>
      </c>
      <c r="W5741" s="17" t="s">
        <v>69</v>
      </c>
      <c r="Y5741" s="68">
        <v>45444</v>
      </c>
      <c r="Z5741" s="17" t="s">
        <v>191</v>
      </c>
      <c r="AA5741" s="17" t="s">
        <v>46</v>
      </c>
      <c r="AB5741" s="17" t="s">
        <v>1435</v>
      </c>
      <c r="AC5741" s="217">
        <v>45510</v>
      </c>
      <c r="AD5741" s="65">
        <v>1613</v>
      </c>
      <c r="AE5741" s="17" t="s">
        <v>48</v>
      </c>
    </row>
    <row r="5742" s="17" customFormat="1" ht="15.6" hidden="1" spans="1:32">
      <c r="A5742" s="17" t="s">
        <v>34</v>
      </c>
      <c r="B5742" s="19">
        <v>1004</v>
      </c>
      <c r="C5742" s="183">
        <v>45413</v>
      </c>
      <c r="D5742" s="17" t="s">
        <v>52</v>
      </c>
      <c r="E5742" s="17" t="s">
        <v>1113</v>
      </c>
      <c r="F5742" s="17" t="s">
        <v>54</v>
      </c>
      <c r="H5742" s="141" t="s">
        <v>1403</v>
      </c>
      <c r="I5742" s="141"/>
      <c r="J5742" s="17" t="s">
        <v>49</v>
      </c>
      <c r="K5742" s="71">
        <v>1410</v>
      </c>
      <c r="L5742" s="71">
        <v>502</v>
      </c>
      <c r="M5742" s="330">
        <v>2737</v>
      </c>
      <c r="N5742" s="147" t="s">
        <v>66</v>
      </c>
      <c r="O5742" s="147" t="s">
        <v>50</v>
      </c>
      <c r="P5742" s="157">
        <v>15208</v>
      </c>
      <c r="Q5742" s="19">
        <v>15080</v>
      </c>
      <c r="R5742" s="19">
        <f t="shared" si="258"/>
        <v>128</v>
      </c>
      <c r="S5742" s="280">
        <f>1555-98</f>
        <v>1457</v>
      </c>
      <c r="T5742" s="91" t="s">
        <v>42</v>
      </c>
      <c r="U5742" s="102" t="s">
        <v>1445</v>
      </c>
      <c r="V5742" s="186">
        <v>45419</v>
      </c>
      <c r="W5742" s="17" t="s">
        <v>69</v>
      </c>
      <c r="Y5742" s="68">
        <v>45444</v>
      </c>
      <c r="Z5742" s="17" t="s">
        <v>191</v>
      </c>
      <c r="AA5742" s="17" t="s">
        <v>46</v>
      </c>
      <c r="AB5742" s="17" t="s">
        <v>1434</v>
      </c>
      <c r="AC5742" s="217">
        <v>45485</v>
      </c>
      <c r="AD5742" s="65">
        <v>1597</v>
      </c>
      <c r="AE5742" s="17" t="s">
        <v>48</v>
      </c>
    </row>
    <row r="5743" s="17" customFormat="1" ht="15.6" hidden="1" spans="1:32">
      <c r="A5743" s="17" t="s">
        <v>34</v>
      </c>
      <c r="B5743" s="19">
        <v>1004</v>
      </c>
      <c r="C5743" s="183">
        <v>45413</v>
      </c>
      <c r="D5743" s="17" t="s">
        <v>52</v>
      </c>
      <c r="E5743" s="17" t="s">
        <v>1113</v>
      </c>
      <c r="F5743" s="17" t="s">
        <v>54</v>
      </c>
      <c r="H5743" s="141" t="s">
        <v>1403</v>
      </c>
      <c r="I5743" s="141"/>
      <c r="J5743" s="17" t="s">
        <v>49</v>
      </c>
      <c r="K5743" s="331">
        <v>2000</v>
      </c>
      <c r="L5743" s="332">
        <v>130</v>
      </c>
      <c r="M5743" s="71">
        <v>5000</v>
      </c>
      <c r="N5743" s="19" t="s">
        <v>66</v>
      </c>
      <c r="O5743" s="19" t="s">
        <v>141</v>
      </c>
      <c r="P5743" s="99">
        <v>10205</v>
      </c>
      <c r="Q5743" s="19">
        <v>9440</v>
      </c>
      <c r="R5743" s="19">
        <f t="shared" si="258"/>
        <v>765</v>
      </c>
      <c r="S5743" s="274">
        <f>1410-98</f>
        <v>1312</v>
      </c>
      <c r="T5743" s="91" t="s">
        <v>42</v>
      </c>
      <c r="U5743" s="102" t="s">
        <v>1445</v>
      </c>
      <c r="V5743" s="186">
        <v>45419</v>
      </c>
      <c r="W5743" s="17" t="s">
        <v>69</v>
      </c>
      <c r="Y5743" s="68">
        <v>45444</v>
      </c>
      <c r="Z5743" s="17" t="s">
        <v>191</v>
      </c>
      <c r="AA5743" s="17" t="s">
        <v>46</v>
      </c>
      <c r="AB5743" s="17" t="s">
        <v>1447</v>
      </c>
      <c r="AC5743" s="217">
        <v>45484</v>
      </c>
      <c r="AD5743" s="65">
        <v>1596</v>
      </c>
      <c r="AE5743" s="17" t="s">
        <v>48</v>
      </c>
    </row>
    <row r="5744" s="17" customFormat="1" ht="15.6" hidden="1" spans="1:32">
      <c r="A5744" s="17" t="s">
        <v>34</v>
      </c>
      <c r="B5744" s="19">
        <v>1004</v>
      </c>
      <c r="C5744" s="183">
        <v>45413</v>
      </c>
      <c r="D5744" s="17" t="s">
        <v>52</v>
      </c>
      <c r="E5744" s="17" t="s">
        <v>1113</v>
      </c>
      <c r="F5744" s="17" t="s">
        <v>54</v>
      </c>
      <c r="H5744" s="141" t="s">
        <v>1403</v>
      </c>
      <c r="I5744" s="141"/>
      <c r="J5744" s="17" t="s">
        <v>49</v>
      </c>
      <c r="K5744" s="333">
        <v>2000</v>
      </c>
      <c r="L5744" s="71">
        <v>140</v>
      </c>
      <c r="M5744" s="71">
        <v>5000</v>
      </c>
      <c r="N5744" s="19" t="s">
        <v>66</v>
      </c>
      <c r="O5744" s="19" t="s">
        <v>141</v>
      </c>
      <c r="P5744" s="99">
        <v>10990</v>
      </c>
      <c r="Q5744" s="19">
        <v>11820</v>
      </c>
      <c r="R5744" s="19">
        <f t="shared" si="258"/>
        <v>-830</v>
      </c>
      <c r="S5744" s="274">
        <f>1410</f>
        <v>1410</v>
      </c>
      <c r="T5744" s="91" t="s">
        <v>42</v>
      </c>
      <c r="U5744" s="102" t="s">
        <v>1445</v>
      </c>
      <c r="V5744" s="186">
        <v>45419</v>
      </c>
      <c r="W5744" s="17" t="s">
        <v>69</v>
      </c>
      <c r="Y5744" s="68">
        <v>45444</v>
      </c>
      <c r="Z5744" s="17" t="s">
        <v>191</v>
      </c>
      <c r="AA5744" s="17" t="s">
        <v>46</v>
      </c>
      <c r="AB5744" s="17" t="s">
        <v>1352</v>
      </c>
      <c r="AC5744" s="217">
        <v>45531</v>
      </c>
      <c r="AD5744" s="65">
        <v>1623</v>
      </c>
      <c r="AE5744" s="17" t="s">
        <v>48</v>
      </c>
    </row>
    <row r="5745" s="17" customFormat="1" ht="15.6" hidden="1" spans="1:32">
      <c r="A5745" s="17" t="s">
        <v>34</v>
      </c>
      <c r="B5745" s="19">
        <v>1004</v>
      </c>
      <c r="C5745" s="183">
        <v>45413</v>
      </c>
      <c r="D5745" s="17" t="s">
        <v>52</v>
      </c>
      <c r="E5745" s="17" t="s">
        <v>1113</v>
      </c>
      <c r="F5745" s="17" t="s">
        <v>54</v>
      </c>
      <c r="H5745" s="141" t="s">
        <v>1403</v>
      </c>
      <c r="I5745" s="141"/>
      <c r="J5745" s="17" t="s">
        <v>49</v>
      </c>
      <c r="K5745" s="333">
        <v>2000</v>
      </c>
      <c r="L5745" s="71">
        <v>150</v>
      </c>
      <c r="M5745" s="71">
        <v>5000</v>
      </c>
      <c r="N5745" s="19" t="s">
        <v>66</v>
      </c>
      <c r="O5745" s="19" t="s">
        <v>141</v>
      </c>
      <c r="P5745" s="99">
        <v>11775</v>
      </c>
      <c r="Q5745" s="19">
        <v>10010</v>
      </c>
      <c r="R5745" s="19">
        <f t="shared" si="258"/>
        <v>1765</v>
      </c>
      <c r="S5745" s="274">
        <f>1410</f>
        <v>1410</v>
      </c>
      <c r="T5745" s="91" t="s">
        <v>42</v>
      </c>
      <c r="U5745" s="102" t="s">
        <v>1445</v>
      </c>
      <c r="V5745" s="186">
        <v>45419</v>
      </c>
      <c r="W5745" s="17" t="s">
        <v>69</v>
      </c>
      <c r="Y5745" s="68">
        <v>45444</v>
      </c>
      <c r="Z5745" s="17" t="s">
        <v>191</v>
      </c>
      <c r="AA5745" s="17" t="s">
        <v>46</v>
      </c>
      <c r="AB5745" s="17" t="s">
        <v>1352</v>
      </c>
      <c r="AC5745" s="217">
        <v>45531</v>
      </c>
      <c r="AD5745" s="65">
        <v>1623</v>
      </c>
      <c r="AE5745" s="17" t="s">
        <v>48</v>
      </c>
    </row>
    <row r="5746" s="17" customFormat="1" ht="15.6" hidden="1" spans="1:32">
      <c r="A5746" s="17" t="s">
        <v>34</v>
      </c>
      <c r="B5746" s="19">
        <v>1004</v>
      </c>
      <c r="C5746" s="183">
        <v>45413</v>
      </c>
      <c r="D5746" s="17" t="s">
        <v>52</v>
      </c>
      <c r="E5746" s="17" t="s">
        <v>1113</v>
      </c>
      <c r="F5746" s="17" t="s">
        <v>54</v>
      </c>
      <c r="H5746" s="141" t="s">
        <v>1403</v>
      </c>
      <c r="I5746" s="141"/>
      <c r="J5746" s="17" t="s">
        <v>49</v>
      </c>
      <c r="K5746" s="334">
        <v>2000</v>
      </c>
      <c r="L5746" s="71">
        <v>160</v>
      </c>
      <c r="M5746" s="71">
        <v>5000</v>
      </c>
      <c r="N5746" s="19" t="s">
        <v>66</v>
      </c>
      <c r="O5746" s="19" t="s">
        <v>141</v>
      </c>
      <c r="P5746" s="99">
        <v>12560</v>
      </c>
      <c r="Q5746" s="19">
        <v>11750</v>
      </c>
      <c r="R5746" s="19">
        <f t="shared" si="258"/>
        <v>810</v>
      </c>
      <c r="S5746" s="274">
        <f>1410-98</f>
        <v>1312</v>
      </c>
      <c r="T5746" s="91" t="s">
        <v>42</v>
      </c>
      <c r="U5746" s="102" t="s">
        <v>1445</v>
      </c>
      <c r="V5746" s="186">
        <v>45419</v>
      </c>
      <c r="W5746" s="17" t="s">
        <v>69</v>
      </c>
      <c r="Y5746" s="68">
        <v>45444</v>
      </c>
      <c r="Z5746" s="17" t="s">
        <v>191</v>
      </c>
      <c r="AA5746" s="17" t="s">
        <v>46</v>
      </c>
      <c r="AB5746" s="17" t="s">
        <v>1447</v>
      </c>
      <c r="AC5746" s="217">
        <v>45484</v>
      </c>
      <c r="AD5746" s="65">
        <v>1596</v>
      </c>
      <c r="AE5746" s="17" t="s">
        <v>48</v>
      </c>
    </row>
    <row r="5747" s="18" customFormat="1" ht="15.6" hidden="1" spans="1:32">
      <c r="B5747" s="75">
        <v>1004</v>
      </c>
      <c r="C5747" s="213">
        <v>45413</v>
      </c>
      <c r="D5747" s="18" t="s">
        <v>52</v>
      </c>
      <c r="E5747" s="17" t="s">
        <v>1113</v>
      </c>
      <c r="F5747" s="18" t="s">
        <v>54</v>
      </c>
      <c r="H5747" s="325" t="s">
        <v>1403</v>
      </c>
      <c r="I5747" s="325"/>
      <c r="J5747" s="18" t="s">
        <v>49</v>
      </c>
      <c r="K5747" s="335">
        <v>2000</v>
      </c>
      <c r="L5747" s="80">
        <v>180</v>
      </c>
      <c r="M5747" s="80">
        <v>5000</v>
      </c>
      <c r="N5747" s="75" t="s">
        <v>66</v>
      </c>
      <c r="O5747" s="75" t="s">
        <v>141</v>
      </c>
      <c r="P5747" s="112">
        <v>14130</v>
      </c>
      <c r="Q5747" s="75"/>
      <c r="R5747" s="75">
        <f t="shared" si="258"/>
        <v>14130</v>
      </c>
      <c r="S5747" s="276">
        <f>1410</f>
        <v>1410</v>
      </c>
      <c r="T5747" s="111" t="s">
        <v>42</v>
      </c>
      <c r="U5747" s="137" t="s">
        <v>1445</v>
      </c>
      <c r="V5747" s="193">
        <v>45419</v>
      </c>
      <c r="W5747" s="18" t="s">
        <v>69</v>
      </c>
      <c r="Y5747" s="114">
        <v>45444</v>
      </c>
      <c r="Z5747" s="18" t="s">
        <v>191</v>
      </c>
      <c r="AA5747" s="18" t="s">
        <v>46</v>
      </c>
      <c r="AC5747" s="137"/>
      <c r="AD5747" s="77"/>
      <c r="AE5747" s="18" t="s">
        <v>48</v>
      </c>
      <c r="AF5747" s="18" t="s">
        <v>1446</v>
      </c>
    </row>
    <row r="5748" s="17" customFormat="1" ht="15.6" hidden="1" spans="1:32">
      <c r="A5748" s="17" t="s">
        <v>34</v>
      </c>
      <c r="B5748" s="19">
        <v>1004</v>
      </c>
      <c r="C5748" s="183">
        <v>45413</v>
      </c>
      <c r="D5748" s="17" t="s">
        <v>52</v>
      </c>
      <c r="E5748" s="17" t="s">
        <v>1113</v>
      </c>
      <c r="F5748" s="17" t="s">
        <v>54</v>
      </c>
      <c r="H5748" s="141" t="s">
        <v>1403</v>
      </c>
      <c r="I5748" s="141"/>
      <c r="J5748" s="17" t="s">
        <v>49</v>
      </c>
      <c r="K5748" s="334">
        <v>2000</v>
      </c>
      <c r="L5748" s="71">
        <v>190</v>
      </c>
      <c r="M5748" s="71">
        <v>5000</v>
      </c>
      <c r="N5748" s="19" t="s">
        <v>66</v>
      </c>
      <c r="O5748" s="19" t="s">
        <v>141</v>
      </c>
      <c r="P5748" s="99">
        <v>14915</v>
      </c>
      <c r="Q5748" s="19">
        <v>11000</v>
      </c>
      <c r="R5748" s="19">
        <f t="shared" si="258"/>
        <v>3915</v>
      </c>
      <c r="S5748" s="274">
        <f>1440-98</f>
        <v>1342</v>
      </c>
      <c r="T5748" s="91" t="s">
        <v>42</v>
      </c>
      <c r="U5748" s="102" t="s">
        <v>1445</v>
      </c>
      <c r="V5748" s="186">
        <v>45419</v>
      </c>
      <c r="W5748" s="17" t="s">
        <v>69</v>
      </c>
      <c r="Y5748" s="68">
        <v>45444</v>
      </c>
      <c r="Z5748" s="17" t="s">
        <v>191</v>
      </c>
      <c r="AA5748" s="17" t="s">
        <v>46</v>
      </c>
      <c r="AB5748" s="17" t="s">
        <v>1447</v>
      </c>
      <c r="AC5748" s="217">
        <v>45484</v>
      </c>
      <c r="AD5748" s="65">
        <v>1596</v>
      </c>
      <c r="AE5748" s="17" t="s">
        <v>48</v>
      </c>
    </row>
    <row r="5749" s="17" customFormat="1" hidden="1" spans="1:32">
      <c r="A5749" s="17" t="s">
        <v>34</v>
      </c>
      <c r="B5749" s="19">
        <v>1005</v>
      </c>
      <c r="C5749" s="183">
        <v>45410</v>
      </c>
      <c r="D5749" s="17" t="s">
        <v>109</v>
      </c>
      <c r="E5749" s="17" t="s">
        <v>110</v>
      </c>
      <c r="F5749" s="17" t="s">
        <v>72</v>
      </c>
      <c r="H5749" s="141">
        <v>1.2344</v>
      </c>
      <c r="I5749" s="141"/>
      <c r="J5749" s="17" t="s">
        <v>82</v>
      </c>
      <c r="K5749" s="19">
        <v>610</v>
      </c>
      <c r="L5749" s="19">
        <v>26</v>
      </c>
      <c r="M5749" s="19">
        <v>5800</v>
      </c>
      <c r="N5749" s="19" t="s">
        <v>40</v>
      </c>
      <c r="O5749" s="19" t="s">
        <v>141</v>
      </c>
      <c r="P5749" s="19">
        <v>1500</v>
      </c>
      <c r="Q5749" s="19">
        <v>1358</v>
      </c>
      <c r="R5749" s="19">
        <f t="shared" si="258"/>
        <v>142</v>
      </c>
      <c r="S5749" s="19">
        <v>2730</v>
      </c>
      <c r="T5749" s="91" t="s">
        <v>42</v>
      </c>
      <c r="U5749" s="102" t="s">
        <v>1448</v>
      </c>
      <c r="V5749" s="186">
        <v>45410</v>
      </c>
      <c r="W5749" s="17" t="s">
        <v>69</v>
      </c>
      <c r="Y5749" s="68">
        <v>45474</v>
      </c>
      <c r="Z5749" s="17" t="s">
        <v>1442</v>
      </c>
      <c r="AA5749" s="17" t="s">
        <v>46</v>
      </c>
      <c r="AB5749" s="17" t="s">
        <v>1443</v>
      </c>
      <c r="AC5749" s="217">
        <v>45498</v>
      </c>
      <c r="AD5749" s="65">
        <v>1609</v>
      </c>
      <c r="AE5749" s="17" t="s">
        <v>48</v>
      </c>
    </row>
    <row r="5750" s="17" customFormat="1" hidden="1" spans="1:32">
      <c r="A5750" s="17" t="s">
        <v>34</v>
      </c>
      <c r="B5750" s="19">
        <v>1005</v>
      </c>
      <c r="C5750" s="183">
        <v>45410</v>
      </c>
      <c r="D5750" s="17" t="s">
        <v>109</v>
      </c>
      <c r="E5750" s="17" t="s">
        <v>110</v>
      </c>
      <c r="F5750" s="17" t="s">
        <v>72</v>
      </c>
      <c r="H5750" s="141">
        <v>1.2344</v>
      </c>
      <c r="I5750" s="141"/>
      <c r="J5750" s="17" t="s">
        <v>82</v>
      </c>
      <c r="K5750" s="19">
        <v>610</v>
      </c>
      <c r="L5750" s="19">
        <v>32</v>
      </c>
      <c r="M5750" s="19">
        <v>5800</v>
      </c>
      <c r="N5750" s="19" t="s">
        <v>40</v>
      </c>
      <c r="O5750" s="19" t="s">
        <v>141</v>
      </c>
      <c r="P5750" s="19">
        <v>1500</v>
      </c>
      <c r="Q5750" s="19">
        <v>1536</v>
      </c>
      <c r="R5750" s="19">
        <f t="shared" si="258"/>
        <v>-36</v>
      </c>
      <c r="S5750" s="19">
        <v>2730</v>
      </c>
      <c r="T5750" s="91" t="s">
        <v>42</v>
      </c>
      <c r="U5750" s="102" t="s">
        <v>1448</v>
      </c>
      <c r="V5750" s="186">
        <v>45410</v>
      </c>
      <c r="W5750" s="17" t="s">
        <v>69</v>
      </c>
      <c r="Y5750" s="68">
        <v>45474</v>
      </c>
      <c r="Z5750" s="17" t="s">
        <v>1442</v>
      </c>
      <c r="AA5750" s="17" t="s">
        <v>46</v>
      </c>
      <c r="AB5750" s="17" t="s">
        <v>1443</v>
      </c>
      <c r="AC5750" s="217">
        <v>45498</v>
      </c>
      <c r="AD5750" s="65">
        <v>1609</v>
      </c>
      <c r="AE5750" s="17" t="s">
        <v>48</v>
      </c>
    </row>
    <row r="5751" s="17" customFormat="1" hidden="1" spans="1:32">
      <c r="A5751" s="17" t="s">
        <v>34</v>
      </c>
      <c r="B5751" s="19">
        <v>1005</v>
      </c>
      <c r="C5751" s="183">
        <v>45410</v>
      </c>
      <c r="D5751" s="17" t="s">
        <v>109</v>
      </c>
      <c r="E5751" s="17" t="s">
        <v>110</v>
      </c>
      <c r="F5751" s="17" t="s">
        <v>72</v>
      </c>
      <c r="H5751" s="141">
        <v>1.2344</v>
      </c>
      <c r="I5751" s="141"/>
      <c r="J5751" s="17" t="s">
        <v>82</v>
      </c>
      <c r="K5751" s="19">
        <v>610</v>
      </c>
      <c r="L5751" s="19">
        <v>40</v>
      </c>
      <c r="M5751" s="19">
        <v>5800</v>
      </c>
      <c r="N5751" s="19" t="s">
        <v>40</v>
      </c>
      <c r="O5751" s="19" t="s">
        <v>141</v>
      </c>
      <c r="P5751" s="19">
        <v>1500</v>
      </c>
      <c r="Q5751" s="19">
        <v>1308</v>
      </c>
      <c r="R5751" s="19">
        <f t="shared" si="258"/>
        <v>192</v>
      </c>
      <c r="S5751" s="19">
        <v>2730</v>
      </c>
      <c r="T5751" s="91" t="s">
        <v>42</v>
      </c>
      <c r="U5751" s="102" t="s">
        <v>1448</v>
      </c>
      <c r="V5751" s="186">
        <v>45410</v>
      </c>
      <c r="W5751" s="17" t="s">
        <v>69</v>
      </c>
      <c r="Y5751" s="68">
        <v>45474</v>
      </c>
      <c r="Z5751" s="17" t="s">
        <v>1442</v>
      </c>
      <c r="AA5751" s="17" t="s">
        <v>46</v>
      </c>
      <c r="AB5751" s="17" t="s">
        <v>1443</v>
      </c>
      <c r="AC5751" s="217">
        <v>45498</v>
      </c>
      <c r="AD5751" s="65">
        <v>1609</v>
      </c>
      <c r="AE5751" s="17" t="s">
        <v>48</v>
      </c>
    </row>
    <row r="5752" s="17" customFormat="1" hidden="1" spans="1:32">
      <c r="A5752" s="17" t="s">
        <v>34</v>
      </c>
      <c r="B5752" s="19">
        <v>1005</v>
      </c>
      <c r="C5752" s="183">
        <v>45410</v>
      </c>
      <c r="D5752" s="17" t="s">
        <v>109</v>
      </c>
      <c r="E5752" s="17" t="s">
        <v>110</v>
      </c>
      <c r="F5752" s="17" t="s">
        <v>72</v>
      </c>
      <c r="H5752" s="141">
        <v>1.2344</v>
      </c>
      <c r="I5752" s="141"/>
      <c r="J5752" s="17" t="s">
        <v>82</v>
      </c>
      <c r="K5752" s="19">
        <v>610</v>
      </c>
      <c r="L5752" s="19">
        <v>50</v>
      </c>
      <c r="M5752" s="19">
        <v>5800</v>
      </c>
      <c r="N5752" s="19" t="s">
        <v>40</v>
      </c>
      <c r="O5752" s="19" t="s">
        <v>141</v>
      </c>
      <c r="P5752" s="19">
        <v>1500</v>
      </c>
      <c r="Q5752" s="19">
        <v>1458</v>
      </c>
      <c r="R5752" s="19">
        <f t="shared" si="258"/>
        <v>42</v>
      </c>
      <c r="S5752" s="19">
        <v>2730</v>
      </c>
      <c r="T5752" s="91" t="s">
        <v>42</v>
      </c>
      <c r="U5752" s="102" t="s">
        <v>1448</v>
      </c>
      <c r="V5752" s="186">
        <v>45410</v>
      </c>
      <c r="W5752" s="17" t="s">
        <v>69</v>
      </c>
      <c r="Y5752" s="68">
        <v>45474</v>
      </c>
      <c r="Z5752" s="17" t="s">
        <v>1442</v>
      </c>
      <c r="AA5752" s="17" t="s">
        <v>46</v>
      </c>
      <c r="AB5752" s="17" t="s">
        <v>1443</v>
      </c>
      <c r="AC5752" s="217">
        <v>45498</v>
      </c>
      <c r="AD5752" s="65">
        <v>1609</v>
      </c>
      <c r="AE5752" s="17" t="s">
        <v>48</v>
      </c>
    </row>
    <row r="5753" s="17" customFormat="1" hidden="1" spans="1:32">
      <c r="A5753" s="17" t="s">
        <v>34</v>
      </c>
      <c r="B5753" s="19">
        <v>1005</v>
      </c>
      <c r="C5753" s="183">
        <v>45410</v>
      </c>
      <c r="D5753" s="17" t="s">
        <v>109</v>
      </c>
      <c r="E5753" s="17" t="s">
        <v>110</v>
      </c>
      <c r="F5753" s="17" t="s">
        <v>72</v>
      </c>
      <c r="H5753" s="141">
        <v>1.2344</v>
      </c>
      <c r="I5753" s="141"/>
      <c r="J5753" s="17" t="s">
        <v>82</v>
      </c>
      <c r="K5753" s="19">
        <v>610</v>
      </c>
      <c r="L5753" s="19">
        <v>61</v>
      </c>
      <c r="M5753" s="19">
        <v>5800</v>
      </c>
      <c r="N5753" s="19" t="s">
        <v>40</v>
      </c>
      <c r="O5753" s="19" t="s">
        <v>141</v>
      </c>
      <c r="P5753" s="19">
        <v>3000</v>
      </c>
      <c r="Q5753" s="19">
        <f>1058+2004</f>
        <v>3062</v>
      </c>
      <c r="R5753" s="19">
        <f t="shared" si="258"/>
        <v>-62</v>
      </c>
      <c r="S5753" s="19">
        <v>2730</v>
      </c>
      <c r="T5753" s="91" t="s">
        <v>42</v>
      </c>
      <c r="U5753" s="102" t="s">
        <v>1448</v>
      </c>
      <c r="V5753" s="186">
        <v>45410</v>
      </c>
      <c r="W5753" s="17" t="s">
        <v>69</v>
      </c>
      <c r="Y5753" s="68">
        <v>45474</v>
      </c>
      <c r="Z5753" s="17" t="s">
        <v>1442</v>
      </c>
      <c r="AA5753" s="17" t="s">
        <v>46</v>
      </c>
      <c r="AB5753" s="17" t="s">
        <v>1444</v>
      </c>
      <c r="AC5753" s="217">
        <v>45593</v>
      </c>
      <c r="AD5753" s="65">
        <v>1643</v>
      </c>
      <c r="AE5753" s="17" t="s">
        <v>48</v>
      </c>
    </row>
    <row r="5754" s="17" customFormat="1" hidden="1" spans="1:32">
      <c r="A5754" s="17" t="s">
        <v>34</v>
      </c>
      <c r="B5754" s="19">
        <v>1005</v>
      </c>
      <c r="C5754" s="183">
        <v>45410</v>
      </c>
      <c r="D5754" s="17" t="s">
        <v>109</v>
      </c>
      <c r="E5754" s="17" t="s">
        <v>110</v>
      </c>
      <c r="F5754" s="17" t="s">
        <v>72</v>
      </c>
      <c r="H5754" s="141">
        <v>1.2344</v>
      </c>
      <c r="I5754" s="141"/>
      <c r="J5754" s="17" t="s">
        <v>82</v>
      </c>
      <c r="K5754" s="19">
        <v>610</v>
      </c>
      <c r="L5754" s="19">
        <v>65</v>
      </c>
      <c r="M5754" s="19">
        <v>5800</v>
      </c>
      <c r="N5754" s="19" t="s">
        <v>40</v>
      </c>
      <c r="O5754" s="19" t="s">
        <v>141</v>
      </c>
      <c r="P5754" s="19">
        <v>3000</v>
      </c>
      <c r="Q5754" s="19">
        <v>2838</v>
      </c>
      <c r="R5754" s="19">
        <f t="shared" si="258"/>
        <v>162</v>
      </c>
      <c r="S5754" s="19">
        <v>2730</v>
      </c>
      <c r="T5754" s="91" t="s">
        <v>42</v>
      </c>
      <c r="U5754" s="102" t="s">
        <v>1448</v>
      </c>
      <c r="V5754" s="186">
        <v>45410</v>
      </c>
      <c r="W5754" s="17" t="s">
        <v>69</v>
      </c>
      <c r="Y5754" s="68">
        <v>45474</v>
      </c>
      <c r="Z5754" s="17" t="s">
        <v>1442</v>
      </c>
      <c r="AA5754" s="17" t="s">
        <v>46</v>
      </c>
      <c r="AB5754" s="17" t="s">
        <v>1443</v>
      </c>
      <c r="AC5754" s="217">
        <v>45498</v>
      </c>
      <c r="AD5754" s="65">
        <v>1609</v>
      </c>
      <c r="AE5754" s="17" t="s">
        <v>48</v>
      </c>
    </row>
    <row r="5755" s="17" customFormat="1" hidden="1" spans="1:32">
      <c r="A5755" s="17" t="s">
        <v>34</v>
      </c>
      <c r="B5755" s="19">
        <v>1005</v>
      </c>
      <c r="C5755" s="183">
        <v>45410</v>
      </c>
      <c r="D5755" s="17" t="s">
        <v>109</v>
      </c>
      <c r="E5755" s="17" t="s">
        <v>110</v>
      </c>
      <c r="F5755" s="17" t="s">
        <v>72</v>
      </c>
      <c r="H5755" s="141">
        <v>1.2344</v>
      </c>
      <c r="I5755" s="141"/>
      <c r="J5755" s="17" t="s">
        <v>82</v>
      </c>
      <c r="K5755" s="19">
        <v>610</v>
      </c>
      <c r="L5755" s="19">
        <v>80</v>
      </c>
      <c r="M5755" s="19">
        <v>5800</v>
      </c>
      <c r="N5755" s="19" t="s">
        <v>40</v>
      </c>
      <c r="O5755" s="19" t="s">
        <v>141</v>
      </c>
      <c r="P5755" s="19">
        <v>3000</v>
      </c>
      <c r="Q5755" s="19">
        <v>2644</v>
      </c>
      <c r="R5755" s="19">
        <f t="shared" si="258"/>
        <v>356</v>
      </c>
      <c r="S5755" s="19">
        <v>2730</v>
      </c>
      <c r="T5755" s="91" t="s">
        <v>42</v>
      </c>
      <c r="U5755" s="102" t="s">
        <v>1448</v>
      </c>
      <c r="V5755" s="186">
        <v>45410</v>
      </c>
      <c r="W5755" s="17" t="s">
        <v>69</v>
      </c>
      <c r="Y5755" s="68">
        <v>45474</v>
      </c>
      <c r="Z5755" s="17" t="s">
        <v>1442</v>
      </c>
      <c r="AA5755" s="17" t="s">
        <v>46</v>
      </c>
      <c r="AB5755" s="17" t="s">
        <v>1443</v>
      </c>
      <c r="AC5755" s="217">
        <v>45498</v>
      </c>
      <c r="AD5755" s="65">
        <v>1609</v>
      </c>
      <c r="AE5755" s="17" t="s">
        <v>48</v>
      </c>
    </row>
    <row r="5756" s="17" customFormat="1" hidden="1" spans="1:32">
      <c r="A5756" s="17" t="s">
        <v>34</v>
      </c>
      <c r="B5756" s="19">
        <v>1005</v>
      </c>
      <c r="C5756" s="183">
        <v>45410</v>
      </c>
      <c r="D5756" s="17" t="s">
        <v>109</v>
      </c>
      <c r="E5756" s="17" t="s">
        <v>110</v>
      </c>
      <c r="F5756" s="17" t="s">
        <v>72</v>
      </c>
      <c r="H5756" s="141">
        <v>1.2344</v>
      </c>
      <c r="I5756" s="141"/>
      <c r="J5756" s="17" t="s">
        <v>82</v>
      </c>
      <c r="K5756" s="19">
        <v>610</v>
      </c>
      <c r="L5756" s="19">
        <v>90</v>
      </c>
      <c r="M5756" s="19">
        <v>5800</v>
      </c>
      <c r="N5756" s="19" t="s">
        <v>40</v>
      </c>
      <c r="O5756" s="19" t="s">
        <v>141</v>
      </c>
      <c r="P5756" s="19">
        <v>3000</v>
      </c>
      <c r="Q5756" s="19">
        <f>1552+1456</f>
        <v>3008</v>
      </c>
      <c r="R5756" s="19">
        <f t="shared" si="258"/>
        <v>-8</v>
      </c>
      <c r="S5756" s="19">
        <v>2730</v>
      </c>
      <c r="T5756" s="91" t="s">
        <v>42</v>
      </c>
      <c r="U5756" s="102" t="s">
        <v>1448</v>
      </c>
      <c r="V5756" s="186">
        <v>45410</v>
      </c>
      <c r="W5756" s="17" t="s">
        <v>69</v>
      </c>
      <c r="Y5756" s="68">
        <v>45474</v>
      </c>
      <c r="Z5756" s="17" t="s">
        <v>1442</v>
      </c>
      <c r="AA5756" s="17" t="s">
        <v>46</v>
      </c>
      <c r="AB5756" s="17" t="s">
        <v>1444</v>
      </c>
      <c r="AC5756" s="217">
        <v>45593</v>
      </c>
      <c r="AD5756" s="65">
        <v>1643</v>
      </c>
      <c r="AE5756" s="17" t="s">
        <v>48</v>
      </c>
    </row>
    <row r="5757" s="17" customFormat="1" hidden="1" spans="1:32">
      <c r="A5757" s="17" t="s">
        <v>34</v>
      </c>
      <c r="B5757" s="19">
        <v>1005</v>
      </c>
      <c r="C5757" s="183">
        <v>45410</v>
      </c>
      <c r="D5757" s="17" t="s">
        <v>109</v>
      </c>
      <c r="E5757" s="17" t="s">
        <v>110</v>
      </c>
      <c r="F5757" s="17" t="s">
        <v>72</v>
      </c>
      <c r="H5757" s="141">
        <v>1.2344</v>
      </c>
      <c r="I5757" s="141"/>
      <c r="J5757" s="17" t="s">
        <v>82</v>
      </c>
      <c r="K5757" s="19">
        <v>610</v>
      </c>
      <c r="L5757" s="19">
        <v>105</v>
      </c>
      <c r="M5757" s="19">
        <v>5800</v>
      </c>
      <c r="N5757" s="19" t="s">
        <v>40</v>
      </c>
      <c r="O5757" s="19" t="s">
        <v>141</v>
      </c>
      <c r="P5757" s="19">
        <v>3000</v>
      </c>
      <c r="Q5757" s="19">
        <f>1522+1626</f>
        <v>3148</v>
      </c>
      <c r="R5757" s="19">
        <f t="shared" si="258"/>
        <v>-148</v>
      </c>
      <c r="S5757" s="19">
        <v>2730</v>
      </c>
      <c r="T5757" s="91" t="s">
        <v>42</v>
      </c>
      <c r="U5757" s="102" t="s">
        <v>1448</v>
      </c>
      <c r="V5757" s="186">
        <v>45410</v>
      </c>
      <c r="W5757" s="17" t="s">
        <v>69</v>
      </c>
      <c r="Y5757" s="68">
        <v>45474</v>
      </c>
      <c r="Z5757" s="17" t="s">
        <v>1442</v>
      </c>
      <c r="AA5757" s="17" t="s">
        <v>46</v>
      </c>
      <c r="AB5757" s="17" t="s">
        <v>1444</v>
      </c>
      <c r="AC5757" s="217">
        <v>45593</v>
      </c>
      <c r="AD5757" s="65">
        <v>1643</v>
      </c>
      <c r="AE5757" s="17" t="s">
        <v>48</v>
      </c>
    </row>
    <row r="5758" s="17" customFormat="1" hidden="1" spans="1:32">
      <c r="A5758" s="17" t="s">
        <v>34</v>
      </c>
      <c r="B5758" s="19">
        <v>1005</v>
      </c>
      <c r="C5758" s="183">
        <v>45410</v>
      </c>
      <c r="D5758" s="17" t="s">
        <v>109</v>
      </c>
      <c r="E5758" s="17" t="s">
        <v>110</v>
      </c>
      <c r="F5758" s="17" t="s">
        <v>72</v>
      </c>
      <c r="H5758" s="141">
        <v>1.2344</v>
      </c>
      <c r="I5758" s="141"/>
      <c r="J5758" s="17" t="s">
        <v>82</v>
      </c>
      <c r="K5758" s="19">
        <v>610</v>
      </c>
      <c r="L5758" s="19">
        <v>130</v>
      </c>
      <c r="M5758" s="19">
        <v>5800</v>
      </c>
      <c r="N5758" s="19" t="s">
        <v>40</v>
      </c>
      <c r="O5758" s="19" t="s">
        <v>141</v>
      </c>
      <c r="P5758" s="19">
        <v>3000</v>
      </c>
      <c r="Q5758" s="19">
        <v>2416</v>
      </c>
      <c r="R5758" s="19">
        <f t="shared" si="258"/>
        <v>584</v>
      </c>
      <c r="S5758" s="19">
        <v>2800</v>
      </c>
      <c r="T5758" s="91" t="s">
        <v>42</v>
      </c>
      <c r="U5758" s="102" t="s">
        <v>1448</v>
      </c>
      <c r="V5758" s="186">
        <v>45410</v>
      </c>
      <c r="W5758" s="17" t="s">
        <v>69</v>
      </c>
      <c r="Y5758" s="68">
        <v>45474</v>
      </c>
      <c r="Z5758" s="17" t="s">
        <v>1442</v>
      </c>
      <c r="AA5758" s="17" t="s">
        <v>46</v>
      </c>
      <c r="AB5758" s="17" t="s">
        <v>1444</v>
      </c>
      <c r="AC5758" s="217">
        <v>45593</v>
      </c>
      <c r="AD5758" s="65">
        <v>1643</v>
      </c>
      <c r="AE5758" s="17" t="s">
        <v>48</v>
      </c>
    </row>
    <row r="5759" s="17" customFormat="1" hidden="1" spans="1:32">
      <c r="A5759" s="17" t="s">
        <v>34</v>
      </c>
      <c r="B5759" s="19">
        <v>1005</v>
      </c>
      <c r="C5759" s="183">
        <v>45410</v>
      </c>
      <c r="D5759" s="17" t="s">
        <v>109</v>
      </c>
      <c r="E5759" s="17" t="s">
        <v>110</v>
      </c>
      <c r="F5759" s="17" t="s">
        <v>72</v>
      </c>
      <c r="H5759" s="141">
        <v>1.2344</v>
      </c>
      <c r="I5759" s="141"/>
      <c r="J5759" s="17" t="s">
        <v>82</v>
      </c>
      <c r="K5759" s="19">
        <v>610</v>
      </c>
      <c r="L5759" s="19">
        <v>150</v>
      </c>
      <c r="M5759" s="19">
        <v>5800</v>
      </c>
      <c r="N5759" s="19" t="s">
        <v>40</v>
      </c>
      <c r="O5759" s="19" t="s">
        <v>141</v>
      </c>
      <c r="P5759" s="19">
        <v>3000</v>
      </c>
      <c r="Q5759" s="19">
        <v>2842</v>
      </c>
      <c r="R5759" s="19">
        <f t="shared" si="258"/>
        <v>158</v>
      </c>
      <c r="S5759" s="19">
        <v>2800</v>
      </c>
      <c r="T5759" s="91" t="s">
        <v>42</v>
      </c>
      <c r="U5759" s="102" t="s">
        <v>1448</v>
      </c>
      <c r="V5759" s="186">
        <v>45410</v>
      </c>
      <c r="W5759" s="17" t="s">
        <v>69</v>
      </c>
      <c r="Y5759" s="68">
        <v>45474</v>
      </c>
      <c r="Z5759" s="17" t="s">
        <v>1442</v>
      </c>
      <c r="AA5759" s="17" t="s">
        <v>46</v>
      </c>
      <c r="AB5759" s="17" t="s">
        <v>1444</v>
      </c>
      <c r="AC5759" s="217">
        <v>45593</v>
      </c>
      <c r="AD5759" s="65">
        <v>1643</v>
      </c>
      <c r="AE5759" s="17" t="s">
        <v>48</v>
      </c>
    </row>
    <row r="5760" s="17" customFormat="1" hidden="1" spans="1:32">
      <c r="A5760" s="17" t="s">
        <v>34</v>
      </c>
      <c r="B5760" s="19">
        <v>1005</v>
      </c>
      <c r="C5760" s="183">
        <v>45410</v>
      </c>
      <c r="D5760" s="17" t="s">
        <v>109</v>
      </c>
      <c r="E5760" s="17" t="s">
        <v>110</v>
      </c>
      <c r="F5760" s="17" t="s">
        <v>72</v>
      </c>
      <c r="H5760" s="141">
        <v>1.2344</v>
      </c>
      <c r="I5760" s="141"/>
      <c r="J5760" s="17" t="s">
        <v>82</v>
      </c>
      <c r="K5760" s="19">
        <v>510</v>
      </c>
      <c r="L5760" s="19">
        <v>40</v>
      </c>
      <c r="M5760" s="19">
        <v>5800</v>
      </c>
      <c r="N5760" s="19" t="s">
        <v>40</v>
      </c>
      <c r="O5760" s="19" t="s">
        <v>141</v>
      </c>
      <c r="P5760" s="19">
        <v>2000</v>
      </c>
      <c r="Q5760" s="19">
        <v>1456</v>
      </c>
      <c r="R5760" s="19">
        <f t="shared" si="258"/>
        <v>544</v>
      </c>
      <c r="S5760" s="19">
        <v>2730</v>
      </c>
      <c r="T5760" s="91" t="s">
        <v>42</v>
      </c>
      <c r="U5760" s="102" t="s">
        <v>1448</v>
      </c>
      <c r="V5760" s="186">
        <v>45410</v>
      </c>
      <c r="W5760" s="17" t="s">
        <v>69</v>
      </c>
      <c r="Y5760" s="68">
        <v>45474</v>
      </c>
      <c r="Z5760" s="17" t="s">
        <v>1442</v>
      </c>
      <c r="AA5760" s="17" t="s">
        <v>46</v>
      </c>
      <c r="AB5760" s="17" t="s">
        <v>1443</v>
      </c>
      <c r="AC5760" s="217">
        <v>45498</v>
      </c>
      <c r="AD5760" s="65">
        <v>1609</v>
      </c>
      <c r="AE5760" s="17" t="s">
        <v>48</v>
      </c>
    </row>
    <row r="5761" s="17" customFormat="1" hidden="1" spans="1:33">
      <c r="A5761" s="17" t="s">
        <v>34</v>
      </c>
      <c r="B5761" s="19">
        <v>1005</v>
      </c>
      <c r="C5761" s="183">
        <v>45410</v>
      </c>
      <c r="D5761" s="17" t="s">
        <v>109</v>
      </c>
      <c r="E5761" s="17" t="s">
        <v>110</v>
      </c>
      <c r="F5761" s="17" t="s">
        <v>72</v>
      </c>
      <c r="H5761" s="141">
        <v>1.2344</v>
      </c>
      <c r="I5761" s="141"/>
      <c r="J5761" s="17" t="s">
        <v>82</v>
      </c>
      <c r="K5761" s="19">
        <v>510</v>
      </c>
      <c r="L5761" s="19">
        <v>50</v>
      </c>
      <c r="M5761" s="19">
        <v>5800</v>
      </c>
      <c r="N5761" s="19" t="s">
        <v>40</v>
      </c>
      <c r="O5761" s="19" t="s">
        <v>141</v>
      </c>
      <c r="P5761" s="19">
        <v>2000</v>
      </c>
      <c r="Q5761" s="19">
        <v>1500</v>
      </c>
      <c r="R5761" s="19">
        <f t="shared" si="258"/>
        <v>500</v>
      </c>
      <c r="S5761" s="19">
        <v>2730</v>
      </c>
      <c r="T5761" s="91" t="s">
        <v>42</v>
      </c>
      <c r="U5761" s="102" t="s">
        <v>1448</v>
      </c>
      <c r="V5761" s="186">
        <v>45410</v>
      </c>
      <c r="W5761" s="17" t="s">
        <v>69</v>
      </c>
      <c r="Y5761" s="68">
        <v>45474</v>
      </c>
      <c r="Z5761" s="17" t="s">
        <v>1442</v>
      </c>
      <c r="AA5761" s="17" t="s">
        <v>46</v>
      </c>
      <c r="AB5761" s="17" t="s">
        <v>1443</v>
      </c>
      <c r="AC5761" s="217">
        <v>45498</v>
      </c>
      <c r="AD5761" s="65">
        <v>1609</v>
      </c>
      <c r="AE5761" s="17" t="s">
        <v>48</v>
      </c>
    </row>
    <row r="5762" s="17" customFormat="1" hidden="1" spans="1:33">
      <c r="A5762" s="17" t="s">
        <v>34</v>
      </c>
      <c r="B5762" s="19">
        <v>1005</v>
      </c>
      <c r="C5762" s="183">
        <v>45410</v>
      </c>
      <c r="D5762" s="17" t="s">
        <v>109</v>
      </c>
      <c r="E5762" s="17" t="s">
        <v>110</v>
      </c>
      <c r="F5762" s="17" t="s">
        <v>72</v>
      </c>
      <c r="H5762" s="141">
        <v>1.2344</v>
      </c>
      <c r="I5762" s="141"/>
      <c r="J5762" s="17" t="s">
        <v>82</v>
      </c>
      <c r="K5762" s="19">
        <v>510</v>
      </c>
      <c r="L5762" s="19">
        <v>65</v>
      </c>
      <c r="M5762" s="19">
        <v>5800</v>
      </c>
      <c r="N5762" s="19" t="s">
        <v>40</v>
      </c>
      <c r="O5762" s="19" t="s">
        <v>141</v>
      </c>
      <c r="P5762" s="19">
        <v>3000</v>
      </c>
      <c r="Q5762" s="19">
        <f>988+934+930</f>
        <v>2852</v>
      </c>
      <c r="R5762" s="19">
        <f t="shared" si="258"/>
        <v>148</v>
      </c>
      <c r="S5762" s="19">
        <v>2730</v>
      </c>
      <c r="T5762" s="91" t="s">
        <v>42</v>
      </c>
      <c r="U5762" s="102" t="s">
        <v>1448</v>
      </c>
      <c r="V5762" s="186">
        <v>45410</v>
      </c>
      <c r="W5762" s="17" t="s">
        <v>69</v>
      </c>
      <c r="Y5762" s="68">
        <v>45474</v>
      </c>
      <c r="Z5762" s="17" t="s">
        <v>1442</v>
      </c>
      <c r="AA5762" s="17" t="s">
        <v>46</v>
      </c>
      <c r="AB5762" s="17" t="s">
        <v>1444</v>
      </c>
      <c r="AC5762" s="217">
        <v>45593</v>
      </c>
      <c r="AD5762" s="65">
        <v>1643</v>
      </c>
      <c r="AE5762" s="17" t="s">
        <v>48</v>
      </c>
    </row>
    <row r="5763" s="17" customFormat="1" hidden="1" spans="1:33">
      <c r="A5763" s="17" t="s">
        <v>34</v>
      </c>
      <c r="B5763" s="19">
        <v>1005</v>
      </c>
      <c r="C5763" s="183">
        <v>45410</v>
      </c>
      <c r="D5763" s="17" t="s">
        <v>109</v>
      </c>
      <c r="E5763" s="17" t="s">
        <v>110</v>
      </c>
      <c r="F5763" s="17" t="s">
        <v>72</v>
      </c>
      <c r="H5763" s="141">
        <v>1.2344</v>
      </c>
      <c r="I5763" s="141"/>
      <c r="J5763" s="17" t="s">
        <v>82</v>
      </c>
      <c r="K5763" s="19">
        <v>510</v>
      </c>
      <c r="L5763" s="19">
        <v>105</v>
      </c>
      <c r="M5763" s="19">
        <v>5800</v>
      </c>
      <c r="N5763" s="19" t="s">
        <v>40</v>
      </c>
      <c r="O5763" s="19" t="s">
        <v>141</v>
      </c>
      <c r="P5763" s="19">
        <v>3000</v>
      </c>
      <c r="Q5763" s="19">
        <v>2708</v>
      </c>
      <c r="R5763" s="19">
        <f t="shared" si="258"/>
        <v>292</v>
      </c>
      <c r="S5763" s="19">
        <v>2730</v>
      </c>
      <c r="T5763" s="91" t="s">
        <v>42</v>
      </c>
      <c r="U5763" s="102" t="s">
        <v>1448</v>
      </c>
      <c r="V5763" s="186">
        <v>45410</v>
      </c>
      <c r="W5763" s="17" t="s">
        <v>69</v>
      </c>
      <c r="Y5763" s="68">
        <v>45474</v>
      </c>
      <c r="Z5763" s="17" t="s">
        <v>1442</v>
      </c>
      <c r="AA5763" s="17" t="s">
        <v>46</v>
      </c>
      <c r="AB5763" s="17" t="s">
        <v>1443</v>
      </c>
      <c r="AC5763" s="217">
        <v>45498</v>
      </c>
      <c r="AD5763" s="65">
        <v>1609</v>
      </c>
      <c r="AE5763" s="17" t="s">
        <v>48</v>
      </c>
    </row>
    <row r="5764" s="17" customFormat="1" hidden="1" spans="1:33">
      <c r="A5764" s="17" t="s">
        <v>34</v>
      </c>
      <c r="B5764" s="19">
        <v>1006</v>
      </c>
      <c r="C5764" s="183">
        <v>45412</v>
      </c>
      <c r="D5764" s="17" t="s">
        <v>109</v>
      </c>
      <c r="E5764" s="17" t="s">
        <v>110</v>
      </c>
      <c r="F5764" s="17" t="s">
        <v>72</v>
      </c>
      <c r="H5764" s="141">
        <v>1.2379</v>
      </c>
      <c r="I5764" s="141"/>
      <c r="J5764" s="17" t="s">
        <v>39</v>
      </c>
      <c r="K5764" s="19">
        <v>83</v>
      </c>
      <c r="L5764" s="19"/>
      <c r="M5764" s="19">
        <v>5800</v>
      </c>
      <c r="N5764" s="19" t="s">
        <v>40</v>
      </c>
      <c r="O5764" s="19" t="s">
        <v>84</v>
      </c>
      <c r="P5764" s="19">
        <v>7000</v>
      </c>
      <c r="Q5764" s="19">
        <f>1432+1424</f>
        <v>2856</v>
      </c>
      <c r="S5764" s="19">
        <v>2775</v>
      </c>
      <c r="T5764" s="91" t="s">
        <v>42</v>
      </c>
      <c r="U5764" s="102" t="s">
        <v>1449</v>
      </c>
      <c r="V5764" s="186">
        <v>45412</v>
      </c>
      <c r="W5764" s="17" t="s">
        <v>69</v>
      </c>
      <c r="Y5764" s="68">
        <v>45505</v>
      </c>
      <c r="Z5764" s="17" t="s">
        <v>1442</v>
      </c>
      <c r="AA5764" s="17" t="s">
        <v>46</v>
      </c>
      <c r="AB5764" s="17" t="s">
        <v>1450</v>
      </c>
      <c r="AC5764" s="217">
        <v>45532</v>
      </c>
      <c r="AD5764" s="65">
        <v>1622</v>
      </c>
      <c r="AE5764" s="17" t="s">
        <v>1451</v>
      </c>
    </row>
    <row r="5765" s="17" customFormat="1" hidden="1" spans="1:33">
      <c r="A5765" s="17" t="s">
        <v>34</v>
      </c>
      <c r="B5765" s="19">
        <v>1006</v>
      </c>
      <c r="C5765" s="183">
        <v>45412</v>
      </c>
      <c r="D5765" s="17" t="s">
        <v>109</v>
      </c>
      <c r="E5765" s="17" t="s">
        <v>110</v>
      </c>
      <c r="F5765" s="17" t="s">
        <v>72</v>
      </c>
      <c r="H5765" s="141">
        <v>1.2379</v>
      </c>
      <c r="I5765" s="141"/>
      <c r="J5765" s="17" t="s">
        <v>39</v>
      </c>
      <c r="K5765" s="19">
        <v>83</v>
      </c>
      <c r="L5765" s="19"/>
      <c r="M5765" s="19">
        <v>5800</v>
      </c>
      <c r="N5765" s="19" t="s">
        <v>40</v>
      </c>
      <c r="O5765" s="19" t="s">
        <v>84</v>
      </c>
      <c r="P5765" s="19"/>
      <c r="Q5765" s="19">
        <v>4272</v>
      </c>
      <c r="R5765" s="19">
        <f>+P5764-Q5764-Q5765</f>
        <v>-128</v>
      </c>
      <c r="S5765" s="19">
        <v>2775</v>
      </c>
      <c r="T5765" s="91" t="s">
        <v>42</v>
      </c>
      <c r="U5765" s="102" t="s">
        <v>1449</v>
      </c>
      <c r="V5765" s="186">
        <v>45412</v>
      </c>
      <c r="W5765" s="17" t="s">
        <v>69</v>
      </c>
      <c r="Y5765" s="68">
        <v>45505</v>
      </c>
      <c r="Z5765" s="17" t="s">
        <v>1442</v>
      </c>
      <c r="AA5765" s="17" t="s">
        <v>46</v>
      </c>
      <c r="AB5765" s="17" t="s">
        <v>1452</v>
      </c>
      <c r="AC5765" s="217">
        <v>45539</v>
      </c>
      <c r="AD5765" s="65">
        <v>1624</v>
      </c>
      <c r="AE5765" s="17" t="s">
        <v>1451</v>
      </c>
    </row>
    <row r="5766" s="17" customFormat="1" hidden="1" spans="1:33">
      <c r="A5766" s="17" t="s">
        <v>34</v>
      </c>
      <c r="B5766" s="19">
        <v>1006</v>
      </c>
      <c r="C5766" s="183">
        <v>45412</v>
      </c>
      <c r="D5766" s="17" t="s">
        <v>109</v>
      </c>
      <c r="E5766" s="17" t="s">
        <v>110</v>
      </c>
      <c r="F5766" s="17" t="s">
        <v>72</v>
      </c>
      <c r="H5766" s="141">
        <v>1.2379</v>
      </c>
      <c r="I5766" s="141"/>
      <c r="J5766" s="17" t="s">
        <v>39</v>
      </c>
      <c r="K5766" s="19">
        <v>100</v>
      </c>
      <c r="L5766" s="19"/>
      <c r="M5766" s="19">
        <v>5800</v>
      </c>
      <c r="N5766" s="19" t="s">
        <v>40</v>
      </c>
      <c r="O5766" s="19" t="s">
        <v>84</v>
      </c>
      <c r="P5766" s="19">
        <v>3000</v>
      </c>
      <c r="Q5766" s="19">
        <f>754+1770+400</f>
        <v>2924</v>
      </c>
      <c r="R5766" s="19">
        <f t="shared" ref="R5766:R5797" si="259">+P5766-Q5766</f>
        <v>76</v>
      </c>
      <c r="S5766" s="19">
        <v>2745</v>
      </c>
      <c r="T5766" s="91" t="s">
        <v>42</v>
      </c>
      <c r="U5766" s="102" t="s">
        <v>1449</v>
      </c>
      <c r="V5766" s="186">
        <v>45412</v>
      </c>
      <c r="W5766" s="17" t="s">
        <v>69</v>
      </c>
      <c r="Y5766" s="68">
        <v>45505</v>
      </c>
      <c r="Z5766" s="17" t="s">
        <v>1442</v>
      </c>
      <c r="AA5766" s="17" t="s">
        <v>46</v>
      </c>
      <c r="AB5766" s="17" t="s">
        <v>1450</v>
      </c>
      <c r="AC5766" s="217">
        <v>45532</v>
      </c>
      <c r="AD5766" s="65">
        <v>1622</v>
      </c>
      <c r="AE5766" s="17" t="s">
        <v>1451</v>
      </c>
    </row>
    <row r="5767" s="17" customFormat="1" hidden="1" spans="1:33">
      <c r="A5767" s="17" t="s">
        <v>34</v>
      </c>
      <c r="B5767" s="19">
        <v>1006</v>
      </c>
      <c r="C5767" s="183">
        <v>45412</v>
      </c>
      <c r="D5767" s="17" t="s">
        <v>109</v>
      </c>
      <c r="E5767" s="17" t="s">
        <v>110</v>
      </c>
      <c r="F5767" s="17" t="s">
        <v>72</v>
      </c>
      <c r="H5767" s="141">
        <v>1.2379</v>
      </c>
      <c r="I5767" s="141"/>
      <c r="J5767" s="17" t="s">
        <v>39</v>
      </c>
      <c r="K5767" s="19">
        <v>123</v>
      </c>
      <c r="L5767" s="19"/>
      <c r="M5767" s="19">
        <v>5800</v>
      </c>
      <c r="N5767" s="19" t="s">
        <v>40</v>
      </c>
      <c r="O5767" s="19" t="s">
        <v>84</v>
      </c>
      <c r="P5767" s="19">
        <v>7000</v>
      </c>
      <c r="Q5767" s="19">
        <v>6462</v>
      </c>
      <c r="R5767" s="19">
        <f t="shared" si="259"/>
        <v>538</v>
      </c>
      <c r="S5767" s="19">
        <v>2745</v>
      </c>
      <c r="T5767" s="91" t="s">
        <v>42</v>
      </c>
      <c r="U5767" s="102" t="s">
        <v>1449</v>
      </c>
      <c r="V5767" s="186">
        <v>45412</v>
      </c>
      <c r="W5767" s="17" t="s">
        <v>69</v>
      </c>
      <c r="Y5767" s="68">
        <v>45505</v>
      </c>
      <c r="Z5767" s="17" t="s">
        <v>1442</v>
      </c>
      <c r="AA5767" s="17" t="s">
        <v>46</v>
      </c>
      <c r="AB5767" s="17" t="s">
        <v>1452</v>
      </c>
      <c r="AC5767" s="217">
        <v>45539</v>
      </c>
      <c r="AD5767" s="65">
        <v>1624</v>
      </c>
      <c r="AE5767" s="17" t="s">
        <v>1451</v>
      </c>
    </row>
    <row r="5768" s="17" customFormat="1" hidden="1" spans="1:33">
      <c r="A5768" s="17" t="s">
        <v>34</v>
      </c>
      <c r="B5768" s="19">
        <v>1006</v>
      </c>
      <c r="C5768" s="183">
        <v>45412</v>
      </c>
      <c r="D5768" s="17" t="s">
        <v>109</v>
      </c>
      <c r="E5768" s="17" t="s">
        <v>110</v>
      </c>
      <c r="F5768" s="17" t="s">
        <v>72</v>
      </c>
      <c r="H5768" s="141">
        <v>1.2379</v>
      </c>
      <c r="I5768" s="141"/>
      <c r="J5768" s="17" t="s">
        <v>39</v>
      </c>
      <c r="K5768" s="19">
        <v>125</v>
      </c>
      <c r="L5768" s="19"/>
      <c r="M5768" s="19">
        <v>5800</v>
      </c>
      <c r="N5768" s="19" t="s">
        <v>40</v>
      </c>
      <c r="O5768" s="19" t="s">
        <v>84</v>
      </c>
      <c r="P5768" s="19">
        <v>3000</v>
      </c>
      <c r="Q5768" s="19">
        <f>1456+1358</f>
        <v>2814</v>
      </c>
      <c r="R5768" s="19">
        <f t="shared" si="259"/>
        <v>186</v>
      </c>
      <c r="S5768" s="19">
        <v>2745</v>
      </c>
      <c r="T5768" s="91" t="s">
        <v>42</v>
      </c>
      <c r="U5768" s="102" t="s">
        <v>1449</v>
      </c>
      <c r="V5768" s="186">
        <v>45412</v>
      </c>
      <c r="W5768" s="17" t="s">
        <v>69</v>
      </c>
      <c r="Y5768" s="68">
        <v>45505</v>
      </c>
      <c r="Z5768" s="17" t="s">
        <v>1442</v>
      </c>
      <c r="AA5768" s="17" t="s">
        <v>46</v>
      </c>
      <c r="AB5768" s="17" t="s">
        <v>1450</v>
      </c>
      <c r="AC5768" s="217">
        <v>45532</v>
      </c>
      <c r="AD5768" s="65">
        <v>1622</v>
      </c>
      <c r="AE5768" s="17" t="s">
        <v>1451</v>
      </c>
    </row>
    <row r="5769" s="17" customFormat="1" hidden="1" spans="1:33">
      <c r="A5769" s="17" t="s">
        <v>34</v>
      </c>
      <c r="B5769" s="19">
        <v>1006</v>
      </c>
      <c r="C5769" s="183">
        <v>45412</v>
      </c>
      <c r="D5769" s="17" t="s">
        <v>109</v>
      </c>
      <c r="E5769" s="17" t="s">
        <v>110</v>
      </c>
      <c r="F5769" s="17" t="s">
        <v>72</v>
      </c>
      <c r="H5769" s="141">
        <v>1.2379</v>
      </c>
      <c r="I5769" s="141"/>
      <c r="J5769" s="17" t="s">
        <v>39</v>
      </c>
      <c r="K5769" s="19">
        <v>81</v>
      </c>
      <c r="L5769" s="19"/>
      <c r="M5769" s="19">
        <v>5800</v>
      </c>
      <c r="N5769" s="19" t="s">
        <v>40</v>
      </c>
      <c r="O5769" s="19" t="s">
        <v>84</v>
      </c>
      <c r="P5769" s="19">
        <v>3000</v>
      </c>
      <c r="Q5769" s="19">
        <f>2400+918</f>
        <v>3318</v>
      </c>
      <c r="R5769" s="19">
        <f t="shared" si="259"/>
        <v>-318</v>
      </c>
      <c r="S5769" s="19">
        <v>2775</v>
      </c>
      <c r="T5769" s="91" t="s">
        <v>42</v>
      </c>
      <c r="U5769" s="102" t="s">
        <v>1449</v>
      </c>
      <c r="V5769" s="186">
        <v>45412</v>
      </c>
      <c r="W5769" s="17" t="s">
        <v>69</v>
      </c>
      <c r="Y5769" s="68">
        <v>45505</v>
      </c>
      <c r="Z5769" s="17" t="s">
        <v>1442</v>
      </c>
      <c r="AA5769" s="17" t="s">
        <v>46</v>
      </c>
      <c r="AB5769" s="17" t="s">
        <v>1450</v>
      </c>
      <c r="AC5769" s="217">
        <v>45532</v>
      </c>
      <c r="AD5769" s="65">
        <v>1622</v>
      </c>
      <c r="AE5769" s="17" t="s">
        <v>48</v>
      </c>
    </row>
    <row r="5770" s="17" customFormat="1" hidden="1" spans="1:33">
      <c r="A5770" s="17" t="s">
        <v>34</v>
      </c>
      <c r="B5770" s="19">
        <v>1006</v>
      </c>
      <c r="C5770" s="183">
        <v>45412</v>
      </c>
      <c r="D5770" s="17" t="s">
        <v>109</v>
      </c>
      <c r="E5770" s="17" t="s">
        <v>110</v>
      </c>
      <c r="F5770" s="17" t="s">
        <v>72</v>
      </c>
      <c r="H5770" s="141">
        <v>1.2379</v>
      </c>
      <c r="I5770" s="141"/>
      <c r="J5770" s="17" t="s">
        <v>39</v>
      </c>
      <c r="K5770" s="19">
        <v>91</v>
      </c>
      <c r="L5770" s="19"/>
      <c r="M5770" s="19">
        <v>5800</v>
      </c>
      <c r="N5770" s="19" t="s">
        <v>40</v>
      </c>
      <c r="O5770" s="19" t="s">
        <v>84</v>
      </c>
      <c r="P5770" s="19">
        <v>3000</v>
      </c>
      <c r="Q5770" s="19">
        <f>975+1955</f>
        <v>2930</v>
      </c>
      <c r="R5770" s="19">
        <f t="shared" si="259"/>
        <v>70</v>
      </c>
      <c r="S5770" s="19">
        <v>2745</v>
      </c>
      <c r="T5770" s="91" t="s">
        <v>42</v>
      </c>
      <c r="U5770" s="102" t="s">
        <v>1449</v>
      </c>
      <c r="V5770" s="186">
        <v>45412</v>
      </c>
      <c r="W5770" s="17" t="s">
        <v>69</v>
      </c>
      <c r="Y5770" s="68">
        <v>45505</v>
      </c>
      <c r="Z5770" s="17" t="s">
        <v>1442</v>
      </c>
      <c r="AA5770" s="17" t="s">
        <v>46</v>
      </c>
      <c r="AB5770" s="17" t="s">
        <v>1450</v>
      </c>
      <c r="AC5770" s="217">
        <v>45532</v>
      </c>
      <c r="AD5770" s="65">
        <v>1622</v>
      </c>
      <c r="AE5770" s="17" t="s">
        <v>48</v>
      </c>
    </row>
    <row r="5771" s="17" customFormat="1" hidden="1" spans="1:33">
      <c r="A5771" s="17" t="s">
        <v>34</v>
      </c>
      <c r="B5771" s="19">
        <v>1006</v>
      </c>
      <c r="C5771" s="183">
        <v>45412</v>
      </c>
      <c r="D5771" s="17" t="s">
        <v>109</v>
      </c>
      <c r="E5771" s="17" t="s">
        <v>110</v>
      </c>
      <c r="F5771" s="17" t="s">
        <v>72</v>
      </c>
      <c r="H5771" s="141">
        <v>1.2379</v>
      </c>
      <c r="I5771" s="141"/>
      <c r="J5771" s="17" t="s">
        <v>39</v>
      </c>
      <c r="K5771" s="19">
        <v>101</v>
      </c>
      <c r="L5771" s="19"/>
      <c r="M5771" s="19">
        <v>5800</v>
      </c>
      <c r="N5771" s="19" t="s">
        <v>40</v>
      </c>
      <c r="O5771" s="19" t="s">
        <v>84</v>
      </c>
      <c r="P5771" s="19">
        <v>3000</v>
      </c>
      <c r="Q5771" s="19">
        <f>312+1814</f>
        <v>2126</v>
      </c>
      <c r="R5771" s="75">
        <f t="shared" si="259"/>
        <v>874</v>
      </c>
      <c r="S5771" s="19">
        <v>2745</v>
      </c>
      <c r="T5771" s="91" t="s">
        <v>42</v>
      </c>
      <c r="U5771" s="102" t="s">
        <v>1449</v>
      </c>
      <c r="V5771" s="186">
        <v>45412</v>
      </c>
      <c r="W5771" s="17" t="s">
        <v>69</v>
      </c>
      <c r="Y5771" s="68">
        <v>45505</v>
      </c>
      <c r="Z5771" s="17" t="s">
        <v>1442</v>
      </c>
      <c r="AA5771" s="17" t="s">
        <v>46</v>
      </c>
      <c r="AB5771" s="17" t="s">
        <v>1450</v>
      </c>
      <c r="AC5771" s="217">
        <v>45532</v>
      </c>
      <c r="AD5771" s="65">
        <v>1622</v>
      </c>
      <c r="AE5771" s="17" t="s">
        <v>48</v>
      </c>
    </row>
    <row r="5772" s="17" customFormat="1" hidden="1" spans="1:33">
      <c r="A5772" s="17" t="s">
        <v>34</v>
      </c>
      <c r="B5772" s="19">
        <v>1006</v>
      </c>
      <c r="C5772" s="183">
        <v>45412</v>
      </c>
      <c r="D5772" s="17" t="s">
        <v>109</v>
      </c>
      <c r="E5772" s="17" t="s">
        <v>110</v>
      </c>
      <c r="F5772" s="17" t="s">
        <v>72</v>
      </c>
      <c r="H5772" s="141">
        <v>1.2379</v>
      </c>
      <c r="I5772" s="141"/>
      <c r="J5772" s="17" t="s">
        <v>39</v>
      </c>
      <c r="K5772" s="19">
        <v>105</v>
      </c>
      <c r="L5772" s="19"/>
      <c r="M5772" s="19">
        <v>5800</v>
      </c>
      <c r="N5772" s="19" t="s">
        <v>40</v>
      </c>
      <c r="O5772" s="19" t="s">
        <v>84</v>
      </c>
      <c r="P5772" s="19">
        <v>3000</v>
      </c>
      <c r="Q5772" s="19">
        <f>1564+1573</f>
        <v>3137</v>
      </c>
      <c r="R5772" s="19">
        <f t="shared" si="259"/>
        <v>-137</v>
      </c>
      <c r="S5772" s="19">
        <v>2745</v>
      </c>
      <c r="T5772" s="91" t="s">
        <v>42</v>
      </c>
      <c r="U5772" s="102" t="s">
        <v>1449</v>
      </c>
      <c r="V5772" s="186">
        <v>45412</v>
      </c>
      <c r="W5772" s="17" t="s">
        <v>69</v>
      </c>
      <c r="Y5772" s="68">
        <v>45505</v>
      </c>
      <c r="Z5772" s="17" t="s">
        <v>1442</v>
      </c>
      <c r="AA5772" s="17" t="s">
        <v>46</v>
      </c>
      <c r="AB5772" s="17" t="s">
        <v>1450</v>
      </c>
      <c r="AC5772" s="217">
        <v>45532</v>
      </c>
      <c r="AD5772" s="65">
        <v>1622</v>
      </c>
      <c r="AE5772" s="17" t="s">
        <v>48</v>
      </c>
    </row>
    <row r="5773" s="17" customFormat="1" hidden="1" spans="1:33">
      <c r="A5773" s="17" t="s">
        <v>34</v>
      </c>
      <c r="B5773" s="19">
        <v>1006</v>
      </c>
      <c r="C5773" s="183">
        <v>45412</v>
      </c>
      <c r="D5773" s="17" t="s">
        <v>109</v>
      </c>
      <c r="E5773" s="17" t="s">
        <v>110</v>
      </c>
      <c r="F5773" s="17" t="s">
        <v>72</v>
      </c>
      <c r="H5773" s="141">
        <v>1.2379</v>
      </c>
      <c r="I5773" s="141"/>
      <c r="J5773" s="17" t="s">
        <v>39</v>
      </c>
      <c r="K5773" s="19">
        <v>111</v>
      </c>
      <c r="L5773" s="19"/>
      <c r="M5773" s="19">
        <v>5800</v>
      </c>
      <c r="N5773" s="19" t="s">
        <v>40</v>
      </c>
      <c r="O5773" s="19" t="s">
        <v>84</v>
      </c>
      <c r="P5773" s="19">
        <v>3000</v>
      </c>
      <c r="Q5773" s="19">
        <f>1312+1595</f>
        <v>2907</v>
      </c>
      <c r="R5773" s="19">
        <f t="shared" si="259"/>
        <v>93</v>
      </c>
      <c r="S5773" s="19">
        <v>2745</v>
      </c>
      <c r="T5773" s="91" t="s">
        <v>42</v>
      </c>
      <c r="U5773" s="102" t="s">
        <v>1449</v>
      </c>
      <c r="V5773" s="186">
        <v>45412</v>
      </c>
      <c r="W5773" s="17" t="s">
        <v>69</v>
      </c>
      <c r="Y5773" s="68">
        <v>45505</v>
      </c>
      <c r="Z5773" s="17" t="s">
        <v>1442</v>
      </c>
      <c r="AA5773" s="17" t="s">
        <v>46</v>
      </c>
      <c r="AB5773" s="17" t="s">
        <v>1450</v>
      </c>
      <c r="AC5773" s="217">
        <v>45532</v>
      </c>
      <c r="AD5773" s="65">
        <v>1622</v>
      </c>
      <c r="AE5773" s="17" t="s">
        <v>48</v>
      </c>
    </row>
    <row r="5774" s="17" customFormat="1" hidden="1" spans="1:33">
      <c r="A5774" s="17" t="s">
        <v>34</v>
      </c>
      <c r="B5774" s="19">
        <v>1006</v>
      </c>
      <c r="C5774" s="183">
        <v>45412</v>
      </c>
      <c r="D5774" s="17" t="s">
        <v>109</v>
      </c>
      <c r="E5774" s="17" t="s">
        <v>110</v>
      </c>
      <c r="F5774" s="17" t="s">
        <v>72</v>
      </c>
      <c r="H5774" s="141">
        <v>1.2379</v>
      </c>
      <c r="I5774" s="141"/>
      <c r="J5774" s="17" t="s">
        <v>39</v>
      </c>
      <c r="K5774" s="19">
        <v>115</v>
      </c>
      <c r="L5774" s="19"/>
      <c r="M5774" s="19">
        <v>5800</v>
      </c>
      <c r="N5774" s="19" t="s">
        <v>40</v>
      </c>
      <c r="O5774" s="19" t="s">
        <v>84</v>
      </c>
      <c r="P5774" s="19">
        <v>1000</v>
      </c>
      <c r="Q5774" s="19">
        <v>1062</v>
      </c>
      <c r="R5774" s="19">
        <f t="shared" si="259"/>
        <v>-62</v>
      </c>
      <c r="S5774" s="19">
        <v>2745</v>
      </c>
      <c r="T5774" s="91" t="s">
        <v>42</v>
      </c>
      <c r="U5774" s="102" t="s">
        <v>1449</v>
      </c>
      <c r="V5774" s="186">
        <v>45412</v>
      </c>
      <c r="W5774" s="17" t="s">
        <v>69</v>
      </c>
      <c r="Y5774" s="68">
        <v>45505</v>
      </c>
      <c r="Z5774" s="17" t="s">
        <v>1442</v>
      </c>
      <c r="AA5774" s="17" t="s">
        <v>46</v>
      </c>
      <c r="AB5774" s="17" t="s">
        <v>1450</v>
      </c>
      <c r="AC5774" s="217">
        <v>45532</v>
      </c>
      <c r="AD5774" s="65">
        <v>1622</v>
      </c>
      <c r="AE5774" s="17" t="s">
        <v>48</v>
      </c>
    </row>
    <row r="5775" s="17" customFormat="1" hidden="1" spans="1:33">
      <c r="A5775" s="17" t="s">
        <v>34</v>
      </c>
      <c r="B5775" s="19">
        <v>1006</v>
      </c>
      <c r="C5775" s="183">
        <v>45412</v>
      </c>
      <c r="D5775" s="17" t="s">
        <v>109</v>
      </c>
      <c r="E5775" s="17" t="s">
        <v>110</v>
      </c>
      <c r="F5775" s="17" t="s">
        <v>72</v>
      </c>
      <c r="H5775" s="141">
        <v>1.2379</v>
      </c>
      <c r="I5775" s="141"/>
      <c r="J5775" s="17" t="s">
        <v>39</v>
      </c>
      <c r="K5775" s="147">
        <v>121</v>
      </c>
      <c r="L5775" s="147"/>
      <c r="M5775" s="19">
        <v>5800</v>
      </c>
      <c r="N5775" s="19" t="s">
        <v>40</v>
      </c>
      <c r="O5775" s="19" t="s">
        <v>84</v>
      </c>
      <c r="P5775" s="147">
        <v>3000</v>
      </c>
      <c r="Q5775" s="147">
        <f>1332+1346</f>
        <v>2678</v>
      </c>
      <c r="R5775" s="19">
        <f t="shared" si="259"/>
        <v>322</v>
      </c>
      <c r="S5775" s="19">
        <v>2745</v>
      </c>
      <c r="T5775" s="91" t="s">
        <v>42</v>
      </c>
      <c r="U5775" s="102" t="s">
        <v>1449</v>
      </c>
      <c r="V5775" s="186">
        <v>45412</v>
      </c>
      <c r="W5775" s="17" t="s">
        <v>69</v>
      </c>
      <c r="Y5775" s="68">
        <v>45505</v>
      </c>
      <c r="Z5775" s="17" t="s">
        <v>1442</v>
      </c>
      <c r="AA5775" s="17" t="s">
        <v>46</v>
      </c>
      <c r="AB5775" s="17" t="s">
        <v>1450</v>
      </c>
      <c r="AC5775" s="217">
        <v>45532</v>
      </c>
      <c r="AD5775" s="65">
        <v>1622</v>
      </c>
      <c r="AE5775" s="17" t="s">
        <v>48</v>
      </c>
    </row>
    <row r="5776" s="17" customFormat="1" hidden="1" spans="1:33">
      <c r="A5776" s="17" t="s">
        <v>34</v>
      </c>
      <c r="B5776" s="19">
        <v>1007</v>
      </c>
      <c r="C5776" s="183">
        <v>45412</v>
      </c>
      <c r="D5776" s="17" t="s">
        <v>109</v>
      </c>
      <c r="E5776" s="17" t="s">
        <v>110</v>
      </c>
      <c r="F5776" s="17" t="s">
        <v>72</v>
      </c>
      <c r="H5776" s="141">
        <v>1.2316</v>
      </c>
      <c r="I5776" s="328"/>
      <c r="J5776" s="185" t="s">
        <v>39</v>
      </c>
      <c r="K5776" s="19">
        <v>45</v>
      </c>
      <c r="L5776" s="19"/>
      <c r="M5776" s="19">
        <v>5800</v>
      </c>
      <c r="N5776" s="19" t="s">
        <v>66</v>
      </c>
      <c r="O5776" s="19" t="s">
        <v>84</v>
      </c>
      <c r="P5776" s="19">
        <v>1000</v>
      </c>
      <c r="Q5776" s="19">
        <v>1168</v>
      </c>
      <c r="R5776" s="19">
        <f t="shared" si="259"/>
        <v>-168</v>
      </c>
      <c r="S5776" s="19">
        <f t="shared" ref="S5776:S5788" si="260">3175-201</f>
        <v>2974</v>
      </c>
      <c r="T5776" s="91" t="s">
        <v>42</v>
      </c>
      <c r="U5776" s="336" t="s">
        <v>1453</v>
      </c>
      <c r="V5776" s="337">
        <v>45791</v>
      </c>
      <c r="W5776" s="17" t="s">
        <v>44</v>
      </c>
      <c r="Y5776" s="68">
        <v>45809</v>
      </c>
      <c r="Z5776" s="17" t="s">
        <v>1454</v>
      </c>
      <c r="AA5776" s="17" t="s">
        <v>46</v>
      </c>
      <c r="AB5776" s="17" t="s">
        <v>1455</v>
      </c>
      <c r="AC5776" s="217">
        <v>45912</v>
      </c>
      <c r="AD5776" s="65">
        <v>1730</v>
      </c>
      <c r="AE5776" s="17" t="s">
        <v>48</v>
      </c>
      <c r="AG5776" s="17" t="s">
        <v>1456</v>
      </c>
    </row>
    <row r="5777" s="17" customFormat="1" hidden="1" spans="1:33">
      <c r="A5777" s="17" t="s">
        <v>34</v>
      </c>
      <c r="B5777" s="19">
        <v>1007</v>
      </c>
      <c r="C5777" s="183">
        <v>45412</v>
      </c>
      <c r="D5777" s="17" t="s">
        <v>109</v>
      </c>
      <c r="E5777" s="17" t="s">
        <v>110</v>
      </c>
      <c r="F5777" s="17" t="s">
        <v>72</v>
      </c>
      <c r="H5777" s="141">
        <v>1.2316</v>
      </c>
      <c r="I5777" s="328"/>
      <c r="J5777" s="185" t="s">
        <v>39</v>
      </c>
      <c r="K5777" s="19">
        <v>51</v>
      </c>
      <c r="L5777" s="19"/>
      <c r="M5777" s="19">
        <v>5800</v>
      </c>
      <c r="N5777" s="19" t="s">
        <v>66</v>
      </c>
      <c r="O5777" s="19" t="s">
        <v>84</v>
      </c>
      <c r="P5777" s="19">
        <v>1000</v>
      </c>
      <c r="Q5777" s="19">
        <v>880</v>
      </c>
      <c r="R5777" s="19">
        <f t="shared" si="259"/>
        <v>120</v>
      </c>
      <c r="S5777" s="19">
        <f t="shared" si="260"/>
        <v>2974</v>
      </c>
      <c r="T5777" s="91" t="s">
        <v>42</v>
      </c>
      <c r="U5777" s="336" t="s">
        <v>1453</v>
      </c>
      <c r="V5777" s="337">
        <v>45791</v>
      </c>
      <c r="W5777" s="17" t="s">
        <v>44</v>
      </c>
      <c r="Y5777" s="68">
        <v>45809</v>
      </c>
      <c r="Z5777" s="17" t="s">
        <v>1454</v>
      </c>
      <c r="AA5777" s="17" t="s">
        <v>46</v>
      </c>
      <c r="AB5777" s="17" t="s">
        <v>1455</v>
      </c>
      <c r="AC5777" s="217">
        <v>45912</v>
      </c>
      <c r="AD5777" s="65">
        <v>1730</v>
      </c>
      <c r="AE5777" s="17" t="s">
        <v>48</v>
      </c>
      <c r="AG5777" s="17" t="s">
        <v>1456</v>
      </c>
    </row>
    <row r="5778" s="17" customFormat="1" hidden="1" spans="1:33">
      <c r="A5778" s="17" t="s">
        <v>34</v>
      </c>
      <c r="B5778" s="19">
        <v>1007</v>
      </c>
      <c r="C5778" s="183">
        <v>45412</v>
      </c>
      <c r="D5778" s="17" t="s">
        <v>109</v>
      </c>
      <c r="E5778" s="17" t="s">
        <v>110</v>
      </c>
      <c r="F5778" s="17" t="s">
        <v>72</v>
      </c>
      <c r="H5778" s="141">
        <v>1.2316</v>
      </c>
      <c r="I5778" s="328"/>
      <c r="J5778" s="185" t="s">
        <v>39</v>
      </c>
      <c r="K5778" s="19">
        <v>56</v>
      </c>
      <c r="L5778" s="19"/>
      <c r="M5778" s="19">
        <v>5800</v>
      </c>
      <c r="N5778" s="19" t="s">
        <v>66</v>
      </c>
      <c r="O5778" s="19" t="s">
        <v>84</v>
      </c>
      <c r="P5778" s="19">
        <v>6000</v>
      </c>
      <c r="Q5778" s="19">
        <f>1260+1284+2448</f>
        <v>4992</v>
      </c>
      <c r="R5778" s="19">
        <f t="shared" si="259"/>
        <v>1008</v>
      </c>
      <c r="S5778" s="19">
        <f t="shared" si="260"/>
        <v>2974</v>
      </c>
      <c r="T5778" s="91" t="s">
        <v>42</v>
      </c>
      <c r="U5778" s="336" t="s">
        <v>1453</v>
      </c>
      <c r="V5778" s="337">
        <v>45791</v>
      </c>
      <c r="W5778" s="17" t="s">
        <v>44</v>
      </c>
      <c r="Y5778" s="68">
        <v>45809</v>
      </c>
      <c r="Z5778" s="17" t="s">
        <v>1454</v>
      </c>
      <c r="AA5778" s="17" t="s">
        <v>46</v>
      </c>
      <c r="AB5778" s="17" t="s">
        <v>1455</v>
      </c>
      <c r="AC5778" s="217">
        <v>45912</v>
      </c>
      <c r="AD5778" s="65">
        <v>1730</v>
      </c>
      <c r="AE5778" s="17" t="s">
        <v>48</v>
      </c>
      <c r="AG5778" s="17" t="s">
        <v>1456</v>
      </c>
    </row>
    <row r="5779" s="17" customFormat="1" hidden="1" spans="1:33">
      <c r="A5779" s="17" t="s">
        <v>34</v>
      </c>
      <c r="B5779" s="19">
        <v>1007</v>
      </c>
      <c r="C5779" s="183">
        <v>45412</v>
      </c>
      <c r="D5779" s="17" t="s">
        <v>109</v>
      </c>
      <c r="E5779" s="17" t="s">
        <v>110</v>
      </c>
      <c r="F5779" s="17" t="s">
        <v>72</v>
      </c>
      <c r="H5779" s="141">
        <v>1.2316</v>
      </c>
      <c r="I5779" s="328"/>
      <c r="J5779" s="185" t="s">
        <v>39</v>
      </c>
      <c r="K5779" s="19">
        <v>61</v>
      </c>
      <c r="L5779" s="19"/>
      <c r="M5779" s="19">
        <v>5800</v>
      </c>
      <c r="N5779" s="19" t="s">
        <v>66</v>
      </c>
      <c r="O5779" s="19" t="s">
        <v>84</v>
      </c>
      <c r="P5779" s="19">
        <v>1000</v>
      </c>
      <c r="Q5779" s="19">
        <v>1238</v>
      </c>
      <c r="R5779" s="19">
        <f t="shared" si="259"/>
        <v>-238</v>
      </c>
      <c r="S5779" s="19">
        <f t="shared" si="260"/>
        <v>2974</v>
      </c>
      <c r="T5779" s="91" t="s">
        <v>42</v>
      </c>
      <c r="U5779" s="336" t="s">
        <v>1453</v>
      </c>
      <c r="V5779" s="337">
        <v>45791</v>
      </c>
      <c r="W5779" s="17" t="s">
        <v>44</v>
      </c>
      <c r="Y5779" s="68">
        <v>45809</v>
      </c>
      <c r="Z5779" s="17" t="s">
        <v>1454</v>
      </c>
      <c r="AA5779" s="17" t="s">
        <v>46</v>
      </c>
      <c r="AB5779" s="17" t="s">
        <v>1455</v>
      </c>
      <c r="AC5779" s="217">
        <v>45912</v>
      </c>
      <c r="AD5779" s="65">
        <v>1730</v>
      </c>
      <c r="AE5779" s="17" t="s">
        <v>48</v>
      </c>
      <c r="AG5779" s="17" t="s">
        <v>1456</v>
      </c>
    </row>
    <row r="5780" s="17" customFormat="1" hidden="1" spans="1:33">
      <c r="A5780" s="17" t="s">
        <v>34</v>
      </c>
      <c r="B5780" s="19">
        <v>1007</v>
      </c>
      <c r="C5780" s="183">
        <v>45412</v>
      </c>
      <c r="D5780" s="17" t="s">
        <v>109</v>
      </c>
      <c r="E5780" s="17" t="s">
        <v>110</v>
      </c>
      <c r="F5780" s="17" t="s">
        <v>72</v>
      </c>
      <c r="H5780" s="141">
        <v>1.2316</v>
      </c>
      <c r="I5780" s="328"/>
      <c r="J5780" s="185" t="s">
        <v>39</v>
      </c>
      <c r="K5780" s="19">
        <v>66</v>
      </c>
      <c r="L5780" s="19"/>
      <c r="M5780" s="19">
        <v>5800</v>
      </c>
      <c r="N5780" s="19" t="s">
        <v>66</v>
      </c>
      <c r="O5780" s="19" t="s">
        <v>84</v>
      </c>
      <c r="P5780" s="19">
        <v>1000</v>
      </c>
      <c r="Q5780" s="19">
        <v>1182</v>
      </c>
      <c r="R5780" s="19">
        <f t="shared" si="259"/>
        <v>-182</v>
      </c>
      <c r="S5780" s="19">
        <f t="shared" si="260"/>
        <v>2974</v>
      </c>
      <c r="T5780" s="91" t="s">
        <v>42</v>
      </c>
      <c r="U5780" s="336" t="s">
        <v>1453</v>
      </c>
      <c r="V5780" s="337">
        <v>45791</v>
      </c>
      <c r="W5780" s="17" t="s">
        <v>44</v>
      </c>
      <c r="Y5780" s="68">
        <v>45809</v>
      </c>
      <c r="Z5780" s="17" t="s">
        <v>1454</v>
      </c>
      <c r="AA5780" s="17" t="s">
        <v>46</v>
      </c>
      <c r="AB5780" s="17" t="s">
        <v>1455</v>
      </c>
      <c r="AC5780" s="217">
        <v>45912</v>
      </c>
      <c r="AD5780" s="65">
        <v>1730</v>
      </c>
      <c r="AE5780" s="17" t="s">
        <v>48</v>
      </c>
      <c r="AG5780" s="17" t="s">
        <v>1456</v>
      </c>
    </row>
    <row r="5781" s="17" customFormat="1" hidden="1" spans="1:33">
      <c r="A5781" s="17" t="s">
        <v>34</v>
      </c>
      <c r="B5781" s="19">
        <v>1007</v>
      </c>
      <c r="C5781" s="183">
        <v>45412</v>
      </c>
      <c r="D5781" s="17" t="s">
        <v>109</v>
      </c>
      <c r="E5781" s="17" t="s">
        <v>110</v>
      </c>
      <c r="F5781" s="17" t="s">
        <v>72</v>
      </c>
      <c r="H5781" s="141">
        <v>1.2316</v>
      </c>
      <c r="I5781" s="328"/>
      <c r="J5781" s="185" t="s">
        <v>39</v>
      </c>
      <c r="K5781" s="19">
        <v>71</v>
      </c>
      <c r="L5781" s="19"/>
      <c r="M5781" s="19">
        <v>5800</v>
      </c>
      <c r="N5781" s="19" t="s">
        <v>66</v>
      </c>
      <c r="O5781" s="19" t="s">
        <v>84</v>
      </c>
      <c r="P5781" s="19">
        <v>2000</v>
      </c>
      <c r="Q5781" s="19">
        <v>2376</v>
      </c>
      <c r="R5781" s="19">
        <f t="shared" si="259"/>
        <v>-376</v>
      </c>
      <c r="S5781" s="19">
        <f t="shared" si="260"/>
        <v>2974</v>
      </c>
      <c r="T5781" s="91" t="s">
        <v>42</v>
      </c>
      <c r="U5781" s="336" t="s">
        <v>1453</v>
      </c>
      <c r="V5781" s="337">
        <v>45791</v>
      </c>
      <c r="W5781" s="17" t="s">
        <v>44</v>
      </c>
      <c r="Y5781" s="68">
        <v>45809</v>
      </c>
      <c r="Z5781" s="17" t="s">
        <v>1454</v>
      </c>
      <c r="AA5781" s="17" t="s">
        <v>46</v>
      </c>
      <c r="AB5781" s="17" t="s">
        <v>1455</v>
      </c>
      <c r="AC5781" s="217">
        <v>45912</v>
      </c>
      <c r="AD5781" s="65">
        <v>1730</v>
      </c>
      <c r="AE5781" s="17" t="s">
        <v>48</v>
      </c>
      <c r="AG5781" s="17" t="s">
        <v>1456</v>
      </c>
    </row>
    <row r="5782" s="17" customFormat="1" hidden="1" spans="1:33">
      <c r="A5782" s="17" t="s">
        <v>34</v>
      </c>
      <c r="B5782" s="19">
        <v>1007</v>
      </c>
      <c r="C5782" s="183">
        <v>45412</v>
      </c>
      <c r="D5782" s="17" t="s">
        <v>109</v>
      </c>
      <c r="E5782" s="17" t="s">
        <v>110</v>
      </c>
      <c r="F5782" s="17" t="s">
        <v>72</v>
      </c>
      <c r="H5782" s="141">
        <v>1.2316</v>
      </c>
      <c r="I5782" s="328"/>
      <c r="J5782" s="185" t="s">
        <v>39</v>
      </c>
      <c r="K5782" s="19">
        <v>76</v>
      </c>
      <c r="L5782" s="19"/>
      <c r="M5782" s="19">
        <v>5800</v>
      </c>
      <c r="N5782" s="19" t="s">
        <v>66</v>
      </c>
      <c r="O5782" s="19" t="s">
        <v>84</v>
      </c>
      <c r="P5782" s="19">
        <v>1000</v>
      </c>
      <c r="Q5782" s="19">
        <v>1084</v>
      </c>
      <c r="R5782" s="19">
        <f t="shared" si="259"/>
        <v>-84</v>
      </c>
      <c r="S5782" s="19">
        <f t="shared" si="260"/>
        <v>2974</v>
      </c>
      <c r="T5782" s="91" t="s">
        <v>42</v>
      </c>
      <c r="U5782" s="336" t="s">
        <v>1453</v>
      </c>
      <c r="V5782" s="337">
        <v>45791</v>
      </c>
      <c r="W5782" s="17" t="s">
        <v>44</v>
      </c>
      <c r="Y5782" s="68">
        <v>45809</v>
      </c>
      <c r="Z5782" s="17" t="s">
        <v>1454</v>
      </c>
      <c r="AA5782" s="17" t="s">
        <v>46</v>
      </c>
      <c r="AB5782" s="17" t="s">
        <v>1455</v>
      </c>
      <c r="AC5782" s="217">
        <v>45912</v>
      </c>
      <c r="AD5782" s="65">
        <v>1730</v>
      </c>
      <c r="AE5782" s="17" t="s">
        <v>48</v>
      </c>
      <c r="AG5782" s="17" t="s">
        <v>1456</v>
      </c>
    </row>
    <row r="5783" s="17" customFormat="1" hidden="1" spans="1:33">
      <c r="A5783" s="17" t="s">
        <v>34</v>
      </c>
      <c r="B5783" s="19">
        <v>1007</v>
      </c>
      <c r="C5783" s="183">
        <v>45412</v>
      </c>
      <c r="D5783" s="17" t="s">
        <v>109</v>
      </c>
      <c r="E5783" s="17" t="s">
        <v>110</v>
      </c>
      <c r="F5783" s="17" t="s">
        <v>72</v>
      </c>
      <c r="H5783" s="141">
        <v>1.2316</v>
      </c>
      <c r="I5783" s="328"/>
      <c r="J5783" s="185" t="s">
        <v>39</v>
      </c>
      <c r="K5783" s="19">
        <v>81</v>
      </c>
      <c r="L5783" s="19"/>
      <c r="M5783" s="19">
        <v>5800</v>
      </c>
      <c r="N5783" s="19" t="s">
        <v>66</v>
      </c>
      <c r="O5783" s="19" t="s">
        <v>84</v>
      </c>
      <c r="P5783" s="19">
        <v>3000</v>
      </c>
      <c r="Q5783" s="19">
        <f>1202+1246</f>
        <v>2448</v>
      </c>
      <c r="R5783" s="19">
        <f t="shared" si="259"/>
        <v>552</v>
      </c>
      <c r="S5783" s="19">
        <f t="shared" si="260"/>
        <v>2974</v>
      </c>
      <c r="T5783" s="91" t="s">
        <v>42</v>
      </c>
      <c r="U5783" s="336" t="s">
        <v>1453</v>
      </c>
      <c r="V5783" s="337">
        <v>45791</v>
      </c>
      <c r="W5783" s="17" t="s">
        <v>44</v>
      </c>
      <c r="Y5783" s="68">
        <v>45809</v>
      </c>
      <c r="Z5783" s="17" t="s">
        <v>1454</v>
      </c>
      <c r="AA5783" s="17" t="s">
        <v>46</v>
      </c>
      <c r="AB5783" s="17" t="s">
        <v>1455</v>
      </c>
      <c r="AC5783" s="217">
        <v>45912</v>
      </c>
      <c r="AD5783" s="65">
        <v>1730</v>
      </c>
      <c r="AE5783" s="17" t="s">
        <v>48</v>
      </c>
      <c r="AG5783" s="17" t="s">
        <v>1456</v>
      </c>
    </row>
    <row r="5784" s="17" customFormat="1" hidden="1" spans="1:33">
      <c r="A5784" s="17" t="s">
        <v>34</v>
      </c>
      <c r="B5784" s="19">
        <v>1007</v>
      </c>
      <c r="C5784" s="183">
        <v>45412</v>
      </c>
      <c r="D5784" s="17" t="s">
        <v>109</v>
      </c>
      <c r="E5784" s="17" t="s">
        <v>110</v>
      </c>
      <c r="F5784" s="17" t="s">
        <v>72</v>
      </c>
      <c r="H5784" s="141">
        <v>1.2316</v>
      </c>
      <c r="I5784" s="328"/>
      <c r="J5784" s="185" t="s">
        <v>39</v>
      </c>
      <c r="K5784" s="19">
        <v>86</v>
      </c>
      <c r="L5784" s="19"/>
      <c r="M5784" s="19">
        <v>5800</v>
      </c>
      <c r="N5784" s="19" t="s">
        <v>66</v>
      </c>
      <c r="O5784" s="19" t="s">
        <v>84</v>
      </c>
      <c r="P5784" s="19">
        <v>1000</v>
      </c>
      <c r="Q5784" s="19">
        <v>1122</v>
      </c>
      <c r="R5784" s="19">
        <f t="shared" si="259"/>
        <v>-122</v>
      </c>
      <c r="S5784" s="19">
        <f t="shared" si="260"/>
        <v>2974</v>
      </c>
      <c r="T5784" s="91" t="s">
        <v>42</v>
      </c>
      <c r="U5784" s="336" t="s">
        <v>1453</v>
      </c>
      <c r="V5784" s="337">
        <v>45791</v>
      </c>
      <c r="W5784" s="17" t="s">
        <v>44</v>
      </c>
      <c r="Y5784" s="68">
        <v>45809</v>
      </c>
      <c r="Z5784" s="17" t="s">
        <v>1454</v>
      </c>
      <c r="AA5784" s="17" t="s">
        <v>46</v>
      </c>
      <c r="AB5784" s="17" t="s">
        <v>1455</v>
      </c>
      <c r="AC5784" s="217">
        <v>45912</v>
      </c>
      <c r="AD5784" s="65">
        <v>1730</v>
      </c>
      <c r="AE5784" s="17" t="s">
        <v>48</v>
      </c>
      <c r="AG5784" s="17" t="s">
        <v>1456</v>
      </c>
    </row>
    <row r="5785" s="17" customFormat="1" hidden="1" spans="1:33">
      <c r="A5785" s="17" t="s">
        <v>34</v>
      </c>
      <c r="B5785" s="19">
        <v>1007</v>
      </c>
      <c r="C5785" s="183">
        <v>45412</v>
      </c>
      <c r="D5785" s="17" t="s">
        <v>109</v>
      </c>
      <c r="E5785" s="17" t="s">
        <v>110</v>
      </c>
      <c r="F5785" s="17" t="s">
        <v>72</v>
      </c>
      <c r="H5785" s="141">
        <v>1.2316</v>
      </c>
      <c r="I5785" s="328"/>
      <c r="J5785" s="185" t="s">
        <v>39</v>
      </c>
      <c r="K5785" s="19">
        <v>91</v>
      </c>
      <c r="L5785" s="19"/>
      <c r="M5785" s="19">
        <v>5800</v>
      </c>
      <c r="N5785" s="19" t="s">
        <v>66</v>
      </c>
      <c r="O5785" s="19" t="s">
        <v>84</v>
      </c>
      <c r="P5785" s="19">
        <v>2000</v>
      </c>
      <c r="Q5785" s="19">
        <v>2265</v>
      </c>
      <c r="R5785" s="19">
        <f t="shared" si="259"/>
        <v>-265</v>
      </c>
      <c r="S5785" s="19">
        <f t="shared" si="260"/>
        <v>2974</v>
      </c>
      <c r="T5785" s="91" t="s">
        <v>42</v>
      </c>
      <c r="U5785" s="336" t="s">
        <v>1453</v>
      </c>
      <c r="V5785" s="337">
        <v>45791</v>
      </c>
      <c r="W5785" s="17" t="s">
        <v>44</v>
      </c>
      <c r="Y5785" s="68">
        <v>45809</v>
      </c>
      <c r="Z5785" s="17" t="s">
        <v>1454</v>
      </c>
      <c r="AA5785" s="17" t="s">
        <v>46</v>
      </c>
      <c r="AB5785" s="17" t="s">
        <v>1455</v>
      </c>
      <c r="AC5785" s="217">
        <v>45912</v>
      </c>
      <c r="AD5785" s="65">
        <v>1730</v>
      </c>
      <c r="AE5785" s="17" t="s">
        <v>48</v>
      </c>
      <c r="AG5785" s="17" t="s">
        <v>1456</v>
      </c>
    </row>
    <row r="5786" s="17" customFormat="1" hidden="1" spans="1:33">
      <c r="A5786" s="17" t="s">
        <v>34</v>
      </c>
      <c r="B5786" s="19">
        <v>1007</v>
      </c>
      <c r="C5786" s="183">
        <v>45412</v>
      </c>
      <c r="D5786" s="17" t="s">
        <v>109</v>
      </c>
      <c r="E5786" s="17" t="s">
        <v>110</v>
      </c>
      <c r="F5786" s="17" t="s">
        <v>72</v>
      </c>
      <c r="H5786" s="141">
        <v>1.2316</v>
      </c>
      <c r="I5786" s="328"/>
      <c r="J5786" s="185" t="s">
        <v>39</v>
      </c>
      <c r="K5786" s="19">
        <v>101</v>
      </c>
      <c r="L5786" s="19"/>
      <c r="M5786" s="19">
        <v>5800</v>
      </c>
      <c r="N5786" s="19" t="s">
        <v>66</v>
      </c>
      <c r="O5786" s="19" t="s">
        <v>84</v>
      </c>
      <c r="P5786" s="19">
        <v>2000</v>
      </c>
      <c r="Q5786" s="19">
        <f>1185+1170</f>
        <v>2355</v>
      </c>
      <c r="R5786" s="19">
        <f t="shared" si="259"/>
        <v>-355</v>
      </c>
      <c r="S5786" s="19">
        <f t="shared" si="260"/>
        <v>2974</v>
      </c>
      <c r="T5786" s="91" t="s">
        <v>42</v>
      </c>
      <c r="U5786" s="336" t="s">
        <v>1453</v>
      </c>
      <c r="V5786" s="337">
        <v>45791</v>
      </c>
      <c r="W5786" s="17" t="s">
        <v>44</v>
      </c>
      <c r="Y5786" s="68">
        <v>45809</v>
      </c>
      <c r="Z5786" s="17" t="s">
        <v>1454</v>
      </c>
      <c r="AA5786" s="17" t="s">
        <v>46</v>
      </c>
      <c r="AB5786" s="17" t="s">
        <v>1455</v>
      </c>
      <c r="AC5786" s="217">
        <v>45912</v>
      </c>
      <c r="AD5786" s="65">
        <v>1730</v>
      </c>
      <c r="AE5786" s="17" t="s">
        <v>48</v>
      </c>
      <c r="AG5786" s="17" t="s">
        <v>1456</v>
      </c>
    </row>
    <row r="5787" s="17" customFormat="1" hidden="1" spans="1:33">
      <c r="A5787" s="17" t="s">
        <v>34</v>
      </c>
      <c r="B5787" s="19">
        <v>1007</v>
      </c>
      <c r="C5787" s="183">
        <v>45412</v>
      </c>
      <c r="D5787" s="17" t="s">
        <v>109</v>
      </c>
      <c r="E5787" s="17" t="s">
        <v>110</v>
      </c>
      <c r="F5787" s="17" t="s">
        <v>72</v>
      </c>
      <c r="H5787" s="141">
        <v>1.2316</v>
      </c>
      <c r="I5787" s="328"/>
      <c r="J5787" s="185" t="s">
        <v>39</v>
      </c>
      <c r="K5787" s="19">
        <v>111</v>
      </c>
      <c r="L5787" s="19"/>
      <c r="M5787" s="19">
        <v>5800</v>
      </c>
      <c r="N5787" s="19" t="s">
        <v>66</v>
      </c>
      <c r="O5787" s="19" t="s">
        <v>84</v>
      </c>
      <c r="P5787" s="19">
        <v>2000</v>
      </c>
      <c r="Q5787" s="19">
        <f>1195+1155</f>
        <v>2350</v>
      </c>
      <c r="R5787" s="19">
        <f t="shared" si="259"/>
        <v>-350</v>
      </c>
      <c r="S5787" s="19">
        <f t="shared" si="260"/>
        <v>2974</v>
      </c>
      <c r="T5787" s="91" t="s">
        <v>42</v>
      </c>
      <c r="U5787" s="336" t="s">
        <v>1453</v>
      </c>
      <c r="V5787" s="337">
        <v>45791</v>
      </c>
      <c r="W5787" s="17" t="s">
        <v>44</v>
      </c>
      <c r="Y5787" s="68">
        <v>45809</v>
      </c>
      <c r="Z5787" s="17" t="s">
        <v>1454</v>
      </c>
      <c r="AA5787" s="17" t="s">
        <v>46</v>
      </c>
      <c r="AB5787" s="17" t="s">
        <v>1455</v>
      </c>
      <c r="AC5787" s="217">
        <v>45912</v>
      </c>
      <c r="AD5787" s="65">
        <v>1730</v>
      </c>
      <c r="AE5787" s="17" t="s">
        <v>48</v>
      </c>
      <c r="AG5787" s="17" t="s">
        <v>1456</v>
      </c>
    </row>
    <row r="5788" s="17" customFormat="1" hidden="1" spans="1:33">
      <c r="A5788" s="17" t="s">
        <v>34</v>
      </c>
      <c r="B5788" s="19">
        <v>1007</v>
      </c>
      <c r="C5788" s="183">
        <v>45412</v>
      </c>
      <c r="D5788" s="17" t="s">
        <v>109</v>
      </c>
      <c r="E5788" s="17" t="s">
        <v>110</v>
      </c>
      <c r="F5788" s="17" t="s">
        <v>72</v>
      </c>
      <c r="H5788" s="141">
        <v>1.2316</v>
      </c>
      <c r="I5788" s="328"/>
      <c r="J5788" s="185" t="s">
        <v>39</v>
      </c>
      <c r="K5788" s="19">
        <v>121</v>
      </c>
      <c r="L5788" s="19"/>
      <c r="M5788" s="19">
        <v>5800</v>
      </c>
      <c r="N5788" s="19" t="s">
        <v>66</v>
      </c>
      <c r="O5788" s="19" t="s">
        <v>84</v>
      </c>
      <c r="P5788" s="19">
        <v>2000</v>
      </c>
      <c r="Q5788" s="19">
        <f>335+1195</f>
        <v>1530</v>
      </c>
      <c r="R5788" s="19">
        <f t="shared" si="259"/>
        <v>470</v>
      </c>
      <c r="S5788" s="19">
        <f t="shared" si="260"/>
        <v>2974</v>
      </c>
      <c r="T5788" s="91" t="s">
        <v>42</v>
      </c>
      <c r="U5788" s="336" t="s">
        <v>1453</v>
      </c>
      <c r="V5788" s="337">
        <v>45791</v>
      </c>
      <c r="W5788" s="17" t="s">
        <v>44</v>
      </c>
      <c r="Y5788" s="68">
        <v>45809</v>
      </c>
      <c r="Z5788" s="17" t="s">
        <v>1454</v>
      </c>
      <c r="AA5788" s="17" t="s">
        <v>46</v>
      </c>
      <c r="AB5788" s="17" t="s">
        <v>1455</v>
      </c>
      <c r="AC5788" s="217">
        <v>45912</v>
      </c>
      <c r="AD5788" s="65">
        <v>1730</v>
      </c>
      <c r="AE5788" s="17" t="s">
        <v>48</v>
      </c>
      <c r="AG5788" s="17" t="s">
        <v>1456</v>
      </c>
    </row>
    <row r="5789" s="17" customFormat="1" hidden="1" spans="1:33">
      <c r="A5789" s="17" t="s">
        <v>34</v>
      </c>
      <c r="B5789" s="19">
        <v>1007</v>
      </c>
      <c r="C5789" s="183">
        <v>45412</v>
      </c>
      <c r="D5789" s="17" t="s">
        <v>109</v>
      </c>
      <c r="E5789" s="17" t="s">
        <v>110</v>
      </c>
      <c r="F5789" s="17" t="s">
        <v>72</v>
      </c>
      <c r="H5789" s="141">
        <v>1.2316</v>
      </c>
      <c r="I5789" s="328"/>
      <c r="J5789" s="185" t="s">
        <v>39</v>
      </c>
      <c r="K5789" s="19">
        <v>132</v>
      </c>
      <c r="L5789" s="19"/>
      <c r="M5789" s="19">
        <v>5800</v>
      </c>
      <c r="N5789" s="19" t="s">
        <v>66</v>
      </c>
      <c r="O5789" s="19" t="s">
        <v>84</v>
      </c>
      <c r="P5789" s="19">
        <v>2000</v>
      </c>
      <c r="Q5789" s="19">
        <v>2008</v>
      </c>
      <c r="R5789" s="19">
        <f t="shared" si="259"/>
        <v>-8</v>
      </c>
      <c r="S5789" s="19">
        <f t="shared" ref="S5789:S5796" si="261">3315-201</f>
        <v>3114</v>
      </c>
      <c r="T5789" s="91" t="s">
        <v>42</v>
      </c>
      <c r="U5789" s="336" t="s">
        <v>1453</v>
      </c>
      <c r="V5789" s="337">
        <v>45791</v>
      </c>
      <c r="W5789" s="17" t="s">
        <v>44</v>
      </c>
      <c r="Y5789" s="68">
        <v>45809</v>
      </c>
      <c r="Z5789" s="17" t="s">
        <v>1454</v>
      </c>
      <c r="AA5789" s="17" t="s">
        <v>46</v>
      </c>
      <c r="AB5789" s="17" t="s">
        <v>1455</v>
      </c>
      <c r="AC5789" s="217">
        <v>45912</v>
      </c>
      <c r="AD5789" s="65">
        <v>1730</v>
      </c>
      <c r="AE5789" s="17" t="s">
        <v>48</v>
      </c>
      <c r="AG5789" s="17" t="s">
        <v>1456</v>
      </c>
    </row>
    <row r="5790" s="17" customFormat="1" hidden="1" spans="1:33">
      <c r="A5790" s="17" t="s">
        <v>34</v>
      </c>
      <c r="B5790" s="19">
        <v>1007</v>
      </c>
      <c r="C5790" s="183">
        <v>45412</v>
      </c>
      <c r="D5790" s="17" t="s">
        <v>109</v>
      </c>
      <c r="E5790" s="17" t="s">
        <v>110</v>
      </c>
      <c r="F5790" s="17" t="s">
        <v>72</v>
      </c>
      <c r="H5790" s="141">
        <v>1.2316</v>
      </c>
      <c r="I5790" s="328"/>
      <c r="J5790" s="185" t="s">
        <v>39</v>
      </c>
      <c r="K5790" s="19">
        <v>142</v>
      </c>
      <c r="L5790" s="19"/>
      <c r="M5790" s="19">
        <v>5800</v>
      </c>
      <c r="N5790" s="19" t="s">
        <v>66</v>
      </c>
      <c r="O5790" s="19" t="s">
        <v>84</v>
      </c>
      <c r="P5790" s="19">
        <v>2000</v>
      </c>
      <c r="Q5790" s="19">
        <v>1984</v>
      </c>
      <c r="R5790" s="19">
        <f t="shared" si="259"/>
        <v>16</v>
      </c>
      <c r="S5790" s="19">
        <f t="shared" si="261"/>
        <v>3114</v>
      </c>
      <c r="T5790" s="91" t="s">
        <v>42</v>
      </c>
      <c r="U5790" s="336" t="s">
        <v>1453</v>
      </c>
      <c r="V5790" s="337">
        <v>45791</v>
      </c>
      <c r="W5790" s="17" t="s">
        <v>44</v>
      </c>
      <c r="Y5790" s="68">
        <v>45809</v>
      </c>
      <c r="Z5790" s="17" t="s">
        <v>1454</v>
      </c>
      <c r="AA5790" s="17" t="s">
        <v>46</v>
      </c>
      <c r="AB5790" s="17" t="s">
        <v>1455</v>
      </c>
      <c r="AC5790" s="217">
        <v>45912</v>
      </c>
      <c r="AD5790" s="65">
        <v>1730</v>
      </c>
      <c r="AE5790" s="17" t="s">
        <v>48</v>
      </c>
      <c r="AG5790" s="17" t="s">
        <v>1456</v>
      </c>
    </row>
    <row r="5791" s="17" customFormat="1" hidden="1" spans="1:33">
      <c r="A5791" s="17" t="s">
        <v>34</v>
      </c>
      <c r="B5791" s="19">
        <v>1007</v>
      </c>
      <c r="C5791" s="183">
        <v>45412</v>
      </c>
      <c r="D5791" s="17" t="s">
        <v>109</v>
      </c>
      <c r="E5791" s="17" t="s">
        <v>110</v>
      </c>
      <c r="F5791" s="17" t="s">
        <v>72</v>
      </c>
      <c r="H5791" s="141">
        <v>1.2316</v>
      </c>
      <c r="I5791" s="328"/>
      <c r="J5791" s="185" t="s">
        <v>39</v>
      </c>
      <c r="K5791" s="19">
        <v>152</v>
      </c>
      <c r="L5791" s="19"/>
      <c r="M5791" s="19">
        <v>5800</v>
      </c>
      <c r="N5791" s="19" t="s">
        <v>66</v>
      </c>
      <c r="O5791" s="19" t="s">
        <v>84</v>
      </c>
      <c r="P5791" s="19">
        <v>1500</v>
      </c>
      <c r="Q5791" s="19">
        <v>1570</v>
      </c>
      <c r="R5791" s="19">
        <f t="shared" si="259"/>
        <v>-70</v>
      </c>
      <c r="S5791" s="19">
        <f t="shared" si="261"/>
        <v>3114</v>
      </c>
      <c r="T5791" s="91" t="s">
        <v>42</v>
      </c>
      <c r="U5791" s="336" t="s">
        <v>1453</v>
      </c>
      <c r="V5791" s="337">
        <v>45791</v>
      </c>
      <c r="W5791" s="17" t="s">
        <v>44</v>
      </c>
      <c r="Y5791" s="68">
        <v>45809</v>
      </c>
      <c r="Z5791" s="17" t="s">
        <v>1454</v>
      </c>
      <c r="AA5791" s="17" t="s">
        <v>46</v>
      </c>
      <c r="AB5791" s="17" t="s">
        <v>1455</v>
      </c>
      <c r="AC5791" s="217">
        <v>45912</v>
      </c>
      <c r="AD5791" s="65">
        <v>1730</v>
      </c>
      <c r="AE5791" s="17" t="s">
        <v>48</v>
      </c>
      <c r="AG5791" s="17" t="s">
        <v>1456</v>
      </c>
    </row>
    <row r="5792" s="17" customFormat="1" hidden="1" spans="1:33">
      <c r="A5792" s="17" t="s">
        <v>34</v>
      </c>
      <c r="B5792" s="19">
        <v>1007</v>
      </c>
      <c r="C5792" s="183">
        <v>45412</v>
      </c>
      <c r="D5792" s="17" t="s">
        <v>109</v>
      </c>
      <c r="E5792" s="17" t="s">
        <v>110</v>
      </c>
      <c r="F5792" s="17" t="s">
        <v>72</v>
      </c>
      <c r="H5792" s="141">
        <v>1.2316</v>
      </c>
      <c r="I5792" s="328"/>
      <c r="J5792" s="185" t="s">
        <v>39</v>
      </c>
      <c r="K5792" s="19">
        <v>162</v>
      </c>
      <c r="L5792" s="19"/>
      <c r="M5792" s="19">
        <v>5800</v>
      </c>
      <c r="N5792" s="19" t="s">
        <v>66</v>
      </c>
      <c r="O5792" s="19" t="s">
        <v>84</v>
      </c>
      <c r="P5792" s="19">
        <v>1500</v>
      </c>
      <c r="Q5792" s="19">
        <v>1596</v>
      </c>
      <c r="R5792" s="19">
        <f t="shared" si="259"/>
        <v>-96</v>
      </c>
      <c r="S5792" s="19">
        <f t="shared" si="261"/>
        <v>3114</v>
      </c>
      <c r="T5792" s="91" t="s">
        <v>42</v>
      </c>
      <c r="U5792" s="336" t="s">
        <v>1453</v>
      </c>
      <c r="V5792" s="337">
        <v>45791</v>
      </c>
      <c r="W5792" s="17" t="s">
        <v>44</v>
      </c>
      <c r="Y5792" s="68">
        <v>45809</v>
      </c>
      <c r="Z5792" s="17" t="s">
        <v>1454</v>
      </c>
      <c r="AA5792" s="17" t="s">
        <v>46</v>
      </c>
      <c r="AB5792" s="17" t="s">
        <v>1455</v>
      </c>
      <c r="AC5792" s="217">
        <v>45912</v>
      </c>
      <c r="AD5792" s="65">
        <v>1730</v>
      </c>
      <c r="AE5792" s="17" t="s">
        <v>48</v>
      </c>
      <c r="AG5792" s="17" t="s">
        <v>1456</v>
      </c>
    </row>
    <row r="5793" s="17" customFormat="1" hidden="1" spans="1:33">
      <c r="A5793" s="17" t="s">
        <v>34</v>
      </c>
      <c r="B5793" s="19">
        <v>1007</v>
      </c>
      <c r="C5793" s="183">
        <v>45412</v>
      </c>
      <c r="D5793" s="17" t="s">
        <v>109</v>
      </c>
      <c r="E5793" s="17" t="s">
        <v>110</v>
      </c>
      <c r="F5793" s="17" t="s">
        <v>72</v>
      </c>
      <c r="H5793" s="141">
        <v>1.2316</v>
      </c>
      <c r="I5793" s="328"/>
      <c r="J5793" s="185" t="s">
        <v>39</v>
      </c>
      <c r="K5793" s="19">
        <v>172</v>
      </c>
      <c r="L5793" s="19"/>
      <c r="M5793" s="19">
        <v>5800</v>
      </c>
      <c r="N5793" s="19" t="s">
        <v>66</v>
      </c>
      <c r="O5793" s="19" t="s">
        <v>84</v>
      </c>
      <c r="P5793" s="19">
        <v>2000</v>
      </c>
      <c r="Q5793" s="19">
        <v>2084</v>
      </c>
      <c r="R5793" s="19">
        <f t="shared" si="259"/>
        <v>-84</v>
      </c>
      <c r="S5793" s="19">
        <f t="shared" si="261"/>
        <v>3114</v>
      </c>
      <c r="T5793" s="91" t="s">
        <v>42</v>
      </c>
      <c r="U5793" s="336" t="s">
        <v>1453</v>
      </c>
      <c r="V5793" s="337">
        <v>45791</v>
      </c>
      <c r="W5793" s="17" t="s">
        <v>44</v>
      </c>
      <c r="Y5793" s="68">
        <v>45809</v>
      </c>
      <c r="Z5793" s="17" t="s">
        <v>1454</v>
      </c>
      <c r="AA5793" s="17" t="s">
        <v>46</v>
      </c>
      <c r="AB5793" s="17" t="s">
        <v>1455</v>
      </c>
      <c r="AC5793" s="217">
        <v>45912</v>
      </c>
      <c r="AD5793" s="65">
        <v>1730</v>
      </c>
      <c r="AE5793" s="17" t="s">
        <v>48</v>
      </c>
      <c r="AG5793" s="17" t="s">
        <v>1456</v>
      </c>
    </row>
    <row r="5794" s="17" customFormat="1" hidden="1" spans="1:33">
      <c r="A5794" s="17" t="s">
        <v>34</v>
      </c>
      <c r="B5794" s="19">
        <v>1007</v>
      </c>
      <c r="C5794" s="183">
        <v>45412</v>
      </c>
      <c r="D5794" s="17" t="s">
        <v>109</v>
      </c>
      <c r="E5794" s="17" t="s">
        <v>110</v>
      </c>
      <c r="F5794" s="17" t="s">
        <v>72</v>
      </c>
      <c r="H5794" s="141">
        <v>1.2316</v>
      </c>
      <c r="I5794" s="328"/>
      <c r="J5794" s="185" t="s">
        <v>39</v>
      </c>
      <c r="K5794" s="19">
        <v>182</v>
      </c>
      <c r="L5794" s="19"/>
      <c r="M5794" s="19">
        <v>5800</v>
      </c>
      <c r="N5794" s="19" t="s">
        <v>66</v>
      </c>
      <c r="O5794" s="19" t="s">
        <v>84</v>
      </c>
      <c r="P5794" s="19">
        <v>2000</v>
      </c>
      <c r="Q5794" s="19">
        <f>1068+1086</f>
        <v>2154</v>
      </c>
      <c r="R5794" s="19">
        <f t="shared" si="259"/>
        <v>-154</v>
      </c>
      <c r="S5794" s="19">
        <f t="shared" si="261"/>
        <v>3114</v>
      </c>
      <c r="T5794" s="91" t="s">
        <v>42</v>
      </c>
      <c r="U5794" s="336" t="s">
        <v>1453</v>
      </c>
      <c r="V5794" s="337">
        <v>45791</v>
      </c>
      <c r="W5794" s="17" t="s">
        <v>44</v>
      </c>
      <c r="Y5794" s="68">
        <v>45809</v>
      </c>
      <c r="Z5794" s="17" t="s">
        <v>1454</v>
      </c>
      <c r="AA5794" s="17" t="s">
        <v>46</v>
      </c>
      <c r="AB5794" s="17" t="s">
        <v>1455</v>
      </c>
      <c r="AC5794" s="217">
        <v>45912</v>
      </c>
      <c r="AD5794" s="65">
        <v>1730</v>
      </c>
      <c r="AE5794" s="17" t="s">
        <v>48</v>
      </c>
      <c r="AG5794" s="17" t="s">
        <v>1456</v>
      </c>
    </row>
    <row r="5795" s="17" customFormat="1" hidden="1" spans="1:33">
      <c r="A5795" s="17" t="s">
        <v>34</v>
      </c>
      <c r="B5795" s="19">
        <v>1007</v>
      </c>
      <c r="C5795" s="183">
        <v>45412</v>
      </c>
      <c r="D5795" s="17" t="s">
        <v>109</v>
      </c>
      <c r="E5795" s="17" t="s">
        <v>110</v>
      </c>
      <c r="F5795" s="17" t="s">
        <v>72</v>
      </c>
      <c r="H5795" s="141">
        <v>1.2316</v>
      </c>
      <c r="I5795" s="328"/>
      <c r="J5795" s="185" t="s">
        <v>39</v>
      </c>
      <c r="K5795" s="19">
        <v>192</v>
      </c>
      <c r="L5795" s="19"/>
      <c r="M5795" s="19">
        <v>5800</v>
      </c>
      <c r="N5795" s="19" t="s">
        <v>66</v>
      </c>
      <c r="O5795" s="19" t="s">
        <v>84</v>
      </c>
      <c r="P5795" s="19">
        <v>2000</v>
      </c>
      <c r="Q5795" s="19">
        <f>1122+1078</f>
        <v>2200</v>
      </c>
      <c r="R5795" s="19">
        <f t="shared" si="259"/>
        <v>-200</v>
      </c>
      <c r="S5795" s="19">
        <f t="shared" si="261"/>
        <v>3114</v>
      </c>
      <c r="T5795" s="91" t="s">
        <v>42</v>
      </c>
      <c r="U5795" s="336" t="s">
        <v>1453</v>
      </c>
      <c r="V5795" s="337">
        <v>45791</v>
      </c>
      <c r="W5795" s="17" t="s">
        <v>44</v>
      </c>
      <c r="Y5795" s="68">
        <v>45809</v>
      </c>
      <c r="Z5795" s="17" t="s">
        <v>1454</v>
      </c>
      <c r="AA5795" s="17" t="s">
        <v>46</v>
      </c>
      <c r="AB5795" s="17" t="s">
        <v>1455</v>
      </c>
      <c r="AC5795" s="217">
        <v>45912</v>
      </c>
      <c r="AD5795" s="65">
        <v>1730</v>
      </c>
      <c r="AE5795" s="17" t="s">
        <v>48</v>
      </c>
      <c r="AG5795" s="17" t="s">
        <v>1456</v>
      </c>
    </row>
    <row r="5796" s="22" customFormat="1" hidden="1" spans="1:33">
      <c r="A5796" s="22" t="s">
        <v>34</v>
      </c>
      <c r="B5796" s="147">
        <v>1007</v>
      </c>
      <c r="C5796" s="319">
        <v>45412</v>
      </c>
      <c r="D5796" s="22" t="s">
        <v>109</v>
      </c>
      <c r="E5796" s="17" t="s">
        <v>110</v>
      </c>
      <c r="F5796" s="22" t="s">
        <v>72</v>
      </c>
      <c r="H5796" s="141">
        <v>1.2316</v>
      </c>
      <c r="I5796" s="328"/>
      <c r="J5796" s="103" t="s">
        <v>39</v>
      </c>
      <c r="K5796" s="147">
        <v>202</v>
      </c>
      <c r="L5796" s="147"/>
      <c r="M5796" s="147">
        <v>5800</v>
      </c>
      <c r="N5796" s="147" t="s">
        <v>66</v>
      </c>
      <c r="O5796" s="147" t="s">
        <v>84</v>
      </c>
      <c r="P5796" s="147">
        <v>2000</v>
      </c>
      <c r="Q5796" s="147">
        <f>1094+1066</f>
        <v>2160</v>
      </c>
      <c r="R5796" s="19">
        <f t="shared" si="259"/>
        <v>-160</v>
      </c>
      <c r="S5796" s="19">
        <f t="shared" si="261"/>
        <v>3114</v>
      </c>
      <c r="T5796" s="91" t="s">
        <v>42</v>
      </c>
      <c r="U5796" s="336" t="s">
        <v>1453</v>
      </c>
      <c r="V5796" s="337">
        <v>45791</v>
      </c>
      <c r="W5796" s="17" t="s">
        <v>44</v>
      </c>
      <c r="X5796" s="17"/>
      <c r="Y5796" s="68">
        <v>45809</v>
      </c>
      <c r="Z5796" s="17" t="s">
        <v>1454</v>
      </c>
      <c r="AA5796" s="17" t="s">
        <v>46</v>
      </c>
      <c r="AB5796" s="17" t="s">
        <v>1455</v>
      </c>
      <c r="AC5796" s="217">
        <v>45912</v>
      </c>
      <c r="AD5796" s="65">
        <v>1730</v>
      </c>
      <c r="AE5796" s="17" t="s">
        <v>48</v>
      </c>
      <c r="AG5796" s="17" t="s">
        <v>1456</v>
      </c>
    </row>
    <row r="5797" s="17" customFormat="1" hidden="1" spans="1:33">
      <c r="A5797" s="17" t="s">
        <v>34</v>
      </c>
      <c r="B5797" s="19">
        <v>1008</v>
      </c>
      <c r="C5797" s="319">
        <v>45412</v>
      </c>
      <c r="D5797" s="22" t="s">
        <v>109</v>
      </c>
      <c r="E5797" s="17" t="s">
        <v>110</v>
      </c>
      <c r="F5797" s="22" t="s">
        <v>72</v>
      </c>
      <c r="H5797" s="141" t="s">
        <v>111</v>
      </c>
      <c r="I5797" s="328"/>
      <c r="J5797" s="103" t="s">
        <v>39</v>
      </c>
      <c r="K5797" s="19">
        <v>36</v>
      </c>
      <c r="L5797" s="91"/>
      <c r="M5797" s="19">
        <v>5800</v>
      </c>
      <c r="N5797" s="19" t="s">
        <v>40</v>
      </c>
      <c r="O5797" s="147" t="s">
        <v>84</v>
      </c>
      <c r="P5797" s="19">
        <v>4000</v>
      </c>
      <c r="Q5797" s="19">
        <v>1420</v>
      </c>
      <c r="R5797" s="19">
        <f t="shared" si="259"/>
        <v>2580</v>
      </c>
      <c r="S5797" s="19">
        <v>2730</v>
      </c>
      <c r="T5797" s="91" t="s">
        <v>42</v>
      </c>
      <c r="U5797" s="336" t="s">
        <v>1457</v>
      </c>
      <c r="V5797" s="337">
        <v>45412</v>
      </c>
      <c r="W5797" s="17" t="s">
        <v>69</v>
      </c>
      <c r="Y5797" s="68">
        <v>45536</v>
      </c>
      <c r="Z5797" s="17" t="s">
        <v>1442</v>
      </c>
      <c r="AA5797" s="17" t="s">
        <v>46</v>
      </c>
      <c r="AB5797" s="17" t="s">
        <v>1452</v>
      </c>
      <c r="AC5797" s="217">
        <v>45539</v>
      </c>
      <c r="AD5797" s="65">
        <v>1624</v>
      </c>
      <c r="AE5797" s="17" t="s">
        <v>48</v>
      </c>
    </row>
    <row r="5798" s="17" customFormat="1" hidden="1" spans="1:33">
      <c r="A5798" s="17" t="s">
        <v>34</v>
      </c>
      <c r="B5798" s="19">
        <v>1008</v>
      </c>
      <c r="C5798" s="319">
        <v>45412</v>
      </c>
      <c r="D5798" s="22" t="s">
        <v>109</v>
      </c>
      <c r="E5798" s="17" t="s">
        <v>110</v>
      </c>
      <c r="F5798" s="22" t="s">
        <v>72</v>
      </c>
      <c r="H5798" s="141" t="s">
        <v>111</v>
      </c>
      <c r="I5798" s="328"/>
      <c r="J5798" s="103" t="s">
        <v>39</v>
      </c>
      <c r="K5798" s="19">
        <v>41</v>
      </c>
      <c r="L5798" s="91"/>
      <c r="M5798" s="19">
        <v>5800</v>
      </c>
      <c r="N5798" s="19" t="s">
        <v>40</v>
      </c>
      <c r="O5798" s="147" t="s">
        <v>84</v>
      </c>
      <c r="P5798" s="19">
        <v>1000</v>
      </c>
      <c r="Q5798" s="19">
        <v>1425</v>
      </c>
      <c r="R5798" s="19">
        <f t="shared" ref="R5798:R5824" si="262">+P5798-Q5798</f>
        <v>-425</v>
      </c>
      <c r="S5798" s="19">
        <v>2730</v>
      </c>
      <c r="T5798" s="91" t="s">
        <v>42</v>
      </c>
      <c r="U5798" s="336" t="s">
        <v>1457</v>
      </c>
      <c r="V5798" s="337">
        <v>45412</v>
      </c>
      <c r="W5798" s="17" t="s">
        <v>69</v>
      </c>
      <c r="Y5798" s="68">
        <v>45536</v>
      </c>
      <c r="Z5798" s="17" t="s">
        <v>1442</v>
      </c>
      <c r="AA5798" s="17" t="s">
        <v>46</v>
      </c>
      <c r="AB5798" s="17" t="s">
        <v>1452</v>
      </c>
      <c r="AC5798" s="217">
        <v>45539</v>
      </c>
      <c r="AD5798" s="65">
        <v>1624</v>
      </c>
      <c r="AE5798" s="17" t="s">
        <v>48</v>
      </c>
    </row>
    <row r="5799" s="17" customFormat="1" hidden="1" spans="1:33">
      <c r="A5799" s="17" t="s">
        <v>34</v>
      </c>
      <c r="B5799" s="19">
        <v>1008</v>
      </c>
      <c r="C5799" s="319">
        <v>45412</v>
      </c>
      <c r="D5799" s="22" t="s">
        <v>109</v>
      </c>
      <c r="E5799" s="17" t="s">
        <v>110</v>
      </c>
      <c r="F5799" s="22" t="s">
        <v>72</v>
      </c>
      <c r="H5799" s="141" t="s">
        <v>111</v>
      </c>
      <c r="I5799" s="328"/>
      <c r="J5799" s="103" t="s">
        <v>39</v>
      </c>
      <c r="K5799" s="19">
        <v>101</v>
      </c>
      <c r="L5799" s="91"/>
      <c r="M5799" s="19">
        <v>5800</v>
      </c>
      <c r="N5799" s="19" t="s">
        <v>40</v>
      </c>
      <c r="O5799" s="147" t="s">
        <v>84</v>
      </c>
      <c r="P5799" s="19">
        <v>2000</v>
      </c>
      <c r="Q5799" s="19">
        <v>1320</v>
      </c>
      <c r="R5799" s="19">
        <f t="shared" si="262"/>
        <v>680</v>
      </c>
      <c r="S5799" s="19">
        <v>2730</v>
      </c>
      <c r="T5799" s="91" t="s">
        <v>42</v>
      </c>
      <c r="U5799" s="336" t="s">
        <v>1457</v>
      </c>
      <c r="V5799" s="337">
        <v>45412</v>
      </c>
      <c r="W5799" s="17" t="s">
        <v>69</v>
      </c>
      <c r="Y5799" s="68">
        <v>45536</v>
      </c>
      <c r="Z5799" s="17" t="s">
        <v>1442</v>
      </c>
      <c r="AA5799" s="17" t="s">
        <v>46</v>
      </c>
      <c r="AB5799" s="17" t="s">
        <v>1452</v>
      </c>
      <c r="AC5799" s="217">
        <v>45539</v>
      </c>
      <c r="AD5799" s="65">
        <v>1624</v>
      </c>
      <c r="AE5799" s="17" t="s">
        <v>48</v>
      </c>
    </row>
    <row r="5800" s="17" customFormat="1" hidden="1" spans="1:33">
      <c r="A5800" s="17" t="s">
        <v>34</v>
      </c>
      <c r="B5800" s="19">
        <v>1008</v>
      </c>
      <c r="C5800" s="319">
        <v>45412</v>
      </c>
      <c r="D5800" s="22" t="s">
        <v>109</v>
      </c>
      <c r="E5800" s="17" t="s">
        <v>110</v>
      </c>
      <c r="F5800" s="22" t="s">
        <v>72</v>
      </c>
      <c r="H5800" s="141" t="s">
        <v>111</v>
      </c>
      <c r="I5800" s="328"/>
      <c r="J5800" s="103" t="s">
        <v>39</v>
      </c>
      <c r="K5800" s="19">
        <v>110</v>
      </c>
      <c r="L5800" s="91"/>
      <c r="M5800" s="19">
        <v>5800</v>
      </c>
      <c r="N5800" s="19" t="s">
        <v>40</v>
      </c>
      <c r="O5800" s="147" t="s">
        <v>84</v>
      </c>
      <c r="P5800" s="19">
        <v>1000</v>
      </c>
      <c r="Q5800" s="19">
        <v>2032</v>
      </c>
      <c r="R5800" s="19">
        <f t="shared" si="262"/>
        <v>-1032</v>
      </c>
      <c r="S5800" s="19">
        <v>2730</v>
      </c>
      <c r="T5800" s="91" t="s">
        <v>42</v>
      </c>
      <c r="U5800" s="336" t="s">
        <v>1457</v>
      </c>
      <c r="V5800" s="337">
        <v>45412</v>
      </c>
      <c r="W5800" s="17" t="s">
        <v>69</v>
      </c>
      <c r="Y5800" s="68">
        <v>45536</v>
      </c>
      <c r="Z5800" s="17" t="s">
        <v>1442</v>
      </c>
      <c r="AA5800" s="17" t="s">
        <v>46</v>
      </c>
      <c r="AB5800" s="17" t="s">
        <v>1452</v>
      </c>
      <c r="AC5800" s="217">
        <v>45539</v>
      </c>
      <c r="AD5800" s="65">
        <v>1624</v>
      </c>
      <c r="AE5800" s="17" t="s">
        <v>48</v>
      </c>
    </row>
    <row r="5801" s="17" customFormat="1" hidden="1" spans="1:33">
      <c r="A5801" s="17" t="s">
        <v>34</v>
      </c>
      <c r="B5801" s="19">
        <v>1008</v>
      </c>
      <c r="C5801" s="319">
        <v>45412</v>
      </c>
      <c r="D5801" s="22" t="s">
        <v>109</v>
      </c>
      <c r="E5801" s="17" t="s">
        <v>110</v>
      </c>
      <c r="F5801" s="22" t="s">
        <v>72</v>
      </c>
      <c r="H5801" s="141" t="s">
        <v>111</v>
      </c>
      <c r="I5801" s="328"/>
      <c r="J5801" s="103" t="s">
        <v>39</v>
      </c>
      <c r="K5801" s="19">
        <v>132</v>
      </c>
      <c r="L5801" s="91"/>
      <c r="M5801" s="19">
        <v>5800</v>
      </c>
      <c r="N5801" s="19" t="s">
        <v>40</v>
      </c>
      <c r="O5801" s="147" t="s">
        <v>84</v>
      </c>
      <c r="P5801" s="19">
        <v>2000</v>
      </c>
      <c r="Q5801" s="19">
        <v>1684</v>
      </c>
      <c r="R5801" s="19">
        <f t="shared" si="262"/>
        <v>316</v>
      </c>
      <c r="S5801" s="19">
        <v>2730</v>
      </c>
      <c r="T5801" s="91" t="s">
        <v>42</v>
      </c>
      <c r="U5801" s="336" t="s">
        <v>1457</v>
      </c>
      <c r="V5801" s="337">
        <v>45412</v>
      </c>
      <c r="W5801" s="17" t="s">
        <v>69</v>
      </c>
      <c r="Y5801" s="68">
        <v>45536</v>
      </c>
      <c r="Z5801" s="17" t="s">
        <v>1442</v>
      </c>
      <c r="AA5801" s="17" t="s">
        <v>46</v>
      </c>
      <c r="AB5801" s="17" t="s">
        <v>1452</v>
      </c>
      <c r="AC5801" s="217">
        <v>45539</v>
      </c>
      <c r="AD5801" s="65">
        <v>1624</v>
      </c>
      <c r="AE5801" s="17" t="s">
        <v>48</v>
      </c>
    </row>
    <row r="5802" s="17" customFormat="1" hidden="1" spans="1:33">
      <c r="A5802" s="17" t="s">
        <v>34</v>
      </c>
      <c r="B5802" s="19">
        <v>1008</v>
      </c>
      <c r="C5802" s="319">
        <v>45412</v>
      </c>
      <c r="D5802" s="22" t="s">
        <v>109</v>
      </c>
      <c r="E5802" s="17" t="s">
        <v>110</v>
      </c>
      <c r="F5802" s="22" t="s">
        <v>72</v>
      </c>
      <c r="H5802" s="141" t="s">
        <v>111</v>
      </c>
      <c r="I5802" s="328"/>
      <c r="J5802" s="103" t="s">
        <v>39</v>
      </c>
      <c r="K5802" s="19">
        <v>142</v>
      </c>
      <c r="L5802" s="91"/>
      <c r="M5802" s="19">
        <v>5800</v>
      </c>
      <c r="N5802" s="19" t="s">
        <v>40</v>
      </c>
      <c r="O5802" s="147" t="s">
        <v>84</v>
      </c>
      <c r="P5802" s="19">
        <v>1000</v>
      </c>
      <c r="Q5802" s="19">
        <v>404</v>
      </c>
      <c r="R5802" s="19">
        <f t="shared" si="262"/>
        <v>596</v>
      </c>
      <c r="S5802" s="19">
        <v>2730</v>
      </c>
      <c r="T5802" s="91" t="s">
        <v>42</v>
      </c>
      <c r="U5802" s="336" t="s">
        <v>1457</v>
      </c>
      <c r="V5802" s="337">
        <v>45412</v>
      </c>
      <c r="W5802" s="17" t="s">
        <v>69</v>
      </c>
      <c r="Y5802" s="68">
        <v>45536</v>
      </c>
      <c r="Z5802" s="17" t="s">
        <v>1442</v>
      </c>
      <c r="AA5802" s="17" t="s">
        <v>46</v>
      </c>
      <c r="AB5802" s="17" t="s">
        <v>1452</v>
      </c>
      <c r="AC5802" s="217">
        <v>45539</v>
      </c>
      <c r="AD5802" s="65">
        <v>1624</v>
      </c>
      <c r="AE5802" s="17" t="s">
        <v>48</v>
      </c>
    </row>
    <row r="5803" s="17" customFormat="1" hidden="1" spans="1:33">
      <c r="A5803" s="17" t="s">
        <v>34</v>
      </c>
      <c r="B5803" s="19">
        <v>1008</v>
      </c>
      <c r="C5803" s="319">
        <v>45412</v>
      </c>
      <c r="D5803" s="22" t="s">
        <v>109</v>
      </c>
      <c r="E5803" s="17" t="s">
        <v>110</v>
      </c>
      <c r="F5803" s="22" t="s">
        <v>72</v>
      </c>
      <c r="H5803" s="141" t="s">
        <v>111</v>
      </c>
      <c r="I5803" s="328"/>
      <c r="J5803" s="103" t="s">
        <v>39</v>
      </c>
      <c r="K5803" s="19">
        <v>152</v>
      </c>
      <c r="L5803" s="91"/>
      <c r="M5803" s="19">
        <v>5800</v>
      </c>
      <c r="N5803" s="19" t="s">
        <v>40</v>
      </c>
      <c r="O5803" s="147" t="s">
        <v>84</v>
      </c>
      <c r="P5803" s="19">
        <v>1000</v>
      </c>
      <c r="Q5803" s="19">
        <v>656</v>
      </c>
      <c r="R5803" s="19">
        <f t="shared" si="262"/>
        <v>344</v>
      </c>
      <c r="S5803" s="19">
        <v>2730</v>
      </c>
      <c r="T5803" s="91" t="s">
        <v>42</v>
      </c>
      <c r="U5803" s="336" t="s">
        <v>1457</v>
      </c>
      <c r="V5803" s="337">
        <v>45412</v>
      </c>
      <c r="W5803" s="17" t="s">
        <v>69</v>
      </c>
      <c r="Y5803" s="68">
        <v>45536</v>
      </c>
      <c r="Z5803" s="17" t="s">
        <v>1442</v>
      </c>
      <c r="AA5803" s="17" t="s">
        <v>46</v>
      </c>
      <c r="AB5803" s="17" t="s">
        <v>1452</v>
      </c>
      <c r="AC5803" s="217">
        <v>45539</v>
      </c>
      <c r="AD5803" s="65">
        <v>1624</v>
      </c>
      <c r="AE5803" s="17" t="s">
        <v>48</v>
      </c>
    </row>
    <row r="5804" s="17" customFormat="1" hidden="1" spans="1:33">
      <c r="A5804" s="17" t="s">
        <v>34</v>
      </c>
      <c r="B5804" s="19">
        <v>1008</v>
      </c>
      <c r="C5804" s="319">
        <v>45412</v>
      </c>
      <c r="D5804" s="22" t="s">
        <v>109</v>
      </c>
      <c r="E5804" s="17" t="s">
        <v>110</v>
      </c>
      <c r="F5804" s="22" t="s">
        <v>72</v>
      </c>
      <c r="H5804" s="141" t="s">
        <v>111</v>
      </c>
      <c r="I5804" s="328"/>
      <c r="J5804" s="103" t="s">
        <v>39</v>
      </c>
      <c r="K5804" s="19">
        <v>162</v>
      </c>
      <c r="L5804" s="91"/>
      <c r="M5804" s="19">
        <v>5800</v>
      </c>
      <c r="N5804" s="19" t="s">
        <v>40</v>
      </c>
      <c r="O5804" s="147" t="s">
        <v>84</v>
      </c>
      <c r="P5804" s="19">
        <v>1000</v>
      </c>
      <c r="Q5804" s="19">
        <v>820</v>
      </c>
      <c r="R5804" s="19">
        <f t="shared" si="262"/>
        <v>180</v>
      </c>
      <c r="S5804" s="19">
        <v>2730</v>
      </c>
      <c r="T5804" s="91" t="s">
        <v>42</v>
      </c>
      <c r="U5804" s="336" t="s">
        <v>1457</v>
      </c>
      <c r="V5804" s="337">
        <v>45412</v>
      </c>
      <c r="W5804" s="17" t="s">
        <v>69</v>
      </c>
      <c r="Y5804" s="68">
        <v>45536</v>
      </c>
      <c r="Z5804" s="17" t="s">
        <v>1442</v>
      </c>
      <c r="AA5804" s="17" t="s">
        <v>46</v>
      </c>
      <c r="AB5804" s="17" t="s">
        <v>1452</v>
      </c>
      <c r="AC5804" s="217">
        <v>45539</v>
      </c>
      <c r="AD5804" s="65">
        <v>1624</v>
      </c>
      <c r="AE5804" s="17" t="s">
        <v>48</v>
      </c>
    </row>
    <row r="5805" s="17" customFormat="1" hidden="1" spans="1:33">
      <c r="A5805" s="17" t="s">
        <v>34</v>
      </c>
      <c r="B5805" s="19">
        <v>1008</v>
      </c>
      <c r="C5805" s="319">
        <v>45412</v>
      </c>
      <c r="D5805" s="22" t="s">
        <v>109</v>
      </c>
      <c r="E5805" s="17" t="s">
        <v>110</v>
      </c>
      <c r="F5805" s="22" t="s">
        <v>72</v>
      </c>
      <c r="H5805" s="141" t="s">
        <v>111</v>
      </c>
      <c r="I5805" s="328"/>
      <c r="J5805" s="103" t="s">
        <v>39</v>
      </c>
      <c r="K5805" s="19">
        <v>172</v>
      </c>
      <c r="L5805" s="91"/>
      <c r="M5805" s="19">
        <v>5800</v>
      </c>
      <c r="N5805" s="19" t="s">
        <v>40</v>
      </c>
      <c r="O5805" s="147" t="s">
        <v>84</v>
      </c>
      <c r="P5805" s="19">
        <v>1000</v>
      </c>
      <c r="Q5805" s="19">
        <v>842</v>
      </c>
      <c r="R5805" s="19">
        <f t="shared" si="262"/>
        <v>158</v>
      </c>
      <c r="S5805" s="19">
        <v>2730</v>
      </c>
      <c r="T5805" s="91" t="s">
        <v>42</v>
      </c>
      <c r="U5805" s="336" t="s">
        <v>1457</v>
      </c>
      <c r="V5805" s="337">
        <v>45412</v>
      </c>
      <c r="W5805" s="17" t="s">
        <v>69</v>
      </c>
      <c r="Y5805" s="68">
        <v>45536</v>
      </c>
      <c r="Z5805" s="17" t="s">
        <v>1442</v>
      </c>
      <c r="AA5805" s="17" t="s">
        <v>46</v>
      </c>
      <c r="AB5805" s="17" t="s">
        <v>1452</v>
      </c>
      <c r="AC5805" s="217">
        <v>45539</v>
      </c>
      <c r="AD5805" s="65">
        <v>1624</v>
      </c>
      <c r="AE5805" s="17" t="s">
        <v>48</v>
      </c>
    </row>
    <row r="5806" s="17" customFormat="1" hidden="1" spans="1:33">
      <c r="A5806" s="17" t="s">
        <v>34</v>
      </c>
      <c r="B5806" s="19">
        <v>1008</v>
      </c>
      <c r="C5806" s="319">
        <v>45412</v>
      </c>
      <c r="D5806" s="22" t="s">
        <v>109</v>
      </c>
      <c r="E5806" s="17" t="s">
        <v>110</v>
      </c>
      <c r="F5806" s="22" t="s">
        <v>72</v>
      </c>
      <c r="H5806" s="141" t="s">
        <v>111</v>
      </c>
      <c r="I5806" s="328"/>
      <c r="J5806" s="103" t="s">
        <v>39</v>
      </c>
      <c r="K5806" s="19">
        <v>182</v>
      </c>
      <c r="L5806" s="91"/>
      <c r="M5806" s="19">
        <v>5800</v>
      </c>
      <c r="N5806" s="19" t="s">
        <v>40</v>
      </c>
      <c r="O5806" s="147" t="s">
        <v>84</v>
      </c>
      <c r="P5806" s="19">
        <v>1000</v>
      </c>
      <c r="Q5806" s="19">
        <v>1634</v>
      </c>
      <c r="R5806" s="19">
        <f t="shared" si="262"/>
        <v>-634</v>
      </c>
      <c r="S5806" s="19">
        <v>2730</v>
      </c>
      <c r="T5806" s="91" t="s">
        <v>42</v>
      </c>
      <c r="U5806" s="336" t="s">
        <v>1457</v>
      </c>
      <c r="V5806" s="337">
        <v>45412</v>
      </c>
      <c r="W5806" s="17" t="s">
        <v>69</v>
      </c>
      <c r="Y5806" s="68">
        <v>45536</v>
      </c>
      <c r="Z5806" s="17" t="s">
        <v>1442</v>
      </c>
      <c r="AA5806" s="17" t="s">
        <v>46</v>
      </c>
      <c r="AB5806" s="17" t="s">
        <v>1452</v>
      </c>
      <c r="AC5806" s="217">
        <v>45539</v>
      </c>
      <c r="AD5806" s="65">
        <v>1624</v>
      </c>
      <c r="AE5806" s="17" t="s">
        <v>48</v>
      </c>
    </row>
    <row r="5807" s="17" customFormat="1" hidden="1" spans="1:33">
      <c r="A5807" s="17" t="s">
        <v>34</v>
      </c>
      <c r="B5807" s="19">
        <v>1008</v>
      </c>
      <c r="C5807" s="319">
        <v>45412</v>
      </c>
      <c r="D5807" s="22" t="s">
        <v>109</v>
      </c>
      <c r="E5807" s="17" t="s">
        <v>110</v>
      </c>
      <c r="F5807" s="22" t="s">
        <v>72</v>
      </c>
      <c r="H5807" s="141" t="s">
        <v>111</v>
      </c>
      <c r="I5807" s="328"/>
      <c r="J5807" s="103" t="s">
        <v>39</v>
      </c>
      <c r="K5807" s="19">
        <v>192</v>
      </c>
      <c r="L5807" s="91"/>
      <c r="M5807" s="19">
        <v>5800</v>
      </c>
      <c r="N5807" s="19" t="s">
        <v>40</v>
      </c>
      <c r="O5807" s="147" t="s">
        <v>84</v>
      </c>
      <c r="P5807" s="19">
        <v>1500</v>
      </c>
      <c r="Q5807" s="19">
        <v>1516</v>
      </c>
      <c r="R5807" s="19">
        <f t="shared" si="262"/>
        <v>-16</v>
      </c>
      <c r="S5807" s="19">
        <v>2730</v>
      </c>
      <c r="T5807" s="91" t="s">
        <v>42</v>
      </c>
      <c r="U5807" s="336" t="s">
        <v>1457</v>
      </c>
      <c r="V5807" s="337">
        <v>45412</v>
      </c>
      <c r="W5807" s="17" t="s">
        <v>69</v>
      </c>
      <c r="Y5807" s="68">
        <v>45536</v>
      </c>
      <c r="Z5807" s="17" t="s">
        <v>1442</v>
      </c>
      <c r="AA5807" s="17" t="s">
        <v>46</v>
      </c>
      <c r="AB5807" s="17" t="s">
        <v>1452</v>
      </c>
      <c r="AC5807" s="217">
        <v>45539</v>
      </c>
      <c r="AD5807" s="65">
        <v>1624</v>
      </c>
      <c r="AE5807" s="17" t="s">
        <v>48</v>
      </c>
    </row>
    <row r="5808" s="17" customFormat="1" hidden="1" spans="1:33">
      <c r="A5808" s="17" t="s">
        <v>34</v>
      </c>
      <c r="B5808" s="19">
        <v>1008</v>
      </c>
      <c r="C5808" s="319">
        <v>45412</v>
      </c>
      <c r="D5808" s="22" t="s">
        <v>109</v>
      </c>
      <c r="E5808" s="17" t="s">
        <v>110</v>
      </c>
      <c r="F5808" s="22" t="s">
        <v>72</v>
      </c>
      <c r="H5808" s="141" t="s">
        <v>111</v>
      </c>
      <c r="I5808" s="328"/>
      <c r="J5808" s="103" t="s">
        <v>39</v>
      </c>
      <c r="K5808" s="19">
        <v>202</v>
      </c>
      <c r="L5808" s="91"/>
      <c r="M5808" s="19">
        <v>5800</v>
      </c>
      <c r="N5808" s="19" t="s">
        <v>40</v>
      </c>
      <c r="O5808" s="147" t="s">
        <v>84</v>
      </c>
      <c r="P5808" s="19">
        <v>1500</v>
      </c>
      <c r="Q5808" s="19">
        <v>1442</v>
      </c>
      <c r="R5808" s="19">
        <f t="shared" si="262"/>
        <v>58</v>
      </c>
      <c r="S5808" s="19">
        <v>2730</v>
      </c>
      <c r="T5808" s="91" t="s">
        <v>42</v>
      </c>
      <c r="U5808" s="336" t="s">
        <v>1457</v>
      </c>
      <c r="V5808" s="337">
        <v>45412</v>
      </c>
      <c r="W5808" s="17" t="s">
        <v>69</v>
      </c>
      <c r="Y5808" s="68">
        <v>45536</v>
      </c>
      <c r="Z5808" s="17" t="s">
        <v>1442</v>
      </c>
      <c r="AA5808" s="17" t="s">
        <v>46</v>
      </c>
      <c r="AB5808" s="17" t="s">
        <v>1452</v>
      </c>
      <c r="AC5808" s="217">
        <v>45539</v>
      </c>
      <c r="AD5808" s="65">
        <v>1624</v>
      </c>
      <c r="AE5808" s="17" t="s">
        <v>48</v>
      </c>
    </row>
    <row r="5809" s="17" customFormat="1" hidden="1" spans="1:31">
      <c r="A5809" s="17" t="s">
        <v>34</v>
      </c>
      <c r="B5809" s="19">
        <v>1008</v>
      </c>
      <c r="C5809" s="319">
        <v>45412</v>
      </c>
      <c r="D5809" s="22" t="s">
        <v>109</v>
      </c>
      <c r="E5809" s="17" t="s">
        <v>110</v>
      </c>
      <c r="F5809" s="22" t="s">
        <v>72</v>
      </c>
      <c r="H5809" s="141" t="s">
        <v>111</v>
      </c>
      <c r="I5809" s="328"/>
      <c r="J5809" s="103" t="s">
        <v>39</v>
      </c>
      <c r="K5809" s="19">
        <v>212</v>
      </c>
      <c r="L5809" s="91"/>
      <c r="M5809" s="19">
        <v>5800</v>
      </c>
      <c r="N5809" s="19" t="s">
        <v>40</v>
      </c>
      <c r="O5809" s="147" t="s">
        <v>84</v>
      </c>
      <c r="P5809" s="19">
        <v>1500</v>
      </c>
      <c r="Q5809" s="19">
        <v>1578</v>
      </c>
      <c r="R5809" s="19">
        <f t="shared" si="262"/>
        <v>-78</v>
      </c>
      <c r="S5809" s="19">
        <v>2730</v>
      </c>
      <c r="T5809" s="91" t="s">
        <v>42</v>
      </c>
      <c r="U5809" s="336" t="s">
        <v>1457</v>
      </c>
      <c r="V5809" s="337">
        <v>45412</v>
      </c>
      <c r="W5809" s="17" t="s">
        <v>69</v>
      </c>
      <c r="Y5809" s="68">
        <v>45536</v>
      </c>
      <c r="Z5809" s="17" t="s">
        <v>1442</v>
      </c>
      <c r="AA5809" s="17" t="s">
        <v>46</v>
      </c>
      <c r="AB5809" s="17" t="s">
        <v>1452</v>
      </c>
      <c r="AC5809" s="217">
        <v>45539</v>
      </c>
      <c r="AD5809" s="65">
        <v>1624</v>
      </c>
      <c r="AE5809" s="17" t="s">
        <v>48</v>
      </c>
    </row>
    <row r="5810" s="17" customFormat="1" hidden="1" spans="1:31">
      <c r="A5810" s="17" t="s">
        <v>34</v>
      </c>
      <c r="B5810" s="19">
        <v>1009</v>
      </c>
      <c r="C5810" s="319">
        <v>45420</v>
      </c>
      <c r="D5810" s="22" t="s">
        <v>52</v>
      </c>
      <c r="E5810" s="17" t="s">
        <v>1113</v>
      </c>
      <c r="F5810" s="22" t="s">
        <v>54</v>
      </c>
      <c r="H5810" s="141">
        <v>1.2738</v>
      </c>
      <c r="I5810" s="328"/>
      <c r="J5810" s="103" t="s">
        <v>49</v>
      </c>
      <c r="K5810" s="19">
        <v>1300</v>
      </c>
      <c r="L5810" s="19">
        <v>230</v>
      </c>
      <c r="M5810" s="19">
        <v>5500</v>
      </c>
      <c r="N5810" s="19" t="s">
        <v>66</v>
      </c>
      <c r="O5810" s="147" t="s">
        <v>50</v>
      </c>
      <c r="P5810" s="19">
        <v>9389</v>
      </c>
      <c r="Q5810" s="19">
        <v>8930</v>
      </c>
      <c r="R5810" s="19">
        <f t="shared" si="262"/>
        <v>459</v>
      </c>
      <c r="S5810" s="19">
        <f>1685</f>
        <v>1685</v>
      </c>
      <c r="T5810" s="91" t="s">
        <v>42</v>
      </c>
      <c r="U5810" s="336" t="s">
        <v>1458</v>
      </c>
      <c r="V5810" s="337">
        <v>45420</v>
      </c>
      <c r="W5810" s="17" t="s">
        <v>69</v>
      </c>
      <c r="Y5810" s="68">
        <v>45474</v>
      </c>
      <c r="Z5810" s="17" t="s">
        <v>191</v>
      </c>
      <c r="AA5810" s="17" t="s">
        <v>46</v>
      </c>
      <c r="AB5810" s="17" t="s">
        <v>1435</v>
      </c>
      <c r="AC5810" s="217">
        <v>45510</v>
      </c>
      <c r="AD5810" s="65">
        <v>1613</v>
      </c>
      <c r="AE5810" s="17" t="s">
        <v>48</v>
      </c>
    </row>
    <row r="5811" s="17" customFormat="1" hidden="1" spans="1:31">
      <c r="A5811" s="17" t="s">
        <v>34</v>
      </c>
      <c r="B5811" s="19">
        <v>1009</v>
      </c>
      <c r="C5811" s="319">
        <v>45420</v>
      </c>
      <c r="D5811" s="22" t="s">
        <v>52</v>
      </c>
      <c r="E5811" s="17" t="s">
        <v>1113</v>
      </c>
      <c r="F5811" s="22" t="s">
        <v>54</v>
      </c>
      <c r="H5811" s="141">
        <v>1.2738</v>
      </c>
      <c r="I5811" s="328"/>
      <c r="J5811" s="103" t="s">
        <v>49</v>
      </c>
      <c r="K5811" s="19">
        <v>1600</v>
      </c>
      <c r="L5811" s="19">
        <v>310</v>
      </c>
      <c r="M5811" s="19">
        <v>5500</v>
      </c>
      <c r="N5811" s="19" t="s">
        <v>66</v>
      </c>
      <c r="O5811" s="147" t="s">
        <v>50</v>
      </c>
      <c r="P5811" s="19">
        <v>15574</v>
      </c>
      <c r="Q5811" s="19">
        <v>14300</v>
      </c>
      <c r="R5811" s="19">
        <f t="shared" si="262"/>
        <v>1274</v>
      </c>
      <c r="S5811" s="19">
        <f>1725</f>
        <v>1725</v>
      </c>
      <c r="T5811" s="91" t="s">
        <v>42</v>
      </c>
      <c r="U5811" s="336" t="s">
        <v>1458</v>
      </c>
      <c r="V5811" s="337">
        <v>45420</v>
      </c>
      <c r="W5811" s="17" t="s">
        <v>69</v>
      </c>
      <c r="Y5811" s="68">
        <v>45474</v>
      </c>
      <c r="Z5811" s="17" t="s">
        <v>191</v>
      </c>
      <c r="AA5811" s="17" t="s">
        <v>46</v>
      </c>
      <c r="AB5811" s="17" t="s">
        <v>1435</v>
      </c>
      <c r="AC5811" s="217">
        <v>45510</v>
      </c>
      <c r="AD5811" s="65">
        <v>1613</v>
      </c>
      <c r="AE5811" s="17" t="s">
        <v>48</v>
      </c>
    </row>
    <row r="5812" s="17" customFormat="1" hidden="1" spans="1:31">
      <c r="A5812" s="17" t="s">
        <v>34</v>
      </c>
      <c r="B5812" s="19">
        <v>1009</v>
      </c>
      <c r="C5812" s="319">
        <v>45420</v>
      </c>
      <c r="D5812" s="22" t="s">
        <v>52</v>
      </c>
      <c r="E5812" s="17" t="s">
        <v>1113</v>
      </c>
      <c r="F5812" s="22" t="s">
        <v>54</v>
      </c>
      <c r="H5812" s="141">
        <v>1.2738</v>
      </c>
      <c r="I5812" s="328"/>
      <c r="J5812" s="103" t="s">
        <v>49</v>
      </c>
      <c r="K5812" s="19">
        <v>1600</v>
      </c>
      <c r="L5812" s="19">
        <v>410</v>
      </c>
      <c r="M5812" s="19">
        <v>5500</v>
      </c>
      <c r="N5812" s="19" t="s">
        <v>66</v>
      </c>
      <c r="O5812" s="147" t="s">
        <v>50</v>
      </c>
      <c r="P5812" s="19">
        <v>20598</v>
      </c>
      <c r="Q5812" s="19">
        <v>19020</v>
      </c>
      <c r="R5812" s="19">
        <f t="shared" si="262"/>
        <v>1578</v>
      </c>
      <c r="S5812" s="19">
        <f>1765</f>
        <v>1765</v>
      </c>
      <c r="T5812" s="91" t="s">
        <v>42</v>
      </c>
      <c r="U5812" s="336" t="s">
        <v>1458</v>
      </c>
      <c r="V5812" s="337">
        <v>45420</v>
      </c>
      <c r="W5812" s="17" t="s">
        <v>69</v>
      </c>
      <c r="Y5812" s="68">
        <v>45474</v>
      </c>
      <c r="Z5812" s="17" t="s">
        <v>191</v>
      </c>
      <c r="AA5812" s="17" t="s">
        <v>46</v>
      </c>
      <c r="AB5812" s="17" t="s">
        <v>1435</v>
      </c>
      <c r="AC5812" s="217">
        <v>45510</v>
      </c>
      <c r="AD5812" s="65">
        <v>1613</v>
      </c>
      <c r="AE5812" s="17" t="s">
        <v>48</v>
      </c>
    </row>
    <row r="5813" s="17" customFormat="1" hidden="1" spans="1:31">
      <c r="A5813" s="17" t="s">
        <v>34</v>
      </c>
      <c r="B5813" s="19">
        <v>1010</v>
      </c>
      <c r="C5813" s="183">
        <v>45422</v>
      </c>
      <c r="D5813" s="17" t="s">
        <v>52</v>
      </c>
      <c r="E5813" s="17" t="s">
        <v>1113</v>
      </c>
      <c r="F5813" s="17" t="s">
        <v>54</v>
      </c>
      <c r="H5813" s="141" t="s">
        <v>108</v>
      </c>
      <c r="I5813" s="141"/>
      <c r="J5813" s="17" t="s">
        <v>82</v>
      </c>
      <c r="K5813" s="19">
        <v>610</v>
      </c>
      <c r="L5813" s="91">
        <v>21</v>
      </c>
      <c r="M5813" s="19">
        <v>5800</v>
      </c>
      <c r="N5813" s="19" t="s">
        <v>66</v>
      </c>
      <c r="O5813" s="19" t="s">
        <v>141</v>
      </c>
      <c r="P5813" s="19">
        <v>402</v>
      </c>
      <c r="Q5813" s="19">
        <v>409</v>
      </c>
      <c r="R5813" s="19">
        <f t="shared" si="262"/>
        <v>-7</v>
      </c>
      <c r="S5813" s="19">
        <f>1455</f>
        <v>1455</v>
      </c>
      <c r="T5813" s="91" t="s">
        <v>42</v>
      </c>
      <c r="U5813" s="102" t="s">
        <v>1459</v>
      </c>
      <c r="V5813" s="186">
        <v>45422</v>
      </c>
      <c r="W5813" s="17" t="s">
        <v>69</v>
      </c>
      <c r="Y5813" s="68">
        <v>45444</v>
      </c>
      <c r="Z5813" s="17" t="s">
        <v>191</v>
      </c>
      <c r="AA5813" s="17" t="s">
        <v>46</v>
      </c>
      <c r="AB5813" s="17" t="s">
        <v>1447</v>
      </c>
      <c r="AC5813" s="217">
        <v>45484</v>
      </c>
      <c r="AD5813" s="65">
        <v>1596</v>
      </c>
      <c r="AE5813" s="17" t="s">
        <v>74</v>
      </c>
    </row>
    <row r="5814" s="17" customFormat="1" hidden="1" spans="1:31">
      <c r="A5814" s="17" t="s">
        <v>34</v>
      </c>
      <c r="B5814" s="19">
        <v>1010</v>
      </c>
      <c r="C5814" s="183">
        <v>45422</v>
      </c>
      <c r="D5814" s="17" t="s">
        <v>52</v>
      </c>
      <c r="E5814" s="17" t="s">
        <v>1113</v>
      </c>
      <c r="F5814" s="17" t="s">
        <v>54</v>
      </c>
      <c r="H5814" s="141" t="s">
        <v>108</v>
      </c>
      <c r="I5814" s="141"/>
      <c r="J5814" s="17" t="s">
        <v>82</v>
      </c>
      <c r="K5814" s="19">
        <v>610</v>
      </c>
      <c r="L5814" s="91">
        <v>31</v>
      </c>
      <c r="M5814" s="19">
        <v>5800</v>
      </c>
      <c r="N5814" s="19" t="s">
        <v>66</v>
      </c>
      <c r="O5814" s="19" t="s">
        <v>141</v>
      </c>
      <c r="P5814" s="19">
        <v>1781</v>
      </c>
      <c r="Q5814" s="19">
        <f>645+648+647</f>
        <v>1940</v>
      </c>
      <c r="R5814" s="19">
        <f t="shared" si="262"/>
        <v>-159</v>
      </c>
      <c r="S5814" s="19">
        <f>1455-20</f>
        <v>1435</v>
      </c>
      <c r="T5814" s="91" t="s">
        <v>42</v>
      </c>
      <c r="U5814" s="102" t="s">
        <v>1459</v>
      </c>
      <c r="V5814" s="186">
        <v>45422</v>
      </c>
      <c r="W5814" s="17" t="s">
        <v>69</v>
      </c>
      <c r="Y5814" s="68">
        <v>45444</v>
      </c>
      <c r="Z5814" s="17" t="s">
        <v>191</v>
      </c>
      <c r="AA5814" s="17" t="s">
        <v>46</v>
      </c>
      <c r="AB5814" s="17" t="s">
        <v>1436</v>
      </c>
      <c r="AC5814" s="217">
        <v>45434</v>
      </c>
      <c r="AD5814" s="65">
        <v>1582</v>
      </c>
      <c r="AE5814" s="17" t="s">
        <v>129</v>
      </c>
    </row>
    <row r="5815" s="17" customFormat="1" hidden="1" spans="1:31">
      <c r="A5815" s="17" t="s">
        <v>34</v>
      </c>
      <c r="B5815" s="19">
        <v>1010</v>
      </c>
      <c r="C5815" s="183">
        <v>45422</v>
      </c>
      <c r="D5815" s="17" t="s">
        <v>52</v>
      </c>
      <c r="E5815" s="17" t="s">
        <v>1113</v>
      </c>
      <c r="F5815" s="17" t="s">
        <v>54</v>
      </c>
      <c r="H5815" s="141" t="s">
        <v>108</v>
      </c>
      <c r="I5815" s="141"/>
      <c r="J5815" s="17" t="s">
        <v>82</v>
      </c>
      <c r="K5815" s="19">
        <v>610</v>
      </c>
      <c r="L5815" s="91">
        <v>36</v>
      </c>
      <c r="M5815" s="19">
        <v>5800</v>
      </c>
      <c r="N5815" s="19" t="s">
        <v>66</v>
      </c>
      <c r="O5815" s="19" t="s">
        <v>141</v>
      </c>
      <c r="P5815" s="19">
        <v>1379</v>
      </c>
      <c r="Q5815" s="19">
        <f>783+798</f>
        <v>1581</v>
      </c>
      <c r="R5815" s="19">
        <f t="shared" si="262"/>
        <v>-202</v>
      </c>
      <c r="S5815" s="19">
        <f>1455-20</f>
        <v>1435</v>
      </c>
      <c r="T5815" s="91" t="s">
        <v>42</v>
      </c>
      <c r="U5815" s="102" t="s">
        <v>1459</v>
      </c>
      <c r="V5815" s="186">
        <v>45422</v>
      </c>
      <c r="W5815" s="17" t="s">
        <v>69</v>
      </c>
      <c r="Y5815" s="68">
        <v>45444</v>
      </c>
      <c r="Z5815" s="17" t="s">
        <v>191</v>
      </c>
      <c r="AA5815" s="17" t="s">
        <v>46</v>
      </c>
      <c r="AB5815" s="17" t="s">
        <v>1436</v>
      </c>
      <c r="AC5815" s="217">
        <v>45434</v>
      </c>
      <c r="AD5815" s="65">
        <v>1582</v>
      </c>
      <c r="AE5815" s="17" t="s">
        <v>129</v>
      </c>
    </row>
    <row r="5816" s="17" customFormat="1" hidden="1" spans="1:31">
      <c r="A5816" s="17" t="s">
        <v>34</v>
      </c>
      <c r="B5816" s="19">
        <v>1010</v>
      </c>
      <c r="C5816" s="183">
        <v>45422</v>
      </c>
      <c r="D5816" s="17" t="s">
        <v>52</v>
      </c>
      <c r="E5816" s="17" t="s">
        <v>1113</v>
      </c>
      <c r="F5816" s="17" t="s">
        <v>54</v>
      </c>
      <c r="H5816" s="141" t="s">
        <v>108</v>
      </c>
      <c r="I5816" s="141"/>
      <c r="J5816" s="17" t="s">
        <v>82</v>
      </c>
      <c r="K5816" s="19">
        <v>410</v>
      </c>
      <c r="L5816" s="91">
        <v>42</v>
      </c>
      <c r="M5816" s="19">
        <v>5800</v>
      </c>
      <c r="N5816" s="19" t="s">
        <v>66</v>
      </c>
      <c r="O5816" s="19" t="s">
        <v>141</v>
      </c>
      <c r="P5816" s="19">
        <v>541</v>
      </c>
      <c r="Q5816" s="19">
        <v>504</v>
      </c>
      <c r="R5816" s="19">
        <f t="shared" si="262"/>
        <v>37</v>
      </c>
      <c r="S5816" s="19">
        <f>1455</f>
        <v>1455</v>
      </c>
      <c r="T5816" s="91" t="s">
        <v>42</v>
      </c>
      <c r="U5816" s="102" t="s">
        <v>1459</v>
      </c>
      <c r="V5816" s="186">
        <v>45422</v>
      </c>
      <c r="W5816" s="17" t="s">
        <v>69</v>
      </c>
      <c r="Y5816" s="68">
        <v>45444</v>
      </c>
      <c r="Z5816" s="17" t="s">
        <v>191</v>
      </c>
      <c r="AA5816" s="17" t="s">
        <v>46</v>
      </c>
      <c r="AB5816" s="17" t="s">
        <v>1447</v>
      </c>
      <c r="AC5816" s="217">
        <v>45484</v>
      </c>
      <c r="AD5816" s="65">
        <v>1596</v>
      </c>
      <c r="AE5816" s="17" t="s">
        <v>74</v>
      </c>
    </row>
    <row r="5817" s="17" customFormat="1" hidden="1" spans="1:31">
      <c r="A5817" s="17" t="s">
        <v>34</v>
      </c>
      <c r="B5817" s="19">
        <v>1010</v>
      </c>
      <c r="C5817" s="183">
        <v>45422</v>
      </c>
      <c r="D5817" s="17" t="s">
        <v>52</v>
      </c>
      <c r="E5817" s="17" t="s">
        <v>1113</v>
      </c>
      <c r="F5817" s="17" t="s">
        <v>54</v>
      </c>
      <c r="H5817" s="141" t="s">
        <v>108</v>
      </c>
      <c r="I5817" s="141"/>
      <c r="J5817" s="17" t="s">
        <v>82</v>
      </c>
      <c r="K5817" s="19">
        <v>510</v>
      </c>
      <c r="L5817" s="91">
        <v>42</v>
      </c>
      <c r="M5817" s="19">
        <v>5800</v>
      </c>
      <c r="N5817" s="19" t="s">
        <v>66</v>
      </c>
      <c r="O5817" s="19" t="s">
        <v>141</v>
      </c>
      <c r="P5817" s="19">
        <v>1345</v>
      </c>
      <c r="Q5817" s="19">
        <f>808+810</f>
        <v>1618</v>
      </c>
      <c r="R5817" s="19">
        <f t="shared" si="262"/>
        <v>-273</v>
      </c>
      <c r="S5817" s="19">
        <f>1455-20</f>
        <v>1435</v>
      </c>
      <c r="T5817" s="91" t="s">
        <v>42</v>
      </c>
      <c r="U5817" s="102" t="s">
        <v>1459</v>
      </c>
      <c r="V5817" s="186">
        <v>45422</v>
      </c>
      <c r="W5817" s="17" t="s">
        <v>69</v>
      </c>
      <c r="Y5817" s="68">
        <v>45444</v>
      </c>
      <c r="Z5817" s="17" t="s">
        <v>191</v>
      </c>
      <c r="AA5817" s="17" t="s">
        <v>46</v>
      </c>
      <c r="AB5817" s="17" t="s">
        <v>1436</v>
      </c>
      <c r="AC5817" s="217">
        <v>45434</v>
      </c>
      <c r="AD5817" s="65">
        <v>1582</v>
      </c>
      <c r="AE5817" s="17" t="s">
        <v>74</v>
      </c>
    </row>
    <row r="5818" s="17" customFormat="1" hidden="1" spans="1:31">
      <c r="A5818" s="17" t="s">
        <v>34</v>
      </c>
      <c r="B5818" s="19">
        <v>1010</v>
      </c>
      <c r="C5818" s="183">
        <v>45422</v>
      </c>
      <c r="D5818" s="17" t="s">
        <v>52</v>
      </c>
      <c r="E5818" s="17" t="s">
        <v>1113</v>
      </c>
      <c r="F5818" s="17" t="s">
        <v>54</v>
      </c>
      <c r="H5818" s="141" t="s">
        <v>108</v>
      </c>
      <c r="I5818" s="141"/>
      <c r="J5818" s="17" t="s">
        <v>82</v>
      </c>
      <c r="K5818" s="19">
        <v>560</v>
      </c>
      <c r="L5818" s="91">
        <v>42</v>
      </c>
      <c r="M5818" s="19">
        <v>5800</v>
      </c>
      <c r="N5818" s="19" t="s">
        <v>66</v>
      </c>
      <c r="O5818" s="19" t="s">
        <v>141</v>
      </c>
      <c r="P5818" s="19">
        <v>1477</v>
      </c>
      <c r="Q5818" s="19">
        <f>663+665</f>
        <v>1328</v>
      </c>
      <c r="R5818" s="19">
        <f t="shared" si="262"/>
        <v>149</v>
      </c>
      <c r="S5818" s="19">
        <f>1455-20</f>
        <v>1435</v>
      </c>
      <c r="T5818" s="91" t="s">
        <v>42</v>
      </c>
      <c r="U5818" s="102" t="s">
        <v>1459</v>
      </c>
      <c r="V5818" s="186">
        <v>45422</v>
      </c>
      <c r="W5818" s="17" t="s">
        <v>69</v>
      </c>
      <c r="Y5818" s="68">
        <v>45444</v>
      </c>
      <c r="Z5818" s="17" t="s">
        <v>191</v>
      </c>
      <c r="AA5818" s="17" t="s">
        <v>46</v>
      </c>
      <c r="AB5818" s="17" t="s">
        <v>1436</v>
      </c>
      <c r="AC5818" s="217">
        <v>45434</v>
      </c>
      <c r="AD5818" s="65">
        <v>1582</v>
      </c>
      <c r="AE5818" s="17" t="s">
        <v>74</v>
      </c>
    </row>
    <row r="5819" s="17" customFormat="1" hidden="1" spans="1:31">
      <c r="A5819" s="17" t="s">
        <v>34</v>
      </c>
      <c r="B5819" s="19">
        <v>1010</v>
      </c>
      <c r="C5819" s="183">
        <v>45422</v>
      </c>
      <c r="D5819" s="17" t="s">
        <v>52</v>
      </c>
      <c r="E5819" s="17" t="s">
        <v>1113</v>
      </c>
      <c r="F5819" s="17" t="s">
        <v>54</v>
      </c>
      <c r="H5819" s="141" t="s">
        <v>108</v>
      </c>
      <c r="I5819" s="141"/>
      <c r="J5819" s="17" t="s">
        <v>82</v>
      </c>
      <c r="K5819" s="19">
        <v>610</v>
      </c>
      <c r="L5819" s="91">
        <v>42</v>
      </c>
      <c r="M5819" s="19">
        <v>5800</v>
      </c>
      <c r="N5819" s="19" t="s">
        <v>66</v>
      </c>
      <c r="O5819" s="19" t="s">
        <v>141</v>
      </c>
      <c r="P5819" s="19">
        <v>2413</v>
      </c>
      <c r="Q5819" s="19">
        <f>762+770+767</f>
        <v>2299</v>
      </c>
      <c r="R5819" s="19">
        <f t="shared" si="262"/>
        <v>114</v>
      </c>
      <c r="S5819" s="19">
        <f>1455-20</f>
        <v>1435</v>
      </c>
      <c r="T5819" s="91" t="s">
        <v>42</v>
      </c>
      <c r="U5819" s="102" t="s">
        <v>1459</v>
      </c>
      <c r="V5819" s="186">
        <v>45422</v>
      </c>
      <c r="W5819" s="17" t="s">
        <v>69</v>
      </c>
      <c r="Y5819" s="68">
        <v>45444</v>
      </c>
      <c r="Z5819" s="17" t="s">
        <v>191</v>
      </c>
      <c r="AA5819" s="17" t="s">
        <v>46</v>
      </c>
      <c r="AB5819" s="17" t="s">
        <v>1436</v>
      </c>
      <c r="AC5819" s="217">
        <v>45434</v>
      </c>
      <c r="AD5819" s="65">
        <v>1582</v>
      </c>
      <c r="AE5819" s="17" t="s">
        <v>129</v>
      </c>
    </row>
    <row r="5820" s="17" customFormat="1" hidden="1" spans="1:31">
      <c r="A5820" s="17" t="s">
        <v>34</v>
      </c>
      <c r="B5820" s="19">
        <v>1010</v>
      </c>
      <c r="C5820" s="183">
        <v>45422</v>
      </c>
      <c r="D5820" s="17" t="s">
        <v>52</v>
      </c>
      <c r="E5820" s="17" t="s">
        <v>1113</v>
      </c>
      <c r="F5820" s="17" t="s">
        <v>54</v>
      </c>
      <c r="H5820" s="141" t="s">
        <v>108</v>
      </c>
      <c r="I5820" s="141"/>
      <c r="J5820" s="17" t="s">
        <v>82</v>
      </c>
      <c r="K5820" s="19">
        <v>610</v>
      </c>
      <c r="L5820" s="91">
        <v>46</v>
      </c>
      <c r="M5820" s="19">
        <v>5800</v>
      </c>
      <c r="N5820" s="19" t="s">
        <v>66</v>
      </c>
      <c r="O5820" s="19" t="s">
        <v>141</v>
      </c>
      <c r="P5820" s="19">
        <v>1762</v>
      </c>
      <c r="Q5820" s="19">
        <f>952+983</f>
        <v>1935</v>
      </c>
      <c r="R5820" s="19">
        <f t="shared" si="262"/>
        <v>-173</v>
      </c>
      <c r="S5820" s="19">
        <f>1455</f>
        <v>1455</v>
      </c>
      <c r="T5820" s="91" t="s">
        <v>42</v>
      </c>
      <c r="U5820" s="102" t="s">
        <v>1459</v>
      </c>
      <c r="V5820" s="186">
        <v>45422</v>
      </c>
      <c r="W5820" s="17" t="s">
        <v>69</v>
      </c>
      <c r="Y5820" s="68">
        <v>45444</v>
      </c>
      <c r="Z5820" s="17" t="s">
        <v>191</v>
      </c>
      <c r="AA5820" s="17" t="s">
        <v>46</v>
      </c>
      <c r="AB5820" s="17" t="s">
        <v>1447</v>
      </c>
      <c r="AC5820" s="217">
        <v>45484</v>
      </c>
      <c r="AD5820" s="65">
        <v>1596</v>
      </c>
      <c r="AE5820" s="17" t="s">
        <v>48</v>
      </c>
    </row>
    <row r="5821" s="17" customFormat="1" hidden="1" spans="1:31">
      <c r="A5821" s="17" t="s">
        <v>34</v>
      </c>
      <c r="B5821" s="19">
        <v>1010</v>
      </c>
      <c r="C5821" s="183">
        <v>45422</v>
      </c>
      <c r="D5821" s="17" t="s">
        <v>52</v>
      </c>
      <c r="E5821" s="17" t="s">
        <v>1113</v>
      </c>
      <c r="F5821" s="17" t="s">
        <v>54</v>
      </c>
      <c r="H5821" s="141" t="s">
        <v>108</v>
      </c>
      <c r="I5821" s="141"/>
      <c r="J5821" s="17" t="s">
        <v>82</v>
      </c>
      <c r="K5821" s="19">
        <v>510</v>
      </c>
      <c r="L5821" s="91">
        <v>50</v>
      </c>
      <c r="M5821" s="19">
        <v>5800</v>
      </c>
      <c r="N5821" s="19" t="s">
        <v>66</v>
      </c>
      <c r="O5821" s="19" t="s">
        <v>141</v>
      </c>
      <c r="P5821" s="19">
        <v>801</v>
      </c>
      <c r="Q5821" s="19">
        <v>848</v>
      </c>
      <c r="R5821" s="19">
        <f t="shared" si="262"/>
        <v>-47</v>
      </c>
      <c r="S5821" s="19">
        <f>1455</f>
        <v>1455</v>
      </c>
      <c r="T5821" s="91" t="s">
        <v>42</v>
      </c>
      <c r="U5821" s="102" t="s">
        <v>1459</v>
      </c>
      <c r="V5821" s="186">
        <v>45422</v>
      </c>
      <c r="W5821" s="17" t="s">
        <v>69</v>
      </c>
      <c r="Y5821" s="68">
        <v>45444</v>
      </c>
      <c r="Z5821" s="17" t="s">
        <v>191</v>
      </c>
      <c r="AA5821" s="17" t="s">
        <v>46</v>
      </c>
      <c r="AB5821" s="17" t="s">
        <v>1434</v>
      </c>
      <c r="AC5821" s="217">
        <v>45485</v>
      </c>
      <c r="AD5821" s="65">
        <v>1597</v>
      </c>
      <c r="AE5821" s="17" t="s">
        <v>74</v>
      </c>
    </row>
    <row r="5822" s="17" customFormat="1" hidden="1" spans="1:31">
      <c r="A5822" s="17" t="s">
        <v>34</v>
      </c>
      <c r="B5822" s="19">
        <v>1010</v>
      </c>
      <c r="C5822" s="183">
        <v>45422</v>
      </c>
      <c r="D5822" s="17" t="s">
        <v>52</v>
      </c>
      <c r="E5822" s="17" t="s">
        <v>1113</v>
      </c>
      <c r="F5822" s="17" t="s">
        <v>54</v>
      </c>
      <c r="H5822" s="141" t="s">
        <v>108</v>
      </c>
      <c r="I5822" s="141"/>
      <c r="J5822" s="17" t="s">
        <v>82</v>
      </c>
      <c r="K5822" s="19">
        <v>610</v>
      </c>
      <c r="L5822" s="91">
        <v>50</v>
      </c>
      <c r="M5822" s="19">
        <v>5800</v>
      </c>
      <c r="N5822" s="19" t="s">
        <v>66</v>
      </c>
      <c r="O5822" s="19" t="s">
        <v>141</v>
      </c>
      <c r="P5822" s="19">
        <v>3831</v>
      </c>
      <c r="Q5822" s="19">
        <f>951+998+976+791</f>
        <v>3716</v>
      </c>
      <c r="R5822" s="19">
        <f t="shared" si="262"/>
        <v>115</v>
      </c>
      <c r="S5822" s="19">
        <f>1455</f>
        <v>1455</v>
      </c>
      <c r="T5822" s="91" t="s">
        <v>42</v>
      </c>
      <c r="U5822" s="102" t="s">
        <v>1459</v>
      </c>
      <c r="V5822" s="186">
        <v>45422</v>
      </c>
      <c r="W5822" s="17" t="s">
        <v>69</v>
      </c>
      <c r="Y5822" s="68">
        <v>45444</v>
      </c>
      <c r="Z5822" s="17" t="s">
        <v>191</v>
      </c>
      <c r="AA5822" s="17" t="s">
        <v>46</v>
      </c>
      <c r="AB5822" s="17" t="s">
        <v>1434</v>
      </c>
      <c r="AC5822" s="217">
        <v>45485</v>
      </c>
      <c r="AD5822" s="65">
        <v>1597</v>
      </c>
      <c r="AE5822" s="17" t="s">
        <v>129</v>
      </c>
    </row>
    <row r="5823" s="17" customFormat="1" hidden="1" spans="1:31">
      <c r="A5823" s="17" t="s">
        <v>34</v>
      </c>
      <c r="B5823" s="19">
        <v>1010</v>
      </c>
      <c r="C5823" s="183">
        <v>45422</v>
      </c>
      <c r="D5823" s="17" t="s">
        <v>52</v>
      </c>
      <c r="E5823" s="17" t="s">
        <v>1113</v>
      </c>
      <c r="F5823" s="17" t="s">
        <v>54</v>
      </c>
      <c r="H5823" s="141" t="s">
        <v>108</v>
      </c>
      <c r="I5823" s="141"/>
      <c r="J5823" s="17" t="s">
        <v>82</v>
      </c>
      <c r="K5823" s="19">
        <v>610</v>
      </c>
      <c r="L5823" s="91">
        <v>51</v>
      </c>
      <c r="M5823" s="19">
        <v>5800</v>
      </c>
      <c r="N5823" s="19" t="s">
        <v>66</v>
      </c>
      <c r="O5823" s="19" t="s">
        <v>141</v>
      </c>
      <c r="P5823" s="19">
        <v>1954</v>
      </c>
      <c r="Q5823" s="19">
        <f>960+1303</f>
        <v>2263</v>
      </c>
      <c r="R5823" s="19">
        <f t="shared" si="262"/>
        <v>-309</v>
      </c>
      <c r="S5823" s="19">
        <f>1455</f>
        <v>1455</v>
      </c>
      <c r="T5823" s="91" t="s">
        <v>42</v>
      </c>
      <c r="U5823" s="102" t="s">
        <v>1459</v>
      </c>
      <c r="V5823" s="186">
        <v>45422</v>
      </c>
      <c r="W5823" s="17" t="s">
        <v>69</v>
      </c>
      <c r="Y5823" s="68">
        <v>45444</v>
      </c>
      <c r="Z5823" s="17" t="s">
        <v>191</v>
      </c>
      <c r="AA5823" s="17" t="s">
        <v>46</v>
      </c>
      <c r="AB5823" s="17" t="s">
        <v>1434</v>
      </c>
      <c r="AC5823" s="217">
        <v>45485</v>
      </c>
      <c r="AD5823" s="65">
        <v>1597</v>
      </c>
      <c r="AE5823" s="17" t="s">
        <v>48</v>
      </c>
    </row>
    <row r="5824" s="17" customFormat="1" hidden="1" spans="1:31">
      <c r="A5824" s="17" t="s">
        <v>34</v>
      </c>
      <c r="B5824" s="19">
        <v>1010</v>
      </c>
      <c r="C5824" s="183">
        <v>45422</v>
      </c>
      <c r="D5824" s="17" t="s">
        <v>52</v>
      </c>
      <c r="E5824" s="17" t="s">
        <v>1113</v>
      </c>
      <c r="F5824" s="17" t="s">
        <v>54</v>
      </c>
      <c r="H5824" s="141" t="s">
        <v>108</v>
      </c>
      <c r="I5824" s="141"/>
      <c r="J5824" s="17" t="s">
        <v>82</v>
      </c>
      <c r="K5824" s="19">
        <v>610</v>
      </c>
      <c r="L5824" s="91">
        <v>61</v>
      </c>
      <c r="M5824" s="19">
        <v>5800</v>
      </c>
      <c r="N5824" s="19" t="s">
        <v>66</v>
      </c>
      <c r="O5824" s="19" t="s">
        <v>141</v>
      </c>
      <c r="P5824" s="19">
        <v>2337</v>
      </c>
      <c r="Q5824" s="19">
        <v>1194</v>
      </c>
      <c r="R5824" s="19">
        <f t="shared" si="262"/>
        <v>1143</v>
      </c>
      <c r="S5824" s="19">
        <f>1455</f>
        <v>1455</v>
      </c>
      <c r="T5824" s="91" t="s">
        <v>42</v>
      </c>
      <c r="U5824" s="102" t="s">
        <v>1459</v>
      </c>
      <c r="V5824" s="186">
        <v>45422</v>
      </c>
      <c r="W5824" s="17" t="s">
        <v>69</v>
      </c>
      <c r="Y5824" s="68">
        <v>45444</v>
      </c>
      <c r="Z5824" s="17" t="s">
        <v>191</v>
      </c>
      <c r="AA5824" s="17" t="s">
        <v>46</v>
      </c>
      <c r="AB5824" s="17" t="s">
        <v>1435</v>
      </c>
      <c r="AC5824" s="217">
        <v>45510</v>
      </c>
      <c r="AD5824" s="65">
        <v>1613</v>
      </c>
      <c r="AE5824" s="17" t="s">
        <v>48</v>
      </c>
    </row>
    <row r="5825" s="17" customFormat="1" hidden="1" spans="1:31">
      <c r="A5825" s="17" t="s">
        <v>34</v>
      </c>
      <c r="B5825" s="19">
        <v>1010</v>
      </c>
      <c r="C5825" s="183">
        <v>45422</v>
      </c>
      <c r="D5825" s="17" t="s">
        <v>52</v>
      </c>
      <c r="E5825" s="17" t="s">
        <v>1113</v>
      </c>
      <c r="F5825" s="17" t="s">
        <v>54</v>
      </c>
      <c r="H5825" s="141" t="s">
        <v>108</v>
      </c>
      <c r="I5825" s="141"/>
      <c r="J5825" s="17" t="s">
        <v>82</v>
      </c>
      <c r="K5825" s="19">
        <v>610</v>
      </c>
      <c r="L5825" s="91">
        <v>71</v>
      </c>
      <c r="M5825" s="19">
        <v>5800</v>
      </c>
      <c r="N5825" s="19" t="s">
        <v>66</v>
      </c>
      <c r="O5825" s="19" t="s">
        <v>141</v>
      </c>
      <c r="P5825" s="19">
        <v>4080</v>
      </c>
      <c r="Q5825" s="19">
        <f>1216+1220</f>
        <v>2436</v>
      </c>
      <c r="S5825" s="19">
        <f>1455-20</f>
        <v>1435</v>
      </c>
      <c r="T5825" s="91" t="s">
        <v>42</v>
      </c>
      <c r="U5825" s="102" t="s">
        <v>1459</v>
      </c>
      <c r="V5825" s="186">
        <v>45422</v>
      </c>
      <c r="W5825" s="17" t="s">
        <v>69</v>
      </c>
      <c r="Y5825" s="68">
        <v>45444</v>
      </c>
      <c r="Z5825" s="17" t="s">
        <v>191</v>
      </c>
      <c r="AA5825" s="17" t="s">
        <v>46</v>
      </c>
      <c r="AB5825" s="17" t="s">
        <v>1335</v>
      </c>
      <c r="AC5825" s="217">
        <v>45443</v>
      </c>
      <c r="AD5825" s="65">
        <v>1581</v>
      </c>
      <c r="AE5825" s="17" t="s">
        <v>129</v>
      </c>
    </row>
    <row r="5826" s="17" customFormat="1" hidden="1" spans="1:31">
      <c r="A5826" s="17" t="s">
        <v>34</v>
      </c>
      <c r="B5826" s="19">
        <v>1010</v>
      </c>
      <c r="C5826" s="183">
        <v>45422</v>
      </c>
      <c r="D5826" s="17" t="s">
        <v>52</v>
      </c>
      <c r="E5826" s="17" t="s">
        <v>1113</v>
      </c>
      <c r="F5826" s="17" t="s">
        <v>54</v>
      </c>
      <c r="H5826" s="141" t="s">
        <v>108</v>
      </c>
      <c r="I5826" s="141"/>
      <c r="J5826" s="17" t="s">
        <v>82</v>
      </c>
      <c r="K5826" s="19">
        <v>610</v>
      </c>
      <c r="L5826" s="91">
        <v>71</v>
      </c>
      <c r="M5826" s="19">
        <v>5800</v>
      </c>
      <c r="N5826" s="19" t="s">
        <v>66</v>
      </c>
      <c r="O5826" s="19" t="s">
        <v>141</v>
      </c>
      <c r="P5826" s="19"/>
      <c r="Q5826" s="19">
        <v>1246</v>
      </c>
      <c r="R5826" s="19">
        <f>+P5825-Q5825-Q5826</f>
        <v>398</v>
      </c>
      <c r="S5826" s="19">
        <f>1455</f>
        <v>1455</v>
      </c>
      <c r="T5826" s="91" t="s">
        <v>42</v>
      </c>
      <c r="U5826" s="102" t="s">
        <v>1459</v>
      </c>
      <c r="V5826" s="186">
        <v>45422</v>
      </c>
      <c r="W5826" s="17" t="s">
        <v>69</v>
      </c>
      <c r="Y5826" s="68">
        <v>45444</v>
      </c>
      <c r="Z5826" s="17" t="s">
        <v>191</v>
      </c>
      <c r="AA5826" s="17" t="s">
        <v>46</v>
      </c>
      <c r="AB5826" s="17" t="s">
        <v>1434</v>
      </c>
      <c r="AC5826" s="217">
        <v>45485</v>
      </c>
      <c r="AD5826" s="65">
        <v>1597</v>
      </c>
      <c r="AE5826" s="17" t="s">
        <v>129</v>
      </c>
    </row>
    <row r="5827" s="17" customFormat="1" hidden="1" spans="1:31">
      <c r="A5827" s="17" t="s">
        <v>34</v>
      </c>
      <c r="B5827" s="19">
        <v>1010</v>
      </c>
      <c r="C5827" s="183">
        <v>45422</v>
      </c>
      <c r="D5827" s="17" t="s">
        <v>52</v>
      </c>
      <c r="E5827" s="17" t="s">
        <v>1113</v>
      </c>
      <c r="F5827" s="17" t="s">
        <v>54</v>
      </c>
      <c r="H5827" s="141" t="s">
        <v>108</v>
      </c>
      <c r="I5827" s="141"/>
      <c r="J5827" s="17" t="s">
        <v>82</v>
      </c>
      <c r="K5827" s="19">
        <v>610</v>
      </c>
      <c r="L5827" s="91">
        <v>76</v>
      </c>
      <c r="M5827" s="19">
        <v>5800</v>
      </c>
      <c r="N5827" s="19" t="s">
        <v>66</v>
      </c>
      <c r="O5827" s="19" t="s">
        <v>141</v>
      </c>
      <c r="P5827" s="19">
        <v>1456</v>
      </c>
      <c r="Q5827" s="19">
        <v>1289</v>
      </c>
      <c r="R5827" s="19">
        <f t="shared" ref="R5827:R5844" si="263">+P5827-Q5827</f>
        <v>167</v>
      </c>
      <c r="S5827" s="19">
        <f>1455-20</f>
        <v>1435</v>
      </c>
      <c r="T5827" s="91" t="s">
        <v>42</v>
      </c>
      <c r="U5827" s="102" t="s">
        <v>1459</v>
      </c>
      <c r="V5827" s="186">
        <v>45422</v>
      </c>
      <c r="W5827" s="17" t="s">
        <v>69</v>
      </c>
      <c r="Y5827" s="68">
        <v>45444</v>
      </c>
      <c r="Z5827" s="17" t="s">
        <v>191</v>
      </c>
      <c r="AA5827" s="17" t="s">
        <v>46</v>
      </c>
      <c r="AB5827" s="17" t="s">
        <v>1335</v>
      </c>
      <c r="AC5827" s="217">
        <v>45443</v>
      </c>
      <c r="AD5827" s="65">
        <v>1581</v>
      </c>
      <c r="AE5827" s="17" t="s">
        <v>48</v>
      </c>
    </row>
    <row r="5828" s="17" customFormat="1" hidden="1" spans="1:31">
      <c r="A5828" s="17" t="s">
        <v>34</v>
      </c>
      <c r="B5828" s="19">
        <v>1010</v>
      </c>
      <c r="C5828" s="183">
        <v>45422</v>
      </c>
      <c r="D5828" s="17" t="s">
        <v>52</v>
      </c>
      <c r="E5828" s="17" t="s">
        <v>1113</v>
      </c>
      <c r="F5828" s="17" t="s">
        <v>54</v>
      </c>
      <c r="H5828" s="141" t="s">
        <v>108</v>
      </c>
      <c r="I5828" s="141"/>
      <c r="J5828" s="17" t="s">
        <v>82</v>
      </c>
      <c r="K5828" s="19">
        <v>510</v>
      </c>
      <c r="L5828" s="91">
        <v>81</v>
      </c>
      <c r="M5828" s="19">
        <v>5800</v>
      </c>
      <c r="N5828" s="19" t="s">
        <v>66</v>
      </c>
      <c r="O5828" s="19" t="s">
        <v>141</v>
      </c>
      <c r="P5828" s="19">
        <v>1297</v>
      </c>
      <c r="Q5828" s="19">
        <v>1257</v>
      </c>
      <c r="R5828" s="19">
        <f t="shared" si="263"/>
        <v>40</v>
      </c>
      <c r="S5828" s="19">
        <f t="shared" ref="S5828:S5837" si="264">1455</f>
        <v>1455</v>
      </c>
      <c r="T5828" s="91" t="s">
        <v>42</v>
      </c>
      <c r="U5828" s="102" t="s">
        <v>1459</v>
      </c>
      <c r="V5828" s="186">
        <v>45422</v>
      </c>
      <c r="W5828" s="17" t="s">
        <v>69</v>
      </c>
      <c r="Y5828" s="68">
        <v>45444</v>
      </c>
      <c r="Z5828" s="17" t="s">
        <v>191</v>
      </c>
      <c r="AA5828" s="17" t="s">
        <v>46</v>
      </c>
      <c r="AB5828" s="17" t="s">
        <v>1447</v>
      </c>
      <c r="AC5828" s="217">
        <v>45484</v>
      </c>
      <c r="AD5828" s="65">
        <v>1596</v>
      </c>
      <c r="AE5828" s="17" t="s">
        <v>74</v>
      </c>
    </row>
    <row r="5829" s="17" customFormat="1" hidden="1" spans="1:31">
      <c r="A5829" s="17" t="s">
        <v>34</v>
      </c>
      <c r="B5829" s="19">
        <v>1010</v>
      </c>
      <c r="C5829" s="183">
        <v>45422</v>
      </c>
      <c r="D5829" s="17" t="s">
        <v>52</v>
      </c>
      <c r="E5829" s="17" t="s">
        <v>1113</v>
      </c>
      <c r="F5829" s="17" t="s">
        <v>54</v>
      </c>
      <c r="H5829" s="141" t="s">
        <v>108</v>
      </c>
      <c r="I5829" s="141"/>
      <c r="J5829" s="17" t="s">
        <v>82</v>
      </c>
      <c r="K5829" s="19">
        <v>560</v>
      </c>
      <c r="L5829" s="91">
        <v>81</v>
      </c>
      <c r="M5829" s="19">
        <v>5800</v>
      </c>
      <c r="N5829" s="19" t="s">
        <v>66</v>
      </c>
      <c r="O5829" s="19" t="s">
        <v>141</v>
      </c>
      <c r="P5829" s="19">
        <v>1424</v>
      </c>
      <c r="Q5829" s="19">
        <v>1123</v>
      </c>
      <c r="R5829" s="19">
        <f t="shared" si="263"/>
        <v>301</v>
      </c>
      <c r="S5829" s="19">
        <f t="shared" si="264"/>
        <v>1455</v>
      </c>
      <c r="T5829" s="91" t="s">
        <v>42</v>
      </c>
      <c r="U5829" s="102" t="s">
        <v>1459</v>
      </c>
      <c r="V5829" s="186">
        <v>45422</v>
      </c>
      <c r="W5829" s="17" t="s">
        <v>69</v>
      </c>
      <c r="Y5829" s="68">
        <v>45444</v>
      </c>
      <c r="Z5829" s="17" t="s">
        <v>191</v>
      </c>
      <c r="AA5829" s="17" t="s">
        <v>46</v>
      </c>
      <c r="AB5829" s="17" t="s">
        <v>1447</v>
      </c>
      <c r="AC5829" s="217">
        <v>45484</v>
      </c>
      <c r="AD5829" s="65">
        <v>1596</v>
      </c>
      <c r="AE5829" s="17" t="s">
        <v>48</v>
      </c>
    </row>
    <row r="5830" s="17" customFormat="1" hidden="1" spans="1:31">
      <c r="A5830" s="17" t="s">
        <v>34</v>
      </c>
      <c r="B5830" s="19">
        <v>1010</v>
      </c>
      <c r="C5830" s="183">
        <v>45422</v>
      </c>
      <c r="D5830" s="17" t="s">
        <v>52</v>
      </c>
      <c r="E5830" s="17" t="s">
        <v>1113</v>
      </c>
      <c r="F5830" s="17" t="s">
        <v>54</v>
      </c>
      <c r="H5830" s="141" t="s">
        <v>108</v>
      </c>
      <c r="I5830" s="141"/>
      <c r="J5830" s="17" t="s">
        <v>82</v>
      </c>
      <c r="K5830" s="19">
        <v>610</v>
      </c>
      <c r="L5830" s="91">
        <v>81</v>
      </c>
      <c r="M5830" s="19">
        <v>5800</v>
      </c>
      <c r="N5830" s="19" t="s">
        <v>66</v>
      </c>
      <c r="O5830" s="19" t="s">
        <v>141</v>
      </c>
      <c r="P5830" s="19">
        <v>1551</v>
      </c>
      <c r="Q5830" s="19">
        <v>1396</v>
      </c>
      <c r="R5830" s="19">
        <f t="shared" si="263"/>
        <v>155</v>
      </c>
      <c r="S5830" s="19">
        <f t="shared" si="264"/>
        <v>1455</v>
      </c>
      <c r="T5830" s="91" t="s">
        <v>42</v>
      </c>
      <c r="U5830" s="102" t="s">
        <v>1459</v>
      </c>
      <c r="V5830" s="186">
        <v>45422</v>
      </c>
      <c r="W5830" s="17" t="s">
        <v>69</v>
      </c>
      <c r="Y5830" s="68">
        <v>45444</v>
      </c>
      <c r="Z5830" s="17" t="s">
        <v>191</v>
      </c>
      <c r="AA5830" s="17" t="s">
        <v>46</v>
      </c>
      <c r="AB5830" s="17" t="s">
        <v>1434</v>
      </c>
      <c r="AC5830" s="217">
        <v>45485</v>
      </c>
      <c r="AD5830" s="65">
        <v>1597</v>
      </c>
      <c r="AE5830" s="17" t="s">
        <v>129</v>
      </c>
    </row>
    <row r="5831" s="17" customFormat="1" hidden="1" spans="1:31">
      <c r="A5831" s="17" t="s">
        <v>34</v>
      </c>
      <c r="B5831" s="19">
        <v>1010</v>
      </c>
      <c r="C5831" s="183">
        <v>45422</v>
      </c>
      <c r="D5831" s="17" t="s">
        <v>52</v>
      </c>
      <c r="E5831" s="17" t="s">
        <v>1113</v>
      </c>
      <c r="F5831" s="17" t="s">
        <v>54</v>
      </c>
      <c r="H5831" s="141" t="s">
        <v>108</v>
      </c>
      <c r="I5831" s="141"/>
      <c r="J5831" s="17" t="s">
        <v>82</v>
      </c>
      <c r="K5831" s="19">
        <v>610</v>
      </c>
      <c r="L5831" s="91">
        <v>86</v>
      </c>
      <c r="M5831" s="19">
        <v>5800</v>
      </c>
      <c r="N5831" s="19" t="s">
        <v>66</v>
      </c>
      <c r="O5831" s="19" t="s">
        <v>141</v>
      </c>
      <c r="P5831" s="19">
        <v>1647</v>
      </c>
      <c r="Q5831" s="19">
        <v>1278</v>
      </c>
      <c r="R5831" s="19">
        <f t="shared" si="263"/>
        <v>369</v>
      </c>
      <c r="S5831" s="19">
        <f t="shared" si="264"/>
        <v>1455</v>
      </c>
      <c r="T5831" s="91" t="s">
        <v>42</v>
      </c>
      <c r="U5831" s="102" t="s">
        <v>1459</v>
      </c>
      <c r="V5831" s="186">
        <v>45422</v>
      </c>
      <c r="W5831" s="17" t="s">
        <v>69</v>
      </c>
      <c r="Y5831" s="68">
        <v>45444</v>
      </c>
      <c r="Z5831" s="17" t="s">
        <v>191</v>
      </c>
      <c r="AA5831" s="17" t="s">
        <v>46</v>
      </c>
      <c r="AB5831" s="17" t="s">
        <v>1447</v>
      </c>
      <c r="AC5831" s="217">
        <v>45484</v>
      </c>
      <c r="AD5831" s="65">
        <v>1596</v>
      </c>
      <c r="AE5831" s="17" t="s">
        <v>48</v>
      </c>
    </row>
    <row r="5832" s="17" customFormat="1" hidden="1" spans="1:31">
      <c r="A5832" s="17" t="s">
        <v>34</v>
      </c>
      <c r="B5832" s="19">
        <v>1010</v>
      </c>
      <c r="C5832" s="183">
        <v>45422</v>
      </c>
      <c r="D5832" s="17" t="s">
        <v>52</v>
      </c>
      <c r="E5832" s="17" t="s">
        <v>1113</v>
      </c>
      <c r="F5832" s="17" t="s">
        <v>54</v>
      </c>
      <c r="H5832" s="141" t="s">
        <v>108</v>
      </c>
      <c r="I5832" s="141"/>
      <c r="J5832" s="17" t="s">
        <v>82</v>
      </c>
      <c r="K5832" s="19">
        <v>610</v>
      </c>
      <c r="L5832" s="91">
        <v>90</v>
      </c>
      <c r="M5832" s="19">
        <v>5800</v>
      </c>
      <c r="N5832" s="19" t="s">
        <v>66</v>
      </c>
      <c r="O5832" s="19" t="s">
        <v>141</v>
      </c>
      <c r="P5832" s="19">
        <v>1724</v>
      </c>
      <c r="Q5832" s="19">
        <v>1698</v>
      </c>
      <c r="R5832" s="19">
        <f t="shared" si="263"/>
        <v>26</v>
      </c>
      <c r="S5832" s="19">
        <f t="shared" si="264"/>
        <v>1455</v>
      </c>
      <c r="T5832" s="91" t="s">
        <v>42</v>
      </c>
      <c r="U5832" s="102" t="s">
        <v>1459</v>
      </c>
      <c r="V5832" s="186">
        <v>45422</v>
      </c>
      <c r="W5832" s="17" t="s">
        <v>69</v>
      </c>
      <c r="Y5832" s="68">
        <v>45444</v>
      </c>
      <c r="Z5832" s="17" t="s">
        <v>191</v>
      </c>
      <c r="AA5832" s="17" t="s">
        <v>46</v>
      </c>
      <c r="AB5832" s="17" t="s">
        <v>1434</v>
      </c>
      <c r="AC5832" s="217">
        <v>45485</v>
      </c>
      <c r="AD5832" s="65">
        <v>1597</v>
      </c>
      <c r="AE5832" s="17" t="s">
        <v>48</v>
      </c>
    </row>
    <row r="5833" s="17" customFormat="1" hidden="1" spans="1:31">
      <c r="A5833" s="17" t="s">
        <v>34</v>
      </c>
      <c r="B5833" s="19">
        <v>1010</v>
      </c>
      <c r="C5833" s="183">
        <v>45422</v>
      </c>
      <c r="D5833" s="17" t="s">
        <v>52</v>
      </c>
      <c r="E5833" s="17" t="s">
        <v>1113</v>
      </c>
      <c r="F5833" s="17" t="s">
        <v>54</v>
      </c>
      <c r="H5833" s="141" t="s">
        <v>108</v>
      </c>
      <c r="I5833" s="141"/>
      <c r="J5833" s="17" t="s">
        <v>82</v>
      </c>
      <c r="K5833" s="19">
        <v>610</v>
      </c>
      <c r="L5833" s="91">
        <v>101</v>
      </c>
      <c r="M5833" s="19">
        <v>5800</v>
      </c>
      <c r="N5833" s="19" t="s">
        <v>66</v>
      </c>
      <c r="O5833" s="19" t="s">
        <v>141</v>
      </c>
      <c r="P5833" s="19">
        <v>1935</v>
      </c>
      <c r="Q5833" s="19">
        <v>1830</v>
      </c>
      <c r="R5833" s="19">
        <f t="shared" si="263"/>
        <v>105</v>
      </c>
      <c r="S5833" s="19">
        <f t="shared" si="264"/>
        <v>1455</v>
      </c>
      <c r="T5833" s="91" t="s">
        <v>42</v>
      </c>
      <c r="U5833" s="102" t="s">
        <v>1459</v>
      </c>
      <c r="V5833" s="186">
        <v>45422</v>
      </c>
      <c r="W5833" s="17" t="s">
        <v>69</v>
      </c>
      <c r="Y5833" s="68">
        <v>45444</v>
      </c>
      <c r="Z5833" s="17" t="s">
        <v>191</v>
      </c>
      <c r="AA5833" s="17" t="s">
        <v>46</v>
      </c>
      <c r="AB5833" s="17" t="s">
        <v>1447</v>
      </c>
      <c r="AC5833" s="217">
        <v>45484</v>
      </c>
      <c r="AD5833" s="65">
        <v>1596</v>
      </c>
      <c r="AE5833" s="17" t="s">
        <v>48</v>
      </c>
    </row>
    <row r="5834" s="18" customFormat="1" hidden="1" spans="1:31">
      <c r="B5834" s="75">
        <v>1010</v>
      </c>
      <c r="C5834" s="213">
        <v>45422</v>
      </c>
      <c r="D5834" s="18" t="s">
        <v>52</v>
      </c>
      <c r="E5834" s="17" t="s">
        <v>1113</v>
      </c>
      <c r="F5834" s="18" t="s">
        <v>54</v>
      </c>
      <c r="H5834" s="325" t="s">
        <v>108</v>
      </c>
      <c r="I5834" s="325"/>
      <c r="J5834" s="18" t="s">
        <v>82</v>
      </c>
      <c r="K5834" s="75">
        <v>510</v>
      </c>
      <c r="L5834" s="111">
        <v>105</v>
      </c>
      <c r="M5834" s="75">
        <v>5800</v>
      </c>
      <c r="N5834" s="75" t="s">
        <v>66</v>
      </c>
      <c r="O5834" s="75" t="s">
        <v>141</v>
      </c>
      <c r="P5834" s="75">
        <v>1681</v>
      </c>
      <c r="Q5834" s="75">
        <v>0</v>
      </c>
      <c r="R5834" s="75">
        <f t="shared" si="263"/>
        <v>1681</v>
      </c>
      <c r="S5834" s="75">
        <f t="shared" si="264"/>
        <v>1455</v>
      </c>
      <c r="T5834" s="111" t="s">
        <v>42</v>
      </c>
      <c r="U5834" s="137" t="s">
        <v>1459</v>
      </c>
      <c r="V5834" s="193">
        <v>45422</v>
      </c>
      <c r="W5834" s="18" t="s">
        <v>69</v>
      </c>
      <c r="Y5834" s="114">
        <v>45444</v>
      </c>
      <c r="Z5834" s="18" t="s">
        <v>191</v>
      </c>
      <c r="AA5834" s="18" t="s">
        <v>46</v>
      </c>
      <c r="AC5834" s="137"/>
      <c r="AD5834" s="77"/>
      <c r="AE5834" s="18" t="s">
        <v>48</v>
      </c>
    </row>
    <row r="5835" s="18" customFormat="1" hidden="1" spans="1:31">
      <c r="B5835" s="75">
        <v>1010</v>
      </c>
      <c r="C5835" s="213">
        <v>45422</v>
      </c>
      <c r="D5835" s="18" t="s">
        <v>52</v>
      </c>
      <c r="E5835" s="17" t="s">
        <v>1113</v>
      </c>
      <c r="F5835" s="18" t="s">
        <v>54</v>
      </c>
      <c r="H5835" s="325" t="s">
        <v>108</v>
      </c>
      <c r="I5835" s="325"/>
      <c r="J5835" s="18" t="s">
        <v>82</v>
      </c>
      <c r="K5835" s="75">
        <v>610</v>
      </c>
      <c r="L5835" s="111">
        <v>105</v>
      </c>
      <c r="M5835" s="75">
        <v>5800</v>
      </c>
      <c r="N5835" s="75" t="s">
        <v>66</v>
      </c>
      <c r="O5835" s="75" t="s">
        <v>141</v>
      </c>
      <c r="P5835" s="75">
        <v>2011</v>
      </c>
      <c r="Q5835" s="75">
        <v>0</v>
      </c>
      <c r="R5835" s="75">
        <f t="shared" si="263"/>
        <v>2011</v>
      </c>
      <c r="S5835" s="75">
        <f t="shared" si="264"/>
        <v>1455</v>
      </c>
      <c r="T5835" s="111" t="s">
        <v>42</v>
      </c>
      <c r="U5835" s="137" t="s">
        <v>1459</v>
      </c>
      <c r="V5835" s="193">
        <v>45422</v>
      </c>
      <c r="W5835" s="18" t="s">
        <v>69</v>
      </c>
      <c r="Y5835" s="114">
        <v>45444</v>
      </c>
      <c r="Z5835" s="18" t="s">
        <v>191</v>
      </c>
      <c r="AA5835" s="18" t="s">
        <v>46</v>
      </c>
      <c r="AC5835" s="137"/>
      <c r="AD5835" s="77"/>
      <c r="AE5835" s="18" t="s">
        <v>129</v>
      </c>
    </row>
    <row r="5836" s="18" customFormat="1" hidden="1" spans="1:31">
      <c r="B5836" s="75">
        <v>1010</v>
      </c>
      <c r="C5836" s="213">
        <v>45422</v>
      </c>
      <c r="D5836" s="18" t="s">
        <v>52</v>
      </c>
      <c r="E5836" s="17" t="s">
        <v>1113</v>
      </c>
      <c r="F5836" s="18" t="s">
        <v>54</v>
      </c>
      <c r="H5836" s="325" t="s">
        <v>108</v>
      </c>
      <c r="I5836" s="325"/>
      <c r="J5836" s="18" t="s">
        <v>82</v>
      </c>
      <c r="K5836" s="75">
        <v>610</v>
      </c>
      <c r="L5836" s="111">
        <v>110</v>
      </c>
      <c r="M5836" s="75">
        <v>5800</v>
      </c>
      <c r="N5836" s="75" t="s">
        <v>66</v>
      </c>
      <c r="O5836" s="75" t="s">
        <v>141</v>
      </c>
      <c r="P5836" s="75">
        <v>2107</v>
      </c>
      <c r="Q5836" s="75">
        <v>0</v>
      </c>
      <c r="R5836" s="75">
        <f t="shared" si="263"/>
        <v>2107</v>
      </c>
      <c r="S5836" s="75">
        <f t="shared" si="264"/>
        <v>1455</v>
      </c>
      <c r="T5836" s="111" t="s">
        <v>42</v>
      </c>
      <c r="U5836" s="137" t="s">
        <v>1459</v>
      </c>
      <c r="V5836" s="193">
        <v>45422</v>
      </c>
      <c r="W5836" s="18" t="s">
        <v>69</v>
      </c>
      <c r="Y5836" s="114">
        <v>45444</v>
      </c>
      <c r="Z5836" s="18" t="s">
        <v>191</v>
      </c>
      <c r="AA5836" s="18" t="s">
        <v>46</v>
      </c>
      <c r="AC5836" s="137"/>
      <c r="AD5836" s="77"/>
      <c r="AE5836" s="18" t="s">
        <v>48</v>
      </c>
    </row>
    <row r="5837" s="18" customFormat="1" hidden="1" spans="1:31">
      <c r="B5837" s="75">
        <v>1010</v>
      </c>
      <c r="C5837" s="213">
        <v>45422</v>
      </c>
      <c r="D5837" s="18" t="s">
        <v>52</v>
      </c>
      <c r="E5837" s="17" t="s">
        <v>1113</v>
      </c>
      <c r="F5837" s="18" t="s">
        <v>54</v>
      </c>
      <c r="H5837" s="325" t="s">
        <v>108</v>
      </c>
      <c r="I5837" s="325"/>
      <c r="J5837" s="18" t="s">
        <v>82</v>
      </c>
      <c r="K5837" s="75">
        <v>610</v>
      </c>
      <c r="L5837" s="111">
        <v>120</v>
      </c>
      <c r="M5837" s="75">
        <v>5800</v>
      </c>
      <c r="N5837" s="75" t="s">
        <v>66</v>
      </c>
      <c r="O5837" s="75" t="s">
        <v>141</v>
      </c>
      <c r="P5837" s="75">
        <v>2298</v>
      </c>
      <c r="Q5837" s="75">
        <v>0</v>
      </c>
      <c r="R5837" s="75">
        <f t="shared" si="263"/>
        <v>2298</v>
      </c>
      <c r="S5837" s="75">
        <f t="shared" si="264"/>
        <v>1455</v>
      </c>
      <c r="T5837" s="111" t="s">
        <v>42</v>
      </c>
      <c r="U5837" s="137" t="s">
        <v>1459</v>
      </c>
      <c r="V5837" s="193">
        <v>45422</v>
      </c>
      <c r="W5837" s="18" t="s">
        <v>69</v>
      </c>
      <c r="Y5837" s="114">
        <v>45444</v>
      </c>
      <c r="Z5837" s="18" t="s">
        <v>191</v>
      </c>
      <c r="AA5837" s="18" t="s">
        <v>46</v>
      </c>
      <c r="AC5837" s="137"/>
      <c r="AD5837" s="77"/>
      <c r="AE5837" s="18" t="s">
        <v>48</v>
      </c>
    </row>
    <row r="5838" s="17" customFormat="1" hidden="1" spans="1:31">
      <c r="A5838" s="17" t="s">
        <v>34</v>
      </c>
      <c r="B5838" s="19">
        <v>1011</v>
      </c>
      <c r="C5838" s="183">
        <v>45422</v>
      </c>
      <c r="D5838" s="17" t="s">
        <v>52</v>
      </c>
      <c r="E5838" s="17" t="s">
        <v>1113</v>
      </c>
      <c r="F5838" s="17" t="s">
        <v>54</v>
      </c>
      <c r="H5838" s="141">
        <v>1.2311</v>
      </c>
      <c r="I5838" s="141"/>
      <c r="J5838" s="17" t="s">
        <v>49</v>
      </c>
      <c r="K5838" s="19">
        <v>2200</v>
      </c>
      <c r="L5838" s="19">
        <v>35</v>
      </c>
      <c r="M5838" s="19">
        <v>4000</v>
      </c>
      <c r="N5838" s="19" t="s">
        <v>66</v>
      </c>
      <c r="O5838" s="19" t="s">
        <v>41</v>
      </c>
      <c r="P5838" s="19">
        <v>2418</v>
      </c>
      <c r="Q5838" s="19">
        <v>2601</v>
      </c>
      <c r="R5838" s="19">
        <f t="shared" si="263"/>
        <v>-183</v>
      </c>
      <c r="S5838" s="19">
        <f>1180</f>
        <v>1180</v>
      </c>
      <c r="T5838" s="91" t="s">
        <v>42</v>
      </c>
      <c r="U5838" s="102" t="s">
        <v>1460</v>
      </c>
      <c r="V5838" s="186">
        <v>45425</v>
      </c>
      <c r="W5838" s="17" t="s">
        <v>69</v>
      </c>
      <c r="Y5838" s="68">
        <v>45444</v>
      </c>
      <c r="Z5838" s="17" t="s">
        <v>191</v>
      </c>
      <c r="AA5838" s="17" t="s">
        <v>1427</v>
      </c>
      <c r="AB5838" s="17" t="s">
        <v>1428</v>
      </c>
      <c r="AC5838" s="217">
        <v>45476</v>
      </c>
      <c r="AD5838" s="65">
        <v>1595</v>
      </c>
      <c r="AE5838" s="17" t="s">
        <v>48</v>
      </c>
    </row>
    <row r="5839" s="17" customFormat="1" hidden="1" spans="1:31">
      <c r="A5839" s="17" t="s">
        <v>34</v>
      </c>
      <c r="B5839" s="19">
        <v>1011</v>
      </c>
      <c r="C5839" s="183">
        <v>45422</v>
      </c>
      <c r="D5839" s="17" t="s">
        <v>52</v>
      </c>
      <c r="E5839" s="17" t="s">
        <v>1113</v>
      </c>
      <c r="F5839" s="17" t="s">
        <v>54</v>
      </c>
      <c r="H5839" s="141">
        <v>1.2311</v>
      </c>
      <c r="I5839" s="141"/>
      <c r="J5839" s="17" t="s">
        <v>49</v>
      </c>
      <c r="K5839" s="19">
        <v>2200</v>
      </c>
      <c r="L5839" s="19">
        <v>40</v>
      </c>
      <c r="M5839" s="19">
        <v>4000</v>
      </c>
      <c r="N5839" s="19" t="s">
        <v>66</v>
      </c>
      <c r="O5839" s="19" t="s">
        <v>41</v>
      </c>
      <c r="P5839" s="19">
        <v>5526</v>
      </c>
      <c r="Q5839" s="19">
        <f>2949+2909</f>
        <v>5858</v>
      </c>
      <c r="R5839" s="19">
        <f t="shared" si="263"/>
        <v>-332</v>
      </c>
      <c r="S5839" s="19">
        <f>1160</f>
        <v>1160</v>
      </c>
      <c r="T5839" s="91" t="s">
        <v>42</v>
      </c>
      <c r="U5839" s="102" t="s">
        <v>1460</v>
      </c>
      <c r="V5839" s="186">
        <v>45425</v>
      </c>
      <c r="W5839" s="17" t="s">
        <v>69</v>
      </c>
      <c r="Y5839" s="68">
        <v>45444</v>
      </c>
      <c r="Z5839" s="17" t="s">
        <v>191</v>
      </c>
      <c r="AA5839" s="17" t="s">
        <v>1427</v>
      </c>
      <c r="AB5839" s="17" t="s">
        <v>1428</v>
      </c>
      <c r="AC5839" s="217">
        <v>45476</v>
      </c>
      <c r="AD5839" s="65">
        <v>1595</v>
      </c>
      <c r="AE5839" s="17" t="s">
        <v>48</v>
      </c>
    </row>
    <row r="5840" s="17" customFormat="1" hidden="1" spans="1:31">
      <c r="A5840" s="17" t="s">
        <v>34</v>
      </c>
      <c r="B5840" s="19">
        <v>1011</v>
      </c>
      <c r="C5840" s="183">
        <v>45422</v>
      </c>
      <c r="D5840" s="17" t="s">
        <v>52</v>
      </c>
      <c r="E5840" s="17" t="s">
        <v>1113</v>
      </c>
      <c r="F5840" s="17" t="s">
        <v>54</v>
      </c>
      <c r="H5840" s="141">
        <v>1.2311</v>
      </c>
      <c r="I5840" s="141"/>
      <c r="J5840" s="17" t="s">
        <v>49</v>
      </c>
      <c r="K5840" s="19">
        <v>2200</v>
      </c>
      <c r="L5840" s="19">
        <v>45</v>
      </c>
      <c r="M5840" s="19">
        <v>4000</v>
      </c>
      <c r="N5840" s="19" t="s">
        <v>66</v>
      </c>
      <c r="O5840" s="19" t="s">
        <v>41</v>
      </c>
      <c r="P5840" s="19">
        <v>3109</v>
      </c>
      <c r="Q5840" s="19">
        <v>3272</v>
      </c>
      <c r="R5840" s="19">
        <f t="shared" si="263"/>
        <v>-163</v>
      </c>
      <c r="S5840" s="19">
        <f>1140</f>
        <v>1140</v>
      </c>
      <c r="T5840" s="91" t="s">
        <v>42</v>
      </c>
      <c r="U5840" s="102" t="s">
        <v>1460</v>
      </c>
      <c r="V5840" s="186">
        <v>45425</v>
      </c>
      <c r="W5840" s="17" t="s">
        <v>69</v>
      </c>
      <c r="Y5840" s="68">
        <v>45444</v>
      </c>
      <c r="Z5840" s="17" t="s">
        <v>191</v>
      </c>
      <c r="AA5840" s="17" t="s">
        <v>1427</v>
      </c>
      <c r="AB5840" s="17" t="s">
        <v>1428</v>
      </c>
      <c r="AC5840" s="217">
        <v>45476</v>
      </c>
      <c r="AD5840" s="65">
        <v>1595</v>
      </c>
      <c r="AE5840" s="17" t="s">
        <v>48</v>
      </c>
    </row>
    <row r="5841" s="17" customFormat="1" hidden="1" spans="1:32">
      <c r="A5841" s="17" t="s">
        <v>34</v>
      </c>
      <c r="B5841" s="19">
        <v>1011</v>
      </c>
      <c r="C5841" s="183">
        <v>45422</v>
      </c>
      <c r="D5841" s="17" t="s">
        <v>52</v>
      </c>
      <c r="E5841" s="17" t="s">
        <v>1113</v>
      </c>
      <c r="F5841" s="17" t="s">
        <v>54</v>
      </c>
      <c r="H5841" s="141">
        <v>1.2311</v>
      </c>
      <c r="I5841" s="141"/>
      <c r="J5841" s="17" t="s">
        <v>49</v>
      </c>
      <c r="K5841" s="19">
        <v>2200</v>
      </c>
      <c r="L5841" s="19">
        <v>50</v>
      </c>
      <c r="M5841" s="19">
        <v>4000</v>
      </c>
      <c r="N5841" s="19" t="s">
        <v>66</v>
      </c>
      <c r="O5841" s="19" t="s">
        <v>41</v>
      </c>
      <c r="P5841" s="19">
        <v>6908</v>
      </c>
      <c r="Q5841" s="19">
        <f>3624+3640</f>
        <v>7264</v>
      </c>
      <c r="R5841" s="19">
        <f t="shared" si="263"/>
        <v>-356</v>
      </c>
      <c r="S5841" s="19">
        <f>1130</f>
        <v>1130</v>
      </c>
      <c r="T5841" s="91" t="s">
        <v>42</v>
      </c>
      <c r="U5841" s="102" t="s">
        <v>1460</v>
      </c>
      <c r="V5841" s="186">
        <v>45425</v>
      </c>
      <c r="W5841" s="17" t="s">
        <v>69</v>
      </c>
      <c r="Y5841" s="68">
        <v>45444</v>
      </c>
      <c r="Z5841" s="17" t="s">
        <v>191</v>
      </c>
      <c r="AA5841" s="17" t="s">
        <v>1427</v>
      </c>
      <c r="AB5841" s="17" t="s">
        <v>1428</v>
      </c>
      <c r="AC5841" s="217">
        <v>45476</v>
      </c>
      <c r="AD5841" s="65">
        <v>1595</v>
      </c>
      <c r="AE5841" s="17" t="s">
        <v>48</v>
      </c>
    </row>
    <row r="5842" s="17" customFormat="1" hidden="1" spans="1:32">
      <c r="A5842" s="17" t="s">
        <v>34</v>
      </c>
      <c r="B5842" s="19">
        <v>1011</v>
      </c>
      <c r="C5842" s="183">
        <v>45422</v>
      </c>
      <c r="D5842" s="17" t="s">
        <v>52</v>
      </c>
      <c r="E5842" s="17" t="s">
        <v>1113</v>
      </c>
      <c r="F5842" s="17" t="s">
        <v>54</v>
      </c>
      <c r="H5842" s="141">
        <v>1.2311</v>
      </c>
      <c r="I5842" s="141"/>
      <c r="J5842" s="17" t="s">
        <v>49</v>
      </c>
      <c r="K5842" s="19">
        <v>2200</v>
      </c>
      <c r="L5842" s="19">
        <v>56</v>
      </c>
      <c r="M5842" s="19">
        <v>4000</v>
      </c>
      <c r="N5842" s="19" t="s">
        <v>66</v>
      </c>
      <c r="O5842" s="19" t="s">
        <v>41</v>
      </c>
      <c r="P5842" s="19">
        <v>3868</v>
      </c>
      <c r="Q5842" s="19">
        <v>4027</v>
      </c>
      <c r="R5842" s="19">
        <f t="shared" si="263"/>
        <v>-159</v>
      </c>
      <c r="S5842" s="19">
        <f>1120</f>
        <v>1120</v>
      </c>
      <c r="T5842" s="91" t="s">
        <v>42</v>
      </c>
      <c r="U5842" s="102" t="s">
        <v>1460</v>
      </c>
      <c r="V5842" s="186">
        <v>45425</v>
      </c>
      <c r="W5842" s="17" t="s">
        <v>69</v>
      </c>
      <c r="Y5842" s="68">
        <v>45444</v>
      </c>
      <c r="Z5842" s="17" t="s">
        <v>191</v>
      </c>
      <c r="AA5842" s="17" t="s">
        <v>1427</v>
      </c>
      <c r="AB5842" s="17" t="s">
        <v>1428</v>
      </c>
      <c r="AC5842" s="217">
        <v>45476</v>
      </c>
      <c r="AD5842" s="65">
        <v>1595</v>
      </c>
      <c r="AE5842" s="17" t="s">
        <v>48</v>
      </c>
    </row>
    <row r="5843" s="17" customFormat="1" hidden="1" spans="1:32">
      <c r="A5843" s="17" t="s">
        <v>34</v>
      </c>
      <c r="B5843" s="19">
        <v>1011</v>
      </c>
      <c r="C5843" s="183">
        <v>45422</v>
      </c>
      <c r="D5843" s="17" t="s">
        <v>52</v>
      </c>
      <c r="E5843" s="17" t="s">
        <v>1113</v>
      </c>
      <c r="F5843" s="17" t="s">
        <v>54</v>
      </c>
      <c r="H5843" s="124">
        <v>1.2311</v>
      </c>
      <c r="I5843" s="124"/>
      <c r="J5843" s="17" t="s">
        <v>49</v>
      </c>
      <c r="K5843" s="19">
        <v>2200</v>
      </c>
      <c r="L5843" s="19">
        <v>60</v>
      </c>
      <c r="M5843" s="19">
        <v>4000</v>
      </c>
      <c r="N5843" s="19" t="s">
        <v>66</v>
      </c>
      <c r="O5843" s="19" t="s">
        <v>41</v>
      </c>
      <c r="P5843" s="19">
        <v>4145</v>
      </c>
      <c r="Q5843" s="19">
        <v>4243</v>
      </c>
      <c r="R5843" s="19">
        <f t="shared" si="263"/>
        <v>-98</v>
      </c>
      <c r="S5843" s="19">
        <f>1110</f>
        <v>1110</v>
      </c>
      <c r="T5843" s="91" t="s">
        <v>42</v>
      </c>
      <c r="U5843" s="102" t="s">
        <v>1460</v>
      </c>
      <c r="V5843" s="186">
        <v>45425</v>
      </c>
      <c r="W5843" s="17" t="s">
        <v>69</v>
      </c>
      <c r="Y5843" s="68">
        <v>45444</v>
      </c>
      <c r="Z5843" s="17" t="s">
        <v>191</v>
      </c>
      <c r="AA5843" s="17" t="s">
        <v>1427</v>
      </c>
      <c r="AB5843" s="17" t="s">
        <v>1428</v>
      </c>
      <c r="AC5843" s="217">
        <v>45476</v>
      </c>
      <c r="AD5843" s="65">
        <v>1595</v>
      </c>
      <c r="AE5843" s="17" t="s">
        <v>48</v>
      </c>
    </row>
    <row r="5844" s="17" customFormat="1" hidden="1" spans="1:32">
      <c r="A5844" s="17" t="s">
        <v>34</v>
      </c>
      <c r="B5844" s="19">
        <v>1012</v>
      </c>
      <c r="C5844" s="183">
        <v>45423</v>
      </c>
      <c r="D5844" s="17" t="s">
        <v>52</v>
      </c>
      <c r="E5844" s="17" t="s">
        <v>1113</v>
      </c>
      <c r="F5844" s="17" t="s">
        <v>54</v>
      </c>
      <c r="H5844" s="141">
        <v>1.2311</v>
      </c>
      <c r="I5844" s="141"/>
      <c r="J5844" s="17" t="s">
        <v>49</v>
      </c>
      <c r="K5844" s="19">
        <v>2200</v>
      </c>
      <c r="L5844" s="19">
        <v>25</v>
      </c>
      <c r="M5844" s="19">
        <v>5800</v>
      </c>
      <c r="N5844" s="19" t="s">
        <v>66</v>
      </c>
      <c r="O5844" s="19" t="s">
        <v>141</v>
      </c>
      <c r="P5844" s="19">
        <v>2208</v>
      </c>
      <c r="Q5844" s="19">
        <v>2338</v>
      </c>
      <c r="R5844" s="19">
        <f t="shared" si="263"/>
        <v>-130</v>
      </c>
      <c r="S5844" s="19">
        <f>805+60</f>
        <v>865</v>
      </c>
      <c r="T5844" s="91" t="s">
        <v>42</v>
      </c>
      <c r="U5844" s="102" t="s">
        <v>1461</v>
      </c>
      <c r="V5844" s="186">
        <v>45425</v>
      </c>
      <c r="W5844" s="17" t="s">
        <v>69</v>
      </c>
      <c r="Y5844" s="68">
        <v>45413</v>
      </c>
      <c r="Z5844" s="17" t="s">
        <v>191</v>
      </c>
      <c r="AA5844" s="17" t="s">
        <v>46</v>
      </c>
      <c r="AB5844" s="17" t="s">
        <v>1353</v>
      </c>
      <c r="AC5844" s="217">
        <v>45442</v>
      </c>
      <c r="AD5844" s="65">
        <v>1579</v>
      </c>
      <c r="AE5844" s="17" t="s">
        <v>48</v>
      </c>
    </row>
    <row r="5845" s="17" customFormat="1" hidden="1" spans="1:32">
      <c r="A5845" s="17" t="s">
        <v>34</v>
      </c>
      <c r="B5845" s="19">
        <v>1012</v>
      </c>
      <c r="C5845" s="183">
        <v>45423</v>
      </c>
      <c r="D5845" s="17" t="s">
        <v>52</v>
      </c>
      <c r="E5845" s="17" t="s">
        <v>1113</v>
      </c>
      <c r="F5845" s="17" t="s">
        <v>54</v>
      </c>
      <c r="H5845" s="141">
        <v>1.2311</v>
      </c>
      <c r="I5845" s="141"/>
      <c r="J5845" s="17" t="s">
        <v>49</v>
      </c>
      <c r="K5845" s="19">
        <v>2200</v>
      </c>
      <c r="L5845" s="19">
        <v>32</v>
      </c>
      <c r="M5845" s="19">
        <v>5800</v>
      </c>
      <c r="N5845" s="19" t="s">
        <v>66</v>
      </c>
      <c r="O5845" s="19" t="s">
        <v>141</v>
      </c>
      <c r="P5845" s="19">
        <v>5652</v>
      </c>
      <c r="Q5845" s="19">
        <v>3005</v>
      </c>
      <c r="S5845" s="19">
        <f>805+60</f>
        <v>865</v>
      </c>
      <c r="T5845" s="91" t="s">
        <v>42</v>
      </c>
      <c r="U5845" s="102" t="s">
        <v>1461</v>
      </c>
      <c r="V5845" s="186">
        <v>45425</v>
      </c>
      <c r="W5845" s="17" t="s">
        <v>69</v>
      </c>
      <c r="Y5845" s="68">
        <v>45413</v>
      </c>
      <c r="Z5845" s="17" t="s">
        <v>191</v>
      </c>
      <c r="AA5845" s="17" t="s">
        <v>46</v>
      </c>
      <c r="AB5845" s="17" t="s">
        <v>1353</v>
      </c>
      <c r="AC5845" s="217">
        <v>45442</v>
      </c>
      <c r="AD5845" s="65">
        <v>1579</v>
      </c>
      <c r="AE5845" s="17" t="s">
        <v>48</v>
      </c>
    </row>
    <row r="5846" s="17" customFormat="1" hidden="1" spans="1:32">
      <c r="A5846" s="17" t="s">
        <v>34</v>
      </c>
      <c r="B5846" s="19">
        <v>1012</v>
      </c>
      <c r="C5846" s="183">
        <v>45423</v>
      </c>
      <c r="D5846" s="17" t="s">
        <v>52</v>
      </c>
      <c r="E5846" s="17" t="s">
        <v>1113</v>
      </c>
      <c r="F5846" s="17" t="s">
        <v>54</v>
      </c>
      <c r="H5846" s="141">
        <v>1.2311</v>
      </c>
      <c r="I5846" s="141"/>
      <c r="J5846" s="17" t="s">
        <v>49</v>
      </c>
      <c r="K5846" s="19">
        <v>2200</v>
      </c>
      <c r="L5846" s="19">
        <v>32</v>
      </c>
      <c r="M5846" s="19">
        <v>5800</v>
      </c>
      <c r="N5846" s="19" t="s">
        <v>66</v>
      </c>
      <c r="O5846" s="19" t="s">
        <v>141</v>
      </c>
      <c r="P5846" s="19"/>
      <c r="Q5846" s="19">
        <v>3080</v>
      </c>
      <c r="R5846" s="19">
        <f>+P5845-Q5845-Q5846</f>
        <v>-433</v>
      </c>
      <c r="S5846" s="19">
        <f>805+80-20</f>
        <v>865</v>
      </c>
      <c r="T5846" s="91" t="s">
        <v>42</v>
      </c>
      <c r="U5846" s="102" t="s">
        <v>1461</v>
      </c>
      <c r="V5846" s="186">
        <v>45425</v>
      </c>
      <c r="W5846" s="17" t="s">
        <v>69</v>
      </c>
      <c r="Y5846" s="68">
        <v>45413</v>
      </c>
      <c r="Z5846" s="17" t="s">
        <v>191</v>
      </c>
      <c r="AA5846" s="17" t="s">
        <v>46</v>
      </c>
      <c r="AB5846" s="17" t="s">
        <v>1335</v>
      </c>
      <c r="AC5846" s="217">
        <v>45443</v>
      </c>
      <c r="AD5846" s="65">
        <v>1581</v>
      </c>
      <c r="AE5846" s="17" t="s">
        <v>48</v>
      </c>
    </row>
    <row r="5847" s="17" customFormat="1" hidden="1" spans="1:32">
      <c r="A5847" s="17" t="s">
        <v>34</v>
      </c>
      <c r="B5847" s="19">
        <v>1012</v>
      </c>
      <c r="C5847" s="183">
        <v>45423</v>
      </c>
      <c r="D5847" s="17" t="s">
        <v>52</v>
      </c>
      <c r="E5847" s="17" t="s">
        <v>1113</v>
      </c>
      <c r="F5847" s="17" t="s">
        <v>54</v>
      </c>
      <c r="H5847" s="141">
        <v>1.2311</v>
      </c>
      <c r="I5847" s="141"/>
      <c r="J5847" s="17" t="s">
        <v>49</v>
      </c>
      <c r="K5847" s="19">
        <v>2200</v>
      </c>
      <c r="L5847" s="19">
        <v>36</v>
      </c>
      <c r="M5847" s="19">
        <v>5800</v>
      </c>
      <c r="N5847" s="19" t="s">
        <v>66</v>
      </c>
      <c r="O5847" s="19" t="s">
        <v>141</v>
      </c>
      <c r="P5847" s="19">
        <v>3179</v>
      </c>
      <c r="Q5847" s="19">
        <v>3385</v>
      </c>
      <c r="R5847" s="19">
        <f>+P5847-Q5847</f>
        <v>-206</v>
      </c>
      <c r="S5847" s="19">
        <f>805+80-20</f>
        <v>865</v>
      </c>
      <c r="T5847" s="91" t="s">
        <v>42</v>
      </c>
      <c r="U5847" s="102" t="s">
        <v>1461</v>
      </c>
      <c r="V5847" s="186">
        <v>45425</v>
      </c>
      <c r="W5847" s="17" t="s">
        <v>69</v>
      </c>
      <c r="Y5847" s="68">
        <v>45413</v>
      </c>
      <c r="Z5847" s="17" t="s">
        <v>191</v>
      </c>
      <c r="AA5847" s="17" t="s">
        <v>46</v>
      </c>
      <c r="AB5847" s="17" t="s">
        <v>1335</v>
      </c>
      <c r="AC5847" s="217">
        <v>45443</v>
      </c>
      <c r="AD5847" s="65">
        <v>1581</v>
      </c>
      <c r="AE5847" s="17" t="s">
        <v>48</v>
      </c>
    </row>
    <row r="5848" s="17" customFormat="1" hidden="1" spans="1:32">
      <c r="A5848" s="17" t="s">
        <v>34</v>
      </c>
      <c r="B5848" s="19">
        <v>1012</v>
      </c>
      <c r="C5848" s="183">
        <v>45423</v>
      </c>
      <c r="D5848" s="17" t="s">
        <v>52</v>
      </c>
      <c r="E5848" s="17" t="s">
        <v>1113</v>
      </c>
      <c r="F5848" s="17" t="s">
        <v>54</v>
      </c>
      <c r="H5848" s="141">
        <v>1.2311</v>
      </c>
      <c r="I5848" s="141"/>
      <c r="J5848" s="17" t="s">
        <v>49</v>
      </c>
      <c r="K5848" s="19">
        <v>2200</v>
      </c>
      <c r="L5848" s="19">
        <v>40</v>
      </c>
      <c r="M5848" s="19">
        <v>5800</v>
      </c>
      <c r="N5848" s="19" t="s">
        <v>66</v>
      </c>
      <c r="O5848" s="19" t="s">
        <v>141</v>
      </c>
      <c r="P5848" s="19">
        <v>7065</v>
      </c>
      <c r="Q5848" s="19">
        <v>3845</v>
      </c>
      <c r="S5848" s="19">
        <f>805+80-20</f>
        <v>865</v>
      </c>
      <c r="T5848" s="91" t="s">
        <v>42</v>
      </c>
      <c r="U5848" s="102" t="s">
        <v>1461</v>
      </c>
      <c r="V5848" s="186">
        <v>45425</v>
      </c>
      <c r="W5848" s="17" t="s">
        <v>69</v>
      </c>
      <c r="Y5848" s="68">
        <v>45413</v>
      </c>
      <c r="Z5848" s="17" t="s">
        <v>191</v>
      </c>
      <c r="AA5848" s="17" t="s">
        <v>46</v>
      </c>
      <c r="AB5848" s="17" t="s">
        <v>1335</v>
      </c>
      <c r="AC5848" s="217">
        <v>45443</v>
      </c>
      <c r="AD5848" s="65">
        <v>1581</v>
      </c>
      <c r="AE5848" s="17" t="s">
        <v>48</v>
      </c>
    </row>
    <row r="5849" s="17" customFormat="1" hidden="1" spans="1:32">
      <c r="A5849" s="17" t="s">
        <v>34</v>
      </c>
      <c r="B5849" s="19">
        <v>1012</v>
      </c>
      <c r="C5849" s="183">
        <v>45423</v>
      </c>
      <c r="D5849" s="17" t="s">
        <v>52</v>
      </c>
      <c r="E5849" s="17" t="s">
        <v>1113</v>
      </c>
      <c r="F5849" s="17" t="s">
        <v>54</v>
      </c>
      <c r="H5849" s="141">
        <v>1.2311</v>
      </c>
      <c r="I5849" s="141"/>
      <c r="J5849" s="17" t="s">
        <v>49</v>
      </c>
      <c r="K5849" s="19">
        <v>2200</v>
      </c>
      <c r="L5849" s="19">
        <v>40</v>
      </c>
      <c r="M5849" s="19">
        <v>5800</v>
      </c>
      <c r="N5849" s="19" t="s">
        <v>66</v>
      </c>
      <c r="O5849" s="19" t="s">
        <v>141</v>
      </c>
      <c r="P5849" s="19"/>
      <c r="Q5849" s="19">
        <v>3570</v>
      </c>
      <c r="R5849" s="19">
        <f>+P5848-Q5848-Q5849</f>
        <v>-350</v>
      </c>
      <c r="S5849" s="19">
        <f>805+80</f>
        <v>885</v>
      </c>
      <c r="T5849" s="91" t="s">
        <v>42</v>
      </c>
      <c r="U5849" s="102" t="s">
        <v>1461</v>
      </c>
      <c r="V5849" s="186">
        <v>45425</v>
      </c>
      <c r="W5849" s="17" t="s">
        <v>69</v>
      </c>
      <c r="Y5849" s="68">
        <v>45413</v>
      </c>
      <c r="Z5849" s="17" t="s">
        <v>191</v>
      </c>
      <c r="AA5849" s="17" t="s">
        <v>46</v>
      </c>
      <c r="AB5849" s="17" t="s">
        <v>1344</v>
      </c>
      <c r="AC5849" s="217">
        <v>45495</v>
      </c>
      <c r="AD5849" s="65">
        <v>1599</v>
      </c>
      <c r="AE5849" s="17" t="s">
        <v>48</v>
      </c>
    </row>
    <row r="5850" s="17" customFormat="1" hidden="1" spans="1:32">
      <c r="A5850" s="17" t="s">
        <v>34</v>
      </c>
      <c r="B5850" s="19">
        <v>1012</v>
      </c>
      <c r="C5850" s="183">
        <v>45423</v>
      </c>
      <c r="D5850" s="17" t="s">
        <v>52</v>
      </c>
      <c r="E5850" s="17" t="s">
        <v>1113</v>
      </c>
      <c r="F5850" s="17" t="s">
        <v>54</v>
      </c>
      <c r="H5850" s="141">
        <v>1.2311</v>
      </c>
      <c r="I5850" s="141"/>
      <c r="J5850" s="17" t="s">
        <v>49</v>
      </c>
      <c r="K5850" s="19">
        <v>2200</v>
      </c>
      <c r="L5850" s="19">
        <v>45</v>
      </c>
      <c r="M5850" s="19">
        <v>5800</v>
      </c>
      <c r="N5850" s="19" t="s">
        <v>66</v>
      </c>
      <c r="O5850" s="19" t="s">
        <v>141</v>
      </c>
      <c r="P5850" s="19">
        <v>3974</v>
      </c>
      <c r="Q5850" s="19">
        <v>4310</v>
      </c>
      <c r="R5850" s="19">
        <f>+P5850-Q5850</f>
        <v>-336</v>
      </c>
      <c r="S5850" s="19">
        <f>805+80-20</f>
        <v>865</v>
      </c>
      <c r="T5850" s="91" t="s">
        <v>42</v>
      </c>
      <c r="U5850" s="102" t="s">
        <v>1461</v>
      </c>
      <c r="V5850" s="186">
        <v>45425</v>
      </c>
      <c r="W5850" s="17" t="s">
        <v>69</v>
      </c>
      <c r="Y5850" s="68">
        <v>45413</v>
      </c>
      <c r="Z5850" s="17" t="s">
        <v>191</v>
      </c>
      <c r="AA5850" s="17" t="s">
        <v>46</v>
      </c>
      <c r="AB5850" s="17" t="s">
        <v>1335</v>
      </c>
      <c r="AC5850" s="217">
        <v>45443</v>
      </c>
      <c r="AD5850" s="65">
        <v>1581</v>
      </c>
      <c r="AE5850" s="17" t="s">
        <v>48</v>
      </c>
    </row>
    <row r="5851" s="17" customFormat="1" hidden="1" spans="1:32">
      <c r="A5851" s="17" t="s">
        <v>34</v>
      </c>
      <c r="B5851" s="19">
        <v>1012</v>
      </c>
      <c r="C5851" s="183">
        <v>45423</v>
      </c>
      <c r="D5851" s="17" t="s">
        <v>52</v>
      </c>
      <c r="E5851" s="17" t="s">
        <v>1113</v>
      </c>
      <c r="F5851" s="17" t="s">
        <v>54</v>
      </c>
      <c r="H5851" s="141">
        <v>1.2311</v>
      </c>
      <c r="I5851" s="141"/>
      <c r="J5851" s="17" t="s">
        <v>49</v>
      </c>
      <c r="K5851" s="19">
        <v>2200</v>
      </c>
      <c r="L5851" s="19">
        <v>50</v>
      </c>
      <c r="M5851" s="19">
        <v>5800</v>
      </c>
      <c r="N5851" s="19" t="s">
        <v>66</v>
      </c>
      <c r="O5851" s="19" t="s">
        <v>141</v>
      </c>
      <c r="P5851" s="19">
        <v>8831</v>
      </c>
      <c r="Q5851" s="19">
        <v>4590</v>
      </c>
      <c r="R5851" s="19">
        <f>+P5851-Q5851</f>
        <v>4241</v>
      </c>
      <c r="S5851" s="19">
        <f>805+80-20</f>
        <v>865</v>
      </c>
      <c r="T5851" s="91" t="s">
        <v>42</v>
      </c>
      <c r="U5851" s="102" t="s">
        <v>1461</v>
      </c>
      <c r="V5851" s="186">
        <v>45425</v>
      </c>
      <c r="W5851" s="17" t="s">
        <v>69</v>
      </c>
      <c r="Y5851" s="68">
        <v>45413</v>
      </c>
      <c r="Z5851" s="17" t="s">
        <v>191</v>
      </c>
      <c r="AA5851" s="17" t="s">
        <v>46</v>
      </c>
      <c r="AB5851" s="17" t="s">
        <v>1335</v>
      </c>
      <c r="AC5851" s="217">
        <v>45443</v>
      </c>
      <c r="AD5851" s="65">
        <v>1581</v>
      </c>
      <c r="AE5851" s="17" t="s">
        <v>48</v>
      </c>
      <c r="AF5851" s="17" t="s">
        <v>1332</v>
      </c>
    </row>
    <row r="5852" s="17" customFormat="1" hidden="1" spans="1:32">
      <c r="A5852" s="17" t="s">
        <v>34</v>
      </c>
      <c r="B5852" s="19">
        <v>1012</v>
      </c>
      <c r="C5852" s="183">
        <v>45423</v>
      </c>
      <c r="D5852" s="17" t="s">
        <v>52</v>
      </c>
      <c r="E5852" s="17" t="s">
        <v>1113</v>
      </c>
      <c r="F5852" s="17" t="s">
        <v>54</v>
      </c>
      <c r="H5852" s="141">
        <v>1.2311</v>
      </c>
      <c r="I5852" s="141"/>
      <c r="J5852" s="17" t="s">
        <v>49</v>
      </c>
      <c r="K5852" s="19">
        <v>2200</v>
      </c>
      <c r="L5852" s="19">
        <v>56</v>
      </c>
      <c r="M5852" s="19">
        <v>5800</v>
      </c>
      <c r="N5852" s="19" t="s">
        <v>66</v>
      </c>
      <c r="O5852" s="19" t="s">
        <v>141</v>
      </c>
      <c r="P5852" s="19">
        <v>9891</v>
      </c>
      <c r="Q5852" s="19">
        <v>5430</v>
      </c>
      <c r="S5852" s="19">
        <f>805+80-20</f>
        <v>865</v>
      </c>
      <c r="T5852" s="91" t="s">
        <v>42</v>
      </c>
      <c r="U5852" s="102" t="s">
        <v>1461</v>
      </c>
      <c r="V5852" s="186">
        <v>45425</v>
      </c>
      <c r="W5852" s="17" t="s">
        <v>69</v>
      </c>
      <c r="Y5852" s="68">
        <v>45413</v>
      </c>
      <c r="Z5852" s="17" t="s">
        <v>191</v>
      </c>
      <c r="AA5852" s="17" t="s">
        <v>46</v>
      </c>
      <c r="AB5852" s="17" t="s">
        <v>1335</v>
      </c>
      <c r="AC5852" s="217">
        <v>45443</v>
      </c>
      <c r="AD5852" s="65">
        <v>1581</v>
      </c>
      <c r="AE5852" s="17" t="s">
        <v>48</v>
      </c>
    </row>
    <row r="5853" s="17" customFormat="1" hidden="1" spans="1:32">
      <c r="A5853" s="17" t="s">
        <v>34</v>
      </c>
      <c r="B5853" s="19">
        <v>1012</v>
      </c>
      <c r="C5853" s="183">
        <v>45423</v>
      </c>
      <c r="D5853" s="17" t="s">
        <v>52</v>
      </c>
      <c r="E5853" s="17" t="s">
        <v>1113</v>
      </c>
      <c r="F5853" s="17" t="s">
        <v>54</v>
      </c>
      <c r="H5853" s="141">
        <v>1.2311</v>
      </c>
      <c r="I5853" s="141"/>
      <c r="J5853" s="17" t="s">
        <v>49</v>
      </c>
      <c r="K5853" s="19">
        <v>2200</v>
      </c>
      <c r="L5853" s="19">
        <v>56</v>
      </c>
      <c r="M5853" s="19">
        <v>5800</v>
      </c>
      <c r="N5853" s="19" t="s">
        <v>66</v>
      </c>
      <c r="O5853" s="19" t="s">
        <v>141</v>
      </c>
      <c r="P5853" s="19"/>
      <c r="Q5853" s="19">
        <v>5015</v>
      </c>
      <c r="R5853" s="19">
        <f>+P5852-Q5852-Q5853</f>
        <v>-554</v>
      </c>
      <c r="S5853" s="19">
        <f>805+80</f>
        <v>885</v>
      </c>
      <c r="T5853" s="91" t="s">
        <v>42</v>
      </c>
      <c r="U5853" s="102" t="s">
        <v>1461</v>
      </c>
      <c r="V5853" s="186">
        <v>45425</v>
      </c>
      <c r="W5853" s="17" t="s">
        <v>69</v>
      </c>
      <c r="Y5853" s="68">
        <v>45413</v>
      </c>
      <c r="Z5853" s="17" t="s">
        <v>191</v>
      </c>
      <c r="AA5853" s="17" t="s">
        <v>46</v>
      </c>
      <c r="AB5853" s="17" t="s">
        <v>1344</v>
      </c>
      <c r="AC5853" s="217">
        <v>45495</v>
      </c>
      <c r="AD5853" s="65">
        <v>1599</v>
      </c>
      <c r="AE5853" s="17" t="s">
        <v>48</v>
      </c>
    </row>
    <row r="5854" s="17" customFormat="1" hidden="1" spans="1:32">
      <c r="A5854" s="17" t="s">
        <v>34</v>
      </c>
      <c r="B5854" s="19">
        <v>1012</v>
      </c>
      <c r="C5854" s="183">
        <v>45423</v>
      </c>
      <c r="D5854" s="17" t="s">
        <v>52</v>
      </c>
      <c r="E5854" s="17" t="s">
        <v>1113</v>
      </c>
      <c r="F5854" s="17" t="s">
        <v>54</v>
      </c>
      <c r="H5854" s="141">
        <v>1.2311</v>
      </c>
      <c r="I5854" s="141"/>
      <c r="J5854" s="17" t="s">
        <v>49</v>
      </c>
      <c r="K5854" s="19">
        <v>2200</v>
      </c>
      <c r="L5854" s="19">
        <v>61</v>
      </c>
      <c r="M5854" s="19">
        <v>5800</v>
      </c>
      <c r="N5854" s="19" t="s">
        <v>66</v>
      </c>
      <c r="O5854" s="19" t="s">
        <v>141</v>
      </c>
      <c r="P5854" s="19">
        <v>10774</v>
      </c>
      <c r="Q5854" s="19">
        <v>5825</v>
      </c>
      <c r="S5854" s="19">
        <f>805+60</f>
        <v>865</v>
      </c>
      <c r="T5854" s="91" t="s">
        <v>42</v>
      </c>
      <c r="U5854" s="102" t="s">
        <v>1461</v>
      </c>
      <c r="V5854" s="186">
        <v>45425</v>
      </c>
      <c r="W5854" s="17" t="s">
        <v>69</v>
      </c>
      <c r="Y5854" s="68">
        <v>45413</v>
      </c>
      <c r="Z5854" s="17" t="s">
        <v>191</v>
      </c>
      <c r="AA5854" s="17" t="s">
        <v>46</v>
      </c>
      <c r="AB5854" s="17" t="s">
        <v>1353</v>
      </c>
      <c r="AC5854" s="217">
        <v>45442</v>
      </c>
      <c r="AD5854" s="65">
        <v>1579</v>
      </c>
      <c r="AE5854" s="17" t="s">
        <v>48</v>
      </c>
    </row>
    <row r="5855" s="17" customFormat="1" hidden="1" spans="1:32">
      <c r="A5855" s="17" t="s">
        <v>34</v>
      </c>
      <c r="B5855" s="19">
        <v>1012</v>
      </c>
      <c r="C5855" s="183">
        <v>45423</v>
      </c>
      <c r="D5855" s="17" t="s">
        <v>52</v>
      </c>
      <c r="E5855" s="17" t="s">
        <v>1113</v>
      </c>
      <c r="F5855" s="17" t="s">
        <v>54</v>
      </c>
      <c r="H5855" s="141">
        <v>1.2311</v>
      </c>
      <c r="I5855" s="141"/>
      <c r="J5855" s="17" t="s">
        <v>49</v>
      </c>
      <c r="K5855" s="19">
        <v>2200</v>
      </c>
      <c r="L5855" s="19">
        <v>61</v>
      </c>
      <c r="M5855" s="19">
        <v>5800</v>
      </c>
      <c r="N5855" s="19" t="s">
        <v>66</v>
      </c>
      <c r="O5855" s="19" t="s">
        <v>141</v>
      </c>
      <c r="P5855" s="19"/>
      <c r="Q5855" s="19">
        <v>6260</v>
      </c>
      <c r="R5855" s="19">
        <f>+P5854-Q5854-Q5855</f>
        <v>-1311</v>
      </c>
      <c r="S5855" s="19">
        <f>805+60</f>
        <v>865</v>
      </c>
      <c r="T5855" s="91" t="s">
        <v>42</v>
      </c>
      <c r="U5855" s="102" t="s">
        <v>1461</v>
      </c>
      <c r="V5855" s="186">
        <v>45425</v>
      </c>
      <c r="W5855" s="17" t="s">
        <v>69</v>
      </c>
      <c r="Y5855" s="68">
        <v>45413</v>
      </c>
      <c r="Z5855" s="17" t="s">
        <v>191</v>
      </c>
      <c r="AA5855" s="17" t="s">
        <v>46</v>
      </c>
      <c r="AB5855" s="17" t="s">
        <v>1345</v>
      </c>
      <c r="AC5855" s="217">
        <v>45443</v>
      </c>
      <c r="AD5855" s="65">
        <v>1580</v>
      </c>
      <c r="AE5855" s="17" t="s">
        <v>48</v>
      </c>
    </row>
    <row r="5856" s="17" customFormat="1" hidden="1" spans="1:32">
      <c r="A5856" s="17" t="s">
        <v>34</v>
      </c>
      <c r="B5856" s="19">
        <v>1012</v>
      </c>
      <c r="C5856" s="183">
        <v>45423</v>
      </c>
      <c r="D5856" s="17" t="s">
        <v>52</v>
      </c>
      <c r="E5856" s="17" t="s">
        <v>1113</v>
      </c>
      <c r="F5856" s="17" t="s">
        <v>54</v>
      </c>
      <c r="H5856" s="141">
        <v>1.2311</v>
      </c>
      <c r="I5856" s="141"/>
      <c r="J5856" s="17" t="s">
        <v>49</v>
      </c>
      <c r="K5856" s="19">
        <v>2200</v>
      </c>
      <c r="L5856" s="19">
        <v>65</v>
      </c>
      <c r="M5856" s="19">
        <v>5800</v>
      </c>
      <c r="N5856" s="19" t="s">
        <v>66</v>
      </c>
      <c r="O5856" s="19" t="s">
        <v>141</v>
      </c>
      <c r="P5856" s="19">
        <v>11481</v>
      </c>
      <c r="Q5856" s="19">
        <v>6280</v>
      </c>
      <c r="S5856" s="19">
        <f>805+60</f>
        <v>865</v>
      </c>
      <c r="T5856" s="91" t="s">
        <v>42</v>
      </c>
      <c r="U5856" s="102" t="s">
        <v>1461</v>
      </c>
      <c r="V5856" s="186">
        <v>45425</v>
      </c>
      <c r="W5856" s="17" t="s">
        <v>69</v>
      </c>
      <c r="Y5856" s="68">
        <v>45413</v>
      </c>
      <c r="Z5856" s="17" t="s">
        <v>191</v>
      </c>
      <c r="AA5856" s="17" t="s">
        <v>46</v>
      </c>
      <c r="AB5856" s="17" t="s">
        <v>1353</v>
      </c>
      <c r="AC5856" s="217">
        <v>45442</v>
      </c>
      <c r="AD5856" s="65">
        <v>1579</v>
      </c>
      <c r="AE5856" s="17" t="s">
        <v>48</v>
      </c>
    </row>
    <row r="5857" s="17" customFormat="1" hidden="1" spans="1:31">
      <c r="A5857" s="17" t="s">
        <v>34</v>
      </c>
      <c r="B5857" s="19">
        <v>1012</v>
      </c>
      <c r="C5857" s="183">
        <v>45423</v>
      </c>
      <c r="D5857" s="17" t="s">
        <v>52</v>
      </c>
      <c r="E5857" s="17" t="s">
        <v>1113</v>
      </c>
      <c r="F5857" s="17" t="s">
        <v>54</v>
      </c>
      <c r="H5857" s="141">
        <v>1.2311</v>
      </c>
      <c r="I5857" s="141"/>
      <c r="J5857" s="17" t="s">
        <v>49</v>
      </c>
      <c r="K5857" s="19">
        <v>2200</v>
      </c>
      <c r="L5857" s="19">
        <v>65</v>
      </c>
      <c r="M5857" s="19">
        <v>5800</v>
      </c>
      <c r="N5857" s="19" t="s">
        <v>66</v>
      </c>
      <c r="O5857" s="19" t="s">
        <v>141</v>
      </c>
      <c r="P5857" s="19"/>
      <c r="Q5857" s="19">
        <v>6035</v>
      </c>
      <c r="R5857" s="19">
        <f>+P5856-Q5856-Q5857</f>
        <v>-834</v>
      </c>
      <c r="S5857" s="19">
        <f>805+80</f>
        <v>885</v>
      </c>
      <c r="T5857" s="91" t="s">
        <v>42</v>
      </c>
      <c r="U5857" s="102" t="s">
        <v>1461</v>
      </c>
      <c r="V5857" s="186">
        <v>45425</v>
      </c>
      <c r="W5857" s="17" t="s">
        <v>69</v>
      </c>
      <c r="Y5857" s="68">
        <v>45413</v>
      </c>
      <c r="Z5857" s="17" t="s">
        <v>191</v>
      </c>
      <c r="AA5857" s="17" t="s">
        <v>46</v>
      </c>
      <c r="AB5857" s="17" t="s">
        <v>1344</v>
      </c>
      <c r="AC5857" s="217">
        <v>45495</v>
      </c>
      <c r="AD5857" s="65">
        <v>1599</v>
      </c>
      <c r="AE5857" s="17" t="s">
        <v>48</v>
      </c>
    </row>
    <row r="5858" s="17" customFormat="1" hidden="1" spans="1:31">
      <c r="A5858" s="17" t="s">
        <v>34</v>
      </c>
      <c r="B5858" s="19">
        <v>1012</v>
      </c>
      <c r="C5858" s="183">
        <v>45423</v>
      </c>
      <c r="D5858" s="17" t="s">
        <v>52</v>
      </c>
      <c r="E5858" s="17" t="s">
        <v>1113</v>
      </c>
      <c r="F5858" s="17" t="s">
        <v>54</v>
      </c>
      <c r="H5858" s="141">
        <v>1.2311</v>
      </c>
      <c r="I5858" s="141"/>
      <c r="J5858" s="17" t="s">
        <v>49</v>
      </c>
      <c r="K5858" s="19">
        <v>2200</v>
      </c>
      <c r="L5858" s="19">
        <v>71</v>
      </c>
      <c r="M5858" s="19">
        <v>5800</v>
      </c>
      <c r="N5858" s="19" t="s">
        <v>66</v>
      </c>
      <c r="O5858" s="19" t="s">
        <v>141</v>
      </c>
      <c r="P5858" s="19">
        <v>12540</v>
      </c>
      <c r="Q5858" s="19">
        <v>6755</v>
      </c>
      <c r="S5858" s="19">
        <f>805+60</f>
        <v>865</v>
      </c>
      <c r="T5858" s="91" t="s">
        <v>42</v>
      </c>
      <c r="U5858" s="102" t="s">
        <v>1461</v>
      </c>
      <c r="V5858" s="186">
        <v>45425</v>
      </c>
      <c r="W5858" s="17" t="s">
        <v>69</v>
      </c>
      <c r="Y5858" s="68">
        <v>45413</v>
      </c>
      <c r="Z5858" s="17" t="s">
        <v>191</v>
      </c>
      <c r="AA5858" s="17" t="s">
        <v>46</v>
      </c>
      <c r="AB5858" s="17" t="s">
        <v>1345</v>
      </c>
      <c r="AC5858" s="217">
        <v>45443</v>
      </c>
      <c r="AD5858" s="65">
        <v>1580</v>
      </c>
      <c r="AE5858" s="17" t="s">
        <v>48</v>
      </c>
    </row>
    <row r="5859" s="17" customFormat="1" hidden="1" spans="1:31">
      <c r="A5859" s="17" t="s">
        <v>34</v>
      </c>
      <c r="B5859" s="19">
        <v>1012</v>
      </c>
      <c r="C5859" s="183">
        <v>45423</v>
      </c>
      <c r="D5859" s="17" t="s">
        <v>52</v>
      </c>
      <c r="E5859" s="17" t="s">
        <v>1113</v>
      </c>
      <c r="F5859" s="17" t="s">
        <v>54</v>
      </c>
      <c r="H5859" s="141">
        <v>1.2311</v>
      </c>
      <c r="I5859" s="141"/>
      <c r="J5859" s="17" t="s">
        <v>49</v>
      </c>
      <c r="K5859" s="19">
        <v>2200</v>
      </c>
      <c r="L5859" s="19">
        <v>71</v>
      </c>
      <c r="M5859" s="19">
        <v>5800</v>
      </c>
      <c r="N5859" s="19" t="s">
        <v>66</v>
      </c>
      <c r="O5859" s="19" t="s">
        <v>141</v>
      </c>
      <c r="P5859" s="19"/>
      <c r="Q5859" s="19">
        <v>6295</v>
      </c>
      <c r="R5859" s="19">
        <f>+P5858-Q5858-Q5859</f>
        <v>-510</v>
      </c>
      <c r="S5859" s="19">
        <f>805+80</f>
        <v>885</v>
      </c>
      <c r="T5859" s="91" t="s">
        <v>42</v>
      </c>
      <c r="U5859" s="102" t="s">
        <v>1461</v>
      </c>
      <c r="V5859" s="186">
        <v>45425</v>
      </c>
      <c r="W5859" s="17" t="s">
        <v>69</v>
      </c>
      <c r="Y5859" s="68">
        <v>45413</v>
      </c>
      <c r="Z5859" s="17" t="s">
        <v>191</v>
      </c>
      <c r="AA5859" s="17" t="s">
        <v>46</v>
      </c>
      <c r="AB5859" s="17" t="s">
        <v>1344</v>
      </c>
      <c r="AC5859" s="217">
        <v>45495</v>
      </c>
      <c r="AD5859" s="65">
        <v>1599</v>
      </c>
      <c r="AE5859" s="17" t="s">
        <v>48</v>
      </c>
    </row>
    <row r="5860" s="17" customFormat="1" hidden="1" spans="1:31">
      <c r="A5860" s="17" t="s">
        <v>34</v>
      </c>
      <c r="B5860" s="19">
        <v>1012</v>
      </c>
      <c r="C5860" s="183">
        <v>45423</v>
      </c>
      <c r="D5860" s="17" t="s">
        <v>52</v>
      </c>
      <c r="E5860" s="17" t="s">
        <v>1113</v>
      </c>
      <c r="F5860" s="17" t="s">
        <v>54</v>
      </c>
      <c r="H5860" s="141">
        <v>1.2311</v>
      </c>
      <c r="I5860" s="141"/>
      <c r="J5860" s="17" t="s">
        <v>49</v>
      </c>
      <c r="K5860" s="19">
        <v>2200</v>
      </c>
      <c r="L5860" s="19">
        <v>80</v>
      </c>
      <c r="M5860" s="19">
        <v>5800</v>
      </c>
      <c r="N5860" s="19" t="s">
        <v>66</v>
      </c>
      <c r="O5860" s="19" t="s">
        <v>141</v>
      </c>
      <c r="P5860" s="19">
        <v>14130</v>
      </c>
      <c r="Q5860" s="19">
        <f>7600+7600</f>
        <v>15200</v>
      </c>
      <c r="R5860" s="19">
        <f>+P5860-Q5860</f>
        <v>-1070</v>
      </c>
      <c r="S5860" s="19">
        <f>805+60</f>
        <v>865</v>
      </c>
      <c r="T5860" s="91" t="s">
        <v>42</v>
      </c>
      <c r="U5860" s="102" t="s">
        <v>1461</v>
      </c>
      <c r="V5860" s="186">
        <v>45425</v>
      </c>
      <c r="W5860" s="17" t="s">
        <v>69</v>
      </c>
      <c r="Y5860" s="68">
        <v>45413</v>
      </c>
      <c r="Z5860" s="17" t="s">
        <v>191</v>
      </c>
      <c r="AA5860" s="17" t="s">
        <v>46</v>
      </c>
      <c r="AB5860" s="17" t="s">
        <v>1353</v>
      </c>
      <c r="AC5860" s="217">
        <v>45442</v>
      </c>
      <c r="AD5860" s="65">
        <v>1579</v>
      </c>
      <c r="AE5860" s="17" t="s">
        <v>48</v>
      </c>
    </row>
    <row r="5861" s="17" customFormat="1" hidden="1" spans="1:31">
      <c r="A5861" s="17" t="s">
        <v>34</v>
      </c>
      <c r="B5861" s="19">
        <v>1012</v>
      </c>
      <c r="C5861" s="183">
        <v>45423</v>
      </c>
      <c r="D5861" s="17" t="s">
        <v>52</v>
      </c>
      <c r="E5861" s="17" t="s">
        <v>1113</v>
      </c>
      <c r="F5861" s="17" t="s">
        <v>54</v>
      </c>
      <c r="H5861" s="141">
        <v>1.2311</v>
      </c>
      <c r="I5861" s="141"/>
      <c r="J5861" s="17" t="s">
        <v>49</v>
      </c>
      <c r="K5861" s="19">
        <v>2200</v>
      </c>
      <c r="L5861" s="19">
        <v>91</v>
      </c>
      <c r="M5861" s="19">
        <v>5800</v>
      </c>
      <c r="N5861" s="19" t="s">
        <v>66</v>
      </c>
      <c r="O5861" s="19" t="s">
        <v>141</v>
      </c>
      <c r="P5861" s="19">
        <v>16073</v>
      </c>
      <c r="Q5861" s="19">
        <f>9110+7250</f>
        <v>16360</v>
      </c>
      <c r="R5861" s="19">
        <f>+P5861-Q5861</f>
        <v>-287</v>
      </c>
      <c r="S5861" s="19">
        <f>805+60</f>
        <v>865</v>
      </c>
      <c r="T5861" s="91" t="s">
        <v>42</v>
      </c>
      <c r="U5861" s="102" t="s">
        <v>1461</v>
      </c>
      <c r="V5861" s="186">
        <v>45425</v>
      </c>
      <c r="W5861" s="17" t="s">
        <v>69</v>
      </c>
      <c r="Y5861" s="68">
        <v>45413</v>
      </c>
      <c r="Z5861" s="17" t="s">
        <v>191</v>
      </c>
      <c r="AA5861" s="17" t="s">
        <v>46</v>
      </c>
      <c r="AB5861" s="17" t="s">
        <v>1353</v>
      </c>
      <c r="AC5861" s="217">
        <v>45442</v>
      </c>
      <c r="AD5861" s="65">
        <v>1579</v>
      </c>
      <c r="AE5861" s="17" t="s">
        <v>48</v>
      </c>
    </row>
    <row r="5862" s="17" customFormat="1" hidden="1" spans="1:31">
      <c r="A5862" s="17" t="s">
        <v>34</v>
      </c>
      <c r="B5862" s="19">
        <v>1012</v>
      </c>
      <c r="C5862" s="183">
        <v>45423</v>
      </c>
      <c r="D5862" s="17" t="s">
        <v>52</v>
      </c>
      <c r="E5862" s="17" t="s">
        <v>1113</v>
      </c>
      <c r="F5862" s="17" t="s">
        <v>54</v>
      </c>
      <c r="H5862" s="141">
        <v>1.2311</v>
      </c>
      <c r="I5862" s="141"/>
      <c r="J5862" s="17" t="s">
        <v>49</v>
      </c>
      <c r="K5862" s="19">
        <v>2200</v>
      </c>
      <c r="L5862" s="19">
        <v>100</v>
      </c>
      <c r="M5862" s="19">
        <v>5800</v>
      </c>
      <c r="N5862" s="19" t="s">
        <v>66</v>
      </c>
      <c r="O5862" s="19" t="s">
        <v>141</v>
      </c>
      <c r="P5862" s="19">
        <v>8831</v>
      </c>
      <c r="Q5862" s="19">
        <v>9660</v>
      </c>
      <c r="R5862" s="19">
        <f>+P5862-Q5862</f>
        <v>-829</v>
      </c>
      <c r="S5862" s="19">
        <f>805+60</f>
        <v>865</v>
      </c>
      <c r="T5862" s="91" t="s">
        <v>42</v>
      </c>
      <c r="U5862" s="102" t="s">
        <v>1461</v>
      </c>
      <c r="V5862" s="186">
        <v>45425</v>
      </c>
      <c r="W5862" s="17" t="s">
        <v>69</v>
      </c>
      <c r="Y5862" s="68">
        <v>45413</v>
      </c>
      <c r="Z5862" s="17" t="s">
        <v>191</v>
      </c>
      <c r="AA5862" s="17" t="s">
        <v>46</v>
      </c>
      <c r="AB5862" s="17" t="s">
        <v>1353</v>
      </c>
      <c r="AC5862" s="217">
        <v>45442</v>
      </c>
      <c r="AD5862" s="65">
        <v>1579</v>
      </c>
      <c r="AE5862" s="17" t="s">
        <v>48</v>
      </c>
    </row>
    <row r="5863" s="17" customFormat="1" hidden="1" spans="1:31">
      <c r="A5863" s="17" t="s">
        <v>34</v>
      </c>
      <c r="B5863" s="19">
        <v>1012</v>
      </c>
      <c r="C5863" s="183">
        <v>45423</v>
      </c>
      <c r="D5863" s="17" t="s">
        <v>52</v>
      </c>
      <c r="E5863" s="17" t="s">
        <v>1113</v>
      </c>
      <c r="F5863" s="17" t="s">
        <v>54</v>
      </c>
      <c r="H5863" s="141">
        <v>1.2311</v>
      </c>
      <c r="I5863" s="141"/>
      <c r="J5863" s="17" t="s">
        <v>49</v>
      </c>
      <c r="K5863" s="19">
        <v>2200</v>
      </c>
      <c r="L5863" s="19">
        <v>105</v>
      </c>
      <c r="M5863" s="19">
        <v>5800</v>
      </c>
      <c r="N5863" s="19" t="s">
        <v>66</v>
      </c>
      <c r="O5863" s="19" t="s">
        <v>141</v>
      </c>
      <c r="P5863" s="19">
        <v>18546</v>
      </c>
      <c r="Q5863" s="19">
        <v>9910</v>
      </c>
      <c r="S5863" s="19">
        <f>805+60</f>
        <v>865</v>
      </c>
      <c r="T5863" s="91" t="s">
        <v>42</v>
      </c>
      <c r="U5863" s="102" t="s">
        <v>1461</v>
      </c>
      <c r="V5863" s="186">
        <v>45425</v>
      </c>
      <c r="W5863" s="17" t="s">
        <v>69</v>
      </c>
      <c r="Y5863" s="68">
        <v>45413</v>
      </c>
      <c r="Z5863" s="17" t="s">
        <v>191</v>
      </c>
      <c r="AA5863" s="17" t="s">
        <v>46</v>
      </c>
      <c r="AB5863" s="17" t="s">
        <v>1353</v>
      </c>
      <c r="AC5863" s="217">
        <v>45442</v>
      </c>
      <c r="AD5863" s="65">
        <v>1579</v>
      </c>
      <c r="AE5863" s="17" t="s">
        <v>48</v>
      </c>
    </row>
    <row r="5864" s="17" customFormat="1" hidden="1" spans="1:31">
      <c r="A5864" s="17" t="s">
        <v>34</v>
      </c>
      <c r="B5864" s="19">
        <v>1012</v>
      </c>
      <c r="C5864" s="183">
        <v>45423</v>
      </c>
      <c r="D5864" s="17" t="s">
        <v>52</v>
      </c>
      <c r="E5864" s="17" t="s">
        <v>1113</v>
      </c>
      <c r="F5864" s="17" t="s">
        <v>54</v>
      </c>
      <c r="H5864" s="141">
        <v>1.2311</v>
      </c>
      <c r="I5864" s="141"/>
      <c r="J5864" s="17" t="s">
        <v>49</v>
      </c>
      <c r="K5864" s="19">
        <v>2200</v>
      </c>
      <c r="L5864" s="19">
        <v>105</v>
      </c>
      <c r="M5864" s="19">
        <v>5800</v>
      </c>
      <c r="N5864" s="19" t="s">
        <v>66</v>
      </c>
      <c r="O5864" s="19" t="s">
        <v>141</v>
      </c>
      <c r="P5864" s="19"/>
      <c r="Q5864" s="19">
        <v>9435</v>
      </c>
      <c r="R5864" s="19">
        <f>+P5863-Q5863-Q5864</f>
        <v>-799</v>
      </c>
      <c r="S5864" s="19">
        <f>805+80</f>
        <v>885</v>
      </c>
      <c r="T5864" s="91" t="s">
        <v>42</v>
      </c>
      <c r="U5864" s="102" t="s">
        <v>1461</v>
      </c>
      <c r="V5864" s="186">
        <v>45425</v>
      </c>
      <c r="W5864" s="17" t="s">
        <v>69</v>
      </c>
      <c r="Y5864" s="68">
        <v>45413</v>
      </c>
      <c r="Z5864" s="17" t="s">
        <v>191</v>
      </c>
      <c r="AA5864" s="17" t="s">
        <v>46</v>
      </c>
      <c r="AB5864" s="17" t="s">
        <v>1344</v>
      </c>
      <c r="AC5864" s="217">
        <v>45495</v>
      </c>
      <c r="AD5864" s="65">
        <v>1599</v>
      </c>
      <c r="AE5864" s="17" t="s">
        <v>48</v>
      </c>
    </row>
    <row r="5865" s="17" customFormat="1" hidden="1" spans="1:31">
      <c r="A5865" s="17" t="s">
        <v>34</v>
      </c>
      <c r="B5865" s="19">
        <v>1012</v>
      </c>
      <c r="C5865" s="183">
        <v>45423</v>
      </c>
      <c r="D5865" s="17" t="s">
        <v>52</v>
      </c>
      <c r="E5865" s="17" t="s">
        <v>1113</v>
      </c>
      <c r="F5865" s="17" t="s">
        <v>54</v>
      </c>
      <c r="H5865" s="141">
        <v>1.2311</v>
      </c>
      <c r="I5865" s="141"/>
      <c r="J5865" s="17" t="s">
        <v>82</v>
      </c>
      <c r="K5865" s="19">
        <v>205</v>
      </c>
      <c r="L5865" s="19">
        <v>20</v>
      </c>
      <c r="M5865" s="19">
        <v>2300</v>
      </c>
      <c r="N5865" s="19" t="s">
        <v>66</v>
      </c>
      <c r="O5865" s="19" t="s">
        <v>141</v>
      </c>
      <c r="P5865" s="19">
        <v>507</v>
      </c>
      <c r="Q5865" s="146">
        <v>539</v>
      </c>
      <c r="R5865" s="19">
        <f>+P5865-Q5865</f>
        <v>-32</v>
      </c>
      <c r="S5865" s="19">
        <f>825+80</f>
        <v>905</v>
      </c>
      <c r="T5865" s="91" t="s">
        <v>42</v>
      </c>
      <c r="U5865" s="102" t="s">
        <v>1461</v>
      </c>
      <c r="V5865" s="186">
        <v>45425</v>
      </c>
      <c r="W5865" s="17" t="s">
        <v>69</v>
      </c>
      <c r="Y5865" s="68">
        <v>45413</v>
      </c>
      <c r="Z5865" s="17" t="s">
        <v>191</v>
      </c>
      <c r="AA5865" s="17" t="s">
        <v>46</v>
      </c>
      <c r="AB5865" s="17" t="s">
        <v>1340</v>
      </c>
      <c r="AC5865" s="217">
        <v>45498</v>
      </c>
      <c r="AD5865" s="65">
        <v>1603</v>
      </c>
      <c r="AE5865" s="17" t="s">
        <v>74</v>
      </c>
    </row>
    <row r="5866" s="17" customFormat="1" hidden="1" spans="1:31">
      <c r="A5866" s="17" t="s">
        <v>34</v>
      </c>
      <c r="B5866" s="19">
        <v>1012</v>
      </c>
      <c r="C5866" s="183">
        <v>45423</v>
      </c>
      <c r="D5866" s="17" t="s">
        <v>52</v>
      </c>
      <c r="E5866" s="17" t="s">
        <v>1113</v>
      </c>
      <c r="F5866" s="17" t="s">
        <v>54</v>
      </c>
      <c r="H5866" s="141">
        <v>1.2311</v>
      </c>
      <c r="I5866" s="141"/>
      <c r="J5866" s="17" t="s">
        <v>82</v>
      </c>
      <c r="K5866" s="19">
        <v>255</v>
      </c>
      <c r="L5866" s="19">
        <v>20</v>
      </c>
      <c r="M5866" s="19">
        <v>2300</v>
      </c>
      <c r="N5866" s="19" t="s">
        <v>66</v>
      </c>
      <c r="O5866" s="19" t="s">
        <v>141</v>
      </c>
      <c r="P5866" s="19">
        <v>540</v>
      </c>
      <c r="Q5866" s="146">
        <v>200</v>
      </c>
      <c r="S5866" s="19">
        <f>825+80-20</f>
        <v>885</v>
      </c>
      <c r="T5866" s="91" t="s">
        <v>42</v>
      </c>
      <c r="U5866" s="102" t="s">
        <v>1461</v>
      </c>
      <c r="V5866" s="186">
        <v>45425</v>
      </c>
      <c r="W5866" s="17" t="s">
        <v>69</v>
      </c>
      <c r="Y5866" s="68">
        <v>45413</v>
      </c>
      <c r="Z5866" s="17" t="s">
        <v>191</v>
      </c>
      <c r="AA5866" s="17" t="s">
        <v>46</v>
      </c>
      <c r="AB5866" s="17" t="s">
        <v>1335</v>
      </c>
      <c r="AC5866" s="217">
        <v>45443</v>
      </c>
      <c r="AD5866" s="65">
        <v>1581</v>
      </c>
      <c r="AE5866" s="17" t="s">
        <v>74</v>
      </c>
    </row>
    <row r="5867" s="17" customFormat="1" hidden="1" spans="1:31">
      <c r="A5867" s="17" t="s">
        <v>34</v>
      </c>
      <c r="B5867" s="19">
        <v>1012</v>
      </c>
      <c r="C5867" s="183">
        <v>45423</v>
      </c>
      <c r="D5867" s="17" t="s">
        <v>52</v>
      </c>
      <c r="E5867" s="17" t="s">
        <v>1113</v>
      </c>
      <c r="F5867" s="17" t="s">
        <v>54</v>
      </c>
      <c r="H5867" s="141">
        <v>1.2311</v>
      </c>
      <c r="I5867" s="141"/>
      <c r="J5867" s="17" t="s">
        <v>82</v>
      </c>
      <c r="K5867" s="19">
        <v>255</v>
      </c>
      <c r="L5867" s="19">
        <v>20</v>
      </c>
      <c r="M5867" s="19">
        <v>2300</v>
      </c>
      <c r="N5867" s="19" t="s">
        <v>66</v>
      </c>
      <c r="O5867" s="19" t="s">
        <v>141</v>
      </c>
      <c r="P5867" s="19"/>
      <c r="Q5867" s="146">
        <v>388</v>
      </c>
      <c r="R5867" s="19">
        <f>+P5866-Q5866-Q5867</f>
        <v>-48</v>
      </c>
      <c r="S5867" s="19">
        <f>825+80</f>
        <v>905</v>
      </c>
      <c r="T5867" s="91" t="s">
        <v>42</v>
      </c>
      <c r="U5867" s="102" t="s">
        <v>1461</v>
      </c>
      <c r="V5867" s="186">
        <v>45425</v>
      </c>
      <c r="W5867" s="17" t="s">
        <v>69</v>
      </c>
      <c r="Y5867" s="68">
        <v>45413</v>
      </c>
      <c r="Z5867" s="17" t="s">
        <v>191</v>
      </c>
      <c r="AA5867" s="17" t="s">
        <v>46</v>
      </c>
      <c r="AB5867" s="17" t="s">
        <v>1340</v>
      </c>
      <c r="AC5867" s="217">
        <v>45498</v>
      </c>
      <c r="AD5867" s="65">
        <v>1603</v>
      </c>
      <c r="AE5867" s="17" t="s">
        <v>74</v>
      </c>
    </row>
    <row r="5868" s="17" customFormat="1" hidden="1" spans="1:31">
      <c r="A5868" s="17" t="s">
        <v>34</v>
      </c>
      <c r="B5868" s="19">
        <v>1012</v>
      </c>
      <c r="C5868" s="183">
        <v>45423</v>
      </c>
      <c r="D5868" s="17" t="s">
        <v>52</v>
      </c>
      <c r="E5868" s="17" t="s">
        <v>1113</v>
      </c>
      <c r="F5868" s="17" t="s">
        <v>54</v>
      </c>
      <c r="H5868" s="141">
        <v>1.2311</v>
      </c>
      <c r="I5868" s="141"/>
      <c r="J5868" s="17" t="s">
        <v>82</v>
      </c>
      <c r="K5868" s="19">
        <v>305</v>
      </c>
      <c r="L5868" s="19">
        <v>20</v>
      </c>
      <c r="M5868" s="19">
        <v>2300</v>
      </c>
      <c r="N5868" s="19" t="s">
        <v>66</v>
      </c>
      <c r="O5868" s="19" t="s">
        <v>141</v>
      </c>
      <c r="P5868" s="19">
        <v>539</v>
      </c>
      <c r="Q5868" s="146">
        <v>580</v>
      </c>
      <c r="R5868" s="19">
        <f>+P5868-Q5868</f>
        <v>-41</v>
      </c>
      <c r="S5868" s="19">
        <f>825+80</f>
        <v>905</v>
      </c>
      <c r="T5868" s="91" t="s">
        <v>42</v>
      </c>
      <c r="U5868" s="102" t="s">
        <v>1461</v>
      </c>
      <c r="V5868" s="186">
        <v>45425</v>
      </c>
      <c r="W5868" s="17" t="s">
        <v>69</v>
      </c>
      <c r="Y5868" s="68">
        <v>45413</v>
      </c>
      <c r="Z5868" s="17" t="s">
        <v>191</v>
      </c>
      <c r="AA5868" s="17" t="s">
        <v>46</v>
      </c>
      <c r="AB5868" s="17" t="s">
        <v>1340</v>
      </c>
      <c r="AC5868" s="217">
        <v>45498</v>
      </c>
      <c r="AD5868" s="65">
        <v>1603</v>
      </c>
      <c r="AE5868" s="17" t="s">
        <v>74</v>
      </c>
    </row>
    <row r="5869" s="17" customFormat="1" hidden="1" spans="1:31">
      <c r="A5869" s="17" t="s">
        <v>34</v>
      </c>
      <c r="B5869" s="19">
        <v>1012</v>
      </c>
      <c r="C5869" s="183">
        <v>45423</v>
      </c>
      <c r="D5869" s="17" t="s">
        <v>52</v>
      </c>
      <c r="E5869" s="17" t="s">
        <v>1113</v>
      </c>
      <c r="F5869" s="17" t="s">
        <v>54</v>
      </c>
      <c r="H5869" s="141">
        <v>1.2311</v>
      </c>
      <c r="I5869" s="141"/>
      <c r="J5869" s="17" t="s">
        <v>82</v>
      </c>
      <c r="K5869" s="19">
        <v>355</v>
      </c>
      <c r="L5869" s="19">
        <v>20</v>
      </c>
      <c r="M5869" s="19">
        <v>2300</v>
      </c>
      <c r="N5869" s="19" t="s">
        <v>66</v>
      </c>
      <c r="O5869" s="19" t="s">
        <v>141</v>
      </c>
      <c r="P5869" s="19">
        <v>502</v>
      </c>
      <c r="Q5869" s="19">
        <v>556</v>
      </c>
      <c r="R5869" s="19">
        <f>+P5869-Q5869</f>
        <v>-54</v>
      </c>
      <c r="S5869" s="19">
        <f>825+80-20</f>
        <v>885</v>
      </c>
      <c r="T5869" s="91" t="s">
        <v>42</v>
      </c>
      <c r="U5869" s="102" t="s">
        <v>1461</v>
      </c>
      <c r="V5869" s="186">
        <v>45425</v>
      </c>
      <c r="W5869" s="17" t="s">
        <v>69</v>
      </c>
      <c r="Y5869" s="68">
        <v>45413</v>
      </c>
      <c r="Z5869" s="17" t="s">
        <v>191</v>
      </c>
      <c r="AA5869" s="17" t="s">
        <v>46</v>
      </c>
      <c r="AB5869" s="17" t="s">
        <v>1335</v>
      </c>
      <c r="AC5869" s="217">
        <v>45443</v>
      </c>
      <c r="AD5869" s="65">
        <v>1581</v>
      </c>
      <c r="AE5869" s="17" t="s">
        <v>74</v>
      </c>
    </row>
    <row r="5870" s="17" customFormat="1" hidden="1" spans="1:31">
      <c r="A5870" s="17" t="s">
        <v>34</v>
      </c>
      <c r="B5870" s="19">
        <v>1012</v>
      </c>
      <c r="C5870" s="183">
        <v>45423</v>
      </c>
      <c r="D5870" s="17" t="s">
        <v>52</v>
      </c>
      <c r="E5870" s="17" t="s">
        <v>1113</v>
      </c>
      <c r="F5870" s="17" t="s">
        <v>54</v>
      </c>
      <c r="H5870" s="141">
        <v>1.2311</v>
      </c>
      <c r="I5870" s="141"/>
      <c r="J5870" s="17" t="s">
        <v>82</v>
      </c>
      <c r="K5870" s="19">
        <v>405</v>
      </c>
      <c r="L5870" s="19">
        <v>20</v>
      </c>
      <c r="M5870" s="19">
        <v>2300</v>
      </c>
      <c r="N5870" s="19" t="s">
        <v>66</v>
      </c>
      <c r="O5870" s="19" t="s">
        <v>141</v>
      </c>
      <c r="P5870" s="19">
        <v>429</v>
      </c>
      <c r="Q5870" s="19">
        <v>317</v>
      </c>
      <c r="S5870" s="19">
        <f>825+80-20</f>
        <v>885</v>
      </c>
      <c r="T5870" s="91" t="s">
        <v>42</v>
      </c>
      <c r="U5870" s="102" t="s">
        <v>1461</v>
      </c>
      <c r="V5870" s="186">
        <v>45425</v>
      </c>
      <c r="W5870" s="17" t="s">
        <v>69</v>
      </c>
      <c r="Y5870" s="68">
        <v>45413</v>
      </c>
      <c r="Z5870" s="17" t="s">
        <v>191</v>
      </c>
      <c r="AA5870" s="17" t="s">
        <v>46</v>
      </c>
      <c r="AB5870" s="17" t="s">
        <v>1336</v>
      </c>
      <c r="AC5870" s="66">
        <v>45435</v>
      </c>
      <c r="AD5870" s="65">
        <v>1577</v>
      </c>
      <c r="AE5870" s="17" t="s">
        <v>74</v>
      </c>
    </row>
    <row r="5871" s="17" customFormat="1" hidden="1" spans="1:31">
      <c r="A5871" s="17" t="s">
        <v>34</v>
      </c>
      <c r="B5871" s="19">
        <v>1012</v>
      </c>
      <c r="C5871" s="183">
        <v>45423</v>
      </c>
      <c r="D5871" s="17" t="s">
        <v>52</v>
      </c>
      <c r="E5871" s="17" t="s">
        <v>1113</v>
      </c>
      <c r="F5871" s="17" t="s">
        <v>54</v>
      </c>
      <c r="H5871" s="141">
        <v>1.2311</v>
      </c>
      <c r="I5871" s="141"/>
      <c r="J5871" s="17" t="s">
        <v>82</v>
      </c>
      <c r="K5871" s="19">
        <v>405</v>
      </c>
      <c r="L5871" s="19">
        <v>20</v>
      </c>
      <c r="M5871" s="19">
        <v>2300</v>
      </c>
      <c r="N5871" s="19" t="s">
        <v>66</v>
      </c>
      <c r="O5871" s="19" t="s">
        <v>141</v>
      </c>
      <c r="P5871" s="19"/>
      <c r="Q5871" s="19">
        <v>157</v>
      </c>
      <c r="R5871" s="19">
        <f>+P5870-Q5870-Q5871</f>
        <v>-45</v>
      </c>
      <c r="S5871" s="19">
        <f>825+60</f>
        <v>885</v>
      </c>
      <c r="T5871" s="91" t="s">
        <v>42</v>
      </c>
      <c r="U5871" s="102" t="s">
        <v>1461</v>
      </c>
      <c r="V5871" s="186">
        <v>45425</v>
      </c>
      <c r="W5871" s="17" t="s">
        <v>69</v>
      </c>
      <c r="Y5871" s="68">
        <v>45413</v>
      </c>
      <c r="Z5871" s="17" t="s">
        <v>191</v>
      </c>
      <c r="AA5871" s="17" t="s">
        <v>46</v>
      </c>
      <c r="AB5871" s="17" t="s">
        <v>1345</v>
      </c>
      <c r="AC5871" s="217">
        <v>45443</v>
      </c>
      <c r="AD5871" s="65">
        <v>1580</v>
      </c>
      <c r="AE5871" s="17" t="s">
        <v>74</v>
      </c>
    </row>
    <row r="5872" s="17" customFormat="1" hidden="1" spans="1:31">
      <c r="A5872" s="17" t="s">
        <v>34</v>
      </c>
      <c r="B5872" s="19">
        <v>1012</v>
      </c>
      <c r="C5872" s="183">
        <v>45423</v>
      </c>
      <c r="D5872" s="17" t="s">
        <v>52</v>
      </c>
      <c r="E5872" s="17" t="s">
        <v>1113</v>
      </c>
      <c r="F5872" s="17" t="s">
        <v>54</v>
      </c>
      <c r="H5872" s="141">
        <v>1.2311</v>
      </c>
      <c r="I5872" s="141"/>
      <c r="J5872" s="17" t="s">
        <v>82</v>
      </c>
      <c r="K5872" s="19">
        <v>455</v>
      </c>
      <c r="L5872" s="19">
        <v>20</v>
      </c>
      <c r="M5872" s="19">
        <v>2300</v>
      </c>
      <c r="N5872" s="19" t="s">
        <v>66</v>
      </c>
      <c r="O5872" s="19" t="s">
        <v>141</v>
      </c>
      <c r="P5872" s="19">
        <v>482</v>
      </c>
      <c r="Q5872" s="19">
        <v>531</v>
      </c>
      <c r="R5872" s="19">
        <f>+P5872-Q5872</f>
        <v>-49</v>
      </c>
      <c r="S5872" s="19">
        <f>825+80-20</f>
        <v>885</v>
      </c>
      <c r="T5872" s="91" t="s">
        <v>42</v>
      </c>
      <c r="U5872" s="102" t="s">
        <v>1461</v>
      </c>
      <c r="V5872" s="186">
        <v>45425</v>
      </c>
      <c r="W5872" s="17" t="s">
        <v>69</v>
      </c>
      <c r="Y5872" s="68">
        <v>45413</v>
      </c>
      <c r="Z5872" s="17" t="s">
        <v>191</v>
      </c>
      <c r="AA5872" s="17" t="s">
        <v>46</v>
      </c>
      <c r="AB5872" s="17" t="s">
        <v>1336</v>
      </c>
      <c r="AC5872" s="66">
        <v>45435</v>
      </c>
      <c r="AD5872" s="65">
        <v>1577</v>
      </c>
      <c r="AE5872" s="17" t="s">
        <v>74</v>
      </c>
    </row>
    <row r="5873" s="17" customFormat="1" hidden="1" spans="1:31">
      <c r="A5873" s="17" t="s">
        <v>34</v>
      </c>
      <c r="B5873" s="19">
        <v>1012</v>
      </c>
      <c r="C5873" s="183">
        <v>45423</v>
      </c>
      <c r="D5873" s="17" t="s">
        <v>52</v>
      </c>
      <c r="E5873" s="17" t="s">
        <v>1113</v>
      </c>
      <c r="F5873" s="17" t="s">
        <v>54</v>
      </c>
      <c r="H5873" s="141">
        <v>1.2311</v>
      </c>
      <c r="I5873" s="141"/>
      <c r="J5873" s="17" t="s">
        <v>82</v>
      </c>
      <c r="K5873" s="19">
        <v>505</v>
      </c>
      <c r="L5873" s="19">
        <v>20</v>
      </c>
      <c r="M5873" s="19">
        <v>2300</v>
      </c>
      <c r="N5873" s="19" t="s">
        <v>66</v>
      </c>
      <c r="O5873" s="19" t="s">
        <v>141</v>
      </c>
      <c r="P5873" s="19">
        <v>535</v>
      </c>
      <c r="Q5873" s="19">
        <v>594</v>
      </c>
      <c r="R5873" s="19">
        <f>+P5873-Q5873</f>
        <v>-59</v>
      </c>
      <c r="S5873" s="19">
        <f>825+60</f>
        <v>885</v>
      </c>
      <c r="T5873" s="91" t="s">
        <v>42</v>
      </c>
      <c r="U5873" s="102" t="s">
        <v>1461</v>
      </c>
      <c r="V5873" s="186">
        <v>45425</v>
      </c>
      <c r="W5873" s="17" t="s">
        <v>69</v>
      </c>
      <c r="Y5873" s="68">
        <v>45413</v>
      </c>
      <c r="Z5873" s="17" t="s">
        <v>191</v>
      </c>
      <c r="AA5873" s="17" t="s">
        <v>46</v>
      </c>
      <c r="AB5873" s="17" t="s">
        <v>1345</v>
      </c>
      <c r="AC5873" s="217">
        <v>45443</v>
      </c>
      <c r="AD5873" s="65">
        <v>1580</v>
      </c>
      <c r="AE5873" s="17" t="s">
        <v>74</v>
      </c>
    </row>
    <row r="5874" s="17" customFormat="1" hidden="1" spans="1:31">
      <c r="A5874" s="17" t="s">
        <v>34</v>
      </c>
      <c r="B5874" s="19">
        <v>1012</v>
      </c>
      <c r="C5874" s="183">
        <v>45423</v>
      </c>
      <c r="D5874" s="17" t="s">
        <v>52</v>
      </c>
      <c r="E5874" s="17" t="s">
        <v>1113</v>
      </c>
      <c r="F5874" s="17" t="s">
        <v>54</v>
      </c>
      <c r="H5874" s="141">
        <v>1.2311</v>
      </c>
      <c r="I5874" s="141"/>
      <c r="J5874" s="17" t="s">
        <v>82</v>
      </c>
      <c r="K5874" s="19">
        <v>205</v>
      </c>
      <c r="L5874" s="19">
        <v>25</v>
      </c>
      <c r="M5874" s="19">
        <v>2300</v>
      </c>
      <c r="N5874" s="19" t="s">
        <v>66</v>
      </c>
      <c r="O5874" s="19" t="s">
        <v>141</v>
      </c>
      <c r="P5874" s="19">
        <v>996</v>
      </c>
      <c r="Q5874" s="19">
        <v>1092</v>
      </c>
      <c r="R5874" s="19">
        <f>+P5874-Q5874</f>
        <v>-96</v>
      </c>
      <c r="S5874" s="19">
        <f>825+80-20</f>
        <v>885</v>
      </c>
      <c r="T5874" s="91" t="s">
        <v>42</v>
      </c>
      <c r="U5874" s="102" t="s">
        <v>1461</v>
      </c>
      <c r="V5874" s="186">
        <v>45425</v>
      </c>
      <c r="W5874" s="17" t="s">
        <v>69</v>
      </c>
      <c r="Y5874" s="68">
        <v>45413</v>
      </c>
      <c r="Z5874" s="17" t="s">
        <v>191</v>
      </c>
      <c r="AA5874" s="17" t="s">
        <v>46</v>
      </c>
      <c r="AB5874" s="17" t="s">
        <v>1336</v>
      </c>
      <c r="AC5874" s="66">
        <v>45435</v>
      </c>
      <c r="AD5874" s="65">
        <v>1577</v>
      </c>
      <c r="AE5874" s="17" t="s">
        <v>74</v>
      </c>
    </row>
    <row r="5875" s="17" customFormat="1" hidden="1" spans="1:31">
      <c r="A5875" s="17" t="s">
        <v>34</v>
      </c>
      <c r="B5875" s="19">
        <v>1012</v>
      </c>
      <c r="C5875" s="183">
        <v>45423</v>
      </c>
      <c r="D5875" s="17" t="s">
        <v>52</v>
      </c>
      <c r="E5875" s="17" t="s">
        <v>1113</v>
      </c>
      <c r="F5875" s="17" t="s">
        <v>54</v>
      </c>
      <c r="H5875" s="141">
        <v>1.2311</v>
      </c>
      <c r="I5875" s="141"/>
      <c r="J5875" s="17" t="s">
        <v>82</v>
      </c>
      <c r="K5875" s="19">
        <v>255</v>
      </c>
      <c r="L5875" s="19">
        <v>25</v>
      </c>
      <c r="M5875" s="19">
        <v>2300</v>
      </c>
      <c r="N5875" s="19" t="s">
        <v>66</v>
      </c>
      <c r="O5875" s="19" t="s">
        <v>141</v>
      </c>
      <c r="P5875" s="19">
        <v>563</v>
      </c>
      <c r="Q5875" s="19">
        <v>615</v>
      </c>
      <c r="R5875" s="19">
        <f>+P5875-Q5875</f>
        <v>-52</v>
      </c>
      <c r="S5875" s="19">
        <f>825+80-20</f>
        <v>885</v>
      </c>
      <c r="T5875" s="91" t="s">
        <v>42</v>
      </c>
      <c r="U5875" s="102" t="s">
        <v>1461</v>
      </c>
      <c r="V5875" s="186">
        <v>45425</v>
      </c>
      <c r="W5875" s="17" t="s">
        <v>69</v>
      </c>
      <c r="Y5875" s="68">
        <v>45413</v>
      </c>
      <c r="Z5875" s="17" t="s">
        <v>191</v>
      </c>
      <c r="AA5875" s="17" t="s">
        <v>46</v>
      </c>
      <c r="AB5875" s="17" t="s">
        <v>1336</v>
      </c>
      <c r="AC5875" s="66">
        <v>45435</v>
      </c>
      <c r="AD5875" s="65">
        <v>1577</v>
      </c>
      <c r="AE5875" s="17" t="s">
        <v>74</v>
      </c>
    </row>
    <row r="5876" s="17" customFormat="1" hidden="1" spans="1:31">
      <c r="A5876" s="17" t="s">
        <v>34</v>
      </c>
      <c r="B5876" s="19">
        <v>1012</v>
      </c>
      <c r="C5876" s="183">
        <v>45423</v>
      </c>
      <c r="D5876" s="17" t="s">
        <v>52</v>
      </c>
      <c r="E5876" s="17" t="s">
        <v>1113</v>
      </c>
      <c r="F5876" s="17" t="s">
        <v>54</v>
      </c>
      <c r="H5876" s="141">
        <v>1.2311</v>
      </c>
      <c r="I5876" s="141"/>
      <c r="J5876" s="17" t="s">
        <v>82</v>
      </c>
      <c r="K5876" s="19">
        <v>305</v>
      </c>
      <c r="L5876" s="19">
        <v>25</v>
      </c>
      <c r="M5876" s="19">
        <v>2300</v>
      </c>
      <c r="N5876" s="19" t="s">
        <v>66</v>
      </c>
      <c r="O5876" s="19" t="s">
        <v>141</v>
      </c>
      <c r="P5876" s="19">
        <v>539</v>
      </c>
      <c r="Q5876" s="19">
        <v>587</v>
      </c>
      <c r="R5876" s="19">
        <f>+P5876-Q5876</f>
        <v>-48</v>
      </c>
      <c r="S5876" s="19">
        <f>825+80-20</f>
        <v>885</v>
      </c>
      <c r="T5876" s="91" t="s">
        <v>42</v>
      </c>
      <c r="U5876" s="102" t="s">
        <v>1461</v>
      </c>
      <c r="V5876" s="186">
        <v>45425</v>
      </c>
      <c r="W5876" s="17" t="s">
        <v>69</v>
      </c>
      <c r="Y5876" s="68">
        <v>45413</v>
      </c>
      <c r="Z5876" s="17" t="s">
        <v>191</v>
      </c>
      <c r="AA5876" s="17" t="s">
        <v>46</v>
      </c>
      <c r="AB5876" s="17" t="s">
        <v>1336</v>
      </c>
      <c r="AC5876" s="66">
        <v>45435</v>
      </c>
      <c r="AD5876" s="65">
        <v>1577</v>
      </c>
      <c r="AE5876" s="17" t="s">
        <v>74</v>
      </c>
    </row>
    <row r="5877" s="17" customFormat="1" hidden="1" spans="1:31">
      <c r="A5877" s="17" t="s">
        <v>34</v>
      </c>
      <c r="B5877" s="19">
        <v>1012</v>
      </c>
      <c r="C5877" s="183">
        <v>45423</v>
      </c>
      <c r="D5877" s="17" t="s">
        <v>52</v>
      </c>
      <c r="E5877" s="17" t="s">
        <v>1113</v>
      </c>
      <c r="F5877" s="17" t="s">
        <v>54</v>
      </c>
      <c r="H5877" s="141">
        <v>1.2311</v>
      </c>
      <c r="I5877" s="141"/>
      <c r="J5877" s="17" t="s">
        <v>82</v>
      </c>
      <c r="K5877" s="19">
        <v>355</v>
      </c>
      <c r="L5877" s="19">
        <v>25</v>
      </c>
      <c r="M5877" s="19">
        <v>2300</v>
      </c>
      <c r="N5877" s="19" t="s">
        <v>66</v>
      </c>
      <c r="O5877" s="19" t="s">
        <v>141</v>
      </c>
      <c r="P5877" s="19">
        <v>470</v>
      </c>
      <c r="Q5877" s="19">
        <v>344</v>
      </c>
      <c r="S5877" s="19">
        <f>825+80-20</f>
        <v>885</v>
      </c>
      <c r="T5877" s="91" t="s">
        <v>42</v>
      </c>
      <c r="U5877" s="102" t="s">
        <v>1461</v>
      </c>
      <c r="V5877" s="186">
        <v>45425</v>
      </c>
      <c r="W5877" s="17" t="s">
        <v>69</v>
      </c>
      <c r="Y5877" s="68">
        <v>45413</v>
      </c>
      <c r="Z5877" s="17" t="s">
        <v>191</v>
      </c>
      <c r="AA5877" s="17" t="s">
        <v>46</v>
      </c>
      <c r="AB5877" s="17" t="s">
        <v>1336</v>
      </c>
      <c r="AC5877" s="66">
        <v>45435</v>
      </c>
      <c r="AD5877" s="65">
        <v>1577</v>
      </c>
      <c r="AE5877" s="17" t="s">
        <v>74</v>
      </c>
    </row>
    <row r="5878" s="17" customFormat="1" hidden="1" spans="1:31">
      <c r="A5878" s="17" t="s">
        <v>34</v>
      </c>
      <c r="B5878" s="19">
        <v>1012</v>
      </c>
      <c r="C5878" s="183">
        <v>45423</v>
      </c>
      <c r="D5878" s="17" t="s">
        <v>52</v>
      </c>
      <c r="E5878" s="17" t="s">
        <v>1113</v>
      </c>
      <c r="F5878" s="17" t="s">
        <v>54</v>
      </c>
      <c r="H5878" s="141">
        <v>1.2311</v>
      </c>
      <c r="I5878" s="141"/>
      <c r="J5878" s="17" t="s">
        <v>82</v>
      </c>
      <c r="K5878" s="19">
        <v>355</v>
      </c>
      <c r="L5878" s="19">
        <v>25</v>
      </c>
      <c r="M5878" s="19">
        <v>2300</v>
      </c>
      <c r="N5878" s="19" t="s">
        <v>66</v>
      </c>
      <c r="O5878" s="19" t="s">
        <v>141</v>
      </c>
      <c r="P5878" s="19"/>
      <c r="Q5878" s="146">
        <v>166</v>
      </c>
      <c r="R5878" s="19">
        <f>+P5877-Q5877-Q5878</f>
        <v>-40</v>
      </c>
      <c r="S5878" s="19">
        <f>825+80</f>
        <v>905</v>
      </c>
      <c r="T5878" s="91" t="s">
        <v>42</v>
      </c>
      <c r="U5878" s="102" t="s">
        <v>1461</v>
      </c>
      <c r="V5878" s="186">
        <v>45425</v>
      </c>
      <c r="W5878" s="17" t="s">
        <v>69</v>
      </c>
      <c r="Y5878" s="68">
        <v>45413</v>
      </c>
      <c r="Z5878" s="17" t="s">
        <v>191</v>
      </c>
      <c r="AA5878" s="17" t="s">
        <v>46</v>
      </c>
      <c r="AB5878" s="17" t="s">
        <v>1340</v>
      </c>
      <c r="AC5878" s="217">
        <v>45498</v>
      </c>
      <c r="AD5878" s="65">
        <v>1603</v>
      </c>
      <c r="AE5878" s="17" t="s">
        <v>74</v>
      </c>
    </row>
    <row r="5879" s="17" customFormat="1" hidden="1" spans="1:31">
      <c r="A5879" s="17" t="s">
        <v>34</v>
      </c>
      <c r="B5879" s="19">
        <v>1012</v>
      </c>
      <c r="C5879" s="183">
        <v>45423</v>
      </c>
      <c r="D5879" s="17" t="s">
        <v>52</v>
      </c>
      <c r="E5879" s="17" t="s">
        <v>1113</v>
      </c>
      <c r="F5879" s="17" t="s">
        <v>54</v>
      </c>
      <c r="H5879" s="141">
        <v>1.2311</v>
      </c>
      <c r="I5879" s="141"/>
      <c r="J5879" s="17" t="s">
        <v>82</v>
      </c>
      <c r="K5879" s="19">
        <v>405</v>
      </c>
      <c r="L5879" s="19">
        <v>25</v>
      </c>
      <c r="M5879" s="19">
        <v>2300</v>
      </c>
      <c r="N5879" s="19" t="s">
        <v>66</v>
      </c>
      <c r="O5879" s="19" t="s">
        <v>141</v>
      </c>
      <c r="P5879" s="19">
        <v>536</v>
      </c>
      <c r="Q5879" s="19">
        <v>582</v>
      </c>
      <c r="R5879" s="19">
        <f>+P5879-Q5879</f>
        <v>-46</v>
      </c>
      <c r="S5879" s="19">
        <f>825+80-20</f>
        <v>885</v>
      </c>
      <c r="T5879" s="91" t="s">
        <v>42</v>
      </c>
      <c r="U5879" s="102" t="s">
        <v>1461</v>
      </c>
      <c r="V5879" s="186">
        <v>45425</v>
      </c>
      <c r="W5879" s="17" t="s">
        <v>69</v>
      </c>
      <c r="Y5879" s="68">
        <v>45413</v>
      </c>
      <c r="Z5879" s="17" t="s">
        <v>191</v>
      </c>
      <c r="AA5879" s="17" t="s">
        <v>46</v>
      </c>
      <c r="AB5879" s="17" t="s">
        <v>1336</v>
      </c>
      <c r="AC5879" s="66">
        <v>45435</v>
      </c>
      <c r="AD5879" s="65">
        <v>1577</v>
      </c>
      <c r="AE5879" s="17" t="s">
        <v>74</v>
      </c>
    </row>
    <row r="5880" s="17" customFormat="1" hidden="1" spans="1:31">
      <c r="A5880" s="17" t="s">
        <v>34</v>
      </c>
      <c r="B5880" s="19">
        <v>1012</v>
      </c>
      <c r="C5880" s="183">
        <v>45423</v>
      </c>
      <c r="D5880" s="17" t="s">
        <v>52</v>
      </c>
      <c r="E5880" s="17" t="s">
        <v>1113</v>
      </c>
      <c r="F5880" s="17" t="s">
        <v>54</v>
      </c>
      <c r="H5880" s="141">
        <v>1.2311</v>
      </c>
      <c r="I5880" s="141"/>
      <c r="J5880" s="17" t="s">
        <v>82</v>
      </c>
      <c r="K5880" s="19">
        <v>455</v>
      </c>
      <c r="L5880" s="19">
        <v>25</v>
      </c>
      <c r="M5880" s="19">
        <v>2300</v>
      </c>
      <c r="N5880" s="19" t="s">
        <v>66</v>
      </c>
      <c r="O5880" s="19" t="s">
        <v>141</v>
      </c>
      <c r="P5880" s="19">
        <v>603</v>
      </c>
      <c r="Q5880" s="19">
        <v>434</v>
      </c>
      <c r="S5880" s="19">
        <f>825+80-20</f>
        <v>885</v>
      </c>
      <c r="T5880" s="91" t="s">
        <v>42</v>
      </c>
      <c r="U5880" s="102" t="s">
        <v>1461</v>
      </c>
      <c r="V5880" s="186">
        <v>45425</v>
      </c>
      <c r="W5880" s="17" t="s">
        <v>69</v>
      </c>
      <c r="Y5880" s="68">
        <v>45413</v>
      </c>
      <c r="Z5880" s="17" t="s">
        <v>191</v>
      </c>
      <c r="AA5880" s="17" t="s">
        <v>46</v>
      </c>
      <c r="AB5880" s="17" t="s">
        <v>1336</v>
      </c>
      <c r="AC5880" s="66">
        <v>45435</v>
      </c>
      <c r="AD5880" s="65">
        <v>1577</v>
      </c>
      <c r="AE5880" s="17" t="s">
        <v>74</v>
      </c>
    </row>
    <row r="5881" s="17" customFormat="1" hidden="1" spans="1:31">
      <c r="A5881" s="17" t="s">
        <v>34</v>
      </c>
      <c r="B5881" s="19">
        <v>1012</v>
      </c>
      <c r="C5881" s="183">
        <v>45423</v>
      </c>
      <c r="D5881" s="17" t="s">
        <v>52</v>
      </c>
      <c r="E5881" s="17" t="s">
        <v>1113</v>
      </c>
      <c r="F5881" s="17" t="s">
        <v>54</v>
      </c>
      <c r="H5881" s="141">
        <v>1.2311</v>
      </c>
      <c r="I5881" s="141"/>
      <c r="J5881" s="17" t="s">
        <v>82</v>
      </c>
      <c r="K5881" s="19">
        <v>455</v>
      </c>
      <c r="L5881" s="19">
        <v>25</v>
      </c>
      <c r="M5881" s="19">
        <v>2300</v>
      </c>
      <c r="N5881" s="19" t="s">
        <v>66</v>
      </c>
      <c r="O5881" s="19" t="s">
        <v>141</v>
      </c>
      <c r="P5881" s="19"/>
      <c r="Q5881" s="19">
        <v>218</v>
      </c>
      <c r="R5881" s="19">
        <f>+P5880-Q5880-Q5881</f>
        <v>-49</v>
      </c>
      <c r="S5881" s="19">
        <f>825+60</f>
        <v>885</v>
      </c>
      <c r="T5881" s="91" t="s">
        <v>42</v>
      </c>
      <c r="U5881" s="102" t="s">
        <v>1461</v>
      </c>
      <c r="V5881" s="186">
        <v>45425</v>
      </c>
      <c r="W5881" s="17" t="s">
        <v>69</v>
      </c>
      <c r="Y5881" s="68">
        <v>45413</v>
      </c>
      <c r="Z5881" s="17" t="s">
        <v>191</v>
      </c>
      <c r="AA5881" s="17" t="s">
        <v>46</v>
      </c>
      <c r="AB5881" s="17" t="s">
        <v>1345</v>
      </c>
      <c r="AC5881" s="217">
        <v>45443</v>
      </c>
      <c r="AD5881" s="65">
        <v>1580</v>
      </c>
      <c r="AE5881" s="17" t="s">
        <v>74</v>
      </c>
    </row>
    <row r="5882" s="17" customFormat="1" hidden="1" spans="1:31">
      <c r="A5882" s="17" t="s">
        <v>34</v>
      </c>
      <c r="B5882" s="19">
        <v>1012</v>
      </c>
      <c r="C5882" s="183">
        <v>45423</v>
      </c>
      <c r="D5882" s="17" t="s">
        <v>52</v>
      </c>
      <c r="E5882" s="17" t="s">
        <v>1113</v>
      </c>
      <c r="F5882" s="17" t="s">
        <v>54</v>
      </c>
      <c r="H5882" s="141">
        <v>1.2311</v>
      </c>
      <c r="I5882" s="141"/>
      <c r="J5882" s="17" t="s">
        <v>82</v>
      </c>
      <c r="K5882" s="19">
        <v>505</v>
      </c>
      <c r="L5882" s="19">
        <v>25</v>
      </c>
      <c r="M5882" s="19">
        <v>2300</v>
      </c>
      <c r="N5882" s="19" t="s">
        <v>66</v>
      </c>
      <c r="O5882" s="19" t="s">
        <v>141</v>
      </c>
      <c r="P5882" s="19">
        <v>446</v>
      </c>
      <c r="Q5882" s="19">
        <v>486</v>
      </c>
      <c r="R5882" s="19">
        <f>+P5882-Q5882</f>
        <v>-40</v>
      </c>
      <c r="S5882" s="19">
        <f>825+60</f>
        <v>885</v>
      </c>
      <c r="T5882" s="91" t="s">
        <v>42</v>
      </c>
      <c r="U5882" s="102" t="s">
        <v>1461</v>
      </c>
      <c r="V5882" s="186">
        <v>45425</v>
      </c>
      <c r="W5882" s="17" t="s">
        <v>69</v>
      </c>
      <c r="Y5882" s="68">
        <v>45413</v>
      </c>
      <c r="Z5882" s="17" t="s">
        <v>191</v>
      </c>
      <c r="AA5882" s="17" t="s">
        <v>46</v>
      </c>
      <c r="AB5882" s="17" t="s">
        <v>1345</v>
      </c>
      <c r="AC5882" s="217">
        <v>45443</v>
      </c>
      <c r="AD5882" s="65">
        <v>1580</v>
      </c>
      <c r="AE5882" s="17" t="s">
        <v>74</v>
      </c>
    </row>
    <row r="5883" s="17" customFormat="1" hidden="1" spans="1:31">
      <c r="A5883" s="17" t="s">
        <v>34</v>
      </c>
      <c r="B5883" s="19">
        <v>1012</v>
      </c>
      <c r="C5883" s="183">
        <v>45423</v>
      </c>
      <c r="D5883" s="17" t="s">
        <v>52</v>
      </c>
      <c r="E5883" s="17" t="s">
        <v>1113</v>
      </c>
      <c r="F5883" s="17" t="s">
        <v>54</v>
      </c>
      <c r="H5883" s="141">
        <v>1.2311</v>
      </c>
      <c r="I5883" s="141"/>
      <c r="J5883" s="17" t="s">
        <v>82</v>
      </c>
      <c r="K5883" s="19">
        <v>205</v>
      </c>
      <c r="L5883" s="19">
        <v>32</v>
      </c>
      <c r="M5883" s="19">
        <v>2300</v>
      </c>
      <c r="N5883" s="19" t="s">
        <v>66</v>
      </c>
      <c r="O5883" s="19" t="s">
        <v>141</v>
      </c>
      <c r="P5883" s="19">
        <v>2086</v>
      </c>
      <c r="Q5883" s="19">
        <v>1054</v>
      </c>
      <c r="S5883" s="19">
        <f>825+60</f>
        <v>885</v>
      </c>
      <c r="T5883" s="91" t="s">
        <v>42</v>
      </c>
      <c r="U5883" s="102" t="s">
        <v>1461</v>
      </c>
      <c r="V5883" s="186">
        <v>45425</v>
      </c>
      <c r="W5883" s="17" t="s">
        <v>69</v>
      </c>
      <c r="Y5883" s="68">
        <v>45413</v>
      </c>
      <c r="Z5883" s="17" t="s">
        <v>191</v>
      </c>
      <c r="AA5883" s="17" t="s">
        <v>46</v>
      </c>
      <c r="AB5883" s="17" t="s">
        <v>1345</v>
      </c>
      <c r="AC5883" s="217">
        <v>45443</v>
      </c>
      <c r="AD5883" s="65">
        <v>1580</v>
      </c>
      <c r="AE5883" s="17" t="s">
        <v>74</v>
      </c>
    </row>
    <row r="5884" s="17" customFormat="1" hidden="1" spans="1:31">
      <c r="A5884" s="17" t="s">
        <v>34</v>
      </c>
      <c r="B5884" s="19">
        <v>1012</v>
      </c>
      <c r="C5884" s="183">
        <v>45423</v>
      </c>
      <c r="D5884" s="17" t="s">
        <v>52</v>
      </c>
      <c r="E5884" s="17" t="s">
        <v>1113</v>
      </c>
      <c r="F5884" s="17" t="s">
        <v>54</v>
      </c>
      <c r="H5884" s="141">
        <v>1.2311</v>
      </c>
      <c r="I5884" s="141"/>
      <c r="J5884" s="17" t="s">
        <v>82</v>
      </c>
      <c r="K5884" s="19">
        <v>205</v>
      </c>
      <c r="L5884" s="19">
        <v>32</v>
      </c>
      <c r="M5884" s="19">
        <v>2300</v>
      </c>
      <c r="N5884" s="19" t="s">
        <v>66</v>
      </c>
      <c r="O5884" s="19" t="s">
        <v>141</v>
      </c>
      <c r="P5884" s="19"/>
      <c r="Q5884" s="19">
        <v>1059</v>
      </c>
      <c r="R5884" s="19">
        <f>+P5883-Q5883-Q5884</f>
        <v>-27</v>
      </c>
      <c r="S5884" s="19">
        <f>825+80-20</f>
        <v>885</v>
      </c>
      <c r="T5884" s="91" t="s">
        <v>42</v>
      </c>
      <c r="U5884" s="102" t="s">
        <v>1461</v>
      </c>
      <c r="V5884" s="186">
        <v>45425</v>
      </c>
      <c r="W5884" s="17" t="s">
        <v>69</v>
      </c>
      <c r="Y5884" s="68">
        <v>45413</v>
      </c>
      <c r="Z5884" s="17" t="s">
        <v>191</v>
      </c>
      <c r="AA5884" s="17" t="s">
        <v>46</v>
      </c>
      <c r="AB5884" s="17" t="s">
        <v>1335</v>
      </c>
      <c r="AC5884" s="217">
        <v>45443</v>
      </c>
      <c r="AD5884" s="65">
        <v>1581</v>
      </c>
      <c r="AE5884" s="17" t="s">
        <v>74</v>
      </c>
    </row>
    <row r="5885" s="17" customFormat="1" hidden="1" spans="1:31">
      <c r="A5885" s="17" t="s">
        <v>34</v>
      </c>
      <c r="B5885" s="19">
        <v>1012</v>
      </c>
      <c r="C5885" s="183">
        <v>45423</v>
      </c>
      <c r="D5885" s="17" t="s">
        <v>52</v>
      </c>
      <c r="E5885" s="17" t="s">
        <v>1113</v>
      </c>
      <c r="F5885" s="17" t="s">
        <v>54</v>
      </c>
      <c r="H5885" s="141">
        <v>1.2311</v>
      </c>
      <c r="I5885" s="141"/>
      <c r="J5885" s="17" t="s">
        <v>82</v>
      </c>
      <c r="K5885" s="19">
        <v>255</v>
      </c>
      <c r="L5885" s="19">
        <v>32</v>
      </c>
      <c r="M5885" s="19">
        <v>2300</v>
      </c>
      <c r="N5885" s="19" t="s">
        <v>66</v>
      </c>
      <c r="O5885" s="19" t="s">
        <v>141</v>
      </c>
      <c r="P5885" s="19">
        <v>2018</v>
      </c>
      <c r="Q5885" s="19">
        <v>2058</v>
      </c>
      <c r="R5885" s="19">
        <f t="shared" ref="R5885:R5894" si="265">+P5885-Q5885</f>
        <v>-40</v>
      </c>
      <c r="S5885" s="19">
        <f>825+80-20</f>
        <v>885</v>
      </c>
      <c r="T5885" s="91" t="s">
        <v>42</v>
      </c>
      <c r="U5885" s="102" t="s">
        <v>1461</v>
      </c>
      <c r="V5885" s="186">
        <v>45425</v>
      </c>
      <c r="W5885" s="17" t="s">
        <v>69</v>
      </c>
      <c r="Y5885" s="68">
        <v>45413</v>
      </c>
      <c r="Z5885" s="17" t="s">
        <v>191</v>
      </c>
      <c r="AA5885" s="17" t="s">
        <v>46</v>
      </c>
      <c r="AB5885" s="17" t="s">
        <v>1335</v>
      </c>
      <c r="AC5885" s="217">
        <v>45443</v>
      </c>
      <c r="AD5885" s="65">
        <v>1581</v>
      </c>
      <c r="AE5885" s="17" t="s">
        <v>74</v>
      </c>
    </row>
    <row r="5886" s="17" customFormat="1" hidden="1" spans="1:31">
      <c r="A5886" s="17" t="s">
        <v>34</v>
      </c>
      <c r="B5886" s="19">
        <v>1012</v>
      </c>
      <c r="C5886" s="183">
        <v>45423</v>
      </c>
      <c r="D5886" s="17" t="s">
        <v>52</v>
      </c>
      <c r="E5886" s="17" t="s">
        <v>1113</v>
      </c>
      <c r="F5886" s="17" t="s">
        <v>54</v>
      </c>
      <c r="H5886" s="141">
        <v>1.2311</v>
      </c>
      <c r="I5886" s="141"/>
      <c r="J5886" s="17" t="s">
        <v>82</v>
      </c>
      <c r="K5886" s="19">
        <v>305</v>
      </c>
      <c r="L5886" s="19">
        <v>32</v>
      </c>
      <c r="M5886" s="19">
        <v>2300</v>
      </c>
      <c r="N5886" s="19" t="s">
        <v>66</v>
      </c>
      <c r="O5886" s="19" t="s">
        <v>141</v>
      </c>
      <c r="P5886" s="19">
        <v>2069</v>
      </c>
      <c r="Q5886" s="19">
        <v>2088</v>
      </c>
      <c r="R5886" s="19">
        <f t="shared" si="265"/>
        <v>-19</v>
      </c>
      <c r="S5886" s="19">
        <f>825+60</f>
        <v>885</v>
      </c>
      <c r="T5886" s="91" t="s">
        <v>42</v>
      </c>
      <c r="U5886" s="102" t="s">
        <v>1461</v>
      </c>
      <c r="V5886" s="186">
        <v>45425</v>
      </c>
      <c r="W5886" s="17" t="s">
        <v>69</v>
      </c>
      <c r="Y5886" s="68">
        <v>45413</v>
      </c>
      <c r="Z5886" s="17" t="s">
        <v>191</v>
      </c>
      <c r="AA5886" s="17" t="s">
        <v>46</v>
      </c>
      <c r="AB5886" s="17" t="s">
        <v>1345</v>
      </c>
      <c r="AC5886" s="217">
        <v>45443</v>
      </c>
      <c r="AD5886" s="65">
        <v>1580</v>
      </c>
      <c r="AE5886" s="17" t="s">
        <v>74</v>
      </c>
    </row>
    <row r="5887" s="17" customFormat="1" hidden="1" spans="1:31">
      <c r="A5887" s="17" t="s">
        <v>34</v>
      </c>
      <c r="B5887" s="19">
        <v>1012</v>
      </c>
      <c r="C5887" s="183">
        <v>45423</v>
      </c>
      <c r="D5887" s="17" t="s">
        <v>52</v>
      </c>
      <c r="E5887" s="17" t="s">
        <v>1113</v>
      </c>
      <c r="F5887" s="17" t="s">
        <v>54</v>
      </c>
      <c r="H5887" s="141">
        <v>1.2311</v>
      </c>
      <c r="I5887" s="141"/>
      <c r="J5887" s="17" t="s">
        <v>82</v>
      </c>
      <c r="K5887" s="19">
        <v>355</v>
      </c>
      <c r="L5887" s="19">
        <v>32</v>
      </c>
      <c r="M5887" s="19">
        <v>2300</v>
      </c>
      <c r="N5887" s="19" t="s">
        <v>66</v>
      </c>
      <c r="O5887" s="19" t="s">
        <v>141</v>
      </c>
      <c r="P5887" s="19">
        <v>2006</v>
      </c>
      <c r="Q5887" s="19">
        <v>2031</v>
      </c>
      <c r="R5887" s="19">
        <f t="shared" si="265"/>
        <v>-25</v>
      </c>
      <c r="S5887" s="19">
        <f>825+80-20</f>
        <v>885</v>
      </c>
      <c r="T5887" s="91" t="s">
        <v>42</v>
      </c>
      <c r="U5887" s="102" t="s">
        <v>1461</v>
      </c>
      <c r="V5887" s="186">
        <v>45425</v>
      </c>
      <c r="W5887" s="17" t="s">
        <v>69</v>
      </c>
      <c r="Y5887" s="68">
        <v>45413</v>
      </c>
      <c r="Z5887" s="17" t="s">
        <v>191</v>
      </c>
      <c r="AA5887" s="17" t="s">
        <v>46</v>
      </c>
      <c r="AB5887" s="17" t="s">
        <v>1335</v>
      </c>
      <c r="AC5887" s="217">
        <v>45443</v>
      </c>
      <c r="AD5887" s="65">
        <v>1581</v>
      </c>
      <c r="AE5887" s="17" t="s">
        <v>74</v>
      </c>
    </row>
    <row r="5888" s="17" customFormat="1" hidden="1" spans="1:31">
      <c r="A5888" s="17" t="s">
        <v>34</v>
      </c>
      <c r="B5888" s="19">
        <v>1012</v>
      </c>
      <c r="C5888" s="183">
        <v>45423</v>
      </c>
      <c r="D5888" s="17" t="s">
        <v>52</v>
      </c>
      <c r="E5888" s="17" t="s">
        <v>1113</v>
      </c>
      <c r="F5888" s="17" t="s">
        <v>54</v>
      </c>
      <c r="H5888" s="141">
        <v>1.2311</v>
      </c>
      <c r="I5888" s="141"/>
      <c r="J5888" s="17" t="s">
        <v>82</v>
      </c>
      <c r="K5888" s="19">
        <v>405</v>
      </c>
      <c r="L5888" s="19">
        <v>32</v>
      </c>
      <c r="M5888" s="19">
        <v>2300</v>
      </c>
      <c r="N5888" s="19" t="s">
        <v>66</v>
      </c>
      <c r="O5888" s="19" t="s">
        <v>141</v>
      </c>
      <c r="P5888" s="19">
        <v>2060</v>
      </c>
      <c r="Q5888" s="19">
        <v>2060</v>
      </c>
      <c r="R5888" s="19">
        <f t="shared" si="265"/>
        <v>0</v>
      </c>
      <c r="S5888" s="19">
        <f>825+60</f>
        <v>885</v>
      </c>
      <c r="T5888" s="91" t="s">
        <v>42</v>
      </c>
      <c r="U5888" s="102" t="s">
        <v>1461</v>
      </c>
      <c r="V5888" s="186">
        <v>45425</v>
      </c>
      <c r="W5888" s="17" t="s">
        <v>69</v>
      </c>
      <c r="Y5888" s="68">
        <v>45413</v>
      </c>
      <c r="Z5888" s="17" t="s">
        <v>191</v>
      </c>
      <c r="AA5888" s="17" t="s">
        <v>46</v>
      </c>
      <c r="AB5888" s="17" t="s">
        <v>1345</v>
      </c>
      <c r="AC5888" s="217">
        <v>45443</v>
      </c>
      <c r="AD5888" s="65">
        <v>1580</v>
      </c>
      <c r="AE5888" s="17" t="s">
        <v>74</v>
      </c>
    </row>
    <row r="5889" s="17" customFormat="1" hidden="1" spans="1:31">
      <c r="A5889" s="17" t="s">
        <v>34</v>
      </c>
      <c r="B5889" s="19">
        <v>1012</v>
      </c>
      <c r="C5889" s="183">
        <v>45423</v>
      </c>
      <c r="D5889" s="17" t="s">
        <v>52</v>
      </c>
      <c r="E5889" s="17" t="s">
        <v>1113</v>
      </c>
      <c r="F5889" s="17" t="s">
        <v>54</v>
      </c>
      <c r="H5889" s="141">
        <v>1.2311</v>
      </c>
      <c r="I5889" s="141"/>
      <c r="J5889" s="17" t="s">
        <v>82</v>
      </c>
      <c r="K5889" s="19">
        <v>455</v>
      </c>
      <c r="L5889" s="19">
        <v>32</v>
      </c>
      <c r="M5889" s="19">
        <v>2300</v>
      </c>
      <c r="N5889" s="19" t="s">
        <v>66</v>
      </c>
      <c r="O5889" s="19" t="s">
        <v>141</v>
      </c>
      <c r="P5889" s="19">
        <v>2057</v>
      </c>
      <c r="Q5889" s="19">
        <v>2048</v>
      </c>
      <c r="R5889" s="19">
        <f t="shared" si="265"/>
        <v>9</v>
      </c>
      <c r="S5889" s="19">
        <f>825+60</f>
        <v>885</v>
      </c>
      <c r="T5889" s="91" t="s">
        <v>42</v>
      </c>
      <c r="U5889" s="102" t="s">
        <v>1461</v>
      </c>
      <c r="V5889" s="186">
        <v>45425</v>
      </c>
      <c r="W5889" s="17" t="s">
        <v>69</v>
      </c>
      <c r="Y5889" s="68">
        <v>45413</v>
      </c>
      <c r="Z5889" s="17" t="s">
        <v>191</v>
      </c>
      <c r="AA5889" s="17" t="s">
        <v>46</v>
      </c>
      <c r="AB5889" s="17" t="s">
        <v>1345</v>
      </c>
      <c r="AC5889" s="217">
        <v>45443</v>
      </c>
      <c r="AD5889" s="65">
        <v>1580</v>
      </c>
      <c r="AE5889" s="17" t="s">
        <v>74</v>
      </c>
    </row>
    <row r="5890" s="17" customFormat="1" hidden="1" spans="1:31">
      <c r="A5890" s="17" t="s">
        <v>34</v>
      </c>
      <c r="B5890" s="19">
        <v>1012</v>
      </c>
      <c r="C5890" s="183">
        <v>45423</v>
      </c>
      <c r="D5890" s="17" t="s">
        <v>52</v>
      </c>
      <c r="E5890" s="17" t="s">
        <v>1113</v>
      </c>
      <c r="F5890" s="17" t="s">
        <v>54</v>
      </c>
      <c r="H5890" s="141">
        <v>1.2311</v>
      </c>
      <c r="I5890" s="141"/>
      <c r="J5890" s="17" t="s">
        <v>82</v>
      </c>
      <c r="K5890" s="19">
        <v>505</v>
      </c>
      <c r="L5890" s="19">
        <v>32</v>
      </c>
      <c r="M5890" s="19">
        <v>2300</v>
      </c>
      <c r="N5890" s="19" t="s">
        <v>66</v>
      </c>
      <c r="O5890" s="19" t="s">
        <v>141</v>
      </c>
      <c r="P5890" s="19">
        <v>1998</v>
      </c>
      <c r="Q5890" s="19">
        <v>2011</v>
      </c>
      <c r="R5890" s="19">
        <f t="shared" si="265"/>
        <v>-13</v>
      </c>
      <c r="S5890" s="19">
        <f>825+60</f>
        <v>885</v>
      </c>
      <c r="T5890" s="91" t="s">
        <v>42</v>
      </c>
      <c r="U5890" s="102" t="s">
        <v>1461</v>
      </c>
      <c r="V5890" s="186">
        <v>45425</v>
      </c>
      <c r="W5890" s="17" t="s">
        <v>69</v>
      </c>
      <c r="Y5890" s="68">
        <v>45413</v>
      </c>
      <c r="Z5890" s="17" t="s">
        <v>191</v>
      </c>
      <c r="AA5890" s="17" t="s">
        <v>46</v>
      </c>
      <c r="AB5890" s="17" t="s">
        <v>1345</v>
      </c>
      <c r="AC5890" s="217">
        <v>45443</v>
      </c>
      <c r="AD5890" s="65">
        <v>1580</v>
      </c>
      <c r="AE5890" s="17" t="s">
        <v>74</v>
      </c>
    </row>
    <row r="5891" s="17" customFormat="1" hidden="1" spans="1:31">
      <c r="A5891" s="17" t="s">
        <v>34</v>
      </c>
      <c r="B5891" s="19">
        <v>1012</v>
      </c>
      <c r="C5891" s="183">
        <v>45423</v>
      </c>
      <c r="D5891" s="17" t="s">
        <v>52</v>
      </c>
      <c r="E5891" s="17" t="s">
        <v>1113</v>
      </c>
      <c r="F5891" s="17" t="s">
        <v>54</v>
      </c>
      <c r="H5891" s="141">
        <v>1.2311</v>
      </c>
      <c r="I5891" s="141"/>
      <c r="J5891" s="17" t="s">
        <v>82</v>
      </c>
      <c r="K5891" s="19">
        <v>205</v>
      </c>
      <c r="L5891" s="19">
        <v>35</v>
      </c>
      <c r="M5891" s="19">
        <v>2300</v>
      </c>
      <c r="N5891" s="19" t="s">
        <v>66</v>
      </c>
      <c r="O5891" s="19" t="s">
        <v>141</v>
      </c>
      <c r="P5891" s="19">
        <v>1014</v>
      </c>
      <c r="Q5891" s="19">
        <v>1098</v>
      </c>
      <c r="R5891" s="19">
        <f t="shared" si="265"/>
        <v>-84</v>
      </c>
      <c r="S5891" s="19">
        <f>825+80-20</f>
        <v>885</v>
      </c>
      <c r="T5891" s="91" t="s">
        <v>42</v>
      </c>
      <c r="U5891" s="102" t="s">
        <v>1461</v>
      </c>
      <c r="V5891" s="186">
        <v>45425</v>
      </c>
      <c r="W5891" s="17" t="s">
        <v>69</v>
      </c>
      <c r="Y5891" s="68">
        <v>45413</v>
      </c>
      <c r="Z5891" s="17" t="s">
        <v>191</v>
      </c>
      <c r="AA5891" s="17" t="s">
        <v>46</v>
      </c>
      <c r="AB5891" s="17" t="s">
        <v>1335</v>
      </c>
      <c r="AC5891" s="217">
        <v>45443</v>
      </c>
      <c r="AD5891" s="65">
        <v>1581</v>
      </c>
      <c r="AE5891" s="17" t="s">
        <v>74</v>
      </c>
    </row>
    <row r="5892" s="17" customFormat="1" hidden="1" spans="1:31">
      <c r="A5892" s="17" t="s">
        <v>34</v>
      </c>
      <c r="B5892" s="19">
        <v>1012</v>
      </c>
      <c r="C5892" s="183">
        <v>45423</v>
      </c>
      <c r="D5892" s="17" t="s">
        <v>52</v>
      </c>
      <c r="E5892" s="17" t="s">
        <v>1113</v>
      </c>
      <c r="F5892" s="17" t="s">
        <v>54</v>
      </c>
      <c r="H5892" s="141">
        <v>1.2311</v>
      </c>
      <c r="I5892" s="141"/>
      <c r="J5892" s="17" t="s">
        <v>82</v>
      </c>
      <c r="K5892" s="19">
        <v>255</v>
      </c>
      <c r="L5892" s="19">
        <v>35</v>
      </c>
      <c r="M5892" s="19">
        <v>2300</v>
      </c>
      <c r="N5892" s="19" t="s">
        <v>66</v>
      </c>
      <c r="O5892" s="19" t="s">
        <v>141</v>
      </c>
      <c r="P5892" s="19">
        <v>946</v>
      </c>
      <c r="Q5892" s="19">
        <v>990</v>
      </c>
      <c r="R5892" s="19">
        <f t="shared" si="265"/>
        <v>-44</v>
      </c>
      <c r="S5892" s="19">
        <f>825+80-20</f>
        <v>885</v>
      </c>
      <c r="T5892" s="91" t="s">
        <v>42</v>
      </c>
      <c r="U5892" s="102" t="s">
        <v>1461</v>
      </c>
      <c r="V5892" s="186">
        <v>45425</v>
      </c>
      <c r="W5892" s="17" t="s">
        <v>69</v>
      </c>
      <c r="Y5892" s="68">
        <v>45413</v>
      </c>
      <c r="Z5892" s="17" t="s">
        <v>191</v>
      </c>
      <c r="AA5892" s="17" t="s">
        <v>46</v>
      </c>
      <c r="AB5892" s="17" t="s">
        <v>1335</v>
      </c>
      <c r="AC5892" s="217">
        <v>45443</v>
      </c>
      <c r="AD5892" s="65">
        <v>1581</v>
      </c>
      <c r="AE5892" s="17" t="s">
        <v>74</v>
      </c>
    </row>
    <row r="5893" s="17" customFormat="1" hidden="1" spans="1:31">
      <c r="A5893" s="17" t="s">
        <v>34</v>
      </c>
      <c r="B5893" s="19">
        <v>1012</v>
      </c>
      <c r="C5893" s="183">
        <v>45423</v>
      </c>
      <c r="D5893" s="17" t="s">
        <v>52</v>
      </c>
      <c r="E5893" s="17" t="s">
        <v>1113</v>
      </c>
      <c r="F5893" s="17" t="s">
        <v>54</v>
      </c>
      <c r="H5893" s="141">
        <v>1.2311</v>
      </c>
      <c r="I5893" s="141"/>
      <c r="J5893" s="17" t="s">
        <v>82</v>
      </c>
      <c r="K5893" s="19">
        <v>305</v>
      </c>
      <c r="L5893" s="19">
        <v>35</v>
      </c>
      <c r="M5893" s="19">
        <v>2300</v>
      </c>
      <c r="N5893" s="19" t="s">
        <v>66</v>
      </c>
      <c r="O5893" s="19" t="s">
        <v>141</v>
      </c>
      <c r="P5893" s="19">
        <v>1131</v>
      </c>
      <c r="Q5893" s="19">
        <v>1204</v>
      </c>
      <c r="R5893" s="19">
        <f t="shared" si="265"/>
        <v>-73</v>
      </c>
      <c r="S5893" s="19">
        <f>825+80-20</f>
        <v>885</v>
      </c>
      <c r="T5893" s="91" t="s">
        <v>42</v>
      </c>
      <c r="U5893" s="102" t="s">
        <v>1461</v>
      </c>
      <c r="V5893" s="186">
        <v>45425</v>
      </c>
      <c r="W5893" s="17" t="s">
        <v>69</v>
      </c>
      <c r="Y5893" s="68">
        <v>45413</v>
      </c>
      <c r="Z5893" s="17" t="s">
        <v>191</v>
      </c>
      <c r="AA5893" s="17" t="s">
        <v>46</v>
      </c>
      <c r="AB5893" s="17" t="s">
        <v>1336</v>
      </c>
      <c r="AC5893" s="66">
        <v>45435</v>
      </c>
      <c r="AD5893" s="65">
        <v>1577</v>
      </c>
      <c r="AE5893" s="17" t="s">
        <v>74</v>
      </c>
    </row>
    <row r="5894" s="17" customFormat="1" hidden="1" spans="1:31">
      <c r="A5894" s="17" t="s">
        <v>34</v>
      </c>
      <c r="B5894" s="19">
        <v>1012</v>
      </c>
      <c r="C5894" s="183">
        <v>45423</v>
      </c>
      <c r="D5894" s="17" t="s">
        <v>52</v>
      </c>
      <c r="E5894" s="17" t="s">
        <v>1113</v>
      </c>
      <c r="F5894" s="17" t="s">
        <v>54</v>
      </c>
      <c r="H5894" s="141">
        <v>1.2311</v>
      </c>
      <c r="I5894" s="141"/>
      <c r="J5894" s="17" t="s">
        <v>82</v>
      </c>
      <c r="K5894" s="19">
        <v>355</v>
      </c>
      <c r="L5894" s="19">
        <v>35</v>
      </c>
      <c r="M5894" s="19">
        <v>2300</v>
      </c>
      <c r="N5894" s="19" t="s">
        <v>66</v>
      </c>
      <c r="O5894" s="19" t="s">
        <v>141</v>
      </c>
      <c r="P5894" s="19">
        <v>1097</v>
      </c>
      <c r="Q5894" s="19">
        <v>1167</v>
      </c>
      <c r="R5894" s="19">
        <f t="shared" si="265"/>
        <v>-70</v>
      </c>
      <c r="S5894" s="19">
        <f>825+80-20</f>
        <v>885</v>
      </c>
      <c r="T5894" s="91" t="s">
        <v>42</v>
      </c>
      <c r="U5894" s="102" t="s">
        <v>1461</v>
      </c>
      <c r="V5894" s="186">
        <v>45425</v>
      </c>
      <c r="W5894" s="17" t="s">
        <v>69</v>
      </c>
      <c r="Y5894" s="68">
        <v>45413</v>
      </c>
      <c r="Z5894" s="17" t="s">
        <v>191</v>
      </c>
      <c r="AA5894" s="17" t="s">
        <v>46</v>
      </c>
      <c r="AB5894" s="17" t="s">
        <v>1335</v>
      </c>
      <c r="AC5894" s="217">
        <v>45443</v>
      </c>
      <c r="AD5894" s="65">
        <v>1581</v>
      </c>
      <c r="AE5894" s="17" t="s">
        <v>74</v>
      </c>
    </row>
    <row r="5895" s="17" customFormat="1" hidden="1" spans="1:31">
      <c r="A5895" s="17" t="s">
        <v>34</v>
      </c>
      <c r="B5895" s="19">
        <v>1012</v>
      </c>
      <c r="C5895" s="183">
        <v>45423</v>
      </c>
      <c r="D5895" s="17" t="s">
        <v>52</v>
      </c>
      <c r="E5895" s="17" t="s">
        <v>1113</v>
      </c>
      <c r="F5895" s="17" t="s">
        <v>54</v>
      </c>
      <c r="H5895" s="141">
        <v>1.2311</v>
      </c>
      <c r="I5895" s="141"/>
      <c r="J5895" s="17" t="s">
        <v>82</v>
      </c>
      <c r="K5895" s="19">
        <v>405</v>
      </c>
      <c r="L5895" s="19">
        <v>35</v>
      </c>
      <c r="M5895" s="19">
        <v>2300</v>
      </c>
      <c r="N5895" s="19" t="s">
        <v>66</v>
      </c>
      <c r="O5895" s="19" t="s">
        <v>141</v>
      </c>
      <c r="P5895" s="19">
        <v>1001</v>
      </c>
      <c r="Q5895" s="19">
        <v>801</v>
      </c>
      <c r="S5895" s="19">
        <f>825+80-20</f>
        <v>885</v>
      </c>
      <c r="T5895" s="91" t="s">
        <v>42</v>
      </c>
      <c r="U5895" s="102" t="s">
        <v>1461</v>
      </c>
      <c r="V5895" s="186">
        <v>45425</v>
      </c>
      <c r="W5895" s="17" t="s">
        <v>69</v>
      </c>
      <c r="Y5895" s="68">
        <v>45413</v>
      </c>
      <c r="Z5895" s="17" t="s">
        <v>191</v>
      </c>
      <c r="AA5895" s="17" t="s">
        <v>46</v>
      </c>
      <c r="AB5895" s="17" t="s">
        <v>1336</v>
      </c>
      <c r="AC5895" s="66">
        <v>45435</v>
      </c>
      <c r="AD5895" s="65">
        <v>1577</v>
      </c>
      <c r="AE5895" s="17" t="s">
        <v>74</v>
      </c>
    </row>
    <row r="5896" s="17" customFormat="1" hidden="1" spans="1:31">
      <c r="A5896" s="17" t="s">
        <v>34</v>
      </c>
      <c r="B5896" s="19">
        <v>1012</v>
      </c>
      <c r="C5896" s="183">
        <v>45423</v>
      </c>
      <c r="D5896" s="17" t="s">
        <v>52</v>
      </c>
      <c r="E5896" s="17" t="s">
        <v>1113</v>
      </c>
      <c r="F5896" s="17" t="s">
        <v>54</v>
      </c>
      <c r="H5896" s="141">
        <v>1.2311</v>
      </c>
      <c r="I5896" s="141"/>
      <c r="J5896" s="17" t="s">
        <v>82</v>
      </c>
      <c r="K5896" s="19">
        <v>405</v>
      </c>
      <c r="L5896" s="19">
        <v>35</v>
      </c>
      <c r="M5896" s="19">
        <v>2300</v>
      </c>
      <c r="N5896" s="19" t="s">
        <v>66</v>
      </c>
      <c r="O5896" s="19" t="s">
        <v>141</v>
      </c>
      <c r="P5896" s="19"/>
      <c r="Q5896" s="19">
        <v>266</v>
      </c>
      <c r="R5896" s="19">
        <f>+P5895-Q5895-Q5896</f>
        <v>-66</v>
      </c>
      <c r="S5896" s="19">
        <f>825+60</f>
        <v>885</v>
      </c>
      <c r="T5896" s="91" t="s">
        <v>42</v>
      </c>
      <c r="U5896" s="102" t="s">
        <v>1461</v>
      </c>
      <c r="V5896" s="186">
        <v>45425</v>
      </c>
      <c r="W5896" s="17" t="s">
        <v>69</v>
      </c>
      <c r="Y5896" s="68">
        <v>45413</v>
      </c>
      <c r="Z5896" s="17" t="s">
        <v>191</v>
      </c>
      <c r="AA5896" s="17" t="s">
        <v>46</v>
      </c>
      <c r="AB5896" s="17" t="s">
        <v>1345</v>
      </c>
      <c r="AC5896" s="217">
        <v>45443</v>
      </c>
      <c r="AD5896" s="65">
        <v>1580</v>
      </c>
      <c r="AE5896" s="17" t="s">
        <v>74</v>
      </c>
    </row>
    <row r="5897" s="17" customFormat="1" hidden="1" spans="1:31">
      <c r="A5897" s="17" t="s">
        <v>34</v>
      </c>
      <c r="B5897" s="19">
        <v>1012</v>
      </c>
      <c r="C5897" s="183">
        <v>45423</v>
      </c>
      <c r="D5897" s="17" t="s">
        <v>52</v>
      </c>
      <c r="E5897" s="17" t="s">
        <v>1113</v>
      </c>
      <c r="F5897" s="17" t="s">
        <v>54</v>
      </c>
      <c r="H5897" s="141">
        <v>1.2311</v>
      </c>
      <c r="I5897" s="141"/>
      <c r="J5897" s="17" t="s">
        <v>82</v>
      </c>
      <c r="K5897" s="19">
        <v>455</v>
      </c>
      <c r="L5897" s="19">
        <v>35</v>
      </c>
      <c r="M5897" s="19">
        <v>2300</v>
      </c>
      <c r="N5897" s="19" t="s">
        <v>66</v>
      </c>
      <c r="O5897" s="19" t="s">
        <v>141</v>
      </c>
      <c r="P5897" s="19">
        <v>844</v>
      </c>
      <c r="Q5897" s="19">
        <v>891</v>
      </c>
      <c r="R5897" s="19">
        <f>+P5897-Q5897</f>
        <v>-47</v>
      </c>
      <c r="S5897" s="19">
        <f>825+80-20</f>
        <v>885</v>
      </c>
      <c r="T5897" s="91" t="s">
        <v>42</v>
      </c>
      <c r="U5897" s="102" t="s">
        <v>1461</v>
      </c>
      <c r="V5897" s="186">
        <v>45425</v>
      </c>
      <c r="W5897" s="17" t="s">
        <v>69</v>
      </c>
      <c r="Y5897" s="68">
        <v>45413</v>
      </c>
      <c r="Z5897" s="17" t="s">
        <v>191</v>
      </c>
      <c r="AA5897" s="17" t="s">
        <v>46</v>
      </c>
      <c r="AB5897" s="17" t="s">
        <v>1336</v>
      </c>
      <c r="AC5897" s="66">
        <v>45435</v>
      </c>
      <c r="AD5897" s="65">
        <v>1577</v>
      </c>
      <c r="AE5897" s="17" t="s">
        <v>74</v>
      </c>
    </row>
    <row r="5898" s="17" customFormat="1" hidden="1" spans="1:31">
      <c r="A5898" s="17" t="s">
        <v>34</v>
      </c>
      <c r="B5898" s="19">
        <v>1012</v>
      </c>
      <c r="C5898" s="183">
        <v>45423</v>
      </c>
      <c r="D5898" s="17" t="s">
        <v>52</v>
      </c>
      <c r="E5898" s="17" t="s">
        <v>1113</v>
      </c>
      <c r="F5898" s="17" t="s">
        <v>54</v>
      </c>
      <c r="H5898" s="141">
        <v>1.2311</v>
      </c>
      <c r="I5898" s="141"/>
      <c r="J5898" s="17" t="s">
        <v>82</v>
      </c>
      <c r="K5898" s="19">
        <v>505</v>
      </c>
      <c r="L5898" s="19">
        <v>35</v>
      </c>
      <c r="M5898" s="19">
        <v>2300</v>
      </c>
      <c r="N5898" s="19" t="s">
        <v>66</v>
      </c>
      <c r="O5898" s="19" t="s">
        <v>141</v>
      </c>
      <c r="P5898" s="19">
        <v>937</v>
      </c>
      <c r="Q5898" s="19">
        <v>992</v>
      </c>
      <c r="R5898" s="19">
        <f>+P5898-Q5898</f>
        <v>-55</v>
      </c>
      <c r="S5898" s="19">
        <f>825+80</f>
        <v>905</v>
      </c>
      <c r="T5898" s="91" t="s">
        <v>42</v>
      </c>
      <c r="U5898" s="102" t="s">
        <v>1461</v>
      </c>
      <c r="V5898" s="186">
        <v>45425</v>
      </c>
      <c r="W5898" s="17" t="s">
        <v>69</v>
      </c>
      <c r="Y5898" s="68">
        <v>45413</v>
      </c>
      <c r="Z5898" s="17" t="s">
        <v>191</v>
      </c>
      <c r="AA5898" s="17" t="s">
        <v>46</v>
      </c>
      <c r="AB5898" s="17" t="s">
        <v>1345</v>
      </c>
      <c r="AC5898" s="217">
        <v>45443</v>
      </c>
      <c r="AD5898" s="65">
        <v>1580</v>
      </c>
      <c r="AE5898" s="17" t="s">
        <v>74</v>
      </c>
    </row>
    <row r="5899" s="17" customFormat="1" hidden="1" spans="1:31">
      <c r="A5899" s="17" t="s">
        <v>34</v>
      </c>
      <c r="B5899" s="19">
        <v>1012</v>
      </c>
      <c r="C5899" s="183">
        <v>45423</v>
      </c>
      <c r="D5899" s="17" t="s">
        <v>52</v>
      </c>
      <c r="E5899" s="17" t="s">
        <v>1113</v>
      </c>
      <c r="F5899" s="17" t="s">
        <v>54</v>
      </c>
      <c r="H5899" s="141">
        <v>1.2311</v>
      </c>
      <c r="I5899" s="141"/>
      <c r="J5899" s="17" t="s">
        <v>82</v>
      </c>
      <c r="K5899" s="19">
        <v>205</v>
      </c>
      <c r="L5899" s="19">
        <v>40</v>
      </c>
      <c r="M5899" s="19">
        <v>2300</v>
      </c>
      <c r="N5899" s="19" t="s">
        <v>66</v>
      </c>
      <c r="O5899" s="19" t="s">
        <v>141</v>
      </c>
      <c r="P5899" s="19">
        <v>2028</v>
      </c>
      <c r="Q5899" s="19">
        <v>2141</v>
      </c>
      <c r="R5899" s="19">
        <f>+P5899-Q5899</f>
        <v>-113</v>
      </c>
      <c r="S5899" s="19">
        <f>825+80-20</f>
        <v>885</v>
      </c>
      <c r="T5899" s="91" t="s">
        <v>42</v>
      </c>
      <c r="U5899" s="102" t="s">
        <v>1461</v>
      </c>
      <c r="V5899" s="186">
        <v>45425</v>
      </c>
      <c r="W5899" s="17" t="s">
        <v>69</v>
      </c>
      <c r="Y5899" s="68">
        <v>45413</v>
      </c>
      <c r="Z5899" s="17" t="s">
        <v>191</v>
      </c>
      <c r="AA5899" s="17" t="s">
        <v>46</v>
      </c>
      <c r="AB5899" s="17" t="s">
        <v>1335</v>
      </c>
      <c r="AC5899" s="217">
        <v>45443</v>
      </c>
      <c r="AD5899" s="65">
        <v>1581</v>
      </c>
      <c r="AE5899" s="17" t="s">
        <v>74</v>
      </c>
    </row>
    <row r="5900" s="17" customFormat="1" hidden="1" spans="1:31">
      <c r="A5900" s="17" t="s">
        <v>34</v>
      </c>
      <c r="B5900" s="19">
        <v>1012</v>
      </c>
      <c r="C5900" s="183">
        <v>45423</v>
      </c>
      <c r="D5900" s="17" t="s">
        <v>52</v>
      </c>
      <c r="E5900" s="17" t="s">
        <v>1113</v>
      </c>
      <c r="F5900" s="17" t="s">
        <v>54</v>
      </c>
      <c r="H5900" s="141">
        <v>1.2311</v>
      </c>
      <c r="I5900" s="141"/>
      <c r="J5900" s="17" t="s">
        <v>82</v>
      </c>
      <c r="K5900" s="19">
        <v>255</v>
      </c>
      <c r="L5900" s="19">
        <v>40</v>
      </c>
      <c r="M5900" s="19">
        <v>2300</v>
      </c>
      <c r="N5900" s="19" t="s">
        <v>66</v>
      </c>
      <c r="O5900" s="19" t="s">
        <v>141</v>
      </c>
      <c r="P5900" s="19">
        <v>2162</v>
      </c>
      <c r="Q5900" s="19">
        <v>2271</v>
      </c>
      <c r="R5900" s="19">
        <f>+P5900-Q5900</f>
        <v>-109</v>
      </c>
      <c r="S5900" s="19">
        <f>825+80-20</f>
        <v>885</v>
      </c>
      <c r="T5900" s="91" t="s">
        <v>42</v>
      </c>
      <c r="U5900" s="102" t="s">
        <v>1461</v>
      </c>
      <c r="V5900" s="186">
        <v>45425</v>
      </c>
      <c r="W5900" s="17" t="s">
        <v>69</v>
      </c>
      <c r="Y5900" s="68">
        <v>45413</v>
      </c>
      <c r="Z5900" s="17" t="s">
        <v>191</v>
      </c>
      <c r="AA5900" s="17" t="s">
        <v>46</v>
      </c>
      <c r="AB5900" s="17" t="s">
        <v>1335</v>
      </c>
      <c r="AC5900" s="217">
        <v>45443</v>
      </c>
      <c r="AD5900" s="65">
        <v>1581</v>
      </c>
      <c r="AE5900" s="17" t="s">
        <v>74</v>
      </c>
    </row>
    <row r="5901" s="17" customFormat="1" hidden="1" spans="1:31">
      <c r="A5901" s="17" t="s">
        <v>34</v>
      </c>
      <c r="B5901" s="19">
        <v>1012</v>
      </c>
      <c r="C5901" s="183">
        <v>45423</v>
      </c>
      <c r="D5901" s="17" t="s">
        <v>52</v>
      </c>
      <c r="E5901" s="17" t="s">
        <v>1113</v>
      </c>
      <c r="F5901" s="17" t="s">
        <v>54</v>
      </c>
      <c r="H5901" s="141">
        <v>1.2311</v>
      </c>
      <c r="I5901" s="141"/>
      <c r="J5901" s="17" t="s">
        <v>82</v>
      </c>
      <c r="K5901" s="19">
        <v>305</v>
      </c>
      <c r="L5901" s="19">
        <v>40</v>
      </c>
      <c r="M5901" s="19">
        <v>2300</v>
      </c>
      <c r="N5901" s="19" t="s">
        <v>66</v>
      </c>
      <c r="O5901" s="19" t="s">
        <v>141</v>
      </c>
      <c r="P5901" s="19">
        <v>2155</v>
      </c>
      <c r="Q5901" s="19">
        <v>1607</v>
      </c>
      <c r="S5901" s="19">
        <f>825+80-20</f>
        <v>885</v>
      </c>
      <c r="T5901" s="91" t="s">
        <v>42</v>
      </c>
      <c r="U5901" s="102" t="s">
        <v>1461</v>
      </c>
      <c r="V5901" s="186">
        <v>45425</v>
      </c>
      <c r="W5901" s="17" t="s">
        <v>69</v>
      </c>
      <c r="Y5901" s="68">
        <v>45413</v>
      </c>
      <c r="Z5901" s="17" t="s">
        <v>191</v>
      </c>
      <c r="AA5901" s="17" t="s">
        <v>46</v>
      </c>
      <c r="AB5901" s="17" t="s">
        <v>1336</v>
      </c>
      <c r="AC5901" s="66">
        <v>45435</v>
      </c>
      <c r="AD5901" s="65">
        <v>1577</v>
      </c>
      <c r="AE5901" s="17" t="s">
        <v>74</v>
      </c>
    </row>
    <row r="5902" s="17" customFormat="1" hidden="1" spans="1:31">
      <c r="A5902" s="17" t="s">
        <v>34</v>
      </c>
      <c r="B5902" s="19">
        <v>1012</v>
      </c>
      <c r="C5902" s="183">
        <v>45423</v>
      </c>
      <c r="D5902" s="17" t="s">
        <v>52</v>
      </c>
      <c r="E5902" s="17" t="s">
        <v>1113</v>
      </c>
      <c r="F5902" s="17" t="s">
        <v>54</v>
      </c>
      <c r="H5902" s="141">
        <v>1.2311</v>
      </c>
      <c r="I5902" s="141"/>
      <c r="J5902" s="17" t="s">
        <v>82</v>
      </c>
      <c r="K5902" s="19">
        <v>305</v>
      </c>
      <c r="L5902" s="19">
        <v>40</v>
      </c>
      <c r="M5902" s="19">
        <v>2300</v>
      </c>
      <c r="N5902" s="19" t="s">
        <v>66</v>
      </c>
      <c r="O5902" s="19" t="s">
        <v>141</v>
      </c>
      <c r="P5902" s="19"/>
      <c r="Q5902" s="19">
        <v>690</v>
      </c>
      <c r="R5902" s="19">
        <f>+P5901-Q5901-Q5902</f>
        <v>-142</v>
      </c>
      <c r="S5902" s="19">
        <f>825+60</f>
        <v>885</v>
      </c>
      <c r="T5902" s="91" t="s">
        <v>42</v>
      </c>
      <c r="U5902" s="102" t="s">
        <v>1461</v>
      </c>
      <c r="V5902" s="186">
        <v>45425</v>
      </c>
      <c r="W5902" s="17" t="s">
        <v>69</v>
      </c>
      <c r="Y5902" s="68">
        <v>45413</v>
      </c>
      <c r="Z5902" s="17" t="s">
        <v>191</v>
      </c>
      <c r="AA5902" s="17" t="s">
        <v>46</v>
      </c>
      <c r="AB5902" s="17" t="s">
        <v>1345</v>
      </c>
      <c r="AC5902" s="217">
        <v>45443</v>
      </c>
      <c r="AD5902" s="65">
        <v>1580</v>
      </c>
      <c r="AE5902" s="17" t="s">
        <v>74</v>
      </c>
    </row>
    <row r="5903" s="17" customFormat="1" hidden="1" spans="1:31">
      <c r="A5903" s="17" t="s">
        <v>34</v>
      </c>
      <c r="B5903" s="19">
        <v>1012</v>
      </c>
      <c r="C5903" s="183">
        <v>45423</v>
      </c>
      <c r="D5903" s="17" t="s">
        <v>52</v>
      </c>
      <c r="E5903" s="17" t="s">
        <v>1113</v>
      </c>
      <c r="F5903" s="17" t="s">
        <v>54</v>
      </c>
      <c r="H5903" s="141">
        <v>1.2311</v>
      </c>
      <c r="I5903" s="141"/>
      <c r="J5903" s="17" t="s">
        <v>82</v>
      </c>
      <c r="K5903" s="19">
        <v>355</v>
      </c>
      <c r="L5903" s="19">
        <v>40</v>
      </c>
      <c r="M5903" s="19">
        <v>2300</v>
      </c>
      <c r="N5903" s="19" t="s">
        <v>66</v>
      </c>
      <c r="O5903" s="19" t="s">
        <v>141</v>
      </c>
      <c r="P5903" s="19">
        <v>2006</v>
      </c>
      <c r="Q5903" s="19">
        <v>269</v>
      </c>
      <c r="S5903" s="19">
        <f>825+80-20</f>
        <v>885</v>
      </c>
      <c r="T5903" s="91" t="s">
        <v>42</v>
      </c>
      <c r="U5903" s="102" t="s">
        <v>1461</v>
      </c>
      <c r="V5903" s="186">
        <v>45425</v>
      </c>
      <c r="W5903" s="17" t="s">
        <v>69</v>
      </c>
      <c r="Y5903" s="68">
        <v>45413</v>
      </c>
      <c r="Z5903" s="17" t="s">
        <v>191</v>
      </c>
      <c r="AA5903" s="17" t="s">
        <v>46</v>
      </c>
      <c r="AB5903" s="17" t="s">
        <v>1336</v>
      </c>
      <c r="AC5903" s="66">
        <v>45435</v>
      </c>
      <c r="AD5903" s="65">
        <v>1577</v>
      </c>
      <c r="AE5903" s="17" t="s">
        <v>74</v>
      </c>
    </row>
    <row r="5904" s="17" customFormat="1" hidden="1" spans="1:31">
      <c r="A5904" s="17" t="s">
        <v>34</v>
      </c>
      <c r="B5904" s="19">
        <v>1012</v>
      </c>
      <c r="C5904" s="183">
        <v>45423</v>
      </c>
      <c r="D5904" s="17" t="s">
        <v>52</v>
      </c>
      <c r="E5904" s="17" t="s">
        <v>1113</v>
      </c>
      <c r="F5904" s="17" t="s">
        <v>54</v>
      </c>
      <c r="H5904" s="141">
        <v>1.2311</v>
      </c>
      <c r="I5904" s="141"/>
      <c r="J5904" s="17" t="s">
        <v>82</v>
      </c>
      <c r="K5904" s="19">
        <v>355</v>
      </c>
      <c r="L5904" s="19">
        <v>40</v>
      </c>
      <c r="M5904" s="19">
        <v>2300</v>
      </c>
      <c r="N5904" s="19" t="s">
        <v>66</v>
      </c>
      <c r="O5904" s="19" t="s">
        <v>141</v>
      </c>
      <c r="P5904" s="19"/>
      <c r="Q5904" s="19">
        <v>1850</v>
      </c>
      <c r="R5904" s="19">
        <f>+P5903-Q5903-Q5904</f>
        <v>-113</v>
      </c>
      <c r="S5904" s="19">
        <f>825+80-20</f>
        <v>885</v>
      </c>
      <c r="T5904" s="91" t="s">
        <v>42</v>
      </c>
      <c r="U5904" s="102" t="s">
        <v>1461</v>
      </c>
      <c r="V5904" s="186">
        <v>45425</v>
      </c>
      <c r="W5904" s="17" t="s">
        <v>69</v>
      </c>
      <c r="Y5904" s="68">
        <v>45413</v>
      </c>
      <c r="Z5904" s="17" t="s">
        <v>191</v>
      </c>
      <c r="AA5904" s="17" t="s">
        <v>46</v>
      </c>
      <c r="AB5904" s="17" t="s">
        <v>1335</v>
      </c>
      <c r="AC5904" s="217">
        <v>45443</v>
      </c>
      <c r="AD5904" s="65">
        <v>1581</v>
      </c>
      <c r="AE5904" s="17" t="s">
        <v>74</v>
      </c>
    </row>
    <row r="5905" s="17" customFormat="1" hidden="1" spans="1:31">
      <c r="A5905" s="17" t="s">
        <v>34</v>
      </c>
      <c r="B5905" s="19">
        <v>1012</v>
      </c>
      <c r="C5905" s="183">
        <v>45423</v>
      </c>
      <c r="D5905" s="17" t="s">
        <v>52</v>
      </c>
      <c r="E5905" s="17" t="s">
        <v>1113</v>
      </c>
      <c r="F5905" s="17" t="s">
        <v>54</v>
      </c>
      <c r="H5905" s="141">
        <v>1.2311</v>
      </c>
      <c r="I5905" s="141"/>
      <c r="J5905" s="17" t="s">
        <v>82</v>
      </c>
      <c r="K5905" s="19">
        <v>405</v>
      </c>
      <c r="L5905" s="19">
        <v>40</v>
      </c>
      <c r="M5905" s="19">
        <v>2300</v>
      </c>
      <c r="N5905" s="19" t="s">
        <v>66</v>
      </c>
      <c r="O5905" s="19" t="s">
        <v>141</v>
      </c>
      <c r="P5905" s="19">
        <v>2289</v>
      </c>
      <c r="Q5905" s="19">
        <v>2443</v>
      </c>
      <c r="R5905" s="19">
        <f>+P5905-Q5905</f>
        <v>-154</v>
      </c>
      <c r="S5905" s="19">
        <f>825+80-20</f>
        <v>885</v>
      </c>
      <c r="T5905" s="91" t="s">
        <v>42</v>
      </c>
      <c r="U5905" s="102" t="s">
        <v>1461</v>
      </c>
      <c r="V5905" s="186">
        <v>45425</v>
      </c>
      <c r="W5905" s="17" t="s">
        <v>69</v>
      </c>
      <c r="Y5905" s="68">
        <v>45413</v>
      </c>
      <c r="Z5905" s="17" t="s">
        <v>191</v>
      </c>
      <c r="AA5905" s="17" t="s">
        <v>46</v>
      </c>
      <c r="AB5905" s="17" t="s">
        <v>1336</v>
      </c>
      <c r="AC5905" s="66">
        <v>45435</v>
      </c>
      <c r="AD5905" s="65">
        <v>1577</v>
      </c>
      <c r="AE5905" s="17" t="s">
        <v>74</v>
      </c>
    </row>
    <row r="5906" s="17" customFormat="1" hidden="1" spans="1:31">
      <c r="A5906" s="17" t="s">
        <v>34</v>
      </c>
      <c r="B5906" s="19">
        <v>1012</v>
      </c>
      <c r="C5906" s="183">
        <v>45423</v>
      </c>
      <c r="D5906" s="17" t="s">
        <v>52</v>
      </c>
      <c r="E5906" s="17" t="s">
        <v>1113</v>
      </c>
      <c r="F5906" s="17" t="s">
        <v>54</v>
      </c>
      <c r="H5906" s="141">
        <v>1.2311</v>
      </c>
      <c r="I5906" s="141"/>
      <c r="J5906" s="17" t="s">
        <v>82</v>
      </c>
      <c r="K5906" s="19">
        <v>455</v>
      </c>
      <c r="L5906" s="19">
        <v>40</v>
      </c>
      <c r="M5906" s="19">
        <v>2300</v>
      </c>
      <c r="N5906" s="19" t="s">
        <v>66</v>
      </c>
      <c r="O5906" s="19" t="s">
        <v>141</v>
      </c>
      <c r="P5906" s="19">
        <v>1929</v>
      </c>
      <c r="Q5906" s="19">
        <v>1709</v>
      </c>
      <c r="S5906" s="19">
        <f>825+80-20</f>
        <v>885</v>
      </c>
      <c r="T5906" s="91" t="s">
        <v>42</v>
      </c>
      <c r="U5906" s="102" t="s">
        <v>1461</v>
      </c>
      <c r="V5906" s="186">
        <v>45425</v>
      </c>
      <c r="W5906" s="17" t="s">
        <v>69</v>
      </c>
      <c r="Y5906" s="68">
        <v>45413</v>
      </c>
      <c r="Z5906" s="17" t="s">
        <v>191</v>
      </c>
      <c r="AA5906" s="17" t="s">
        <v>46</v>
      </c>
      <c r="AB5906" s="17" t="s">
        <v>1336</v>
      </c>
      <c r="AC5906" s="66">
        <v>45435</v>
      </c>
      <c r="AD5906" s="65">
        <v>1577</v>
      </c>
      <c r="AE5906" s="17" t="s">
        <v>74</v>
      </c>
    </row>
    <row r="5907" s="17" customFormat="1" hidden="1" spans="1:31">
      <c r="A5907" s="17" t="s">
        <v>34</v>
      </c>
      <c r="B5907" s="19">
        <v>1012</v>
      </c>
      <c r="C5907" s="183">
        <v>45423</v>
      </c>
      <c r="D5907" s="17" t="s">
        <v>52</v>
      </c>
      <c r="E5907" s="17" t="s">
        <v>1113</v>
      </c>
      <c r="F5907" s="17" t="s">
        <v>54</v>
      </c>
      <c r="H5907" s="141">
        <v>1.2311</v>
      </c>
      <c r="I5907" s="141"/>
      <c r="J5907" s="17" t="s">
        <v>82</v>
      </c>
      <c r="K5907" s="19">
        <v>455</v>
      </c>
      <c r="L5907" s="19">
        <v>40</v>
      </c>
      <c r="M5907" s="19">
        <v>2300</v>
      </c>
      <c r="N5907" s="19" t="s">
        <v>66</v>
      </c>
      <c r="O5907" s="19" t="s">
        <v>141</v>
      </c>
      <c r="P5907" s="19"/>
      <c r="Q5907" s="19">
        <v>324</v>
      </c>
      <c r="R5907" s="19">
        <f>+P5906-Q5906-Q5907</f>
        <v>-104</v>
      </c>
      <c r="S5907" s="19">
        <f>825+60</f>
        <v>885</v>
      </c>
      <c r="T5907" s="91" t="s">
        <v>42</v>
      </c>
      <c r="U5907" s="102" t="s">
        <v>1461</v>
      </c>
      <c r="V5907" s="186">
        <v>45425</v>
      </c>
      <c r="W5907" s="17" t="s">
        <v>69</v>
      </c>
      <c r="Y5907" s="68">
        <v>45413</v>
      </c>
      <c r="Z5907" s="17" t="s">
        <v>191</v>
      </c>
      <c r="AA5907" s="17" t="s">
        <v>46</v>
      </c>
      <c r="AB5907" s="17" t="s">
        <v>1345</v>
      </c>
      <c r="AC5907" s="217">
        <v>45443</v>
      </c>
      <c r="AD5907" s="65">
        <v>1580</v>
      </c>
      <c r="AE5907" s="17" t="s">
        <v>74</v>
      </c>
    </row>
    <row r="5908" s="17" customFormat="1" hidden="1" spans="1:31">
      <c r="A5908" s="17" t="s">
        <v>34</v>
      </c>
      <c r="B5908" s="19">
        <v>1012</v>
      </c>
      <c r="C5908" s="183">
        <v>45423</v>
      </c>
      <c r="D5908" s="17" t="s">
        <v>52</v>
      </c>
      <c r="E5908" s="17" t="s">
        <v>1113</v>
      </c>
      <c r="F5908" s="17" t="s">
        <v>54</v>
      </c>
      <c r="H5908" s="141">
        <v>1.2311</v>
      </c>
      <c r="I5908" s="141"/>
      <c r="J5908" s="17" t="s">
        <v>82</v>
      </c>
      <c r="K5908" s="19">
        <v>505</v>
      </c>
      <c r="L5908" s="19">
        <v>40</v>
      </c>
      <c r="M5908" s="19">
        <v>2300</v>
      </c>
      <c r="N5908" s="19" t="s">
        <v>66</v>
      </c>
      <c r="O5908" s="19" t="s">
        <v>141</v>
      </c>
      <c r="P5908" s="19">
        <v>2141</v>
      </c>
      <c r="Q5908" s="19">
        <v>2261</v>
      </c>
      <c r="R5908" s="19">
        <f>+P5908-Q5908</f>
        <v>-120</v>
      </c>
      <c r="S5908" s="19">
        <f>825+60</f>
        <v>885</v>
      </c>
      <c r="T5908" s="91" t="s">
        <v>42</v>
      </c>
      <c r="U5908" s="102" t="s">
        <v>1461</v>
      </c>
      <c r="V5908" s="186">
        <v>45425</v>
      </c>
      <c r="W5908" s="17" t="s">
        <v>69</v>
      </c>
      <c r="Y5908" s="68">
        <v>45413</v>
      </c>
      <c r="Z5908" s="17" t="s">
        <v>191</v>
      </c>
      <c r="AA5908" s="17" t="s">
        <v>46</v>
      </c>
      <c r="AB5908" s="17" t="s">
        <v>1345</v>
      </c>
      <c r="AC5908" s="217">
        <v>45443</v>
      </c>
      <c r="AD5908" s="65">
        <v>1580</v>
      </c>
      <c r="AE5908" s="17" t="s">
        <v>74</v>
      </c>
    </row>
    <row r="5909" s="17" customFormat="1" hidden="1" spans="1:31">
      <c r="A5909" s="17" t="s">
        <v>34</v>
      </c>
      <c r="B5909" s="19">
        <v>1012</v>
      </c>
      <c r="C5909" s="183">
        <v>45423</v>
      </c>
      <c r="D5909" s="17" t="s">
        <v>52</v>
      </c>
      <c r="E5909" s="17" t="s">
        <v>1113</v>
      </c>
      <c r="F5909" s="17" t="s">
        <v>54</v>
      </c>
      <c r="H5909" s="141">
        <v>1.2311</v>
      </c>
      <c r="I5909" s="141"/>
      <c r="J5909" s="17" t="s">
        <v>82</v>
      </c>
      <c r="K5909" s="19">
        <v>205</v>
      </c>
      <c r="L5909" s="19">
        <v>50</v>
      </c>
      <c r="M5909" s="19">
        <v>2300</v>
      </c>
      <c r="N5909" s="19" t="s">
        <v>66</v>
      </c>
      <c r="O5909" s="19" t="s">
        <v>141</v>
      </c>
      <c r="P5909" s="19">
        <v>2535</v>
      </c>
      <c r="Q5909" s="19">
        <v>2510</v>
      </c>
      <c r="S5909" s="19">
        <f>825+80-20</f>
        <v>885</v>
      </c>
      <c r="T5909" s="91" t="s">
        <v>42</v>
      </c>
      <c r="U5909" s="102" t="s">
        <v>1461</v>
      </c>
      <c r="V5909" s="186">
        <v>45425</v>
      </c>
      <c r="W5909" s="17" t="s">
        <v>69</v>
      </c>
      <c r="Y5909" s="68">
        <v>45413</v>
      </c>
      <c r="Z5909" s="17" t="s">
        <v>191</v>
      </c>
      <c r="AA5909" s="17" t="s">
        <v>46</v>
      </c>
      <c r="AB5909" s="17" t="s">
        <v>1336</v>
      </c>
      <c r="AC5909" s="66">
        <v>45435</v>
      </c>
      <c r="AD5909" s="65">
        <v>1577</v>
      </c>
      <c r="AE5909" s="17" t="s">
        <v>74</v>
      </c>
    </row>
    <row r="5910" s="17" customFormat="1" hidden="1" spans="1:31">
      <c r="A5910" s="17" t="s">
        <v>34</v>
      </c>
      <c r="B5910" s="19">
        <v>1012</v>
      </c>
      <c r="C5910" s="183">
        <v>45423</v>
      </c>
      <c r="D5910" s="17" t="s">
        <v>52</v>
      </c>
      <c r="E5910" s="17" t="s">
        <v>1113</v>
      </c>
      <c r="F5910" s="17" t="s">
        <v>54</v>
      </c>
      <c r="H5910" s="141">
        <v>1.2311</v>
      </c>
      <c r="I5910" s="141"/>
      <c r="J5910" s="17" t="s">
        <v>82</v>
      </c>
      <c r="K5910" s="19">
        <v>205</v>
      </c>
      <c r="L5910" s="19">
        <v>50</v>
      </c>
      <c r="M5910" s="19">
        <v>2300</v>
      </c>
      <c r="N5910" s="19" t="s">
        <v>66</v>
      </c>
      <c r="O5910" s="19" t="s">
        <v>141</v>
      </c>
      <c r="P5910" s="19"/>
      <c r="Q5910" s="19">
        <v>189</v>
      </c>
      <c r="R5910" s="19">
        <f>+P5909-Q5909-Q5910</f>
        <v>-164</v>
      </c>
      <c r="S5910" s="19">
        <f>825+80-20</f>
        <v>885</v>
      </c>
      <c r="T5910" s="91" t="s">
        <v>42</v>
      </c>
      <c r="U5910" s="102" t="s">
        <v>1461</v>
      </c>
      <c r="V5910" s="186">
        <v>45425</v>
      </c>
      <c r="W5910" s="17" t="s">
        <v>69</v>
      </c>
      <c r="Y5910" s="68">
        <v>45413</v>
      </c>
      <c r="Z5910" s="17" t="s">
        <v>191</v>
      </c>
      <c r="AA5910" s="17" t="s">
        <v>46</v>
      </c>
      <c r="AB5910" s="17" t="s">
        <v>1335</v>
      </c>
      <c r="AC5910" s="217">
        <v>45443</v>
      </c>
      <c r="AD5910" s="65">
        <v>1581</v>
      </c>
      <c r="AE5910" s="17" t="s">
        <v>74</v>
      </c>
    </row>
    <row r="5911" s="17" customFormat="1" hidden="1" spans="1:31">
      <c r="A5911" s="17" t="s">
        <v>34</v>
      </c>
      <c r="B5911" s="19">
        <v>1012</v>
      </c>
      <c r="C5911" s="183">
        <v>45423</v>
      </c>
      <c r="D5911" s="17" t="s">
        <v>52</v>
      </c>
      <c r="E5911" s="17" t="s">
        <v>1113</v>
      </c>
      <c r="F5911" s="17" t="s">
        <v>54</v>
      </c>
      <c r="H5911" s="141">
        <v>1.2311</v>
      </c>
      <c r="I5911" s="141"/>
      <c r="J5911" s="17" t="s">
        <v>82</v>
      </c>
      <c r="K5911" s="19">
        <v>255</v>
      </c>
      <c r="L5911" s="19">
        <v>50</v>
      </c>
      <c r="M5911" s="19">
        <v>2300</v>
      </c>
      <c r="N5911" s="19" t="s">
        <v>66</v>
      </c>
      <c r="O5911" s="19" t="s">
        <v>141</v>
      </c>
      <c r="P5911" s="19">
        <v>2477</v>
      </c>
      <c r="Q5911" s="19">
        <v>2639</v>
      </c>
      <c r="R5911" s="19">
        <f>+P5911-Q5911</f>
        <v>-162</v>
      </c>
      <c r="S5911" s="19">
        <f>825+80-20</f>
        <v>885</v>
      </c>
      <c r="T5911" s="91" t="s">
        <v>42</v>
      </c>
      <c r="U5911" s="102" t="s">
        <v>1461</v>
      </c>
      <c r="V5911" s="186">
        <v>45425</v>
      </c>
      <c r="W5911" s="17" t="s">
        <v>69</v>
      </c>
      <c r="Y5911" s="68">
        <v>45413</v>
      </c>
      <c r="Z5911" s="17" t="s">
        <v>191</v>
      </c>
      <c r="AA5911" s="17" t="s">
        <v>46</v>
      </c>
      <c r="AB5911" s="17" t="s">
        <v>1336</v>
      </c>
      <c r="AC5911" s="66">
        <v>45435</v>
      </c>
      <c r="AD5911" s="65">
        <v>1577</v>
      </c>
      <c r="AE5911" s="17" t="s">
        <v>74</v>
      </c>
    </row>
    <row r="5912" s="17" customFormat="1" hidden="1" spans="1:31">
      <c r="A5912" s="17" t="s">
        <v>34</v>
      </c>
      <c r="B5912" s="19">
        <v>1012</v>
      </c>
      <c r="C5912" s="183">
        <v>45423</v>
      </c>
      <c r="D5912" s="17" t="s">
        <v>52</v>
      </c>
      <c r="E5912" s="17" t="s">
        <v>1113</v>
      </c>
      <c r="F5912" s="17" t="s">
        <v>54</v>
      </c>
      <c r="H5912" s="141">
        <v>1.2311</v>
      </c>
      <c r="I5912" s="141"/>
      <c r="J5912" s="17" t="s">
        <v>82</v>
      </c>
      <c r="K5912" s="19">
        <v>305</v>
      </c>
      <c r="L5912" s="19">
        <v>50</v>
      </c>
      <c r="M5912" s="19">
        <v>2300</v>
      </c>
      <c r="N5912" s="19" t="s">
        <v>66</v>
      </c>
      <c r="O5912" s="19" t="s">
        <v>141</v>
      </c>
      <c r="P5912" s="19">
        <v>2424</v>
      </c>
      <c r="Q5912" s="19">
        <v>1713</v>
      </c>
      <c r="S5912" s="19">
        <f>825+80-20</f>
        <v>885</v>
      </c>
      <c r="T5912" s="91" t="s">
        <v>42</v>
      </c>
      <c r="U5912" s="102" t="s">
        <v>1461</v>
      </c>
      <c r="V5912" s="186">
        <v>45425</v>
      </c>
      <c r="W5912" s="17" t="s">
        <v>69</v>
      </c>
      <c r="Y5912" s="68">
        <v>45413</v>
      </c>
      <c r="Z5912" s="17" t="s">
        <v>191</v>
      </c>
      <c r="AA5912" s="17" t="s">
        <v>46</v>
      </c>
      <c r="AB5912" s="17" t="s">
        <v>1336</v>
      </c>
      <c r="AC5912" s="66">
        <v>45435</v>
      </c>
      <c r="AD5912" s="65">
        <v>1577</v>
      </c>
      <c r="AE5912" s="17" t="s">
        <v>74</v>
      </c>
    </row>
    <row r="5913" s="17" customFormat="1" hidden="1" spans="1:31">
      <c r="A5913" s="17" t="s">
        <v>34</v>
      </c>
      <c r="B5913" s="19">
        <v>1012</v>
      </c>
      <c r="C5913" s="183">
        <v>45423</v>
      </c>
      <c r="D5913" s="17" t="s">
        <v>52</v>
      </c>
      <c r="E5913" s="17" t="s">
        <v>1113</v>
      </c>
      <c r="F5913" s="17" t="s">
        <v>54</v>
      </c>
      <c r="H5913" s="141">
        <v>1.2311</v>
      </c>
      <c r="I5913" s="141"/>
      <c r="J5913" s="17" t="s">
        <v>82</v>
      </c>
      <c r="K5913" s="19">
        <v>305</v>
      </c>
      <c r="L5913" s="19">
        <v>50</v>
      </c>
      <c r="M5913" s="19">
        <v>2300</v>
      </c>
      <c r="N5913" s="19" t="s">
        <v>66</v>
      </c>
      <c r="O5913" s="19" t="s">
        <v>141</v>
      </c>
      <c r="P5913" s="19"/>
      <c r="Q5913" s="19">
        <v>853</v>
      </c>
      <c r="R5913" s="19">
        <f>+P5912-Q5912-Q5913</f>
        <v>-142</v>
      </c>
      <c r="S5913" s="19">
        <f>825+60</f>
        <v>885</v>
      </c>
      <c r="T5913" s="91" t="s">
        <v>42</v>
      </c>
      <c r="U5913" s="102" t="s">
        <v>1461</v>
      </c>
      <c r="V5913" s="186">
        <v>45425</v>
      </c>
      <c r="W5913" s="17" t="s">
        <v>69</v>
      </c>
      <c r="Y5913" s="68">
        <v>45413</v>
      </c>
      <c r="Z5913" s="17" t="s">
        <v>191</v>
      </c>
      <c r="AA5913" s="17" t="s">
        <v>46</v>
      </c>
      <c r="AB5913" s="17" t="s">
        <v>1345</v>
      </c>
      <c r="AC5913" s="217">
        <v>45443</v>
      </c>
      <c r="AD5913" s="65">
        <v>1580</v>
      </c>
      <c r="AE5913" s="17" t="s">
        <v>74</v>
      </c>
    </row>
    <row r="5914" s="17" customFormat="1" hidden="1" spans="1:31">
      <c r="A5914" s="17" t="s">
        <v>34</v>
      </c>
      <c r="B5914" s="19">
        <v>1012</v>
      </c>
      <c r="C5914" s="183">
        <v>45423</v>
      </c>
      <c r="D5914" s="17" t="s">
        <v>52</v>
      </c>
      <c r="E5914" s="17" t="s">
        <v>1113</v>
      </c>
      <c r="F5914" s="17" t="s">
        <v>54</v>
      </c>
      <c r="H5914" s="141">
        <v>1.2311</v>
      </c>
      <c r="I5914" s="141"/>
      <c r="J5914" s="17" t="s">
        <v>82</v>
      </c>
      <c r="K5914" s="19">
        <v>355</v>
      </c>
      <c r="L5914" s="19">
        <v>50</v>
      </c>
      <c r="M5914" s="19">
        <v>2300</v>
      </c>
      <c r="N5914" s="19" t="s">
        <v>66</v>
      </c>
      <c r="O5914" s="19" t="s">
        <v>141</v>
      </c>
      <c r="P5914" s="19">
        <v>2508</v>
      </c>
      <c r="Q5914" s="19">
        <v>2671</v>
      </c>
      <c r="R5914" s="19">
        <f>+P5914-Q5914</f>
        <v>-163</v>
      </c>
      <c r="S5914" s="19">
        <f>825+80-20</f>
        <v>885</v>
      </c>
      <c r="T5914" s="91" t="s">
        <v>42</v>
      </c>
      <c r="U5914" s="102" t="s">
        <v>1461</v>
      </c>
      <c r="V5914" s="186">
        <v>45425</v>
      </c>
      <c r="W5914" s="17" t="s">
        <v>69</v>
      </c>
      <c r="Y5914" s="68">
        <v>45413</v>
      </c>
      <c r="Z5914" s="17" t="s">
        <v>191</v>
      </c>
      <c r="AA5914" s="17" t="s">
        <v>46</v>
      </c>
      <c r="AB5914" s="17" t="s">
        <v>1336</v>
      </c>
      <c r="AC5914" s="66">
        <v>45435</v>
      </c>
      <c r="AD5914" s="65">
        <v>1577</v>
      </c>
      <c r="AE5914" s="17" t="s">
        <v>74</v>
      </c>
    </row>
    <row r="5915" s="17" customFormat="1" hidden="1" spans="1:31">
      <c r="A5915" s="17" t="s">
        <v>34</v>
      </c>
      <c r="B5915" s="19">
        <v>1012</v>
      </c>
      <c r="C5915" s="183">
        <v>45423</v>
      </c>
      <c r="D5915" s="17" t="s">
        <v>52</v>
      </c>
      <c r="E5915" s="17" t="s">
        <v>1113</v>
      </c>
      <c r="F5915" s="17" t="s">
        <v>54</v>
      </c>
      <c r="H5915" s="141">
        <v>1.2311</v>
      </c>
      <c r="I5915" s="141"/>
      <c r="J5915" s="17" t="s">
        <v>82</v>
      </c>
      <c r="K5915" s="19">
        <v>405</v>
      </c>
      <c r="L5915" s="19">
        <v>50</v>
      </c>
      <c r="M5915" s="19">
        <v>2300</v>
      </c>
      <c r="N5915" s="19" t="s">
        <v>66</v>
      </c>
      <c r="O5915" s="19" t="s">
        <v>141</v>
      </c>
      <c r="P5915" s="19">
        <v>2504</v>
      </c>
      <c r="Q5915" s="19">
        <v>2657</v>
      </c>
      <c r="R5915" s="19">
        <f>+P5915-Q5915</f>
        <v>-153</v>
      </c>
      <c r="S5915" s="19">
        <f>825+80-20</f>
        <v>885</v>
      </c>
      <c r="T5915" s="91" t="s">
        <v>42</v>
      </c>
      <c r="U5915" s="102" t="s">
        <v>1461</v>
      </c>
      <c r="V5915" s="186">
        <v>45425</v>
      </c>
      <c r="W5915" s="17" t="s">
        <v>69</v>
      </c>
      <c r="Y5915" s="68">
        <v>45413</v>
      </c>
      <c r="Z5915" s="17" t="s">
        <v>191</v>
      </c>
      <c r="AA5915" s="17" t="s">
        <v>46</v>
      </c>
      <c r="AB5915" s="17" t="s">
        <v>1336</v>
      </c>
      <c r="AC5915" s="66">
        <v>45435</v>
      </c>
      <c r="AD5915" s="65">
        <v>1577</v>
      </c>
      <c r="AE5915" s="17" t="s">
        <v>74</v>
      </c>
    </row>
    <row r="5916" s="17" customFormat="1" hidden="1" spans="1:31">
      <c r="A5916" s="17" t="s">
        <v>34</v>
      </c>
      <c r="B5916" s="19">
        <v>1012</v>
      </c>
      <c r="C5916" s="183">
        <v>45423</v>
      </c>
      <c r="D5916" s="17" t="s">
        <v>52</v>
      </c>
      <c r="E5916" s="17" t="s">
        <v>1113</v>
      </c>
      <c r="F5916" s="17" t="s">
        <v>54</v>
      </c>
      <c r="H5916" s="141">
        <v>1.2311</v>
      </c>
      <c r="I5916" s="141"/>
      <c r="J5916" s="17" t="s">
        <v>82</v>
      </c>
      <c r="K5916" s="19">
        <v>455</v>
      </c>
      <c r="L5916" s="19">
        <v>50</v>
      </c>
      <c r="M5916" s="19">
        <v>2300</v>
      </c>
      <c r="N5916" s="19" t="s">
        <v>66</v>
      </c>
      <c r="O5916" s="19" t="s">
        <v>141</v>
      </c>
      <c r="P5916" s="19">
        <v>2813</v>
      </c>
      <c r="Q5916" s="19">
        <v>2538</v>
      </c>
      <c r="S5916" s="19">
        <f>825+80-20</f>
        <v>885</v>
      </c>
      <c r="T5916" s="91" t="s">
        <v>42</v>
      </c>
      <c r="U5916" s="102" t="s">
        <v>1461</v>
      </c>
      <c r="V5916" s="186">
        <v>45425</v>
      </c>
      <c r="W5916" s="17" t="s">
        <v>69</v>
      </c>
      <c r="Y5916" s="68">
        <v>45413</v>
      </c>
      <c r="Z5916" s="17" t="s">
        <v>191</v>
      </c>
      <c r="AA5916" s="17" t="s">
        <v>46</v>
      </c>
      <c r="AB5916" s="17" t="s">
        <v>1336</v>
      </c>
      <c r="AC5916" s="66">
        <v>45435</v>
      </c>
      <c r="AD5916" s="65">
        <v>1577</v>
      </c>
      <c r="AE5916" s="17" t="s">
        <v>74</v>
      </c>
    </row>
    <row r="5917" s="17" customFormat="1" hidden="1" spans="1:31">
      <c r="A5917" s="17" t="s">
        <v>34</v>
      </c>
      <c r="B5917" s="19">
        <v>1012</v>
      </c>
      <c r="C5917" s="183">
        <v>45423</v>
      </c>
      <c r="D5917" s="17" t="s">
        <v>52</v>
      </c>
      <c r="E5917" s="17" t="s">
        <v>1113</v>
      </c>
      <c r="F5917" s="17" t="s">
        <v>54</v>
      </c>
      <c r="H5917" s="141">
        <v>1.2311</v>
      </c>
      <c r="I5917" s="141"/>
      <c r="J5917" s="17" t="s">
        <v>82</v>
      </c>
      <c r="K5917" s="19">
        <v>455</v>
      </c>
      <c r="L5917" s="19">
        <v>50</v>
      </c>
      <c r="M5917" s="19">
        <v>2300</v>
      </c>
      <c r="N5917" s="19" t="s">
        <v>66</v>
      </c>
      <c r="O5917" s="19" t="s">
        <v>141</v>
      </c>
      <c r="P5917" s="19"/>
      <c r="Q5917" s="19">
        <v>418</v>
      </c>
      <c r="R5917" s="19">
        <f>+P5916-Q5916-Q5917</f>
        <v>-143</v>
      </c>
      <c r="S5917" s="19">
        <f>825+60</f>
        <v>885</v>
      </c>
      <c r="T5917" s="91" t="s">
        <v>42</v>
      </c>
      <c r="U5917" s="102" t="s">
        <v>1461</v>
      </c>
      <c r="V5917" s="186">
        <v>45425</v>
      </c>
      <c r="W5917" s="17" t="s">
        <v>69</v>
      </c>
      <c r="Y5917" s="68">
        <v>45413</v>
      </c>
      <c r="Z5917" s="17" t="s">
        <v>191</v>
      </c>
      <c r="AA5917" s="17" t="s">
        <v>46</v>
      </c>
      <c r="AB5917" s="17" t="s">
        <v>1345</v>
      </c>
      <c r="AC5917" s="217">
        <v>45443</v>
      </c>
      <c r="AD5917" s="65">
        <v>1580</v>
      </c>
      <c r="AE5917" s="17" t="s">
        <v>74</v>
      </c>
    </row>
    <row r="5918" s="17" customFormat="1" hidden="1" spans="1:31">
      <c r="A5918" s="17" t="s">
        <v>34</v>
      </c>
      <c r="B5918" s="19">
        <v>1012</v>
      </c>
      <c r="C5918" s="183">
        <v>45423</v>
      </c>
      <c r="D5918" s="17" t="s">
        <v>52</v>
      </c>
      <c r="E5918" s="17" t="s">
        <v>1113</v>
      </c>
      <c r="F5918" s="17" t="s">
        <v>54</v>
      </c>
      <c r="H5918" s="141">
        <v>1.2311</v>
      </c>
      <c r="I5918" s="141"/>
      <c r="J5918" s="17" t="s">
        <v>82</v>
      </c>
      <c r="K5918" s="19">
        <v>505</v>
      </c>
      <c r="L5918" s="19">
        <v>50</v>
      </c>
      <c r="M5918" s="19">
        <v>2300</v>
      </c>
      <c r="N5918" s="19" t="s">
        <v>66</v>
      </c>
      <c r="O5918" s="19" t="s">
        <v>141</v>
      </c>
      <c r="P5918" s="19">
        <v>2676</v>
      </c>
      <c r="Q5918" s="19">
        <v>2820</v>
      </c>
      <c r="R5918" s="19">
        <f>+P5918-Q5918</f>
        <v>-144</v>
      </c>
      <c r="S5918" s="19">
        <f>825+60</f>
        <v>885</v>
      </c>
      <c r="T5918" s="91" t="s">
        <v>42</v>
      </c>
      <c r="U5918" s="102" t="s">
        <v>1461</v>
      </c>
      <c r="V5918" s="186">
        <v>45425</v>
      </c>
      <c r="W5918" s="17" t="s">
        <v>69</v>
      </c>
      <c r="Y5918" s="68">
        <v>45413</v>
      </c>
      <c r="Z5918" s="17" t="s">
        <v>191</v>
      </c>
      <c r="AA5918" s="17" t="s">
        <v>46</v>
      </c>
      <c r="AB5918" s="17" t="s">
        <v>1345</v>
      </c>
      <c r="AC5918" s="217">
        <v>45443</v>
      </c>
      <c r="AD5918" s="65">
        <v>1580</v>
      </c>
      <c r="AE5918" s="17" t="s">
        <v>74</v>
      </c>
    </row>
    <row r="5919" s="17" customFormat="1" hidden="1" spans="1:31">
      <c r="A5919" s="17" t="s">
        <v>34</v>
      </c>
      <c r="B5919" s="19">
        <v>1012</v>
      </c>
      <c r="C5919" s="183">
        <v>45423</v>
      </c>
      <c r="D5919" s="17" t="s">
        <v>52</v>
      </c>
      <c r="E5919" s="17" t="s">
        <v>1113</v>
      </c>
      <c r="F5919" s="17" t="s">
        <v>54</v>
      </c>
      <c r="H5919" s="141">
        <v>1.2311</v>
      </c>
      <c r="I5919" s="141"/>
      <c r="J5919" s="17" t="s">
        <v>82</v>
      </c>
      <c r="K5919" s="19">
        <v>510</v>
      </c>
      <c r="L5919" s="19">
        <v>50</v>
      </c>
      <c r="M5919" s="19">
        <v>2300</v>
      </c>
      <c r="N5919" s="19" t="s">
        <v>66</v>
      </c>
      <c r="O5919" s="19" t="s">
        <v>141</v>
      </c>
      <c r="P5919" s="19">
        <v>4954</v>
      </c>
      <c r="Q5919" s="19">
        <v>2827</v>
      </c>
      <c r="S5919" s="19">
        <f>825+80-20</f>
        <v>885</v>
      </c>
      <c r="T5919" s="91" t="s">
        <v>42</v>
      </c>
      <c r="U5919" s="102" t="s">
        <v>1461</v>
      </c>
      <c r="V5919" s="186">
        <v>45425</v>
      </c>
      <c r="W5919" s="17" t="s">
        <v>69</v>
      </c>
      <c r="Y5919" s="68">
        <v>45413</v>
      </c>
      <c r="Z5919" s="17" t="s">
        <v>191</v>
      </c>
      <c r="AA5919" s="17" t="s">
        <v>46</v>
      </c>
      <c r="AB5919" s="17" t="s">
        <v>1336</v>
      </c>
      <c r="AC5919" s="66">
        <v>45435</v>
      </c>
      <c r="AD5919" s="65">
        <v>1577</v>
      </c>
      <c r="AE5919" s="17" t="s">
        <v>74</v>
      </c>
    </row>
    <row r="5920" s="17" customFormat="1" hidden="1" spans="1:31">
      <c r="A5920" s="17" t="s">
        <v>34</v>
      </c>
      <c r="B5920" s="19">
        <v>1012</v>
      </c>
      <c r="C5920" s="183">
        <v>45423</v>
      </c>
      <c r="D5920" s="17" t="s">
        <v>52</v>
      </c>
      <c r="E5920" s="17" t="s">
        <v>1113</v>
      </c>
      <c r="F5920" s="17" t="s">
        <v>54</v>
      </c>
      <c r="H5920" s="141">
        <v>1.2311</v>
      </c>
      <c r="I5920" s="141"/>
      <c r="J5920" s="17" t="s">
        <v>82</v>
      </c>
      <c r="K5920" s="19">
        <v>510</v>
      </c>
      <c r="L5920" s="19">
        <v>50</v>
      </c>
      <c r="M5920" s="19">
        <v>2300</v>
      </c>
      <c r="N5920" s="19" t="s">
        <v>66</v>
      </c>
      <c r="O5920" s="19" t="s">
        <v>141</v>
      </c>
      <c r="P5920" s="19"/>
      <c r="Q5920" s="19">
        <v>481</v>
      </c>
      <c r="S5920" s="19">
        <f>825+60</f>
        <v>885</v>
      </c>
      <c r="T5920" s="91" t="s">
        <v>42</v>
      </c>
      <c r="U5920" s="102" t="s">
        <v>1461</v>
      </c>
      <c r="V5920" s="186">
        <v>45425</v>
      </c>
      <c r="W5920" s="17" t="s">
        <v>69</v>
      </c>
      <c r="Y5920" s="68">
        <v>45413</v>
      </c>
      <c r="Z5920" s="17" t="s">
        <v>191</v>
      </c>
      <c r="AA5920" s="17" t="s">
        <v>46</v>
      </c>
      <c r="AB5920" s="17" t="s">
        <v>1345</v>
      </c>
      <c r="AC5920" s="217">
        <v>45443</v>
      </c>
      <c r="AD5920" s="65">
        <v>1580</v>
      </c>
      <c r="AE5920" s="17" t="s">
        <v>74</v>
      </c>
    </row>
    <row r="5921" s="17" customFormat="1" hidden="1" spans="1:31">
      <c r="A5921" s="17" t="s">
        <v>34</v>
      </c>
      <c r="B5921" s="19">
        <v>1012</v>
      </c>
      <c r="C5921" s="183">
        <v>45423</v>
      </c>
      <c r="D5921" s="17" t="s">
        <v>52</v>
      </c>
      <c r="E5921" s="17" t="s">
        <v>1113</v>
      </c>
      <c r="F5921" s="17" t="s">
        <v>54</v>
      </c>
      <c r="H5921" s="141">
        <v>1.2311</v>
      </c>
      <c r="I5921" s="141"/>
      <c r="J5921" s="17" t="s">
        <v>82</v>
      </c>
      <c r="K5921" s="19">
        <v>510</v>
      </c>
      <c r="L5921" s="19">
        <v>50</v>
      </c>
      <c r="M5921" s="19">
        <v>2300</v>
      </c>
      <c r="N5921" s="19" t="s">
        <v>66</v>
      </c>
      <c r="O5921" s="19" t="s">
        <v>141</v>
      </c>
      <c r="P5921" s="19"/>
      <c r="Q5921" s="19">
        <v>470</v>
      </c>
      <c r="S5921" s="19">
        <f>825+80-20</f>
        <v>885</v>
      </c>
      <c r="T5921" s="91" t="s">
        <v>42</v>
      </c>
      <c r="U5921" s="102" t="s">
        <v>1461</v>
      </c>
      <c r="V5921" s="186">
        <v>45425</v>
      </c>
      <c r="W5921" s="17" t="s">
        <v>69</v>
      </c>
      <c r="Y5921" s="68">
        <v>45413</v>
      </c>
      <c r="Z5921" s="17" t="s">
        <v>191</v>
      </c>
      <c r="AA5921" s="17" t="s">
        <v>46</v>
      </c>
      <c r="AB5921" s="17" t="s">
        <v>1335</v>
      </c>
      <c r="AC5921" s="217">
        <v>45443</v>
      </c>
      <c r="AD5921" s="65">
        <v>1581</v>
      </c>
      <c r="AE5921" s="17" t="s">
        <v>74</v>
      </c>
    </row>
    <row r="5922" s="17" customFormat="1" hidden="1" spans="1:31">
      <c r="A5922" s="17" t="s">
        <v>34</v>
      </c>
      <c r="B5922" s="19">
        <v>1012</v>
      </c>
      <c r="C5922" s="183">
        <v>45423</v>
      </c>
      <c r="D5922" s="17" t="s">
        <v>52</v>
      </c>
      <c r="E5922" s="17" t="s">
        <v>1113</v>
      </c>
      <c r="F5922" s="17" t="s">
        <v>54</v>
      </c>
      <c r="H5922" s="141">
        <v>1.2311</v>
      </c>
      <c r="I5922" s="141"/>
      <c r="J5922" s="17" t="s">
        <v>82</v>
      </c>
      <c r="K5922" s="19">
        <v>510</v>
      </c>
      <c r="L5922" s="19">
        <v>50</v>
      </c>
      <c r="M5922" s="19">
        <v>2300</v>
      </c>
      <c r="N5922" s="19" t="s">
        <v>66</v>
      </c>
      <c r="O5922" s="19" t="s">
        <v>141</v>
      </c>
      <c r="P5922" s="19"/>
      <c r="Q5922" s="146">
        <v>1385</v>
      </c>
      <c r="R5922" s="19">
        <f>+P5919-Q5919-Q5920-Q5921-Q5922</f>
        <v>-209</v>
      </c>
      <c r="S5922" s="19">
        <f>825+80</f>
        <v>905</v>
      </c>
      <c r="T5922" s="91" t="s">
        <v>42</v>
      </c>
      <c r="U5922" s="102" t="s">
        <v>1461</v>
      </c>
      <c r="V5922" s="186">
        <v>45425</v>
      </c>
      <c r="W5922" s="17" t="s">
        <v>69</v>
      </c>
      <c r="Y5922" s="68">
        <v>45413</v>
      </c>
      <c r="Z5922" s="17" t="s">
        <v>191</v>
      </c>
      <c r="AA5922" s="17" t="s">
        <v>46</v>
      </c>
      <c r="AB5922" s="17" t="s">
        <v>1340</v>
      </c>
      <c r="AC5922" s="217">
        <v>45498</v>
      </c>
      <c r="AD5922" s="65">
        <v>1603</v>
      </c>
      <c r="AE5922" s="17" t="s">
        <v>74</v>
      </c>
    </row>
    <row r="5923" s="17" customFormat="1" hidden="1" spans="1:31">
      <c r="A5923" s="17" t="s">
        <v>34</v>
      </c>
      <c r="B5923" s="19">
        <v>1012</v>
      </c>
      <c r="C5923" s="183">
        <v>45423</v>
      </c>
      <c r="D5923" s="17" t="s">
        <v>52</v>
      </c>
      <c r="E5923" s="17" t="s">
        <v>1113</v>
      </c>
      <c r="F5923" s="17" t="s">
        <v>54</v>
      </c>
      <c r="H5923" s="141">
        <v>1.2311</v>
      </c>
      <c r="I5923" s="141"/>
      <c r="J5923" s="17" t="s">
        <v>82</v>
      </c>
      <c r="K5923" s="19">
        <v>205</v>
      </c>
      <c r="L5923" s="19">
        <v>65</v>
      </c>
      <c r="M5923" s="19">
        <v>2300</v>
      </c>
      <c r="N5923" s="19" t="s">
        <v>66</v>
      </c>
      <c r="O5923" s="19" t="s">
        <v>141</v>
      </c>
      <c r="P5923" s="19">
        <v>2118</v>
      </c>
      <c r="Q5923" s="19">
        <v>2276</v>
      </c>
      <c r="R5923" s="19">
        <f>+P5923-Q5923</f>
        <v>-158</v>
      </c>
      <c r="S5923" s="19">
        <f>825+80-20</f>
        <v>885</v>
      </c>
      <c r="T5923" s="91" t="s">
        <v>42</v>
      </c>
      <c r="U5923" s="102" t="s">
        <v>1461</v>
      </c>
      <c r="V5923" s="186">
        <v>45425</v>
      </c>
      <c r="W5923" s="17" t="s">
        <v>69</v>
      </c>
      <c r="Y5923" s="68">
        <v>45413</v>
      </c>
      <c r="Z5923" s="17" t="s">
        <v>191</v>
      </c>
      <c r="AA5923" s="17" t="s">
        <v>46</v>
      </c>
      <c r="AB5923" s="17" t="s">
        <v>1335</v>
      </c>
      <c r="AC5923" s="217">
        <v>45443</v>
      </c>
      <c r="AD5923" s="65">
        <v>1581</v>
      </c>
      <c r="AE5923" s="17" t="s">
        <v>74</v>
      </c>
    </row>
    <row r="5924" s="17" customFormat="1" hidden="1" spans="1:31">
      <c r="A5924" s="17" t="s">
        <v>34</v>
      </c>
      <c r="B5924" s="19">
        <v>1012</v>
      </c>
      <c r="C5924" s="183">
        <v>45423</v>
      </c>
      <c r="D5924" s="17" t="s">
        <v>52</v>
      </c>
      <c r="E5924" s="17" t="s">
        <v>1113</v>
      </c>
      <c r="F5924" s="17" t="s">
        <v>54</v>
      </c>
      <c r="H5924" s="141">
        <v>1.2311</v>
      </c>
      <c r="I5924" s="141"/>
      <c r="J5924" s="17" t="s">
        <v>82</v>
      </c>
      <c r="K5924" s="19">
        <v>255</v>
      </c>
      <c r="L5924" s="19">
        <v>65</v>
      </c>
      <c r="M5924" s="19">
        <v>2300</v>
      </c>
      <c r="N5924" s="19" t="s">
        <v>66</v>
      </c>
      <c r="O5924" s="19" t="s">
        <v>141</v>
      </c>
      <c r="P5924" s="19">
        <v>2049</v>
      </c>
      <c r="Q5924" s="19">
        <v>929</v>
      </c>
      <c r="S5924" s="19">
        <f>825+80-20</f>
        <v>885</v>
      </c>
      <c r="T5924" s="91" t="s">
        <v>42</v>
      </c>
      <c r="U5924" s="102" t="s">
        <v>1461</v>
      </c>
      <c r="V5924" s="186">
        <v>45425</v>
      </c>
      <c r="W5924" s="17" t="s">
        <v>69</v>
      </c>
      <c r="Y5924" s="68">
        <v>45413</v>
      </c>
      <c r="Z5924" s="17" t="s">
        <v>191</v>
      </c>
      <c r="AA5924" s="17" t="s">
        <v>46</v>
      </c>
      <c r="AB5924" s="17" t="s">
        <v>1336</v>
      </c>
      <c r="AC5924" s="66">
        <v>45435</v>
      </c>
      <c r="AD5924" s="65">
        <v>1577</v>
      </c>
      <c r="AE5924" s="17" t="s">
        <v>74</v>
      </c>
    </row>
    <row r="5925" s="17" customFormat="1" hidden="1" spans="1:31">
      <c r="A5925" s="17" t="s">
        <v>34</v>
      </c>
      <c r="B5925" s="19">
        <v>1012</v>
      </c>
      <c r="C5925" s="183">
        <v>45423</v>
      </c>
      <c r="D5925" s="17" t="s">
        <v>52</v>
      </c>
      <c r="E5925" s="17" t="s">
        <v>1113</v>
      </c>
      <c r="F5925" s="17" t="s">
        <v>54</v>
      </c>
      <c r="H5925" s="141">
        <v>1.2311</v>
      </c>
      <c r="I5925" s="141"/>
      <c r="J5925" s="17" t="s">
        <v>82</v>
      </c>
      <c r="K5925" s="19">
        <v>255</v>
      </c>
      <c r="L5925" s="19">
        <v>65</v>
      </c>
      <c r="M5925" s="19">
        <v>2300</v>
      </c>
      <c r="N5925" s="19" t="s">
        <v>66</v>
      </c>
      <c r="O5925" s="19" t="s">
        <v>141</v>
      </c>
      <c r="P5925" s="19"/>
      <c r="Q5925" s="19">
        <v>1241</v>
      </c>
      <c r="R5925" s="19">
        <f>+P5924-Q5924-Q5925</f>
        <v>-121</v>
      </c>
      <c r="S5925" s="19">
        <f>825+80-20</f>
        <v>885</v>
      </c>
      <c r="T5925" s="91" t="s">
        <v>42</v>
      </c>
      <c r="U5925" s="102" t="s">
        <v>1461</v>
      </c>
      <c r="V5925" s="186">
        <v>45425</v>
      </c>
      <c r="W5925" s="17" t="s">
        <v>69</v>
      </c>
      <c r="Y5925" s="68">
        <v>45413</v>
      </c>
      <c r="Z5925" s="17" t="s">
        <v>191</v>
      </c>
      <c r="AA5925" s="17" t="s">
        <v>46</v>
      </c>
      <c r="AB5925" s="17" t="s">
        <v>1335</v>
      </c>
      <c r="AC5925" s="217">
        <v>45443</v>
      </c>
      <c r="AD5925" s="65">
        <v>1581</v>
      </c>
      <c r="AE5925" s="17" t="s">
        <v>74</v>
      </c>
    </row>
    <row r="5926" s="17" customFormat="1" hidden="1" spans="1:31">
      <c r="A5926" s="17" t="s">
        <v>34</v>
      </c>
      <c r="B5926" s="19">
        <v>1012</v>
      </c>
      <c r="C5926" s="183">
        <v>45423</v>
      </c>
      <c r="D5926" s="17" t="s">
        <v>52</v>
      </c>
      <c r="E5926" s="17" t="s">
        <v>1113</v>
      </c>
      <c r="F5926" s="17" t="s">
        <v>54</v>
      </c>
      <c r="H5926" s="141">
        <v>1.2311</v>
      </c>
      <c r="I5926" s="141"/>
      <c r="J5926" s="17" t="s">
        <v>82</v>
      </c>
      <c r="K5926" s="19">
        <v>305</v>
      </c>
      <c r="L5926" s="19">
        <v>65</v>
      </c>
      <c r="M5926" s="19">
        <v>2300</v>
      </c>
      <c r="N5926" s="19" t="s">
        <v>66</v>
      </c>
      <c r="O5926" s="19" t="s">
        <v>141</v>
      </c>
      <c r="P5926" s="19">
        <v>2101</v>
      </c>
      <c r="Q5926" s="19">
        <v>1113</v>
      </c>
      <c r="S5926" s="19">
        <f>825+80-20</f>
        <v>885</v>
      </c>
      <c r="T5926" s="91" t="s">
        <v>42</v>
      </c>
      <c r="U5926" s="102" t="s">
        <v>1461</v>
      </c>
      <c r="V5926" s="186">
        <v>45425</v>
      </c>
      <c r="W5926" s="17" t="s">
        <v>69</v>
      </c>
      <c r="Y5926" s="68">
        <v>45413</v>
      </c>
      <c r="Z5926" s="17" t="s">
        <v>191</v>
      </c>
      <c r="AA5926" s="17" t="s">
        <v>46</v>
      </c>
      <c r="AB5926" s="17" t="s">
        <v>1336</v>
      </c>
      <c r="AC5926" s="66">
        <v>45435</v>
      </c>
      <c r="AD5926" s="65">
        <v>1577</v>
      </c>
      <c r="AE5926" s="17" t="s">
        <v>74</v>
      </c>
    </row>
    <row r="5927" s="17" customFormat="1" hidden="1" spans="1:31">
      <c r="A5927" s="17" t="s">
        <v>34</v>
      </c>
      <c r="B5927" s="19">
        <v>1012</v>
      </c>
      <c r="C5927" s="183">
        <v>45423</v>
      </c>
      <c r="D5927" s="17" t="s">
        <v>52</v>
      </c>
      <c r="E5927" s="17" t="s">
        <v>1113</v>
      </c>
      <c r="F5927" s="17" t="s">
        <v>54</v>
      </c>
      <c r="H5927" s="141">
        <v>1.2311</v>
      </c>
      <c r="I5927" s="141"/>
      <c r="J5927" s="17" t="s">
        <v>82</v>
      </c>
      <c r="K5927" s="19">
        <v>305</v>
      </c>
      <c r="L5927" s="19">
        <v>65</v>
      </c>
      <c r="M5927" s="19">
        <v>2300</v>
      </c>
      <c r="N5927" s="19" t="s">
        <v>66</v>
      </c>
      <c r="O5927" s="19" t="s">
        <v>141</v>
      </c>
      <c r="P5927" s="19"/>
      <c r="Q5927" s="19">
        <v>1110</v>
      </c>
      <c r="R5927" s="19">
        <f>+P5926-Q5926-Q5927</f>
        <v>-122</v>
      </c>
      <c r="S5927" s="19">
        <f>865-70+80-20</f>
        <v>855</v>
      </c>
      <c r="T5927" s="91" t="s">
        <v>42</v>
      </c>
      <c r="U5927" s="102" t="s">
        <v>1461</v>
      </c>
      <c r="V5927" s="186">
        <v>45425</v>
      </c>
      <c r="W5927" s="17" t="s">
        <v>69</v>
      </c>
      <c r="Y5927" s="68">
        <v>45413</v>
      </c>
      <c r="Z5927" s="17" t="s">
        <v>191</v>
      </c>
      <c r="AA5927" s="17" t="s">
        <v>46</v>
      </c>
      <c r="AB5927" s="17" t="s">
        <v>1345</v>
      </c>
      <c r="AC5927" s="217">
        <v>45443</v>
      </c>
      <c r="AD5927" s="65">
        <v>1580</v>
      </c>
      <c r="AE5927" s="17" t="s">
        <v>74</v>
      </c>
    </row>
    <row r="5928" s="17" customFormat="1" hidden="1" spans="1:31">
      <c r="A5928" s="17" t="s">
        <v>34</v>
      </c>
      <c r="B5928" s="19">
        <v>1012</v>
      </c>
      <c r="C5928" s="183">
        <v>45423</v>
      </c>
      <c r="D5928" s="17" t="s">
        <v>52</v>
      </c>
      <c r="E5928" s="17" t="s">
        <v>1113</v>
      </c>
      <c r="F5928" s="17" t="s">
        <v>54</v>
      </c>
      <c r="H5928" s="141">
        <v>1.2311</v>
      </c>
      <c r="I5928" s="141"/>
      <c r="J5928" s="17" t="s">
        <v>82</v>
      </c>
      <c r="K5928" s="19">
        <v>355</v>
      </c>
      <c r="L5928" s="19">
        <v>65</v>
      </c>
      <c r="M5928" s="19">
        <v>2300</v>
      </c>
      <c r="N5928" s="19" t="s">
        <v>66</v>
      </c>
      <c r="O5928" s="19" t="s">
        <v>141</v>
      </c>
      <c r="P5928" s="19">
        <v>2038</v>
      </c>
      <c r="Q5928" s="19">
        <v>1290</v>
      </c>
      <c r="S5928" s="19">
        <f>825+80-20</f>
        <v>885</v>
      </c>
      <c r="T5928" s="91" t="s">
        <v>42</v>
      </c>
      <c r="U5928" s="102" t="s">
        <v>1461</v>
      </c>
      <c r="V5928" s="186">
        <v>45425</v>
      </c>
      <c r="W5928" s="17" t="s">
        <v>69</v>
      </c>
      <c r="Y5928" s="68">
        <v>45413</v>
      </c>
      <c r="Z5928" s="17" t="s">
        <v>191</v>
      </c>
      <c r="AA5928" s="17" t="s">
        <v>46</v>
      </c>
      <c r="AB5928" s="17" t="s">
        <v>1336</v>
      </c>
      <c r="AC5928" s="66">
        <v>45435</v>
      </c>
      <c r="AD5928" s="65">
        <v>1577</v>
      </c>
      <c r="AE5928" s="17" t="s">
        <v>74</v>
      </c>
    </row>
    <row r="5929" s="17" customFormat="1" hidden="1" spans="1:31">
      <c r="A5929" s="17" t="s">
        <v>34</v>
      </c>
      <c r="B5929" s="19">
        <v>1012</v>
      </c>
      <c r="C5929" s="183">
        <v>45423</v>
      </c>
      <c r="D5929" s="17" t="s">
        <v>52</v>
      </c>
      <c r="E5929" s="17" t="s">
        <v>1113</v>
      </c>
      <c r="F5929" s="17" t="s">
        <v>54</v>
      </c>
      <c r="H5929" s="141">
        <v>1.2311</v>
      </c>
      <c r="I5929" s="141"/>
      <c r="J5929" s="17" t="s">
        <v>82</v>
      </c>
      <c r="K5929" s="19">
        <v>355</v>
      </c>
      <c r="L5929" s="19">
        <v>65</v>
      </c>
      <c r="M5929" s="19">
        <v>2300</v>
      </c>
      <c r="N5929" s="19" t="s">
        <v>66</v>
      </c>
      <c r="O5929" s="19" t="s">
        <v>141</v>
      </c>
      <c r="P5929" s="19"/>
      <c r="Q5929" s="19">
        <v>1293</v>
      </c>
      <c r="R5929" s="19">
        <f>+P5928-Q5928-Q5929</f>
        <v>-545</v>
      </c>
      <c r="S5929" s="19">
        <f>825+80-20</f>
        <v>885</v>
      </c>
      <c r="T5929" s="91" t="s">
        <v>42</v>
      </c>
      <c r="U5929" s="102" t="s">
        <v>1461</v>
      </c>
      <c r="V5929" s="186">
        <v>45425</v>
      </c>
      <c r="W5929" s="17" t="s">
        <v>69</v>
      </c>
      <c r="Y5929" s="68">
        <v>45413</v>
      </c>
      <c r="Z5929" s="17" t="s">
        <v>191</v>
      </c>
      <c r="AA5929" s="17" t="s">
        <v>46</v>
      </c>
      <c r="AB5929" s="17" t="s">
        <v>1335</v>
      </c>
      <c r="AC5929" s="217">
        <v>45443</v>
      </c>
      <c r="AD5929" s="65">
        <v>1581</v>
      </c>
      <c r="AE5929" s="17" t="s">
        <v>74</v>
      </c>
    </row>
    <row r="5930" s="17" customFormat="1" hidden="1" spans="1:31">
      <c r="A5930" s="17" t="s">
        <v>34</v>
      </c>
      <c r="B5930" s="19">
        <v>1012</v>
      </c>
      <c r="C5930" s="183">
        <v>45423</v>
      </c>
      <c r="D5930" s="17" t="s">
        <v>52</v>
      </c>
      <c r="E5930" s="17" t="s">
        <v>1113</v>
      </c>
      <c r="F5930" s="17" t="s">
        <v>54</v>
      </c>
      <c r="H5930" s="141">
        <v>1.2311</v>
      </c>
      <c r="I5930" s="141"/>
      <c r="J5930" s="17" t="s">
        <v>82</v>
      </c>
      <c r="K5930" s="19">
        <v>405</v>
      </c>
      <c r="L5930" s="19">
        <v>65</v>
      </c>
      <c r="M5930" s="19">
        <v>2300</v>
      </c>
      <c r="N5930" s="19" t="s">
        <v>66</v>
      </c>
      <c r="O5930" s="19" t="s">
        <v>141</v>
      </c>
      <c r="P5930" s="19">
        <v>1860</v>
      </c>
      <c r="Q5930" s="19">
        <v>1959</v>
      </c>
      <c r="R5930" s="19">
        <f>+P5930-Q5930</f>
        <v>-99</v>
      </c>
      <c r="S5930" s="19">
        <f>825+80-20</f>
        <v>885</v>
      </c>
      <c r="T5930" s="91" t="s">
        <v>42</v>
      </c>
      <c r="U5930" s="102" t="s">
        <v>1461</v>
      </c>
      <c r="V5930" s="186">
        <v>45425</v>
      </c>
      <c r="W5930" s="17" t="s">
        <v>69</v>
      </c>
      <c r="Y5930" s="68">
        <v>45413</v>
      </c>
      <c r="Z5930" s="17" t="s">
        <v>191</v>
      </c>
      <c r="AA5930" s="17" t="s">
        <v>46</v>
      </c>
      <c r="AB5930" s="17" t="s">
        <v>1336</v>
      </c>
      <c r="AC5930" s="66">
        <v>45435</v>
      </c>
      <c r="AD5930" s="65">
        <v>1577</v>
      </c>
      <c r="AE5930" s="17" t="s">
        <v>74</v>
      </c>
    </row>
    <row r="5931" s="17" customFormat="1" hidden="1" spans="1:31">
      <c r="A5931" s="17" t="s">
        <v>34</v>
      </c>
      <c r="B5931" s="19">
        <v>1012</v>
      </c>
      <c r="C5931" s="183">
        <v>45423</v>
      </c>
      <c r="D5931" s="17" t="s">
        <v>52</v>
      </c>
      <c r="E5931" s="17" t="s">
        <v>1113</v>
      </c>
      <c r="F5931" s="17" t="s">
        <v>54</v>
      </c>
      <c r="H5931" s="141">
        <v>1.2311</v>
      </c>
      <c r="I5931" s="141"/>
      <c r="J5931" s="17" t="s">
        <v>82</v>
      </c>
      <c r="K5931" s="19">
        <v>455</v>
      </c>
      <c r="L5931" s="19">
        <v>65</v>
      </c>
      <c r="M5931" s="19">
        <v>2300</v>
      </c>
      <c r="N5931" s="19" t="s">
        <v>66</v>
      </c>
      <c r="O5931" s="19" t="s">
        <v>141</v>
      </c>
      <c r="P5931" s="19">
        <v>2089</v>
      </c>
      <c r="Q5931" s="19">
        <v>1653</v>
      </c>
      <c r="R5931" s="19">
        <f>+P5931-Q5931</f>
        <v>436</v>
      </c>
      <c r="S5931" s="19">
        <f>825+80-20</f>
        <v>885</v>
      </c>
      <c r="T5931" s="91" t="s">
        <v>42</v>
      </c>
      <c r="U5931" s="102" t="s">
        <v>1461</v>
      </c>
      <c r="V5931" s="186">
        <v>45425</v>
      </c>
      <c r="W5931" s="17" t="s">
        <v>69</v>
      </c>
      <c r="Y5931" s="68">
        <v>45413</v>
      </c>
      <c r="Z5931" s="17" t="s">
        <v>191</v>
      </c>
      <c r="AA5931" s="17" t="s">
        <v>46</v>
      </c>
      <c r="AB5931" s="17" t="s">
        <v>1336</v>
      </c>
      <c r="AC5931" s="66">
        <v>45435</v>
      </c>
      <c r="AD5931" s="65">
        <v>1577</v>
      </c>
      <c r="AE5931" s="17" t="s">
        <v>74</v>
      </c>
    </row>
    <row r="5932" s="17" customFormat="1" hidden="1" spans="1:31">
      <c r="A5932" s="17" t="s">
        <v>34</v>
      </c>
      <c r="B5932" s="19">
        <v>1012</v>
      </c>
      <c r="C5932" s="183">
        <v>45423</v>
      </c>
      <c r="D5932" s="17" t="s">
        <v>52</v>
      </c>
      <c r="E5932" s="17" t="s">
        <v>1113</v>
      </c>
      <c r="F5932" s="17" t="s">
        <v>54</v>
      </c>
      <c r="H5932" s="141">
        <v>1.2311</v>
      </c>
      <c r="I5932" s="141"/>
      <c r="J5932" s="17" t="s">
        <v>82</v>
      </c>
      <c r="K5932" s="19">
        <v>505</v>
      </c>
      <c r="L5932" s="19">
        <v>65</v>
      </c>
      <c r="M5932" s="19">
        <v>2300</v>
      </c>
      <c r="N5932" s="19" t="s">
        <v>66</v>
      </c>
      <c r="O5932" s="19" t="s">
        <v>141</v>
      </c>
      <c r="P5932" s="19">
        <v>2319</v>
      </c>
      <c r="Q5932" s="19">
        <v>2392</v>
      </c>
      <c r="R5932" s="19">
        <f>+P5932-Q5932</f>
        <v>-73</v>
      </c>
      <c r="S5932" s="19">
        <f>825+60</f>
        <v>885</v>
      </c>
      <c r="T5932" s="91" t="s">
        <v>42</v>
      </c>
      <c r="U5932" s="102" t="s">
        <v>1461</v>
      </c>
      <c r="V5932" s="186">
        <v>45425</v>
      </c>
      <c r="W5932" s="17" t="s">
        <v>69</v>
      </c>
      <c r="Y5932" s="68">
        <v>45413</v>
      </c>
      <c r="Z5932" s="17" t="s">
        <v>191</v>
      </c>
      <c r="AA5932" s="17" t="s">
        <v>46</v>
      </c>
      <c r="AB5932" s="17" t="s">
        <v>1345</v>
      </c>
      <c r="AC5932" s="217">
        <v>45443</v>
      </c>
      <c r="AD5932" s="65">
        <v>1580</v>
      </c>
      <c r="AE5932" s="17" t="s">
        <v>74</v>
      </c>
    </row>
    <row r="5933" s="17" customFormat="1" hidden="1" spans="1:31">
      <c r="A5933" s="17" t="s">
        <v>34</v>
      </c>
      <c r="B5933" s="19">
        <v>1012</v>
      </c>
      <c r="C5933" s="183">
        <v>45423</v>
      </c>
      <c r="D5933" s="17" t="s">
        <v>52</v>
      </c>
      <c r="E5933" s="17" t="s">
        <v>1113</v>
      </c>
      <c r="F5933" s="17" t="s">
        <v>54</v>
      </c>
      <c r="H5933" s="141">
        <v>1.2311</v>
      </c>
      <c r="I5933" s="141"/>
      <c r="J5933" s="17" t="s">
        <v>82</v>
      </c>
      <c r="K5933" s="19">
        <v>205</v>
      </c>
      <c r="L5933" s="19">
        <v>80</v>
      </c>
      <c r="M5933" s="19">
        <v>2300</v>
      </c>
      <c r="N5933" s="19" t="s">
        <v>66</v>
      </c>
      <c r="O5933" s="19" t="s">
        <v>141</v>
      </c>
      <c r="P5933" s="19">
        <v>1448</v>
      </c>
      <c r="Q5933" s="19">
        <v>631</v>
      </c>
      <c r="S5933" s="19">
        <f>825+60</f>
        <v>885</v>
      </c>
      <c r="T5933" s="91" t="s">
        <v>42</v>
      </c>
      <c r="U5933" s="102" t="s">
        <v>1461</v>
      </c>
      <c r="V5933" s="186">
        <v>45425</v>
      </c>
      <c r="W5933" s="17" t="s">
        <v>69</v>
      </c>
      <c r="Y5933" s="68">
        <v>45413</v>
      </c>
      <c r="Z5933" s="17" t="s">
        <v>191</v>
      </c>
      <c r="AA5933" s="17" t="s">
        <v>46</v>
      </c>
      <c r="AB5933" s="17" t="s">
        <v>1345</v>
      </c>
      <c r="AC5933" s="217">
        <v>45443</v>
      </c>
      <c r="AD5933" s="65">
        <v>1580</v>
      </c>
      <c r="AE5933" s="17" t="s">
        <v>74</v>
      </c>
    </row>
    <row r="5934" s="17" customFormat="1" hidden="1" spans="1:31">
      <c r="A5934" s="17" t="s">
        <v>34</v>
      </c>
      <c r="B5934" s="19">
        <v>1012</v>
      </c>
      <c r="C5934" s="183">
        <v>45423</v>
      </c>
      <c r="D5934" s="17" t="s">
        <v>52</v>
      </c>
      <c r="E5934" s="17" t="s">
        <v>1113</v>
      </c>
      <c r="F5934" s="17" t="s">
        <v>54</v>
      </c>
      <c r="H5934" s="141">
        <v>1.2311</v>
      </c>
      <c r="I5934" s="141"/>
      <c r="J5934" s="17" t="s">
        <v>82</v>
      </c>
      <c r="K5934" s="19">
        <v>205</v>
      </c>
      <c r="L5934" s="19">
        <v>80</v>
      </c>
      <c r="M5934" s="19">
        <v>2300</v>
      </c>
      <c r="N5934" s="19" t="s">
        <v>66</v>
      </c>
      <c r="O5934" s="19" t="s">
        <v>141</v>
      </c>
      <c r="P5934" s="19"/>
      <c r="Q5934" s="19">
        <v>926</v>
      </c>
      <c r="R5934" s="19">
        <f>+P5933-Q5933-Q5934</f>
        <v>-109</v>
      </c>
      <c r="S5934" s="19">
        <f>825+80-20</f>
        <v>885</v>
      </c>
      <c r="T5934" s="91" t="s">
        <v>42</v>
      </c>
      <c r="U5934" s="102" t="s">
        <v>1461</v>
      </c>
      <c r="V5934" s="186">
        <v>45425</v>
      </c>
      <c r="W5934" s="17" t="s">
        <v>69</v>
      </c>
      <c r="Y5934" s="68">
        <v>45413</v>
      </c>
      <c r="Z5934" s="17" t="s">
        <v>191</v>
      </c>
      <c r="AA5934" s="17" t="s">
        <v>46</v>
      </c>
      <c r="AB5934" s="17" t="s">
        <v>1335</v>
      </c>
      <c r="AC5934" s="217">
        <v>45443</v>
      </c>
      <c r="AD5934" s="65">
        <v>1581</v>
      </c>
      <c r="AE5934" s="17" t="s">
        <v>74</v>
      </c>
    </row>
    <row r="5935" s="17" customFormat="1" hidden="1" spans="1:31">
      <c r="A5935" s="17" t="s">
        <v>34</v>
      </c>
      <c r="B5935" s="19">
        <v>1012</v>
      </c>
      <c r="C5935" s="183">
        <v>45423</v>
      </c>
      <c r="D5935" s="17" t="s">
        <v>52</v>
      </c>
      <c r="E5935" s="17" t="s">
        <v>1113</v>
      </c>
      <c r="F5935" s="17" t="s">
        <v>54</v>
      </c>
      <c r="H5935" s="141">
        <v>1.2311</v>
      </c>
      <c r="I5935" s="141"/>
      <c r="J5935" s="17" t="s">
        <v>82</v>
      </c>
      <c r="K5935" s="19">
        <v>255</v>
      </c>
      <c r="L5935" s="19">
        <v>80</v>
      </c>
      <c r="M5935" s="19">
        <v>2300</v>
      </c>
      <c r="N5935" s="19" t="s">
        <v>66</v>
      </c>
      <c r="O5935" s="19" t="s">
        <v>141</v>
      </c>
      <c r="P5935" s="19">
        <v>1802</v>
      </c>
      <c r="Q5935" s="19">
        <v>379</v>
      </c>
      <c r="S5935" s="19">
        <f>825+80-20</f>
        <v>885</v>
      </c>
      <c r="T5935" s="91" t="s">
        <v>42</v>
      </c>
      <c r="U5935" s="102" t="s">
        <v>1461</v>
      </c>
      <c r="V5935" s="186">
        <v>45425</v>
      </c>
      <c r="W5935" s="17" t="s">
        <v>69</v>
      </c>
      <c r="Y5935" s="68">
        <v>45413</v>
      </c>
      <c r="Z5935" s="17" t="s">
        <v>191</v>
      </c>
      <c r="AA5935" s="17" t="s">
        <v>46</v>
      </c>
      <c r="AB5935" s="17" t="s">
        <v>1336</v>
      </c>
      <c r="AC5935" s="66">
        <v>45435</v>
      </c>
      <c r="AD5935" s="65">
        <v>1577</v>
      </c>
      <c r="AE5935" s="17" t="s">
        <v>74</v>
      </c>
    </row>
    <row r="5936" s="17" customFormat="1" hidden="1" spans="1:31">
      <c r="A5936" s="17" t="s">
        <v>34</v>
      </c>
      <c r="B5936" s="19">
        <v>1012</v>
      </c>
      <c r="C5936" s="183">
        <v>45423</v>
      </c>
      <c r="D5936" s="17" t="s">
        <v>52</v>
      </c>
      <c r="E5936" s="17" t="s">
        <v>1113</v>
      </c>
      <c r="F5936" s="17" t="s">
        <v>54</v>
      </c>
      <c r="H5936" s="141">
        <v>1.2311</v>
      </c>
      <c r="I5936" s="141"/>
      <c r="J5936" s="17" t="s">
        <v>82</v>
      </c>
      <c r="K5936" s="19">
        <v>255</v>
      </c>
      <c r="L5936" s="19">
        <v>80</v>
      </c>
      <c r="M5936" s="19">
        <v>2300</v>
      </c>
      <c r="N5936" s="19" t="s">
        <v>66</v>
      </c>
      <c r="O5936" s="19" t="s">
        <v>141</v>
      </c>
      <c r="P5936" s="19"/>
      <c r="Q5936" s="19">
        <v>766</v>
      </c>
      <c r="S5936" s="19">
        <f>825+60</f>
        <v>885</v>
      </c>
      <c r="T5936" s="91" t="s">
        <v>42</v>
      </c>
      <c r="U5936" s="102" t="s">
        <v>1461</v>
      </c>
      <c r="V5936" s="186">
        <v>45425</v>
      </c>
      <c r="W5936" s="17" t="s">
        <v>69</v>
      </c>
      <c r="Y5936" s="68">
        <v>45413</v>
      </c>
      <c r="Z5936" s="17" t="s">
        <v>191</v>
      </c>
      <c r="AA5936" s="17" t="s">
        <v>46</v>
      </c>
      <c r="AB5936" s="17" t="s">
        <v>1345</v>
      </c>
      <c r="AC5936" s="217">
        <v>45443</v>
      </c>
      <c r="AD5936" s="65">
        <v>1580</v>
      </c>
      <c r="AE5936" s="17" t="s">
        <v>74</v>
      </c>
    </row>
    <row r="5937" s="17" customFormat="1" hidden="1" spans="1:31">
      <c r="A5937" s="17" t="s">
        <v>34</v>
      </c>
      <c r="B5937" s="19">
        <v>1012</v>
      </c>
      <c r="C5937" s="183">
        <v>45423</v>
      </c>
      <c r="D5937" s="17" t="s">
        <v>52</v>
      </c>
      <c r="E5937" s="17" t="s">
        <v>1113</v>
      </c>
      <c r="F5937" s="17" t="s">
        <v>54</v>
      </c>
      <c r="H5937" s="141">
        <v>1.2311</v>
      </c>
      <c r="I5937" s="141"/>
      <c r="J5937" s="17" t="s">
        <v>82</v>
      </c>
      <c r="K5937" s="19">
        <v>255</v>
      </c>
      <c r="L5937" s="19">
        <v>80</v>
      </c>
      <c r="M5937" s="19">
        <v>2300</v>
      </c>
      <c r="N5937" s="19" t="s">
        <v>66</v>
      </c>
      <c r="O5937" s="19" t="s">
        <v>141</v>
      </c>
      <c r="P5937" s="19"/>
      <c r="Q5937" s="19">
        <v>761</v>
      </c>
      <c r="R5937" s="19">
        <f>+P5935-Q5935-Q5936-Q5937</f>
        <v>-104</v>
      </c>
      <c r="S5937" s="19">
        <f>825+80-20</f>
        <v>885</v>
      </c>
      <c r="T5937" s="91" t="s">
        <v>42</v>
      </c>
      <c r="U5937" s="102" t="s">
        <v>1461</v>
      </c>
      <c r="V5937" s="186">
        <v>45425</v>
      </c>
      <c r="W5937" s="17" t="s">
        <v>69</v>
      </c>
      <c r="Y5937" s="68">
        <v>45413</v>
      </c>
      <c r="Z5937" s="17" t="s">
        <v>191</v>
      </c>
      <c r="AA5937" s="17" t="s">
        <v>46</v>
      </c>
      <c r="AB5937" s="17" t="s">
        <v>1335</v>
      </c>
      <c r="AC5937" s="217">
        <v>45443</v>
      </c>
      <c r="AD5937" s="65">
        <v>1581</v>
      </c>
      <c r="AE5937" s="17" t="s">
        <v>74</v>
      </c>
    </row>
    <row r="5938" s="17" customFormat="1" hidden="1" spans="1:31">
      <c r="A5938" s="17" t="s">
        <v>34</v>
      </c>
      <c r="B5938" s="19">
        <v>1012</v>
      </c>
      <c r="C5938" s="183">
        <v>45423</v>
      </c>
      <c r="D5938" s="17" t="s">
        <v>52</v>
      </c>
      <c r="E5938" s="17" t="s">
        <v>1113</v>
      </c>
      <c r="F5938" s="17" t="s">
        <v>54</v>
      </c>
      <c r="H5938" s="141">
        <v>1.2311</v>
      </c>
      <c r="I5938" s="141"/>
      <c r="J5938" s="17" t="s">
        <v>82</v>
      </c>
      <c r="K5938" s="19">
        <v>305</v>
      </c>
      <c r="L5938" s="19">
        <v>80</v>
      </c>
      <c r="M5938" s="19">
        <v>2300</v>
      </c>
      <c r="N5938" s="19" t="s">
        <v>66</v>
      </c>
      <c r="O5938" s="19" t="s">
        <v>141</v>
      </c>
      <c r="P5938" s="19">
        <v>1724</v>
      </c>
      <c r="Q5938" s="19">
        <v>1359</v>
      </c>
      <c r="S5938" s="19">
        <f>825+80-20</f>
        <v>885</v>
      </c>
      <c r="T5938" s="91" t="s">
        <v>42</v>
      </c>
      <c r="U5938" s="102" t="s">
        <v>1461</v>
      </c>
      <c r="V5938" s="186">
        <v>45425</v>
      </c>
      <c r="W5938" s="17" t="s">
        <v>69</v>
      </c>
      <c r="Y5938" s="68">
        <v>45413</v>
      </c>
      <c r="Z5938" s="17" t="s">
        <v>191</v>
      </c>
      <c r="AA5938" s="17" t="s">
        <v>46</v>
      </c>
      <c r="AB5938" s="17" t="s">
        <v>1336</v>
      </c>
      <c r="AC5938" s="66">
        <v>45435</v>
      </c>
      <c r="AD5938" s="65">
        <v>1577</v>
      </c>
      <c r="AE5938" s="17" t="s">
        <v>74</v>
      </c>
    </row>
    <row r="5939" s="17" customFormat="1" hidden="1" spans="1:31">
      <c r="A5939" s="17" t="s">
        <v>34</v>
      </c>
      <c r="B5939" s="19">
        <v>1012</v>
      </c>
      <c r="C5939" s="183">
        <v>45423</v>
      </c>
      <c r="D5939" s="17" t="s">
        <v>52</v>
      </c>
      <c r="E5939" s="17" t="s">
        <v>1113</v>
      </c>
      <c r="F5939" s="17" t="s">
        <v>54</v>
      </c>
      <c r="H5939" s="141">
        <v>1.2311</v>
      </c>
      <c r="I5939" s="141"/>
      <c r="J5939" s="17" t="s">
        <v>82</v>
      </c>
      <c r="K5939" s="19">
        <v>305</v>
      </c>
      <c r="L5939" s="19">
        <v>80</v>
      </c>
      <c r="M5939" s="19">
        <v>2300</v>
      </c>
      <c r="N5939" s="19" t="s">
        <v>66</v>
      </c>
      <c r="O5939" s="19" t="s">
        <v>141</v>
      </c>
      <c r="P5939" s="19"/>
      <c r="Q5939" s="19">
        <v>452</v>
      </c>
      <c r="R5939" s="19">
        <f>+P5938-Q5938-Q5939</f>
        <v>-87</v>
      </c>
      <c r="S5939" s="19">
        <f>825+60</f>
        <v>885</v>
      </c>
      <c r="T5939" s="91" t="s">
        <v>42</v>
      </c>
      <c r="U5939" s="102" t="s">
        <v>1461</v>
      </c>
      <c r="V5939" s="186">
        <v>45425</v>
      </c>
      <c r="W5939" s="17" t="s">
        <v>69</v>
      </c>
      <c r="Y5939" s="68">
        <v>45413</v>
      </c>
      <c r="Z5939" s="17" t="s">
        <v>191</v>
      </c>
      <c r="AA5939" s="17" t="s">
        <v>46</v>
      </c>
      <c r="AB5939" s="17" t="s">
        <v>1345</v>
      </c>
      <c r="AC5939" s="217">
        <v>45443</v>
      </c>
      <c r="AD5939" s="65">
        <v>1580</v>
      </c>
      <c r="AE5939" s="17" t="s">
        <v>74</v>
      </c>
    </row>
    <row r="5940" s="17" customFormat="1" hidden="1" spans="1:31">
      <c r="A5940" s="17" t="s">
        <v>34</v>
      </c>
      <c r="B5940" s="19">
        <v>1012</v>
      </c>
      <c r="C5940" s="183">
        <v>45423</v>
      </c>
      <c r="D5940" s="17" t="s">
        <v>52</v>
      </c>
      <c r="E5940" s="17" t="s">
        <v>1113</v>
      </c>
      <c r="F5940" s="17" t="s">
        <v>54</v>
      </c>
      <c r="H5940" s="141">
        <v>1.2311</v>
      </c>
      <c r="I5940" s="141"/>
      <c r="J5940" s="17" t="s">
        <v>82</v>
      </c>
      <c r="K5940" s="19">
        <v>355</v>
      </c>
      <c r="L5940" s="19">
        <v>80</v>
      </c>
      <c r="M5940" s="19">
        <v>2300</v>
      </c>
      <c r="N5940" s="19" t="s">
        <v>66</v>
      </c>
      <c r="O5940" s="19" t="s">
        <v>141</v>
      </c>
      <c r="P5940" s="19">
        <v>1505</v>
      </c>
      <c r="Q5940" s="19">
        <v>526</v>
      </c>
      <c r="S5940" s="19">
        <f>825+80-20</f>
        <v>885</v>
      </c>
      <c r="T5940" s="91" t="s">
        <v>42</v>
      </c>
      <c r="U5940" s="102" t="s">
        <v>1461</v>
      </c>
      <c r="V5940" s="186">
        <v>45425</v>
      </c>
      <c r="W5940" s="17" t="s">
        <v>69</v>
      </c>
      <c r="Y5940" s="68">
        <v>45413</v>
      </c>
      <c r="Z5940" s="17" t="s">
        <v>191</v>
      </c>
      <c r="AA5940" s="17" t="s">
        <v>46</v>
      </c>
      <c r="AB5940" s="17" t="s">
        <v>1336</v>
      </c>
      <c r="AC5940" s="66">
        <v>45435</v>
      </c>
      <c r="AD5940" s="65">
        <v>1577</v>
      </c>
      <c r="AE5940" s="17" t="s">
        <v>74</v>
      </c>
    </row>
    <row r="5941" s="17" customFormat="1" hidden="1" spans="1:31">
      <c r="A5941" s="17" t="s">
        <v>34</v>
      </c>
      <c r="B5941" s="19">
        <v>1012</v>
      </c>
      <c r="C5941" s="183">
        <v>45423</v>
      </c>
      <c r="D5941" s="17" t="s">
        <v>52</v>
      </c>
      <c r="E5941" s="17" t="s">
        <v>1113</v>
      </c>
      <c r="F5941" s="17" t="s">
        <v>54</v>
      </c>
      <c r="H5941" s="141">
        <v>1.2311</v>
      </c>
      <c r="I5941" s="141"/>
      <c r="J5941" s="17" t="s">
        <v>82</v>
      </c>
      <c r="K5941" s="19">
        <v>355</v>
      </c>
      <c r="L5941" s="19">
        <v>80</v>
      </c>
      <c r="M5941" s="19">
        <v>2300</v>
      </c>
      <c r="N5941" s="19" t="s">
        <v>66</v>
      </c>
      <c r="O5941" s="19" t="s">
        <v>141</v>
      </c>
      <c r="P5941" s="19"/>
      <c r="Q5941" s="19">
        <v>533</v>
      </c>
      <c r="S5941" s="19">
        <f>825+60</f>
        <v>885</v>
      </c>
      <c r="T5941" s="91" t="s">
        <v>42</v>
      </c>
      <c r="U5941" s="102" t="s">
        <v>1461</v>
      </c>
      <c r="V5941" s="186">
        <v>45425</v>
      </c>
      <c r="W5941" s="17" t="s">
        <v>69</v>
      </c>
      <c r="Y5941" s="68">
        <v>45413</v>
      </c>
      <c r="Z5941" s="17" t="s">
        <v>191</v>
      </c>
      <c r="AA5941" s="17" t="s">
        <v>46</v>
      </c>
      <c r="AB5941" s="17" t="s">
        <v>1345</v>
      </c>
      <c r="AC5941" s="217">
        <v>45443</v>
      </c>
      <c r="AD5941" s="65">
        <v>1580</v>
      </c>
      <c r="AE5941" s="17" t="s">
        <v>74</v>
      </c>
    </row>
    <row r="5942" s="17" customFormat="1" hidden="1" spans="1:31">
      <c r="A5942" s="17" t="s">
        <v>34</v>
      </c>
      <c r="B5942" s="19">
        <v>1012</v>
      </c>
      <c r="C5942" s="183">
        <v>45423</v>
      </c>
      <c r="D5942" s="17" t="s">
        <v>52</v>
      </c>
      <c r="E5942" s="17" t="s">
        <v>1113</v>
      </c>
      <c r="F5942" s="17" t="s">
        <v>54</v>
      </c>
      <c r="H5942" s="141">
        <v>1.2311</v>
      </c>
      <c r="I5942" s="141"/>
      <c r="J5942" s="17" t="s">
        <v>82</v>
      </c>
      <c r="K5942" s="19">
        <v>355</v>
      </c>
      <c r="L5942" s="19">
        <v>80</v>
      </c>
      <c r="M5942" s="19">
        <v>2300</v>
      </c>
      <c r="N5942" s="19" t="s">
        <v>66</v>
      </c>
      <c r="O5942" s="19" t="s">
        <v>141</v>
      </c>
      <c r="P5942" s="19"/>
      <c r="Q5942" s="19">
        <v>525</v>
      </c>
      <c r="R5942" s="19">
        <f>+P5940-Q5940-Q5941-Q5942</f>
        <v>-79</v>
      </c>
      <c r="S5942" s="19">
        <f>825+80-20</f>
        <v>885</v>
      </c>
      <c r="T5942" s="91" t="s">
        <v>42</v>
      </c>
      <c r="U5942" s="102" t="s">
        <v>1461</v>
      </c>
      <c r="V5942" s="186">
        <v>45425</v>
      </c>
      <c r="W5942" s="17" t="s">
        <v>69</v>
      </c>
      <c r="Y5942" s="68">
        <v>45413</v>
      </c>
      <c r="Z5942" s="17" t="s">
        <v>191</v>
      </c>
      <c r="AA5942" s="17" t="s">
        <v>46</v>
      </c>
      <c r="AB5942" s="17" t="s">
        <v>1335</v>
      </c>
      <c r="AC5942" s="217">
        <v>45443</v>
      </c>
      <c r="AD5942" s="65">
        <v>1581</v>
      </c>
      <c r="AE5942" s="17" t="s">
        <v>74</v>
      </c>
    </row>
    <row r="5943" s="17" customFormat="1" hidden="1" spans="1:31">
      <c r="A5943" s="17" t="s">
        <v>34</v>
      </c>
      <c r="B5943" s="19">
        <v>1012</v>
      </c>
      <c r="C5943" s="183">
        <v>45423</v>
      </c>
      <c r="D5943" s="17" t="s">
        <v>52</v>
      </c>
      <c r="E5943" s="17" t="s">
        <v>1113</v>
      </c>
      <c r="F5943" s="17" t="s">
        <v>54</v>
      </c>
      <c r="H5943" s="141">
        <v>1.2311</v>
      </c>
      <c r="I5943" s="141"/>
      <c r="J5943" s="17" t="s">
        <v>82</v>
      </c>
      <c r="K5943" s="19">
        <v>405</v>
      </c>
      <c r="L5943" s="19">
        <v>80</v>
      </c>
      <c r="M5943" s="19">
        <v>2300</v>
      </c>
      <c r="N5943" s="19" t="s">
        <v>66</v>
      </c>
      <c r="O5943" s="19" t="s">
        <v>141</v>
      </c>
      <c r="P5943" s="19">
        <v>1717</v>
      </c>
      <c r="Q5943" s="19">
        <v>598</v>
      </c>
      <c r="S5943" s="19">
        <f>825+80-20</f>
        <v>885</v>
      </c>
      <c r="T5943" s="91" t="s">
        <v>42</v>
      </c>
      <c r="U5943" s="102" t="s">
        <v>1461</v>
      </c>
      <c r="V5943" s="186">
        <v>45425</v>
      </c>
      <c r="W5943" s="17" t="s">
        <v>69</v>
      </c>
      <c r="Y5943" s="68">
        <v>45413</v>
      </c>
      <c r="Z5943" s="17" t="s">
        <v>191</v>
      </c>
      <c r="AA5943" s="17" t="s">
        <v>46</v>
      </c>
      <c r="AB5943" s="17" t="s">
        <v>1336</v>
      </c>
      <c r="AC5943" s="66">
        <v>45435</v>
      </c>
      <c r="AD5943" s="65">
        <v>1577</v>
      </c>
      <c r="AE5943" s="17" t="s">
        <v>74</v>
      </c>
    </row>
    <row r="5944" s="17" customFormat="1" hidden="1" spans="1:31">
      <c r="A5944" s="17" t="s">
        <v>34</v>
      </c>
      <c r="B5944" s="19">
        <v>1012</v>
      </c>
      <c r="C5944" s="183">
        <v>45423</v>
      </c>
      <c r="D5944" s="17" t="s">
        <v>52</v>
      </c>
      <c r="E5944" s="17" t="s">
        <v>1113</v>
      </c>
      <c r="F5944" s="17" t="s">
        <v>54</v>
      </c>
      <c r="H5944" s="141">
        <v>1.2311</v>
      </c>
      <c r="I5944" s="141"/>
      <c r="J5944" s="17" t="s">
        <v>82</v>
      </c>
      <c r="K5944" s="19">
        <v>405</v>
      </c>
      <c r="L5944" s="19">
        <v>80</v>
      </c>
      <c r="M5944" s="19">
        <v>2300</v>
      </c>
      <c r="N5944" s="19" t="s">
        <v>66</v>
      </c>
      <c r="O5944" s="19" t="s">
        <v>141</v>
      </c>
      <c r="P5944" s="19"/>
      <c r="Q5944" s="19">
        <v>1204</v>
      </c>
      <c r="R5944" s="19">
        <f>+P5943-Q5943-Q5944</f>
        <v>-85</v>
      </c>
      <c r="S5944" s="19">
        <f>825+60</f>
        <v>885</v>
      </c>
      <c r="T5944" s="91" t="s">
        <v>42</v>
      </c>
      <c r="U5944" s="102" t="s">
        <v>1461</v>
      </c>
      <c r="V5944" s="186">
        <v>45425</v>
      </c>
      <c r="W5944" s="17" t="s">
        <v>69</v>
      </c>
      <c r="Y5944" s="68">
        <v>45413</v>
      </c>
      <c r="Z5944" s="17" t="s">
        <v>191</v>
      </c>
      <c r="AA5944" s="17" t="s">
        <v>46</v>
      </c>
      <c r="AB5944" s="17" t="s">
        <v>1345</v>
      </c>
      <c r="AC5944" s="217">
        <v>45443</v>
      </c>
      <c r="AD5944" s="65">
        <v>1580</v>
      </c>
      <c r="AE5944" s="17" t="s">
        <v>74</v>
      </c>
    </row>
    <row r="5945" s="17" customFormat="1" hidden="1" spans="1:31">
      <c r="A5945" s="17" t="s">
        <v>34</v>
      </c>
      <c r="B5945" s="19">
        <v>1012</v>
      </c>
      <c r="C5945" s="183">
        <v>45423</v>
      </c>
      <c r="D5945" s="17" t="s">
        <v>52</v>
      </c>
      <c r="E5945" s="17" t="s">
        <v>1113</v>
      </c>
      <c r="F5945" s="17" t="s">
        <v>54</v>
      </c>
      <c r="H5945" s="141">
        <v>1.2311</v>
      </c>
      <c r="I5945" s="141"/>
      <c r="J5945" s="17" t="s">
        <v>82</v>
      </c>
      <c r="K5945" s="19">
        <v>455</v>
      </c>
      <c r="L5945" s="19">
        <v>80</v>
      </c>
      <c r="M5945" s="19">
        <v>2300</v>
      </c>
      <c r="N5945" s="19" t="s">
        <v>66</v>
      </c>
      <c r="O5945" s="19" t="s">
        <v>141</v>
      </c>
      <c r="P5945" s="19">
        <v>1286</v>
      </c>
      <c r="Q5945" s="19">
        <v>1350</v>
      </c>
      <c r="R5945" s="19">
        <f t="shared" ref="R5945:R5950" si="266">+P5945-Q5945</f>
        <v>-64</v>
      </c>
      <c r="S5945" s="19">
        <f>825+80-20</f>
        <v>885</v>
      </c>
      <c r="T5945" s="91" t="s">
        <v>42</v>
      </c>
      <c r="U5945" s="102" t="s">
        <v>1461</v>
      </c>
      <c r="V5945" s="186">
        <v>45425</v>
      </c>
      <c r="W5945" s="17" t="s">
        <v>69</v>
      </c>
      <c r="Y5945" s="68">
        <v>45413</v>
      </c>
      <c r="Z5945" s="17" t="s">
        <v>191</v>
      </c>
      <c r="AA5945" s="17" t="s">
        <v>46</v>
      </c>
      <c r="AB5945" s="17" t="s">
        <v>1336</v>
      </c>
      <c r="AC5945" s="66">
        <v>45435</v>
      </c>
      <c r="AD5945" s="65">
        <v>1577</v>
      </c>
      <c r="AE5945" s="17" t="s">
        <v>74</v>
      </c>
    </row>
    <row r="5946" s="17" customFormat="1" hidden="1" spans="1:31">
      <c r="A5946" s="17" t="s">
        <v>34</v>
      </c>
      <c r="B5946" s="19">
        <v>1012</v>
      </c>
      <c r="C5946" s="183">
        <v>45423</v>
      </c>
      <c r="D5946" s="17" t="s">
        <v>52</v>
      </c>
      <c r="E5946" s="17" t="s">
        <v>1113</v>
      </c>
      <c r="F5946" s="17" t="s">
        <v>54</v>
      </c>
      <c r="H5946" s="141">
        <v>1.2311</v>
      </c>
      <c r="I5946" s="141"/>
      <c r="J5946" s="17" t="s">
        <v>82</v>
      </c>
      <c r="K5946" s="19">
        <v>505</v>
      </c>
      <c r="L5946" s="19">
        <v>80</v>
      </c>
      <c r="M5946" s="19">
        <v>2300</v>
      </c>
      <c r="N5946" s="19" t="s">
        <v>66</v>
      </c>
      <c r="O5946" s="19" t="s">
        <v>141</v>
      </c>
      <c r="P5946" s="19">
        <v>1427</v>
      </c>
      <c r="Q5946" s="19">
        <v>1505</v>
      </c>
      <c r="R5946" s="19">
        <f t="shared" si="266"/>
        <v>-78</v>
      </c>
      <c r="S5946" s="19">
        <f>825+60</f>
        <v>885</v>
      </c>
      <c r="T5946" s="91" t="s">
        <v>42</v>
      </c>
      <c r="U5946" s="102" t="s">
        <v>1461</v>
      </c>
      <c r="V5946" s="186">
        <v>45425</v>
      </c>
      <c r="W5946" s="17" t="s">
        <v>69</v>
      </c>
      <c r="Y5946" s="68">
        <v>45413</v>
      </c>
      <c r="Z5946" s="17" t="s">
        <v>191</v>
      </c>
      <c r="AA5946" s="17" t="s">
        <v>46</v>
      </c>
      <c r="AB5946" s="17" t="s">
        <v>1345</v>
      </c>
      <c r="AC5946" s="217">
        <v>45443</v>
      </c>
      <c r="AD5946" s="65">
        <v>1580</v>
      </c>
      <c r="AE5946" s="17" t="s">
        <v>74</v>
      </c>
    </row>
    <row r="5947" s="17" customFormat="1" hidden="1" spans="1:31">
      <c r="A5947" s="17" t="s">
        <v>34</v>
      </c>
      <c r="B5947" s="19">
        <v>1012</v>
      </c>
      <c r="C5947" s="183">
        <v>45423</v>
      </c>
      <c r="D5947" s="17" t="s">
        <v>52</v>
      </c>
      <c r="E5947" s="17" t="s">
        <v>1113</v>
      </c>
      <c r="F5947" s="17" t="s">
        <v>54</v>
      </c>
      <c r="H5947" s="141">
        <v>1.2311</v>
      </c>
      <c r="I5947" s="141"/>
      <c r="J5947" s="17" t="s">
        <v>82</v>
      </c>
      <c r="K5947" s="19">
        <v>205</v>
      </c>
      <c r="L5947" s="19">
        <v>105</v>
      </c>
      <c r="M5947" s="19">
        <v>2300</v>
      </c>
      <c r="N5947" s="19" t="s">
        <v>66</v>
      </c>
      <c r="O5947" s="19" t="s">
        <v>141</v>
      </c>
      <c r="P5947" s="19">
        <v>1521</v>
      </c>
      <c r="Q5947" s="19">
        <v>1556</v>
      </c>
      <c r="R5947" s="19">
        <f t="shared" si="266"/>
        <v>-35</v>
      </c>
      <c r="S5947" s="19">
        <f>825+80-20</f>
        <v>885</v>
      </c>
      <c r="T5947" s="91" t="s">
        <v>42</v>
      </c>
      <c r="U5947" s="102" t="s">
        <v>1461</v>
      </c>
      <c r="V5947" s="186">
        <v>45425</v>
      </c>
      <c r="W5947" s="17" t="s">
        <v>69</v>
      </c>
      <c r="Y5947" s="68">
        <v>45413</v>
      </c>
      <c r="Z5947" s="17" t="s">
        <v>191</v>
      </c>
      <c r="AA5947" s="17" t="s">
        <v>46</v>
      </c>
      <c r="AB5947" s="17" t="s">
        <v>1336</v>
      </c>
      <c r="AC5947" s="66">
        <v>45435</v>
      </c>
      <c r="AD5947" s="65">
        <v>1577</v>
      </c>
      <c r="AE5947" s="17" t="s">
        <v>74</v>
      </c>
    </row>
    <row r="5948" s="17" customFormat="1" hidden="1" spans="1:31">
      <c r="A5948" s="17" t="s">
        <v>34</v>
      </c>
      <c r="B5948" s="19">
        <v>1012</v>
      </c>
      <c r="C5948" s="183">
        <v>45423</v>
      </c>
      <c r="D5948" s="17" t="s">
        <v>52</v>
      </c>
      <c r="E5948" s="17" t="s">
        <v>1113</v>
      </c>
      <c r="F5948" s="17" t="s">
        <v>54</v>
      </c>
      <c r="H5948" s="141">
        <v>1.2311</v>
      </c>
      <c r="I5948" s="141"/>
      <c r="J5948" s="17" t="s">
        <v>82</v>
      </c>
      <c r="K5948" s="19">
        <v>255</v>
      </c>
      <c r="L5948" s="19">
        <v>105</v>
      </c>
      <c r="M5948" s="19">
        <v>2300</v>
      </c>
      <c r="N5948" s="19" t="s">
        <v>66</v>
      </c>
      <c r="O5948" s="19" t="s">
        <v>141</v>
      </c>
      <c r="P5948" s="19">
        <v>1892</v>
      </c>
      <c r="Q5948" s="19">
        <v>1926</v>
      </c>
      <c r="R5948" s="19">
        <f t="shared" si="266"/>
        <v>-34</v>
      </c>
      <c r="S5948" s="19">
        <f>825+80-20</f>
        <v>885</v>
      </c>
      <c r="T5948" s="91" t="s">
        <v>42</v>
      </c>
      <c r="U5948" s="102" t="s">
        <v>1461</v>
      </c>
      <c r="V5948" s="186">
        <v>45425</v>
      </c>
      <c r="W5948" s="17" t="s">
        <v>69</v>
      </c>
      <c r="Y5948" s="68">
        <v>45413</v>
      </c>
      <c r="Z5948" s="17" t="s">
        <v>191</v>
      </c>
      <c r="AA5948" s="17" t="s">
        <v>46</v>
      </c>
      <c r="AB5948" s="17" t="s">
        <v>1336</v>
      </c>
      <c r="AC5948" s="66">
        <v>45435</v>
      </c>
      <c r="AD5948" s="65">
        <v>1577</v>
      </c>
      <c r="AE5948" s="17" t="s">
        <v>74</v>
      </c>
    </row>
    <row r="5949" s="17" customFormat="1" hidden="1" spans="1:31">
      <c r="A5949" s="17" t="s">
        <v>34</v>
      </c>
      <c r="B5949" s="19">
        <v>1012</v>
      </c>
      <c r="C5949" s="183">
        <v>45423</v>
      </c>
      <c r="D5949" s="17" t="s">
        <v>52</v>
      </c>
      <c r="E5949" s="17" t="s">
        <v>1113</v>
      </c>
      <c r="F5949" s="17" t="s">
        <v>54</v>
      </c>
      <c r="H5949" s="141">
        <v>1.2311</v>
      </c>
      <c r="I5949" s="141"/>
      <c r="J5949" s="17" t="s">
        <v>82</v>
      </c>
      <c r="K5949" s="19">
        <v>305</v>
      </c>
      <c r="L5949" s="19">
        <v>105</v>
      </c>
      <c r="M5949" s="19">
        <v>2300</v>
      </c>
      <c r="N5949" s="19" t="s">
        <v>66</v>
      </c>
      <c r="O5949" s="19" t="s">
        <v>141</v>
      </c>
      <c r="P5949" s="19">
        <v>1697</v>
      </c>
      <c r="Q5949" s="19">
        <v>1759</v>
      </c>
      <c r="R5949" s="19">
        <f t="shared" si="266"/>
        <v>-62</v>
      </c>
      <c r="S5949" s="19">
        <f>825+80-20</f>
        <v>885</v>
      </c>
      <c r="T5949" s="91" t="s">
        <v>42</v>
      </c>
      <c r="U5949" s="102" t="s">
        <v>1461</v>
      </c>
      <c r="V5949" s="186">
        <v>45425</v>
      </c>
      <c r="W5949" s="17" t="s">
        <v>69</v>
      </c>
      <c r="Y5949" s="68">
        <v>45413</v>
      </c>
      <c r="Z5949" s="17" t="s">
        <v>191</v>
      </c>
      <c r="AA5949" s="17" t="s">
        <v>46</v>
      </c>
      <c r="AB5949" s="17" t="s">
        <v>1336</v>
      </c>
      <c r="AC5949" s="66">
        <v>45435</v>
      </c>
      <c r="AD5949" s="65">
        <v>1577</v>
      </c>
      <c r="AE5949" s="17" t="s">
        <v>74</v>
      </c>
    </row>
    <row r="5950" s="17" customFormat="1" hidden="1" spans="1:31">
      <c r="A5950" s="17" t="s">
        <v>34</v>
      </c>
      <c r="B5950" s="19">
        <v>1012</v>
      </c>
      <c r="C5950" s="183">
        <v>45423</v>
      </c>
      <c r="D5950" s="17" t="s">
        <v>52</v>
      </c>
      <c r="E5950" s="17" t="s">
        <v>1113</v>
      </c>
      <c r="F5950" s="17" t="s">
        <v>54</v>
      </c>
      <c r="H5950" s="141">
        <v>1.2311</v>
      </c>
      <c r="I5950" s="141"/>
      <c r="J5950" s="17" t="s">
        <v>82</v>
      </c>
      <c r="K5950" s="19">
        <v>355</v>
      </c>
      <c r="L5950" s="19">
        <v>105</v>
      </c>
      <c r="M5950" s="19">
        <v>2300</v>
      </c>
      <c r="N5950" s="19" t="s">
        <v>66</v>
      </c>
      <c r="O5950" s="19" t="s">
        <v>141</v>
      </c>
      <c r="P5950" s="19">
        <v>1317</v>
      </c>
      <c r="Q5950" s="19">
        <v>1337</v>
      </c>
      <c r="R5950" s="19">
        <f t="shared" si="266"/>
        <v>-20</v>
      </c>
      <c r="S5950" s="19">
        <f>825+80-20</f>
        <v>885</v>
      </c>
      <c r="T5950" s="91" t="s">
        <v>42</v>
      </c>
      <c r="U5950" s="102" t="s">
        <v>1461</v>
      </c>
      <c r="V5950" s="186">
        <v>45425</v>
      </c>
      <c r="W5950" s="17" t="s">
        <v>69</v>
      </c>
      <c r="Y5950" s="68">
        <v>45413</v>
      </c>
      <c r="Z5950" s="17" t="s">
        <v>191</v>
      </c>
      <c r="AA5950" s="17" t="s">
        <v>46</v>
      </c>
      <c r="AB5950" s="17" t="s">
        <v>1335</v>
      </c>
      <c r="AC5950" s="217">
        <v>45443</v>
      </c>
      <c r="AD5950" s="65">
        <v>1581</v>
      </c>
      <c r="AE5950" s="17" t="s">
        <v>74</v>
      </c>
    </row>
    <row r="5951" s="17" customFormat="1" hidden="1" spans="1:31">
      <c r="A5951" s="17" t="s">
        <v>34</v>
      </c>
      <c r="B5951" s="19">
        <v>1012</v>
      </c>
      <c r="C5951" s="183">
        <v>45423</v>
      </c>
      <c r="D5951" s="17" t="s">
        <v>52</v>
      </c>
      <c r="E5951" s="17" t="s">
        <v>1113</v>
      </c>
      <c r="F5951" s="17" t="s">
        <v>54</v>
      </c>
      <c r="H5951" s="141">
        <v>1.2311</v>
      </c>
      <c r="I5951" s="141"/>
      <c r="J5951" s="17" t="s">
        <v>82</v>
      </c>
      <c r="K5951" s="19">
        <v>405</v>
      </c>
      <c r="L5951" s="19">
        <v>105</v>
      </c>
      <c r="M5951" s="19">
        <v>2300</v>
      </c>
      <c r="N5951" s="19" t="s">
        <v>66</v>
      </c>
      <c r="O5951" s="19" t="s">
        <v>141</v>
      </c>
      <c r="P5951" s="19">
        <v>1502</v>
      </c>
      <c r="Q5951" s="19">
        <v>753</v>
      </c>
      <c r="S5951" s="19">
        <f>825+80-20</f>
        <v>885</v>
      </c>
      <c r="T5951" s="91" t="s">
        <v>42</v>
      </c>
      <c r="U5951" s="102" t="s">
        <v>1461</v>
      </c>
      <c r="V5951" s="186">
        <v>45425</v>
      </c>
      <c r="W5951" s="17" t="s">
        <v>69</v>
      </c>
      <c r="Y5951" s="68">
        <v>45413</v>
      </c>
      <c r="Z5951" s="17" t="s">
        <v>191</v>
      </c>
      <c r="AA5951" s="17" t="s">
        <v>46</v>
      </c>
      <c r="AB5951" s="17" t="s">
        <v>1336</v>
      </c>
      <c r="AC5951" s="66">
        <v>45435</v>
      </c>
      <c r="AD5951" s="65">
        <v>1577</v>
      </c>
      <c r="AE5951" s="17" t="s">
        <v>74</v>
      </c>
    </row>
    <row r="5952" s="17" customFormat="1" hidden="1" spans="1:31">
      <c r="A5952" s="17" t="s">
        <v>34</v>
      </c>
      <c r="B5952" s="19">
        <v>1012</v>
      </c>
      <c r="C5952" s="183">
        <v>45423</v>
      </c>
      <c r="D5952" s="17" t="s">
        <v>52</v>
      </c>
      <c r="E5952" s="17" t="s">
        <v>1113</v>
      </c>
      <c r="F5952" s="17" t="s">
        <v>54</v>
      </c>
      <c r="H5952" s="141">
        <v>1.2311</v>
      </c>
      <c r="I5952" s="141"/>
      <c r="J5952" s="17" t="s">
        <v>82</v>
      </c>
      <c r="K5952" s="19">
        <v>405</v>
      </c>
      <c r="L5952" s="19">
        <v>105</v>
      </c>
      <c r="M5952" s="19">
        <v>2300</v>
      </c>
      <c r="N5952" s="19" t="s">
        <v>66</v>
      </c>
      <c r="O5952" s="19" t="s">
        <v>141</v>
      </c>
      <c r="P5952" s="19"/>
      <c r="Q5952" s="19">
        <v>758</v>
      </c>
      <c r="R5952" s="19">
        <f>+P5951-Q5951-Q5952</f>
        <v>-9</v>
      </c>
      <c r="S5952" s="19">
        <f>825+60</f>
        <v>885</v>
      </c>
      <c r="T5952" s="91" t="s">
        <v>42</v>
      </c>
      <c r="U5952" s="102" t="s">
        <v>1461</v>
      </c>
      <c r="V5952" s="186">
        <v>45425</v>
      </c>
      <c r="W5952" s="17" t="s">
        <v>69</v>
      </c>
      <c r="Y5952" s="68">
        <v>45413</v>
      </c>
      <c r="Z5952" s="17" t="s">
        <v>191</v>
      </c>
      <c r="AA5952" s="17" t="s">
        <v>46</v>
      </c>
      <c r="AB5952" s="17" t="s">
        <v>1345</v>
      </c>
      <c r="AC5952" s="217">
        <v>45443</v>
      </c>
      <c r="AD5952" s="65">
        <v>1580</v>
      </c>
      <c r="AE5952" s="17" t="s">
        <v>74</v>
      </c>
    </row>
    <row r="5953" s="17" customFormat="1" hidden="1" spans="1:32">
      <c r="A5953" s="17" t="s">
        <v>34</v>
      </c>
      <c r="B5953" s="19">
        <v>1012</v>
      </c>
      <c r="C5953" s="183">
        <v>45423</v>
      </c>
      <c r="D5953" s="17" t="s">
        <v>52</v>
      </c>
      <c r="E5953" s="17" t="s">
        <v>1113</v>
      </c>
      <c r="F5953" s="17" t="s">
        <v>54</v>
      </c>
      <c r="H5953" s="141">
        <v>1.2311</v>
      </c>
      <c r="I5953" s="141"/>
      <c r="J5953" s="17" t="s">
        <v>82</v>
      </c>
      <c r="K5953" s="19">
        <v>455</v>
      </c>
      <c r="L5953" s="19">
        <v>105</v>
      </c>
      <c r="M5953" s="19">
        <v>2300</v>
      </c>
      <c r="N5953" s="19" t="s">
        <v>66</v>
      </c>
      <c r="O5953" s="19" t="s">
        <v>141</v>
      </c>
      <c r="P5953" s="19">
        <v>1688</v>
      </c>
      <c r="Q5953" s="19">
        <v>851</v>
      </c>
      <c r="S5953" s="19">
        <f>825+80-20</f>
        <v>885</v>
      </c>
      <c r="T5953" s="91" t="s">
        <v>42</v>
      </c>
      <c r="U5953" s="102" t="s">
        <v>1461</v>
      </c>
      <c r="V5953" s="186">
        <v>45425</v>
      </c>
      <c r="W5953" s="17" t="s">
        <v>69</v>
      </c>
      <c r="Y5953" s="68">
        <v>45413</v>
      </c>
      <c r="Z5953" s="17" t="s">
        <v>191</v>
      </c>
      <c r="AA5953" s="17" t="s">
        <v>46</v>
      </c>
      <c r="AB5953" s="17" t="s">
        <v>1336</v>
      </c>
      <c r="AC5953" s="66">
        <v>45435</v>
      </c>
      <c r="AD5953" s="65">
        <v>1577</v>
      </c>
      <c r="AE5953" s="17" t="s">
        <v>74</v>
      </c>
    </row>
    <row r="5954" s="17" customFormat="1" hidden="1" spans="1:32">
      <c r="A5954" s="17" t="s">
        <v>34</v>
      </c>
      <c r="B5954" s="19">
        <v>1012</v>
      </c>
      <c r="C5954" s="183">
        <v>45423</v>
      </c>
      <c r="D5954" s="17" t="s">
        <v>52</v>
      </c>
      <c r="E5954" s="17" t="s">
        <v>1113</v>
      </c>
      <c r="F5954" s="17" t="s">
        <v>54</v>
      </c>
      <c r="H5954" s="141">
        <v>1.2311</v>
      </c>
      <c r="I5954" s="141"/>
      <c r="J5954" s="17" t="s">
        <v>82</v>
      </c>
      <c r="K5954" s="19">
        <v>455</v>
      </c>
      <c r="L5954" s="19">
        <v>105</v>
      </c>
      <c r="M5954" s="19">
        <v>2300</v>
      </c>
      <c r="N5954" s="19" t="s">
        <v>66</v>
      </c>
      <c r="O5954" s="19" t="s">
        <v>141</v>
      </c>
      <c r="P5954" s="19"/>
      <c r="Q5954" s="19">
        <v>850</v>
      </c>
      <c r="R5954" s="19">
        <f>+P5953-Q5953-Q5954</f>
        <v>-13</v>
      </c>
      <c r="S5954" s="19">
        <f>825+60</f>
        <v>885</v>
      </c>
      <c r="T5954" s="91" t="s">
        <v>42</v>
      </c>
      <c r="U5954" s="102" t="s">
        <v>1461</v>
      </c>
      <c r="V5954" s="186">
        <v>45425</v>
      </c>
      <c r="W5954" s="17" t="s">
        <v>69</v>
      </c>
      <c r="Y5954" s="68">
        <v>45413</v>
      </c>
      <c r="Z5954" s="17" t="s">
        <v>191</v>
      </c>
      <c r="AA5954" s="17" t="s">
        <v>46</v>
      </c>
      <c r="AB5954" s="17" t="s">
        <v>1345</v>
      </c>
      <c r="AC5954" s="217">
        <v>45443</v>
      </c>
      <c r="AD5954" s="65">
        <v>1580</v>
      </c>
      <c r="AE5954" s="17" t="s">
        <v>74</v>
      </c>
    </row>
    <row r="5955" s="17" customFormat="1" hidden="1" spans="1:32">
      <c r="A5955" s="17" t="s">
        <v>34</v>
      </c>
      <c r="B5955" s="19">
        <v>1012</v>
      </c>
      <c r="C5955" s="183">
        <v>45423</v>
      </c>
      <c r="D5955" s="17" t="s">
        <v>52</v>
      </c>
      <c r="E5955" s="17" t="s">
        <v>1113</v>
      </c>
      <c r="F5955" s="17" t="s">
        <v>54</v>
      </c>
      <c r="H5955" s="141">
        <v>1.2311</v>
      </c>
      <c r="I5955" s="141"/>
      <c r="J5955" s="17" t="s">
        <v>82</v>
      </c>
      <c r="K5955" s="19">
        <v>505</v>
      </c>
      <c r="L5955" s="19">
        <v>105</v>
      </c>
      <c r="M5955" s="19">
        <v>2300</v>
      </c>
      <c r="N5955" s="19" t="s">
        <v>66</v>
      </c>
      <c r="O5955" s="19" t="s">
        <v>141</v>
      </c>
      <c r="P5955" s="19">
        <v>1873</v>
      </c>
      <c r="Q5955" s="19">
        <v>953</v>
      </c>
      <c r="S5955" s="19">
        <f>825+60</f>
        <v>885</v>
      </c>
      <c r="T5955" s="91" t="s">
        <v>42</v>
      </c>
      <c r="U5955" s="102" t="s">
        <v>1461</v>
      </c>
      <c r="V5955" s="186">
        <v>45425</v>
      </c>
      <c r="W5955" s="17" t="s">
        <v>69</v>
      </c>
      <c r="Y5955" s="68">
        <v>45413</v>
      </c>
      <c r="Z5955" s="17" t="s">
        <v>191</v>
      </c>
      <c r="AA5955" s="17" t="s">
        <v>46</v>
      </c>
      <c r="AB5955" s="17" t="s">
        <v>1345</v>
      </c>
      <c r="AC5955" s="217">
        <v>45443</v>
      </c>
      <c r="AD5955" s="65">
        <v>1580</v>
      </c>
      <c r="AE5955" s="17" t="s">
        <v>74</v>
      </c>
    </row>
    <row r="5956" s="17" customFormat="1" hidden="1" spans="1:32">
      <c r="A5956" s="17" t="s">
        <v>34</v>
      </c>
      <c r="B5956" s="19">
        <v>1012</v>
      </c>
      <c r="C5956" s="183">
        <v>45423</v>
      </c>
      <c r="D5956" s="17" t="s">
        <v>52</v>
      </c>
      <c r="E5956" s="17" t="s">
        <v>1113</v>
      </c>
      <c r="F5956" s="17" t="s">
        <v>54</v>
      </c>
      <c r="H5956" s="141">
        <v>1.2311</v>
      </c>
      <c r="I5956" s="141"/>
      <c r="J5956" s="17" t="s">
        <v>82</v>
      </c>
      <c r="K5956" s="19">
        <v>505</v>
      </c>
      <c r="L5956" s="19">
        <v>105</v>
      </c>
      <c r="M5956" s="19">
        <v>2300</v>
      </c>
      <c r="N5956" s="19" t="s">
        <v>66</v>
      </c>
      <c r="O5956" s="19" t="s">
        <v>141</v>
      </c>
      <c r="P5956" s="19"/>
      <c r="Q5956" s="146">
        <v>921</v>
      </c>
      <c r="R5956" s="19">
        <f>+P5955-Q5955-Q5956</f>
        <v>-1</v>
      </c>
      <c r="S5956" s="19">
        <f>825+80</f>
        <v>905</v>
      </c>
      <c r="T5956" s="91" t="s">
        <v>42</v>
      </c>
      <c r="U5956" s="102" t="s">
        <v>1461</v>
      </c>
      <c r="V5956" s="186">
        <v>45425</v>
      </c>
      <c r="W5956" s="17" t="s">
        <v>69</v>
      </c>
      <c r="Y5956" s="68">
        <v>45413</v>
      </c>
      <c r="Z5956" s="17" t="s">
        <v>191</v>
      </c>
      <c r="AA5956" s="17" t="s">
        <v>46</v>
      </c>
      <c r="AB5956" s="17" t="s">
        <v>1340</v>
      </c>
      <c r="AC5956" s="217">
        <v>45498</v>
      </c>
      <c r="AD5956" s="65">
        <v>1603</v>
      </c>
      <c r="AE5956" s="17" t="s">
        <v>74</v>
      </c>
    </row>
    <row r="5957" s="17" customFormat="1" hidden="1" spans="1:32">
      <c r="A5957" s="17" t="s">
        <v>34</v>
      </c>
      <c r="B5957" s="19">
        <v>1013</v>
      </c>
      <c r="C5957" s="183">
        <v>45418</v>
      </c>
      <c r="D5957" s="17" t="s">
        <v>109</v>
      </c>
      <c r="E5957" s="17" t="s">
        <v>110</v>
      </c>
      <c r="F5957" s="17" t="s">
        <v>72</v>
      </c>
      <c r="H5957" s="141">
        <v>1.2379</v>
      </c>
      <c r="I5957" s="141"/>
      <c r="J5957" s="17" t="s">
        <v>82</v>
      </c>
      <c r="K5957" s="19">
        <v>80</v>
      </c>
      <c r="L5957" s="91">
        <v>20</v>
      </c>
      <c r="M5957" s="19">
        <v>5800</v>
      </c>
      <c r="N5957" s="19" t="s">
        <v>40</v>
      </c>
      <c r="O5957" s="19" t="s">
        <v>141</v>
      </c>
      <c r="P5957" s="19">
        <v>1000</v>
      </c>
      <c r="Q5957" s="146">
        <v>1075</v>
      </c>
      <c r="R5957" s="19">
        <f t="shared" ref="R5957:R5988" si="267">+P5957-Q5957</f>
        <v>-75</v>
      </c>
      <c r="S5957" s="19">
        <f t="shared" ref="S5957:S5967" si="268">2660-201</f>
        <v>2459</v>
      </c>
      <c r="T5957" s="91" t="s">
        <v>42</v>
      </c>
      <c r="U5957" s="102" t="s">
        <v>1462</v>
      </c>
      <c r="V5957" s="186">
        <v>45791</v>
      </c>
      <c r="W5957" s="17" t="s">
        <v>44</v>
      </c>
      <c r="Y5957" s="68">
        <v>45809</v>
      </c>
      <c r="Z5957" s="17" t="s">
        <v>1454</v>
      </c>
      <c r="AA5957" s="17" t="s">
        <v>46</v>
      </c>
      <c r="AB5957" s="17" t="s">
        <v>1463</v>
      </c>
      <c r="AC5957" s="217">
        <v>45800</v>
      </c>
      <c r="AD5957" s="65">
        <v>1691</v>
      </c>
      <c r="AE5957" s="17" t="s">
        <v>48</v>
      </c>
      <c r="AF5957" s="17" t="s">
        <v>1464</v>
      </c>
    </row>
    <row r="5958" s="17" customFormat="1" hidden="1" spans="1:32">
      <c r="A5958" s="17" t="s">
        <v>34</v>
      </c>
      <c r="B5958" s="19">
        <v>1013</v>
      </c>
      <c r="C5958" s="183">
        <v>45418</v>
      </c>
      <c r="D5958" s="17" t="s">
        <v>109</v>
      </c>
      <c r="E5958" s="17" t="s">
        <v>110</v>
      </c>
      <c r="F5958" s="17" t="s">
        <v>72</v>
      </c>
      <c r="H5958" s="141">
        <v>1.2379</v>
      </c>
      <c r="I5958" s="141"/>
      <c r="J5958" s="17" t="s">
        <v>82</v>
      </c>
      <c r="K5958" s="19">
        <v>130</v>
      </c>
      <c r="L5958" s="91">
        <v>20</v>
      </c>
      <c r="M5958" s="19">
        <v>5800</v>
      </c>
      <c r="N5958" s="19" t="s">
        <v>40</v>
      </c>
      <c r="O5958" s="19" t="s">
        <v>141</v>
      </c>
      <c r="P5958" s="19">
        <v>1000</v>
      </c>
      <c r="Q5958" s="146">
        <f>570+550</f>
        <v>1120</v>
      </c>
      <c r="R5958" s="19">
        <f t="shared" si="267"/>
        <v>-120</v>
      </c>
      <c r="S5958" s="19">
        <f t="shared" si="268"/>
        <v>2459</v>
      </c>
      <c r="T5958" s="91" t="s">
        <v>42</v>
      </c>
      <c r="U5958" s="102" t="s">
        <v>1462</v>
      </c>
      <c r="V5958" s="186">
        <v>45791</v>
      </c>
      <c r="W5958" s="17" t="s">
        <v>44</v>
      </c>
      <c r="Y5958" s="68">
        <v>45809</v>
      </c>
      <c r="Z5958" s="17" t="s">
        <v>1454</v>
      </c>
      <c r="AA5958" s="17" t="s">
        <v>46</v>
      </c>
      <c r="AB5958" s="17" t="s">
        <v>1463</v>
      </c>
      <c r="AC5958" s="217">
        <v>45800</v>
      </c>
      <c r="AD5958" s="65">
        <v>1691</v>
      </c>
      <c r="AE5958" s="17" t="s">
        <v>48</v>
      </c>
      <c r="AF5958" s="17" t="s">
        <v>1464</v>
      </c>
    </row>
    <row r="5959" s="17" customFormat="1" hidden="1" spans="1:32">
      <c r="A5959" s="17" t="s">
        <v>34</v>
      </c>
      <c r="B5959" s="19">
        <v>1013</v>
      </c>
      <c r="C5959" s="183">
        <v>45418</v>
      </c>
      <c r="D5959" s="17" t="s">
        <v>109</v>
      </c>
      <c r="E5959" s="17" t="s">
        <v>110</v>
      </c>
      <c r="F5959" s="17" t="s">
        <v>72</v>
      </c>
      <c r="H5959" s="141">
        <v>1.2379</v>
      </c>
      <c r="I5959" s="141"/>
      <c r="J5959" s="17" t="s">
        <v>82</v>
      </c>
      <c r="K5959" s="19">
        <v>155</v>
      </c>
      <c r="L5959" s="91">
        <v>20</v>
      </c>
      <c r="M5959" s="19">
        <v>5800</v>
      </c>
      <c r="N5959" s="19" t="s">
        <v>40</v>
      </c>
      <c r="O5959" s="19" t="s">
        <v>141</v>
      </c>
      <c r="P5959" s="19">
        <v>5000</v>
      </c>
      <c r="Q5959" s="146">
        <f>1365+1290+1290+1180</f>
        <v>5125</v>
      </c>
      <c r="R5959" s="19">
        <f t="shared" si="267"/>
        <v>-125</v>
      </c>
      <c r="S5959" s="19">
        <f t="shared" si="268"/>
        <v>2459</v>
      </c>
      <c r="T5959" s="91" t="s">
        <v>42</v>
      </c>
      <c r="U5959" s="102" t="s">
        <v>1462</v>
      </c>
      <c r="V5959" s="186">
        <v>45791</v>
      </c>
      <c r="W5959" s="17" t="s">
        <v>44</v>
      </c>
      <c r="Y5959" s="68">
        <v>45809</v>
      </c>
      <c r="Z5959" s="17" t="s">
        <v>1454</v>
      </c>
      <c r="AA5959" s="17" t="s">
        <v>46</v>
      </c>
      <c r="AB5959" s="17" t="s">
        <v>1463</v>
      </c>
      <c r="AC5959" s="217">
        <v>45800</v>
      </c>
      <c r="AD5959" s="65">
        <v>1691</v>
      </c>
      <c r="AE5959" s="17" t="s">
        <v>48</v>
      </c>
      <c r="AF5959" s="17" t="s">
        <v>1464</v>
      </c>
    </row>
    <row r="5960" s="17" customFormat="1" hidden="1" spans="1:32">
      <c r="A5960" s="17" t="s">
        <v>34</v>
      </c>
      <c r="B5960" s="19">
        <v>1013</v>
      </c>
      <c r="C5960" s="183">
        <v>45418</v>
      </c>
      <c r="D5960" s="17" t="s">
        <v>109</v>
      </c>
      <c r="E5960" s="17" t="s">
        <v>110</v>
      </c>
      <c r="F5960" s="17" t="s">
        <v>72</v>
      </c>
      <c r="H5960" s="141">
        <v>1.2379</v>
      </c>
      <c r="I5960" s="141"/>
      <c r="J5960" s="17" t="s">
        <v>82</v>
      </c>
      <c r="K5960" s="19">
        <v>130</v>
      </c>
      <c r="L5960" s="91">
        <v>25</v>
      </c>
      <c r="M5960" s="19">
        <v>5800</v>
      </c>
      <c r="N5960" s="19" t="s">
        <v>40</v>
      </c>
      <c r="O5960" s="19" t="s">
        <v>141</v>
      </c>
      <c r="P5960" s="19">
        <v>1000</v>
      </c>
      <c r="Q5960" s="146">
        <v>1140</v>
      </c>
      <c r="R5960" s="19">
        <f t="shared" si="267"/>
        <v>-140</v>
      </c>
      <c r="S5960" s="19">
        <f t="shared" si="268"/>
        <v>2459</v>
      </c>
      <c r="T5960" s="91" t="s">
        <v>42</v>
      </c>
      <c r="U5960" s="102" t="s">
        <v>1462</v>
      </c>
      <c r="V5960" s="186">
        <v>45791</v>
      </c>
      <c r="W5960" s="17" t="s">
        <v>44</v>
      </c>
      <c r="Y5960" s="68">
        <v>45809</v>
      </c>
      <c r="Z5960" s="17" t="s">
        <v>1454</v>
      </c>
      <c r="AA5960" s="17" t="s">
        <v>46</v>
      </c>
      <c r="AB5960" s="17" t="s">
        <v>1463</v>
      </c>
      <c r="AC5960" s="217">
        <v>45800</v>
      </c>
      <c r="AD5960" s="65">
        <v>1691</v>
      </c>
      <c r="AE5960" s="17" t="s">
        <v>48</v>
      </c>
      <c r="AF5960" s="17" t="s">
        <v>1464</v>
      </c>
    </row>
    <row r="5961" s="17" customFormat="1" hidden="1" spans="1:32">
      <c r="A5961" s="17" t="s">
        <v>34</v>
      </c>
      <c r="B5961" s="19">
        <v>1013</v>
      </c>
      <c r="C5961" s="183">
        <v>45418</v>
      </c>
      <c r="D5961" s="17" t="s">
        <v>109</v>
      </c>
      <c r="E5961" s="17" t="s">
        <v>110</v>
      </c>
      <c r="F5961" s="17" t="s">
        <v>72</v>
      </c>
      <c r="H5961" s="141">
        <v>1.2379</v>
      </c>
      <c r="I5961" s="141"/>
      <c r="J5961" s="17" t="s">
        <v>82</v>
      </c>
      <c r="K5961" s="19">
        <v>205</v>
      </c>
      <c r="L5961" s="91">
        <v>25</v>
      </c>
      <c r="M5961" s="19">
        <v>5800</v>
      </c>
      <c r="N5961" s="19" t="s">
        <v>40</v>
      </c>
      <c r="O5961" s="19" t="s">
        <v>141</v>
      </c>
      <c r="P5961" s="19">
        <v>1000</v>
      </c>
      <c r="Q5961" s="146">
        <f>1170+315</f>
        <v>1485</v>
      </c>
      <c r="R5961" s="19">
        <f t="shared" si="267"/>
        <v>-485</v>
      </c>
      <c r="S5961" s="19">
        <f t="shared" si="268"/>
        <v>2459</v>
      </c>
      <c r="T5961" s="91" t="s">
        <v>42</v>
      </c>
      <c r="U5961" s="102" t="s">
        <v>1462</v>
      </c>
      <c r="V5961" s="186">
        <v>45791</v>
      </c>
      <c r="W5961" s="17" t="s">
        <v>44</v>
      </c>
      <c r="Y5961" s="68">
        <v>45809</v>
      </c>
      <c r="Z5961" s="17" t="s">
        <v>1454</v>
      </c>
      <c r="AA5961" s="17" t="s">
        <v>46</v>
      </c>
      <c r="AB5961" s="17" t="s">
        <v>1463</v>
      </c>
      <c r="AC5961" s="217">
        <v>45800</v>
      </c>
      <c r="AD5961" s="65">
        <v>1691</v>
      </c>
      <c r="AE5961" s="17" t="s">
        <v>48</v>
      </c>
      <c r="AF5961" s="17" t="s">
        <v>1464</v>
      </c>
    </row>
    <row r="5962" s="17" customFormat="1" hidden="1" spans="1:32">
      <c r="A5962" s="17" t="s">
        <v>34</v>
      </c>
      <c r="B5962" s="19">
        <v>1013</v>
      </c>
      <c r="C5962" s="183">
        <v>45418</v>
      </c>
      <c r="D5962" s="17" t="s">
        <v>109</v>
      </c>
      <c r="E5962" s="17" t="s">
        <v>110</v>
      </c>
      <c r="F5962" s="17" t="s">
        <v>72</v>
      </c>
      <c r="H5962" s="141">
        <v>1.2379</v>
      </c>
      <c r="I5962" s="141"/>
      <c r="J5962" s="17" t="s">
        <v>82</v>
      </c>
      <c r="K5962" s="19">
        <v>255</v>
      </c>
      <c r="L5962" s="91">
        <v>25</v>
      </c>
      <c r="M5962" s="19">
        <v>5800</v>
      </c>
      <c r="N5962" s="19" t="s">
        <v>40</v>
      </c>
      <c r="O5962" s="19" t="s">
        <v>141</v>
      </c>
      <c r="P5962" s="19">
        <v>1000</v>
      </c>
      <c r="Q5962" s="146">
        <v>460</v>
      </c>
      <c r="R5962" s="19">
        <f t="shared" si="267"/>
        <v>540</v>
      </c>
      <c r="S5962" s="19">
        <f t="shared" si="268"/>
        <v>2459</v>
      </c>
      <c r="T5962" s="91" t="s">
        <v>42</v>
      </c>
      <c r="U5962" s="102" t="s">
        <v>1462</v>
      </c>
      <c r="V5962" s="186">
        <v>45791</v>
      </c>
      <c r="W5962" s="17" t="s">
        <v>44</v>
      </c>
      <c r="Y5962" s="68">
        <v>45809</v>
      </c>
      <c r="Z5962" s="17" t="s">
        <v>1454</v>
      </c>
      <c r="AA5962" s="17" t="s">
        <v>46</v>
      </c>
      <c r="AB5962" s="17" t="s">
        <v>1463</v>
      </c>
      <c r="AC5962" s="217">
        <v>45800</v>
      </c>
      <c r="AD5962" s="65">
        <v>1691</v>
      </c>
      <c r="AE5962" s="17" t="s">
        <v>48</v>
      </c>
      <c r="AF5962" s="17" t="s">
        <v>1464</v>
      </c>
    </row>
    <row r="5963" s="17" customFormat="1" hidden="1" spans="1:32">
      <c r="A5963" s="17" t="s">
        <v>34</v>
      </c>
      <c r="B5963" s="19">
        <v>1013</v>
      </c>
      <c r="C5963" s="183">
        <v>45418</v>
      </c>
      <c r="D5963" s="17" t="s">
        <v>109</v>
      </c>
      <c r="E5963" s="17" t="s">
        <v>110</v>
      </c>
      <c r="F5963" s="17" t="s">
        <v>72</v>
      </c>
      <c r="H5963" s="141">
        <v>1.2379</v>
      </c>
      <c r="I5963" s="141"/>
      <c r="J5963" s="17" t="s">
        <v>82</v>
      </c>
      <c r="K5963" s="19">
        <v>305</v>
      </c>
      <c r="L5963" s="91">
        <v>25</v>
      </c>
      <c r="M5963" s="19">
        <v>5800</v>
      </c>
      <c r="N5963" s="19" t="s">
        <v>40</v>
      </c>
      <c r="O5963" s="19" t="s">
        <v>141</v>
      </c>
      <c r="P5963" s="19">
        <v>1000</v>
      </c>
      <c r="Q5963" s="146">
        <v>1155</v>
      </c>
      <c r="R5963" s="19">
        <f t="shared" si="267"/>
        <v>-155</v>
      </c>
      <c r="S5963" s="19">
        <f t="shared" si="268"/>
        <v>2459</v>
      </c>
      <c r="T5963" s="91" t="s">
        <v>42</v>
      </c>
      <c r="U5963" s="102" t="s">
        <v>1462</v>
      </c>
      <c r="V5963" s="186">
        <v>45791</v>
      </c>
      <c r="W5963" s="17" t="s">
        <v>44</v>
      </c>
      <c r="Y5963" s="68">
        <v>45809</v>
      </c>
      <c r="Z5963" s="17" t="s">
        <v>1454</v>
      </c>
      <c r="AA5963" s="17" t="s">
        <v>46</v>
      </c>
      <c r="AB5963" s="17" t="s">
        <v>1463</v>
      </c>
      <c r="AC5963" s="217">
        <v>45800</v>
      </c>
      <c r="AD5963" s="65">
        <v>1691</v>
      </c>
      <c r="AE5963" s="17" t="s">
        <v>48</v>
      </c>
      <c r="AF5963" s="17" t="s">
        <v>1464</v>
      </c>
    </row>
    <row r="5964" s="17" customFormat="1" hidden="1" spans="1:32">
      <c r="A5964" s="17" t="s">
        <v>34</v>
      </c>
      <c r="B5964" s="19">
        <v>1013</v>
      </c>
      <c r="C5964" s="183">
        <v>45418</v>
      </c>
      <c r="D5964" s="17" t="s">
        <v>109</v>
      </c>
      <c r="E5964" s="17" t="s">
        <v>110</v>
      </c>
      <c r="F5964" s="17" t="s">
        <v>72</v>
      </c>
      <c r="H5964" s="141">
        <v>1.2379</v>
      </c>
      <c r="I5964" s="141"/>
      <c r="J5964" s="17" t="s">
        <v>82</v>
      </c>
      <c r="K5964" s="19">
        <v>105</v>
      </c>
      <c r="L5964" s="91">
        <v>32</v>
      </c>
      <c r="M5964" s="19">
        <v>5800</v>
      </c>
      <c r="N5964" s="19" t="s">
        <v>40</v>
      </c>
      <c r="O5964" s="19" t="s">
        <v>141</v>
      </c>
      <c r="P5964" s="19">
        <v>1000</v>
      </c>
      <c r="Q5964" s="146">
        <v>830</v>
      </c>
      <c r="R5964" s="19">
        <f t="shared" si="267"/>
        <v>170</v>
      </c>
      <c r="S5964" s="19">
        <f t="shared" si="268"/>
        <v>2459</v>
      </c>
      <c r="T5964" s="91" t="s">
        <v>42</v>
      </c>
      <c r="U5964" s="102" t="s">
        <v>1462</v>
      </c>
      <c r="V5964" s="186">
        <v>45791</v>
      </c>
      <c r="W5964" s="17" t="s">
        <v>44</v>
      </c>
      <c r="Y5964" s="68">
        <v>45809</v>
      </c>
      <c r="Z5964" s="17" t="s">
        <v>1454</v>
      </c>
      <c r="AA5964" s="17" t="s">
        <v>46</v>
      </c>
      <c r="AB5964" s="17" t="s">
        <v>1463</v>
      </c>
      <c r="AC5964" s="217">
        <v>45800</v>
      </c>
      <c r="AD5964" s="65">
        <v>1691</v>
      </c>
      <c r="AE5964" s="17" t="s">
        <v>48</v>
      </c>
      <c r="AF5964" s="17" t="s">
        <v>1464</v>
      </c>
    </row>
    <row r="5965" s="17" customFormat="1" hidden="1" spans="1:32">
      <c r="A5965" s="17" t="s">
        <v>34</v>
      </c>
      <c r="B5965" s="19">
        <v>1013</v>
      </c>
      <c r="C5965" s="183">
        <v>45418</v>
      </c>
      <c r="D5965" s="17" t="s">
        <v>109</v>
      </c>
      <c r="E5965" s="17" t="s">
        <v>110</v>
      </c>
      <c r="F5965" s="17" t="s">
        <v>72</v>
      </c>
      <c r="H5965" s="141">
        <v>1.2379</v>
      </c>
      <c r="I5965" s="141"/>
      <c r="J5965" s="17" t="s">
        <v>82</v>
      </c>
      <c r="K5965" s="19">
        <v>130</v>
      </c>
      <c r="L5965" s="91">
        <v>32</v>
      </c>
      <c r="M5965" s="19">
        <v>5800</v>
      </c>
      <c r="N5965" s="19" t="s">
        <v>40</v>
      </c>
      <c r="O5965" s="19" t="s">
        <v>141</v>
      </c>
      <c r="P5965" s="19">
        <v>1000</v>
      </c>
      <c r="Q5965" s="146">
        <f>125+1125</f>
        <v>1250</v>
      </c>
      <c r="R5965" s="19">
        <f t="shared" si="267"/>
        <v>-250</v>
      </c>
      <c r="S5965" s="19">
        <f t="shared" si="268"/>
        <v>2459</v>
      </c>
      <c r="T5965" s="91" t="s">
        <v>42</v>
      </c>
      <c r="U5965" s="102" t="s">
        <v>1462</v>
      </c>
      <c r="V5965" s="186">
        <v>45791</v>
      </c>
      <c r="W5965" s="17" t="s">
        <v>44</v>
      </c>
      <c r="Y5965" s="68">
        <v>45809</v>
      </c>
      <c r="Z5965" s="17" t="s">
        <v>1454</v>
      </c>
      <c r="AA5965" s="17" t="s">
        <v>46</v>
      </c>
      <c r="AB5965" s="17" t="s">
        <v>1463</v>
      </c>
      <c r="AC5965" s="217">
        <v>45800</v>
      </c>
      <c r="AD5965" s="65">
        <v>1691</v>
      </c>
      <c r="AE5965" s="17" t="s">
        <v>48</v>
      </c>
      <c r="AF5965" s="17" t="s">
        <v>1464</v>
      </c>
    </row>
    <row r="5966" s="17" customFormat="1" hidden="1" spans="1:32">
      <c r="A5966" s="17" t="s">
        <v>34</v>
      </c>
      <c r="B5966" s="19">
        <v>1013</v>
      </c>
      <c r="C5966" s="183">
        <v>45418</v>
      </c>
      <c r="D5966" s="17" t="s">
        <v>109</v>
      </c>
      <c r="E5966" s="17" t="s">
        <v>110</v>
      </c>
      <c r="F5966" s="17" t="s">
        <v>72</v>
      </c>
      <c r="H5966" s="141">
        <v>1.2379</v>
      </c>
      <c r="I5966" s="141"/>
      <c r="J5966" s="17" t="s">
        <v>82</v>
      </c>
      <c r="K5966" s="19">
        <v>155</v>
      </c>
      <c r="L5966" s="91">
        <v>32</v>
      </c>
      <c r="M5966" s="19">
        <v>5800</v>
      </c>
      <c r="N5966" s="19" t="s">
        <v>40</v>
      </c>
      <c r="O5966" s="19" t="s">
        <v>141</v>
      </c>
      <c r="P5966" s="19">
        <v>1000</v>
      </c>
      <c r="Q5966" s="146">
        <v>1095</v>
      </c>
      <c r="R5966" s="19">
        <f t="shared" si="267"/>
        <v>-95</v>
      </c>
      <c r="S5966" s="19">
        <f t="shared" si="268"/>
        <v>2459</v>
      </c>
      <c r="T5966" s="91" t="s">
        <v>42</v>
      </c>
      <c r="U5966" s="102" t="s">
        <v>1462</v>
      </c>
      <c r="V5966" s="186">
        <v>45791</v>
      </c>
      <c r="W5966" s="17" t="s">
        <v>44</v>
      </c>
      <c r="Y5966" s="68">
        <v>45809</v>
      </c>
      <c r="Z5966" s="17" t="s">
        <v>1454</v>
      </c>
      <c r="AA5966" s="17" t="s">
        <v>46</v>
      </c>
      <c r="AB5966" s="17" t="s">
        <v>1463</v>
      </c>
      <c r="AC5966" s="217">
        <v>45800</v>
      </c>
      <c r="AD5966" s="65">
        <v>1691</v>
      </c>
      <c r="AE5966" s="17" t="s">
        <v>48</v>
      </c>
      <c r="AF5966" s="17" t="s">
        <v>1464</v>
      </c>
    </row>
    <row r="5967" s="17" customFormat="1" hidden="1" spans="1:32">
      <c r="A5967" s="17" t="s">
        <v>34</v>
      </c>
      <c r="B5967" s="19">
        <v>1013</v>
      </c>
      <c r="C5967" s="183">
        <v>45418</v>
      </c>
      <c r="D5967" s="17" t="s">
        <v>109</v>
      </c>
      <c r="E5967" s="17" t="s">
        <v>110</v>
      </c>
      <c r="F5967" s="17" t="s">
        <v>72</v>
      </c>
      <c r="H5967" s="141">
        <v>1.2379</v>
      </c>
      <c r="I5967" s="141"/>
      <c r="J5967" s="17" t="s">
        <v>82</v>
      </c>
      <c r="K5967" s="19">
        <v>305</v>
      </c>
      <c r="L5967" s="91">
        <v>32</v>
      </c>
      <c r="M5967" s="19">
        <v>5800</v>
      </c>
      <c r="N5967" s="19" t="s">
        <v>40</v>
      </c>
      <c r="O5967" s="19" t="s">
        <v>141</v>
      </c>
      <c r="P5967" s="19">
        <v>5000</v>
      </c>
      <c r="Q5967" s="146">
        <f>1700+1970+2025</f>
        <v>5695</v>
      </c>
      <c r="R5967" s="19">
        <f t="shared" si="267"/>
        <v>-695</v>
      </c>
      <c r="S5967" s="19">
        <f t="shared" si="268"/>
        <v>2459</v>
      </c>
      <c r="T5967" s="91" t="s">
        <v>42</v>
      </c>
      <c r="U5967" s="102" t="s">
        <v>1462</v>
      </c>
      <c r="V5967" s="186">
        <v>45791</v>
      </c>
      <c r="W5967" s="17" t="s">
        <v>44</v>
      </c>
      <c r="Y5967" s="68">
        <v>45809</v>
      </c>
      <c r="Z5967" s="17" t="s">
        <v>1454</v>
      </c>
      <c r="AA5967" s="17" t="s">
        <v>46</v>
      </c>
      <c r="AB5967" s="17" t="s">
        <v>1463</v>
      </c>
      <c r="AC5967" s="217">
        <v>45800</v>
      </c>
      <c r="AD5967" s="65">
        <v>1691</v>
      </c>
      <c r="AE5967" s="17" t="s">
        <v>48</v>
      </c>
      <c r="AF5967" s="17" t="s">
        <v>1464</v>
      </c>
    </row>
    <row r="5968" s="17" customFormat="1" hidden="1" spans="1:32">
      <c r="A5968" s="17" t="s">
        <v>34</v>
      </c>
      <c r="B5968" s="19">
        <v>1014</v>
      </c>
      <c r="C5968" s="183">
        <v>45433</v>
      </c>
      <c r="D5968" s="17" t="s">
        <v>35</v>
      </c>
      <c r="E5968" s="17" t="s">
        <v>718</v>
      </c>
      <c r="F5968" s="17" t="s">
        <v>37</v>
      </c>
      <c r="H5968" s="141">
        <v>1.2344</v>
      </c>
      <c r="I5968" s="141"/>
      <c r="J5968" s="17" t="s">
        <v>39</v>
      </c>
      <c r="K5968" s="19">
        <v>134</v>
      </c>
      <c r="M5968" s="19"/>
      <c r="N5968" s="19" t="s">
        <v>40</v>
      </c>
      <c r="O5968" s="19" t="s">
        <v>41</v>
      </c>
      <c r="P5968" s="19">
        <v>935</v>
      </c>
      <c r="Q5968" s="19">
        <v>966</v>
      </c>
      <c r="R5968" s="19">
        <f t="shared" si="267"/>
        <v>-31</v>
      </c>
      <c r="S5968" s="19">
        <v>3800</v>
      </c>
      <c r="T5968" s="91" t="s">
        <v>42</v>
      </c>
      <c r="U5968" s="102" t="s">
        <v>1465</v>
      </c>
      <c r="V5968" s="186">
        <v>45429</v>
      </c>
      <c r="W5968" s="17" t="s">
        <v>58</v>
      </c>
      <c r="Y5968" s="68">
        <v>45444</v>
      </c>
      <c r="Z5968" s="17" t="s">
        <v>78</v>
      </c>
      <c r="AA5968" s="17" t="s">
        <v>46</v>
      </c>
      <c r="AB5968" s="17" t="s">
        <v>1385</v>
      </c>
      <c r="AC5968" s="217">
        <v>45503</v>
      </c>
      <c r="AD5968" s="65">
        <v>1585</v>
      </c>
      <c r="AE5968" s="17" t="s">
        <v>48</v>
      </c>
    </row>
    <row r="5969" s="17" customFormat="1" hidden="1" spans="1:31">
      <c r="A5969" s="17" t="s">
        <v>34</v>
      </c>
      <c r="B5969" s="19">
        <v>1014</v>
      </c>
      <c r="C5969" s="183">
        <v>45433</v>
      </c>
      <c r="D5969" s="17" t="s">
        <v>35</v>
      </c>
      <c r="E5969" s="17" t="s">
        <v>718</v>
      </c>
      <c r="F5969" s="17" t="s">
        <v>37</v>
      </c>
      <c r="H5969" s="141" t="s">
        <v>197</v>
      </c>
      <c r="I5969" s="141"/>
      <c r="J5969" s="17" t="s">
        <v>39</v>
      </c>
      <c r="K5969" s="19">
        <v>80</v>
      </c>
      <c r="L5969" s="91"/>
      <c r="M5969" s="19"/>
      <c r="N5969" s="19" t="s">
        <v>40</v>
      </c>
      <c r="O5969" s="19" t="s">
        <v>41</v>
      </c>
      <c r="P5969" s="19">
        <v>966</v>
      </c>
      <c r="Q5969" s="19">
        <v>966</v>
      </c>
      <c r="R5969" s="19">
        <f t="shared" si="267"/>
        <v>0</v>
      </c>
      <c r="S5969" s="19">
        <f>5875+135</f>
        <v>6010</v>
      </c>
      <c r="T5969" s="19" t="s">
        <v>42</v>
      </c>
      <c r="U5969" s="102" t="s">
        <v>1465</v>
      </c>
      <c r="V5969" s="186">
        <v>45429</v>
      </c>
      <c r="W5969" s="17" t="s">
        <v>58</v>
      </c>
      <c r="Y5969" s="68">
        <v>45444</v>
      </c>
      <c r="Z5969" s="17" t="s">
        <v>78</v>
      </c>
      <c r="AA5969" s="17" t="s">
        <v>46</v>
      </c>
      <c r="AB5969" s="17" t="s">
        <v>1385</v>
      </c>
      <c r="AC5969" s="217">
        <v>45503</v>
      </c>
      <c r="AD5969" s="65">
        <v>1585</v>
      </c>
      <c r="AE5969" s="17" t="s">
        <v>48</v>
      </c>
    </row>
    <row r="5970" s="17" customFormat="1" hidden="1" spans="1:31">
      <c r="A5970" s="17" t="s">
        <v>34</v>
      </c>
      <c r="B5970" s="19">
        <v>1015</v>
      </c>
      <c r="C5970" s="183">
        <v>45434</v>
      </c>
      <c r="D5970" s="17" t="s">
        <v>52</v>
      </c>
      <c r="E5970" s="17" t="s">
        <v>1113</v>
      </c>
      <c r="F5970" s="17" t="s">
        <v>54</v>
      </c>
      <c r="H5970" s="19" t="s">
        <v>426</v>
      </c>
      <c r="I5970" s="19"/>
      <c r="J5970" s="17" t="s">
        <v>49</v>
      </c>
      <c r="K5970" s="19">
        <v>1500</v>
      </c>
      <c r="L5970" s="91">
        <v>310</v>
      </c>
      <c r="M5970" s="19">
        <v>3000</v>
      </c>
      <c r="N5970" s="19" t="s">
        <v>40</v>
      </c>
      <c r="O5970" s="19" t="s">
        <v>50</v>
      </c>
      <c r="P5970" s="19">
        <v>10951</v>
      </c>
      <c r="Q5970" s="19">
        <v>10990</v>
      </c>
      <c r="R5970" s="19">
        <f t="shared" si="267"/>
        <v>-39</v>
      </c>
      <c r="S5970" s="19">
        <f>975+80</f>
        <v>1055</v>
      </c>
      <c r="T5970" s="19" t="s">
        <v>42</v>
      </c>
      <c r="U5970" s="102" t="s">
        <v>1466</v>
      </c>
      <c r="V5970" s="186">
        <v>45436</v>
      </c>
      <c r="W5970" s="17" t="s">
        <v>69</v>
      </c>
      <c r="Y5970" s="68">
        <v>45505</v>
      </c>
      <c r="Z5970" s="17" t="s">
        <v>191</v>
      </c>
      <c r="AA5970" s="17" t="s">
        <v>46</v>
      </c>
      <c r="AB5970" s="17" t="s">
        <v>1467</v>
      </c>
      <c r="AC5970" s="217">
        <v>45496</v>
      </c>
      <c r="AD5970" s="65">
        <v>1600</v>
      </c>
      <c r="AE5970" s="17" t="s">
        <v>48</v>
      </c>
    </row>
    <row r="5971" s="17" customFormat="1" hidden="1" spans="1:31">
      <c r="A5971" s="17" t="s">
        <v>34</v>
      </c>
      <c r="B5971" s="19">
        <v>1015</v>
      </c>
      <c r="C5971" s="183">
        <v>45434</v>
      </c>
      <c r="D5971" s="17" t="s">
        <v>52</v>
      </c>
      <c r="E5971" s="17" t="s">
        <v>1113</v>
      </c>
      <c r="F5971" s="17" t="s">
        <v>54</v>
      </c>
      <c r="H5971" s="19" t="s">
        <v>426</v>
      </c>
      <c r="I5971" s="19"/>
      <c r="J5971" s="17" t="s">
        <v>49</v>
      </c>
      <c r="K5971" s="19">
        <v>1500</v>
      </c>
      <c r="L5971" s="91">
        <v>330</v>
      </c>
      <c r="M5971" s="19">
        <v>3000</v>
      </c>
      <c r="N5971" s="19" t="s">
        <v>40</v>
      </c>
      <c r="O5971" s="19" t="s">
        <v>50</v>
      </c>
      <c r="P5971" s="19">
        <v>11657</v>
      </c>
      <c r="Q5971" s="19">
        <v>12740</v>
      </c>
      <c r="R5971" s="19">
        <f t="shared" si="267"/>
        <v>-1083</v>
      </c>
      <c r="S5971" s="19">
        <f>975+80</f>
        <v>1055</v>
      </c>
      <c r="T5971" s="19" t="s">
        <v>42</v>
      </c>
      <c r="U5971" s="102" t="s">
        <v>1466</v>
      </c>
      <c r="V5971" s="186">
        <v>45436</v>
      </c>
      <c r="W5971" s="17" t="s">
        <v>69</v>
      </c>
      <c r="Y5971" s="68">
        <v>45505</v>
      </c>
      <c r="Z5971" s="17" t="s">
        <v>191</v>
      </c>
      <c r="AA5971" s="17" t="s">
        <v>46</v>
      </c>
      <c r="AB5971" s="17" t="s">
        <v>1467</v>
      </c>
      <c r="AC5971" s="217">
        <v>45496</v>
      </c>
      <c r="AD5971" s="65">
        <v>1600</v>
      </c>
      <c r="AE5971" s="17" t="s">
        <v>48</v>
      </c>
    </row>
    <row r="5972" s="17" customFormat="1" hidden="1" spans="1:31">
      <c r="A5972" s="17" t="s">
        <v>34</v>
      </c>
      <c r="B5972" s="19">
        <v>1015</v>
      </c>
      <c r="C5972" s="183">
        <v>45434</v>
      </c>
      <c r="D5972" s="17" t="s">
        <v>52</v>
      </c>
      <c r="E5972" s="17" t="s">
        <v>1113</v>
      </c>
      <c r="F5972" s="17" t="s">
        <v>54</v>
      </c>
      <c r="H5972" s="19" t="s">
        <v>426</v>
      </c>
      <c r="I5972" s="19"/>
      <c r="J5972" s="17" t="s">
        <v>49</v>
      </c>
      <c r="K5972" s="19">
        <v>1500</v>
      </c>
      <c r="L5972" s="91">
        <v>355</v>
      </c>
      <c r="M5972" s="19">
        <v>3000</v>
      </c>
      <c r="N5972" s="19" t="s">
        <v>40</v>
      </c>
      <c r="O5972" s="19" t="s">
        <v>50</v>
      </c>
      <c r="P5972" s="19">
        <v>12540</v>
      </c>
      <c r="Q5972" s="19">
        <v>13290</v>
      </c>
      <c r="R5972" s="19">
        <f t="shared" si="267"/>
        <v>-750</v>
      </c>
      <c r="S5972" s="19">
        <f>975+80</f>
        <v>1055</v>
      </c>
      <c r="T5972" s="19" t="s">
        <v>42</v>
      </c>
      <c r="U5972" s="102" t="s">
        <v>1466</v>
      </c>
      <c r="V5972" s="186">
        <v>45436</v>
      </c>
      <c r="W5972" s="17" t="s">
        <v>69</v>
      </c>
      <c r="Y5972" s="68">
        <v>45505</v>
      </c>
      <c r="Z5972" s="17" t="s">
        <v>191</v>
      </c>
      <c r="AA5972" s="17" t="s">
        <v>46</v>
      </c>
      <c r="AB5972" s="17" t="s">
        <v>1467</v>
      </c>
      <c r="AC5972" s="217">
        <v>45496</v>
      </c>
      <c r="AD5972" s="65">
        <v>1600</v>
      </c>
      <c r="AE5972" s="17" t="s">
        <v>48</v>
      </c>
    </row>
    <row r="5973" s="17" customFormat="1" hidden="1" spans="1:31">
      <c r="A5973" s="17" t="s">
        <v>34</v>
      </c>
      <c r="B5973" s="19">
        <v>1015</v>
      </c>
      <c r="C5973" s="183">
        <v>45434</v>
      </c>
      <c r="D5973" s="17" t="s">
        <v>52</v>
      </c>
      <c r="E5973" s="17" t="s">
        <v>1113</v>
      </c>
      <c r="F5973" s="17" t="s">
        <v>54</v>
      </c>
      <c r="H5973" s="19" t="s">
        <v>426</v>
      </c>
      <c r="I5973" s="19"/>
      <c r="J5973" s="17" t="s">
        <v>49</v>
      </c>
      <c r="K5973" s="19">
        <v>1500</v>
      </c>
      <c r="L5973" s="91">
        <v>510</v>
      </c>
      <c r="M5973" s="19">
        <v>3000</v>
      </c>
      <c r="N5973" s="19" t="s">
        <v>40</v>
      </c>
      <c r="O5973" s="19" t="s">
        <v>50</v>
      </c>
      <c r="P5973" s="19">
        <v>18016</v>
      </c>
      <c r="Q5973" s="19">
        <v>17440</v>
      </c>
      <c r="R5973" s="19">
        <f t="shared" si="267"/>
        <v>576</v>
      </c>
      <c r="S5973" s="19">
        <f>975+80</f>
        <v>1055</v>
      </c>
      <c r="T5973" s="19" t="s">
        <v>42</v>
      </c>
      <c r="U5973" s="102" t="s">
        <v>1466</v>
      </c>
      <c r="V5973" s="186">
        <v>45436</v>
      </c>
      <c r="W5973" s="17" t="s">
        <v>69</v>
      </c>
      <c r="Y5973" s="68">
        <v>45505</v>
      </c>
      <c r="Z5973" s="17" t="s">
        <v>191</v>
      </c>
      <c r="AA5973" s="17" t="s">
        <v>46</v>
      </c>
      <c r="AB5973" s="17" t="s">
        <v>1467</v>
      </c>
      <c r="AC5973" s="217">
        <v>45496</v>
      </c>
      <c r="AD5973" s="65">
        <v>1600</v>
      </c>
      <c r="AE5973" s="17" t="s">
        <v>48</v>
      </c>
    </row>
    <row r="5974" s="17" customFormat="1" ht="15.6" hidden="1" spans="1:31">
      <c r="A5974" s="17" t="s">
        <v>34</v>
      </c>
      <c r="B5974" s="19">
        <v>1016</v>
      </c>
      <c r="C5974" s="183">
        <v>45451</v>
      </c>
      <c r="D5974" s="17" t="s">
        <v>52</v>
      </c>
      <c r="E5974" s="17" t="s">
        <v>53</v>
      </c>
      <c r="F5974" s="17" t="s">
        <v>54</v>
      </c>
      <c r="H5974" s="19" t="s">
        <v>55</v>
      </c>
      <c r="I5974" s="19"/>
      <c r="J5974" s="17" t="s">
        <v>49</v>
      </c>
      <c r="K5974" s="91">
        <v>810</v>
      </c>
      <c r="L5974" s="91">
        <v>105</v>
      </c>
      <c r="M5974" s="282">
        <v>4000</v>
      </c>
      <c r="N5974" s="19" t="s">
        <v>40</v>
      </c>
      <c r="O5974" s="19" t="s">
        <v>50</v>
      </c>
      <c r="P5974" s="338">
        <v>3240</v>
      </c>
      <c r="Q5974" s="19">
        <v>3346</v>
      </c>
      <c r="R5974" s="19">
        <f t="shared" si="267"/>
        <v>-106</v>
      </c>
      <c r="S5974" s="19">
        <f t="shared" ref="S5974:S5980" si="269">1925+100</f>
        <v>2025</v>
      </c>
      <c r="T5974" s="19" t="s">
        <v>42</v>
      </c>
      <c r="U5974" s="102" t="s">
        <v>1468</v>
      </c>
      <c r="V5974" s="186">
        <v>45472</v>
      </c>
      <c r="W5974" s="17" t="s">
        <v>58</v>
      </c>
      <c r="Y5974" s="68">
        <v>45536</v>
      </c>
      <c r="Z5974" s="17" t="s">
        <v>191</v>
      </c>
      <c r="AA5974" s="17" t="s">
        <v>46</v>
      </c>
      <c r="AB5974" s="17" t="s">
        <v>1469</v>
      </c>
      <c r="AC5974" s="217">
        <v>45519</v>
      </c>
      <c r="AD5974" s="65">
        <v>1618</v>
      </c>
      <c r="AE5974" s="17" t="s">
        <v>48</v>
      </c>
    </row>
    <row r="5975" s="17" customFormat="1" ht="15.6" hidden="1" spans="1:31">
      <c r="A5975" s="17" t="s">
        <v>34</v>
      </c>
      <c r="B5975" s="19">
        <v>1016</v>
      </c>
      <c r="C5975" s="183">
        <v>45451</v>
      </c>
      <c r="D5975" s="17" t="s">
        <v>52</v>
      </c>
      <c r="E5975" s="17" t="s">
        <v>53</v>
      </c>
      <c r="F5975" s="17" t="s">
        <v>54</v>
      </c>
      <c r="H5975" s="19" t="s">
        <v>55</v>
      </c>
      <c r="I5975" s="19"/>
      <c r="J5975" s="17" t="s">
        <v>49</v>
      </c>
      <c r="K5975" s="91">
        <v>810</v>
      </c>
      <c r="L5975" s="91">
        <v>130</v>
      </c>
      <c r="M5975" s="282">
        <v>4000</v>
      </c>
      <c r="N5975" s="19" t="s">
        <v>40</v>
      </c>
      <c r="O5975" s="19" t="s">
        <v>50</v>
      </c>
      <c r="P5975" s="282">
        <v>3240</v>
      </c>
      <c r="Q5975" s="19">
        <v>3424</v>
      </c>
      <c r="R5975" s="19">
        <f t="shared" si="267"/>
        <v>-184</v>
      </c>
      <c r="S5975" s="19">
        <f t="shared" si="269"/>
        <v>2025</v>
      </c>
      <c r="T5975" s="19" t="s">
        <v>42</v>
      </c>
      <c r="U5975" s="102" t="s">
        <v>1468</v>
      </c>
      <c r="V5975" s="186">
        <v>45472</v>
      </c>
      <c r="W5975" s="17" t="s">
        <v>58</v>
      </c>
      <c r="Y5975" s="68">
        <v>45536</v>
      </c>
      <c r="Z5975" s="17" t="s">
        <v>191</v>
      </c>
      <c r="AA5975" s="17" t="s">
        <v>46</v>
      </c>
      <c r="AB5975" s="17" t="s">
        <v>1469</v>
      </c>
      <c r="AC5975" s="217">
        <v>45519</v>
      </c>
      <c r="AD5975" s="65">
        <v>1618</v>
      </c>
      <c r="AE5975" s="17" t="s">
        <v>48</v>
      </c>
    </row>
    <row r="5976" s="17" customFormat="1" ht="15.6" hidden="1" spans="1:31">
      <c r="A5976" s="17" t="s">
        <v>34</v>
      </c>
      <c r="B5976" s="19">
        <v>1016</v>
      </c>
      <c r="C5976" s="183">
        <v>45451</v>
      </c>
      <c r="D5976" s="17" t="s">
        <v>52</v>
      </c>
      <c r="E5976" s="17" t="s">
        <v>53</v>
      </c>
      <c r="F5976" s="17" t="s">
        <v>54</v>
      </c>
      <c r="H5976" s="19" t="s">
        <v>55</v>
      </c>
      <c r="I5976" s="19"/>
      <c r="J5976" s="17" t="s">
        <v>49</v>
      </c>
      <c r="K5976" s="91">
        <v>810</v>
      </c>
      <c r="L5976" s="91">
        <v>155</v>
      </c>
      <c r="M5976" s="282">
        <v>4000</v>
      </c>
      <c r="N5976" s="19" t="s">
        <v>40</v>
      </c>
      <c r="O5976" s="19" t="s">
        <v>50</v>
      </c>
      <c r="P5976" s="282">
        <v>3600</v>
      </c>
      <c r="Q5976" s="19">
        <v>3436</v>
      </c>
      <c r="R5976" s="19">
        <f t="shared" si="267"/>
        <v>164</v>
      </c>
      <c r="S5976" s="19">
        <f t="shared" si="269"/>
        <v>2025</v>
      </c>
      <c r="T5976" s="19" t="s">
        <v>42</v>
      </c>
      <c r="U5976" s="102" t="s">
        <v>1468</v>
      </c>
      <c r="V5976" s="186">
        <v>45472</v>
      </c>
      <c r="W5976" s="17" t="s">
        <v>58</v>
      </c>
      <c r="Y5976" s="68">
        <v>45536</v>
      </c>
      <c r="Z5976" s="17" t="s">
        <v>191</v>
      </c>
      <c r="AA5976" s="17" t="s">
        <v>46</v>
      </c>
      <c r="AB5976" s="17" t="s">
        <v>1469</v>
      </c>
      <c r="AC5976" s="217">
        <v>45519</v>
      </c>
      <c r="AD5976" s="65">
        <v>1618</v>
      </c>
      <c r="AE5976" s="17" t="s">
        <v>48</v>
      </c>
    </row>
    <row r="5977" s="17" customFormat="1" ht="15.6" hidden="1" spans="1:31">
      <c r="A5977" s="17" t="s">
        <v>34</v>
      </c>
      <c r="B5977" s="19">
        <v>1016</v>
      </c>
      <c r="C5977" s="183">
        <v>45451</v>
      </c>
      <c r="D5977" s="17" t="s">
        <v>52</v>
      </c>
      <c r="E5977" s="17" t="s">
        <v>53</v>
      </c>
      <c r="F5977" s="17" t="s">
        <v>54</v>
      </c>
      <c r="H5977" s="19" t="s">
        <v>55</v>
      </c>
      <c r="I5977" s="19"/>
      <c r="J5977" s="17" t="s">
        <v>49</v>
      </c>
      <c r="K5977" s="91">
        <v>810</v>
      </c>
      <c r="L5977" s="91">
        <v>160</v>
      </c>
      <c r="M5977" s="282">
        <v>4000</v>
      </c>
      <c r="N5977" s="19" t="s">
        <v>40</v>
      </c>
      <c r="O5977" s="19" t="s">
        <v>50</v>
      </c>
      <c r="P5977" s="282">
        <v>3600</v>
      </c>
      <c r="Q5977" s="19">
        <v>3626</v>
      </c>
      <c r="R5977" s="19">
        <f t="shared" si="267"/>
        <v>-26</v>
      </c>
      <c r="S5977" s="19">
        <f t="shared" si="269"/>
        <v>2025</v>
      </c>
      <c r="T5977" s="19" t="s">
        <v>42</v>
      </c>
      <c r="U5977" s="102" t="s">
        <v>1468</v>
      </c>
      <c r="V5977" s="186">
        <v>45472</v>
      </c>
      <c r="W5977" s="17" t="s">
        <v>58</v>
      </c>
      <c r="Y5977" s="68">
        <v>45536</v>
      </c>
      <c r="Z5977" s="17" t="s">
        <v>191</v>
      </c>
      <c r="AA5977" s="17" t="s">
        <v>46</v>
      </c>
      <c r="AB5977" s="17" t="s">
        <v>1469</v>
      </c>
      <c r="AC5977" s="217">
        <v>45519</v>
      </c>
      <c r="AD5977" s="65">
        <v>1618</v>
      </c>
      <c r="AE5977" s="17" t="s">
        <v>48</v>
      </c>
    </row>
    <row r="5978" s="17" customFormat="1" ht="15.6" hidden="1" spans="1:31">
      <c r="A5978" s="17" t="s">
        <v>34</v>
      </c>
      <c r="B5978" s="19">
        <v>1016</v>
      </c>
      <c r="C5978" s="183">
        <v>45451</v>
      </c>
      <c r="D5978" s="17" t="s">
        <v>52</v>
      </c>
      <c r="E5978" s="17" t="s">
        <v>53</v>
      </c>
      <c r="F5978" s="17" t="s">
        <v>54</v>
      </c>
      <c r="H5978" s="19" t="s">
        <v>55</v>
      </c>
      <c r="I5978" s="19"/>
      <c r="J5978" s="17" t="s">
        <v>49</v>
      </c>
      <c r="K5978" s="295">
        <v>810</v>
      </c>
      <c r="L5978" s="295">
        <v>180</v>
      </c>
      <c r="M5978" s="282">
        <v>4000</v>
      </c>
      <c r="N5978" s="19" t="s">
        <v>40</v>
      </c>
      <c r="O5978" s="19" t="s">
        <v>50</v>
      </c>
      <c r="P5978" s="282">
        <v>4320</v>
      </c>
      <c r="Q5978" s="19">
        <v>5672</v>
      </c>
      <c r="R5978" s="19">
        <f t="shared" si="267"/>
        <v>-1352</v>
      </c>
      <c r="S5978" s="19">
        <f t="shared" si="269"/>
        <v>2025</v>
      </c>
      <c r="T5978" s="19" t="s">
        <v>42</v>
      </c>
      <c r="U5978" s="102" t="s">
        <v>1468</v>
      </c>
      <c r="V5978" s="186">
        <v>45472</v>
      </c>
      <c r="W5978" s="17" t="s">
        <v>58</v>
      </c>
      <c r="Y5978" s="68">
        <v>45536</v>
      </c>
      <c r="Z5978" s="17" t="s">
        <v>191</v>
      </c>
      <c r="AA5978" s="17" t="s">
        <v>46</v>
      </c>
      <c r="AB5978" s="17" t="s">
        <v>1469</v>
      </c>
      <c r="AC5978" s="217">
        <v>45519</v>
      </c>
      <c r="AD5978" s="65">
        <v>1618</v>
      </c>
      <c r="AE5978" s="17" t="s">
        <v>48</v>
      </c>
    </row>
    <row r="5979" s="17" customFormat="1" ht="15.6" hidden="1" spans="1:31">
      <c r="A5979" s="17" t="s">
        <v>34</v>
      </c>
      <c r="B5979" s="19">
        <v>1016</v>
      </c>
      <c r="C5979" s="183">
        <v>45451</v>
      </c>
      <c r="D5979" s="17" t="s">
        <v>52</v>
      </c>
      <c r="E5979" s="17" t="s">
        <v>53</v>
      </c>
      <c r="F5979" s="17" t="s">
        <v>54</v>
      </c>
      <c r="H5979" s="19" t="s">
        <v>55</v>
      </c>
      <c r="I5979" s="19"/>
      <c r="J5979" s="17" t="s">
        <v>49</v>
      </c>
      <c r="K5979" s="295">
        <v>810</v>
      </c>
      <c r="L5979" s="295">
        <v>210</v>
      </c>
      <c r="M5979" s="283">
        <v>4000</v>
      </c>
      <c r="N5979" s="19" t="s">
        <v>40</v>
      </c>
      <c r="O5979" s="19" t="s">
        <v>50</v>
      </c>
      <c r="P5979" s="283">
        <v>5184</v>
      </c>
      <c r="Q5979" s="19">
        <v>5874</v>
      </c>
      <c r="R5979" s="19">
        <f t="shared" si="267"/>
        <v>-690</v>
      </c>
      <c r="S5979" s="19">
        <f t="shared" si="269"/>
        <v>2025</v>
      </c>
      <c r="T5979" s="19" t="s">
        <v>42</v>
      </c>
      <c r="U5979" s="102" t="s">
        <v>1468</v>
      </c>
      <c r="V5979" s="186">
        <v>45472</v>
      </c>
      <c r="W5979" s="17" t="s">
        <v>58</v>
      </c>
      <c r="Y5979" s="68">
        <v>45536</v>
      </c>
      <c r="Z5979" s="17" t="s">
        <v>191</v>
      </c>
      <c r="AA5979" s="17" t="s">
        <v>46</v>
      </c>
      <c r="AB5979" s="17" t="s">
        <v>1469</v>
      </c>
      <c r="AC5979" s="217">
        <v>45519</v>
      </c>
      <c r="AD5979" s="65">
        <v>1618</v>
      </c>
      <c r="AE5979" s="17" t="s">
        <v>48</v>
      </c>
    </row>
    <row r="5980" s="17" customFormat="1" ht="15.6" hidden="1" spans="1:31">
      <c r="A5980" s="17" t="s">
        <v>34</v>
      </c>
      <c r="B5980" s="19">
        <v>1016</v>
      </c>
      <c r="C5980" s="183">
        <v>45451</v>
      </c>
      <c r="D5980" s="17" t="s">
        <v>52</v>
      </c>
      <c r="E5980" s="17" t="s">
        <v>53</v>
      </c>
      <c r="F5980" s="17" t="s">
        <v>54</v>
      </c>
      <c r="H5980" s="19" t="s">
        <v>55</v>
      </c>
      <c r="I5980" s="19"/>
      <c r="J5980" s="17" t="s">
        <v>49</v>
      </c>
      <c r="K5980" s="295">
        <v>810</v>
      </c>
      <c r="L5980" s="295">
        <v>260</v>
      </c>
      <c r="M5980" s="283">
        <v>4000</v>
      </c>
      <c r="N5980" s="19" t="s">
        <v>40</v>
      </c>
      <c r="O5980" s="19" t="s">
        <v>50</v>
      </c>
      <c r="P5980" s="283">
        <v>5184</v>
      </c>
      <c r="Q5980" s="19">
        <v>5900</v>
      </c>
      <c r="R5980" s="19">
        <f t="shared" si="267"/>
        <v>-716</v>
      </c>
      <c r="S5980" s="19">
        <f t="shared" si="269"/>
        <v>2025</v>
      </c>
      <c r="T5980" s="19" t="s">
        <v>42</v>
      </c>
      <c r="U5980" s="102" t="s">
        <v>1468</v>
      </c>
      <c r="V5980" s="186">
        <v>45472</v>
      </c>
      <c r="W5980" s="17" t="s">
        <v>58</v>
      </c>
      <c r="Y5980" s="68">
        <v>45536</v>
      </c>
      <c r="Z5980" s="17" t="s">
        <v>191</v>
      </c>
      <c r="AA5980" s="17" t="s">
        <v>46</v>
      </c>
      <c r="AB5980" s="17" t="s">
        <v>1469</v>
      </c>
      <c r="AC5980" s="217">
        <v>45519</v>
      </c>
      <c r="AD5980" s="65">
        <v>1618</v>
      </c>
      <c r="AE5980" s="17" t="s">
        <v>48</v>
      </c>
    </row>
    <row r="5981" s="17" customFormat="1" ht="15.6" hidden="1" spans="1:31">
      <c r="A5981" s="17" t="s">
        <v>34</v>
      </c>
      <c r="B5981" s="19">
        <v>1017</v>
      </c>
      <c r="C5981" s="183">
        <v>45470</v>
      </c>
      <c r="D5981" s="17" t="s">
        <v>52</v>
      </c>
      <c r="E5981" s="17" t="s">
        <v>53</v>
      </c>
      <c r="F5981" s="17" t="s">
        <v>54</v>
      </c>
      <c r="H5981" s="19">
        <v>1.2083</v>
      </c>
      <c r="I5981" s="19"/>
      <c r="J5981" s="17" t="s">
        <v>82</v>
      </c>
      <c r="K5981" s="91">
        <v>910</v>
      </c>
      <c r="L5981" s="91">
        <v>31</v>
      </c>
      <c r="M5981" s="282">
        <v>4000</v>
      </c>
      <c r="N5981" s="19" t="s">
        <v>40</v>
      </c>
      <c r="O5981" s="19" t="s">
        <v>141</v>
      </c>
      <c r="P5981" s="282">
        <v>1107</v>
      </c>
      <c r="Q5981" s="19">
        <v>480</v>
      </c>
      <c r="R5981" s="19">
        <f t="shared" si="267"/>
        <v>627</v>
      </c>
      <c r="S5981" s="19">
        <f>1510+100</f>
        <v>1610</v>
      </c>
      <c r="T5981" s="19" t="s">
        <v>42</v>
      </c>
      <c r="U5981" s="102" t="s">
        <v>1470</v>
      </c>
      <c r="V5981" s="186">
        <v>45477</v>
      </c>
      <c r="W5981" s="17" t="s">
        <v>58</v>
      </c>
      <c r="Y5981" s="68">
        <v>45505</v>
      </c>
      <c r="Z5981" s="17" t="s">
        <v>191</v>
      </c>
      <c r="AA5981" s="17" t="s">
        <v>46</v>
      </c>
      <c r="AB5981" s="17" t="s">
        <v>1469</v>
      </c>
      <c r="AC5981" s="217">
        <v>45519</v>
      </c>
      <c r="AD5981" s="65">
        <v>1618</v>
      </c>
      <c r="AE5981" s="17" t="s">
        <v>48</v>
      </c>
    </row>
    <row r="5982" s="17" customFormat="1" ht="15.6" hidden="1" spans="1:31">
      <c r="A5982" s="17" t="s">
        <v>34</v>
      </c>
      <c r="B5982" s="19">
        <v>1017</v>
      </c>
      <c r="C5982" s="183">
        <v>45470</v>
      </c>
      <c r="D5982" s="17" t="s">
        <v>52</v>
      </c>
      <c r="E5982" s="17" t="s">
        <v>53</v>
      </c>
      <c r="F5982" s="17" t="s">
        <v>54</v>
      </c>
      <c r="H5982" s="19">
        <v>1.2083</v>
      </c>
      <c r="I5982" s="19"/>
      <c r="J5982" s="17" t="s">
        <v>82</v>
      </c>
      <c r="K5982" s="91">
        <v>610</v>
      </c>
      <c r="L5982" s="91">
        <v>32</v>
      </c>
      <c r="M5982" s="282">
        <v>4000</v>
      </c>
      <c r="N5982" s="19" t="s">
        <v>40</v>
      </c>
      <c r="O5982" s="19" t="s">
        <v>141</v>
      </c>
      <c r="P5982" s="282">
        <v>766</v>
      </c>
      <c r="Q5982" s="19">
        <v>778</v>
      </c>
      <c r="R5982" s="19">
        <f t="shared" si="267"/>
        <v>-12</v>
      </c>
      <c r="S5982" s="19">
        <f>1360+100</f>
        <v>1460</v>
      </c>
      <c r="T5982" s="19" t="s">
        <v>42</v>
      </c>
      <c r="U5982" s="102" t="s">
        <v>1470</v>
      </c>
      <c r="V5982" s="186">
        <v>45477</v>
      </c>
      <c r="W5982" s="17" t="s">
        <v>58</v>
      </c>
      <c r="Y5982" s="68">
        <v>45505</v>
      </c>
      <c r="Z5982" s="17" t="s">
        <v>191</v>
      </c>
      <c r="AA5982" s="17" t="s">
        <v>46</v>
      </c>
      <c r="AB5982" s="17" t="s">
        <v>1469</v>
      </c>
      <c r="AC5982" s="217">
        <v>45519</v>
      </c>
      <c r="AD5982" s="65">
        <v>1618</v>
      </c>
      <c r="AE5982" s="17" t="s">
        <v>48</v>
      </c>
    </row>
    <row r="5983" s="17" customFormat="1" ht="15.6" hidden="1" spans="1:31">
      <c r="A5983" s="17" t="s">
        <v>34</v>
      </c>
      <c r="B5983" s="19">
        <v>1017</v>
      </c>
      <c r="C5983" s="183">
        <v>45470</v>
      </c>
      <c r="D5983" s="17" t="s">
        <v>52</v>
      </c>
      <c r="E5983" s="17" t="s">
        <v>53</v>
      </c>
      <c r="F5983" s="17" t="s">
        <v>54</v>
      </c>
      <c r="H5983" s="19">
        <v>1.2083</v>
      </c>
      <c r="I5983" s="19"/>
      <c r="J5983" s="17" t="s">
        <v>82</v>
      </c>
      <c r="K5983" s="295">
        <v>910</v>
      </c>
      <c r="L5983" s="295">
        <v>35</v>
      </c>
      <c r="M5983" s="282">
        <v>4000</v>
      </c>
      <c r="N5983" s="19" t="s">
        <v>40</v>
      </c>
      <c r="O5983" s="19" t="s">
        <v>141</v>
      </c>
      <c r="P5983" s="282">
        <v>1250</v>
      </c>
      <c r="Q5983" s="19">
        <v>1007</v>
      </c>
      <c r="R5983" s="19">
        <f t="shared" si="267"/>
        <v>243</v>
      </c>
      <c r="S5983" s="19">
        <f>1510+100</f>
        <v>1610</v>
      </c>
      <c r="T5983" s="19" t="s">
        <v>42</v>
      </c>
      <c r="U5983" s="102" t="s">
        <v>1470</v>
      </c>
      <c r="V5983" s="186">
        <v>45477</v>
      </c>
      <c r="W5983" s="17" t="s">
        <v>58</v>
      </c>
      <c r="Y5983" s="68">
        <v>45505</v>
      </c>
      <c r="Z5983" s="17" t="s">
        <v>191</v>
      </c>
      <c r="AA5983" s="17" t="s">
        <v>46</v>
      </c>
      <c r="AB5983" s="17" t="s">
        <v>1469</v>
      </c>
      <c r="AC5983" s="217">
        <v>45519</v>
      </c>
      <c r="AD5983" s="65">
        <v>1618</v>
      </c>
      <c r="AE5983" s="17" t="s">
        <v>48</v>
      </c>
    </row>
    <row r="5984" s="17" customFormat="1" ht="15.6" hidden="1" spans="1:31">
      <c r="A5984" s="17" t="s">
        <v>34</v>
      </c>
      <c r="B5984" s="19">
        <v>1017</v>
      </c>
      <c r="C5984" s="183">
        <v>45470</v>
      </c>
      <c r="D5984" s="17" t="s">
        <v>52</v>
      </c>
      <c r="E5984" s="17" t="s">
        <v>53</v>
      </c>
      <c r="F5984" s="17" t="s">
        <v>54</v>
      </c>
      <c r="H5984" s="19">
        <v>1.2083</v>
      </c>
      <c r="I5984" s="19"/>
      <c r="J5984" s="17" t="s">
        <v>82</v>
      </c>
      <c r="K5984" s="295">
        <v>610</v>
      </c>
      <c r="L5984" s="295">
        <v>43</v>
      </c>
      <c r="M5984" s="283">
        <v>4000</v>
      </c>
      <c r="N5984" s="19" t="s">
        <v>40</v>
      </c>
      <c r="O5984" s="19" t="s">
        <v>141</v>
      </c>
      <c r="P5984" s="283">
        <v>1029</v>
      </c>
      <c r="Q5984" s="19">
        <v>797</v>
      </c>
      <c r="R5984" s="19">
        <f t="shared" si="267"/>
        <v>232</v>
      </c>
      <c r="S5984" s="19">
        <f>1360+100</f>
        <v>1460</v>
      </c>
      <c r="T5984" s="19" t="s">
        <v>42</v>
      </c>
      <c r="U5984" s="102" t="s">
        <v>1470</v>
      </c>
      <c r="V5984" s="186">
        <v>45477</v>
      </c>
      <c r="W5984" s="17" t="s">
        <v>58</v>
      </c>
      <c r="Y5984" s="68">
        <v>45505</v>
      </c>
      <c r="Z5984" s="17" t="s">
        <v>191</v>
      </c>
      <c r="AA5984" s="17" t="s">
        <v>46</v>
      </c>
      <c r="AB5984" s="17" t="s">
        <v>1469</v>
      </c>
      <c r="AC5984" s="217">
        <v>45519</v>
      </c>
      <c r="AD5984" s="65">
        <v>1618</v>
      </c>
      <c r="AE5984" s="17" t="s">
        <v>48</v>
      </c>
    </row>
    <row r="5985" s="17" customFormat="1" ht="15.6" hidden="1" spans="1:31">
      <c r="A5985" s="17" t="s">
        <v>34</v>
      </c>
      <c r="B5985" s="19">
        <v>1017</v>
      </c>
      <c r="C5985" s="183">
        <v>45470</v>
      </c>
      <c r="D5985" s="17" t="s">
        <v>52</v>
      </c>
      <c r="E5985" s="17" t="s">
        <v>53</v>
      </c>
      <c r="F5985" s="17" t="s">
        <v>54</v>
      </c>
      <c r="H5985" s="19">
        <v>1.2083</v>
      </c>
      <c r="I5985" s="19"/>
      <c r="J5985" s="17" t="s">
        <v>82</v>
      </c>
      <c r="K5985" s="295">
        <v>910</v>
      </c>
      <c r="L5985" s="295">
        <v>50</v>
      </c>
      <c r="M5985" s="283">
        <v>4000</v>
      </c>
      <c r="N5985" s="19" t="s">
        <v>40</v>
      </c>
      <c r="O5985" s="19" t="s">
        <v>141</v>
      </c>
      <c r="P5985" s="283">
        <v>1785</v>
      </c>
      <c r="Q5985" s="19">
        <v>2000</v>
      </c>
      <c r="R5985" s="19">
        <f t="shared" si="267"/>
        <v>-215</v>
      </c>
      <c r="S5985" s="19">
        <f>1510+100</f>
        <v>1610</v>
      </c>
      <c r="T5985" s="19" t="s">
        <v>42</v>
      </c>
      <c r="U5985" s="102" t="s">
        <v>1470</v>
      </c>
      <c r="V5985" s="186">
        <v>45477</v>
      </c>
      <c r="W5985" s="17" t="s">
        <v>58</v>
      </c>
      <c r="Y5985" s="68">
        <v>45505</v>
      </c>
      <c r="Z5985" s="17" t="s">
        <v>191</v>
      </c>
      <c r="AA5985" s="17" t="s">
        <v>46</v>
      </c>
      <c r="AB5985" s="17" t="s">
        <v>1469</v>
      </c>
      <c r="AC5985" s="217">
        <v>45519</v>
      </c>
      <c r="AD5985" s="65">
        <v>1618</v>
      </c>
      <c r="AE5985" s="17" t="s">
        <v>48</v>
      </c>
    </row>
    <row r="5986" s="17" customFormat="1" ht="15.6" hidden="1" spans="1:31">
      <c r="A5986" s="17" t="s">
        <v>34</v>
      </c>
      <c r="B5986" s="19">
        <v>1017</v>
      </c>
      <c r="C5986" s="183">
        <v>45470</v>
      </c>
      <c r="D5986" s="17" t="s">
        <v>52</v>
      </c>
      <c r="E5986" s="17" t="s">
        <v>53</v>
      </c>
      <c r="F5986" s="17" t="s">
        <v>54</v>
      </c>
      <c r="H5986" s="19">
        <v>1.2083</v>
      </c>
      <c r="I5986" s="19"/>
      <c r="J5986" s="17" t="s">
        <v>82</v>
      </c>
      <c r="K5986" s="295">
        <v>610</v>
      </c>
      <c r="L5986" s="295">
        <v>55</v>
      </c>
      <c r="M5986" s="283">
        <v>4000</v>
      </c>
      <c r="N5986" s="19" t="s">
        <v>40</v>
      </c>
      <c r="O5986" s="19" t="s">
        <v>141</v>
      </c>
      <c r="P5986" s="266">
        <v>1316</v>
      </c>
      <c r="Q5986" s="19">
        <v>1388</v>
      </c>
      <c r="R5986" s="19">
        <f t="shared" si="267"/>
        <v>-72</v>
      </c>
      <c r="S5986" s="19">
        <f>1360+100</f>
        <v>1460</v>
      </c>
      <c r="T5986" s="19" t="s">
        <v>42</v>
      </c>
      <c r="U5986" s="102" t="s">
        <v>1470</v>
      </c>
      <c r="V5986" s="186">
        <v>45477</v>
      </c>
      <c r="W5986" s="17" t="s">
        <v>58</v>
      </c>
      <c r="Y5986" s="68">
        <v>45505</v>
      </c>
      <c r="Z5986" s="17" t="s">
        <v>191</v>
      </c>
      <c r="AA5986" s="17" t="s">
        <v>46</v>
      </c>
      <c r="AB5986" s="17" t="s">
        <v>1469</v>
      </c>
      <c r="AC5986" s="217">
        <v>45519</v>
      </c>
      <c r="AD5986" s="65">
        <v>1618</v>
      </c>
      <c r="AE5986" s="17" t="s">
        <v>48</v>
      </c>
    </row>
    <row r="5987" s="17" customFormat="1" ht="15.6" hidden="1" spans="1:31">
      <c r="A5987" s="17" t="s">
        <v>34</v>
      </c>
      <c r="B5987" s="19">
        <v>1017</v>
      </c>
      <c r="C5987" s="183">
        <v>45470</v>
      </c>
      <c r="D5987" s="17" t="s">
        <v>52</v>
      </c>
      <c r="E5987" s="17" t="s">
        <v>53</v>
      </c>
      <c r="F5987" s="17" t="s">
        <v>54</v>
      </c>
      <c r="H5987" s="19">
        <v>1.2083</v>
      </c>
      <c r="I5987" s="19"/>
      <c r="J5987" s="17" t="s">
        <v>82</v>
      </c>
      <c r="K5987" s="295">
        <v>910</v>
      </c>
      <c r="L5987" s="295">
        <v>60</v>
      </c>
      <c r="M5987" s="283">
        <v>4000</v>
      </c>
      <c r="N5987" s="19" t="s">
        <v>40</v>
      </c>
      <c r="O5987" s="19" t="s">
        <v>141</v>
      </c>
      <c r="P5987" s="266">
        <v>2143</v>
      </c>
      <c r="Q5987" s="19">
        <v>2412</v>
      </c>
      <c r="R5987" s="19">
        <f t="shared" si="267"/>
        <v>-269</v>
      </c>
      <c r="S5987" s="19">
        <f>1510+100</f>
        <v>1610</v>
      </c>
      <c r="T5987" s="19" t="s">
        <v>42</v>
      </c>
      <c r="U5987" s="102" t="s">
        <v>1470</v>
      </c>
      <c r="V5987" s="186">
        <v>45477</v>
      </c>
      <c r="W5987" s="17" t="s">
        <v>58</v>
      </c>
      <c r="Y5987" s="68">
        <v>45505</v>
      </c>
      <c r="Z5987" s="17" t="s">
        <v>191</v>
      </c>
      <c r="AA5987" s="17" t="s">
        <v>46</v>
      </c>
      <c r="AB5987" s="17" t="s">
        <v>1469</v>
      </c>
      <c r="AC5987" s="217">
        <v>45519</v>
      </c>
      <c r="AD5987" s="65">
        <v>1618</v>
      </c>
      <c r="AE5987" s="17" t="s">
        <v>48</v>
      </c>
    </row>
    <row r="5988" s="17" customFormat="1" ht="15.6" hidden="1" spans="1:31">
      <c r="A5988" s="17" t="s">
        <v>34</v>
      </c>
      <c r="B5988" s="19">
        <v>1017</v>
      </c>
      <c r="C5988" s="183">
        <v>45470</v>
      </c>
      <c r="D5988" s="17" t="s">
        <v>52</v>
      </c>
      <c r="E5988" s="17" t="s">
        <v>53</v>
      </c>
      <c r="F5988" s="17" t="s">
        <v>54</v>
      </c>
      <c r="H5988" s="19">
        <v>1.2083</v>
      </c>
      <c r="I5988" s="19"/>
      <c r="J5988" s="17" t="s">
        <v>82</v>
      </c>
      <c r="K5988" s="295">
        <v>910</v>
      </c>
      <c r="L5988" s="295">
        <v>65</v>
      </c>
      <c r="M5988" s="283">
        <v>4000</v>
      </c>
      <c r="N5988" s="19" t="s">
        <v>40</v>
      </c>
      <c r="O5988" s="19" t="s">
        <v>141</v>
      </c>
      <c r="P5988" s="266">
        <v>2321</v>
      </c>
      <c r="Q5988" s="19">
        <v>2627</v>
      </c>
      <c r="R5988" s="19">
        <f t="shared" si="267"/>
        <v>-306</v>
      </c>
      <c r="S5988" s="19">
        <f>1510+100</f>
        <v>1610</v>
      </c>
      <c r="T5988" s="19" t="s">
        <v>42</v>
      </c>
      <c r="U5988" s="102" t="s">
        <v>1470</v>
      </c>
      <c r="V5988" s="186">
        <v>45477</v>
      </c>
      <c r="W5988" s="17" t="s">
        <v>58</v>
      </c>
      <c r="Y5988" s="68">
        <v>45505</v>
      </c>
      <c r="Z5988" s="17" t="s">
        <v>191</v>
      </c>
      <c r="AA5988" s="17" t="s">
        <v>46</v>
      </c>
      <c r="AB5988" s="17" t="s">
        <v>1469</v>
      </c>
      <c r="AC5988" s="217">
        <v>45519</v>
      </c>
      <c r="AD5988" s="65">
        <v>1618</v>
      </c>
      <c r="AE5988" s="17" t="s">
        <v>48</v>
      </c>
    </row>
    <row r="5989" s="17" customFormat="1" hidden="1" spans="1:31">
      <c r="A5989" s="17" t="s">
        <v>34</v>
      </c>
      <c r="B5989" s="19">
        <v>1018</v>
      </c>
      <c r="C5989" s="183">
        <v>45470</v>
      </c>
      <c r="D5989" s="17" t="s">
        <v>35</v>
      </c>
      <c r="E5989" s="17" t="s">
        <v>718</v>
      </c>
      <c r="F5989" s="17" t="s">
        <v>96</v>
      </c>
      <c r="H5989" s="19" t="s">
        <v>97</v>
      </c>
      <c r="I5989" s="19"/>
      <c r="J5989" s="17" t="s">
        <v>82</v>
      </c>
      <c r="K5989" s="19">
        <v>520</v>
      </c>
      <c r="L5989" s="91">
        <v>55</v>
      </c>
      <c r="M5989" s="19"/>
      <c r="N5989" s="19" t="s">
        <v>40</v>
      </c>
      <c r="O5989" s="19" t="s">
        <v>98</v>
      </c>
      <c r="P5989" s="19">
        <v>1000</v>
      </c>
      <c r="Q5989" s="19">
        <v>806</v>
      </c>
      <c r="R5989" s="19">
        <f t="shared" ref="R5989:R6007" si="270">+P5989-Q5989</f>
        <v>194</v>
      </c>
      <c r="S5989" s="19">
        <v>455</v>
      </c>
      <c r="T5989" s="19" t="s">
        <v>99</v>
      </c>
      <c r="U5989" s="102" t="s">
        <v>1471</v>
      </c>
      <c r="V5989" s="186">
        <v>45471</v>
      </c>
      <c r="W5989" s="17" t="s">
        <v>44</v>
      </c>
      <c r="Y5989" s="68">
        <v>45658</v>
      </c>
      <c r="Z5989" s="17" t="s">
        <v>78</v>
      </c>
      <c r="AA5989" s="17" t="s">
        <v>46</v>
      </c>
      <c r="AB5989" s="17" t="s">
        <v>1472</v>
      </c>
      <c r="AC5989" s="217">
        <v>45812</v>
      </c>
      <c r="AD5989" s="65">
        <v>1684</v>
      </c>
      <c r="AE5989" s="17" t="s">
        <v>48</v>
      </c>
    </row>
    <row r="5990" s="17" customFormat="1" hidden="1" spans="1:31">
      <c r="A5990" s="17" t="s">
        <v>34</v>
      </c>
      <c r="B5990" s="19">
        <v>1018</v>
      </c>
      <c r="C5990" s="183">
        <v>45470</v>
      </c>
      <c r="D5990" s="17" t="s">
        <v>35</v>
      </c>
      <c r="E5990" s="17" t="s">
        <v>718</v>
      </c>
      <c r="F5990" s="17" t="s">
        <v>96</v>
      </c>
      <c r="H5990" s="19" t="s">
        <v>97</v>
      </c>
      <c r="I5990" s="19"/>
      <c r="J5990" s="17" t="s">
        <v>82</v>
      </c>
      <c r="K5990" s="19">
        <v>520</v>
      </c>
      <c r="L5990" s="91">
        <v>65</v>
      </c>
      <c r="M5990" s="19"/>
      <c r="N5990" s="19" t="s">
        <v>40</v>
      </c>
      <c r="O5990" s="19" t="s">
        <v>98</v>
      </c>
      <c r="P5990" s="19">
        <v>1000</v>
      </c>
      <c r="Q5990" s="19">
        <v>956</v>
      </c>
      <c r="R5990" s="19">
        <f t="shared" si="270"/>
        <v>44</v>
      </c>
      <c r="S5990" s="19">
        <v>455</v>
      </c>
      <c r="T5990" s="19" t="s">
        <v>99</v>
      </c>
      <c r="U5990" s="102" t="s">
        <v>1471</v>
      </c>
      <c r="V5990" s="186">
        <v>45471</v>
      </c>
      <c r="W5990" s="17" t="s">
        <v>44</v>
      </c>
      <c r="Y5990" s="68">
        <v>45658</v>
      </c>
      <c r="Z5990" s="17" t="s">
        <v>78</v>
      </c>
      <c r="AA5990" s="17" t="s">
        <v>46</v>
      </c>
      <c r="AB5990" s="17" t="s">
        <v>1472</v>
      </c>
      <c r="AC5990" s="217">
        <v>45812</v>
      </c>
      <c r="AD5990" s="65">
        <v>1684</v>
      </c>
      <c r="AE5990" s="17" t="s">
        <v>48</v>
      </c>
    </row>
    <row r="5991" s="17" customFormat="1" hidden="1" spans="1:31">
      <c r="A5991" s="17" t="s">
        <v>34</v>
      </c>
      <c r="B5991" s="19">
        <v>1018</v>
      </c>
      <c r="C5991" s="183">
        <v>45470</v>
      </c>
      <c r="D5991" s="17" t="s">
        <v>35</v>
      </c>
      <c r="E5991" s="17" t="s">
        <v>718</v>
      </c>
      <c r="F5991" s="17" t="s">
        <v>96</v>
      </c>
      <c r="H5991" s="19" t="s">
        <v>97</v>
      </c>
      <c r="I5991" s="19"/>
      <c r="J5991" s="17" t="s">
        <v>82</v>
      </c>
      <c r="K5991" s="19">
        <v>520</v>
      </c>
      <c r="L5991" s="91">
        <v>75</v>
      </c>
      <c r="M5991" s="19"/>
      <c r="N5991" s="19" t="s">
        <v>40</v>
      </c>
      <c r="O5991" s="19" t="s">
        <v>98</v>
      </c>
      <c r="P5991" s="19">
        <v>1000</v>
      </c>
      <c r="Q5991" s="19">
        <v>936</v>
      </c>
      <c r="R5991" s="19">
        <f t="shared" si="270"/>
        <v>64</v>
      </c>
      <c r="S5991" s="19">
        <f>455+9</f>
        <v>464</v>
      </c>
      <c r="T5991" s="19" t="s">
        <v>99</v>
      </c>
      <c r="U5991" s="102" t="s">
        <v>1471</v>
      </c>
      <c r="V5991" s="186">
        <v>45471</v>
      </c>
      <c r="W5991" s="17" t="s">
        <v>69</v>
      </c>
      <c r="Y5991" s="68">
        <v>45658</v>
      </c>
      <c r="Z5991" s="17" t="s">
        <v>78</v>
      </c>
      <c r="AA5991" s="17" t="s">
        <v>46</v>
      </c>
      <c r="AB5991" s="17" t="s">
        <v>1473</v>
      </c>
      <c r="AC5991" s="217">
        <v>45750</v>
      </c>
      <c r="AD5991" s="65">
        <v>1662</v>
      </c>
      <c r="AE5991" s="17" t="s">
        <v>48</v>
      </c>
    </row>
    <row r="5992" s="17" customFormat="1" hidden="1" spans="1:31">
      <c r="A5992" s="17" t="s">
        <v>34</v>
      </c>
      <c r="B5992" s="19">
        <v>1018</v>
      </c>
      <c r="C5992" s="183">
        <v>45470</v>
      </c>
      <c r="D5992" s="17" t="s">
        <v>35</v>
      </c>
      <c r="E5992" s="17" t="s">
        <v>718</v>
      </c>
      <c r="F5992" s="17" t="s">
        <v>96</v>
      </c>
      <c r="H5992" s="19" t="s">
        <v>97</v>
      </c>
      <c r="I5992" s="19"/>
      <c r="J5992" s="17" t="s">
        <v>82</v>
      </c>
      <c r="K5992" s="19">
        <v>520</v>
      </c>
      <c r="L5992" s="91">
        <v>80</v>
      </c>
      <c r="M5992" s="19"/>
      <c r="N5992" s="19" t="s">
        <v>40</v>
      </c>
      <c r="O5992" s="19" t="s">
        <v>98</v>
      </c>
      <c r="P5992" s="19">
        <v>1000</v>
      </c>
      <c r="Q5992" s="19">
        <v>1080</v>
      </c>
      <c r="R5992" s="19">
        <f t="shared" si="270"/>
        <v>-80</v>
      </c>
      <c r="S5992" s="19">
        <v>455</v>
      </c>
      <c r="T5992" s="19" t="s">
        <v>99</v>
      </c>
      <c r="U5992" s="102" t="s">
        <v>1471</v>
      </c>
      <c r="V5992" s="186">
        <v>45471</v>
      </c>
      <c r="W5992" s="17" t="s">
        <v>44</v>
      </c>
      <c r="Y5992" s="68">
        <v>45658</v>
      </c>
      <c r="Z5992" s="17" t="s">
        <v>78</v>
      </c>
      <c r="AA5992" s="17" t="s">
        <v>46</v>
      </c>
      <c r="AB5992" s="17" t="s">
        <v>1472</v>
      </c>
      <c r="AC5992" s="217">
        <v>45812</v>
      </c>
      <c r="AD5992" s="65">
        <v>1684</v>
      </c>
      <c r="AE5992" s="17" t="s">
        <v>48</v>
      </c>
    </row>
    <row r="5993" s="17" customFormat="1" hidden="1" spans="1:31">
      <c r="A5993" s="17" t="s">
        <v>34</v>
      </c>
      <c r="B5993" s="19">
        <v>1018</v>
      </c>
      <c r="C5993" s="183">
        <v>45470</v>
      </c>
      <c r="D5993" s="17" t="s">
        <v>35</v>
      </c>
      <c r="E5993" s="17" t="s">
        <v>718</v>
      </c>
      <c r="F5993" s="17" t="s">
        <v>96</v>
      </c>
      <c r="H5993" s="19" t="s">
        <v>97</v>
      </c>
      <c r="I5993" s="19"/>
      <c r="J5993" s="17" t="s">
        <v>82</v>
      </c>
      <c r="K5993" s="19">
        <v>520</v>
      </c>
      <c r="L5993" s="91">
        <v>85</v>
      </c>
      <c r="M5993" s="19"/>
      <c r="N5993" s="19" t="s">
        <v>40</v>
      </c>
      <c r="O5993" s="19" t="s">
        <v>98</v>
      </c>
      <c r="P5993" s="19">
        <v>1000</v>
      </c>
      <c r="Q5993" s="19">
        <v>1174</v>
      </c>
      <c r="R5993" s="19">
        <f t="shared" si="270"/>
        <v>-174</v>
      </c>
      <c r="S5993" s="19">
        <v>455</v>
      </c>
      <c r="T5993" s="19" t="s">
        <v>99</v>
      </c>
      <c r="U5993" s="102" t="s">
        <v>1471</v>
      </c>
      <c r="V5993" s="186">
        <v>45471</v>
      </c>
      <c r="W5993" s="17" t="s">
        <v>44</v>
      </c>
      <c r="Y5993" s="68">
        <v>45658</v>
      </c>
      <c r="Z5993" s="17" t="s">
        <v>78</v>
      </c>
      <c r="AA5993" s="17" t="s">
        <v>46</v>
      </c>
      <c r="AB5993" s="17" t="s">
        <v>1472</v>
      </c>
      <c r="AC5993" s="217">
        <v>45812</v>
      </c>
      <c r="AD5993" s="65">
        <v>1684</v>
      </c>
      <c r="AE5993" s="17" t="s">
        <v>48</v>
      </c>
    </row>
    <row r="5994" s="17" customFormat="1" hidden="1" spans="1:31">
      <c r="A5994" s="17" t="s">
        <v>34</v>
      </c>
      <c r="B5994" s="19">
        <v>1018</v>
      </c>
      <c r="C5994" s="183">
        <v>45470</v>
      </c>
      <c r="D5994" s="17" t="s">
        <v>35</v>
      </c>
      <c r="E5994" s="17" t="s">
        <v>718</v>
      </c>
      <c r="F5994" s="17" t="s">
        <v>96</v>
      </c>
      <c r="H5994" s="19" t="s">
        <v>97</v>
      </c>
      <c r="I5994" s="19"/>
      <c r="J5994" s="17" t="s">
        <v>82</v>
      </c>
      <c r="K5994" s="19">
        <v>520</v>
      </c>
      <c r="L5994" s="91">
        <v>90</v>
      </c>
      <c r="M5994" s="19"/>
      <c r="N5994" s="19" t="s">
        <v>40</v>
      </c>
      <c r="O5994" s="19" t="s">
        <v>98</v>
      </c>
      <c r="P5994" s="19">
        <v>1000</v>
      </c>
      <c r="Q5994" s="19">
        <v>1236</v>
      </c>
      <c r="R5994" s="19">
        <f t="shared" si="270"/>
        <v>-236</v>
      </c>
      <c r="S5994" s="19">
        <v>455</v>
      </c>
      <c r="T5994" s="19" t="s">
        <v>99</v>
      </c>
      <c r="U5994" s="102" t="s">
        <v>1471</v>
      </c>
      <c r="V5994" s="186">
        <v>45471</v>
      </c>
      <c r="W5994" s="17" t="s">
        <v>44</v>
      </c>
      <c r="Y5994" s="68">
        <v>45658</v>
      </c>
      <c r="Z5994" s="17" t="s">
        <v>78</v>
      </c>
      <c r="AA5994" s="17" t="s">
        <v>46</v>
      </c>
      <c r="AB5994" s="17" t="s">
        <v>1472</v>
      </c>
      <c r="AC5994" s="217">
        <v>45812</v>
      </c>
      <c r="AD5994" s="65">
        <v>1684</v>
      </c>
      <c r="AE5994" s="17" t="s">
        <v>48</v>
      </c>
    </row>
    <row r="5995" s="17" customFormat="1" hidden="1" spans="1:31">
      <c r="A5995" s="17" t="s">
        <v>34</v>
      </c>
      <c r="B5995" s="19">
        <v>1018</v>
      </c>
      <c r="C5995" s="183">
        <v>45470</v>
      </c>
      <c r="D5995" s="17" t="s">
        <v>35</v>
      </c>
      <c r="E5995" s="17" t="s">
        <v>718</v>
      </c>
      <c r="F5995" s="17" t="s">
        <v>96</v>
      </c>
      <c r="H5995" s="19" t="s">
        <v>97</v>
      </c>
      <c r="I5995" s="19"/>
      <c r="J5995" s="17" t="s">
        <v>82</v>
      </c>
      <c r="K5995" s="19">
        <v>520</v>
      </c>
      <c r="L5995" s="91">
        <v>95</v>
      </c>
      <c r="M5995" s="19"/>
      <c r="N5995" s="19" t="s">
        <v>40</v>
      </c>
      <c r="O5995" s="19" t="s">
        <v>98</v>
      </c>
      <c r="P5995" s="19">
        <v>1000</v>
      </c>
      <c r="Q5995" s="19">
        <v>1323</v>
      </c>
      <c r="R5995" s="19">
        <f t="shared" si="270"/>
        <v>-323</v>
      </c>
      <c r="S5995" s="19">
        <v>455</v>
      </c>
      <c r="T5995" s="19" t="s">
        <v>99</v>
      </c>
      <c r="U5995" s="102" t="s">
        <v>1471</v>
      </c>
      <c r="V5995" s="186">
        <v>45471</v>
      </c>
      <c r="W5995" s="17" t="s">
        <v>44</v>
      </c>
      <c r="Y5995" s="68">
        <v>45658</v>
      </c>
      <c r="Z5995" s="17" t="s">
        <v>78</v>
      </c>
      <c r="AA5995" s="17" t="s">
        <v>46</v>
      </c>
      <c r="AB5995" s="17" t="s">
        <v>1472</v>
      </c>
      <c r="AC5995" s="217">
        <v>45812</v>
      </c>
      <c r="AD5995" s="65">
        <v>1684</v>
      </c>
      <c r="AE5995" s="17" t="s">
        <v>48</v>
      </c>
    </row>
    <row r="5996" s="17" customFormat="1" hidden="1" spans="1:31">
      <c r="A5996" s="17" t="s">
        <v>34</v>
      </c>
      <c r="B5996" s="19">
        <v>1018</v>
      </c>
      <c r="C5996" s="183">
        <v>45470</v>
      </c>
      <c r="D5996" s="17" t="s">
        <v>35</v>
      </c>
      <c r="E5996" s="17" t="s">
        <v>718</v>
      </c>
      <c r="F5996" s="17" t="s">
        <v>96</v>
      </c>
      <c r="H5996" s="19" t="s">
        <v>97</v>
      </c>
      <c r="I5996" s="19"/>
      <c r="J5996" s="17" t="s">
        <v>82</v>
      </c>
      <c r="K5996" s="19">
        <v>520</v>
      </c>
      <c r="L5996" s="91">
        <v>105</v>
      </c>
      <c r="M5996" s="19"/>
      <c r="N5996" s="19" t="s">
        <v>40</v>
      </c>
      <c r="O5996" s="19" t="s">
        <v>98</v>
      </c>
      <c r="P5996" s="19">
        <v>1000</v>
      </c>
      <c r="Q5996" s="19">
        <v>1525</v>
      </c>
      <c r="R5996" s="19">
        <f t="shared" si="270"/>
        <v>-525</v>
      </c>
      <c r="S5996" s="19">
        <f>455+9</f>
        <v>464</v>
      </c>
      <c r="T5996" s="19" t="s">
        <v>99</v>
      </c>
      <c r="U5996" s="102" t="s">
        <v>1471</v>
      </c>
      <c r="V5996" s="186">
        <v>45471</v>
      </c>
      <c r="W5996" s="17" t="s">
        <v>69</v>
      </c>
      <c r="Y5996" s="68">
        <v>45658</v>
      </c>
      <c r="Z5996" s="17" t="s">
        <v>78</v>
      </c>
      <c r="AA5996" s="17" t="s">
        <v>46</v>
      </c>
      <c r="AB5996" s="17" t="s">
        <v>1473</v>
      </c>
      <c r="AC5996" s="217">
        <v>45750</v>
      </c>
      <c r="AD5996" s="65">
        <v>1662</v>
      </c>
      <c r="AE5996" s="17" t="s">
        <v>48</v>
      </c>
    </row>
    <row r="5997" s="17" customFormat="1" hidden="1" spans="1:31">
      <c r="A5997" s="17" t="s">
        <v>34</v>
      </c>
      <c r="B5997" s="19">
        <v>1018</v>
      </c>
      <c r="C5997" s="183">
        <v>45470</v>
      </c>
      <c r="D5997" s="17" t="s">
        <v>35</v>
      </c>
      <c r="E5997" s="17" t="s">
        <v>718</v>
      </c>
      <c r="F5997" s="17" t="s">
        <v>96</v>
      </c>
      <c r="H5997" s="19" t="s">
        <v>97</v>
      </c>
      <c r="I5997" s="19"/>
      <c r="J5997" s="17" t="s">
        <v>82</v>
      </c>
      <c r="K5997" s="19">
        <v>520</v>
      </c>
      <c r="L5997" s="91">
        <v>120</v>
      </c>
      <c r="M5997" s="19"/>
      <c r="N5997" s="19" t="s">
        <v>40</v>
      </c>
      <c r="O5997" s="19" t="s">
        <v>98</v>
      </c>
      <c r="P5997" s="19">
        <v>1000</v>
      </c>
      <c r="Q5997" s="19">
        <v>1733</v>
      </c>
      <c r="R5997" s="19">
        <f t="shared" si="270"/>
        <v>-733</v>
      </c>
      <c r="S5997" s="19">
        <f>455+9</f>
        <v>464</v>
      </c>
      <c r="T5997" s="19" t="s">
        <v>99</v>
      </c>
      <c r="U5997" s="102" t="s">
        <v>1471</v>
      </c>
      <c r="V5997" s="186">
        <v>45471</v>
      </c>
      <c r="W5997" s="17" t="s">
        <v>69</v>
      </c>
      <c r="Y5997" s="68">
        <v>45658</v>
      </c>
      <c r="Z5997" s="17" t="s">
        <v>78</v>
      </c>
      <c r="AA5997" s="17" t="s">
        <v>46</v>
      </c>
      <c r="AB5997" s="17" t="s">
        <v>1473</v>
      </c>
      <c r="AC5997" s="217">
        <v>45750</v>
      </c>
      <c r="AD5997" s="65">
        <v>1662</v>
      </c>
      <c r="AE5997" s="17" t="s">
        <v>48</v>
      </c>
    </row>
    <row r="5998" s="17" customFormat="1" hidden="1" spans="1:31">
      <c r="A5998" s="17" t="s">
        <v>34</v>
      </c>
      <c r="B5998" s="19">
        <v>1018</v>
      </c>
      <c r="C5998" s="183">
        <v>45470</v>
      </c>
      <c r="D5998" s="17" t="s">
        <v>35</v>
      </c>
      <c r="E5998" s="17" t="s">
        <v>718</v>
      </c>
      <c r="F5998" s="17" t="s">
        <v>96</v>
      </c>
      <c r="H5998" s="19" t="s">
        <v>97</v>
      </c>
      <c r="I5998" s="19"/>
      <c r="J5998" s="17" t="s">
        <v>82</v>
      </c>
      <c r="K5998" s="19">
        <v>610</v>
      </c>
      <c r="L5998" s="91">
        <v>160</v>
      </c>
      <c r="M5998" s="19"/>
      <c r="N5998" s="19" t="s">
        <v>40</v>
      </c>
      <c r="O5998" s="19" t="s">
        <v>98</v>
      </c>
      <c r="P5998" s="19">
        <v>2000</v>
      </c>
      <c r="Q5998" s="19">
        <v>2268</v>
      </c>
      <c r="R5998" s="19">
        <f t="shared" si="270"/>
        <v>-268</v>
      </c>
      <c r="S5998" s="19">
        <v>475</v>
      </c>
      <c r="T5998" s="19" t="s">
        <v>99</v>
      </c>
      <c r="U5998" s="102" t="s">
        <v>1471</v>
      </c>
      <c r="V5998" s="186">
        <v>45471</v>
      </c>
      <c r="W5998" s="17" t="s">
        <v>44</v>
      </c>
      <c r="Y5998" s="68">
        <v>45658</v>
      </c>
      <c r="Z5998" s="17" t="s">
        <v>78</v>
      </c>
      <c r="AA5998" s="17" t="s">
        <v>46</v>
      </c>
      <c r="AB5998" s="17" t="s">
        <v>1474</v>
      </c>
      <c r="AC5998" s="217">
        <v>45911</v>
      </c>
      <c r="AD5998" s="65">
        <v>1723</v>
      </c>
      <c r="AE5998" s="17" t="s">
        <v>48</v>
      </c>
    </row>
    <row r="5999" s="17" customFormat="1" hidden="1" spans="1:31">
      <c r="A5999" s="17" t="s">
        <v>34</v>
      </c>
      <c r="B5999" s="19">
        <v>1018</v>
      </c>
      <c r="C5999" s="183">
        <v>45470</v>
      </c>
      <c r="D5999" s="17" t="s">
        <v>35</v>
      </c>
      <c r="E5999" s="17" t="s">
        <v>718</v>
      </c>
      <c r="F5999" s="17" t="s">
        <v>96</v>
      </c>
      <c r="H5999" s="19" t="s">
        <v>97</v>
      </c>
      <c r="I5999" s="19"/>
      <c r="J5999" s="17" t="s">
        <v>82</v>
      </c>
      <c r="K5999" s="19">
        <v>610</v>
      </c>
      <c r="L5999" s="91">
        <v>180</v>
      </c>
      <c r="M5999" s="19"/>
      <c r="N5999" s="19" t="s">
        <v>40</v>
      </c>
      <c r="O5999" s="19" t="s">
        <v>98</v>
      </c>
      <c r="P5999" s="19">
        <v>2000</v>
      </c>
      <c r="Q5999" s="19">
        <v>2457</v>
      </c>
      <c r="R5999" s="19">
        <f t="shared" si="270"/>
        <v>-457</v>
      </c>
      <c r="S5999" s="19">
        <v>475</v>
      </c>
      <c r="T5999" s="19" t="s">
        <v>99</v>
      </c>
      <c r="U5999" s="102" t="s">
        <v>1471</v>
      </c>
      <c r="V5999" s="186">
        <v>45471</v>
      </c>
      <c r="W5999" s="17" t="s">
        <v>44</v>
      </c>
      <c r="Y5999" s="68">
        <v>45658</v>
      </c>
      <c r="Z5999" s="17" t="s">
        <v>78</v>
      </c>
      <c r="AA5999" s="17" t="s">
        <v>46</v>
      </c>
      <c r="AB5999" s="17" t="s">
        <v>1472</v>
      </c>
      <c r="AC5999" s="217">
        <v>45812</v>
      </c>
      <c r="AD5999" s="65">
        <v>1684</v>
      </c>
      <c r="AE5999" s="17" t="s">
        <v>48</v>
      </c>
    </row>
    <row r="6000" s="23" customFormat="1" ht="15.75" hidden="1" customHeight="1" spans="1:31">
      <c r="A6000" s="23" t="s">
        <v>34</v>
      </c>
      <c r="B6000" s="91">
        <v>1018</v>
      </c>
      <c r="C6000" s="183">
        <v>45470</v>
      </c>
      <c r="D6000" s="23" t="s">
        <v>35</v>
      </c>
      <c r="E6000" s="23" t="s">
        <v>718</v>
      </c>
      <c r="F6000" s="23" t="s">
        <v>96</v>
      </c>
      <c r="H6000" s="91" t="s">
        <v>97</v>
      </c>
      <c r="I6000" s="91"/>
      <c r="J6000" s="23" t="s">
        <v>82</v>
      </c>
      <c r="K6000" s="91">
        <v>610</v>
      </c>
      <c r="L6000" s="91">
        <v>210</v>
      </c>
      <c r="M6000" s="91"/>
      <c r="N6000" s="91" t="s">
        <v>40</v>
      </c>
      <c r="O6000" s="91" t="s">
        <v>98</v>
      </c>
      <c r="P6000" s="91">
        <v>2000</v>
      </c>
      <c r="Q6000" s="91">
        <v>2490</v>
      </c>
      <c r="R6000" s="91">
        <f t="shared" si="270"/>
        <v>-490</v>
      </c>
      <c r="S6000" s="91">
        <v>475</v>
      </c>
      <c r="T6000" s="91" t="s">
        <v>99</v>
      </c>
      <c r="U6000" s="339" t="s">
        <v>1471</v>
      </c>
      <c r="V6000" s="230">
        <v>45471</v>
      </c>
      <c r="W6000" s="23" t="s">
        <v>44</v>
      </c>
      <c r="Y6000" s="340">
        <v>45658</v>
      </c>
      <c r="Z6000" s="23" t="s">
        <v>78</v>
      </c>
      <c r="AA6000" s="23" t="s">
        <v>46</v>
      </c>
      <c r="AB6000" s="17" t="s">
        <v>1474</v>
      </c>
      <c r="AC6000" s="217">
        <v>45911</v>
      </c>
      <c r="AD6000" s="341">
        <v>1723</v>
      </c>
      <c r="AE6000" s="23" t="s">
        <v>48</v>
      </c>
    </row>
    <row r="6001" s="17" customFormat="1" hidden="1" spans="1:33">
      <c r="A6001" s="17" t="s">
        <v>34</v>
      </c>
      <c r="B6001" s="19">
        <v>1018</v>
      </c>
      <c r="C6001" s="183">
        <v>45470</v>
      </c>
      <c r="D6001" s="17" t="s">
        <v>35</v>
      </c>
      <c r="E6001" s="17" t="s">
        <v>718</v>
      </c>
      <c r="F6001" s="17" t="s">
        <v>96</v>
      </c>
      <c r="H6001" s="19" t="s">
        <v>97</v>
      </c>
      <c r="I6001" s="19"/>
      <c r="J6001" s="17" t="s">
        <v>82</v>
      </c>
      <c r="K6001" s="19">
        <v>610</v>
      </c>
      <c r="L6001" s="91">
        <v>260</v>
      </c>
      <c r="M6001" s="19"/>
      <c r="N6001" s="19" t="s">
        <v>40</v>
      </c>
      <c r="O6001" s="19" t="s">
        <v>98</v>
      </c>
      <c r="P6001" s="19">
        <v>3000</v>
      </c>
      <c r="Q6001" s="19">
        <v>2565</v>
      </c>
      <c r="R6001" s="19">
        <f t="shared" si="270"/>
        <v>435</v>
      </c>
      <c r="S6001" s="19">
        <v>475</v>
      </c>
      <c r="T6001" s="19" t="s">
        <v>99</v>
      </c>
      <c r="U6001" s="102" t="s">
        <v>1471</v>
      </c>
      <c r="V6001" s="186">
        <v>45471</v>
      </c>
      <c r="W6001" s="17" t="s">
        <v>44</v>
      </c>
      <c r="Y6001" s="68">
        <v>45658</v>
      </c>
      <c r="Z6001" s="17" t="s">
        <v>78</v>
      </c>
      <c r="AA6001" s="17" t="s">
        <v>46</v>
      </c>
      <c r="AB6001" s="17" t="s">
        <v>1472</v>
      </c>
      <c r="AC6001" s="217">
        <v>45812</v>
      </c>
      <c r="AD6001" s="65">
        <v>1684</v>
      </c>
      <c r="AE6001" s="17" t="s">
        <v>48</v>
      </c>
    </row>
    <row r="6002" s="17" customFormat="1" hidden="1" spans="1:33">
      <c r="A6002" s="17" t="s">
        <v>34</v>
      </c>
      <c r="B6002" s="19">
        <v>1018</v>
      </c>
      <c r="C6002" s="183">
        <v>45470</v>
      </c>
      <c r="D6002" s="17" t="s">
        <v>35</v>
      </c>
      <c r="E6002" s="17" t="s">
        <v>718</v>
      </c>
      <c r="F6002" s="17" t="s">
        <v>96</v>
      </c>
      <c r="H6002" s="19" t="s">
        <v>97</v>
      </c>
      <c r="I6002" s="19"/>
      <c r="J6002" s="17" t="s">
        <v>82</v>
      </c>
      <c r="K6002" s="19">
        <v>610</v>
      </c>
      <c r="L6002" s="91">
        <v>305</v>
      </c>
      <c r="M6002" s="19"/>
      <c r="N6002" s="19" t="s">
        <v>40</v>
      </c>
      <c r="O6002" s="19" t="s">
        <v>98</v>
      </c>
      <c r="P6002" s="19">
        <v>3000</v>
      </c>
      <c r="Q6002" s="19">
        <v>2526</v>
      </c>
      <c r="R6002" s="19">
        <f t="shared" si="270"/>
        <v>474</v>
      </c>
      <c r="S6002" s="19">
        <f>475+9</f>
        <v>484</v>
      </c>
      <c r="T6002" s="19" t="s">
        <v>99</v>
      </c>
      <c r="U6002" s="102" t="s">
        <v>1471</v>
      </c>
      <c r="V6002" s="186">
        <v>45471</v>
      </c>
      <c r="W6002" s="17" t="s">
        <v>69</v>
      </c>
      <c r="Y6002" s="68">
        <v>45658</v>
      </c>
      <c r="Z6002" s="17" t="s">
        <v>78</v>
      </c>
      <c r="AA6002" s="17" t="s">
        <v>46</v>
      </c>
      <c r="AB6002" s="17" t="s">
        <v>1473</v>
      </c>
      <c r="AC6002" s="217">
        <v>45750</v>
      </c>
      <c r="AD6002" s="65">
        <v>1662</v>
      </c>
      <c r="AE6002" s="17" t="s">
        <v>48</v>
      </c>
    </row>
    <row r="6003" s="17" customFormat="1" hidden="1" spans="1:33">
      <c r="A6003" s="17" t="s">
        <v>34</v>
      </c>
      <c r="B6003" s="19">
        <v>1019</v>
      </c>
      <c r="C6003" s="183">
        <v>45482</v>
      </c>
      <c r="D6003" s="17" t="s">
        <v>35</v>
      </c>
      <c r="E6003" s="17" t="s">
        <v>71</v>
      </c>
      <c r="F6003" s="17" t="s">
        <v>72</v>
      </c>
      <c r="H6003" s="19">
        <v>1.2379</v>
      </c>
      <c r="I6003" s="19"/>
      <c r="J6003" s="17" t="s">
        <v>39</v>
      </c>
      <c r="K6003" s="19">
        <v>70</v>
      </c>
      <c r="L6003" s="91"/>
      <c r="M6003" s="19"/>
      <c r="N6003" s="19" t="s">
        <v>40</v>
      </c>
      <c r="O6003" s="19" t="s">
        <v>41</v>
      </c>
      <c r="P6003" s="19">
        <v>2000</v>
      </c>
      <c r="Q6003" s="19">
        <v>2095</v>
      </c>
      <c r="R6003" s="19">
        <f t="shared" si="270"/>
        <v>-95</v>
      </c>
      <c r="S6003" s="19">
        <f>2600-35</f>
        <v>2565</v>
      </c>
      <c r="T6003" s="19" t="s">
        <v>42</v>
      </c>
      <c r="U6003" s="102" t="s">
        <v>1475</v>
      </c>
      <c r="V6003" s="186">
        <v>45488</v>
      </c>
      <c r="W6003" s="17" t="s">
        <v>44</v>
      </c>
      <c r="Y6003" s="68">
        <v>45566</v>
      </c>
      <c r="Z6003" s="17" t="s">
        <v>207</v>
      </c>
      <c r="AA6003" s="17" t="s">
        <v>46</v>
      </c>
      <c r="AB6003" s="17" t="s">
        <v>1476</v>
      </c>
      <c r="AC6003" s="217">
        <v>45800</v>
      </c>
      <c r="AD6003" s="65">
        <v>1702</v>
      </c>
      <c r="AE6003" s="17" t="s">
        <v>48</v>
      </c>
      <c r="AG6003" s="17" t="s">
        <v>1456</v>
      </c>
    </row>
    <row r="6004" s="17" customFormat="1" hidden="1" spans="1:33">
      <c r="A6004" s="17" t="s">
        <v>34</v>
      </c>
      <c r="B6004" s="19">
        <v>1019</v>
      </c>
      <c r="C6004" s="183">
        <v>45482</v>
      </c>
      <c r="D6004" s="17" t="s">
        <v>35</v>
      </c>
      <c r="E6004" s="17" t="s">
        <v>71</v>
      </c>
      <c r="F6004" s="17" t="s">
        <v>72</v>
      </c>
      <c r="H6004" s="19">
        <v>1.2379</v>
      </c>
      <c r="I6004" s="19"/>
      <c r="J6004" s="17" t="s">
        <v>39</v>
      </c>
      <c r="K6004" s="19">
        <v>83</v>
      </c>
      <c r="L6004" s="91"/>
      <c r="M6004" s="19"/>
      <c r="N6004" s="19" t="s">
        <v>40</v>
      </c>
      <c r="O6004" s="19" t="s">
        <v>41</v>
      </c>
      <c r="P6004" s="19">
        <v>8000</v>
      </c>
      <c r="Q6004" s="19">
        <v>8928</v>
      </c>
      <c r="R6004" s="19">
        <f t="shared" si="270"/>
        <v>-928</v>
      </c>
      <c r="S6004" s="19">
        <f>2600-35</f>
        <v>2565</v>
      </c>
      <c r="T6004" s="19" t="s">
        <v>42</v>
      </c>
      <c r="U6004" s="102" t="s">
        <v>1475</v>
      </c>
      <c r="V6004" s="186">
        <v>45488</v>
      </c>
      <c r="W6004" s="17" t="s">
        <v>44</v>
      </c>
      <c r="Y6004" s="68">
        <v>45566</v>
      </c>
      <c r="Z6004" s="17" t="s">
        <v>207</v>
      </c>
      <c r="AA6004" s="17" t="s">
        <v>46</v>
      </c>
      <c r="AB6004" s="17" t="s">
        <v>1476</v>
      </c>
      <c r="AC6004" s="217">
        <v>45800</v>
      </c>
      <c r="AD6004" s="65">
        <v>1702</v>
      </c>
      <c r="AE6004" s="17" t="s">
        <v>48</v>
      </c>
      <c r="AG6004" s="17" t="s">
        <v>1456</v>
      </c>
    </row>
    <row r="6005" s="17" customFormat="1" hidden="1" spans="1:33">
      <c r="A6005" s="17" t="s">
        <v>34</v>
      </c>
      <c r="B6005" s="19">
        <v>1019</v>
      </c>
      <c r="C6005" s="183">
        <v>45482</v>
      </c>
      <c r="D6005" s="17" t="s">
        <v>35</v>
      </c>
      <c r="E6005" s="17" t="s">
        <v>71</v>
      </c>
      <c r="F6005" s="17" t="s">
        <v>72</v>
      </c>
      <c r="H6005" s="19">
        <v>1.2379</v>
      </c>
      <c r="I6005" s="19"/>
      <c r="J6005" s="17" t="s">
        <v>39</v>
      </c>
      <c r="K6005" s="19">
        <v>100</v>
      </c>
      <c r="L6005" s="91"/>
      <c r="M6005" s="19"/>
      <c r="N6005" s="19" t="s">
        <v>40</v>
      </c>
      <c r="O6005" s="19" t="s">
        <v>41</v>
      </c>
      <c r="P6005" s="19">
        <v>3000</v>
      </c>
      <c r="Q6005" s="19">
        <f>1331+1359</f>
        <v>2690</v>
      </c>
      <c r="R6005" s="19">
        <f t="shared" si="270"/>
        <v>310</v>
      </c>
      <c r="S6005" s="19">
        <f>2530-35</f>
        <v>2495</v>
      </c>
      <c r="T6005" s="19" t="s">
        <v>42</v>
      </c>
      <c r="U6005" s="102" t="s">
        <v>1475</v>
      </c>
      <c r="V6005" s="186">
        <v>45488</v>
      </c>
      <c r="W6005" s="17" t="s">
        <v>44</v>
      </c>
      <c r="Y6005" s="68">
        <v>45566</v>
      </c>
      <c r="Z6005" s="17" t="s">
        <v>207</v>
      </c>
      <c r="AA6005" s="17" t="s">
        <v>46</v>
      </c>
      <c r="AB6005" s="17" t="s">
        <v>1476</v>
      </c>
      <c r="AC6005" s="217">
        <v>45800</v>
      </c>
      <c r="AD6005" s="65">
        <v>1702</v>
      </c>
      <c r="AE6005" s="17" t="s">
        <v>48</v>
      </c>
      <c r="AG6005" s="17" t="s">
        <v>1456</v>
      </c>
    </row>
    <row r="6006" s="17" customFormat="1" hidden="1" spans="1:33">
      <c r="A6006" s="17" t="s">
        <v>34</v>
      </c>
      <c r="B6006" s="19">
        <v>1019</v>
      </c>
      <c r="C6006" s="183">
        <v>45482</v>
      </c>
      <c r="D6006" s="17" t="s">
        <v>35</v>
      </c>
      <c r="E6006" s="17" t="s">
        <v>71</v>
      </c>
      <c r="F6006" s="17" t="s">
        <v>72</v>
      </c>
      <c r="H6006" s="19">
        <v>1.2379</v>
      </c>
      <c r="I6006" s="19"/>
      <c r="J6006" s="17" t="s">
        <v>39</v>
      </c>
      <c r="K6006" s="19">
        <v>123</v>
      </c>
      <c r="L6006" s="91"/>
      <c r="M6006" s="19"/>
      <c r="N6006" s="19" t="s">
        <v>40</v>
      </c>
      <c r="O6006" s="19" t="s">
        <v>41</v>
      </c>
      <c r="P6006" s="19">
        <v>8000</v>
      </c>
      <c r="Q6006" s="19">
        <f>916+1928+1799+1893+1969</f>
        <v>8505</v>
      </c>
      <c r="R6006" s="19">
        <f t="shared" si="270"/>
        <v>-505</v>
      </c>
      <c r="S6006" s="19">
        <f>2530-35</f>
        <v>2495</v>
      </c>
      <c r="T6006" s="19" t="s">
        <v>42</v>
      </c>
      <c r="U6006" s="102" t="s">
        <v>1475</v>
      </c>
      <c r="V6006" s="186">
        <v>45488</v>
      </c>
      <c r="W6006" s="17" t="s">
        <v>44</v>
      </c>
      <c r="Y6006" s="68">
        <v>45566</v>
      </c>
      <c r="Z6006" s="17" t="s">
        <v>207</v>
      </c>
      <c r="AA6006" s="17" t="s">
        <v>46</v>
      </c>
      <c r="AB6006" s="17" t="s">
        <v>1476</v>
      </c>
      <c r="AC6006" s="217">
        <v>45800</v>
      </c>
      <c r="AD6006" s="65">
        <v>1702</v>
      </c>
      <c r="AE6006" s="17" t="s">
        <v>48</v>
      </c>
      <c r="AG6006" s="17" t="s">
        <v>1456</v>
      </c>
    </row>
    <row r="6007" s="17" customFormat="1" hidden="1" spans="1:33">
      <c r="A6007" s="17" t="s">
        <v>34</v>
      </c>
      <c r="B6007" s="19">
        <v>1019</v>
      </c>
      <c r="C6007" s="183">
        <v>45482</v>
      </c>
      <c r="D6007" s="17" t="s">
        <v>35</v>
      </c>
      <c r="E6007" s="17" t="s">
        <v>71</v>
      </c>
      <c r="F6007" s="17" t="s">
        <v>72</v>
      </c>
      <c r="H6007" s="19">
        <v>1.2379</v>
      </c>
      <c r="I6007" s="19"/>
      <c r="J6007" s="17" t="s">
        <v>39</v>
      </c>
      <c r="K6007" s="19">
        <v>125</v>
      </c>
      <c r="L6007" s="91"/>
      <c r="M6007" s="19"/>
      <c r="N6007" s="19" t="s">
        <v>40</v>
      </c>
      <c r="O6007" s="19" t="s">
        <v>41</v>
      </c>
      <c r="P6007" s="19">
        <v>1000</v>
      </c>
      <c r="Q6007" s="19">
        <v>900</v>
      </c>
      <c r="R6007" s="19">
        <f t="shared" si="270"/>
        <v>100</v>
      </c>
      <c r="S6007" s="19">
        <f>2530-35</f>
        <v>2495</v>
      </c>
      <c r="T6007" s="19" t="s">
        <v>42</v>
      </c>
      <c r="U6007" s="102" t="s">
        <v>1475</v>
      </c>
      <c r="V6007" s="186">
        <v>45488</v>
      </c>
      <c r="W6007" s="17" t="s">
        <v>44</v>
      </c>
      <c r="Y6007" s="68">
        <v>45566</v>
      </c>
      <c r="Z6007" s="17" t="s">
        <v>207</v>
      </c>
      <c r="AA6007" s="17" t="s">
        <v>46</v>
      </c>
      <c r="AB6007" s="17" t="s">
        <v>1476</v>
      </c>
      <c r="AC6007" s="217">
        <v>45800</v>
      </c>
      <c r="AD6007" s="65">
        <v>1702</v>
      </c>
      <c r="AE6007" s="17" t="s">
        <v>48</v>
      </c>
      <c r="AG6007" s="17" t="s">
        <v>1456</v>
      </c>
    </row>
    <row r="6008" s="17" customFormat="1" hidden="1" spans="1:33">
      <c r="A6008" s="17" t="s">
        <v>34</v>
      </c>
      <c r="B6008" s="19">
        <v>1020</v>
      </c>
      <c r="C6008" s="183">
        <v>45483</v>
      </c>
      <c r="D6008" s="17" t="s">
        <v>91</v>
      </c>
      <c r="E6008" s="17" t="s">
        <v>550</v>
      </c>
      <c r="F6008" s="17" t="s">
        <v>93</v>
      </c>
      <c r="H6008" s="19">
        <v>1.2085</v>
      </c>
      <c r="I6008" s="19"/>
      <c r="J6008" s="17" t="s">
        <v>49</v>
      </c>
      <c r="K6008" s="19">
        <v>2000</v>
      </c>
      <c r="L6008" s="91">
        <v>40</v>
      </c>
      <c r="M6008" s="19">
        <v>5500</v>
      </c>
      <c r="N6008" s="19" t="s">
        <v>66</v>
      </c>
      <c r="O6008" s="19" t="s">
        <v>141</v>
      </c>
      <c r="P6008" s="19">
        <v>7040</v>
      </c>
      <c r="Q6008" s="19">
        <v>3535</v>
      </c>
      <c r="S6008" s="19">
        <v>2750</v>
      </c>
      <c r="T6008" s="19" t="s">
        <v>94</v>
      </c>
      <c r="U6008" s="102">
        <v>20045147</v>
      </c>
      <c r="V6008" s="186">
        <v>45485</v>
      </c>
      <c r="W6008" s="17" t="s">
        <v>44</v>
      </c>
      <c r="Y6008" s="68">
        <v>45536</v>
      </c>
      <c r="Z6008" s="17" t="s">
        <v>551</v>
      </c>
      <c r="AA6008" s="17" t="s">
        <v>46</v>
      </c>
      <c r="AB6008" s="17">
        <v>24201117898</v>
      </c>
      <c r="AC6008" s="217">
        <v>45544</v>
      </c>
      <c r="AD6008" s="65">
        <v>1621</v>
      </c>
      <c r="AE6008" s="17" t="s">
        <v>48</v>
      </c>
    </row>
    <row r="6009" s="17" customFormat="1" hidden="1" spans="1:33">
      <c r="A6009" s="17" t="s">
        <v>34</v>
      </c>
      <c r="B6009" s="19">
        <v>1020</v>
      </c>
      <c r="C6009" s="183">
        <v>45483</v>
      </c>
      <c r="D6009" s="17" t="s">
        <v>91</v>
      </c>
      <c r="E6009" s="17" t="s">
        <v>550</v>
      </c>
      <c r="F6009" s="17" t="s">
        <v>93</v>
      </c>
      <c r="H6009" s="19">
        <v>1.2085</v>
      </c>
      <c r="I6009" s="19"/>
      <c r="J6009" s="17" t="s">
        <v>49</v>
      </c>
      <c r="K6009" s="19">
        <v>2000</v>
      </c>
      <c r="L6009" s="91">
        <v>40</v>
      </c>
      <c r="M6009" s="19">
        <v>5500</v>
      </c>
      <c r="N6009" s="19" t="s">
        <v>66</v>
      </c>
      <c r="O6009" s="19" t="s">
        <v>141</v>
      </c>
      <c r="P6009" s="19"/>
      <c r="Q6009" s="19">
        <v>3530</v>
      </c>
      <c r="R6009" s="19">
        <f>+P6008-Q6008-Q6009</f>
        <v>-25</v>
      </c>
      <c r="S6009" s="19">
        <v>2750</v>
      </c>
      <c r="T6009" s="19" t="s">
        <v>94</v>
      </c>
      <c r="U6009" s="102">
        <v>20045147</v>
      </c>
      <c r="V6009" s="186">
        <v>45485</v>
      </c>
      <c r="W6009" s="17" t="s">
        <v>44</v>
      </c>
      <c r="Y6009" s="68">
        <v>45536</v>
      </c>
      <c r="Z6009" s="17" t="s">
        <v>551</v>
      </c>
      <c r="AA6009" s="17" t="s">
        <v>46</v>
      </c>
      <c r="AB6009" s="17">
        <v>24201118726</v>
      </c>
      <c r="AC6009" s="217" t="s">
        <v>1477</v>
      </c>
      <c r="AD6009" s="65">
        <v>1628</v>
      </c>
      <c r="AE6009" s="17" t="s">
        <v>48</v>
      </c>
    </row>
    <row r="6010" s="17" customFormat="1" hidden="1" spans="1:33">
      <c r="A6010" s="17" t="s">
        <v>34</v>
      </c>
      <c r="B6010" s="19">
        <v>1020</v>
      </c>
      <c r="C6010" s="183">
        <v>45483</v>
      </c>
      <c r="D6010" s="17" t="s">
        <v>91</v>
      </c>
      <c r="E6010" s="17" t="s">
        <v>550</v>
      </c>
      <c r="F6010" s="17" t="s">
        <v>93</v>
      </c>
      <c r="H6010" s="19">
        <v>1.2085</v>
      </c>
      <c r="I6010" s="19"/>
      <c r="J6010" s="17" t="s">
        <v>49</v>
      </c>
      <c r="K6010" s="19">
        <v>2000</v>
      </c>
      <c r="L6010" s="91">
        <v>45</v>
      </c>
      <c r="M6010" s="19">
        <v>5500</v>
      </c>
      <c r="N6010" s="19" t="s">
        <v>66</v>
      </c>
      <c r="O6010" s="19" t="s">
        <v>141</v>
      </c>
      <c r="P6010" s="19">
        <v>3960</v>
      </c>
      <c r="Q6010" s="19">
        <v>3950</v>
      </c>
      <c r="R6010" s="19">
        <f>+P6010-Q6010</f>
        <v>10</v>
      </c>
      <c r="S6010" s="19">
        <v>2750</v>
      </c>
      <c r="T6010" s="19" t="s">
        <v>94</v>
      </c>
      <c r="U6010" s="102">
        <v>20045147</v>
      </c>
      <c r="V6010" s="186">
        <v>45485</v>
      </c>
      <c r="W6010" s="17" t="s">
        <v>44</v>
      </c>
      <c r="Y6010" s="68">
        <v>45536</v>
      </c>
      <c r="Z6010" s="17" t="s">
        <v>551</v>
      </c>
      <c r="AA6010" s="17" t="s">
        <v>46</v>
      </c>
      <c r="AB6010" s="17">
        <v>24201117898</v>
      </c>
      <c r="AC6010" s="217">
        <v>45544</v>
      </c>
      <c r="AD6010" s="65">
        <v>1621</v>
      </c>
      <c r="AE6010" s="17" t="s">
        <v>48</v>
      </c>
    </row>
    <row r="6011" s="17" customFormat="1" hidden="1" spans="1:33">
      <c r="A6011" s="17" t="s">
        <v>34</v>
      </c>
      <c r="B6011" s="19">
        <v>1020</v>
      </c>
      <c r="C6011" s="183">
        <v>45483</v>
      </c>
      <c r="D6011" s="17" t="s">
        <v>91</v>
      </c>
      <c r="E6011" s="17" t="s">
        <v>550</v>
      </c>
      <c r="F6011" s="17" t="s">
        <v>93</v>
      </c>
      <c r="H6011" s="19">
        <v>1.2085</v>
      </c>
      <c r="I6011" s="19"/>
      <c r="J6011" s="17" t="s">
        <v>49</v>
      </c>
      <c r="K6011" s="19">
        <v>2000</v>
      </c>
      <c r="L6011" s="91">
        <v>50</v>
      </c>
      <c r="M6011" s="19">
        <v>5500</v>
      </c>
      <c r="N6011" s="19" t="s">
        <v>66</v>
      </c>
      <c r="O6011" s="19" t="s">
        <v>141</v>
      </c>
      <c r="P6011" s="19">
        <v>8800</v>
      </c>
      <c r="Q6011" s="19">
        <v>4385</v>
      </c>
      <c r="S6011" s="19">
        <v>2750</v>
      </c>
      <c r="T6011" s="19" t="s">
        <v>94</v>
      </c>
      <c r="U6011" s="102">
        <v>20045147</v>
      </c>
      <c r="V6011" s="186">
        <v>45485</v>
      </c>
      <c r="W6011" s="17" t="s">
        <v>44</v>
      </c>
      <c r="Y6011" s="68">
        <v>45536</v>
      </c>
      <c r="Z6011" s="17" t="s">
        <v>551</v>
      </c>
      <c r="AA6011" s="17" t="s">
        <v>46</v>
      </c>
      <c r="AB6011" s="17">
        <v>24201117898</v>
      </c>
      <c r="AC6011" s="217">
        <v>45544</v>
      </c>
      <c r="AD6011" s="65">
        <v>1621</v>
      </c>
      <c r="AE6011" s="17" t="s">
        <v>48</v>
      </c>
    </row>
    <row r="6012" s="17" customFormat="1" hidden="1" spans="1:33">
      <c r="A6012" s="17" t="s">
        <v>34</v>
      </c>
      <c r="B6012" s="19">
        <v>1020</v>
      </c>
      <c r="C6012" s="183">
        <v>45483</v>
      </c>
      <c r="D6012" s="17" t="s">
        <v>91</v>
      </c>
      <c r="E6012" s="17" t="s">
        <v>550</v>
      </c>
      <c r="F6012" s="17" t="s">
        <v>93</v>
      </c>
      <c r="H6012" s="19">
        <v>1.2085</v>
      </c>
      <c r="I6012" s="19"/>
      <c r="J6012" s="17" t="s">
        <v>49</v>
      </c>
      <c r="K6012" s="19">
        <v>2000</v>
      </c>
      <c r="L6012" s="91">
        <v>50</v>
      </c>
      <c r="M6012" s="19">
        <v>5500</v>
      </c>
      <c r="N6012" s="19" t="s">
        <v>66</v>
      </c>
      <c r="O6012" s="19" t="s">
        <v>141</v>
      </c>
      <c r="P6012" s="19"/>
      <c r="Q6012" s="19">
        <v>4380</v>
      </c>
      <c r="R6012" s="19">
        <f>+P6011-Q6011-Q6012</f>
        <v>35</v>
      </c>
      <c r="S6012" s="19">
        <v>2750</v>
      </c>
      <c r="T6012" s="19" t="s">
        <v>94</v>
      </c>
      <c r="U6012" s="102">
        <v>20045147</v>
      </c>
      <c r="V6012" s="186">
        <v>45485</v>
      </c>
      <c r="W6012" s="17" t="s">
        <v>44</v>
      </c>
      <c r="Y6012" s="68">
        <v>45536</v>
      </c>
      <c r="Z6012" s="17" t="s">
        <v>551</v>
      </c>
      <c r="AA6012" s="17" t="s">
        <v>46</v>
      </c>
      <c r="AB6012" s="17">
        <v>24201118726</v>
      </c>
      <c r="AC6012" s="217" t="s">
        <v>1477</v>
      </c>
      <c r="AD6012" s="65">
        <v>1628</v>
      </c>
      <c r="AE6012" s="17" t="s">
        <v>48</v>
      </c>
    </row>
    <row r="6013" s="17" customFormat="1" hidden="1" spans="1:33">
      <c r="A6013" s="17" t="s">
        <v>34</v>
      </c>
      <c r="B6013" s="19">
        <v>1020</v>
      </c>
      <c r="C6013" s="183">
        <v>45483</v>
      </c>
      <c r="D6013" s="17" t="s">
        <v>91</v>
      </c>
      <c r="E6013" s="17" t="s">
        <v>550</v>
      </c>
      <c r="F6013" s="17" t="s">
        <v>93</v>
      </c>
      <c r="H6013" s="19">
        <v>1.2085</v>
      </c>
      <c r="I6013" s="19"/>
      <c r="J6013" s="17" t="s">
        <v>49</v>
      </c>
      <c r="K6013" s="19">
        <v>2000</v>
      </c>
      <c r="L6013" s="91">
        <v>55</v>
      </c>
      <c r="M6013" s="19">
        <v>5500</v>
      </c>
      <c r="N6013" s="19" t="s">
        <v>66</v>
      </c>
      <c r="O6013" s="19" t="s">
        <v>141</v>
      </c>
      <c r="P6013" s="19">
        <v>4840</v>
      </c>
      <c r="Q6013" s="19">
        <v>4790</v>
      </c>
      <c r="R6013" s="19">
        <f t="shared" ref="R6013:R6076" si="271">+P6013-Q6013</f>
        <v>50</v>
      </c>
      <c r="S6013" s="19">
        <v>2750</v>
      </c>
      <c r="T6013" s="19" t="s">
        <v>94</v>
      </c>
      <c r="U6013" s="102">
        <v>20045147</v>
      </c>
      <c r="V6013" s="186">
        <v>45485</v>
      </c>
      <c r="W6013" s="17" t="s">
        <v>44</v>
      </c>
      <c r="Y6013" s="68">
        <v>45536</v>
      </c>
      <c r="Z6013" s="17" t="s">
        <v>551</v>
      </c>
      <c r="AA6013" s="17" t="s">
        <v>46</v>
      </c>
      <c r="AB6013" s="17">
        <v>24201118726</v>
      </c>
      <c r="AC6013" s="217" t="s">
        <v>1477</v>
      </c>
      <c r="AD6013" s="65">
        <v>1628</v>
      </c>
      <c r="AE6013" s="17" t="s">
        <v>48</v>
      </c>
    </row>
    <row r="6014" s="17" customFormat="1" hidden="1" spans="1:33">
      <c r="A6014" s="17" t="s">
        <v>34</v>
      </c>
      <c r="B6014" s="19">
        <v>1020</v>
      </c>
      <c r="C6014" s="183">
        <v>45483</v>
      </c>
      <c r="D6014" s="17" t="s">
        <v>91</v>
      </c>
      <c r="E6014" s="17" t="s">
        <v>550</v>
      </c>
      <c r="F6014" s="17" t="s">
        <v>93</v>
      </c>
      <c r="H6014" s="19">
        <v>1.2085</v>
      </c>
      <c r="I6014" s="19"/>
      <c r="J6014" s="17" t="s">
        <v>49</v>
      </c>
      <c r="K6014" s="19">
        <v>2000</v>
      </c>
      <c r="L6014" s="91">
        <v>60</v>
      </c>
      <c r="M6014" s="19">
        <v>5500</v>
      </c>
      <c r="N6014" s="19" t="s">
        <v>66</v>
      </c>
      <c r="O6014" s="19" t="s">
        <v>141</v>
      </c>
      <c r="P6014" s="19">
        <v>10560</v>
      </c>
      <c r="Q6014" s="19">
        <v>10575</v>
      </c>
      <c r="R6014" s="19">
        <f t="shared" si="271"/>
        <v>-15</v>
      </c>
      <c r="S6014" s="19">
        <v>2750</v>
      </c>
      <c r="T6014" s="19" t="s">
        <v>94</v>
      </c>
      <c r="U6014" s="102">
        <v>20045147</v>
      </c>
      <c r="V6014" s="186">
        <v>45485</v>
      </c>
      <c r="W6014" s="17" t="s">
        <v>44</v>
      </c>
      <c r="Y6014" s="68">
        <v>45536</v>
      </c>
      <c r="Z6014" s="17" t="s">
        <v>551</v>
      </c>
      <c r="AA6014" s="17" t="s">
        <v>46</v>
      </c>
      <c r="AB6014" s="17">
        <v>24201118726</v>
      </c>
      <c r="AC6014" s="217" t="s">
        <v>1477</v>
      </c>
      <c r="AD6014" s="65">
        <v>1628</v>
      </c>
      <c r="AE6014" s="17" t="s">
        <v>48</v>
      </c>
    </row>
    <row r="6015" s="17" customFormat="1" hidden="1" spans="1:33">
      <c r="A6015" s="17" t="s">
        <v>34</v>
      </c>
      <c r="B6015" s="19">
        <v>1020</v>
      </c>
      <c r="C6015" s="183">
        <v>45483</v>
      </c>
      <c r="D6015" s="17" t="s">
        <v>91</v>
      </c>
      <c r="E6015" s="17" t="s">
        <v>550</v>
      </c>
      <c r="F6015" s="17" t="s">
        <v>93</v>
      </c>
      <c r="H6015" s="19">
        <v>1.2085</v>
      </c>
      <c r="I6015" s="19"/>
      <c r="J6015" s="17" t="s">
        <v>49</v>
      </c>
      <c r="K6015" s="19">
        <v>2000</v>
      </c>
      <c r="L6015" s="91">
        <v>65</v>
      </c>
      <c r="M6015" s="19">
        <v>5500</v>
      </c>
      <c r="N6015" s="19" t="s">
        <v>66</v>
      </c>
      <c r="O6015" s="19" t="s">
        <v>141</v>
      </c>
      <c r="P6015" s="19">
        <v>5720</v>
      </c>
      <c r="Q6015" s="19">
        <v>5690</v>
      </c>
      <c r="R6015" s="19">
        <f t="shared" si="271"/>
        <v>30</v>
      </c>
      <c r="S6015" s="19">
        <v>2750</v>
      </c>
      <c r="T6015" s="19" t="s">
        <v>94</v>
      </c>
      <c r="U6015" s="102">
        <v>20045147</v>
      </c>
      <c r="V6015" s="186">
        <v>45485</v>
      </c>
      <c r="W6015" s="17" t="s">
        <v>44</v>
      </c>
      <c r="Y6015" s="68">
        <v>45536</v>
      </c>
      <c r="Z6015" s="17" t="s">
        <v>551</v>
      </c>
      <c r="AA6015" s="17" t="s">
        <v>46</v>
      </c>
      <c r="AB6015" s="17">
        <v>24201117898</v>
      </c>
      <c r="AC6015" s="217">
        <v>45544</v>
      </c>
      <c r="AD6015" s="65">
        <v>1621</v>
      </c>
      <c r="AE6015" s="17" t="s">
        <v>48</v>
      </c>
    </row>
    <row r="6016" s="17" customFormat="1" hidden="1" spans="1:33">
      <c r="A6016" s="17" t="s">
        <v>34</v>
      </c>
      <c r="B6016" s="19">
        <v>1020</v>
      </c>
      <c r="C6016" s="183">
        <v>45483</v>
      </c>
      <c r="D6016" s="17" t="s">
        <v>91</v>
      </c>
      <c r="E6016" s="17" t="s">
        <v>550</v>
      </c>
      <c r="F6016" s="17" t="s">
        <v>93</v>
      </c>
      <c r="H6016" s="19">
        <v>1.2085</v>
      </c>
      <c r="I6016" s="19"/>
      <c r="J6016" s="17" t="s">
        <v>49</v>
      </c>
      <c r="K6016" s="19">
        <v>2000</v>
      </c>
      <c r="L6016" s="91">
        <v>70</v>
      </c>
      <c r="M6016" s="19">
        <v>5500</v>
      </c>
      <c r="N6016" s="19" t="s">
        <v>66</v>
      </c>
      <c r="O6016" s="19" t="s">
        <v>141</v>
      </c>
      <c r="P6016" s="19">
        <v>6160</v>
      </c>
      <c r="Q6016" s="19">
        <v>6100</v>
      </c>
      <c r="R6016" s="19">
        <f t="shared" si="271"/>
        <v>60</v>
      </c>
      <c r="S6016" s="19">
        <v>2750</v>
      </c>
      <c r="T6016" s="19" t="s">
        <v>94</v>
      </c>
      <c r="U6016" s="102">
        <v>20045147</v>
      </c>
      <c r="V6016" s="186">
        <v>45485</v>
      </c>
      <c r="W6016" s="17" t="s">
        <v>44</v>
      </c>
      <c r="Y6016" s="68">
        <v>45536</v>
      </c>
      <c r="Z6016" s="17" t="s">
        <v>551</v>
      </c>
      <c r="AA6016" s="17" t="s">
        <v>46</v>
      </c>
      <c r="AB6016" s="17">
        <v>24201117898</v>
      </c>
      <c r="AC6016" s="217">
        <v>45544</v>
      </c>
      <c r="AD6016" s="65">
        <v>1621</v>
      </c>
      <c r="AE6016" s="17" t="s">
        <v>48</v>
      </c>
    </row>
    <row r="6017" s="17" customFormat="1" hidden="1" spans="1:31">
      <c r="A6017" s="17" t="s">
        <v>34</v>
      </c>
      <c r="B6017" s="19">
        <v>1021</v>
      </c>
      <c r="C6017" s="183">
        <v>45492</v>
      </c>
      <c r="D6017" s="17" t="s">
        <v>52</v>
      </c>
      <c r="E6017" s="17" t="s">
        <v>1113</v>
      </c>
      <c r="F6017" s="17" t="s">
        <v>54</v>
      </c>
      <c r="H6017" s="19">
        <v>1.2311</v>
      </c>
      <c r="I6017" s="19"/>
      <c r="J6017" s="17" t="s">
        <v>49</v>
      </c>
      <c r="K6017" s="19">
        <v>2200</v>
      </c>
      <c r="L6017" s="91">
        <v>25</v>
      </c>
      <c r="M6017" s="19">
        <v>5500</v>
      </c>
      <c r="N6017" s="19" t="s">
        <v>66</v>
      </c>
      <c r="O6017" s="19" t="s">
        <v>141</v>
      </c>
      <c r="P6017" s="19">
        <v>10000</v>
      </c>
      <c r="Q6017" s="146">
        <f>2680+2684+2550+2556</f>
        <v>10470</v>
      </c>
      <c r="R6017" s="19">
        <f t="shared" si="271"/>
        <v>-470</v>
      </c>
      <c r="S6017" s="19">
        <v>850</v>
      </c>
      <c r="T6017" s="19" t="s">
        <v>42</v>
      </c>
      <c r="U6017" s="102" t="s">
        <v>1478</v>
      </c>
      <c r="V6017" s="186">
        <v>45493</v>
      </c>
      <c r="W6017" s="17" t="s">
        <v>69</v>
      </c>
      <c r="Y6017" s="68">
        <v>45474</v>
      </c>
      <c r="Z6017" s="17" t="s">
        <v>191</v>
      </c>
      <c r="AA6017" s="17" t="s">
        <v>46</v>
      </c>
      <c r="AB6017" s="17" t="s">
        <v>1340</v>
      </c>
      <c r="AC6017" s="217">
        <v>45498</v>
      </c>
      <c r="AD6017" s="65">
        <v>1603</v>
      </c>
      <c r="AE6017" s="17" t="s">
        <v>48</v>
      </c>
    </row>
    <row r="6018" s="17" customFormat="1" hidden="1" spans="1:31">
      <c r="A6018" s="17" t="s">
        <v>34</v>
      </c>
      <c r="B6018" s="19">
        <v>1022</v>
      </c>
      <c r="C6018" s="183">
        <v>45496</v>
      </c>
      <c r="D6018" s="17" t="s">
        <v>52</v>
      </c>
      <c r="E6018" s="17" t="s">
        <v>1113</v>
      </c>
      <c r="F6018" s="17" t="s">
        <v>54</v>
      </c>
      <c r="H6018" s="19">
        <v>1.2311</v>
      </c>
      <c r="I6018" s="19"/>
      <c r="J6018" s="17" t="s">
        <v>49</v>
      </c>
      <c r="K6018" s="19">
        <v>2200</v>
      </c>
      <c r="L6018" s="91">
        <v>16</v>
      </c>
      <c r="M6018" s="19">
        <v>5500</v>
      </c>
      <c r="N6018" s="19" t="s">
        <v>66</v>
      </c>
      <c r="O6018" s="19" t="s">
        <v>141</v>
      </c>
      <c r="P6018" s="19">
        <v>4559</v>
      </c>
      <c r="Q6018" s="19">
        <f>1185+1190+1040+1230</f>
        <v>4645</v>
      </c>
      <c r="R6018" s="19">
        <f t="shared" si="271"/>
        <v>-86</v>
      </c>
      <c r="S6018" s="19">
        <f>850+60</f>
        <v>910</v>
      </c>
      <c r="T6018" s="19" t="s">
        <v>42</v>
      </c>
      <c r="U6018" s="102" t="s">
        <v>1479</v>
      </c>
      <c r="V6018" s="186">
        <v>45497</v>
      </c>
      <c r="W6018" s="17" t="s">
        <v>69</v>
      </c>
      <c r="Y6018" s="68">
        <v>45505</v>
      </c>
      <c r="Z6018" s="17" t="s">
        <v>191</v>
      </c>
      <c r="AA6018" s="17" t="s">
        <v>46</v>
      </c>
      <c r="AB6018" s="17" t="s">
        <v>1351</v>
      </c>
      <c r="AC6018" s="66">
        <v>45516</v>
      </c>
      <c r="AD6018" s="65">
        <v>1615</v>
      </c>
      <c r="AE6018" s="17" t="s">
        <v>48</v>
      </c>
    </row>
    <row r="6019" s="17" customFormat="1" hidden="1" spans="1:31">
      <c r="A6019" s="17" t="s">
        <v>34</v>
      </c>
      <c r="B6019" s="19">
        <v>1022</v>
      </c>
      <c r="C6019" s="183">
        <v>45496</v>
      </c>
      <c r="D6019" s="17" t="s">
        <v>52</v>
      </c>
      <c r="E6019" s="17" t="s">
        <v>1113</v>
      </c>
      <c r="F6019" s="17" t="s">
        <v>54</v>
      </c>
      <c r="H6019" s="19">
        <v>1.2311</v>
      </c>
      <c r="I6019" s="19"/>
      <c r="J6019" s="17" t="s">
        <v>49</v>
      </c>
      <c r="K6019" s="19">
        <v>2200</v>
      </c>
      <c r="L6019" s="91">
        <v>20</v>
      </c>
      <c r="M6019" s="19">
        <v>5500</v>
      </c>
      <c r="N6019" s="19" t="s">
        <v>66</v>
      </c>
      <c r="O6019" s="19" t="s">
        <v>141</v>
      </c>
      <c r="P6019" s="19">
        <v>5829</v>
      </c>
      <c r="Q6019" s="19">
        <f>2040+2040+2080</f>
        <v>6160</v>
      </c>
      <c r="R6019" s="19">
        <f t="shared" si="271"/>
        <v>-331</v>
      </c>
      <c r="S6019" s="19">
        <v>850</v>
      </c>
      <c r="T6019" s="19" t="s">
        <v>42</v>
      </c>
      <c r="U6019" s="102" t="s">
        <v>1479</v>
      </c>
      <c r="V6019" s="186">
        <v>45497</v>
      </c>
      <c r="W6019" s="17" t="s">
        <v>69</v>
      </c>
      <c r="Y6019" s="68">
        <v>45505</v>
      </c>
      <c r="Z6019" s="17" t="s">
        <v>191</v>
      </c>
      <c r="AA6019" s="17" t="s">
        <v>46</v>
      </c>
      <c r="AB6019" s="17" t="s">
        <v>1351</v>
      </c>
      <c r="AC6019" s="66">
        <v>45516</v>
      </c>
      <c r="AD6019" s="65">
        <v>1615</v>
      </c>
      <c r="AE6019" s="17" t="s">
        <v>48</v>
      </c>
    </row>
    <row r="6020" s="17" customFormat="1" hidden="1" spans="1:31">
      <c r="A6020" s="17" t="s">
        <v>34</v>
      </c>
      <c r="B6020" s="19">
        <v>1022</v>
      </c>
      <c r="C6020" s="183">
        <v>45496</v>
      </c>
      <c r="D6020" s="17" t="s">
        <v>52</v>
      </c>
      <c r="E6020" s="17" t="s">
        <v>1113</v>
      </c>
      <c r="F6020" s="17" t="s">
        <v>54</v>
      </c>
      <c r="H6020" s="19">
        <v>1.2311</v>
      </c>
      <c r="I6020" s="19"/>
      <c r="J6020" s="17" t="s">
        <v>49</v>
      </c>
      <c r="K6020" s="147">
        <v>2200</v>
      </c>
      <c r="L6020" s="243">
        <v>80</v>
      </c>
      <c r="M6020" s="19">
        <v>5500</v>
      </c>
      <c r="N6020" s="19" t="s">
        <v>66</v>
      </c>
      <c r="O6020" s="19" t="s">
        <v>141</v>
      </c>
      <c r="P6020" s="19">
        <v>15198</v>
      </c>
      <c r="Q6020" s="19">
        <f>7990+7970</f>
        <v>15960</v>
      </c>
      <c r="R6020" s="19">
        <f t="shared" si="271"/>
        <v>-762</v>
      </c>
      <c r="S6020" s="19">
        <v>850</v>
      </c>
      <c r="T6020" s="19" t="s">
        <v>42</v>
      </c>
      <c r="U6020" s="102" t="s">
        <v>1479</v>
      </c>
      <c r="V6020" s="186">
        <v>45497</v>
      </c>
      <c r="W6020" s="17" t="s">
        <v>69</v>
      </c>
      <c r="Y6020" s="68">
        <v>45505</v>
      </c>
      <c r="Z6020" s="17" t="s">
        <v>191</v>
      </c>
      <c r="AA6020" s="17" t="s">
        <v>46</v>
      </c>
      <c r="AB6020" s="17" t="s">
        <v>1351</v>
      </c>
      <c r="AC6020" s="66">
        <v>45516</v>
      </c>
      <c r="AD6020" s="65">
        <v>1615</v>
      </c>
      <c r="AE6020" s="17" t="s">
        <v>48</v>
      </c>
    </row>
    <row r="6021" s="17" customFormat="1" hidden="1" spans="1:31">
      <c r="A6021" s="17" t="s">
        <v>34</v>
      </c>
      <c r="B6021" s="19">
        <v>1023</v>
      </c>
      <c r="C6021" s="183">
        <v>45496</v>
      </c>
      <c r="D6021" s="17" t="s">
        <v>52</v>
      </c>
      <c r="E6021" s="17" t="s">
        <v>1113</v>
      </c>
      <c r="F6021" s="17" t="s">
        <v>54</v>
      </c>
      <c r="H6021" s="19">
        <v>1.2311</v>
      </c>
      <c r="I6021" s="19"/>
      <c r="J6021" s="17" t="s">
        <v>82</v>
      </c>
      <c r="K6021" s="19">
        <v>207</v>
      </c>
      <c r="L6021" s="19">
        <v>32</v>
      </c>
      <c r="M6021" s="19">
        <v>2200</v>
      </c>
      <c r="N6021" s="19" t="s">
        <v>66</v>
      </c>
      <c r="O6021" s="19" t="s">
        <v>141</v>
      </c>
      <c r="P6021" s="19">
        <v>1500</v>
      </c>
      <c r="Q6021" s="19">
        <v>1582</v>
      </c>
      <c r="R6021" s="19">
        <f t="shared" si="271"/>
        <v>-82</v>
      </c>
      <c r="S6021" s="19">
        <v>890</v>
      </c>
      <c r="T6021" s="19" t="s">
        <v>42</v>
      </c>
      <c r="U6021" s="102" t="s">
        <v>1480</v>
      </c>
      <c r="V6021" s="186">
        <v>45497</v>
      </c>
      <c r="W6021" s="17" t="s">
        <v>69</v>
      </c>
      <c r="Y6021" s="68">
        <v>45505</v>
      </c>
      <c r="Z6021" s="17" t="s">
        <v>191</v>
      </c>
      <c r="AA6021" s="17" t="s">
        <v>46</v>
      </c>
      <c r="AB6021" s="17" t="s">
        <v>1351</v>
      </c>
      <c r="AC6021" s="66">
        <v>45516</v>
      </c>
      <c r="AD6021" s="65">
        <v>1615</v>
      </c>
      <c r="AE6021" s="17" t="s">
        <v>74</v>
      </c>
    </row>
    <row r="6022" s="17" customFormat="1" hidden="1" spans="1:31">
      <c r="A6022" s="17" t="s">
        <v>34</v>
      </c>
      <c r="B6022" s="19">
        <v>1023</v>
      </c>
      <c r="C6022" s="183">
        <v>45496</v>
      </c>
      <c r="D6022" s="17" t="s">
        <v>52</v>
      </c>
      <c r="E6022" s="17" t="s">
        <v>1113</v>
      </c>
      <c r="F6022" s="17" t="s">
        <v>54</v>
      </c>
      <c r="H6022" s="19">
        <v>1.2311</v>
      </c>
      <c r="I6022" s="19"/>
      <c r="J6022" s="17" t="s">
        <v>82</v>
      </c>
      <c r="K6022" s="19">
        <v>257</v>
      </c>
      <c r="L6022" s="19">
        <v>32</v>
      </c>
      <c r="M6022" s="19">
        <v>2200</v>
      </c>
      <c r="N6022" s="19" t="s">
        <v>66</v>
      </c>
      <c r="O6022" s="19" t="s">
        <v>141</v>
      </c>
      <c r="P6022" s="19">
        <v>1000</v>
      </c>
      <c r="Q6022" s="19">
        <v>1050</v>
      </c>
      <c r="R6022" s="19">
        <f t="shared" si="271"/>
        <v>-50</v>
      </c>
      <c r="S6022" s="19">
        <v>890</v>
      </c>
      <c r="T6022" s="19" t="s">
        <v>42</v>
      </c>
      <c r="U6022" s="102" t="s">
        <v>1480</v>
      </c>
      <c r="V6022" s="186">
        <v>45497</v>
      </c>
      <c r="W6022" s="17" t="s">
        <v>69</v>
      </c>
      <c r="Y6022" s="68">
        <v>45505</v>
      </c>
      <c r="Z6022" s="17" t="s">
        <v>191</v>
      </c>
      <c r="AA6022" s="17" t="s">
        <v>46</v>
      </c>
      <c r="AB6022" s="17" t="s">
        <v>1351</v>
      </c>
      <c r="AC6022" s="66">
        <v>45516</v>
      </c>
      <c r="AD6022" s="65">
        <v>1615</v>
      </c>
      <c r="AE6022" s="17" t="s">
        <v>74</v>
      </c>
    </row>
    <row r="6023" s="17" customFormat="1" hidden="1" spans="1:31">
      <c r="A6023" s="17" t="s">
        <v>34</v>
      </c>
      <c r="B6023" s="19">
        <v>1023</v>
      </c>
      <c r="C6023" s="183">
        <v>45496</v>
      </c>
      <c r="D6023" s="17" t="s">
        <v>52</v>
      </c>
      <c r="E6023" s="17" t="s">
        <v>1113</v>
      </c>
      <c r="F6023" s="17" t="s">
        <v>54</v>
      </c>
      <c r="H6023" s="19">
        <v>1.2311</v>
      </c>
      <c r="I6023" s="19"/>
      <c r="J6023" s="17" t="s">
        <v>82</v>
      </c>
      <c r="K6023" s="19">
        <v>307</v>
      </c>
      <c r="L6023" s="19">
        <v>32</v>
      </c>
      <c r="M6023" s="19">
        <v>2200</v>
      </c>
      <c r="N6023" s="19" t="s">
        <v>66</v>
      </c>
      <c r="O6023" s="19" t="s">
        <v>141</v>
      </c>
      <c r="P6023" s="19">
        <v>1000</v>
      </c>
      <c r="Q6023" s="19">
        <v>1068</v>
      </c>
      <c r="R6023" s="19">
        <f t="shared" si="271"/>
        <v>-68</v>
      </c>
      <c r="S6023" s="19">
        <v>890</v>
      </c>
      <c r="T6023" s="19" t="s">
        <v>42</v>
      </c>
      <c r="U6023" s="102" t="s">
        <v>1480</v>
      </c>
      <c r="V6023" s="186">
        <v>45497</v>
      </c>
      <c r="W6023" s="17" t="s">
        <v>69</v>
      </c>
      <c r="Y6023" s="68">
        <v>45505</v>
      </c>
      <c r="Z6023" s="17" t="s">
        <v>191</v>
      </c>
      <c r="AA6023" s="17" t="s">
        <v>46</v>
      </c>
      <c r="AB6023" s="17" t="s">
        <v>1351</v>
      </c>
      <c r="AC6023" s="66">
        <v>45516</v>
      </c>
      <c r="AD6023" s="65">
        <v>1615</v>
      </c>
      <c r="AE6023" s="17" t="s">
        <v>74</v>
      </c>
    </row>
    <row r="6024" s="17" customFormat="1" hidden="1" spans="1:31">
      <c r="A6024" s="17" t="s">
        <v>34</v>
      </c>
      <c r="B6024" s="19">
        <v>1023</v>
      </c>
      <c r="C6024" s="183">
        <v>45496</v>
      </c>
      <c r="D6024" s="17" t="s">
        <v>52</v>
      </c>
      <c r="E6024" s="17" t="s">
        <v>1113</v>
      </c>
      <c r="F6024" s="17" t="s">
        <v>54</v>
      </c>
      <c r="H6024" s="19">
        <v>1.2311</v>
      </c>
      <c r="I6024" s="19"/>
      <c r="J6024" s="17" t="s">
        <v>82</v>
      </c>
      <c r="K6024" s="19">
        <v>357</v>
      </c>
      <c r="L6024" s="19">
        <v>32</v>
      </c>
      <c r="M6024" s="19">
        <v>2200</v>
      </c>
      <c r="N6024" s="19" t="s">
        <v>66</v>
      </c>
      <c r="O6024" s="19" t="s">
        <v>141</v>
      </c>
      <c r="P6024" s="19">
        <v>1000</v>
      </c>
      <c r="Q6024" s="19">
        <v>1058</v>
      </c>
      <c r="R6024" s="19">
        <f t="shared" si="271"/>
        <v>-58</v>
      </c>
      <c r="S6024" s="19">
        <v>890</v>
      </c>
      <c r="T6024" s="19" t="s">
        <v>42</v>
      </c>
      <c r="U6024" s="102" t="s">
        <v>1480</v>
      </c>
      <c r="V6024" s="186">
        <v>45497</v>
      </c>
      <c r="W6024" s="17" t="s">
        <v>69</v>
      </c>
      <c r="Y6024" s="68">
        <v>45505</v>
      </c>
      <c r="Z6024" s="17" t="s">
        <v>191</v>
      </c>
      <c r="AA6024" s="17" t="s">
        <v>46</v>
      </c>
      <c r="AB6024" s="17" t="s">
        <v>1351</v>
      </c>
      <c r="AC6024" s="66">
        <v>45516</v>
      </c>
      <c r="AD6024" s="65">
        <v>1615</v>
      </c>
      <c r="AE6024" s="17" t="s">
        <v>74</v>
      </c>
    </row>
    <row r="6025" s="17" customFormat="1" hidden="1" spans="1:31">
      <c r="A6025" s="17" t="s">
        <v>34</v>
      </c>
      <c r="B6025" s="19">
        <v>1023</v>
      </c>
      <c r="C6025" s="183">
        <v>45496</v>
      </c>
      <c r="D6025" s="17" t="s">
        <v>52</v>
      </c>
      <c r="E6025" s="17" t="s">
        <v>1113</v>
      </c>
      <c r="F6025" s="17" t="s">
        <v>54</v>
      </c>
      <c r="H6025" s="19">
        <v>1.2311</v>
      </c>
      <c r="I6025" s="19"/>
      <c r="J6025" s="17" t="s">
        <v>82</v>
      </c>
      <c r="K6025" s="19">
        <v>407</v>
      </c>
      <c r="L6025" s="19">
        <v>32</v>
      </c>
      <c r="M6025" s="19">
        <v>2200</v>
      </c>
      <c r="N6025" s="19" t="s">
        <v>66</v>
      </c>
      <c r="O6025" s="19" t="s">
        <v>141</v>
      </c>
      <c r="P6025" s="19">
        <v>500</v>
      </c>
      <c r="Q6025" s="19">
        <v>472</v>
      </c>
      <c r="R6025" s="19">
        <f t="shared" si="271"/>
        <v>28</v>
      </c>
      <c r="S6025" s="19">
        <v>890</v>
      </c>
      <c r="T6025" s="19" t="s">
        <v>42</v>
      </c>
      <c r="U6025" s="102" t="s">
        <v>1480</v>
      </c>
      <c r="V6025" s="186">
        <v>45497</v>
      </c>
      <c r="W6025" s="17" t="s">
        <v>69</v>
      </c>
      <c r="Y6025" s="68">
        <v>45505</v>
      </c>
      <c r="Z6025" s="17" t="s">
        <v>191</v>
      </c>
      <c r="AA6025" s="17" t="s">
        <v>46</v>
      </c>
      <c r="AB6025" s="17" t="s">
        <v>1352</v>
      </c>
      <c r="AC6025" s="217">
        <v>45531</v>
      </c>
      <c r="AD6025" s="65">
        <v>1623</v>
      </c>
      <c r="AE6025" s="17" t="s">
        <v>74</v>
      </c>
    </row>
    <row r="6026" s="17" customFormat="1" hidden="1" spans="1:31">
      <c r="A6026" s="17" t="s">
        <v>34</v>
      </c>
      <c r="B6026" s="19">
        <v>1023</v>
      </c>
      <c r="C6026" s="183">
        <v>45496</v>
      </c>
      <c r="D6026" s="17" t="s">
        <v>52</v>
      </c>
      <c r="E6026" s="17" t="s">
        <v>1113</v>
      </c>
      <c r="F6026" s="17" t="s">
        <v>54</v>
      </c>
      <c r="H6026" s="19">
        <v>1.2311</v>
      </c>
      <c r="I6026" s="19"/>
      <c r="J6026" s="17" t="s">
        <v>82</v>
      </c>
      <c r="K6026" s="19">
        <v>457</v>
      </c>
      <c r="L6026" s="19">
        <v>32</v>
      </c>
      <c r="M6026" s="19">
        <v>2200</v>
      </c>
      <c r="N6026" s="19" t="s">
        <v>66</v>
      </c>
      <c r="O6026" s="19" t="s">
        <v>141</v>
      </c>
      <c r="P6026" s="19">
        <v>500</v>
      </c>
      <c r="Q6026" s="19">
        <v>530</v>
      </c>
      <c r="R6026" s="19">
        <f t="shared" si="271"/>
        <v>-30</v>
      </c>
      <c r="S6026" s="19">
        <v>890</v>
      </c>
      <c r="T6026" s="19" t="s">
        <v>42</v>
      </c>
      <c r="U6026" s="102" t="s">
        <v>1480</v>
      </c>
      <c r="V6026" s="186">
        <v>45497</v>
      </c>
      <c r="W6026" s="17" t="s">
        <v>69</v>
      </c>
      <c r="Y6026" s="68">
        <v>45505</v>
      </c>
      <c r="Z6026" s="17" t="s">
        <v>191</v>
      </c>
      <c r="AA6026" s="17" t="s">
        <v>46</v>
      </c>
      <c r="AB6026" s="17" t="s">
        <v>1352</v>
      </c>
      <c r="AC6026" s="217">
        <v>45531</v>
      </c>
      <c r="AD6026" s="65">
        <v>1623</v>
      </c>
      <c r="AE6026" s="17" t="s">
        <v>74</v>
      </c>
    </row>
    <row r="6027" s="17" customFormat="1" hidden="1" spans="1:31">
      <c r="A6027" s="17" t="s">
        <v>34</v>
      </c>
      <c r="B6027" s="19">
        <v>1023</v>
      </c>
      <c r="C6027" s="183">
        <v>45496</v>
      </c>
      <c r="D6027" s="17" t="s">
        <v>52</v>
      </c>
      <c r="E6027" s="17" t="s">
        <v>1113</v>
      </c>
      <c r="F6027" s="17" t="s">
        <v>54</v>
      </c>
      <c r="H6027" s="19">
        <v>1.2311</v>
      </c>
      <c r="I6027" s="19"/>
      <c r="J6027" s="17" t="s">
        <v>82</v>
      </c>
      <c r="K6027" s="19">
        <v>507</v>
      </c>
      <c r="L6027" s="19">
        <v>32</v>
      </c>
      <c r="M6027" s="19">
        <v>2200</v>
      </c>
      <c r="N6027" s="19" t="s">
        <v>66</v>
      </c>
      <c r="O6027" s="19" t="s">
        <v>141</v>
      </c>
      <c r="P6027" s="19">
        <v>500</v>
      </c>
      <c r="Q6027" s="19">
        <v>588</v>
      </c>
      <c r="R6027" s="19">
        <f t="shared" si="271"/>
        <v>-88</v>
      </c>
      <c r="S6027" s="19">
        <v>890</v>
      </c>
      <c r="T6027" s="19" t="s">
        <v>42</v>
      </c>
      <c r="U6027" s="102" t="s">
        <v>1480</v>
      </c>
      <c r="V6027" s="186">
        <v>45497</v>
      </c>
      <c r="W6027" s="17" t="s">
        <v>69</v>
      </c>
      <c r="Y6027" s="68">
        <v>45505</v>
      </c>
      <c r="Z6027" s="17" t="s">
        <v>191</v>
      </c>
      <c r="AA6027" s="17" t="s">
        <v>46</v>
      </c>
      <c r="AB6027" s="17" t="s">
        <v>1352</v>
      </c>
      <c r="AC6027" s="217">
        <v>45531</v>
      </c>
      <c r="AD6027" s="65">
        <v>1623</v>
      </c>
      <c r="AE6027" s="17" t="s">
        <v>74</v>
      </c>
    </row>
    <row r="6028" s="17" customFormat="1" hidden="1" spans="1:31">
      <c r="A6028" s="17" t="s">
        <v>34</v>
      </c>
      <c r="B6028" s="19">
        <v>1023</v>
      </c>
      <c r="C6028" s="183">
        <v>45496</v>
      </c>
      <c r="D6028" s="17" t="s">
        <v>52</v>
      </c>
      <c r="E6028" s="17" t="s">
        <v>1113</v>
      </c>
      <c r="F6028" s="17" t="s">
        <v>54</v>
      </c>
      <c r="H6028" s="19">
        <v>1.2311</v>
      </c>
      <c r="I6028" s="19"/>
      <c r="J6028" s="17" t="s">
        <v>82</v>
      </c>
      <c r="K6028" s="19">
        <v>207</v>
      </c>
      <c r="L6028" s="19">
        <v>36</v>
      </c>
      <c r="M6028" s="19">
        <v>2200</v>
      </c>
      <c r="N6028" s="19" t="s">
        <v>66</v>
      </c>
      <c r="O6028" s="19" t="s">
        <v>141</v>
      </c>
      <c r="P6028" s="19">
        <v>1500</v>
      </c>
      <c r="Q6028" s="19">
        <v>1536</v>
      </c>
      <c r="R6028" s="19">
        <f t="shared" si="271"/>
        <v>-36</v>
      </c>
      <c r="S6028" s="19">
        <v>890</v>
      </c>
      <c r="T6028" s="19" t="s">
        <v>42</v>
      </c>
      <c r="U6028" s="102" t="s">
        <v>1480</v>
      </c>
      <c r="V6028" s="186">
        <v>45497</v>
      </c>
      <c r="W6028" s="17" t="s">
        <v>69</v>
      </c>
      <c r="Y6028" s="68">
        <v>45505</v>
      </c>
      <c r="Z6028" s="17" t="s">
        <v>191</v>
      </c>
      <c r="AA6028" s="17" t="s">
        <v>46</v>
      </c>
      <c r="AB6028" s="17" t="s">
        <v>1352</v>
      </c>
      <c r="AC6028" s="217">
        <v>45531</v>
      </c>
      <c r="AD6028" s="65">
        <v>1623</v>
      </c>
      <c r="AE6028" s="17" t="s">
        <v>74</v>
      </c>
    </row>
    <row r="6029" s="17" customFormat="1" hidden="1" spans="1:31">
      <c r="A6029" s="17" t="s">
        <v>34</v>
      </c>
      <c r="B6029" s="19">
        <v>1023</v>
      </c>
      <c r="C6029" s="183">
        <v>45496</v>
      </c>
      <c r="D6029" s="17" t="s">
        <v>52</v>
      </c>
      <c r="E6029" s="17" t="s">
        <v>1113</v>
      </c>
      <c r="F6029" s="17" t="s">
        <v>54</v>
      </c>
      <c r="H6029" s="19">
        <v>1.2311</v>
      </c>
      <c r="I6029" s="19"/>
      <c r="J6029" s="17" t="s">
        <v>82</v>
      </c>
      <c r="K6029" s="19">
        <v>257</v>
      </c>
      <c r="L6029" s="19">
        <v>36</v>
      </c>
      <c r="M6029" s="19">
        <v>2200</v>
      </c>
      <c r="N6029" s="19" t="s">
        <v>66</v>
      </c>
      <c r="O6029" s="19" t="s">
        <v>141</v>
      </c>
      <c r="P6029" s="19">
        <v>1000</v>
      </c>
      <c r="Q6029" s="19">
        <v>1040</v>
      </c>
      <c r="R6029" s="19">
        <f t="shared" si="271"/>
        <v>-40</v>
      </c>
      <c r="S6029" s="19">
        <v>890</v>
      </c>
      <c r="T6029" s="19" t="s">
        <v>42</v>
      </c>
      <c r="U6029" s="102" t="s">
        <v>1480</v>
      </c>
      <c r="V6029" s="186">
        <v>45497</v>
      </c>
      <c r="W6029" s="17" t="s">
        <v>69</v>
      </c>
      <c r="Y6029" s="68">
        <v>45505</v>
      </c>
      <c r="Z6029" s="17" t="s">
        <v>191</v>
      </c>
      <c r="AA6029" s="17" t="s">
        <v>46</v>
      </c>
      <c r="AB6029" s="17" t="s">
        <v>1352</v>
      </c>
      <c r="AC6029" s="217">
        <v>45531</v>
      </c>
      <c r="AD6029" s="65">
        <v>1623</v>
      </c>
      <c r="AE6029" s="17" t="s">
        <v>74</v>
      </c>
    </row>
    <row r="6030" s="17" customFormat="1" hidden="1" spans="1:31">
      <c r="A6030" s="17" t="s">
        <v>34</v>
      </c>
      <c r="B6030" s="19">
        <v>1023</v>
      </c>
      <c r="C6030" s="183">
        <v>45496</v>
      </c>
      <c r="D6030" s="17" t="s">
        <v>52</v>
      </c>
      <c r="E6030" s="17" t="s">
        <v>1113</v>
      </c>
      <c r="F6030" s="17" t="s">
        <v>54</v>
      </c>
      <c r="H6030" s="19">
        <v>1.2311</v>
      </c>
      <c r="I6030" s="19"/>
      <c r="J6030" s="17" t="s">
        <v>82</v>
      </c>
      <c r="K6030" s="19">
        <v>307</v>
      </c>
      <c r="L6030" s="19">
        <v>36</v>
      </c>
      <c r="M6030" s="19">
        <v>2200</v>
      </c>
      <c r="N6030" s="19" t="s">
        <v>66</v>
      </c>
      <c r="O6030" s="19" t="s">
        <v>141</v>
      </c>
      <c r="P6030" s="19">
        <v>1000</v>
      </c>
      <c r="Q6030" s="19">
        <v>1035</v>
      </c>
      <c r="R6030" s="19">
        <f t="shared" si="271"/>
        <v>-35</v>
      </c>
      <c r="S6030" s="19">
        <v>890</v>
      </c>
      <c r="T6030" s="19" t="s">
        <v>42</v>
      </c>
      <c r="U6030" s="102" t="s">
        <v>1480</v>
      </c>
      <c r="V6030" s="186">
        <v>45497</v>
      </c>
      <c r="W6030" s="17" t="s">
        <v>69</v>
      </c>
      <c r="Y6030" s="68">
        <v>45505</v>
      </c>
      <c r="Z6030" s="17" t="s">
        <v>191</v>
      </c>
      <c r="AA6030" s="17" t="s">
        <v>46</v>
      </c>
      <c r="AB6030" s="17" t="s">
        <v>1352</v>
      </c>
      <c r="AC6030" s="217">
        <v>45531</v>
      </c>
      <c r="AD6030" s="65">
        <v>1623</v>
      </c>
      <c r="AE6030" s="17" t="s">
        <v>74</v>
      </c>
    </row>
    <row r="6031" s="17" customFormat="1" hidden="1" spans="1:31">
      <c r="A6031" s="17" t="s">
        <v>34</v>
      </c>
      <c r="B6031" s="19">
        <v>1023</v>
      </c>
      <c r="C6031" s="183">
        <v>45496</v>
      </c>
      <c r="D6031" s="17" t="s">
        <v>52</v>
      </c>
      <c r="E6031" s="17" t="s">
        <v>1113</v>
      </c>
      <c r="F6031" s="17" t="s">
        <v>54</v>
      </c>
      <c r="H6031" s="19">
        <v>1.2311</v>
      </c>
      <c r="I6031" s="19"/>
      <c r="J6031" s="17" t="s">
        <v>82</v>
      </c>
      <c r="K6031" s="19">
        <v>357</v>
      </c>
      <c r="L6031" s="19">
        <v>36</v>
      </c>
      <c r="M6031" s="19">
        <v>2200</v>
      </c>
      <c r="N6031" s="19" t="s">
        <v>66</v>
      </c>
      <c r="O6031" s="19" t="s">
        <v>141</v>
      </c>
      <c r="P6031" s="19">
        <v>1000</v>
      </c>
      <c r="Q6031" s="19">
        <v>954</v>
      </c>
      <c r="R6031" s="19">
        <f t="shared" si="271"/>
        <v>46</v>
      </c>
      <c r="S6031" s="19">
        <v>890</v>
      </c>
      <c r="T6031" s="19" t="s">
        <v>42</v>
      </c>
      <c r="U6031" s="102" t="s">
        <v>1480</v>
      </c>
      <c r="V6031" s="186">
        <v>45497</v>
      </c>
      <c r="W6031" s="17" t="s">
        <v>69</v>
      </c>
      <c r="Y6031" s="68">
        <v>45505</v>
      </c>
      <c r="Z6031" s="17" t="s">
        <v>191</v>
      </c>
      <c r="AA6031" s="17" t="s">
        <v>46</v>
      </c>
      <c r="AB6031" s="17" t="s">
        <v>1352</v>
      </c>
      <c r="AC6031" s="217">
        <v>45531</v>
      </c>
      <c r="AD6031" s="65">
        <v>1623</v>
      </c>
      <c r="AE6031" s="17" t="s">
        <v>74</v>
      </c>
    </row>
    <row r="6032" s="17" customFormat="1" hidden="1" spans="1:31">
      <c r="A6032" s="17" t="s">
        <v>34</v>
      </c>
      <c r="B6032" s="19">
        <v>1023</v>
      </c>
      <c r="C6032" s="183">
        <v>45496</v>
      </c>
      <c r="D6032" s="17" t="s">
        <v>52</v>
      </c>
      <c r="E6032" s="17" t="s">
        <v>1113</v>
      </c>
      <c r="F6032" s="17" t="s">
        <v>54</v>
      </c>
      <c r="H6032" s="19">
        <v>1.2311</v>
      </c>
      <c r="I6032" s="19"/>
      <c r="J6032" s="17" t="s">
        <v>82</v>
      </c>
      <c r="K6032" s="19">
        <v>407</v>
      </c>
      <c r="L6032" s="19">
        <v>36</v>
      </c>
      <c r="M6032" s="19">
        <v>2200</v>
      </c>
      <c r="N6032" s="19" t="s">
        <v>66</v>
      </c>
      <c r="O6032" s="19" t="s">
        <v>141</v>
      </c>
      <c r="P6032" s="19">
        <v>500</v>
      </c>
      <c r="Q6032" s="19">
        <v>1048</v>
      </c>
      <c r="R6032" s="19">
        <f t="shared" si="271"/>
        <v>-548</v>
      </c>
      <c r="S6032" s="19">
        <v>890</v>
      </c>
      <c r="T6032" s="19" t="s">
        <v>42</v>
      </c>
      <c r="U6032" s="102" t="s">
        <v>1480</v>
      </c>
      <c r="V6032" s="186">
        <v>45497</v>
      </c>
      <c r="W6032" s="17" t="s">
        <v>69</v>
      </c>
      <c r="Y6032" s="68">
        <v>45505</v>
      </c>
      <c r="Z6032" s="17" t="s">
        <v>191</v>
      </c>
      <c r="AA6032" s="17" t="s">
        <v>46</v>
      </c>
      <c r="AB6032" s="17" t="s">
        <v>1351</v>
      </c>
      <c r="AC6032" s="66">
        <v>45516</v>
      </c>
      <c r="AD6032" s="65">
        <v>1615</v>
      </c>
      <c r="AE6032" s="17" t="s">
        <v>74</v>
      </c>
    </row>
    <row r="6033" s="17" customFormat="1" hidden="1" spans="1:31">
      <c r="A6033" s="17" t="s">
        <v>34</v>
      </c>
      <c r="B6033" s="19">
        <v>1023</v>
      </c>
      <c r="C6033" s="183">
        <v>45496</v>
      </c>
      <c r="D6033" s="17" t="s">
        <v>52</v>
      </c>
      <c r="E6033" s="17" t="s">
        <v>1113</v>
      </c>
      <c r="F6033" s="17" t="s">
        <v>54</v>
      </c>
      <c r="H6033" s="19">
        <v>1.2311</v>
      </c>
      <c r="I6033" s="19"/>
      <c r="J6033" s="17" t="s">
        <v>82</v>
      </c>
      <c r="K6033" s="19">
        <v>457</v>
      </c>
      <c r="L6033" s="19">
        <v>36</v>
      </c>
      <c r="M6033" s="19">
        <v>2200</v>
      </c>
      <c r="N6033" s="19" t="s">
        <v>66</v>
      </c>
      <c r="O6033" s="19" t="s">
        <v>141</v>
      </c>
      <c r="P6033" s="19">
        <v>500</v>
      </c>
      <c r="Q6033" s="19">
        <v>588</v>
      </c>
      <c r="R6033" s="19">
        <f t="shared" si="271"/>
        <v>-88</v>
      </c>
      <c r="S6033" s="19">
        <v>890</v>
      </c>
      <c r="T6033" s="19" t="s">
        <v>42</v>
      </c>
      <c r="U6033" s="102" t="s">
        <v>1480</v>
      </c>
      <c r="V6033" s="186">
        <v>45497</v>
      </c>
      <c r="W6033" s="17" t="s">
        <v>69</v>
      </c>
      <c r="Y6033" s="68">
        <v>45505</v>
      </c>
      <c r="Z6033" s="17" t="s">
        <v>191</v>
      </c>
      <c r="AA6033" s="17" t="s">
        <v>46</v>
      </c>
      <c r="AB6033" s="17" t="s">
        <v>1351</v>
      </c>
      <c r="AC6033" s="66">
        <v>45516</v>
      </c>
      <c r="AD6033" s="65">
        <v>1615</v>
      </c>
      <c r="AE6033" s="17" t="s">
        <v>74</v>
      </c>
    </row>
    <row r="6034" s="17" customFormat="1" hidden="1" spans="1:31">
      <c r="A6034" s="17" t="s">
        <v>34</v>
      </c>
      <c r="B6034" s="19">
        <v>1023</v>
      </c>
      <c r="C6034" s="183">
        <v>45496</v>
      </c>
      <c r="D6034" s="17" t="s">
        <v>52</v>
      </c>
      <c r="E6034" s="17" t="s">
        <v>1113</v>
      </c>
      <c r="F6034" s="17" t="s">
        <v>54</v>
      </c>
      <c r="H6034" s="19">
        <v>1.2311</v>
      </c>
      <c r="I6034" s="19"/>
      <c r="J6034" s="17" t="s">
        <v>82</v>
      </c>
      <c r="K6034" s="19">
        <v>507</v>
      </c>
      <c r="L6034" s="19">
        <v>36</v>
      </c>
      <c r="M6034" s="19">
        <v>2200</v>
      </c>
      <c r="N6034" s="19" t="s">
        <v>66</v>
      </c>
      <c r="O6034" s="19" t="s">
        <v>141</v>
      </c>
      <c r="P6034" s="19">
        <v>500</v>
      </c>
      <c r="Q6034" s="19">
        <v>654</v>
      </c>
      <c r="R6034" s="19">
        <f t="shared" si="271"/>
        <v>-154</v>
      </c>
      <c r="S6034" s="19">
        <v>890</v>
      </c>
      <c r="T6034" s="19" t="s">
        <v>42</v>
      </c>
      <c r="U6034" s="102" t="s">
        <v>1480</v>
      </c>
      <c r="V6034" s="186">
        <v>45497</v>
      </c>
      <c r="W6034" s="17" t="s">
        <v>69</v>
      </c>
      <c r="Y6034" s="68">
        <v>45505</v>
      </c>
      <c r="Z6034" s="17" t="s">
        <v>191</v>
      </c>
      <c r="AA6034" s="17" t="s">
        <v>46</v>
      </c>
      <c r="AB6034" s="17" t="s">
        <v>1351</v>
      </c>
      <c r="AC6034" s="66">
        <v>45516</v>
      </c>
      <c r="AD6034" s="65">
        <v>1615</v>
      </c>
      <c r="AE6034" s="17" t="s">
        <v>74</v>
      </c>
    </row>
    <row r="6035" s="17" customFormat="1" hidden="1" spans="1:31">
      <c r="A6035" s="17" t="s">
        <v>34</v>
      </c>
      <c r="B6035" s="19">
        <v>1023</v>
      </c>
      <c r="C6035" s="183">
        <v>45496</v>
      </c>
      <c r="D6035" s="17" t="s">
        <v>52</v>
      </c>
      <c r="E6035" s="17" t="s">
        <v>1113</v>
      </c>
      <c r="F6035" s="17" t="s">
        <v>54</v>
      </c>
      <c r="H6035" s="19">
        <v>1.2311</v>
      </c>
      <c r="I6035" s="19"/>
      <c r="J6035" s="17" t="s">
        <v>82</v>
      </c>
      <c r="K6035" s="19">
        <v>207</v>
      </c>
      <c r="L6035" s="19">
        <v>40</v>
      </c>
      <c r="M6035" s="19">
        <v>2200</v>
      </c>
      <c r="N6035" s="19" t="s">
        <v>66</v>
      </c>
      <c r="O6035" s="19" t="s">
        <v>141</v>
      </c>
      <c r="P6035" s="19">
        <v>1500</v>
      </c>
      <c r="Q6035" s="19">
        <v>1590</v>
      </c>
      <c r="R6035" s="19">
        <f t="shared" si="271"/>
        <v>-90</v>
      </c>
      <c r="S6035" s="19">
        <v>890</v>
      </c>
      <c r="T6035" s="19" t="s">
        <v>42</v>
      </c>
      <c r="U6035" s="102" t="s">
        <v>1480</v>
      </c>
      <c r="V6035" s="186">
        <v>45497</v>
      </c>
      <c r="W6035" s="17" t="s">
        <v>69</v>
      </c>
      <c r="Y6035" s="68">
        <v>45505</v>
      </c>
      <c r="Z6035" s="17" t="s">
        <v>191</v>
      </c>
      <c r="AA6035" s="17" t="s">
        <v>46</v>
      </c>
      <c r="AB6035" s="17" t="s">
        <v>1351</v>
      </c>
      <c r="AC6035" s="66">
        <v>45516</v>
      </c>
      <c r="AD6035" s="65">
        <v>1615</v>
      </c>
      <c r="AE6035" s="17" t="s">
        <v>74</v>
      </c>
    </row>
    <row r="6036" s="17" customFormat="1" hidden="1" spans="1:31">
      <c r="A6036" s="17" t="s">
        <v>34</v>
      </c>
      <c r="B6036" s="19">
        <v>1023</v>
      </c>
      <c r="C6036" s="183">
        <v>45496</v>
      </c>
      <c r="D6036" s="17" t="s">
        <v>52</v>
      </c>
      <c r="E6036" s="17" t="s">
        <v>1113</v>
      </c>
      <c r="F6036" s="17" t="s">
        <v>54</v>
      </c>
      <c r="H6036" s="19">
        <v>1.2311</v>
      </c>
      <c r="I6036" s="19"/>
      <c r="J6036" s="17" t="s">
        <v>82</v>
      </c>
      <c r="K6036" s="19">
        <v>257</v>
      </c>
      <c r="L6036" s="19">
        <v>40</v>
      </c>
      <c r="M6036" s="19">
        <v>2200</v>
      </c>
      <c r="N6036" s="19" t="s">
        <v>66</v>
      </c>
      <c r="O6036" s="19" t="s">
        <v>141</v>
      </c>
      <c r="P6036" s="19">
        <v>1500</v>
      </c>
      <c r="Q6036" s="19">
        <v>1566</v>
      </c>
      <c r="R6036" s="19">
        <f t="shared" si="271"/>
        <v>-66</v>
      </c>
      <c r="S6036" s="19">
        <v>890</v>
      </c>
      <c r="T6036" s="19" t="s">
        <v>42</v>
      </c>
      <c r="U6036" s="102" t="s">
        <v>1480</v>
      </c>
      <c r="V6036" s="186">
        <v>45497</v>
      </c>
      <c r="W6036" s="17" t="s">
        <v>69</v>
      </c>
      <c r="Y6036" s="68">
        <v>45505</v>
      </c>
      <c r="Z6036" s="17" t="s">
        <v>191</v>
      </c>
      <c r="AA6036" s="17" t="s">
        <v>46</v>
      </c>
      <c r="AB6036" s="17" t="s">
        <v>1351</v>
      </c>
      <c r="AC6036" s="66">
        <v>45516</v>
      </c>
      <c r="AD6036" s="65">
        <v>1615</v>
      </c>
      <c r="AE6036" s="17" t="s">
        <v>74</v>
      </c>
    </row>
    <row r="6037" s="17" customFormat="1" hidden="1" spans="1:31">
      <c r="A6037" s="17" t="s">
        <v>34</v>
      </c>
      <c r="B6037" s="19">
        <v>1023</v>
      </c>
      <c r="C6037" s="183">
        <v>45496</v>
      </c>
      <c r="D6037" s="17" t="s">
        <v>52</v>
      </c>
      <c r="E6037" s="17" t="s">
        <v>1113</v>
      </c>
      <c r="F6037" s="17" t="s">
        <v>54</v>
      </c>
      <c r="H6037" s="19">
        <v>1.2311</v>
      </c>
      <c r="I6037" s="19"/>
      <c r="J6037" s="17" t="s">
        <v>82</v>
      </c>
      <c r="K6037" s="19">
        <v>307</v>
      </c>
      <c r="L6037" s="19">
        <v>40</v>
      </c>
      <c r="M6037" s="19">
        <v>2200</v>
      </c>
      <c r="N6037" s="19" t="s">
        <v>66</v>
      </c>
      <c r="O6037" s="19" t="s">
        <v>141</v>
      </c>
      <c r="P6037" s="19">
        <v>2000</v>
      </c>
      <c r="Q6037" s="19">
        <v>2123</v>
      </c>
      <c r="R6037" s="19">
        <f t="shared" si="271"/>
        <v>-123</v>
      </c>
      <c r="S6037" s="19">
        <v>890</v>
      </c>
      <c r="T6037" s="19" t="s">
        <v>42</v>
      </c>
      <c r="U6037" s="102" t="s">
        <v>1480</v>
      </c>
      <c r="V6037" s="186">
        <v>45497</v>
      </c>
      <c r="W6037" s="17" t="s">
        <v>69</v>
      </c>
      <c r="Y6037" s="68">
        <v>45505</v>
      </c>
      <c r="Z6037" s="17" t="s">
        <v>191</v>
      </c>
      <c r="AA6037" s="17" t="s">
        <v>46</v>
      </c>
      <c r="AB6037" s="17" t="s">
        <v>1351</v>
      </c>
      <c r="AC6037" s="66">
        <v>45516</v>
      </c>
      <c r="AD6037" s="65">
        <v>1615</v>
      </c>
      <c r="AE6037" s="17" t="s">
        <v>74</v>
      </c>
    </row>
    <row r="6038" s="17" customFormat="1" hidden="1" spans="1:31">
      <c r="A6038" s="17" t="s">
        <v>34</v>
      </c>
      <c r="B6038" s="19">
        <v>1023</v>
      </c>
      <c r="C6038" s="183">
        <v>45496</v>
      </c>
      <c r="D6038" s="17" t="s">
        <v>52</v>
      </c>
      <c r="E6038" s="17" t="s">
        <v>1113</v>
      </c>
      <c r="F6038" s="17" t="s">
        <v>54</v>
      </c>
      <c r="H6038" s="19">
        <v>1.2311</v>
      </c>
      <c r="I6038" s="19"/>
      <c r="J6038" s="17" t="s">
        <v>82</v>
      </c>
      <c r="K6038" s="19">
        <v>357</v>
      </c>
      <c r="L6038" s="19">
        <v>40</v>
      </c>
      <c r="M6038" s="19">
        <v>2200</v>
      </c>
      <c r="N6038" s="19" t="s">
        <v>66</v>
      </c>
      <c r="O6038" s="19" t="s">
        <v>141</v>
      </c>
      <c r="P6038" s="19">
        <v>1500</v>
      </c>
      <c r="Q6038" s="19">
        <v>1644</v>
      </c>
      <c r="R6038" s="19">
        <f t="shared" si="271"/>
        <v>-144</v>
      </c>
      <c r="S6038" s="19">
        <v>890</v>
      </c>
      <c r="T6038" s="19" t="s">
        <v>42</v>
      </c>
      <c r="U6038" s="102" t="s">
        <v>1480</v>
      </c>
      <c r="V6038" s="186">
        <v>45497</v>
      </c>
      <c r="W6038" s="17" t="s">
        <v>69</v>
      </c>
      <c r="Y6038" s="68">
        <v>45505</v>
      </c>
      <c r="Z6038" s="17" t="s">
        <v>191</v>
      </c>
      <c r="AA6038" s="17" t="s">
        <v>46</v>
      </c>
      <c r="AB6038" s="17" t="s">
        <v>1351</v>
      </c>
      <c r="AC6038" s="66">
        <v>45516</v>
      </c>
      <c r="AD6038" s="65">
        <v>1615</v>
      </c>
      <c r="AE6038" s="17" t="s">
        <v>74</v>
      </c>
    </row>
    <row r="6039" s="17" customFormat="1" hidden="1" spans="1:31">
      <c r="A6039" s="17" t="s">
        <v>34</v>
      </c>
      <c r="B6039" s="19">
        <v>1023</v>
      </c>
      <c r="C6039" s="183">
        <v>45496</v>
      </c>
      <c r="D6039" s="17" t="s">
        <v>52</v>
      </c>
      <c r="E6039" s="17" t="s">
        <v>1113</v>
      </c>
      <c r="F6039" s="17" t="s">
        <v>54</v>
      </c>
      <c r="H6039" s="19">
        <v>1.2311</v>
      </c>
      <c r="I6039" s="19"/>
      <c r="J6039" s="17" t="s">
        <v>82</v>
      </c>
      <c r="K6039" s="19">
        <v>407</v>
      </c>
      <c r="L6039" s="19">
        <v>40</v>
      </c>
      <c r="M6039" s="19">
        <v>2200</v>
      </c>
      <c r="N6039" s="19" t="s">
        <v>66</v>
      </c>
      <c r="O6039" s="19" t="s">
        <v>141</v>
      </c>
      <c r="P6039" s="19">
        <v>1000</v>
      </c>
      <c r="Q6039" s="19">
        <v>1241</v>
      </c>
      <c r="R6039" s="19">
        <f t="shared" si="271"/>
        <v>-241</v>
      </c>
      <c r="S6039" s="19">
        <v>890</v>
      </c>
      <c r="T6039" s="19" t="s">
        <v>42</v>
      </c>
      <c r="U6039" s="102" t="s">
        <v>1480</v>
      </c>
      <c r="V6039" s="186">
        <v>45497</v>
      </c>
      <c r="W6039" s="17" t="s">
        <v>69</v>
      </c>
      <c r="Y6039" s="68">
        <v>45505</v>
      </c>
      <c r="Z6039" s="17" t="s">
        <v>191</v>
      </c>
      <c r="AA6039" s="17" t="s">
        <v>46</v>
      </c>
      <c r="AB6039" s="17" t="s">
        <v>1352</v>
      </c>
      <c r="AC6039" s="217">
        <v>45531</v>
      </c>
      <c r="AD6039" s="65">
        <v>1623</v>
      </c>
      <c r="AE6039" s="17" t="s">
        <v>74</v>
      </c>
    </row>
    <row r="6040" s="17" customFormat="1" hidden="1" spans="1:31">
      <c r="A6040" s="17" t="s">
        <v>34</v>
      </c>
      <c r="B6040" s="19">
        <v>1023</v>
      </c>
      <c r="C6040" s="183">
        <v>45496</v>
      </c>
      <c r="D6040" s="17" t="s">
        <v>52</v>
      </c>
      <c r="E6040" s="17" t="s">
        <v>1113</v>
      </c>
      <c r="F6040" s="17" t="s">
        <v>54</v>
      </c>
      <c r="H6040" s="19">
        <v>1.2311</v>
      </c>
      <c r="I6040" s="19"/>
      <c r="J6040" s="17" t="s">
        <v>82</v>
      </c>
      <c r="K6040" s="19">
        <v>457</v>
      </c>
      <c r="L6040" s="19">
        <v>40</v>
      </c>
      <c r="M6040" s="19">
        <v>2200</v>
      </c>
      <c r="N6040" s="19" t="s">
        <v>66</v>
      </c>
      <c r="O6040" s="19" t="s">
        <v>141</v>
      </c>
      <c r="P6040" s="19">
        <v>1000</v>
      </c>
      <c r="Q6040" s="19">
        <v>1039</v>
      </c>
      <c r="R6040" s="19">
        <f t="shared" si="271"/>
        <v>-39</v>
      </c>
      <c r="S6040" s="19">
        <v>890</v>
      </c>
      <c r="T6040" s="19" t="s">
        <v>42</v>
      </c>
      <c r="U6040" s="102" t="s">
        <v>1480</v>
      </c>
      <c r="V6040" s="186">
        <v>45497</v>
      </c>
      <c r="W6040" s="17" t="s">
        <v>69</v>
      </c>
      <c r="Y6040" s="68">
        <v>45505</v>
      </c>
      <c r="Z6040" s="17" t="s">
        <v>191</v>
      </c>
      <c r="AA6040" s="17" t="s">
        <v>46</v>
      </c>
      <c r="AB6040" s="17" t="s">
        <v>1352</v>
      </c>
      <c r="AC6040" s="217">
        <v>45531</v>
      </c>
      <c r="AD6040" s="65">
        <v>1623</v>
      </c>
      <c r="AE6040" s="17" t="s">
        <v>74</v>
      </c>
    </row>
    <row r="6041" s="17" customFormat="1" hidden="1" spans="1:31">
      <c r="A6041" s="17" t="s">
        <v>34</v>
      </c>
      <c r="B6041" s="19">
        <v>1023</v>
      </c>
      <c r="C6041" s="183">
        <v>45496</v>
      </c>
      <c r="D6041" s="17" t="s">
        <v>52</v>
      </c>
      <c r="E6041" s="17" t="s">
        <v>1113</v>
      </c>
      <c r="F6041" s="17" t="s">
        <v>54</v>
      </c>
      <c r="H6041" s="19">
        <v>1.2311</v>
      </c>
      <c r="I6041" s="19"/>
      <c r="J6041" s="17" t="s">
        <v>82</v>
      </c>
      <c r="K6041" s="19">
        <v>507</v>
      </c>
      <c r="L6041" s="19">
        <v>40</v>
      </c>
      <c r="M6041" s="19">
        <v>2200</v>
      </c>
      <c r="N6041" s="19" t="s">
        <v>66</v>
      </c>
      <c r="O6041" s="19" t="s">
        <v>141</v>
      </c>
      <c r="P6041" s="19">
        <v>1000</v>
      </c>
      <c r="Q6041" s="19">
        <v>1155</v>
      </c>
      <c r="R6041" s="19">
        <f t="shared" si="271"/>
        <v>-155</v>
      </c>
      <c r="S6041" s="19">
        <v>890</v>
      </c>
      <c r="T6041" s="19" t="s">
        <v>42</v>
      </c>
      <c r="U6041" s="102" t="s">
        <v>1480</v>
      </c>
      <c r="V6041" s="186">
        <v>45497</v>
      </c>
      <c r="W6041" s="17" t="s">
        <v>69</v>
      </c>
      <c r="Y6041" s="68">
        <v>45505</v>
      </c>
      <c r="Z6041" s="17" t="s">
        <v>191</v>
      </c>
      <c r="AA6041" s="17" t="s">
        <v>46</v>
      </c>
      <c r="AB6041" s="17" t="s">
        <v>1352</v>
      </c>
      <c r="AC6041" s="217">
        <v>45531</v>
      </c>
      <c r="AD6041" s="65">
        <v>1623</v>
      </c>
      <c r="AE6041" s="17" t="s">
        <v>74</v>
      </c>
    </row>
    <row r="6042" s="17" customFormat="1" hidden="1" spans="1:31">
      <c r="A6042" s="17" t="s">
        <v>34</v>
      </c>
      <c r="B6042" s="19">
        <v>1023</v>
      </c>
      <c r="C6042" s="183">
        <v>45496</v>
      </c>
      <c r="D6042" s="17" t="s">
        <v>52</v>
      </c>
      <c r="E6042" s="17" t="s">
        <v>1113</v>
      </c>
      <c r="F6042" s="17" t="s">
        <v>54</v>
      </c>
      <c r="H6042" s="19">
        <v>1.2311</v>
      </c>
      <c r="I6042" s="19"/>
      <c r="J6042" s="17" t="s">
        <v>82</v>
      </c>
      <c r="K6042" s="19">
        <v>257</v>
      </c>
      <c r="L6042" s="19">
        <v>50</v>
      </c>
      <c r="M6042" s="19">
        <v>2200</v>
      </c>
      <c r="N6042" s="19" t="s">
        <v>66</v>
      </c>
      <c r="O6042" s="19" t="s">
        <v>141</v>
      </c>
      <c r="P6042" s="19">
        <v>1500</v>
      </c>
      <c r="Q6042" s="19">
        <v>1670</v>
      </c>
      <c r="R6042" s="19">
        <f t="shared" si="271"/>
        <v>-170</v>
      </c>
      <c r="S6042" s="19">
        <v>890</v>
      </c>
      <c r="T6042" s="19" t="s">
        <v>42</v>
      </c>
      <c r="U6042" s="102" t="s">
        <v>1480</v>
      </c>
      <c r="V6042" s="186">
        <v>45497</v>
      </c>
      <c r="W6042" s="17" t="s">
        <v>69</v>
      </c>
      <c r="Y6042" s="68">
        <v>45505</v>
      </c>
      <c r="Z6042" s="17" t="s">
        <v>191</v>
      </c>
      <c r="AA6042" s="17" t="s">
        <v>46</v>
      </c>
      <c r="AB6042" s="17" t="s">
        <v>1351</v>
      </c>
      <c r="AC6042" s="66">
        <v>45516</v>
      </c>
      <c r="AD6042" s="65">
        <v>1615</v>
      </c>
      <c r="AE6042" s="17" t="s">
        <v>74</v>
      </c>
    </row>
    <row r="6043" s="17" customFormat="1" hidden="1" spans="1:31">
      <c r="A6043" s="17" t="s">
        <v>34</v>
      </c>
      <c r="B6043" s="19">
        <v>1023</v>
      </c>
      <c r="C6043" s="183">
        <v>45496</v>
      </c>
      <c r="D6043" s="17" t="s">
        <v>52</v>
      </c>
      <c r="E6043" s="17" t="s">
        <v>1113</v>
      </c>
      <c r="F6043" s="17" t="s">
        <v>54</v>
      </c>
      <c r="H6043" s="19">
        <v>1.2311</v>
      </c>
      <c r="I6043" s="19"/>
      <c r="J6043" s="17" t="s">
        <v>82</v>
      </c>
      <c r="K6043" s="19">
        <v>307</v>
      </c>
      <c r="L6043" s="19">
        <v>50</v>
      </c>
      <c r="M6043" s="19">
        <v>2200</v>
      </c>
      <c r="N6043" s="19" t="s">
        <v>66</v>
      </c>
      <c r="O6043" s="19" t="s">
        <v>141</v>
      </c>
      <c r="P6043" s="19">
        <v>2000</v>
      </c>
      <c r="Q6043" s="19">
        <v>1992</v>
      </c>
      <c r="R6043" s="19">
        <f t="shared" si="271"/>
        <v>8</v>
      </c>
      <c r="S6043" s="19">
        <v>890</v>
      </c>
      <c r="T6043" s="19" t="s">
        <v>42</v>
      </c>
      <c r="U6043" s="102" t="s">
        <v>1480</v>
      </c>
      <c r="V6043" s="186">
        <v>45497</v>
      </c>
      <c r="W6043" s="17" t="s">
        <v>69</v>
      </c>
      <c r="Y6043" s="68">
        <v>45505</v>
      </c>
      <c r="Z6043" s="17" t="s">
        <v>191</v>
      </c>
      <c r="AA6043" s="17" t="s">
        <v>46</v>
      </c>
      <c r="AB6043" s="17" t="s">
        <v>1351</v>
      </c>
      <c r="AC6043" s="66">
        <v>45516</v>
      </c>
      <c r="AD6043" s="65">
        <v>1615</v>
      </c>
      <c r="AE6043" s="17" t="s">
        <v>74</v>
      </c>
    </row>
    <row r="6044" s="17" customFormat="1" hidden="1" spans="1:31">
      <c r="A6044" s="17" t="s">
        <v>34</v>
      </c>
      <c r="B6044" s="19">
        <v>1023</v>
      </c>
      <c r="C6044" s="183">
        <v>45496</v>
      </c>
      <c r="D6044" s="17" t="s">
        <v>52</v>
      </c>
      <c r="E6044" s="17" t="s">
        <v>1113</v>
      </c>
      <c r="F6044" s="17" t="s">
        <v>54</v>
      </c>
      <c r="H6044" s="19">
        <v>1.2311</v>
      </c>
      <c r="I6044" s="19"/>
      <c r="J6044" s="17" t="s">
        <v>82</v>
      </c>
      <c r="K6044" s="19">
        <v>357</v>
      </c>
      <c r="L6044" s="19">
        <v>50</v>
      </c>
      <c r="M6044" s="19">
        <v>2200</v>
      </c>
      <c r="N6044" s="19" t="s">
        <v>66</v>
      </c>
      <c r="O6044" s="19" t="s">
        <v>141</v>
      </c>
      <c r="P6044" s="19">
        <v>1500</v>
      </c>
      <c r="Q6044" s="19">
        <v>1669</v>
      </c>
      <c r="R6044" s="19">
        <f t="shared" si="271"/>
        <v>-169</v>
      </c>
      <c r="S6044" s="19">
        <v>890</v>
      </c>
      <c r="T6044" s="19" t="s">
        <v>42</v>
      </c>
      <c r="U6044" s="102" t="s">
        <v>1480</v>
      </c>
      <c r="V6044" s="186">
        <v>45497</v>
      </c>
      <c r="W6044" s="17" t="s">
        <v>69</v>
      </c>
      <c r="Y6044" s="68">
        <v>45505</v>
      </c>
      <c r="Z6044" s="17" t="s">
        <v>191</v>
      </c>
      <c r="AA6044" s="17" t="s">
        <v>46</v>
      </c>
      <c r="AB6044" s="17" t="s">
        <v>1351</v>
      </c>
      <c r="AC6044" s="66">
        <v>45516</v>
      </c>
      <c r="AD6044" s="65">
        <v>1615</v>
      </c>
      <c r="AE6044" s="17" t="s">
        <v>74</v>
      </c>
    </row>
    <row r="6045" s="17" customFormat="1" hidden="1" spans="1:31">
      <c r="A6045" s="17" t="s">
        <v>34</v>
      </c>
      <c r="B6045" s="19">
        <v>1023</v>
      </c>
      <c r="C6045" s="183">
        <v>45496</v>
      </c>
      <c r="D6045" s="17" t="s">
        <v>52</v>
      </c>
      <c r="E6045" s="17" t="s">
        <v>1113</v>
      </c>
      <c r="F6045" s="17" t="s">
        <v>54</v>
      </c>
      <c r="H6045" s="19">
        <v>1.2311</v>
      </c>
      <c r="I6045" s="19"/>
      <c r="J6045" s="17" t="s">
        <v>82</v>
      </c>
      <c r="K6045" s="19">
        <v>407</v>
      </c>
      <c r="L6045" s="19">
        <v>50</v>
      </c>
      <c r="M6045" s="19">
        <v>2200</v>
      </c>
      <c r="N6045" s="19" t="s">
        <v>66</v>
      </c>
      <c r="O6045" s="19" t="s">
        <v>141</v>
      </c>
      <c r="P6045" s="19">
        <v>1500</v>
      </c>
      <c r="Q6045" s="19">
        <v>1508</v>
      </c>
      <c r="R6045" s="19">
        <f t="shared" si="271"/>
        <v>-8</v>
      </c>
      <c r="S6045" s="19">
        <v>890</v>
      </c>
      <c r="T6045" s="19" t="s">
        <v>42</v>
      </c>
      <c r="U6045" s="102" t="s">
        <v>1480</v>
      </c>
      <c r="V6045" s="186">
        <v>45497</v>
      </c>
      <c r="W6045" s="17" t="s">
        <v>69</v>
      </c>
      <c r="Y6045" s="68">
        <v>45505</v>
      </c>
      <c r="Z6045" s="17" t="s">
        <v>191</v>
      </c>
      <c r="AA6045" s="17" t="s">
        <v>46</v>
      </c>
      <c r="AB6045" s="17" t="s">
        <v>1351</v>
      </c>
      <c r="AC6045" s="66">
        <v>45516</v>
      </c>
      <c r="AD6045" s="65">
        <v>1615</v>
      </c>
      <c r="AE6045" s="17" t="s">
        <v>74</v>
      </c>
    </row>
    <row r="6046" s="17" customFormat="1" hidden="1" spans="1:31">
      <c r="A6046" s="17" t="s">
        <v>34</v>
      </c>
      <c r="B6046" s="19">
        <v>1023</v>
      </c>
      <c r="C6046" s="183">
        <v>45496</v>
      </c>
      <c r="D6046" s="17" t="s">
        <v>52</v>
      </c>
      <c r="E6046" s="17" t="s">
        <v>1113</v>
      </c>
      <c r="F6046" s="17" t="s">
        <v>54</v>
      </c>
      <c r="H6046" s="19">
        <v>1.2311</v>
      </c>
      <c r="I6046" s="19"/>
      <c r="J6046" s="17" t="s">
        <v>82</v>
      </c>
      <c r="K6046" s="19">
        <v>457</v>
      </c>
      <c r="L6046" s="19">
        <v>50</v>
      </c>
      <c r="M6046" s="19">
        <v>2200</v>
      </c>
      <c r="N6046" s="19" t="s">
        <v>66</v>
      </c>
      <c r="O6046" s="19" t="s">
        <v>141</v>
      </c>
      <c r="P6046" s="19">
        <v>1500</v>
      </c>
      <c r="Q6046" s="19">
        <v>1733</v>
      </c>
      <c r="R6046" s="19">
        <f t="shared" si="271"/>
        <v>-233</v>
      </c>
      <c r="S6046" s="19">
        <v>890</v>
      </c>
      <c r="T6046" s="19" t="s">
        <v>42</v>
      </c>
      <c r="U6046" s="102" t="s">
        <v>1480</v>
      </c>
      <c r="V6046" s="186">
        <v>45497</v>
      </c>
      <c r="W6046" s="17" t="s">
        <v>69</v>
      </c>
      <c r="Y6046" s="68">
        <v>45505</v>
      </c>
      <c r="Z6046" s="17" t="s">
        <v>191</v>
      </c>
      <c r="AA6046" s="17" t="s">
        <v>46</v>
      </c>
      <c r="AB6046" s="17" t="s">
        <v>1352</v>
      </c>
      <c r="AC6046" s="217">
        <v>45531</v>
      </c>
      <c r="AD6046" s="65">
        <v>1623</v>
      </c>
      <c r="AE6046" s="17" t="s">
        <v>74</v>
      </c>
    </row>
    <row r="6047" s="17" customFormat="1" hidden="1" spans="1:31">
      <c r="A6047" s="17" t="s">
        <v>34</v>
      </c>
      <c r="B6047" s="19">
        <v>1023</v>
      </c>
      <c r="C6047" s="183">
        <v>45496</v>
      </c>
      <c r="D6047" s="17" t="s">
        <v>52</v>
      </c>
      <c r="E6047" s="17" t="s">
        <v>1113</v>
      </c>
      <c r="F6047" s="17" t="s">
        <v>54</v>
      </c>
      <c r="H6047" s="19">
        <v>1.2311</v>
      </c>
      <c r="I6047" s="19"/>
      <c r="J6047" s="17" t="s">
        <v>82</v>
      </c>
      <c r="K6047" s="19">
        <v>507</v>
      </c>
      <c r="L6047" s="19">
        <v>50</v>
      </c>
      <c r="M6047" s="19">
        <v>2200</v>
      </c>
      <c r="N6047" s="19" t="s">
        <v>66</v>
      </c>
      <c r="O6047" s="19" t="s">
        <v>141</v>
      </c>
      <c r="P6047" s="19">
        <v>1500</v>
      </c>
      <c r="Q6047" s="19">
        <v>1421</v>
      </c>
      <c r="R6047" s="19">
        <f t="shared" si="271"/>
        <v>79</v>
      </c>
      <c r="S6047" s="19">
        <v>890</v>
      </c>
      <c r="T6047" s="19" t="s">
        <v>42</v>
      </c>
      <c r="U6047" s="102" t="s">
        <v>1480</v>
      </c>
      <c r="V6047" s="186">
        <v>45497</v>
      </c>
      <c r="W6047" s="17" t="s">
        <v>69</v>
      </c>
      <c r="Y6047" s="68">
        <v>45505</v>
      </c>
      <c r="Z6047" s="17" t="s">
        <v>191</v>
      </c>
      <c r="AA6047" s="17" t="s">
        <v>46</v>
      </c>
      <c r="AB6047" s="17" t="s">
        <v>1352</v>
      </c>
      <c r="AC6047" s="217">
        <v>45531</v>
      </c>
      <c r="AD6047" s="65">
        <v>1623</v>
      </c>
      <c r="AE6047" s="17" t="s">
        <v>74</v>
      </c>
    </row>
    <row r="6048" s="17" customFormat="1" hidden="1" spans="1:31">
      <c r="A6048" s="17" t="s">
        <v>34</v>
      </c>
      <c r="B6048" s="19">
        <v>1023</v>
      </c>
      <c r="C6048" s="183">
        <v>45496</v>
      </c>
      <c r="D6048" s="17" t="s">
        <v>52</v>
      </c>
      <c r="E6048" s="17" t="s">
        <v>1113</v>
      </c>
      <c r="F6048" s="17" t="s">
        <v>54</v>
      </c>
      <c r="H6048" s="19">
        <v>1.2311</v>
      </c>
      <c r="I6048" s="19"/>
      <c r="J6048" s="17" t="s">
        <v>82</v>
      </c>
      <c r="K6048" s="19">
        <v>207</v>
      </c>
      <c r="L6048" s="19">
        <v>65</v>
      </c>
      <c r="M6048" s="19">
        <v>2200</v>
      </c>
      <c r="N6048" s="19" t="s">
        <v>66</v>
      </c>
      <c r="O6048" s="19" t="s">
        <v>141</v>
      </c>
      <c r="P6048" s="19">
        <v>1000</v>
      </c>
      <c r="Q6048" s="19">
        <v>1017</v>
      </c>
      <c r="R6048" s="19">
        <f t="shared" si="271"/>
        <v>-17</v>
      </c>
      <c r="S6048" s="19">
        <v>890</v>
      </c>
      <c r="T6048" s="19" t="s">
        <v>42</v>
      </c>
      <c r="U6048" s="102" t="s">
        <v>1480</v>
      </c>
      <c r="V6048" s="186">
        <v>45497</v>
      </c>
      <c r="W6048" s="17" t="s">
        <v>69</v>
      </c>
      <c r="Y6048" s="68">
        <v>45505</v>
      </c>
      <c r="Z6048" s="17" t="s">
        <v>191</v>
      </c>
      <c r="AA6048" s="17" t="s">
        <v>46</v>
      </c>
      <c r="AB6048" s="17" t="s">
        <v>1352</v>
      </c>
      <c r="AC6048" s="217">
        <v>45531</v>
      </c>
      <c r="AD6048" s="65">
        <v>1623</v>
      </c>
      <c r="AE6048" s="17" t="s">
        <v>74</v>
      </c>
    </row>
    <row r="6049" s="17" customFormat="1" hidden="1" spans="1:31">
      <c r="A6049" s="17" t="s">
        <v>34</v>
      </c>
      <c r="B6049" s="19">
        <v>1023</v>
      </c>
      <c r="C6049" s="183">
        <v>45496</v>
      </c>
      <c r="D6049" s="17" t="s">
        <v>52</v>
      </c>
      <c r="E6049" s="17" t="s">
        <v>1113</v>
      </c>
      <c r="F6049" s="17" t="s">
        <v>54</v>
      </c>
      <c r="H6049" s="19">
        <v>1.2311</v>
      </c>
      <c r="I6049" s="19"/>
      <c r="J6049" s="17" t="s">
        <v>82</v>
      </c>
      <c r="K6049" s="19">
        <v>257</v>
      </c>
      <c r="L6049" s="19">
        <v>65</v>
      </c>
      <c r="M6049" s="19">
        <v>2200</v>
      </c>
      <c r="N6049" s="19" t="s">
        <v>66</v>
      </c>
      <c r="O6049" s="19" t="s">
        <v>141</v>
      </c>
      <c r="P6049" s="19">
        <v>1000</v>
      </c>
      <c r="Q6049" s="19">
        <v>1259</v>
      </c>
      <c r="R6049" s="19">
        <f t="shared" si="271"/>
        <v>-259</v>
      </c>
      <c r="S6049" s="19">
        <v>890</v>
      </c>
      <c r="T6049" s="19" t="s">
        <v>42</v>
      </c>
      <c r="U6049" s="102" t="s">
        <v>1480</v>
      </c>
      <c r="V6049" s="186">
        <v>45497</v>
      </c>
      <c r="W6049" s="17" t="s">
        <v>69</v>
      </c>
      <c r="Y6049" s="68">
        <v>45505</v>
      </c>
      <c r="Z6049" s="17" t="s">
        <v>191</v>
      </c>
      <c r="AA6049" s="17" t="s">
        <v>46</v>
      </c>
      <c r="AB6049" s="17" t="s">
        <v>1352</v>
      </c>
      <c r="AC6049" s="217">
        <v>45531</v>
      </c>
      <c r="AD6049" s="65">
        <v>1623</v>
      </c>
      <c r="AE6049" s="17" t="s">
        <v>74</v>
      </c>
    </row>
    <row r="6050" s="17" customFormat="1" hidden="1" spans="1:31">
      <c r="A6050" s="17" t="s">
        <v>34</v>
      </c>
      <c r="B6050" s="19">
        <v>1023</v>
      </c>
      <c r="C6050" s="183">
        <v>45496</v>
      </c>
      <c r="D6050" s="17" t="s">
        <v>52</v>
      </c>
      <c r="E6050" s="17" t="s">
        <v>1113</v>
      </c>
      <c r="F6050" s="17" t="s">
        <v>54</v>
      </c>
      <c r="H6050" s="19">
        <v>1.2311</v>
      </c>
      <c r="I6050" s="19"/>
      <c r="J6050" s="17" t="s">
        <v>82</v>
      </c>
      <c r="K6050" s="19">
        <v>307</v>
      </c>
      <c r="L6050" s="19">
        <v>65</v>
      </c>
      <c r="M6050" s="19">
        <v>2200</v>
      </c>
      <c r="N6050" s="19" t="s">
        <v>66</v>
      </c>
      <c r="O6050" s="19" t="s">
        <v>141</v>
      </c>
      <c r="P6050" s="19">
        <v>1000</v>
      </c>
      <c r="Q6050" s="19">
        <v>1124</v>
      </c>
      <c r="R6050" s="19">
        <f t="shared" si="271"/>
        <v>-124</v>
      </c>
      <c r="S6050" s="19">
        <v>890</v>
      </c>
      <c r="T6050" s="19" t="s">
        <v>42</v>
      </c>
      <c r="U6050" s="102" t="s">
        <v>1480</v>
      </c>
      <c r="V6050" s="186">
        <v>45497</v>
      </c>
      <c r="W6050" s="17" t="s">
        <v>69</v>
      </c>
      <c r="Y6050" s="68">
        <v>45505</v>
      </c>
      <c r="Z6050" s="17" t="s">
        <v>191</v>
      </c>
      <c r="AA6050" s="17" t="s">
        <v>46</v>
      </c>
      <c r="AB6050" s="17" t="s">
        <v>1352</v>
      </c>
      <c r="AC6050" s="217">
        <v>45531</v>
      </c>
      <c r="AD6050" s="65">
        <v>1623</v>
      </c>
      <c r="AE6050" s="17" t="s">
        <v>74</v>
      </c>
    </row>
    <row r="6051" s="17" customFormat="1" hidden="1" spans="1:31">
      <c r="A6051" s="17" t="s">
        <v>34</v>
      </c>
      <c r="B6051" s="19">
        <v>1023</v>
      </c>
      <c r="C6051" s="183">
        <v>45496</v>
      </c>
      <c r="D6051" s="17" t="s">
        <v>52</v>
      </c>
      <c r="E6051" s="17" t="s">
        <v>1113</v>
      </c>
      <c r="F6051" s="17" t="s">
        <v>54</v>
      </c>
      <c r="H6051" s="19">
        <v>1.2311</v>
      </c>
      <c r="I6051" s="19"/>
      <c r="J6051" s="17" t="s">
        <v>82</v>
      </c>
      <c r="K6051" s="19">
        <v>357</v>
      </c>
      <c r="L6051" s="19">
        <v>65</v>
      </c>
      <c r="M6051" s="19">
        <v>2200</v>
      </c>
      <c r="N6051" s="19" t="s">
        <v>66</v>
      </c>
      <c r="O6051" s="19" t="s">
        <v>141</v>
      </c>
      <c r="P6051" s="19">
        <v>1000</v>
      </c>
      <c r="Q6051" s="19">
        <v>1305</v>
      </c>
      <c r="R6051" s="19">
        <f t="shared" si="271"/>
        <v>-305</v>
      </c>
      <c r="S6051" s="19">
        <v>890</v>
      </c>
      <c r="T6051" s="19" t="s">
        <v>42</v>
      </c>
      <c r="U6051" s="102" t="s">
        <v>1480</v>
      </c>
      <c r="V6051" s="186">
        <v>45497</v>
      </c>
      <c r="W6051" s="17" t="s">
        <v>69</v>
      </c>
      <c r="Y6051" s="68">
        <v>45505</v>
      </c>
      <c r="Z6051" s="17" t="s">
        <v>191</v>
      </c>
      <c r="AA6051" s="17" t="s">
        <v>46</v>
      </c>
      <c r="AB6051" s="17" t="s">
        <v>1352</v>
      </c>
      <c r="AC6051" s="217">
        <v>45531</v>
      </c>
      <c r="AD6051" s="65">
        <v>1623</v>
      </c>
      <c r="AE6051" s="17" t="s">
        <v>74</v>
      </c>
    </row>
    <row r="6052" s="17" customFormat="1" hidden="1" spans="1:31">
      <c r="A6052" s="17" t="s">
        <v>34</v>
      </c>
      <c r="B6052" s="19">
        <v>1023</v>
      </c>
      <c r="C6052" s="183">
        <v>45496</v>
      </c>
      <c r="D6052" s="17" t="s">
        <v>52</v>
      </c>
      <c r="E6052" s="17" t="s">
        <v>1113</v>
      </c>
      <c r="F6052" s="17" t="s">
        <v>54</v>
      </c>
      <c r="H6052" s="19">
        <v>1.2311</v>
      </c>
      <c r="I6052" s="19"/>
      <c r="J6052" s="17" t="s">
        <v>82</v>
      </c>
      <c r="K6052" s="19">
        <v>407</v>
      </c>
      <c r="L6052" s="19">
        <v>65</v>
      </c>
      <c r="M6052" s="19">
        <v>2200</v>
      </c>
      <c r="N6052" s="19" t="s">
        <v>66</v>
      </c>
      <c r="O6052" s="19" t="s">
        <v>141</v>
      </c>
      <c r="P6052" s="19">
        <v>1000</v>
      </c>
      <c r="Q6052" s="19">
        <v>989</v>
      </c>
      <c r="R6052" s="19">
        <f t="shared" si="271"/>
        <v>11</v>
      </c>
      <c r="S6052" s="19">
        <v>890</v>
      </c>
      <c r="T6052" s="19" t="s">
        <v>42</v>
      </c>
      <c r="U6052" s="102" t="s">
        <v>1480</v>
      </c>
      <c r="V6052" s="186">
        <v>45497</v>
      </c>
      <c r="W6052" s="17" t="s">
        <v>69</v>
      </c>
      <c r="Y6052" s="68">
        <v>45505</v>
      </c>
      <c r="Z6052" s="17" t="s">
        <v>191</v>
      </c>
      <c r="AA6052" s="17" t="s">
        <v>46</v>
      </c>
      <c r="AB6052" s="17" t="s">
        <v>1352</v>
      </c>
      <c r="AC6052" s="217">
        <v>45531</v>
      </c>
      <c r="AD6052" s="65">
        <v>1623</v>
      </c>
      <c r="AE6052" s="17" t="s">
        <v>74</v>
      </c>
    </row>
    <row r="6053" s="17" customFormat="1" hidden="1" spans="1:31">
      <c r="A6053" s="17" t="s">
        <v>34</v>
      </c>
      <c r="B6053" s="19">
        <v>1023</v>
      </c>
      <c r="C6053" s="183">
        <v>45496</v>
      </c>
      <c r="D6053" s="17" t="s">
        <v>52</v>
      </c>
      <c r="E6053" s="17" t="s">
        <v>1113</v>
      </c>
      <c r="F6053" s="17" t="s">
        <v>54</v>
      </c>
      <c r="H6053" s="19">
        <v>1.2311</v>
      </c>
      <c r="I6053" s="19"/>
      <c r="J6053" s="17" t="s">
        <v>82</v>
      </c>
      <c r="K6053" s="19">
        <v>457</v>
      </c>
      <c r="L6053" s="19">
        <v>65</v>
      </c>
      <c r="M6053" s="19">
        <v>2200</v>
      </c>
      <c r="N6053" s="19" t="s">
        <v>66</v>
      </c>
      <c r="O6053" s="19" t="s">
        <v>141</v>
      </c>
      <c r="P6053" s="19">
        <v>1000</v>
      </c>
      <c r="Q6053" s="19">
        <v>1097</v>
      </c>
      <c r="R6053" s="19">
        <f t="shared" si="271"/>
        <v>-97</v>
      </c>
      <c r="S6053" s="19">
        <v>890</v>
      </c>
      <c r="T6053" s="19" t="s">
        <v>42</v>
      </c>
      <c r="U6053" s="102" t="s">
        <v>1480</v>
      </c>
      <c r="V6053" s="186">
        <v>45497</v>
      </c>
      <c r="W6053" s="17" t="s">
        <v>69</v>
      </c>
      <c r="Y6053" s="68">
        <v>45505</v>
      </c>
      <c r="Z6053" s="17" t="s">
        <v>191</v>
      </c>
      <c r="AA6053" s="17" t="s">
        <v>46</v>
      </c>
      <c r="AB6053" s="17" t="s">
        <v>1352</v>
      </c>
      <c r="AC6053" s="217">
        <v>45531</v>
      </c>
      <c r="AD6053" s="65">
        <v>1623</v>
      </c>
      <c r="AE6053" s="17" t="s">
        <v>74</v>
      </c>
    </row>
    <row r="6054" s="17" customFormat="1" hidden="1" spans="1:31">
      <c r="A6054" s="17" t="s">
        <v>34</v>
      </c>
      <c r="B6054" s="19">
        <v>1023</v>
      </c>
      <c r="C6054" s="183">
        <v>45496</v>
      </c>
      <c r="D6054" s="17" t="s">
        <v>52</v>
      </c>
      <c r="E6054" s="17" t="s">
        <v>1113</v>
      </c>
      <c r="F6054" s="17" t="s">
        <v>54</v>
      </c>
      <c r="H6054" s="19">
        <v>1.2311</v>
      </c>
      <c r="I6054" s="19"/>
      <c r="J6054" s="17" t="s">
        <v>82</v>
      </c>
      <c r="K6054" s="19">
        <v>507</v>
      </c>
      <c r="L6054" s="19">
        <v>65</v>
      </c>
      <c r="M6054" s="19">
        <v>2200</v>
      </c>
      <c r="N6054" s="19" t="s">
        <v>66</v>
      </c>
      <c r="O6054" s="19" t="s">
        <v>141</v>
      </c>
      <c r="P6054" s="19">
        <v>1000</v>
      </c>
      <c r="Q6054" s="19">
        <v>1216</v>
      </c>
      <c r="R6054" s="19">
        <f t="shared" si="271"/>
        <v>-216</v>
      </c>
      <c r="S6054" s="19">
        <v>890</v>
      </c>
      <c r="T6054" s="19" t="s">
        <v>42</v>
      </c>
      <c r="U6054" s="102" t="s">
        <v>1480</v>
      </c>
      <c r="V6054" s="186">
        <v>45497</v>
      </c>
      <c r="W6054" s="17" t="s">
        <v>69</v>
      </c>
      <c r="Y6054" s="68">
        <v>45505</v>
      </c>
      <c r="Z6054" s="17" t="s">
        <v>191</v>
      </c>
      <c r="AA6054" s="17" t="s">
        <v>46</v>
      </c>
      <c r="AB6054" s="17" t="s">
        <v>1352</v>
      </c>
      <c r="AC6054" s="217">
        <v>45531</v>
      </c>
      <c r="AD6054" s="65">
        <v>1623</v>
      </c>
      <c r="AE6054" s="17" t="s">
        <v>74</v>
      </c>
    </row>
    <row r="6055" s="17" customFormat="1" hidden="1" spans="1:31">
      <c r="A6055" s="17" t="s">
        <v>34</v>
      </c>
      <c r="B6055" s="19">
        <v>1023</v>
      </c>
      <c r="C6055" s="183">
        <v>45496</v>
      </c>
      <c r="D6055" s="17" t="s">
        <v>52</v>
      </c>
      <c r="E6055" s="17" t="s">
        <v>1113</v>
      </c>
      <c r="F6055" s="17" t="s">
        <v>54</v>
      </c>
      <c r="H6055" s="19">
        <v>1.2311</v>
      </c>
      <c r="I6055" s="19"/>
      <c r="J6055" s="17" t="s">
        <v>82</v>
      </c>
      <c r="K6055" s="19">
        <v>207</v>
      </c>
      <c r="L6055" s="19">
        <v>80</v>
      </c>
      <c r="M6055" s="19">
        <v>2200</v>
      </c>
      <c r="N6055" s="19" t="s">
        <v>66</v>
      </c>
      <c r="O6055" s="19" t="s">
        <v>141</v>
      </c>
      <c r="P6055" s="19">
        <v>500</v>
      </c>
      <c r="Q6055" s="19">
        <v>619</v>
      </c>
      <c r="R6055" s="19">
        <f t="shared" si="271"/>
        <v>-119</v>
      </c>
      <c r="S6055" s="19">
        <v>890</v>
      </c>
      <c r="T6055" s="19" t="s">
        <v>42</v>
      </c>
      <c r="U6055" s="102" t="s">
        <v>1480</v>
      </c>
      <c r="V6055" s="186">
        <v>45497</v>
      </c>
      <c r="W6055" s="17" t="s">
        <v>69</v>
      </c>
      <c r="Y6055" s="68">
        <v>45505</v>
      </c>
      <c r="Z6055" s="17" t="s">
        <v>191</v>
      </c>
      <c r="AA6055" s="17" t="s">
        <v>46</v>
      </c>
      <c r="AB6055" s="17" t="s">
        <v>1352</v>
      </c>
      <c r="AC6055" s="217">
        <v>45531</v>
      </c>
      <c r="AD6055" s="65">
        <v>1623</v>
      </c>
      <c r="AE6055" s="17" t="s">
        <v>74</v>
      </c>
    </row>
    <row r="6056" s="17" customFormat="1" hidden="1" spans="1:31">
      <c r="A6056" s="17" t="s">
        <v>34</v>
      </c>
      <c r="B6056" s="19">
        <v>1023</v>
      </c>
      <c r="C6056" s="183">
        <v>45496</v>
      </c>
      <c r="D6056" s="17" t="s">
        <v>52</v>
      </c>
      <c r="E6056" s="17" t="s">
        <v>1113</v>
      </c>
      <c r="F6056" s="17" t="s">
        <v>54</v>
      </c>
      <c r="H6056" s="19">
        <v>1.2311</v>
      </c>
      <c r="I6056" s="19"/>
      <c r="J6056" s="17" t="s">
        <v>82</v>
      </c>
      <c r="K6056" s="19">
        <v>257</v>
      </c>
      <c r="L6056" s="19">
        <v>80</v>
      </c>
      <c r="M6056" s="19">
        <v>2200</v>
      </c>
      <c r="N6056" s="19" t="s">
        <v>66</v>
      </c>
      <c r="O6056" s="19" t="s">
        <v>141</v>
      </c>
      <c r="P6056" s="19">
        <v>500</v>
      </c>
      <c r="Q6056" s="19">
        <v>760</v>
      </c>
      <c r="R6056" s="19">
        <f t="shared" si="271"/>
        <v>-260</v>
      </c>
      <c r="S6056" s="19">
        <v>890</v>
      </c>
      <c r="T6056" s="19" t="s">
        <v>42</v>
      </c>
      <c r="U6056" s="102" t="s">
        <v>1480</v>
      </c>
      <c r="V6056" s="186">
        <v>45497</v>
      </c>
      <c r="W6056" s="17" t="s">
        <v>69</v>
      </c>
      <c r="Y6056" s="68">
        <v>45505</v>
      </c>
      <c r="Z6056" s="17" t="s">
        <v>191</v>
      </c>
      <c r="AA6056" s="17" t="s">
        <v>46</v>
      </c>
      <c r="AB6056" s="17" t="s">
        <v>1352</v>
      </c>
      <c r="AC6056" s="217">
        <v>45531</v>
      </c>
      <c r="AD6056" s="65">
        <v>1623</v>
      </c>
      <c r="AE6056" s="17" t="s">
        <v>74</v>
      </c>
    </row>
    <row r="6057" s="17" customFormat="1" hidden="1" spans="1:31">
      <c r="A6057" s="17" t="s">
        <v>34</v>
      </c>
      <c r="B6057" s="19">
        <v>1023</v>
      </c>
      <c r="C6057" s="183">
        <v>45496</v>
      </c>
      <c r="D6057" s="17" t="s">
        <v>52</v>
      </c>
      <c r="E6057" s="17" t="s">
        <v>1113</v>
      </c>
      <c r="F6057" s="17" t="s">
        <v>54</v>
      </c>
      <c r="H6057" s="19">
        <v>1.2311</v>
      </c>
      <c r="I6057" s="19"/>
      <c r="J6057" s="17" t="s">
        <v>82</v>
      </c>
      <c r="K6057" s="19">
        <v>307</v>
      </c>
      <c r="L6057" s="19">
        <v>80</v>
      </c>
      <c r="M6057" s="19">
        <v>2200</v>
      </c>
      <c r="N6057" s="19" t="s">
        <v>66</v>
      </c>
      <c r="O6057" s="19" t="s">
        <v>141</v>
      </c>
      <c r="P6057" s="19">
        <v>500</v>
      </c>
      <c r="Q6057" s="19">
        <v>453</v>
      </c>
      <c r="R6057" s="19">
        <f t="shared" si="271"/>
        <v>47</v>
      </c>
      <c r="S6057" s="19">
        <v>890</v>
      </c>
      <c r="T6057" s="19" t="s">
        <v>42</v>
      </c>
      <c r="U6057" s="102" t="s">
        <v>1480</v>
      </c>
      <c r="V6057" s="186">
        <v>45497</v>
      </c>
      <c r="W6057" s="17" t="s">
        <v>69</v>
      </c>
      <c r="Y6057" s="68">
        <v>45505</v>
      </c>
      <c r="Z6057" s="17" t="s">
        <v>191</v>
      </c>
      <c r="AA6057" s="17" t="s">
        <v>46</v>
      </c>
      <c r="AB6057" s="17" t="s">
        <v>1352</v>
      </c>
      <c r="AC6057" s="217">
        <v>45531</v>
      </c>
      <c r="AD6057" s="65">
        <v>1623</v>
      </c>
      <c r="AE6057" s="17" t="s">
        <v>74</v>
      </c>
    </row>
    <row r="6058" s="17" customFormat="1" hidden="1" spans="1:31">
      <c r="A6058" s="17" t="s">
        <v>34</v>
      </c>
      <c r="B6058" s="19">
        <v>1023</v>
      </c>
      <c r="C6058" s="183">
        <v>45496</v>
      </c>
      <c r="D6058" s="17" t="s">
        <v>52</v>
      </c>
      <c r="E6058" s="17" t="s">
        <v>1113</v>
      </c>
      <c r="F6058" s="17" t="s">
        <v>54</v>
      </c>
      <c r="H6058" s="19">
        <v>1.2311</v>
      </c>
      <c r="I6058" s="19"/>
      <c r="J6058" s="17" t="s">
        <v>82</v>
      </c>
      <c r="K6058" s="19">
        <v>357</v>
      </c>
      <c r="L6058" s="19">
        <v>80</v>
      </c>
      <c r="M6058" s="19">
        <v>2200</v>
      </c>
      <c r="N6058" s="19" t="s">
        <v>66</v>
      </c>
      <c r="O6058" s="19" t="s">
        <v>141</v>
      </c>
      <c r="P6058" s="19">
        <v>1000</v>
      </c>
      <c r="Q6058" s="19">
        <v>1055</v>
      </c>
      <c r="R6058" s="19">
        <f t="shared" si="271"/>
        <v>-55</v>
      </c>
      <c r="S6058" s="19">
        <v>890</v>
      </c>
      <c r="T6058" s="19" t="s">
        <v>42</v>
      </c>
      <c r="U6058" s="102" t="s">
        <v>1480</v>
      </c>
      <c r="V6058" s="186">
        <v>45497</v>
      </c>
      <c r="W6058" s="17" t="s">
        <v>69</v>
      </c>
      <c r="Y6058" s="68">
        <v>45505</v>
      </c>
      <c r="Z6058" s="17" t="s">
        <v>191</v>
      </c>
      <c r="AA6058" s="17" t="s">
        <v>46</v>
      </c>
      <c r="AB6058" s="17" t="s">
        <v>1352</v>
      </c>
      <c r="AC6058" s="217">
        <v>45531</v>
      </c>
      <c r="AD6058" s="65">
        <v>1623</v>
      </c>
      <c r="AE6058" s="17" t="s">
        <v>74</v>
      </c>
    </row>
    <row r="6059" s="17" customFormat="1" hidden="1" spans="1:31">
      <c r="A6059" s="17" t="s">
        <v>34</v>
      </c>
      <c r="B6059" s="19">
        <v>1023</v>
      </c>
      <c r="C6059" s="183">
        <v>45496</v>
      </c>
      <c r="D6059" s="17" t="s">
        <v>52</v>
      </c>
      <c r="E6059" s="17" t="s">
        <v>1113</v>
      </c>
      <c r="F6059" s="17" t="s">
        <v>54</v>
      </c>
      <c r="H6059" s="19">
        <v>1.2311</v>
      </c>
      <c r="I6059" s="19"/>
      <c r="J6059" s="17" t="s">
        <v>82</v>
      </c>
      <c r="K6059" s="19">
        <v>407</v>
      </c>
      <c r="L6059" s="19">
        <v>80</v>
      </c>
      <c r="M6059" s="19">
        <v>2200</v>
      </c>
      <c r="N6059" s="19" t="s">
        <v>66</v>
      </c>
      <c r="O6059" s="19" t="s">
        <v>141</v>
      </c>
      <c r="P6059" s="19">
        <v>1000</v>
      </c>
      <c r="Q6059" s="19">
        <v>1196</v>
      </c>
      <c r="R6059" s="19">
        <f t="shared" si="271"/>
        <v>-196</v>
      </c>
      <c r="S6059" s="19">
        <v>890</v>
      </c>
      <c r="T6059" s="19" t="s">
        <v>42</v>
      </c>
      <c r="U6059" s="102" t="s">
        <v>1480</v>
      </c>
      <c r="V6059" s="186">
        <v>45497</v>
      </c>
      <c r="W6059" s="17" t="s">
        <v>69</v>
      </c>
      <c r="Y6059" s="68">
        <v>45505</v>
      </c>
      <c r="Z6059" s="17" t="s">
        <v>191</v>
      </c>
      <c r="AA6059" s="17" t="s">
        <v>46</v>
      </c>
      <c r="AB6059" s="17" t="s">
        <v>1352</v>
      </c>
      <c r="AC6059" s="217">
        <v>45531</v>
      </c>
      <c r="AD6059" s="65">
        <v>1623</v>
      </c>
      <c r="AE6059" s="17" t="s">
        <v>74</v>
      </c>
    </row>
    <row r="6060" s="17" customFormat="1" hidden="1" spans="1:31">
      <c r="A6060" s="17" t="s">
        <v>34</v>
      </c>
      <c r="B6060" s="19">
        <v>1023</v>
      </c>
      <c r="C6060" s="183">
        <v>45496</v>
      </c>
      <c r="D6060" s="17" t="s">
        <v>52</v>
      </c>
      <c r="E6060" s="17" t="s">
        <v>1113</v>
      </c>
      <c r="F6060" s="17" t="s">
        <v>54</v>
      </c>
      <c r="H6060" s="19">
        <v>1.2311</v>
      </c>
      <c r="I6060" s="19"/>
      <c r="J6060" s="17" t="s">
        <v>82</v>
      </c>
      <c r="K6060" s="19">
        <v>457</v>
      </c>
      <c r="L6060" s="19">
        <v>80</v>
      </c>
      <c r="M6060" s="19">
        <v>2200</v>
      </c>
      <c r="N6060" s="19" t="s">
        <v>66</v>
      </c>
      <c r="O6060" s="19" t="s">
        <v>141</v>
      </c>
      <c r="P6060" s="19">
        <v>500</v>
      </c>
      <c r="Q6060" s="19">
        <v>678</v>
      </c>
      <c r="R6060" s="19">
        <f t="shared" si="271"/>
        <v>-178</v>
      </c>
      <c r="S6060" s="19">
        <v>890</v>
      </c>
      <c r="T6060" s="19" t="s">
        <v>42</v>
      </c>
      <c r="U6060" s="102" t="s">
        <v>1480</v>
      </c>
      <c r="V6060" s="186">
        <v>45497</v>
      </c>
      <c r="W6060" s="17" t="s">
        <v>69</v>
      </c>
      <c r="Y6060" s="68">
        <v>45505</v>
      </c>
      <c r="Z6060" s="17" t="s">
        <v>191</v>
      </c>
      <c r="AA6060" s="17" t="s">
        <v>46</v>
      </c>
      <c r="AB6060" s="17" t="s">
        <v>1352</v>
      </c>
      <c r="AC6060" s="217">
        <v>45531</v>
      </c>
      <c r="AD6060" s="65">
        <v>1623</v>
      </c>
      <c r="AE6060" s="17" t="s">
        <v>74</v>
      </c>
    </row>
    <row r="6061" s="17" customFormat="1" hidden="1" spans="1:31">
      <c r="A6061" s="17" t="s">
        <v>34</v>
      </c>
      <c r="B6061" s="19">
        <v>1023</v>
      </c>
      <c r="C6061" s="183">
        <v>45496</v>
      </c>
      <c r="D6061" s="17" t="s">
        <v>52</v>
      </c>
      <c r="E6061" s="17" t="s">
        <v>1113</v>
      </c>
      <c r="F6061" s="17" t="s">
        <v>54</v>
      </c>
      <c r="H6061" s="19">
        <v>1.2311</v>
      </c>
      <c r="I6061" s="19"/>
      <c r="J6061" s="17" t="s">
        <v>82</v>
      </c>
      <c r="K6061" s="19">
        <v>507</v>
      </c>
      <c r="L6061" s="19">
        <v>80</v>
      </c>
      <c r="M6061" s="19">
        <v>2200</v>
      </c>
      <c r="N6061" s="19" t="s">
        <v>66</v>
      </c>
      <c r="O6061" s="19" t="s">
        <v>141</v>
      </c>
      <c r="P6061" s="19">
        <v>500</v>
      </c>
      <c r="Q6061" s="19">
        <v>745</v>
      </c>
      <c r="R6061" s="19">
        <f t="shared" si="271"/>
        <v>-245</v>
      </c>
      <c r="S6061" s="19">
        <v>890</v>
      </c>
      <c r="T6061" s="19" t="s">
        <v>42</v>
      </c>
      <c r="U6061" s="102" t="s">
        <v>1480</v>
      </c>
      <c r="V6061" s="186">
        <v>45497</v>
      </c>
      <c r="W6061" s="17" t="s">
        <v>69</v>
      </c>
      <c r="Y6061" s="68">
        <v>45505</v>
      </c>
      <c r="Z6061" s="17" t="s">
        <v>191</v>
      </c>
      <c r="AA6061" s="17" t="s">
        <v>46</v>
      </c>
      <c r="AB6061" s="17" t="s">
        <v>1352</v>
      </c>
      <c r="AC6061" s="217">
        <v>45531</v>
      </c>
      <c r="AD6061" s="65">
        <v>1623</v>
      </c>
      <c r="AE6061" s="17" t="s">
        <v>74</v>
      </c>
    </row>
    <row r="6062" s="17" customFormat="1" hidden="1" spans="1:31">
      <c r="A6062" s="17" t="s">
        <v>34</v>
      </c>
      <c r="B6062" s="19">
        <v>1023</v>
      </c>
      <c r="C6062" s="183">
        <v>45496</v>
      </c>
      <c r="D6062" s="17" t="s">
        <v>52</v>
      </c>
      <c r="E6062" s="17" t="s">
        <v>1113</v>
      </c>
      <c r="F6062" s="17" t="s">
        <v>54</v>
      </c>
      <c r="H6062" s="19">
        <v>1.2311</v>
      </c>
      <c r="I6062" s="19"/>
      <c r="J6062" s="17" t="s">
        <v>82</v>
      </c>
      <c r="K6062" s="19">
        <v>207</v>
      </c>
      <c r="L6062" s="19">
        <v>105</v>
      </c>
      <c r="M6062" s="19">
        <v>2200</v>
      </c>
      <c r="N6062" s="19" t="s">
        <v>66</v>
      </c>
      <c r="O6062" s="19" t="s">
        <v>141</v>
      </c>
      <c r="P6062" s="19">
        <v>500</v>
      </c>
      <c r="Q6062" s="19">
        <v>402</v>
      </c>
      <c r="R6062" s="19">
        <f t="shared" si="271"/>
        <v>98</v>
      </c>
      <c r="S6062" s="19">
        <v>890</v>
      </c>
      <c r="T6062" s="19" t="s">
        <v>42</v>
      </c>
      <c r="U6062" s="102" t="s">
        <v>1480</v>
      </c>
      <c r="V6062" s="186">
        <v>45497</v>
      </c>
      <c r="W6062" s="17" t="s">
        <v>69</v>
      </c>
      <c r="Y6062" s="68">
        <v>45505</v>
      </c>
      <c r="Z6062" s="17" t="s">
        <v>191</v>
      </c>
      <c r="AA6062" s="17" t="s">
        <v>46</v>
      </c>
      <c r="AB6062" s="17" t="s">
        <v>1352</v>
      </c>
      <c r="AC6062" s="217">
        <v>45531</v>
      </c>
      <c r="AD6062" s="65">
        <v>1623</v>
      </c>
      <c r="AE6062" s="17" t="s">
        <v>74</v>
      </c>
    </row>
    <row r="6063" s="17" customFormat="1" hidden="1" spans="1:31">
      <c r="A6063" s="17" t="s">
        <v>34</v>
      </c>
      <c r="B6063" s="19">
        <v>1023</v>
      </c>
      <c r="C6063" s="183">
        <v>45496</v>
      </c>
      <c r="D6063" s="17" t="s">
        <v>52</v>
      </c>
      <c r="E6063" s="17" t="s">
        <v>1113</v>
      </c>
      <c r="F6063" s="17" t="s">
        <v>54</v>
      </c>
      <c r="H6063" s="19">
        <v>1.2311</v>
      </c>
      <c r="I6063" s="19"/>
      <c r="J6063" s="17" t="s">
        <v>82</v>
      </c>
      <c r="K6063" s="19">
        <v>257</v>
      </c>
      <c r="L6063" s="19">
        <v>105</v>
      </c>
      <c r="M6063" s="19">
        <v>2200</v>
      </c>
      <c r="N6063" s="19" t="s">
        <v>66</v>
      </c>
      <c r="O6063" s="19" t="s">
        <v>141</v>
      </c>
      <c r="P6063" s="19">
        <v>500</v>
      </c>
      <c r="Q6063" s="19">
        <v>497</v>
      </c>
      <c r="R6063" s="19">
        <f t="shared" si="271"/>
        <v>3</v>
      </c>
      <c r="S6063" s="19">
        <v>890</v>
      </c>
      <c r="T6063" s="19" t="s">
        <v>42</v>
      </c>
      <c r="U6063" s="102" t="s">
        <v>1480</v>
      </c>
      <c r="V6063" s="186">
        <v>45497</v>
      </c>
      <c r="W6063" s="17" t="s">
        <v>69</v>
      </c>
      <c r="Y6063" s="68">
        <v>45505</v>
      </c>
      <c r="Z6063" s="17" t="s">
        <v>191</v>
      </c>
      <c r="AA6063" s="17" t="s">
        <v>46</v>
      </c>
      <c r="AB6063" s="17" t="s">
        <v>1352</v>
      </c>
      <c r="AC6063" s="217">
        <v>45531</v>
      </c>
      <c r="AD6063" s="65">
        <v>1623</v>
      </c>
      <c r="AE6063" s="17" t="s">
        <v>74</v>
      </c>
    </row>
    <row r="6064" s="17" customFormat="1" hidden="1" spans="1:31">
      <c r="A6064" s="17" t="s">
        <v>34</v>
      </c>
      <c r="B6064" s="19">
        <v>1023</v>
      </c>
      <c r="C6064" s="183">
        <v>45496</v>
      </c>
      <c r="D6064" s="17" t="s">
        <v>52</v>
      </c>
      <c r="E6064" s="17" t="s">
        <v>1113</v>
      </c>
      <c r="F6064" s="17" t="s">
        <v>54</v>
      </c>
      <c r="H6064" s="19">
        <v>1.2311</v>
      </c>
      <c r="I6064" s="19"/>
      <c r="J6064" s="17" t="s">
        <v>82</v>
      </c>
      <c r="K6064" s="19">
        <v>307</v>
      </c>
      <c r="L6064" s="19">
        <v>105</v>
      </c>
      <c r="M6064" s="19">
        <v>2200</v>
      </c>
      <c r="N6064" s="19" t="s">
        <v>66</v>
      </c>
      <c r="O6064" s="19" t="s">
        <v>141</v>
      </c>
      <c r="P6064" s="19">
        <v>500</v>
      </c>
      <c r="Q6064" s="19">
        <v>591</v>
      </c>
      <c r="R6064" s="19">
        <f t="shared" si="271"/>
        <v>-91</v>
      </c>
      <c r="S6064" s="19">
        <v>890</v>
      </c>
      <c r="T6064" s="19" t="s">
        <v>42</v>
      </c>
      <c r="U6064" s="102" t="s">
        <v>1480</v>
      </c>
      <c r="V6064" s="186">
        <v>45497</v>
      </c>
      <c r="W6064" s="17" t="s">
        <v>69</v>
      </c>
      <c r="Y6064" s="68">
        <v>45505</v>
      </c>
      <c r="Z6064" s="17" t="s">
        <v>191</v>
      </c>
      <c r="AA6064" s="17" t="s">
        <v>46</v>
      </c>
      <c r="AB6064" s="17" t="s">
        <v>1352</v>
      </c>
      <c r="AC6064" s="217">
        <v>45531</v>
      </c>
      <c r="AD6064" s="65">
        <v>1623</v>
      </c>
      <c r="AE6064" s="17" t="s">
        <v>74</v>
      </c>
    </row>
    <row r="6065" s="17" customFormat="1" hidden="1" spans="1:32">
      <c r="A6065" s="17" t="s">
        <v>34</v>
      </c>
      <c r="B6065" s="19">
        <v>1023</v>
      </c>
      <c r="C6065" s="183">
        <v>45496</v>
      </c>
      <c r="D6065" s="17" t="s">
        <v>52</v>
      </c>
      <c r="E6065" s="17" t="s">
        <v>1113</v>
      </c>
      <c r="F6065" s="17" t="s">
        <v>54</v>
      </c>
      <c r="H6065" s="19">
        <v>1.2311</v>
      </c>
      <c r="I6065" s="19"/>
      <c r="J6065" s="17" t="s">
        <v>82</v>
      </c>
      <c r="K6065" s="19">
        <v>357</v>
      </c>
      <c r="L6065" s="19">
        <v>105</v>
      </c>
      <c r="M6065" s="19">
        <v>2200</v>
      </c>
      <c r="N6065" s="19" t="s">
        <v>66</v>
      </c>
      <c r="O6065" s="19" t="s">
        <v>141</v>
      </c>
      <c r="P6065" s="19">
        <v>1000</v>
      </c>
      <c r="Q6065" s="19">
        <v>680</v>
      </c>
      <c r="R6065" s="19">
        <f t="shared" si="271"/>
        <v>320</v>
      </c>
      <c r="S6065" s="19">
        <v>890</v>
      </c>
      <c r="T6065" s="19" t="s">
        <v>42</v>
      </c>
      <c r="U6065" s="102" t="s">
        <v>1480</v>
      </c>
      <c r="V6065" s="186">
        <v>45497</v>
      </c>
      <c r="W6065" s="17" t="s">
        <v>69</v>
      </c>
      <c r="Y6065" s="68">
        <v>45505</v>
      </c>
      <c r="Z6065" s="17" t="s">
        <v>191</v>
      </c>
      <c r="AA6065" s="17" t="s">
        <v>46</v>
      </c>
      <c r="AB6065" s="17" t="s">
        <v>1352</v>
      </c>
      <c r="AC6065" s="217">
        <v>45531</v>
      </c>
      <c r="AD6065" s="65">
        <v>1623</v>
      </c>
      <c r="AE6065" s="17" t="s">
        <v>74</v>
      </c>
    </row>
    <row r="6066" s="17" customFormat="1" hidden="1" spans="1:32">
      <c r="A6066" s="17" t="s">
        <v>34</v>
      </c>
      <c r="B6066" s="19">
        <v>1023</v>
      </c>
      <c r="C6066" s="183">
        <v>45496</v>
      </c>
      <c r="D6066" s="17" t="s">
        <v>52</v>
      </c>
      <c r="E6066" s="17" t="s">
        <v>1113</v>
      </c>
      <c r="F6066" s="17" t="s">
        <v>54</v>
      </c>
      <c r="H6066" s="19">
        <v>1.2311</v>
      </c>
      <c r="I6066" s="19"/>
      <c r="J6066" s="17" t="s">
        <v>82</v>
      </c>
      <c r="K6066" s="19">
        <v>407</v>
      </c>
      <c r="L6066" s="19">
        <v>105</v>
      </c>
      <c r="M6066" s="19">
        <v>2200</v>
      </c>
      <c r="N6066" s="19" t="s">
        <v>66</v>
      </c>
      <c r="O6066" s="19" t="s">
        <v>141</v>
      </c>
      <c r="P6066" s="19">
        <v>1000</v>
      </c>
      <c r="Q6066" s="19">
        <v>772</v>
      </c>
      <c r="R6066" s="19">
        <f t="shared" si="271"/>
        <v>228</v>
      </c>
      <c r="S6066" s="19">
        <v>890</v>
      </c>
      <c r="T6066" s="19" t="s">
        <v>42</v>
      </c>
      <c r="U6066" s="102" t="s">
        <v>1480</v>
      </c>
      <c r="V6066" s="186">
        <v>45497</v>
      </c>
      <c r="W6066" s="17" t="s">
        <v>69</v>
      </c>
      <c r="Y6066" s="68">
        <v>45505</v>
      </c>
      <c r="Z6066" s="17" t="s">
        <v>191</v>
      </c>
      <c r="AA6066" s="17" t="s">
        <v>46</v>
      </c>
      <c r="AB6066" s="17" t="s">
        <v>1352</v>
      </c>
      <c r="AC6066" s="217">
        <v>45531</v>
      </c>
      <c r="AD6066" s="65">
        <v>1623</v>
      </c>
      <c r="AE6066" s="17" t="s">
        <v>74</v>
      </c>
    </row>
    <row r="6067" s="17" customFormat="1" hidden="1" spans="1:32">
      <c r="A6067" s="17" t="s">
        <v>34</v>
      </c>
      <c r="B6067" s="19">
        <v>1023</v>
      </c>
      <c r="C6067" s="183">
        <v>45496</v>
      </c>
      <c r="D6067" s="17" t="s">
        <v>52</v>
      </c>
      <c r="E6067" s="17" t="s">
        <v>1113</v>
      </c>
      <c r="F6067" s="17" t="s">
        <v>54</v>
      </c>
      <c r="H6067" s="19">
        <v>1.2311</v>
      </c>
      <c r="I6067" s="19"/>
      <c r="J6067" s="17" t="s">
        <v>82</v>
      </c>
      <c r="K6067" s="19">
        <v>457</v>
      </c>
      <c r="L6067" s="19">
        <v>105</v>
      </c>
      <c r="M6067" s="19">
        <v>2200</v>
      </c>
      <c r="N6067" s="19" t="s">
        <v>66</v>
      </c>
      <c r="O6067" s="19" t="s">
        <v>141</v>
      </c>
      <c r="P6067" s="19">
        <v>500</v>
      </c>
      <c r="Q6067" s="19">
        <v>869</v>
      </c>
      <c r="R6067" s="19">
        <f t="shared" si="271"/>
        <v>-369</v>
      </c>
      <c r="S6067" s="19">
        <v>890</v>
      </c>
      <c r="T6067" s="19" t="s">
        <v>42</v>
      </c>
      <c r="U6067" s="102" t="s">
        <v>1480</v>
      </c>
      <c r="V6067" s="186">
        <v>45497</v>
      </c>
      <c r="W6067" s="17" t="s">
        <v>69</v>
      </c>
      <c r="Y6067" s="68">
        <v>45505</v>
      </c>
      <c r="Z6067" s="17" t="s">
        <v>191</v>
      </c>
      <c r="AA6067" s="17" t="s">
        <v>46</v>
      </c>
      <c r="AB6067" s="17" t="s">
        <v>1352</v>
      </c>
      <c r="AC6067" s="217">
        <v>45531</v>
      </c>
      <c r="AD6067" s="65">
        <v>1623</v>
      </c>
      <c r="AE6067" s="17" t="s">
        <v>74</v>
      </c>
    </row>
    <row r="6068" s="17" customFormat="1" hidden="1" spans="1:32">
      <c r="A6068" s="17" t="s">
        <v>34</v>
      </c>
      <c r="B6068" s="19">
        <v>1023</v>
      </c>
      <c r="C6068" s="183">
        <v>45496</v>
      </c>
      <c r="D6068" s="17" t="s">
        <v>52</v>
      </c>
      <c r="E6068" s="17" t="s">
        <v>1113</v>
      </c>
      <c r="F6068" s="17" t="s">
        <v>54</v>
      </c>
      <c r="H6068" s="19">
        <v>1.2311</v>
      </c>
      <c r="I6068" s="19"/>
      <c r="J6068" s="17" t="s">
        <v>82</v>
      </c>
      <c r="K6068" s="19">
        <v>507</v>
      </c>
      <c r="L6068" s="19">
        <v>105</v>
      </c>
      <c r="M6068" s="19">
        <v>2200</v>
      </c>
      <c r="N6068" s="19" t="s">
        <v>66</v>
      </c>
      <c r="O6068" s="19" t="s">
        <v>141</v>
      </c>
      <c r="P6068" s="19">
        <v>500</v>
      </c>
      <c r="Q6068" s="19">
        <v>971</v>
      </c>
      <c r="R6068" s="19">
        <f t="shared" si="271"/>
        <v>-471</v>
      </c>
      <c r="S6068" s="19">
        <v>890</v>
      </c>
      <c r="T6068" s="19" t="s">
        <v>42</v>
      </c>
      <c r="U6068" s="102" t="s">
        <v>1480</v>
      </c>
      <c r="V6068" s="186">
        <v>45497</v>
      </c>
      <c r="W6068" s="17" t="s">
        <v>69</v>
      </c>
      <c r="Y6068" s="68">
        <v>45505</v>
      </c>
      <c r="Z6068" s="17" t="s">
        <v>191</v>
      </c>
      <c r="AA6068" s="17" t="s">
        <v>46</v>
      </c>
      <c r="AB6068" s="17" t="s">
        <v>1352</v>
      </c>
      <c r="AC6068" s="217">
        <v>45531</v>
      </c>
      <c r="AD6068" s="65">
        <v>1623</v>
      </c>
      <c r="AE6068" s="17" t="s">
        <v>74</v>
      </c>
    </row>
    <row r="6069" s="24" customFormat="1" hidden="1" spans="1:32">
      <c r="B6069" s="342">
        <v>1024</v>
      </c>
      <c r="C6069" s="343">
        <v>45504</v>
      </c>
      <c r="D6069" s="24" t="s">
        <v>109</v>
      </c>
      <c r="E6069" s="24" t="s">
        <v>110</v>
      </c>
      <c r="F6069" s="24" t="s">
        <v>72</v>
      </c>
      <c r="H6069" s="342">
        <v>1.2083</v>
      </c>
      <c r="I6069" s="342"/>
      <c r="J6069" s="24" t="s">
        <v>49</v>
      </c>
      <c r="K6069" s="342">
        <v>1050</v>
      </c>
      <c r="L6069" s="344">
        <v>210</v>
      </c>
      <c r="M6069" s="342">
        <v>5000</v>
      </c>
      <c r="N6069" s="342" t="s">
        <v>40</v>
      </c>
      <c r="O6069" s="342" t="s">
        <v>50</v>
      </c>
      <c r="P6069" s="342">
        <v>8000</v>
      </c>
      <c r="Q6069" s="342"/>
      <c r="R6069" s="342">
        <f t="shared" si="271"/>
        <v>8000</v>
      </c>
      <c r="S6069" s="342">
        <v>2860</v>
      </c>
      <c r="T6069" s="342" t="s">
        <v>42</v>
      </c>
      <c r="U6069" s="345" t="s">
        <v>1481</v>
      </c>
      <c r="V6069" s="346">
        <v>45504</v>
      </c>
      <c r="W6069" s="24" t="s">
        <v>69</v>
      </c>
      <c r="Y6069" s="347">
        <v>45809</v>
      </c>
      <c r="Z6069" s="24" t="s">
        <v>1454</v>
      </c>
      <c r="AA6069" s="24" t="s">
        <v>46</v>
      </c>
      <c r="AC6069" s="345"/>
      <c r="AD6069" s="348"/>
      <c r="AE6069" s="24" t="s">
        <v>48</v>
      </c>
      <c r="AF6069" s="24" t="s">
        <v>1482</v>
      </c>
    </row>
    <row r="6070" s="24" customFormat="1" hidden="1" spans="1:32">
      <c r="B6070" s="342">
        <v>1024</v>
      </c>
      <c r="C6070" s="343">
        <v>45504</v>
      </c>
      <c r="D6070" s="24" t="s">
        <v>109</v>
      </c>
      <c r="E6070" s="24" t="s">
        <v>110</v>
      </c>
      <c r="F6070" s="24" t="s">
        <v>72</v>
      </c>
      <c r="H6070" s="342">
        <v>1.2083</v>
      </c>
      <c r="I6070" s="342"/>
      <c r="J6070" s="24" t="s">
        <v>49</v>
      </c>
      <c r="K6070" s="342">
        <v>1050</v>
      </c>
      <c r="L6070" s="344">
        <v>260</v>
      </c>
      <c r="M6070" s="342">
        <v>5000</v>
      </c>
      <c r="N6070" s="342" t="s">
        <v>40</v>
      </c>
      <c r="O6070" s="342" t="s">
        <v>50</v>
      </c>
      <c r="P6070" s="342">
        <v>8000</v>
      </c>
      <c r="Q6070" s="342"/>
      <c r="R6070" s="342">
        <f t="shared" si="271"/>
        <v>8000</v>
      </c>
      <c r="S6070" s="342">
        <v>2860</v>
      </c>
      <c r="T6070" s="342" t="s">
        <v>42</v>
      </c>
      <c r="U6070" s="345" t="s">
        <v>1481</v>
      </c>
      <c r="V6070" s="346">
        <v>45504</v>
      </c>
      <c r="W6070" s="24" t="s">
        <v>69</v>
      </c>
      <c r="Y6070" s="347">
        <v>45809</v>
      </c>
      <c r="Z6070" s="24" t="s">
        <v>1454</v>
      </c>
      <c r="AA6070" s="24" t="s">
        <v>46</v>
      </c>
      <c r="AC6070" s="345"/>
      <c r="AD6070" s="348"/>
      <c r="AE6070" s="24" t="s">
        <v>48</v>
      </c>
      <c r="AF6070" s="24" t="s">
        <v>1482</v>
      </c>
    </row>
    <row r="6071" s="24" customFormat="1" hidden="1" spans="1:32">
      <c r="B6071" s="342">
        <v>1024</v>
      </c>
      <c r="C6071" s="343">
        <v>45504</v>
      </c>
      <c r="D6071" s="24" t="s">
        <v>109</v>
      </c>
      <c r="E6071" s="24" t="s">
        <v>110</v>
      </c>
      <c r="F6071" s="24" t="s">
        <v>72</v>
      </c>
      <c r="H6071" s="342">
        <v>1.2083</v>
      </c>
      <c r="I6071" s="342"/>
      <c r="J6071" s="24" t="s">
        <v>49</v>
      </c>
      <c r="K6071" s="342">
        <v>1050</v>
      </c>
      <c r="L6071" s="344">
        <v>310</v>
      </c>
      <c r="M6071" s="342">
        <v>5000</v>
      </c>
      <c r="N6071" s="342" t="s">
        <v>40</v>
      </c>
      <c r="O6071" s="342" t="s">
        <v>50</v>
      </c>
      <c r="P6071" s="342">
        <v>10000</v>
      </c>
      <c r="Q6071" s="342"/>
      <c r="R6071" s="342">
        <f t="shared" si="271"/>
        <v>10000</v>
      </c>
      <c r="S6071" s="342">
        <v>2860</v>
      </c>
      <c r="T6071" s="342" t="s">
        <v>42</v>
      </c>
      <c r="U6071" s="345" t="s">
        <v>1481</v>
      </c>
      <c r="V6071" s="346">
        <v>45504</v>
      </c>
      <c r="W6071" s="24" t="s">
        <v>69</v>
      </c>
      <c r="Y6071" s="347">
        <v>45809</v>
      </c>
      <c r="Z6071" s="24" t="s">
        <v>1454</v>
      </c>
      <c r="AA6071" s="24" t="s">
        <v>46</v>
      </c>
      <c r="AC6071" s="345"/>
      <c r="AD6071" s="348"/>
      <c r="AE6071" s="24" t="s">
        <v>48</v>
      </c>
      <c r="AF6071" s="24" t="s">
        <v>1482</v>
      </c>
    </row>
    <row r="6072" s="17" customFormat="1" hidden="1" spans="1:32">
      <c r="A6072" s="17" t="s">
        <v>34</v>
      </c>
      <c r="B6072" s="19">
        <v>1025</v>
      </c>
      <c r="C6072" s="183">
        <v>45505</v>
      </c>
      <c r="D6072" s="17" t="s">
        <v>181</v>
      </c>
      <c r="E6072" s="17" t="s">
        <v>182</v>
      </c>
      <c r="F6072" s="17" t="s">
        <v>183</v>
      </c>
      <c r="H6072" s="19">
        <v>1.2738</v>
      </c>
      <c r="I6072" s="19"/>
      <c r="J6072" s="17" t="s">
        <v>49</v>
      </c>
      <c r="K6072" s="19">
        <v>1650</v>
      </c>
      <c r="L6072" s="91">
        <v>455</v>
      </c>
      <c r="M6072" s="19">
        <v>3850</v>
      </c>
      <c r="N6072" s="19" t="s">
        <v>66</v>
      </c>
      <c r="O6072" s="19" t="s">
        <v>98</v>
      </c>
      <c r="P6072" s="19">
        <v>22800</v>
      </c>
      <c r="Q6072" s="19">
        <v>21850</v>
      </c>
      <c r="R6072" s="19">
        <f t="shared" si="271"/>
        <v>950</v>
      </c>
      <c r="S6072" s="19">
        <v>2110</v>
      </c>
      <c r="T6072" s="19" t="s">
        <v>94</v>
      </c>
      <c r="U6072" s="102">
        <v>82400567</v>
      </c>
      <c r="V6072" s="186">
        <v>45534</v>
      </c>
      <c r="W6072" s="17" t="s">
        <v>185</v>
      </c>
      <c r="Y6072" s="68">
        <v>45566</v>
      </c>
      <c r="Z6072" s="17" t="s">
        <v>1483</v>
      </c>
      <c r="AA6072" s="17" t="s">
        <v>46</v>
      </c>
      <c r="AB6072" s="17" t="s">
        <v>1484</v>
      </c>
      <c r="AC6072" s="217">
        <v>45719</v>
      </c>
      <c r="AD6072" s="65">
        <v>1663</v>
      </c>
      <c r="AE6072" s="17" t="s">
        <v>48</v>
      </c>
    </row>
    <row r="6073" s="17" customFormat="1" hidden="1" spans="1:32">
      <c r="A6073" s="17" t="s">
        <v>34</v>
      </c>
      <c r="B6073" s="19">
        <v>1025</v>
      </c>
      <c r="C6073" s="183">
        <v>45505</v>
      </c>
      <c r="D6073" s="17" t="s">
        <v>181</v>
      </c>
      <c r="E6073" s="17" t="s">
        <v>182</v>
      </c>
      <c r="F6073" s="17" t="s">
        <v>183</v>
      </c>
      <c r="H6073" s="19" t="s">
        <v>986</v>
      </c>
      <c r="I6073" s="19"/>
      <c r="J6073" s="17" t="s">
        <v>49</v>
      </c>
      <c r="K6073" s="19">
        <v>1650</v>
      </c>
      <c r="L6073" s="91">
        <v>510</v>
      </c>
      <c r="M6073" s="19">
        <v>4000</v>
      </c>
      <c r="N6073" s="19" t="s">
        <v>66</v>
      </c>
      <c r="O6073" s="19" t="s">
        <v>98</v>
      </c>
      <c r="P6073" s="19">
        <v>27000</v>
      </c>
      <c r="Q6073" s="19">
        <v>24640</v>
      </c>
      <c r="R6073" s="19">
        <f t="shared" si="271"/>
        <v>2360</v>
      </c>
      <c r="S6073" s="19">
        <v>2110</v>
      </c>
      <c r="T6073" s="19" t="s">
        <v>94</v>
      </c>
      <c r="U6073" s="102">
        <v>82400567</v>
      </c>
      <c r="V6073" s="186">
        <v>45534</v>
      </c>
      <c r="W6073" s="17" t="s">
        <v>185</v>
      </c>
      <c r="Y6073" s="68">
        <v>45597</v>
      </c>
      <c r="Z6073" s="17" t="s">
        <v>1483</v>
      </c>
      <c r="AA6073" s="17" t="s">
        <v>46</v>
      </c>
      <c r="AB6073" s="17" t="s">
        <v>1484</v>
      </c>
      <c r="AC6073" s="217">
        <v>45719</v>
      </c>
      <c r="AD6073" s="65">
        <v>1663</v>
      </c>
      <c r="AE6073" s="17" t="s">
        <v>48</v>
      </c>
    </row>
    <row r="6074" s="17" customFormat="1" hidden="1" spans="1:32">
      <c r="A6074" s="17" t="s">
        <v>34</v>
      </c>
      <c r="B6074" s="19">
        <v>1025</v>
      </c>
      <c r="C6074" s="183">
        <v>45505</v>
      </c>
      <c r="D6074" s="17" t="s">
        <v>181</v>
      </c>
      <c r="E6074" s="17" t="s">
        <v>182</v>
      </c>
      <c r="F6074" s="17" t="s">
        <v>183</v>
      </c>
      <c r="H6074" s="19" t="s">
        <v>1114</v>
      </c>
      <c r="I6074" s="19"/>
      <c r="J6074" s="17" t="s">
        <v>49</v>
      </c>
      <c r="K6074" s="19">
        <v>1650</v>
      </c>
      <c r="L6074" s="91">
        <v>510</v>
      </c>
      <c r="M6074" s="19">
        <v>4050</v>
      </c>
      <c r="N6074" s="19" t="s">
        <v>66</v>
      </c>
      <c r="O6074" s="19" t="s">
        <v>98</v>
      </c>
      <c r="P6074" s="19">
        <v>27000</v>
      </c>
      <c r="Q6074" s="19">
        <v>24320</v>
      </c>
      <c r="R6074" s="19">
        <f t="shared" si="271"/>
        <v>2680</v>
      </c>
      <c r="S6074" s="19">
        <v>2000</v>
      </c>
      <c r="T6074" s="19" t="s">
        <v>94</v>
      </c>
      <c r="U6074" s="102">
        <v>82400567</v>
      </c>
      <c r="V6074" s="186">
        <v>45534</v>
      </c>
      <c r="W6074" s="17" t="s">
        <v>185</v>
      </c>
      <c r="Y6074" s="68">
        <v>45597</v>
      </c>
      <c r="Z6074" s="17" t="s">
        <v>1483</v>
      </c>
      <c r="AA6074" s="17" t="s">
        <v>46</v>
      </c>
      <c r="AB6074" s="17" t="s">
        <v>1485</v>
      </c>
      <c r="AC6074" s="217">
        <v>45719</v>
      </c>
      <c r="AD6074" s="65">
        <v>1645</v>
      </c>
      <c r="AE6074" s="17" t="s">
        <v>48</v>
      </c>
    </row>
    <row r="6075" s="17" customFormat="1" hidden="1" spans="1:32">
      <c r="A6075" s="17" t="s">
        <v>34</v>
      </c>
      <c r="B6075" s="19">
        <v>1025</v>
      </c>
      <c r="C6075" s="183">
        <v>45505</v>
      </c>
      <c r="D6075" s="17" t="s">
        <v>181</v>
      </c>
      <c r="E6075" s="17" t="s">
        <v>182</v>
      </c>
      <c r="F6075" s="17" t="s">
        <v>183</v>
      </c>
      <c r="H6075" s="19" t="s">
        <v>1114</v>
      </c>
      <c r="I6075" s="19"/>
      <c r="J6075" s="17" t="s">
        <v>49</v>
      </c>
      <c r="K6075" s="19">
        <v>1650</v>
      </c>
      <c r="L6075" s="91">
        <v>410</v>
      </c>
      <c r="M6075" s="19">
        <v>3600</v>
      </c>
      <c r="N6075" s="19" t="s">
        <v>66</v>
      </c>
      <c r="O6075" s="19" t="s">
        <v>98</v>
      </c>
      <c r="P6075" s="19">
        <v>19200</v>
      </c>
      <c r="Q6075" s="19">
        <v>17550</v>
      </c>
      <c r="R6075" s="19">
        <f t="shared" si="271"/>
        <v>1650</v>
      </c>
      <c r="S6075" s="19">
        <v>2000</v>
      </c>
      <c r="T6075" s="19" t="s">
        <v>94</v>
      </c>
      <c r="U6075" s="102">
        <v>82400567</v>
      </c>
      <c r="V6075" s="186">
        <v>45534</v>
      </c>
      <c r="W6075" s="17" t="s">
        <v>185</v>
      </c>
      <c r="Y6075" s="68">
        <v>45566</v>
      </c>
      <c r="Z6075" s="17" t="s">
        <v>1483</v>
      </c>
      <c r="AA6075" s="17" t="s">
        <v>46</v>
      </c>
      <c r="AB6075" s="17" t="s">
        <v>1485</v>
      </c>
      <c r="AC6075" s="217">
        <v>45719</v>
      </c>
      <c r="AD6075" s="65">
        <v>1645</v>
      </c>
      <c r="AE6075" s="17" t="s">
        <v>48</v>
      </c>
    </row>
    <row r="6076" s="17" customFormat="1" hidden="1" spans="1:32">
      <c r="A6076" s="17" t="s">
        <v>34</v>
      </c>
      <c r="B6076" s="19">
        <v>1026</v>
      </c>
      <c r="C6076" s="183">
        <v>45510</v>
      </c>
      <c r="D6076" s="17" t="s">
        <v>52</v>
      </c>
      <c r="E6076" s="17" t="s">
        <v>1113</v>
      </c>
      <c r="F6076" s="17" t="s">
        <v>54</v>
      </c>
      <c r="H6076" s="19" t="s">
        <v>1114</v>
      </c>
      <c r="I6076" s="19"/>
      <c r="J6076" s="17" t="s">
        <v>49</v>
      </c>
      <c r="K6076" s="19">
        <v>2200</v>
      </c>
      <c r="L6076" s="91">
        <v>40</v>
      </c>
      <c r="M6076" s="19">
        <v>5800</v>
      </c>
      <c r="N6076" s="19" t="s">
        <v>66</v>
      </c>
      <c r="O6076" s="19" t="s">
        <v>141</v>
      </c>
      <c r="P6076" s="19">
        <v>8013</v>
      </c>
      <c r="Q6076" s="19">
        <f>4270+4270</f>
        <v>8540</v>
      </c>
      <c r="R6076" s="19">
        <f t="shared" si="271"/>
        <v>-527</v>
      </c>
      <c r="S6076" s="19">
        <v>850</v>
      </c>
      <c r="T6076" s="19" t="s">
        <v>42</v>
      </c>
      <c r="U6076" s="102" t="s">
        <v>1486</v>
      </c>
      <c r="V6076" s="186">
        <v>45527</v>
      </c>
      <c r="W6076" s="17" t="s">
        <v>69</v>
      </c>
      <c r="Y6076" s="68">
        <v>45505</v>
      </c>
      <c r="Z6076" s="17" t="s">
        <v>191</v>
      </c>
      <c r="AA6076" s="17" t="s">
        <v>46</v>
      </c>
      <c r="AB6076" s="17" t="s">
        <v>1352</v>
      </c>
      <c r="AC6076" s="217">
        <v>45531</v>
      </c>
      <c r="AD6076" s="65">
        <v>1623</v>
      </c>
      <c r="AE6076" s="17" t="s">
        <v>48</v>
      </c>
      <c r="AF6076" s="17" t="s">
        <v>1487</v>
      </c>
    </row>
    <row r="6077" s="17" customFormat="1" hidden="1" spans="1:32">
      <c r="A6077" s="17" t="s">
        <v>34</v>
      </c>
      <c r="B6077" s="19">
        <v>1027</v>
      </c>
      <c r="C6077" s="183">
        <v>45510</v>
      </c>
      <c r="D6077" s="17" t="s">
        <v>52</v>
      </c>
      <c r="E6077" s="17" t="s">
        <v>1113</v>
      </c>
      <c r="F6077" s="17" t="s">
        <v>54</v>
      </c>
      <c r="H6077" s="19">
        <v>1.2738</v>
      </c>
      <c r="I6077" s="19"/>
      <c r="J6077" s="17" t="s">
        <v>49</v>
      </c>
      <c r="K6077" s="19">
        <v>2200</v>
      </c>
      <c r="L6077" s="91">
        <v>25</v>
      </c>
      <c r="M6077" s="19">
        <v>5000</v>
      </c>
      <c r="N6077" s="19" t="s">
        <v>66</v>
      </c>
      <c r="O6077" s="19" t="s">
        <v>141</v>
      </c>
      <c r="P6077" s="19">
        <v>2504</v>
      </c>
      <c r="Q6077" s="19">
        <v>2670</v>
      </c>
      <c r="R6077" s="19">
        <f t="shared" ref="R6077:R6140" si="272">+P6077-Q6077</f>
        <v>-166</v>
      </c>
      <c r="S6077" s="242">
        <f>1160-30</f>
        <v>1130</v>
      </c>
      <c r="T6077" s="19" t="s">
        <v>42</v>
      </c>
      <c r="U6077" s="102" t="s">
        <v>1486</v>
      </c>
      <c r="V6077" s="186">
        <v>45527</v>
      </c>
      <c r="W6077" s="17" t="s">
        <v>69</v>
      </c>
      <c r="Y6077" s="68">
        <v>45505</v>
      </c>
      <c r="Z6077" s="17" t="s">
        <v>191</v>
      </c>
      <c r="AA6077" s="17" t="s">
        <v>46</v>
      </c>
      <c r="AB6077" s="17" t="s">
        <v>1352</v>
      </c>
      <c r="AC6077" s="217">
        <v>45531</v>
      </c>
      <c r="AD6077" s="65">
        <v>1623</v>
      </c>
      <c r="AE6077" s="17" t="s">
        <v>48</v>
      </c>
      <c r="AF6077" s="17" t="s">
        <v>1487</v>
      </c>
    </row>
    <row r="6078" s="17" customFormat="1" hidden="1" spans="1:32">
      <c r="A6078" s="17" t="s">
        <v>34</v>
      </c>
      <c r="B6078" s="19">
        <v>1028</v>
      </c>
      <c r="C6078" s="183">
        <v>45512</v>
      </c>
      <c r="D6078" s="17" t="s">
        <v>1488</v>
      </c>
      <c r="E6078" s="17" t="s">
        <v>1489</v>
      </c>
      <c r="F6078" s="17" t="s">
        <v>54</v>
      </c>
      <c r="H6078" s="19">
        <v>1.2379</v>
      </c>
      <c r="I6078" s="19"/>
      <c r="J6078" s="17" t="s">
        <v>39</v>
      </c>
      <c r="K6078" s="19">
        <v>65</v>
      </c>
      <c r="L6078" s="91"/>
      <c r="M6078" s="19">
        <v>4000</v>
      </c>
      <c r="N6078" s="19" t="s">
        <v>40</v>
      </c>
      <c r="O6078" s="19" t="s">
        <v>1017</v>
      </c>
      <c r="P6078" s="19">
        <v>500</v>
      </c>
      <c r="Q6078" s="19"/>
      <c r="R6078" s="75">
        <f t="shared" si="272"/>
        <v>500</v>
      </c>
      <c r="S6078" s="19">
        <v>2050</v>
      </c>
      <c r="T6078" s="19" t="s">
        <v>42</v>
      </c>
      <c r="U6078" s="102" t="s">
        <v>1490</v>
      </c>
      <c r="V6078" s="186">
        <v>45512</v>
      </c>
      <c r="W6078" s="17" t="s">
        <v>69</v>
      </c>
      <c r="Y6078" s="68">
        <v>45536</v>
      </c>
      <c r="Z6078" s="17" t="s">
        <v>1491</v>
      </c>
      <c r="AA6078" s="17" t="s">
        <v>46</v>
      </c>
      <c r="AB6078" s="17" t="s">
        <v>1490</v>
      </c>
      <c r="AC6078" s="217">
        <v>45562</v>
      </c>
      <c r="AD6078" s="65">
        <v>1634</v>
      </c>
      <c r="AE6078" s="17" t="s">
        <v>74</v>
      </c>
    </row>
    <row r="6079" s="17" customFormat="1" hidden="1" spans="1:32">
      <c r="A6079" s="17" t="s">
        <v>34</v>
      </c>
      <c r="B6079" s="19">
        <v>1028</v>
      </c>
      <c r="C6079" s="183">
        <v>45512</v>
      </c>
      <c r="D6079" s="17" t="s">
        <v>1488</v>
      </c>
      <c r="E6079" s="17" t="s">
        <v>1489</v>
      </c>
      <c r="F6079" s="17" t="s">
        <v>54</v>
      </c>
      <c r="H6079" s="19">
        <v>1.2379</v>
      </c>
      <c r="I6079" s="19"/>
      <c r="J6079" s="17" t="s">
        <v>39</v>
      </c>
      <c r="K6079" s="19">
        <v>80</v>
      </c>
      <c r="L6079" s="91"/>
      <c r="M6079" s="19">
        <v>4000</v>
      </c>
      <c r="N6079" s="19" t="s">
        <v>40</v>
      </c>
      <c r="O6079" s="19" t="s">
        <v>1017</v>
      </c>
      <c r="P6079" s="19">
        <v>1000</v>
      </c>
      <c r="Q6079" s="19">
        <v>904</v>
      </c>
      <c r="R6079" s="19">
        <f t="shared" si="272"/>
        <v>96</v>
      </c>
      <c r="S6079" s="19">
        <v>2050</v>
      </c>
      <c r="T6079" s="19" t="s">
        <v>42</v>
      </c>
      <c r="U6079" s="102" t="s">
        <v>1490</v>
      </c>
      <c r="V6079" s="186">
        <v>45512</v>
      </c>
      <c r="W6079" s="17" t="s">
        <v>69</v>
      </c>
      <c r="Y6079" s="68">
        <v>45536</v>
      </c>
      <c r="Z6079" s="17" t="s">
        <v>1491</v>
      </c>
      <c r="AA6079" s="17" t="s">
        <v>46</v>
      </c>
      <c r="AB6079" s="17" t="s">
        <v>1490</v>
      </c>
      <c r="AC6079" s="217">
        <v>45562</v>
      </c>
      <c r="AD6079" s="65">
        <v>1634</v>
      </c>
      <c r="AE6079" s="17" t="s">
        <v>74</v>
      </c>
    </row>
    <row r="6080" s="17" customFormat="1" hidden="1" spans="1:32">
      <c r="A6080" s="17" t="s">
        <v>34</v>
      </c>
      <c r="B6080" s="19">
        <v>1028</v>
      </c>
      <c r="C6080" s="183">
        <v>45512</v>
      </c>
      <c r="D6080" s="17" t="s">
        <v>1488</v>
      </c>
      <c r="E6080" s="17" t="s">
        <v>1489</v>
      </c>
      <c r="F6080" s="17" t="s">
        <v>54</v>
      </c>
      <c r="H6080" s="19">
        <v>1.2379</v>
      </c>
      <c r="I6080" s="19"/>
      <c r="J6080" s="17" t="s">
        <v>39</v>
      </c>
      <c r="K6080" s="19">
        <v>90</v>
      </c>
      <c r="L6080" s="91"/>
      <c r="M6080" s="19">
        <v>4000</v>
      </c>
      <c r="N6080" s="19" t="s">
        <v>40</v>
      </c>
      <c r="O6080" s="19" t="s">
        <v>1017</v>
      </c>
      <c r="P6080" s="19">
        <v>500</v>
      </c>
      <c r="Q6080" s="19">
        <v>464</v>
      </c>
      <c r="R6080" s="19">
        <f t="shared" si="272"/>
        <v>36</v>
      </c>
      <c r="S6080" s="19">
        <v>2050</v>
      </c>
      <c r="T6080" s="19" t="s">
        <v>42</v>
      </c>
      <c r="U6080" s="102" t="s">
        <v>1490</v>
      </c>
      <c r="V6080" s="186">
        <v>45512</v>
      </c>
      <c r="W6080" s="17" t="s">
        <v>69</v>
      </c>
      <c r="Y6080" s="68">
        <v>45536</v>
      </c>
      <c r="Z6080" s="17" t="s">
        <v>1491</v>
      </c>
      <c r="AA6080" s="17" t="s">
        <v>46</v>
      </c>
      <c r="AB6080" s="17" t="s">
        <v>1490</v>
      </c>
      <c r="AC6080" s="217">
        <v>45562</v>
      </c>
      <c r="AD6080" s="65">
        <v>1634</v>
      </c>
      <c r="AE6080" s="17" t="s">
        <v>74</v>
      </c>
    </row>
    <row r="6081" s="17" customFormat="1" hidden="1" spans="1:31">
      <c r="A6081" s="17" t="s">
        <v>34</v>
      </c>
      <c r="B6081" s="19">
        <v>1028</v>
      </c>
      <c r="C6081" s="183">
        <v>45512</v>
      </c>
      <c r="D6081" s="17" t="s">
        <v>1488</v>
      </c>
      <c r="E6081" s="17" t="s">
        <v>1489</v>
      </c>
      <c r="F6081" s="17" t="s">
        <v>54</v>
      </c>
      <c r="H6081" s="19">
        <v>1.2379</v>
      </c>
      <c r="I6081" s="19"/>
      <c r="J6081" s="17" t="s">
        <v>39</v>
      </c>
      <c r="K6081" s="19">
        <v>100</v>
      </c>
      <c r="L6081" s="91"/>
      <c r="M6081" s="19">
        <v>4000</v>
      </c>
      <c r="N6081" s="19" t="s">
        <v>40</v>
      </c>
      <c r="O6081" s="19" t="s">
        <v>1017</v>
      </c>
      <c r="P6081" s="19">
        <v>1000</v>
      </c>
      <c r="Q6081" s="19">
        <v>1086</v>
      </c>
      <c r="R6081" s="19">
        <f t="shared" si="272"/>
        <v>-86</v>
      </c>
      <c r="S6081" s="19">
        <v>2050</v>
      </c>
      <c r="T6081" s="19" t="s">
        <v>42</v>
      </c>
      <c r="U6081" s="102" t="s">
        <v>1490</v>
      </c>
      <c r="V6081" s="186">
        <v>45512</v>
      </c>
      <c r="W6081" s="17" t="s">
        <v>69</v>
      </c>
      <c r="Y6081" s="68">
        <v>45536</v>
      </c>
      <c r="Z6081" s="17" t="s">
        <v>1491</v>
      </c>
      <c r="AA6081" s="17" t="s">
        <v>46</v>
      </c>
      <c r="AB6081" s="17" t="s">
        <v>1490</v>
      </c>
      <c r="AC6081" s="217">
        <v>45562</v>
      </c>
      <c r="AD6081" s="65">
        <v>1634</v>
      </c>
      <c r="AE6081" s="17" t="s">
        <v>74</v>
      </c>
    </row>
    <row r="6082" s="17" customFormat="1" hidden="1" spans="1:31">
      <c r="A6082" s="17" t="s">
        <v>34</v>
      </c>
      <c r="B6082" s="19">
        <v>1028</v>
      </c>
      <c r="C6082" s="183">
        <v>45512</v>
      </c>
      <c r="D6082" s="17" t="s">
        <v>1488</v>
      </c>
      <c r="E6082" s="17" t="s">
        <v>1489</v>
      </c>
      <c r="F6082" s="17" t="s">
        <v>54</v>
      </c>
      <c r="H6082" s="19">
        <v>1.2379</v>
      </c>
      <c r="I6082" s="19"/>
      <c r="J6082" s="17" t="s">
        <v>39</v>
      </c>
      <c r="K6082" s="19">
        <v>120</v>
      </c>
      <c r="L6082" s="91"/>
      <c r="M6082" s="19">
        <v>4000</v>
      </c>
      <c r="N6082" s="19" t="s">
        <v>40</v>
      </c>
      <c r="O6082" s="19" t="s">
        <v>1017</v>
      </c>
      <c r="P6082" s="19">
        <v>500</v>
      </c>
      <c r="Q6082" s="19">
        <v>705</v>
      </c>
      <c r="R6082" s="19">
        <f t="shared" si="272"/>
        <v>-205</v>
      </c>
      <c r="S6082" s="19">
        <v>2050</v>
      </c>
      <c r="T6082" s="19" t="s">
        <v>42</v>
      </c>
      <c r="U6082" s="102" t="s">
        <v>1490</v>
      </c>
      <c r="V6082" s="186">
        <v>45512</v>
      </c>
      <c r="W6082" s="17" t="s">
        <v>69</v>
      </c>
      <c r="Y6082" s="68">
        <v>45536</v>
      </c>
      <c r="Z6082" s="17" t="s">
        <v>1491</v>
      </c>
      <c r="AA6082" s="17" t="s">
        <v>46</v>
      </c>
      <c r="AB6082" s="17" t="s">
        <v>1490</v>
      </c>
      <c r="AC6082" s="217">
        <v>45562</v>
      </c>
      <c r="AD6082" s="65">
        <v>1634</v>
      </c>
      <c r="AE6082" s="17" t="s">
        <v>74</v>
      </c>
    </row>
    <row r="6083" s="17" customFormat="1" hidden="1" spans="1:31">
      <c r="A6083" s="17" t="s">
        <v>34</v>
      </c>
      <c r="B6083" s="19">
        <v>1028</v>
      </c>
      <c r="C6083" s="183">
        <v>45512</v>
      </c>
      <c r="D6083" s="17" t="s">
        <v>1488</v>
      </c>
      <c r="E6083" s="17" t="s">
        <v>1489</v>
      </c>
      <c r="F6083" s="17" t="s">
        <v>54</v>
      </c>
      <c r="H6083" s="19">
        <v>1.2379</v>
      </c>
      <c r="I6083" s="19"/>
      <c r="J6083" s="17" t="s">
        <v>39</v>
      </c>
      <c r="K6083" s="19">
        <v>105</v>
      </c>
      <c r="L6083" s="91"/>
      <c r="M6083" s="19">
        <v>4000</v>
      </c>
      <c r="N6083" s="19" t="s">
        <v>40</v>
      </c>
      <c r="O6083" s="19" t="s">
        <v>1017</v>
      </c>
      <c r="P6083" s="19">
        <v>1000</v>
      </c>
      <c r="Q6083" s="19">
        <v>1038</v>
      </c>
      <c r="R6083" s="19">
        <f t="shared" si="272"/>
        <v>-38</v>
      </c>
      <c r="S6083" s="19">
        <v>2050</v>
      </c>
      <c r="T6083" s="19" t="s">
        <v>42</v>
      </c>
      <c r="U6083" s="102" t="s">
        <v>1490</v>
      </c>
      <c r="V6083" s="186">
        <v>45512</v>
      </c>
      <c r="W6083" s="17" t="s">
        <v>69</v>
      </c>
      <c r="Y6083" s="68">
        <v>45536</v>
      </c>
      <c r="Z6083" s="17" t="s">
        <v>1491</v>
      </c>
      <c r="AA6083" s="17" t="s">
        <v>46</v>
      </c>
      <c r="AB6083" s="17" t="s">
        <v>1490</v>
      </c>
      <c r="AC6083" s="217">
        <v>45562</v>
      </c>
      <c r="AD6083" s="65">
        <v>1634</v>
      </c>
      <c r="AE6083" s="17" t="s">
        <v>74</v>
      </c>
    </row>
    <row r="6084" s="17" customFormat="1" hidden="1" spans="1:31">
      <c r="A6084" s="17" t="s">
        <v>34</v>
      </c>
      <c r="B6084" s="19">
        <v>1028</v>
      </c>
      <c r="C6084" s="183">
        <v>45512</v>
      </c>
      <c r="D6084" s="17" t="s">
        <v>1488</v>
      </c>
      <c r="E6084" s="17" t="s">
        <v>1489</v>
      </c>
      <c r="F6084" s="17" t="s">
        <v>54</v>
      </c>
      <c r="H6084" s="19">
        <v>1.2379</v>
      </c>
      <c r="I6084" s="19"/>
      <c r="J6084" s="17" t="s">
        <v>39</v>
      </c>
      <c r="K6084" s="19">
        <v>130</v>
      </c>
      <c r="L6084" s="91"/>
      <c r="M6084" s="19">
        <v>4000</v>
      </c>
      <c r="N6084" s="19" t="s">
        <v>40</v>
      </c>
      <c r="O6084" s="19" t="s">
        <v>1017</v>
      </c>
      <c r="P6084" s="147">
        <v>1000</v>
      </c>
      <c r="Q6084" s="147">
        <v>1120</v>
      </c>
      <c r="R6084" s="19">
        <f t="shared" si="272"/>
        <v>-120</v>
      </c>
      <c r="S6084" s="19">
        <v>2050</v>
      </c>
      <c r="T6084" s="19" t="s">
        <v>42</v>
      </c>
      <c r="U6084" s="102" t="s">
        <v>1490</v>
      </c>
      <c r="V6084" s="186">
        <v>45512</v>
      </c>
      <c r="W6084" s="17" t="s">
        <v>69</v>
      </c>
      <c r="Y6084" s="68">
        <v>45536</v>
      </c>
      <c r="Z6084" s="17" t="s">
        <v>1491</v>
      </c>
      <c r="AA6084" s="17" t="s">
        <v>46</v>
      </c>
      <c r="AB6084" s="17" t="s">
        <v>1490</v>
      </c>
      <c r="AC6084" s="217">
        <v>45562</v>
      </c>
      <c r="AD6084" s="65">
        <v>1634</v>
      </c>
      <c r="AE6084" s="17" t="s">
        <v>74</v>
      </c>
    </row>
    <row r="6085" s="17" customFormat="1" hidden="1" spans="1:31">
      <c r="A6085" s="17" t="s">
        <v>34</v>
      </c>
      <c r="B6085" s="19">
        <v>1028</v>
      </c>
      <c r="C6085" s="183">
        <v>45512</v>
      </c>
      <c r="D6085" s="17" t="s">
        <v>1488</v>
      </c>
      <c r="E6085" s="17" t="s">
        <v>1489</v>
      </c>
      <c r="F6085" s="17" t="s">
        <v>54</v>
      </c>
      <c r="H6085" s="19">
        <v>1.2379</v>
      </c>
      <c r="I6085" s="19"/>
      <c r="J6085" s="17" t="s">
        <v>82</v>
      </c>
      <c r="K6085" s="91">
        <v>65</v>
      </c>
      <c r="L6085" s="349">
        <v>65</v>
      </c>
      <c r="M6085" s="19">
        <v>4000</v>
      </c>
      <c r="N6085" s="19" t="s">
        <v>40</v>
      </c>
      <c r="O6085" s="19" t="s">
        <v>98</v>
      </c>
      <c r="P6085" s="91">
        <v>400</v>
      </c>
      <c r="Q6085" s="91">
        <v>494</v>
      </c>
      <c r="R6085" s="19">
        <f t="shared" si="272"/>
        <v>-94</v>
      </c>
      <c r="S6085" s="19">
        <v>2000</v>
      </c>
      <c r="T6085" s="19" t="s">
        <v>42</v>
      </c>
      <c r="U6085" s="102" t="s">
        <v>1490</v>
      </c>
      <c r="V6085" s="186">
        <v>45512</v>
      </c>
      <c r="W6085" s="17" t="s">
        <v>69</v>
      </c>
      <c r="Y6085" s="68">
        <v>45536</v>
      </c>
      <c r="Z6085" s="17" t="s">
        <v>1491</v>
      </c>
      <c r="AA6085" s="17" t="s">
        <v>46</v>
      </c>
      <c r="AB6085" s="17" t="s">
        <v>1490</v>
      </c>
      <c r="AC6085" s="217">
        <v>45562</v>
      </c>
      <c r="AD6085" s="65">
        <v>1634</v>
      </c>
      <c r="AE6085" s="17" t="s">
        <v>74</v>
      </c>
    </row>
    <row r="6086" s="17" customFormat="1" hidden="1" spans="1:31">
      <c r="A6086" s="17" t="s">
        <v>34</v>
      </c>
      <c r="B6086" s="19">
        <v>1028</v>
      </c>
      <c r="C6086" s="183">
        <v>45512</v>
      </c>
      <c r="D6086" s="17" t="s">
        <v>1488</v>
      </c>
      <c r="E6086" s="17" t="s">
        <v>1489</v>
      </c>
      <c r="F6086" s="17" t="s">
        <v>54</v>
      </c>
      <c r="H6086" s="19">
        <v>1.2379</v>
      </c>
      <c r="I6086" s="19"/>
      <c r="J6086" s="17" t="s">
        <v>82</v>
      </c>
      <c r="K6086" s="91">
        <v>80</v>
      </c>
      <c r="L6086" s="350">
        <v>50</v>
      </c>
      <c r="M6086" s="19">
        <v>4000</v>
      </c>
      <c r="N6086" s="19" t="s">
        <v>40</v>
      </c>
      <c r="O6086" s="19" t="s">
        <v>98</v>
      </c>
      <c r="P6086" s="91">
        <v>400</v>
      </c>
      <c r="Q6086" s="91">
        <v>506</v>
      </c>
      <c r="R6086" s="19">
        <f t="shared" si="272"/>
        <v>-106</v>
      </c>
      <c r="S6086" s="19">
        <v>2000</v>
      </c>
      <c r="T6086" s="19" t="s">
        <v>42</v>
      </c>
      <c r="U6086" s="102" t="s">
        <v>1490</v>
      </c>
      <c r="V6086" s="186">
        <v>45512</v>
      </c>
      <c r="W6086" s="17" t="s">
        <v>69</v>
      </c>
      <c r="Y6086" s="68">
        <v>45536</v>
      </c>
      <c r="Z6086" s="17" t="s">
        <v>1491</v>
      </c>
      <c r="AA6086" s="17" t="s">
        <v>46</v>
      </c>
      <c r="AB6086" s="17" t="s">
        <v>1490</v>
      </c>
      <c r="AC6086" s="217">
        <v>45562</v>
      </c>
      <c r="AD6086" s="65">
        <v>1634</v>
      </c>
      <c r="AE6086" s="17" t="s">
        <v>74</v>
      </c>
    </row>
    <row r="6087" s="17" customFormat="1" hidden="1" spans="1:31">
      <c r="A6087" s="17" t="s">
        <v>34</v>
      </c>
      <c r="B6087" s="19">
        <v>1028</v>
      </c>
      <c r="C6087" s="183">
        <v>45512</v>
      </c>
      <c r="D6087" s="17" t="s">
        <v>1488</v>
      </c>
      <c r="E6087" s="17" t="s">
        <v>1489</v>
      </c>
      <c r="F6087" s="17" t="s">
        <v>54</v>
      </c>
      <c r="H6087" s="19">
        <v>1.2379</v>
      </c>
      <c r="I6087" s="19"/>
      <c r="J6087" s="17" t="s">
        <v>82</v>
      </c>
      <c r="K6087" s="91">
        <v>80</v>
      </c>
      <c r="L6087" s="350">
        <v>65</v>
      </c>
      <c r="M6087" s="19">
        <v>4000</v>
      </c>
      <c r="N6087" s="19" t="s">
        <v>40</v>
      </c>
      <c r="O6087" s="19" t="s">
        <v>98</v>
      </c>
      <c r="P6087" s="91">
        <v>1000</v>
      </c>
      <c r="Q6087" s="91">
        <v>864</v>
      </c>
      <c r="R6087" s="19">
        <f t="shared" si="272"/>
        <v>136</v>
      </c>
      <c r="S6087" s="19">
        <v>2000</v>
      </c>
      <c r="T6087" s="19" t="s">
        <v>42</v>
      </c>
      <c r="U6087" s="102" t="s">
        <v>1490</v>
      </c>
      <c r="V6087" s="186">
        <v>45512</v>
      </c>
      <c r="W6087" s="17" t="s">
        <v>69</v>
      </c>
      <c r="Y6087" s="68">
        <v>45536</v>
      </c>
      <c r="Z6087" s="17" t="s">
        <v>1491</v>
      </c>
      <c r="AA6087" s="17" t="s">
        <v>46</v>
      </c>
      <c r="AB6087" s="17" t="s">
        <v>1490</v>
      </c>
      <c r="AC6087" s="217">
        <v>45562</v>
      </c>
      <c r="AD6087" s="65">
        <v>1634</v>
      </c>
      <c r="AE6087" s="17" t="s">
        <v>74</v>
      </c>
    </row>
    <row r="6088" s="17" customFormat="1" hidden="1" spans="1:31">
      <c r="A6088" s="17" t="s">
        <v>34</v>
      </c>
      <c r="B6088" s="19">
        <v>1028</v>
      </c>
      <c r="C6088" s="183">
        <v>45512</v>
      </c>
      <c r="D6088" s="17" t="s">
        <v>1488</v>
      </c>
      <c r="E6088" s="17" t="s">
        <v>1489</v>
      </c>
      <c r="F6088" s="17" t="s">
        <v>54</v>
      </c>
      <c r="H6088" s="19">
        <v>1.2379</v>
      </c>
      <c r="I6088" s="19"/>
      <c r="J6088" s="17" t="s">
        <v>82</v>
      </c>
      <c r="K6088" s="91">
        <v>80</v>
      </c>
      <c r="L6088" s="350">
        <v>80</v>
      </c>
      <c r="M6088" s="19">
        <v>4000</v>
      </c>
      <c r="N6088" s="19" t="s">
        <v>40</v>
      </c>
      <c r="O6088" s="19" t="s">
        <v>98</v>
      </c>
      <c r="P6088" s="91">
        <v>400</v>
      </c>
      <c r="Q6088" s="91">
        <v>402</v>
      </c>
      <c r="R6088" s="19">
        <f t="shared" si="272"/>
        <v>-2</v>
      </c>
      <c r="S6088" s="19">
        <v>2000</v>
      </c>
      <c r="T6088" s="19" t="s">
        <v>42</v>
      </c>
      <c r="U6088" s="102" t="s">
        <v>1490</v>
      </c>
      <c r="V6088" s="186">
        <v>45512</v>
      </c>
      <c r="W6088" s="17" t="s">
        <v>69</v>
      </c>
      <c r="Y6088" s="68">
        <v>45536</v>
      </c>
      <c r="Z6088" s="17" t="s">
        <v>1491</v>
      </c>
      <c r="AA6088" s="17" t="s">
        <v>46</v>
      </c>
      <c r="AB6088" s="17" t="s">
        <v>1490</v>
      </c>
      <c r="AC6088" s="217">
        <v>45562</v>
      </c>
      <c r="AD6088" s="65">
        <v>1634</v>
      </c>
      <c r="AE6088" s="17" t="s">
        <v>74</v>
      </c>
    </row>
    <row r="6089" s="17" customFormat="1" hidden="1" spans="1:31">
      <c r="B6089" s="19">
        <v>1028</v>
      </c>
      <c r="C6089" s="183">
        <v>45512</v>
      </c>
      <c r="D6089" s="17" t="s">
        <v>1488</v>
      </c>
      <c r="E6089" s="17" t="s">
        <v>1489</v>
      </c>
      <c r="F6089" s="17" t="s">
        <v>54</v>
      </c>
      <c r="H6089" s="19">
        <v>1.2379</v>
      </c>
      <c r="I6089" s="19"/>
      <c r="J6089" s="17" t="s">
        <v>82</v>
      </c>
      <c r="K6089" s="91">
        <v>105</v>
      </c>
      <c r="L6089" s="350">
        <v>32</v>
      </c>
      <c r="M6089" s="19">
        <v>4000</v>
      </c>
      <c r="N6089" s="19" t="s">
        <v>40</v>
      </c>
      <c r="O6089" s="19" t="s">
        <v>98</v>
      </c>
      <c r="P6089" s="91">
        <v>2000</v>
      </c>
      <c r="Q6089" s="91">
        <v>854</v>
      </c>
      <c r="R6089" s="75">
        <f t="shared" si="272"/>
        <v>1146</v>
      </c>
      <c r="S6089" s="19">
        <v>2000</v>
      </c>
      <c r="T6089" s="19" t="s">
        <v>42</v>
      </c>
      <c r="U6089" s="102" t="s">
        <v>1490</v>
      </c>
      <c r="V6089" s="186">
        <v>45512</v>
      </c>
      <c r="W6089" s="17" t="s">
        <v>69</v>
      </c>
      <c r="Y6089" s="68">
        <v>45536</v>
      </c>
      <c r="Z6089" s="17" t="s">
        <v>1491</v>
      </c>
      <c r="AA6089" s="17" t="s">
        <v>46</v>
      </c>
      <c r="AB6089" s="17" t="s">
        <v>1490</v>
      </c>
      <c r="AC6089" s="217">
        <v>45562</v>
      </c>
      <c r="AD6089" s="65">
        <v>1634</v>
      </c>
      <c r="AE6089" s="17" t="s">
        <v>74</v>
      </c>
    </row>
    <row r="6090" s="17" customFormat="1" hidden="1" spans="1:31">
      <c r="B6090" s="19">
        <v>1028</v>
      </c>
      <c r="C6090" s="183">
        <v>45512</v>
      </c>
      <c r="D6090" s="17" t="s">
        <v>1488</v>
      </c>
      <c r="E6090" s="17" t="s">
        <v>1489</v>
      </c>
      <c r="F6090" s="17" t="s">
        <v>54</v>
      </c>
      <c r="H6090" s="19">
        <v>1.2379</v>
      </c>
      <c r="I6090" s="19"/>
      <c r="J6090" s="17" t="s">
        <v>82</v>
      </c>
      <c r="K6090" s="91">
        <v>105</v>
      </c>
      <c r="L6090" s="350">
        <v>40</v>
      </c>
      <c r="M6090" s="19">
        <v>4000</v>
      </c>
      <c r="N6090" s="19" t="s">
        <v>40</v>
      </c>
      <c r="O6090" s="19" t="s">
        <v>98</v>
      </c>
      <c r="P6090" s="91">
        <v>2000</v>
      </c>
      <c r="Q6090" s="91">
        <v>1002</v>
      </c>
      <c r="R6090" s="75">
        <f t="shared" si="272"/>
        <v>998</v>
      </c>
      <c r="S6090" s="19">
        <v>2000</v>
      </c>
      <c r="T6090" s="19" t="s">
        <v>42</v>
      </c>
      <c r="U6090" s="102" t="s">
        <v>1490</v>
      </c>
      <c r="V6090" s="186">
        <v>45512</v>
      </c>
      <c r="W6090" s="17" t="s">
        <v>69</v>
      </c>
      <c r="Y6090" s="68">
        <v>45536</v>
      </c>
      <c r="Z6090" s="17" t="s">
        <v>1491</v>
      </c>
      <c r="AA6090" s="17" t="s">
        <v>46</v>
      </c>
      <c r="AB6090" s="17" t="s">
        <v>1490</v>
      </c>
      <c r="AC6090" s="217">
        <v>45562</v>
      </c>
      <c r="AD6090" s="65">
        <v>1634</v>
      </c>
      <c r="AE6090" s="17" t="s">
        <v>74</v>
      </c>
    </row>
    <row r="6091" s="17" customFormat="1" hidden="1" spans="1:31">
      <c r="A6091" s="17" t="s">
        <v>34</v>
      </c>
      <c r="B6091" s="19">
        <v>1028</v>
      </c>
      <c r="C6091" s="183">
        <v>45512</v>
      </c>
      <c r="D6091" s="17" t="s">
        <v>1488</v>
      </c>
      <c r="E6091" s="17" t="s">
        <v>1489</v>
      </c>
      <c r="F6091" s="17" t="s">
        <v>54</v>
      </c>
      <c r="H6091" s="19">
        <v>1.2379</v>
      </c>
      <c r="I6091" s="19"/>
      <c r="J6091" s="17" t="s">
        <v>82</v>
      </c>
      <c r="K6091" s="91">
        <v>105</v>
      </c>
      <c r="L6091" s="350">
        <v>50</v>
      </c>
      <c r="M6091" s="19">
        <v>4000</v>
      </c>
      <c r="N6091" s="19" t="s">
        <v>40</v>
      </c>
      <c r="O6091" s="19" t="s">
        <v>98</v>
      </c>
      <c r="P6091" s="91">
        <v>2000</v>
      </c>
      <c r="Q6091" s="91">
        <v>1966</v>
      </c>
      <c r="R6091" s="19">
        <f t="shared" si="272"/>
        <v>34</v>
      </c>
      <c r="S6091" s="19">
        <v>2000</v>
      </c>
      <c r="T6091" s="19" t="s">
        <v>42</v>
      </c>
      <c r="U6091" s="102" t="s">
        <v>1490</v>
      </c>
      <c r="V6091" s="186">
        <v>45512</v>
      </c>
      <c r="W6091" s="17" t="s">
        <v>69</v>
      </c>
      <c r="Y6091" s="68">
        <v>45536</v>
      </c>
      <c r="Z6091" s="17" t="s">
        <v>1491</v>
      </c>
      <c r="AA6091" s="17" t="s">
        <v>46</v>
      </c>
      <c r="AB6091" s="17" t="s">
        <v>1490</v>
      </c>
      <c r="AC6091" s="217">
        <v>45562</v>
      </c>
      <c r="AD6091" s="65">
        <v>1634</v>
      </c>
      <c r="AE6091" s="17" t="s">
        <v>74</v>
      </c>
    </row>
    <row r="6092" s="17" customFormat="1" hidden="1" spans="1:31">
      <c r="A6092" s="17" t="s">
        <v>34</v>
      </c>
      <c r="B6092" s="19">
        <v>1028</v>
      </c>
      <c r="C6092" s="183">
        <v>45512</v>
      </c>
      <c r="D6092" s="17" t="s">
        <v>1488</v>
      </c>
      <c r="E6092" s="17" t="s">
        <v>1489</v>
      </c>
      <c r="F6092" s="17" t="s">
        <v>54</v>
      </c>
      <c r="H6092" s="19">
        <v>1.2379</v>
      </c>
      <c r="I6092" s="19"/>
      <c r="J6092" s="17" t="s">
        <v>82</v>
      </c>
      <c r="K6092" s="91">
        <v>105</v>
      </c>
      <c r="L6092" s="350">
        <v>65</v>
      </c>
      <c r="M6092" s="19">
        <v>4000</v>
      </c>
      <c r="N6092" s="19" t="s">
        <v>40</v>
      </c>
      <c r="O6092" s="19" t="s">
        <v>98</v>
      </c>
      <c r="P6092" s="91">
        <v>500</v>
      </c>
      <c r="Q6092" s="91">
        <v>572</v>
      </c>
      <c r="R6092" s="19">
        <f t="shared" si="272"/>
        <v>-72</v>
      </c>
      <c r="S6092" s="19">
        <v>2000</v>
      </c>
      <c r="T6092" s="19" t="s">
        <v>42</v>
      </c>
      <c r="U6092" s="102" t="s">
        <v>1490</v>
      </c>
      <c r="V6092" s="186">
        <v>45512</v>
      </c>
      <c r="W6092" s="17" t="s">
        <v>69</v>
      </c>
      <c r="Y6092" s="68">
        <v>45536</v>
      </c>
      <c r="Z6092" s="17" t="s">
        <v>1491</v>
      </c>
      <c r="AA6092" s="17" t="s">
        <v>46</v>
      </c>
      <c r="AB6092" s="17" t="s">
        <v>1490</v>
      </c>
      <c r="AC6092" s="217">
        <v>45562</v>
      </c>
      <c r="AD6092" s="65">
        <v>1634</v>
      </c>
      <c r="AE6092" s="17" t="s">
        <v>74</v>
      </c>
    </row>
    <row r="6093" s="17" customFormat="1" hidden="1" spans="1:31">
      <c r="A6093" s="17" t="s">
        <v>34</v>
      </c>
      <c r="B6093" s="19">
        <v>1028</v>
      </c>
      <c r="C6093" s="183">
        <v>45512</v>
      </c>
      <c r="D6093" s="17" t="s">
        <v>1488</v>
      </c>
      <c r="E6093" s="17" t="s">
        <v>1489</v>
      </c>
      <c r="F6093" s="17" t="s">
        <v>54</v>
      </c>
      <c r="H6093" s="19">
        <v>1.2379</v>
      </c>
      <c r="I6093" s="19"/>
      <c r="J6093" s="17" t="s">
        <v>82</v>
      </c>
      <c r="K6093" s="91">
        <v>105</v>
      </c>
      <c r="L6093" s="350">
        <v>80</v>
      </c>
      <c r="M6093" s="19">
        <v>4000</v>
      </c>
      <c r="N6093" s="19" t="s">
        <v>40</v>
      </c>
      <c r="O6093" s="19" t="s">
        <v>98</v>
      </c>
      <c r="P6093" s="91">
        <v>500</v>
      </c>
      <c r="Q6093" s="91">
        <v>598</v>
      </c>
      <c r="R6093" s="19">
        <f t="shared" si="272"/>
        <v>-98</v>
      </c>
      <c r="S6093" s="19">
        <v>2000</v>
      </c>
      <c r="T6093" s="19" t="s">
        <v>42</v>
      </c>
      <c r="U6093" s="102" t="s">
        <v>1490</v>
      </c>
      <c r="V6093" s="186">
        <v>45512</v>
      </c>
      <c r="W6093" s="17" t="s">
        <v>69</v>
      </c>
      <c r="Y6093" s="68">
        <v>45536</v>
      </c>
      <c r="Z6093" s="17" t="s">
        <v>1491</v>
      </c>
      <c r="AA6093" s="17" t="s">
        <v>46</v>
      </c>
      <c r="AB6093" s="17" t="s">
        <v>1490</v>
      </c>
      <c r="AC6093" s="217">
        <v>45562</v>
      </c>
      <c r="AD6093" s="65">
        <v>1634</v>
      </c>
      <c r="AE6093" s="17" t="s">
        <v>74</v>
      </c>
    </row>
    <row r="6094" s="17" customFormat="1" hidden="1" spans="1:31">
      <c r="A6094" s="17" t="s">
        <v>34</v>
      </c>
      <c r="B6094" s="19">
        <v>1028</v>
      </c>
      <c r="C6094" s="183">
        <v>45512</v>
      </c>
      <c r="D6094" s="17" t="s">
        <v>1488</v>
      </c>
      <c r="E6094" s="17" t="s">
        <v>1489</v>
      </c>
      <c r="F6094" s="17" t="s">
        <v>54</v>
      </c>
      <c r="H6094" s="19">
        <v>1.2379</v>
      </c>
      <c r="I6094" s="19"/>
      <c r="J6094" s="17" t="s">
        <v>82</v>
      </c>
      <c r="K6094" s="91">
        <v>105</v>
      </c>
      <c r="L6094" s="350">
        <v>105</v>
      </c>
      <c r="M6094" s="19">
        <v>4000</v>
      </c>
      <c r="N6094" s="19" t="s">
        <v>40</v>
      </c>
      <c r="O6094" s="19" t="s">
        <v>98</v>
      </c>
      <c r="P6094" s="91">
        <v>1000</v>
      </c>
      <c r="Q6094" s="91">
        <v>1068</v>
      </c>
      <c r="R6094" s="19">
        <f t="shared" si="272"/>
        <v>-68</v>
      </c>
      <c r="S6094" s="19">
        <v>2000</v>
      </c>
      <c r="T6094" s="19" t="s">
        <v>42</v>
      </c>
      <c r="U6094" s="102" t="s">
        <v>1490</v>
      </c>
      <c r="V6094" s="186">
        <v>45512</v>
      </c>
      <c r="W6094" s="17" t="s">
        <v>69</v>
      </c>
      <c r="Y6094" s="68">
        <v>45536</v>
      </c>
      <c r="Z6094" s="17" t="s">
        <v>1491</v>
      </c>
      <c r="AA6094" s="17" t="s">
        <v>46</v>
      </c>
      <c r="AB6094" s="17" t="s">
        <v>1490</v>
      </c>
      <c r="AC6094" s="217">
        <v>45562</v>
      </c>
      <c r="AD6094" s="65">
        <v>1634</v>
      </c>
      <c r="AE6094" s="17" t="s">
        <v>74</v>
      </c>
    </row>
    <row r="6095" s="17" customFormat="1" hidden="1" spans="1:31">
      <c r="B6095" s="19">
        <v>1028</v>
      </c>
      <c r="C6095" s="183">
        <v>45512</v>
      </c>
      <c r="D6095" s="17" t="s">
        <v>1488</v>
      </c>
      <c r="E6095" s="17" t="s">
        <v>1489</v>
      </c>
      <c r="F6095" s="17" t="s">
        <v>54</v>
      </c>
      <c r="H6095" s="19">
        <v>1.2379</v>
      </c>
      <c r="I6095" s="19"/>
      <c r="J6095" s="17" t="s">
        <v>82</v>
      </c>
      <c r="K6095" s="91">
        <v>130</v>
      </c>
      <c r="L6095" s="350">
        <v>32</v>
      </c>
      <c r="M6095" s="19">
        <v>4000</v>
      </c>
      <c r="N6095" s="19" t="s">
        <v>40</v>
      </c>
      <c r="O6095" s="19" t="s">
        <v>98</v>
      </c>
      <c r="P6095" s="91">
        <v>1000</v>
      </c>
      <c r="Q6095" s="91">
        <v>532</v>
      </c>
      <c r="R6095" s="75">
        <f t="shared" si="272"/>
        <v>468</v>
      </c>
      <c r="S6095" s="19">
        <v>2000</v>
      </c>
      <c r="T6095" s="19" t="s">
        <v>42</v>
      </c>
      <c r="U6095" s="102" t="s">
        <v>1490</v>
      </c>
      <c r="V6095" s="186">
        <v>45512</v>
      </c>
      <c r="W6095" s="17" t="s">
        <v>69</v>
      </c>
      <c r="Y6095" s="68">
        <v>45536</v>
      </c>
      <c r="Z6095" s="17" t="s">
        <v>1491</v>
      </c>
      <c r="AA6095" s="17" t="s">
        <v>46</v>
      </c>
      <c r="AB6095" s="17" t="s">
        <v>1490</v>
      </c>
      <c r="AC6095" s="217">
        <v>45562</v>
      </c>
      <c r="AD6095" s="65">
        <v>1634</v>
      </c>
      <c r="AE6095" s="17" t="s">
        <v>74</v>
      </c>
    </row>
    <row r="6096" s="17" customFormat="1" hidden="1" spans="1:31">
      <c r="A6096" s="17" t="s">
        <v>34</v>
      </c>
      <c r="B6096" s="19">
        <v>1028</v>
      </c>
      <c r="C6096" s="183">
        <v>45512</v>
      </c>
      <c r="D6096" s="17" t="s">
        <v>1488</v>
      </c>
      <c r="E6096" s="17" t="s">
        <v>1489</v>
      </c>
      <c r="F6096" s="17" t="s">
        <v>54</v>
      </c>
      <c r="H6096" s="19">
        <v>1.2379</v>
      </c>
      <c r="I6096" s="19"/>
      <c r="J6096" s="17" t="s">
        <v>82</v>
      </c>
      <c r="K6096" s="91">
        <v>130</v>
      </c>
      <c r="L6096" s="350">
        <v>80</v>
      </c>
      <c r="M6096" s="19">
        <v>4000</v>
      </c>
      <c r="N6096" s="19" t="s">
        <v>40</v>
      </c>
      <c r="O6096" s="19" t="s">
        <v>98</v>
      </c>
      <c r="P6096" s="91">
        <v>653</v>
      </c>
      <c r="Q6096" s="91">
        <v>568</v>
      </c>
      <c r="R6096" s="19">
        <f t="shared" si="272"/>
        <v>85</v>
      </c>
      <c r="S6096" s="19">
        <v>2000</v>
      </c>
      <c r="T6096" s="19" t="s">
        <v>42</v>
      </c>
      <c r="U6096" s="102" t="s">
        <v>1490</v>
      </c>
      <c r="V6096" s="186">
        <v>45512</v>
      </c>
      <c r="W6096" s="17" t="s">
        <v>69</v>
      </c>
      <c r="Y6096" s="68">
        <v>45536</v>
      </c>
      <c r="Z6096" s="17" t="s">
        <v>1491</v>
      </c>
      <c r="AA6096" s="17" t="s">
        <v>46</v>
      </c>
      <c r="AB6096" s="17" t="s">
        <v>1490</v>
      </c>
      <c r="AC6096" s="217">
        <v>45562</v>
      </c>
      <c r="AD6096" s="65">
        <v>1634</v>
      </c>
      <c r="AE6096" s="17" t="s">
        <v>74</v>
      </c>
    </row>
    <row r="6097" s="17" customFormat="1" hidden="1" spans="1:31">
      <c r="A6097" s="17" t="s">
        <v>34</v>
      </c>
      <c r="B6097" s="19">
        <v>1028</v>
      </c>
      <c r="C6097" s="183">
        <v>45512</v>
      </c>
      <c r="D6097" s="17" t="s">
        <v>1488</v>
      </c>
      <c r="E6097" s="17" t="s">
        <v>1489</v>
      </c>
      <c r="F6097" s="17" t="s">
        <v>54</v>
      </c>
      <c r="H6097" s="19">
        <v>1.2379</v>
      </c>
      <c r="I6097" s="19"/>
      <c r="J6097" s="17" t="s">
        <v>82</v>
      </c>
      <c r="K6097" s="91">
        <v>130</v>
      </c>
      <c r="L6097" s="350">
        <v>105</v>
      </c>
      <c r="M6097" s="19">
        <v>4000</v>
      </c>
      <c r="N6097" s="19" t="s">
        <v>40</v>
      </c>
      <c r="O6097" s="19" t="s">
        <v>98</v>
      </c>
      <c r="P6097" s="91">
        <v>857</v>
      </c>
      <c r="Q6097" s="91">
        <v>852</v>
      </c>
      <c r="R6097" s="19">
        <f t="shared" si="272"/>
        <v>5</v>
      </c>
      <c r="S6097" s="19">
        <v>2000</v>
      </c>
      <c r="T6097" s="19" t="s">
        <v>42</v>
      </c>
      <c r="U6097" s="102" t="s">
        <v>1490</v>
      </c>
      <c r="V6097" s="186">
        <v>45512</v>
      </c>
      <c r="W6097" s="17" t="s">
        <v>69</v>
      </c>
      <c r="Y6097" s="68">
        <v>45536</v>
      </c>
      <c r="Z6097" s="17" t="s">
        <v>1491</v>
      </c>
      <c r="AA6097" s="17" t="s">
        <v>46</v>
      </c>
      <c r="AB6097" s="17" t="s">
        <v>1490</v>
      </c>
      <c r="AC6097" s="217">
        <v>45562</v>
      </c>
      <c r="AD6097" s="65">
        <v>1634</v>
      </c>
      <c r="AE6097" s="17" t="s">
        <v>74</v>
      </c>
    </row>
    <row r="6098" s="17" customFormat="1" hidden="1" spans="1:31">
      <c r="A6098" s="17" t="s">
        <v>34</v>
      </c>
      <c r="B6098" s="19">
        <v>1028</v>
      </c>
      <c r="C6098" s="183">
        <v>45512</v>
      </c>
      <c r="D6098" s="17" t="s">
        <v>1488</v>
      </c>
      <c r="E6098" s="17" t="s">
        <v>1489</v>
      </c>
      <c r="F6098" s="17" t="s">
        <v>54</v>
      </c>
      <c r="H6098" s="19">
        <v>1.2379</v>
      </c>
      <c r="I6098" s="19"/>
      <c r="J6098" s="17" t="s">
        <v>82</v>
      </c>
      <c r="K6098" s="91">
        <v>155</v>
      </c>
      <c r="L6098" s="350">
        <v>32</v>
      </c>
      <c r="M6098" s="19">
        <v>4000</v>
      </c>
      <c r="N6098" s="19" t="s">
        <v>40</v>
      </c>
      <c r="O6098" s="19" t="s">
        <v>98</v>
      </c>
      <c r="P6098" s="91">
        <v>1000</v>
      </c>
      <c r="Q6098" s="91">
        <v>1080</v>
      </c>
      <c r="R6098" s="19">
        <f t="shared" si="272"/>
        <v>-80</v>
      </c>
      <c r="S6098" s="19">
        <v>2000</v>
      </c>
      <c r="T6098" s="19" t="s">
        <v>42</v>
      </c>
      <c r="U6098" s="102" t="s">
        <v>1490</v>
      </c>
      <c r="V6098" s="186">
        <v>45512</v>
      </c>
      <c r="W6098" s="17" t="s">
        <v>69</v>
      </c>
      <c r="Y6098" s="68">
        <v>45536</v>
      </c>
      <c r="Z6098" s="17" t="s">
        <v>1491</v>
      </c>
      <c r="AA6098" s="17" t="s">
        <v>46</v>
      </c>
      <c r="AB6098" s="17" t="s">
        <v>1490</v>
      </c>
      <c r="AC6098" s="217">
        <v>45562</v>
      </c>
      <c r="AD6098" s="65">
        <v>1634</v>
      </c>
      <c r="AE6098" s="17" t="s">
        <v>74</v>
      </c>
    </row>
    <row r="6099" s="17" customFormat="1" hidden="1" spans="1:31">
      <c r="A6099" s="17" t="s">
        <v>34</v>
      </c>
      <c r="B6099" s="19">
        <v>1028</v>
      </c>
      <c r="C6099" s="183">
        <v>45512</v>
      </c>
      <c r="D6099" s="17" t="s">
        <v>1488</v>
      </c>
      <c r="E6099" s="17" t="s">
        <v>1489</v>
      </c>
      <c r="F6099" s="17" t="s">
        <v>54</v>
      </c>
      <c r="H6099" s="19">
        <v>1.2379</v>
      </c>
      <c r="I6099" s="19"/>
      <c r="J6099" s="17" t="s">
        <v>82</v>
      </c>
      <c r="K6099" s="91">
        <v>155</v>
      </c>
      <c r="L6099" s="350">
        <v>80</v>
      </c>
      <c r="M6099" s="19">
        <v>4000</v>
      </c>
      <c r="N6099" s="19" t="s">
        <v>40</v>
      </c>
      <c r="O6099" s="19" t="s">
        <v>98</v>
      </c>
      <c r="P6099" s="91">
        <v>1557</v>
      </c>
      <c r="Q6099" s="91">
        <v>1298</v>
      </c>
      <c r="R6099" s="19">
        <f t="shared" si="272"/>
        <v>259</v>
      </c>
      <c r="S6099" s="19">
        <v>2000</v>
      </c>
      <c r="T6099" s="19" t="s">
        <v>42</v>
      </c>
      <c r="U6099" s="102" t="s">
        <v>1490</v>
      </c>
      <c r="V6099" s="186">
        <v>45512</v>
      </c>
      <c r="W6099" s="17" t="s">
        <v>69</v>
      </c>
      <c r="Y6099" s="68">
        <v>45536</v>
      </c>
      <c r="Z6099" s="17" t="s">
        <v>1491</v>
      </c>
      <c r="AA6099" s="17" t="s">
        <v>46</v>
      </c>
      <c r="AB6099" s="17" t="s">
        <v>1490</v>
      </c>
      <c r="AC6099" s="217">
        <v>45562</v>
      </c>
      <c r="AD6099" s="65">
        <v>1634</v>
      </c>
      <c r="AE6099" s="17" t="s">
        <v>74</v>
      </c>
    </row>
    <row r="6100" s="17" customFormat="1" hidden="1" spans="1:31">
      <c r="A6100" s="17" t="s">
        <v>34</v>
      </c>
      <c r="B6100" s="19">
        <v>1028</v>
      </c>
      <c r="C6100" s="183">
        <v>45512</v>
      </c>
      <c r="D6100" s="17" t="s">
        <v>1488</v>
      </c>
      <c r="E6100" s="17" t="s">
        <v>1489</v>
      </c>
      <c r="F6100" s="17" t="s">
        <v>54</v>
      </c>
      <c r="H6100" s="19">
        <v>1.2379</v>
      </c>
      <c r="I6100" s="19"/>
      <c r="J6100" s="17" t="s">
        <v>82</v>
      </c>
      <c r="K6100" s="91">
        <v>155</v>
      </c>
      <c r="L6100" s="350">
        <v>130</v>
      </c>
      <c r="M6100" s="19">
        <v>4000</v>
      </c>
      <c r="N6100" s="19" t="s">
        <v>40</v>
      </c>
      <c r="O6100" s="19" t="s">
        <v>98</v>
      </c>
      <c r="P6100" s="91">
        <v>633</v>
      </c>
      <c r="Q6100" s="91">
        <v>534</v>
      </c>
      <c r="R6100" s="19">
        <f t="shared" si="272"/>
        <v>99</v>
      </c>
      <c r="S6100" s="19">
        <v>2000</v>
      </c>
      <c r="T6100" s="19" t="s">
        <v>42</v>
      </c>
      <c r="U6100" s="102" t="s">
        <v>1490</v>
      </c>
      <c r="V6100" s="186">
        <v>45512</v>
      </c>
      <c r="W6100" s="17" t="s">
        <v>69</v>
      </c>
      <c r="Y6100" s="68">
        <v>45536</v>
      </c>
      <c r="Z6100" s="17" t="s">
        <v>1491</v>
      </c>
      <c r="AA6100" s="17" t="s">
        <v>46</v>
      </c>
      <c r="AB6100" s="17" t="s">
        <v>1490</v>
      </c>
      <c r="AC6100" s="217">
        <v>45562</v>
      </c>
      <c r="AD6100" s="65">
        <v>1634</v>
      </c>
      <c r="AE6100" s="17" t="s">
        <v>74</v>
      </c>
    </row>
    <row r="6101" s="17" customFormat="1" hidden="1" spans="1:31">
      <c r="A6101" s="17" t="s">
        <v>34</v>
      </c>
      <c r="B6101" s="19">
        <v>1028</v>
      </c>
      <c r="C6101" s="183">
        <v>45512</v>
      </c>
      <c r="D6101" s="17" t="s">
        <v>1488</v>
      </c>
      <c r="E6101" s="17" t="s">
        <v>1489</v>
      </c>
      <c r="F6101" s="17" t="s">
        <v>54</v>
      </c>
      <c r="H6101" s="19">
        <v>1.2379</v>
      </c>
      <c r="I6101" s="19"/>
      <c r="J6101" s="17" t="s">
        <v>82</v>
      </c>
      <c r="K6101" s="91">
        <v>205</v>
      </c>
      <c r="L6101" s="350">
        <v>32</v>
      </c>
      <c r="M6101" s="19">
        <v>4000</v>
      </c>
      <c r="N6101" s="19" t="s">
        <v>40</v>
      </c>
      <c r="O6101" s="19" t="s">
        <v>98</v>
      </c>
      <c r="P6101" s="91">
        <v>500</v>
      </c>
      <c r="Q6101" s="91">
        <v>432</v>
      </c>
      <c r="R6101" s="19">
        <f t="shared" si="272"/>
        <v>68</v>
      </c>
      <c r="S6101" s="19">
        <v>2000</v>
      </c>
      <c r="T6101" s="19" t="s">
        <v>42</v>
      </c>
      <c r="U6101" s="102" t="s">
        <v>1490</v>
      </c>
      <c r="V6101" s="186">
        <v>45512</v>
      </c>
      <c r="W6101" s="17" t="s">
        <v>69</v>
      </c>
      <c r="Y6101" s="68">
        <v>45536</v>
      </c>
      <c r="Z6101" s="17" t="s">
        <v>1491</v>
      </c>
      <c r="AA6101" s="17" t="s">
        <v>46</v>
      </c>
      <c r="AB6101" s="17" t="s">
        <v>1490</v>
      </c>
      <c r="AC6101" s="217">
        <v>45562</v>
      </c>
      <c r="AD6101" s="65">
        <v>1634</v>
      </c>
      <c r="AE6101" s="17" t="s">
        <v>74</v>
      </c>
    </row>
    <row r="6102" s="17" customFormat="1" hidden="1" spans="1:31">
      <c r="A6102" s="17" t="s">
        <v>34</v>
      </c>
      <c r="B6102" s="19">
        <v>1028</v>
      </c>
      <c r="C6102" s="183">
        <v>45512</v>
      </c>
      <c r="D6102" s="17" t="s">
        <v>1488</v>
      </c>
      <c r="E6102" s="17" t="s">
        <v>1489</v>
      </c>
      <c r="F6102" s="17" t="s">
        <v>54</v>
      </c>
      <c r="H6102" s="19">
        <v>1.2379</v>
      </c>
      <c r="I6102" s="19"/>
      <c r="J6102" s="17" t="s">
        <v>82</v>
      </c>
      <c r="K6102" s="91">
        <v>205</v>
      </c>
      <c r="L6102" s="350">
        <v>40</v>
      </c>
      <c r="M6102" s="19">
        <v>4000</v>
      </c>
      <c r="N6102" s="19" t="s">
        <v>40</v>
      </c>
      <c r="O6102" s="19" t="s">
        <v>98</v>
      </c>
      <c r="P6102" s="91">
        <v>2000</v>
      </c>
      <c r="Q6102" s="91">
        <v>2318</v>
      </c>
      <c r="R6102" s="19">
        <f t="shared" si="272"/>
        <v>-318</v>
      </c>
      <c r="S6102" s="19">
        <v>2000</v>
      </c>
      <c r="T6102" s="19" t="s">
        <v>42</v>
      </c>
      <c r="U6102" s="102" t="s">
        <v>1490</v>
      </c>
      <c r="V6102" s="186">
        <v>45512</v>
      </c>
      <c r="W6102" s="17" t="s">
        <v>69</v>
      </c>
      <c r="Y6102" s="68">
        <v>45536</v>
      </c>
      <c r="Z6102" s="17" t="s">
        <v>1491</v>
      </c>
      <c r="AA6102" s="17" t="s">
        <v>46</v>
      </c>
      <c r="AB6102" s="17" t="s">
        <v>1490</v>
      </c>
      <c r="AC6102" s="217">
        <v>45562</v>
      </c>
      <c r="AD6102" s="65">
        <v>1634</v>
      </c>
      <c r="AE6102" s="17" t="s">
        <v>74</v>
      </c>
    </row>
    <row r="6103" s="17" customFormat="1" hidden="1" spans="1:31">
      <c r="A6103" s="17" t="s">
        <v>34</v>
      </c>
      <c r="B6103" s="19">
        <v>1028</v>
      </c>
      <c r="C6103" s="183">
        <v>45512</v>
      </c>
      <c r="D6103" s="17" t="s">
        <v>1488</v>
      </c>
      <c r="E6103" s="17" t="s">
        <v>1489</v>
      </c>
      <c r="F6103" s="17" t="s">
        <v>54</v>
      </c>
      <c r="H6103" s="19">
        <v>1.2379</v>
      </c>
      <c r="I6103" s="19"/>
      <c r="J6103" s="17" t="s">
        <v>82</v>
      </c>
      <c r="K6103" s="91">
        <v>205</v>
      </c>
      <c r="L6103" s="350">
        <v>50</v>
      </c>
      <c r="M6103" s="19">
        <v>4000</v>
      </c>
      <c r="N6103" s="19" t="s">
        <v>40</v>
      </c>
      <c r="O6103" s="19" t="s">
        <v>98</v>
      </c>
      <c r="P6103" s="91">
        <v>1000</v>
      </c>
      <c r="Q6103" s="91">
        <v>1102</v>
      </c>
      <c r="R6103" s="19">
        <f t="shared" si="272"/>
        <v>-102</v>
      </c>
      <c r="S6103" s="19">
        <v>2000</v>
      </c>
      <c r="T6103" s="19" t="s">
        <v>42</v>
      </c>
      <c r="U6103" s="102" t="s">
        <v>1490</v>
      </c>
      <c r="V6103" s="186">
        <v>45512</v>
      </c>
      <c r="W6103" s="17" t="s">
        <v>69</v>
      </c>
      <c r="Y6103" s="68">
        <v>45536</v>
      </c>
      <c r="Z6103" s="17" t="s">
        <v>1491</v>
      </c>
      <c r="AA6103" s="17" t="s">
        <v>46</v>
      </c>
      <c r="AB6103" s="17" t="s">
        <v>1490</v>
      </c>
      <c r="AC6103" s="217">
        <v>45562</v>
      </c>
      <c r="AD6103" s="65">
        <v>1634</v>
      </c>
      <c r="AE6103" s="17" t="s">
        <v>74</v>
      </c>
    </row>
    <row r="6104" s="17" customFormat="1" hidden="1" spans="1:31">
      <c r="A6104" s="17" t="s">
        <v>34</v>
      </c>
      <c r="B6104" s="19">
        <v>1028</v>
      </c>
      <c r="C6104" s="183">
        <v>45512</v>
      </c>
      <c r="D6104" s="17" t="s">
        <v>1488</v>
      </c>
      <c r="E6104" s="17" t="s">
        <v>1489</v>
      </c>
      <c r="F6104" s="17" t="s">
        <v>54</v>
      </c>
      <c r="H6104" s="19">
        <v>1.2379</v>
      </c>
      <c r="I6104" s="19"/>
      <c r="J6104" s="17" t="s">
        <v>82</v>
      </c>
      <c r="K6104" s="91">
        <v>205</v>
      </c>
      <c r="L6104" s="350">
        <v>65</v>
      </c>
      <c r="M6104" s="19">
        <v>4000</v>
      </c>
      <c r="N6104" s="19" t="s">
        <v>40</v>
      </c>
      <c r="O6104" s="19" t="s">
        <v>98</v>
      </c>
      <c r="P6104" s="91">
        <v>418</v>
      </c>
      <c r="Q6104" s="91">
        <v>422</v>
      </c>
      <c r="R6104" s="19">
        <f t="shared" si="272"/>
        <v>-4</v>
      </c>
      <c r="S6104" s="19">
        <v>2000</v>
      </c>
      <c r="T6104" s="19" t="s">
        <v>42</v>
      </c>
      <c r="U6104" s="102" t="s">
        <v>1490</v>
      </c>
      <c r="V6104" s="186">
        <v>45512</v>
      </c>
      <c r="W6104" s="17" t="s">
        <v>69</v>
      </c>
      <c r="Y6104" s="68">
        <v>45536</v>
      </c>
      <c r="Z6104" s="17" t="s">
        <v>1491</v>
      </c>
      <c r="AA6104" s="17" t="s">
        <v>46</v>
      </c>
      <c r="AB6104" s="17" t="s">
        <v>1490</v>
      </c>
      <c r="AC6104" s="217">
        <v>45562</v>
      </c>
      <c r="AD6104" s="65">
        <v>1634</v>
      </c>
      <c r="AE6104" s="17" t="s">
        <v>74</v>
      </c>
    </row>
    <row r="6105" s="17" customFormat="1" hidden="1" spans="1:31">
      <c r="A6105" s="17" t="s">
        <v>34</v>
      </c>
      <c r="B6105" s="19">
        <v>1028</v>
      </c>
      <c r="C6105" s="183">
        <v>45512</v>
      </c>
      <c r="D6105" s="17" t="s">
        <v>1488</v>
      </c>
      <c r="E6105" s="17" t="s">
        <v>1489</v>
      </c>
      <c r="F6105" s="17" t="s">
        <v>54</v>
      </c>
      <c r="H6105" s="19">
        <v>1.2379</v>
      </c>
      <c r="I6105" s="19"/>
      <c r="J6105" s="17" t="s">
        <v>82</v>
      </c>
      <c r="K6105" s="91">
        <v>205</v>
      </c>
      <c r="L6105" s="350">
        <v>105</v>
      </c>
      <c r="M6105" s="19">
        <v>4000</v>
      </c>
      <c r="N6105" s="19" t="s">
        <v>40</v>
      </c>
      <c r="O6105" s="19" t="s">
        <v>98</v>
      </c>
      <c r="P6105" s="91">
        <v>1352</v>
      </c>
      <c r="Q6105" s="91">
        <v>1080</v>
      </c>
      <c r="R6105" s="19">
        <f t="shared" si="272"/>
        <v>272</v>
      </c>
      <c r="S6105" s="19">
        <v>2000</v>
      </c>
      <c r="T6105" s="19" t="s">
        <v>42</v>
      </c>
      <c r="U6105" s="102" t="s">
        <v>1490</v>
      </c>
      <c r="V6105" s="186">
        <v>45512</v>
      </c>
      <c r="W6105" s="17" t="s">
        <v>69</v>
      </c>
      <c r="Y6105" s="68">
        <v>45536</v>
      </c>
      <c r="Z6105" s="17" t="s">
        <v>1491</v>
      </c>
      <c r="AA6105" s="17" t="s">
        <v>46</v>
      </c>
      <c r="AB6105" s="17" t="s">
        <v>1490</v>
      </c>
      <c r="AC6105" s="217">
        <v>45562</v>
      </c>
      <c r="AD6105" s="65">
        <v>1634</v>
      </c>
      <c r="AE6105" s="17" t="s">
        <v>74</v>
      </c>
    </row>
    <row r="6106" s="17" customFormat="1" hidden="1" spans="1:31">
      <c r="A6106" s="17" t="s">
        <v>34</v>
      </c>
      <c r="B6106" s="19">
        <v>1028</v>
      </c>
      <c r="C6106" s="183">
        <v>45512</v>
      </c>
      <c r="D6106" s="17" t="s">
        <v>1488</v>
      </c>
      <c r="E6106" s="17" t="s">
        <v>1489</v>
      </c>
      <c r="F6106" s="17" t="s">
        <v>54</v>
      </c>
      <c r="H6106" s="19">
        <v>1.2379</v>
      </c>
      <c r="I6106" s="19"/>
      <c r="J6106" s="17" t="s">
        <v>82</v>
      </c>
      <c r="K6106" s="91">
        <v>255</v>
      </c>
      <c r="L6106" s="350">
        <v>155</v>
      </c>
      <c r="M6106" s="19">
        <v>4000</v>
      </c>
      <c r="N6106" s="19" t="s">
        <v>40</v>
      </c>
      <c r="O6106" s="19" t="s">
        <v>98</v>
      </c>
      <c r="P6106" s="91">
        <v>1241</v>
      </c>
      <c r="Q6106" s="91">
        <v>872</v>
      </c>
      <c r="R6106" s="19">
        <f t="shared" si="272"/>
        <v>369</v>
      </c>
      <c r="S6106" s="19">
        <v>2000</v>
      </c>
      <c r="T6106" s="19" t="s">
        <v>42</v>
      </c>
      <c r="U6106" s="102" t="s">
        <v>1490</v>
      </c>
      <c r="V6106" s="186">
        <v>45512</v>
      </c>
      <c r="W6106" s="17" t="s">
        <v>69</v>
      </c>
      <c r="Y6106" s="68">
        <v>45536</v>
      </c>
      <c r="Z6106" s="17" t="s">
        <v>1491</v>
      </c>
      <c r="AA6106" s="17" t="s">
        <v>46</v>
      </c>
      <c r="AB6106" s="17" t="s">
        <v>1490</v>
      </c>
      <c r="AC6106" s="217">
        <v>45562</v>
      </c>
      <c r="AD6106" s="65">
        <v>1634</v>
      </c>
      <c r="AE6106" s="17" t="s">
        <v>74</v>
      </c>
    </row>
    <row r="6107" s="17" customFormat="1" hidden="1" spans="1:31">
      <c r="A6107" s="17" t="s">
        <v>34</v>
      </c>
      <c r="B6107" s="19">
        <v>1028</v>
      </c>
      <c r="C6107" s="183">
        <v>45512</v>
      </c>
      <c r="D6107" s="17" t="s">
        <v>1488</v>
      </c>
      <c r="E6107" s="17" t="s">
        <v>1489</v>
      </c>
      <c r="F6107" s="17" t="s">
        <v>54</v>
      </c>
      <c r="H6107" s="19">
        <v>1.2379</v>
      </c>
      <c r="I6107" s="19"/>
      <c r="J6107" s="17" t="s">
        <v>82</v>
      </c>
      <c r="K6107" s="91">
        <v>305</v>
      </c>
      <c r="L6107" s="350">
        <v>40</v>
      </c>
      <c r="M6107" s="19">
        <v>4000</v>
      </c>
      <c r="N6107" s="19" t="s">
        <v>40</v>
      </c>
      <c r="O6107" s="19" t="s">
        <v>98</v>
      </c>
      <c r="P6107" s="91">
        <v>1000</v>
      </c>
      <c r="Q6107" s="91">
        <v>916</v>
      </c>
      <c r="R6107" s="19">
        <f t="shared" si="272"/>
        <v>84</v>
      </c>
      <c r="S6107" s="19">
        <v>2000</v>
      </c>
      <c r="T6107" s="19" t="s">
        <v>42</v>
      </c>
      <c r="U6107" s="102" t="s">
        <v>1490</v>
      </c>
      <c r="V6107" s="186">
        <v>45512</v>
      </c>
      <c r="W6107" s="17" t="s">
        <v>69</v>
      </c>
      <c r="Y6107" s="68">
        <v>45536</v>
      </c>
      <c r="Z6107" s="17" t="s">
        <v>1491</v>
      </c>
      <c r="AA6107" s="17" t="s">
        <v>46</v>
      </c>
      <c r="AB6107" s="17" t="s">
        <v>1490</v>
      </c>
      <c r="AC6107" s="217">
        <v>45562</v>
      </c>
      <c r="AD6107" s="65">
        <v>1634</v>
      </c>
      <c r="AE6107" s="17" t="s">
        <v>74</v>
      </c>
    </row>
    <row r="6108" s="17" customFormat="1" hidden="1" spans="1:31">
      <c r="A6108" s="17" t="s">
        <v>34</v>
      </c>
      <c r="B6108" s="19">
        <v>1028</v>
      </c>
      <c r="C6108" s="183">
        <v>45512</v>
      </c>
      <c r="D6108" s="17" t="s">
        <v>1488</v>
      </c>
      <c r="E6108" s="17" t="s">
        <v>1489</v>
      </c>
      <c r="F6108" s="17" t="s">
        <v>54</v>
      </c>
      <c r="H6108" s="19">
        <v>1.2379</v>
      </c>
      <c r="I6108" s="19"/>
      <c r="J6108" s="17" t="s">
        <v>82</v>
      </c>
      <c r="K6108" s="91">
        <v>305</v>
      </c>
      <c r="L6108" s="350">
        <v>105</v>
      </c>
      <c r="M6108" s="19">
        <v>4000</v>
      </c>
      <c r="N6108" s="19" t="s">
        <v>40</v>
      </c>
      <c r="O6108" s="19" t="s">
        <v>98</v>
      </c>
      <c r="P6108" s="91">
        <v>1000</v>
      </c>
      <c r="Q6108" s="91">
        <v>1272</v>
      </c>
      <c r="R6108" s="19">
        <f t="shared" si="272"/>
        <v>-272</v>
      </c>
      <c r="S6108" s="19">
        <v>2000</v>
      </c>
      <c r="T6108" s="19" t="s">
        <v>42</v>
      </c>
      <c r="U6108" s="102" t="s">
        <v>1490</v>
      </c>
      <c r="V6108" s="186">
        <v>45512</v>
      </c>
      <c r="W6108" s="17" t="s">
        <v>69</v>
      </c>
      <c r="Y6108" s="68">
        <v>45536</v>
      </c>
      <c r="Z6108" s="17" t="s">
        <v>1491</v>
      </c>
      <c r="AA6108" s="17" t="s">
        <v>46</v>
      </c>
      <c r="AB6108" s="17" t="s">
        <v>1490</v>
      </c>
      <c r="AC6108" s="217">
        <v>45562</v>
      </c>
      <c r="AD6108" s="65">
        <v>1634</v>
      </c>
      <c r="AE6108" s="17" t="s">
        <v>74</v>
      </c>
    </row>
    <row r="6109" s="17" customFormat="1" hidden="1" spans="1:31">
      <c r="A6109" s="17" t="s">
        <v>34</v>
      </c>
      <c r="B6109" s="19">
        <v>1028</v>
      </c>
      <c r="C6109" s="183">
        <v>45512</v>
      </c>
      <c r="D6109" s="17" t="s">
        <v>1488</v>
      </c>
      <c r="E6109" s="17" t="s">
        <v>1489</v>
      </c>
      <c r="F6109" s="17" t="s">
        <v>54</v>
      </c>
      <c r="H6109" s="19">
        <v>1.2379</v>
      </c>
      <c r="I6109" s="19"/>
      <c r="J6109" s="17" t="s">
        <v>82</v>
      </c>
      <c r="K6109" s="91">
        <v>355</v>
      </c>
      <c r="L6109" s="350">
        <v>65</v>
      </c>
      <c r="M6109" s="19">
        <v>4000</v>
      </c>
      <c r="N6109" s="19" t="s">
        <v>40</v>
      </c>
      <c r="O6109" s="19" t="s">
        <v>98</v>
      </c>
      <c r="P6109" s="91">
        <v>1000</v>
      </c>
      <c r="Q6109" s="91">
        <v>1076</v>
      </c>
      <c r="R6109" s="147">
        <f t="shared" si="272"/>
        <v>-76</v>
      </c>
      <c r="S6109" s="19">
        <v>2000</v>
      </c>
      <c r="T6109" s="19" t="s">
        <v>42</v>
      </c>
      <c r="U6109" s="102" t="s">
        <v>1490</v>
      </c>
      <c r="V6109" s="186">
        <v>45512</v>
      </c>
      <c r="W6109" s="17" t="s">
        <v>69</v>
      </c>
      <c r="Y6109" s="68">
        <v>45536</v>
      </c>
      <c r="Z6109" s="17" t="s">
        <v>1491</v>
      </c>
      <c r="AA6109" s="17" t="s">
        <v>46</v>
      </c>
      <c r="AB6109" s="17" t="s">
        <v>1490</v>
      </c>
      <c r="AC6109" s="217">
        <v>45562</v>
      </c>
      <c r="AD6109" s="65">
        <v>1634</v>
      </c>
      <c r="AE6109" s="17" t="s">
        <v>74</v>
      </c>
    </row>
    <row r="6110" s="17" customFormat="1" hidden="1" spans="1:31">
      <c r="A6110" s="17" t="s">
        <v>34</v>
      </c>
      <c r="B6110" s="19">
        <v>1029</v>
      </c>
      <c r="C6110" s="183">
        <v>45512</v>
      </c>
      <c r="D6110" s="17" t="s">
        <v>52</v>
      </c>
      <c r="E6110" s="17" t="s">
        <v>53</v>
      </c>
      <c r="F6110" s="17" t="s">
        <v>54</v>
      </c>
      <c r="H6110" s="19">
        <v>1.2379</v>
      </c>
      <c r="I6110" s="19"/>
      <c r="J6110" s="17" t="s">
        <v>82</v>
      </c>
      <c r="K6110" s="351">
        <v>310</v>
      </c>
      <c r="L6110" s="352">
        <v>12</v>
      </c>
      <c r="M6110" s="19">
        <v>4000</v>
      </c>
      <c r="N6110" s="19" t="s">
        <v>40</v>
      </c>
      <c r="O6110" s="19" t="s">
        <v>141</v>
      </c>
      <c r="P6110" s="351">
        <v>114</v>
      </c>
      <c r="Q6110" s="19">
        <v>114</v>
      </c>
      <c r="R6110" s="19">
        <f t="shared" si="272"/>
        <v>0</v>
      </c>
      <c r="S6110" s="168">
        <v>2600</v>
      </c>
      <c r="T6110" s="19" t="s">
        <v>42</v>
      </c>
      <c r="U6110" s="102" t="s">
        <v>1492</v>
      </c>
      <c r="V6110" s="186">
        <v>45512</v>
      </c>
      <c r="W6110" s="17" t="s">
        <v>58</v>
      </c>
      <c r="Y6110" s="68">
        <v>45505</v>
      </c>
      <c r="Z6110" s="17" t="s">
        <v>191</v>
      </c>
      <c r="AA6110" s="17" t="s">
        <v>46</v>
      </c>
      <c r="AB6110" s="17" t="s">
        <v>1469</v>
      </c>
      <c r="AC6110" s="217">
        <v>45519</v>
      </c>
      <c r="AD6110" s="65">
        <v>1618</v>
      </c>
      <c r="AE6110" s="17" t="s">
        <v>48</v>
      </c>
    </row>
    <row r="6111" s="17" customFormat="1" hidden="1" spans="1:31">
      <c r="A6111" s="17" t="s">
        <v>34</v>
      </c>
      <c r="B6111" s="19">
        <v>1029</v>
      </c>
      <c r="C6111" s="183">
        <v>45512</v>
      </c>
      <c r="D6111" s="17" t="s">
        <v>52</v>
      </c>
      <c r="E6111" s="17" t="s">
        <v>53</v>
      </c>
      <c r="F6111" s="17" t="s">
        <v>54</v>
      </c>
      <c r="H6111" s="19">
        <v>1.2379</v>
      </c>
      <c r="I6111" s="19"/>
      <c r="J6111" s="17" t="s">
        <v>82</v>
      </c>
      <c r="K6111" s="351">
        <v>460</v>
      </c>
      <c r="L6111" s="352">
        <v>12</v>
      </c>
      <c r="M6111" s="19">
        <v>4000</v>
      </c>
      <c r="N6111" s="19" t="s">
        <v>40</v>
      </c>
      <c r="O6111" s="19" t="s">
        <v>141</v>
      </c>
      <c r="P6111" s="351">
        <v>164</v>
      </c>
      <c r="Q6111" s="91">
        <v>164</v>
      </c>
      <c r="R6111" s="19">
        <f t="shared" si="272"/>
        <v>0</v>
      </c>
      <c r="S6111" s="168">
        <v>2600</v>
      </c>
      <c r="T6111" s="19" t="s">
        <v>42</v>
      </c>
      <c r="U6111" s="102" t="s">
        <v>1492</v>
      </c>
      <c r="V6111" s="186">
        <v>45512</v>
      </c>
      <c r="W6111" s="17" t="s">
        <v>58</v>
      </c>
      <c r="Y6111" s="68">
        <v>45505</v>
      </c>
      <c r="Z6111" s="17" t="s">
        <v>191</v>
      </c>
      <c r="AA6111" s="17" t="s">
        <v>46</v>
      </c>
      <c r="AB6111" s="17" t="s">
        <v>1469</v>
      </c>
      <c r="AC6111" s="217">
        <v>45519</v>
      </c>
      <c r="AD6111" s="65">
        <v>1618</v>
      </c>
      <c r="AE6111" s="17" t="s">
        <v>48</v>
      </c>
    </row>
    <row r="6112" s="17" customFormat="1" hidden="1" spans="1:31">
      <c r="A6112" s="17" t="s">
        <v>34</v>
      </c>
      <c r="B6112" s="19">
        <v>1029</v>
      </c>
      <c r="C6112" s="183">
        <v>45512</v>
      </c>
      <c r="D6112" s="17" t="s">
        <v>52</v>
      </c>
      <c r="E6112" s="17" t="s">
        <v>53</v>
      </c>
      <c r="F6112" s="17" t="s">
        <v>54</v>
      </c>
      <c r="H6112" s="19">
        <v>1.2379</v>
      </c>
      <c r="I6112" s="19"/>
      <c r="J6112" s="17" t="s">
        <v>82</v>
      </c>
      <c r="K6112" s="351">
        <v>610</v>
      </c>
      <c r="L6112" s="352">
        <v>13</v>
      </c>
      <c r="M6112" s="19">
        <v>4000</v>
      </c>
      <c r="N6112" s="19" t="s">
        <v>40</v>
      </c>
      <c r="O6112" s="19" t="s">
        <v>141</v>
      </c>
      <c r="P6112" s="351">
        <v>353</v>
      </c>
      <c r="Q6112" s="91">
        <v>353</v>
      </c>
      <c r="R6112" s="19">
        <f t="shared" si="272"/>
        <v>0</v>
      </c>
      <c r="S6112" s="168">
        <v>2600</v>
      </c>
      <c r="T6112" s="19" t="s">
        <v>42</v>
      </c>
      <c r="U6112" s="102" t="s">
        <v>1492</v>
      </c>
      <c r="V6112" s="186">
        <v>45512</v>
      </c>
      <c r="W6112" s="17" t="s">
        <v>58</v>
      </c>
      <c r="Y6112" s="68">
        <v>45505</v>
      </c>
      <c r="Z6112" s="17" t="s">
        <v>191</v>
      </c>
      <c r="AA6112" s="17" t="s">
        <v>46</v>
      </c>
      <c r="AB6112" s="17" t="s">
        <v>1469</v>
      </c>
      <c r="AC6112" s="217">
        <v>45519</v>
      </c>
      <c r="AD6112" s="65">
        <v>1618</v>
      </c>
      <c r="AE6112" s="17" t="s">
        <v>48</v>
      </c>
    </row>
    <row r="6113" s="17" customFormat="1" hidden="1" spans="1:31">
      <c r="A6113" s="17" t="s">
        <v>34</v>
      </c>
      <c r="B6113" s="19">
        <v>1029</v>
      </c>
      <c r="C6113" s="183">
        <v>45512</v>
      </c>
      <c r="D6113" s="17" t="s">
        <v>52</v>
      </c>
      <c r="E6113" s="17" t="s">
        <v>53</v>
      </c>
      <c r="F6113" s="17" t="s">
        <v>54</v>
      </c>
      <c r="H6113" s="19">
        <v>1.2379</v>
      </c>
      <c r="I6113" s="19"/>
      <c r="J6113" s="17" t="s">
        <v>82</v>
      </c>
      <c r="K6113" s="351">
        <v>310</v>
      </c>
      <c r="L6113" s="352">
        <v>14</v>
      </c>
      <c r="M6113" s="19">
        <v>4000</v>
      </c>
      <c r="N6113" s="19" t="s">
        <v>40</v>
      </c>
      <c r="O6113" s="19" t="s">
        <v>141</v>
      </c>
      <c r="P6113" s="351">
        <v>109</v>
      </c>
      <c r="Q6113" s="91">
        <v>109</v>
      </c>
      <c r="R6113" s="19">
        <f t="shared" si="272"/>
        <v>0</v>
      </c>
      <c r="S6113" s="168">
        <v>2600</v>
      </c>
      <c r="T6113" s="19" t="s">
        <v>42</v>
      </c>
      <c r="U6113" s="102" t="s">
        <v>1492</v>
      </c>
      <c r="V6113" s="186">
        <v>45512</v>
      </c>
      <c r="W6113" s="17" t="s">
        <v>58</v>
      </c>
      <c r="Y6113" s="68">
        <v>45505</v>
      </c>
      <c r="Z6113" s="17" t="s">
        <v>191</v>
      </c>
      <c r="AA6113" s="17" t="s">
        <v>46</v>
      </c>
      <c r="AB6113" s="17" t="s">
        <v>1469</v>
      </c>
      <c r="AC6113" s="217">
        <v>45519</v>
      </c>
      <c r="AD6113" s="65">
        <v>1618</v>
      </c>
      <c r="AE6113" s="17" t="s">
        <v>48</v>
      </c>
    </row>
    <row r="6114" s="17" customFormat="1" hidden="1" spans="1:31">
      <c r="A6114" s="17" t="s">
        <v>34</v>
      </c>
      <c r="B6114" s="19">
        <v>1029</v>
      </c>
      <c r="C6114" s="183">
        <v>45512</v>
      </c>
      <c r="D6114" s="17" t="s">
        <v>52</v>
      </c>
      <c r="E6114" s="17" t="s">
        <v>53</v>
      </c>
      <c r="F6114" s="17" t="s">
        <v>54</v>
      </c>
      <c r="H6114" s="19">
        <v>1.2379</v>
      </c>
      <c r="I6114" s="19"/>
      <c r="J6114" s="17" t="s">
        <v>82</v>
      </c>
      <c r="K6114" s="351">
        <v>310</v>
      </c>
      <c r="L6114" s="352">
        <v>14</v>
      </c>
      <c r="M6114" s="19">
        <v>4000</v>
      </c>
      <c r="N6114" s="19" t="s">
        <v>40</v>
      </c>
      <c r="O6114" s="19" t="s">
        <v>141</v>
      </c>
      <c r="P6114" s="351">
        <v>112</v>
      </c>
      <c r="Q6114" s="91">
        <v>112</v>
      </c>
      <c r="R6114" s="19">
        <f t="shared" si="272"/>
        <v>0</v>
      </c>
      <c r="S6114" s="168">
        <v>2600</v>
      </c>
      <c r="T6114" s="19" t="s">
        <v>42</v>
      </c>
      <c r="U6114" s="102" t="s">
        <v>1492</v>
      </c>
      <c r="V6114" s="186">
        <v>45512</v>
      </c>
      <c r="W6114" s="17" t="s">
        <v>58</v>
      </c>
      <c r="Y6114" s="68">
        <v>45505</v>
      </c>
      <c r="Z6114" s="17" t="s">
        <v>191</v>
      </c>
      <c r="AA6114" s="17" t="s">
        <v>46</v>
      </c>
      <c r="AB6114" s="17" t="s">
        <v>1469</v>
      </c>
      <c r="AC6114" s="217">
        <v>45519</v>
      </c>
      <c r="AD6114" s="65">
        <v>1618</v>
      </c>
      <c r="AE6114" s="17" t="s">
        <v>48</v>
      </c>
    </row>
    <row r="6115" s="17" customFormat="1" hidden="1" spans="1:31">
      <c r="A6115" s="17" t="s">
        <v>34</v>
      </c>
      <c r="B6115" s="19">
        <v>1029</v>
      </c>
      <c r="C6115" s="183">
        <v>45512</v>
      </c>
      <c r="D6115" s="17" t="s">
        <v>52</v>
      </c>
      <c r="E6115" s="17" t="s">
        <v>53</v>
      </c>
      <c r="F6115" s="17" t="s">
        <v>54</v>
      </c>
      <c r="H6115" s="19">
        <v>1.2379</v>
      </c>
      <c r="I6115" s="19"/>
      <c r="J6115" s="17" t="s">
        <v>82</v>
      </c>
      <c r="K6115" s="351">
        <v>310</v>
      </c>
      <c r="L6115" s="352">
        <v>14</v>
      </c>
      <c r="M6115" s="19">
        <v>4000</v>
      </c>
      <c r="N6115" s="19" t="s">
        <v>40</v>
      </c>
      <c r="O6115" s="19" t="s">
        <v>141</v>
      </c>
      <c r="P6115" s="351">
        <v>116</v>
      </c>
      <c r="Q6115" s="19">
        <v>116</v>
      </c>
      <c r="R6115" s="19">
        <f t="shared" si="272"/>
        <v>0</v>
      </c>
      <c r="S6115" s="168">
        <v>2600</v>
      </c>
      <c r="T6115" s="19" t="s">
        <v>42</v>
      </c>
      <c r="U6115" s="102" t="s">
        <v>1492</v>
      </c>
      <c r="V6115" s="186">
        <v>45512</v>
      </c>
      <c r="W6115" s="17" t="s">
        <v>58</v>
      </c>
      <c r="Y6115" s="68">
        <v>45505</v>
      </c>
      <c r="Z6115" s="17" t="s">
        <v>191</v>
      </c>
      <c r="AA6115" s="17" t="s">
        <v>46</v>
      </c>
      <c r="AB6115" s="17" t="s">
        <v>1469</v>
      </c>
      <c r="AC6115" s="217">
        <v>45519</v>
      </c>
      <c r="AD6115" s="65">
        <v>1618</v>
      </c>
      <c r="AE6115" s="17" t="s">
        <v>48</v>
      </c>
    </row>
    <row r="6116" s="17" customFormat="1" hidden="1" spans="1:31">
      <c r="A6116" s="17" t="s">
        <v>34</v>
      </c>
      <c r="B6116" s="19">
        <v>1029</v>
      </c>
      <c r="C6116" s="183">
        <v>45512</v>
      </c>
      <c r="D6116" s="17" t="s">
        <v>52</v>
      </c>
      <c r="E6116" s="17" t="s">
        <v>53</v>
      </c>
      <c r="F6116" s="17" t="s">
        <v>54</v>
      </c>
      <c r="H6116" s="19">
        <v>1.2379</v>
      </c>
      <c r="I6116" s="19"/>
      <c r="J6116" s="17" t="s">
        <v>82</v>
      </c>
      <c r="K6116" s="351">
        <v>610</v>
      </c>
      <c r="L6116" s="352">
        <v>14</v>
      </c>
      <c r="M6116" s="19">
        <v>4000</v>
      </c>
      <c r="N6116" s="19" t="s">
        <v>40</v>
      </c>
      <c r="O6116" s="19" t="s">
        <v>141</v>
      </c>
      <c r="P6116" s="351">
        <v>366</v>
      </c>
      <c r="Q6116" s="19">
        <v>366</v>
      </c>
      <c r="R6116" s="19">
        <f t="shared" si="272"/>
        <v>0</v>
      </c>
      <c r="S6116" s="168">
        <v>2600</v>
      </c>
      <c r="T6116" s="19" t="s">
        <v>42</v>
      </c>
      <c r="U6116" s="102" t="s">
        <v>1492</v>
      </c>
      <c r="V6116" s="186">
        <v>45512</v>
      </c>
      <c r="W6116" s="17" t="s">
        <v>58</v>
      </c>
      <c r="Y6116" s="68">
        <v>45505</v>
      </c>
      <c r="Z6116" s="17" t="s">
        <v>191</v>
      </c>
      <c r="AA6116" s="17" t="s">
        <v>46</v>
      </c>
      <c r="AB6116" s="17" t="s">
        <v>1469</v>
      </c>
      <c r="AC6116" s="217">
        <v>45519</v>
      </c>
      <c r="AD6116" s="65">
        <v>1618</v>
      </c>
      <c r="AE6116" s="17" t="s">
        <v>48</v>
      </c>
    </row>
    <row r="6117" s="17" customFormat="1" hidden="1" spans="1:31">
      <c r="A6117" s="17" t="s">
        <v>34</v>
      </c>
      <c r="B6117" s="19">
        <v>1029</v>
      </c>
      <c r="C6117" s="183">
        <v>45512</v>
      </c>
      <c r="D6117" s="17" t="s">
        <v>52</v>
      </c>
      <c r="E6117" s="17" t="s">
        <v>53</v>
      </c>
      <c r="F6117" s="17" t="s">
        <v>54</v>
      </c>
      <c r="H6117" s="19">
        <v>1.2379</v>
      </c>
      <c r="I6117" s="19"/>
      <c r="J6117" s="17" t="s">
        <v>82</v>
      </c>
      <c r="K6117" s="351">
        <v>610</v>
      </c>
      <c r="L6117" s="352">
        <v>16</v>
      </c>
      <c r="M6117" s="19">
        <v>4000</v>
      </c>
      <c r="N6117" s="19" t="s">
        <v>40</v>
      </c>
      <c r="O6117" s="19" t="s">
        <v>141</v>
      </c>
      <c r="P6117" s="351">
        <v>463</v>
      </c>
      <c r="Q6117" s="91">
        <v>463</v>
      </c>
      <c r="R6117" s="19">
        <f t="shared" si="272"/>
        <v>0</v>
      </c>
      <c r="S6117" s="168">
        <v>2450</v>
      </c>
      <c r="T6117" s="19" t="s">
        <v>42</v>
      </c>
      <c r="U6117" s="102" t="s">
        <v>1492</v>
      </c>
      <c r="V6117" s="186">
        <v>45512</v>
      </c>
      <c r="W6117" s="17" t="s">
        <v>58</v>
      </c>
      <c r="Y6117" s="68">
        <v>45505</v>
      </c>
      <c r="Z6117" s="17" t="s">
        <v>191</v>
      </c>
      <c r="AA6117" s="17" t="s">
        <v>46</v>
      </c>
      <c r="AB6117" s="17" t="s">
        <v>1469</v>
      </c>
      <c r="AC6117" s="217">
        <v>45519</v>
      </c>
      <c r="AD6117" s="65">
        <v>1618</v>
      </c>
      <c r="AE6117" s="17" t="s">
        <v>48</v>
      </c>
    </row>
    <row r="6118" s="17" customFormat="1" hidden="1" spans="1:31">
      <c r="A6118" s="17" t="s">
        <v>34</v>
      </c>
      <c r="B6118" s="19">
        <v>1029</v>
      </c>
      <c r="C6118" s="183">
        <v>45512</v>
      </c>
      <c r="D6118" s="17" t="s">
        <v>52</v>
      </c>
      <c r="E6118" s="17" t="s">
        <v>53</v>
      </c>
      <c r="F6118" s="17" t="s">
        <v>54</v>
      </c>
      <c r="H6118" s="19">
        <v>1.2379</v>
      </c>
      <c r="I6118" s="19"/>
      <c r="J6118" s="17" t="s">
        <v>82</v>
      </c>
      <c r="K6118" s="351">
        <v>610</v>
      </c>
      <c r="L6118" s="352">
        <v>16</v>
      </c>
      <c r="M6118" s="19">
        <v>4000</v>
      </c>
      <c r="N6118" s="19" t="s">
        <v>40</v>
      </c>
      <c r="O6118" s="19" t="s">
        <v>141</v>
      </c>
      <c r="P6118" s="351">
        <v>455</v>
      </c>
      <c r="Q6118" s="19">
        <v>462</v>
      </c>
      <c r="R6118" s="19">
        <f t="shared" si="272"/>
        <v>-7</v>
      </c>
      <c r="S6118" s="168">
        <v>2450</v>
      </c>
      <c r="T6118" s="19" t="s">
        <v>42</v>
      </c>
      <c r="U6118" s="102" t="s">
        <v>1492</v>
      </c>
      <c r="V6118" s="186">
        <v>45512</v>
      </c>
      <c r="W6118" s="17" t="s">
        <v>58</v>
      </c>
      <c r="Y6118" s="68">
        <v>45505</v>
      </c>
      <c r="Z6118" s="17" t="s">
        <v>191</v>
      </c>
      <c r="AA6118" s="17" t="s">
        <v>46</v>
      </c>
      <c r="AB6118" s="17" t="s">
        <v>1469</v>
      </c>
      <c r="AC6118" s="217">
        <v>45519</v>
      </c>
      <c r="AD6118" s="65">
        <v>1618</v>
      </c>
      <c r="AE6118" s="17" t="s">
        <v>48</v>
      </c>
    </row>
    <row r="6119" s="17" customFormat="1" hidden="1" spans="1:31">
      <c r="A6119" s="17" t="s">
        <v>34</v>
      </c>
      <c r="B6119" s="19">
        <v>1029</v>
      </c>
      <c r="C6119" s="183">
        <v>45512</v>
      </c>
      <c r="D6119" s="17" t="s">
        <v>52</v>
      </c>
      <c r="E6119" s="17" t="s">
        <v>53</v>
      </c>
      <c r="F6119" s="17" t="s">
        <v>54</v>
      </c>
      <c r="H6119" s="19">
        <v>1.2379</v>
      </c>
      <c r="I6119" s="19"/>
      <c r="J6119" s="17" t="s">
        <v>82</v>
      </c>
      <c r="K6119" s="351">
        <v>610</v>
      </c>
      <c r="L6119" s="352">
        <v>16</v>
      </c>
      <c r="M6119" s="19">
        <v>4000</v>
      </c>
      <c r="N6119" s="19" t="s">
        <v>40</v>
      </c>
      <c r="O6119" s="19" t="s">
        <v>141</v>
      </c>
      <c r="P6119" s="351">
        <v>464</v>
      </c>
      <c r="Q6119" s="19">
        <v>464</v>
      </c>
      <c r="R6119" s="19">
        <f t="shared" si="272"/>
        <v>0</v>
      </c>
      <c r="S6119" s="168">
        <v>2450</v>
      </c>
      <c r="T6119" s="19" t="s">
        <v>42</v>
      </c>
      <c r="U6119" s="102" t="s">
        <v>1492</v>
      </c>
      <c r="V6119" s="186">
        <v>45512</v>
      </c>
      <c r="W6119" s="17" t="s">
        <v>58</v>
      </c>
      <c r="Y6119" s="68">
        <v>45505</v>
      </c>
      <c r="Z6119" s="17" t="s">
        <v>191</v>
      </c>
      <c r="AA6119" s="17" t="s">
        <v>46</v>
      </c>
      <c r="AB6119" s="17" t="s">
        <v>1469</v>
      </c>
      <c r="AC6119" s="217">
        <v>45519</v>
      </c>
      <c r="AD6119" s="65">
        <v>1618</v>
      </c>
      <c r="AE6119" s="17" t="s">
        <v>48</v>
      </c>
    </row>
    <row r="6120" s="17" customFormat="1" hidden="1" spans="1:31">
      <c r="A6120" s="17" t="s">
        <v>34</v>
      </c>
      <c r="B6120" s="19">
        <v>1029</v>
      </c>
      <c r="C6120" s="183">
        <v>45512</v>
      </c>
      <c r="D6120" s="17" t="s">
        <v>52</v>
      </c>
      <c r="E6120" s="17" t="s">
        <v>53</v>
      </c>
      <c r="F6120" s="17" t="s">
        <v>54</v>
      </c>
      <c r="H6120" s="19">
        <v>1.2379</v>
      </c>
      <c r="I6120" s="19"/>
      <c r="J6120" s="17" t="s">
        <v>82</v>
      </c>
      <c r="K6120" s="351">
        <v>610</v>
      </c>
      <c r="L6120" s="352">
        <v>16</v>
      </c>
      <c r="M6120" s="19">
        <v>4000</v>
      </c>
      <c r="N6120" s="19" t="s">
        <v>40</v>
      </c>
      <c r="O6120" s="19" t="s">
        <v>141</v>
      </c>
      <c r="P6120" s="351">
        <v>451</v>
      </c>
      <c r="Q6120" s="19">
        <v>451</v>
      </c>
      <c r="R6120" s="19">
        <f t="shared" si="272"/>
        <v>0</v>
      </c>
      <c r="S6120" s="168">
        <v>2450</v>
      </c>
      <c r="T6120" s="19" t="s">
        <v>42</v>
      </c>
      <c r="U6120" s="102" t="s">
        <v>1492</v>
      </c>
      <c r="V6120" s="186">
        <v>45512</v>
      </c>
      <c r="W6120" s="17" t="s">
        <v>58</v>
      </c>
      <c r="Y6120" s="68">
        <v>45505</v>
      </c>
      <c r="Z6120" s="17" t="s">
        <v>191</v>
      </c>
      <c r="AA6120" s="17" t="s">
        <v>46</v>
      </c>
      <c r="AB6120" s="17" t="s">
        <v>1469</v>
      </c>
      <c r="AC6120" s="217">
        <v>45519</v>
      </c>
      <c r="AD6120" s="65">
        <v>1618</v>
      </c>
      <c r="AE6120" s="17" t="s">
        <v>74</v>
      </c>
    </row>
    <row r="6121" s="17" customFormat="1" hidden="1" spans="1:31">
      <c r="A6121" s="17" t="s">
        <v>34</v>
      </c>
      <c r="B6121" s="19">
        <v>1029</v>
      </c>
      <c r="C6121" s="183">
        <v>45512</v>
      </c>
      <c r="D6121" s="17" t="s">
        <v>52</v>
      </c>
      <c r="E6121" s="17" t="s">
        <v>53</v>
      </c>
      <c r="F6121" s="17" t="s">
        <v>54</v>
      </c>
      <c r="H6121" s="19">
        <v>1.2379</v>
      </c>
      <c r="I6121" s="19"/>
      <c r="J6121" s="17" t="s">
        <v>82</v>
      </c>
      <c r="K6121" s="351">
        <v>610</v>
      </c>
      <c r="L6121" s="352">
        <v>16</v>
      </c>
      <c r="M6121" s="19">
        <v>4000</v>
      </c>
      <c r="N6121" s="19" t="s">
        <v>40</v>
      </c>
      <c r="O6121" s="19" t="s">
        <v>141</v>
      </c>
      <c r="P6121" s="351">
        <v>456</v>
      </c>
      <c r="Q6121" s="19">
        <v>456</v>
      </c>
      <c r="R6121" s="19">
        <f t="shared" si="272"/>
        <v>0</v>
      </c>
      <c r="S6121" s="168">
        <v>2450</v>
      </c>
      <c r="T6121" s="19" t="s">
        <v>42</v>
      </c>
      <c r="U6121" s="102" t="s">
        <v>1492</v>
      </c>
      <c r="V6121" s="186">
        <v>45512</v>
      </c>
      <c r="W6121" s="17" t="s">
        <v>58</v>
      </c>
      <c r="Y6121" s="68">
        <v>45505</v>
      </c>
      <c r="Z6121" s="17" t="s">
        <v>191</v>
      </c>
      <c r="AA6121" s="17" t="s">
        <v>46</v>
      </c>
      <c r="AB6121" s="17" t="s">
        <v>1469</v>
      </c>
      <c r="AC6121" s="217">
        <v>45519</v>
      </c>
      <c r="AD6121" s="65">
        <v>1618</v>
      </c>
      <c r="AE6121" s="17" t="s">
        <v>74</v>
      </c>
    </row>
    <row r="6122" s="17" customFormat="1" hidden="1" spans="1:31">
      <c r="A6122" s="17" t="s">
        <v>34</v>
      </c>
      <c r="B6122" s="19">
        <v>1029</v>
      </c>
      <c r="C6122" s="183">
        <v>45512</v>
      </c>
      <c r="D6122" s="17" t="s">
        <v>52</v>
      </c>
      <c r="E6122" s="17" t="s">
        <v>53</v>
      </c>
      <c r="F6122" s="17" t="s">
        <v>54</v>
      </c>
      <c r="H6122" s="19">
        <v>1.2379</v>
      </c>
      <c r="I6122" s="19"/>
      <c r="J6122" s="17" t="s">
        <v>82</v>
      </c>
      <c r="K6122" s="351">
        <v>610</v>
      </c>
      <c r="L6122" s="352">
        <v>16</v>
      </c>
      <c r="M6122" s="19">
        <v>4000</v>
      </c>
      <c r="N6122" s="19" t="s">
        <v>40</v>
      </c>
      <c r="O6122" s="19" t="s">
        <v>141</v>
      </c>
      <c r="P6122" s="351">
        <v>464</v>
      </c>
      <c r="Q6122" s="19">
        <v>464</v>
      </c>
      <c r="R6122" s="19">
        <f t="shared" si="272"/>
        <v>0</v>
      </c>
      <c r="S6122" s="168">
        <v>2450</v>
      </c>
      <c r="T6122" s="19" t="s">
        <v>42</v>
      </c>
      <c r="U6122" s="102" t="s">
        <v>1492</v>
      </c>
      <c r="V6122" s="186">
        <v>45512</v>
      </c>
      <c r="W6122" s="17" t="s">
        <v>58</v>
      </c>
      <c r="Y6122" s="68">
        <v>45505</v>
      </c>
      <c r="Z6122" s="17" t="s">
        <v>191</v>
      </c>
      <c r="AA6122" s="17" t="s">
        <v>46</v>
      </c>
      <c r="AB6122" s="17" t="s">
        <v>1469</v>
      </c>
      <c r="AC6122" s="217">
        <v>45519</v>
      </c>
      <c r="AD6122" s="65">
        <v>1618</v>
      </c>
      <c r="AE6122" s="17" t="s">
        <v>74</v>
      </c>
    </row>
    <row r="6123" s="17" customFormat="1" hidden="1" spans="1:31">
      <c r="A6123" s="17" t="s">
        <v>34</v>
      </c>
      <c r="B6123" s="19">
        <v>1029</v>
      </c>
      <c r="C6123" s="183">
        <v>45512</v>
      </c>
      <c r="D6123" s="17" t="s">
        <v>52</v>
      </c>
      <c r="E6123" s="17" t="s">
        <v>53</v>
      </c>
      <c r="F6123" s="17" t="s">
        <v>54</v>
      </c>
      <c r="H6123" s="19">
        <v>1.2379</v>
      </c>
      <c r="I6123" s="19"/>
      <c r="J6123" s="17" t="s">
        <v>82</v>
      </c>
      <c r="K6123" s="351">
        <v>100</v>
      </c>
      <c r="L6123" s="352">
        <v>20</v>
      </c>
      <c r="M6123" s="19">
        <v>4000</v>
      </c>
      <c r="N6123" s="19" t="s">
        <v>40</v>
      </c>
      <c r="O6123" s="19" t="s">
        <v>141</v>
      </c>
      <c r="P6123" s="351">
        <v>73</v>
      </c>
      <c r="Q6123" s="19">
        <v>73</v>
      </c>
      <c r="R6123" s="19">
        <f t="shared" si="272"/>
        <v>0</v>
      </c>
      <c r="S6123" s="91">
        <v>2750</v>
      </c>
      <c r="T6123" s="19" t="s">
        <v>42</v>
      </c>
      <c r="U6123" s="102" t="s">
        <v>1492</v>
      </c>
      <c r="V6123" s="186">
        <v>45512</v>
      </c>
      <c r="W6123" s="17" t="s">
        <v>58</v>
      </c>
      <c r="Y6123" s="68">
        <v>45505</v>
      </c>
      <c r="Z6123" s="17" t="s">
        <v>191</v>
      </c>
      <c r="AA6123" s="17" t="s">
        <v>46</v>
      </c>
      <c r="AB6123" s="17" t="s">
        <v>1469</v>
      </c>
      <c r="AC6123" s="217">
        <v>45519</v>
      </c>
      <c r="AD6123" s="65">
        <v>1618</v>
      </c>
      <c r="AE6123" s="17" t="s">
        <v>74</v>
      </c>
    </row>
    <row r="6124" s="17" customFormat="1" hidden="1" spans="1:31">
      <c r="A6124" s="17" t="s">
        <v>34</v>
      </c>
      <c r="B6124" s="19">
        <v>1029</v>
      </c>
      <c r="C6124" s="183">
        <v>45512</v>
      </c>
      <c r="D6124" s="17" t="s">
        <v>52</v>
      </c>
      <c r="E6124" s="17" t="s">
        <v>53</v>
      </c>
      <c r="F6124" s="17" t="s">
        <v>54</v>
      </c>
      <c r="H6124" s="19">
        <v>1.2379</v>
      </c>
      <c r="I6124" s="19"/>
      <c r="J6124" s="17" t="s">
        <v>82</v>
      </c>
      <c r="K6124" s="351">
        <v>310</v>
      </c>
      <c r="L6124" s="352">
        <v>20</v>
      </c>
      <c r="M6124" s="19">
        <v>4000</v>
      </c>
      <c r="N6124" s="19" t="s">
        <v>40</v>
      </c>
      <c r="O6124" s="19" t="s">
        <v>141</v>
      </c>
      <c r="P6124" s="351">
        <v>173</v>
      </c>
      <c r="Q6124" s="91">
        <v>173</v>
      </c>
      <c r="R6124" s="19">
        <f t="shared" si="272"/>
        <v>0</v>
      </c>
      <c r="S6124" s="168">
        <v>2450</v>
      </c>
      <c r="T6124" s="19" t="s">
        <v>42</v>
      </c>
      <c r="U6124" s="102" t="s">
        <v>1492</v>
      </c>
      <c r="V6124" s="186">
        <v>45512</v>
      </c>
      <c r="W6124" s="17" t="s">
        <v>58</v>
      </c>
      <c r="Y6124" s="68">
        <v>45505</v>
      </c>
      <c r="Z6124" s="17" t="s">
        <v>191</v>
      </c>
      <c r="AA6124" s="17" t="s">
        <v>46</v>
      </c>
      <c r="AB6124" s="17" t="s">
        <v>1469</v>
      </c>
      <c r="AC6124" s="217">
        <v>45519</v>
      </c>
      <c r="AD6124" s="65">
        <v>1618</v>
      </c>
      <c r="AE6124" s="17" t="s">
        <v>74</v>
      </c>
    </row>
    <row r="6125" s="17" customFormat="1" hidden="1" spans="1:31">
      <c r="A6125" s="17" t="s">
        <v>34</v>
      </c>
      <c r="B6125" s="19">
        <v>1029</v>
      </c>
      <c r="C6125" s="183">
        <v>45512</v>
      </c>
      <c r="D6125" s="17" t="s">
        <v>52</v>
      </c>
      <c r="E6125" s="17" t="s">
        <v>53</v>
      </c>
      <c r="F6125" s="17" t="s">
        <v>54</v>
      </c>
      <c r="H6125" s="19">
        <v>1.2379</v>
      </c>
      <c r="I6125" s="19"/>
      <c r="J6125" s="17" t="s">
        <v>82</v>
      </c>
      <c r="K6125" s="351">
        <v>310</v>
      </c>
      <c r="L6125" s="352">
        <v>20</v>
      </c>
      <c r="M6125" s="19">
        <v>4000</v>
      </c>
      <c r="N6125" s="19" t="s">
        <v>40</v>
      </c>
      <c r="O6125" s="19" t="s">
        <v>141</v>
      </c>
      <c r="P6125" s="351">
        <v>235</v>
      </c>
      <c r="Q6125" s="19">
        <v>235</v>
      </c>
      <c r="R6125" s="19">
        <f t="shared" si="272"/>
        <v>0</v>
      </c>
      <c r="S6125" s="168">
        <v>2450</v>
      </c>
      <c r="T6125" s="19" t="s">
        <v>42</v>
      </c>
      <c r="U6125" s="102" t="s">
        <v>1492</v>
      </c>
      <c r="V6125" s="186">
        <v>45512</v>
      </c>
      <c r="W6125" s="17" t="s">
        <v>58</v>
      </c>
      <c r="Y6125" s="68">
        <v>45505</v>
      </c>
      <c r="Z6125" s="17" t="s">
        <v>191</v>
      </c>
      <c r="AA6125" s="17" t="s">
        <v>46</v>
      </c>
      <c r="AB6125" s="17" t="s">
        <v>1469</v>
      </c>
      <c r="AC6125" s="217">
        <v>45519</v>
      </c>
      <c r="AD6125" s="65">
        <v>1618</v>
      </c>
      <c r="AE6125" s="17" t="s">
        <v>74</v>
      </c>
    </row>
    <row r="6126" s="17" customFormat="1" hidden="1" spans="1:31">
      <c r="A6126" s="17" t="s">
        <v>34</v>
      </c>
      <c r="B6126" s="19">
        <v>1029</v>
      </c>
      <c r="C6126" s="183">
        <v>45512</v>
      </c>
      <c r="D6126" s="17" t="s">
        <v>52</v>
      </c>
      <c r="E6126" s="17" t="s">
        <v>53</v>
      </c>
      <c r="F6126" s="17" t="s">
        <v>54</v>
      </c>
      <c r="H6126" s="19">
        <v>1.2379</v>
      </c>
      <c r="I6126" s="19"/>
      <c r="J6126" s="17" t="s">
        <v>82</v>
      </c>
      <c r="K6126" s="351">
        <v>310</v>
      </c>
      <c r="L6126" s="352">
        <v>20</v>
      </c>
      <c r="M6126" s="19">
        <v>4000</v>
      </c>
      <c r="N6126" s="19" t="s">
        <v>40</v>
      </c>
      <c r="O6126" s="19" t="s">
        <v>141</v>
      </c>
      <c r="P6126" s="351">
        <v>160</v>
      </c>
      <c r="Q6126" s="19">
        <v>160</v>
      </c>
      <c r="R6126" s="19">
        <f t="shared" si="272"/>
        <v>0</v>
      </c>
      <c r="S6126" s="168">
        <v>2450</v>
      </c>
      <c r="T6126" s="19" t="s">
        <v>42</v>
      </c>
      <c r="U6126" s="102" t="s">
        <v>1492</v>
      </c>
      <c r="V6126" s="186">
        <v>45512</v>
      </c>
      <c r="W6126" s="17" t="s">
        <v>58</v>
      </c>
      <c r="Y6126" s="68">
        <v>45505</v>
      </c>
      <c r="Z6126" s="17" t="s">
        <v>191</v>
      </c>
      <c r="AA6126" s="17" t="s">
        <v>46</v>
      </c>
      <c r="AB6126" s="17" t="s">
        <v>1469</v>
      </c>
      <c r="AC6126" s="217">
        <v>45519</v>
      </c>
      <c r="AD6126" s="65">
        <v>1618</v>
      </c>
      <c r="AE6126" s="17" t="s">
        <v>74</v>
      </c>
    </row>
    <row r="6127" s="17" customFormat="1" hidden="1" spans="1:31">
      <c r="A6127" s="17" t="s">
        <v>34</v>
      </c>
      <c r="B6127" s="19">
        <v>1029</v>
      </c>
      <c r="C6127" s="183">
        <v>45512</v>
      </c>
      <c r="D6127" s="17" t="s">
        <v>52</v>
      </c>
      <c r="E6127" s="17" t="s">
        <v>53</v>
      </c>
      <c r="F6127" s="17" t="s">
        <v>54</v>
      </c>
      <c r="H6127" s="19">
        <v>1.2379</v>
      </c>
      <c r="I6127" s="19"/>
      <c r="J6127" s="17" t="s">
        <v>82</v>
      </c>
      <c r="K6127" s="351">
        <v>310</v>
      </c>
      <c r="L6127" s="352">
        <v>20</v>
      </c>
      <c r="M6127" s="19">
        <v>4000</v>
      </c>
      <c r="N6127" s="19" t="s">
        <v>40</v>
      </c>
      <c r="O6127" s="19" t="s">
        <v>141</v>
      </c>
      <c r="P6127" s="351">
        <v>239</v>
      </c>
      <c r="Q6127" s="19">
        <v>239</v>
      </c>
      <c r="R6127" s="19">
        <f t="shared" si="272"/>
        <v>0</v>
      </c>
      <c r="S6127" s="168">
        <v>2450</v>
      </c>
      <c r="T6127" s="19" t="s">
        <v>42</v>
      </c>
      <c r="U6127" s="102" t="s">
        <v>1492</v>
      </c>
      <c r="V6127" s="186">
        <v>45512</v>
      </c>
      <c r="W6127" s="17" t="s">
        <v>58</v>
      </c>
      <c r="Y6127" s="68">
        <v>45505</v>
      </c>
      <c r="Z6127" s="17" t="s">
        <v>191</v>
      </c>
      <c r="AA6127" s="17" t="s">
        <v>46</v>
      </c>
      <c r="AB6127" s="17" t="s">
        <v>1469</v>
      </c>
      <c r="AC6127" s="217">
        <v>45519</v>
      </c>
      <c r="AD6127" s="65">
        <v>1618</v>
      </c>
      <c r="AE6127" s="17" t="s">
        <v>74</v>
      </c>
    </row>
    <row r="6128" s="17" customFormat="1" hidden="1" spans="1:31">
      <c r="A6128" s="17" t="s">
        <v>34</v>
      </c>
      <c r="B6128" s="19">
        <v>1029</v>
      </c>
      <c r="C6128" s="183">
        <v>45512</v>
      </c>
      <c r="D6128" s="17" t="s">
        <v>52</v>
      </c>
      <c r="E6128" s="17" t="s">
        <v>53</v>
      </c>
      <c r="F6128" s="17" t="s">
        <v>54</v>
      </c>
      <c r="H6128" s="19">
        <v>1.2379</v>
      </c>
      <c r="I6128" s="19"/>
      <c r="J6128" s="17" t="s">
        <v>82</v>
      </c>
      <c r="K6128" s="351">
        <v>310</v>
      </c>
      <c r="L6128" s="352">
        <v>20</v>
      </c>
      <c r="M6128" s="19">
        <v>4000</v>
      </c>
      <c r="N6128" s="19" t="s">
        <v>40</v>
      </c>
      <c r="O6128" s="19" t="s">
        <v>141</v>
      </c>
      <c r="P6128" s="351">
        <v>255</v>
      </c>
      <c r="Q6128" s="19">
        <v>255</v>
      </c>
      <c r="R6128" s="19">
        <f t="shared" si="272"/>
        <v>0</v>
      </c>
      <c r="S6128" s="168">
        <v>2450</v>
      </c>
      <c r="T6128" s="19" t="s">
        <v>42</v>
      </c>
      <c r="U6128" s="102" t="s">
        <v>1492</v>
      </c>
      <c r="V6128" s="186">
        <v>45512</v>
      </c>
      <c r="W6128" s="17" t="s">
        <v>58</v>
      </c>
      <c r="Y6128" s="68">
        <v>45505</v>
      </c>
      <c r="Z6128" s="17" t="s">
        <v>191</v>
      </c>
      <c r="AA6128" s="17" t="s">
        <v>46</v>
      </c>
      <c r="AB6128" s="17" t="s">
        <v>1469</v>
      </c>
      <c r="AC6128" s="217">
        <v>45519</v>
      </c>
      <c r="AD6128" s="65">
        <v>1618</v>
      </c>
      <c r="AE6128" s="17" t="s">
        <v>74</v>
      </c>
    </row>
    <row r="6129" s="17" customFormat="1" hidden="1" spans="1:32">
      <c r="A6129" s="17" t="s">
        <v>34</v>
      </c>
      <c r="B6129" s="19">
        <v>1029</v>
      </c>
      <c r="C6129" s="183">
        <v>45512</v>
      </c>
      <c r="D6129" s="17" t="s">
        <v>52</v>
      </c>
      <c r="E6129" s="17" t="s">
        <v>53</v>
      </c>
      <c r="F6129" s="17" t="s">
        <v>54</v>
      </c>
      <c r="H6129" s="19">
        <v>1.2379</v>
      </c>
      <c r="I6129" s="19"/>
      <c r="J6129" s="17" t="s">
        <v>82</v>
      </c>
      <c r="K6129" s="351">
        <v>360</v>
      </c>
      <c r="L6129" s="352">
        <v>20</v>
      </c>
      <c r="M6129" s="19">
        <v>4000</v>
      </c>
      <c r="N6129" s="19" t="s">
        <v>40</v>
      </c>
      <c r="O6129" s="19" t="s">
        <v>141</v>
      </c>
      <c r="P6129" s="351">
        <v>281</v>
      </c>
      <c r="Q6129" s="91">
        <v>281</v>
      </c>
      <c r="R6129" s="19">
        <f t="shared" si="272"/>
        <v>0</v>
      </c>
      <c r="S6129" s="168">
        <v>2450</v>
      </c>
      <c r="T6129" s="19" t="s">
        <v>42</v>
      </c>
      <c r="U6129" s="102" t="s">
        <v>1492</v>
      </c>
      <c r="V6129" s="186">
        <v>45512</v>
      </c>
      <c r="W6129" s="17" t="s">
        <v>58</v>
      </c>
      <c r="Y6129" s="68">
        <v>45505</v>
      </c>
      <c r="Z6129" s="17" t="s">
        <v>191</v>
      </c>
      <c r="AA6129" s="17" t="s">
        <v>46</v>
      </c>
      <c r="AB6129" s="17" t="s">
        <v>1469</v>
      </c>
      <c r="AC6129" s="217">
        <v>45519</v>
      </c>
      <c r="AD6129" s="65">
        <v>1618</v>
      </c>
      <c r="AE6129" s="17" t="s">
        <v>74</v>
      </c>
    </row>
    <row r="6130" s="17" customFormat="1" hidden="1" spans="1:32">
      <c r="A6130" s="17" t="s">
        <v>34</v>
      </c>
      <c r="B6130" s="19">
        <v>1029</v>
      </c>
      <c r="C6130" s="183">
        <v>45512</v>
      </c>
      <c r="D6130" s="17" t="s">
        <v>52</v>
      </c>
      <c r="E6130" s="17" t="s">
        <v>53</v>
      </c>
      <c r="F6130" s="17" t="s">
        <v>54</v>
      </c>
      <c r="H6130" s="19">
        <v>1.2379</v>
      </c>
      <c r="I6130" s="19"/>
      <c r="J6130" s="17" t="s">
        <v>82</v>
      </c>
      <c r="K6130" s="351">
        <v>410</v>
      </c>
      <c r="L6130" s="352">
        <v>20</v>
      </c>
      <c r="M6130" s="19">
        <v>4000</v>
      </c>
      <c r="N6130" s="19" t="s">
        <v>40</v>
      </c>
      <c r="O6130" s="19" t="s">
        <v>141</v>
      </c>
      <c r="P6130" s="351">
        <v>294</v>
      </c>
      <c r="Q6130" s="91">
        <v>294</v>
      </c>
      <c r="R6130" s="19">
        <f t="shared" si="272"/>
        <v>0</v>
      </c>
      <c r="S6130" s="168">
        <v>2450</v>
      </c>
      <c r="T6130" s="19" t="s">
        <v>42</v>
      </c>
      <c r="U6130" s="102" t="s">
        <v>1492</v>
      </c>
      <c r="V6130" s="186">
        <v>45512</v>
      </c>
      <c r="W6130" s="17" t="s">
        <v>58</v>
      </c>
      <c r="Y6130" s="68">
        <v>45505</v>
      </c>
      <c r="Z6130" s="17" t="s">
        <v>191</v>
      </c>
      <c r="AA6130" s="17" t="s">
        <v>46</v>
      </c>
      <c r="AB6130" s="17" t="s">
        <v>1469</v>
      </c>
      <c r="AC6130" s="217">
        <v>45519</v>
      </c>
      <c r="AD6130" s="65">
        <v>1618</v>
      </c>
      <c r="AE6130" s="17" t="s">
        <v>74</v>
      </c>
    </row>
    <row r="6131" s="17" customFormat="1" hidden="1" spans="1:32">
      <c r="A6131" s="17" t="s">
        <v>34</v>
      </c>
      <c r="B6131" s="19">
        <v>1029</v>
      </c>
      <c r="C6131" s="183">
        <v>45512</v>
      </c>
      <c r="D6131" s="17" t="s">
        <v>52</v>
      </c>
      <c r="E6131" s="17" t="s">
        <v>53</v>
      </c>
      <c r="F6131" s="17" t="s">
        <v>54</v>
      </c>
      <c r="H6131" s="19">
        <v>1.2379</v>
      </c>
      <c r="I6131" s="19"/>
      <c r="J6131" s="17" t="s">
        <v>82</v>
      </c>
      <c r="K6131" s="351">
        <v>310</v>
      </c>
      <c r="L6131" s="352">
        <v>25</v>
      </c>
      <c r="M6131" s="19">
        <v>4000</v>
      </c>
      <c r="N6131" s="19" t="s">
        <v>40</v>
      </c>
      <c r="O6131" s="19" t="s">
        <v>141</v>
      </c>
      <c r="P6131" s="351">
        <v>162</v>
      </c>
      <c r="Q6131" s="19">
        <v>162</v>
      </c>
      <c r="R6131" s="19">
        <f t="shared" si="272"/>
        <v>0</v>
      </c>
      <c r="S6131" s="168">
        <v>2450</v>
      </c>
      <c r="T6131" s="19" t="s">
        <v>42</v>
      </c>
      <c r="U6131" s="102" t="s">
        <v>1492</v>
      </c>
      <c r="V6131" s="186">
        <v>45512</v>
      </c>
      <c r="W6131" s="17" t="s">
        <v>58</v>
      </c>
      <c r="Y6131" s="68">
        <v>45505</v>
      </c>
      <c r="Z6131" s="17" t="s">
        <v>191</v>
      </c>
      <c r="AA6131" s="17" t="s">
        <v>46</v>
      </c>
      <c r="AB6131" s="17" t="s">
        <v>1469</v>
      </c>
      <c r="AC6131" s="217">
        <v>45519</v>
      </c>
      <c r="AD6131" s="65">
        <v>1618</v>
      </c>
      <c r="AE6131" s="17" t="s">
        <v>74</v>
      </c>
    </row>
    <row r="6132" s="17" customFormat="1" hidden="1" spans="1:32">
      <c r="A6132" s="17" t="s">
        <v>34</v>
      </c>
      <c r="B6132" s="19">
        <v>1029</v>
      </c>
      <c r="C6132" s="183">
        <v>45512</v>
      </c>
      <c r="D6132" s="17" t="s">
        <v>52</v>
      </c>
      <c r="E6132" s="17" t="s">
        <v>53</v>
      </c>
      <c r="F6132" s="17" t="s">
        <v>54</v>
      </c>
      <c r="H6132" s="19">
        <v>1.2379</v>
      </c>
      <c r="I6132" s="19"/>
      <c r="J6132" s="17" t="s">
        <v>82</v>
      </c>
      <c r="K6132" s="351">
        <v>610</v>
      </c>
      <c r="L6132" s="352">
        <v>25</v>
      </c>
      <c r="M6132" s="19">
        <v>4000</v>
      </c>
      <c r="N6132" s="19" t="s">
        <v>40</v>
      </c>
      <c r="O6132" s="19" t="s">
        <v>141</v>
      </c>
      <c r="P6132" s="351">
        <v>359</v>
      </c>
      <c r="Q6132" s="91">
        <v>359</v>
      </c>
      <c r="R6132" s="19">
        <f t="shared" si="272"/>
        <v>0</v>
      </c>
      <c r="S6132" s="91">
        <v>2450</v>
      </c>
      <c r="T6132" s="19" t="s">
        <v>42</v>
      </c>
      <c r="U6132" s="102" t="s">
        <v>1492</v>
      </c>
      <c r="V6132" s="186">
        <v>45512</v>
      </c>
      <c r="W6132" s="17" t="s">
        <v>58</v>
      </c>
      <c r="Y6132" s="68">
        <v>45505</v>
      </c>
      <c r="Z6132" s="17" t="s">
        <v>191</v>
      </c>
      <c r="AA6132" s="17" t="s">
        <v>46</v>
      </c>
      <c r="AB6132" s="17" t="s">
        <v>1469</v>
      </c>
      <c r="AC6132" s="217">
        <v>45519</v>
      </c>
      <c r="AD6132" s="65">
        <v>1618</v>
      </c>
      <c r="AE6132" s="17" t="s">
        <v>74</v>
      </c>
    </row>
    <row r="6133" s="17" customFormat="1" hidden="1" spans="1:32">
      <c r="A6133" s="17" t="s">
        <v>34</v>
      </c>
      <c r="B6133" s="19">
        <v>1029</v>
      </c>
      <c r="C6133" s="183">
        <v>45512</v>
      </c>
      <c r="D6133" s="17" t="s">
        <v>52</v>
      </c>
      <c r="E6133" s="17" t="s">
        <v>53</v>
      </c>
      <c r="F6133" s="17" t="s">
        <v>54</v>
      </c>
      <c r="H6133" s="19">
        <v>1.2379</v>
      </c>
      <c r="I6133" s="19"/>
      <c r="J6133" s="17" t="s">
        <v>82</v>
      </c>
      <c r="K6133" s="351">
        <v>410</v>
      </c>
      <c r="L6133" s="352">
        <v>40</v>
      </c>
      <c r="M6133" s="19">
        <v>4000</v>
      </c>
      <c r="N6133" s="19" t="s">
        <v>40</v>
      </c>
      <c r="O6133" s="19" t="s">
        <v>141</v>
      </c>
      <c r="P6133" s="351">
        <v>611</v>
      </c>
      <c r="Q6133" s="91">
        <v>611</v>
      </c>
      <c r="R6133" s="19">
        <f t="shared" si="272"/>
        <v>0</v>
      </c>
      <c r="S6133" s="168">
        <v>2450</v>
      </c>
      <c r="T6133" s="19" t="s">
        <v>42</v>
      </c>
      <c r="U6133" s="102" t="s">
        <v>1492</v>
      </c>
      <c r="V6133" s="186">
        <v>45512</v>
      </c>
      <c r="W6133" s="17" t="s">
        <v>58</v>
      </c>
      <c r="Y6133" s="68">
        <v>45505</v>
      </c>
      <c r="Z6133" s="17" t="s">
        <v>191</v>
      </c>
      <c r="AA6133" s="17" t="s">
        <v>46</v>
      </c>
      <c r="AB6133" s="17" t="s">
        <v>1469</v>
      </c>
      <c r="AC6133" s="217">
        <v>45519</v>
      </c>
      <c r="AD6133" s="65">
        <v>1618</v>
      </c>
      <c r="AE6133" s="17" t="s">
        <v>74</v>
      </c>
    </row>
    <row r="6134" s="17" customFormat="1" hidden="1" spans="1:32">
      <c r="A6134" s="17" t="s">
        <v>34</v>
      </c>
      <c r="B6134" s="19">
        <v>1029</v>
      </c>
      <c r="C6134" s="183">
        <v>45512</v>
      </c>
      <c r="D6134" s="17" t="s">
        <v>52</v>
      </c>
      <c r="E6134" s="17" t="s">
        <v>53</v>
      </c>
      <c r="F6134" s="17" t="s">
        <v>54</v>
      </c>
      <c r="H6134" s="19">
        <v>1.2379</v>
      </c>
      <c r="I6134" s="19"/>
      <c r="J6134" s="17" t="s">
        <v>82</v>
      </c>
      <c r="K6134" s="351">
        <v>360</v>
      </c>
      <c r="L6134" s="352">
        <v>40</v>
      </c>
      <c r="M6134" s="19">
        <v>4000</v>
      </c>
      <c r="N6134" s="19" t="s">
        <v>40</v>
      </c>
      <c r="O6134" s="19" t="s">
        <v>141</v>
      </c>
      <c r="P6134" s="351">
        <v>406</v>
      </c>
      <c r="Q6134" s="91">
        <v>406</v>
      </c>
      <c r="R6134" s="19">
        <f t="shared" si="272"/>
        <v>0</v>
      </c>
      <c r="S6134" s="168">
        <v>2450</v>
      </c>
      <c r="T6134" s="19" t="s">
        <v>42</v>
      </c>
      <c r="U6134" s="102" t="s">
        <v>1492</v>
      </c>
      <c r="V6134" s="186">
        <v>45512</v>
      </c>
      <c r="W6134" s="17" t="s">
        <v>58</v>
      </c>
      <c r="Y6134" s="68">
        <v>45505</v>
      </c>
      <c r="Z6134" s="17" t="s">
        <v>191</v>
      </c>
      <c r="AA6134" s="17" t="s">
        <v>46</v>
      </c>
      <c r="AB6134" s="17" t="s">
        <v>1469</v>
      </c>
      <c r="AC6134" s="217">
        <v>45519</v>
      </c>
      <c r="AD6134" s="65">
        <v>1618</v>
      </c>
      <c r="AE6134" s="17" t="s">
        <v>74</v>
      </c>
    </row>
    <row r="6135" s="17" customFormat="1" hidden="1" spans="1:32">
      <c r="A6135" s="17" t="s">
        <v>34</v>
      </c>
      <c r="B6135" s="19">
        <v>1029</v>
      </c>
      <c r="C6135" s="183">
        <v>45512</v>
      </c>
      <c r="D6135" s="17" t="s">
        <v>52</v>
      </c>
      <c r="E6135" s="17" t="s">
        <v>53</v>
      </c>
      <c r="F6135" s="17" t="s">
        <v>54</v>
      </c>
      <c r="H6135" s="19">
        <v>1.2379</v>
      </c>
      <c r="I6135" s="19"/>
      <c r="J6135" s="17" t="s">
        <v>82</v>
      </c>
      <c r="K6135" s="351">
        <v>310</v>
      </c>
      <c r="L6135" s="352">
        <v>40</v>
      </c>
      <c r="M6135" s="19">
        <v>4000</v>
      </c>
      <c r="N6135" s="19" t="s">
        <v>40</v>
      </c>
      <c r="O6135" s="19" t="s">
        <v>141</v>
      </c>
      <c r="P6135" s="351">
        <v>331</v>
      </c>
      <c r="Q6135" s="91">
        <v>331</v>
      </c>
      <c r="R6135" s="19">
        <f t="shared" si="272"/>
        <v>0</v>
      </c>
      <c r="S6135" s="168">
        <v>2450</v>
      </c>
      <c r="T6135" s="19" t="s">
        <v>42</v>
      </c>
      <c r="U6135" s="102" t="s">
        <v>1492</v>
      </c>
      <c r="V6135" s="186">
        <v>45512</v>
      </c>
      <c r="W6135" s="17" t="s">
        <v>58</v>
      </c>
      <c r="Y6135" s="68">
        <v>45505</v>
      </c>
      <c r="Z6135" s="17" t="s">
        <v>191</v>
      </c>
      <c r="AA6135" s="17" t="s">
        <v>46</v>
      </c>
      <c r="AB6135" s="17" t="s">
        <v>1469</v>
      </c>
      <c r="AC6135" s="217">
        <v>45519</v>
      </c>
      <c r="AD6135" s="65">
        <v>1618</v>
      </c>
      <c r="AE6135" s="17" t="s">
        <v>74</v>
      </c>
    </row>
    <row r="6136" s="17" customFormat="1" hidden="1" spans="1:32">
      <c r="A6136" s="17" t="s">
        <v>34</v>
      </c>
      <c r="B6136" s="19">
        <v>1029</v>
      </c>
      <c r="C6136" s="183">
        <v>45512</v>
      </c>
      <c r="D6136" s="17" t="s">
        <v>52</v>
      </c>
      <c r="E6136" s="17" t="s">
        <v>53</v>
      </c>
      <c r="F6136" s="17" t="s">
        <v>54</v>
      </c>
      <c r="H6136" s="19">
        <v>1.2379</v>
      </c>
      <c r="I6136" s="19"/>
      <c r="J6136" s="17" t="s">
        <v>82</v>
      </c>
      <c r="K6136" s="351">
        <v>360</v>
      </c>
      <c r="L6136" s="352">
        <v>40</v>
      </c>
      <c r="M6136" s="19">
        <v>4000</v>
      </c>
      <c r="N6136" s="19" t="s">
        <v>40</v>
      </c>
      <c r="O6136" s="19" t="s">
        <v>141</v>
      </c>
      <c r="P6136" s="351">
        <v>299</v>
      </c>
      <c r="Q6136" s="19">
        <v>299</v>
      </c>
      <c r="R6136" s="19">
        <f t="shared" si="272"/>
        <v>0</v>
      </c>
      <c r="S6136" s="168">
        <v>2450</v>
      </c>
      <c r="T6136" s="19" t="s">
        <v>42</v>
      </c>
      <c r="U6136" s="102" t="s">
        <v>1492</v>
      </c>
      <c r="V6136" s="186">
        <v>45512</v>
      </c>
      <c r="W6136" s="17" t="s">
        <v>58</v>
      </c>
      <c r="Y6136" s="68">
        <v>45505</v>
      </c>
      <c r="Z6136" s="17" t="s">
        <v>191</v>
      </c>
      <c r="AA6136" s="17" t="s">
        <v>46</v>
      </c>
      <c r="AB6136" s="17" t="s">
        <v>1469</v>
      </c>
      <c r="AC6136" s="217">
        <v>45519</v>
      </c>
      <c r="AD6136" s="65">
        <v>1618</v>
      </c>
      <c r="AE6136" s="17" t="s">
        <v>74</v>
      </c>
    </row>
    <row r="6137" s="17" customFormat="1" hidden="1" spans="1:32">
      <c r="A6137" s="17" t="s">
        <v>34</v>
      </c>
      <c r="B6137" s="19">
        <v>1029</v>
      </c>
      <c r="C6137" s="183">
        <v>45512</v>
      </c>
      <c r="D6137" s="17" t="s">
        <v>52</v>
      </c>
      <c r="E6137" s="17" t="s">
        <v>53</v>
      </c>
      <c r="F6137" s="17" t="s">
        <v>54</v>
      </c>
      <c r="H6137" s="19">
        <v>1.2379</v>
      </c>
      <c r="I6137" s="19"/>
      <c r="J6137" s="17" t="s">
        <v>82</v>
      </c>
      <c r="K6137" s="351">
        <v>360</v>
      </c>
      <c r="L6137" s="352">
        <v>40</v>
      </c>
      <c r="M6137" s="19">
        <v>4000</v>
      </c>
      <c r="N6137" s="19" t="s">
        <v>40</v>
      </c>
      <c r="O6137" s="19" t="s">
        <v>141</v>
      </c>
      <c r="P6137" s="351">
        <v>402</v>
      </c>
      <c r="Q6137" s="19">
        <v>402</v>
      </c>
      <c r="R6137" s="19">
        <f t="shared" si="272"/>
        <v>0</v>
      </c>
      <c r="S6137" s="168">
        <v>2450</v>
      </c>
      <c r="T6137" s="19" t="s">
        <v>42</v>
      </c>
      <c r="U6137" s="102" t="s">
        <v>1492</v>
      </c>
      <c r="V6137" s="186">
        <v>45512</v>
      </c>
      <c r="W6137" s="17" t="s">
        <v>58</v>
      </c>
      <c r="Y6137" s="68">
        <v>45505</v>
      </c>
      <c r="Z6137" s="17" t="s">
        <v>191</v>
      </c>
      <c r="AA6137" s="17" t="s">
        <v>46</v>
      </c>
      <c r="AB6137" s="17" t="s">
        <v>1469</v>
      </c>
      <c r="AC6137" s="217">
        <v>45519</v>
      </c>
      <c r="AD6137" s="65">
        <v>1618</v>
      </c>
      <c r="AE6137" s="17" t="s">
        <v>74</v>
      </c>
    </row>
    <row r="6138" s="17" customFormat="1" hidden="1" spans="1:32">
      <c r="A6138" s="17" t="s">
        <v>34</v>
      </c>
      <c r="B6138" s="19">
        <v>1029</v>
      </c>
      <c r="C6138" s="183">
        <v>45512</v>
      </c>
      <c r="D6138" s="17" t="s">
        <v>52</v>
      </c>
      <c r="E6138" s="17" t="s">
        <v>53</v>
      </c>
      <c r="F6138" s="17" t="s">
        <v>54</v>
      </c>
      <c r="H6138" s="19">
        <v>1.2379</v>
      </c>
      <c r="I6138" s="19"/>
      <c r="J6138" s="17" t="s">
        <v>82</v>
      </c>
      <c r="K6138" s="351">
        <v>360</v>
      </c>
      <c r="L6138" s="352">
        <v>40</v>
      </c>
      <c r="M6138" s="19">
        <v>4000</v>
      </c>
      <c r="N6138" s="19" t="s">
        <v>40</v>
      </c>
      <c r="O6138" s="19" t="s">
        <v>141</v>
      </c>
      <c r="P6138" s="351">
        <v>417</v>
      </c>
      <c r="Q6138" s="19">
        <v>417</v>
      </c>
      <c r="R6138" s="19">
        <f t="shared" si="272"/>
        <v>0</v>
      </c>
      <c r="S6138" s="168">
        <v>2450</v>
      </c>
      <c r="T6138" s="19" t="s">
        <v>42</v>
      </c>
      <c r="U6138" s="102" t="s">
        <v>1492</v>
      </c>
      <c r="V6138" s="186">
        <v>45512</v>
      </c>
      <c r="W6138" s="17" t="s">
        <v>58</v>
      </c>
      <c r="Y6138" s="68">
        <v>45505</v>
      </c>
      <c r="Z6138" s="17" t="s">
        <v>191</v>
      </c>
      <c r="AA6138" s="17" t="s">
        <v>46</v>
      </c>
      <c r="AB6138" s="17" t="s">
        <v>1469</v>
      </c>
      <c r="AC6138" s="217">
        <v>45519</v>
      </c>
      <c r="AD6138" s="65">
        <v>1618</v>
      </c>
      <c r="AE6138" s="17" t="s">
        <v>74</v>
      </c>
    </row>
    <row r="6139" s="17" customFormat="1" hidden="1" spans="1:32">
      <c r="A6139" s="17" t="s">
        <v>34</v>
      </c>
      <c r="B6139" s="19">
        <v>1029</v>
      </c>
      <c r="C6139" s="183">
        <v>45512</v>
      </c>
      <c r="D6139" s="17" t="s">
        <v>52</v>
      </c>
      <c r="E6139" s="17" t="s">
        <v>53</v>
      </c>
      <c r="F6139" s="17" t="s">
        <v>54</v>
      </c>
      <c r="H6139" s="19">
        <v>1.2379</v>
      </c>
      <c r="I6139" s="19"/>
      <c r="J6139" s="17" t="s">
        <v>82</v>
      </c>
      <c r="K6139" s="351">
        <v>360</v>
      </c>
      <c r="L6139" s="352">
        <v>40</v>
      </c>
      <c r="M6139" s="19">
        <v>4000</v>
      </c>
      <c r="N6139" s="19" t="s">
        <v>40</v>
      </c>
      <c r="O6139" s="19" t="s">
        <v>141</v>
      </c>
      <c r="P6139" s="351">
        <v>419</v>
      </c>
      <c r="Q6139" s="19">
        <v>419</v>
      </c>
      <c r="R6139" s="19">
        <f t="shared" si="272"/>
        <v>0</v>
      </c>
      <c r="S6139" s="168">
        <v>2450</v>
      </c>
      <c r="T6139" s="19" t="s">
        <v>42</v>
      </c>
      <c r="U6139" s="102" t="s">
        <v>1492</v>
      </c>
      <c r="V6139" s="186">
        <v>45512</v>
      </c>
      <c r="W6139" s="17" t="s">
        <v>58</v>
      </c>
      <c r="Y6139" s="68">
        <v>45505</v>
      </c>
      <c r="Z6139" s="17" t="s">
        <v>191</v>
      </c>
      <c r="AA6139" s="17" t="s">
        <v>46</v>
      </c>
      <c r="AB6139" s="17" t="s">
        <v>1469</v>
      </c>
      <c r="AC6139" s="217">
        <v>45519</v>
      </c>
      <c r="AD6139" s="65">
        <v>1618</v>
      </c>
      <c r="AE6139" s="17" t="s">
        <v>74</v>
      </c>
    </row>
    <row r="6140" s="17" customFormat="1" hidden="1" spans="1:32">
      <c r="A6140" s="17" t="s">
        <v>34</v>
      </c>
      <c r="B6140" s="19">
        <v>1029</v>
      </c>
      <c r="C6140" s="183">
        <v>45512</v>
      </c>
      <c r="D6140" s="17" t="s">
        <v>52</v>
      </c>
      <c r="E6140" s="17" t="s">
        <v>53</v>
      </c>
      <c r="F6140" s="17" t="s">
        <v>54</v>
      </c>
      <c r="H6140" s="19">
        <v>1.2379</v>
      </c>
      <c r="I6140" s="19"/>
      <c r="J6140" s="17" t="s">
        <v>82</v>
      </c>
      <c r="K6140" s="351">
        <v>360</v>
      </c>
      <c r="L6140" s="352">
        <v>40</v>
      </c>
      <c r="M6140" s="19">
        <v>4000</v>
      </c>
      <c r="N6140" s="19" t="s">
        <v>40</v>
      </c>
      <c r="O6140" s="19" t="s">
        <v>141</v>
      </c>
      <c r="P6140" s="351">
        <v>393</v>
      </c>
      <c r="Q6140" s="19">
        <v>393</v>
      </c>
      <c r="R6140" s="19">
        <f t="shared" si="272"/>
        <v>0</v>
      </c>
      <c r="S6140" s="168">
        <v>2450</v>
      </c>
      <c r="T6140" s="19" t="s">
        <v>42</v>
      </c>
      <c r="U6140" s="102" t="s">
        <v>1492</v>
      </c>
      <c r="V6140" s="186">
        <v>45512</v>
      </c>
      <c r="W6140" s="17" t="s">
        <v>58</v>
      </c>
      <c r="Y6140" s="68">
        <v>45505</v>
      </c>
      <c r="Z6140" s="17" t="s">
        <v>191</v>
      </c>
      <c r="AA6140" s="17" t="s">
        <v>46</v>
      </c>
      <c r="AB6140" s="17" t="s">
        <v>1469</v>
      </c>
      <c r="AC6140" s="217">
        <v>45519</v>
      </c>
      <c r="AD6140" s="65">
        <v>1618</v>
      </c>
      <c r="AE6140" s="17" t="s">
        <v>74</v>
      </c>
    </row>
    <row r="6141" s="17" customFormat="1" hidden="1" spans="1:32">
      <c r="A6141" s="17" t="s">
        <v>34</v>
      </c>
      <c r="B6141" s="19">
        <v>1029</v>
      </c>
      <c r="C6141" s="183">
        <v>45512</v>
      </c>
      <c r="D6141" s="17" t="s">
        <v>52</v>
      </c>
      <c r="E6141" s="17" t="s">
        <v>53</v>
      </c>
      <c r="F6141" s="17" t="s">
        <v>54</v>
      </c>
      <c r="H6141" s="19">
        <v>1.2379</v>
      </c>
      <c r="I6141" s="19"/>
      <c r="J6141" s="17" t="s">
        <v>82</v>
      </c>
      <c r="K6141" s="351">
        <v>310</v>
      </c>
      <c r="L6141" s="352">
        <v>40</v>
      </c>
      <c r="M6141" s="19">
        <v>4000</v>
      </c>
      <c r="N6141" s="19" t="s">
        <v>40</v>
      </c>
      <c r="O6141" s="19" t="s">
        <v>141</v>
      </c>
      <c r="P6141" s="351">
        <v>372</v>
      </c>
      <c r="Q6141" s="19">
        <v>372</v>
      </c>
      <c r="R6141" s="19">
        <f t="shared" ref="R6141:R6204" si="273">+P6141-Q6141</f>
        <v>0</v>
      </c>
      <c r="S6141" s="168">
        <v>2450</v>
      </c>
      <c r="T6141" s="19" t="s">
        <v>42</v>
      </c>
      <c r="U6141" s="102" t="s">
        <v>1492</v>
      </c>
      <c r="V6141" s="186">
        <v>45512</v>
      </c>
      <c r="W6141" s="17" t="s">
        <v>58</v>
      </c>
      <c r="Y6141" s="68">
        <v>45505</v>
      </c>
      <c r="Z6141" s="17" t="s">
        <v>191</v>
      </c>
      <c r="AA6141" s="17" t="s">
        <v>46</v>
      </c>
      <c r="AB6141" s="17" t="s">
        <v>1469</v>
      </c>
      <c r="AC6141" s="217">
        <v>45519</v>
      </c>
      <c r="AD6141" s="65">
        <v>1618</v>
      </c>
      <c r="AE6141" s="17" t="s">
        <v>74</v>
      </c>
    </row>
    <row r="6142" s="17" customFormat="1" hidden="1" spans="1:32">
      <c r="A6142" s="17" t="s">
        <v>34</v>
      </c>
      <c r="B6142" s="19">
        <v>1029</v>
      </c>
      <c r="C6142" s="183">
        <v>45512</v>
      </c>
      <c r="D6142" s="17" t="s">
        <v>52</v>
      </c>
      <c r="E6142" s="17" t="s">
        <v>53</v>
      </c>
      <c r="F6142" s="17" t="s">
        <v>54</v>
      </c>
      <c r="H6142" s="19">
        <v>1.2379</v>
      </c>
      <c r="I6142" s="19"/>
      <c r="J6142" s="17" t="s">
        <v>82</v>
      </c>
      <c r="K6142" s="351">
        <v>360</v>
      </c>
      <c r="L6142" s="352">
        <v>40</v>
      </c>
      <c r="M6142" s="19">
        <v>4000</v>
      </c>
      <c r="N6142" s="19" t="s">
        <v>40</v>
      </c>
      <c r="O6142" s="19" t="s">
        <v>141</v>
      </c>
      <c r="P6142" s="351">
        <v>424</v>
      </c>
      <c r="Q6142" s="19">
        <v>424</v>
      </c>
      <c r="R6142" s="19">
        <f t="shared" si="273"/>
        <v>0</v>
      </c>
      <c r="S6142" s="168">
        <v>2450</v>
      </c>
      <c r="T6142" s="19" t="s">
        <v>42</v>
      </c>
      <c r="U6142" s="102" t="s">
        <v>1492</v>
      </c>
      <c r="V6142" s="186">
        <v>45512</v>
      </c>
      <c r="W6142" s="17" t="s">
        <v>58</v>
      </c>
      <c r="Y6142" s="68">
        <v>45505</v>
      </c>
      <c r="Z6142" s="17" t="s">
        <v>191</v>
      </c>
      <c r="AA6142" s="17" t="s">
        <v>46</v>
      </c>
      <c r="AB6142" s="17" t="s">
        <v>1469</v>
      </c>
      <c r="AC6142" s="217">
        <v>45519</v>
      </c>
      <c r="AD6142" s="65">
        <v>1618</v>
      </c>
      <c r="AE6142" s="17" t="s">
        <v>74</v>
      </c>
    </row>
    <row r="6143" s="17" customFormat="1" hidden="1" spans="1:32">
      <c r="A6143" s="17" t="s">
        <v>34</v>
      </c>
      <c r="B6143" s="19">
        <v>1030</v>
      </c>
      <c r="C6143" s="183">
        <v>45514</v>
      </c>
      <c r="D6143" s="17" t="s">
        <v>52</v>
      </c>
      <c r="E6143" s="17" t="s">
        <v>322</v>
      </c>
      <c r="F6143" s="17" t="s">
        <v>54</v>
      </c>
      <c r="H6143" s="19">
        <v>1.2714</v>
      </c>
      <c r="I6143" s="19"/>
      <c r="J6143" s="17" t="s">
        <v>39</v>
      </c>
      <c r="K6143" s="19">
        <v>155</v>
      </c>
      <c r="L6143" s="91"/>
      <c r="M6143" s="19">
        <v>5800</v>
      </c>
      <c r="N6143" s="19" t="s">
        <v>66</v>
      </c>
      <c r="O6143" s="19" t="s">
        <v>50</v>
      </c>
      <c r="P6143" s="19">
        <v>1186</v>
      </c>
      <c r="Q6143" s="19">
        <v>770</v>
      </c>
      <c r="R6143" s="19">
        <f t="shared" si="273"/>
        <v>416</v>
      </c>
      <c r="S6143" s="19">
        <f>1705</f>
        <v>1705</v>
      </c>
      <c r="T6143" s="19" t="s">
        <v>42</v>
      </c>
      <c r="U6143" s="102" t="s">
        <v>1493</v>
      </c>
      <c r="V6143" s="186">
        <v>45539</v>
      </c>
      <c r="W6143" s="17" t="s">
        <v>69</v>
      </c>
      <c r="Y6143" s="68">
        <v>45566</v>
      </c>
      <c r="Z6143" s="17" t="s">
        <v>191</v>
      </c>
      <c r="AA6143" s="17" t="s">
        <v>46</v>
      </c>
      <c r="AB6143" s="17" t="s">
        <v>1494</v>
      </c>
      <c r="AC6143" s="217">
        <v>45833</v>
      </c>
      <c r="AD6143" s="65">
        <v>1699</v>
      </c>
      <c r="AE6143" s="17" t="s">
        <v>48</v>
      </c>
      <c r="AF6143" s="17" t="s">
        <v>1495</v>
      </c>
    </row>
    <row r="6144" s="17" customFormat="1" hidden="1" spans="1:32">
      <c r="A6144" s="17" t="s">
        <v>34</v>
      </c>
      <c r="B6144" s="19">
        <v>1030</v>
      </c>
      <c r="C6144" s="183">
        <v>45514</v>
      </c>
      <c r="D6144" s="17" t="s">
        <v>52</v>
      </c>
      <c r="E6144" s="17" t="s">
        <v>322</v>
      </c>
      <c r="F6144" s="17" t="s">
        <v>54</v>
      </c>
      <c r="H6144" s="19">
        <v>1.2714</v>
      </c>
      <c r="I6144" s="19"/>
      <c r="J6144" s="17" t="s">
        <v>39</v>
      </c>
      <c r="K6144" s="19">
        <v>180</v>
      </c>
      <c r="L6144" s="91"/>
      <c r="M6144" s="19">
        <v>5800</v>
      </c>
      <c r="N6144" s="19" t="s">
        <v>66</v>
      </c>
      <c r="O6144" s="19" t="s">
        <v>50</v>
      </c>
      <c r="P6144" s="19">
        <v>1599</v>
      </c>
      <c r="Q6144" s="19">
        <v>1110</v>
      </c>
      <c r="R6144" s="19">
        <f t="shared" si="273"/>
        <v>489</v>
      </c>
      <c r="S6144" s="19">
        <f>1705</f>
        <v>1705</v>
      </c>
      <c r="T6144" s="19" t="s">
        <v>42</v>
      </c>
      <c r="U6144" s="102" t="s">
        <v>1493</v>
      </c>
      <c r="V6144" s="186">
        <v>45539</v>
      </c>
      <c r="W6144" s="17" t="s">
        <v>69</v>
      </c>
      <c r="Y6144" s="68">
        <v>45566</v>
      </c>
      <c r="Z6144" s="17" t="s">
        <v>191</v>
      </c>
      <c r="AA6144" s="17" t="s">
        <v>46</v>
      </c>
      <c r="AB6144" s="17" t="s">
        <v>1494</v>
      </c>
      <c r="AC6144" s="217">
        <v>45833</v>
      </c>
      <c r="AD6144" s="65">
        <v>1699</v>
      </c>
      <c r="AE6144" s="17" t="s">
        <v>48</v>
      </c>
      <c r="AF6144" s="17" t="s">
        <v>1495</v>
      </c>
    </row>
    <row r="6145" s="17" customFormat="1" hidden="1" spans="1:32">
      <c r="A6145" s="17" t="s">
        <v>34</v>
      </c>
      <c r="B6145" s="19">
        <v>1030</v>
      </c>
      <c r="C6145" s="183">
        <v>45514</v>
      </c>
      <c r="D6145" s="17" t="s">
        <v>52</v>
      </c>
      <c r="E6145" s="17" t="s">
        <v>322</v>
      </c>
      <c r="F6145" s="17" t="s">
        <v>54</v>
      </c>
      <c r="H6145" s="19">
        <v>1.2714</v>
      </c>
      <c r="I6145" s="19"/>
      <c r="J6145" s="17" t="s">
        <v>39</v>
      </c>
      <c r="K6145" s="19">
        <v>230</v>
      </c>
      <c r="L6145" s="91"/>
      <c r="M6145" s="19">
        <v>5800</v>
      </c>
      <c r="N6145" s="19" t="s">
        <v>66</v>
      </c>
      <c r="O6145" s="19" t="s">
        <v>50</v>
      </c>
      <c r="P6145" s="19">
        <v>1306</v>
      </c>
      <c r="Q6145" s="19">
        <v>1588</v>
      </c>
      <c r="R6145" s="19">
        <f t="shared" si="273"/>
        <v>-282</v>
      </c>
      <c r="S6145" s="19">
        <f>1705</f>
        <v>1705</v>
      </c>
      <c r="T6145" s="19" t="s">
        <v>42</v>
      </c>
      <c r="U6145" s="102" t="s">
        <v>1493</v>
      </c>
      <c r="V6145" s="186">
        <v>45539</v>
      </c>
      <c r="W6145" s="17" t="s">
        <v>69</v>
      </c>
      <c r="Y6145" s="68">
        <v>45566</v>
      </c>
      <c r="Z6145" s="17" t="s">
        <v>191</v>
      </c>
      <c r="AA6145" s="17" t="s">
        <v>46</v>
      </c>
      <c r="AB6145" s="17" t="s">
        <v>1494</v>
      </c>
      <c r="AC6145" s="217">
        <v>45833</v>
      </c>
      <c r="AD6145" s="65">
        <v>1699</v>
      </c>
      <c r="AE6145" s="17" t="s">
        <v>48</v>
      </c>
      <c r="AF6145" s="17" t="s">
        <v>1495</v>
      </c>
    </row>
    <row r="6146" s="17" customFormat="1" hidden="1" spans="1:32">
      <c r="A6146" s="17" t="s">
        <v>34</v>
      </c>
      <c r="B6146" s="19">
        <v>1030</v>
      </c>
      <c r="C6146" s="183">
        <v>45514</v>
      </c>
      <c r="D6146" s="17" t="s">
        <v>52</v>
      </c>
      <c r="E6146" s="17" t="s">
        <v>322</v>
      </c>
      <c r="F6146" s="17" t="s">
        <v>54</v>
      </c>
      <c r="H6146" s="19">
        <v>1.2714</v>
      </c>
      <c r="I6146" s="19"/>
      <c r="J6146" s="17" t="s">
        <v>39</v>
      </c>
      <c r="K6146" s="19">
        <v>360</v>
      </c>
      <c r="L6146" s="91"/>
      <c r="M6146" s="19">
        <v>5800</v>
      </c>
      <c r="N6146" s="19" t="s">
        <v>66</v>
      </c>
      <c r="O6146" s="19" t="s">
        <v>50</v>
      </c>
      <c r="P6146" s="19">
        <v>3000</v>
      </c>
      <c r="Q6146" s="19">
        <v>4455</v>
      </c>
      <c r="R6146" s="19">
        <f t="shared" si="273"/>
        <v>-1455</v>
      </c>
      <c r="S6146" s="19">
        <f>1705</f>
        <v>1705</v>
      </c>
      <c r="T6146" s="19" t="s">
        <v>42</v>
      </c>
      <c r="U6146" s="102" t="s">
        <v>1493</v>
      </c>
      <c r="V6146" s="186">
        <v>45539</v>
      </c>
      <c r="W6146" s="17" t="s">
        <v>69</v>
      </c>
      <c r="Y6146" s="68">
        <v>45566</v>
      </c>
      <c r="Z6146" s="17" t="s">
        <v>191</v>
      </c>
      <c r="AA6146" s="17" t="s">
        <v>46</v>
      </c>
      <c r="AB6146" s="17" t="s">
        <v>1494</v>
      </c>
      <c r="AC6146" s="217">
        <v>45833</v>
      </c>
      <c r="AD6146" s="65">
        <v>1699</v>
      </c>
      <c r="AE6146" s="17" t="s">
        <v>48</v>
      </c>
      <c r="AF6146" s="17" t="s">
        <v>1495</v>
      </c>
    </row>
    <row r="6147" s="17" customFormat="1" hidden="1" spans="1:32">
      <c r="A6147" s="17" t="s">
        <v>34</v>
      </c>
      <c r="B6147" s="19">
        <v>1030</v>
      </c>
      <c r="C6147" s="183">
        <v>45514</v>
      </c>
      <c r="D6147" s="17" t="s">
        <v>52</v>
      </c>
      <c r="E6147" s="17" t="s">
        <v>322</v>
      </c>
      <c r="F6147" s="17" t="s">
        <v>54</v>
      </c>
      <c r="H6147" s="19">
        <v>1.2714</v>
      </c>
      <c r="I6147" s="19"/>
      <c r="J6147" s="17" t="s">
        <v>39</v>
      </c>
      <c r="K6147" s="19">
        <v>345</v>
      </c>
      <c r="L6147" s="349"/>
      <c r="M6147" s="19">
        <v>5800</v>
      </c>
      <c r="N6147" s="19" t="s">
        <v>66</v>
      </c>
      <c r="O6147" s="19" t="s">
        <v>98</v>
      </c>
      <c r="P6147" s="19">
        <v>3000</v>
      </c>
      <c r="Q6147" s="19">
        <v>4260</v>
      </c>
      <c r="R6147" s="19">
        <f t="shared" si="273"/>
        <v>-1260</v>
      </c>
      <c r="S6147" s="353">
        <f>1655.5</f>
        <v>1655.5</v>
      </c>
      <c r="T6147" s="19" t="s">
        <v>42</v>
      </c>
      <c r="U6147" s="102" t="s">
        <v>1493</v>
      </c>
      <c r="V6147" s="186">
        <v>45539</v>
      </c>
      <c r="W6147" s="17" t="s">
        <v>69</v>
      </c>
      <c r="Y6147" s="68">
        <v>45566</v>
      </c>
      <c r="Z6147" s="17" t="s">
        <v>191</v>
      </c>
      <c r="AA6147" s="17" t="s">
        <v>46</v>
      </c>
      <c r="AB6147" s="17" t="s">
        <v>1494</v>
      </c>
      <c r="AC6147" s="217">
        <v>45833</v>
      </c>
      <c r="AD6147" s="65">
        <v>1699</v>
      </c>
      <c r="AE6147" s="17" t="s">
        <v>48</v>
      </c>
      <c r="AF6147" s="17" t="s">
        <v>1495</v>
      </c>
    </row>
    <row r="6148" s="17" customFormat="1" hidden="1" spans="1:32">
      <c r="A6148" s="17" t="s">
        <v>34</v>
      </c>
      <c r="B6148" s="19">
        <v>1030</v>
      </c>
      <c r="C6148" s="183">
        <v>45514</v>
      </c>
      <c r="D6148" s="17" t="s">
        <v>52</v>
      </c>
      <c r="E6148" s="17" t="s">
        <v>322</v>
      </c>
      <c r="F6148" s="17" t="s">
        <v>54</v>
      </c>
      <c r="H6148" s="19">
        <v>1.2714</v>
      </c>
      <c r="I6148" s="19"/>
      <c r="J6148" s="17" t="s">
        <v>39</v>
      </c>
      <c r="K6148" s="19">
        <v>395</v>
      </c>
      <c r="L6148" s="349"/>
      <c r="M6148" s="19">
        <v>5800</v>
      </c>
      <c r="N6148" s="19" t="s">
        <v>66</v>
      </c>
      <c r="O6148" s="19" t="s">
        <v>98</v>
      </c>
      <c r="P6148" s="19">
        <v>4000</v>
      </c>
      <c r="Q6148" s="19">
        <v>4650</v>
      </c>
      <c r="R6148" s="19">
        <f t="shared" si="273"/>
        <v>-650</v>
      </c>
      <c r="S6148" s="353">
        <f>1655.5</f>
        <v>1655.5</v>
      </c>
      <c r="T6148" s="19" t="s">
        <v>42</v>
      </c>
      <c r="U6148" s="102" t="s">
        <v>1493</v>
      </c>
      <c r="V6148" s="186">
        <v>45539</v>
      </c>
      <c r="W6148" s="17" t="s">
        <v>69</v>
      </c>
      <c r="Y6148" s="68">
        <v>45566</v>
      </c>
      <c r="Z6148" s="17" t="s">
        <v>191</v>
      </c>
      <c r="AA6148" s="17" t="s">
        <v>46</v>
      </c>
      <c r="AB6148" s="17" t="s">
        <v>1494</v>
      </c>
      <c r="AC6148" s="217">
        <v>45833</v>
      </c>
      <c r="AD6148" s="65">
        <v>1699</v>
      </c>
      <c r="AE6148" s="17" t="s">
        <v>48</v>
      </c>
      <c r="AF6148" s="17" t="s">
        <v>1495</v>
      </c>
    </row>
    <row r="6149" s="17" customFormat="1" hidden="1" spans="1:32">
      <c r="A6149" s="17" t="s">
        <v>34</v>
      </c>
      <c r="B6149" s="19">
        <v>1030</v>
      </c>
      <c r="C6149" s="183">
        <v>45514</v>
      </c>
      <c r="D6149" s="17" t="s">
        <v>52</v>
      </c>
      <c r="E6149" s="17" t="s">
        <v>322</v>
      </c>
      <c r="F6149" s="17" t="s">
        <v>54</v>
      </c>
      <c r="H6149" s="19">
        <v>1.2714</v>
      </c>
      <c r="I6149" s="19"/>
      <c r="J6149" s="17" t="s">
        <v>39</v>
      </c>
      <c r="K6149" s="19">
        <v>445</v>
      </c>
      <c r="L6149" s="349"/>
      <c r="M6149" s="19">
        <v>5800</v>
      </c>
      <c r="N6149" s="19" t="s">
        <v>66</v>
      </c>
      <c r="O6149" s="19" t="s">
        <v>98</v>
      </c>
      <c r="P6149" s="19">
        <v>5000</v>
      </c>
      <c r="Q6149" s="19">
        <v>5748</v>
      </c>
      <c r="R6149" s="19">
        <f t="shared" si="273"/>
        <v>-748</v>
      </c>
      <c r="S6149" s="353">
        <f>1655.5</f>
        <v>1655.5</v>
      </c>
      <c r="T6149" s="19" t="s">
        <v>42</v>
      </c>
      <c r="U6149" s="102" t="s">
        <v>1493</v>
      </c>
      <c r="V6149" s="186">
        <v>45539</v>
      </c>
      <c r="W6149" s="17" t="s">
        <v>69</v>
      </c>
      <c r="Y6149" s="68">
        <v>45566</v>
      </c>
      <c r="Z6149" s="17" t="s">
        <v>191</v>
      </c>
      <c r="AA6149" s="17" t="s">
        <v>46</v>
      </c>
      <c r="AB6149" s="17" t="s">
        <v>1494</v>
      </c>
      <c r="AC6149" s="217">
        <v>45833</v>
      </c>
      <c r="AD6149" s="65">
        <v>1699</v>
      </c>
      <c r="AE6149" s="17" t="s">
        <v>48</v>
      </c>
      <c r="AF6149" s="17" t="s">
        <v>1495</v>
      </c>
    </row>
    <row r="6150" s="17" customFormat="1" hidden="1" spans="1:32">
      <c r="A6150" s="17" t="s">
        <v>34</v>
      </c>
      <c r="B6150" s="19">
        <v>1030</v>
      </c>
      <c r="C6150" s="183">
        <v>45514</v>
      </c>
      <c r="D6150" s="17" t="s">
        <v>52</v>
      </c>
      <c r="E6150" s="17" t="s">
        <v>322</v>
      </c>
      <c r="F6150" s="17" t="s">
        <v>54</v>
      </c>
      <c r="H6150" s="19">
        <v>1.2714</v>
      </c>
      <c r="I6150" s="19"/>
      <c r="J6150" s="17" t="s">
        <v>82</v>
      </c>
      <c r="K6150" s="91">
        <v>515</v>
      </c>
      <c r="L6150" s="349">
        <v>205</v>
      </c>
      <c r="M6150" s="19">
        <v>5800</v>
      </c>
      <c r="N6150" s="19" t="s">
        <v>66</v>
      </c>
      <c r="O6150" s="19" t="s">
        <v>50</v>
      </c>
      <c r="P6150" s="19">
        <v>3315</v>
      </c>
      <c r="Q6150" s="19">
        <v>4130</v>
      </c>
      <c r="R6150" s="19">
        <f t="shared" si="273"/>
        <v>-815</v>
      </c>
      <c r="S6150" s="19">
        <v>1733</v>
      </c>
      <c r="T6150" s="19" t="s">
        <v>42</v>
      </c>
      <c r="U6150" s="102" t="s">
        <v>1493</v>
      </c>
      <c r="V6150" s="186">
        <v>45539</v>
      </c>
      <c r="W6150" s="17" t="s">
        <v>69</v>
      </c>
      <c r="Y6150" s="68">
        <v>45566</v>
      </c>
      <c r="Z6150" s="17" t="s">
        <v>191</v>
      </c>
      <c r="AA6150" s="17" t="s">
        <v>46</v>
      </c>
      <c r="AB6150" s="17" t="s">
        <v>1494</v>
      </c>
      <c r="AC6150" s="217">
        <v>45833</v>
      </c>
      <c r="AD6150" s="65">
        <v>1699</v>
      </c>
      <c r="AE6150" s="17" t="s">
        <v>48</v>
      </c>
      <c r="AF6150" s="17" t="s">
        <v>1495</v>
      </c>
    </row>
    <row r="6151" s="17" customFormat="1" hidden="1" spans="1:32">
      <c r="A6151" s="17" t="s">
        <v>34</v>
      </c>
      <c r="B6151" s="19">
        <v>1030</v>
      </c>
      <c r="C6151" s="183">
        <v>45514</v>
      </c>
      <c r="D6151" s="17" t="s">
        <v>52</v>
      </c>
      <c r="E6151" s="17" t="s">
        <v>322</v>
      </c>
      <c r="F6151" s="17" t="s">
        <v>54</v>
      </c>
      <c r="H6151" s="19">
        <v>1.2714</v>
      </c>
      <c r="I6151" s="19"/>
      <c r="J6151" s="17" t="s">
        <v>82</v>
      </c>
      <c r="K6151" s="91">
        <v>510</v>
      </c>
      <c r="L6151" s="350">
        <v>255</v>
      </c>
      <c r="M6151" s="19">
        <v>5800</v>
      </c>
      <c r="N6151" s="19" t="s">
        <v>66</v>
      </c>
      <c r="O6151" s="19" t="s">
        <v>50</v>
      </c>
      <c r="P6151" s="19">
        <v>4084</v>
      </c>
      <c r="Q6151" s="19">
        <v>4640</v>
      </c>
      <c r="R6151" s="19">
        <f t="shared" si="273"/>
        <v>-556</v>
      </c>
      <c r="S6151" s="19">
        <v>1733</v>
      </c>
      <c r="T6151" s="19" t="s">
        <v>42</v>
      </c>
      <c r="U6151" s="102" t="s">
        <v>1493</v>
      </c>
      <c r="V6151" s="186">
        <v>45539</v>
      </c>
      <c r="W6151" s="17" t="s">
        <v>69</v>
      </c>
      <c r="Y6151" s="68">
        <v>45566</v>
      </c>
      <c r="Z6151" s="17" t="s">
        <v>191</v>
      </c>
      <c r="AA6151" s="17" t="s">
        <v>46</v>
      </c>
      <c r="AB6151" s="17" t="s">
        <v>1494</v>
      </c>
      <c r="AC6151" s="217">
        <v>45833</v>
      </c>
      <c r="AD6151" s="65">
        <v>1699</v>
      </c>
      <c r="AE6151" s="17" t="s">
        <v>48</v>
      </c>
      <c r="AF6151" s="17" t="s">
        <v>1495</v>
      </c>
    </row>
    <row r="6152" s="17" customFormat="1" hidden="1" spans="1:32">
      <c r="A6152" s="17" t="s">
        <v>34</v>
      </c>
      <c r="B6152" s="19">
        <v>1030</v>
      </c>
      <c r="C6152" s="183">
        <v>45514</v>
      </c>
      <c r="D6152" s="17" t="s">
        <v>52</v>
      </c>
      <c r="E6152" s="17" t="s">
        <v>322</v>
      </c>
      <c r="F6152" s="17" t="s">
        <v>54</v>
      </c>
      <c r="H6152" s="19">
        <v>1.2714</v>
      </c>
      <c r="I6152" s="19"/>
      <c r="J6152" s="17" t="s">
        <v>82</v>
      </c>
      <c r="K6152" s="91">
        <v>610</v>
      </c>
      <c r="L6152" s="350">
        <v>255</v>
      </c>
      <c r="M6152" s="19">
        <v>5800</v>
      </c>
      <c r="N6152" s="19" t="s">
        <v>66</v>
      </c>
      <c r="O6152" s="19" t="s">
        <v>50</v>
      </c>
      <c r="P6152" s="19">
        <v>4884</v>
      </c>
      <c r="Q6152" s="19">
        <v>5600</v>
      </c>
      <c r="R6152" s="19">
        <f t="shared" si="273"/>
        <v>-716</v>
      </c>
      <c r="S6152" s="19">
        <v>1733</v>
      </c>
      <c r="T6152" s="19" t="s">
        <v>42</v>
      </c>
      <c r="U6152" s="102" t="s">
        <v>1493</v>
      </c>
      <c r="V6152" s="186">
        <v>45539</v>
      </c>
      <c r="W6152" s="17" t="s">
        <v>69</v>
      </c>
      <c r="Y6152" s="68">
        <v>45566</v>
      </c>
      <c r="Z6152" s="17" t="s">
        <v>191</v>
      </c>
      <c r="AA6152" s="17" t="s">
        <v>46</v>
      </c>
      <c r="AB6152" s="17" t="s">
        <v>1494</v>
      </c>
      <c r="AC6152" s="217">
        <v>45833</v>
      </c>
      <c r="AD6152" s="65">
        <v>1699</v>
      </c>
      <c r="AE6152" s="17" t="s">
        <v>48</v>
      </c>
      <c r="AF6152" s="17" t="s">
        <v>1495</v>
      </c>
    </row>
    <row r="6153" s="17" customFormat="1" hidden="1" spans="1:32">
      <c r="A6153" s="17" t="s">
        <v>34</v>
      </c>
      <c r="B6153" s="19">
        <v>1030</v>
      </c>
      <c r="C6153" s="183">
        <v>45514</v>
      </c>
      <c r="D6153" s="17" t="s">
        <v>52</v>
      </c>
      <c r="E6153" s="17" t="s">
        <v>322</v>
      </c>
      <c r="F6153" s="17" t="s">
        <v>54</v>
      </c>
      <c r="H6153" s="19">
        <v>1.2714</v>
      </c>
      <c r="I6153" s="19"/>
      <c r="J6153" s="17" t="s">
        <v>82</v>
      </c>
      <c r="K6153" s="91">
        <v>610</v>
      </c>
      <c r="L6153" s="350">
        <v>310</v>
      </c>
      <c r="M6153" s="19">
        <v>5800</v>
      </c>
      <c r="N6153" s="19" t="s">
        <v>66</v>
      </c>
      <c r="O6153" s="19" t="s">
        <v>50</v>
      </c>
      <c r="P6153" s="19">
        <v>5938</v>
      </c>
      <c r="Q6153" s="19">
        <v>7910</v>
      </c>
      <c r="R6153" s="19">
        <f t="shared" si="273"/>
        <v>-1972</v>
      </c>
      <c r="S6153" s="19">
        <v>1733</v>
      </c>
      <c r="T6153" s="19" t="s">
        <v>42</v>
      </c>
      <c r="U6153" s="102" t="s">
        <v>1493</v>
      </c>
      <c r="V6153" s="186">
        <v>45539</v>
      </c>
      <c r="W6153" s="17" t="s">
        <v>69</v>
      </c>
      <c r="Y6153" s="68">
        <v>45566</v>
      </c>
      <c r="Z6153" s="17" t="s">
        <v>191</v>
      </c>
      <c r="AA6153" s="17" t="s">
        <v>46</v>
      </c>
      <c r="AB6153" s="17" t="s">
        <v>1494</v>
      </c>
      <c r="AC6153" s="217">
        <v>45833</v>
      </c>
      <c r="AD6153" s="65">
        <v>1699</v>
      </c>
      <c r="AE6153" s="17" t="s">
        <v>48</v>
      </c>
      <c r="AF6153" s="17" t="s">
        <v>1495</v>
      </c>
    </row>
    <row r="6154" s="17" customFormat="1" hidden="1" spans="1:32">
      <c r="A6154" s="17" t="s">
        <v>34</v>
      </c>
      <c r="B6154" s="19">
        <v>1030</v>
      </c>
      <c r="C6154" s="183">
        <v>45514</v>
      </c>
      <c r="D6154" s="17" t="s">
        <v>52</v>
      </c>
      <c r="E6154" s="17" t="s">
        <v>322</v>
      </c>
      <c r="F6154" s="17" t="s">
        <v>54</v>
      </c>
      <c r="H6154" s="19">
        <v>1.2714</v>
      </c>
      <c r="I6154" s="19"/>
      <c r="J6154" s="17" t="s">
        <v>82</v>
      </c>
      <c r="K6154" s="91">
        <v>710</v>
      </c>
      <c r="L6154" s="350">
        <v>310</v>
      </c>
      <c r="M6154" s="19">
        <v>5800</v>
      </c>
      <c r="N6154" s="19" t="s">
        <v>66</v>
      </c>
      <c r="O6154" s="19" t="s">
        <v>50</v>
      </c>
      <c r="P6154" s="19">
        <v>6911</v>
      </c>
      <c r="Q6154" s="19">
        <v>8250</v>
      </c>
      <c r="R6154" s="19">
        <f t="shared" si="273"/>
        <v>-1339</v>
      </c>
      <c r="S6154" s="19">
        <v>1733</v>
      </c>
      <c r="T6154" s="19" t="s">
        <v>42</v>
      </c>
      <c r="U6154" s="102" t="s">
        <v>1493</v>
      </c>
      <c r="V6154" s="186">
        <v>45539</v>
      </c>
      <c r="W6154" s="17" t="s">
        <v>69</v>
      </c>
      <c r="Y6154" s="68">
        <v>45566</v>
      </c>
      <c r="Z6154" s="17" t="s">
        <v>191</v>
      </c>
      <c r="AA6154" s="17" t="s">
        <v>46</v>
      </c>
      <c r="AB6154" s="17" t="s">
        <v>1494</v>
      </c>
      <c r="AC6154" s="217">
        <v>45833</v>
      </c>
      <c r="AD6154" s="65">
        <v>1699</v>
      </c>
      <c r="AE6154" s="17" t="s">
        <v>48</v>
      </c>
      <c r="AF6154" s="17" t="s">
        <v>1495</v>
      </c>
    </row>
    <row r="6155" s="17" customFormat="1" hidden="1" spans="1:32">
      <c r="A6155" s="17" t="s">
        <v>34</v>
      </c>
      <c r="B6155" s="19">
        <v>1030</v>
      </c>
      <c r="C6155" s="183">
        <v>45514</v>
      </c>
      <c r="D6155" s="17" t="s">
        <v>52</v>
      </c>
      <c r="E6155" s="17" t="s">
        <v>322</v>
      </c>
      <c r="F6155" s="17" t="s">
        <v>54</v>
      </c>
      <c r="H6155" s="19">
        <v>1.2714</v>
      </c>
      <c r="I6155" s="19"/>
      <c r="J6155" s="17" t="s">
        <v>82</v>
      </c>
      <c r="K6155" s="91">
        <v>710</v>
      </c>
      <c r="L6155" s="350">
        <v>360</v>
      </c>
      <c r="M6155" s="19">
        <v>5800</v>
      </c>
      <c r="N6155" s="19" t="s">
        <v>66</v>
      </c>
      <c r="O6155" s="19" t="s">
        <v>50</v>
      </c>
      <c r="P6155" s="19">
        <v>8026</v>
      </c>
      <c r="Q6155" s="19">
        <v>7230</v>
      </c>
      <c r="R6155" s="19">
        <f t="shared" si="273"/>
        <v>796</v>
      </c>
      <c r="S6155" s="19">
        <v>1733</v>
      </c>
      <c r="T6155" s="19" t="s">
        <v>42</v>
      </c>
      <c r="U6155" s="102" t="s">
        <v>1493</v>
      </c>
      <c r="V6155" s="186">
        <v>45539</v>
      </c>
      <c r="W6155" s="17" t="s">
        <v>69</v>
      </c>
      <c r="Y6155" s="68">
        <v>45566</v>
      </c>
      <c r="Z6155" s="17" t="s">
        <v>191</v>
      </c>
      <c r="AA6155" s="17" t="s">
        <v>46</v>
      </c>
      <c r="AB6155" s="17" t="s">
        <v>1494</v>
      </c>
      <c r="AC6155" s="217">
        <v>45833</v>
      </c>
      <c r="AD6155" s="65">
        <v>1699</v>
      </c>
      <c r="AE6155" s="17" t="s">
        <v>48</v>
      </c>
      <c r="AF6155" s="17" t="s">
        <v>1495</v>
      </c>
    </row>
    <row r="6156" s="17" customFormat="1" hidden="1" spans="1:32">
      <c r="A6156" s="17" t="s">
        <v>34</v>
      </c>
      <c r="B6156" s="19">
        <v>1030</v>
      </c>
      <c r="C6156" s="183">
        <v>45514</v>
      </c>
      <c r="D6156" s="17" t="s">
        <v>52</v>
      </c>
      <c r="E6156" s="17" t="s">
        <v>322</v>
      </c>
      <c r="F6156" s="17" t="s">
        <v>54</v>
      </c>
      <c r="H6156" s="19">
        <v>1.2714</v>
      </c>
      <c r="I6156" s="19"/>
      <c r="J6156" s="17" t="s">
        <v>82</v>
      </c>
      <c r="K6156" s="91">
        <v>810</v>
      </c>
      <c r="L6156" s="350">
        <v>360</v>
      </c>
      <c r="M6156" s="19">
        <v>5800</v>
      </c>
      <c r="N6156" s="19" t="s">
        <v>66</v>
      </c>
      <c r="O6156" s="19" t="s">
        <v>50</v>
      </c>
      <c r="P6156" s="19">
        <v>9156</v>
      </c>
      <c r="Q6156" s="19">
        <v>9710</v>
      </c>
      <c r="R6156" s="19">
        <f t="shared" si="273"/>
        <v>-554</v>
      </c>
      <c r="S6156" s="19">
        <v>1733</v>
      </c>
      <c r="T6156" s="19" t="s">
        <v>42</v>
      </c>
      <c r="U6156" s="102" t="s">
        <v>1493</v>
      </c>
      <c r="V6156" s="186">
        <v>45539</v>
      </c>
      <c r="W6156" s="17" t="s">
        <v>69</v>
      </c>
      <c r="Y6156" s="68">
        <v>45566</v>
      </c>
      <c r="Z6156" s="17" t="s">
        <v>191</v>
      </c>
      <c r="AA6156" s="17" t="s">
        <v>46</v>
      </c>
      <c r="AB6156" s="17" t="s">
        <v>1494</v>
      </c>
      <c r="AC6156" s="217">
        <v>45833</v>
      </c>
      <c r="AD6156" s="65">
        <v>1699</v>
      </c>
      <c r="AE6156" s="17" t="s">
        <v>48</v>
      </c>
      <c r="AF6156" s="17" t="s">
        <v>1495</v>
      </c>
    </row>
    <row r="6157" s="17" customFormat="1" hidden="1" spans="1:32">
      <c r="A6157" s="17" t="s">
        <v>34</v>
      </c>
      <c r="B6157" s="19">
        <v>1030</v>
      </c>
      <c r="C6157" s="183">
        <v>45514</v>
      </c>
      <c r="D6157" s="17" t="s">
        <v>52</v>
      </c>
      <c r="E6157" s="17" t="s">
        <v>322</v>
      </c>
      <c r="F6157" s="17" t="s">
        <v>54</v>
      </c>
      <c r="H6157" s="19">
        <v>1.2714</v>
      </c>
      <c r="I6157" s="19"/>
      <c r="J6157" s="17" t="s">
        <v>82</v>
      </c>
      <c r="K6157" s="91">
        <v>810</v>
      </c>
      <c r="L6157" s="350">
        <v>410</v>
      </c>
      <c r="M6157" s="19">
        <v>5800</v>
      </c>
      <c r="N6157" s="19" t="s">
        <v>66</v>
      </c>
      <c r="O6157" s="19" t="s">
        <v>50</v>
      </c>
      <c r="P6157" s="19">
        <v>10428</v>
      </c>
      <c r="Q6157" s="19">
        <v>8860</v>
      </c>
      <c r="R6157" s="19">
        <f t="shared" si="273"/>
        <v>1568</v>
      </c>
      <c r="S6157" s="19">
        <v>1733</v>
      </c>
      <c r="T6157" s="19" t="s">
        <v>42</v>
      </c>
      <c r="U6157" s="102" t="s">
        <v>1493</v>
      </c>
      <c r="V6157" s="186">
        <v>45539</v>
      </c>
      <c r="W6157" s="17" t="s">
        <v>69</v>
      </c>
      <c r="Y6157" s="68">
        <v>45566</v>
      </c>
      <c r="Z6157" s="17" t="s">
        <v>191</v>
      </c>
      <c r="AA6157" s="17" t="s">
        <v>46</v>
      </c>
      <c r="AB6157" s="17" t="s">
        <v>1494</v>
      </c>
      <c r="AC6157" s="217">
        <v>45833</v>
      </c>
      <c r="AD6157" s="65">
        <v>1699</v>
      </c>
      <c r="AE6157" s="17" t="s">
        <v>48</v>
      </c>
      <c r="AF6157" s="17" t="s">
        <v>1495</v>
      </c>
    </row>
    <row r="6158" s="17" customFormat="1" hidden="1" spans="1:32">
      <c r="A6158" s="17" t="s">
        <v>34</v>
      </c>
      <c r="B6158" s="19">
        <v>1030</v>
      </c>
      <c r="C6158" s="183">
        <v>45514</v>
      </c>
      <c r="D6158" s="17" t="s">
        <v>52</v>
      </c>
      <c r="E6158" s="17" t="s">
        <v>322</v>
      </c>
      <c r="F6158" s="17" t="s">
        <v>54</v>
      </c>
      <c r="H6158" s="19">
        <v>1.2714</v>
      </c>
      <c r="I6158" s="19"/>
      <c r="J6158" s="17" t="s">
        <v>82</v>
      </c>
      <c r="K6158" s="91">
        <v>510</v>
      </c>
      <c r="L6158" s="91">
        <v>510</v>
      </c>
      <c r="M6158" s="19">
        <v>4940</v>
      </c>
      <c r="N6158" s="19" t="s">
        <v>66</v>
      </c>
      <c r="O6158" s="19" t="s">
        <v>50</v>
      </c>
      <c r="P6158" s="19">
        <v>16815</v>
      </c>
      <c r="Q6158" s="19">
        <v>10160</v>
      </c>
      <c r="R6158" s="19">
        <f t="shared" si="273"/>
        <v>6655</v>
      </c>
      <c r="S6158" s="19">
        <v>1733</v>
      </c>
      <c r="T6158" s="19" t="s">
        <v>42</v>
      </c>
      <c r="U6158" s="102" t="s">
        <v>1493</v>
      </c>
      <c r="V6158" s="186">
        <v>45539</v>
      </c>
      <c r="W6158" s="17" t="s">
        <v>69</v>
      </c>
      <c r="Y6158" s="68">
        <v>45566</v>
      </c>
      <c r="Z6158" s="17" t="s">
        <v>191</v>
      </c>
      <c r="AA6158" s="17" t="s">
        <v>46</v>
      </c>
      <c r="AB6158" s="17" t="s">
        <v>1496</v>
      </c>
      <c r="AC6158" s="217">
        <v>45790</v>
      </c>
      <c r="AD6158" s="65">
        <v>1682</v>
      </c>
      <c r="AE6158" s="17" t="s">
        <v>48</v>
      </c>
      <c r="AF6158" s="17" t="s">
        <v>1495</v>
      </c>
    </row>
    <row r="6159" s="17" customFormat="1" hidden="1" spans="1:32">
      <c r="A6159" s="17" t="s">
        <v>34</v>
      </c>
      <c r="B6159" s="19">
        <v>1030</v>
      </c>
      <c r="C6159" s="183">
        <v>45514</v>
      </c>
      <c r="D6159" s="17" t="s">
        <v>52</v>
      </c>
      <c r="E6159" s="17" t="s">
        <v>322</v>
      </c>
      <c r="F6159" s="17" t="s">
        <v>54</v>
      </c>
      <c r="H6159" s="19">
        <v>1.2714</v>
      </c>
      <c r="I6159" s="19"/>
      <c r="J6159" s="17" t="s">
        <v>82</v>
      </c>
      <c r="K6159" s="91">
        <v>500</v>
      </c>
      <c r="L6159" s="91">
        <v>300</v>
      </c>
      <c r="M6159" s="19">
        <v>4800</v>
      </c>
      <c r="N6159" s="19" t="s">
        <v>66</v>
      </c>
      <c r="O6159" s="19" t="s">
        <v>50</v>
      </c>
      <c r="P6159" s="19">
        <v>5000</v>
      </c>
      <c r="Q6159" s="19">
        <v>5720</v>
      </c>
      <c r="R6159" s="19">
        <f t="shared" si="273"/>
        <v>-720</v>
      </c>
      <c r="S6159" s="19">
        <v>1716</v>
      </c>
      <c r="T6159" s="19" t="s">
        <v>42</v>
      </c>
      <c r="U6159" s="102" t="s">
        <v>1493</v>
      </c>
      <c r="V6159" s="186">
        <v>45539</v>
      </c>
      <c r="W6159" s="17" t="s">
        <v>69</v>
      </c>
      <c r="Y6159" s="68">
        <v>45566</v>
      </c>
      <c r="Z6159" s="17" t="s">
        <v>191</v>
      </c>
      <c r="AA6159" s="17" t="s">
        <v>46</v>
      </c>
      <c r="AB6159" s="17" t="s">
        <v>1496</v>
      </c>
      <c r="AC6159" s="217">
        <v>45790</v>
      </c>
      <c r="AD6159" s="65">
        <v>1682</v>
      </c>
      <c r="AE6159" s="17" t="s">
        <v>1497</v>
      </c>
      <c r="AF6159" s="17" t="s">
        <v>1495</v>
      </c>
    </row>
    <row r="6160" s="17" customFormat="1" hidden="1" spans="1:32">
      <c r="A6160" s="17" t="s">
        <v>34</v>
      </c>
      <c r="B6160" s="19">
        <v>1030</v>
      </c>
      <c r="C6160" s="183">
        <v>45514</v>
      </c>
      <c r="D6160" s="17" t="s">
        <v>52</v>
      </c>
      <c r="E6160" s="17" t="s">
        <v>322</v>
      </c>
      <c r="F6160" s="17" t="s">
        <v>54</v>
      </c>
      <c r="H6160" s="19">
        <v>1.2714</v>
      </c>
      <c r="I6160" s="19"/>
      <c r="J6160" s="17" t="s">
        <v>82</v>
      </c>
      <c r="K6160" s="91">
        <v>400</v>
      </c>
      <c r="L6160" s="91">
        <v>350</v>
      </c>
      <c r="M6160" s="19">
        <v>5140</v>
      </c>
      <c r="N6160" s="19" t="s">
        <v>66</v>
      </c>
      <c r="O6160" s="19" t="s">
        <v>50</v>
      </c>
      <c r="P6160" s="19">
        <v>5000</v>
      </c>
      <c r="Q6160" s="19">
        <v>5690</v>
      </c>
      <c r="R6160" s="19">
        <f t="shared" si="273"/>
        <v>-690</v>
      </c>
      <c r="S6160" s="19">
        <v>1716</v>
      </c>
      <c r="T6160" s="19" t="s">
        <v>42</v>
      </c>
      <c r="U6160" s="102" t="s">
        <v>1493</v>
      </c>
      <c r="V6160" s="186">
        <v>45539</v>
      </c>
      <c r="W6160" s="17" t="s">
        <v>69</v>
      </c>
      <c r="Y6160" s="68">
        <v>45566</v>
      </c>
      <c r="Z6160" s="17" t="s">
        <v>191</v>
      </c>
      <c r="AA6160" s="17" t="s">
        <v>46</v>
      </c>
      <c r="AB6160" s="17" t="s">
        <v>1496</v>
      </c>
      <c r="AC6160" s="217">
        <v>45790</v>
      </c>
      <c r="AD6160" s="65">
        <v>1682</v>
      </c>
      <c r="AE6160" s="17" t="s">
        <v>48</v>
      </c>
      <c r="AF6160" s="17" t="s">
        <v>1495</v>
      </c>
    </row>
    <row r="6161" s="17" customFormat="1" hidden="1" spans="1:32">
      <c r="A6161" s="17" t="s">
        <v>34</v>
      </c>
      <c r="B6161" s="19">
        <v>1030</v>
      </c>
      <c r="C6161" s="183">
        <v>45514</v>
      </c>
      <c r="D6161" s="17" t="s">
        <v>52</v>
      </c>
      <c r="E6161" s="17" t="s">
        <v>322</v>
      </c>
      <c r="F6161" s="17" t="s">
        <v>54</v>
      </c>
      <c r="H6161" s="19">
        <v>1.2714</v>
      </c>
      <c r="I6161" s="19"/>
      <c r="J6161" s="17" t="s">
        <v>82</v>
      </c>
      <c r="K6161" s="91">
        <v>600</v>
      </c>
      <c r="L6161" s="91">
        <v>350</v>
      </c>
      <c r="M6161" s="19">
        <v>4270</v>
      </c>
      <c r="N6161" s="19" t="s">
        <v>66</v>
      </c>
      <c r="O6161" s="19" t="s">
        <v>50</v>
      </c>
      <c r="P6161" s="19">
        <v>7000</v>
      </c>
      <c r="Q6161" s="19">
        <v>7130</v>
      </c>
      <c r="R6161" s="19">
        <f t="shared" si="273"/>
        <v>-130</v>
      </c>
      <c r="S6161" s="19">
        <v>1716</v>
      </c>
      <c r="T6161" s="19" t="s">
        <v>42</v>
      </c>
      <c r="U6161" s="102" t="s">
        <v>1493</v>
      </c>
      <c r="V6161" s="186">
        <v>45539</v>
      </c>
      <c r="W6161" s="17" t="s">
        <v>69</v>
      </c>
      <c r="Y6161" s="68">
        <v>45566</v>
      </c>
      <c r="Z6161" s="17" t="s">
        <v>191</v>
      </c>
      <c r="AA6161" s="17" t="s">
        <v>46</v>
      </c>
      <c r="AB6161" s="17" t="s">
        <v>1496</v>
      </c>
      <c r="AC6161" s="217">
        <v>45790</v>
      </c>
      <c r="AD6161" s="65">
        <v>1682</v>
      </c>
      <c r="AE6161" s="17" t="s">
        <v>1497</v>
      </c>
      <c r="AF6161" s="17" t="s">
        <v>1495</v>
      </c>
    </row>
    <row r="6162" s="17" customFormat="1" hidden="1" spans="1:32">
      <c r="A6162" s="17" t="s">
        <v>34</v>
      </c>
      <c r="B6162" s="19">
        <v>1030</v>
      </c>
      <c r="C6162" s="183">
        <v>45514</v>
      </c>
      <c r="D6162" s="17" t="s">
        <v>52</v>
      </c>
      <c r="E6162" s="17" t="s">
        <v>322</v>
      </c>
      <c r="F6162" s="17" t="s">
        <v>54</v>
      </c>
      <c r="H6162" s="19">
        <v>1.2714</v>
      </c>
      <c r="I6162" s="19"/>
      <c r="J6162" s="17" t="s">
        <v>82</v>
      </c>
      <c r="K6162" s="91">
        <v>600</v>
      </c>
      <c r="L6162" s="91">
        <v>345</v>
      </c>
      <c r="M6162" s="19">
        <v>4770</v>
      </c>
      <c r="N6162" s="19" t="s">
        <v>66</v>
      </c>
      <c r="O6162" s="19" t="s">
        <v>50</v>
      </c>
      <c r="P6162" s="19">
        <v>7500</v>
      </c>
      <c r="Q6162" s="19">
        <v>7810</v>
      </c>
      <c r="R6162" s="19">
        <f t="shared" si="273"/>
        <v>-310</v>
      </c>
      <c r="S6162" s="19">
        <v>1716</v>
      </c>
      <c r="T6162" s="19" t="s">
        <v>42</v>
      </c>
      <c r="U6162" s="102" t="s">
        <v>1493</v>
      </c>
      <c r="V6162" s="186">
        <v>45539</v>
      </c>
      <c r="W6162" s="17" t="s">
        <v>69</v>
      </c>
      <c r="Y6162" s="68">
        <v>45566</v>
      </c>
      <c r="Z6162" s="17" t="s">
        <v>191</v>
      </c>
      <c r="AA6162" s="17" t="s">
        <v>46</v>
      </c>
      <c r="AB6162" s="17" t="s">
        <v>1496</v>
      </c>
      <c r="AC6162" s="217">
        <v>45790</v>
      </c>
      <c r="AD6162" s="65">
        <v>1682</v>
      </c>
      <c r="AE6162" s="17" t="s">
        <v>48</v>
      </c>
      <c r="AF6162" s="17" t="s">
        <v>1495</v>
      </c>
    </row>
    <row r="6163" s="17" customFormat="1" hidden="1" spans="1:32">
      <c r="A6163" s="17" t="s">
        <v>34</v>
      </c>
      <c r="B6163" s="19">
        <v>1030</v>
      </c>
      <c r="C6163" s="183">
        <v>45514</v>
      </c>
      <c r="D6163" s="17" t="s">
        <v>52</v>
      </c>
      <c r="E6163" s="17" t="s">
        <v>322</v>
      </c>
      <c r="F6163" s="17" t="s">
        <v>54</v>
      </c>
      <c r="H6163" s="19">
        <v>1.2714</v>
      </c>
      <c r="I6163" s="19"/>
      <c r="J6163" s="17" t="s">
        <v>82</v>
      </c>
      <c r="K6163" s="91">
        <v>700</v>
      </c>
      <c r="L6163" s="91">
        <v>345</v>
      </c>
      <c r="M6163" s="19">
        <v>3910</v>
      </c>
      <c r="N6163" s="19" t="s">
        <v>66</v>
      </c>
      <c r="O6163" s="19" t="s">
        <v>50</v>
      </c>
      <c r="P6163" s="19">
        <v>9000</v>
      </c>
      <c r="Q6163" s="19">
        <v>7460</v>
      </c>
      <c r="R6163" s="19">
        <f t="shared" si="273"/>
        <v>1540</v>
      </c>
      <c r="S6163" s="19">
        <v>1716</v>
      </c>
      <c r="T6163" s="19" t="s">
        <v>42</v>
      </c>
      <c r="U6163" s="102" t="s">
        <v>1493</v>
      </c>
      <c r="V6163" s="186">
        <v>45539</v>
      </c>
      <c r="W6163" s="17" t="s">
        <v>69</v>
      </c>
      <c r="Y6163" s="68">
        <v>45566</v>
      </c>
      <c r="Z6163" s="17" t="s">
        <v>191</v>
      </c>
      <c r="AA6163" s="17" t="s">
        <v>46</v>
      </c>
      <c r="AB6163" s="17" t="s">
        <v>1496</v>
      </c>
      <c r="AC6163" s="217">
        <v>45790</v>
      </c>
      <c r="AD6163" s="65">
        <v>1682</v>
      </c>
      <c r="AE6163" s="17" t="s">
        <v>48</v>
      </c>
      <c r="AF6163" s="17" t="s">
        <v>1495</v>
      </c>
    </row>
    <row r="6164" s="17" customFormat="1" hidden="1" spans="1:32">
      <c r="A6164" s="17" t="s">
        <v>34</v>
      </c>
      <c r="B6164" s="19">
        <v>1030</v>
      </c>
      <c r="C6164" s="183">
        <v>45514</v>
      </c>
      <c r="D6164" s="17" t="s">
        <v>52</v>
      </c>
      <c r="E6164" s="17" t="s">
        <v>322</v>
      </c>
      <c r="F6164" s="17" t="s">
        <v>54</v>
      </c>
      <c r="H6164" s="19">
        <v>1.2714</v>
      </c>
      <c r="I6164" s="19"/>
      <c r="J6164" s="17" t="s">
        <v>82</v>
      </c>
      <c r="K6164" s="91">
        <v>800</v>
      </c>
      <c r="L6164" s="91">
        <v>345</v>
      </c>
      <c r="M6164" s="19">
        <v>4164</v>
      </c>
      <c r="N6164" s="19" t="s">
        <v>66</v>
      </c>
      <c r="O6164" s="19" t="s">
        <v>50</v>
      </c>
      <c r="P6164" s="19">
        <v>10000</v>
      </c>
      <c r="Q6164" s="19">
        <v>9080</v>
      </c>
      <c r="R6164" s="19">
        <f t="shared" si="273"/>
        <v>920</v>
      </c>
      <c r="S6164" s="19">
        <v>1716</v>
      </c>
      <c r="T6164" s="19" t="s">
        <v>42</v>
      </c>
      <c r="U6164" s="102" t="s">
        <v>1493</v>
      </c>
      <c r="V6164" s="186">
        <v>45539</v>
      </c>
      <c r="W6164" s="17" t="s">
        <v>69</v>
      </c>
      <c r="Y6164" s="68">
        <v>45566</v>
      </c>
      <c r="Z6164" s="17" t="s">
        <v>191</v>
      </c>
      <c r="AA6164" s="17" t="s">
        <v>46</v>
      </c>
      <c r="AB6164" s="17" t="s">
        <v>1496</v>
      </c>
      <c r="AC6164" s="217">
        <v>45790</v>
      </c>
      <c r="AD6164" s="65">
        <v>1682</v>
      </c>
      <c r="AE6164" s="17" t="s">
        <v>48</v>
      </c>
      <c r="AF6164" s="17" t="s">
        <v>1495</v>
      </c>
    </row>
    <row r="6165" s="17" customFormat="1" hidden="1" spans="1:32">
      <c r="A6165" s="17" t="s">
        <v>34</v>
      </c>
      <c r="B6165" s="19">
        <v>1031</v>
      </c>
      <c r="C6165" s="183">
        <v>45516</v>
      </c>
      <c r="D6165" s="17" t="s">
        <v>109</v>
      </c>
      <c r="E6165" s="17" t="s">
        <v>110</v>
      </c>
      <c r="F6165" s="17" t="s">
        <v>72</v>
      </c>
      <c r="H6165" s="19">
        <v>1.2379</v>
      </c>
      <c r="I6165" s="19"/>
      <c r="J6165" s="17" t="s">
        <v>39</v>
      </c>
      <c r="K6165" s="91">
        <v>13</v>
      </c>
      <c r="L6165" s="350"/>
      <c r="M6165" s="19">
        <v>5800</v>
      </c>
      <c r="N6165" s="19" t="s">
        <v>40</v>
      </c>
      <c r="O6165" s="19" t="s">
        <v>84</v>
      </c>
      <c r="P6165" s="19">
        <v>1300</v>
      </c>
      <c r="Q6165" s="146">
        <v>1386</v>
      </c>
      <c r="R6165" s="19">
        <f t="shared" si="273"/>
        <v>-86</v>
      </c>
      <c r="S6165" s="19">
        <f>2700-70</f>
        <v>2630</v>
      </c>
      <c r="T6165" s="19" t="s">
        <v>42</v>
      </c>
      <c r="U6165" s="102" t="s">
        <v>1498</v>
      </c>
      <c r="V6165" s="186">
        <v>45518</v>
      </c>
      <c r="W6165" s="17" t="s">
        <v>44</v>
      </c>
      <c r="Y6165" s="68">
        <v>45809</v>
      </c>
      <c r="Z6165" s="17" t="s">
        <v>1454</v>
      </c>
      <c r="AA6165" s="17" t="s">
        <v>46</v>
      </c>
      <c r="AB6165" s="17" t="s">
        <v>1463</v>
      </c>
      <c r="AC6165" s="217">
        <v>45800</v>
      </c>
      <c r="AD6165" s="65">
        <v>1691</v>
      </c>
      <c r="AE6165" s="17" t="s">
        <v>48</v>
      </c>
      <c r="AF6165" s="17" t="s">
        <v>1464</v>
      </c>
    </row>
    <row r="6166" s="17" customFormat="1" hidden="1" spans="1:32">
      <c r="A6166" s="17" t="s">
        <v>34</v>
      </c>
      <c r="B6166" s="19">
        <v>1031</v>
      </c>
      <c r="C6166" s="183">
        <v>45516</v>
      </c>
      <c r="D6166" s="17" t="s">
        <v>109</v>
      </c>
      <c r="E6166" s="17" t="s">
        <v>110</v>
      </c>
      <c r="F6166" s="17" t="s">
        <v>72</v>
      </c>
      <c r="H6166" s="19">
        <v>1.2379</v>
      </c>
      <c r="I6166" s="19"/>
      <c r="J6166" s="17" t="s">
        <v>39</v>
      </c>
      <c r="K6166" s="91">
        <v>183</v>
      </c>
      <c r="L6166" s="350"/>
      <c r="M6166" s="19">
        <v>5800</v>
      </c>
      <c r="N6166" s="19" t="s">
        <v>40</v>
      </c>
      <c r="O6166" s="19" t="s">
        <v>84</v>
      </c>
      <c r="P6166" s="19">
        <v>10000</v>
      </c>
      <c r="Q6166" s="146">
        <f>815+780+785+790+1550</f>
        <v>4720</v>
      </c>
      <c r="R6166" s="19">
        <f t="shared" si="273"/>
        <v>5280</v>
      </c>
      <c r="S6166" s="19">
        <f>2350-70</f>
        <v>2280</v>
      </c>
      <c r="T6166" s="19" t="s">
        <v>42</v>
      </c>
      <c r="U6166" s="102" t="s">
        <v>1498</v>
      </c>
      <c r="V6166" s="186">
        <v>45518</v>
      </c>
      <c r="W6166" s="17" t="s">
        <v>44</v>
      </c>
      <c r="Y6166" s="68">
        <v>45809</v>
      </c>
      <c r="Z6166" s="17" t="s">
        <v>1454</v>
      </c>
      <c r="AA6166" s="17" t="s">
        <v>46</v>
      </c>
      <c r="AB6166" s="17" t="s">
        <v>1463</v>
      </c>
      <c r="AC6166" s="217">
        <v>45800</v>
      </c>
      <c r="AD6166" s="65">
        <v>1691</v>
      </c>
      <c r="AE6166" s="17" t="s">
        <v>1499</v>
      </c>
      <c r="AF6166" s="17" t="s">
        <v>1464</v>
      </c>
    </row>
    <row r="6167" s="17" customFormat="1" hidden="1" spans="1:32">
      <c r="A6167" s="17" t="s">
        <v>34</v>
      </c>
      <c r="B6167" s="19">
        <v>1031</v>
      </c>
      <c r="C6167" s="183">
        <v>45516</v>
      </c>
      <c r="D6167" s="17" t="s">
        <v>109</v>
      </c>
      <c r="E6167" s="17" t="s">
        <v>110</v>
      </c>
      <c r="F6167" s="17" t="s">
        <v>72</v>
      </c>
      <c r="H6167" s="19">
        <v>1.2379</v>
      </c>
      <c r="I6167" s="19"/>
      <c r="J6167" s="17" t="s">
        <v>39</v>
      </c>
      <c r="K6167" s="19">
        <v>605</v>
      </c>
      <c r="L6167" s="91"/>
      <c r="M6167" s="19">
        <v>5800</v>
      </c>
      <c r="N6167" s="19" t="s">
        <v>40</v>
      </c>
      <c r="O6167" s="19" t="s">
        <v>50</v>
      </c>
      <c r="P6167" s="19">
        <v>10000</v>
      </c>
      <c r="Q6167" s="146">
        <v>8090</v>
      </c>
      <c r="R6167" s="19">
        <f t="shared" si="273"/>
        <v>1910</v>
      </c>
      <c r="S6167" s="19">
        <f>2560-70</f>
        <v>2490</v>
      </c>
      <c r="T6167" s="19" t="s">
        <v>42</v>
      </c>
      <c r="U6167" s="102" t="s">
        <v>1498</v>
      </c>
      <c r="V6167" s="186">
        <v>45518</v>
      </c>
      <c r="W6167" s="17" t="s">
        <v>44</v>
      </c>
      <c r="Y6167" s="68">
        <v>45809</v>
      </c>
      <c r="Z6167" s="17" t="s">
        <v>1454</v>
      </c>
      <c r="AA6167" s="17" t="s">
        <v>46</v>
      </c>
      <c r="AB6167" s="17" t="s">
        <v>1463</v>
      </c>
      <c r="AC6167" s="217">
        <v>45800</v>
      </c>
      <c r="AD6167" s="65">
        <v>1691</v>
      </c>
      <c r="AE6167" s="17" t="s">
        <v>48</v>
      </c>
      <c r="AF6167" s="17" t="s">
        <v>1464</v>
      </c>
    </row>
    <row r="6168" s="17" customFormat="1" hidden="1" spans="1:32">
      <c r="A6168" s="17" t="s">
        <v>34</v>
      </c>
      <c r="B6168" s="19">
        <v>1032</v>
      </c>
      <c r="C6168" s="183">
        <v>45516</v>
      </c>
      <c r="D6168" s="17" t="s">
        <v>109</v>
      </c>
      <c r="E6168" s="17" t="s">
        <v>110</v>
      </c>
      <c r="F6168" s="17" t="s">
        <v>1500</v>
      </c>
      <c r="H6168" s="19">
        <v>1.2379</v>
      </c>
      <c r="I6168" s="19"/>
      <c r="J6168" s="17" t="s">
        <v>39</v>
      </c>
      <c r="K6168" s="19">
        <v>83</v>
      </c>
      <c r="L6168" s="91"/>
      <c r="M6168" s="19">
        <v>5800</v>
      </c>
      <c r="N6168" s="19" t="s">
        <v>40</v>
      </c>
      <c r="O6168" s="19" t="s">
        <v>84</v>
      </c>
      <c r="P6168" s="19">
        <v>3000</v>
      </c>
      <c r="Q6168" s="146">
        <v>2898</v>
      </c>
      <c r="R6168" s="19">
        <f t="shared" si="273"/>
        <v>102</v>
      </c>
      <c r="S6168" s="19">
        <f>2580-70</f>
        <v>2510</v>
      </c>
      <c r="T6168" s="19" t="s">
        <v>42</v>
      </c>
      <c r="U6168" s="102" t="s">
        <v>1501</v>
      </c>
      <c r="V6168" s="186">
        <v>45518</v>
      </c>
      <c r="W6168" s="17" t="s">
        <v>44</v>
      </c>
      <c r="Y6168" s="68">
        <v>45809</v>
      </c>
      <c r="Z6168" s="17" t="s">
        <v>1454</v>
      </c>
      <c r="AA6168" s="17" t="s">
        <v>46</v>
      </c>
      <c r="AB6168" s="17" t="s">
        <v>1463</v>
      </c>
      <c r="AC6168" s="217">
        <v>45800</v>
      </c>
      <c r="AD6168" s="65">
        <v>1691</v>
      </c>
      <c r="AE6168" s="17" t="s">
        <v>48</v>
      </c>
      <c r="AF6168" s="17" t="s">
        <v>1464</v>
      </c>
    </row>
    <row r="6169" s="17" customFormat="1" hidden="1" spans="1:32">
      <c r="A6169" s="17" t="s">
        <v>34</v>
      </c>
      <c r="B6169" s="19">
        <v>1032</v>
      </c>
      <c r="C6169" s="183">
        <v>45516</v>
      </c>
      <c r="D6169" s="17" t="s">
        <v>109</v>
      </c>
      <c r="E6169" s="17" t="s">
        <v>110</v>
      </c>
      <c r="F6169" s="17" t="s">
        <v>1500</v>
      </c>
      <c r="H6169" s="19">
        <v>1.2379</v>
      </c>
      <c r="I6169" s="19"/>
      <c r="J6169" s="17" t="s">
        <v>39</v>
      </c>
      <c r="K6169" s="19">
        <v>100</v>
      </c>
      <c r="L6169" s="91"/>
      <c r="M6169" s="19">
        <v>5800</v>
      </c>
      <c r="N6169" s="19" t="s">
        <v>40</v>
      </c>
      <c r="O6169" s="19" t="s">
        <v>84</v>
      </c>
      <c r="P6169" s="19">
        <v>2000</v>
      </c>
      <c r="Q6169" s="146">
        <v>1843</v>
      </c>
      <c r="R6169" s="19">
        <f t="shared" si="273"/>
        <v>157</v>
      </c>
      <c r="S6169" s="19">
        <f>2580-70</f>
        <v>2510</v>
      </c>
      <c r="T6169" s="19" t="s">
        <v>42</v>
      </c>
      <c r="U6169" s="102" t="s">
        <v>1501</v>
      </c>
      <c r="V6169" s="186">
        <v>45518</v>
      </c>
      <c r="W6169" s="17" t="s">
        <v>44</v>
      </c>
      <c r="Y6169" s="68">
        <v>45809</v>
      </c>
      <c r="Z6169" s="17" t="s">
        <v>1454</v>
      </c>
      <c r="AA6169" s="17" t="s">
        <v>46</v>
      </c>
      <c r="AB6169" s="17" t="s">
        <v>1463</v>
      </c>
      <c r="AC6169" s="217">
        <v>45800</v>
      </c>
      <c r="AD6169" s="65">
        <v>1691</v>
      </c>
      <c r="AE6169" s="17" t="s">
        <v>48</v>
      </c>
      <c r="AF6169" s="17" t="s">
        <v>1464</v>
      </c>
    </row>
    <row r="6170" s="17" customFormat="1" hidden="1" spans="1:32">
      <c r="A6170" s="17" t="s">
        <v>34</v>
      </c>
      <c r="B6170" s="19">
        <v>1032</v>
      </c>
      <c r="C6170" s="183">
        <v>45516</v>
      </c>
      <c r="D6170" s="17" t="s">
        <v>109</v>
      </c>
      <c r="E6170" s="17" t="s">
        <v>110</v>
      </c>
      <c r="F6170" s="17" t="s">
        <v>1500</v>
      </c>
      <c r="H6170" s="19">
        <v>1.2379</v>
      </c>
      <c r="I6170" s="19"/>
      <c r="J6170" s="17" t="s">
        <v>39</v>
      </c>
      <c r="K6170" s="19">
        <v>101</v>
      </c>
      <c r="L6170" s="91"/>
      <c r="M6170" s="19">
        <v>5800</v>
      </c>
      <c r="N6170" s="19" t="s">
        <v>40</v>
      </c>
      <c r="O6170" s="19" t="s">
        <v>84</v>
      </c>
      <c r="P6170" s="19">
        <v>2000</v>
      </c>
      <c r="Q6170" s="146">
        <v>1947</v>
      </c>
      <c r="R6170" s="19">
        <f t="shared" si="273"/>
        <v>53</v>
      </c>
      <c r="S6170" s="19">
        <f>2580-70</f>
        <v>2510</v>
      </c>
      <c r="T6170" s="19" t="s">
        <v>42</v>
      </c>
      <c r="U6170" s="102" t="s">
        <v>1501</v>
      </c>
      <c r="V6170" s="186">
        <v>45518</v>
      </c>
      <c r="W6170" s="17" t="s">
        <v>44</v>
      </c>
      <c r="Y6170" s="68">
        <v>45809</v>
      </c>
      <c r="Z6170" s="17" t="s">
        <v>1454</v>
      </c>
      <c r="AA6170" s="17" t="s">
        <v>46</v>
      </c>
      <c r="AB6170" s="17" t="s">
        <v>1463</v>
      </c>
      <c r="AC6170" s="217">
        <v>45800</v>
      </c>
      <c r="AD6170" s="65">
        <v>1691</v>
      </c>
      <c r="AE6170" s="17" t="s">
        <v>48</v>
      </c>
      <c r="AF6170" s="17" t="s">
        <v>1464</v>
      </c>
    </row>
    <row r="6171" s="17" customFormat="1" hidden="1" spans="1:32">
      <c r="A6171" s="17" t="s">
        <v>34</v>
      </c>
      <c r="B6171" s="19">
        <v>1032</v>
      </c>
      <c r="C6171" s="183">
        <v>45516</v>
      </c>
      <c r="D6171" s="17" t="s">
        <v>109</v>
      </c>
      <c r="E6171" s="17" t="s">
        <v>110</v>
      </c>
      <c r="F6171" s="17" t="s">
        <v>1500</v>
      </c>
      <c r="H6171" s="19">
        <v>1.2379</v>
      </c>
      <c r="I6171" s="19"/>
      <c r="J6171" s="17" t="s">
        <v>39</v>
      </c>
      <c r="K6171" s="19">
        <v>111</v>
      </c>
      <c r="L6171" s="91"/>
      <c r="M6171" s="19">
        <v>5800</v>
      </c>
      <c r="N6171" s="19" t="s">
        <v>40</v>
      </c>
      <c r="O6171" s="19" t="s">
        <v>84</v>
      </c>
      <c r="P6171" s="19">
        <v>1000</v>
      </c>
      <c r="Q6171" s="146">
        <v>727</v>
      </c>
      <c r="R6171" s="19">
        <f t="shared" si="273"/>
        <v>273</v>
      </c>
      <c r="S6171" s="19">
        <f>2580-70</f>
        <v>2510</v>
      </c>
      <c r="T6171" s="19" t="s">
        <v>42</v>
      </c>
      <c r="U6171" s="102" t="s">
        <v>1501</v>
      </c>
      <c r="V6171" s="186">
        <v>45518</v>
      </c>
      <c r="W6171" s="17" t="s">
        <v>44</v>
      </c>
      <c r="Y6171" s="68">
        <v>45809</v>
      </c>
      <c r="Z6171" s="17" t="s">
        <v>1454</v>
      </c>
      <c r="AA6171" s="17" t="s">
        <v>46</v>
      </c>
      <c r="AB6171" s="17" t="s">
        <v>1463</v>
      </c>
      <c r="AC6171" s="217">
        <v>45800</v>
      </c>
      <c r="AD6171" s="65">
        <v>1691</v>
      </c>
      <c r="AF6171" s="17" t="s">
        <v>1464</v>
      </c>
    </row>
    <row r="6172" s="17" customFormat="1" hidden="1" spans="1:32">
      <c r="A6172" s="17" t="s">
        <v>34</v>
      </c>
      <c r="B6172" s="19">
        <v>1032</v>
      </c>
      <c r="C6172" s="183">
        <v>45516</v>
      </c>
      <c r="D6172" s="17" t="s">
        <v>109</v>
      </c>
      <c r="E6172" s="17" t="s">
        <v>110</v>
      </c>
      <c r="F6172" s="17" t="s">
        <v>1500</v>
      </c>
      <c r="H6172" s="19">
        <v>1.2379</v>
      </c>
      <c r="I6172" s="19"/>
      <c r="J6172" s="17" t="s">
        <v>39</v>
      </c>
      <c r="K6172" s="19">
        <v>115</v>
      </c>
      <c r="L6172" s="91"/>
      <c r="M6172" s="19">
        <v>5800</v>
      </c>
      <c r="N6172" s="19" t="s">
        <v>40</v>
      </c>
      <c r="O6172" s="19" t="s">
        <v>84</v>
      </c>
      <c r="P6172" s="19">
        <v>1000</v>
      </c>
      <c r="Q6172" s="146">
        <v>776</v>
      </c>
      <c r="R6172" s="19">
        <f t="shared" si="273"/>
        <v>224</v>
      </c>
      <c r="S6172" s="19">
        <f>2580-70</f>
        <v>2510</v>
      </c>
      <c r="T6172" s="19" t="s">
        <v>42</v>
      </c>
      <c r="U6172" s="102" t="s">
        <v>1501</v>
      </c>
      <c r="V6172" s="186">
        <v>45518</v>
      </c>
      <c r="W6172" s="17" t="s">
        <v>44</v>
      </c>
      <c r="Y6172" s="68">
        <v>45809</v>
      </c>
      <c r="Z6172" s="17" t="s">
        <v>1454</v>
      </c>
      <c r="AA6172" s="17" t="s">
        <v>46</v>
      </c>
      <c r="AB6172" s="17" t="s">
        <v>1463</v>
      </c>
      <c r="AC6172" s="217">
        <v>45800</v>
      </c>
      <c r="AD6172" s="65">
        <v>1691</v>
      </c>
      <c r="AE6172" s="17" t="s">
        <v>74</v>
      </c>
      <c r="AF6172" s="17" t="s">
        <v>1464</v>
      </c>
    </row>
    <row r="6173" s="17" customFormat="1" ht="15" hidden="1" spans="1:32">
      <c r="A6173" s="17" t="s">
        <v>34</v>
      </c>
      <c r="B6173" s="19">
        <v>1033</v>
      </c>
      <c r="C6173" s="183">
        <v>45517</v>
      </c>
      <c r="D6173" s="17" t="s">
        <v>52</v>
      </c>
      <c r="E6173" s="17" t="s">
        <v>1502</v>
      </c>
      <c r="F6173" s="17" t="s">
        <v>54</v>
      </c>
      <c r="H6173" s="124">
        <v>1.208</v>
      </c>
      <c r="I6173" s="124"/>
      <c r="J6173" s="17" t="s">
        <v>39</v>
      </c>
      <c r="K6173" s="19">
        <v>110</v>
      </c>
      <c r="L6173" s="91"/>
      <c r="M6173" s="19">
        <v>5800</v>
      </c>
      <c r="N6173" s="19" t="s">
        <v>40</v>
      </c>
      <c r="O6173" s="19" t="s">
        <v>1017</v>
      </c>
      <c r="P6173" s="19">
        <v>1000</v>
      </c>
      <c r="Q6173" s="19">
        <v>1138</v>
      </c>
      <c r="R6173" s="19">
        <f t="shared" si="273"/>
        <v>-138</v>
      </c>
      <c r="S6173" s="19">
        <f t="shared" ref="S6173:S6179" si="274">1285-25</f>
        <v>1260</v>
      </c>
      <c r="T6173" s="19" t="s">
        <v>42</v>
      </c>
      <c r="U6173" s="102" t="s">
        <v>1503</v>
      </c>
      <c r="V6173" s="186">
        <v>45522</v>
      </c>
      <c r="W6173" s="17" t="s">
        <v>69</v>
      </c>
      <c r="Y6173" s="68">
        <v>45536</v>
      </c>
      <c r="Z6173" s="17" t="s">
        <v>191</v>
      </c>
      <c r="AA6173" s="17" t="s">
        <v>46</v>
      </c>
      <c r="AB6173" s="17" t="s">
        <v>1503</v>
      </c>
      <c r="AC6173" s="217">
        <v>45526</v>
      </c>
      <c r="AD6173" s="65">
        <v>1625</v>
      </c>
      <c r="AE6173" s="17" t="s">
        <v>1504</v>
      </c>
      <c r="AF6173" s="354" t="s">
        <v>1505</v>
      </c>
    </row>
    <row r="6174" s="17" customFormat="1" ht="15" hidden="1" spans="1:32">
      <c r="A6174" s="17" t="s">
        <v>34</v>
      </c>
      <c r="B6174" s="19">
        <v>1033</v>
      </c>
      <c r="C6174" s="183">
        <v>45517</v>
      </c>
      <c r="D6174" s="17" t="s">
        <v>52</v>
      </c>
      <c r="E6174" s="17" t="s">
        <v>1502</v>
      </c>
      <c r="F6174" s="17" t="s">
        <v>54</v>
      </c>
      <c r="H6174" s="124">
        <v>1.208</v>
      </c>
      <c r="I6174" s="124"/>
      <c r="J6174" s="17" t="s">
        <v>39</v>
      </c>
      <c r="K6174" s="19">
        <v>150</v>
      </c>
      <c r="L6174" s="91"/>
      <c r="M6174" s="19">
        <v>5800</v>
      </c>
      <c r="N6174" s="19" t="s">
        <v>40</v>
      </c>
      <c r="O6174" s="19" t="s">
        <v>1017</v>
      </c>
      <c r="P6174" s="19">
        <v>3000</v>
      </c>
      <c r="Q6174" s="19">
        <v>3524</v>
      </c>
      <c r="R6174" s="19">
        <f t="shared" si="273"/>
        <v>-524</v>
      </c>
      <c r="S6174" s="19">
        <f t="shared" si="274"/>
        <v>1260</v>
      </c>
      <c r="T6174" s="19" t="s">
        <v>42</v>
      </c>
      <c r="U6174" s="102" t="s">
        <v>1503</v>
      </c>
      <c r="V6174" s="186">
        <v>45522</v>
      </c>
      <c r="W6174" s="17" t="s">
        <v>69</v>
      </c>
      <c r="Y6174" s="68">
        <v>45536</v>
      </c>
      <c r="Z6174" s="17" t="s">
        <v>191</v>
      </c>
      <c r="AA6174" s="17" t="s">
        <v>46</v>
      </c>
      <c r="AB6174" s="17" t="s">
        <v>1503</v>
      </c>
      <c r="AC6174" s="217">
        <v>45526</v>
      </c>
      <c r="AD6174" s="65">
        <v>1625</v>
      </c>
      <c r="AE6174" s="17" t="s">
        <v>1504</v>
      </c>
      <c r="AF6174" s="354" t="s">
        <v>1505</v>
      </c>
    </row>
    <row r="6175" s="17" customFormat="1" ht="15" hidden="1" spans="1:32">
      <c r="A6175" s="17" t="s">
        <v>34</v>
      </c>
      <c r="B6175" s="19">
        <v>1033</v>
      </c>
      <c r="C6175" s="183">
        <v>45517</v>
      </c>
      <c r="D6175" s="17" t="s">
        <v>52</v>
      </c>
      <c r="E6175" s="17" t="s">
        <v>1502</v>
      </c>
      <c r="F6175" s="17" t="s">
        <v>54</v>
      </c>
      <c r="H6175" s="124">
        <v>1.208</v>
      </c>
      <c r="I6175" s="124"/>
      <c r="J6175" s="17" t="s">
        <v>39</v>
      </c>
      <c r="K6175" s="19">
        <v>160</v>
      </c>
      <c r="L6175" s="91"/>
      <c r="M6175" s="19">
        <v>5800</v>
      </c>
      <c r="N6175" s="19" t="s">
        <v>40</v>
      </c>
      <c r="O6175" s="19" t="s">
        <v>1017</v>
      </c>
      <c r="P6175" s="19">
        <v>2000</v>
      </c>
      <c r="Q6175" s="19">
        <v>2092</v>
      </c>
      <c r="R6175" s="19">
        <f t="shared" si="273"/>
        <v>-92</v>
      </c>
      <c r="S6175" s="19">
        <f t="shared" si="274"/>
        <v>1260</v>
      </c>
      <c r="T6175" s="19" t="s">
        <v>42</v>
      </c>
      <c r="U6175" s="102" t="s">
        <v>1503</v>
      </c>
      <c r="V6175" s="186">
        <v>45522</v>
      </c>
      <c r="W6175" s="17" t="s">
        <v>69</v>
      </c>
      <c r="Y6175" s="68">
        <v>45536</v>
      </c>
      <c r="Z6175" s="17" t="s">
        <v>191</v>
      </c>
      <c r="AA6175" s="17" t="s">
        <v>46</v>
      </c>
      <c r="AB6175" s="17" t="s">
        <v>1503</v>
      </c>
      <c r="AC6175" s="217">
        <v>45526</v>
      </c>
      <c r="AD6175" s="65">
        <v>1625</v>
      </c>
      <c r="AE6175" s="17" t="s">
        <v>1504</v>
      </c>
      <c r="AF6175" s="354" t="s">
        <v>1505</v>
      </c>
    </row>
    <row r="6176" s="17" customFormat="1" ht="15" hidden="1" spans="1:32">
      <c r="A6176" s="17" t="s">
        <v>34</v>
      </c>
      <c r="B6176" s="19">
        <v>1033</v>
      </c>
      <c r="C6176" s="183">
        <v>45517</v>
      </c>
      <c r="D6176" s="17" t="s">
        <v>52</v>
      </c>
      <c r="E6176" s="17" t="s">
        <v>1502</v>
      </c>
      <c r="F6176" s="17" t="s">
        <v>54</v>
      </c>
      <c r="H6176" s="124">
        <v>1.208</v>
      </c>
      <c r="I6176" s="124"/>
      <c r="J6176" s="17" t="s">
        <v>39</v>
      </c>
      <c r="K6176" s="19">
        <v>170</v>
      </c>
      <c r="L6176" s="91"/>
      <c r="M6176" s="19">
        <v>5800</v>
      </c>
      <c r="N6176" s="19" t="s">
        <v>40</v>
      </c>
      <c r="O6176" s="19" t="s">
        <v>1017</v>
      </c>
      <c r="P6176" s="19">
        <v>4000</v>
      </c>
      <c r="Q6176" s="19">
        <v>2406</v>
      </c>
      <c r="R6176" s="19">
        <f t="shared" si="273"/>
        <v>1594</v>
      </c>
      <c r="S6176" s="19">
        <f t="shared" si="274"/>
        <v>1260</v>
      </c>
      <c r="T6176" s="19" t="s">
        <v>42</v>
      </c>
      <c r="U6176" s="102" t="s">
        <v>1503</v>
      </c>
      <c r="V6176" s="186">
        <v>45522</v>
      </c>
      <c r="W6176" s="17" t="s">
        <v>69</v>
      </c>
      <c r="Y6176" s="68">
        <v>45536</v>
      </c>
      <c r="Z6176" s="17" t="s">
        <v>191</v>
      </c>
      <c r="AA6176" s="17" t="s">
        <v>46</v>
      </c>
      <c r="AB6176" s="17" t="s">
        <v>1503</v>
      </c>
      <c r="AC6176" s="217">
        <v>45526</v>
      </c>
      <c r="AD6176" s="65">
        <v>1625</v>
      </c>
      <c r="AE6176" s="17" t="s">
        <v>1504</v>
      </c>
      <c r="AF6176" s="354" t="s">
        <v>1505</v>
      </c>
    </row>
    <row r="6177" s="17" customFormat="1" ht="15" hidden="1" spans="1:32">
      <c r="A6177" s="17" t="s">
        <v>34</v>
      </c>
      <c r="B6177" s="19">
        <v>1033</v>
      </c>
      <c r="C6177" s="183">
        <v>45517</v>
      </c>
      <c r="D6177" s="17" t="s">
        <v>52</v>
      </c>
      <c r="E6177" s="17" t="s">
        <v>1502</v>
      </c>
      <c r="F6177" s="17" t="s">
        <v>54</v>
      </c>
      <c r="H6177" s="124">
        <v>1.208</v>
      </c>
      <c r="I6177" s="124"/>
      <c r="J6177" s="17" t="s">
        <v>39</v>
      </c>
      <c r="K6177" s="19">
        <v>180</v>
      </c>
      <c r="L6177" s="91"/>
      <c r="M6177" s="19">
        <v>5800</v>
      </c>
      <c r="N6177" s="19" t="s">
        <v>40</v>
      </c>
      <c r="O6177" s="19" t="s">
        <v>1017</v>
      </c>
      <c r="P6177" s="19">
        <v>4000</v>
      </c>
      <c r="Q6177" s="19">
        <v>4058</v>
      </c>
      <c r="R6177" s="19">
        <f t="shared" si="273"/>
        <v>-58</v>
      </c>
      <c r="S6177" s="19">
        <f t="shared" si="274"/>
        <v>1260</v>
      </c>
      <c r="T6177" s="19" t="s">
        <v>42</v>
      </c>
      <c r="U6177" s="102" t="s">
        <v>1503</v>
      </c>
      <c r="V6177" s="186">
        <v>45522</v>
      </c>
      <c r="W6177" s="17" t="s">
        <v>69</v>
      </c>
      <c r="Y6177" s="68">
        <v>45536</v>
      </c>
      <c r="Z6177" s="17" t="s">
        <v>191</v>
      </c>
      <c r="AA6177" s="17" t="s">
        <v>46</v>
      </c>
      <c r="AB6177" s="17" t="s">
        <v>1503</v>
      </c>
      <c r="AC6177" s="217">
        <v>45526</v>
      </c>
      <c r="AD6177" s="65">
        <v>1625</v>
      </c>
      <c r="AE6177" s="17" t="s">
        <v>1504</v>
      </c>
      <c r="AF6177" s="354" t="s">
        <v>1505</v>
      </c>
    </row>
    <row r="6178" s="17" customFormat="1" ht="15" hidden="1" spans="1:32">
      <c r="A6178" s="17" t="s">
        <v>34</v>
      </c>
      <c r="B6178" s="19">
        <v>1033</v>
      </c>
      <c r="C6178" s="183">
        <v>45517</v>
      </c>
      <c r="D6178" s="17" t="s">
        <v>52</v>
      </c>
      <c r="E6178" s="17" t="s">
        <v>1502</v>
      </c>
      <c r="F6178" s="17" t="s">
        <v>54</v>
      </c>
      <c r="H6178" s="124">
        <v>1.208</v>
      </c>
      <c r="I6178" s="124"/>
      <c r="J6178" s="17" t="s">
        <v>39</v>
      </c>
      <c r="K6178" s="19">
        <v>210</v>
      </c>
      <c r="L6178" s="91"/>
      <c r="M6178" s="19">
        <v>5800</v>
      </c>
      <c r="N6178" s="19" t="s">
        <v>40</v>
      </c>
      <c r="O6178" s="19" t="s">
        <v>1017</v>
      </c>
      <c r="P6178" s="19">
        <v>7000</v>
      </c>
      <c r="Q6178" s="19">
        <v>7372</v>
      </c>
      <c r="R6178" s="19">
        <f t="shared" si="273"/>
        <v>-372</v>
      </c>
      <c r="S6178" s="19">
        <f t="shared" si="274"/>
        <v>1260</v>
      </c>
      <c r="T6178" s="19" t="s">
        <v>42</v>
      </c>
      <c r="U6178" s="102" t="s">
        <v>1503</v>
      </c>
      <c r="V6178" s="186">
        <v>45522</v>
      </c>
      <c r="W6178" s="17" t="s">
        <v>69</v>
      </c>
      <c r="Y6178" s="68">
        <v>45536</v>
      </c>
      <c r="Z6178" s="17" t="s">
        <v>191</v>
      </c>
      <c r="AA6178" s="17" t="s">
        <v>46</v>
      </c>
      <c r="AB6178" s="17" t="s">
        <v>1503</v>
      </c>
      <c r="AC6178" s="217">
        <v>45526</v>
      </c>
      <c r="AD6178" s="65">
        <v>1625</v>
      </c>
      <c r="AE6178" s="17" t="s">
        <v>1504</v>
      </c>
      <c r="AF6178" s="354" t="s">
        <v>1505</v>
      </c>
    </row>
    <row r="6179" s="17" customFormat="1" ht="15" hidden="1" spans="1:32">
      <c r="A6179" s="17" t="s">
        <v>34</v>
      </c>
      <c r="B6179" s="19">
        <v>1033</v>
      </c>
      <c r="C6179" s="183">
        <v>45517</v>
      </c>
      <c r="D6179" s="17" t="s">
        <v>52</v>
      </c>
      <c r="E6179" s="17" t="s">
        <v>1502</v>
      </c>
      <c r="F6179" s="17" t="s">
        <v>54</v>
      </c>
      <c r="H6179" s="124">
        <v>1.208</v>
      </c>
      <c r="I6179" s="124"/>
      <c r="J6179" s="17" t="s">
        <v>39</v>
      </c>
      <c r="K6179" s="19">
        <v>220</v>
      </c>
      <c r="L6179" s="91"/>
      <c r="M6179" s="19">
        <v>5800</v>
      </c>
      <c r="N6179" s="19" t="s">
        <v>40</v>
      </c>
      <c r="O6179" s="19" t="s">
        <v>1017</v>
      </c>
      <c r="P6179" s="19">
        <v>6000</v>
      </c>
      <c r="Q6179" s="19">
        <v>6392</v>
      </c>
      <c r="R6179" s="19">
        <f t="shared" si="273"/>
        <v>-392</v>
      </c>
      <c r="S6179" s="19">
        <f t="shared" si="274"/>
        <v>1260</v>
      </c>
      <c r="T6179" s="19" t="s">
        <v>42</v>
      </c>
      <c r="U6179" s="102" t="s">
        <v>1503</v>
      </c>
      <c r="V6179" s="186">
        <v>45522</v>
      </c>
      <c r="W6179" s="17" t="s">
        <v>69</v>
      </c>
      <c r="Y6179" s="68">
        <v>45536</v>
      </c>
      <c r="Z6179" s="17" t="s">
        <v>191</v>
      </c>
      <c r="AA6179" s="17" t="s">
        <v>46</v>
      </c>
      <c r="AB6179" s="17" t="s">
        <v>1503</v>
      </c>
      <c r="AC6179" s="217">
        <v>45526</v>
      </c>
      <c r="AD6179" s="65">
        <v>1625</v>
      </c>
      <c r="AE6179" s="17" t="s">
        <v>1504</v>
      </c>
      <c r="AF6179" s="354" t="s">
        <v>1505</v>
      </c>
    </row>
    <row r="6180" s="17" customFormat="1" ht="15.6" hidden="1" spans="1:32">
      <c r="A6180" s="17" t="s">
        <v>34</v>
      </c>
      <c r="B6180" s="19">
        <v>1034</v>
      </c>
      <c r="C6180" s="183">
        <v>45520</v>
      </c>
      <c r="D6180" s="17" t="s">
        <v>52</v>
      </c>
      <c r="E6180" s="17" t="s">
        <v>1113</v>
      </c>
      <c r="F6180" s="17" t="s">
        <v>54</v>
      </c>
      <c r="H6180" s="19">
        <v>1.2311</v>
      </c>
      <c r="I6180" s="19"/>
      <c r="J6180" s="17" t="s">
        <v>82</v>
      </c>
      <c r="K6180" s="19">
        <v>205</v>
      </c>
      <c r="L6180" s="129">
        <v>25</v>
      </c>
      <c r="M6180" s="19">
        <v>2200</v>
      </c>
      <c r="N6180" s="19" t="s">
        <v>66</v>
      </c>
      <c r="O6180" s="19" t="s">
        <v>141</v>
      </c>
      <c r="P6180" s="93">
        <v>453</v>
      </c>
      <c r="Q6180" s="19">
        <v>490</v>
      </c>
      <c r="R6180" s="19">
        <f t="shared" si="273"/>
        <v>-37</v>
      </c>
      <c r="S6180" s="355">
        <v>850</v>
      </c>
      <c r="T6180" s="19" t="s">
        <v>42</v>
      </c>
      <c r="U6180" s="102" t="s">
        <v>1506</v>
      </c>
      <c r="V6180" s="186">
        <v>45520</v>
      </c>
      <c r="W6180" s="17" t="s">
        <v>69</v>
      </c>
      <c r="Y6180" s="68">
        <v>45536</v>
      </c>
      <c r="Z6180" s="17" t="s">
        <v>191</v>
      </c>
      <c r="AA6180" s="17" t="s">
        <v>46</v>
      </c>
      <c r="AB6180" s="17" t="s">
        <v>1507</v>
      </c>
      <c r="AC6180" s="217">
        <v>45546</v>
      </c>
      <c r="AD6180" s="65">
        <v>1626</v>
      </c>
      <c r="AE6180" s="17" t="s">
        <v>74</v>
      </c>
    </row>
    <row r="6181" s="17" customFormat="1" ht="15.6" hidden="1" spans="1:32">
      <c r="A6181" s="17" t="s">
        <v>34</v>
      </c>
      <c r="B6181" s="19">
        <v>1034</v>
      </c>
      <c r="C6181" s="183">
        <v>45520</v>
      </c>
      <c r="D6181" s="17" t="s">
        <v>52</v>
      </c>
      <c r="E6181" s="17" t="s">
        <v>1113</v>
      </c>
      <c r="F6181" s="17" t="s">
        <v>54</v>
      </c>
      <c r="H6181" s="19">
        <v>1.2311</v>
      </c>
      <c r="I6181" s="19"/>
      <c r="J6181" s="17" t="s">
        <v>82</v>
      </c>
      <c r="K6181" s="19">
        <v>255</v>
      </c>
      <c r="L6181" s="143">
        <v>25</v>
      </c>
      <c r="M6181" s="19">
        <v>2200</v>
      </c>
      <c r="N6181" s="19" t="s">
        <v>66</v>
      </c>
      <c r="O6181" s="19" t="s">
        <v>141</v>
      </c>
      <c r="P6181" s="19">
        <v>450</v>
      </c>
      <c r="Q6181" s="19">
        <v>477</v>
      </c>
      <c r="R6181" s="19">
        <f t="shared" si="273"/>
        <v>-27</v>
      </c>
      <c r="S6181" s="355">
        <v>850</v>
      </c>
      <c r="T6181" s="19" t="s">
        <v>42</v>
      </c>
      <c r="U6181" s="102" t="s">
        <v>1506</v>
      </c>
      <c r="V6181" s="186">
        <v>45520</v>
      </c>
      <c r="W6181" s="17" t="s">
        <v>69</v>
      </c>
      <c r="Y6181" s="68">
        <v>45536</v>
      </c>
      <c r="Z6181" s="17" t="s">
        <v>191</v>
      </c>
      <c r="AA6181" s="17" t="s">
        <v>46</v>
      </c>
      <c r="AB6181" s="17" t="s">
        <v>1507</v>
      </c>
      <c r="AC6181" s="217">
        <v>45546</v>
      </c>
      <c r="AD6181" s="65">
        <v>1626</v>
      </c>
      <c r="AE6181" s="17" t="s">
        <v>74</v>
      </c>
    </row>
    <row r="6182" s="17" customFormat="1" ht="15.6" hidden="1" spans="1:32">
      <c r="A6182" s="17" t="s">
        <v>34</v>
      </c>
      <c r="B6182" s="19">
        <v>1034</v>
      </c>
      <c r="C6182" s="183">
        <v>45520</v>
      </c>
      <c r="D6182" s="17" t="s">
        <v>52</v>
      </c>
      <c r="E6182" s="17" t="s">
        <v>1113</v>
      </c>
      <c r="F6182" s="17" t="s">
        <v>54</v>
      </c>
      <c r="H6182" s="19">
        <v>1.2311</v>
      </c>
      <c r="I6182" s="19"/>
      <c r="J6182" s="17" t="s">
        <v>82</v>
      </c>
      <c r="K6182" s="19">
        <v>305</v>
      </c>
      <c r="L6182" s="143">
        <v>25</v>
      </c>
      <c r="M6182" s="19">
        <v>2200</v>
      </c>
      <c r="N6182" s="19" t="s">
        <v>66</v>
      </c>
      <c r="O6182" s="19" t="s">
        <v>141</v>
      </c>
      <c r="P6182" s="19">
        <v>539</v>
      </c>
      <c r="Q6182" s="19">
        <v>573</v>
      </c>
      <c r="R6182" s="19">
        <f t="shared" si="273"/>
        <v>-34</v>
      </c>
      <c r="S6182" s="355">
        <v>850</v>
      </c>
      <c r="T6182" s="19" t="s">
        <v>42</v>
      </c>
      <c r="U6182" s="102" t="s">
        <v>1506</v>
      </c>
      <c r="V6182" s="186">
        <v>45520</v>
      </c>
      <c r="W6182" s="17" t="s">
        <v>69</v>
      </c>
      <c r="Y6182" s="68">
        <v>45536</v>
      </c>
      <c r="Z6182" s="17" t="s">
        <v>191</v>
      </c>
      <c r="AA6182" s="17" t="s">
        <v>46</v>
      </c>
      <c r="AB6182" s="17" t="s">
        <v>1507</v>
      </c>
      <c r="AC6182" s="217">
        <v>45546</v>
      </c>
      <c r="AD6182" s="65">
        <v>1626</v>
      </c>
      <c r="AE6182" s="17" t="s">
        <v>74</v>
      </c>
    </row>
    <row r="6183" s="17" customFormat="1" ht="15.6" hidden="1" spans="1:32">
      <c r="A6183" s="17" t="s">
        <v>34</v>
      </c>
      <c r="B6183" s="19">
        <v>1034</v>
      </c>
      <c r="C6183" s="183">
        <v>45520</v>
      </c>
      <c r="D6183" s="17" t="s">
        <v>52</v>
      </c>
      <c r="E6183" s="17" t="s">
        <v>1113</v>
      </c>
      <c r="F6183" s="17" t="s">
        <v>54</v>
      </c>
      <c r="H6183" s="19">
        <v>1.2311</v>
      </c>
      <c r="I6183" s="19"/>
      <c r="J6183" s="17" t="s">
        <v>82</v>
      </c>
      <c r="K6183" s="19">
        <v>355</v>
      </c>
      <c r="L6183" s="143">
        <v>25</v>
      </c>
      <c r="M6183" s="19">
        <v>2200</v>
      </c>
      <c r="N6183" s="19" t="s">
        <v>66</v>
      </c>
      <c r="O6183" s="19" t="s">
        <v>141</v>
      </c>
      <c r="P6183" s="19">
        <v>470</v>
      </c>
      <c r="Q6183" s="19">
        <v>486</v>
      </c>
      <c r="R6183" s="19">
        <f t="shared" si="273"/>
        <v>-16</v>
      </c>
      <c r="S6183" s="355">
        <v>850</v>
      </c>
      <c r="T6183" s="19" t="s">
        <v>42</v>
      </c>
      <c r="U6183" s="102" t="s">
        <v>1506</v>
      </c>
      <c r="V6183" s="186">
        <v>45520</v>
      </c>
      <c r="W6183" s="17" t="s">
        <v>69</v>
      </c>
      <c r="Y6183" s="68">
        <v>45536</v>
      </c>
      <c r="Z6183" s="17" t="s">
        <v>191</v>
      </c>
      <c r="AA6183" s="17" t="s">
        <v>46</v>
      </c>
      <c r="AB6183" s="17" t="s">
        <v>1507</v>
      </c>
      <c r="AC6183" s="217">
        <v>45546</v>
      </c>
      <c r="AD6183" s="65">
        <v>1626</v>
      </c>
      <c r="AE6183" s="17" t="s">
        <v>74</v>
      </c>
    </row>
    <row r="6184" s="17" customFormat="1" ht="15.6" hidden="1" spans="1:32">
      <c r="A6184" s="17" t="s">
        <v>34</v>
      </c>
      <c r="B6184" s="19">
        <v>1034</v>
      </c>
      <c r="C6184" s="183">
        <v>45520</v>
      </c>
      <c r="D6184" s="17" t="s">
        <v>52</v>
      </c>
      <c r="E6184" s="17" t="s">
        <v>1113</v>
      </c>
      <c r="F6184" s="17" t="s">
        <v>54</v>
      </c>
      <c r="H6184" s="19">
        <v>1.2311</v>
      </c>
      <c r="I6184" s="19"/>
      <c r="J6184" s="17" t="s">
        <v>82</v>
      </c>
      <c r="K6184" s="19">
        <v>405</v>
      </c>
      <c r="L6184" s="143">
        <v>25</v>
      </c>
      <c r="M6184" s="19">
        <v>2200</v>
      </c>
      <c r="N6184" s="19" t="s">
        <v>66</v>
      </c>
      <c r="O6184" s="19" t="s">
        <v>141</v>
      </c>
      <c r="P6184" s="19">
        <v>536</v>
      </c>
      <c r="Q6184" s="19">
        <v>561</v>
      </c>
      <c r="R6184" s="19">
        <f t="shared" si="273"/>
        <v>-25</v>
      </c>
      <c r="S6184" s="355">
        <v>850</v>
      </c>
      <c r="T6184" s="19" t="s">
        <v>42</v>
      </c>
      <c r="U6184" s="102" t="s">
        <v>1506</v>
      </c>
      <c r="V6184" s="186">
        <v>45520</v>
      </c>
      <c r="W6184" s="17" t="s">
        <v>69</v>
      </c>
      <c r="Y6184" s="68">
        <v>45536</v>
      </c>
      <c r="Z6184" s="17" t="s">
        <v>191</v>
      </c>
      <c r="AA6184" s="17" t="s">
        <v>46</v>
      </c>
      <c r="AB6184" s="17" t="s">
        <v>1507</v>
      </c>
      <c r="AC6184" s="217">
        <v>45546</v>
      </c>
      <c r="AD6184" s="65">
        <v>1626</v>
      </c>
      <c r="AE6184" s="17" t="s">
        <v>74</v>
      </c>
    </row>
    <row r="6185" s="17" customFormat="1" ht="15.6" hidden="1" spans="1:32">
      <c r="A6185" s="17" t="s">
        <v>34</v>
      </c>
      <c r="B6185" s="19">
        <v>1034</v>
      </c>
      <c r="C6185" s="183">
        <v>45520</v>
      </c>
      <c r="D6185" s="17" t="s">
        <v>52</v>
      </c>
      <c r="E6185" s="17" t="s">
        <v>1113</v>
      </c>
      <c r="F6185" s="17" t="s">
        <v>54</v>
      </c>
      <c r="H6185" s="19">
        <v>1.2311</v>
      </c>
      <c r="I6185" s="19"/>
      <c r="J6185" s="17" t="s">
        <v>82</v>
      </c>
      <c r="K6185" s="19">
        <v>455</v>
      </c>
      <c r="L6185" s="143">
        <v>25</v>
      </c>
      <c r="M6185" s="19">
        <v>2200</v>
      </c>
      <c r="N6185" s="19" t="s">
        <v>66</v>
      </c>
      <c r="O6185" s="19" t="s">
        <v>141</v>
      </c>
      <c r="P6185" s="19">
        <v>402</v>
      </c>
      <c r="Q6185" s="19">
        <v>402</v>
      </c>
      <c r="R6185" s="19">
        <f t="shared" si="273"/>
        <v>0</v>
      </c>
      <c r="S6185" s="355">
        <v>850</v>
      </c>
      <c r="T6185" s="19" t="s">
        <v>42</v>
      </c>
      <c r="U6185" s="102" t="s">
        <v>1506</v>
      </c>
      <c r="V6185" s="186">
        <v>45520</v>
      </c>
      <c r="W6185" s="17" t="s">
        <v>69</v>
      </c>
      <c r="Y6185" s="68">
        <v>45536</v>
      </c>
      <c r="Z6185" s="17" t="s">
        <v>191</v>
      </c>
      <c r="AA6185" s="17" t="s">
        <v>46</v>
      </c>
      <c r="AB6185" s="17" t="s">
        <v>1507</v>
      </c>
      <c r="AC6185" s="217">
        <v>45546</v>
      </c>
      <c r="AD6185" s="65">
        <v>1626</v>
      </c>
      <c r="AE6185" s="17" t="s">
        <v>74</v>
      </c>
    </row>
    <row r="6186" s="17" customFormat="1" ht="15.6" hidden="1" spans="1:32">
      <c r="A6186" s="17" t="s">
        <v>34</v>
      </c>
      <c r="B6186" s="19">
        <v>1034</v>
      </c>
      <c r="C6186" s="183">
        <v>45520</v>
      </c>
      <c r="D6186" s="17" t="s">
        <v>52</v>
      </c>
      <c r="E6186" s="17" t="s">
        <v>1113</v>
      </c>
      <c r="F6186" s="17" t="s">
        <v>54</v>
      </c>
      <c r="H6186" s="19">
        <v>1.2311</v>
      </c>
      <c r="I6186" s="19"/>
      <c r="J6186" s="17" t="s">
        <v>82</v>
      </c>
      <c r="K6186" s="19">
        <v>505</v>
      </c>
      <c r="L6186" s="143">
        <v>25</v>
      </c>
      <c r="M6186" s="19">
        <v>2200</v>
      </c>
      <c r="N6186" s="19" t="s">
        <v>66</v>
      </c>
      <c r="O6186" s="19" t="s">
        <v>141</v>
      </c>
      <c r="P6186" s="19">
        <v>446</v>
      </c>
      <c r="Q6186" s="19"/>
      <c r="R6186" s="19">
        <f t="shared" si="273"/>
        <v>446</v>
      </c>
      <c r="S6186" s="355">
        <v>850</v>
      </c>
      <c r="T6186" s="19" t="s">
        <v>42</v>
      </c>
      <c r="U6186" s="102" t="s">
        <v>1506</v>
      </c>
      <c r="V6186" s="186">
        <v>45520</v>
      </c>
      <c r="W6186" s="17" t="s">
        <v>69</v>
      </c>
      <c r="Y6186" s="68">
        <v>45536</v>
      </c>
      <c r="Z6186" s="17" t="s">
        <v>191</v>
      </c>
      <c r="AA6186" s="17" t="s">
        <v>46</v>
      </c>
      <c r="AB6186" s="17" t="s">
        <v>1507</v>
      </c>
      <c r="AC6186" s="217">
        <v>45546</v>
      </c>
      <c r="AD6186" s="65">
        <v>1626</v>
      </c>
      <c r="AE6186" s="17" t="s">
        <v>74</v>
      </c>
    </row>
    <row r="6187" s="17" customFormat="1" ht="15.6" hidden="1" spans="1:32">
      <c r="A6187" s="17" t="s">
        <v>34</v>
      </c>
      <c r="B6187" s="19">
        <v>1034</v>
      </c>
      <c r="C6187" s="183">
        <v>45520</v>
      </c>
      <c r="D6187" s="17" t="s">
        <v>52</v>
      </c>
      <c r="E6187" s="17" t="s">
        <v>1113</v>
      </c>
      <c r="F6187" s="17" t="s">
        <v>54</v>
      </c>
      <c r="H6187" s="19">
        <v>1.2311</v>
      </c>
      <c r="I6187" s="19"/>
      <c r="J6187" s="17" t="s">
        <v>82</v>
      </c>
      <c r="K6187" s="19">
        <v>205</v>
      </c>
      <c r="L6187" s="143">
        <v>32</v>
      </c>
      <c r="M6187" s="19">
        <v>2200</v>
      </c>
      <c r="N6187" s="19" t="s">
        <v>66</v>
      </c>
      <c r="O6187" s="19" t="s">
        <v>141</v>
      </c>
      <c r="P6187" s="19">
        <v>463</v>
      </c>
      <c r="Q6187" s="19">
        <v>474</v>
      </c>
      <c r="R6187" s="19">
        <f t="shared" si="273"/>
        <v>-11</v>
      </c>
      <c r="S6187" s="355">
        <v>850</v>
      </c>
      <c r="T6187" s="19" t="s">
        <v>42</v>
      </c>
      <c r="U6187" s="102" t="s">
        <v>1506</v>
      </c>
      <c r="V6187" s="186">
        <v>45520</v>
      </c>
      <c r="W6187" s="17" t="s">
        <v>69</v>
      </c>
      <c r="Y6187" s="68">
        <v>45536</v>
      </c>
      <c r="Z6187" s="17" t="s">
        <v>191</v>
      </c>
      <c r="AA6187" s="17" t="s">
        <v>46</v>
      </c>
      <c r="AB6187" s="17" t="s">
        <v>1507</v>
      </c>
      <c r="AC6187" s="217">
        <v>45546</v>
      </c>
      <c r="AD6187" s="65">
        <v>1626</v>
      </c>
      <c r="AE6187" s="17" t="s">
        <v>74</v>
      </c>
    </row>
    <row r="6188" s="17" customFormat="1" ht="15.6" hidden="1" spans="1:32">
      <c r="A6188" s="17" t="s">
        <v>34</v>
      </c>
      <c r="B6188" s="19">
        <v>1034</v>
      </c>
      <c r="C6188" s="183">
        <v>45520</v>
      </c>
      <c r="D6188" s="17" t="s">
        <v>52</v>
      </c>
      <c r="E6188" s="17" t="s">
        <v>1113</v>
      </c>
      <c r="F6188" s="17" t="s">
        <v>54</v>
      </c>
      <c r="H6188" s="19">
        <v>1.2311</v>
      </c>
      <c r="I6188" s="19"/>
      <c r="J6188" s="17" t="s">
        <v>82</v>
      </c>
      <c r="K6188" s="19">
        <v>255</v>
      </c>
      <c r="L6188" s="143">
        <v>32</v>
      </c>
      <c r="M6188" s="19">
        <v>2200</v>
      </c>
      <c r="N6188" s="19" t="s">
        <v>66</v>
      </c>
      <c r="O6188" s="19" t="s">
        <v>141</v>
      </c>
      <c r="P6188" s="19">
        <v>432</v>
      </c>
      <c r="Q6188" s="19">
        <v>432</v>
      </c>
      <c r="R6188" s="19">
        <f t="shared" si="273"/>
        <v>0</v>
      </c>
      <c r="S6188" s="355">
        <v>850</v>
      </c>
      <c r="T6188" s="19" t="s">
        <v>42</v>
      </c>
      <c r="U6188" s="102" t="s">
        <v>1506</v>
      </c>
      <c r="V6188" s="186">
        <v>45520</v>
      </c>
      <c r="W6188" s="17" t="s">
        <v>69</v>
      </c>
      <c r="Y6188" s="68">
        <v>45536</v>
      </c>
      <c r="Z6188" s="17" t="s">
        <v>191</v>
      </c>
      <c r="AA6188" s="17" t="s">
        <v>46</v>
      </c>
      <c r="AB6188" s="17" t="s">
        <v>1507</v>
      </c>
      <c r="AC6188" s="217">
        <v>45546</v>
      </c>
      <c r="AD6188" s="65">
        <v>1626</v>
      </c>
      <c r="AE6188" s="17" t="s">
        <v>74</v>
      </c>
    </row>
    <row r="6189" s="17" customFormat="1" ht="15.6" hidden="1" spans="1:32">
      <c r="A6189" s="17" t="s">
        <v>34</v>
      </c>
      <c r="B6189" s="19">
        <v>1034</v>
      </c>
      <c r="C6189" s="183">
        <v>45520</v>
      </c>
      <c r="D6189" s="17" t="s">
        <v>52</v>
      </c>
      <c r="E6189" s="17" t="s">
        <v>1113</v>
      </c>
      <c r="F6189" s="17" t="s">
        <v>54</v>
      </c>
      <c r="H6189" s="19">
        <v>1.2311</v>
      </c>
      <c r="I6189" s="19"/>
      <c r="J6189" s="17" t="s">
        <v>82</v>
      </c>
      <c r="K6189" s="19">
        <v>305</v>
      </c>
      <c r="L6189" s="143">
        <v>32</v>
      </c>
      <c r="M6189" s="19">
        <v>2200</v>
      </c>
      <c r="N6189" s="19" t="s">
        <v>66</v>
      </c>
      <c r="O6189" s="19" t="s">
        <v>141</v>
      </c>
      <c r="P6189" s="19">
        <v>517</v>
      </c>
      <c r="Q6189" s="19">
        <v>522</v>
      </c>
      <c r="R6189" s="19">
        <f t="shared" si="273"/>
        <v>-5</v>
      </c>
      <c r="S6189" s="355">
        <v>850</v>
      </c>
      <c r="T6189" s="19" t="s">
        <v>42</v>
      </c>
      <c r="U6189" s="102" t="s">
        <v>1506</v>
      </c>
      <c r="V6189" s="186">
        <v>45520</v>
      </c>
      <c r="W6189" s="17" t="s">
        <v>69</v>
      </c>
      <c r="Y6189" s="68">
        <v>45536</v>
      </c>
      <c r="Z6189" s="17" t="s">
        <v>191</v>
      </c>
      <c r="AA6189" s="17" t="s">
        <v>46</v>
      </c>
      <c r="AB6189" s="17" t="s">
        <v>1507</v>
      </c>
      <c r="AC6189" s="217">
        <v>45546</v>
      </c>
      <c r="AD6189" s="65">
        <v>1626</v>
      </c>
      <c r="AE6189" s="17" t="s">
        <v>74</v>
      </c>
    </row>
    <row r="6190" s="17" customFormat="1" ht="15.6" hidden="1" spans="1:32">
      <c r="A6190" s="17" t="s">
        <v>34</v>
      </c>
      <c r="B6190" s="19">
        <v>1034</v>
      </c>
      <c r="C6190" s="183">
        <v>45520</v>
      </c>
      <c r="D6190" s="17" t="s">
        <v>52</v>
      </c>
      <c r="E6190" s="17" t="s">
        <v>1113</v>
      </c>
      <c r="F6190" s="17" t="s">
        <v>54</v>
      </c>
      <c r="H6190" s="19">
        <v>1.2311</v>
      </c>
      <c r="I6190" s="19"/>
      <c r="J6190" s="17" t="s">
        <v>82</v>
      </c>
      <c r="K6190" s="19">
        <v>355</v>
      </c>
      <c r="L6190" s="143">
        <v>32</v>
      </c>
      <c r="M6190" s="19">
        <v>2200</v>
      </c>
      <c r="N6190" s="19" t="s">
        <v>66</v>
      </c>
      <c r="O6190" s="19" t="s">
        <v>141</v>
      </c>
      <c r="P6190" s="19">
        <v>602</v>
      </c>
      <c r="Q6190" s="19">
        <v>623</v>
      </c>
      <c r="R6190" s="19">
        <f t="shared" si="273"/>
        <v>-21</v>
      </c>
      <c r="S6190" s="355">
        <v>850</v>
      </c>
      <c r="T6190" s="19" t="s">
        <v>42</v>
      </c>
      <c r="U6190" s="102" t="s">
        <v>1506</v>
      </c>
      <c r="V6190" s="186">
        <v>45520</v>
      </c>
      <c r="W6190" s="17" t="s">
        <v>69</v>
      </c>
      <c r="Y6190" s="68">
        <v>45536</v>
      </c>
      <c r="Z6190" s="17" t="s">
        <v>191</v>
      </c>
      <c r="AA6190" s="17" t="s">
        <v>46</v>
      </c>
      <c r="AB6190" s="17" t="s">
        <v>1507</v>
      </c>
      <c r="AC6190" s="217">
        <v>45546</v>
      </c>
      <c r="AD6190" s="65">
        <v>1626</v>
      </c>
      <c r="AE6190" s="17" t="s">
        <v>74</v>
      </c>
    </row>
    <row r="6191" s="17" customFormat="1" ht="15.6" hidden="1" spans="1:32">
      <c r="A6191" s="17" t="s">
        <v>34</v>
      </c>
      <c r="B6191" s="19">
        <v>1034</v>
      </c>
      <c r="C6191" s="183">
        <v>45520</v>
      </c>
      <c r="D6191" s="17" t="s">
        <v>52</v>
      </c>
      <c r="E6191" s="17" t="s">
        <v>1113</v>
      </c>
      <c r="F6191" s="17" t="s">
        <v>54</v>
      </c>
      <c r="H6191" s="19">
        <v>1.2311</v>
      </c>
      <c r="I6191" s="19"/>
      <c r="J6191" s="17" t="s">
        <v>82</v>
      </c>
      <c r="K6191" s="19">
        <v>405</v>
      </c>
      <c r="L6191" s="143">
        <v>32</v>
      </c>
      <c r="M6191" s="19">
        <v>2200</v>
      </c>
      <c r="N6191" s="19" t="s">
        <v>66</v>
      </c>
      <c r="O6191" s="19" t="s">
        <v>141</v>
      </c>
      <c r="P6191" s="19">
        <v>458</v>
      </c>
      <c r="Q6191" s="19">
        <v>469</v>
      </c>
      <c r="R6191" s="19">
        <f t="shared" si="273"/>
        <v>-11</v>
      </c>
      <c r="S6191" s="355">
        <v>850</v>
      </c>
      <c r="T6191" s="19" t="s">
        <v>42</v>
      </c>
      <c r="U6191" s="102" t="s">
        <v>1506</v>
      </c>
      <c r="V6191" s="186">
        <v>45520</v>
      </c>
      <c r="W6191" s="17" t="s">
        <v>69</v>
      </c>
      <c r="Y6191" s="68">
        <v>45536</v>
      </c>
      <c r="Z6191" s="17" t="s">
        <v>191</v>
      </c>
      <c r="AA6191" s="17" t="s">
        <v>46</v>
      </c>
      <c r="AB6191" s="17" t="s">
        <v>1507</v>
      </c>
      <c r="AC6191" s="217">
        <v>45546</v>
      </c>
      <c r="AD6191" s="65">
        <v>1626</v>
      </c>
      <c r="AE6191" s="17" t="s">
        <v>74</v>
      </c>
    </row>
    <row r="6192" s="17" customFormat="1" ht="15.6" hidden="1" spans="1:32">
      <c r="A6192" s="17" t="s">
        <v>34</v>
      </c>
      <c r="B6192" s="19">
        <v>1034</v>
      </c>
      <c r="C6192" s="183">
        <v>45520</v>
      </c>
      <c r="D6192" s="17" t="s">
        <v>52</v>
      </c>
      <c r="E6192" s="17" t="s">
        <v>1113</v>
      </c>
      <c r="F6192" s="17" t="s">
        <v>54</v>
      </c>
      <c r="H6192" s="19">
        <v>1.2311</v>
      </c>
      <c r="I6192" s="19"/>
      <c r="J6192" s="17" t="s">
        <v>82</v>
      </c>
      <c r="K6192" s="19">
        <v>455</v>
      </c>
      <c r="L6192" s="143">
        <v>32</v>
      </c>
      <c r="M6192" s="19">
        <v>2200</v>
      </c>
      <c r="N6192" s="19" t="s">
        <v>66</v>
      </c>
      <c r="O6192" s="19" t="s">
        <v>141</v>
      </c>
      <c r="P6192" s="19">
        <v>514</v>
      </c>
      <c r="Q6192" s="19">
        <v>515</v>
      </c>
      <c r="R6192" s="19">
        <f t="shared" si="273"/>
        <v>-1</v>
      </c>
      <c r="S6192" s="355">
        <v>850</v>
      </c>
      <c r="T6192" s="19" t="s">
        <v>42</v>
      </c>
      <c r="U6192" s="102" t="s">
        <v>1506</v>
      </c>
      <c r="V6192" s="186">
        <v>45520</v>
      </c>
      <c r="W6192" s="17" t="s">
        <v>69</v>
      </c>
      <c r="Y6192" s="68">
        <v>45536</v>
      </c>
      <c r="Z6192" s="17" t="s">
        <v>191</v>
      </c>
      <c r="AA6192" s="17" t="s">
        <v>46</v>
      </c>
      <c r="AB6192" s="17" t="s">
        <v>1507</v>
      </c>
      <c r="AC6192" s="217">
        <v>45546</v>
      </c>
      <c r="AD6192" s="65">
        <v>1626</v>
      </c>
      <c r="AE6192" s="17" t="s">
        <v>74</v>
      </c>
    </row>
    <row r="6193" s="17" customFormat="1" ht="15.6" hidden="1" spans="1:31">
      <c r="A6193" s="17" t="s">
        <v>34</v>
      </c>
      <c r="B6193" s="19">
        <v>1034</v>
      </c>
      <c r="C6193" s="183">
        <v>45520</v>
      </c>
      <c r="D6193" s="17" t="s">
        <v>52</v>
      </c>
      <c r="E6193" s="17" t="s">
        <v>1113</v>
      </c>
      <c r="F6193" s="17" t="s">
        <v>54</v>
      </c>
      <c r="H6193" s="19">
        <v>1.2311</v>
      </c>
      <c r="I6193" s="19"/>
      <c r="J6193" s="17" t="s">
        <v>82</v>
      </c>
      <c r="K6193" s="19">
        <v>505</v>
      </c>
      <c r="L6193" s="143">
        <v>32</v>
      </c>
      <c r="M6193" s="19">
        <v>2200</v>
      </c>
      <c r="N6193" s="19" t="s">
        <v>66</v>
      </c>
      <c r="O6193" s="19" t="s">
        <v>141</v>
      </c>
      <c r="P6193" s="19">
        <v>571</v>
      </c>
      <c r="Q6193" s="19">
        <f>285+284</f>
        <v>569</v>
      </c>
      <c r="R6193" s="19">
        <f t="shared" si="273"/>
        <v>2</v>
      </c>
      <c r="S6193" s="355">
        <v>850</v>
      </c>
      <c r="T6193" s="19" t="s">
        <v>42</v>
      </c>
      <c r="U6193" s="102" t="s">
        <v>1506</v>
      </c>
      <c r="V6193" s="186">
        <v>45520</v>
      </c>
      <c r="W6193" s="17" t="s">
        <v>69</v>
      </c>
      <c r="Y6193" s="68">
        <v>45536</v>
      </c>
      <c r="Z6193" s="17" t="s">
        <v>191</v>
      </c>
      <c r="AA6193" s="17" t="s">
        <v>46</v>
      </c>
      <c r="AB6193" s="17" t="s">
        <v>1507</v>
      </c>
      <c r="AC6193" s="217">
        <v>45546</v>
      </c>
      <c r="AD6193" s="65">
        <v>1626</v>
      </c>
      <c r="AE6193" s="17" t="s">
        <v>74</v>
      </c>
    </row>
    <row r="6194" s="17" customFormat="1" ht="15.6" hidden="1" spans="1:31">
      <c r="A6194" s="17" t="s">
        <v>34</v>
      </c>
      <c r="B6194" s="19">
        <v>1034</v>
      </c>
      <c r="C6194" s="183">
        <v>45520</v>
      </c>
      <c r="D6194" s="17" t="s">
        <v>52</v>
      </c>
      <c r="E6194" s="17" t="s">
        <v>1113</v>
      </c>
      <c r="F6194" s="17" t="s">
        <v>54</v>
      </c>
      <c r="H6194" s="19">
        <v>1.2311</v>
      </c>
      <c r="I6194" s="19"/>
      <c r="J6194" s="17" t="s">
        <v>82</v>
      </c>
      <c r="K6194" s="19">
        <v>205</v>
      </c>
      <c r="L6194" s="143">
        <v>36</v>
      </c>
      <c r="M6194" s="19">
        <v>2200</v>
      </c>
      <c r="N6194" s="19" t="s">
        <v>66</v>
      </c>
      <c r="O6194" s="19" t="s">
        <v>141</v>
      </c>
      <c r="P6194" s="19">
        <v>391</v>
      </c>
      <c r="Q6194" s="19">
        <v>412</v>
      </c>
      <c r="R6194" s="19">
        <f t="shared" si="273"/>
        <v>-21</v>
      </c>
      <c r="S6194" s="355">
        <v>850</v>
      </c>
      <c r="T6194" s="19" t="s">
        <v>42</v>
      </c>
      <c r="U6194" s="102" t="s">
        <v>1506</v>
      </c>
      <c r="V6194" s="186">
        <v>45520</v>
      </c>
      <c r="W6194" s="17" t="s">
        <v>69</v>
      </c>
      <c r="Y6194" s="68">
        <v>45536</v>
      </c>
      <c r="Z6194" s="17" t="s">
        <v>191</v>
      </c>
      <c r="AA6194" s="17" t="s">
        <v>46</v>
      </c>
      <c r="AB6194" s="17" t="s">
        <v>1507</v>
      </c>
      <c r="AC6194" s="217">
        <v>45546</v>
      </c>
      <c r="AD6194" s="65">
        <v>1626</v>
      </c>
      <c r="AE6194" s="17" t="s">
        <v>74</v>
      </c>
    </row>
    <row r="6195" s="17" customFormat="1" ht="15.6" hidden="1" spans="1:31">
      <c r="A6195" s="17" t="s">
        <v>34</v>
      </c>
      <c r="B6195" s="19">
        <v>1034</v>
      </c>
      <c r="C6195" s="183">
        <v>45520</v>
      </c>
      <c r="D6195" s="17" t="s">
        <v>52</v>
      </c>
      <c r="E6195" s="17" t="s">
        <v>1113</v>
      </c>
      <c r="F6195" s="17" t="s">
        <v>54</v>
      </c>
      <c r="H6195" s="19">
        <v>1.2311</v>
      </c>
      <c r="I6195" s="19"/>
      <c r="J6195" s="17" t="s">
        <v>82</v>
      </c>
      <c r="K6195" s="19">
        <v>255</v>
      </c>
      <c r="L6195" s="143">
        <v>36</v>
      </c>
      <c r="M6195" s="19">
        <v>2200</v>
      </c>
      <c r="N6195" s="19" t="s">
        <v>66</v>
      </c>
      <c r="O6195" s="19" t="s">
        <v>141</v>
      </c>
      <c r="P6195" s="19">
        <v>486</v>
      </c>
      <c r="Q6195" s="19">
        <v>501</v>
      </c>
      <c r="R6195" s="19">
        <f t="shared" si="273"/>
        <v>-15</v>
      </c>
      <c r="S6195" s="355">
        <v>850</v>
      </c>
      <c r="T6195" s="19" t="s">
        <v>42</v>
      </c>
      <c r="U6195" s="102" t="s">
        <v>1506</v>
      </c>
      <c r="V6195" s="186">
        <v>45520</v>
      </c>
      <c r="W6195" s="17" t="s">
        <v>69</v>
      </c>
      <c r="Y6195" s="68">
        <v>45536</v>
      </c>
      <c r="Z6195" s="17" t="s">
        <v>191</v>
      </c>
      <c r="AA6195" s="17" t="s">
        <v>46</v>
      </c>
      <c r="AB6195" s="17" t="s">
        <v>1507</v>
      </c>
      <c r="AC6195" s="217">
        <v>45546</v>
      </c>
      <c r="AD6195" s="65">
        <v>1626</v>
      </c>
      <c r="AE6195" s="17" t="s">
        <v>74</v>
      </c>
    </row>
    <row r="6196" s="17" customFormat="1" ht="15.6" hidden="1" spans="1:31">
      <c r="A6196" s="17" t="s">
        <v>34</v>
      </c>
      <c r="B6196" s="19">
        <v>1034</v>
      </c>
      <c r="C6196" s="183">
        <v>45520</v>
      </c>
      <c r="D6196" s="17" t="s">
        <v>52</v>
      </c>
      <c r="E6196" s="17" t="s">
        <v>1113</v>
      </c>
      <c r="F6196" s="17" t="s">
        <v>54</v>
      </c>
      <c r="H6196" s="19">
        <v>1.2311</v>
      </c>
      <c r="I6196" s="19"/>
      <c r="J6196" s="17" t="s">
        <v>82</v>
      </c>
      <c r="K6196" s="19">
        <v>305</v>
      </c>
      <c r="L6196" s="143">
        <v>36</v>
      </c>
      <c r="M6196" s="19">
        <v>2200</v>
      </c>
      <c r="N6196" s="19" t="s">
        <v>66</v>
      </c>
      <c r="O6196" s="19" t="s">
        <v>141</v>
      </c>
      <c r="P6196" s="19">
        <v>582</v>
      </c>
      <c r="Q6196" s="19">
        <v>606</v>
      </c>
      <c r="R6196" s="19">
        <f t="shared" si="273"/>
        <v>-24</v>
      </c>
      <c r="S6196" s="355">
        <v>850</v>
      </c>
      <c r="T6196" s="19" t="s">
        <v>42</v>
      </c>
      <c r="U6196" s="102" t="s">
        <v>1506</v>
      </c>
      <c r="V6196" s="186">
        <v>45520</v>
      </c>
      <c r="W6196" s="17" t="s">
        <v>69</v>
      </c>
      <c r="Y6196" s="68">
        <v>45536</v>
      </c>
      <c r="Z6196" s="17" t="s">
        <v>191</v>
      </c>
      <c r="AA6196" s="17" t="s">
        <v>46</v>
      </c>
      <c r="AB6196" s="17" t="s">
        <v>1507</v>
      </c>
      <c r="AC6196" s="217">
        <v>45546</v>
      </c>
      <c r="AD6196" s="65">
        <v>1626</v>
      </c>
      <c r="AE6196" s="17" t="s">
        <v>74</v>
      </c>
    </row>
    <row r="6197" s="17" customFormat="1" ht="15.6" hidden="1" spans="1:31">
      <c r="A6197" s="17" t="s">
        <v>34</v>
      </c>
      <c r="B6197" s="19">
        <v>1034</v>
      </c>
      <c r="C6197" s="183">
        <v>45520</v>
      </c>
      <c r="D6197" s="17" t="s">
        <v>52</v>
      </c>
      <c r="E6197" s="17" t="s">
        <v>1113</v>
      </c>
      <c r="F6197" s="17" t="s">
        <v>54</v>
      </c>
      <c r="H6197" s="19">
        <v>1.2311</v>
      </c>
      <c r="I6197" s="19"/>
      <c r="J6197" s="17" t="s">
        <v>82</v>
      </c>
      <c r="K6197" s="19">
        <v>355</v>
      </c>
      <c r="L6197" s="143">
        <v>36</v>
      </c>
      <c r="M6197" s="19">
        <v>2200</v>
      </c>
      <c r="N6197" s="19" t="s">
        <v>66</v>
      </c>
      <c r="O6197" s="19" t="s">
        <v>141</v>
      </c>
      <c r="P6197" s="19">
        <v>451</v>
      </c>
      <c r="Q6197" s="19">
        <v>456</v>
      </c>
      <c r="R6197" s="19">
        <f t="shared" si="273"/>
        <v>-5</v>
      </c>
      <c r="S6197" s="355">
        <v>850</v>
      </c>
      <c r="T6197" s="19" t="s">
        <v>42</v>
      </c>
      <c r="U6197" s="102" t="s">
        <v>1506</v>
      </c>
      <c r="V6197" s="186">
        <v>45520</v>
      </c>
      <c r="W6197" s="17" t="s">
        <v>69</v>
      </c>
      <c r="Y6197" s="68">
        <v>45536</v>
      </c>
      <c r="Z6197" s="17" t="s">
        <v>191</v>
      </c>
      <c r="AA6197" s="17" t="s">
        <v>46</v>
      </c>
      <c r="AB6197" s="17" t="s">
        <v>1507</v>
      </c>
      <c r="AC6197" s="217">
        <v>45546</v>
      </c>
      <c r="AD6197" s="65">
        <v>1626</v>
      </c>
      <c r="AE6197" s="17" t="s">
        <v>74</v>
      </c>
    </row>
    <row r="6198" s="17" customFormat="1" ht="15.6" hidden="1" spans="1:31">
      <c r="A6198" s="17" t="s">
        <v>34</v>
      </c>
      <c r="B6198" s="19">
        <v>1034</v>
      </c>
      <c r="C6198" s="183">
        <v>45520</v>
      </c>
      <c r="D6198" s="17" t="s">
        <v>52</v>
      </c>
      <c r="E6198" s="17" t="s">
        <v>1113</v>
      </c>
      <c r="F6198" s="17" t="s">
        <v>54</v>
      </c>
      <c r="H6198" s="19">
        <v>1.2311</v>
      </c>
      <c r="I6198" s="19"/>
      <c r="J6198" s="17" t="s">
        <v>82</v>
      </c>
      <c r="K6198" s="19">
        <v>405</v>
      </c>
      <c r="L6198" s="143">
        <v>36</v>
      </c>
      <c r="M6198" s="19">
        <v>2200</v>
      </c>
      <c r="N6198" s="19" t="s">
        <v>66</v>
      </c>
      <c r="O6198" s="19" t="s">
        <v>141</v>
      </c>
      <c r="P6198" s="19">
        <v>515</v>
      </c>
      <c r="Q6198" s="19"/>
      <c r="R6198" s="19">
        <f t="shared" si="273"/>
        <v>515</v>
      </c>
      <c r="S6198" s="355">
        <v>850</v>
      </c>
      <c r="T6198" s="19" t="s">
        <v>42</v>
      </c>
      <c r="U6198" s="102" t="s">
        <v>1506</v>
      </c>
      <c r="V6198" s="186">
        <v>45520</v>
      </c>
      <c r="W6198" s="17" t="s">
        <v>69</v>
      </c>
      <c r="Y6198" s="68">
        <v>45536</v>
      </c>
      <c r="Z6198" s="17" t="s">
        <v>191</v>
      </c>
      <c r="AA6198" s="17" t="s">
        <v>46</v>
      </c>
      <c r="AB6198" s="17" t="s">
        <v>1507</v>
      </c>
      <c r="AC6198" s="217">
        <v>45546</v>
      </c>
      <c r="AD6198" s="65">
        <v>1626</v>
      </c>
      <c r="AE6198" s="17" t="s">
        <v>74</v>
      </c>
    </row>
    <row r="6199" s="17" customFormat="1" ht="15.6" hidden="1" spans="1:31">
      <c r="A6199" s="17" t="s">
        <v>34</v>
      </c>
      <c r="B6199" s="19">
        <v>1034</v>
      </c>
      <c r="C6199" s="183">
        <v>45520</v>
      </c>
      <c r="D6199" s="17" t="s">
        <v>52</v>
      </c>
      <c r="E6199" s="17" t="s">
        <v>1113</v>
      </c>
      <c r="F6199" s="17" t="s">
        <v>54</v>
      </c>
      <c r="H6199" s="19">
        <v>1.2311</v>
      </c>
      <c r="I6199" s="19"/>
      <c r="J6199" s="17" t="s">
        <v>82</v>
      </c>
      <c r="K6199" s="19">
        <v>455</v>
      </c>
      <c r="L6199" s="143">
        <v>36</v>
      </c>
      <c r="M6199" s="19">
        <v>2200</v>
      </c>
      <c r="N6199" s="19" t="s">
        <v>66</v>
      </c>
      <c r="O6199" s="19" t="s">
        <v>141</v>
      </c>
      <c r="P6199" s="19">
        <v>579</v>
      </c>
      <c r="Q6199" s="19">
        <v>601</v>
      </c>
      <c r="R6199" s="19">
        <f t="shared" si="273"/>
        <v>-22</v>
      </c>
      <c r="S6199" s="355">
        <v>850</v>
      </c>
      <c r="T6199" s="19" t="s">
        <v>42</v>
      </c>
      <c r="U6199" s="102" t="s">
        <v>1506</v>
      </c>
      <c r="V6199" s="186">
        <v>45520</v>
      </c>
      <c r="W6199" s="17" t="s">
        <v>69</v>
      </c>
      <c r="Y6199" s="68">
        <v>45536</v>
      </c>
      <c r="Z6199" s="17" t="s">
        <v>191</v>
      </c>
      <c r="AA6199" s="17" t="s">
        <v>46</v>
      </c>
      <c r="AB6199" s="17" t="s">
        <v>1507</v>
      </c>
      <c r="AC6199" s="217">
        <v>45546</v>
      </c>
      <c r="AD6199" s="65">
        <v>1626</v>
      </c>
      <c r="AE6199" s="17" t="s">
        <v>74</v>
      </c>
    </row>
    <row r="6200" s="17" customFormat="1" ht="15.6" hidden="1" spans="1:31">
      <c r="A6200" s="17" t="s">
        <v>34</v>
      </c>
      <c r="B6200" s="19">
        <v>1034</v>
      </c>
      <c r="C6200" s="183">
        <v>45520</v>
      </c>
      <c r="D6200" s="17" t="s">
        <v>52</v>
      </c>
      <c r="E6200" s="17" t="s">
        <v>1113</v>
      </c>
      <c r="F6200" s="17" t="s">
        <v>54</v>
      </c>
      <c r="H6200" s="19">
        <v>1.2311</v>
      </c>
      <c r="I6200" s="19"/>
      <c r="J6200" s="17" t="s">
        <v>82</v>
      </c>
      <c r="K6200" s="19">
        <v>505</v>
      </c>
      <c r="L6200" s="143">
        <v>36</v>
      </c>
      <c r="M6200" s="19">
        <v>2200</v>
      </c>
      <c r="N6200" s="19" t="s">
        <v>66</v>
      </c>
      <c r="O6200" s="19" t="s">
        <v>141</v>
      </c>
      <c r="P6200" s="19">
        <v>642</v>
      </c>
      <c r="Q6200" s="19">
        <v>663</v>
      </c>
      <c r="R6200" s="19">
        <f t="shared" si="273"/>
        <v>-21</v>
      </c>
      <c r="S6200" s="355">
        <v>850</v>
      </c>
      <c r="T6200" s="19" t="s">
        <v>42</v>
      </c>
      <c r="U6200" s="102" t="s">
        <v>1506</v>
      </c>
      <c r="V6200" s="186">
        <v>45520</v>
      </c>
      <c r="W6200" s="17" t="s">
        <v>69</v>
      </c>
      <c r="Y6200" s="68">
        <v>45536</v>
      </c>
      <c r="Z6200" s="17" t="s">
        <v>191</v>
      </c>
      <c r="AA6200" s="17" t="s">
        <v>46</v>
      </c>
      <c r="AB6200" s="17" t="s">
        <v>1507</v>
      </c>
      <c r="AC6200" s="217">
        <v>45546</v>
      </c>
      <c r="AD6200" s="65">
        <v>1626</v>
      </c>
      <c r="AE6200" s="17" t="s">
        <v>74</v>
      </c>
    </row>
    <row r="6201" s="17" customFormat="1" ht="15.6" hidden="1" spans="1:31">
      <c r="A6201" s="17" t="s">
        <v>34</v>
      </c>
      <c r="B6201" s="19">
        <v>1034</v>
      </c>
      <c r="C6201" s="183">
        <v>45520</v>
      </c>
      <c r="D6201" s="17" t="s">
        <v>52</v>
      </c>
      <c r="E6201" s="17" t="s">
        <v>1113</v>
      </c>
      <c r="F6201" s="17" t="s">
        <v>54</v>
      </c>
      <c r="H6201" s="19">
        <v>1.2311</v>
      </c>
      <c r="I6201" s="19"/>
      <c r="J6201" s="17" t="s">
        <v>82</v>
      </c>
      <c r="K6201" s="19">
        <v>205</v>
      </c>
      <c r="L6201" s="143">
        <v>40</v>
      </c>
      <c r="M6201" s="19">
        <v>2200</v>
      </c>
      <c r="N6201" s="19" t="s">
        <v>66</v>
      </c>
      <c r="O6201" s="19" t="s">
        <v>141</v>
      </c>
      <c r="P6201" s="19">
        <v>2317</v>
      </c>
      <c r="Q6201" s="19">
        <f>622+1714</f>
        <v>2336</v>
      </c>
      <c r="R6201" s="19">
        <f t="shared" si="273"/>
        <v>-19</v>
      </c>
      <c r="S6201" s="355">
        <v>850</v>
      </c>
      <c r="T6201" s="19" t="s">
        <v>42</v>
      </c>
      <c r="U6201" s="102" t="s">
        <v>1506</v>
      </c>
      <c r="V6201" s="186">
        <v>45520</v>
      </c>
      <c r="W6201" s="17" t="s">
        <v>69</v>
      </c>
      <c r="Y6201" s="68">
        <v>45536</v>
      </c>
      <c r="Z6201" s="17" t="s">
        <v>191</v>
      </c>
      <c r="AA6201" s="17" t="s">
        <v>46</v>
      </c>
      <c r="AB6201" s="17" t="s">
        <v>1507</v>
      </c>
      <c r="AC6201" s="217">
        <v>45546</v>
      </c>
      <c r="AD6201" s="65">
        <v>1626</v>
      </c>
      <c r="AE6201" s="17" t="s">
        <v>74</v>
      </c>
    </row>
    <row r="6202" s="17" customFormat="1" ht="15.6" hidden="1" spans="1:31">
      <c r="A6202" s="17" t="s">
        <v>34</v>
      </c>
      <c r="B6202" s="19">
        <v>1034</v>
      </c>
      <c r="C6202" s="183">
        <v>45520</v>
      </c>
      <c r="D6202" s="17" t="s">
        <v>52</v>
      </c>
      <c r="E6202" s="17" t="s">
        <v>1113</v>
      </c>
      <c r="F6202" s="17" t="s">
        <v>54</v>
      </c>
      <c r="H6202" s="19">
        <v>1.2311</v>
      </c>
      <c r="I6202" s="19"/>
      <c r="J6202" s="17" t="s">
        <v>82</v>
      </c>
      <c r="K6202" s="19">
        <v>255</v>
      </c>
      <c r="L6202" s="143">
        <v>40</v>
      </c>
      <c r="M6202" s="19">
        <v>2200</v>
      </c>
      <c r="N6202" s="19" t="s">
        <v>66</v>
      </c>
      <c r="O6202" s="19" t="s">
        <v>141</v>
      </c>
      <c r="P6202" s="19">
        <v>2883</v>
      </c>
      <c r="Q6202" s="19">
        <f>2700+373</f>
        <v>3073</v>
      </c>
      <c r="R6202" s="19">
        <f t="shared" si="273"/>
        <v>-190</v>
      </c>
      <c r="S6202" s="355">
        <v>850</v>
      </c>
      <c r="T6202" s="19" t="s">
        <v>42</v>
      </c>
      <c r="U6202" s="102" t="s">
        <v>1506</v>
      </c>
      <c r="V6202" s="186">
        <v>45520</v>
      </c>
      <c r="W6202" s="17" t="s">
        <v>69</v>
      </c>
      <c r="Y6202" s="68">
        <v>45536</v>
      </c>
      <c r="Z6202" s="17" t="s">
        <v>191</v>
      </c>
      <c r="AA6202" s="17" t="s">
        <v>46</v>
      </c>
      <c r="AB6202" s="17" t="s">
        <v>1507</v>
      </c>
      <c r="AC6202" s="217">
        <v>45546</v>
      </c>
      <c r="AD6202" s="65">
        <v>1626</v>
      </c>
      <c r="AE6202" s="17" t="s">
        <v>74</v>
      </c>
    </row>
    <row r="6203" s="17" customFormat="1" ht="15.6" hidden="1" spans="1:31">
      <c r="A6203" s="17" t="s">
        <v>34</v>
      </c>
      <c r="B6203" s="19">
        <v>1034</v>
      </c>
      <c r="C6203" s="183">
        <v>45520</v>
      </c>
      <c r="D6203" s="17" t="s">
        <v>52</v>
      </c>
      <c r="E6203" s="17" t="s">
        <v>1113</v>
      </c>
      <c r="F6203" s="17" t="s">
        <v>54</v>
      </c>
      <c r="H6203" s="19">
        <v>1.2311</v>
      </c>
      <c r="I6203" s="19"/>
      <c r="J6203" s="17" t="s">
        <v>82</v>
      </c>
      <c r="K6203" s="19">
        <v>305</v>
      </c>
      <c r="L6203" s="143">
        <v>40</v>
      </c>
      <c r="M6203" s="19">
        <v>2200</v>
      </c>
      <c r="N6203" s="19" t="s">
        <v>66</v>
      </c>
      <c r="O6203" s="19" t="s">
        <v>141</v>
      </c>
      <c r="P6203" s="19">
        <v>2586</v>
      </c>
      <c r="Q6203" s="19">
        <f>230+2514</f>
        <v>2744</v>
      </c>
      <c r="R6203" s="19">
        <f t="shared" si="273"/>
        <v>-158</v>
      </c>
      <c r="S6203" s="355">
        <v>850</v>
      </c>
      <c r="T6203" s="19" t="s">
        <v>42</v>
      </c>
      <c r="U6203" s="102" t="s">
        <v>1506</v>
      </c>
      <c r="V6203" s="186">
        <v>45520</v>
      </c>
      <c r="W6203" s="17" t="s">
        <v>69</v>
      </c>
      <c r="Y6203" s="68">
        <v>45536</v>
      </c>
      <c r="Z6203" s="17" t="s">
        <v>191</v>
      </c>
      <c r="AA6203" s="17" t="s">
        <v>46</v>
      </c>
      <c r="AB6203" s="17" t="s">
        <v>1507</v>
      </c>
      <c r="AC6203" s="217">
        <v>45546</v>
      </c>
      <c r="AD6203" s="65">
        <v>1626</v>
      </c>
      <c r="AE6203" s="17" t="s">
        <v>74</v>
      </c>
    </row>
    <row r="6204" s="17" customFormat="1" ht="15.6" hidden="1" spans="1:31">
      <c r="A6204" s="17" t="s">
        <v>34</v>
      </c>
      <c r="B6204" s="19">
        <v>1034</v>
      </c>
      <c r="C6204" s="183">
        <v>45520</v>
      </c>
      <c r="D6204" s="17" t="s">
        <v>52</v>
      </c>
      <c r="E6204" s="17" t="s">
        <v>1113</v>
      </c>
      <c r="F6204" s="17" t="s">
        <v>54</v>
      </c>
      <c r="H6204" s="19">
        <v>1.2311</v>
      </c>
      <c r="I6204" s="19"/>
      <c r="J6204" s="17" t="s">
        <v>82</v>
      </c>
      <c r="K6204" s="19">
        <v>355</v>
      </c>
      <c r="L6204" s="143">
        <v>40</v>
      </c>
      <c r="M6204" s="19">
        <v>2200</v>
      </c>
      <c r="N6204" s="19" t="s">
        <v>66</v>
      </c>
      <c r="O6204" s="19" t="s">
        <v>141</v>
      </c>
      <c r="P6204" s="19">
        <v>2508</v>
      </c>
      <c r="Q6204" s="19">
        <f>1373+1589+795</f>
        <v>3757</v>
      </c>
      <c r="R6204" s="19">
        <f t="shared" si="273"/>
        <v>-1249</v>
      </c>
      <c r="S6204" s="355">
        <v>850</v>
      </c>
      <c r="T6204" s="19" t="s">
        <v>42</v>
      </c>
      <c r="U6204" s="102" t="s">
        <v>1506</v>
      </c>
      <c r="V6204" s="186">
        <v>45520</v>
      </c>
      <c r="W6204" s="17" t="s">
        <v>69</v>
      </c>
      <c r="Y6204" s="68">
        <v>45536</v>
      </c>
      <c r="Z6204" s="17" t="s">
        <v>191</v>
      </c>
      <c r="AA6204" s="17" t="s">
        <v>46</v>
      </c>
      <c r="AB6204" s="17" t="s">
        <v>1507</v>
      </c>
      <c r="AC6204" s="217">
        <v>45546</v>
      </c>
      <c r="AD6204" s="65">
        <v>1626</v>
      </c>
      <c r="AE6204" s="17" t="s">
        <v>74</v>
      </c>
    </row>
    <row r="6205" s="17" customFormat="1" ht="15.6" hidden="1" spans="1:31">
      <c r="A6205" s="17" t="s">
        <v>34</v>
      </c>
      <c r="B6205" s="19">
        <v>1034</v>
      </c>
      <c r="C6205" s="183">
        <v>45520</v>
      </c>
      <c r="D6205" s="17" t="s">
        <v>52</v>
      </c>
      <c r="E6205" s="17" t="s">
        <v>1113</v>
      </c>
      <c r="F6205" s="17" t="s">
        <v>54</v>
      </c>
      <c r="H6205" s="19">
        <v>1.2311</v>
      </c>
      <c r="I6205" s="19"/>
      <c r="J6205" s="17" t="s">
        <v>82</v>
      </c>
      <c r="K6205" s="19">
        <v>405</v>
      </c>
      <c r="L6205" s="143">
        <v>40</v>
      </c>
      <c r="M6205" s="19">
        <v>2200</v>
      </c>
      <c r="N6205" s="19" t="s">
        <v>66</v>
      </c>
      <c r="O6205" s="19" t="s">
        <v>141</v>
      </c>
      <c r="P6205" s="19">
        <v>2861</v>
      </c>
      <c r="Q6205" s="19">
        <f>1221+1755</f>
        <v>2976</v>
      </c>
      <c r="R6205" s="19">
        <f t="shared" ref="R6205:R6268" si="275">+P6205-Q6205</f>
        <v>-115</v>
      </c>
      <c r="S6205" s="355">
        <v>850</v>
      </c>
      <c r="T6205" s="19" t="s">
        <v>42</v>
      </c>
      <c r="U6205" s="102" t="s">
        <v>1506</v>
      </c>
      <c r="V6205" s="186">
        <v>45520</v>
      </c>
      <c r="W6205" s="17" t="s">
        <v>69</v>
      </c>
      <c r="Y6205" s="68">
        <v>45536</v>
      </c>
      <c r="Z6205" s="17" t="s">
        <v>191</v>
      </c>
      <c r="AA6205" s="17" t="s">
        <v>46</v>
      </c>
      <c r="AB6205" s="17" t="s">
        <v>1507</v>
      </c>
      <c r="AC6205" s="217">
        <v>45546</v>
      </c>
      <c r="AD6205" s="65">
        <v>1626</v>
      </c>
      <c r="AE6205" s="17" t="s">
        <v>74</v>
      </c>
    </row>
    <row r="6206" s="17" customFormat="1" ht="15.6" hidden="1" spans="1:31">
      <c r="A6206" s="17" t="s">
        <v>34</v>
      </c>
      <c r="B6206" s="19">
        <v>1034</v>
      </c>
      <c r="C6206" s="183">
        <v>45520</v>
      </c>
      <c r="D6206" s="17" t="s">
        <v>52</v>
      </c>
      <c r="E6206" s="17" t="s">
        <v>1113</v>
      </c>
      <c r="F6206" s="17" t="s">
        <v>54</v>
      </c>
      <c r="H6206" s="19">
        <v>1.2311</v>
      </c>
      <c r="I6206" s="19"/>
      <c r="J6206" s="17" t="s">
        <v>82</v>
      </c>
      <c r="K6206" s="19">
        <v>455</v>
      </c>
      <c r="L6206" s="143">
        <v>40</v>
      </c>
      <c r="M6206" s="19">
        <v>2200</v>
      </c>
      <c r="N6206" s="19" t="s">
        <v>66</v>
      </c>
      <c r="O6206" s="19" t="s">
        <v>141</v>
      </c>
      <c r="P6206" s="19">
        <v>2250</v>
      </c>
      <c r="Q6206" s="19">
        <v>1072</v>
      </c>
      <c r="R6206" s="19">
        <f t="shared" si="275"/>
        <v>1178</v>
      </c>
      <c r="S6206" s="355">
        <v>850</v>
      </c>
      <c r="T6206" s="19" t="s">
        <v>42</v>
      </c>
      <c r="U6206" s="102" t="s">
        <v>1506</v>
      </c>
      <c r="V6206" s="186">
        <v>45520</v>
      </c>
      <c r="W6206" s="17" t="s">
        <v>69</v>
      </c>
      <c r="Y6206" s="68">
        <v>45536</v>
      </c>
      <c r="Z6206" s="17" t="s">
        <v>191</v>
      </c>
      <c r="AA6206" s="17" t="s">
        <v>46</v>
      </c>
      <c r="AB6206" s="17" t="s">
        <v>1507</v>
      </c>
      <c r="AC6206" s="217">
        <v>45546</v>
      </c>
      <c r="AD6206" s="65">
        <v>1626</v>
      </c>
      <c r="AE6206" s="17" t="s">
        <v>74</v>
      </c>
    </row>
    <row r="6207" s="17" customFormat="1" ht="15.6" hidden="1" spans="1:31">
      <c r="A6207" s="17" t="s">
        <v>34</v>
      </c>
      <c r="B6207" s="19">
        <v>1034</v>
      </c>
      <c r="C6207" s="183">
        <v>45520</v>
      </c>
      <c r="D6207" s="17" t="s">
        <v>52</v>
      </c>
      <c r="E6207" s="17" t="s">
        <v>1113</v>
      </c>
      <c r="F6207" s="17" t="s">
        <v>54</v>
      </c>
      <c r="H6207" s="19">
        <v>1.2311</v>
      </c>
      <c r="I6207" s="19"/>
      <c r="J6207" s="17" t="s">
        <v>82</v>
      </c>
      <c r="K6207" s="19">
        <v>505</v>
      </c>
      <c r="L6207" s="143">
        <v>40</v>
      </c>
      <c r="M6207" s="19">
        <v>2200</v>
      </c>
      <c r="N6207" s="19" t="s">
        <v>66</v>
      </c>
      <c r="O6207" s="19" t="s">
        <v>141</v>
      </c>
      <c r="P6207" s="19">
        <v>1784</v>
      </c>
      <c r="Q6207" s="19">
        <f>1439+371</f>
        <v>1810</v>
      </c>
      <c r="R6207" s="19">
        <f t="shared" si="275"/>
        <v>-26</v>
      </c>
      <c r="S6207" s="355">
        <v>850</v>
      </c>
      <c r="T6207" s="19" t="s">
        <v>42</v>
      </c>
      <c r="U6207" s="102" t="s">
        <v>1506</v>
      </c>
      <c r="V6207" s="186">
        <v>45520</v>
      </c>
      <c r="W6207" s="17" t="s">
        <v>69</v>
      </c>
      <c r="Y6207" s="68">
        <v>45536</v>
      </c>
      <c r="Z6207" s="17" t="s">
        <v>191</v>
      </c>
      <c r="AA6207" s="17" t="s">
        <v>46</v>
      </c>
      <c r="AB6207" s="17" t="s">
        <v>1507</v>
      </c>
      <c r="AC6207" s="217">
        <v>45546</v>
      </c>
      <c r="AD6207" s="65">
        <v>1626</v>
      </c>
      <c r="AE6207" s="17" t="s">
        <v>74</v>
      </c>
    </row>
    <row r="6208" s="17" customFormat="1" ht="15.6" hidden="1" spans="1:31">
      <c r="A6208" s="17" t="s">
        <v>34</v>
      </c>
      <c r="B6208" s="19">
        <v>1034</v>
      </c>
      <c r="C6208" s="183">
        <v>45520</v>
      </c>
      <c r="D6208" s="17" t="s">
        <v>52</v>
      </c>
      <c r="E6208" s="17" t="s">
        <v>1113</v>
      </c>
      <c r="F6208" s="17" t="s">
        <v>54</v>
      </c>
      <c r="H6208" s="19">
        <v>1.2311</v>
      </c>
      <c r="I6208" s="19"/>
      <c r="J6208" s="17" t="s">
        <v>82</v>
      </c>
      <c r="K6208" s="19">
        <v>555</v>
      </c>
      <c r="L6208" s="143">
        <v>40</v>
      </c>
      <c r="M6208" s="19">
        <v>2200</v>
      </c>
      <c r="N6208" s="19" t="s">
        <v>66</v>
      </c>
      <c r="O6208" s="19" t="s">
        <v>141</v>
      </c>
      <c r="P6208" s="19">
        <v>1568</v>
      </c>
      <c r="Q6208" s="19">
        <v>1632</v>
      </c>
      <c r="R6208" s="19">
        <f t="shared" si="275"/>
        <v>-64</v>
      </c>
      <c r="S6208" s="355">
        <v>850</v>
      </c>
      <c r="T6208" s="19" t="s">
        <v>42</v>
      </c>
      <c r="U6208" s="102" t="s">
        <v>1506</v>
      </c>
      <c r="V6208" s="186">
        <v>45520</v>
      </c>
      <c r="W6208" s="17" t="s">
        <v>69</v>
      </c>
      <c r="Y6208" s="68">
        <v>45536</v>
      </c>
      <c r="Z6208" s="17" t="s">
        <v>191</v>
      </c>
      <c r="AA6208" s="17" t="s">
        <v>46</v>
      </c>
      <c r="AB6208" s="17" t="s">
        <v>1507</v>
      </c>
      <c r="AC6208" s="217">
        <v>45546</v>
      </c>
      <c r="AD6208" s="65">
        <v>1626</v>
      </c>
      <c r="AE6208" s="17" t="s">
        <v>74</v>
      </c>
    </row>
    <row r="6209" s="17" customFormat="1" ht="15.6" hidden="1" spans="1:31">
      <c r="A6209" s="17" t="s">
        <v>34</v>
      </c>
      <c r="B6209" s="19">
        <v>1034</v>
      </c>
      <c r="C6209" s="183">
        <v>45520</v>
      </c>
      <c r="D6209" s="17" t="s">
        <v>52</v>
      </c>
      <c r="E6209" s="17" t="s">
        <v>1113</v>
      </c>
      <c r="F6209" s="17" t="s">
        <v>54</v>
      </c>
      <c r="H6209" s="19">
        <v>1.2311</v>
      </c>
      <c r="I6209" s="19"/>
      <c r="J6209" s="17" t="s">
        <v>82</v>
      </c>
      <c r="K6209" s="19">
        <v>605</v>
      </c>
      <c r="L6209" s="143">
        <v>40</v>
      </c>
      <c r="M6209" s="19">
        <v>2200</v>
      </c>
      <c r="N6209" s="19" t="s">
        <v>66</v>
      </c>
      <c r="O6209" s="19" t="s">
        <v>141</v>
      </c>
      <c r="P6209" s="19">
        <v>1710</v>
      </c>
      <c r="Q6209" s="19">
        <v>1328</v>
      </c>
      <c r="R6209" s="19">
        <f t="shared" si="275"/>
        <v>382</v>
      </c>
      <c r="S6209" s="355">
        <v>850</v>
      </c>
      <c r="T6209" s="19" t="s">
        <v>42</v>
      </c>
      <c r="U6209" s="102" t="s">
        <v>1506</v>
      </c>
      <c r="V6209" s="186">
        <v>45520</v>
      </c>
      <c r="W6209" s="17" t="s">
        <v>69</v>
      </c>
      <c r="Y6209" s="68">
        <v>45536</v>
      </c>
      <c r="Z6209" s="17" t="s">
        <v>191</v>
      </c>
      <c r="AA6209" s="17" t="s">
        <v>46</v>
      </c>
      <c r="AB6209" s="17" t="s">
        <v>1507</v>
      </c>
      <c r="AC6209" s="217">
        <v>45546</v>
      </c>
      <c r="AD6209" s="65">
        <v>1626</v>
      </c>
      <c r="AE6209" s="17" t="s">
        <v>74</v>
      </c>
    </row>
    <row r="6210" s="17" customFormat="1" ht="15.6" hidden="1" spans="1:31">
      <c r="A6210" s="17" t="s">
        <v>34</v>
      </c>
      <c r="B6210" s="19">
        <v>1034</v>
      </c>
      <c r="C6210" s="183">
        <v>45520</v>
      </c>
      <c r="D6210" s="17" t="s">
        <v>52</v>
      </c>
      <c r="E6210" s="17" t="s">
        <v>1113</v>
      </c>
      <c r="F6210" s="17" t="s">
        <v>54</v>
      </c>
      <c r="H6210" s="19">
        <v>1.2311</v>
      </c>
      <c r="I6210" s="19"/>
      <c r="J6210" s="17" t="s">
        <v>82</v>
      </c>
      <c r="K6210" s="19">
        <v>205</v>
      </c>
      <c r="L6210" s="143">
        <v>50</v>
      </c>
      <c r="M6210" s="19">
        <v>2200</v>
      </c>
      <c r="N6210" s="19" t="s">
        <v>66</v>
      </c>
      <c r="O6210" s="19" t="s">
        <v>141</v>
      </c>
      <c r="P6210" s="19">
        <v>1448</v>
      </c>
      <c r="Q6210" s="19">
        <f>956+384</f>
        <v>1340</v>
      </c>
      <c r="R6210" s="19">
        <f t="shared" si="275"/>
        <v>108</v>
      </c>
      <c r="S6210" s="355">
        <v>850</v>
      </c>
      <c r="T6210" s="19" t="s">
        <v>42</v>
      </c>
      <c r="U6210" s="102" t="s">
        <v>1506</v>
      </c>
      <c r="V6210" s="186">
        <v>45520</v>
      </c>
      <c r="W6210" s="17" t="s">
        <v>69</v>
      </c>
      <c r="Y6210" s="68">
        <v>45536</v>
      </c>
      <c r="Z6210" s="17" t="s">
        <v>191</v>
      </c>
      <c r="AA6210" s="17" t="s">
        <v>46</v>
      </c>
      <c r="AB6210" s="17" t="s">
        <v>1507</v>
      </c>
      <c r="AC6210" s="217">
        <v>45546</v>
      </c>
      <c r="AD6210" s="65">
        <v>1626</v>
      </c>
      <c r="AE6210" s="17" t="s">
        <v>74</v>
      </c>
    </row>
    <row r="6211" s="17" customFormat="1" ht="15.6" hidden="1" spans="1:31">
      <c r="A6211" s="17" t="s">
        <v>34</v>
      </c>
      <c r="B6211" s="19">
        <v>1034</v>
      </c>
      <c r="C6211" s="183">
        <v>45520</v>
      </c>
      <c r="D6211" s="17" t="s">
        <v>52</v>
      </c>
      <c r="E6211" s="17" t="s">
        <v>1113</v>
      </c>
      <c r="F6211" s="17" t="s">
        <v>54</v>
      </c>
      <c r="H6211" s="19">
        <v>1.2311</v>
      </c>
      <c r="I6211" s="19"/>
      <c r="J6211" s="17" t="s">
        <v>82</v>
      </c>
      <c r="K6211" s="19">
        <v>255</v>
      </c>
      <c r="L6211" s="143">
        <v>50</v>
      </c>
      <c r="M6211" s="19">
        <v>2200</v>
      </c>
      <c r="N6211" s="19" t="s">
        <v>66</v>
      </c>
      <c r="O6211" s="19" t="s">
        <v>141</v>
      </c>
      <c r="P6211" s="19">
        <v>2702</v>
      </c>
      <c r="Q6211" s="19">
        <f>242+2372+238</f>
        <v>2852</v>
      </c>
      <c r="R6211" s="19">
        <f t="shared" si="275"/>
        <v>-150</v>
      </c>
      <c r="S6211" s="355">
        <v>850</v>
      </c>
      <c r="T6211" s="19" t="s">
        <v>42</v>
      </c>
      <c r="U6211" s="102" t="s">
        <v>1506</v>
      </c>
      <c r="V6211" s="186">
        <v>45520</v>
      </c>
      <c r="W6211" s="17" t="s">
        <v>69</v>
      </c>
      <c r="Y6211" s="68">
        <v>45536</v>
      </c>
      <c r="Z6211" s="17" t="s">
        <v>191</v>
      </c>
      <c r="AA6211" s="17" t="s">
        <v>46</v>
      </c>
      <c r="AB6211" s="17" t="s">
        <v>1507</v>
      </c>
      <c r="AC6211" s="217">
        <v>45546</v>
      </c>
      <c r="AD6211" s="65">
        <v>1626</v>
      </c>
      <c r="AE6211" s="17" t="s">
        <v>74</v>
      </c>
    </row>
    <row r="6212" s="17" customFormat="1" ht="15.6" hidden="1" spans="1:31">
      <c r="A6212" s="17" t="s">
        <v>34</v>
      </c>
      <c r="B6212" s="19">
        <v>1034</v>
      </c>
      <c r="C6212" s="183">
        <v>45520</v>
      </c>
      <c r="D6212" s="17" t="s">
        <v>52</v>
      </c>
      <c r="E6212" s="17" t="s">
        <v>1113</v>
      </c>
      <c r="F6212" s="17" t="s">
        <v>54</v>
      </c>
      <c r="H6212" s="19">
        <v>1.2311</v>
      </c>
      <c r="I6212" s="19"/>
      <c r="J6212" s="17" t="s">
        <v>82</v>
      </c>
      <c r="K6212" s="19">
        <v>305</v>
      </c>
      <c r="L6212" s="143">
        <v>50</v>
      </c>
      <c r="M6212" s="19">
        <v>2200</v>
      </c>
      <c r="N6212" s="19" t="s">
        <v>66</v>
      </c>
      <c r="O6212" s="19" t="s">
        <v>141</v>
      </c>
      <c r="P6212" s="19">
        <v>2694</v>
      </c>
      <c r="Q6212" s="19">
        <f>1707+855</f>
        <v>2562</v>
      </c>
      <c r="R6212" s="19">
        <f t="shared" si="275"/>
        <v>132</v>
      </c>
      <c r="S6212" s="355">
        <v>850</v>
      </c>
      <c r="T6212" s="19" t="s">
        <v>42</v>
      </c>
      <c r="U6212" s="102" t="s">
        <v>1506</v>
      </c>
      <c r="V6212" s="186">
        <v>45520</v>
      </c>
      <c r="W6212" s="17" t="s">
        <v>69</v>
      </c>
      <c r="Y6212" s="68">
        <v>45536</v>
      </c>
      <c r="Z6212" s="17" t="s">
        <v>191</v>
      </c>
      <c r="AA6212" s="17" t="s">
        <v>46</v>
      </c>
      <c r="AB6212" s="17" t="s">
        <v>1507</v>
      </c>
      <c r="AC6212" s="217">
        <v>45546</v>
      </c>
      <c r="AD6212" s="65">
        <v>1626</v>
      </c>
      <c r="AE6212" s="17" t="s">
        <v>74</v>
      </c>
    </row>
    <row r="6213" s="17" customFormat="1" ht="15.6" hidden="1" spans="1:31">
      <c r="A6213" s="17" t="s">
        <v>34</v>
      </c>
      <c r="B6213" s="19">
        <v>1034</v>
      </c>
      <c r="C6213" s="183">
        <v>45520</v>
      </c>
      <c r="D6213" s="17" t="s">
        <v>52</v>
      </c>
      <c r="E6213" s="17" t="s">
        <v>1113</v>
      </c>
      <c r="F6213" s="17" t="s">
        <v>54</v>
      </c>
      <c r="H6213" s="19">
        <v>1.2311</v>
      </c>
      <c r="I6213" s="19"/>
      <c r="J6213" s="17" t="s">
        <v>82</v>
      </c>
      <c r="K6213" s="19">
        <v>355</v>
      </c>
      <c r="L6213" s="143">
        <v>50</v>
      </c>
      <c r="M6213" s="19">
        <v>2200</v>
      </c>
      <c r="N6213" s="19" t="s">
        <v>66</v>
      </c>
      <c r="O6213" s="19" t="s">
        <v>141</v>
      </c>
      <c r="P6213" s="19">
        <v>2822</v>
      </c>
      <c r="Q6213" s="19">
        <f>990+1963</f>
        <v>2953</v>
      </c>
      <c r="R6213" s="19">
        <f t="shared" si="275"/>
        <v>-131</v>
      </c>
      <c r="S6213" s="355">
        <v>850</v>
      </c>
      <c r="T6213" s="19" t="s">
        <v>42</v>
      </c>
      <c r="U6213" s="102" t="s">
        <v>1506</v>
      </c>
      <c r="V6213" s="186">
        <v>45520</v>
      </c>
      <c r="W6213" s="17" t="s">
        <v>69</v>
      </c>
      <c r="Y6213" s="68">
        <v>45536</v>
      </c>
      <c r="Z6213" s="17" t="s">
        <v>191</v>
      </c>
      <c r="AA6213" s="17" t="s">
        <v>46</v>
      </c>
      <c r="AB6213" s="17" t="s">
        <v>1507</v>
      </c>
      <c r="AC6213" s="217">
        <v>45546</v>
      </c>
      <c r="AD6213" s="65">
        <v>1626</v>
      </c>
      <c r="AE6213" s="17" t="s">
        <v>74</v>
      </c>
    </row>
    <row r="6214" s="17" customFormat="1" ht="15.6" hidden="1" spans="1:31">
      <c r="A6214" s="17" t="s">
        <v>34</v>
      </c>
      <c r="B6214" s="19">
        <v>1034</v>
      </c>
      <c r="C6214" s="183">
        <v>45520</v>
      </c>
      <c r="D6214" s="17" t="s">
        <v>52</v>
      </c>
      <c r="E6214" s="17" t="s">
        <v>1113</v>
      </c>
      <c r="F6214" s="17" t="s">
        <v>54</v>
      </c>
      <c r="H6214" s="19">
        <v>1.2311</v>
      </c>
      <c r="I6214" s="19"/>
      <c r="J6214" s="17" t="s">
        <v>82</v>
      </c>
      <c r="K6214" s="19">
        <v>405</v>
      </c>
      <c r="L6214" s="143">
        <v>50</v>
      </c>
      <c r="M6214" s="19">
        <v>2200</v>
      </c>
      <c r="N6214" s="19" t="s">
        <v>66</v>
      </c>
      <c r="O6214" s="19" t="s">
        <v>141</v>
      </c>
      <c r="P6214" s="19">
        <v>1788</v>
      </c>
      <c r="Q6214" s="19">
        <v>1779</v>
      </c>
      <c r="R6214" s="19">
        <f t="shared" si="275"/>
        <v>9</v>
      </c>
      <c r="S6214" s="355">
        <v>850</v>
      </c>
      <c r="T6214" s="19" t="s">
        <v>42</v>
      </c>
      <c r="U6214" s="102" t="s">
        <v>1506</v>
      </c>
      <c r="V6214" s="186">
        <v>45520</v>
      </c>
      <c r="W6214" s="17" t="s">
        <v>69</v>
      </c>
      <c r="Y6214" s="68">
        <v>45536</v>
      </c>
      <c r="Z6214" s="17" t="s">
        <v>191</v>
      </c>
      <c r="AA6214" s="17" t="s">
        <v>46</v>
      </c>
      <c r="AB6214" s="17" t="s">
        <v>1507</v>
      </c>
      <c r="AC6214" s="217">
        <v>45546</v>
      </c>
      <c r="AD6214" s="65">
        <v>1626</v>
      </c>
      <c r="AE6214" s="17" t="s">
        <v>74</v>
      </c>
    </row>
    <row r="6215" s="17" customFormat="1" ht="15.6" hidden="1" spans="1:31">
      <c r="A6215" s="17" t="s">
        <v>34</v>
      </c>
      <c r="B6215" s="19">
        <v>1034</v>
      </c>
      <c r="C6215" s="183">
        <v>45520</v>
      </c>
      <c r="D6215" s="17" t="s">
        <v>52</v>
      </c>
      <c r="E6215" s="17" t="s">
        <v>1113</v>
      </c>
      <c r="F6215" s="17" t="s">
        <v>54</v>
      </c>
      <c r="H6215" s="19">
        <v>1.2311</v>
      </c>
      <c r="I6215" s="19"/>
      <c r="J6215" s="17" t="s">
        <v>82</v>
      </c>
      <c r="K6215" s="19">
        <v>455</v>
      </c>
      <c r="L6215" s="143">
        <v>50</v>
      </c>
      <c r="M6215" s="19">
        <v>2200</v>
      </c>
      <c r="N6215" s="19" t="s">
        <v>66</v>
      </c>
      <c r="O6215" s="19" t="s">
        <v>141</v>
      </c>
      <c r="P6215" s="19">
        <v>2009</v>
      </c>
      <c r="Q6215" s="19">
        <v>2118</v>
      </c>
      <c r="R6215" s="19">
        <f t="shared" si="275"/>
        <v>-109</v>
      </c>
      <c r="S6215" s="355">
        <v>850</v>
      </c>
      <c r="T6215" s="19" t="s">
        <v>42</v>
      </c>
      <c r="U6215" s="102" t="s">
        <v>1506</v>
      </c>
      <c r="V6215" s="186">
        <v>45520</v>
      </c>
      <c r="W6215" s="17" t="s">
        <v>69</v>
      </c>
      <c r="Y6215" s="68">
        <v>45536</v>
      </c>
      <c r="Z6215" s="17" t="s">
        <v>191</v>
      </c>
      <c r="AA6215" s="17" t="s">
        <v>46</v>
      </c>
      <c r="AB6215" s="17" t="s">
        <v>1507</v>
      </c>
      <c r="AC6215" s="217">
        <v>45546</v>
      </c>
      <c r="AD6215" s="65">
        <v>1626</v>
      </c>
      <c r="AE6215" s="17" t="s">
        <v>74</v>
      </c>
    </row>
    <row r="6216" s="17" customFormat="1" ht="15.6" hidden="1" spans="1:31">
      <c r="A6216" s="17" t="s">
        <v>34</v>
      </c>
      <c r="B6216" s="19">
        <v>1034</v>
      </c>
      <c r="C6216" s="183">
        <v>45520</v>
      </c>
      <c r="D6216" s="17" t="s">
        <v>52</v>
      </c>
      <c r="E6216" s="17" t="s">
        <v>1113</v>
      </c>
      <c r="F6216" s="17" t="s">
        <v>54</v>
      </c>
      <c r="H6216" s="19">
        <v>1.2311</v>
      </c>
      <c r="I6216" s="19"/>
      <c r="J6216" s="17" t="s">
        <v>82</v>
      </c>
      <c r="K6216" s="19">
        <v>505</v>
      </c>
      <c r="L6216" s="143">
        <v>50</v>
      </c>
      <c r="M6216" s="19">
        <v>2200</v>
      </c>
      <c r="N6216" s="19" t="s">
        <v>66</v>
      </c>
      <c r="O6216" s="19" t="s">
        <v>141</v>
      </c>
      <c r="P6216" s="19">
        <v>1784</v>
      </c>
      <c r="Q6216" s="19">
        <v>2344</v>
      </c>
      <c r="R6216" s="19">
        <f t="shared" si="275"/>
        <v>-560</v>
      </c>
      <c r="S6216" s="355">
        <v>850</v>
      </c>
      <c r="T6216" s="19" t="s">
        <v>42</v>
      </c>
      <c r="U6216" s="102" t="s">
        <v>1506</v>
      </c>
      <c r="V6216" s="186">
        <v>45520</v>
      </c>
      <c r="W6216" s="17" t="s">
        <v>69</v>
      </c>
      <c r="Y6216" s="68">
        <v>45536</v>
      </c>
      <c r="Z6216" s="17" t="s">
        <v>191</v>
      </c>
      <c r="AA6216" s="17" t="s">
        <v>46</v>
      </c>
      <c r="AB6216" s="17" t="s">
        <v>1507</v>
      </c>
      <c r="AC6216" s="217">
        <v>45546</v>
      </c>
      <c r="AD6216" s="65">
        <v>1626</v>
      </c>
      <c r="AE6216" s="17" t="s">
        <v>74</v>
      </c>
    </row>
    <row r="6217" s="17" customFormat="1" ht="15.6" hidden="1" spans="1:31">
      <c r="A6217" s="17" t="s">
        <v>34</v>
      </c>
      <c r="B6217" s="19">
        <v>1034</v>
      </c>
      <c r="C6217" s="183">
        <v>45520</v>
      </c>
      <c r="D6217" s="17" t="s">
        <v>52</v>
      </c>
      <c r="E6217" s="17" t="s">
        <v>1113</v>
      </c>
      <c r="F6217" s="17" t="s">
        <v>54</v>
      </c>
      <c r="H6217" s="19">
        <v>1.2311</v>
      </c>
      <c r="I6217" s="19"/>
      <c r="J6217" s="17" t="s">
        <v>82</v>
      </c>
      <c r="K6217" s="19">
        <v>555</v>
      </c>
      <c r="L6217" s="143">
        <v>50</v>
      </c>
      <c r="M6217" s="19">
        <v>2200</v>
      </c>
      <c r="N6217" s="19" t="s">
        <v>66</v>
      </c>
      <c r="O6217" s="19" t="s">
        <v>141</v>
      </c>
      <c r="P6217" s="19">
        <v>1470</v>
      </c>
      <c r="Q6217" s="19">
        <v>1545</v>
      </c>
      <c r="R6217" s="19">
        <f t="shared" si="275"/>
        <v>-75</v>
      </c>
      <c r="S6217" s="355">
        <v>850</v>
      </c>
      <c r="T6217" s="19" t="s">
        <v>42</v>
      </c>
      <c r="U6217" s="102" t="s">
        <v>1506</v>
      </c>
      <c r="V6217" s="186">
        <v>45520</v>
      </c>
      <c r="W6217" s="17" t="s">
        <v>69</v>
      </c>
      <c r="Y6217" s="68">
        <v>45536</v>
      </c>
      <c r="Z6217" s="17" t="s">
        <v>191</v>
      </c>
      <c r="AA6217" s="17" t="s">
        <v>46</v>
      </c>
      <c r="AB6217" s="17" t="s">
        <v>1507</v>
      </c>
      <c r="AC6217" s="217">
        <v>45546</v>
      </c>
      <c r="AD6217" s="65">
        <v>1626</v>
      </c>
      <c r="AE6217" s="17" t="s">
        <v>74</v>
      </c>
    </row>
    <row r="6218" s="17" customFormat="1" ht="15.6" hidden="1" spans="1:31">
      <c r="A6218" s="17" t="s">
        <v>34</v>
      </c>
      <c r="B6218" s="19">
        <v>1034</v>
      </c>
      <c r="C6218" s="183">
        <v>45520</v>
      </c>
      <c r="D6218" s="17" t="s">
        <v>52</v>
      </c>
      <c r="E6218" s="17" t="s">
        <v>1113</v>
      </c>
      <c r="F6218" s="17" t="s">
        <v>54</v>
      </c>
      <c r="H6218" s="19">
        <v>1.2311</v>
      </c>
      <c r="I6218" s="19"/>
      <c r="J6218" s="17" t="s">
        <v>82</v>
      </c>
      <c r="K6218" s="19">
        <v>605</v>
      </c>
      <c r="L6218" s="143">
        <v>50</v>
      </c>
      <c r="M6218" s="19">
        <v>2200</v>
      </c>
      <c r="N6218" s="19" t="s">
        <v>66</v>
      </c>
      <c r="O6218" s="19" t="s">
        <v>141</v>
      </c>
      <c r="P6218" s="19">
        <v>1603</v>
      </c>
      <c r="Q6218" s="19">
        <v>547</v>
      </c>
      <c r="R6218" s="19">
        <f t="shared" si="275"/>
        <v>1056</v>
      </c>
      <c r="S6218" s="355">
        <v>850</v>
      </c>
      <c r="T6218" s="19" t="s">
        <v>42</v>
      </c>
      <c r="U6218" s="102" t="s">
        <v>1506</v>
      </c>
      <c r="V6218" s="186">
        <v>45520</v>
      </c>
      <c r="W6218" s="17" t="s">
        <v>69</v>
      </c>
      <c r="Y6218" s="68">
        <v>45536</v>
      </c>
      <c r="Z6218" s="17" t="s">
        <v>191</v>
      </c>
      <c r="AA6218" s="17" t="s">
        <v>46</v>
      </c>
      <c r="AB6218" s="17" t="s">
        <v>1507</v>
      </c>
      <c r="AC6218" s="217">
        <v>45546</v>
      </c>
      <c r="AD6218" s="65">
        <v>1626</v>
      </c>
      <c r="AE6218" s="17" t="s">
        <v>74</v>
      </c>
    </row>
    <row r="6219" s="17" customFormat="1" ht="15.6" hidden="1" spans="1:31">
      <c r="A6219" s="17" t="s">
        <v>34</v>
      </c>
      <c r="B6219" s="19">
        <v>1034</v>
      </c>
      <c r="C6219" s="183">
        <v>45520</v>
      </c>
      <c r="D6219" s="17" t="s">
        <v>52</v>
      </c>
      <c r="E6219" s="17" t="s">
        <v>1113</v>
      </c>
      <c r="F6219" s="17" t="s">
        <v>54</v>
      </c>
      <c r="H6219" s="19">
        <v>1.2311</v>
      </c>
      <c r="I6219" s="19"/>
      <c r="J6219" s="17" t="s">
        <v>82</v>
      </c>
      <c r="K6219" s="19">
        <v>205</v>
      </c>
      <c r="L6219" s="143">
        <v>65</v>
      </c>
      <c r="M6219" s="19">
        <v>2200</v>
      </c>
      <c r="N6219" s="19" t="s">
        <v>66</v>
      </c>
      <c r="O6219" s="19" t="s">
        <v>141</v>
      </c>
      <c r="P6219" s="19">
        <v>941</v>
      </c>
      <c r="Q6219" s="19">
        <v>992</v>
      </c>
      <c r="R6219" s="19">
        <f t="shared" si="275"/>
        <v>-51</v>
      </c>
      <c r="S6219" s="355">
        <v>850</v>
      </c>
      <c r="T6219" s="19" t="s">
        <v>42</v>
      </c>
      <c r="U6219" s="102" t="s">
        <v>1506</v>
      </c>
      <c r="V6219" s="186">
        <v>45520</v>
      </c>
      <c r="W6219" s="17" t="s">
        <v>69</v>
      </c>
      <c r="Y6219" s="68">
        <v>45536</v>
      </c>
      <c r="Z6219" s="17" t="s">
        <v>191</v>
      </c>
      <c r="AA6219" s="17" t="s">
        <v>46</v>
      </c>
      <c r="AB6219" s="17" t="s">
        <v>1507</v>
      </c>
      <c r="AC6219" s="217">
        <v>45546</v>
      </c>
      <c r="AD6219" s="65">
        <v>1626</v>
      </c>
      <c r="AE6219" s="17" t="s">
        <v>74</v>
      </c>
    </row>
    <row r="6220" s="17" customFormat="1" ht="15.6" hidden="1" spans="1:31">
      <c r="A6220" s="17" t="s">
        <v>34</v>
      </c>
      <c r="B6220" s="19">
        <v>1034</v>
      </c>
      <c r="C6220" s="183">
        <v>45520</v>
      </c>
      <c r="D6220" s="17" t="s">
        <v>52</v>
      </c>
      <c r="E6220" s="17" t="s">
        <v>1113</v>
      </c>
      <c r="F6220" s="17" t="s">
        <v>54</v>
      </c>
      <c r="H6220" s="19">
        <v>1.2311</v>
      </c>
      <c r="I6220" s="19"/>
      <c r="J6220" s="17" t="s">
        <v>82</v>
      </c>
      <c r="K6220" s="19">
        <v>255</v>
      </c>
      <c r="L6220" s="143">
        <v>65</v>
      </c>
      <c r="M6220" s="19">
        <v>2200</v>
      </c>
      <c r="N6220" s="19" t="s">
        <v>66</v>
      </c>
      <c r="O6220" s="19" t="s">
        <v>141</v>
      </c>
      <c r="P6220" s="19">
        <v>1757</v>
      </c>
      <c r="Q6220" s="19">
        <f>1223+609</f>
        <v>1832</v>
      </c>
      <c r="R6220" s="19">
        <f t="shared" si="275"/>
        <v>-75</v>
      </c>
      <c r="S6220" s="355">
        <v>850</v>
      </c>
      <c r="T6220" s="19" t="s">
        <v>42</v>
      </c>
      <c r="U6220" s="102" t="s">
        <v>1506</v>
      </c>
      <c r="V6220" s="186">
        <v>45520</v>
      </c>
      <c r="W6220" s="17" t="s">
        <v>69</v>
      </c>
      <c r="Y6220" s="68">
        <v>45536</v>
      </c>
      <c r="Z6220" s="17" t="s">
        <v>191</v>
      </c>
      <c r="AA6220" s="17" t="s">
        <v>46</v>
      </c>
      <c r="AB6220" s="17" t="s">
        <v>1507</v>
      </c>
      <c r="AC6220" s="217">
        <v>45546</v>
      </c>
      <c r="AD6220" s="65">
        <v>1626</v>
      </c>
      <c r="AE6220" s="17" t="s">
        <v>74</v>
      </c>
    </row>
    <row r="6221" s="17" customFormat="1" ht="15.6" hidden="1" spans="1:31">
      <c r="A6221" s="17" t="s">
        <v>34</v>
      </c>
      <c r="B6221" s="19">
        <v>1034</v>
      </c>
      <c r="C6221" s="183">
        <v>45520</v>
      </c>
      <c r="D6221" s="17" t="s">
        <v>52</v>
      </c>
      <c r="E6221" s="17" t="s">
        <v>1113</v>
      </c>
      <c r="F6221" s="17" t="s">
        <v>54</v>
      </c>
      <c r="H6221" s="19">
        <v>1.2311</v>
      </c>
      <c r="I6221" s="19"/>
      <c r="J6221" s="17" t="s">
        <v>82</v>
      </c>
      <c r="K6221" s="19">
        <v>305</v>
      </c>
      <c r="L6221" s="143">
        <v>65</v>
      </c>
      <c r="M6221" s="19">
        <v>2200</v>
      </c>
      <c r="N6221" s="19" t="s">
        <v>66</v>
      </c>
      <c r="O6221" s="19" t="s">
        <v>141</v>
      </c>
      <c r="P6221" s="19">
        <v>2101</v>
      </c>
      <c r="Q6221" s="19">
        <f>1092+364</f>
        <v>1456</v>
      </c>
      <c r="R6221" s="19">
        <f t="shared" si="275"/>
        <v>645</v>
      </c>
      <c r="S6221" s="355">
        <v>850</v>
      </c>
      <c r="T6221" s="19" t="s">
        <v>42</v>
      </c>
      <c r="U6221" s="102" t="s">
        <v>1506</v>
      </c>
      <c r="V6221" s="186">
        <v>45520</v>
      </c>
      <c r="W6221" s="17" t="s">
        <v>69</v>
      </c>
      <c r="Y6221" s="68">
        <v>45536</v>
      </c>
      <c r="Z6221" s="17" t="s">
        <v>191</v>
      </c>
      <c r="AA6221" s="17" t="s">
        <v>46</v>
      </c>
      <c r="AB6221" s="17" t="s">
        <v>1507</v>
      </c>
      <c r="AC6221" s="217">
        <v>45546</v>
      </c>
      <c r="AD6221" s="65">
        <v>1626</v>
      </c>
      <c r="AE6221" s="17" t="s">
        <v>74</v>
      </c>
    </row>
    <row r="6222" s="17" customFormat="1" ht="15.6" hidden="1" spans="1:31">
      <c r="A6222" s="17" t="s">
        <v>34</v>
      </c>
      <c r="B6222" s="19">
        <v>1034</v>
      </c>
      <c r="C6222" s="183">
        <v>45520</v>
      </c>
      <c r="D6222" s="17" t="s">
        <v>52</v>
      </c>
      <c r="E6222" s="17" t="s">
        <v>1113</v>
      </c>
      <c r="F6222" s="17" t="s">
        <v>54</v>
      </c>
      <c r="H6222" s="19">
        <v>1.2311</v>
      </c>
      <c r="I6222" s="19"/>
      <c r="J6222" s="17" t="s">
        <v>82</v>
      </c>
      <c r="K6222" s="19">
        <v>355</v>
      </c>
      <c r="L6222" s="143">
        <v>65</v>
      </c>
      <c r="M6222" s="19">
        <v>2200</v>
      </c>
      <c r="N6222" s="19" t="s">
        <v>66</v>
      </c>
      <c r="O6222" s="19" t="s">
        <v>141</v>
      </c>
      <c r="P6222" s="19">
        <v>2038</v>
      </c>
      <c r="Q6222" s="19">
        <f>417+417+831</f>
        <v>1665</v>
      </c>
      <c r="R6222" s="19">
        <f t="shared" si="275"/>
        <v>373</v>
      </c>
      <c r="S6222" s="355">
        <v>850</v>
      </c>
      <c r="T6222" s="19" t="s">
        <v>42</v>
      </c>
      <c r="U6222" s="102" t="s">
        <v>1506</v>
      </c>
      <c r="V6222" s="186">
        <v>45520</v>
      </c>
      <c r="W6222" s="17" t="s">
        <v>69</v>
      </c>
      <c r="Y6222" s="68">
        <v>45536</v>
      </c>
      <c r="Z6222" s="17" t="s">
        <v>191</v>
      </c>
      <c r="AA6222" s="17" t="s">
        <v>46</v>
      </c>
      <c r="AB6222" s="17" t="s">
        <v>1507</v>
      </c>
      <c r="AC6222" s="217">
        <v>45546</v>
      </c>
      <c r="AD6222" s="65">
        <v>1626</v>
      </c>
      <c r="AE6222" s="17" t="s">
        <v>74</v>
      </c>
    </row>
    <row r="6223" s="17" customFormat="1" ht="15.6" hidden="1" spans="1:31">
      <c r="A6223" s="17" t="s">
        <v>34</v>
      </c>
      <c r="B6223" s="19">
        <v>1034</v>
      </c>
      <c r="C6223" s="183">
        <v>45520</v>
      </c>
      <c r="D6223" s="17" t="s">
        <v>52</v>
      </c>
      <c r="E6223" s="17" t="s">
        <v>1113</v>
      </c>
      <c r="F6223" s="17" t="s">
        <v>54</v>
      </c>
      <c r="H6223" s="19">
        <v>1.2311</v>
      </c>
      <c r="I6223" s="19"/>
      <c r="J6223" s="17" t="s">
        <v>82</v>
      </c>
      <c r="K6223" s="19">
        <v>405</v>
      </c>
      <c r="L6223" s="143">
        <v>65</v>
      </c>
      <c r="M6223" s="19">
        <v>2200</v>
      </c>
      <c r="N6223" s="19" t="s">
        <v>66</v>
      </c>
      <c r="O6223" s="19" t="s">
        <v>141</v>
      </c>
      <c r="P6223" s="19">
        <v>1860</v>
      </c>
      <c r="Q6223" s="19">
        <f>1450+980</f>
        <v>2430</v>
      </c>
      <c r="R6223" s="19">
        <f t="shared" si="275"/>
        <v>-570</v>
      </c>
      <c r="S6223" s="355">
        <v>850</v>
      </c>
      <c r="T6223" s="19" t="s">
        <v>42</v>
      </c>
      <c r="U6223" s="102" t="s">
        <v>1506</v>
      </c>
      <c r="V6223" s="186">
        <v>45520</v>
      </c>
      <c r="W6223" s="17" t="s">
        <v>69</v>
      </c>
      <c r="Y6223" s="68">
        <v>45536</v>
      </c>
      <c r="Z6223" s="17" t="s">
        <v>191</v>
      </c>
      <c r="AA6223" s="17" t="s">
        <v>46</v>
      </c>
      <c r="AB6223" s="17" t="s">
        <v>1507</v>
      </c>
      <c r="AC6223" s="217">
        <v>45546</v>
      </c>
      <c r="AD6223" s="65">
        <v>1626</v>
      </c>
      <c r="AE6223" s="17" t="s">
        <v>74</v>
      </c>
    </row>
    <row r="6224" s="17" customFormat="1" ht="15.6" hidden="1" spans="1:31">
      <c r="A6224" s="17" t="s">
        <v>34</v>
      </c>
      <c r="B6224" s="19">
        <v>1034</v>
      </c>
      <c r="C6224" s="183">
        <v>45520</v>
      </c>
      <c r="D6224" s="17" t="s">
        <v>52</v>
      </c>
      <c r="E6224" s="17" t="s">
        <v>1113</v>
      </c>
      <c r="F6224" s="17" t="s">
        <v>54</v>
      </c>
      <c r="H6224" s="19">
        <v>1.2311</v>
      </c>
      <c r="I6224" s="19"/>
      <c r="J6224" s="17" t="s">
        <v>82</v>
      </c>
      <c r="K6224" s="19">
        <v>455</v>
      </c>
      <c r="L6224" s="143">
        <v>65</v>
      </c>
      <c r="M6224" s="19">
        <v>2200</v>
      </c>
      <c r="N6224" s="19" t="s">
        <v>66</v>
      </c>
      <c r="O6224" s="19" t="s">
        <v>141</v>
      </c>
      <c r="P6224" s="19">
        <v>1567</v>
      </c>
      <c r="Q6224" s="19">
        <f>538+538</f>
        <v>1076</v>
      </c>
      <c r="R6224" s="19">
        <f t="shared" si="275"/>
        <v>491</v>
      </c>
      <c r="S6224" s="355">
        <v>850</v>
      </c>
      <c r="T6224" s="19" t="s">
        <v>42</v>
      </c>
      <c r="U6224" s="102" t="s">
        <v>1506</v>
      </c>
      <c r="V6224" s="186">
        <v>45520</v>
      </c>
      <c r="W6224" s="17" t="s">
        <v>69</v>
      </c>
      <c r="Y6224" s="68">
        <v>45536</v>
      </c>
      <c r="Z6224" s="17" t="s">
        <v>191</v>
      </c>
      <c r="AA6224" s="17" t="s">
        <v>46</v>
      </c>
      <c r="AB6224" s="17" t="s">
        <v>1507</v>
      </c>
      <c r="AC6224" s="217">
        <v>45546</v>
      </c>
      <c r="AD6224" s="65">
        <v>1626</v>
      </c>
      <c r="AE6224" s="17" t="s">
        <v>74</v>
      </c>
    </row>
    <row r="6225" s="17" customFormat="1" ht="15.6" hidden="1" spans="1:31">
      <c r="A6225" s="17" t="s">
        <v>34</v>
      </c>
      <c r="B6225" s="19">
        <v>1034</v>
      </c>
      <c r="C6225" s="183">
        <v>45520</v>
      </c>
      <c r="D6225" s="17" t="s">
        <v>52</v>
      </c>
      <c r="E6225" s="17" t="s">
        <v>1113</v>
      </c>
      <c r="F6225" s="17" t="s">
        <v>54</v>
      </c>
      <c r="H6225" s="19">
        <v>1.2311</v>
      </c>
      <c r="I6225" s="19"/>
      <c r="J6225" s="17" t="s">
        <v>82</v>
      </c>
      <c r="K6225" s="19">
        <v>505</v>
      </c>
      <c r="L6225" s="143">
        <v>65</v>
      </c>
      <c r="M6225" s="19">
        <v>2200</v>
      </c>
      <c r="N6225" s="19" t="s">
        <v>66</v>
      </c>
      <c r="O6225" s="19" t="s">
        <v>141</v>
      </c>
      <c r="P6225" s="19">
        <v>1160</v>
      </c>
      <c r="Q6225" s="19">
        <v>599</v>
      </c>
      <c r="R6225" s="19">
        <f t="shared" si="275"/>
        <v>561</v>
      </c>
      <c r="S6225" s="355">
        <v>850</v>
      </c>
      <c r="T6225" s="19" t="s">
        <v>42</v>
      </c>
      <c r="U6225" s="102" t="s">
        <v>1506</v>
      </c>
      <c r="V6225" s="186">
        <v>45520</v>
      </c>
      <c r="W6225" s="17" t="s">
        <v>69</v>
      </c>
      <c r="Y6225" s="68">
        <v>45536</v>
      </c>
      <c r="Z6225" s="17" t="s">
        <v>191</v>
      </c>
      <c r="AA6225" s="17" t="s">
        <v>46</v>
      </c>
      <c r="AB6225" s="17" t="s">
        <v>1507</v>
      </c>
      <c r="AC6225" s="217">
        <v>45546</v>
      </c>
      <c r="AD6225" s="65">
        <v>1626</v>
      </c>
      <c r="AE6225" s="17" t="s">
        <v>74</v>
      </c>
    </row>
    <row r="6226" s="17" customFormat="1" ht="15.6" hidden="1" spans="1:31">
      <c r="A6226" s="17" t="s">
        <v>34</v>
      </c>
      <c r="B6226" s="19">
        <v>1034</v>
      </c>
      <c r="C6226" s="183">
        <v>45520</v>
      </c>
      <c r="D6226" s="17" t="s">
        <v>52</v>
      </c>
      <c r="E6226" s="17" t="s">
        <v>1113</v>
      </c>
      <c r="F6226" s="17" t="s">
        <v>54</v>
      </c>
      <c r="H6226" s="19">
        <v>1.2311</v>
      </c>
      <c r="I6226" s="19"/>
      <c r="J6226" s="17" t="s">
        <v>82</v>
      </c>
      <c r="K6226" s="19">
        <v>555</v>
      </c>
      <c r="L6226" s="143">
        <v>65</v>
      </c>
      <c r="M6226" s="19">
        <v>2200</v>
      </c>
      <c r="N6226" s="19" t="s">
        <v>66</v>
      </c>
      <c r="O6226" s="19" t="s">
        <v>141</v>
      </c>
      <c r="P6226" s="19">
        <v>1274</v>
      </c>
      <c r="Q6226" s="19">
        <f>659+645</f>
        <v>1304</v>
      </c>
      <c r="R6226" s="19">
        <f t="shared" si="275"/>
        <v>-30</v>
      </c>
      <c r="S6226" s="355">
        <v>850</v>
      </c>
      <c r="T6226" s="19" t="s">
        <v>42</v>
      </c>
      <c r="U6226" s="102" t="s">
        <v>1506</v>
      </c>
      <c r="V6226" s="186">
        <v>45520</v>
      </c>
      <c r="W6226" s="17" t="s">
        <v>69</v>
      </c>
      <c r="Y6226" s="68">
        <v>45536</v>
      </c>
      <c r="Z6226" s="17" t="s">
        <v>191</v>
      </c>
      <c r="AA6226" s="17" t="s">
        <v>46</v>
      </c>
      <c r="AB6226" s="17" t="s">
        <v>1507</v>
      </c>
      <c r="AC6226" s="217">
        <v>45546</v>
      </c>
      <c r="AD6226" s="65">
        <v>1626</v>
      </c>
      <c r="AE6226" s="17" t="s">
        <v>74</v>
      </c>
    </row>
    <row r="6227" s="17" customFormat="1" ht="15.6" hidden="1" spans="1:31">
      <c r="A6227" s="17" t="s">
        <v>34</v>
      </c>
      <c r="B6227" s="19">
        <v>1034</v>
      </c>
      <c r="C6227" s="183">
        <v>45520</v>
      </c>
      <c r="D6227" s="17" t="s">
        <v>52</v>
      </c>
      <c r="E6227" s="17" t="s">
        <v>1113</v>
      </c>
      <c r="F6227" s="17" t="s">
        <v>54</v>
      </c>
      <c r="H6227" s="19">
        <v>1.2311</v>
      </c>
      <c r="I6227" s="19"/>
      <c r="J6227" s="17" t="s">
        <v>82</v>
      </c>
      <c r="K6227" s="19">
        <v>605</v>
      </c>
      <c r="L6227" s="143">
        <v>65</v>
      </c>
      <c r="M6227" s="19">
        <v>2200</v>
      </c>
      <c r="N6227" s="19" t="s">
        <v>66</v>
      </c>
      <c r="O6227" s="19" t="s">
        <v>141</v>
      </c>
      <c r="P6227" s="19">
        <v>1389</v>
      </c>
      <c r="Q6227" s="19">
        <v>1435</v>
      </c>
      <c r="R6227" s="19">
        <f t="shared" si="275"/>
        <v>-46</v>
      </c>
      <c r="S6227" s="355">
        <v>850</v>
      </c>
      <c r="T6227" s="19" t="s">
        <v>42</v>
      </c>
      <c r="U6227" s="102" t="s">
        <v>1506</v>
      </c>
      <c r="V6227" s="186">
        <v>45520</v>
      </c>
      <c r="W6227" s="17" t="s">
        <v>69</v>
      </c>
      <c r="Y6227" s="68">
        <v>45536</v>
      </c>
      <c r="Z6227" s="17" t="s">
        <v>191</v>
      </c>
      <c r="AA6227" s="17" t="s">
        <v>46</v>
      </c>
      <c r="AB6227" s="17" t="s">
        <v>1507</v>
      </c>
      <c r="AC6227" s="217">
        <v>45546</v>
      </c>
      <c r="AD6227" s="65">
        <v>1626</v>
      </c>
      <c r="AE6227" s="17" t="s">
        <v>74</v>
      </c>
    </row>
    <row r="6228" s="17" customFormat="1" ht="15.6" hidden="1" spans="1:31">
      <c r="A6228" s="17" t="s">
        <v>34</v>
      </c>
      <c r="B6228" s="19">
        <v>1034</v>
      </c>
      <c r="C6228" s="183">
        <v>45520</v>
      </c>
      <c r="D6228" s="17" t="s">
        <v>52</v>
      </c>
      <c r="E6228" s="17" t="s">
        <v>1113</v>
      </c>
      <c r="F6228" s="17" t="s">
        <v>54</v>
      </c>
      <c r="H6228" s="19">
        <v>1.2311</v>
      </c>
      <c r="I6228" s="19"/>
      <c r="J6228" s="17" t="s">
        <v>82</v>
      </c>
      <c r="K6228" s="19">
        <v>205</v>
      </c>
      <c r="L6228" s="143">
        <v>80</v>
      </c>
      <c r="M6228" s="19">
        <v>2200</v>
      </c>
      <c r="N6228" s="19" t="s">
        <v>66</v>
      </c>
      <c r="O6228" s="19" t="s">
        <v>141</v>
      </c>
      <c r="P6228" s="19">
        <v>1448</v>
      </c>
      <c r="Q6228" s="19">
        <f>614+891</f>
        <v>1505</v>
      </c>
      <c r="R6228" s="19">
        <f t="shared" si="275"/>
        <v>-57</v>
      </c>
      <c r="S6228" s="355">
        <v>850</v>
      </c>
      <c r="T6228" s="19" t="s">
        <v>42</v>
      </c>
      <c r="U6228" s="102" t="s">
        <v>1506</v>
      </c>
      <c r="V6228" s="186">
        <v>45520</v>
      </c>
      <c r="W6228" s="17" t="s">
        <v>69</v>
      </c>
      <c r="Y6228" s="68">
        <v>45536</v>
      </c>
      <c r="Z6228" s="17" t="s">
        <v>191</v>
      </c>
      <c r="AA6228" s="17" t="s">
        <v>46</v>
      </c>
      <c r="AB6228" s="17" t="s">
        <v>1507</v>
      </c>
      <c r="AC6228" s="217">
        <v>45546</v>
      </c>
      <c r="AD6228" s="65">
        <v>1626</v>
      </c>
      <c r="AE6228" s="17" t="s">
        <v>74</v>
      </c>
    </row>
    <row r="6229" s="17" customFormat="1" ht="15.6" hidden="1" spans="1:31">
      <c r="A6229" s="17" t="s">
        <v>34</v>
      </c>
      <c r="B6229" s="19">
        <v>1034</v>
      </c>
      <c r="C6229" s="183">
        <v>45520</v>
      </c>
      <c r="D6229" s="17" t="s">
        <v>52</v>
      </c>
      <c r="E6229" s="17" t="s">
        <v>1113</v>
      </c>
      <c r="F6229" s="17" t="s">
        <v>54</v>
      </c>
      <c r="H6229" s="19">
        <v>1.2311</v>
      </c>
      <c r="I6229" s="19"/>
      <c r="J6229" s="17" t="s">
        <v>82</v>
      </c>
      <c r="K6229" s="19">
        <v>255</v>
      </c>
      <c r="L6229" s="143">
        <v>80</v>
      </c>
      <c r="M6229" s="19">
        <v>2200</v>
      </c>
      <c r="N6229" s="19" t="s">
        <v>66</v>
      </c>
      <c r="O6229" s="19" t="s">
        <v>141</v>
      </c>
      <c r="P6229" s="19">
        <v>1441</v>
      </c>
      <c r="Q6229" s="19">
        <f>381+1109</f>
        <v>1490</v>
      </c>
      <c r="R6229" s="19">
        <f t="shared" si="275"/>
        <v>-49</v>
      </c>
      <c r="S6229" s="355">
        <v>850</v>
      </c>
      <c r="T6229" s="19" t="s">
        <v>42</v>
      </c>
      <c r="U6229" s="102" t="s">
        <v>1506</v>
      </c>
      <c r="V6229" s="186">
        <v>45520</v>
      </c>
      <c r="W6229" s="17" t="s">
        <v>69</v>
      </c>
      <c r="Y6229" s="68">
        <v>45536</v>
      </c>
      <c r="Z6229" s="17" t="s">
        <v>191</v>
      </c>
      <c r="AA6229" s="17" t="s">
        <v>46</v>
      </c>
      <c r="AB6229" s="17" t="s">
        <v>1507</v>
      </c>
      <c r="AC6229" s="217">
        <v>45546</v>
      </c>
      <c r="AD6229" s="65">
        <v>1626</v>
      </c>
      <c r="AE6229" s="17" t="s">
        <v>74</v>
      </c>
    </row>
    <row r="6230" s="17" customFormat="1" ht="15.6" hidden="1" spans="1:31">
      <c r="A6230" s="17" t="s">
        <v>34</v>
      </c>
      <c r="B6230" s="19">
        <v>1034</v>
      </c>
      <c r="C6230" s="183">
        <v>45520</v>
      </c>
      <c r="D6230" s="17" t="s">
        <v>52</v>
      </c>
      <c r="E6230" s="17" t="s">
        <v>1113</v>
      </c>
      <c r="F6230" s="17" t="s">
        <v>54</v>
      </c>
      <c r="H6230" s="19">
        <v>1.2311</v>
      </c>
      <c r="I6230" s="19"/>
      <c r="J6230" s="17" t="s">
        <v>82</v>
      </c>
      <c r="K6230" s="19">
        <v>305</v>
      </c>
      <c r="L6230" s="143">
        <v>80</v>
      </c>
      <c r="M6230" s="19">
        <v>2200</v>
      </c>
      <c r="N6230" s="19" t="s">
        <v>66</v>
      </c>
      <c r="O6230" s="19" t="s">
        <v>141</v>
      </c>
      <c r="P6230" s="19">
        <v>1724</v>
      </c>
      <c r="Q6230" s="19">
        <v>2244</v>
      </c>
      <c r="R6230" s="19">
        <f t="shared" si="275"/>
        <v>-520</v>
      </c>
      <c r="S6230" s="355">
        <v>850</v>
      </c>
      <c r="T6230" s="19" t="s">
        <v>42</v>
      </c>
      <c r="U6230" s="102" t="s">
        <v>1506</v>
      </c>
      <c r="V6230" s="186">
        <v>45520</v>
      </c>
      <c r="W6230" s="17" t="s">
        <v>69</v>
      </c>
      <c r="Y6230" s="68">
        <v>45536</v>
      </c>
      <c r="Z6230" s="17" t="s">
        <v>191</v>
      </c>
      <c r="AA6230" s="17" t="s">
        <v>46</v>
      </c>
      <c r="AB6230" s="17" t="s">
        <v>1507</v>
      </c>
      <c r="AC6230" s="217">
        <v>45546</v>
      </c>
      <c r="AD6230" s="65">
        <v>1626</v>
      </c>
      <c r="AE6230" s="17" t="s">
        <v>74</v>
      </c>
    </row>
    <row r="6231" s="17" customFormat="1" ht="15.6" hidden="1" spans="1:31">
      <c r="A6231" s="17" t="s">
        <v>34</v>
      </c>
      <c r="B6231" s="19">
        <v>1034</v>
      </c>
      <c r="C6231" s="183">
        <v>45520</v>
      </c>
      <c r="D6231" s="17" t="s">
        <v>52</v>
      </c>
      <c r="E6231" s="17" t="s">
        <v>1113</v>
      </c>
      <c r="F6231" s="17" t="s">
        <v>54</v>
      </c>
      <c r="H6231" s="19">
        <v>1.2311</v>
      </c>
      <c r="I6231" s="19"/>
      <c r="J6231" s="17" t="s">
        <v>82</v>
      </c>
      <c r="K6231" s="19">
        <v>355</v>
      </c>
      <c r="L6231" s="143">
        <v>80</v>
      </c>
      <c r="M6231" s="19">
        <v>2200</v>
      </c>
      <c r="N6231" s="19" t="s">
        <v>66</v>
      </c>
      <c r="O6231" s="19" t="s">
        <v>141</v>
      </c>
      <c r="P6231" s="19">
        <v>2006</v>
      </c>
      <c r="Q6231" s="19">
        <v>2097</v>
      </c>
      <c r="R6231" s="19">
        <f t="shared" si="275"/>
        <v>-91</v>
      </c>
      <c r="S6231" s="355">
        <v>850</v>
      </c>
      <c r="T6231" s="19" t="s">
        <v>42</v>
      </c>
      <c r="U6231" s="102" t="s">
        <v>1506</v>
      </c>
      <c r="V6231" s="186">
        <v>45520</v>
      </c>
      <c r="W6231" s="17" t="s">
        <v>69</v>
      </c>
      <c r="Y6231" s="68">
        <v>45536</v>
      </c>
      <c r="Z6231" s="17" t="s">
        <v>191</v>
      </c>
      <c r="AA6231" s="17" t="s">
        <v>46</v>
      </c>
      <c r="AB6231" s="17" t="s">
        <v>1507</v>
      </c>
      <c r="AC6231" s="217">
        <v>45546</v>
      </c>
      <c r="AD6231" s="65">
        <v>1626</v>
      </c>
      <c r="AE6231" s="17" t="s">
        <v>74</v>
      </c>
    </row>
    <row r="6232" s="17" customFormat="1" ht="15.6" hidden="1" spans="1:31">
      <c r="A6232" s="17" t="s">
        <v>34</v>
      </c>
      <c r="B6232" s="19">
        <v>1034</v>
      </c>
      <c r="C6232" s="183">
        <v>45520</v>
      </c>
      <c r="D6232" s="17" t="s">
        <v>52</v>
      </c>
      <c r="E6232" s="17" t="s">
        <v>1113</v>
      </c>
      <c r="F6232" s="17" t="s">
        <v>54</v>
      </c>
      <c r="H6232" s="19">
        <v>1.2311</v>
      </c>
      <c r="I6232" s="19"/>
      <c r="J6232" s="17" t="s">
        <v>82</v>
      </c>
      <c r="K6232" s="19">
        <v>405</v>
      </c>
      <c r="L6232" s="143">
        <v>80</v>
      </c>
      <c r="M6232" s="19">
        <v>2200</v>
      </c>
      <c r="N6232" s="19" t="s">
        <v>66</v>
      </c>
      <c r="O6232" s="19" t="s">
        <v>141</v>
      </c>
      <c r="P6232" s="19">
        <v>1717</v>
      </c>
      <c r="Q6232" s="19">
        <v>1857</v>
      </c>
      <c r="R6232" s="19">
        <f t="shared" si="275"/>
        <v>-140</v>
      </c>
      <c r="S6232" s="355">
        <v>850</v>
      </c>
      <c r="T6232" s="19" t="s">
        <v>42</v>
      </c>
      <c r="U6232" s="102" t="s">
        <v>1506</v>
      </c>
      <c r="V6232" s="186">
        <v>45520</v>
      </c>
      <c r="W6232" s="17" t="s">
        <v>69</v>
      </c>
      <c r="Y6232" s="68">
        <v>45536</v>
      </c>
      <c r="Z6232" s="17" t="s">
        <v>191</v>
      </c>
      <c r="AA6232" s="17" t="s">
        <v>46</v>
      </c>
      <c r="AB6232" s="17" t="s">
        <v>1507</v>
      </c>
      <c r="AC6232" s="217">
        <v>45546</v>
      </c>
      <c r="AD6232" s="65">
        <v>1626</v>
      </c>
      <c r="AE6232" s="17" t="s">
        <v>74</v>
      </c>
    </row>
    <row r="6233" s="17" customFormat="1" ht="15.6" hidden="1" spans="1:31">
      <c r="A6233" s="17" t="s">
        <v>34</v>
      </c>
      <c r="B6233" s="19">
        <v>1034</v>
      </c>
      <c r="C6233" s="183">
        <v>45520</v>
      </c>
      <c r="D6233" s="17" t="s">
        <v>52</v>
      </c>
      <c r="E6233" s="17" t="s">
        <v>1113</v>
      </c>
      <c r="F6233" s="17" t="s">
        <v>54</v>
      </c>
      <c r="H6233" s="19">
        <v>1.2311</v>
      </c>
      <c r="I6233" s="19"/>
      <c r="J6233" s="17" t="s">
        <v>82</v>
      </c>
      <c r="K6233" s="19">
        <v>455</v>
      </c>
      <c r="L6233" s="143">
        <v>80</v>
      </c>
      <c r="M6233" s="19">
        <v>2200</v>
      </c>
      <c r="N6233" s="19" t="s">
        <v>66</v>
      </c>
      <c r="O6233" s="19" t="s">
        <v>141</v>
      </c>
      <c r="P6233" s="19">
        <v>1286</v>
      </c>
      <c r="Q6233" s="19">
        <v>1350</v>
      </c>
      <c r="R6233" s="19">
        <f t="shared" si="275"/>
        <v>-64</v>
      </c>
      <c r="S6233" s="355">
        <v>850</v>
      </c>
      <c r="T6233" s="19" t="s">
        <v>42</v>
      </c>
      <c r="U6233" s="102" t="s">
        <v>1506</v>
      </c>
      <c r="V6233" s="186">
        <v>45520</v>
      </c>
      <c r="W6233" s="17" t="s">
        <v>69</v>
      </c>
      <c r="Y6233" s="68">
        <v>45536</v>
      </c>
      <c r="Z6233" s="17" t="s">
        <v>191</v>
      </c>
      <c r="AA6233" s="17" t="s">
        <v>46</v>
      </c>
      <c r="AB6233" s="17" t="s">
        <v>1507</v>
      </c>
      <c r="AC6233" s="217">
        <v>45546</v>
      </c>
      <c r="AD6233" s="65">
        <v>1626</v>
      </c>
      <c r="AE6233" s="17" t="s">
        <v>74</v>
      </c>
    </row>
    <row r="6234" s="17" customFormat="1" ht="15.6" hidden="1" spans="1:31">
      <c r="A6234" s="17" t="s">
        <v>34</v>
      </c>
      <c r="B6234" s="19">
        <v>1034</v>
      </c>
      <c r="C6234" s="183">
        <v>45520</v>
      </c>
      <c r="D6234" s="17" t="s">
        <v>52</v>
      </c>
      <c r="E6234" s="17" t="s">
        <v>1113</v>
      </c>
      <c r="F6234" s="17" t="s">
        <v>54</v>
      </c>
      <c r="H6234" s="19">
        <v>1.2311</v>
      </c>
      <c r="I6234" s="19"/>
      <c r="J6234" s="17" t="s">
        <v>82</v>
      </c>
      <c r="K6234" s="19">
        <v>505</v>
      </c>
      <c r="L6234" s="143">
        <v>80</v>
      </c>
      <c r="M6234" s="19">
        <v>2200</v>
      </c>
      <c r="N6234" s="19" t="s">
        <v>66</v>
      </c>
      <c r="O6234" s="19" t="s">
        <v>141</v>
      </c>
      <c r="P6234" s="19">
        <v>1427</v>
      </c>
      <c r="Q6234" s="19">
        <f>733+737</f>
        <v>1470</v>
      </c>
      <c r="R6234" s="19">
        <f t="shared" si="275"/>
        <v>-43</v>
      </c>
      <c r="S6234" s="355">
        <v>850</v>
      </c>
      <c r="T6234" s="19" t="s">
        <v>42</v>
      </c>
      <c r="U6234" s="102" t="s">
        <v>1506</v>
      </c>
      <c r="V6234" s="186">
        <v>45520</v>
      </c>
      <c r="W6234" s="17" t="s">
        <v>69</v>
      </c>
      <c r="Y6234" s="68">
        <v>45536</v>
      </c>
      <c r="Z6234" s="17" t="s">
        <v>191</v>
      </c>
      <c r="AA6234" s="17" t="s">
        <v>46</v>
      </c>
      <c r="AB6234" s="17" t="s">
        <v>1507</v>
      </c>
      <c r="AC6234" s="217">
        <v>45546</v>
      </c>
      <c r="AD6234" s="65">
        <v>1626</v>
      </c>
      <c r="AE6234" s="17" t="s">
        <v>74</v>
      </c>
    </row>
    <row r="6235" s="17" customFormat="1" ht="15.6" hidden="1" spans="1:31">
      <c r="A6235" s="17" t="s">
        <v>34</v>
      </c>
      <c r="B6235" s="19">
        <v>1034</v>
      </c>
      <c r="C6235" s="183">
        <v>45520</v>
      </c>
      <c r="D6235" s="17" t="s">
        <v>52</v>
      </c>
      <c r="E6235" s="17" t="s">
        <v>1113</v>
      </c>
      <c r="F6235" s="17" t="s">
        <v>54</v>
      </c>
      <c r="H6235" s="19">
        <v>1.2311</v>
      </c>
      <c r="I6235" s="19"/>
      <c r="J6235" s="17" t="s">
        <v>82</v>
      </c>
      <c r="K6235" s="19">
        <v>205</v>
      </c>
      <c r="L6235" s="143">
        <v>105</v>
      </c>
      <c r="M6235" s="19">
        <v>2200</v>
      </c>
      <c r="N6235" s="19" t="s">
        <v>66</v>
      </c>
      <c r="O6235" s="19" t="s">
        <v>141</v>
      </c>
      <c r="P6235" s="19">
        <v>760</v>
      </c>
      <c r="Q6235" s="19">
        <v>805</v>
      </c>
      <c r="R6235" s="19">
        <f t="shared" si="275"/>
        <v>-45</v>
      </c>
      <c r="S6235" s="355">
        <v>850</v>
      </c>
      <c r="T6235" s="19" t="s">
        <v>42</v>
      </c>
      <c r="U6235" s="102" t="s">
        <v>1506</v>
      </c>
      <c r="V6235" s="186">
        <v>45520</v>
      </c>
      <c r="W6235" s="17" t="s">
        <v>69</v>
      </c>
      <c r="Y6235" s="68">
        <v>45536</v>
      </c>
      <c r="Z6235" s="17" t="s">
        <v>191</v>
      </c>
      <c r="AA6235" s="17" t="s">
        <v>46</v>
      </c>
      <c r="AB6235" s="17" t="s">
        <v>1507</v>
      </c>
      <c r="AC6235" s="217">
        <v>45546</v>
      </c>
      <c r="AD6235" s="65">
        <v>1626</v>
      </c>
      <c r="AE6235" s="17" t="s">
        <v>74</v>
      </c>
    </row>
    <row r="6236" s="17" customFormat="1" ht="15.6" hidden="1" spans="1:31">
      <c r="A6236" s="17" t="s">
        <v>34</v>
      </c>
      <c r="B6236" s="19">
        <v>1034</v>
      </c>
      <c r="C6236" s="183">
        <v>45520</v>
      </c>
      <c r="D6236" s="17" t="s">
        <v>52</v>
      </c>
      <c r="E6236" s="17" t="s">
        <v>1113</v>
      </c>
      <c r="F6236" s="17" t="s">
        <v>54</v>
      </c>
      <c r="H6236" s="19">
        <v>1.2311</v>
      </c>
      <c r="I6236" s="19"/>
      <c r="J6236" s="17" t="s">
        <v>82</v>
      </c>
      <c r="K6236" s="19">
        <v>255</v>
      </c>
      <c r="L6236" s="143">
        <v>105</v>
      </c>
      <c r="M6236" s="19">
        <v>2200</v>
      </c>
      <c r="N6236" s="19" t="s">
        <v>66</v>
      </c>
      <c r="O6236" s="19" t="s">
        <v>141</v>
      </c>
      <c r="P6236" s="19">
        <v>946</v>
      </c>
      <c r="Q6236" s="19">
        <v>983</v>
      </c>
      <c r="R6236" s="19">
        <f t="shared" si="275"/>
        <v>-37</v>
      </c>
      <c r="S6236" s="355">
        <v>850</v>
      </c>
      <c r="T6236" s="19" t="s">
        <v>42</v>
      </c>
      <c r="U6236" s="102" t="s">
        <v>1506</v>
      </c>
      <c r="V6236" s="186">
        <v>45520</v>
      </c>
      <c r="W6236" s="17" t="s">
        <v>69</v>
      </c>
      <c r="Y6236" s="68">
        <v>45536</v>
      </c>
      <c r="Z6236" s="17" t="s">
        <v>191</v>
      </c>
      <c r="AA6236" s="17" t="s">
        <v>46</v>
      </c>
      <c r="AB6236" s="17" t="s">
        <v>1507</v>
      </c>
      <c r="AC6236" s="217">
        <v>45546</v>
      </c>
      <c r="AD6236" s="65">
        <v>1626</v>
      </c>
      <c r="AE6236" s="17" t="s">
        <v>74</v>
      </c>
    </row>
    <row r="6237" s="17" customFormat="1" ht="15.6" hidden="1" spans="1:31">
      <c r="A6237" s="17" t="s">
        <v>34</v>
      </c>
      <c r="B6237" s="19">
        <v>1034</v>
      </c>
      <c r="C6237" s="183">
        <v>45520</v>
      </c>
      <c r="D6237" s="17" t="s">
        <v>52</v>
      </c>
      <c r="E6237" s="17" t="s">
        <v>1113</v>
      </c>
      <c r="F6237" s="17" t="s">
        <v>54</v>
      </c>
      <c r="H6237" s="19">
        <v>1.2311</v>
      </c>
      <c r="I6237" s="19"/>
      <c r="J6237" s="17" t="s">
        <v>82</v>
      </c>
      <c r="K6237" s="19">
        <v>305</v>
      </c>
      <c r="L6237" s="19">
        <v>105</v>
      </c>
      <c r="M6237" s="19">
        <v>2200</v>
      </c>
      <c r="N6237" s="19" t="s">
        <v>66</v>
      </c>
      <c r="O6237" s="19" t="s">
        <v>141</v>
      </c>
      <c r="P6237" s="19">
        <v>1131</v>
      </c>
      <c r="Q6237" s="19">
        <v>1191</v>
      </c>
      <c r="R6237" s="19">
        <f t="shared" si="275"/>
        <v>-60</v>
      </c>
      <c r="S6237" s="274">
        <v>850</v>
      </c>
      <c r="T6237" s="19" t="s">
        <v>42</v>
      </c>
      <c r="U6237" s="102" t="s">
        <v>1506</v>
      </c>
      <c r="V6237" s="186">
        <v>45520</v>
      </c>
      <c r="W6237" s="17" t="s">
        <v>69</v>
      </c>
      <c r="Y6237" s="68">
        <v>45536</v>
      </c>
      <c r="Z6237" s="17" t="s">
        <v>191</v>
      </c>
      <c r="AA6237" s="17" t="s">
        <v>46</v>
      </c>
      <c r="AB6237" s="17" t="s">
        <v>1507</v>
      </c>
      <c r="AC6237" s="217">
        <v>45546</v>
      </c>
      <c r="AD6237" s="65">
        <v>1626</v>
      </c>
      <c r="AE6237" s="17" t="s">
        <v>74</v>
      </c>
    </row>
    <row r="6238" s="17" customFormat="1" ht="15.6" hidden="1" spans="1:31">
      <c r="A6238" s="17" t="s">
        <v>34</v>
      </c>
      <c r="B6238" s="19">
        <v>1034</v>
      </c>
      <c r="C6238" s="183">
        <v>45520</v>
      </c>
      <c r="D6238" s="17" t="s">
        <v>52</v>
      </c>
      <c r="E6238" s="17" t="s">
        <v>1113</v>
      </c>
      <c r="F6238" s="17" t="s">
        <v>54</v>
      </c>
      <c r="H6238" s="19">
        <v>1.2311</v>
      </c>
      <c r="I6238" s="19"/>
      <c r="J6238" s="17" t="s">
        <v>82</v>
      </c>
      <c r="K6238" s="19">
        <v>355</v>
      </c>
      <c r="L6238" s="19">
        <v>105</v>
      </c>
      <c r="M6238" s="19">
        <v>2200</v>
      </c>
      <c r="N6238" s="19" t="s">
        <v>66</v>
      </c>
      <c r="O6238" s="19" t="s">
        <v>141</v>
      </c>
      <c r="P6238" s="19">
        <v>1317</v>
      </c>
      <c r="Q6238" s="19">
        <f>683+681</f>
        <v>1364</v>
      </c>
      <c r="R6238" s="19">
        <f t="shared" si="275"/>
        <v>-47</v>
      </c>
      <c r="S6238" s="274">
        <v>850</v>
      </c>
      <c r="T6238" s="19" t="s">
        <v>42</v>
      </c>
      <c r="U6238" s="102" t="s">
        <v>1506</v>
      </c>
      <c r="V6238" s="186">
        <v>45520</v>
      </c>
      <c r="W6238" s="17" t="s">
        <v>69</v>
      </c>
      <c r="Y6238" s="68">
        <v>45536</v>
      </c>
      <c r="Z6238" s="17" t="s">
        <v>191</v>
      </c>
      <c r="AA6238" s="17" t="s">
        <v>46</v>
      </c>
      <c r="AB6238" s="17" t="s">
        <v>1507</v>
      </c>
      <c r="AC6238" s="217">
        <v>45546</v>
      </c>
      <c r="AD6238" s="65">
        <v>1626</v>
      </c>
      <c r="AE6238" s="17" t="s">
        <v>74</v>
      </c>
    </row>
    <row r="6239" s="17" customFormat="1" ht="15.6" hidden="1" spans="1:31">
      <c r="A6239" s="17" t="s">
        <v>34</v>
      </c>
      <c r="B6239" s="19">
        <v>1034</v>
      </c>
      <c r="C6239" s="183">
        <v>45520</v>
      </c>
      <c r="D6239" s="17" t="s">
        <v>52</v>
      </c>
      <c r="E6239" s="17" t="s">
        <v>1113</v>
      </c>
      <c r="F6239" s="17" t="s">
        <v>54</v>
      </c>
      <c r="H6239" s="19">
        <v>1.2311</v>
      </c>
      <c r="I6239" s="19"/>
      <c r="J6239" s="17" t="s">
        <v>82</v>
      </c>
      <c r="K6239" s="19">
        <v>405</v>
      </c>
      <c r="L6239" s="19">
        <v>105</v>
      </c>
      <c r="M6239" s="19">
        <v>2200</v>
      </c>
      <c r="N6239" s="19" t="s">
        <v>66</v>
      </c>
      <c r="O6239" s="19" t="s">
        <v>141</v>
      </c>
      <c r="P6239" s="19">
        <v>751</v>
      </c>
      <c r="Q6239" s="19">
        <v>775</v>
      </c>
      <c r="R6239" s="19">
        <f t="shared" si="275"/>
        <v>-24</v>
      </c>
      <c r="S6239" s="274">
        <v>850</v>
      </c>
      <c r="T6239" s="19" t="s">
        <v>42</v>
      </c>
      <c r="U6239" s="102" t="s">
        <v>1506</v>
      </c>
      <c r="V6239" s="186">
        <v>45520</v>
      </c>
      <c r="W6239" s="17" t="s">
        <v>69</v>
      </c>
      <c r="Y6239" s="68">
        <v>45536</v>
      </c>
      <c r="Z6239" s="17" t="s">
        <v>191</v>
      </c>
      <c r="AA6239" s="17" t="s">
        <v>46</v>
      </c>
      <c r="AB6239" s="17" t="s">
        <v>1507</v>
      </c>
      <c r="AC6239" s="217">
        <v>45546</v>
      </c>
      <c r="AD6239" s="65">
        <v>1626</v>
      </c>
      <c r="AE6239" s="17" t="s">
        <v>74</v>
      </c>
    </row>
    <row r="6240" s="17" customFormat="1" ht="15.6" hidden="1" spans="1:31">
      <c r="A6240" s="17" t="s">
        <v>34</v>
      </c>
      <c r="B6240" s="19">
        <v>1034</v>
      </c>
      <c r="C6240" s="183">
        <v>45520</v>
      </c>
      <c r="D6240" s="17" t="s">
        <v>52</v>
      </c>
      <c r="E6240" s="17" t="s">
        <v>1113</v>
      </c>
      <c r="F6240" s="17" t="s">
        <v>54</v>
      </c>
      <c r="H6240" s="19">
        <v>1.2311</v>
      </c>
      <c r="I6240" s="19"/>
      <c r="J6240" s="17" t="s">
        <v>82</v>
      </c>
      <c r="K6240" s="19">
        <v>455</v>
      </c>
      <c r="L6240" s="19">
        <v>105</v>
      </c>
      <c r="M6240" s="19">
        <v>2200</v>
      </c>
      <c r="N6240" s="19" t="s">
        <v>66</v>
      </c>
      <c r="O6240" s="19" t="s">
        <v>141</v>
      </c>
      <c r="P6240" s="19">
        <v>844</v>
      </c>
      <c r="Q6240" s="19">
        <v>873</v>
      </c>
      <c r="R6240" s="19">
        <f t="shared" si="275"/>
        <v>-29</v>
      </c>
      <c r="S6240" s="274">
        <v>850</v>
      </c>
      <c r="T6240" s="19" t="s">
        <v>42</v>
      </c>
      <c r="U6240" s="102" t="s">
        <v>1506</v>
      </c>
      <c r="V6240" s="186">
        <v>45520</v>
      </c>
      <c r="W6240" s="17" t="s">
        <v>69</v>
      </c>
      <c r="Y6240" s="68">
        <v>45536</v>
      </c>
      <c r="Z6240" s="17" t="s">
        <v>191</v>
      </c>
      <c r="AA6240" s="17" t="s">
        <v>46</v>
      </c>
      <c r="AB6240" s="17" t="s">
        <v>1507</v>
      </c>
      <c r="AC6240" s="217">
        <v>45546</v>
      </c>
      <c r="AD6240" s="65">
        <v>1626</v>
      </c>
      <c r="AE6240" s="17" t="s">
        <v>74</v>
      </c>
    </row>
    <row r="6241" s="17" customFormat="1" ht="15.6" hidden="1" spans="1:32">
      <c r="A6241" s="17" t="s">
        <v>34</v>
      </c>
      <c r="B6241" s="19">
        <v>1034</v>
      </c>
      <c r="C6241" s="183">
        <v>45520</v>
      </c>
      <c r="D6241" s="17" t="s">
        <v>52</v>
      </c>
      <c r="E6241" s="17" t="s">
        <v>1113</v>
      </c>
      <c r="F6241" s="17" t="s">
        <v>54</v>
      </c>
      <c r="H6241" s="19">
        <v>1.2311</v>
      </c>
      <c r="I6241" s="19"/>
      <c r="J6241" s="17" t="s">
        <v>82</v>
      </c>
      <c r="K6241" s="19">
        <v>505</v>
      </c>
      <c r="L6241" s="19">
        <v>105</v>
      </c>
      <c r="M6241" s="19">
        <v>2200</v>
      </c>
      <c r="N6241" s="19" t="s">
        <v>66</v>
      </c>
      <c r="O6241" s="19" t="s">
        <v>141</v>
      </c>
      <c r="P6241" s="19">
        <v>937</v>
      </c>
      <c r="Q6241" s="19">
        <v>973</v>
      </c>
      <c r="R6241" s="19">
        <f t="shared" si="275"/>
        <v>-36</v>
      </c>
      <c r="S6241" s="274">
        <v>850</v>
      </c>
      <c r="T6241" s="19" t="s">
        <v>42</v>
      </c>
      <c r="U6241" s="102" t="s">
        <v>1506</v>
      </c>
      <c r="V6241" s="186">
        <v>45520</v>
      </c>
      <c r="W6241" s="17" t="s">
        <v>69</v>
      </c>
      <c r="Y6241" s="68">
        <v>45536</v>
      </c>
      <c r="Z6241" s="17" t="s">
        <v>191</v>
      </c>
      <c r="AA6241" s="17" t="s">
        <v>46</v>
      </c>
      <c r="AB6241" s="17" t="s">
        <v>1507</v>
      </c>
      <c r="AC6241" s="217">
        <v>45546</v>
      </c>
      <c r="AD6241" s="65">
        <v>1626</v>
      </c>
      <c r="AE6241" s="17" t="s">
        <v>74</v>
      </c>
    </row>
    <row r="6242" s="17" customFormat="1" ht="15.6" hidden="1" spans="1:32">
      <c r="A6242" s="17" t="s">
        <v>34</v>
      </c>
      <c r="B6242" s="19">
        <v>1034</v>
      </c>
      <c r="C6242" s="183">
        <v>45520</v>
      </c>
      <c r="D6242" s="17" t="s">
        <v>52</v>
      </c>
      <c r="E6242" s="17" t="s">
        <v>1113</v>
      </c>
      <c r="F6242" s="17" t="s">
        <v>54</v>
      </c>
      <c r="H6242" s="19">
        <v>1.2311</v>
      </c>
      <c r="I6242" s="19"/>
      <c r="J6242" s="17" t="s">
        <v>82</v>
      </c>
      <c r="K6242" s="19">
        <v>1100</v>
      </c>
      <c r="L6242" s="19">
        <v>120</v>
      </c>
      <c r="M6242" s="19">
        <v>2200</v>
      </c>
      <c r="N6242" s="19" t="s">
        <v>66</v>
      </c>
      <c r="O6242" s="19" t="s">
        <v>141</v>
      </c>
      <c r="P6242" s="19">
        <v>2331</v>
      </c>
      <c r="Q6242" s="19">
        <v>2352</v>
      </c>
      <c r="R6242" s="19">
        <f t="shared" si="275"/>
        <v>-21</v>
      </c>
      <c r="S6242" s="274">
        <v>850</v>
      </c>
      <c r="T6242" s="19" t="s">
        <v>42</v>
      </c>
      <c r="U6242" s="102" t="s">
        <v>1506</v>
      </c>
      <c r="V6242" s="186">
        <v>45520</v>
      </c>
      <c r="W6242" s="17" t="s">
        <v>69</v>
      </c>
      <c r="Y6242" s="68">
        <v>45536</v>
      </c>
      <c r="Z6242" s="17" t="s">
        <v>191</v>
      </c>
      <c r="AA6242" s="17" t="s">
        <v>46</v>
      </c>
      <c r="AB6242" s="17" t="s">
        <v>1507</v>
      </c>
      <c r="AC6242" s="217">
        <v>45546</v>
      </c>
      <c r="AD6242" s="65">
        <v>1626</v>
      </c>
      <c r="AE6242" s="17" t="s">
        <v>74</v>
      </c>
    </row>
    <row r="6243" s="17" customFormat="1" hidden="1" spans="1:32">
      <c r="A6243" s="17" t="s">
        <v>34</v>
      </c>
      <c r="B6243" s="19">
        <v>1035</v>
      </c>
      <c r="C6243" s="183">
        <v>45527</v>
      </c>
      <c r="D6243" s="17" t="s">
        <v>52</v>
      </c>
      <c r="E6243" s="17" t="s">
        <v>1113</v>
      </c>
      <c r="F6243" s="17" t="s">
        <v>54</v>
      </c>
      <c r="H6243" s="19" t="s">
        <v>108</v>
      </c>
      <c r="I6243" s="19"/>
      <c r="J6243" s="17" t="s">
        <v>82</v>
      </c>
      <c r="K6243" s="19">
        <v>560</v>
      </c>
      <c r="L6243" s="91">
        <v>32</v>
      </c>
      <c r="M6243" s="19">
        <v>3500</v>
      </c>
      <c r="N6243" s="19" t="s">
        <v>66</v>
      </c>
      <c r="O6243" s="19" t="s">
        <v>141</v>
      </c>
      <c r="P6243" s="19">
        <v>536</v>
      </c>
      <c r="Q6243" s="19">
        <v>712</v>
      </c>
      <c r="R6243" s="19">
        <f t="shared" si="275"/>
        <v>-176</v>
      </c>
      <c r="S6243" s="19">
        <v>1455</v>
      </c>
      <c r="T6243" s="19" t="s">
        <v>42</v>
      </c>
      <c r="U6243" s="102" t="s">
        <v>1486</v>
      </c>
      <c r="V6243" s="186">
        <v>45527</v>
      </c>
      <c r="W6243" s="17" t="s">
        <v>69</v>
      </c>
      <c r="Y6243" s="68">
        <v>45505</v>
      </c>
      <c r="Z6243" s="17" t="s">
        <v>191</v>
      </c>
      <c r="AA6243" s="17" t="s">
        <v>46</v>
      </c>
      <c r="AB6243" s="17" t="s">
        <v>1352</v>
      </c>
      <c r="AC6243" s="217">
        <v>45531</v>
      </c>
      <c r="AD6243" s="65">
        <v>1623</v>
      </c>
      <c r="AE6243" s="17" t="s">
        <v>48</v>
      </c>
    </row>
    <row r="6244" s="17" customFormat="1" hidden="1" spans="1:32">
      <c r="A6244" s="17" t="s">
        <v>34</v>
      </c>
      <c r="B6244" s="19">
        <v>1035</v>
      </c>
      <c r="C6244" s="183">
        <v>45527</v>
      </c>
      <c r="D6244" s="17" t="s">
        <v>52</v>
      </c>
      <c r="E6244" s="17" t="s">
        <v>1113</v>
      </c>
      <c r="F6244" s="17" t="s">
        <v>54</v>
      </c>
      <c r="H6244" s="19" t="s">
        <v>108</v>
      </c>
      <c r="I6244" s="19"/>
      <c r="J6244" s="17" t="s">
        <v>82</v>
      </c>
      <c r="K6244" s="19">
        <v>610</v>
      </c>
      <c r="L6244" s="91">
        <v>37</v>
      </c>
      <c r="M6244" s="19">
        <v>3500</v>
      </c>
      <c r="N6244" s="19" t="s">
        <v>66</v>
      </c>
      <c r="O6244" s="19" t="s">
        <v>141</v>
      </c>
      <c r="P6244" s="19">
        <v>620</v>
      </c>
      <c r="Q6244" s="19">
        <v>754</v>
      </c>
      <c r="R6244" s="19">
        <f t="shared" si="275"/>
        <v>-134</v>
      </c>
      <c r="S6244" s="19">
        <v>1455</v>
      </c>
      <c r="T6244" s="19" t="s">
        <v>42</v>
      </c>
      <c r="U6244" s="102" t="s">
        <v>1486</v>
      </c>
      <c r="V6244" s="186">
        <v>45527</v>
      </c>
      <c r="W6244" s="17" t="s">
        <v>69</v>
      </c>
      <c r="Y6244" s="68">
        <v>45505</v>
      </c>
      <c r="Z6244" s="17" t="s">
        <v>191</v>
      </c>
      <c r="AA6244" s="17" t="s">
        <v>46</v>
      </c>
      <c r="AB6244" s="17" t="s">
        <v>1352</v>
      </c>
      <c r="AC6244" s="217">
        <v>45531</v>
      </c>
      <c r="AD6244" s="65">
        <v>1623</v>
      </c>
      <c r="AE6244" s="17" t="s">
        <v>48</v>
      </c>
    </row>
    <row r="6245" s="17" customFormat="1" hidden="1" spans="1:32">
      <c r="A6245" s="17" t="s">
        <v>34</v>
      </c>
      <c r="B6245" s="19">
        <v>1035</v>
      </c>
      <c r="C6245" s="183">
        <v>45527</v>
      </c>
      <c r="D6245" s="17" t="s">
        <v>52</v>
      </c>
      <c r="E6245" s="17" t="s">
        <v>1113</v>
      </c>
      <c r="F6245" s="17" t="s">
        <v>54</v>
      </c>
      <c r="H6245" s="19" t="s">
        <v>108</v>
      </c>
      <c r="I6245" s="19"/>
      <c r="J6245" s="17" t="s">
        <v>82</v>
      </c>
      <c r="K6245" s="19">
        <v>510</v>
      </c>
      <c r="L6245" s="91">
        <v>42</v>
      </c>
      <c r="M6245" s="19">
        <v>3500</v>
      </c>
      <c r="N6245" s="19" t="s">
        <v>66</v>
      </c>
      <c r="O6245" s="19" t="s">
        <v>141</v>
      </c>
      <c r="P6245" s="19">
        <v>589</v>
      </c>
      <c r="Q6245" s="19">
        <v>550</v>
      </c>
      <c r="R6245" s="19">
        <f t="shared" si="275"/>
        <v>39</v>
      </c>
      <c r="S6245" s="19">
        <v>1455</v>
      </c>
      <c r="T6245" s="19" t="s">
        <v>42</v>
      </c>
      <c r="U6245" s="102" t="s">
        <v>1486</v>
      </c>
      <c r="V6245" s="186">
        <v>45527</v>
      </c>
      <c r="W6245" s="17" t="s">
        <v>69</v>
      </c>
      <c r="Y6245" s="68">
        <v>45505</v>
      </c>
      <c r="Z6245" s="17" t="s">
        <v>191</v>
      </c>
      <c r="AA6245" s="17" t="s">
        <v>46</v>
      </c>
      <c r="AB6245" s="17" t="s">
        <v>1352</v>
      </c>
      <c r="AC6245" s="217">
        <v>45531</v>
      </c>
      <c r="AD6245" s="65">
        <v>1623</v>
      </c>
      <c r="AE6245" s="17" t="s">
        <v>48</v>
      </c>
    </row>
    <row r="6246" s="17" customFormat="1" hidden="1" spans="1:32">
      <c r="A6246" s="17" t="s">
        <v>34</v>
      </c>
      <c r="B6246" s="19">
        <v>1036</v>
      </c>
      <c r="C6246" s="183">
        <v>45534</v>
      </c>
      <c r="D6246" s="17" t="s">
        <v>91</v>
      </c>
      <c r="E6246" s="17" t="s">
        <v>550</v>
      </c>
      <c r="F6246" s="17" t="s">
        <v>93</v>
      </c>
      <c r="H6246" s="19">
        <v>1.2085</v>
      </c>
      <c r="I6246" s="19"/>
      <c r="J6246" s="17" t="s">
        <v>49</v>
      </c>
      <c r="K6246" s="19">
        <v>2000</v>
      </c>
      <c r="L6246" s="91">
        <v>40</v>
      </c>
      <c r="M6246" s="19">
        <v>5500</v>
      </c>
      <c r="N6246" s="19" t="s">
        <v>66</v>
      </c>
      <c r="O6246" s="19" t="s">
        <v>141</v>
      </c>
      <c r="P6246" s="19">
        <v>3520</v>
      </c>
      <c r="Q6246" s="19">
        <v>3530</v>
      </c>
      <c r="R6246" s="19">
        <f t="shared" si="275"/>
        <v>-10</v>
      </c>
      <c r="S6246" s="19">
        <v>2750</v>
      </c>
      <c r="T6246" s="19" t="s">
        <v>94</v>
      </c>
      <c r="U6246" s="102">
        <v>20045620</v>
      </c>
      <c r="V6246" s="186">
        <v>45534</v>
      </c>
      <c r="W6246" s="17" t="s">
        <v>44</v>
      </c>
      <c r="Y6246" s="68">
        <v>45566</v>
      </c>
      <c r="Z6246" s="17" t="s">
        <v>1508</v>
      </c>
      <c r="AA6246" s="17" t="s">
        <v>46</v>
      </c>
      <c r="AB6246" s="17">
        <v>24201121680</v>
      </c>
      <c r="AC6246" s="217">
        <v>45610</v>
      </c>
      <c r="AD6246" s="65">
        <v>1638</v>
      </c>
      <c r="AE6246" s="17" t="s">
        <v>48</v>
      </c>
    </row>
    <row r="6247" s="17" customFormat="1" hidden="1" spans="1:32">
      <c r="A6247" s="17" t="s">
        <v>34</v>
      </c>
      <c r="B6247" s="19">
        <v>1036</v>
      </c>
      <c r="C6247" s="183">
        <v>45534</v>
      </c>
      <c r="D6247" s="17" t="s">
        <v>91</v>
      </c>
      <c r="E6247" s="17" t="s">
        <v>550</v>
      </c>
      <c r="F6247" s="17" t="s">
        <v>93</v>
      </c>
      <c r="H6247" s="19">
        <v>1.2085</v>
      </c>
      <c r="I6247" s="19"/>
      <c r="J6247" s="17" t="s">
        <v>49</v>
      </c>
      <c r="K6247" s="19">
        <v>2000</v>
      </c>
      <c r="L6247" s="91">
        <v>50</v>
      </c>
      <c r="M6247" s="19">
        <v>5500</v>
      </c>
      <c r="N6247" s="19" t="s">
        <v>66</v>
      </c>
      <c r="O6247" s="19" t="s">
        <v>141</v>
      </c>
      <c r="P6247" s="19">
        <v>4400</v>
      </c>
      <c r="Q6247" s="19">
        <v>4395</v>
      </c>
      <c r="R6247" s="19">
        <f t="shared" si="275"/>
        <v>5</v>
      </c>
      <c r="S6247" s="19">
        <v>2750</v>
      </c>
      <c r="T6247" s="19" t="s">
        <v>94</v>
      </c>
      <c r="U6247" s="102">
        <v>20045620</v>
      </c>
      <c r="V6247" s="186">
        <v>45534</v>
      </c>
      <c r="W6247" s="17" t="s">
        <v>44</v>
      </c>
      <c r="Y6247" s="68">
        <v>45566</v>
      </c>
      <c r="Z6247" s="17" t="s">
        <v>1508</v>
      </c>
      <c r="AA6247" s="17" t="s">
        <v>46</v>
      </c>
      <c r="AB6247" s="17">
        <v>24201121680</v>
      </c>
      <c r="AC6247" s="217">
        <v>45610</v>
      </c>
      <c r="AD6247" s="65">
        <v>1638</v>
      </c>
      <c r="AE6247" s="17" t="s">
        <v>48</v>
      </c>
    </row>
    <row r="6248" s="17" customFormat="1" hidden="1" spans="1:32">
      <c r="A6248" s="17" t="s">
        <v>34</v>
      </c>
      <c r="B6248" s="19">
        <v>1036</v>
      </c>
      <c r="C6248" s="183">
        <v>45534</v>
      </c>
      <c r="D6248" s="17" t="s">
        <v>91</v>
      </c>
      <c r="E6248" s="17" t="s">
        <v>550</v>
      </c>
      <c r="F6248" s="17" t="s">
        <v>93</v>
      </c>
      <c r="H6248" s="19">
        <v>1.2085</v>
      </c>
      <c r="I6248" s="19"/>
      <c r="J6248" s="17" t="s">
        <v>49</v>
      </c>
      <c r="K6248" s="19">
        <v>2000</v>
      </c>
      <c r="L6248" s="91">
        <v>65</v>
      </c>
      <c r="M6248" s="19">
        <v>5500</v>
      </c>
      <c r="N6248" s="19" t="s">
        <v>66</v>
      </c>
      <c r="O6248" s="19" t="s">
        <v>141</v>
      </c>
      <c r="P6248" s="19">
        <v>5720</v>
      </c>
      <c r="Q6248" s="19">
        <v>5720</v>
      </c>
      <c r="R6248" s="19">
        <f t="shared" si="275"/>
        <v>0</v>
      </c>
      <c r="S6248" s="19">
        <v>2750</v>
      </c>
      <c r="T6248" s="19" t="s">
        <v>94</v>
      </c>
      <c r="U6248" s="102">
        <v>20045620</v>
      </c>
      <c r="V6248" s="186">
        <v>45534</v>
      </c>
      <c r="W6248" s="17" t="s">
        <v>44</v>
      </c>
      <c r="Y6248" s="68">
        <v>45566</v>
      </c>
      <c r="Z6248" s="17" t="s">
        <v>1508</v>
      </c>
      <c r="AA6248" s="17" t="s">
        <v>46</v>
      </c>
      <c r="AB6248" s="17">
        <v>24201121680</v>
      </c>
      <c r="AC6248" s="217">
        <v>45610</v>
      </c>
      <c r="AD6248" s="65">
        <v>1638</v>
      </c>
      <c r="AE6248" s="17" t="s">
        <v>48</v>
      </c>
    </row>
    <row r="6249" s="17" customFormat="1" hidden="1" spans="1:32">
      <c r="A6249" s="17" t="s">
        <v>34</v>
      </c>
      <c r="B6249" s="19">
        <v>1036</v>
      </c>
      <c r="C6249" s="183">
        <v>45534</v>
      </c>
      <c r="D6249" s="17" t="s">
        <v>91</v>
      </c>
      <c r="E6249" s="17" t="s">
        <v>550</v>
      </c>
      <c r="F6249" s="17" t="s">
        <v>93</v>
      </c>
      <c r="H6249" s="19">
        <v>1.2085</v>
      </c>
      <c r="I6249" s="19"/>
      <c r="J6249" s="17" t="s">
        <v>49</v>
      </c>
      <c r="K6249" s="19">
        <v>2000</v>
      </c>
      <c r="L6249" s="91">
        <v>70</v>
      </c>
      <c r="M6249" s="19">
        <v>5500</v>
      </c>
      <c r="N6249" s="19" t="s">
        <v>66</v>
      </c>
      <c r="O6249" s="19" t="s">
        <v>141</v>
      </c>
      <c r="P6249" s="19">
        <v>6160</v>
      </c>
      <c r="Q6249" s="19">
        <v>6145</v>
      </c>
      <c r="R6249" s="19">
        <f t="shared" si="275"/>
        <v>15</v>
      </c>
      <c r="S6249" s="19">
        <v>2750</v>
      </c>
      <c r="T6249" s="19" t="s">
        <v>94</v>
      </c>
      <c r="U6249" s="102">
        <v>20045620</v>
      </c>
      <c r="V6249" s="186">
        <v>45534</v>
      </c>
      <c r="W6249" s="17" t="s">
        <v>44</v>
      </c>
      <c r="Y6249" s="68">
        <v>45566</v>
      </c>
      <c r="Z6249" s="17" t="s">
        <v>1508</v>
      </c>
      <c r="AA6249" s="17" t="s">
        <v>46</v>
      </c>
      <c r="AB6249" s="17">
        <v>24201121822</v>
      </c>
      <c r="AC6249" s="217">
        <v>45611</v>
      </c>
      <c r="AD6249" s="65">
        <v>1638</v>
      </c>
      <c r="AE6249" s="17" t="s">
        <v>48</v>
      </c>
    </row>
    <row r="6250" s="17" customFormat="1" hidden="1" spans="1:32">
      <c r="A6250" s="17" t="s">
        <v>34</v>
      </c>
      <c r="B6250" s="19">
        <v>1036</v>
      </c>
      <c r="C6250" s="183">
        <v>45534</v>
      </c>
      <c r="D6250" s="17" t="s">
        <v>91</v>
      </c>
      <c r="E6250" s="17" t="s">
        <v>550</v>
      </c>
      <c r="F6250" s="17" t="s">
        <v>93</v>
      </c>
      <c r="H6250" s="19">
        <v>1.2085</v>
      </c>
      <c r="I6250" s="19"/>
      <c r="J6250" s="17" t="s">
        <v>49</v>
      </c>
      <c r="K6250" s="19">
        <v>2000</v>
      </c>
      <c r="L6250" s="91">
        <v>80</v>
      </c>
      <c r="M6250" s="19">
        <v>5500</v>
      </c>
      <c r="N6250" s="19" t="s">
        <v>66</v>
      </c>
      <c r="O6250" s="19" t="s">
        <v>141</v>
      </c>
      <c r="P6250" s="19">
        <v>7040</v>
      </c>
      <c r="Q6250" s="19">
        <v>7010</v>
      </c>
      <c r="R6250" s="19">
        <f t="shared" si="275"/>
        <v>30</v>
      </c>
      <c r="S6250" s="19">
        <v>2750</v>
      </c>
      <c r="T6250" s="19" t="s">
        <v>94</v>
      </c>
      <c r="U6250" s="102">
        <v>20045620</v>
      </c>
      <c r="V6250" s="186">
        <v>45534</v>
      </c>
      <c r="W6250" s="17" t="s">
        <v>44</v>
      </c>
      <c r="Y6250" s="68">
        <v>45566</v>
      </c>
      <c r="Z6250" s="17" t="s">
        <v>1508</v>
      </c>
      <c r="AA6250" s="17" t="s">
        <v>46</v>
      </c>
      <c r="AB6250" s="17">
        <v>24201121822</v>
      </c>
      <c r="AC6250" s="217">
        <v>45611</v>
      </c>
      <c r="AD6250" s="65">
        <v>1638</v>
      </c>
      <c r="AE6250" s="17" t="s">
        <v>48</v>
      </c>
    </row>
    <row r="6251" s="17" customFormat="1" hidden="1" spans="1:32">
      <c r="A6251" s="17" t="s">
        <v>34</v>
      </c>
      <c r="B6251" s="19">
        <v>1036</v>
      </c>
      <c r="C6251" s="183">
        <v>45534</v>
      </c>
      <c r="D6251" s="17" t="s">
        <v>91</v>
      </c>
      <c r="E6251" s="17" t="s">
        <v>550</v>
      </c>
      <c r="F6251" s="17" t="s">
        <v>93</v>
      </c>
      <c r="H6251" s="19">
        <v>1.2085</v>
      </c>
      <c r="I6251" s="19"/>
      <c r="J6251" s="17" t="s">
        <v>49</v>
      </c>
      <c r="K6251" s="19">
        <v>2000</v>
      </c>
      <c r="L6251" s="91">
        <v>85</v>
      </c>
      <c r="M6251" s="19">
        <v>5500</v>
      </c>
      <c r="N6251" s="19" t="s">
        <v>66</v>
      </c>
      <c r="O6251" s="19" t="s">
        <v>141</v>
      </c>
      <c r="P6251" s="19">
        <v>7480</v>
      </c>
      <c r="Q6251" s="19">
        <v>7470</v>
      </c>
      <c r="R6251" s="19">
        <f t="shared" si="275"/>
        <v>10</v>
      </c>
      <c r="S6251" s="19">
        <v>2750</v>
      </c>
      <c r="T6251" s="19" t="s">
        <v>94</v>
      </c>
      <c r="U6251" s="102">
        <v>20045620</v>
      </c>
      <c r="V6251" s="186">
        <v>45534</v>
      </c>
      <c r="W6251" s="17" t="s">
        <v>44</v>
      </c>
      <c r="Y6251" s="68">
        <v>45566</v>
      </c>
      <c r="Z6251" s="17" t="s">
        <v>1508</v>
      </c>
      <c r="AA6251" s="17" t="s">
        <v>46</v>
      </c>
      <c r="AB6251" s="17">
        <v>24201121680</v>
      </c>
      <c r="AC6251" s="217">
        <v>45610</v>
      </c>
      <c r="AD6251" s="65">
        <v>1638</v>
      </c>
      <c r="AE6251" s="17" t="s">
        <v>48</v>
      </c>
    </row>
    <row r="6252" s="17" customFormat="1" hidden="1" spans="1:32">
      <c r="A6252" s="17" t="s">
        <v>34</v>
      </c>
      <c r="B6252" s="19">
        <v>1036</v>
      </c>
      <c r="C6252" s="183">
        <v>45534</v>
      </c>
      <c r="D6252" s="17" t="s">
        <v>91</v>
      </c>
      <c r="E6252" s="17" t="s">
        <v>550</v>
      </c>
      <c r="F6252" s="17" t="s">
        <v>93</v>
      </c>
      <c r="H6252" s="19">
        <v>1.2085</v>
      </c>
      <c r="I6252" s="19"/>
      <c r="J6252" s="17" t="s">
        <v>49</v>
      </c>
      <c r="K6252" s="19">
        <v>2000</v>
      </c>
      <c r="L6252" s="91">
        <v>90</v>
      </c>
      <c r="M6252" s="19">
        <v>5500</v>
      </c>
      <c r="N6252" s="19" t="s">
        <v>66</v>
      </c>
      <c r="O6252" s="19" t="s">
        <v>141</v>
      </c>
      <c r="P6252" s="19">
        <v>7920</v>
      </c>
      <c r="Q6252" s="19">
        <v>7900</v>
      </c>
      <c r="R6252" s="19">
        <f t="shared" si="275"/>
        <v>20</v>
      </c>
      <c r="S6252" s="19">
        <v>2750</v>
      </c>
      <c r="T6252" s="19" t="s">
        <v>94</v>
      </c>
      <c r="U6252" s="102">
        <v>20045620</v>
      </c>
      <c r="V6252" s="186">
        <v>45534</v>
      </c>
      <c r="W6252" s="17" t="s">
        <v>44</v>
      </c>
      <c r="Y6252" s="68">
        <v>45566</v>
      </c>
      <c r="Z6252" s="17" t="s">
        <v>1508</v>
      </c>
      <c r="AA6252" s="17" t="s">
        <v>46</v>
      </c>
      <c r="AB6252" s="17">
        <v>24201121822</v>
      </c>
      <c r="AC6252" s="217">
        <v>45611</v>
      </c>
      <c r="AD6252" s="65">
        <v>1638</v>
      </c>
      <c r="AE6252" s="17" t="s">
        <v>48</v>
      </c>
    </row>
    <row r="6253" s="17" customFormat="1" hidden="1" spans="1:32">
      <c r="A6253" s="17" t="s">
        <v>34</v>
      </c>
      <c r="B6253" s="19">
        <v>1037</v>
      </c>
      <c r="C6253" s="183">
        <v>45562</v>
      </c>
      <c r="D6253" s="17" t="s">
        <v>52</v>
      </c>
      <c r="E6253" s="17" t="s">
        <v>1509</v>
      </c>
      <c r="F6253" s="17" t="s">
        <v>54</v>
      </c>
      <c r="H6253" s="19">
        <v>1.2311</v>
      </c>
      <c r="I6253" s="19"/>
      <c r="J6253" s="17" t="s">
        <v>49</v>
      </c>
      <c r="K6253" s="19">
        <v>2200</v>
      </c>
      <c r="L6253" s="129">
        <v>25</v>
      </c>
      <c r="M6253" s="19">
        <v>5500</v>
      </c>
      <c r="N6253" s="19" t="s">
        <v>66</v>
      </c>
      <c r="O6253" s="19" t="s">
        <v>141</v>
      </c>
      <c r="P6253" s="93">
        <v>2429</v>
      </c>
      <c r="Q6253" s="19">
        <v>2265</v>
      </c>
      <c r="R6253" s="19">
        <f t="shared" si="275"/>
        <v>164</v>
      </c>
      <c r="S6253" s="168">
        <v>735</v>
      </c>
      <c r="T6253" s="19" t="s">
        <v>42</v>
      </c>
      <c r="U6253" s="102" t="s">
        <v>1510</v>
      </c>
      <c r="V6253" s="186">
        <v>45562</v>
      </c>
      <c r="W6253" s="17" t="s">
        <v>44</v>
      </c>
      <c r="Y6253" s="68">
        <v>45566</v>
      </c>
      <c r="Z6253" s="17" t="s">
        <v>191</v>
      </c>
      <c r="AA6253" s="17" t="s">
        <v>46</v>
      </c>
      <c r="AB6253" s="17" t="s">
        <v>1511</v>
      </c>
      <c r="AC6253" s="217">
        <v>45584</v>
      </c>
      <c r="AD6253" s="65">
        <v>1639</v>
      </c>
      <c r="AE6253" s="17" t="s">
        <v>48</v>
      </c>
    </row>
    <row r="6254" s="17" customFormat="1" hidden="1" spans="1:32">
      <c r="A6254" s="17" t="s">
        <v>34</v>
      </c>
      <c r="B6254" s="19">
        <v>1037</v>
      </c>
      <c r="C6254" s="183">
        <v>45562</v>
      </c>
      <c r="D6254" s="17" t="s">
        <v>52</v>
      </c>
      <c r="E6254" s="17" t="s">
        <v>1509</v>
      </c>
      <c r="F6254" s="17" t="s">
        <v>54</v>
      </c>
      <c r="H6254" s="19">
        <v>1.2311</v>
      </c>
      <c r="I6254" s="19"/>
      <c r="J6254" s="17" t="s">
        <v>49</v>
      </c>
      <c r="K6254" s="19">
        <v>2200</v>
      </c>
      <c r="L6254" s="129">
        <v>50</v>
      </c>
      <c r="M6254" s="19">
        <v>5500</v>
      </c>
      <c r="N6254" s="19" t="s">
        <v>66</v>
      </c>
      <c r="O6254" s="19" t="s">
        <v>141</v>
      </c>
      <c r="P6254" s="93">
        <v>9714</v>
      </c>
      <c r="Q6254" s="19">
        <v>4820</v>
      </c>
      <c r="R6254" s="19">
        <f t="shared" si="275"/>
        <v>4894</v>
      </c>
      <c r="S6254" s="168">
        <v>735</v>
      </c>
      <c r="T6254" s="19" t="s">
        <v>42</v>
      </c>
      <c r="U6254" s="102" t="s">
        <v>1510</v>
      </c>
      <c r="V6254" s="186">
        <v>45562</v>
      </c>
      <c r="W6254" s="17" t="s">
        <v>44</v>
      </c>
      <c r="Y6254" s="68">
        <v>45566</v>
      </c>
      <c r="Z6254" s="17" t="s">
        <v>191</v>
      </c>
      <c r="AA6254" s="17" t="s">
        <v>46</v>
      </c>
      <c r="AB6254" s="17" t="s">
        <v>1511</v>
      </c>
      <c r="AC6254" s="217">
        <v>45584</v>
      </c>
      <c r="AD6254" s="65">
        <v>1639</v>
      </c>
      <c r="AE6254" s="17" t="s">
        <v>48</v>
      </c>
    </row>
    <row r="6255" s="18" customFormat="1" hidden="1" spans="1:32">
      <c r="B6255" s="75">
        <v>1037</v>
      </c>
      <c r="C6255" s="213">
        <v>45562</v>
      </c>
      <c r="D6255" s="18" t="s">
        <v>52</v>
      </c>
      <c r="E6255" s="18" t="s">
        <v>1509</v>
      </c>
      <c r="F6255" s="18" t="s">
        <v>54</v>
      </c>
      <c r="H6255" s="75">
        <v>1.2311</v>
      </c>
      <c r="I6255" s="75"/>
      <c r="J6255" s="18" t="s">
        <v>49</v>
      </c>
      <c r="K6255" s="75">
        <v>2200</v>
      </c>
      <c r="L6255" s="356">
        <v>75</v>
      </c>
      <c r="M6255" s="75">
        <v>5500</v>
      </c>
      <c r="N6255" s="75" t="s">
        <v>66</v>
      </c>
      <c r="O6255" s="75" t="s">
        <v>141</v>
      </c>
      <c r="P6255" s="203">
        <v>7286</v>
      </c>
      <c r="Q6255" s="75"/>
      <c r="R6255" s="75">
        <f t="shared" si="275"/>
        <v>7286</v>
      </c>
      <c r="S6255" s="192">
        <v>735</v>
      </c>
      <c r="T6255" s="75" t="s">
        <v>42</v>
      </c>
      <c r="U6255" s="137" t="s">
        <v>1510</v>
      </c>
      <c r="V6255" s="193">
        <v>45562</v>
      </c>
      <c r="W6255" s="18" t="s">
        <v>44</v>
      </c>
      <c r="Y6255" s="114">
        <v>45566</v>
      </c>
      <c r="Z6255" s="18" t="s">
        <v>191</v>
      </c>
      <c r="AA6255" s="18" t="s">
        <v>46</v>
      </c>
      <c r="AC6255" s="137"/>
      <c r="AD6255" s="77"/>
      <c r="AE6255" s="18" t="s">
        <v>48</v>
      </c>
      <c r="AF6255" s="18" t="s">
        <v>1512</v>
      </c>
    </row>
    <row r="6256" s="18" customFormat="1" hidden="1" spans="1:32">
      <c r="B6256" s="75">
        <v>1037</v>
      </c>
      <c r="C6256" s="213">
        <v>45562</v>
      </c>
      <c r="D6256" s="18" t="s">
        <v>52</v>
      </c>
      <c r="E6256" s="18" t="s">
        <v>1509</v>
      </c>
      <c r="F6256" s="18" t="s">
        <v>54</v>
      </c>
      <c r="H6256" s="75">
        <v>1.2311</v>
      </c>
      <c r="I6256" s="75"/>
      <c r="J6256" s="18" t="s">
        <v>49</v>
      </c>
      <c r="K6256" s="75">
        <v>2200</v>
      </c>
      <c r="L6256" s="356">
        <v>85</v>
      </c>
      <c r="M6256" s="75">
        <v>5500</v>
      </c>
      <c r="N6256" s="75" t="s">
        <v>66</v>
      </c>
      <c r="O6256" s="75" t="s">
        <v>141</v>
      </c>
      <c r="P6256" s="203">
        <v>8257</v>
      </c>
      <c r="Q6256" s="75"/>
      <c r="R6256" s="75">
        <f t="shared" si="275"/>
        <v>8257</v>
      </c>
      <c r="S6256" s="192">
        <v>735</v>
      </c>
      <c r="T6256" s="75" t="s">
        <v>42</v>
      </c>
      <c r="U6256" s="137" t="s">
        <v>1510</v>
      </c>
      <c r="V6256" s="193">
        <v>45562</v>
      </c>
      <c r="W6256" s="18" t="s">
        <v>44</v>
      </c>
      <c r="Y6256" s="114">
        <v>45566</v>
      </c>
      <c r="Z6256" s="18" t="s">
        <v>191</v>
      </c>
      <c r="AA6256" s="18" t="s">
        <v>46</v>
      </c>
      <c r="AC6256" s="137"/>
      <c r="AD6256" s="77"/>
      <c r="AE6256" s="18" t="s">
        <v>48</v>
      </c>
      <c r="AF6256" s="18" t="s">
        <v>1512</v>
      </c>
    </row>
    <row r="6257" s="17" customFormat="1" hidden="1" spans="1:32">
      <c r="A6257" s="17" t="s">
        <v>34</v>
      </c>
      <c r="B6257" s="19">
        <v>1037</v>
      </c>
      <c r="C6257" s="183">
        <v>45562</v>
      </c>
      <c r="D6257" s="17" t="s">
        <v>52</v>
      </c>
      <c r="E6257" s="17" t="s">
        <v>1509</v>
      </c>
      <c r="F6257" s="17" t="s">
        <v>54</v>
      </c>
      <c r="H6257" s="19">
        <v>1.2311</v>
      </c>
      <c r="I6257" s="19"/>
      <c r="J6257" s="17" t="s">
        <v>49</v>
      </c>
      <c r="K6257" s="19">
        <v>2200</v>
      </c>
      <c r="L6257" s="129">
        <v>90</v>
      </c>
      <c r="M6257" s="19">
        <v>5500</v>
      </c>
      <c r="N6257" s="19" t="s">
        <v>66</v>
      </c>
      <c r="O6257" s="19" t="s">
        <v>141</v>
      </c>
      <c r="P6257" s="93">
        <v>8743</v>
      </c>
      <c r="Q6257" s="19">
        <v>8235</v>
      </c>
      <c r="R6257" s="19">
        <f t="shared" si="275"/>
        <v>508</v>
      </c>
      <c r="S6257" s="168">
        <v>735</v>
      </c>
      <c r="T6257" s="19" t="s">
        <v>42</v>
      </c>
      <c r="U6257" s="102" t="s">
        <v>1510</v>
      </c>
      <c r="V6257" s="186">
        <v>45562</v>
      </c>
      <c r="W6257" s="17" t="s">
        <v>44</v>
      </c>
      <c r="Y6257" s="68">
        <v>45566</v>
      </c>
      <c r="Z6257" s="17" t="s">
        <v>191</v>
      </c>
      <c r="AA6257" s="17" t="s">
        <v>46</v>
      </c>
      <c r="AB6257" s="17" t="s">
        <v>1511</v>
      </c>
      <c r="AC6257" s="217">
        <v>45584</v>
      </c>
      <c r="AD6257" s="65">
        <v>1639</v>
      </c>
      <c r="AE6257" s="17" t="s">
        <v>48</v>
      </c>
    </row>
    <row r="6258" s="17" customFormat="1" hidden="1" spans="1:32">
      <c r="A6258" s="17" t="s">
        <v>34</v>
      </c>
      <c r="B6258" s="19">
        <v>1037</v>
      </c>
      <c r="C6258" s="183">
        <v>45562</v>
      </c>
      <c r="D6258" s="17" t="s">
        <v>52</v>
      </c>
      <c r="E6258" s="17" t="s">
        <v>1509</v>
      </c>
      <c r="F6258" s="17" t="s">
        <v>54</v>
      </c>
      <c r="H6258" s="19">
        <v>1.2311</v>
      </c>
      <c r="I6258" s="19"/>
      <c r="J6258" s="17" t="s">
        <v>49</v>
      </c>
      <c r="K6258" s="19">
        <v>2200</v>
      </c>
      <c r="L6258" s="129">
        <v>110</v>
      </c>
      <c r="M6258" s="19">
        <v>5500</v>
      </c>
      <c r="N6258" s="19" t="s">
        <v>66</v>
      </c>
      <c r="O6258" s="19" t="s">
        <v>141</v>
      </c>
      <c r="P6258" s="93">
        <v>10492</v>
      </c>
      <c r="Q6258" s="19">
        <v>9855</v>
      </c>
      <c r="R6258" s="19">
        <f t="shared" si="275"/>
        <v>637</v>
      </c>
      <c r="S6258" s="168">
        <v>735</v>
      </c>
      <c r="T6258" s="19" t="s">
        <v>42</v>
      </c>
      <c r="U6258" s="102" t="s">
        <v>1510</v>
      </c>
      <c r="V6258" s="186">
        <v>45562</v>
      </c>
      <c r="W6258" s="17" t="s">
        <v>44</v>
      </c>
      <c r="Y6258" s="68">
        <v>45566</v>
      </c>
      <c r="Z6258" s="17" t="s">
        <v>191</v>
      </c>
      <c r="AA6258" s="17" t="s">
        <v>46</v>
      </c>
      <c r="AB6258" s="17" t="s">
        <v>1511</v>
      </c>
      <c r="AC6258" s="217">
        <v>45584</v>
      </c>
      <c r="AD6258" s="65">
        <v>1639</v>
      </c>
      <c r="AE6258" s="17" t="s">
        <v>48</v>
      </c>
    </row>
    <row r="6259" s="18" customFormat="1" hidden="1" spans="1:32">
      <c r="B6259" s="75">
        <v>1037</v>
      </c>
      <c r="C6259" s="213">
        <v>45562</v>
      </c>
      <c r="D6259" s="18" t="s">
        <v>52</v>
      </c>
      <c r="E6259" s="18" t="s">
        <v>1509</v>
      </c>
      <c r="F6259" s="18" t="s">
        <v>54</v>
      </c>
      <c r="H6259" s="75">
        <v>1.2311</v>
      </c>
      <c r="I6259" s="75"/>
      <c r="J6259" s="18" t="s">
        <v>49</v>
      </c>
      <c r="K6259" s="75">
        <v>2200</v>
      </c>
      <c r="L6259" s="356">
        <v>120</v>
      </c>
      <c r="M6259" s="75">
        <v>5500</v>
      </c>
      <c r="N6259" s="75" t="s">
        <v>66</v>
      </c>
      <c r="O6259" s="75" t="s">
        <v>141</v>
      </c>
      <c r="P6259" s="203">
        <v>11445</v>
      </c>
      <c r="Q6259" s="75"/>
      <c r="R6259" s="75">
        <f t="shared" si="275"/>
        <v>11445</v>
      </c>
      <c r="S6259" s="192">
        <v>735</v>
      </c>
      <c r="T6259" s="75" t="s">
        <v>42</v>
      </c>
      <c r="U6259" s="137" t="s">
        <v>1510</v>
      </c>
      <c r="V6259" s="193">
        <v>45562</v>
      </c>
      <c r="W6259" s="18" t="s">
        <v>44</v>
      </c>
      <c r="Y6259" s="114">
        <v>45566</v>
      </c>
      <c r="Z6259" s="18" t="s">
        <v>191</v>
      </c>
      <c r="AA6259" s="18" t="s">
        <v>46</v>
      </c>
      <c r="AC6259" s="137"/>
      <c r="AD6259" s="77"/>
      <c r="AE6259" s="18" t="s">
        <v>48</v>
      </c>
      <c r="AF6259" s="18" t="s">
        <v>1512</v>
      </c>
    </row>
    <row r="6260" s="18" customFormat="1" hidden="1" spans="1:32">
      <c r="B6260" s="75">
        <v>1037</v>
      </c>
      <c r="C6260" s="213">
        <v>45562</v>
      </c>
      <c r="D6260" s="18" t="s">
        <v>52</v>
      </c>
      <c r="E6260" s="18" t="s">
        <v>1509</v>
      </c>
      <c r="F6260" s="18" t="s">
        <v>54</v>
      </c>
      <c r="H6260" s="75">
        <v>1.2311</v>
      </c>
      <c r="I6260" s="75"/>
      <c r="J6260" s="18" t="s">
        <v>49</v>
      </c>
      <c r="K6260" s="75">
        <v>2200</v>
      </c>
      <c r="L6260" s="356">
        <v>140</v>
      </c>
      <c r="M6260" s="75">
        <v>5500</v>
      </c>
      <c r="N6260" s="75" t="s">
        <v>66</v>
      </c>
      <c r="O6260" s="75" t="s">
        <v>141</v>
      </c>
      <c r="P6260" s="203">
        <v>13353</v>
      </c>
      <c r="Q6260" s="75"/>
      <c r="R6260" s="75">
        <f t="shared" si="275"/>
        <v>13353</v>
      </c>
      <c r="S6260" s="192">
        <v>820</v>
      </c>
      <c r="T6260" s="75" t="s">
        <v>42</v>
      </c>
      <c r="U6260" s="137" t="s">
        <v>1510</v>
      </c>
      <c r="V6260" s="193">
        <v>45562</v>
      </c>
      <c r="W6260" s="18" t="s">
        <v>44</v>
      </c>
      <c r="Y6260" s="114">
        <v>45566</v>
      </c>
      <c r="Z6260" s="18" t="s">
        <v>191</v>
      </c>
      <c r="AA6260" s="18" t="s">
        <v>46</v>
      </c>
      <c r="AC6260" s="137"/>
      <c r="AD6260" s="77"/>
      <c r="AE6260" s="18" t="s">
        <v>48</v>
      </c>
      <c r="AF6260" s="18" t="s">
        <v>1512</v>
      </c>
    </row>
    <row r="6261" s="18" customFormat="1" hidden="1" spans="1:32">
      <c r="B6261" s="75">
        <v>1037</v>
      </c>
      <c r="C6261" s="213">
        <v>45562</v>
      </c>
      <c r="D6261" s="18" t="s">
        <v>52</v>
      </c>
      <c r="E6261" s="18" t="s">
        <v>1509</v>
      </c>
      <c r="F6261" s="18" t="s">
        <v>54</v>
      </c>
      <c r="H6261" s="75">
        <v>1.2311</v>
      </c>
      <c r="I6261" s="75"/>
      <c r="J6261" s="18" t="s">
        <v>49</v>
      </c>
      <c r="K6261" s="75">
        <v>2200</v>
      </c>
      <c r="L6261" s="356">
        <v>155</v>
      </c>
      <c r="M6261" s="75">
        <v>5500</v>
      </c>
      <c r="N6261" s="75" t="s">
        <v>66</v>
      </c>
      <c r="O6261" s="75" t="s">
        <v>141</v>
      </c>
      <c r="P6261" s="203">
        <v>14784</v>
      </c>
      <c r="Q6261" s="75"/>
      <c r="R6261" s="75">
        <f t="shared" si="275"/>
        <v>14784</v>
      </c>
      <c r="S6261" s="192">
        <v>835</v>
      </c>
      <c r="T6261" s="75" t="s">
        <v>42</v>
      </c>
      <c r="U6261" s="137" t="s">
        <v>1510</v>
      </c>
      <c r="V6261" s="193">
        <v>45562</v>
      </c>
      <c r="W6261" s="18" t="s">
        <v>44</v>
      </c>
      <c r="Y6261" s="114">
        <v>45566</v>
      </c>
      <c r="Z6261" s="18" t="s">
        <v>191</v>
      </c>
      <c r="AA6261" s="18" t="s">
        <v>46</v>
      </c>
      <c r="AC6261" s="137"/>
      <c r="AD6261" s="77"/>
      <c r="AE6261" s="18" t="s">
        <v>48</v>
      </c>
      <c r="AF6261" s="18" t="s">
        <v>1512</v>
      </c>
    </row>
    <row r="6262" s="18" customFormat="1" hidden="1" spans="1:32">
      <c r="B6262" s="75">
        <v>1037</v>
      </c>
      <c r="C6262" s="213">
        <v>45562</v>
      </c>
      <c r="D6262" s="18" t="s">
        <v>52</v>
      </c>
      <c r="E6262" s="18" t="s">
        <v>1509</v>
      </c>
      <c r="F6262" s="18" t="s">
        <v>54</v>
      </c>
      <c r="H6262" s="75">
        <v>1.2311</v>
      </c>
      <c r="I6262" s="75"/>
      <c r="J6262" s="18" t="s">
        <v>49</v>
      </c>
      <c r="K6262" s="75">
        <v>2200</v>
      </c>
      <c r="L6262" s="357">
        <v>180</v>
      </c>
      <c r="M6262" s="75">
        <v>5500</v>
      </c>
      <c r="N6262" s="75" t="s">
        <v>66</v>
      </c>
      <c r="O6262" s="75" t="s">
        <v>141</v>
      </c>
      <c r="P6262" s="75">
        <v>17168</v>
      </c>
      <c r="Q6262" s="75"/>
      <c r="R6262" s="75">
        <f t="shared" si="275"/>
        <v>17168</v>
      </c>
      <c r="S6262" s="192">
        <v>835</v>
      </c>
      <c r="T6262" s="75" t="s">
        <v>42</v>
      </c>
      <c r="U6262" s="137" t="s">
        <v>1510</v>
      </c>
      <c r="V6262" s="193">
        <v>45562</v>
      </c>
      <c r="W6262" s="18" t="s">
        <v>44</v>
      </c>
      <c r="Y6262" s="114">
        <v>45566</v>
      </c>
      <c r="Z6262" s="18" t="s">
        <v>191</v>
      </c>
      <c r="AA6262" s="18" t="s">
        <v>46</v>
      </c>
      <c r="AC6262" s="137"/>
      <c r="AD6262" s="77"/>
      <c r="AE6262" s="18" t="s">
        <v>48</v>
      </c>
      <c r="AF6262" s="18" t="s">
        <v>1512</v>
      </c>
    </row>
    <row r="6263" s="17" customFormat="1" hidden="1" spans="1:32">
      <c r="A6263" s="17" t="s">
        <v>34</v>
      </c>
      <c r="B6263" s="19">
        <v>1037</v>
      </c>
      <c r="C6263" s="183">
        <v>45562</v>
      </c>
      <c r="D6263" s="17" t="s">
        <v>52</v>
      </c>
      <c r="E6263" s="17" t="s">
        <v>1509</v>
      </c>
      <c r="F6263" s="17" t="s">
        <v>54</v>
      </c>
      <c r="H6263" s="19">
        <v>1.2311</v>
      </c>
      <c r="I6263" s="19"/>
      <c r="J6263" s="17" t="s">
        <v>49</v>
      </c>
      <c r="K6263" s="19">
        <v>2200</v>
      </c>
      <c r="L6263" s="358">
        <v>210</v>
      </c>
      <c r="M6263" s="19">
        <v>5500</v>
      </c>
      <c r="N6263" s="19" t="s">
        <v>66</v>
      </c>
      <c r="O6263" s="19" t="s">
        <v>141</v>
      </c>
      <c r="P6263" s="19">
        <v>20029</v>
      </c>
      <c r="Q6263" s="19">
        <v>17500</v>
      </c>
      <c r="R6263" s="19">
        <f t="shared" si="275"/>
        <v>2529</v>
      </c>
      <c r="S6263" s="91">
        <v>1090</v>
      </c>
      <c r="T6263" s="19" t="s">
        <v>42</v>
      </c>
      <c r="U6263" s="102" t="s">
        <v>1510</v>
      </c>
      <c r="V6263" s="186">
        <v>45562</v>
      </c>
      <c r="W6263" s="17" t="s">
        <v>44</v>
      </c>
      <c r="Y6263" s="68">
        <v>45566</v>
      </c>
      <c r="Z6263" s="17" t="s">
        <v>191</v>
      </c>
      <c r="AA6263" s="17" t="s">
        <v>46</v>
      </c>
      <c r="AB6263" s="17" t="s">
        <v>1511</v>
      </c>
      <c r="AC6263" s="217">
        <v>45584</v>
      </c>
      <c r="AD6263" s="65">
        <v>1639</v>
      </c>
      <c r="AE6263" s="17" t="s">
        <v>48</v>
      </c>
    </row>
    <row r="6264" s="17" customFormat="1" hidden="1" spans="1:32">
      <c r="A6264" s="17" t="s">
        <v>34</v>
      </c>
      <c r="B6264" s="19">
        <v>1037</v>
      </c>
      <c r="C6264" s="183">
        <v>45562</v>
      </c>
      <c r="D6264" s="17" t="s">
        <v>52</v>
      </c>
      <c r="E6264" s="17" t="s">
        <v>1509</v>
      </c>
      <c r="F6264" s="17" t="s">
        <v>54</v>
      </c>
      <c r="H6264" s="19">
        <v>1.2311</v>
      </c>
      <c r="I6264" s="19"/>
      <c r="J6264" s="17" t="s">
        <v>49</v>
      </c>
      <c r="K6264" s="19">
        <v>2200</v>
      </c>
      <c r="L6264" s="358">
        <v>220</v>
      </c>
      <c r="M6264" s="19">
        <v>5500</v>
      </c>
      <c r="N6264" s="19" t="s">
        <v>66</v>
      </c>
      <c r="O6264" s="19" t="s">
        <v>141</v>
      </c>
      <c r="P6264" s="19">
        <v>20983</v>
      </c>
      <c r="Q6264" s="19">
        <v>19180</v>
      </c>
      <c r="R6264" s="19">
        <f t="shared" si="275"/>
        <v>1803</v>
      </c>
      <c r="S6264" s="91">
        <v>1090</v>
      </c>
      <c r="T6264" s="19" t="s">
        <v>42</v>
      </c>
      <c r="U6264" s="102" t="s">
        <v>1510</v>
      </c>
      <c r="V6264" s="186">
        <v>45562</v>
      </c>
      <c r="W6264" s="17" t="s">
        <v>44</v>
      </c>
      <c r="Y6264" s="68">
        <v>45566</v>
      </c>
      <c r="Z6264" s="17" t="s">
        <v>191</v>
      </c>
      <c r="AA6264" s="17" t="s">
        <v>46</v>
      </c>
      <c r="AB6264" s="17" t="s">
        <v>1511</v>
      </c>
      <c r="AC6264" s="217">
        <v>45584</v>
      </c>
      <c r="AD6264" s="65">
        <v>1639</v>
      </c>
      <c r="AE6264" s="17" t="s">
        <v>48</v>
      </c>
    </row>
    <row r="6265" s="17" customFormat="1" hidden="1" spans="1:32">
      <c r="A6265" s="17" t="s">
        <v>34</v>
      </c>
      <c r="B6265" s="19">
        <v>1037</v>
      </c>
      <c r="C6265" s="183">
        <v>45562</v>
      </c>
      <c r="D6265" s="17" t="s">
        <v>52</v>
      </c>
      <c r="E6265" s="17" t="s">
        <v>1509</v>
      </c>
      <c r="F6265" s="17" t="s">
        <v>54</v>
      </c>
      <c r="H6265" s="19">
        <v>1.2311</v>
      </c>
      <c r="I6265" s="19"/>
      <c r="J6265" s="17" t="s">
        <v>49</v>
      </c>
      <c r="K6265" s="19">
        <v>2200</v>
      </c>
      <c r="L6265" s="358">
        <v>230</v>
      </c>
      <c r="M6265" s="19">
        <v>5500</v>
      </c>
      <c r="N6265" s="19" t="s">
        <v>66</v>
      </c>
      <c r="O6265" s="19" t="s">
        <v>141</v>
      </c>
      <c r="P6265" s="19">
        <v>21937</v>
      </c>
      <c r="Q6265" s="19">
        <v>19080</v>
      </c>
      <c r="R6265" s="19">
        <f t="shared" si="275"/>
        <v>2857</v>
      </c>
      <c r="S6265" s="296">
        <v>1090</v>
      </c>
      <c r="T6265" s="19" t="s">
        <v>42</v>
      </c>
      <c r="U6265" s="102" t="s">
        <v>1510</v>
      </c>
      <c r="V6265" s="186">
        <v>45562</v>
      </c>
      <c r="W6265" s="17" t="s">
        <v>44</v>
      </c>
      <c r="Y6265" s="68">
        <v>45566</v>
      </c>
      <c r="Z6265" s="17" t="s">
        <v>191</v>
      </c>
      <c r="AA6265" s="17" t="s">
        <v>46</v>
      </c>
      <c r="AB6265" s="17" t="s">
        <v>1511</v>
      </c>
      <c r="AC6265" s="217">
        <v>45584</v>
      </c>
      <c r="AD6265" s="65">
        <v>1639</v>
      </c>
      <c r="AE6265" s="17" t="s">
        <v>48</v>
      </c>
    </row>
    <row r="6266" s="17" customFormat="1" hidden="1" spans="1:32">
      <c r="A6266" s="17" t="s">
        <v>34</v>
      </c>
      <c r="B6266" s="19">
        <v>1038</v>
      </c>
      <c r="C6266" s="183">
        <v>45562</v>
      </c>
      <c r="D6266" s="17" t="s">
        <v>1513</v>
      </c>
      <c r="E6266" s="17" t="s">
        <v>1514</v>
      </c>
      <c r="F6266" s="17" t="s">
        <v>1515</v>
      </c>
      <c r="H6266" s="19">
        <v>1.2085</v>
      </c>
      <c r="I6266" s="19"/>
      <c r="J6266" s="17" t="s">
        <v>49</v>
      </c>
      <c r="K6266" s="19">
        <v>2010</v>
      </c>
      <c r="L6266" s="358">
        <v>40</v>
      </c>
      <c r="M6266" s="19">
        <v>5475</v>
      </c>
      <c r="N6266" s="19" t="s">
        <v>66</v>
      </c>
      <c r="O6266" s="19" t="s">
        <v>141</v>
      </c>
      <c r="P6266" s="19">
        <v>3620</v>
      </c>
      <c r="Q6266" s="19">
        <v>3562</v>
      </c>
      <c r="R6266" s="19">
        <f t="shared" si="275"/>
        <v>58</v>
      </c>
      <c r="S6266" s="91">
        <v>2480</v>
      </c>
      <c r="T6266" s="19" t="s">
        <v>94</v>
      </c>
      <c r="U6266" s="102" t="s">
        <v>1516</v>
      </c>
      <c r="V6266" s="186">
        <v>45562</v>
      </c>
      <c r="W6266" s="17" t="s">
        <v>44</v>
      </c>
      <c r="Y6266" s="68">
        <v>45566</v>
      </c>
      <c r="Z6266" s="17" t="s">
        <v>1517</v>
      </c>
      <c r="AA6266" s="17" t="s">
        <v>46</v>
      </c>
      <c r="AB6266" s="17" t="s">
        <v>1518</v>
      </c>
      <c r="AC6266" s="217">
        <v>45594</v>
      </c>
      <c r="AD6266" s="65">
        <v>1636</v>
      </c>
      <c r="AE6266" s="17" t="s">
        <v>1519</v>
      </c>
    </row>
    <row r="6267" s="17" customFormat="1" hidden="1" spans="1:32">
      <c r="A6267" s="17" t="s">
        <v>34</v>
      </c>
      <c r="B6267" s="19">
        <v>1038</v>
      </c>
      <c r="C6267" s="183">
        <v>45562</v>
      </c>
      <c r="D6267" s="17" t="s">
        <v>1513</v>
      </c>
      <c r="E6267" s="17" t="s">
        <v>1514</v>
      </c>
      <c r="F6267" s="17" t="s">
        <v>1515</v>
      </c>
      <c r="H6267" s="19">
        <v>1.2085</v>
      </c>
      <c r="I6267" s="19"/>
      <c r="J6267" s="17" t="s">
        <v>49</v>
      </c>
      <c r="K6267" s="19">
        <v>1970</v>
      </c>
      <c r="L6267" s="358">
        <v>40</v>
      </c>
      <c r="M6267" s="19">
        <v>4140</v>
      </c>
      <c r="N6267" s="19" t="s">
        <v>66</v>
      </c>
      <c r="O6267" s="19" t="s">
        <v>141</v>
      </c>
      <c r="P6267" s="19">
        <v>2715</v>
      </c>
      <c r="Q6267" s="19">
        <v>2672</v>
      </c>
      <c r="R6267" s="19">
        <f t="shared" si="275"/>
        <v>43</v>
      </c>
      <c r="S6267" s="91">
        <v>2480</v>
      </c>
      <c r="T6267" s="19" t="s">
        <v>94</v>
      </c>
      <c r="U6267" s="102" t="s">
        <v>1516</v>
      </c>
      <c r="V6267" s="186">
        <v>45562</v>
      </c>
      <c r="W6267" s="17" t="s">
        <v>44</v>
      </c>
      <c r="Y6267" s="68">
        <v>45566</v>
      </c>
      <c r="Z6267" s="17" t="s">
        <v>1517</v>
      </c>
      <c r="AA6267" s="17" t="s">
        <v>46</v>
      </c>
      <c r="AB6267" s="17" t="s">
        <v>1518</v>
      </c>
      <c r="AC6267" s="217">
        <v>45594</v>
      </c>
      <c r="AD6267" s="65">
        <v>1636</v>
      </c>
      <c r="AE6267" s="17" t="s">
        <v>1519</v>
      </c>
    </row>
    <row r="6268" s="17" customFormat="1" hidden="1" spans="1:32">
      <c r="A6268" s="17" t="s">
        <v>34</v>
      </c>
      <c r="B6268" s="19">
        <v>1038</v>
      </c>
      <c r="C6268" s="183">
        <v>45562</v>
      </c>
      <c r="D6268" s="17" t="s">
        <v>1513</v>
      </c>
      <c r="E6268" s="17" t="s">
        <v>1514</v>
      </c>
      <c r="F6268" s="17" t="s">
        <v>1515</v>
      </c>
      <c r="H6268" s="19">
        <v>1.2085</v>
      </c>
      <c r="I6268" s="19"/>
      <c r="J6268" s="17" t="s">
        <v>49</v>
      </c>
      <c r="K6268" s="19">
        <v>1996</v>
      </c>
      <c r="L6268" s="358">
        <v>50</v>
      </c>
      <c r="M6268" s="19">
        <v>5020</v>
      </c>
      <c r="N6268" s="19" t="s">
        <v>66</v>
      </c>
      <c r="O6268" s="19" t="s">
        <v>141</v>
      </c>
      <c r="P6268" s="19">
        <v>4106</v>
      </c>
      <c r="Q6268" s="19">
        <v>4042</v>
      </c>
      <c r="R6268" s="19">
        <f t="shared" si="275"/>
        <v>64</v>
      </c>
      <c r="S6268" s="91">
        <v>2480</v>
      </c>
      <c r="T6268" s="19" t="s">
        <v>94</v>
      </c>
      <c r="U6268" s="102" t="s">
        <v>1516</v>
      </c>
      <c r="V6268" s="186">
        <v>45562</v>
      </c>
      <c r="W6268" s="17" t="s">
        <v>44</v>
      </c>
      <c r="Y6268" s="68">
        <v>45566</v>
      </c>
      <c r="Z6268" s="17" t="s">
        <v>1517</v>
      </c>
      <c r="AA6268" s="17" t="s">
        <v>46</v>
      </c>
      <c r="AB6268" s="17" t="s">
        <v>1518</v>
      </c>
      <c r="AC6268" s="217">
        <v>45594</v>
      </c>
      <c r="AD6268" s="65">
        <v>1636</v>
      </c>
      <c r="AE6268" s="17" t="s">
        <v>1519</v>
      </c>
    </row>
    <row r="6269" s="17" customFormat="1" hidden="1" spans="1:32">
      <c r="A6269" s="17" t="s">
        <v>34</v>
      </c>
      <c r="B6269" s="19">
        <v>1038</v>
      </c>
      <c r="C6269" s="183">
        <v>45562</v>
      </c>
      <c r="D6269" s="17" t="s">
        <v>1513</v>
      </c>
      <c r="E6269" s="17" t="s">
        <v>1514</v>
      </c>
      <c r="F6269" s="17" t="s">
        <v>1515</v>
      </c>
      <c r="H6269" s="19">
        <v>1.2085</v>
      </c>
      <c r="I6269" s="19"/>
      <c r="J6269" s="17" t="s">
        <v>49</v>
      </c>
      <c r="K6269" s="19">
        <v>2000</v>
      </c>
      <c r="L6269" s="358">
        <v>50</v>
      </c>
      <c r="M6269" s="19">
        <v>5025</v>
      </c>
      <c r="N6269" s="19" t="s">
        <v>66</v>
      </c>
      <c r="O6269" s="19" t="s">
        <v>141</v>
      </c>
      <c r="P6269" s="19">
        <v>4110</v>
      </c>
      <c r="Q6269" s="19">
        <v>4041</v>
      </c>
      <c r="R6269" s="19">
        <f t="shared" ref="R6269:R6294" si="276">+P6269-Q6269</f>
        <v>69</v>
      </c>
      <c r="S6269" s="91">
        <v>2480</v>
      </c>
      <c r="T6269" s="19" t="s">
        <v>94</v>
      </c>
      <c r="U6269" s="102" t="s">
        <v>1516</v>
      </c>
      <c r="V6269" s="186">
        <v>45562</v>
      </c>
      <c r="W6269" s="17" t="s">
        <v>44</v>
      </c>
      <c r="Y6269" s="68">
        <v>45566</v>
      </c>
      <c r="Z6269" s="17" t="s">
        <v>1517</v>
      </c>
      <c r="AA6269" s="17" t="s">
        <v>46</v>
      </c>
      <c r="AB6269" s="17" t="s">
        <v>1518</v>
      </c>
      <c r="AC6269" s="217">
        <v>45594</v>
      </c>
      <c r="AD6269" s="65">
        <v>1636</v>
      </c>
      <c r="AE6269" s="17" t="s">
        <v>1519</v>
      </c>
    </row>
    <row r="6270" s="17" customFormat="1" hidden="1" spans="1:32">
      <c r="A6270" s="17" t="s">
        <v>34</v>
      </c>
      <c r="B6270" s="19">
        <v>1038</v>
      </c>
      <c r="C6270" s="183">
        <v>45562</v>
      </c>
      <c r="D6270" s="17" t="s">
        <v>1513</v>
      </c>
      <c r="E6270" s="17" t="s">
        <v>1514</v>
      </c>
      <c r="F6270" s="17" t="s">
        <v>1515</v>
      </c>
      <c r="H6270" s="19">
        <v>1.2085</v>
      </c>
      <c r="I6270" s="19"/>
      <c r="J6270" s="17" t="s">
        <v>49</v>
      </c>
      <c r="K6270" s="19">
        <v>1995</v>
      </c>
      <c r="L6270" s="358">
        <v>60</v>
      </c>
      <c r="M6270" s="19">
        <v>5240</v>
      </c>
      <c r="N6270" s="19" t="s">
        <v>66</v>
      </c>
      <c r="O6270" s="19" t="s">
        <v>141</v>
      </c>
      <c r="P6270" s="19">
        <v>5079</v>
      </c>
      <c r="Q6270" s="19">
        <v>4995</v>
      </c>
      <c r="R6270" s="19">
        <f t="shared" si="276"/>
        <v>84</v>
      </c>
      <c r="S6270" s="91">
        <v>2480</v>
      </c>
      <c r="T6270" s="19" t="s">
        <v>94</v>
      </c>
      <c r="U6270" s="102" t="s">
        <v>1516</v>
      </c>
      <c r="V6270" s="186">
        <v>45562</v>
      </c>
      <c r="W6270" s="17" t="s">
        <v>44</v>
      </c>
      <c r="Y6270" s="68">
        <v>45566</v>
      </c>
      <c r="Z6270" s="17" t="s">
        <v>1517</v>
      </c>
      <c r="AA6270" s="17" t="s">
        <v>46</v>
      </c>
      <c r="AB6270" s="17" t="s">
        <v>1518</v>
      </c>
      <c r="AC6270" s="217">
        <v>45594</v>
      </c>
      <c r="AD6270" s="65">
        <v>1636</v>
      </c>
      <c r="AE6270" s="17" t="s">
        <v>1519</v>
      </c>
    </row>
    <row r="6271" s="17" customFormat="1" hidden="1" spans="1:32">
      <c r="A6271" s="17" t="s">
        <v>34</v>
      </c>
      <c r="B6271" s="19">
        <v>1038</v>
      </c>
      <c r="C6271" s="183">
        <v>45562</v>
      </c>
      <c r="D6271" s="17" t="s">
        <v>1513</v>
      </c>
      <c r="E6271" s="17" t="s">
        <v>1514</v>
      </c>
      <c r="F6271" s="17" t="s">
        <v>1515</v>
      </c>
      <c r="H6271" s="19">
        <v>1.2085</v>
      </c>
      <c r="I6271" s="19"/>
      <c r="J6271" s="17" t="s">
        <v>49</v>
      </c>
      <c r="K6271" s="19">
        <v>1995</v>
      </c>
      <c r="L6271" s="358">
        <v>65</v>
      </c>
      <c r="M6271" s="19">
        <v>5015</v>
      </c>
      <c r="N6271" s="19" t="s">
        <v>66</v>
      </c>
      <c r="O6271" s="19" t="s">
        <v>141</v>
      </c>
      <c r="P6271" s="19">
        <v>5246</v>
      </c>
      <c r="Q6271" s="19">
        <v>5162</v>
      </c>
      <c r="R6271" s="19">
        <f t="shared" si="276"/>
        <v>84</v>
      </c>
      <c r="S6271" s="91">
        <v>2480</v>
      </c>
      <c r="T6271" s="19" t="s">
        <v>94</v>
      </c>
      <c r="U6271" s="102" t="s">
        <v>1516</v>
      </c>
      <c r="V6271" s="186">
        <v>45562</v>
      </c>
      <c r="W6271" s="17" t="s">
        <v>44</v>
      </c>
      <c r="Y6271" s="68">
        <v>45566</v>
      </c>
      <c r="Z6271" s="17" t="s">
        <v>1517</v>
      </c>
      <c r="AA6271" s="17" t="s">
        <v>46</v>
      </c>
      <c r="AB6271" s="17" t="s">
        <v>1518</v>
      </c>
      <c r="AC6271" s="217">
        <v>45594</v>
      </c>
      <c r="AD6271" s="65">
        <v>1636</v>
      </c>
      <c r="AE6271" s="17" t="s">
        <v>1519</v>
      </c>
    </row>
    <row r="6272" s="17" customFormat="1" hidden="1" spans="1:32">
      <c r="A6272" s="17" t="s">
        <v>34</v>
      </c>
      <c r="B6272" s="19">
        <v>1038</v>
      </c>
      <c r="C6272" s="183">
        <v>45562</v>
      </c>
      <c r="D6272" s="17" t="s">
        <v>1513</v>
      </c>
      <c r="E6272" s="17" t="s">
        <v>1514</v>
      </c>
      <c r="F6272" s="17" t="s">
        <v>1515</v>
      </c>
      <c r="H6272" s="19">
        <v>1.2085</v>
      </c>
      <c r="I6272" s="19"/>
      <c r="J6272" s="17" t="s">
        <v>49</v>
      </c>
      <c r="K6272" s="19">
        <v>1945</v>
      </c>
      <c r="L6272" s="358">
        <v>70</v>
      </c>
      <c r="M6272" s="19">
        <v>5540</v>
      </c>
      <c r="N6272" s="19" t="s">
        <v>66</v>
      </c>
      <c r="O6272" s="19" t="s">
        <v>141</v>
      </c>
      <c r="P6272" s="19">
        <v>6039</v>
      </c>
      <c r="Q6272" s="19">
        <v>5943</v>
      </c>
      <c r="R6272" s="19">
        <f t="shared" si="276"/>
        <v>96</v>
      </c>
      <c r="S6272" s="91">
        <v>2480</v>
      </c>
      <c r="T6272" s="19" t="s">
        <v>94</v>
      </c>
      <c r="U6272" s="102" t="s">
        <v>1516</v>
      </c>
      <c r="V6272" s="186">
        <v>45562</v>
      </c>
      <c r="W6272" s="17" t="s">
        <v>44</v>
      </c>
      <c r="Y6272" s="68">
        <v>45566</v>
      </c>
      <c r="Z6272" s="17" t="s">
        <v>1517</v>
      </c>
      <c r="AA6272" s="17" t="s">
        <v>46</v>
      </c>
      <c r="AB6272" s="17" t="s">
        <v>1518</v>
      </c>
      <c r="AC6272" s="217">
        <v>45594</v>
      </c>
      <c r="AD6272" s="65">
        <v>1636</v>
      </c>
      <c r="AE6272" s="17" t="s">
        <v>1519</v>
      </c>
    </row>
    <row r="6273" s="17" customFormat="1" hidden="1" spans="1:32">
      <c r="A6273" s="17" t="s">
        <v>34</v>
      </c>
      <c r="B6273" s="19">
        <v>1038</v>
      </c>
      <c r="C6273" s="183">
        <v>45562</v>
      </c>
      <c r="D6273" s="17" t="s">
        <v>1513</v>
      </c>
      <c r="E6273" s="17" t="s">
        <v>1514</v>
      </c>
      <c r="F6273" s="17" t="s">
        <v>1515</v>
      </c>
      <c r="H6273" s="19">
        <v>1.2085</v>
      </c>
      <c r="I6273" s="19"/>
      <c r="J6273" s="17" t="s">
        <v>49</v>
      </c>
      <c r="K6273" s="19">
        <v>1955</v>
      </c>
      <c r="L6273" s="358">
        <v>80</v>
      </c>
      <c r="M6273" s="19">
        <v>4115</v>
      </c>
      <c r="N6273" s="19" t="s">
        <v>66</v>
      </c>
      <c r="O6273" s="19" t="s">
        <v>141</v>
      </c>
      <c r="P6273" s="19">
        <v>5191</v>
      </c>
      <c r="Q6273" s="19">
        <v>5105</v>
      </c>
      <c r="R6273" s="19">
        <f t="shared" si="276"/>
        <v>86</v>
      </c>
      <c r="S6273" s="91">
        <v>2480</v>
      </c>
      <c r="T6273" s="19" t="s">
        <v>94</v>
      </c>
      <c r="U6273" s="102" t="s">
        <v>1516</v>
      </c>
      <c r="V6273" s="186">
        <v>45562</v>
      </c>
      <c r="W6273" s="17" t="s">
        <v>44</v>
      </c>
      <c r="Y6273" s="68">
        <v>45566</v>
      </c>
      <c r="Z6273" s="17" t="s">
        <v>1517</v>
      </c>
      <c r="AA6273" s="17" t="s">
        <v>46</v>
      </c>
      <c r="AB6273" s="17" t="s">
        <v>1518</v>
      </c>
      <c r="AC6273" s="217">
        <v>45594</v>
      </c>
      <c r="AD6273" s="65">
        <v>1636</v>
      </c>
      <c r="AE6273" s="17" t="s">
        <v>1519</v>
      </c>
    </row>
    <row r="6274" s="17" customFormat="1" hidden="1" spans="1:32">
      <c r="A6274" s="17" t="s">
        <v>34</v>
      </c>
      <c r="B6274" s="19">
        <v>1038</v>
      </c>
      <c r="C6274" s="183">
        <v>45562</v>
      </c>
      <c r="D6274" s="17" t="s">
        <v>1513</v>
      </c>
      <c r="E6274" s="17" t="s">
        <v>1514</v>
      </c>
      <c r="F6274" s="17" t="s">
        <v>1515</v>
      </c>
      <c r="H6274" s="19">
        <v>1.2085</v>
      </c>
      <c r="I6274" s="19"/>
      <c r="J6274" s="17" t="s">
        <v>49</v>
      </c>
      <c r="K6274" s="19">
        <v>1900</v>
      </c>
      <c r="L6274" s="91">
        <v>105</v>
      </c>
      <c r="M6274" s="19">
        <v>4720</v>
      </c>
      <c r="N6274" s="19" t="s">
        <v>66</v>
      </c>
      <c r="O6274" s="19" t="s">
        <v>141</v>
      </c>
      <c r="P6274" s="147">
        <v>7399</v>
      </c>
      <c r="Q6274" s="147">
        <v>7278</v>
      </c>
      <c r="R6274" s="19">
        <f t="shared" si="276"/>
        <v>121</v>
      </c>
      <c r="S6274" s="243">
        <v>2480</v>
      </c>
      <c r="T6274" s="147" t="s">
        <v>94</v>
      </c>
      <c r="U6274" s="102" t="s">
        <v>1516</v>
      </c>
      <c r="V6274" s="186">
        <v>45562</v>
      </c>
      <c r="W6274" s="17" t="s">
        <v>44</v>
      </c>
      <c r="Y6274" s="68">
        <v>45566</v>
      </c>
      <c r="Z6274" s="17" t="s">
        <v>1517</v>
      </c>
      <c r="AA6274" s="17" t="s">
        <v>46</v>
      </c>
      <c r="AB6274" s="17" t="s">
        <v>1518</v>
      </c>
      <c r="AC6274" s="217">
        <v>45594</v>
      </c>
      <c r="AD6274" s="65">
        <v>1636</v>
      </c>
      <c r="AE6274" s="17" t="s">
        <v>1519</v>
      </c>
    </row>
    <row r="6275" s="17" customFormat="1" hidden="1" spans="1:32">
      <c r="A6275" s="17" t="s">
        <v>34</v>
      </c>
      <c r="B6275" s="19">
        <v>1042</v>
      </c>
      <c r="C6275" s="183">
        <v>45545</v>
      </c>
      <c r="D6275" s="17" t="s">
        <v>35</v>
      </c>
      <c r="E6275" s="17" t="s">
        <v>718</v>
      </c>
      <c r="F6275" s="17" t="s">
        <v>37</v>
      </c>
      <c r="H6275" s="19" t="s">
        <v>38</v>
      </c>
      <c r="I6275" s="19"/>
      <c r="J6275" s="17" t="s">
        <v>39</v>
      </c>
      <c r="K6275" s="19">
        <v>75</v>
      </c>
      <c r="L6275" s="91"/>
      <c r="M6275" s="19"/>
      <c r="N6275" s="19" t="s">
        <v>40</v>
      </c>
      <c r="O6275" s="19" t="s">
        <v>84</v>
      </c>
      <c r="P6275" s="19">
        <f>390+388+384+372+486</f>
        <v>2020</v>
      </c>
      <c r="Q6275" s="19">
        <v>2020</v>
      </c>
      <c r="R6275" s="19">
        <f t="shared" si="276"/>
        <v>0</v>
      </c>
      <c r="S6275" s="19">
        <v>3145</v>
      </c>
      <c r="T6275" s="19" t="s">
        <v>42</v>
      </c>
      <c r="U6275" s="102" t="s">
        <v>1520</v>
      </c>
      <c r="V6275" s="186">
        <v>45545</v>
      </c>
      <c r="W6275" s="17" t="s">
        <v>44</v>
      </c>
      <c r="Y6275" s="68">
        <v>45566</v>
      </c>
      <c r="Z6275" s="17" t="s">
        <v>78</v>
      </c>
      <c r="AA6275" s="17" t="s">
        <v>46</v>
      </c>
      <c r="AB6275" s="17" t="s">
        <v>1440</v>
      </c>
      <c r="AC6275" s="217">
        <v>45622</v>
      </c>
      <c r="AD6275" s="65">
        <v>1642</v>
      </c>
      <c r="AE6275" s="17" t="s">
        <v>48</v>
      </c>
    </row>
    <row r="6276" s="17" customFormat="1" hidden="1" spans="1:32">
      <c r="A6276" s="17" t="s">
        <v>34</v>
      </c>
      <c r="B6276" s="19">
        <v>1042</v>
      </c>
      <c r="C6276" s="183">
        <v>45545</v>
      </c>
      <c r="D6276" s="17" t="s">
        <v>35</v>
      </c>
      <c r="E6276" s="17" t="s">
        <v>718</v>
      </c>
      <c r="F6276" s="17" t="s">
        <v>37</v>
      </c>
      <c r="H6276" s="19" t="s">
        <v>38</v>
      </c>
      <c r="I6276" s="19"/>
      <c r="J6276" s="17" t="s">
        <v>39</v>
      </c>
      <c r="K6276" s="19">
        <v>85</v>
      </c>
      <c r="L6276" s="91"/>
      <c r="M6276" s="19"/>
      <c r="N6276" s="19" t="s">
        <v>40</v>
      </c>
      <c r="O6276" s="19" t="s">
        <v>84</v>
      </c>
      <c r="P6276" s="147">
        <v>1180</v>
      </c>
      <c r="Q6276" s="147">
        <v>1180</v>
      </c>
      <c r="R6276" s="19">
        <f t="shared" si="276"/>
        <v>0</v>
      </c>
      <c r="S6276" s="19">
        <v>3145</v>
      </c>
      <c r="T6276" s="19" t="s">
        <v>42</v>
      </c>
      <c r="U6276" s="102" t="s">
        <v>1520</v>
      </c>
      <c r="V6276" s="186">
        <v>45545</v>
      </c>
      <c r="W6276" s="17" t="s">
        <v>44</v>
      </c>
      <c r="Y6276" s="68">
        <v>45566</v>
      </c>
      <c r="Z6276" s="17" t="s">
        <v>78</v>
      </c>
      <c r="AA6276" s="17" t="s">
        <v>46</v>
      </c>
      <c r="AB6276" s="17" t="s">
        <v>1440</v>
      </c>
      <c r="AC6276" s="217">
        <v>45622</v>
      </c>
      <c r="AD6276" s="65">
        <v>1642</v>
      </c>
      <c r="AE6276" s="17" t="s">
        <v>48</v>
      </c>
    </row>
    <row r="6277" s="17" customFormat="1" hidden="1" spans="1:32">
      <c r="A6277" s="17" t="s">
        <v>155</v>
      </c>
      <c r="B6277" s="19">
        <v>1043</v>
      </c>
      <c r="C6277" s="183">
        <v>45635</v>
      </c>
      <c r="D6277" s="17" t="s">
        <v>1188</v>
      </c>
      <c r="E6277" s="17" t="s">
        <v>1521</v>
      </c>
      <c r="F6277" s="17" t="s">
        <v>1522</v>
      </c>
      <c r="H6277" s="19">
        <v>1.2379</v>
      </c>
      <c r="I6277" s="19"/>
      <c r="J6277" s="17" t="s">
        <v>82</v>
      </c>
      <c r="K6277" s="338">
        <v>155</v>
      </c>
      <c r="L6277" s="19">
        <v>20</v>
      </c>
      <c r="M6277" s="19">
        <v>5000</v>
      </c>
      <c r="N6277" s="19" t="s">
        <v>40</v>
      </c>
      <c r="O6277" s="19" t="s">
        <v>141</v>
      </c>
      <c r="P6277" s="98">
        <v>3000</v>
      </c>
      <c r="Q6277" s="98">
        <v>4325</v>
      </c>
      <c r="R6277" s="19">
        <f t="shared" si="276"/>
        <v>-1325</v>
      </c>
      <c r="S6277" s="19">
        <v>2940</v>
      </c>
      <c r="T6277" s="19" t="s">
        <v>94</v>
      </c>
      <c r="U6277" s="102" t="s">
        <v>1523</v>
      </c>
      <c r="V6277" s="186">
        <v>45635</v>
      </c>
      <c r="W6277" s="17" t="s">
        <v>69</v>
      </c>
      <c r="Y6277" s="68">
        <v>45717</v>
      </c>
      <c r="Z6277" s="17" t="s">
        <v>1524</v>
      </c>
      <c r="AA6277" s="17" t="s">
        <v>46</v>
      </c>
      <c r="AB6277" s="17" t="s">
        <v>1525</v>
      </c>
      <c r="AC6277" s="217">
        <v>45763</v>
      </c>
      <c r="AD6277" s="65">
        <v>1678</v>
      </c>
      <c r="AE6277" s="17" t="s">
        <v>48</v>
      </c>
    </row>
    <row r="6278" s="17" customFormat="1" hidden="1" spans="1:32">
      <c r="A6278" s="17" t="s">
        <v>34</v>
      </c>
      <c r="B6278" s="19">
        <v>1043</v>
      </c>
      <c r="C6278" s="183">
        <v>45635</v>
      </c>
      <c r="D6278" s="17" t="s">
        <v>1188</v>
      </c>
      <c r="E6278" s="17" t="s">
        <v>1521</v>
      </c>
      <c r="F6278" s="17" t="s">
        <v>1522</v>
      </c>
      <c r="H6278" s="19">
        <v>1.2379</v>
      </c>
      <c r="I6278" s="19"/>
      <c r="J6278" s="17" t="s">
        <v>82</v>
      </c>
      <c r="K6278" s="184">
        <v>310</v>
      </c>
      <c r="L6278" s="19">
        <v>32</v>
      </c>
      <c r="M6278" s="19">
        <v>5000</v>
      </c>
      <c r="N6278" s="19" t="s">
        <v>40</v>
      </c>
      <c r="O6278" s="19" t="s">
        <v>141</v>
      </c>
      <c r="P6278" s="98">
        <v>1500</v>
      </c>
      <c r="Q6278" s="98">
        <v>1344</v>
      </c>
      <c r="R6278" s="19">
        <f t="shared" si="276"/>
        <v>156</v>
      </c>
      <c r="S6278" s="19">
        <v>2940</v>
      </c>
      <c r="T6278" s="19" t="s">
        <v>94</v>
      </c>
      <c r="U6278" s="102" t="s">
        <v>1523</v>
      </c>
      <c r="V6278" s="186">
        <v>45635</v>
      </c>
      <c r="W6278" s="17" t="s">
        <v>69</v>
      </c>
      <c r="Y6278" s="68">
        <v>45717</v>
      </c>
      <c r="Z6278" s="17" t="s">
        <v>1524</v>
      </c>
      <c r="AA6278" s="17" t="s">
        <v>46</v>
      </c>
      <c r="AB6278" s="17" t="s">
        <v>1525</v>
      </c>
      <c r="AC6278" s="217">
        <v>45763</v>
      </c>
      <c r="AD6278" s="65">
        <v>1678</v>
      </c>
      <c r="AE6278" s="17" t="s">
        <v>48</v>
      </c>
    </row>
    <row r="6279" s="17" customFormat="1" hidden="1" spans="1:32">
      <c r="A6279" s="17" t="s">
        <v>34</v>
      </c>
      <c r="B6279" s="19">
        <v>1043</v>
      </c>
      <c r="C6279" s="183">
        <v>45635</v>
      </c>
      <c r="D6279" s="17" t="s">
        <v>1188</v>
      </c>
      <c r="E6279" s="17" t="s">
        <v>1521</v>
      </c>
      <c r="F6279" s="17" t="s">
        <v>1522</v>
      </c>
      <c r="H6279" s="19">
        <v>1.2379</v>
      </c>
      <c r="I6279" s="19"/>
      <c r="J6279" s="17" t="s">
        <v>82</v>
      </c>
      <c r="K6279" s="184">
        <v>510</v>
      </c>
      <c r="L6279" s="19">
        <v>32</v>
      </c>
      <c r="M6279" s="19">
        <v>5000</v>
      </c>
      <c r="N6279" s="19" t="s">
        <v>40</v>
      </c>
      <c r="O6279" s="19" t="s">
        <v>141</v>
      </c>
      <c r="P6279" s="98">
        <v>1500</v>
      </c>
      <c r="Q6279" s="98">
        <v>982</v>
      </c>
      <c r="R6279" s="19">
        <f t="shared" si="276"/>
        <v>518</v>
      </c>
      <c r="S6279" s="19">
        <v>2940</v>
      </c>
      <c r="T6279" s="19" t="s">
        <v>94</v>
      </c>
      <c r="U6279" s="102" t="s">
        <v>1523</v>
      </c>
      <c r="V6279" s="186">
        <v>45635</v>
      </c>
      <c r="W6279" s="17" t="s">
        <v>69</v>
      </c>
      <c r="Y6279" s="68">
        <v>45717</v>
      </c>
      <c r="Z6279" s="17" t="s">
        <v>1524</v>
      </c>
      <c r="AA6279" s="17" t="s">
        <v>46</v>
      </c>
      <c r="AB6279" s="17" t="s">
        <v>1526</v>
      </c>
      <c r="AC6279" s="217">
        <v>45750</v>
      </c>
      <c r="AD6279" s="65">
        <v>1658</v>
      </c>
      <c r="AE6279" s="17" t="s">
        <v>48</v>
      </c>
      <c r="AF6279" s="17" t="s">
        <v>1527</v>
      </c>
    </row>
    <row r="6280" s="17" customFormat="1" hidden="1" spans="1:32">
      <c r="A6280" s="17" t="s">
        <v>34</v>
      </c>
      <c r="B6280" s="19">
        <v>1043</v>
      </c>
      <c r="C6280" s="183">
        <v>45635</v>
      </c>
      <c r="D6280" s="17" t="s">
        <v>1188</v>
      </c>
      <c r="E6280" s="17" t="s">
        <v>1521</v>
      </c>
      <c r="F6280" s="17" t="s">
        <v>1522</v>
      </c>
      <c r="H6280" s="19">
        <v>1.2379</v>
      </c>
      <c r="I6280" s="19"/>
      <c r="J6280" s="17" t="s">
        <v>82</v>
      </c>
      <c r="K6280" s="184">
        <v>360</v>
      </c>
      <c r="L6280" s="19">
        <v>40</v>
      </c>
      <c r="M6280" s="19">
        <v>5000</v>
      </c>
      <c r="N6280" s="19" t="s">
        <v>40</v>
      </c>
      <c r="O6280" s="19" t="s">
        <v>141</v>
      </c>
      <c r="P6280" s="98">
        <v>1500</v>
      </c>
      <c r="Q6280" s="98">
        <v>1336</v>
      </c>
      <c r="R6280" s="19">
        <f t="shared" si="276"/>
        <v>164</v>
      </c>
      <c r="S6280" s="19">
        <v>2940</v>
      </c>
      <c r="T6280" s="19" t="s">
        <v>94</v>
      </c>
      <c r="U6280" s="102" t="s">
        <v>1523</v>
      </c>
      <c r="V6280" s="186">
        <v>45635</v>
      </c>
      <c r="W6280" s="17" t="s">
        <v>69</v>
      </c>
      <c r="Y6280" s="68">
        <v>45717</v>
      </c>
      <c r="Z6280" s="17" t="s">
        <v>1524</v>
      </c>
      <c r="AA6280" s="17" t="s">
        <v>46</v>
      </c>
      <c r="AB6280" s="17" t="s">
        <v>1526</v>
      </c>
      <c r="AC6280" s="217">
        <v>45750</v>
      </c>
      <c r="AD6280" s="65">
        <v>1658</v>
      </c>
      <c r="AE6280" s="17" t="s">
        <v>48</v>
      </c>
      <c r="AF6280" s="17" t="s">
        <v>1527</v>
      </c>
    </row>
    <row r="6281" s="17" customFormat="1" hidden="1" spans="1:32">
      <c r="A6281" s="17" t="s">
        <v>34</v>
      </c>
      <c r="B6281" s="19">
        <v>1043</v>
      </c>
      <c r="C6281" s="183">
        <v>45635</v>
      </c>
      <c r="D6281" s="17" t="s">
        <v>1188</v>
      </c>
      <c r="E6281" s="17" t="s">
        <v>1521</v>
      </c>
      <c r="F6281" s="17" t="s">
        <v>1522</v>
      </c>
      <c r="H6281" s="19">
        <v>1.2379</v>
      </c>
      <c r="I6281" s="19"/>
      <c r="J6281" s="17" t="s">
        <v>82</v>
      </c>
      <c r="K6281" s="184">
        <v>410</v>
      </c>
      <c r="L6281" s="19">
        <v>42</v>
      </c>
      <c r="M6281" s="19">
        <v>5000</v>
      </c>
      <c r="N6281" s="19" t="s">
        <v>40</v>
      </c>
      <c r="O6281" s="19" t="s">
        <v>141</v>
      </c>
      <c r="P6281" s="98">
        <v>1500</v>
      </c>
      <c r="Q6281" s="98">
        <v>2130</v>
      </c>
      <c r="R6281" s="19">
        <f t="shared" si="276"/>
        <v>-630</v>
      </c>
      <c r="S6281" s="19">
        <v>2940</v>
      </c>
      <c r="T6281" s="19" t="s">
        <v>94</v>
      </c>
      <c r="U6281" s="102" t="s">
        <v>1523</v>
      </c>
      <c r="V6281" s="186">
        <v>45635</v>
      </c>
      <c r="W6281" s="17" t="s">
        <v>69</v>
      </c>
      <c r="Y6281" s="68">
        <v>45717</v>
      </c>
      <c r="Z6281" s="17" t="s">
        <v>1524</v>
      </c>
      <c r="AA6281" s="17" t="s">
        <v>46</v>
      </c>
      <c r="AB6281" s="17" t="s">
        <v>1526</v>
      </c>
      <c r="AC6281" s="217">
        <v>45750</v>
      </c>
      <c r="AD6281" s="65">
        <v>1658</v>
      </c>
      <c r="AE6281" s="17" t="s">
        <v>48</v>
      </c>
      <c r="AF6281" s="17" t="s">
        <v>1527</v>
      </c>
    </row>
    <row r="6282" s="17" customFormat="1" hidden="1" spans="1:32">
      <c r="A6282" s="17" t="s">
        <v>34</v>
      </c>
      <c r="B6282" s="19">
        <v>1043</v>
      </c>
      <c r="C6282" s="183">
        <v>45635</v>
      </c>
      <c r="D6282" s="17" t="s">
        <v>1188</v>
      </c>
      <c r="E6282" s="17" t="s">
        <v>1521</v>
      </c>
      <c r="F6282" s="17" t="s">
        <v>1522</v>
      </c>
      <c r="H6282" s="19">
        <v>1.2379</v>
      </c>
      <c r="I6282" s="19"/>
      <c r="J6282" s="17" t="s">
        <v>82</v>
      </c>
      <c r="K6282" s="184">
        <v>510</v>
      </c>
      <c r="L6282" s="19">
        <v>52</v>
      </c>
      <c r="M6282" s="19">
        <v>5000</v>
      </c>
      <c r="N6282" s="19" t="s">
        <v>40</v>
      </c>
      <c r="O6282" s="19" t="s">
        <v>141</v>
      </c>
      <c r="P6282" s="98">
        <v>1500</v>
      </c>
      <c r="Q6282" s="98">
        <v>2578</v>
      </c>
      <c r="R6282" s="19">
        <f t="shared" si="276"/>
        <v>-1078</v>
      </c>
      <c r="S6282" s="19">
        <v>2940</v>
      </c>
      <c r="T6282" s="19" t="s">
        <v>94</v>
      </c>
      <c r="U6282" s="102" t="s">
        <v>1523</v>
      </c>
      <c r="V6282" s="186">
        <v>45635</v>
      </c>
      <c r="W6282" s="17" t="s">
        <v>69</v>
      </c>
      <c r="Y6282" s="68">
        <v>45717</v>
      </c>
      <c r="Z6282" s="17" t="s">
        <v>1524</v>
      </c>
      <c r="AA6282" s="17" t="s">
        <v>46</v>
      </c>
      <c r="AB6282" s="17" t="s">
        <v>1525</v>
      </c>
      <c r="AC6282" s="217">
        <v>45763</v>
      </c>
      <c r="AD6282" s="65">
        <v>1678</v>
      </c>
      <c r="AE6282" s="17" t="s">
        <v>48</v>
      </c>
    </row>
    <row r="6283" s="17" customFormat="1" hidden="1" spans="1:32">
      <c r="A6283" s="17" t="s">
        <v>34</v>
      </c>
      <c r="B6283" s="19">
        <v>1043</v>
      </c>
      <c r="C6283" s="183">
        <v>45635</v>
      </c>
      <c r="D6283" s="17" t="s">
        <v>1188</v>
      </c>
      <c r="E6283" s="17" t="s">
        <v>1521</v>
      </c>
      <c r="F6283" s="17" t="s">
        <v>1522</v>
      </c>
      <c r="H6283" s="19">
        <v>1.2379</v>
      </c>
      <c r="I6283" s="19"/>
      <c r="J6283" s="17" t="s">
        <v>82</v>
      </c>
      <c r="K6283" s="184">
        <v>510</v>
      </c>
      <c r="L6283" s="19">
        <v>66</v>
      </c>
      <c r="M6283" s="19">
        <v>5000</v>
      </c>
      <c r="N6283" s="19" t="s">
        <v>40</v>
      </c>
      <c r="O6283" s="19" t="s">
        <v>141</v>
      </c>
      <c r="P6283" s="98">
        <v>1500</v>
      </c>
      <c r="Q6283" s="98">
        <v>1704</v>
      </c>
      <c r="R6283" s="19">
        <f t="shared" si="276"/>
        <v>-204</v>
      </c>
      <c r="S6283" s="19">
        <v>2940</v>
      </c>
      <c r="T6283" s="19" t="s">
        <v>94</v>
      </c>
      <c r="U6283" s="102" t="s">
        <v>1523</v>
      </c>
      <c r="V6283" s="186">
        <v>45635</v>
      </c>
      <c r="W6283" s="17" t="s">
        <v>69</v>
      </c>
      <c r="Y6283" s="68">
        <v>45717</v>
      </c>
      <c r="Z6283" s="17" t="s">
        <v>1524</v>
      </c>
      <c r="AA6283" s="17" t="s">
        <v>46</v>
      </c>
      <c r="AB6283" s="17" t="s">
        <v>1526</v>
      </c>
      <c r="AC6283" s="217">
        <v>45750</v>
      </c>
      <c r="AD6283" s="65">
        <v>1658</v>
      </c>
      <c r="AE6283" s="17" t="s">
        <v>48</v>
      </c>
      <c r="AF6283" s="17" t="s">
        <v>1527</v>
      </c>
    </row>
    <row r="6284" s="17" customFormat="1" hidden="1" spans="1:32">
      <c r="A6284" s="17" t="s">
        <v>34</v>
      </c>
      <c r="B6284" s="19">
        <v>1043</v>
      </c>
      <c r="C6284" s="183">
        <v>45635</v>
      </c>
      <c r="D6284" s="17" t="s">
        <v>1188</v>
      </c>
      <c r="E6284" s="17" t="s">
        <v>1521</v>
      </c>
      <c r="F6284" s="17" t="s">
        <v>1522</v>
      </c>
      <c r="H6284" s="19">
        <v>1.2379</v>
      </c>
      <c r="I6284" s="19"/>
      <c r="J6284" s="17" t="s">
        <v>82</v>
      </c>
      <c r="K6284" s="184">
        <v>510</v>
      </c>
      <c r="L6284" s="19">
        <v>81</v>
      </c>
      <c r="M6284" s="19">
        <v>5000</v>
      </c>
      <c r="N6284" s="19" t="s">
        <v>40</v>
      </c>
      <c r="O6284" s="19" t="s">
        <v>141</v>
      </c>
      <c r="P6284" s="98">
        <v>1500</v>
      </c>
      <c r="Q6284" s="98">
        <v>2236</v>
      </c>
      <c r="R6284" s="19">
        <f t="shared" si="276"/>
        <v>-736</v>
      </c>
      <c r="S6284" s="19">
        <v>2940</v>
      </c>
      <c r="T6284" s="19" t="s">
        <v>94</v>
      </c>
      <c r="U6284" s="102" t="s">
        <v>1523</v>
      </c>
      <c r="V6284" s="186">
        <v>45635</v>
      </c>
      <c r="W6284" s="17" t="s">
        <v>69</v>
      </c>
      <c r="Y6284" s="68">
        <v>45717</v>
      </c>
      <c r="Z6284" s="17" t="s">
        <v>1524</v>
      </c>
      <c r="AA6284" s="17" t="s">
        <v>46</v>
      </c>
      <c r="AB6284" s="17" t="s">
        <v>1526</v>
      </c>
      <c r="AC6284" s="217">
        <v>45750</v>
      </c>
      <c r="AD6284" s="65">
        <v>1658</v>
      </c>
      <c r="AE6284" s="17" t="s">
        <v>48</v>
      </c>
      <c r="AF6284" s="17" t="s">
        <v>1527</v>
      </c>
    </row>
    <row r="6285" s="17" customFormat="1" hidden="1" spans="1:32">
      <c r="A6285" s="17" t="s">
        <v>34</v>
      </c>
      <c r="B6285" s="19">
        <v>1043</v>
      </c>
      <c r="C6285" s="183">
        <v>45635</v>
      </c>
      <c r="D6285" s="17" t="s">
        <v>1188</v>
      </c>
      <c r="E6285" s="17" t="s">
        <v>1521</v>
      </c>
      <c r="F6285" s="17" t="s">
        <v>1522</v>
      </c>
      <c r="H6285" s="19">
        <v>1.2379</v>
      </c>
      <c r="I6285" s="19"/>
      <c r="J6285" s="17" t="s">
        <v>82</v>
      </c>
      <c r="K6285" s="184">
        <v>510</v>
      </c>
      <c r="L6285" s="19">
        <v>105</v>
      </c>
      <c r="M6285" s="19">
        <v>5000</v>
      </c>
      <c r="N6285" s="19" t="s">
        <v>40</v>
      </c>
      <c r="O6285" s="19" t="s">
        <v>141</v>
      </c>
      <c r="P6285" s="98">
        <v>1500</v>
      </c>
      <c r="Q6285" s="98">
        <v>1920</v>
      </c>
      <c r="R6285" s="19">
        <f t="shared" si="276"/>
        <v>-420</v>
      </c>
      <c r="S6285" s="19">
        <v>2940</v>
      </c>
      <c r="T6285" s="19" t="s">
        <v>94</v>
      </c>
      <c r="U6285" s="102" t="s">
        <v>1523</v>
      </c>
      <c r="V6285" s="186">
        <v>45635</v>
      </c>
      <c r="W6285" s="17" t="s">
        <v>69</v>
      </c>
      <c r="Y6285" s="68">
        <v>45717</v>
      </c>
      <c r="Z6285" s="17" t="s">
        <v>1524</v>
      </c>
      <c r="AA6285" s="17" t="s">
        <v>46</v>
      </c>
      <c r="AB6285" s="17" t="s">
        <v>1525</v>
      </c>
      <c r="AC6285" s="217">
        <v>45763</v>
      </c>
      <c r="AD6285" s="65">
        <v>1678</v>
      </c>
      <c r="AE6285" s="17" t="s">
        <v>48</v>
      </c>
    </row>
    <row r="6286" s="17" customFormat="1" hidden="1" spans="1:32">
      <c r="A6286" s="17" t="s">
        <v>34</v>
      </c>
      <c r="B6286" s="19">
        <v>1043</v>
      </c>
      <c r="C6286" s="183">
        <v>45635</v>
      </c>
      <c r="D6286" s="17" t="s">
        <v>1188</v>
      </c>
      <c r="E6286" s="17" t="s">
        <v>1521</v>
      </c>
      <c r="F6286" s="17" t="s">
        <v>1522</v>
      </c>
      <c r="H6286" s="19">
        <v>1.2379</v>
      </c>
      <c r="I6286" s="19"/>
      <c r="J6286" s="17" t="s">
        <v>82</v>
      </c>
      <c r="K6286" s="184">
        <v>510</v>
      </c>
      <c r="L6286" s="19">
        <v>130</v>
      </c>
      <c r="M6286" s="19">
        <v>5000</v>
      </c>
      <c r="N6286" s="19" t="s">
        <v>40</v>
      </c>
      <c r="O6286" s="19" t="s">
        <v>98</v>
      </c>
      <c r="P6286" s="98">
        <v>1500</v>
      </c>
      <c r="Q6286" s="98">
        <v>1980</v>
      </c>
      <c r="R6286" s="19">
        <f t="shared" si="276"/>
        <v>-480</v>
      </c>
      <c r="S6286" s="19">
        <v>2940</v>
      </c>
      <c r="T6286" s="19" t="s">
        <v>94</v>
      </c>
      <c r="U6286" s="102" t="s">
        <v>1523</v>
      </c>
      <c r="V6286" s="186">
        <v>45635</v>
      </c>
      <c r="W6286" s="17" t="s">
        <v>69</v>
      </c>
      <c r="Y6286" s="68">
        <v>45717</v>
      </c>
      <c r="Z6286" s="17" t="s">
        <v>1524</v>
      </c>
      <c r="AA6286" s="17" t="s">
        <v>46</v>
      </c>
      <c r="AB6286" s="17" t="s">
        <v>1526</v>
      </c>
      <c r="AC6286" s="217">
        <v>45750</v>
      </c>
      <c r="AD6286" s="65">
        <v>1658</v>
      </c>
      <c r="AE6286" s="17" t="s">
        <v>48</v>
      </c>
      <c r="AF6286" s="17" t="s">
        <v>1527</v>
      </c>
    </row>
    <row r="6287" s="17" customFormat="1" hidden="1" spans="1:32">
      <c r="A6287" s="17" t="s">
        <v>34</v>
      </c>
      <c r="B6287" s="19">
        <v>1043</v>
      </c>
      <c r="C6287" s="183">
        <v>45635</v>
      </c>
      <c r="D6287" s="17" t="s">
        <v>1188</v>
      </c>
      <c r="E6287" s="17" t="s">
        <v>1521</v>
      </c>
      <c r="F6287" s="17" t="s">
        <v>1522</v>
      </c>
      <c r="H6287" s="19">
        <v>1.2379</v>
      </c>
      <c r="I6287" s="19"/>
      <c r="J6287" s="17" t="s">
        <v>82</v>
      </c>
      <c r="K6287" s="19">
        <v>810</v>
      </c>
      <c r="L6287" s="91">
        <v>310</v>
      </c>
      <c r="M6287" s="19">
        <v>5000</v>
      </c>
      <c r="N6287" s="19" t="s">
        <v>40</v>
      </c>
      <c r="O6287" s="19" t="s">
        <v>98</v>
      </c>
      <c r="P6287" s="19">
        <v>5000</v>
      </c>
      <c r="Q6287" s="19">
        <v>6160</v>
      </c>
      <c r="R6287" s="19">
        <f t="shared" si="276"/>
        <v>-1160</v>
      </c>
      <c r="S6287" s="19">
        <v>2940</v>
      </c>
      <c r="T6287" s="19" t="s">
        <v>94</v>
      </c>
      <c r="U6287" s="102" t="s">
        <v>1523</v>
      </c>
      <c r="V6287" s="186">
        <v>45635</v>
      </c>
      <c r="W6287" s="17" t="s">
        <v>69</v>
      </c>
      <c r="Y6287" s="68">
        <v>45717</v>
      </c>
      <c r="Z6287" s="17" t="s">
        <v>1524</v>
      </c>
      <c r="AA6287" s="17" t="s">
        <v>46</v>
      </c>
      <c r="AB6287" s="17" t="s">
        <v>1525</v>
      </c>
      <c r="AC6287" s="217">
        <v>45763</v>
      </c>
      <c r="AD6287" s="65">
        <v>1678</v>
      </c>
      <c r="AE6287" s="17" t="s">
        <v>48</v>
      </c>
    </row>
    <row r="6288" s="17" customFormat="1" hidden="1" spans="1:32">
      <c r="A6288" s="17" t="s">
        <v>34</v>
      </c>
      <c r="B6288" s="19">
        <v>1043</v>
      </c>
      <c r="C6288" s="183">
        <v>45635</v>
      </c>
      <c r="D6288" s="17" t="s">
        <v>1188</v>
      </c>
      <c r="E6288" s="17" t="s">
        <v>1521</v>
      </c>
      <c r="F6288" s="17" t="s">
        <v>1522</v>
      </c>
      <c r="H6288" s="19">
        <v>1.2379</v>
      </c>
      <c r="I6288" s="19"/>
      <c r="J6288" s="17" t="s">
        <v>39</v>
      </c>
      <c r="K6288" s="19">
        <v>26</v>
      </c>
      <c r="L6288" s="91"/>
      <c r="M6288" s="19">
        <v>5000</v>
      </c>
      <c r="N6288" s="19" t="s">
        <v>40</v>
      </c>
      <c r="O6288" s="19" t="s">
        <v>84</v>
      </c>
      <c r="P6288" s="19">
        <v>1000</v>
      </c>
      <c r="Q6288" s="19">
        <v>1155</v>
      </c>
      <c r="R6288" s="19">
        <f t="shared" si="276"/>
        <v>-155</v>
      </c>
      <c r="S6288" s="19">
        <v>2940</v>
      </c>
      <c r="T6288" s="19" t="s">
        <v>94</v>
      </c>
      <c r="U6288" s="102" t="s">
        <v>1523</v>
      </c>
      <c r="V6288" s="186">
        <v>45635</v>
      </c>
      <c r="W6288" s="17" t="s">
        <v>69</v>
      </c>
      <c r="Y6288" s="68">
        <v>45717</v>
      </c>
      <c r="Z6288" s="17" t="s">
        <v>1524</v>
      </c>
      <c r="AA6288" s="17" t="s">
        <v>46</v>
      </c>
      <c r="AB6288" s="17" t="s">
        <v>1525</v>
      </c>
      <c r="AC6288" s="217">
        <v>45763</v>
      </c>
      <c r="AD6288" s="65">
        <v>1678</v>
      </c>
      <c r="AE6288" s="17" t="s">
        <v>48</v>
      </c>
    </row>
    <row r="6289" s="17" customFormat="1" hidden="1" spans="1:32">
      <c r="A6289" s="17" t="s">
        <v>34</v>
      </c>
      <c r="B6289" s="19">
        <v>1043</v>
      </c>
      <c r="C6289" s="183">
        <v>45635</v>
      </c>
      <c r="D6289" s="17" t="s">
        <v>1188</v>
      </c>
      <c r="E6289" s="17" t="s">
        <v>1521</v>
      </c>
      <c r="F6289" s="17" t="s">
        <v>1522</v>
      </c>
      <c r="H6289" s="19">
        <v>1.2379</v>
      </c>
      <c r="I6289" s="19"/>
      <c r="J6289" s="17" t="s">
        <v>39</v>
      </c>
      <c r="K6289" s="19">
        <v>32</v>
      </c>
      <c r="L6289" s="91"/>
      <c r="M6289" s="19">
        <v>5000</v>
      </c>
      <c r="N6289" s="19" t="s">
        <v>40</v>
      </c>
      <c r="O6289" s="19" t="s">
        <v>84</v>
      </c>
      <c r="P6289" s="19">
        <v>1000</v>
      </c>
      <c r="Q6289" s="19">
        <v>1245</v>
      </c>
      <c r="R6289" s="19">
        <f t="shared" si="276"/>
        <v>-245</v>
      </c>
      <c r="S6289" s="19">
        <v>2940</v>
      </c>
      <c r="T6289" s="19" t="s">
        <v>94</v>
      </c>
      <c r="U6289" s="102" t="s">
        <v>1523</v>
      </c>
      <c r="V6289" s="186">
        <v>45635</v>
      </c>
      <c r="W6289" s="17" t="s">
        <v>69</v>
      </c>
      <c r="Y6289" s="68">
        <v>45717</v>
      </c>
      <c r="Z6289" s="17" t="s">
        <v>1524</v>
      </c>
      <c r="AA6289" s="17" t="s">
        <v>46</v>
      </c>
      <c r="AB6289" s="17" t="s">
        <v>1525</v>
      </c>
      <c r="AC6289" s="217">
        <v>45763</v>
      </c>
      <c r="AD6289" s="65">
        <v>1678</v>
      </c>
      <c r="AE6289" s="17" t="s">
        <v>48</v>
      </c>
    </row>
    <row r="6290" s="17" customFormat="1" hidden="1" spans="1:32">
      <c r="A6290" s="17" t="s">
        <v>34</v>
      </c>
      <c r="B6290" s="19">
        <v>1043</v>
      </c>
      <c r="C6290" s="183">
        <v>45635</v>
      </c>
      <c r="D6290" s="17" t="s">
        <v>1188</v>
      </c>
      <c r="E6290" s="17" t="s">
        <v>1521</v>
      </c>
      <c r="F6290" s="17" t="s">
        <v>1522</v>
      </c>
      <c r="H6290" s="19">
        <v>1.2379</v>
      </c>
      <c r="I6290" s="19"/>
      <c r="J6290" s="17" t="s">
        <v>39</v>
      </c>
      <c r="K6290" s="19">
        <v>202</v>
      </c>
      <c r="L6290" s="91"/>
      <c r="M6290" s="19">
        <v>5000</v>
      </c>
      <c r="N6290" s="19" t="s">
        <v>40</v>
      </c>
      <c r="O6290" s="19" t="s">
        <v>50</v>
      </c>
      <c r="P6290" s="19">
        <v>2000</v>
      </c>
      <c r="Q6290" s="19">
        <v>2446</v>
      </c>
      <c r="R6290" s="19">
        <f t="shared" si="276"/>
        <v>-446</v>
      </c>
      <c r="S6290" s="19">
        <v>2940</v>
      </c>
      <c r="T6290" s="19" t="s">
        <v>94</v>
      </c>
      <c r="U6290" s="102" t="s">
        <v>1523</v>
      </c>
      <c r="V6290" s="186">
        <v>45635</v>
      </c>
      <c r="W6290" s="17" t="s">
        <v>69</v>
      </c>
      <c r="Y6290" s="68">
        <v>45717</v>
      </c>
      <c r="Z6290" s="17" t="s">
        <v>1524</v>
      </c>
      <c r="AA6290" s="17" t="s">
        <v>46</v>
      </c>
      <c r="AB6290" s="17" t="s">
        <v>1525</v>
      </c>
      <c r="AC6290" s="217">
        <v>45763</v>
      </c>
      <c r="AD6290" s="65">
        <v>1678</v>
      </c>
      <c r="AE6290" s="17" t="s">
        <v>48</v>
      </c>
    </row>
    <row r="6291" s="17" customFormat="1" hidden="1" spans="1:32">
      <c r="A6291" s="17" t="s">
        <v>34</v>
      </c>
      <c r="B6291" s="19">
        <v>1043</v>
      </c>
      <c r="C6291" s="183">
        <v>45635</v>
      </c>
      <c r="D6291" s="17" t="s">
        <v>1188</v>
      </c>
      <c r="E6291" s="17" t="s">
        <v>1521</v>
      </c>
      <c r="F6291" s="17" t="s">
        <v>1522</v>
      </c>
      <c r="H6291" s="19">
        <v>1.2344</v>
      </c>
      <c r="I6291" s="19"/>
      <c r="J6291" s="17" t="s">
        <v>82</v>
      </c>
      <c r="K6291" s="19">
        <v>610</v>
      </c>
      <c r="L6291" s="91">
        <v>105</v>
      </c>
      <c r="M6291" s="19">
        <v>5000</v>
      </c>
      <c r="N6291" s="19" t="s">
        <v>40</v>
      </c>
      <c r="O6291" s="19" t="s">
        <v>1528</v>
      </c>
      <c r="P6291" s="19">
        <v>2000</v>
      </c>
      <c r="Q6291" s="19">
        <v>4050</v>
      </c>
      <c r="R6291" s="19">
        <f t="shared" si="276"/>
        <v>-2050</v>
      </c>
      <c r="S6291" s="19">
        <v>3040</v>
      </c>
      <c r="T6291" s="19" t="s">
        <v>94</v>
      </c>
      <c r="U6291" s="102" t="s">
        <v>1523</v>
      </c>
      <c r="V6291" s="186">
        <v>45635</v>
      </c>
      <c r="W6291" s="17" t="s">
        <v>69</v>
      </c>
      <c r="Y6291" s="68">
        <v>45717</v>
      </c>
      <c r="Z6291" s="17" t="s">
        <v>1524</v>
      </c>
      <c r="AA6291" s="17" t="s">
        <v>46</v>
      </c>
      <c r="AB6291" s="17" t="s">
        <v>1526</v>
      </c>
      <c r="AC6291" s="217">
        <v>45750</v>
      </c>
      <c r="AD6291" s="65">
        <v>1658</v>
      </c>
      <c r="AE6291" s="17" t="s">
        <v>48</v>
      </c>
      <c r="AF6291" s="17" t="s">
        <v>1529</v>
      </c>
    </row>
    <row r="6292" s="17" customFormat="1" hidden="1" spans="1:32">
      <c r="A6292" s="17" t="s">
        <v>34</v>
      </c>
      <c r="B6292" s="19">
        <v>1043</v>
      </c>
      <c r="C6292" s="183">
        <v>45635</v>
      </c>
      <c r="D6292" s="17" t="s">
        <v>1188</v>
      </c>
      <c r="E6292" s="17" t="s">
        <v>1521</v>
      </c>
      <c r="F6292" s="17" t="s">
        <v>1522</v>
      </c>
      <c r="H6292" s="19">
        <v>1.2344</v>
      </c>
      <c r="I6292" s="19"/>
      <c r="J6292" s="17" t="s">
        <v>82</v>
      </c>
      <c r="K6292" s="19">
        <v>810</v>
      </c>
      <c r="L6292" s="91">
        <v>260</v>
      </c>
      <c r="M6292" s="19">
        <v>5000</v>
      </c>
      <c r="N6292" s="19" t="s">
        <v>40</v>
      </c>
      <c r="O6292" s="19" t="s">
        <v>1528</v>
      </c>
      <c r="P6292" s="19">
        <v>5000</v>
      </c>
      <c r="Q6292" s="19">
        <v>5140</v>
      </c>
      <c r="R6292" s="19">
        <f t="shared" si="276"/>
        <v>-140</v>
      </c>
      <c r="S6292" s="19">
        <v>3040</v>
      </c>
      <c r="T6292" s="19" t="s">
        <v>94</v>
      </c>
      <c r="U6292" s="102" t="s">
        <v>1523</v>
      </c>
      <c r="V6292" s="186">
        <v>45635</v>
      </c>
      <c r="W6292" s="17" t="s">
        <v>69</v>
      </c>
      <c r="Y6292" s="68">
        <v>45717</v>
      </c>
      <c r="Z6292" s="17" t="s">
        <v>1524</v>
      </c>
      <c r="AA6292" s="17" t="s">
        <v>46</v>
      </c>
      <c r="AB6292" s="17" t="s">
        <v>1526</v>
      </c>
      <c r="AC6292" s="217">
        <v>45750</v>
      </c>
      <c r="AD6292" s="65">
        <v>1658</v>
      </c>
      <c r="AE6292" s="17" t="s">
        <v>48</v>
      </c>
      <c r="AF6292" s="17" t="s">
        <v>1529</v>
      </c>
    </row>
    <row r="6293" s="17" customFormat="1" hidden="1" spans="1:32">
      <c r="A6293" s="17" t="s">
        <v>34</v>
      </c>
      <c r="B6293" s="19">
        <v>1043</v>
      </c>
      <c r="C6293" s="183">
        <v>45635</v>
      </c>
      <c r="D6293" s="17" t="s">
        <v>1188</v>
      </c>
      <c r="E6293" s="17" t="s">
        <v>1521</v>
      </c>
      <c r="F6293" s="17" t="s">
        <v>1522</v>
      </c>
      <c r="H6293" s="19">
        <v>1.2344</v>
      </c>
      <c r="I6293" s="19"/>
      <c r="J6293" s="17" t="s">
        <v>82</v>
      </c>
      <c r="K6293" s="19">
        <v>810</v>
      </c>
      <c r="L6293" s="91">
        <v>310</v>
      </c>
      <c r="M6293" s="19">
        <v>5000</v>
      </c>
      <c r="N6293" s="19" t="s">
        <v>40</v>
      </c>
      <c r="O6293" s="19" t="s">
        <v>1528</v>
      </c>
      <c r="P6293" s="19">
        <v>5000</v>
      </c>
      <c r="Q6293" s="19">
        <v>3400</v>
      </c>
      <c r="R6293" s="19">
        <f t="shared" si="276"/>
        <v>1600</v>
      </c>
      <c r="S6293" s="19">
        <v>3040</v>
      </c>
      <c r="T6293" s="19" t="s">
        <v>94</v>
      </c>
      <c r="U6293" s="102" t="s">
        <v>1523</v>
      </c>
      <c r="V6293" s="186">
        <v>45635</v>
      </c>
      <c r="W6293" s="17" t="s">
        <v>69</v>
      </c>
      <c r="Y6293" s="68">
        <v>45717</v>
      </c>
      <c r="Z6293" s="17" t="s">
        <v>1524</v>
      </c>
      <c r="AA6293" s="17" t="s">
        <v>46</v>
      </c>
      <c r="AB6293" s="17" t="s">
        <v>1526</v>
      </c>
      <c r="AC6293" s="217">
        <v>45750</v>
      </c>
      <c r="AD6293" s="65">
        <v>1658</v>
      </c>
      <c r="AE6293" s="17" t="s">
        <v>48</v>
      </c>
      <c r="AF6293" s="17" t="s">
        <v>1529</v>
      </c>
    </row>
    <row r="6294" s="17" customFormat="1" hidden="1" spans="1:32">
      <c r="A6294" s="17" t="s">
        <v>34</v>
      </c>
      <c r="B6294" s="19">
        <v>1044</v>
      </c>
      <c r="C6294" s="183">
        <v>45636</v>
      </c>
      <c r="D6294" s="17" t="s">
        <v>35</v>
      </c>
      <c r="E6294" s="17" t="s">
        <v>718</v>
      </c>
      <c r="F6294" s="17" t="s">
        <v>37</v>
      </c>
      <c r="H6294" s="19">
        <v>1.2344</v>
      </c>
      <c r="I6294" s="19"/>
      <c r="J6294" s="17" t="s">
        <v>39</v>
      </c>
      <c r="K6294" s="19">
        <v>262</v>
      </c>
      <c r="L6294" s="91"/>
      <c r="M6294" s="19">
        <v>5000</v>
      </c>
      <c r="N6294" s="19" t="s">
        <v>40</v>
      </c>
      <c r="O6294" s="19" t="s">
        <v>50</v>
      </c>
      <c r="P6294" s="19">
        <v>12000</v>
      </c>
      <c r="Q6294" s="19">
        <v>10600</v>
      </c>
      <c r="R6294" s="19">
        <f t="shared" si="276"/>
        <v>1400</v>
      </c>
      <c r="S6294" s="19">
        <v>3110</v>
      </c>
      <c r="T6294" s="19" t="s">
        <v>42</v>
      </c>
      <c r="U6294" s="102" t="s">
        <v>1530</v>
      </c>
      <c r="V6294" s="186">
        <v>45590</v>
      </c>
      <c r="W6294" s="17" t="s">
        <v>44</v>
      </c>
      <c r="Y6294" s="68">
        <v>45717</v>
      </c>
      <c r="Z6294" s="17" t="s">
        <v>78</v>
      </c>
      <c r="AA6294" s="17" t="s">
        <v>46</v>
      </c>
      <c r="AB6294" s="26" t="s">
        <v>1531</v>
      </c>
      <c r="AC6294" s="217">
        <v>45706</v>
      </c>
      <c r="AD6294" s="65">
        <v>1653</v>
      </c>
      <c r="AE6294" s="17" t="s">
        <v>252</v>
      </c>
      <c r="AF6294" s="17" t="s">
        <v>1532</v>
      </c>
    </row>
    <row r="6295" s="17" customFormat="1" hidden="1" spans="1:32">
      <c r="A6295" s="17" t="s">
        <v>34</v>
      </c>
      <c r="B6295" s="19">
        <v>1044</v>
      </c>
      <c r="C6295" s="183">
        <v>45636</v>
      </c>
      <c r="D6295" s="17" t="s">
        <v>35</v>
      </c>
      <c r="E6295" s="17" t="s">
        <v>718</v>
      </c>
      <c r="F6295" s="17" t="s">
        <v>37</v>
      </c>
      <c r="H6295" s="19">
        <v>1.2344</v>
      </c>
      <c r="I6295" s="19"/>
      <c r="J6295" s="17" t="s">
        <v>39</v>
      </c>
      <c r="K6295" s="19">
        <v>322</v>
      </c>
      <c r="L6295" s="91"/>
      <c r="M6295" s="19">
        <v>5000</v>
      </c>
      <c r="N6295" s="19" t="s">
        <v>40</v>
      </c>
      <c r="O6295" s="19" t="s">
        <v>50</v>
      </c>
      <c r="P6295" s="19">
        <v>20000</v>
      </c>
      <c r="Q6295" s="19">
        <v>13140</v>
      </c>
      <c r="S6295" s="19">
        <v>3110</v>
      </c>
      <c r="T6295" s="19" t="s">
        <v>42</v>
      </c>
      <c r="U6295" s="102" t="s">
        <v>1530</v>
      </c>
      <c r="V6295" s="186">
        <v>45590</v>
      </c>
      <c r="W6295" s="17" t="s">
        <v>44</v>
      </c>
      <c r="Y6295" s="68">
        <v>45717</v>
      </c>
      <c r="Z6295" s="17" t="s">
        <v>78</v>
      </c>
      <c r="AA6295" s="17" t="s">
        <v>46</v>
      </c>
      <c r="AB6295" s="17" t="s">
        <v>1531</v>
      </c>
      <c r="AC6295" s="217">
        <v>45706</v>
      </c>
      <c r="AD6295" s="65">
        <v>1653</v>
      </c>
      <c r="AE6295" s="17" t="s">
        <v>252</v>
      </c>
      <c r="AF6295" s="17" t="s">
        <v>1532</v>
      </c>
    </row>
    <row r="6296" s="17" customFormat="1" hidden="1" spans="1:32">
      <c r="A6296" s="17" t="s">
        <v>34</v>
      </c>
      <c r="B6296" s="19">
        <v>1044</v>
      </c>
      <c r="C6296" s="183">
        <v>45636</v>
      </c>
      <c r="D6296" s="17" t="s">
        <v>35</v>
      </c>
      <c r="E6296" s="17" t="s">
        <v>718</v>
      </c>
      <c r="F6296" s="17" t="s">
        <v>37</v>
      </c>
      <c r="H6296" s="19">
        <v>1.2344</v>
      </c>
      <c r="I6296" s="19"/>
      <c r="J6296" s="17" t="s">
        <v>39</v>
      </c>
      <c r="K6296" s="19">
        <v>322</v>
      </c>
      <c r="L6296" s="91"/>
      <c r="M6296" s="19">
        <v>5000</v>
      </c>
      <c r="N6296" s="19" t="s">
        <v>40</v>
      </c>
      <c r="O6296" s="19" t="s">
        <v>50</v>
      </c>
      <c r="P6296" s="19"/>
      <c r="Q6296" s="19">
        <v>5726</v>
      </c>
      <c r="R6296" s="19">
        <f>+P6295-Q6295-Q6296</f>
        <v>1134</v>
      </c>
      <c r="S6296" s="19">
        <v>3110</v>
      </c>
      <c r="T6296" s="19" t="s">
        <v>42</v>
      </c>
      <c r="U6296" s="102" t="s">
        <v>1530</v>
      </c>
      <c r="V6296" s="186">
        <v>45590</v>
      </c>
      <c r="W6296" s="17" t="s">
        <v>44</v>
      </c>
      <c r="Y6296" s="68">
        <v>45717</v>
      </c>
      <c r="Z6296" s="17" t="s">
        <v>78</v>
      </c>
      <c r="AA6296" s="17" t="s">
        <v>46</v>
      </c>
      <c r="AB6296" s="17" t="s">
        <v>1533</v>
      </c>
      <c r="AC6296" s="217">
        <v>45897</v>
      </c>
      <c r="AD6296" s="65">
        <v>1711</v>
      </c>
      <c r="AE6296" s="17" t="s">
        <v>252</v>
      </c>
      <c r="AF6296" s="17" t="s">
        <v>1532</v>
      </c>
    </row>
    <row r="6297" s="17" customFormat="1" hidden="1" spans="1:32">
      <c r="A6297" s="17" t="s">
        <v>34</v>
      </c>
      <c r="B6297" s="19">
        <v>1044</v>
      </c>
      <c r="C6297" s="183">
        <v>45636</v>
      </c>
      <c r="D6297" s="17" t="s">
        <v>35</v>
      </c>
      <c r="E6297" s="17" t="s">
        <v>718</v>
      </c>
      <c r="F6297" s="17" t="s">
        <v>37</v>
      </c>
      <c r="H6297" s="19">
        <v>1.2344</v>
      </c>
      <c r="I6297" s="19"/>
      <c r="J6297" s="17" t="s">
        <v>39</v>
      </c>
      <c r="K6297" s="19">
        <v>402</v>
      </c>
      <c r="L6297" s="91"/>
      <c r="M6297" s="19">
        <v>5000</v>
      </c>
      <c r="N6297" s="19" t="s">
        <v>40</v>
      </c>
      <c r="O6297" s="19" t="s">
        <v>50</v>
      </c>
      <c r="P6297" s="19">
        <v>18000</v>
      </c>
      <c r="Q6297" s="19">
        <v>16404</v>
      </c>
      <c r="R6297" s="19">
        <f>+P6297-Q6297</f>
        <v>1596</v>
      </c>
      <c r="S6297" s="19">
        <v>3110</v>
      </c>
      <c r="T6297" s="19" t="s">
        <v>42</v>
      </c>
      <c r="U6297" s="102" t="s">
        <v>1530</v>
      </c>
      <c r="V6297" s="186">
        <v>45590</v>
      </c>
      <c r="W6297" s="17" t="s">
        <v>44</v>
      </c>
      <c r="Y6297" s="68">
        <v>45717</v>
      </c>
      <c r="Z6297" s="17" t="s">
        <v>78</v>
      </c>
      <c r="AA6297" s="17" t="s">
        <v>46</v>
      </c>
      <c r="AB6297" s="17" t="s">
        <v>1534</v>
      </c>
      <c r="AC6297" s="217">
        <v>45729</v>
      </c>
      <c r="AD6297" s="65">
        <v>1656</v>
      </c>
      <c r="AE6297" s="17" t="s">
        <v>252</v>
      </c>
      <c r="AF6297" s="17" t="s">
        <v>1532</v>
      </c>
    </row>
    <row r="6298" s="17" customFormat="1" hidden="1" spans="1:32">
      <c r="A6298" s="17" t="s">
        <v>34</v>
      </c>
      <c r="B6298" s="19">
        <v>1044</v>
      </c>
      <c r="C6298" s="183">
        <v>45636</v>
      </c>
      <c r="D6298" s="17" t="s">
        <v>35</v>
      </c>
      <c r="E6298" s="17" t="s">
        <v>718</v>
      </c>
      <c r="F6298" s="17" t="s">
        <v>37</v>
      </c>
      <c r="H6298" s="19">
        <v>1.2344</v>
      </c>
      <c r="I6298" s="19"/>
      <c r="J6298" s="17" t="s">
        <v>39</v>
      </c>
      <c r="K6298" s="19">
        <v>502</v>
      </c>
      <c r="L6298" s="91"/>
      <c r="M6298" s="19">
        <v>5000</v>
      </c>
      <c r="N6298" s="19" t="s">
        <v>40</v>
      </c>
      <c r="O6298" s="19" t="s">
        <v>50</v>
      </c>
      <c r="P6298" s="19">
        <v>18000</v>
      </c>
      <c r="Q6298" s="19">
        <v>9090</v>
      </c>
      <c r="S6298" s="19">
        <v>3110</v>
      </c>
      <c r="T6298" s="19" t="s">
        <v>42</v>
      </c>
      <c r="U6298" s="102" t="s">
        <v>1530</v>
      </c>
      <c r="V6298" s="186">
        <v>45590</v>
      </c>
      <c r="W6298" s="17" t="s">
        <v>44</v>
      </c>
      <c r="Y6298" s="68">
        <v>45717</v>
      </c>
      <c r="Z6298" s="17" t="s">
        <v>78</v>
      </c>
      <c r="AA6298" s="17" t="s">
        <v>46</v>
      </c>
      <c r="AB6298" s="17" t="s">
        <v>1534</v>
      </c>
      <c r="AC6298" s="217">
        <v>45729</v>
      </c>
      <c r="AD6298" s="65">
        <v>1656</v>
      </c>
      <c r="AE6298" s="17" t="s">
        <v>252</v>
      </c>
      <c r="AF6298" s="17" t="s">
        <v>1532</v>
      </c>
    </row>
    <row r="6299" s="17" customFormat="1" hidden="1" spans="1:32">
      <c r="A6299" s="17" t="s">
        <v>34</v>
      </c>
      <c r="B6299" s="19">
        <v>1044</v>
      </c>
      <c r="C6299" s="183">
        <v>45636</v>
      </c>
      <c r="D6299" s="17" t="s">
        <v>35</v>
      </c>
      <c r="E6299" s="17" t="s">
        <v>718</v>
      </c>
      <c r="F6299" s="17" t="s">
        <v>37</v>
      </c>
      <c r="H6299" s="19">
        <v>1.2344</v>
      </c>
      <c r="I6299" s="19"/>
      <c r="J6299" s="17" t="s">
        <v>39</v>
      </c>
      <c r="K6299" s="19">
        <v>502</v>
      </c>
      <c r="L6299" s="91"/>
      <c r="M6299" s="19">
        <v>5000</v>
      </c>
      <c r="N6299" s="19" t="s">
        <v>40</v>
      </c>
      <c r="O6299" s="19" t="s">
        <v>50</v>
      </c>
      <c r="P6299" s="19"/>
      <c r="Q6299" s="19">
        <v>8942</v>
      </c>
      <c r="R6299" s="19">
        <f>+P6298-Q6298-Q6299</f>
        <v>-32</v>
      </c>
      <c r="S6299" s="19">
        <v>3110</v>
      </c>
      <c r="T6299" s="19" t="s">
        <v>42</v>
      </c>
      <c r="U6299" s="102" t="s">
        <v>1530</v>
      </c>
      <c r="V6299" s="186">
        <v>45590</v>
      </c>
      <c r="W6299" s="17" t="s">
        <v>44</v>
      </c>
      <c r="Y6299" s="68">
        <v>45717</v>
      </c>
      <c r="Z6299" s="17" t="s">
        <v>78</v>
      </c>
      <c r="AA6299" s="17" t="s">
        <v>46</v>
      </c>
      <c r="AB6299" s="17" t="s">
        <v>1533</v>
      </c>
      <c r="AC6299" s="217">
        <v>45897</v>
      </c>
      <c r="AD6299" s="65">
        <v>1711</v>
      </c>
      <c r="AE6299" s="17" t="s">
        <v>252</v>
      </c>
      <c r="AF6299" s="17" t="s">
        <v>1532</v>
      </c>
    </row>
    <row r="6300" s="17" customFormat="1" hidden="1" spans="1:32">
      <c r="A6300" s="17" t="s">
        <v>34</v>
      </c>
      <c r="B6300" s="19">
        <v>1045</v>
      </c>
      <c r="C6300" s="183">
        <v>45666</v>
      </c>
      <c r="D6300" s="17" t="s">
        <v>52</v>
      </c>
      <c r="E6300" s="17" t="s">
        <v>1113</v>
      </c>
      <c r="F6300" s="17" t="s">
        <v>54</v>
      </c>
      <c r="H6300" s="19" t="s">
        <v>1370</v>
      </c>
      <c r="I6300" s="19"/>
      <c r="J6300" s="17" t="s">
        <v>82</v>
      </c>
      <c r="K6300" s="19">
        <v>1600</v>
      </c>
      <c r="L6300" s="91">
        <v>260</v>
      </c>
      <c r="M6300" s="19">
        <v>5800</v>
      </c>
      <c r="N6300" s="19" t="s">
        <v>40</v>
      </c>
      <c r="O6300" s="19" t="s">
        <v>50</v>
      </c>
      <c r="P6300" s="19">
        <v>11072</v>
      </c>
      <c r="Q6300" s="99">
        <v>10415</v>
      </c>
      <c r="R6300" s="99">
        <f t="shared" ref="R6300:R6345" si="277">+P6300-Q6300</f>
        <v>657</v>
      </c>
      <c r="S6300" s="19">
        <v>970</v>
      </c>
      <c r="T6300" s="19" t="s">
        <v>42</v>
      </c>
      <c r="U6300" s="102" t="s">
        <v>1535</v>
      </c>
      <c r="V6300" s="186">
        <v>45671</v>
      </c>
      <c r="W6300" s="17" t="s">
        <v>44</v>
      </c>
      <c r="Y6300" s="68">
        <v>45748</v>
      </c>
      <c r="Z6300" s="17" t="s">
        <v>1536</v>
      </c>
      <c r="AA6300" s="17" t="s">
        <v>46</v>
      </c>
      <c r="AB6300" s="17" t="s">
        <v>1537</v>
      </c>
      <c r="AC6300" s="217">
        <v>45811</v>
      </c>
      <c r="AD6300" s="65">
        <v>1690</v>
      </c>
      <c r="AE6300" s="17" t="s">
        <v>48</v>
      </c>
      <c r="AF6300" s="17" t="s">
        <v>1538</v>
      </c>
    </row>
    <row r="6301" s="17" customFormat="1" hidden="1" spans="1:32">
      <c r="A6301" s="17" t="s">
        <v>34</v>
      </c>
      <c r="B6301" s="19">
        <v>1045</v>
      </c>
      <c r="C6301" s="183">
        <v>45666</v>
      </c>
      <c r="D6301" s="17" t="s">
        <v>52</v>
      </c>
      <c r="E6301" s="17" t="s">
        <v>1113</v>
      </c>
      <c r="F6301" s="17" t="s">
        <v>54</v>
      </c>
      <c r="H6301" s="19" t="s">
        <v>1370</v>
      </c>
      <c r="I6301" s="19"/>
      <c r="J6301" s="17" t="s">
        <v>82</v>
      </c>
      <c r="K6301" s="19">
        <v>1600</v>
      </c>
      <c r="L6301" s="91">
        <v>280</v>
      </c>
      <c r="M6301" s="19">
        <v>5800</v>
      </c>
      <c r="N6301" s="19" t="s">
        <v>40</v>
      </c>
      <c r="O6301" s="19" t="s">
        <v>50</v>
      </c>
      <c r="P6301" s="19">
        <v>11924</v>
      </c>
      <c r="Q6301" s="99">
        <v>11962</v>
      </c>
      <c r="R6301" s="99">
        <f t="shared" si="277"/>
        <v>-38</v>
      </c>
      <c r="S6301" s="19">
        <v>970</v>
      </c>
      <c r="T6301" s="19" t="s">
        <v>42</v>
      </c>
      <c r="U6301" s="102" t="s">
        <v>1535</v>
      </c>
      <c r="V6301" s="186">
        <v>45671</v>
      </c>
      <c r="W6301" s="17" t="s">
        <v>44</v>
      </c>
      <c r="Y6301" s="68">
        <v>45748</v>
      </c>
      <c r="Z6301" s="17" t="s">
        <v>1536</v>
      </c>
      <c r="AA6301" s="17" t="s">
        <v>46</v>
      </c>
      <c r="AB6301" s="17" t="s">
        <v>1537</v>
      </c>
      <c r="AC6301" s="217">
        <v>45811</v>
      </c>
      <c r="AD6301" s="65">
        <v>1690</v>
      </c>
      <c r="AE6301" s="17" t="s">
        <v>48</v>
      </c>
      <c r="AF6301" s="17" t="s">
        <v>1538</v>
      </c>
    </row>
    <row r="6302" s="17" customFormat="1" hidden="1" spans="1:32">
      <c r="A6302" s="17" t="s">
        <v>34</v>
      </c>
      <c r="B6302" s="19">
        <v>1045</v>
      </c>
      <c r="C6302" s="183">
        <v>45666</v>
      </c>
      <c r="D6302" s="17" t="s">
        <v>52</v>
      </c>
      <c r="E6302" s="17" t="s">
        <v>1113</v>
      </c>
      <c r="F6302" s="17" t="s">
        <v>54</v>
      </c>
      <c r="H6302" s="19" t="s">
        <v>1370</v>
      </c>
      <c r="I6302" s="19"/>
      <c r="J6302" s="17" t="s">
        <v>82</v>
      </c>
      <c r="K6302" s="19">
        <v>1600</v>
      </c>
      <c r="L6302" s="91">
        <v>310</v>
      </c>
      <c r="M6302" s="19">
        <v>5800</v>
      </c>
      <c r="N6302" s="19" t="s">
        <v>40</v>
      </c>
      <c r="O6302" s="19" t="s">
        <v>50</v>
      </c>
      <c r="P6302" s="19">
        <v>13202</v>
      </c>
      <c r="Q6302" s="99">
        <v>12535</v>
      </c>
      <c r="R6302" s="99">
        <f t="shared" si="277"/>
        <v>667</v>
      </c>
      <c r="S6302" s="19">
        <v>970</v>
      </c>
      <c r="T6302" s="19" t="s">
        <v>42</v>
      </c>
      <c r="U6302" s="102" t="s">
        <v>1535</v>
      </c>
      <c r="V6302" s="186">
        <v>45671</v>
      </c>
      <c r="W6302" s="17" t="s">
        <v>44</v>
      </c>
      <c r="Y6302" s="68">
        <v>45748</v>
      </c>
      <c r="Z6302" s="17" t="s">
        <v>1536</v>
      </c>
      <c r="AA6302" s="17" t="s">
        <v>46</v>
      </c>
      <c r="AB6302" s="17" t="s">
        <v>1537</v>
      </c>
      <c r="AC6302" s="217">
        <v>45811</v>
      </c>
      <c r="AD6302" s="65">
        <v>1690</v>
      </c>
      <c r="AE6302" s="17" t="s">
        <v>48</v>
      </c>
      <c r="AF6302" s="17" t="s">
        <v>1538</v>
      </c>
    </row>
    <row r="6303" s="17" customFormat="1" hidden="1" spans="1:32">
      <c r="A6303" s="17" t="s">
        <v>34</v>
      </c>
      <c r="B6303" s="19">
        <v>1045</v>
      </c>
      <c r="C6303" s="183">
        <v>45666</v>
      </c>
      <c r="D6303" s="17" t="s">
        <v>52</v>
      </c>
      <c r="E6303" s="17" t="s">
        <v>1113</v>
      </c>
      <c r="F6303" s="17" t="s">
        <v>54</v>
      </c>
      <c r="H6303" s="19" t="s">
        <v>1370</v>
      </c>
      <c r="I6303" s="19"/>
      <c r="J6303" s="17" t="s">
        <v>82</v>
      </c>
      <c r="K6303" s="19">
        <v>1600</v>
      </c>
      <c r="L6303" s="91">
        <v>330</v>
      </c>
      <c r="M6303" s="19">
        <v>5800</v>
      </c>
      <c r="N6303" s="19" t="s">
        <v>40</v>
      </c>
      <c r="O6303" s="19" t="s">
        <v>50</v>
      </c>
      <c r="P6303" s="19">
        <v>14053</v>
      </c>
      <c r="Q6303" s="99">
        <v>12870</v>
      </c>
      <c r="R6303" s="99">
        <f t="shared" si="277"/>
        <v>1183</v>
      </c>
      <c r="S6303" s="19">
        <v>970</v>
      </c>
      <c r="T6303" s="19" t="s">
        <v>42</v>
      </c>
      <c r="U6303" s="102" t="s">
        <v>1535</v>
      </c>
      <c r="V6303" s="186">
        <v>45671</v>
      </c>
      <c r="W6303" s="17" t="s">
        <v>44</v>
      </c>
      <c r="Y6303" s="68">
        <v>45748</v>
      </c>
      <c r="Z6303" s="17" t="s">
        <v>1536</v>
      </c>
      <c r="AA6303" s="17" t="s">
        <v>46</v>
      </c>
      <c r="AB6303" s="17" t="s">
        <v>1537</v>
      </c>
      <c r="AC6303" s="217">
        <v>45811</v>
      </c>
      <c r="AD6303" s="65">
        <v>1690</v>
      </c>
      <c r="AE6303" s="17" t="s">
        <v>48</v>
      </c>
      <c r="AF6303" s="17" t="s">
        <v>1538</v>
      </c>
    </row>
    <row r="6304" s="17" customFormat="1" hidden="1" spans="1:32">
      <c r="A6304" s="17" t="s">
        <v>34</v>
      </c>
      <c r="B6304" s="19">
        <v>1045</v>
      </c>
      <c r="C6304" s="183">
        <v>45666</v>
      </c>
      <c r="D6304" s="17" t="s">
        <v>52</v>
      </c>
      <c r="E6304" s="17" t="s">
        <v>1113</v>
      </c>
      <c r="F6304" s="17" t="s">
        <v>54</v>
      </c>
      <c r="H6304" s="19" t="s">
        <v>1370</v>
      </c>
      <c r="I6304" s="19"/>
      <c r="J6304" s="17" t="s">
        <v>82</v>
      </c>
      <c r="K6304" s="19">
        <v>1600</v>
      </c>
      <c r="L6304" s="91">
        <v>355</v>
      </c>
      <c r="M6304" s="19">
        <v>5800</v>
      </c>
      <c r="N6304" s="19" t="s">
        <v>40</v>
      </c>
      <c r="O6304" s="19" t="s">
        <v>50</v>
      </c>
      <c r="P6304" s="19">
        <v>15118</v>
      </c>
      <c r="Q6304" s="19">
        <v>13710</v>
      </c>
      <c r="R6304" s="19">
        <f t="shared" si="277"/>
        <v>1408</v>
      </c>
      <c r="S6304" s="19">
        <v>970</v>
      </c>
      <c r="T6304" s="19" t="s">
        <v>42</v>
      </c>
      <c r="U6304" s="102" t="s">
        <v>1535</v>
      </c>
      <c r="V6304" s="186">
        <v>45671</v>
      </c>
      <c r="W6304" s="17" t="s">
        <v>44</v>
      </c>
      <c r="Y6304" s="68">
        <v>45748</v>
      </c>
      <c r="Z6304" s="17" t="s">
        <v>1536</v>
      </c>
      <c r="AA6304" s="17" t="s">
        <v>46</v>
      </c>
      <c r="AB6304" s="17" t="s">
        <v>1539</v>
      </c>
      <c r="AC6304" s="217">
        <v>45838</v>
      </c>
      <c r="AD6304" s="65">
        <v>1693</v>
      </c>
      <c r="AE6304" s="17" t="s">
        <v>48</v>
      </c>
      <c r="AF6304" s="17" t="s">
        <v>1538</v>
      </c>
    </row>
    <row r="6305" s="17" customFormat="1" hidden="1" spans="1:32">
      <c r="A6305" s="17" t="s">
        <v>34</v>
      </c>
      <c r="B6305" s="19">
        <v>1045</v>
      </c>
      <c r="C6305" s="183">
        <v>45666</v>
      </c>
      <c r="D6305" s="17" t="s">
        <v>52</v>
      </c>
      <c r="E6305" s="17" t="s">
        <v>1113</v>
      </c>
      <c r="F6305" s="17" t="s">
        <v>54</v>
      </c>
      <c r="H6305" s="19" t="s">
        <v>1370</v>
      </c>
      <c r="I6305" s="19"/>
      <c r="J6305" s="17" t="s">
        <v>82</v>
      </c>
      <c r="K6305" s="19">
        <v>1600</v>
      </c>
      <c r="L6305" s="91">
        <v>410</v>
      </c>
      <c r="M6305" s="19">
        <v>5800</v>
      </c>
      <c r="N6305" s="19" t="s">
        <v>40</v>
      </c>
      <c r="O6305" s="19" t="s">
        <v>50</v>
      </c>
      <c r="P6305" s="19">
        <v>17460</v>
      </c>
      <c r="Q6305" s="19">
        <v>16420</v>
      </c>
      <c r="R6305" s="19">
        <f t="shared" si="277"/>
        <v>1040</v>
      </c>
      <c r="S6305" s="19">
        <v>970</v>
      </c>
      <c r="T6305" s="19" t="s">
        <v>42</v>
      </c>
      <c r="U6305" s="102" t="s">
        <v>1535</v>
      </c>
      <c r="V6305" s="186">
        <v>45671</v>
      </c>
      <c r="W6305" s="17" t="s">
        <v>44</v>
      </c>
      <c r="Y6305" s="68">
        <v>45748</v>
      </c>
      <c r="Z6305" s="17" t="s">
        <v>1536</v>
      </c>
      <c r="AA6305" s="17" t="s">
        <v>46</v>
      </c>
      <c r="AB6305" s="17" t="s">
        <v>1539</v>
      </c>
      <c r="AC6305" s="217">
        <v>45838</v>
      </c>
      <c r="AD6305" s="65">
        <v>1693</v>
      </c>
      <c r="AE6305" s="17" t="s">
        <v>48</v>
      </c>
      <c r="AF6305" s="17" t="s">
        <v>1538</v>
      </c>
    </row>
    <row r="6306" s="17" customFormat="1" hidden="1" spans="1:32">
      <c r="A6306" s="17" t="s">
        <v>34</v>
      </c>
      <c r="B6306" s="19">
        <v>1045</v>
      </c>
      <c r="C6306" s="183">
        <v>45666</v>
      </c>
      <c r="D6306" s="17" t="s">
        <v>52</v>
      </c>
      <c r="E6306" s="17" t="s">
        <v>1113</v>
      </c>
      <c r="F6306" s="17" t="s">
        <v>54</v>
      </c>
      <c r="H6306" s="19" t="s">
        <v>1370</v>
      </c>
      <c r="I6306" s="19"/>
      <c r="J6306" s="17" t="s">
        <v>82</v>
      </c>
      <c r="K6306" s="19">
        <v>1600</v>
      </c>
      <c r="L6306" s="91">
        <v>455</v>
      </c>
      <c r="M6306" s="19">
        <v>5800</v>
      </c>
      <c r="N6306" s="19" t="s">
        <v>40</v>
      </c>
      <c r="O6306" s="19" t="s">
        <v>50</v>
      </c>
      <c r="P6306" s="19">
        <v>19377</v>
      </c>
      <c r="Q6306" s="99">
        <v>18510</v>
      </c>
      <c r="R6306" s="99">
        <f t="shared" si="277"/>
        <v>867</v>
      </c>
      <c r="S6306" s="19">
        <v>970</v>
      </c>
      <c r="T6306" s="19" t="s">
        <v>42</v>
      </c>
      <c r="U6306" s="102" t="s">
        <v>1535</v>
      </c>
      <c r="V6306" s="186">
        <v>45671</v>
      </c>
      <c r="W6306" s="17" t="s">
        <v>44</v>
      </c>
      <c r="Y6306" s="68">
        <v>45748</v>
      </c>
      <c r="Z6306" s="17" t="s">
        <v>1536</v>
      </c>
      <c r="AA6306" s="17" t="s">
        <v>46</v>
      </c>
      <c r="AB6306" s="17" t="s">
        <v>1537</v>
      </c>
      <c r="AC6306" s="217">
        <v>45811</v>
      </c>
      <c r="AD6306" s="65">
        <v>1690</v>
      </c>
      <c r="AE6306" s="17" t="s">
        <v>48</v>
      </c>
      <c r="AF6306" s="17" t="s">
        <v>1538</v>
      </c>
    </row>
    <row r="6307" s="17" customFormat="1" hidden="1" spans="1:32">
      <c r="A6307" s="17" t="s">
        <v>34</v>
      </c>
      <c r="B6307" s="19">
        <v>1045</v>
      </c>
      <c r="C6307" s="183">
        <v>45666</v>
      </c>
      <c r="D6307" s="17" t="s">
        <v>52</v>
      </c>
      <c r="E6307" s="17" t="s">
        <v>1113</v>
      </c>
      <c r="F6307" s="17" t="s">
        <v>54</v>
      </c>
      <c r="H6307" s="19" t="s">
        <v>1370</v>
      </c>
      <c r="I6307" s="19"/>
      <c r="J6307" s="17" t="s">
        <v>82</v>
      </c>
      <c r="K6307" s="147">
        <v>1600</v>
      </c>
      <c r="L6307" s="243">
        <v>510</v>
      </c>
      <c r="M6307" s="19">
        <v>5800</v>
      </c>
      <c r="N6307" s="19" t="s">
        <v>40</v>
      </c>
      <c r="O6307" s="19" t="s">
        <v>50</v>
      </c>
      <c r="P6307" s="147">
        <v>21719</v>
      </c>
      <c r="Q6307" s="147">
        <v>19790</v>
      </c>
      <c r="R6307" s="19">
        <f t="shared" si="277"/>
        <v>1929</v>
      </c>
      <c r="S6307" s="19">
        <v>970</v>
      </c>
      <c r="T6307" s="19" t="s">
        <v>42</v>
      </c>
      <c r="U6307" s="102" t="s">
        <v>1535</v>
      </c>
      <c r="V6307" s="186">
        <v>45671</v>
      </c>
      <c r="W6307" s="17" t="s">
        <v>44</v>
      </c>
      <c r="Y6307" s="68">
        <v>45748</v>
      </c>
      <c r="Z6307" s="17" t="s">
        <v>1536</v>
      </c>
      <c r="AA6307" s="17" t="s">
        <v>46</v>
      </c>
      <c r="AB6307" s="17" t="s">
        <v>1539</v>
      </c>
      <c r="AC6307" s="217">
        <v>45838</v>
      </c>
      <c r="AD6307" s="65">
        <v>1693</v>
      </c>
      <c r="AE6307" s="17" t="s">
        <v>48</v>
      </c>
      <c r="AF6307" s="17" t="s">
        <v>1538</v>
      </c>
    </row>
    <row r="6308" s="17" customFormat="1" hidden="1" spans="1:32">
      <c r="A6308" s="17" t="s">
        <v>34</v>
      </c>
      <c r="B6308" s="19">
        <v>1047</v>
      </c>
      <c r="C6308" s="183">
        <v>45706</v>
      </c>
      <c r="D6308" s="17" t="s">
        <v>52</v>
      </c>
      <c r="E6308" s="17" t="s">
        <v>53</v>
      </c>
      <c r="F6308" s="17" t="s">
        <v>54</v>
      </c>
      <c r="H6308" s="19" t="s">
        <v>108</v>
      </c>
      <c r="I6308" s="19"/>
      <c r="J6308" s="17" t="s">
        <v>49</v>
      </c>
      <c r="K6308" s="19">
        <v>1100</v>
      </c>
      <c r="L6308" s="91">
        <v>205</v>
      </c>
      <c r="M6308" s="19">
        <v>4110</v>
      </c>
      <c r="N6308" s="19" t="s">
        <v>40</v>
      </c>
      <c r="O6308" s="19" t="s">
        <v>50</v>
      </c>
      <c r="P6308" s="19">
        <v>7081</v>
      </c>
      <c r="Q6308" s="19">
        <v>7390</v>
      </c>
      <c r="R6308" s="19">
        <f t="shared" si="277"/>
        <v>-309</v>
      </c>
      <c r="S6308" s="19">
        <f>1855-100</f>
        <v>1755</v>
      </c>
      <c r="T6308" s="19" t="s">
        <v>42</v>
      </c>
      <c r="U6308" s="102" t="s">
        <v>1540</v>
      </c>
      <c r="V6308" s="186">
        <v>45706</v>
      </c>
      <c r="W6308" s="17" t="s">
        <v>69</v>
      </c>
      <c r="Y6308" s="68">
        <v>45778</v>
      </c>
      <c r="Z6308" s="17" t="s">
        <v>1541</v>
      </c>
      <c r="AA6308" s="17" t="s">
        <v>46</v>
      </c>
      <c r="AB6308" s="17" t="s">
        <v>1542</v>
      </c>
      <c r="AC6308" s="217">
        <v>45889</v>
      </c>
      <c r="AD6308" s="65">
        <v>1718</v>
      </c>
      <c r="AE6308" s="17" t="s">
        <v>48</v>
      </c>
      <c r="AF6308" s="17" t="s">
        <v>1543</v>
      </c>
    </row>
    <row r="6309" s="17" customFormat="1" hidden="1" spans="1:32">
      <c r="A6309" s="17" t="s">
        <v>34</v>
      </c>
      <c r="B6309" s="19">
        <v>1047</v>
      </c>
      <c r="C6309" s="183">
        <v>45706</v>
      </c>
      <c r="D6309" s="17" t="s">
        <v>52</v>
      </c>
      <c r="E6309" s="17" t="s">
        <v>53</v>
      </c>
      <c r="F6309" s="17" t="s">
        <v>54</v>
      </c>
      <c r="H6309" s="19" t="s">
        <v>108</v>
      </c>
      <c r="I6309" s="19"/>
      <c r="J6309" s="17" t="s">
        <v>49</v>
      </c>
      <c r="K6309" s="19">
        <v>1100</v>
      </c>
      <c r="L6309" s="91">
        <v>255</v>
      </c>
      <c r="M6309" s="19">
        <v>3160</v>
      </c>
      <c r="N6309" s="19" t="s">
        <v>40</v>
      </c>
      <c r="O6309" s="19" t="s">
        <v>50</v>
      </c>
      <c r="P6309" s="19">
        <v>8808</v>
      </c>
      <c r="Q6309" s="19">
        <v>7090</v>
      </c>
      <c r="R6309" s="19">
        <f t="shared" si="277"/>
        <v>1718</v>
      </c>
      <c r="S6309" s="19">
        <f>1855-100</f>
        <v>1755</v>
      </c>
      <c r="T6309" s="19" t="s">
        <v>42</v>
      </c>
      <c r="U6309" s="102" t="s">
        <v>1540</v>
      </c>
      <c r="V6309" s="186">
        <v>45706</v>
      </c>
      <c r="W6309" s="17" t="s">
        <v>69</v>
      </c>
      <c r="Y6309" s="68">
        <v>45778</v>
      </c>
      <c r="Z6309" s="17" t="s">
        <v>1541</v>
      </c>
      <c r="AA6309" s="17" t="s">
        <v>46</v>
      </c>
      <c r="AB6309" s="17" t="s">
        <v>1542</v>
      </c>
      <c r="AC6309" s="217">
        <v>45889</v>
      </c>
      <c r="AD6309" s="65">
        <v>1718</v>
      </c>
      <c r="AE6309" s="17" t="s">
        <v>48</v>
      </c>
      <c r="AF6309" s="17" t="s">
        <v>1543</v>
      </c>
    </row>
    <row r="6310" s="17" customFormat="1" hidden="1" spans="1:32">
      <c r="A6310" s="17" t="s">
        <v>34</v>
      </c>
      <c r="B6310" s="19">
        <v>1047</v>
      </c>
      <c r="C6310" s="183">
        <v>45706</v>
      </c>
      <c r="D6310" s="17" t="s">
        <v>52</v>
      </c>
      <c r="E6310" s="17" t="s">
        <v>53</v>
      </c>
      <c r="F6310" s="17" t="s">
        <v>54</v>
      </c>
      <c r="H6310" s="19" t="s">
        <v>108</v>
      </c>
      <c r="I6310" s="19"/>
      <c r="J6310" s="17" t="s">
        <v>49</v>
      </c>
      <c r="K6310" s="19">
        <v>1100</v>
      </c>
      <c r="L6310" s="91">
        <v>305</v>
      </c>
      <c r="M6310" s="19">
        <v>3180</v>
      </c>
      <c r="N6310" s="19" t="s">
        <v>40</v>
      </c>
      <c r="O6310" s="19" t="s">
        <v>50</v>
      </c>
      <c r="P6310" s="19">
        <v>10535</v>
      </c>
      <c r="Q6310" s="19">
        <v>8510</v>
      </c>
      <c r="R6310" s="19">
        <f t="shared" si="277"/>
        <v>2025</v>
      </c>
      <c r="S6310" s="19">
        <f>1855-100</f>
        <v>1755</v>
      </c>
      <c r="T6310" s="19" t="s">
        <v>42</v>
      </c>
      <c r="U6310" s="102" t="s">
        <v>1540</v>
      </c>
      <c r="V6310" s="186">
        <v>45706</v>
      </c>
      <c r="W6310" s="17" t="s">
        <v>69</v>
      </c>
      <c r="Y6310" s="68">
        <v>45778</v>
      </c>
      <c r="Z6310" s="17" t="s">
        <v>1541</v>
      </c>
      <c r="AA6310" s="17" t="s">
        <v>46</v>
      </c>
      <c r="AB6310" s="17" t="s">
        <v>1542</v>
      </c>
      <c r="AC6310" s="217">
        <v>45889</v>
      </c>
      <c r="AD6310" s="65">
        <v>1718</v>
      </c>
      <c r="AE6310" s="17" t="s">
        <v>48</v>
      </c>
      <c r="AF6310" s="17" t="s">
        <v>1543</v>
      </c>
    </row>
    <row r="6311" s="17" customFormat="1" hidden="1" spans="1:32">
      <c r="A6311" s="17" t="s">
        <v>34</v>
      </c>
      <c r="B6311" s="19">
        <v>1048</v>
      </c>
      <c r="C6311" s="183">
        <v>45712</v>
      </c>
      <c r="D6311" s="17" t="s">
        <v>52</v>
      </c>
      <c r="E6311" s="17" t="s">
        <v>53</v>
      </c>
      <c r="F6311" s="17" t="s">
        <v>54</v>
      </c>
      <c r="H6311" s="19" t="s">
        <v>55</v>
      </c>
      <c r="I6311" s="19"/>
      <c r="J6311" s="17" t="s">
        <v>49</v>
      </c>
      <c r="K6311" s="19">
        <v>610</v>
      </c>
      <c r="L6311" s="91">
        <v>60</v>
      </c>
      <c r="M6311" s="19">
        <v>2782</v>
      </c>
      <c r="N6311" s="19" t="s">
        <v>40</v>
      </c>
      <c r="O6311" s="19" t="s">
        <v>50</v>
      </c>
      <c r="P6311" s="19">
        <v>1293</v>
      </c>
      <c r="Q6311" s="290">
        <v>800</v>
      </c>
      <c r="R6311" s="19">
        <f t="shared" si="277"/>
        <v>493</v>
      </c>
      <c r="S6311" s="19">
        <v>1950</v>
      </c>
      <c r="T6311" s="19" t="s">
        <v>42</v>
      </c>
      <c r="U6311" s="102" t="s">
        <v>1544</v>
      </c>
      <c r="V6311" s="186">
        <v>45712</v>
      </c>
      <c r="W6311" s="17" t="s">
        <v>58</v>
      </c>
      <c r="Y6311" s="68">
        <v>45809</v>
      </c>
      <c r="Z6311" s="17" t="s">
        <v>1545</v>
      </c>
      <c r="AA6311" s="17" t="s">
        <v>46</v>
      </c>
      <c r="AB6311" s="17" t="s">
        <v>1546</v>
      </c>
      <c r="AC6311" s="217">
        <v>45787</v>
      </c>
      <c r="AD6311" s="65">
        <v>1683</v>
      </c>
      <c r="AE6311" s="17" t="s">
        <v>48</v>
      </c>
    </row>
    <row r="6312" s="17" customFormat="1" hidden="1" spans="1:32">
      <c r="A6312" s="17" t="s">
        <v>34</v>
      </c>
      <c r="B6312" s="19">
        <v>1048</v>
      </c>
      <c r="C6312" s="183">
        <v>45712</v>
      </c>
      <c r="D6312" s="17" t="s">
        <v>52</v>
      </c>
      <c r="E6312" s="17" t="s">
        <v>53</v>
      </c>
      <c r="F6312" s="17" t="s">
        <v>54</v>
      </c>
      <c r="H6312" s="19" t="s">
        <v>55</v>
      </c>
      <c r="I6312" s="19"/>
      <c r="J6312" s="17" t="s">
        <v>49</v>
      </c>
      <c r="K6312" s="19">
        <v>610</v>
      </c>
      <c r="L6312" s="91">
        <v>65</v>
      </c>
      <c r="M6312" s="19">
        <v>3380</v>
      </c>
      <c r="N6312" s="19" t="s">
        <v>40</v>
      </c>
      <c r="O6312" s="19" t="s">
        <v>50</v>
      </c>
      <c r="P6312" s="19">
        <v>1401</v>
      </c>
      <c r="Q6312" s="290">
        <v>1058</v>
      </c>
      <c r="R6312" s="19">
        <f t="shared" si="277"/>
        <v>343</v>
      </c>
      <c r="S6312" s="19">
        <v>1950</v>
      </c>
      <c r="T6312" s="19" t="s">
        <v>42</v>
      </c>
      <c r="U6312" s="102" t="s">
        <v>1544</v>
      </c>
      <c r="V6312" s="186">
        <v>45712</v>
      </c>
      <c r="W6312" s="17" t="s">
        <v>58</v>
      </c>
      <c r="Y6312" s="68">
        <v>45809</v>
      </c>
      <c r="Z6312" s="17" t="s">
        <v>1545</v>
      </c>
      <c r="AA6312" s="17" t="s">
        <v>46</v>
      </c>
      <c r="AB6312" s="17" t="s">
        <v>1546</v>
      </c>
      <c r="AC6312" s="217">
        <v>45787</v>
      </c>
      <c r="AD6312" s="65">
        <v>1683</v>
      </c>
      <c r="AE6312" s="17" t="s">
        <v>48</v>
      </c>
    </row>
    <row r="6313" s="17" customFormat="1" hidden="1" spans="1:32">
      <c r="A6313" s="17" t="s">
        <v>34</v>
      </c>
      <c r="B6313" s="19">
        <v>1048</v>
      </c>
      <c r="C6313" s="183">
        <v>45712</v>
      </c>
      <c r="D6313" s="17" t="s">
        <v>52</v>
      </c>
      <c r="E6313" s="17" t="s">
        <v>53</v>
      </c>
      <c r="F6313" s="17" t="s">
        <v>54</v>
      </c>
      <c r="H6313" s="19" t="s">
        <v>55</v>
      </c>
      <c r="I6313" s="19"/>
      <c r="J6313" s="17" t="s">
        <v>49</v>
      </c>
      <c r="K6313" s="19">
        <v>610</v>
      </c>
      <c r="L6313" s="91">
        <v>70</v>
      </c>
      <c r="M6313" s="19">
        <v>4505</v>
      </c>
      <c r="N6313" s="19" t="s">
        <v>40</v>
      </c>
      <c r="O6313" s="19" t="s">
        <v>50</v>
      </c>
      <c r="P6313" s="19">
        <v>1508</v>
      </c>
      <c r="Q6313" s="290">
        <v>1524</v>
      </c>
      <c r="R6313" s="19">
        <f t="shared" si="277"/>
        <v>-16</v>
      </c>
      <c r="S6313" s="19">
        <v>1950</v>
      </c>
      <c r="T6313" s="19" t="s">
        <v>42</v>
      </c>
      <c r="U6313" s="102" t="s">
        <v>1544</v>
      </c>
      <c r="V6313" s="186">
        <v>45712</v>
      </c>
      <c r="W6313" s="17" t="s">
        <v>58</v>
      </c>
      <c r="Y6313" s="68">
        <v>45809</v>
      </c>
      <c r="Z6313" s="17" t="s">
        <v>1545</v>
      </c>
      <c r="AA6313" s="17" t="s">
        <v>46</v>
      </c>
      <c r="AB6313" s="17" t="s">
        <v>1546</v>
      </c>
      <c r="AC6313" s="217">
        <v>45787</v>
      </c>
      <c r="AD6313" s="65">
        <v>1683</v>
      </c>
      <c r="AE6313" s="17" t="s">
        <v>48</v>
      </c>
    </row>
    <row r="6314" s="17" customFormat="1" hidden="1" spans="1:32">
      <c r="A6314" s="17" t="s">
        <v>34</v>
      </c>
      <c r="B6314" s="19">
        <v>1048</v>
      </c>
      <c r="C6314" s="183">
        <v>45712</v>
      </c>
      <c r="D6314" s="17" t="s">
        <v>52</v>
      </c>
      <c r="E6314" s="17" t="s">
        <v>53</v>
      </c>
      <c r="F6314" s="17" t="s">
        <v>54</v>
      </c>
      <c r="H6314" s="19" t="s">
        <v>55</v>
      </c>
      <c r="I6314" s="19"/>
      <c r="J6314" s="17" t="s">
        <v>49</v>
      </c>
      <c r="K6314" s="19">
        <v>810</v>
      </c>
      <c r="L6314" s="91">
        <v>80</v>
      </c>
      <c r="M6314" s="19">
        <v>3553</v>
      </c>
      <c r="N6314" s="19" t="s">
        <v>40</v>
      </c>
      <c r="O6314" s="19" t="s">
        <v>50</v>
      </c>
      <c r="P6314" s="19">
        <v>2289</v>
      </c>
      <c r="Q6314" s="290">
        <v>1808</v>
      </c>
      <c r="R6314" s="19">
        <f t="shared" si="277"/>
        <v>481</v>
      </c>
      <c r="S6314" s="19">
        <v>1950</v>
      </c>
      <c r="T6314" s="19" t="s">
        <v>42</v>
      </c>
      <c r="U6314" s="102" t="s">
        <v>1544</v>
      </c>
      <c r="V6314" s="186">
        <v>45712</v>
      </c>
      <c r="W6314" s="17" t="s">
        <v>58</v>
      </c>
      <c r="Y6314" s="68">
        <v>45809</v>
      </c>
      <c r="Z6314" s="17" t="s">
        <v>1545</v>
      </c>
      <c r="AA6314" s="17" t="s">
        <v>46</v>
      </c>
      <c r="AB6314" s="17" t="s">
        <v>1546</v>
      </c>
      <c r="AC6314" s="217">
        <v>45787</v>
      </c>
      <c r="AD6314" s="65">
        <v>1683</v>
      </c>
      <c r="AE6314" s="17" t="s">
        <v>48</v>
      </c>
    </row>
    <row r="6315" s="17" customFormat="1" hidden="1" spans="1:32">
      <c r="A6315" s="17" t="s">
        <v>34</v>
      </c>
      <c r="B6315" s="19">
        <v>1048</v>
      </c>
      <c r="C6315" s="183">
        <v>45712</v>
      </c>
      <c r="D6315" s="17" t="s">
        <v>52</v>
      </c>
      <c r="E6315" s="17" t="s">
        <v>53</v>
      </c>
      <c r="F6315" s="17" t="s">
        <v>54</v>
      </c>
      <c r="H6315" s="19" t="s">
        <v>55</v>
      </c>
      <c r="I6315" s="19"/>
      <c r="J6315" s="17" t="s">
        <v>49</v>
      </c>
      <c r="K6315" s="19">
        <v>810</v>
      </c>
      <c r="L6315" s="91">
        <v>90</v>
      </c>
      <c r="M6315" s="19">
        <v>3920</v>
      </c>
      <c r="N6315" s="19" t="s">
        <v>40</v>
      </c>
      <c r="O6315" s="19" t="s">
        <v>50</v>
      </c>
      <c r="P6315" s="19">
        <v>2575</v>
      </c>
      <c r="Q6315" s="290">
        <v>2248</v>
      </c>
      <c r="R6315" s="19">
        <f t="shared" si="277"/>
        <v>327</v>
      </c>
      <c r="S6315" s="19">
        <v>1950</v>
      </c>
      <c r="T6315" s="19" t="s">
        <v>42</v>
      </c>
      <c r="U6315" s="102" t="s">
        <v>1544</v>
      </c>
      <c r="V6315" s="186">
        <v>45712</v>
      </c>
      <c r="W6315" s="17" t="s">
        <v>58</v>
      </c>
      <c r="Y6315" s="68">
        <v>45809</v>
      </c>
      <c r="Z6315" s="17" t="s">
        <v>1545</v>
      </c>
      <c r="AA6315" s="17" t="s">
        <v>46</v>
      </c>
      <c r="AB6315" s="17" t="s">
        <v>1546</v>
      </c>
      <c r="AC6315" s="217">
        <v>45787</v>
      </c>
      <c r="AD6315" s="65">
        <v>1683</v>
      </c>
      <c r="AE6315" s="17" t="s">
        <v>48</v>
      </c>
    </row>
    <row r="6316" s="17" customFormat="1" hidden="1" spans="1:32">
      <c r="A6316" s="17" t="s">
        <v>34</v>
      </c>
      <c r="B6316" s="19">
        <v>1048</v>
      </c>
      <c r="C6316" s="183">
        <v>45712</v>
      </c>
      <c r="D6316" s="17" t="s">
        <v>52</v>
      </c>
      <c r="E6316" s="17" t="s">
        <v>53</v>
      </c>
      <c r="F6316" s="17" t="s">
        <v>54</v>
      </c>
      <c r="H6316" s="19" t="s">
        <v>55</v>
      </c>
      <c r="I6316" s="19"/>
      <c r="J6316" s="17" t="s">
        <v>49</v>
      </c>
      <c r="K6316" s="19">
        <v>810</v>
      </c>
      <c r="L6316" s="91">
        <v>105</v>
      </c>
      <c r="M6316" s="19">
        <v>3820</v>
      </c>
      <c r="N6316" s="19" t="s">
        <v>40</v>
      </c>
      <c r="O6316" s="19" t="s">
        <v>50</v>
      </c>
      <c r="P6316" s="19">
        <v>3004</v>
      </c>
      <c r="Q6316" s="290">
        <v>2562</v>
      </c>
      <c r="R6316" s="19">
        <f t="shared" si="277"/>
        <v>442</v>
      </c>
      <c r="S6316" s="19">
        <v>1950</v>
      </c>
      <c r="T6316" s="19" t="s">
        <v>42</v>
      </c>
      <c r="U6316" s="102" t="s">
        <v>1544</v>
      </c>
      <c r="V6316" s="186">
        <v>45712</v>
      </c>
      <c r="W6316" s="17" t="s">
        <v>58</v>
      </c>
      <c r="Y6316" s="68">
        <v>45809</v>
      </c>
      <c r="Z6316" s="17" t="s">
        <v>1545</v>
      </c>
      <c r="AA6316" s="17" t="s">
        <v>46</v>
      </c>
      <c r="AB6316" s="17" t="s">
        <v>1546</v>
      </c>
      <c r="AC6316" s="217">
        <v>45787</v>
      </c>
      <c r="AD6316" s="65">
        <v>1683</v>
      </c>
      <c r="AE6316" s="17" t="s">
        <v>48</v>
      </c>
    </row>
    <row r="6317" s="17" customFormat="1" hidden="1" spans="1:32">
      <c r="A6317" s="17" t="s">
        <v>34</v>
      </c>
      <c r="B6317" s="19">
        <v>1048</v>
      </c>
      <c r="C6317" s="183">
        <v>45712</v>
      </c>
      <c r="D6317" s="17" t="s">
        <v>52</v>
      </c>
      <c r="E6317" s="17" t="s">
        <v>53</v>
      </c>
      <c r="F6317" s="17" t="s">
        <v>54</v>
      </c>
      <c r="H6317" s="19" t="s">
        <v>55</v>
      </c>
      <c r="I6317" s="19"/>
      <c r="J6317" s="17" t="s">
        <v>49</v>
      </c>
      <c r="K6317" s="19">
        <v>810</v>
      </c>
      <c r="L6317" s="91">
        <v>130</v>
      </c>
      <c r="M6317" s="19">
        <v>3750</v>
      </c>
      <c r="N6317" s="19" t="s">
        <v>40</v>
      </c>
      <c r="O6317" s="19" t="s">
        <v>50</v>
      </c>
      <c r="P6317" s="19">
        <v>3720</v>
      </c>
      <c r="Q6317" s="290">
        <v>3102</v>
      </c>
      <c r="R6317" s="19">
        <f t="shared" si="277"/>
        <v>618</v>
      </c>
      <c r="S6317" s="19">
        <v>1950</v>
      </c>
      <c r="T6317" s="19" t="s">
        <v>42</v>
      </c>
      <c r="U6317" s="102" t="s">
        <v>1544</v>
      </c>
      <c r="V6317" s="186">
        <v>45712</v>
      </c>
      <c r="W6317" s="17" t="s">
        <v>58</v>
      </c>
      <c r="Y6317" s="68">
        <v>45809</v>
      </c>
      <c r="Z6317" s="17" t="s">
        <v>1545</v>
      </c>
      <c r="AA6317" s="17" t="s">
        <v>46</v>
      </c>
      <c r="AB6317" s="17" t="s">
        <v>1546</v>
      </c>
      <c r="AC6317" s="217">
        <v>45787</v>
      </c>
      <c r="AD6317" s="65">
        <v>1683</v>
      </c>
      <c r="AE6317" s="17" t="s">
        <v>48</v>
      </c>
    </row>
    <row r="6318" s="17" customFormat="1" hidden="1" spans="1:32">
      <c r="A6318" s="17" t="s">
        <v>34</v>
      </c>
      <c r="B6318" s="19">
        <v>1048</v>
      </c>
      <c r="C6318" s="183">
        <v>45712</v>
      </c>
      <c r="D6318" s="17" t="s">
        <v>52</v>
      </c>
      <c r="E6318" s="17" t="s">
        <v>53</v>
      </c>
      <c r="F6318" s="17" t="s">
        <v>54</v>
      </c>
      <c r="H6318" s="19" t="s">
        <v>55</v>
      </c>
      <c r="I6318" s="19"/>
      <c r="J6318" s="17" t="s">
        <v>49</v>
      </c>
      <c r="K6318" s="19">
        <v>810</v>
      </c>
      <c r="L6318" s="91">
        <v>140</v>
      </c>
      <c r="M6318" s="19">
        <v>3885</v>
      </c>
      <c r="N6318" s="19" t="s">
        <v>40</v>
      </c>
      <c r="O6318" s="19" t="s">
        <v>50</v>
      </c>
      <c r="P6318" s="19">
        <v>4006</v>
      </c>
      <c r="Q6318" s="290">
        <v>3426</v>
      </c>
      <c r="R6318" s="19">
        <f t="shared" si="277"/>
        <v>580</v>
      </c>
      <c r="S6318" s="19">
        <v>1950</v>
      </c>
      <c r="T6318" s="19" t="s">
        <v>42</v>
      </c>
      <c r="U6318" s="102" t="s">
        <v>1544</v>
      </c>
      <c r="V6318" s="186">
        <v>45712</v>
      </c>
      <c r="W6318" s="17" t="s">
        <v>58</v>
      </c>
      <c r="Y6318" s="68">
        <v>45809</v>
      </c>
      <c r="Z6318" s="17" t="s">
        <v>1545</v>
      </c>
      <c r="AA6318" s="17" t="s">
        <v>46</v>
      </c>
      <c r="AB6318" s="17" t="s">
        <v>1546</v>
      </c>
      <c r="AC6318" s="217">
        <v>45787</v>
      </c>
      <c r="AD6318" s="65">
        <v>1683</v>
      </c>
      <c r="AE6318" s="17" t="s">
        <v>48</v>
      </c>
    </row>
    <row r="6319" s="17" customFormat="1" hidden="1" spans="1:32">
      <c r="A6319" s="17" t="s">
        <v>34</v>
      </c>
      <c r="B6319" s="19">
        <v>1048</v>
      </c>
      <c r="C6319" s="183">
        <v>45712</v>
      </c>
      <c r="D6319" s="17" t="s">
        <v>52</v>
      </c>
      <c r="E6319" s="17" t="s">
        <v>53</v>
      </c>
      <c r="F6319" s="17" t="s">
        <v>54</v>
      </c>
      <c r="H6319" s="19" t="s">
        <v>55</v>
      </c>
      <c r="I6319" s="19"/>
      <c r="J6319" s="17" t="s">
        <v>49</v>
      </c>
      <c r="K6319" s="19">
        <v>810</v>
      </c>
      <c r="L6319" s="91">
        <v>155</v>
      </c>
      <c r="M6319" s="19">
        <v>2975</v>
      </c>
      <c r="N6319" s="19" t="s">
        <v>40</v>
      </c>
      <c r="O6319" s="19" t="s">
        <v>50</v>
      </c>
      <c r="P6319" s="19">
        <v>4435</v>
      </c>
      <c r="Q6319" s="290">
        <v>2920</v>
      </c>
      <c r="R6319" s="19">
        <f t="shared" si="277"/>
        <v>1515</v>
      </c>
      <c r="S6319" s="19">
        <v>1950</v>
      </c>
      <c r="T6319" s="19" t="s">
        <v>42</v>
      </c>
      <c r="U6319" s="102" t="s">
        <v>1544</v>
      </c>
      <c r="V6319" s="186">
        <v>45712</v>
      </c>
      <c r="W6319" s="17" t="s">
        <v>58</v>
      </c>
      <c r="Y6319" s="68">
        <v>45809</v>
      </c>
      <c r="Z6319" s="17" t="s">
        <v>1545</v>
      </c>
      <c r="AA6319" s="17" t="s">
        <v>46</v>
      </c>
      <c r="AB6319" s="17" t="s">
        <v>1546</v>
      </c>
      <c r="AC6319" s="217">
        <v>45787</v>
      </c>
      <c r="AD6319" s="65">
        <v>1683</v>
      </c>
      <c r="AE6319" s="17" t="s">
        <v>48</v>
      </c>
    </row>
    <row r="6320" s="17" customFormat="1" hidden="1" spans="1:32">
      <c r="A6320" s="17" t="s">
        <v>34</v>
      </c>
      <c r="B6320" s="19">
        <v>1048</v>
      </c>
      <c r="C6320" s="183">
        <v>45712</v>
      </c>
      <c r="D6320" s="17" t="s">
        <v>52</v>
      </c>
      <c r="E6320" s="17" t="s">
        <v>53</v>
      </c>
      <c r="F6320" s="17" t="s">
        <v>54</v>
      </c>
      <c r="H6320" s="19" t="s">
        <v>55</v>
      </c>
      <c r="I6320" s="19"/>
      <c r="J6320" s="17" t="s">
        <v>49</v>
      </c>
      <c r="K6320" s="19">
        <v>810</v>
      </c>
      <c r="L6320" s="91">
        <v>180</v>
      </c>
      <c r="M6320" s="19">
        <v>4200</v>
      </c>
      <c r="N6320" s="19" t="s">
        <v>40</v>
      </c>
      <c r="O6320" s="19" t="s">
        <v>50</v>
      </c>
      <c r="P6320" s="19">
        <v>5150</v>
      </c>
      <c r="Q6320" s="290">
        <v>4792</v>
      </c>
      <c r="R6320" s="19">
        <f t="shared" si="277"/>
        <v>358</v>
      </c>
      <c r="S6320" s="19">
        <v>1950</v>
      </c>
      <c r="T6320" s="19" t="s">
        <v>42</v>
      </c>
      <c r="U6320" s="102" t="s">
        <v>1544</v>
      </c>
      <c r="V6320" s="186">
        <v>45712</v>
      </c>
      <c r="W6320" s="17" t="s">
        <v>58</v>
      </c>
      <c r="Y6320" s="68">
        <v>45809</v>
      </c>
      <c r="Z6320" s="17" t="s">
        <v>1545</v>
      </c>
      <c r="AA6320" s="17" t="s">
        <v>46</v>
      </c>
      <c r="AB6320" s="17" t="s">
        <v>1546</v>
      </c>
      <c r="AC6320" s="217">
        <v>45787</v>
      </c>
      <c r="AD6320" s="65">
        <v>1683</v>
      </c>
      <c r="AE6320" s="17" t="s">
        <v>48</v>
      </c>
    </row>
    <row r="6321" s="17" customFormat="1" hidden="1" spans="1:31">
      <c r="A6321" s="17" t="s">
        <v>34</v>
      </c>
      <c r="B6321" s="19">
        <v>1048</v>
      </c>
      <c r="C6321" s="183">
        <v>45712</v>
      </c>
      <c r="D6321" s="17" t="s">
        <v>52</v>
      </c>
      <c r="E6321" s="17" t="s">
        <v>53</v>
      </c>
      <c r="F6321" s="17" t="s">
        <v>54</v>
      </c>
      <c r="H6321" s="19" t="s">
        <v>55</v>
      </c>
      <c r="I6321" s="19"/>
      <c r="J6321" s="17" t="s">
        <v>49</v>
      </c>
      <c r="K6321" s="19">
        <v>810</v>
      </c>
      <c r="L6321" s="91">
        <v>210</v>
      </c>
      <c r="M6321" s="19">
        <v>3767</v>
      </c>
      <c r="N6321" s="19" t="s">
        <v>40</v>
      </c>
      <c r="O6321" s="19" t="s">
        <v>50</v>
      </c>
      <c r="P6321" s="19">
        <v>6009</v>
      </c>
      <c r="Q6321" s="290">
        <v>4998</v>
      </c>
      <c r="R6321" s="19">
        <f t="shared" si="277"/>
        <v>1011</v>
      </c>
      <c r="S6321" s="19">
        <v>1950</v>
      </c>
      <c r="T6321" s="19" t="s">
        <v>42</v>
      </c>
      <c r="U6321" s="102" t="s">
        <v>1544</v>
      </c>
      <c r="V6321" s="186">
        <v>45712</v>
      </c>
      <c r="W6321" s="17" t="s">
        <v>58</v>
      </c>
      <c r="Y6321" s="68">
        <v>45809</v>
      </c>
      <c r="Z6321" s="17" t="s">
        <v>1545</v>
      </c>
      <c r="AA6321" s="17" t="s">
        <v>46</v>
      </c>
      <c r="AB6321" s="17" t="s">
        <v>1546</v>
      </c>
      <c r="AC6321" s="217">
        <v>45787</v>
      </c>
      <c r="AD6321" s="65">
        <v>1683</v>
      </c>
      <c r="AE6321" s="17" t="s">
        <v>48</v>
      </c>
    </row>
    <row r="6322" s="17" customFormat="1" hidden="1" spans="1:31">
      <c r="A6322" s="17" t="s">
        <v>34</v>
      </c>
      <c r="B6322" s="19">
        <v>1048</v>
      </c>
      <c r="C6322" s="183">
        <v>45712</v>
      </c>
      <c r="D6322" s="17" t="s">
        <v>52</v>
      </c>
      <c r="E6322" s="17" t="s">
        <v>53</v>
      </c>
      <c r="F6322" s="17" t="s">
        <v>54</v>
      </c>
      <c r="H6322" s="19" t="s">
        <v>55</v>
      </c>
      <c r="I6322" s="19"/>
      <c r="J6322" s="17" t="s">
        <v>49</v>
      </c>
      <c r="K6322" s="19">
        <v>710</v>
      </c>
      <c r="L6322" s="91">
        <v>255</v>
      </c>
      <c r="M6322" s="19">
        <f>2035+2053</f>
        <v>4088</v>
      </c>
      <c r="N6322" s="19" t="s">
        <v>40</v>
      </c>
      <c r="O6322" s="19" t="s">
        <v>50</v>
      </c>
      <c r="P6322" s="19">
        <v>6000</v>
      </c>
      <c r="Q6322" s="290">
        <f>2896+2906</f>
        <v>5802</v>
      </c>
      <c r="R6322" s="19">
        <f t="shared" si="277"/>
        <v>198</v>
      </c>
      <c r="S6322" s="19">
        <v>2090</v>
      </c>
      <c r="T6322" s="19" t="s">
        <v>42</v>
      </c>
      <c r="U6322" s="102" t="s">
        <v>1544</v>
      </c>
      <c r="V6322" s="186">
        <v>45712</v>
      </c>
      <c r="W6322" s="17" t="s">
        <v>58</v>
      </c>
      <c r="Y6322" s="68">
        <v>45809</v>
      </c>
      <c r="Z6322" s="17" t="s">
        <v>1545</v>
      </c>
      <c r="AA6322" s="17" t="s">
        <v>46</v>
      </c>
      <c r="AB6322" s="17" t="s">
        <v>1546</v>
      </c>
      <c r="AC6322" s="217">
        <v>45787</v>
      </c>
      <c r="AD6322" s="65">
        <v>1683</v>
      </c>
      <c r="AE6322" s="17" t="s">
        <v>48</v>
      </c>
    </row>
    <row r="6323" s="17" customFormat="1" hidden="1" spans="1:31">
      <c r="A6323" s="17" t="s">
        <v>34</v>
      </c>
      <c r="B6323" s="19">
        <v>1048</v>
      </c>
      <c r="C6323" s="183">
        <v>45712</v>
      </c>
      <c r="D6323" s="17" t="s">
        <v>52</v>
      </c>
      <c r="E6323" s="17" t="s">
        <v>53</v>
      </c>
      <c r="F6323" s="17" t="s">
        <v>54</v>
      </c>
      <c r="H6323" s="19" t="s">
        <v>55</v>
      </c>
      <c r="I6323" s="19"/>
      <c r="J6323" s="17" t="s">
        <v>49</v>
      </c>
      <c r="K6323" s="19">
        <v>610</v>
      </c>
      <c r="L6323" s="91">
        <v>260</v>
      </c>
      <c r="M6323" s="19">
        <v>2445</v>
      </c>
      <c r="N6323" s="19" t="s">
        <v>40</v>
      </c>
      <c r="O6323" s="19" t="s">
        <v>50</v>
      </c>
      <c r="P6323" s="19">
        <v>6000</v>
      </c>
      <c r="Q6323" s="19">
        <v>3042</v>
      </c>
      <c r="R6323" s="19">
        <f t="shared" si="277"/>
        <v>2958</v>
      </c>
      <c r="S6323" s="19">
        <v>2090</v>
      </c>
      <c r="T6323" s="19" t="s">
        <v>42</v>
      </c>
      <c r="U6323" s="102" t="s">
        <v>1544</v>
      </c>
      <c r="V6323" s="186">
        <v>45712</v>
      </c>
      <c r="W6323" s="17" t="s">
        <v>58</v>
      </c>
      <c r="Y6323" s="68">
        <v>45809</v>
      </c>
      <c r="Z6323" s="17" t="s">
        <v>1545</v>
      </c>
      <c r="AA6323" s="17" t="s">
        <v>46</v>
      </c>
      <c r="AB6323" s="17" t="s">
        <v>1546</v>
      </c>
      <c r="AC6323" s="217">
        <v>45787</v>
      </c>
      <c r="AD6323" s="65">
        <v>1683</v>
      </c>
      <c r="AE6323" s="17" t="s">
        <v>48</v>
      </c>
    </row>
    <row r="6324" s="17" customFormat="1" hidden="1" spans="1:31">
      <c r="A6324" s="17" t="s">
        <v>34</v>
      </c>
      <c r="B6324" s="19">
        <v>1048</v>
      </c>
      <c r="C6324" s="183">
        <v>45712</v>
      </c>
      <c r="D6324" s="17" t="s">
        <v>52</v>
      </c>
      <c r="E6324" s="17" t="s">
        <v>53</v>
      </c>
      <c r="F6324" s="17" t="s">
        <v>54</v>
      </c>
      <c r="H6324" s="19" t="s">
        <v>55</v>
      </c>
      <c r="I6324" s="19"/>
      <c r="J6324" s="17" t="s">
        <v>49</v>
      </c>
      <c r="K6324" s="19">
        <v>610</v>
      </c>
      <c r="L6324" s="91">
        <v>310</v>
      </c>
      <c r="M6324" s="19">
        <v>1940</v>
      </c>
      <c r="N6324" s="19" t="s">
        <v>40</v>
      </c>
      <c r="O6324" s="19" t="s">
        <v>50</v>
      </c>
      <c r="P6324" s="19">
        <v>6000</v>
      </c>
      <c r="Q6324" s="19">
        <v>2868</v>
      </c>
      <c r="R6324" s="19">
        <f t="shared" si="277"/>
        <v>3132</v>
      </c>
      <c r="S6324" s="19">
        <v>2090</v>
      </c>
      <c r="T6324" s="19" t="s">
        <v>42</v>
      </c>
      <c r="U6324" s="102" t="s">
        <v>1544</v>
      </c>
      <c r="V6324" s="186">
        <v>45712</v>
      </c>
      <c r="W6324" s="17" t="s">
        <v>58</v>
      </c>
      <c r="Y6324" s="68">
        <v>45809</v>
      </c>
      <c r="Z6324" s="17" t="s">
        <v>1545</v>
      </c>
      <c r="AA6324" s="17" t="s">
        <v>46</v>
      </c>
      <c r="AB6324" s="17" t="s">
        <v>1546</v>
      </c>
      <c r="AC6324" s="217">
        <v>45787</v>
      </c>
      <c r="AD6324" s="65">
        <v>1683</v>
      </c>
      <c r="AE6324" s="17" t="s">
        <v>48</v>
      </c>
    </row>
    <row r="6325" s="17" customFormat="1" hidden="1" spans="1:31">
      <c r="A6325" s="17" t="s">
        <v>34</v>
      </c>
      <c r="B6325" s="19">
        <v>1048</v>
      </c>
      <c r="C6325" s="183">
        <v>45712</v>
      </c>
      <c r="D6325" s="17" t="s">
        <v>52</v>
      </c>
      <c r="E6325" s="17" t="s">
        <v>53</v>
      </c>
      <c r="F6325" s="17" t="s">
        <v>54</v>
      </c>
      <c r="H6325" s="19" t="s">
        <v>55</v>
      </c>
      <c r="I6325" s="19"/>
      <c r="J6325" s="17" t="s">
        <v>49</v>
      </c>
      <c r="K6325" s="19">
        <v>610</v>
      </c>
      <c r="L6325" s="91">
        <v>85</v>
      </c>
      <c r="M6325" s="19">
        <v>4605</v>
      </c>
      <c r="N6325" s="19" t="s">
        <v>40</v>
      </c>
      <c r="O6325" s="19" t="s">
        <v>50</v>
      </c>
      <c r="P6325" s="19">
        <v>1628</v>
      </c>
      <c r="Q6325" s="19">
        <v>1862</v>
      </c>
      <c r="R6325" s="19">
        <f t="shared" si="277"/>
        <v>-234</v>
      </c>
      <c r="S6325" s="19">
        <v>1950</v>
      </c>
      <c r="T6325" s="19" t="s">
        <v>42</v>
      </c>
      <c r="U6325" s="102" t="s">
        <v>1544</v>
      </c>
      <c r="V6325" s="186">
        <v>45712</v>
      </c>
      <c r="W6325" s="17" t="s">
        <v>58</v>
      </c>
      <c r="Y6325" s="68">
        <v>45809</v>
      </c>
      <c r="Z6325" s="17" t="s">
        <v>1545</v>
      </c>
      <c r="AA6325" s="17" t="s">
        <v>46</v>
      </c>
      <c r="AB6325" s="17" t="s">
        <v>1546</v>
      </c>
      <c r="AC6325" s="217">
        <v>45787</v>
      </c>
      <c r="AD6325" s="65">
        <v>1683</v>
      </c>
      <c r="AE6325" s="17" t="s">
        <v>48</v>
      </c>
    </row>
    <row r="6326" s="17" customFormat="1" hidden="1" spans="1:31">
      <c r="A6326" s="17" t="s">
        <v>34</v>
      </c>
      <c r="B6326" s="19">
        <v>1048</v>
      </c>
      <c r="C6326" s="183">
        <v>45712</v>
      </c>
      <c r="D6326" s="17" t="s">
        <v>52</v>
      </c>
      <c r="E6326" s="17" t="s">
        <v>53</v>
      </c>
      <c r="F6326" s="17" t="s">
        <v>54</v>
      </c>
      <c r="H6326" s="19" t="s">
        <v>55</v>
      </c>
      <c r="I6326" s="19"/>
      <c r="J6326" s="17" t="s">
        <v>49</v>
      </c>
      <c r="K6326" s="19">
        <v>610</v>
      </c>
      <c r="L6326" s="91">
        <v>100</v>
      </c>
      <c r="M6326" s="19">
        <v>3535</v>
      </c>
      <c r="N6326" s="19" t="s">
        <v>40</v>
      </c>
      <c r="O6326" s="19" t="s">
        <v>50</v>
      </c>
      <c r="P6326" s="19">
        <v>1915</v>
      </c>
      <c r="Q6326" s="19">
        <v>1717</v>
      </c>
      <c r="R6326" s="19">
        <f t="shared" si="277"/>
        <v>198</v>
      </c>
      <c r="S6326" s="19">
        <v>1950</v>
      </c>
      <c r="T6326" s="19" t="s">
        <v>42</v>
      </c>
      <c r="U6326" s="102" t="s">
        <v>1544</v>
      </c>
      <c r="V6326" s="186">
        <v>45712</v>
      </c>
      <c r="W6326" s="17" t="s">
        <v>58</v>
      </c>
      <c r="Y6326" s="68">
        <v>45809</v>
      </c>
      <c r="Z6326" s="17" t="s">
        <v>1545</v>
      </c>
      <c r="AA6326" s="17" t="s">
        <v>46</v>
      </c>
      <c r="AB6326" s="17" t="s">
        <v>1546</v>
      </c>
      <c r="AC6326" s="217">
        <v>45787</v>
      </c>
      <c r="AD6326" s="65">
        <v>1683</v>
      </c>
      <c r="AE6326" s="17" t="s">
        <v>48</v>
      </c>
    </row>
    <row r="6327" s="17" customFormat="1" hidden="1" spans="1:31">
      <c r="A6327" s="17" t="s">
        <v>34</v>
      </c>
      <c r="B6327" s="19">
        <v>1048</v>
      </c>
      <c r="C6327" s="183">
        <v>45712</v>
      </c>
      <c r="D6327" s="17" t="s">
        <v>52</v>
      </c>
      <c r="E6327" s="17" t="s">
        <v>53</v>
      </c>
      <c r="F6327" s="17" t="s">
        <v>54</v>
      </c>
      <c r="H6327" s="19" t="s">
        <v>55</v>
      </c>
      <c r="I6327" s="19"/>
      <c r="J6327" s="17" t="s">
        <v>49</v>
      </c>
      <c r="K6327" s="19">
        <v>610</v>
      </c>
      <c r="L6327" s="91">
        <v>110</v>
      </c>
      <c r="M6327" s="19">
        <v>3097</v>
      </c>
      <c r="N6327" s="19" t="s">
        <v>40</v>
      </c>
      <c r="O6327" s="19" t="s">
        <v>50</v>
      </c>
      <c r="P6327" s="19">
        <v>2107</v>
      </c>
      <c r="Q6327" s="19">
        <v>1633</v>
      </c>
      <c r="R6327" s="19">
        <f t="shared" si="277"/>
        <v>474</v>
      </c>
      <c r="S6327" s="19">
        <v>1950</v>
      </c>
      <c r="T6327" s="19" t="s">
        <v>42</v>
      </c>
      <c r="U6327" s="102" t="s">
        <v>1544</v>
      </c>
      <c r="V6327" s="186">
        <v>45712</v>
      </c>
      <c r="W6327" s="17" t="s">
        <v>58</v>
      </c>
      <c r="Y6327" s="68">
        <v>45809</v>
      </c>
      <c r="Z6327" s="17" t="s">
        <v>1545</v>
      </c>
      <c r="AA6327" s="17" t="s">
        <v>46</v>
      </c>
      <c r="AB6327" s="17" t="s">
        <v>1546</v>
      </c>
      <c r="AC6327" s="217">
        <v>45787</v>
      </c>
      <c r="AD6327" s="65">
        <v>1683</v>
      </c>
      <c r="AE6327" s="17" t="s">
        <v>48</v>
      </c>
    </row>
    <row r="6328" s="17" customFormat="1" hidden="1" spans="1:31">
      <c r="A6328" s="17" t="s">
        <v>34</v>
      </c>
      <c r="B6328" s="19">
        <v>1048</v>
      </c>
      <c r="C6328" s="183">
        <v>45712</v>
      </c>
      <c r="D6328" s="17" t="s">
        <v>52</v>
      </c>
      <c r="E6328" s="17" t="s">
        <v>53</v>
      </c>
      <c r="F6328" s="17" t="s">
        <v>54</v>
      </c>
      <c r="H6328" s="19" t="s">
        <v>55</v>
      </c>
      <c r="I6328" s="19"/>
      <c r="J6328" s="17" t="s">
        <v>49</v>
      </c>
      <c r="K6328" s="19">
        <v>610</v>
      </c>
      <c r="L6328" s="91">
        <v>140</v>
      </c>
      <c r="M6328" s="19">
        <v>2707</v>
      </c>
      <c r="N6328" s="19" t="s">
        <v>40</v>
      </c>
      <c r="O6328" s="19" t="s">
        <v>50</v>
      </c>
      <c r="P6328" s="19">
        <v>2682</v>
      </c>
      <c r="Q6328" s="19">
        <v>1867</v>
      </c>
      <c r="R6328" s="19">
        <f t="shared" si="277"/>
        <v>815</v>
      </c>
      <c r="S6328" s="19">
        <v>1950</v>
      </c>
      <c r="T6328" s="19" t="s">
        <v>42</v>
      </c>
      <c r="U6328" s="102" t="s">
        <v>1544</v>
      </c>
      <c r="V6328" s="186">
        <v>45712</v>
      </c>
      <c r="W6328" s="17" t="s">
        <v>58</v>
      </c>
      <c r="Y6328" s="68">
        <v>45809</v>
      </c>
      <c r="Z6328" s="17" t="s">
        <v>1545</v>
      </c>
      <c r="AA6328" s="17" t="s">
        <v>46</v>
      </c>
      <c r="AB6328" s="17" t="s">
        <v>1546</v>
      </c>
      <c r="AC6328" s="217">
        <v>45787</v>
      </c>
      <c r="AD6328" s="65">
        <v>1683</v>
      </c>
      <c r="AE6328" s="17" t="s">
        <v>48</v>
      </c>
    </row>
    <row r="6329" s="17" customFormat="1" hidden="1" spans="1:31">
      <c r="A6329" s="17" t="s">
        <v>34</v>
      </c>
      <c r="B6329" s="19">
        <v>1048</v>
      </c>
      <c r="C6329" s="183">
        <v>45712</v>
      </c>
      <c r="D6329" s="17" t="s">
        <v>52</v>
      </c>
      <c r="E6329" s="17" t="s">
        <v>53</v>
      </c>
      <c r="F6329" s="17" t="s">
        <v>54</v>
      </c>
      <c r="H6329" s="19" t="s">
        <v>55</v>
      </c>
      <c r="I6329" s="19"/>
      <c r="J6329" s="17" t="s">
        <v>49</v>
      </c>
      <c r="K6329" s="19">
        <v>610</v>
      </c>
      <c r="L6329" s="91">
        <v>80</v>
      </c>
      <c r="M6329" s="19">
        <v>4075</v>
      </c>
      <c r="N6329" s="19" t="s">
        <v>40</v>
      </c>
      <c r="O6329" s="19" t="s">
        <v>50</v>
      </c>
      <c r="P6329" s="19">
        <v>1532</v>
      </c>
      <c r="Q6329" s="19">
        <v>1577</v>
      </c>
      <c r="R6329" s="19">
        <f t="shared" si="277"/>
        <v>-45</v>
      </c>
      <c r="S6329" s="19">
        <v>1950</v>
      </c>
      <c r="T6329" s="19" t="s">
        <v>42</v>
      </c>
      <c r="U6329" s="102" t="s">
        <v>1544</v>
      </c>
      <c r="V6329" s="186">
        <v>45712</v>
      </c>
      <c r="W6329" s="17" t="s">
        <v>58</v>
      </c>
      <c r="Y6329" s="68">
        <v>45809</v>
      </c>
      <c r="Z6329" s="17" t="s">
        <v>1545</v>
      </c>
      <c r="AA6329" s="17" t="s">
        <v>46</v>
      </c>
      <c r="AB6329" s="17" t="s">
        <v>1546</v>
      </c>
      <c r="AC6329" s="217">
        <v>45787</v>
      </c>
      <c r="AD6329" s="65">
        <v>1683</v>
      </c>
      <c r="AE6329" s="17" t="s">
        <v>48</v>
      </c>
    </row>
    <row r="6330" s="17" customFormat="1" hidden="1" spans="1:31">
      <c r="A6330" s="17" t="s">
        <v>34</v>
      </c>
      <c r="B6330" s="19">
        <v>1048</v>
      </c>
      <c r="C6330" s="183">
        <v>45712</v>
      </c>
      <c r="D6330" s="17" t="s">
        <v>52</v>
      </c>
      <c r="E6330" s="17" t="s">
        <v>53</v>
      </c>
      <c r="F6330" s="17" t="s">
        <v>54</v>
      </c>
      <c r="H6330" s="19" t="s">
        <v>55</v>
      </c>
      <c r="I6330" s="19"/>
      <c r="J6330" s="17" t="s">
        <v>49</v>
      </c>
      <c r="K6330" s="19">
        <v>610</v>
      </c>
      <c r="L6330" s="91">
        <v>90</v>
      </c>
      <c r="M6330" s="19">
        <v>2675</v>
      </c>
      <c r="N6330" s="19" t="s">
        <v>40</v>
      </c>
      <c r="O6330" s="19" t="s">
        <v>50</v>
      </c>
      <c r="P6330" s="19">
        <v>1724</v>
      </c>
      <c r="Q6330" s="19">
        <v>1179</v>
      </c>
      <c r="R6330" s="19">
        <f t="shared" si="277"/>
        <v>545</v>
      </c>
      <c r="S6330" s="19">
        <v>1950</v>
      </c>
      <c r="T6330" s="19" t="s">
        <v>42</v>
      </c>
      <c r="U6330" s="102" t="s">
        <v>1544</v>
      </c>
      <c r="V6330" s="186">
        <v>45712</v>
      </c>
      <c r="W6330" s="17" t="s">
        <v>58</v>
      </c>
      <c r="Y6330" s="68">
        <v>45809</v>
      </c>
      <c r="Z6330" s="17" t="s">
        <v>1545</v>
      </c>
      <c r="AA6330" s="17" t="s">
        <v>46</v>
      </c>
      <c r="AB6330" s="17" t="s">
        <v>1546</v>
      </c>
      <c r="AC6330" s="217">
        <v>45787</v>
      </c>
      <c r="AD6330" s="65">
        <v>1683</v>
      </c>
      <c r="AE6330" s="17" t="s">
        <v>48</v>
      </c>
    </row>
    <row r="6331" s="17" customFormat="1" hidden="1" spans="1:31">
      <c r="A6331" s="17" t="s">
        <v>34</v>
      </c>
      <c r="B6331" s="19">
        <v>1048</v>
      </c>
      <c r="C6331" s="183">
        <v>45712</v>
      </c>
      <c r="D6331" s="17" t="s">
        <v>52</v>
      </c>
      <c r="E6331" s="17" t="s">
        <v>53</v>
      </c>
      <c r="F6331" s="17" t="s">
        <v>54</v>
      </c>
      <c r="H6331" s="19" t="s">
        <v>55</v>
      </c>
      <c r="I6331" s="19"/>
      <c r="J6331" s="17" t="s">
        <v>49</v>
      </c>
      <c r="K6331" s="19">
        <v>410</v>
      </c>
      <c r="L6331" s="91">
        <v>120</v>
      </c>
      <c r="M6331" s="19">
        <v>3870</v>
      </c>
      <c r="N6331" s="19" t="s">
        <v>40</v>
      </c>
      <c r="O6331" s="19" t="s">
        <v>50</v>
      </c>
      <c r="P6331" s="19">
        <v>1545</v>
      </c>
      <c r="Q6331" s="19">
        <v>1515</v>
      </c>
      <c r="R6331" s="19">
        <f t="shared" si="277"/>
        <v>30</v>
      </c>
      <c r="S6331" s="19">
        <v>1950</v>
      </c>
      <c r="T6331" s="19" t="s">
        <v>42</v>
      </c>
      <c r="U6331" s="102" t="s">
        <v>1544</v>
      </c>
      <c r="V6331" s="186">
        <v>45712</v>
      </c>
      <c r="W6331" s="17" t="s">
        <v>58</v>
      </c>
      <c r="Y6331" s="68">
        <v>45809</v>
      </c>
      <c r="Z6331" s="17" t="s">
        <v>1545</v>
      </c>
      <c r="AA6331" s="17" t="s">
        <v>46</v>
      </c>
      <c r="AB6331" s="17" t="s">
        <v>1546</v>
      </c>
      <c r="AC6331" s="217">
        <v>45787</v>
      </c>
      <c r="AD6331" s="65">
        <v>1683</v>
      </c>
      <c r="AE6331" s="17" t="s">
        <v>48</v>
      </c>
    </row>
    <row r="6332" s="17" customFormat="1" hidden="1" spans="1:31">
      <c r="A6332" s="17" t="s">
        <v>34</v>
      </c>
      <c r="B6332" s="19">
        <v>1049</v>
      </c>
      <c r="C6332" s="183">
        <v>45715</v>
      </c>
      <c r="D6332" s="17" t="s">
        <v>35</v>
      </c>
      <c r="E6332" s="17" t="s">
        <v>718</v>
      </c>
      <c r="F6332" s="17" t="s">
        <v>96</v>
      </c>
      <c r="H6332" s="19" t="s">
        <v>97</v>
      </c>
      <c r="I6332" s="19"/>
      <c r="J6332" s="17" t="s">
        <v>82</v>
      </c>
      <c r="K6332" s="19">
        <v>310</v>
      </c>
      <c r="L6332" s="91">
        <v>130</v>
      </c>
      <c r="M6332" s="19"/>
      <c r="N6332" s="19" t="s">
        <v>40</v>
      </c>
      <c r="O6332" s="19" t="s">
        <v>50</v>
      </c>
      <c r="P6332" s="19">
        <v>1000</v>
      </c>
      <c r="Q6332" s="19">
        <v>1140</v>
      </c>
      <c r="R6332" s="19">
        <f t="shared" si="277"/>
        <v>-140</v>
      </c>
      <c r="S6332" s="19">
        <f>435+9</f>
        <v>444</v>
      </c>
      <c r="T6332" s="19" t="s">
        <v>99</v>
      </c>
      <c r="U6332" s="102" t="s">
        <v>1547</v>
      </c>
      <c r="V6332" s="186">
        <v>45715</v>
      </c>
      <c r="W6332" s="17" t="s">
        <v>69</v>
      </c>
      <c r="Y6332" s="68">
        <v>45717</v>
      </c>
      <c r="Z6332" s="17" t="s">
        <v>78</v>
      </c>
      <c r="AA6332" s="17" t="s">
        <v>46</v>
      </c>
      <c r="AB6332" s="17" t="s">
        <v>1473</v>
      </c>
      <c r="AC6332" s="217">
        <v>45750</v>
      </c>
      <c r="AD6332" s="65">
        <v>1662</v>
      </c>
      <c r="AE6332" s="17" t="s">
        <v>48</v>
      </c>
    </row>
    <row r="6333" s="17" customFormat="1" hidden="1" spans="1:31">
      <c r="A6333" s="17" t="s">
        <v>34</v>
      </c>
      <c r="B6333" s="19">
        <v>1049</v>
      </c>
      <c r="C6333" s="183">
        <v>45715</v>
      </c>
      <c r="D6333" s="17" t="s">
        <v>35</v>
      </c>
      <c r="E6333" s="17" t="s">
        <v>718</v>
      </c>
      <c r="F6333" s="17" t="s">
        <v>96</v>
      </c>
      <c r="H6333" s="19" t="s">
        <v>97</v>
      </c>
      <c r="I6333" s="19"/>
      <c r="J6333" s="17" t="s">
        <v>82</v>
      </c>
      <c r="K6333" s="19">
        <v>410</v>
      </c>
      <c r="L6333" s="91">
        <v>150</v>
      </c>
      <c r="M6333" s="19"/>
      <c r="N6333" s="19" t="s">
        <v>40</v>
      </c>
      <c r="O6333" s="19" t="s">
        <v>50</v>
      </c>
      <c r="P6333" s="19">
        <v>2000</v>
      </c>
      <c r="Q6333" s="19">
        <v>1708</v>
      </c>
      <c r="R6333" s="19">
        <f t="shared" si="277"/>
        <v>292</v>
      </c>
      <c r="S6333" s="19">
        <f>435+9</f>
        <v>444</v>
      </c>
      <c r="T6333" s="19" t="s">
        <v>99</v>
      </c>
      <c r="U6333" s="102" t="s">
        <v>1547</v>
      </c>
      <c r="V6333" s="186">
        <v>45715</v>
      </c>
      <c r="W6333" s="17" t="s">
        <v>69</v>
      </c>
      <c r="Y6333" s="68">
        <v>45717</v>
      </c>
      <c r="Z6333" s="17" t="s">
        <v>78</v>
      </c>
      <c r="AA6333" s="17" t="s">
        <v>46</v>
      </c>
      <c r="AB6333" s="17" t="s">
        <v>1473</v>
      </c>
      <c r="AC6333" s="217">
        <v>45750</v>
      </c>
      <c r="AD6333" s="65">
        <v>1662</v>
      </c>
      <c r="AE6333" s="17" t="s">
        <v>48</v>
      </c>
    </row>
    <row r="6334" s="17" customFormat="1" hidden="1" spans="1:31">
      <c r="A6334" s="17" t="s">
        <v>34</v>
      </c>
      <c r="B6334" s="19">
        <v>1049</v>
      </c>
      <c r="C6334" s="183">
        <v>45715</v>
      </c>
      <c r="D6334" s="17" t="s">
        <v>35</v>
      </c>
      <c r="E6334" s="17" t="s">
        <v>718</v>
      </c>
      <c r="F6334" s="17" t="s">
        <v>96</v>
      </c>
      <c r="H6334" s="19" t="s">
        <v>97</v>
      </c>
      <c r="I6334" s="19"/>
      <c r="J6334" s="17" t="s">
        <v>82</v>
      </c>
      <c r="K6334" s="19">
        <v>520</v>
      </c>
      <c r="L6334" s="91">
        <v>200</v>
      </c>
      <c r="M6334" s="19"/>
      <c r="N6334" s="19" t="s">
        <v>40</v>
      </c>
      <c r="O6334" s="19" t="s">
        <v>50</v>
      </c>
      <c r="P6334" s="19">
        <v>2000</v>
      </c>
      <c r="Q6334" s="19">
        <v>2418</v>
      </c>
      <c r="R6334" s="19">
        <f t="shared" si="277"/>
        <v>-418</v>
      </c>
      <c r="S6334" s="19">
        <f>435+9</f>
        <v>444</v>
      </c>
      <c r="T6334" s="19" t="s">
        <v>99</v>
      </c>
      <c r="U6334" s="102" t="s">
        <v>1547</v>
      </c>
      <c r="V6334" s="186">
        <v>45715</v>
      </c>
      <c r="W6334" s="17" t="s">
        <v>69</v>
      </c>
      <c r="Y6334" s="68">
        <v>45717</v>
      </c>
      <c r="Z6334" s="17" t="s">
        <v>78</v>
      </c>
      <c r="AA6334" s="17" t="s">
        <v>46</v>
      </c>
      <c r="AB6334" s="17" t="s">
        <v>1473</v>
      </c>
      <c r="AC6334" s="217">
        <v>45750</v>
      </c>
      <c r="AD6334" s="65">
        <v>1662</v>
      </c>
      <c r="AE6334" s="17" t="s">
        <v>48</v>
      </c>
    </row>
    <row r="6335" s="17" customFormat="1" hidden="1" spans="1:31">
      <c r="A6335" s="17" t="s">
        <v>34</v>
      </c>
      <c r="B6335" s="19">
        <v>1049</v>
      </c>
      <c r="C6335" s="183">
        <v>45715</v>
      </c>
      <c r="D6335" s="17" t="s">
        <v>35</v>
      </c>
      <c r="E6335" s="17" t="s">
        <v>718</v>
      </c>
      <c r="F6335" s="17" t="s">
        <v>96</v>
      </c>
      <c r="H6335" s="19" t="s">
        <v>97</v>
      </c>
      <c r="I6335" s="19"/>
      <c r="J6335" s="17" t="s">
        <v>82</v>
      </c>
      <c r="K6335" s="19">
        <v>520</v>
      </c>
      <c r="L6335" s="91">
        <v>250</v>
      </c>
      <c r="M6335" s="19"/>
      <c r="N6335" s="19" t="s">
        <v>40</v>
      </c>
      <c r="O6335" s="19" t="s">
        <v>50</v>
      </c>
      <c r="P6335" s="19">
        <v>6000</v>
      </c>
      <c r="Q6335" s="19">
        <v>5162</v>
      </c>
      <c r="R6335" s="19">
        <f t="shared" si="277"/>
        <v>838</v>
      </c>
      <c r="S6335" s="19">
        <f>435+9</f>
        <v>444</v>
      </c>
      <c r="T6335" s="19" t="s">
        <v>99</v>
      </c>
      <c r="U6335" s="102" t="s">
        <v>1547</v>
      </c>
      <c r="V6335" s="186">
        <v>45715</v>
      </c>
      <c r="W6335" s="17" t="s">
        <v>69</v>
      </c>
      <c r="Y6335" s="68">
        <v>45717</v>
      </c>
      <c r="Z6335" s="17" t="s">
        <v>78</v>
      </c>
      <c r="AA6335" s="17" t="s">
        <v>46</v>
      </c>
      <c r="AB6335" s="17" t="s">
        <v>1473</v>
      </c>
      <c r="AC6335" s="217">
        <v>45750</v>
      </c>
      <c r="AD6335" s="65">
        <v>1662</v>
      </c>
      <c r="AE6335" s="17" t="s">
        <v>48</v>
      </c>
    </row>
    <row r="6336" s="17" customFormat="1" hidden="1" spans="1:31">
      <c r="A6336" s="17" t="s">
        <v>34</v>
      </c>
      <c r="B6336" s="19">
        <v>1049</v>
      </c>
      <c r="C6336" s="183">
        <v>45715</v>
      </c>
      <c r="D6336" s="17" t="s">
        <v>35</v>
      </c>
      <c r="E6336" s="17" t="s">
        <v>718</v>
      </c>
      <c r="F6336" s="17" t="s">
        <v>96</v>
      </c>
      <c r="H6336" s="19" t="s">
        <v>97</v>
      </c>
      <c r="I6336" s="19"/>
      <c r="J6336" s="17" t="s">
        <v>82</v>
      </c>
      <c r="K6336" s="19">
        <v>610</v>
      </c>
      <c r="L6336" s="91">
        <v>305</v>
      </c>
      <c r="M6336" s="19"/>
      <c r="N6336" s="19" t="s">
        <v>40</v>
      </c>
      <c r="O6336" s="19" t="s">
        <v>50</v>
      </c>
      <c r="P6336" s="19">
        <v>2000</v>
      </c>
      <c r="Q6336" s="19">
        <v>2327</v>
      </c>
      <c r="R6336" s="19">
        <f t="shared" si="277"/>
        <v>-327</v>
      </c>
      <c r="S6336" s="19">
        <f>435+9</f>
        <v>444</v>
      </c>
      <c r="T6336" s="19" t="s">
        <v>99</v>
      </c>
      <c r="U6336" s="102" t="s">
        <v>1547</v>
      </c>
      <c r="V6336" s="186">
        <v>45715</v>
      </c>
      <c r="W6336" s="17" t="s">
        <v>69</v>
      </c>
      <c r="Y6336" s="68">
        <v>45717</v>
      </c>
      <c r="Z6336" s="17" t="s">
        <v>78</v>
      </c>
      <c r="AA6336" s="17" t="s">
        <v>46</v>
      </c>
      <c r="AB6336" s="17" t="s">
        <v>1473</v>
      </c>
      <c r="AC6336" s="217">
        <v>45750</v>
      </c>
      <c r="AD6336" s="65">
        <v>1662</v>
      </c>
      <c r="AE6336" s="17" t="s">
        <v>48</v>
      </c>
    </row>
    <row r="6337" s="17" customFormat="1" hidden="1" spans="1:34">
      <c r="A6337" s="17" t="s">
        <v>34</v>
      </c>
      <c r="B6337" s="19">
        <v>1050</v>
      </c>
      <c r="C6337" s="183">
        <v>45727</v>
      </c>
      <c r="D6337" s="17" t="s">
        <v>35</v>
      </c>
      <c r="E6337" s="17" t="s">
        <v>718</v>
      </c>
      <c r="F6337" s="17" t="s">
        <v>96</v>
      </c>
      <c r="H6337" s="19" t="s">
        <v>1548</v>
      </c>
      <c r="I6337" s="19"/>
      <c r="J6337" s="17" t="s">
        <v>82</v>
      </c>
      <c r="K6337" s="19">
        <v>510</v>
      </c>
      <c r="L6337" s="91">
        <v>200</v>
      </c>
      <c r="M6337" s="19"/>
      <c r="N6337" s="19" t="s">
        <v>40</v>
      </c>
      <c r="O6337" s="19" t="s">
        <v>98</v>
      </c>
      <c r="P6337" s="19">
        <v>2500</v>
      </c>
      <c r="Q6337" s="19">
        <v>2518</v>
      </c>
      <c r="R6337" s="19">
        <f t="shared" si="277"/>
        <v>-18</v>
      </c>
      <c r="S6337" s="19">
        <v>670</v>
      </c>
      <c r="T6337" s="19" t="s">
        <v>99</v>
      </c>
      <c r="U6337" s="102" t="s">
        <v>1549</v>
      </c>
      <c r="V6337" s="186">
        <v>45727</v>
      </c>
      <c r="W6337" s="17" t="s">
        <v>44</v>
      </c>
      <c r="Y6337" s="68">
        <v>45717</v>
      </c>
      <c r="Z6337" s="17" t="s">
        <v>78</v>
      </c>
      <c r="AA6337" s="17" t="s">
        <v>46</v>
      </c>
      <c r="AB6337" s="17" t="s">
        <v>1472</v>
      </c>
      <c r="AC6337" s="217">
        <v>45812</v>
      </c>
      <c r="AD6337" s="65">
        <v>1684</v>
      </c>
      <c r="AE6337" s="17" t="s">
        <v>48</v>
      </c>
    </row>
    <row r="6338" s="17" customFormat="1" hidden="1" spans="1:34">
      <c r="B6338" s="19">
        <v>1051</v>
      </c>
      <c r="C6338" s="183">
        <v>45736</v>
      </c>
      <c r="D6338" s="17" t="s">
        <v>1550</v>
      </c>
      <c r="E6338" s="17" t="s">
        <v>1551</v>
      </c>
      <c r="F6338" s="17" t="s">
        <v>54</v>
      </c>
      <c r="H6338" s="19">
        <v>1.2311</v>
      </c>
      <c r="I6338" s="19"/>
      <c r="J6338" s="17" t="s">
        <v>49</v>
      </c>
      <c r="K6338" s="19">
        <v>2200</v>
      </c>
      <c r="L6338" s="19">
        <v>26</v>
      </c>
      <c r="M6338" s="93">
        <v>5000</v>
      </c>
      <c r="N6338" s="19" t="s">
        <v>66</v>
      </c>
      <c r="O6338" s="19" t="s">
        <v>141</v>
      </c>
      <c r="P6338" s="93">
        <v>2245</v>
      </c>
      <c r="Q6338" s="98">
        <v>2362</v>
      </c>
      <c r="R6338" s="19">
        <f t="shared" si="277"/>
        <v>-117</v>
      </c>
      <c r="S6338" s="176">
        <v>100</v>
      </c>
      <c r="T6338" s="19" t="s">
        <v>421</v>
      </c>
      <c r="U6338" s="102"/>
      <c r="V6338" s="186"/>
      <c r="Y6338" s="68"/>
      <c r="AA6338" s="17" t="s">
        <v>46</v>
      </c>
      <c r="AB6338" s="359" t="s">
        <v>1552</v>
      </c>
      <c r="AC6338" s="360">
        <v>45890</v>
      </c>
      <c r="AD6338" s="65"/>
      <c r="AE6338" s="17" t="s">
        <v>48</v>
      </c>
    </row>
    <row r="6339" s="17" customFormat="1" hidden="1" spans="1:34">
      <c r="B6339" s="19">
        <v>1051</v>
      </c>
      <c r="C6339" s="183">
        <v>45736</v>
      </c>
      <c r="D6339" s="17" t="s">
        <v>1550</v>
      </c>
      <c r="E6339" s="17" t="s">
        <v>1551</v>
      </c>
      <c r="F6339" s="17" t="s">
        <v>54</v>
      </c>
      <c r="H6339" s="19">
        <v>1.2311</v>
      </c>
      <c r="I6339" s="19"/>
      <c r="J6339" s="17" t="s">
        <v>49</v>
      </c>
      <c r="K6339" s="19">
        <v>2200</v>
      </c>
      <c r="L6339" s="19">
        <v>32</v>
      </c>
      <c r="M6339" s="93">
        <v>4000</v>
      </c>
      <c r="N6339" s="19" t="s">
        <v>66</v>
      </c>
      <c r="O6339" s="19" t="s">
        <v>141</v>
      </c>
      <c r="P6339" s="93">
        <v>5526</v>
      </c>
      <c r="Q6339" s="98">
        <v>2270</v>
      </c>
      <c r="R6339" s="19">
        <f t="shared" si="277"/>
        <v>3256</v>
      </c>
      <c r="S6339" s="176">
        <v>100</v>
      </c>
      <c r="T6339" s="19" t="s">
        <v>421</v>
      </c>
      <c r="U6339" s="102"/>
      <c r="V6339" s="186"/>
      <c r="Y6339" s="68"/>
      <c r="AA6339" s="17" t="s">
        <v>46</v>
      </c>
      <c r="AB6339" s="359" t="s">
        <v>1553</v>
      </c>
      <c r="AC6339" s="360">
        <v>45890</v>
      </c>
      <c r="AD6339" s="65"/>
      <c r="AE6339" s="17" t="s">
        <v>48</v>
      </c>
      <c r="AF6339" s="17" t="s">
        <v>144</v>
      </c>
    </row>
    <row r="6340" s="24" customFormat="1" hidden="1" spans="1:34">
      <c r="B6340" s="342">
        <v>1051</v>
      </c>
      <c r="C6340" s="343">
        <v>45736</v>
      </c>
      <c r="D6340" s="24" t="s">
        <v>1550</v>
      </c>
      <c r="E6340" s="24" t="s">
        <v>1551</v>
      </c>
      <c r="F6340" s="24" t="s">
        <v>54</v>
      </c>
      <c r="H6340" s="342">
        <v>1.2311</v>
      </c>
      <c r="I6340" s="342"/>
      <c r="J6340" s="24" t="s">
        <v>49</v>
      </c>
      <c r="K6340" s="342">
        <v>2200</v>
      </c>
      <c r="L6340" s="342">
        <v>36</v>
      </c>
      <c r="M6340" s="361">
        <v>5000</v>
      </c>
      <c r="N6340" s="342" t="s">
        <v>66</v>
      </c>
      <c r="O6340" s="342" t="s">
        <v>141</v>
      </c>
      <c r="P6340" s="361">
        <v>3109</v>
      </c>
      <c r="Q6340" s="342"/>
      <c r="R6340" s="342">
        <f t="shared" si="277"/>
        <v>3109</v>
      </c>
      <c r="S6340" s="362">
        <v>100</v>
      </c>
      <c r="T6340" s="342" t="s">
        <v>421</v>
      </c>
      <c r="U6340" s="345"/>
      <c r="V6340" s="346"/>
      <c r="Y6340" s="347"/>
      <c r="AA6340" s="24" t="s">
        <v>46</v>
      </c>
      <c r="AC6340" s="363"/>
      <c r="AD6340" s="348"/>
      <c r="AE6340" s="24" t="s">
        <v>48</v>
      </c>
      <c r="AF6340" s="24" t="s">
        <v>144</v>
      </c>
    </row>
    <row r="6341" s="24" customFormat="1" hidden="1" spans="1:34">
      <c r="B6341" s="342">
        <v>1051</v>
      </c>
      <c r="C6341" s="343">
        <v>45736</v>
      </c>
      <c r="D6341" s="24" t="s">
        <v>1550</v>
      </c>
      <c r="E6341" s="24" t="s">
        <v>1551</v>
      </c>
      <c r="F6341" s="24" t="s">
        <v>54</v>
      </c>
      <c r="H6341" s="342">
        <v>1.2311</v>
      </c>
      <c r="I6341" s="342"/>
      <c r="J6341" s="24" t="s">
        <v>49</v>
      </c>
      <c r="K6341" s="342">
        <v>2200</v>
      </c>
      <c r="L6341" s="342">
        <v>40</v>
      </c>
      <c r="M6341" s="361">
        <v>4000</v>
      </c>
      <c r="N6341" s="342" t="s">
        <v>66</v>
      </c>
      <c r="O6341" s="342" t="s">
        <v>141</v>
      </c>
      <c r="P6341" s="361">
        <v>10362</v>
      </c>
      <c r="Q6341" s="342"/>
      <c r="R6341" s="342">
        <f t="shared" si="277"/>
        <v>10362</v>
      </c>
      <c r="S6341" s="362">
        <v>100</v>
      </c>
      <c r="T6341" s="342" t="s">
        <v>421</v>
      </c>
      <c r="U6341" s="345"/>
      <c r="V6341" s="346"/>
      <c r="Y6341" s="347"/>
      <c r="AA6341" s="24" t="s">
        <v>46</v>
      </c>
      <c r="AC6341" s="363"/>
      <c r="AD6341" s="348"/>
      <c r="AE6341" s="24" t="s">
        <v>204</v>
      </c>
      <c r="AF6341" s="24" t="s">
        <v>144</v>
      </c>
    </row>
    <row r="6342" s="17" customFormat="1" hidden="1" spans="1:34">
      <c r="B6342" s="19">
        <v>1051</v>
      </c>
      <c r="C6342" s="183">
        <v>45736</v>
      </c>
      <c r="D6342" s="17" t="s">
        <v>1550</v>
      </c>
      <c r="E6342" s="17" t="s">
        <v>1551</v>
      </c>
      <c r="F6342" s="17" t="s">
        <v>54</v>
      </c>
      <c r="H6342" s="19">
        <v>1.2311</v>
      </c>
      <c r="I6342" s="19"/>
      <c r="J6342" s="17" t="s">
        <v>49</v>
      </c>
      <c r="K6342" s="19">
        <v>2200</v>
      </c>
      <c r="L6342" s="19">
        <v>45</v>
      </c>
      <c r="M6342" s="93">
        <v>4000</v>
      </c>
      <c r="N6342" s="19" t="s">
        <v>66</v>
      </c>
      <c r="O6342" s="19" t="s">
        <v>141</v>
      </c>
      <c r="P6342" s="93">
        <v>7771</v>
      </c>
      <c r="Q6342" s="98">
        <v>3330</v>
      </c>
      <c r="R6342" s="19">
        <f t="shared" si="277"/>
        <v>4441</v>
      </c>
      <c r="S6342" s="176">
        <v>100</v>
      </c>
      <c r="T6342" s="19" t="s">
        <v>421</v>
      </c>
      <c r="U6342" s="102"/>
      <c r="V6342" s="186"/>
      <c r="Y6342" s="68"/>
      <c r="AA6342" s="17" t="s">
        <v>46</v>
      </c>
      <c r="AB6342" s="359" t="s">
        <v>1553</v>
      </c>
      <c r="AC6342" s="360">
        <v>45890</v>
      </c>
      <c r="AD6342" s="65"/>
      <c r="AE6342" s="17" t="s">
        <v>48</v>
      </c>
      <c r="AF6342" s="17" t="s">
        <v>144</v>
      </c>
    </row>
    <row r="6343" s="17" customFormat="1" hidden="1" spans="1:34">
      <c r="B6343" s="19">
        <v>1051</v>
      </c>
      <c r="C6343" s="183">
        <v>45736</v>
      </c>
      <c r="D6343" s="17" t="s">
        <v>1550</v>
      </c>
      <c r="E6343" s="17" t="s">
        <v>1551</v>
      </c>
      <c r="F6343" s="17" t="s">
        <v>54</v>
      </c>
      <c r="H6343" s="19">
        <v>1.2311</v>
      </c>
      <c r="I6343" s="19"/>
      <c r="J6343" s="17" t="s">
        <v>49</v>
      </c>
      <c r="K6343" s="19">
        <v>2200</v>
      </c>
      <c r="L6343" s="19">
        <v>50</v>
      </c>
      <c r="M6343" s="93">
        <v>4000</v>
      </c>
      <c r="N6343" s="19" t="s">
        <v>66</v>
      </c>
      <c r="O6343" s="19" t="s">
        <v>141</v>
      </c>
      <c r="P6343" s="19">
        <f>12952+8635</f>
        <v>21587</v>
      </c>
      <c r="Q6343" s="98">
        <v>3708</v>
      </c>
      <c r="R6343" s="19">
        <f t="shared" si="277"/>
        <v>17879</v>
      </c>
      <c r="S6343" s="176">
        <v>100</v>
      </c>
      <c r="T6343" s="19" t="s">
        <v>421</v>
      </c>
      <c r="U6343" s="102"/>
      <c r="V6343" s="186"/>
      <c r="Y6343" s="68"/>
      <c r="AA6343" s="17" t="s">
        <v>46</v>
      </c>
      <c r="AB6343" s="359" t="s">
        <v>1553</v>
      </c>
      <c r="AC6343" s="360">
        <v>45890</v>
      </c>
      <c r="AD6343" s="65"/>
      <c r="AE6343" s="17" t="s">
        <v>1554</v>
      </c>
      <c r="AF6343" s="17" t="s">
        <v>144</v>
      </c>
    </row>
    <row r="6344" s="24" customFormat="1" hidden="1" spans="1:34">
      <c r="B6344" s="342">
        <v>1051</v>
      </c>
      <c r="C6344" s="343">
        <v>45736</v>
      </c>
      <c r="D6344" s="24" t="s">
        <v>1550</v>
      </c>
      <c r="E6344" s="24" t="s">
        <v>1551</v>
      </c>
      <c r="F6344" s="24" t="s">
        <v>54</v>
      </c>
      <c r="H6344" s="342">
        <v>1.2311</v>
      </c>
      <c r="I6344" s="342"/>
      <c r="J6344" s="24" t="s">
        <v>49</v>
      </c>
      <c r="K6344" s="342">
        <v>2200</v>
      </c>
      <c r="L6344" s="342">
        <v>56</v>
      </c>
      <c r="M6344" s="361">
        <v>4000</v>
      </c>
      <c r="N6344" s="342" t="s">
        <v>66</v>
      </c>
      <c r="O6344" s="342" t="s">
        <v>141</v>
      </c>
      <c r="P6344" s="342">
        <v>4835</v>
      </c>
      <c r="Q6344" s="342"/>
      <c r="R6344" s="342">
        <f t="shared" si="277"/>
        <v>4835</v>
      </c>
      <c r="S6344" s="362">
        <v>100</v>
      </c>
      <c r="T6344" s="342" t="s">
        <v>421</v>
      </c>
      <c r="U6344" s="345"/>
      <c r="V6344" s="346"/>
      <c r="Y6344" s="347"/>
      <c r="AA6344" s="24" t="s">
        <v>46</v>
      </c>
      <c r="AC6344" s="363"/>
      <c r="AD6344" s="348"/>
      <c r="AE6344" s="24" t="s">
        <v>48</v>
      </c>
      <c r="AF6344" s="24" t="s">
        <v>144</v>
      </c>
    </row>
    <row r="6345" s="24" customFormat="1" hidden="1" spans="1:34">
      <c r="B6345" s="342">
        <v>1051</v>
      </c>
      <c r="C6345" s="343">
        <v>45736</v>
      </c>
      <c r="D6345" s="24" t="s">
        <v>1550</v>
      </c>
      <c r="E6345" s="24" t="s">
        <v>1551</v>
      </c>
      <c r="F6345" s="24" t="s">
        <v>54</v>
      </c>
      <c r="H6345" s="342">
        <v>1.2311</v>
      </c>
      <c r="I6345" s="342"/>
      <c r="J6345" s="24" t="s">
        <v>49</v>
      </c>
      <c r="K6345" s="342">
        <v>2200</v>
      </c>
      <c r="L6345" s="342">
        <v>61</v>
      </c>
      <c r="M6345" s="361">
        <v>4000</v>
      </c>
      <c r="N6345" s="342" t="s">
        <v>66</v>
      </c>
      <c r="O6345" s="342" t="s">
        <v>141</v>
      </c>
      <c r="P6345" s="342">
        <v>5267</v>
      </c>
      <c r="Q6345" s="364"/>
      <c r="R6345" s="342">
        <f t="shared" si="277"/>
        <v>5267</v>
      </c>
      <c r="S6345" s="362">
        <v>100</v>
      </c>
      <c r="T6345" s="342" t="s">
        <v>421</v>
      </c>
      <c r="U6345" s="345"/>
      <c r="V6345" s="346"/>
      <c r="Y6345" s="347"/>
      <c r="AA6345" s="24" t="s">
        <v>46</v>
      </c>
      <c r="AC6345" s="363"/>
      <c r="AD6345" s="348"/>
      <c r="AE6345" s="24" t="s">
        <v>48</v>
      </c>
      <c r="AF6345" s="24" t="s">
        <v>144</v>
      </c>
    </row>
    <row r="6346" s="17" customFormat="1" hidden="1" spans="1:34">
      <c r="B6346" s="19">
        <v>1051</v>
      </c>
      <c r="C6346" s="183">
        <v>45736</v>
      </c>
      <c r="D6346" s="17" t="s">
        <v>1550</v>
      </c>
      <c r="E6346" s="17" t="s">
        <v>1551</v>
      </c>
      <c r="F6346" s="17" t="s">
        <v>54</v>
      </c>
      <c r="H6346" s="19">
        <v>1.2311</v>
      </c>
      <c r="I6346" s="19"/>
      <c r="J6346" s="17" t="s">
        <v>49</v>
      </c>
      <c r="K6346" s="19">
        <v>2200</v>
      </c>
      <c r="L6346" s="19">
        <v>65</v>
      </c>
      <c r="M6346" s="19">
        <v>5000</v>
      </c>
      <c r="N6346" s="19" t="s">
        <v>66</v>
      </c>
      <c r="O6346" s="19" t="s">
        <v>141</v>
      </c>
      <c r="P6346" s="19">
        <f>5612+5612</f>
        <v>11224</v>
      </c>
      <c r="Q6346" s="98">
        <f>6008</f>
        <v>6008</v>
      </c>
      <c r="S6346" s="176">
        <v>100</v>
      </c>
      <c r="T6346" s="19" t="s">
        <v>421</v>
      </c>
      <c r="U6346" s="102"/>
      <c r="V6346" s="186"/>
      <c r="Y6346" s="68"/>
      <c r="AA6346" s="17" t="s">
        <v>46</v>
      </c>
      <c r="AB6346" s="359" t="s">
        <v>1553</v>
      </c>
      <c r="AC6346" s="360">
        <v>45890</v>
      </c>
      <c r="AD6346" s="65"/>
      <c r="AE6346" s="17" t="s">
        <v>390</v>
      </c>
    </row>
    <row r="6347" s="17" customFormat="1" hidden="1" spans="1:34">
      <c r="B6347" s="19">
        <v>1051</v>
      </c>
      <c r="C6347" s="183">
        <v>45736</v>
      </c>
      <c r="D6347" s="17" t="s">
        <v>1550</v>
      </c>
      <c r="E6347" s="17" t="s">
        <v>1551</v>
      </c>
      <c r="F6347" s="17" t="s">
        <v>54</v>
      </c>
      <c r="H6347" s="19">
        <v>1.2311</v>
      </c>
      <c r="I6347" s="19"/>
      <c r="J6347" s="17" t="s">
        <v>49</v>
      </c>
      <c r="K6347" s="19">
        <v>2200</v>
      </c>
      <c r="L6347" s="19">
        <v>65</v>
      </c>
      <c r="M6347" s="19">
        <v>5000</v>
      </c>
      <c r="N6347" s="19" t="s">
        <v>66</v>
      </c>
      <c r="O6347" s="19" t="s">
        <v>141</v>
      </c>
      <c r="P6347" s="19"/>
      <c r="Q6347" s="98">
        <v>6022</v>
      </c>
      <c r="R6347" s="19">
        <f>+P6346-Q6346-Q6347</f>
        <v>-806</v>
      </c>
      <c r="S6347" s="176">
        <v>100</v>
      </c>
      <c r="T6347" s="19" t="s">
        <v>421</v>
      </c>
      <c r="U6347" s="102"/>
      <c r="V6347" s="186"/>
      <c r="Y6347" s="68"/>
      <c r="AA6347" s="17" t="s">
        <v>46</v>
      </c>
      <c r="AB6347" s="359" t="s">
        <v>1552</v>
      </c>
      <c r="AC6347" s="360">
        <v>45890</v>
      </c>
      <c r="AD6347" s="65"/>
      <c r="AE6347" s="17" t="s">
        <v>390</v>
      </c>
    </row>
    <row r="6348" s="17" customFormat="1" hidden="1" spans="1:34">
      <c r="B6348" s="19">
        <v>1051</v>
      </c>
      <c r="C6348" s="183">
        <v>45736</v>
      </c>
      <c r="D6348" s="17" t="s">
        <v>1550</v>
      </c>
      <c r="E6348" s="17" t="s">
        <v>1551</v>
      </c>
      <c r="F6348" s="17" t="s">
        <v>54</v>
      </c>
      <c r="H6348" s="19">
        <v>1.2311</v>
      </c>
      <c r="I6348" s="19"/>
      <c r="J6348" s="17" t="s">
        <v>49</v>
      </c>
      <c r="K6348" s="19">
        <v>2200</v>
      </c>
      <c r="L6348" s="19">
        <v>81</v>
      </c>
      <c r="M6348" s="19">
        <v>4000</v>
      </c>
      <c r="N6348" s="19" t="s">
        <v>66</v>
      </c>
      <c r="O6348" s="19" t="s">
        <v>141</v>
      </c>
      <c r="P6348" s="19">
        <v>13988</v>
      </c>
      <c r="Q6348" s="98">
        <f>5902+5880</f>
        <v>11782</v>
      </c>
      <c r="R6348" s="19">
        <f t="shared" ref="R6348:R6357" si="278">+P6348-Q6348</f>
        <v>2206</v>
      </c>
      <c r="S6348" s="176">
        <v>100</v>
      </c>
      <c r="T6348" s="19" t="s">
        <v>421</v>
      </c>
      <c r="U6348" s="102"/>
      <c r="V6348" s="186"/>
      <c r="Y6348" s="68"/>
      <c r="AA6348" s="17" t="s">
        <v>46</v>
      </c>
      <c r="AB6348" s="359" t="s">
        <v>1553</v>
      </c>
      <c r="AC6348" s="360">
        <v>45890</v>
      </c>
      <c r="AD6348" s="65"/>
      <c r="AE6348" s="17" t="s">
        <v>390</v>
      </c>
      <c r="AF6348" s="17" t="s">
        <v>144</v>
      </c>
    </row>
    <row r="6349" s="17" customFormat="1" hidden="1" spans="1:34">
      <c r="B6349" s="19">
        <v>1051</v>
      </c>
      <c r="C6349" s="183">
        <v>45736</v>
      </c>
      <c r="D6349" s="17" t="s">
        <v>1550</v>
      </c>
      <c r="E6349" s="17" t="s">
        <v>1551</v>
      </c>
      <c r="F6349" s="17" t="s">
        <v>54</v>
      </c>
      <c r="H6349" s="19">
        <v>1.2311</v>
      </c>
      <c r="I6349" s="19"/>
      <c r="J6349" s="17" t="s">
        <v>49</v>
      </c>
      <c r="K6349" s="19">
        <v>2200</v>
      </c>
      <c r="L6349" s="19">
        <v>91</v>
      </c>
      <c r="M6349" s="19">
        <v>5000</v>
      </c>
      <c r="N6349" s="19" t="s">
        <v>66</v>
      </c>
      <c r="O6349" s="19" t="s">
        <v>141</v>
      </c>
      <c r="P6349" s="19">
        <v>7857</v>
      </c>
      <c r="Q6349" s="98">
        <v>8308</v>
      </c>
      <c r="R6349" s="19">
        <f t="shared" si="278"/>
        <v>-451</v>
      </c>
      <c r="S6349" s="176">
        <v>100</v>
      </c>
      <c r="T6349" s="19" t="s">
        <v>421</v>
      </c>
      <c r="U6349" s="102"/>
      <c r="V6349" s="186"/>
      <c r="Y6349" s="68"/>
      <c r="AA6349" s="17" t="s">
        <v>46</v>
      </c>
      <c r="AB6349" s="359" t="s">
        <v>1552</v>
      </c>
      <c r="AC6349" s="360">
        <v>45890</v>
      </c>
      <c r="AD6349" s="65"/>
      <c r="AE6349" s="17" t="s">
        <v>48</v>
      </c>
    </row>
    <row r="6350" s="17" customFormat="1" hidden="1" spans="1:34">
      <c r="B6350" s="19">
        <v>1051</v>
      </c>
      <c r="C6350" s="183">
        <v>45736</v>
      </c>
      <c r="D6350" s="17" t="s">
        <v>1550</v>
      </c>
      <c r="E6350" s="17" t="s">
        <v>1551</v>
      </c>
      <c r="F6350" s="17" t="s">
        <v>54</v>
      </c>
      <c r="H6350" s="19">
        <v>1.2311</v>
      </c>
      <c r="I6350" s="19"/>
      <c r="J6350" s="17" t="s">
        <v>49</v>
      </c>
      <c r="K6350" s="290">
        <v>2200</v>
      </c>
      <c r="L6350" s="290">
        <v>105</v>
      </c>
      <c r="M6350" s="290">
        <v>5000</v>
      </c>
      <c r="N6350" s="19" t="s">
        <v>66</v>
      </c>
      <c r="O6350" s="19" t="s">
        <v>141</v>
      </c>
      <c r="P6350" s="19">
        <v>9066</v>
      </c>
      <c r="Q6350" s="98">
        <v>9578</v>
      </c>
      <c r="R6350" s="19">
        <f t="shared" si="278"/>
        <v>-512</v>
      </c>
      <c r="S6350" s="176">
        <v>100</v>
      </c>
      <c r="T6350" s="19" t="s">
        <v>421</v>
      </c>
      <c r="U6350" s="102"/>
      <c r="V6350" s="186"/>
      <c r="Y6350" s="68"/>
      <c r="AA6350" s="17" t="s">
        <v>46</v>
      </c>
      <c r="AB6350" s="359" t="s">
        <v>1552</v>
      </c>
      <c r="AC6350" s="360">
        <v>45890</v>
      </c>
      <c r="AD6350" s="65"/>
      <c r="AE6350" s="17" t="s">
        <v>48</v>
      </c>
    </row>
    <row r="6351" s="17" customFormat="1" hidden="1" spans="1:34">
      <c r="A6351" s="17" t="s">
        <v>34</v>
      </c>
      <c r="B6351" s="19">
        <v>1052</v>
      </c>
      <c r="C6351" s="183">
        <v>45737</v>
      </c>
      <c r="D6351" s="17" t="s">
        <v>52</v>
      </c>
      <c r="E6351" s="17" t="s">
        <v>1555</v>
      </c>
      <c r="F6351" s="17" t="s">
        <v>54</v>
      </c>
      <c r="H6351" s="19">
        <v>1.2311</v>
      </c>
      <c r="I6351" s="19"/>
      <c r="J6351" s="17" t="s">
        <v>49</v>
      </c>
      <c r="K6351" s="290">
        <v>2190</v>
      </c>
      <c r="L6351" s="290">
        <v>50</v>
      </c>
      <c r="M6351" s="290">
        <v>5500</v>
      </c>
      <c r="N6351" s="19" t="s">
        <v>66</v>
      </c>
      <c r="O6351" s="19" t="s">
        <v>141</v>
      </c>
      <c r="P6351" s="19">
        <v>4860</v>
      </c>
      <c r="Q6351" s="19">
        <v>4860</v>
      </c>
      <c r="R6351" s="19">
        <f t="shared" si="278"/>
        <v>0</v>
      </c>
      <c r="S6351" s="19">
        <f>735+20+25-50</f>
        <v>730</v>
      </c>
      <c r="T6351" s="19" t="s">
        <v>42</v>
      </c>
      <c r="U6351" s="102" t="s">
        <v>1556</v>
      </c>
      <c r="V6351" s="186">
        <v>45738</v>
      </c>
      <c r="W6351" s="17" t="s">
        <v>44</v>
      </c>
      <c r="Y6351" s="68">
        <v>45717</v>
      </c>
      <c r="Z6351" s="17" t="s">
        <v>191</v>
      </c>
      <c r="AA6351" s="17" t="s">
        <v>46</v>
      </c>
      <c r="AB6351" s="17" t="s">
        <v>1557</v>
      </c>
      <c r="AC6351" s="217">
        <v>45750</v>
      </c>
      <c r="AD6351" s="65">
        <v>1672</v>
      </c>
      <c r="AE6351" s="17" t="s">
        <v>48</v>
      </c>
      <c r="AF6351" s="17" t="s">
        <v>1558</v>
      </c>
      <c r="AH6351" s="23" t="s">
        <v>1559</v>
      </c>
    </row>
    <row r="6352" s="17" customFormat="1" hidden="1" spans="1:34">
      <c r="A6352" s="17" t="s">
        <v>34</v>
      </c>
      <c r="B6352" s="19">
        <v>1052</v>
      </c>
      <c r="C6352" s="183">
        <v>45737</v>
      </c>
      <c r="D6352" s="17" t="s">
        <v>52</v>
      </c>
      <c r="E6352" s="17" t="s">
        <v>1555</v>
      </c>
      <c r="F6352" s="17" t="s">
        <v>54</v>
      </c>
      <c r="H6352" s="19">
        <v>1.2311</v>
      </c>
      <c r="I6352" s="19"/>
      <c r="J6352" s="17" t="s">
        <v>49</v>
      </c>
      <c r="K6352" s="290">
        <v>2230</v>
      </c>
      <c r="L6352" s="290">
        <v>75</v>
      </c>
      <c r="M6352" s="290">
        <v>5160</v>
      </c>
      <c r="N6352" s="19" t="s">
        <v>66</v>
      </c>
      <c r="O6352" s="19" t="s">
        <v>141</v>
      </c>
      <c r="P6352" s="19">
        <v>6930</v>
      </c>
      <c r="Q6352" s="19">
        <v>6930</v>
      </c>
      <c r="R6352" s="19">
        <f t="shared" si="278"/>
        <v>0</v>
      </c>
      <c r="S6352" s="19">
        <f>735+20+25-50</f>
        <v>730</v>
      </c>
      <c r="T6352" s="19" t="s">
        <v>42</v>
      </c>
      <c r="U6352" s="102" t="s">
        <v>1556</v>
      </c>
      <c r="V6352" s="186">
        <v>45738</v>
      </c>
      <c r="W6352" s="17" t="s">
        <v>44</v>
      </c>
      <c r="Y6352" s="68">
        <v>45717</v>
      </c>
      <c r="Z6352" s="17" t="s">
        <v>191</v>
      </c>
      <c r="AA6352" s="17" t="s">
        <v>46</v>
      </c>
      <c r="AB6352" s="17" t="s">
        <v>1560</v>
      </c>
      <c r="AC6352" s="217">
        <v>45750</v>
      </c>
      <c r="AD6352" s="65">
        <v>1670</v>
      </c>
      <c r="AE6352" s="17" t="s">
        <v>48</v>
      </c>
      <c r="AF6352" s="17" t="s">
        <v>1558</v>
      </c>
      <c r="AH6352" s="23" t="s">
        <v>1559</v>
      </c>
    </row>
    <row r="6353" s="17" customFormat="1" hidden="1" spans="1:34">
      <c r="A6353" s="17" t="s">
        <v>34</v>
      </c>
      <c r="B6353" s="19">
        <v>1052</v>
      </c>
      <c r="C6353" s="183">
        <v>45737</v>
      </c>
      <c r="D6353" s="17" t="s">
        <v>52</v>
      </c>
      <c r="E6353" s="17" t="s">
        <v>1555</v>
      </c>
      <c r="F6353" s="17" t="s">
        <v>54</v>
      </c>
      <c r="H6353" s="19">
        <v>1.2311</v>
      </c>
      <c r="I6353" s="19"/>
      <c r="J6353" s="17" t="s">
        <v>49</v>
      </c>
      <c r="K6353" s="290">
        <v>2240</v>
      </c>
      <c r="L6353" s="290">
        <v>85</v>
      </c>
      <c r="M6353" s="290">
        <v>5380</v>
      </c>
      <c r="N6353" s="19" t="s">
        <v>66</v>
      </c>
      <c r="O6353" s="19" t="s">
        <v>141</v>
      </c>
      <c r="P6353" s="19">
        <v>8175</v>
      </c>
      <c r="Q6353" s="19">
        <v>8175</v>
      </c>
      <c r="R6353" s="19">
        <f t="shared" si="278"/>
        <v>0</v>
      </c>
      <c r="S6353" s="19">
        <f>735+20+25-50</f>
        <v>730</v>
      </c>
      <c r="T6353" s="19" t="s">
        <v>42</v>
      </c>
      <c r="U6353" s="102" t="s">
        <v>1556</v>
      </c>
      <c r="V6353" s="186">
        <v>45738</v>
      </c>
      <c r="W6353" s="17" t="s">
        <v>44</v>
      </c>
      <c r="Y6353" s="68">
        <v>45717</v>
      </c>
      <c r="Z6353" s="17" t="s">
        <v>191</v>
      </c>
      <c r="AA6353" s="17" t="s">
        <v>46</v>
      </c>
      <c r="AB6353" s="17" t="s">
        <v>1560</v>
      </c>
      <c r="AC6353" s="217">
        <v>45750</v>
      </c>
      <c r="AD6353" s="65">
        <v>1670</v>
      </c>
      <c r="AE6353" s="17" t="s">
        <v>48</v>
      </c>
      <c r="AF6353" s="17" t="s">
        <v>1558</v>
      </c>
      <c r="AH6353" s="23" t="s">
        <v>1559</v>
      </c>
    </row>
    <row r="6354" s="17" customFormat="1" hidden="1" spans="1:34">
      <c r="A6354" s="17" t="s">
        <v>34</v>
      </c>
      <c r="B6354" s="19">
        <v>1052</v>
      </c>
      <c r="C6354" s="183">
        <v>45737</v>
      </c>
      <c r="D6354" s="17" t="s">
        <v>52</v>
      </c>
      <c r="E6354" s="17" t="s">
        <v>1555</v>
      </c>
      <c r="F6354" s="17" t="s">
        <v>54</v>
      </c>
      <c r="H6354" s="19">
        <v>1.2311</v>
      </c>
      <c r="I6354" s="19"/>
      <c r="J6354" s="17" t="s">
        <v>49</v>
      </c>
      <c r="K6354" s="290">
        <v>2190</v>
      </c>
      <c r="L6354" s="290">
        <v>120</v>
      </c>
      <c r="M6354" s="290">
        <v>5800</v>
      </c>
      <c r="N6354" s="19" t="s">
        <v>66</v>
      </c>
      <c r="O6354" s="19" t="s">
        <v>141</v>
      </c>
      <c r="P6354" s="19">
        <v>12115</v>
      </c>
      <c r="Q6354" s="19">
        <v>12115</v>
      </c>
      <c r="R6354" s="19">
        <f t="shared" si="278"/>
        <v>0</v>
      </c>
      <c r="S6354" s="19">
        <f>735+20+25-50</f>
        <v>730</v>
      </c>
      <c r="T6354" s="19" t="s">
        <v>42</v>
      </c>
      <c r="U6354" s="102" t="s">
        <v>1556</v>
      </c>
      <c r="V6354" s="186">
        <v>45738</v>
      </c>
      <c r="W6354" s="17" t="s">
        <v>44</v>
      </c>
      <c r="Y6354" s="68">
        <v>45717</v>
      </c>
      <c r="Z6354" s="17" t="s">
        <v>191</v>
      </c>
      <c r="AA6354" s="17" t="s">
        <v>46</v>
      </c>
      <c r="AB6354" s="17" t="s">
        <v>1560</v>
      </c>
      <c r="AC6354" s="217">
        <v>45750</v>
      </c>
      <c r="AD6354" s="65">
        <v>1670</v>
      </c>
      <c r="AE6354" s="17" t="s">
        <v>48</v>
      </c>
      <c r="AF6354" s="17" t="s">
        <v>1558</v>
      </c>
      <c r="AH6354" s="23" t="s">
        <v>1559</v>
      </c>
    </row>
    <row r="6355" s="17" customFormat="1" hidden="1" spans="1:34">
      <c r="A6355" s="17" t="s">
        <v>34</v>
      </c>
      <c r="B6355" s="19">
        <v>1052</v>
      </c>
      <c r="C6355" s="183">
        <v>45737</v>
      </c>
      <c r="D6355" s="17" t="s">
        <v>52</v>
      </c>
      <c r="E6355" s="17" t="s">
        <v>1555</v>
      </c>
      <c r="F6355" s="17" t="s">
        <v>54</v>
      </c>
      <c r="H6355" s="19">
        <v>1.2311</v>
      </c>
      <c r="I6355" s="19"/>
      <c r="J6355" s="17" t="s">
        <v>49</v>
      </c>
      <c r="K6355" s="290">
        <v>2240</v>
      </c>
      <c r="L6355" s="290">
        <v>140</v>
      </c>
      <c r="M6355" s="290">
        <v>5800</v>
      </c>
      <c r="N6355" s="19" t="s">
        <v>66</v>
      </c>
      <c r="O6355" s="19" t="s">
        <v>141</v>
      </c>
      <c r="P6355" s="19">
        <v>14560</v>
      </c>
      <c r="Q6355" s="19">
        <v>14560</v>
      </c>
      <c r="R6355" s="19">
        <f t="shared" si="278"/>
        <v>0</v>
      </c>
      <c r="S6355" s="19">
        <f>820+20+25-50</f>
        <v>815</v>
      </c>
      <c r="T6355" s="19" t="s">
        <v>42</v>
      </c>
      <c r="U6355" s="102" t="s">
        <v>1556</v>
      </c>
      <c r="V6355" s="186">
        <v>45738</v>
      </c>
      <c r="W6355" s="17" t="s">
        <v>44</v>
      </c>
      <c r="Y6355" s="68">
        <v>45717</v>
      </c>
      <c r="Z6355" s="17" t="s">
        <v>191</v>
      </c>
      <c r="AA6355" s="17" t="s">
        <v>46</v>
      </c>
      <c r="AB6355" s="17" t="s">
        <v>1557</v>
      </c>
      <c r="AC6355" s="217">
        <v>45750</v>
      </c>
      <c r="AD6355" s="65">
        <v>1672</v>
      </c>
      <c r="AE6355" s="17" t="s">
        <v>48</v>
      </c>
      <c r="AF6355" s="17" t="s">
        <v>1558</v>
      </c>
      <c r="AH6355" s="23" t="s">
        <v>1559</v>
      </c>
    </row>
    <row r="6356" s="17" customFormat="1" hidden="1" spans="1:34">
      <c r="A6356" s="17" t="s">
        <v>34</v>
      </c>
      <c r="B6356" s="19">
        <v>1052</v>
      </c>
      <c r="C6356" s="183">
        <v>45737</v>
      </c>
      <c r="D6356" s="17" t="s">
        <v>52</v>
      </c>
      <c r="E6356" s="17" t="s">
        <v>1555</v>
      </c>
      <c r="F6356" s="17" t="s">
        <v>54</v>
      </c>
      <c r="H6356" s="19">
        <v>1.2311</v>
      </c>
      <c r="I6356" s="19"/>
      <c r="J6356" s="17" t="s">
        <v>49</v>
      </c>
      <c r="K6356" s="290">
        <v>2240</v>
      </c>
      <c r="L6356" s="290">
        <v>155</v>
      </c>
      <c r="M6356" s="290">
        <v>5090</v>
      </c>
      <c r="N6356" s="19" t="s">
        <v>66</v>
      </c>
      <c r="O6356" s="19" t="s">
        <v>141</v>
      </c>
      <c r="P6356" s="19">
        <v>13940</v>
      </c>
      <c r="Q6356" s="19">
        <v>13940</v>
      </c>
      <c r="R6356" s="19">
        <f t="shared" si="278"/>
        <v>0</v>
      </c>
      <c r="S6356" s="19">
        <f>835+20+25-50</f>
        <v>830</v>
      </c>
      <c r="T6356" s="19" t="s">
        <v>42</v>
      </c>
      <c r="U6356" s="102" t="s">
        <v>1556</v>
      </c>
      <c r="V6356" s="186">
        <v>45738</v>
      </c>
      <c r="W6356" s="17" t="s">
        <v>44</v>
      </c>
      <c r="Y6356" s="68">
        <v>45717</v>
      </c>
      <c r="Z6356" s="17" t="s">
        <v>191</v>
      </c>
      <c r="AA6356" s="17" t="s">
        <v>46</v>
      </c>
      <c r="AB6356" s="17" t="s">
        <v>1560</v>
      </c>
      <c r="AC6356" s="217">
        <v>45750</v>
      </c>
      <c r="AD6356" s="65">
        <v>1670</v>
      </c>
      <c r="AE6356" s="17" t="s">
        <v>48</v>
      </c>
      <c r="AF6356" s="17" t="s">
        <v>1558</v>
      </c>
      <c r="AH6356" s="23" t="s">
        <v>1559</v>
      </c>
    </row>
    <row r="6357" s="17" customFormat="1" hidden="1" spans="1:34">
      <c r="A6357" s="17" t="s">
        <v>34</v>
      </c>
      <c r="B6357" s="19">
        <v>1052</v>
      </c>
      <c r="C6357" s="183">
        <v>45737</v>
      </c>
      <c r="D6357" s="17" t="s">
        <v>52</v>
      </c>
      <c r="E6357" s="17" t="s">
        <v>1555</v>
      </c>
      <c r="F6357" s="17" t="s">
        <v>54</v>
      </c>
      <c r="H6357" s="19">
        <v>1.2311</v>
      </c>
      <c r="I6357" s="19"/>
      <c r="J6357" s="17" t="s">
        <v>49</v>
      </c>
      <c r="K6357" s="290">
        <v>2240</v>
      </c>
      <c r="L6357" s="290">
        <v>180</v>
      </c>
      <c r="M6357" s="290">
        <v>5590</v>
      </c>
      <c r="N6357" s="19" t="s">
        <v>66</v>
      </c>
      <c r="O6357" s="19" t="s">
        <v>141</v>
      </c>
      <c r="P6357" s="19">
        <v>17730</v>
      </c>
      <c r="Q6357" s="19">
        <v>17730</v>
      </c>
      <c r="R6357" s="19">
        <f t="shared" si="278"/>
        <v>0</v>
      </c>
      <c r="S6357" s="19">
        <f>835+20+25-50</f>
        <v>830</v>
      </c>
      <c r="T6357" s="19" t="s">
        <v>42</v>
      </c>
      <c r="U6357" s="102" t="s">
        <v>1556</v>
      </c>
      <c r="V6357" s="186">
        <v>45738</v>
      </c>
      <c r="W6357" s="17" t="s">
        <v>44</v>
      </c>
      <c r="Y6357" s="68">
        <v>45717</v>
      </c>
      <c r="Z6357" s="17" t="s">
        <v>191</v>
      </c>
      <c r="AA6357" s="17" t="s">
        <v>46</v>
      </c>
      <c r="AB6357" s="17" t="s">
        <v>1557</v>
      </c>
      <c r="AC6357" s="217">
        <v>45750</v>
      </c>
      <c r="AD6357" s="65">
        <v>1672</v>
      </c>
      <c r="AE6357" s="17" t="s">
        <v>48</v>
      </c>
      <c r="AF6357" s="17" t="s">
        <v>1558</v>
      </c>
      <c r="AH6357" s="23" t="s">
        <v>1559</v>
      </c>
    </row>
    <row r="6358" s="17" customFormat="1" hidden="1" spans="1:34">
      <c r="A6358" s="17" t="s">
        <v>34</v>
      </c>
      <c r="B6358" s="19">
        <v>1052</v>
      </c>
      <c r="C6358" s="183">
        <v>45737</v>
      </c>
      <c r="D6358" s="17" t="s">
        <v>52</v>
      </c>
      <c r="E6358" s="17" t="s">
        <v>1555</v>
      </c>
      <c r="F6358" s="17" t="s">
        <v>54</v>
      </c>
      <c r="H6358" s="19">
        <v>1.2311</v>
      </c>
      <c r="I6358" s="19"/>
      <c r="J6358" s="17" t="s">
        <v>49</v>
      </c>
      <c r="K6358" s="167">
        <v>1020</v>
      </c>
      <c r="L6358" s="167">
        <v>50</v>
      </c>
      <c r="M6358" s="167">
        <v>2250</v>
      </c>
      <c r="N6358" s="19" t="s">
        <v>66</v>
      </c>
      <c r="O6358" s="19" t="s">
        <v>84</v>
      </c>
      <c r="P6358" s="19">
        <v>2702</v>
      </c>
      <c r="Q6358" s="19">
        <f>904+898</f>
        <v>1802</v>
      </c>
      <c r="S6358" s="19">
        <f t="shared" ref="S6358:S6372" si="279">895-50</f>
        <v>845</v>
      </c>
      <c r="T6358" s="19" t="s">
        <v>42</v>
      </c>
      <c r="U6358" s="102" t="s">
        <v>1556</v>
      </c>
      <c r="V6358" s="186">
        <v>45738</v>
      </c>
      <c r="W6358" s="17" t="s">
        <v>44</v>
      </c>
      <c r="Y6358" s="68">
        <v>45717</v>
      </c>
      <c r="Z6358" s="17" t="s">
        <v>191</v>
      </c>
      <c r="AA6358" s="17" t="s">
        <v>46</v>
      </c>
      <c r="AB6358" s="17" t="s">
        <v>1560</v>
      </c>
      <c r="AC6358" s="217">
        <v>45750</v>
      </c>
      <c r="AD6358" s="65">
        <v>1670</v>
      </c>
      <c r="AE6358" s="17" t="s">
        <v>48</v>
      </c>
      <c r="AF6358" s="17" t="s">
        <v>1558</v>
      </c>
    </row>
    <row r="6359" s="17" customFormat="1" hidden="1" spans="1:34">
      <c r="A6359" s="17" t="s">
        <v>34</v>
      </c>
      <c r="B6359" s="19">
        <v>1052</v>
      </c>
      <c r="C6359" s="183">
        <v>45737</v>
      </c>
      <c r="D6359" s="17" t="s">
        <v>52</v>
      </c>
      <c r="E6359" s="17" t="s">
        <v>1555</v>
      </c>
      <c r="F6359" s="17" t="s">
        <v>54</v>
      </c>
      <c r="H6359" s="19">
        <v>1.2311</v>
      </c>
      <c r="I6359" s="19"/>
      <c r="J6359" s="17" t="s">
        <v>49</v>
      </c>
      <c r="K6359" s="167">
        <v>1020</v>
      </c>
      <c r="L6359" s="167">
        <v>50</v>
      </c>
      <c r="M6359" s="167">
        <v>2250</v>
      </c>
      <c r="N6359" s="19" t="s">
        <v>66</v>
      </c>
      <c r="O6359" s="19" t="s">
        <v>84</v>
      </c>
      <c r="P6359" s="19"/>
      <c r="Q6359" s="19">
        <v>896</v>
      </c>
      <c r="R6359" s="19">
        <f>+P6358-Q6358-Q6359</f>
        <v>4</v>
      </c>
      <c r="S6359" s="19">
        <f t="shared" si="279"/>
        <v>845</v>
      </c>
      <c r="T6359" s="19" t="s">
        <v>42</v>
      </c>
      <c r="U6359" s="102" t="s">
        <v>1556</v>
      </c>
      <c r="V6359" s="186">
        <v>45738</v>
      </c>
      <c r="W6359" s="17" t="s">
        <v>44</v>
      </c>
      <c r="Y6359" s="68">
        <v>45717</v>
      </c>
      <c r="Z6359" s="17" t="s">
        <v>191</v>
      </c>
      <c r="AA6359" s="17" t="s">
        <v>46</v>
      </c>
      <c r="AB6359" s="17" t="s">
        <v>1557</v>
      </c>
      <c r="AC6359" s="217">
        <v>45750</v>
      </c>
      <c r="AD6359" s="65">
        <v>1672</v>
      </c>
      <c r="AE6359" s="17" t="s">
        <v>48</v>
      </c>
      <c r="AF6359" s="17" t="s">
        <v>1558</v>
      </c>
    </row>
    <row r="6360" s="17" customFormat="1" hidden="1" spans="1:34">
      <c r="A6360" s="17" t="s">
        <v>34</v>
      </c>
      <c r="B6360" s="19">
        <v>1052</v>
      </c>
      <c r="C6360" s="183">
        <v>45737</v>
      </c>
      <c r="D6360" s="17" t="s">
        <v>52</v>
      </c>
      <c r="E6360" s="17" t="s">
        <v>1555</v>
      </c>
      <c r="F6360" s="17" t="s">
        <v>54</v>
      </c>
      <c r="H6360" s="19">
        <v>1.2311</v>
      </c>
      <c r="I6360" s="19"/>
      <c r="J6360" s="17" t="s">
        <v>49</v>
      </c>
      <c r="K6360" s="167">
        <v>510</v>
      </c>
      <c r="L6360" s="167">
        <v>50</v>
      </c>
      <c r="M6360" s="167">
        <v>2250</v>
      </c>
      <c r="N6360" s="19" t="s">
        <v>66</v>
      </c>
      <c r="O6360" s="19" t="s">
        <v>84</v>
      </c>
      <c r="P6360" s="19">
        <v>2702</v>
      </c>
      <c r="Q6360" s="290">
        <f>447+450+450+450+450</f>
        <v>2247</v>
      </c>
      <c r="S6360" s="19">
        <f t="shared" si="279"/>
        <v>845</v>
      </c>
      <c r="T6360" s="19" t="s">
        <v>42</v>
      </c>
      <c r="U6360" s="102" t="s">
        <v>1556</v>
      </c>
      <c r="V6360" s="186">
        <v>45738</v>
      </c>
      <c r="W6360" s="17" t="s">
        <v>44</v>
      </c>
      <c r="Y6360" s="68">
        <v>45717</v>
      </c>
      <c r="Z6360" s="17" t="s">
        <v>191</v>
      </c>
      <c r="AA6360" s="17" t="s">
        <v>46</v>
      </c>
      <c r="AB6360" s="17" t="s">
        <v>1560</v>
      </c>
      <c r="AC6360" s="217">
        <v>45750</v>
      </c>
      <c r="AD6360" s="65">
        <v>1670</v>
      </c>
      <c r="AE6360" s="17" t="s">
        <v>48</v>
      </c>
      <c r="AF6360" s="17" t="s">
        <v>1558</v>
      </c>
    </row>
    <row r="6361" s="17" customFormat="1" hidden="1" spans="1:34">
      <c r="A6361" s="17" t="s">
        <v>34</v>
      </c>
      <c r="B6361" s="19">
        <v>1052</v>
      </c>
      <c r="C6361" s="183">
        <v>45737</v>
      </c>
      <c r="D6361" s="17" t="s">
        <v>52</v>
      </c>
      <c r="E6361" s="17" t="s">
        <v>1555</v>
      </c>
      <c r="F6361" s="17" t="s">
        <v>54</v>
      </c>
      <c r="H6361" s="19">
        <v>1.2311</v>
      </c>
      <c r="I6361" s="19"/>
      <c r="J6361" s="17" t="s">
        <v>49</v>
      </c>
      <c r="K6361" s="167">
        <v>510</v>
      </c>
      <c r="L6361" s="167">
        <v>50</v>
      </c>
      <c r="M6361" s="167">
        <v>2250</v>
      </c>
      <c r="N6361" s="19" t="s">
        <v>66</v>
      </c>
      <c r="O6361" s="19" t="s">
        <v>84</v>
      </c>
      <c r="P6361" s="19"/>
      <c r="Q6361" s="290">
        <v>454</v>
      </c>
      <c r="R6361" s="19">
        <f>+P6360-Q6360-Q6361</f>
        <v>1</v>
      </c>
      <c r="S6361" s="19">
        <f t="shared" si="279"/>
        <v>845</v>
      </c>
      <c r="T6361" s="19" t="s">
        <v>42</v>
      </c>
      <c r="U6361" s="102" t="s">
        <v>1556</v>
      </c>
      <c r="V6361" s="186">
        <v>45738</v>
      </c>
      <c r="W6361" s="17" t="s">
        <v>44</v>
      </c>
      <c r="Y6361" s="68">
        <v>45717</v>
      </c>
      <c r="Z6361" s="17" t="s">
        <v>191</v>
      </c>
      <c r="AA6361" s="17" t="s">
        <v>46</v>
      </c>
      <c r="AB6361" s="17" t="s">
        <v>1557</v>
      </c>
      <c r="AC6361" s="217">
        <v>45750</v>
      </c>
      <c r="AD6361" s="65">
        <v>1672</v>
      </c>
      <c r="AE6361" s="17" t="s">
        <v>48</v>
      </c>
      <c r="AF6361" s="17" t="s">
        <v>1558</v>
      </c>
    </row>
    <row r="6362" s="17" customFormat="1" hidden="1" spans="1:34">
      <c r="A6362" s="17" t="s">
        <v>34</v>
      </c>
      <c r="B6362" s="19">
        <v>1052</v>
      </c>
      <c r="C6362" s="183">
        <v>45737</v>
      </c>
      <c r="D6362" s="17" t="s">
        <v>52</v>
      </c>
      <c r="E6362" s="17" t="s">
        <v>1555</v>
      </c>
      <c r="F6362" s="17" t="s">
        <v>54</v>
      </c>
      <c r="H6362" s="19">
        <v>1.2311</v>
      </c>
      <c r="I6362" s="19"/>
      <c r="J6362" s="17" t="s">
        <v>49</v>
      </c>
      <c r="K6362" s="167">
        <v>1010</v>
      </c>
      <c r="L6362" s="167">
        <v>56</v>
      </c>
      <c r="M6362" s="167">
        <v>2250</v>
      </c>
      <c r="N6362" s="19" t="s">
        <v>66</v>
      </c>
      <c r="O6362" s="19" t="s">
        <v>84</v>
      </c>
      <c r="P6362" s="19">
        <v>1998</v>
      </c>
      <c r="Q6362" s="19">
        <f>987+979</f>
        <v>1966</v>
      </c>
      <c r="R6362" s="19">
        <f>+P6362-Q6362</f>
        <v>32</v>
      </c>
      <c r="S6362" s="19">
        <f t="shared" si="279"/>
        <v>845</v>
      </c>
      <c r="T6362" s="19" t="s">
        <v>42</v>
      </c>
      <c r="U6362" s="102" t="s">
        <v>1556</v>
      </c>
      <c r="V6362" s="186">
        <v>45738</v>
      </c>
      <c r="W6362" s="17" t="s">
        <v>44</v>
      </c>
      <c r="Y6362" s="68">
        <v>45717</v>
      </c>
      <c r="Z6362" s="17" t="s">
        <v>191</v>
      </c>
      <c r="AA6362" s="17" t="s">
        <v>46</v>
      </c>
      <c r="AB6362" s="17" t="s">
        <v>1560</v>
      </c>
      <c r="AC6362" s="217">
        <v>45750</v>
      </c>
      <c r="AD6362" s="65">
        <v>1670</v>
      </c>
      <c r="AE6362" s="17" t="s">
        <v>48</v>
      </c>
      <c r="AF6362" s="17" t="s">
        <v>1558</v>
      </c>
    </row>
    <row r="6363" s="17" customFormat="1" hidden="1" spans="1:34">
      <c r="A6363" s="17" t="s">
        <v>34</v>
      </c>
      <c r="B6363" s="19">
        <v>1052</v>
      </c>
      <c r="C6363" s="183">
        <v>45737</v>
      </c>
      <c r="D6363" s="17" t="s">
        <v>52</v>
      </c>
      <c r="E6363" s="17" t="s">
        <v>1555</v>
      </c>
      <c r="F6363" s="17" t="s">
        <v>54</v>
      </c>
      <c r="H6363" s="19">
        <v>1.2311</v>
      </c>
      <c r="I6363" s="19"/>
      <c r="J6363" s="17" t="s">
        <v>49</v>
      </c>
      <c r="K6363" s="167">
        <v>1010</v>
      </c>
      <c r="L6363" s="167">
        <v>60</v>
      </c>
      <c r="M6363" s="167">
        <v>2250</v>
      </c>
      <c r="N6363" s="19" t="s">
        <v>66</v>
      </c>
      <c r="O6363" s="19" t="s">
        <v>84</v>
      </c>
      <c r="P6363" s="19">
        <v>2141</v>
      </c>
      <c r="Q6363" s="19">
        <f>1058+1059</f>
        <v>2117</v>
      </c>
      <c r="R6363" s="19">
        <f>+P6363-Q6363</f>
        <v>24</v>
      </c>
      <c r="S6363" s="19">
        <f t="shared" si="279"/>
        <v>845</v>
      </c>
      <c r="T6363" s="19" t="s">
        <v>42</v>
      </c>
      <c r="U6363" s="102" t="s">
        <v>1556</v>
      </c>
      <c r="V6363" s="186">
        <v>45738</v>
      </c>
      <c r="W6363" s="17" t="s">
        <v>44</v>
      </c>
      <c r="Y6363" s="68">
        <v>45717</v>
      </c>
      <c r="Z6363" s="17" t="s">
        <v>191</v>
      </c>
      <c r="AA6363" s="17" t="s">
        <v>46</v>
      </c>
      <c r="AB6363" s="17" t="s">
        <v>1557</v>
      </c>
      <c r="AC6363" s="217">
        <v>45750</v>
      </c>
      <c r="AD6363" s="65">
        <v>1672</v>
      </c>
      <c r="AE6363" s="17" t="s">
        <v>48</v>
      </c>
      <c r="AF6363" s="17" t="s">
        <v>1558</v>
      </c>
    </row>
    <row r="6364" s="17" customFormat="1" hidden="1" spans="1:34">
      <c r="A6364" s="17" t="s">
        <v>34</v>
      </c>
      <c r="B6364" s="19">
        <v>1052</v>
      </c>
      <c r="C6364" s="183">
        <v>45737</v>
      </c>
      <c r="D6364" s="17" t="s">
        <v>52</v>
      </c>
      <c r="E6364" s="17" t="s">
        <v>1555</v>
      </c>
      <c r="F6364" s="17" t="s">
        <v>54</v>
      </c>
      <c r="H6364" s="19">
        <v>1.2311</v>
      </c>
      <c r="I6364" s="19"/>
      <c r="J6364" s="17" t="s">
        <v>49</v>
      </c>
      <c r="K6364" s="167">
        <v>1010</v>
      </c>
      <c r="L6364" s="167">
        <v>65</v>
      </c>
      <c r="M6364" s="167">
        <v>2250</v>
      </c>
      <c r="N6364" s="19" t="s">
        <v>66</v>
      </c>
      <c r="O6364" s="19" t="s">
        <v>84</v>
      </c>
      <c r="P6364" s="19">
        <v>2319</v>
      </c>
      <c r="Q6364" s="19">
        <f>1150+1150</f>
        <v>2300</v>
      </c>
      <c r="R6364" s="19">
        <f>+P6364-Q6364</f>
        <v>19</v>
      </c>
      <c r="S6364" s="19">
        <f t="shared" si="279"/>
        <v>845</v>
      </c>
      <c r="T6364" s="19" t="s">
        <v>42</v>
      </c>
      <c r="U6364" s="102" t="s">
        <v>1556</v>
      </c>
      <c r="V6364" s="186">
        <v>45738</v>
      </c>
      <c r="W6364" s="17" t="s">
        <v>44</v>
      </c>
      <c r="Y6364" s="68">
        <v>45717</v>
      </c>
      <c r="Z6364" s="17" t="s">
        <v>191</v>
      </c>
      <c r="AA6364" s="17" t="s">
        <v>46</v>
      </c>
      <c r="AB6364" s="17" t="s">
        <v>1557</v>
      </c>
      <c r="AC6364" s="217">
        <v>45750</v>
      </c>
      <c r="AD6364" s="65">
        <v>1672</v>
      </c>
      <c r="AE6364" s="17" t="s">
        <v>48</v>
      </c>
      <c r="AF6364" s="17" t="s">
        <v>1558</v>
      </c>
    </row>
    <row r="6365" s="17" customFormat="1" hidden="1" spans="1:34">
      <c r="A6365" s="17" t="s">
        <v>34</v>
      </c>
      <c r="B6365" s="19">
        <v>1052</v>
      </c>
      <c r="C6365" s="183">
        <v>45737</v>
      </c>
      <c r="D6365" s="17" t="s">
        <v>52</v>
      </c>
      <c r="E6365" s="17" t="s">
        <v>1555</v>
      </c>
      <c r="F6365" s="17" t="s">
        <v>54</v>
      </c>
      <c r="H6365" s="19">
        <v>1.2311</v>
      </c>
      <c r="I6365" s="19"/>
      <c r="J6365" s="17" t="s">
        <v>49</v>
      </c>
      <c r="K6365" s="167">
        <v>1010</v>
      </c>
      <c r="L6365" s="167">
        <v>71</v>
      </c>
      <c r="M6365" s="167">
        <v>2250</v>
      </c>
      <c r="N6365" s="19" t="s">
        <v>66</v>
      </c>
      <c r="O6365" s="19" t="s">
        <v>84</v>
      </c>
      <c r="P6365" s="19">
        <v>2533</v>
      </c>
      <c r="Q6365" s="19">
        <f>1238+1236</f>
        <v>2474</v>
      </c>
      <c r="R6365" s="19">
        <f>+P6365-Q6365</f>
        <v>59</v>
      </c>
      <c r="S6365" s="19">
        <f t="shared" si="279"/>
        <v>845</v>
      </c>
      <c r="T6365" s="19" t="s">
        <v>42</v>
      </c>
      <c r="U6365" s="102" t="s">
        <v>1556</v>
      </c>
      <c r="V6365" s="186">
        <v>45738</v>
      </c>
      <c r="W6365" s="17" t="s">
        <v>44</v>
      </c>
      <c r="Y6365" s="68">
        <v>45717</v>
      </c>
      <c r="Z6365" s="17" t="s">
        <v>191</v>
      </c>
      <c r="AA6365" s="17" t="s">
        <v>46</v>
      </c>
      <c r="AB6365" s="17" t="s">
        <v>1557</v>
      </c>
      <c r="AC6365" s="217">
        <v>45750</v>
      </c>
      <c r="AD6365" s="65">
        <v>1672</v>
      </c>
      <c r="AE6365" s="17" t="s">
        <v>48</v>
      </c>
      <c r="AF6365" s="17" t="s">
        <v>1558</v>
      </c>
    </row>
    <row r="6366" s="17" customFormat="1" hidden="1" spans="1:34">
      <c r="A6366" s="17" t="s">
        <v>34</v>
      </c>
      <c r="B6366" s="19">
        <v>1052</v>
      </c>
      <c r="C6366" s="183">
        <v>45737</v>
      </c>
      <c r="D6366" s="17" t="s">
        <v>52</v>
      </c>
      <c r="E6366" s="17" t="s">
        <v>1555</v>
      </c>
      <c r="F6366" s="17" t="s">
        <v>54</v>
      </c>
      <c r="H6366" s="19">
        <v>1.2311</v>
      </c>
      <c r="I6366" s="19"/>
      <c r="J6366" s="17" t="s">
        <v>49</v>
      </c>
      <c r="K6366" s="167">
        <v>1010</v>
      </c>
      <c r="L6366" s="167">
        <v>80</v>
      </c>
      <c r="M6366" s="167">
        <v>2250</v>
      </c>
      <c r="N6366" s="19" t="s">
        <v>66</v>
      </c>
      <c r="O6366" s="19" t="s">
        <v>84</v>
      </c>
      <c r="P6366" s="19">
        <v>2854</v>
      </c>
      <c r="Q6366" s="19">
        <v>1420</v>
      </c>
      <c r="S6366" s="19">
        <f t="shared" si="279"/>
        <v>845</v>
      </c>
      <c r="T6366" s="19" t="s">
        <v>42</v>
      </c>
      <c r="U6366" s="102" t="s">
        <v>1556</v>
      </c>
      <c r="V6366" s="186">
        <v>45738</v>
      </c>
      <c r="W6366" s="17" t="s">
        <v>44</v>
      </c>
      <c r="Y6366" s="68">
        <v>45717</v>
      </c>
      <c r="Z6366" s="17" t="s">
        <v>191</v>
      </c>
      <c r="AA6366" s="17" t="s">
        <v>46</v>
      </c>
      <c r="AB6366" s="17" t="s">
        <v>1560</v>
      </c>
      <c r="AC6366" s="217">
        <v>45750</v>
      </c>
      <c r="AD6366" s="65">
        <v>1670</v>
      </c>
      <c r="AE6366" s="17" t="s">
        <v>48</v>
      </c>
      <c r="AF6366" s="17" t="s">
        <v>1558</v>
      </c>
    </row>
    <row r="6367" s="17" customFormat="1" hidden="1" spans="1:34">
      <c r="A6367" s="17" t="s">
        <v>34</v>
      </c>
      <c r="B6367" s="19">
        <v>1052</v>
      </c>
      <c r="C6367" s="183">
        <v>45737</v>
      </c>
      <c r="D6367" s="17" t="s">
        <v>52</v>
      </c>
      <c r="E6367" s="17" t="s">
        <v>1555</v>
      </c>
      <c r="F6367" s="17" t="s">
        <v>54</v>
      </c>
      <c r="H6367" s="19">
        <v>1.2311</v>
      </c>
      <c r="I6367" s="19"/>
      <c r="J6367" s="17" t="s">
        <v>49</v>
      </c>
      <c r="K6367" s="167">
        <v>1010</v>
      </c>
      <c r="L6367" s="167">
        <v>80</v>
      </c>
      <c r="M6367" s="167">
        <v>2250</v>
      </c>
      <c r="N6367" s="19" t="s">
        <v>66</v>
      </c>
      <c r="O6367" s="19" t="s">
        <v>84</v>
      </c>
      <c r="P6367" s="19"/>
      <c r="Q6367" s="19">
        <v>1459</v>
      </c>
      <c r="R6367" s="19">
        <f>+P6366-Q6366-Q6367</f>
        <v>-25</v>
      </c>
      <c r="S6367" s="19">
        <f t="shared" si="279"/>
        <v>845</v>
      </c>
      <c r="T6367" s="19" t="s">
        <v>42</v>
      </c>
      <c r="U6367" s="102" t="s">
        <v>1556</v>
      </c>
      <c r="V6367" s="186">
        <v>45738</v>
      </c>
      <c r="W6367" s="17" t="s">
        <v>44</v>
      </c>
      <c r="Y6367" s="68">
        <v>45717</v>
      </c>
      <c r="Z6367" s="17" t="s">
        <v>191</v>
      </c>
      <c r="AA6367" s="17" t="s">
        <v>46</v>
      </c>
      <c r="AB6367" s="17" t="s">
        <v>1557</v>
      </c>
      <c r="AC6367" s="217">
        <v>45750</v>
      </c>
      <c r="AD6367" s="65">
        <v>1672</v>
      </c>
      <c r="AE6367" s="17" t="s">
        <v>48</v>
      </c>
      <c r="AF6367" s="17" t="s">
        <v>1558</v>
      </c>
    </row>
    <row r="6368" s="17" customFormat="1" hidden="1" spans="1:34">
      <c r="A6368" s="17" t="s">
        <v>34</v>
      </c>
      <c r="B6368" s="19">
        <v>1052</v>
      </c>
      <c r="C6368" s="183">
        <v>45737</v>
      </c>
      <c r="D6368" s="17" t="s">
        <v>52</v>
      </c>
      <c r="E6368" s="17" t="s">
        <v>1555</v>
      </c>
      <c r="F6368" s="17" t="s">
        <v>54</v>
      </c>
      <c r="H6368" s="19">
        <v>1.2311</v>
      </c>
      <c r="I6368" s="19"/>
      <c r="J6368" s="17" t="s">
        <v>49</v>
      </c>
      <c r="K6368" s="167">
        <v>1010</v>
      </c>
      <c r="L6368" s="167">
        <v>90</v>
      </c>
      <c r="M6368" s="167">
        <v>2250</v>
      </c>
      <c r="N6368" s="19" t="s">
        <v>66</v>
      </c>
      <c r="O6368" s="19" t="s">
        <v>84</v>
      </c>
      <c r="P6368" s="19">
        <v>3211</v>
      </c>
      <c r="Q6368" s="19">
        <v>1483</v>
      </c>
      <c r="S6368" s="19">
        <f t="shared" si="279"/>
        <v>845</v>
      </c>
      <c r="T6368" s="19" t="s">
        <v>42</v>
      </c>
      <c r="U6368" s="102" t="s">
        <v>1556</v>
      </c>
      <c r="V6368" s="186">
        <v>45738</v>
      </c>
      <c r="W6368" s="17" t="s">
        <v>44</v>
      </c>
      <c r="Y6368" s="68">
        <v>45717</v>
      </c>
      <c r="Z6368" s="17" t="s">
        <v>191</v>
      </c>
      <c r="AA6368" s="17" t="s">
        <v>46</v>
      </c>
      <c r="AB6368" s="17" t="s">
        <v>1560</v>
      </c>
      <c r="AC6368" s="217">
        <v>45750</v>
      </c>
      <c r="AD6368" s="65">
        <v>1670</v>
      </c>
      <c r="AE6368" s="17" t="s">
        <v>48</v>
      </c>
      <c r="AF6368" s="17" t="s">
        <v>1558</v>
      </c>
    </row>
    <row r="6369" s="17" customFormat="1" hidden="1" spans="1:46">
      <c r="A6369" s="17" t="s">
        <v>34</v>
      </c>
      <c r="B6369" s="19">
        <v>1052</v>
      </c>
      <c r="C6369" s="183">
        <v>45737</v>
      </c>
      <c r="D6369" s="17" t="s">
        <v>52</v>
      </c>
      <c r="E6369" s="17" t="s">
        <v>1555</v>
      </c>
      <c r="F6369" s="17" t="s">
        <v>54</v>
      </c>
      <c r="H6369" s="19">
        <v>1.2311</v>
      </c>
      <c r="I6369" s="19"/>
      <c r="J6369" s="17" t="s">
        <v>49</v>
      </c>
      <c r="K6369" s="167">
        <v>1010</v>
      </c>
      <c r="L6369" s="167">
        <v>90</v>
      </c>
      <c r="M6369" s="167">
        <v>2250</v>
      </c>
      <c r="N6369" s="19" t="s">
        <v>66</v>
      </c>
      <c r="O6369" s="19" t="s">
        <v>84</v>
      </c>
      <c r="P6369" s="19"/>
      <c r="Q6369" s="19">
        <v>1488</v>
      </c>
      <c r="R6369" s="19">
        <f>+P6368-Q6368-Q6369</f>
        <v>240</v>
      </c>
      <c r="S6369" s="19">
        <f t="shared" si="279"/>
        <v>845</v>
      </c>
      <c r="T6369" s="19" t="s">
        <v>42</v>
      </c>
      <c r="U6369" s="102" t="s">
        <v>1556</v>
      </c>
      <c r="V6369" s="186">
        <v>45738</v>
      </c>
      <c r="W6369" s="17" t="s">
        <v>44</v>
      </c>
      <c r="Y6369" s="68">
        <v>45717</v>
      </c>
      <c r="Z6369" s="17" t="s">
        <v>191</v>
      </c>
      <c r="AA6369" s="17" t="s">
        <v>46</v>
      </c>
      <c r="AB6369" s="17" t="s">
        <v>1557</v>
      </c>
      <c r="AC6369" s="217">
        <v>45750</v>
      </c>
      <c r="AD6369" s="65">
        <v>1672</v>
      </c>
      <c r="AE6369" s="17" t="s">
        <v>48</v>
      </c>
      <c r="AF6369" s="17" t="s">
        <v>1558</v>
      </c>
    </row>
    <row r="6370" s="17" customFormat="1" hidden="1" spans="1:46">
      <c r="A6370" s="17" t="s">
        <v>34</v>
      </c>
      <c r="B6370" s="19">
        <v>1052</v>
      </c>
      <c r="C6370" s="183">
        <v>45737</v>
      </c>
      <c r="D6370" s="17" t="s">
        <v>52</v>
      </c>
      <c r="E6370" s="17" t="s">
        <v>1555</v>
      </c>
      <c r="F6370" s="17" t="s">
        <v>54</v>
      </c>
      <c r="H6370" s="19">
        <v>1.2311</v>
      </c>
      <c r="I6370" s="19"/>
      <c r="J6370" s="17" t="s">
        <v>49</v>
      </c>
      <c r="K6370" s="167">
        <v>1010</v>
      </c>
      <c r="L6370" s="167">
        <v>100</v>
      </c>
      <c r="M6370" s="167">
        <v>2250</v>
      </c>
      <c r="N6370" s="19" t="s">
        <v>66</v>
      </c>
      <c r="O6370" s="19" t="s">
        <v>84</v>
      </c>
      <c r="P6370" s="19">
        <v>1784</v>
      </c>
      <c r="Q6370" s="19">
        <v>1676</v>
      </c>
      <c r="R6370" s="19">
        <f t="shared" ref="R6370:R6396" si="280">+P6370-Q6370</f>
        <v>108</v>
      </c>
      <c r="S6370" s="19">
        <f t="shared" si="279"/>
        <v>845</v>
      </c>
      <c r="T6370" s="19" t="s">
        <v>42</v>
      </c>
      <c r="U6370" s="102" t="s">
        <v>1556</v>
      </c>
      <c r="V6370" s="186">
        <v>45738</v>
      </c>
      <c r="W6370" s="17" t="s">
        <v>44</v>
      </c>
      <c r="Y6370" s="68">
        <v>45717</v>
      </c>
      <c r="Z6370" s="17" t="s">
        <v>191</v>
      </c>
      <c r="AA6370" s="17" t="s">
        <v>46</v>
      </c>
      <c r="AB6370" s="17" t="s">
        <v>1557</v>
      </c>
      <c r="AC6370" s="217">
        <v>45750</v>
      </c>
      <c r="AD6370" s="65">
        <v>1672</v>
      </c>
      <c r="AE6370" s="17" t="s">
        <v>48</v>
      </c>
      <c r="AF6370" s="17" t="s">
        <v>1558</v>
      </c>
    </row>
    <row r="6371" s="17" customFormat="1" hidden="1" spans="1:46">
      <c r="A6371" s="17" t="s">
        <v>34</v>
      </c>
      <c r="B6371" s="19">
        <v>1052</v>
      </c>
      <c r="C6371" s="183">
        <v>45737</v>
      </c>
      <c r="D6371" s="17" t="s">
        <v>52</v>
      </c>
      <c r="E6371" s="17" t="s">
        <v>1555</v>
      </c>
      <c r="F6371" s="17" t="s">
        <v>54</v>
      </c>
      <c r="H6371" s="19">
        <v>1.2311</v>
      </c>
      <c r="I6371" s="19"/>
      <c r="J6371" s="17" t="s">
        <v>49</v>
      </c>
      <c r="K6371" s="167">
        <v>1010</v>
      </c>
      <c r="L6371" s="167">
        <v>105</v>
      </c>
      <c r="M6371" s="167">
        <v>2250</v>
      </c>
      <c r="N6371" s="19" t="s">
        <v>66</v>
      </c>
      <c r="O6371" s="19" t="s">
        <v>84</v>
      </c>
      <c r="P6371" s="19">
        <v>1873</v>
      </c>
      <c r="Q6371" s="19">
        <v>1843</v>
      </c>
      <c r="R6371" s="19">
        <f t="shared" si="280"/>
        <v>30</v>
      </c>
      <c r="S6371" s="19">
        <f t="shared" si="279"/>
        <v>845</v>
      </c>
      <c r="T6371" s="19" t="s">
        <v>42</v>
      </c>
      <c r="U6371" s="102" t="s">
        <v>1556</v>
      </c>
      <c r="V6371" s="186">
        <v>45738</v>
      </c>
      <c r="W6371" s="17" t="s">
        <v>44</v>
      </c>
      <c r="Y6371" s="68">
        <v>45717</v>
      </c>
      <c r="Z6371" s="17" t="s">
        <v>191</v>
      </c>
      <c r="AA6371" s="17" t="s">
        <v>46</v>
      </c>
      <c r="AB6371" s="17" t="s">
        <v>1560</v>
      </c>
      <c r="AC6371" s="217">
        <v>45750</v>
      </c>
      <c r="AD6371" s="65">
        <v>1670</v>
      </c>
      <c r="AE6371" s="17" t="s">
        <v>48</v>
      </c>
      <c r="AF6371" s="17" t="s">
        <v>1558</v>
      </c>
    </row>
    <row r="6372" s="25" customFormat="1" hidden="1" spans="1:46">
      <c r="A6372" s="17" t="s">
        <v>34</v>
      </c>
      <c r="B6372" s="19">
        <v>1052</v>
      </c>
      <c r="C6372" s="183">
        <v>45737</v>
      </c>
      <c r="D6372" s="17" t="s">
        <v>52</v>
      </c>
      <c r="E6372" s="17" t="s">
        <v>1555</v>
      </c>
      <c r="F6372" s="17" t="s">
        <v>54</v>
      </c>
      <c r="G6372" s="17"/>
      <c r="H6372" s="19">
        <v>1.2311</v>
      </c>
      <c r="I6372" s="19"/>
      <c r="J6372" s="17" t="s">
        <v>49</v>
      </c>
      <c r="K6372" s="167">
        <v>1010</v>
      </c>
      <c r="L6372" s="167">
        <v>120</v>
      </c>
      <c r="M6372" s="167">
        <v>2250</v>
      </c>
      <c r="N6372" s="19" t="s">
        <v>66</v>
      </c>
      <c r="O6372" s="19" t="s">
        <v>84</v>
      </c>
      <c r="P6372" s="19">
        <v>2141</v>
      </c>
      <c r="Q6372" s="19">
        <v>2086</v>
      </c>
      <c r="R6372" s="19">
        <f t="shared" si="280"/>
        <v>55</v>
      </c>
      <c r="S6372" s="19">
        <f t="shared" si="279"/>
        <v>845</v>
      </c>
      <c r="T6372" s="19" t="s">
        <v>42</v>
      </c>
      <c r="U6372" s="102" t="s">
        <v>1556</v>
      </c>
      <c r="V6372" s="186">
        <v>45738</v>
      </c>
      <c r="W6372" s="17" t="s">
        <v>44</v>
      </c>
      <c r="X6372" s="17"/>
      <c r="Y6372" s="68">
        <v>45717</v>
      </c>
      <c r="Z6372" s="17" t="s">
        <v>191</v>
      </c>
      <c r="AA6372" s="17" t="s">
        <v>46</v>
      </c>
      <c r="AB6372" s="17" t="s">
        <v>1557</v>
      </c>
      <c r="AC6372" s="217">
        <v>45750</v>
      </c>
      <c r="AD6372" s="65">
        <v>1672</v>
      </c>
      <c r="AE6372" s="17" t="s">
        <v>48</v>
      </c>
      <c r="AF6372" s="17" t="s">
        <v>1558</v>
      </c>
      <c r="AG6372" s="17"/>
      <c r="AH6372" s="17"/>
      <c r="AI6372" s="17"/>
      <c r="AJ6372" s="17"/>
      <c r="AL6372" s="17"/>
      <c r="AM6372" s="17"/>
      <c r="AN6372" s="17"/>
      <c r="AO6372" s="17"/>
      <c r="AP6372" s="17"/>
      <c r="AQ6372" s="17"/>
      <c r="AR6372" s="17"/>
      <c r="AS6372" s="17"/>
      <c r="AT6372" s="17"/>
    </row>
    <row r="6373" s="25" customFormat="1" hidden="1" spans="1:46">
      <c r="A6373" s="17" t="s">
        <v>34</v>
      </c>
      <c r="B6373" s="19">
        <v>1053</v>
      </c>
      <c r="C6373" s="183">
        <v>45741</v>
      </c>
      <c r="D6373" s="17" t="s">
        <v>91</v>
      </c>
      <c r="E6373" s="17" t="s">
        <v>550</v>
      </c>
      <c r="F6373" s="17" t="s">
        <v>93</v>
      </c>
      <c r="G6373" s="17"/>
      <c r="H6373" s="19">
        <v>1.2085</v>
      </c>
      <c r="I6373" s="19"/>
      <c r="J6373" s="17" t="s">
        <v>49</v>
      </c>
      <c r="K6373" s="19">
        <v>2000</v>
      </c>
      <c r="L6373" s="19">
        <v>40</v>
      </c>
      <c r="M6373" s="19">
        <v>5000</v>
      </c>
      <c r="N6373" s="19" t="s">
        <v>66</v>
      </c>
      <c r="O6373" s="19" t="s">
        <v>141</v>
      </c>
      <c r="P6373" s="99">
        <v>3140</v>
      </c>
      <c r="Q6373" s="19">
        <v>3195</v>
      </c>
      <c r="R6373" s="99">
        <f t="shared" si="280"/>
        <v>-55</v>
      </c>
      <c r="S6373" s="291">
        <v>2680</v>
      </c>
      <c r="T6373" s="19" t="s">
        <v>94</v>
      </c>
      <c r="U6373" s="102">
        <v>20048162</v>
      </c>
      <c r="V6373" s="186">
        <v>45741</v>
      </c>
      <c r="W6373" s="17" t="s">
        <v>44</v>
      </c>
      <c r="X6373" s="17"/>
      <c r="Y6373" s="68">
        <v>45778</v>
      </c>
      <c r="Z6373" s="17" t="s">
        <v>1561</v>
      </c>
      <c r="AA6373" s="17" t="s">
        <v>46</v>
      </c>
      <c r="AB6373" s="17">
        <v>25201110791</v>
      </c>
      <c r="AC6373" s="217">
        <v>45811</v>
      </c>
      <c r="AD6373" s="65">
        <v>1685</v>
      </c>
      <c r="AE6373" s="17" t="s">
        <v>48</v>
      </c>
      <c r="AF6373" s="17"/>
      <c r="AG6373" s="17"/>
      <c r="AH6373" s="17"/>
      <c r="AI6373" s="17"/>
      <c r="AJ6373" s="17"/>
      <c r="AK6373" s="17"/>
      <c r="AL6373" s="17"/>
      <c r="AM6373" s="17"/>
      <c r="AN6373" s="17"/>
      <c r="AO6373" s="17"/>
      <c r="AP6373" s="17"/>
      <c r="AQ6373" s="17"/>
      <c r="AR6373" s="17"/>
      <c r="AS6373" s="17"/>
    </row>
    <row r="6374" s="25" customFormat="1" hidden="1" spans="1:46">
      <c r="A6374" s="17" t="s">
        <v>34</v>
      </c>
      <c r="B6374" s="19">
        <v>1053</v>
      </c>
      <c r="C6374" s="183">
        <v>45741</v>
      </c>
      <c r="D6374" s="17" t="s">
        <v>91</v>
      </c>
      <c r="E6374" s="17" t="s">
        <v>550</v>
      </c>
      <c r="F6374" s="17" t="s">
        <v>93</v>
      </c>
      <c r="G6374" s="17"/>
      <c r="H6374" s="19">
        <v>1.2085</v>
      </c>
      <c r="I6374" s="19"/>
      <c r="J6374" s="17" t="s">
        <v>49</v>
      </c>
      <c r="K6374" s="19">
        <v>2000</v>
      </c>
      <c r="L6374" s="19">
        <v>50</v>
      </c>
      <c r="M6374" s="19">
        <v>5000</v>
      </c>
      <c r="N6374" s="19" t="s">
        <v>66</v>
      </c>
      <c r="O6374" s="19" t="s">
        <v>141</v>
      </c>
      <c r="P6374" s="99">
        <v>3925</v>
      </c>
      <c r="Q6374" s="19">
        <v>3980</v>
      </c>
      <c r="R6374" s="99">
        <f t="shared" si="280"/>
        <v>-55.0000000000005</v>
      </c>
      <c r="S6374" s="291">
        <v>2680</v>
      </c>
      <c r="T6374" s="19" t="s">
        <v>94</v>
      </c>
      <c r="U6374" s="102">
        <v>20048162</v>
      </c>
      <c r="V6374" s="186">
        <v>45741</v>
      </c>
      <c r="W6374" s="17" t="s">
        <v>44</v>
      </c>
      <c r="X6374" s="17"/>
      <c r="Y6374" s="68">
        <v>45778</v>
      </c>
      <c r="Z6374" s="17" t="s">
        <v>1561</v>
      </c>
      <c r="AA6374" s="17" t="s">
        <v>46</v>
      </c>
      <c r="AB6374" s="17">
        <v>25201110682</v>
      </c>
      <c r="AC6374" s="217">
        <v>45810</v>
      </c>
      <c r="AD6374" s="65">
        <v>1685</v>
      </c>
      <c r="AE6374" s="17" t="s">
        <v>48</v>
      </c>
      <c r="AF6374" s="17"/>
      <c r="AG6374" s="17"/>
      <c r="AH6374" s="17"/>
      <c r="AI6374" s="17"/>
      <c r="AJ6374" s="17"/>
      <c r="AK6374" s="17"/>
      <c r="AL6374" s="17"/>
      <c r="AM6374" s="17"/>
      <c r="AN6374" s="17"/>
      <c r="AO6374" s="17"/>
      <c r="AP6374" s="17"/>
      <c r="AQ6374" s="17"/>
      <c r="AR6374" s="17"/>
      <c r="AS6374" s="17"/>
    </row>
    <row r="6375" s="25" customFormat="1" hidden="1" spans="1:46">
      <c r="A6375" s="17" t="s">
        <v>34</v>
      </c>
      <c r="B6375" s="19">
        <v>1053</v>
      </c>
      <c r="C6375" s="183">
        <v>45741</v>
      </c>
      <c r="D6375" s="17" t="s">
        <v>91</v>
      </c>
      <c r="E6375" s="17" t="s">
        <v>550</v>
      </c>
      <c r="F6375" s="17" t="s">
        <v>93</v>
      </c>
      <c r="G6375" s="17"/>
      <c r="H6375" s="19">
        <v>1.2085</v>
      </c>
      <c r="I6375" s="19"/>
      <c r="J6375" s="17" t="s">
        <v>49</v>
      </c>
      <c r="K6375" s="19">
        <v>2000</v>
      </c>
      <c r="L6375" s="19">
        <v>56</v>
      </c>
      <c r="M6375" s="19">
        <v>5000</v>
      </c>
      <c r="N6375" s="19" t="s">
        <v>66</v>
      </c>
      <c r="O6375" s="19" t="s">
        <v>141</v>
      </c>
      <c r="P6375" s="99">
        <v>4396</v>
      </c>
      <c r="Q6375" s="19">
        <v>4445</v>
      </c>
      <c r="R6375" s="99">
        <f t="shared" si="280"/>
        <v>-49</v>
      </c>
      <c r="S6375" s="291">
        <v>2680</v>
      </c>
      <c r="T6375" s="19" t="s">
        <v>94</v>
      </c>
      <c r="U6375" s="102">
        <v>20048162</v>
      </c>
      <c r="V6375" s="186">
        <v>45741</v>
      </c>
      <c r="W6375" s="17" t="s">
        <v>44</v>
      </c>
      <c r="X6375" s="17"/>
      <c r="Y6375" s="68">
        <v>45778</v>
      </c>
      <c r="Z6375" s="17" t="s">
        <v>1561</v>
      </c>
      <c r="AA6375" s="17" t="s">
        <v>46</v>
      </c>
      <c r="AB6375" s="17">
        <v>25201110444</v>
      </c>
      <c r="AC6375" s="217">
        <v>45806</v>
      </c>
      <c r="AD6375" s="65">
        <v>1685</v>
      </c>
      <c r="AE6375" s="17" t="s">
        <v>48</v>
      </c>
      <c r="AF6375" s="17"/>
      <c r="AG6375" s="17"/>
      <c r="AH6375" s="17"/>
      <c r="AI6375" s="17"/>
      <c r="AJ6375" s="17"/>
      <c r="AK6375" s="17"/>
      <c r="AL6375" s="17"/>
      <c r="AM6375" s="17"/>
      <c r="AN6375" s="17"/>
      <c r="AO6375" s="17"/>
      <c r="AP6375" s="17"/>
      <c r="AQ6375" s="17"/>
      <c r="AR6375" s="17"/>
      <c r="AS6375" s="17"/>
    </row>
    <row r="6376" s="25" customFormat="1" hidden="1" spans="1:46">
      <c r="A6376" s="17" t="s">
        <v>34</v>
      </c>
      <c r="B6376" s="19">
        <v>1053</v>
      </c>
      <c r="C6376" s="183">
        <v>45741</v>
      </c>
      <c r="D6376" s="17" t="s">
        <v>91</v>
      </c>
      <c r="E6376" s="17" t="s">
        <v>550</v>
      </c>
      <c r="F6376" s="17" t="s">
        <v>93</v>
      </c>
      <c r="G6376" s="17"/>
      <c r="H6376" s="19">
        <v>1.2085</v>
      </c>
      <c r="I6376" s="19"/>
      <c r="J6376" s="17" t="s">
        <v>49</v>
      </c>
      <c r="K6376" s="19">
        <v>2000</v>
      </c>
      <c r="L6376" s="19">
        <v>65</v>
      </c>
      <c r="M6376" s="19">
        <v>5000</v>
      </c>
      <c r="N6376" s="19" t="s">
        <v>66</v>
      </c>
      <c r="O6376" s="19" t="s">
        <v>141</v>
      </c>
      <c r="P6376" s="99">
        <v>5102.5</v>
      </c>
      <c r="Q6376" s="19">
        <v>5175</v>
      </c>
      <c r="R6376" s="99">
        <f t="shared" si="280"/>
        <v>-72.5</v>
      </c>
      <c r="S6376" s="291">
        <v>2680</v>
      </c>
      <c r="T6376" s="19" t="s">
        <v>94</v>
      </c>
      <c r="U6376" s="102">
        <v>20048162</v>
      </c>
      <c r="V6376" s="186">
        <v>45741</v>
      </c>
      <c r="W6376" s="17" t="s">
        <v>44</v>
      </c>
      <c r="X6376" s="17"/>
      <c r="Y6376" s="68">
        <v>45778</v>
      </c>
      <c r="Z6376" s="17" t="s">
        <v>1561</v>
      </c>
      <c r="AA6376" s="17" t="s">
        <v>46</v>
      </c>
      <c r="AB6376" s="17">
        <v>25201110682</v>
      </c>
      <c r="AC6376" s="217">
        <v>45810</v>
      </c>
      <c r="AD6376" s="65">
        <v>1685</v>
      </c>
      <c r="AE6376" s="17" t="s">
        <v>48</v>
      </c>
      <c r="AF6376" s="17"/>
      <c r="AG6376" s="17"/>
      <c r="AH6376" s="17"/>
      <c r="AI6376" s="17"/>
      <c r="AJ6376" s="17"/>
      <c r="AK6376" s="17"/>
      <c r="AL6376" s="17"/>
      <c r="AM6376" s="17"/>
      <c r="AN6376" s="17"/>
      <c r="AO6376" s="17"/>
      <c r="AP6376" s="17"/>
      <c r="AQ6376" s="17"/>
      <c r="AR6376" s="17"/>
      <c r="AS6376" s="17"/>
    </row>
    <row r="6377" s="25" customFormat="1" hidden="1" spans="1:46">
      <c r="A6377" s="17" t="s">
        <v>34</v>
      </c>
      <c r="B6377" s="19">
        <v>1053</v>
      </c>
      <c r="C6377" s="183">
        <v>45741</v>
      </c>
      <c r="D6377" s="17" t="s">
        <v>91</v>
      </c>
      <c r="E6377" s="17" t="s">
        <v>550</v>
      </c>
      <c r="F6377" s="17" t="s">
        <v>93</v>
      </c>
      <c r="G6377" s="17"/>
      <c r="H6377" s="19">
        <v>1.2085</v>
      </c>
      <c r="I6377" s="19"/>
      <c r="J6377" s="17" t="s">
        <v>49</v>
      </c>
      <c r="K6377" s="19">
        <v>2000</v>
      </c>
      <c r="L6377" s="19">
        <v>70</v>
      </c>
      <c r="M6377" s="19">
        <v>5000</v>
      </c>
      <c r="N6377" s="19" t="s">
        <v>66</v>
      </c>
      <c r="O6377" s="19" t="s">
        <v>141</v>
      </c>
      <c r="P6377" s="94">
        <v>5495</v>
      </c>
      <c r="Q6377" s="19">
        <v>5545</v>
      </c>
      <c r="R6377" s="19">
        <f t="shared" si="280"/>
        <v>-50</v>
      </c>
      <c r="S6377" s="291">
        <v>2680</v>
      </c>
      <c r="T6377" s="19" t="s">
        <v>94</v>
      </c>
      <c r="U6377" s="102">
        <v>20048162</v>
      </c>
      <c r="V6377" s="186">
        <v>45741</v>
      </c>
      <c r="W6377" s="17" t="s">
        <v>44</v>
      </c>
      <c r="X6377" s="17"/>
      <c r="Y6377" s="68">
        <v>45778</v>
      </c>
      <c r="Z6377" s="17" t="s">
        <v>1561</v>
      </c>
      <c r="AA6377" s="17" t="s">
        <v>46</v>
      </c>
      <c r="AB6377" s="17">
        <v>25201110444</v>
      </c>
      <c r="AC6377" s="217">
        <v>45806</v>
      </c>
      <c r="AD6377" s="65">
        <v>1685</v>
      </c>
      <c r="AE6377" s="17" t="s">
        <v>48</v>
      </c>
      <c r="AF6377" s="17"/>
      <c r="AG6377" s="17"/>
      <c r="AH6377" s="17"/>
      <c r="AI6377" s="17"/>
      <c r="AJ6377" s="17"/>
      <c r="AK6377" s="17"/>
      <c r="AL6377" s="17"/>
      <c r="AM6377" s="17"/>
      <c r="AN6377" s="17"/>
      <c r="AO6377" s="17"/>
      <c r="AP6377" s="17"/>
      <c r="AQ6377" s="17"/>
      <c r="AR6377" s="17"/>
      <c r="AS6377" s="17"/>
    </row>
    <row r="6378" s="25" customFormat="1" hidden="1" spans="1:46">
      <c r="A6378" s="17" t="s">
        <v>34</v>
      </c>
      <c r="B6378" s="19">
        <v>1053</v>
      </c>
      <c r="C6378" s="183">
        <v>45741</v>
      </c>
      <c r="D6378" s="17" t="s">
        <v>91</v>
      </c>
      <c r="E6378" s="17" t="s">
        <v>550</v>
      </c>
      <c r="F6378" s="17" t="s">
        <v>93</v>
      </c>
      <c r="G6378" s="17"/>
      <c r="H6378" s="19">
        <v>1.2085</v>
      </c>
      <c r="I6378" s="19"/>
      <c r="J6378" s="17" t="s">
        <v>49</v>
      </c>
      <c r="K6378" s="19">
        <v>2000</v>
      </c>
      <c r="L6378" s="19">
        <v>80</v>
      </c>
      <c r="M6378" s="19">
        <v>5000</v>
      </c>
      <c r="N6378" s="19" t="s">
        <v>66</v>
      </c>
      <c r="O6378" s="19" t="s">
        <v>141</v>
      </c>
      <c r="P6378" s="365">
        <v>6280</v>
      </c>
      <c r="Q6378" s="19">
        <v>6335</v>
      </c>
      <c r="R6378" s="19">
        <f t="shared" si="280"/>
        <v>-55.0000000000009</v>
      </c>
      <c r="S6378" s="291">
        <v>2680</v>
      </c>
      <c r="T6378" s="19" t="s">
        <v>94</v>
      </c>
      <c r="U6378" s="102">
        <v>20048162</v>
      </c>
      <c r="V6378" s="186">
        <v>45741</v>
      </c>
      <c r="W6378" s="17" t="s">
        <v>44</v>
      </c>
      <c r="X6378" s="17"/>
      <c r="Y6378" s="68">
        <v>45778</v>
      </c>
      <c r="Z6378" s="17" t="s">
        <v>1561</v>
      </c>
      <c r="AA6378" s="17" t="s">
        <v>46</v>
      </c>
      <c r="AB6378" s="17">
        <v>25201110682</v>
      </c>
      <c r="AC6378" s="217">
        <v>45810</v>
      </c>
      <c r="AD6378" s="65">
        <v>1685</v>
      </c>
      <c r="AE6378" s="17" t="s">
        <v>48</v>
      </c>
      <c r="AF6378" s="17"/>
      <c r="AG6378" s="17"/>
      <c r="AH6378" s="17"/>
      <c r="AI6378" s="17"/>
      <c r="AJ6378" s="17"/>
      <c r="AK6378" s="17"/>
      <c r="AL6378" s="17"/>
      <c r="AM6378" s="17"/>
      <c r="AN6378" s="17"/>
      <c r="AO6378" s="17"/>
      <c r="AP6378" s="17"/>
      <c r="AQ6378" s="17"/>
      <c r="AR6378" s="17"/>
      <c r="AS6378" s="17"/>
    </row>
    <row r="6379" s="25" customFormat="1" hidden="1" spans="1:46">
      <c r="A6379" s="17" t="s">
        <v>34</v>
      </c>
      <c r="B6379" s="19">
        <v>1053</v>
      </c>
      <c r="C6379" s="183">
        <v>45741</v>
      </c>
      <c r="D6379" s="17" t="s">
        <v>91</v>
      </c>
      <c r="E6379" s="17" t="s">
        <v>550</v>
      </c>
      <c r="F6379" s="17" t="s">
        <v>93</v>
      </c>
      <c r="G6379" s="17"/>
      <c r="H6379" s="19">
        <v>1.2085</v>
      </c>
      <c r="I6379" s="19"/>
      <c r="J6379" s="17" t="s">
        <v>49</v>
      </c>
      <c r="K6379" s="19">
        <v>2000</v>
      </c>
      <c r="L6379" s="19">
        <v>90</v>
      </c>
      <c r="M6379" s="19">
        <v>5000</v>
      </c>
      <c r="N6379" s="19" t="s">
        <v>66</v>
      </c>
      <c r="O6379" s="19" t="s">
        <v>141</v>
      </c>
      <c r="P6379" s="365">
        <v>7065</v>
      </c>
      <c r="Q6379" s="19">
        <v>7120</v>
      </c>
      <c r="R6379" s="19">
        <f t="shared" si="280"/>
        <v>-55.0000000000009</v>
      </c>
      <c r="S6379" s="291">
        <v>2680</v>
      </c>
      <c r="T6379" s="19" t="s">
        <v>94</v>
      </c>
      <c r="U6379" s="102">
        <v>20048162</v>
      </c>
      <c r="V6379" s="186">
        <v>45741</v>
      </c>
      <c r="W6379" s="17" t="s">
        <v>44</v>
      </c>
      <c r="X6379" s="17"/>
      <c r="Y6379" s="68">
        <v>45778</v>
      </c>
      <c r="Z6379" s="17" t="s">
        <v>1561</v>
      </c>
      <c r="AA6379" s="17" t="s">
        <v>46</v>
      </c>
      <c r="AB6379" s="17">
        <v>25201110444</v>
      </c>
      <c r="AC6379" s="217">
        <v>45806</v>
      </c>
      <c r="AD6379" s="65">
        <v>1685</v>
      </c>
      <c r="AE6379" s="17" t="s">
        <v>48</v>
      </c>
      <c r="AF6379" s="17"/>
      <c r="AG6379" s="17"/>
      <c r="AH6379" s="17"/>
      <c r="AI6379" s="17"/>
      <c r="AJ6379" s="17"/>
      <c r="AK6379" s="17"/>
      <c r="AL6379" s="17"/>
      <c r="AM6379" s="17"/>
      <c r="AN6379" s="17"/>
      <c r="AO6379" s="17"/>
      <c r="AP6379" s="17"/>
      <c r="AQ6379" s="17"/>
      <c r="AR6379" s="17"/>
      <c r="AS6379" s="17"/>
    </row>
    <row r="6380" s="25" customFormat="1" hidden="1" spans="1:46">
      <c r="A6380" s="17" t="s">
        <v>34</v>
      </c>
      <c r="B6380" s="19">
        <v>1053</v>
      </c>
      <c r="C6380" s="183">
        <v>45741</v>
      </c>
      <c r="D6380" s="17" t="s">
        <v>91</v>
      </c>
      <c r="E6380" s="17" t="s">
        <v>550</v>
      </c>
      <c r="F6380" s="17" t="s">
        <v>93</v>
      </c>
      <c r="G6380" s="17"/>
      <c r="H6380" s="19">
        <v>1.2085</v>
      </c>
      <c r="I6380" s="19"/>
      <c r="J6380" s="17" t="s">
        <v>49</v>
      </c>
      <c r="K6380" s="19">
        <v>2000</v>
      </c>
      <c r="L6380" s="19">
        <v>100</v>
      </c>
      <c r="M6380" s="19">
        <v>5000</v>
      </c>
      <c r="N6380" s="19" t="s">
        <v>66</v>
      </c>
      <c r="O6380" s="19" t="s">
        <v>141</v>
      </c>
      <c r="P6380" s="365">
        <v>7850</v>
      </c>
      <c r="Q6380" s="19">
        <v>7905</v>
      </c>
      <c r="R6380" s="19">
        <f t="shared" si="280"/>
        <v>-55.0000000000009</v>
      </c>
      <c r="S6380" s="291">
        <v>2680</v>
      </c>
      <c r="T6380" s="19" t="s">
        <v>94</v>
      </c>
      <c r="U6380" s="102">
        <v>20048162</v>
      </c>
      <c r="V6380" s="186">
        <v>45741</v>
      </c>
      <c r="W6380" s="17" t="s">
        <v>44</v>
      </c>
      <c r="X6380" s="17"/>
      <c r="Y6380" s="68">
        <v>45778</v>
      </c>
      <c r="Z6380" s="17" t="s">
        <v>1561</v>
      </c>
      <c r="AA6380" s="17" t="s">
        <v>46</v>
      </c>
      <c r="AB6380" s="17">
        <v>25201110682</v>
      </c>
      <c r="AC6380" s="217">
        <v>45810</v>
      </c>
      <c r="AD6380" s="65">
        <v>1685</v>
      </c>
      <c r="AE6380" s="17" t="s">
        <v>48</v>
      </c>
      <c r="AF6380" s="17"/>
      <c r="AG6380" s="17"/>
      <c r="AH6380" s="17"/>
      <c r="AI6380" s="17"/>
      <c r="AJ6380" s="17"/>
      <c r="AK6380" s="17"/>
      <c r="AL6380" s="17"/>
      <c r="AM6380" s="17"/>
      <c r="AN6380" s="17"/>
      <c r="AO6380" s="17"/>
      <c r="AP6380" s="17"/>
      <c r="AQ6380" s="17"/>
      <c r="AR6380" s="17"/>
      <c r="AS6380" s="17"/>
    </row>
    <row r="6381" s="25" customFormat="1" hidden="1" spans="1:46">
      <c r="A6381" s="17" t="s">
        <v>34</v>
      </c>
      <c r="B6381" s="19">
        <v>1053</v>
      </c>
      <c r="C6381" s="183">
        <v>45741</v>
      </c>
      <c r="D6381" s="17" t="s">
        <v>91</v>
      </c>
      <c r="E6381" s="17" t="s">
        <v>550</v>
      </c>
      <c r="F6381" s="17" t="s">
        <v>93</v>
      </c>
      <c r="G6381" s="17"/>
      <c r="H6381" s="19">
        <v>1.2085</v>
      </c>
      <c r="I6381" s="19"/>
      <c r="J6381" s="17" t="s">
        <v>49</v>
      </c>
      <c r="K6381" s="19">
        <v>2000</v>
      </c>
      <c r="L6381" s="19">
        <v>105</v>
      </c>
      <c r="M6381" s="19">
        <v>5000</v>
      </c>
      <c r="N6381" s="19" t="s">
        <v>66</v>
      </c>
      <c r="O6381" s="19" t="s">
        <v>141</v>
      </c>
      <c r="P6381" s="365">
        <v>8242</v>
      </c>
      <c r="Q6381" s="19">
        <v>8300</v>
      </c>
      <c r="R6381" s="19">
        <f t="shared" si="280"/>
        <v>-58</v>
      </c>
      <c r="S6381" s="291">
        <v>2680</v>
      </c>
      <c r="T6381" s="19" t="s">
        <v>94</v>
      </c>
      <c r="U6381" s="102">
        <v>20048162</v>
      </c>
      <c r="V6381" s="186">
        <v>45741</v>
      </c>
      <c r="W6381" s="17" t="s">
        <v>44</v>
      </c>
      <c r="X6381" s="17"/>
      <c r="Y6381" s="68">
        <v>45778</v>
      </c>
      <c r="Z6381" s="17" t="s">
        <v>1561</v>
      </c>
      <c r="AA6381" s="17" t="s">
        <v>46</v>
      </c>
      <c r="AB6381" s="17">
        <v>25201110444</v>
      </c>
      <c r="AC6381" s="217">
        <v>45806</v>
      </c>
      <c r="AD6381" s="65">
        <v>1685</v>
      </c>
      <c r="AE6381" s="17" t="s">
        <v>48</v>
      </c>
      <c r="AF6381" s="17"/>
      <c r="AG6381" s="17"/>
      <c r="AH6381" s="17"/>
      <c r="AI6381" s="17"/>
      <c r="AJ6381" s="17"/>
      <c r="AK6381" s="17"/>
      <c r="AL6381" s="17"/>
      <c r="AM6381" s="17"/>
      <c r="AN6381" s="17"/>
      <c r="AO6381" s="17"/>
      <c r="AP6381" s="17"/>
      <c r="AQ6381" s="17"/>
      <c r="AR6381" s="17"/>
      <c r="AS6381" s="17"/>
    </row>
    <row r="6382" s="25" customFormat="1" hidden="1" spans="1:46">
      <c r="A6382" s="17" t="s">
        <v>34</v>
      </c>
      <c r="B6382" s="19">
        <v>1054</v>
      </c>
      <c r="C6382" s="183">
        <v>45747</v>
      </c>
      <c r="D6382" s="17" t="s">
        <v>35</v>
      </c>
      <c r="E6382" s="17" t="s">
        <v>718</v>
      </c>
      <c r="F6382" s="17" t="s">
        <v>37</v>
      </c>
      <c r="G6382" s="17"/>
      <c r="H6382" s="19">
        <v>1.2344</v>
      </c>
      <c r="I6382" s="19"/>
      <c r="J6382" s="17" t="s">
        <v>39</v>
      </c>
      <c r="K6382" s="19">
        <v>282</v>
      </c>
      <c r="L6382" s="91"/>
      <c r="M6382" s="19"/>
      <c r="N6382" s="19" t="s">
        <v>40</v>
      </c>
      <c r="O6382" s="19" t="s">
        <v>50</v>
      </c>
      <c r="P6382" s="19">
        <v>1844</v>
      </c>
      <c r="Q6382" s="19">
        <v>1814</v>
      </c>
      <c r="R6382" s="19">
        <f t="shared" si="280"/>
        <v>30</v>
      </c>
      <c r="S6382" s="19">
        <v>3110</v>
      </c>
      <c r="T6382" s="19" t="s">
        <v>42</v>
      </c>
      <c r="U6382" s="102" t="s">
        <v>1562</v>
      </c>
      <c r="V6382" s="186">
        <v>45747</v>
      </c>
      <c r="W6382" s="17" t="s">
        <v>44</v>
      </c>
      <c r="X6382" s="17"/>
      <c r="Y6382" s="68">
        <v>45748</v>
      </c>
      <c r="Z6382" s="17" t="s">
        <v>78</v>
      </c>
      <c r="AA6382" s="17" t="s">
        <v>46</v>
      </c>
      <c r="AB6382" s="17" t="s">
        <v>1533</v>
      </c>
      <c r="AC6382" s="217">
        <v>45897</v>
      </c>
      <c r="AD6382" s="65">
        <v>1711</v>
      </c>
      <c r="AE6382" s="17" t="s">
        <v>252</v>
      </c>
      <c r="AF6382" s="17" t="s">
        <v>1532</v>
      </c>
      <c r="AG6382" s="17"/>
      <c r="AH6382" s="17"/>
      <c r="AI6382" s="17"/>
      <c r="AJ6382" s="17"/>
      <c r="AK6382" s="17"/>
      <c r="AL6382" s="17"/>
      <c r="AM6382" s="17"/>
      <c r="AN6382" s="17"/>
      <c r="AO6382" s="17"/>
      <c r="AP6382" s="17"/>
      <c r="AQ6382" s="17"/>
      <c r="AR6382" s="17"/>
      <c r="AS6382" s="17"/>
    </row>
    <row r="6383" s="25" customFormat="1" hidden="1" spans="1:46">
      <c r="A6383" s="17" t="s">
        <v>34</v>
      </c>
      <c r="B6383" s="19">
        <v>1054</v>
      </c>
      <c r="C6383" s="183">
        <v>45747</v>
      </c>
      <c r="D6383" s="17" t="s">
        <v>35</v>
      </c>
      <c r="E6383" s="17" t="s">
        <v>718</v>
      </c>
      <c r="F6383" s="17" t="s">
        <v>37</v>
      </c>
      <c r="G6383" s="17"/>
      <c r="H6383" s="19">
        <v>1.2344</v>
      </c>
      <c r="I6383" s="19"/>
      <c r="J6383" s="17" t="s">
        <v>39</v>
      </c>
      <c r="K6383" s="19">
        <v>402</v>
      </c>
      <c r="L6383" s="91"/>
      <c r="M6383" s="19"/>
      <c r="N6383" s="19" t="s">
        <v>40</v>
      </c>
      <c r="O6383" s="19" t="s">
        <v>50</v>
      </c>
      <c r="P6383" s="19">
        <v>5170</v>
      </c>
      <c r="Q6383" s="19">
        <v>5028</v>
      </c>
      <c r="R6383" s="19">
        <f t="shared" si="280"/>
        <v>142</v>
      </c>
      <c r="S6383" s="19">
        <v>3110</v>
      </c>
      <c r="T6383" s="19" t="s">
        <v>42</v>
      </c>
      <c r="U6383" s="102" t="s">
        <v>1562</v>
      </c>
      <c r="V6383" s="186">
        <v>45747</v>
      </c>
      <c r="W6383" s="17" t="s">
        <v>44</v>
      </c>
      <c r="X6383" s="17"/>
      <c r="Y6383" s="68">
        <v>45748</v>
      </c>
      <c r="Z6383" s="17" t="s">
        <v>78</v>
      </c>
      <c r="AA6383" s="17" t="s">
        <v>46</v>
      </c>
      <c r="AB6383" s="17" t="s">
        <v>1533</v>
      </c>
      <c r="AC6383" s="217">
        <v>45897</v>
      </c>
      <c r="AD6383" s="65">
        <v>1711</v>
      </c>
      <c r="AE6383" s="17" t="s">
        <v>252</v>
      </c>
      <c r="AF6383" s="17" t="s">
        <v>1532</v>
      </c>
      <c r="AG6383" s="17"/>
      <c r="AH6383" s="17"/>
      <c r="AI6383" s="17"/>
      <c r="AJ6383" s="17"/>
      <c r="AK6383" s="17"/>
      <c r="AL6383" s="17"/>
      <c r="AM6383" s="17"/>
      <c r="AN6383" s="17"/>
      <c r="AO6383" s="17"/>
      <c r="AP6383" s="17"/>
      <c r="AQ6383" s="17"/>
      <c r="AR6383" s="17"/>
      <c r="AS6383" s="17"/>
    </row>
    <row r="6384" s="25" customFormat="1" hidden="1" spans="1:46">
      <c r="A6384" s="17" t="s">
        <v>34</v>
      </c>
      <c r="B6384" s="19">
        <v>1055</v>
      </c>
      <c r="C6384" s="183">
        <v>45763</v>
      </c>
      <c r="D6384" s="17" t="s">
        <v>52</v>
      </c>
      <c r="E6384" s="17" t="s">
        <v>53</v>
      </c>
      <c r="F6384" s="17" t="s">
        <v>54</v>
      </c>
      <c r="G6384" s="17"/>
      <c r="H6384" s="19">
        <v>1.2311</v>
      </c>
      <c r="I6384" s="19"/>
      <c r="J6384" s="17" t="s">
        <v>82</v>
      </c>
      <c r="K6384" s="19">
        <v>610</v>
      </c>
      <c r="L6384" s="19">
        <v>40</v>
      </c>
      <c r="M6384" s="19">
        <v>2250</v>
      </c>
      <c r="N6384" s="19" t="s">
        <v>66</v>
      </c>
      <c r="O6384" s="19" t="s">
        <v>141</v>
      </c>
      <c r="P6384" s="19">
        <v>453</v>
      </c>
      <c r="Q6384" s="98">
        <v>453</v>
      </c>
      <c r="R6384" s="98">
        <f t="shared" si="280"/>
        <v>0</v>
      </c>
      <c r="S6384" s="176">
        <v>1025</v>
      </c>
      <c r="T6384" s="19" t="s">
        <v>42</v>
      </c>
      <c r="U6384" s="102" t="s">
        <v>1563</v>
      </c>
      <c r="V6384" s="186">
        <v>45763</v>
      </c>
      <c r="W6384" s="17" t="s">
        <v>69</v>
      </c>
      <c r="X6384" s="17"/>
      <c r="Y6384" s="68">
        <v>45809</v>
      </c>
      <c r="Z6384" s="17" t="s">
        <v>191</v>
      </c>
      <c r="AA6384" s="17" t="s">
        <v>46</v>
      </c>
      <c r="AB6384" s="17" t="s">
        <v>1564</v>
      </c>
      <c r="AC6384" s="217">
        <v>45832</v>
      </c>
      <c r="AD6384" s="65">
        <v>1698</v>
      </c>
      <c r="AE6384" s="17" t="s">
        <v>48</v>
      </c>
      <c r="AF6384" s="17" t="s">
        <v>560</v>
      </c>
      <c r="AG6384" s="17"/>
      <c r="AH6384" s="17"/>
      <c r="AI6384" s="17"/>
      <c r="AJ6384" s="17"/>
      <c r="AK6384" s="17"/>
      <c r="AL6384" s="17"/>
      <c r="AM6384" s="17"/>
      <c r="AN6384" s="17"/>
      <c r="AO6384" s="17"/>
      <c r="AP6384" s="17"/>
      <c r="AQ6384" s="17"/>
      <c r="AR6384" s="17"/>
      <c r="AS6384" s="17"/>
    </row>
    <row r="6385" s="25" customFormat="1" hidden="1" spans="1:45">
      <c r="A6385" s="17" t="s">
        <v>34</v>
      </c>
      <c r="B6385" s="19">
        <v>1055</v>
      </c>
      <c r="C6385" s="183">
        <v>45763</v>
      </c>
      <c r="D6385" s="17" t="s">
        <v>52</v>
      </c>
      <c r="E6385" s="17" t="s">
        <v>53</v>
      </c>
      <c r="F6385" s="17" t="s">
        <v>54</v>
      </c>
      <c r="G6385" s="17"/>
      <c r="H6385" s="19">
        <v>1.2311</v>
      </c>
      <c r="I6385" s="19"/>
      <c r="J6385" s="17" t="s">
        <v>82</v>
      </c>
      <c r="K6385" s="19">
        <v>710</v>
      </c>
      <c r="L6385" s="19">
        <v>40</v>
      </c>
      <c r="M6385" s="19">
        <v>2250</v>
      </c>
      <c r="N6385" s="19" t="s">
        <v>66</v>
      </c>
      <c r="O6385" s="19" t="s">
        <v>141</v>
      </c>
      <c r="P6385" s="19">
        <v>700</v>
      </c>
      <c r="Q6385" s="98">
        <v>529</v>
      </c>
      <c r="R6385" s="98">
        <f t="shared" si="280"/>
        <v>171</v>
      </c>
      <c r="S6385" s="167">
        <v>1025</v>
      </c>
      <c r="T6385" s="19" t="s">
        <v>42</v>
      </c>
      <c r="U6385" s="102" t="s">
        <v>1563</v>
      </c>
      <c r="V6385" s="186">
        <v>45763</v>
      </c>
      <c r="W6385" s="17" t="s">
        <v>69</v>
      </c>
      <c r="X6385" s="17"/>
      <c r="Y6385" s="68">
        <v>45809</v>
      </c>
      <c r="Z6385" s="17" t="s">
        <v>191</v>
      </c>
      <c r="AA6385" s="17" t="s">
        <v>46</v>
      </c>
      <c r="AB6385" s="17" t="s">
        <v>1564</v>
      </c>
      <c r="AC6385" s="217">
        <v>45832</v>
      </c>
      <c r="AD6385" s="65">
        <v>1698</v>
      </c>
      <c r="AE6385" s="17" t="s">
        <v>48</v>
      </c>
      <c r="AF6385" s="17" t="s">
        <v>560</v>
      </c>
      <c r="AG6385" s="17"/>
      <c r="AH6385" s="17"/>
      <c r="AI6385" s="17"/>
      <c r="AJ6385" s="17"/>
      <c r="AK6385" s="17"/>
      <c r="AL6385" s="17"/>
      <c r="AM6385" s="17"/>
      <c r="AN6385" s="17"/>
      <c r="AO6385" s="17"/>
      <c r="AP6385" s="17"/>
      <c r="AQ6385" s="17"/>
      <c r="AR6385" s="17"/>
      <c r="AS6385" s="17"/>
    </row>
    <row r="6386" s="25" customFormat="1" hidden="1" spans="1:45">
      <c r="A6386" s="17" t="s">
        <v>34</v>
      </c>
      <c r="B6386" s="19">
        <v>1055</v>
      </c>
      <c r="C6386" s="183">
        <v>45763</v>
      </c>
      <c r="D6386" s="17" t="s">
        <v>52</v>
      </c>
      <c r="E6386" s="17" t="s">
        <v>53</v>
      </c>
      <c r="F6386" s="17" t="s">
        <v>54</v>
      </c>
      <c r="G6386" s="17"/>
      <c r="H6386" s="19">
        <v>1.2311</v>
      </c>
      <c r="I6386" s="19"/>
      <c r="J6386" s="17" t="s">
        <v>82</v>
      </c>
      <c r="K6386" s="19">
        <v>810</v>
      </c>
      <c r="L6386" s="19">
        <v>40</v>
      </c>
      <c r="M6386" s="19">
        <v>2250</v>
      </c>
      <c r="N6386" s="19" t="s">
        <v>66</v>
      </c>
      <c r="O6386" s="19" t="s">
        <v>141</v>
      </c>
      <c r="P6386" s="19">
        <v>700</v>
      </c>
      <c r="Q6386" s="98">
        <v>603</v>
      </c>
      <c r="R6386" s="98">
        <f t="shared" si="280"/>
        <v>97</v>
      </c>
      <c r="S6386" s="167">
        <v>1025</v>
      </c>
      <c r="T6386" s="19" t="s">
        <v>42</v>
      </c>
      <c r="U6386" s="102" t="s">
        <v>1563</v>
      </c>
      <c r="V6386" s="186">
        <v>45763</v>
      </c>
      <c r="W6386" s="17" t="s">
        <v>69</v>
      </c>
      <c r="X6386" s="17"/>
      <c r="Y6386" s="68">
        <v>45809</v>
      </c>
      <c r="Z6386" s="17" t="s">
        <v>191</v>
      </c>
      <c r="AA6386" s="17" t="s">
        <v>46</v>
      </c>
      <c r="AB6386" s="17" t="s">
        <v>1564</v>
      </c>
      <c r="AC6386" s="217">
        <v>45832</v>
      </c>
      <c r="AD6386" s="65">
        <v>1698</v>
      </c>
      <c r="AE6386" s="17" t="s">
        <v>48</v>
      </c>
      <c r="AF6386" s="17" t="s">
        <v>560</v>
      </c>
      <c r="AG6386" s="17"/>
      <c r="AH6386" s="17"/>
      <c r="AI6386" s="17"/>
      <c r="AJ6386" s="17"/>
      <c r="AK6386" s="17"/>
      <c r="AL6386" s="17"/>
      <c r="AM6386" s="17"/>
      <c r="AN6386" s="17"/>
      <c r="AO6386" s="17"/>
      <c r="AP6386" s="17"/>
      <c r="AQ6386" s="17"/>
      <c r="AR6386" s="17"/>
      <c r="AS6386" s="17"/>
    </row>
    <row r="6387" s="25" customFormat="1" hidden="1" spans="1:45">
      <c r="A6387" s="17" t="s">
        <v>34</v>
      </c>
      <c r="B6387" s="19">
        <v>1055</v>
      </c>
      <c r="C6387" s="183">
        <v>45763</v>
      </c>
      <c r="D6387" s="17" t="s">
        <v>52</v>
      </c>
      <c r="E6387" s="17" t="s">
        <v>53</v>
      </c>
      <c r="F6387" s="17" t="s">
        <v>54</v>
      </c>
      <c r="G6387" s="17"/>
      <c r="H6387" s="19">
        <v>1.2311</v>
      </c>
      <c r="I6387" s="19"/>
      <c r="J6387" s="17" t="s">
        <v>82</v>
      </c>
      <c r="K6387" s="19">
        <v>610</v>
      </c>
      <c r="L6387" s="19">
        <v>50</v>
      </c>
      <c r="M6387" s="19">
        <v>2250</v>
      </c>
      <c r="N6387" s="19" t="s">
        <v>66</v>
      </c>
      <c r="O6387" s="19" t="s">
        <v>141</v>
      </c>
      <c r="P6387" s="19">
        <v>700</v>
      </c>
      <c r="Q6387" s="98">
        <v>566</v>
      </c>
      <c r="R6387" s="98">
        <f t="shared" si="280"/>
        <v>134</v>
      </c>
      <c r="S6387" s="167">
        <v>1025</v>
      </c>
      <c r="T6387" s="19" t="s">
        <v>42</v>
      </c>
      <c r="U6387" s="102" t="s">
        <v>1563</v>
      </c>
      <c r="V6387" s="186">
        <v>45763</v>
      </c>
      <c r="W6387" s="17" t="s">
        <v>69</v>
      </c>
      <c r="X6387" s="17"/>
      <c r="Y6387" s="68">
        <v>45809</v>
      </c>
      <c r="Z6387" s="17" t="s">
        <v>191</v>
      </c>
      <c r="AA6387" s="17" t="s">
        <v>46</v>
      </c>
      <c r="AB6387" s="17" t="s">
        <v>1564</v>
      </c>
      <c r="AC6387" s="217">
        <v>45832</v>
      </c>
      <c r="AD6387" s="65">
        <v>1698</v>
      </c>
      <c r="AE6387" s="17" t="s">
        <v>48</v>
      </c>
      <c r="AF6387" s="17" t="s">
        <v>560</v>
      </c>
      <c r="AG6387" s="17"/>
      <c r="AH6387" s="17"/>
      <c r="AI6387" s="17"/>
      <c r="AJ6387" s="17"/>
      <c r="AK6387" s="17"/>
      <c r="AL6387" s="17"/>
      <c r="AM6387" s="17"/>
      <c r="AN6387" s="17"/>
      <c r="AO6387" s="17"/>
      <c r="AP6387" s="17"/>
      <c r="AQ6387" s="17"/>
      <c r="AR6387" s="17"/>
      <c r="AS6387" s="17"/>
    </row>
    <row r="6388" s="25" customFormat="1" hidden="1" spans="1:45">
      <c r="A6388" s="17" t="s">
        <v>34</v>
      </c>
      <c r="B6388" s="19">
        <v>1055</v>
      </c>
      <c r="C6388" s="183">
        <v>45763</v>
      </c>
      <c r="D6388" s="17" t="s">
        <v>52</v>
      </c>
      <c r="E6388" s="17" t="s">
        <v>53</v>
      </c>
      <c r="F6388" s="17" t="s">
        <v>54</v>
      </c>
      <c r="G6388" s="17"/>
      <c r="H6388" s="19">
        <v>1.2311</v>
      </c>
      <c r="I6388" s="19"/>
      <c r="J6388" s="17" t="s">
        <v>82</v>
      </c>
      <c r="K6388" s="19">
        <v>710</v>
      </c>
      <c r="L6388" s="19">
        <v>50</v>
      </c>
      <c r="M6388" s="19">
        <v>2250</v>
      </c>
      <c r="N6388" s="19" t="s">
        <v>66</v>
      </c>
      <c r="O6388" s="19" t="s">
        <v>141</v>
      </c>
      <c r="P6388" s="19">
        <v>700</v>
      </c>
      <c r="Q6388" s="98">
        <v>663</v>
      </c>
      <c r="R6388" s="98">
        <f t="shared" si="280"/>
        <v>37</v>
      </c>
      <c r="S6388" s="167">
        <v>1025</v>
      </c>
      <c r="T6388" s="19" t="s">
        <v>42</v>
      </c>
      <c r="U6388" s="102" t="s">
        <v>1563</v>
      </c>
      <c r="V6388" s="186">
        <v>45763</v>
      </c>
      <c r="W6388" s="17" t="s">
        <v>69</v>
      </c>
      <c r="X6388" s="17"/>
      <c r="Y6388" s="68">
        <v>45809</v>
      </c>
      <c r="Z6388" s="17" t="s">
        <v>191</v>
      </c>
      <c r="AA6388" s="17" t="s">
        <v>46</v>
      </c>
      <c r="AB6388" s="17" t="s">
        <v>1564</v>
      </c>
      <c r="AC6388" s="217">
        <v>45832</v>
      </c>
      <c r="AD6388" s="65">
        <v>1698</v>
      </c>
      <c r="AE6388" s="17" t="s">
        <v>48</v>
      </c>
      <c r="AF6388" s="17" t="s">
        <v>560</v>
      </c>
      <c r="AG6388" s="17"/>
      <c r="AH6388" s="17"/>
      <c r="AI6388" s="17"/>
      <c r="AJ6388" s="17"/>
      <c r="AK6388" s="17"/>
      <c r="AL6388" s="17"/>
      <c r="AM6388" s="17"/>
      <c r="AN6388" s="17"/>
      <c r="AO6388" s="17"/>
      <c r="AP6388" s="17"/>
      <c r="AQ6388" s="17"/>
      <c r="AR6388" s="17"/>
      <c r="AS6388" s="17"/>
    </row>
    <row r="6389" s="25" customFormat="1" hidden="1" spans="1:45">
      <c r="A6389" s="17" t="s">
        <v>34</v>
      </c>
      <c r="B6389" s="19">
        <v>1055</v>
      </c>
      <c r="C6389" s="183">
        <v>45763</v>
      </c>
      <c r="D6389" s="17" t="s">
        <v>52</v>
      </c>
      <c r="E6389" s="17" t="s">
        <v>53</v>
      </c>
      <c r="F6389" s="17" t="s">
        <v>54</v>
      </c>
      <c r="G6389" s="17"/>
      <c r="H6389" s="19">
        <v>1.2311</v>
      </c>
      <c r="I6389" s="19"/>
      <c r="J6389" s="17" t="s">
        <v>82</v>
      </c>
      <c r="K6389" s="19">
        <v>810</v>
      </c>
      <c r="L6389" s="19">
        <v>50</v>
      </c>
      <c r="M6389" s="19">
        <v>2250</v>
      </c>
      <c r="N6389" s="19" t="s">
        <v>66</v>
      </c>
      <c r="O6389" s="19" t="s">
        <v>141</v>
      </c>
      <c r="P6389" s="19">
        <v>700</v>
      </c>
      <c r="Q6389" s="98">
        <v>751</v>
      </c>
      <c r="R6389" s="98">
        <f t="shared" si="280"/>
        <v>-51</v>
      </c>
      <c r="S6389" s="167">
        <v>1025</v>
      </c>
      <c r="T6389" s="19" t="s">
        <v>42</v>
      </c>
      <c r="U6389" s="102" t="s">
        <v>1563</v>
      </c>
      <c r="V6389" s="186">
        <v>45763</v>
      </c>
      <c r="W6389" s="17" t="s">
        <v>69</v>
      </c>
      <c r="X6389" s="17"/>
      <c r="Y6389" s="68">
        <v>45809</v>
      </c>
      <c r="Z6389" s="17" t="s">
        <v>191</v>
      </c>
      <c r="AA6389" s="17" t="s">
        <v>46</v>
      </c>
      <c r="AB6389" s="17" t="s">
        <v>1564</v>
      </c>
      <c r="AC6389" s="217">
        <v>45832</v>
      </c>
      <c r="AD6389" s="65">
        <v>1698</v>
      </c>
      <c r="AE6389" s="17" t="s">
        <v>48</v>
      </c>
      <c r="AF6389" s="17" t="s">
        <v>560</v>
      </c>
      <c r="AG6389" s="17"/>
      <c r="AH6389" s="17"/>
      <c r="AI6389" s="17"/>
      <c r="AJ6389" s="17"/>
      <c r="AK6389" s="17"/>
      <c r="AL6389" s="17"/>
      <c r="AM6389" s="17"/>
      <c r="AN6389" s="17"/>
      <c r="AO6389" s="17"/>
      <c r="AP6389" s="17"/>
      <c r="AQ6389" s="17"/>
      <c r="AR6389" s="17"/>
      <c r="AS6389" s="17"/>
    </row>
    <row r="6390" s="25" customFormat="1" hidden="1" spans="1:45">
      <c r="A6390" s="17" t="s">
        <v>34</v>
      </c>
      <c r="B6390" s="19">
        <v>1055</v>
      </c>
      <c r="C6390" s="183">
        <v>45763</v>
      </c>
      <c r="D6390" s="17" t="s">
        <v>52</v>
      </c>
      <c r="E6390" s="17" t="s">
        <v>53</v>
      </c>
      <c r="F6390" s="17" t="s">
        <v>54</v>
      </c>
      <c r="G6390" s="17"/>
      <c r="H6390" s="19">
        <v>1.2311</v>
      </c>
      <c r="I6390" s="19"/>
      <c r="J6390" s="17" t="s">
        <v>82</v>
      </c>
      <c r="K6390" s="19">
        <v>610</v>
      </c>
      <c r="L6390" s="19">
        <v>65</v>
      </c>
      <c r="M6390" s="19">
        <v>2250</v>
      </c>
      <c r="N6390" s="19" t="s">
        <v>66</v>
      </c>
      <c r="O6390" s="19" t="s">
        <v>141</v>
      </c>
      <c r="P6390" s="19">
        <v>723</v>
      </c>
      <c r="Q6390" s="98">
        <v>723</v>
      </c>
      <c r="R6390" s="98">
        <f t="shared" si="280"/>
        <v>0</v>
      </c>
      <c r="S6390" s="167">
        <v>1025</v>
      </c>
      <c r="T6390" s="19" t="s">
        <v>42</v>
      </c>
      <c r="U6390" s="102" t="s">
        <v>1563</v>
      </c>
      <c r="V6390" s="186">
        <v>45763</v>
      </c>
      <c r="W6390" s="17" t="s">
        <v>69</v>
      </c>
      <c r="X6390" s="17"/>
      <c r="Y6390" s="68">
        <v>45809</v>
      </c>
      <c r="Z6390" s="17" t="s">
        <v>191</v>
      </c>
      <c r="AA6390" s="17" t="s">
        <v>46</v>
      </c>
      <c r="AB6390" s="17" t="s">
        <v>1564</v>
      </c>
      <c r="AC6390" s="217">
        <v>45832</v>
      </c>
      <c r="AD6390" s="65">
        <v>1698</v>
      </c>
      <c r="AE6390" s="17" t="s">
        <v>48</v>
      </c>
      <c r="AF6390" s="17" t="s">
        <v>560</v>
      </c>
      <c r="AG6390" s="17"/>
      <c r="AH6390" s="17"/>
      <c r="AI6390" s="17"/>
      <c r="AJ6390" s="17"/>
      <c r="AK6390" s="17"/>
      <c r="AL6390" s="17"/>
      <c r="AM6390" s="17"/>
      <c r="AN6390" s="17"/>
      <c r="AO6390" s="17"/>
      <c r="AP6390" s="17"/>
      <c r="AQ6390" s="17"/>
      <c r="AR6390" s="17"/>
      <c r="AS6390" s="17"/>
    </row>
    <row r="6391" s="25" customFormat="1" hidden="1" spans="1:45">
      <c r="A6391" s="17" t="s">
        <v>34</v>
      </c>
      <c r="B6391" s="19">
        <v>1055</v>
      </c>
      <c r="C6391" s="183">
        <v>45763</v>
      </c>
      <c r="D6391" s="17" t="s">
        <v>52</v>
      </c>
      <c r="E6391" s="17" t="s">
        <v>53</v>
      </c>
      <c r="F6391" s="17" t="s">
        <v>54</v>
      </c>
      <c r="G6391" s="17"/>
      <c r="H6391" s="19">
        <v>1.2311</v>
      </c>
      <c r="I6391" s="19"/>
      <c r="J6391" s="17" t="s">
        <v>82</v>
      </c>
      <c r="K6391" s="19">
        <v>610</v>
      </c>
      <c r="L6391" s="19">
        <v>80</v>
      </c>
      <c r="M6391" s="19">
        <v>2250</v>
      </c>
      <c r="N6391" s="19" t="s">
        <v>66</v>
      </c>
      <c r="O6391" s="19" t="s">
        <v>141</v>
      </c>
      <c r="P6391" s="19">
        <v>880</v>
      </c>
      <c r="Q6391" s="98">
        <v>880</v>
      </c>
      <c r="R6391" s="98">
        <f t="shared" si="280"/>
        <v>0</v>
      </c>
      <c r="S6391" s="167">
        <v>1025</v>
      </c>
      <c r="T6391" s="19" t="s">
        <v>42</v>
      </c>
      <c r="U6391" s="102" t="s">
        <v>1563</v>
      </c>
      <c r="V6391" s="186">
        <v>45763</v>
      </c>
      <c r="W6391" s="17" t="s">
        <v>69</v>
      </c>
      <c r="X6391" s="17"/>
      <c r="Y6391" s="68">
        <v>45809</v>
      </c>
      <c r="Z6391" s="17" t="s">
        <v>191</v>
      </c>
      <c r="AA6391" s="17" t="s">
        <v>46</v>
      </c>
      <c r="AB6391" s="17" t="s">
        <v>1564</v>
      </c>
      <c r="AC6391" s="217">
        <v>45832</v>
      </c>
      <c r="AD6391" s="65">
        <v>1698</v>
      </c>
      <c r="AE6391" s="17" t="s">
        <v>48</v>
      </c>
      <c r="AF6391" s="17" t="s">
        <v>560</v>
      </c>
      <c r="AG6391" s="17"/>
      <c r="AH6391" s="17"/>
      <c r="AI6391" s="17"/>
      <c r="AJ6391" s="17"/>
      <c r="AK6391" s="17"/>
      <c r="AL6391" s="17"/>
      <c r="AM6391" s="17"/>
      <c r="AN6391" s="17"/>
      <c r="AO6391" s="17"/>
      <c r="AP6391" s="17"/>
      <c r="AQ6391" s="17"/>
      <c r="AR6391" s="17"/>
      <c r="AS6391" s="17"/>
    </row>
    <row r="6392" s="25" customFormat="1" hidden="1" spans="1:45">
      <c r="A6392" s="17" t="s">
        <v>34</v>
      </c>
      <c r="B6392" s="19">
        <v>1055</v>
      </c>
      <c r="C6392" s="183">
        <v>45763</v>
      </c>
      <c r="D6392" s="17" t="s">
        <v>52</v>
      </c>
      <c r="E6392" s="17" t="s">
        <v>53</v>
      </c>
      <c r="F6392" s="17" t="s">
        <v>54</v>
      </c>
      <c r="G6392" s="17"/>
      <c r="H6392" s="19">
        <v>1.2311</v>
      </c>
      <c r="I6392" s="19"/>
      <c r="J6392" s="17" t="s">
        <v>82</v>
      </c>
      <c r="K6392" s="19">
        <v>710</v>
      </c>
      <c r="L6392" s="19">
        <v>80</v>
      </c>
      <c r="M6392" s="19">
        <v>2250</v>
      </c>
      <c r="N6392" s="19" t="s">
        <v>66</v>
      </c>
      <c r="O6392" s="19" t="s">
        <v>141</v>
      </c>
      <c r="P6392" s="19">
        <v>1027</v>
      </c>
      <c r="Q6392" s="98">
        <v>1027</v>
      </c>
      <c r="R6392" s="98">
        <f t="shared" si="280"/>
        <v>0</v>
      </c>
      <c r="S6392" s="167">
        <v>1025</v>
      </c>
      <c r="T6392" s="19" t="s">
        <v>42</v>
      </c>
      <c r="U6392" s="102" t="s">
        <v>1563</v>
      </c>
      <c r="V6392" s="186">
        <v>45763</v>
      </c>
      <c r="W6392" s="17" t="s">
        <v>69</v>
      </c>
      <c r="X6392" s="17"/>
      <c r="Y6392" s="68">
        <v>45809</v>
      </c>
      <c r="Z6392" s="17" t="s">
        <v>191</v>
      </c>
      <c r="AA6392" s="17" t="s">
        <v>46</v>
      </c>
      <c r="AB6392" s="17" t="s">
        <v>1564</v>
      </c>
      <c r="AC6392" s="217">
        <v>45832</v>
      </c>
      <c r="AD6392" s="65">
        <v>1698</v>
      </c>
      <c r="AE6392" s="17" t="s">
        <v>48</v>
      </c>
      <c r="AF6392" s="17" t="s">
        <v>560</v>
      </c>
      <c r="AG6392" s="17"/>
      <c r="AH6392" s="17"/>
      <c r="AI6392" s="17"/>
      <c r="AJ6392" s="17"/>
      <c r="AK6392" s="17"/>
      <c r="AL6392" s="17"/>
      <c r="AM6392" s="17"/>
      <c r="AN6392" s="17"/>
      <c r="AO6392" s="17"/>
      <c r="AP6392" s="17"/>
      <c r="AQ6392" s="17"/>
      <c r="AR6392" s="17"/>
      <c r="AS6392" s="17"/>
    </row>
    <row r="6393" s="25" customFormat="1" hidden="1" spans="1:45">
      <c r="A6393" s="17" t="s">
        <v>34</v>
      </c>
      <c r="B6393" s="19">
        <v>1055</v>
      </c>
      <c r="C6393" s="183">
        <v>45763</v>
      </c>
      <c r="D6393" s="17" t="s">
        <v>52</v>
      </c>
      <c r="E6393" s="17" t="s">
        <v>53</v>
      </c>
      <c r="F6393" s="17" t="s">
        <v>54</v>
      </c>
      <c r="G6393" s="17"/>
      <c r="H6393" s="19">
        <v>1.2311</v>
      </c>
      <c r="I6393" s="19"/>
      <c r="J6393" s="17" t="s">
        <v>82</v>
      </c>
      <c r="K6393" s="19">
        <v>810</v>
      </c>
      <c r="L6393" s="19">
        <v>80</v>
      </c>
      <c r="M6393" s="19">
        <v>2250</v>
      </c>
      <c r="N6393" s="19" t="s">
        <v>66</v>
      </c>
      <c r="O6393" s="19" t="s">
        <v>141</v>
      </c>
      <c r="P6393" s="19">
        <v>1171</v>
      </c>
      <c r="Q6393" s="98">
        <v>1171</v>
      </c>
      <c r="R6393" s="98">
        <f t="shared" si="280"/>
        <v>0</v>
      </c>
      <c r="S6393" s="167">
        <v>1025</v>
      </c>
      <c r="T6393" s="19" t="s">
        <v>42</v>
      </c>
      <c r="U6393" s="102" t="s">
        <v>1563</v>
      </c>
      <c r="V6393" s="186">
        <v>45763</v>
      </c>
      <c r="W6393" s="17" t="s">
        <v>69</v>
      </c>
      <c r="X6393" s="17"/>
      <c r="Y6393" s="68">
        <v>45809</v>
      </c>
      <c r="Z6393" s="17" t="s">
        <v>191</v>
      </c>
      <c r="AA6393" s="17" t="s">
        <v>46</v>
      </c>
      <c r="AB6393" s="17" t="s">
        <v>1564</v>
      </c>
      <c r="AC6393" s="217">
        <v>45832</v>
      </c>
      <c r="AD6393" s="65">
        <v>1698</v>
      </c>
      <c r="AE6393" s="17" t="s">
        <v>48</v>
      </c>
      <c r="AF6393" s="17" t="s">
        <v>560</v>
      </c>
      <c r="AG6393" s="17"/>
      <c r="AH6393" s="17"/>
      <c r="AI6393" s="17"/>
      <c r="AJ6393" s="17"/>
      <c r="AK6393" s="17"/>
      <c r="AL6393" s="17"/>
      <c r="AM6393" s="17"/>
      <c r="AN6393" s="17"/>
      <c r="AO6393" s="17"/>
      <c r="AP6393" s="17"/>
      <c r="AQ6393" s="17"/>
      <c r="AR6393" s="17"/>
      <c r="AS6393" s="17"/>
    </row>
    <row r="6394" s="25" customFormat="1" hidden="1" spans="1:45">
      <c r="A6394" s="17" t="s">
        <v>34</v>
      </c>
      <c r="B6394" s="19">
        <v>1055</v>
      </c>
      <c r="C6394" s="183">
        <v>45763</v>
      </c>
      <c r="D6394" s="17" t="s">
        <v>52</v>
      </c>
      <c r="E6394" s="17" t="s">
        <v>53</v>
      </c>
      <c r="F6394" s="17" t="s">
        <v>54</v>
      </c>
      <c r="G6394" s="17"/>
      <c r="H6394" s="19">
        <v>1.2311</v>
      </c>
      <c r="I6394" s="19"/>
      <c r="J6394" s="17" t="s">
        <v>82</v>
      </c>
      <c r="K6394" s="19">
        <v>1010</v>
      </c>
      <c r="L6394" s="19">
        <v>41</v>
      </c>
      <c r="M6394" s="19">
        <v>2250</v>
      </c>
      <c r="N6394" s="19" t="s">
        <v>66</v>
      </c>
      <c r="O6394" s="19" t="s">
        <v>141</v>
      </c>
      <c r="P6394" s="99">
        <v>2194.212375</v>
      </c>
      <c r="Q6394" s="98">
        <v>1520</v>
      </c>
      <c r="R6394" s="366">
        <f t="shared" si="280"/>
        <v>674.212375</v>
      </c>
      <c r="S6394" s="167">
        <v>1025</v>
      </c>
      <c r="T6394" s="19" t="s">
        <v>42</v>
      </c>
      <c r="U6394" s="102" t="s">
        <v>1563</v>
      </c>
      <c r="V6394" s="186">
        <v>45763</v>
      </c>
      <c r="W6394" s="17" t="s">
        <v>69</v>
      </c>
      <c r="X6394" s="17"/>
      <c r="Y6394" s="68">
        <v>45809</v>
      </c>
      <c r="Z6394" s="17" t="s">
        <v>191</v>
      </c>
      <c r="AA6394" s="17" t="s">
        <v>46</v>
      </c>
      <c r="AB6394" s="17" t="s">
        <v>1564</v>
      </c>
      <c r="AC6394" s="217">
        <v>45832</v>
      </c>
      <c r="AD6394" s="65">
        <v>1698</v>
      </c>
      <c r="AE6394" s="17" t="s">
        <v>48</v>
      </c>
      <c r="AF6394" s="17" t="s">
        <v>560</v>
      </c>
      <c r="AG6394" s="17"/>
      <c r="AH6394" s="17"/>
      <c r="AI6394" s="17"/>
      <c r="AJ6394" s="17"/>
      <c r="AK6394" s="17"/>
      <c r="AL6394" s="17"/>
      <c r="AM6394" s="17"/>
      <c r="AN6394" s="17"/>
      <c r="AO6394" s="17"/>
      <c r="AP6394" s="17"/>
      <c r="AQ6394" s="17"/>
      <c r="AR6394" s="17"/>
      <c r="AS6394" s="17"/>
    </row>
    <row r="6395" s="25" customFormat="1" hidden="1" spans="1:45">
      <c r="A6395" s="17" t="s">
        <v>34</v>
      </c>
      <c r="B6395" s="19">
        <v>1055</v>
      </c>
      <c r="C6395" s="183">
        <v>45763</v>
      </c>
      <c r="D6395" s="17" t="s">
        <v>52</v>
      </c>
      <c r="E6395" s="17" t="s">
        <v>53</v>
      </c>
      <c r="F6395" s="17" t="s">
        <v>54</v>
      </c>
      <c r="G6395" s="17"/>
      <c r="H6395" s="19">
        <v>1.2311</v>
      </c>
      <c r="I6395" s="19"/>
      <c r="J6395" s="17" t="s">
        <v>82</v>
      </c>
      <c r="K6395" s="19">
        <v>1010</v>
      </c>
      <c r="L6395" s="19">
        <v>45</v>
      </c>
      <c r="M6395" s="19">
        <v>2250</v>
      </c>
      <c r="N6395" s="19" t="s">
        <v>66</v>
      </c>
      <c r="O6395" s="19" t="s">
        <v>141</v>
      </c>
      <c r="P6395" s="99">
        <v>802.760625</v>
      </c>
      <c r="Q6395" s="98">
        <v>837</v>
      </c>
      <c r="R6395" s="366">
        <f t="shared" si="280"/>
        <v>-34.2393750000001</v>
      </c>
      <c r="S6395" s="167">
        <v>1025</v>
      </c>
      <c r="T6395" s="19" t="s">
        <v>42</v>
      </c>
      <c r="U6395" s="102" t="s">
        <v>1563</v>
      </c>
      <c r="V6395" s="186">
        <v>45763</v>
      </c>
      <c r="W6395" s="17" t="s">
        <v>69</v>
      </c>
      <c r="X6395" s="17"/>
      <c r="Y6395" s="68">
        <v>45809</v>
      </c>
      <c r="Z6395" s="17" t="s">
        <v>191</v>
      </c>
      <c r="AA6395" s="17" t="s">
        <v>46</v>
      </c>
      <c r="AB6395" s="17" t="s">
        <v>1564</v>
      </c>
      <c r="AC6395" s="217">
        <v>45832</v>
      </c>
      <c r="AD6395" s="65">
        <v>1698</v>
      </c>
      <c r="AE6395" s="17" t="s">
        <v>48</v>
      </c>
      <c r="AF6395" s="17" t="s">
        <v>560</v>
      </c>
      <c r="AG6395" s="17"/>
      <c r="AH6395" s="17"/>
      <c r="AI6395" s="17"/>
      <c r="AJ6395" s="17"/>
      <c r="AK6395" s="17"/>
      <c r="AL6395" s="17"/>
      <c r="AM6395" s="17"/>
      <c r="AN6395" s="17"/>
      <c r="AO6395" s="17"/>
      <c r="AP6395" s="17"/>
      <c r="AQ6395" s="17"/>
      <c r="AR6395" s="17"/>
      <c r="AS6395" s="17"/>
    </row>
    <row r="6396" s="25" customFormat="1" hidden="1" spans="1:45">
      <c r="A6396" s="17" t="s">
        <v>34</v>
      </c>
      <c r="B6396" s="19">
        <v>1055</v>
      </c>
      <c r="C6396" s="183">
        <v>45763</v>
      </c>
      <c r="D6396" s="17" t="s">
        <v>52</v>
      </c>
      <c r="E6396" s="17" t="s">
        <v>53</v>
      </c>
      <c r="F6396" s="17" t="s">
        <v>54</v>
      </c>
      <c r="G6396" s="17"/>
      <c r="H6396" s="19">
        <v>1.2311</v>
      </c>
      <c r="I6396" s="19"/>
      <c r="J6396" s="17" t="s">
        <v>82</v>
      </c>
      <c r="K6396" s="19">
        <v>710</v>
      </c>
      <c r="L6396" s="19">
        <v>51</v>
      </c>
      <c r="M6396" s="19">
        <v>2250</v>
      </c>
      <c r="N6396" s="19" t="s">
        <v>66</v>
      </c>
      <c r="O6396" s="19" t="s">
        <v>141</v>
      </c>
      <c r="P6396" s="99">
        <v>2558.2365</v>
      </c>
      <c r="Q6396" s="98">
        <v>1977</v>
      </c>
      <c r="R6396" s="366">
        <f t="shared" si="280"/>
        <v>581.2365</v>
      </c>
      <c r="S6396" s="167">
        <v>1025</v>
      </c>
      <c r="T6396" s="19" t="s">
        <v>42</v>
      </c>
      <c r="U6396" s="102" t="s">
        <v>1563</v>
      </c>
      <c r="V6396" s="186">
        <v>45763</v>
      </c>
      <c r="W6396" s="17" t="s">
        <v>69</v>
      </c>
      <c r="X6396" s="17"/>
      <c r="Y6396" s="68">
        <v>45809</v>
      </c>
      <c r="Z6396" s="17" t="s">
        <v>191</v>
      </c>
      <c r="AA6396" s="17" t="s">
        <v>46</v>
      </c>
      <c r="AB6396" s="17" t="s">
        <v>1564</v>
      </c>
      <c r="AC6396" s="217">
        <v>45832</v>
      </c>
      <c r="AD6396" s="65">
        <v>1698</v>
      </c>
      <c r="AE6396" s="17" t="s">
        <v>48</v>
      </c>
      <c r="AF6396" s="17" t="s">
        <v>560</v>
      </c>
      <c r="AG6396" s="17"/>
      <c r="AH6396" s="17"/>
      <c r="AI6396" s="17"/>
      <c r="AJ6396" s="17"/>
      <c r="AK6396" s="17"/>
      <c r="AL6396" s="17"/>
      <c r="AM6396" s="17"/>
      <c r="AN6396" s="17"/>
      <c r="AO6396" s="17"/>
      <c r="AP6396" s="17"/>
      <c r="AQ6396" s="17"/>
      <c r="AR6396" s="17"/>
      <c r="AS6396" s="17"/>
    </row>
    <row r="6397" s="25" customFormat="1" hidden="1" spans="1:45">
      <c r="A6397" s="17" t="s">
        <v>34</v>
      </c>
      <c r="B6397" s="19">
        <v>1055</v>
      </c>
      <c r="C6397" s="183">
        <v>45763</v>
      </c>
      <c r="D6397" s="17" t="s">
        <v>52</v>
      </c>
      <c r="E6397" s="17" t="s">
        <v>53</v>
      </c>
      <c r="F6397" s="17" t="s">
        <v>54</v>
      </c>
      <c r="G6397" s="17"/>
      <c r="H6397" s="19">
        <v>1.2311</v>
      </c>
      <c r="I6397" s="19"/>
      <c r="J6397" s="17" t="s">
        <v>82</v>
      </c>
      <c r="K6397" s="19">
        <v>1020</v>
      </c>
      <c r="L6397" s="19">
        <v>51</v>
      </c>
      <c r="M6397" s="19">
        <v>2200</v>
      </c>
      <c r="N6397" s="19" t="s">
        <v>66</v>
      </c>
      <c r="O6397" s="19" t="s">
        <v>141</v>
      </c>
      <c r="P6397" s="99"/>
      <c r="Q6397" s="98">
        <v>951</v>
      </c>
      <c r="R6397" s="366"/>
      <c r="S6397" s="167">
        <v>1025</v>
      </c>
      <c r="T6397" s="19" t="s">
        <v>42</v>
      </c>
      <c r="U6397" s="102" t="s">
        <v>1563</v>
      </c>
      <c r="V6397" s="186">
        <v>45763</v>
      </c>
      <c r="W6397" s="17" t="s">
        <v>69</v>
      </c>
      <c r="X6397" s="17"/>
      <c r="Y6397" s="68">
        <v>45809</v>
      </c>
      <c r="Z6397" s="17" t="s">
        <v>191</v>
      </c>
      <c r="AA6397" s="17" t="s">
        <v>46</v>
      </c>
      <c r="AB6397" s="17" t="s">
        <v>1564</v>
      </c>
      <c r="AC6397" s="217">
        <v>45832</v>
      </c>
      <c r="AD6397" s="65">
        <v>1698</v>
      </c>
      <c r="AE6397" s="17" t="s">
        <v>48</v>
      </c>
      <c r="AF6397" s="17" t="s">
        <v>560</v>
      </c>
      <c r="AG6397" s="17"/>
      <c r="AH6397" s="17"/>
      <c r="AI6397" s="17"/>
      <c r="AJ6397" s="17"/>
      <c r="AK6397" s="17"/>
      <c r="AL6397" s="17"/>
      <c r="AM6397" s="17"/>
      <c r="AN6397" s="17"/>
      <c r="AO6397" s="17"/>
      <c r="AP6397" s="17"/>
      <c r="AQ6397" s="17"/>
      <c r="AR6397" s="17"/>
      <c r="AS6397" s="17"/>
    </row>
    <row r="6398" s="25" customFormat="1" hidden="1" spans="1:45">
      <c r="A6398" s="17" t="s">
        <v>34</v>
      </c>
      <c r="B6398" s="19">
        <v>1055</v>
      </c>
      <c r="C6398" s="183">
        <v>45763</v>
      </c>
      <c r="D6398" s="17" t="s">
        <v>52</v>
      </c>
      <c r="E6398" s="17" t="s">
        <v>53</v>
      </c>
      <c r="F6398" s="17" t="s">
        <v>54</v>
      </c>
      <c r="G6398" s="17"/>
      <c r="H6398" s="19">
        <v>1.2311</v>
      </c>
      <c r="I6398" s="19"/>
      <c r="J6398" s="17" t="s">
        <v>82</v>
      </c>
      <c r="K6398" s="19">
        <v>1040</v>
      </c>
      <c r="L6398" s="19">
        <v>51</v>
      </c>
      <c r="M6398" s="19">
        <v>2250</v>
      </c>
      <c r="N6398" s="19" t="s">
        <v>66</v>
      </c>
      <c r="O6398" s="19" t="s">
        <v>141</v>
      </c>
      <c r="P6398" s="99">
        <v>3747.276</v>
      </c>
      <c r="Q6398" s="98">
        <v>3840</v>
      </c>
      <c r="R6398" s="366">
        <f t="shared" ref="R6398:R6429" si="281">+P6398-Q6398</f>
        <v>-92.7240000000006</v>
      </c>
      <c r="S6398" s="167">
        <v>1025</v>
      </c>
      <c r="T6398" s="19" t="s">
        <v>42</v>
      </c>
      <c r="U6398" s="102" t="s">
        <v>1563</v>
      </c>
      <c r="V6398" s="186">
        <v>45763</v>
      </c>
      <c r="W6398" s="17" t="s">
        <v>69</v>
      </c>
      <c r="X6398" s="17"/>
      <c r="Y6398" s="68">
        <v>45809</v>
      </c>
      <c r="Z6398" s="17" t="s">
        <v>191</v>
      </c>
      <c r="AA6398" s="17" t="s">
        <v>46</v>
      </c>
      <c r="AB6398" s="17" t="s">
        <v>1564</v>
      </c>
      <c r="AC6398" s="217">
        <v>45832</v>
      </c>
      <c r="AD6398" s="65">
        <v>1698</v>
      </c>
      <c r="AE6398" s="17" t="s">
        <v>48</v>
      </c>
      <c r="AF6398" s="17" t="s">
        <v>560</v>
      </c>
      <c r="AG6398" s="17"/>
      <c r="AH6398" s="17"/>
      <c r="AI6398" s="17"/>
      <c r="AJ6398" s="17"/>
      <c r="AK6398" s="17"/>
      <c r="AL6398" s="17"/>
      <c r="AM6398" s="17"/>
      <c r="AN6398" s="17"/>
      <c r="AO6398" s="17"/>
      <c r="AP6398" s="17"/>
      <c r="AQ6398" s="17"/>
      <c r="AR6398" s="17"/>
      <c r="AS6398" s="17"/>
    </row>
    <row r="6399" s="25" customFormat="1" hidden="1" spans="1:45">
      <c r="A6399" s="17" t="s">
        <v>34</v>
      </c>
      <c r="B6399" s="19">
        <v>1055</v>
      </c>
      <c r="C6399" s="183">
        <v>45763</v>
      </c>
      <c r="D6399" s="17" t="s">
        <v>52</v>
      </c>
      <c r="E6399" s="17" t="s">
        <v>53</v>
      </c>
      <c r="F6399" s="17" t="s">
        <v>54</v>
      </c>
      <c r="G6399" s="17"/>
      <c r="H6399" s="19">
        <v>1.2311</v>
      </c>
      <c r="I6399" s="19"/>
      <c r="J6399" s="17" t="s">
        <v>82</v>
      </c>
      <c r="K6399" s="19">
        <v>1010</v>
      </c>
      <c r="L6399" s="19">
        <v>56</v>
      </c>
      <c r="M6399" s="19">
        <v>2250</v>
      </c>
      <c r="N6399" s="19" t="s">
        <v>66</v>
      </c>
      <c r="O6399" s="19" t="s">
        <v>141</v>
      </c>
      <c r="P6399" s="99">
        <v>1997.982</v>
      </c>
      <c r="Q6399" s="98">
        <v>2051</v>
      </c>
      <c r="R6399" s="366">
        <f t="shared" si="281"/>
        <v>-53.0180000000003</v>
      </c>
      <c r="S6399" s="167">
        <v>1025</v>
      </c>
      <c r="T6399" s="19" t="s">
        <v>42</v>
      </c>
      <c r="U6399" s="102" t="s">
        <v>1563</v>
      </c>
      <c r="V6399" s="186">
        <v>45763</v>
      </c>
      <c r="W6399" s="17" t="s">
        <v>69</v>
      </c>
      <c r="X6399" s="17"/>
      <c r="Y6399" s="68">
        <v>45809</v>
      </c>
      <c r="Z6399" s="17" t="s">
        <v>191</v>
      </c>
      <c r="AA6399" s="17" t="s">
        <v>46</v>
      </c>
      <c r="AB6399" s="17" t="s">
        <v>1564</v>
      </c>
      <c r="AC6399" s="217">
        <v>45832</v>
      </c>
      <c r="AD6399" s="65">
        <v>1698</v>
      </c>
      <c r="AE6399" s="17" t="s">
        <v>48</v>
      </c>
      <c r="AF6399" s="17" t="s">
        <v>560</v>
      </c>
      <c r="AG6399" s="17"/>
      <c r="AH6399" s="17"/>
      <c r="AI6399" s="17"/>
      <c r="AJ6399" s="17"/>
      <c r="AK6399" s="17"/>
      <c r="AL6399" s="17"/>
      <c r="AM6399" s="17"/>
      <c r="AN6399" s="17"/>
      <c r="AO6399" s="17"/>
      <c r="AP6399" s="17"/>
      <c r="AQ6399" s="17"/>
      <c r="AR6399" s="17"/>
      <c r="AS6399" s="17"/>
    </row>
    <row r="6400" s="25" customFormat="1" hidden="1" spans="1:45">
      <c r="A6400" s="17" t="s">
        <v>34</v>
      </c>
      <c r="B6400" s="19">
        <v>1055</v>
      </c>
      <c r="C6400" s="183">
        <v>45763</v>
      </c>
      <c r="D6400" s="17" t="s">
        <v>52</v>
      </c>
      <c r="E6400" s="17" t="s">
        <v>53</v>
      </c>
      <c r="F6400" s="17" t="s">
        <v>54</v>
      </c>
      <c r="G6400" s="17"/>
      <c r="H6400" s="19">
        <v>1.2311</v>
      </c>
      <c r="I6400" s="19"/>
      <c r="J6400" s="17" t="s">
        <v>82</v>
      </c>
      <c r="K6400" s="19">
        <v>1010</v>
      </c>
      <c r="L6400" s="19">
        <v>61</v>
      </c>
      <c r="M6400" s="19">
        <v>2250</v>
      </c>
      <c r="N6400" s="19" t="s">
        <v>66</v>
      </c>
      <c r="O6400" s="19" t="s">
        <v>141</v>
      </c>
      <c r="P6400" s="99">
        <v>2176.37325</v>
      </c>
      <c r="Q6400" s="98">
        <v>2225</v>
      </c>
      <c r="R6400" s="366">
        <f t="shared" si="281"/>
        <v>-48.6267499999999</v>
      </c>
      <c r="S6400" s="167">
        <v>1025</v>
      </c>
      <c r="T6400" s="19" t="s">
        <v>42</v>
      </c>
      <c r="U6400" s="102" t="s">
        <v>1563</v>
      </c>
      <c r="V6400" s="186">
        <v>45763</v>
      </c>
      <c r="W6400" s="17" t="s">
        <v>69</v>
      </c>
      <c r="X6400" s="17"/>
      <c r="Y6400" s="68">
        <v>45809</v>
      </c>
      <c r="Z6400" s="17" t="s">
        <v>191</v>
      </c>
      <c r="AA6400" s="17" t="s">
        <v>46</v>
      </c>
      <c r="AB6400" s="17" t="s">
        <v>1564</v>
      </c>
      <c r="AC6400" s="217">
        <v>45832</v>
      </c>
      <c r="AD6400" s="65">
        <v>1698</v>
      </c>
      <c r="AE6400" s="17" t="s">
        <v>48</v>
      </c>
      <c r="AF6400" s="17" t="s">
        <v>560</v>
      </c>
      <c r="AG6400" s="17"/>
      <c r="AH6400" s="17"/>
      <c r="AI6400" s="17"/>
      <c r="AJ6400" s="17"/>
      <c r="AK6400" s="17"/>
      <c r="AL6400" s="17"/>
      <c r="AM6400" s="17"/>
      <c r="AN6400" s="17"/>
      <c r="AO6400" s="17"/>
      <c r="AP6400" s="17"/>
      <c r="AQ6400" s="17"/>
      <c r="AR6400" s="17"/>
      <c r="AS6400" s="17"/>
    </row>
    <row r="6401" s="25" customFormat="1" hidden="1" spans="1:45">
      <c r="A6401" s="17" t="s">
        <v>34</v>
      </c>
      <c r="B6401" s="19">
        <v>1055</v>
      </c>
      <c r="C6401" s="183">
        <v>45763</v>
      </c>
      <c r="D6401" s="17" t="s">
        <v>52</v>
      </c>
      <c r="E6401" s="17" t="s">
        <v>53</v>
      </c>
      <c r="F6401" s="17" t="s">
        <v>54</v>
      </c>
      <c r="G6401" s="17"/>
      <c r="H6401" s="19">
        <v>1.2311</v>
      </c>
      <c r="I6401" s="19"/>
      <c r="J6401" s="17" t="s">
        <v>82</v>
      </c>
      <c r="K6401" s="19">
        <v>1010</v>
      </c>
      <c r="L6401" s="19">
        <v>65</v>
      </c>
      <c r="M6401" s="19">
        <v>2250</v>
      </c>
      <c r="N6401" s="19" t="s">
        <v>66</v>
      </c>
      <c r="O6401" s="19" t="s">
        <v>141</v>
      </c>
      <c r="P6401" s="99">
        <v>1159.543125</v>
      </c>
      <c r="Q6401" s="98">
        <v>1205</v>
      </c>
      <c r="R6401" s="366">
        <f t="shared" si="281"/>
        <v>-45.4568750000001</v>
      </c>
      <c r="S6401" s="167">
        <v>1025</v>
      </c>
      <c r="T6401" s="19" t="s">
        <v>42</v>
      </c>
      <c r="U6401" s="102" t="s">
        <v>1563</v>
      </c>
      <c r="V6401" s="186">
        <v>45763</v>
      </c>
      <c r="W6401" s="17" t="s">
        <v>69</v>
      </c>
      <c r="X6401" s="17"/>
      <c r="Y6401" s="68">
        <v>45809</v>
      </c>
      <c r="Z6401" s="17" t="s">
        <v>191</v>
      </c>
      <c r="AA6401" s="17" t="s">
        <v>46</v>
      </c>
      <c r="AB6401" s="17" t="s">
        <v>1564</v>
      </c>
      <c r="AC6401" s="217">
        <v>45832</v>
      </c>
      <c r="AD6401" s="65">
        <v>1698</v>
      </c>
      <c r="AE6401" s="17" t="s">
        <v>48</v>
      </c>
      <c r="AF6401" s="17" t="s">
        <v>560</v>
      </c>
      <c r="AG6401" s="17"/>
      <c r="AH6401" s="17"/>
      <c r="AI6401" s="17"/>
      <c r="AJ6401" s="17"/>
      <c r="AK6401" s="17"/>
      <c r="AL6401" s="17"/>
      <c r="AM6401" s="17"/>
      <c r="AN6401" s="17"/>
      <c r="AO6401" s="17"/>
      <c r="AP6401" s="17"/>
      <c r="AQ6401" s="17"/>
      <c r="AR6401" s="17"/>
      <c r="AS6401" s="17"/>
    </row>
    <row r="6402" s="25" customFormat="1" hidden="1" spans="1:45">
      <c r="A6402" s="17" t="s">
        <v>34</v>
      </c>
      <c r="B6402" s="19">
        <v>1055</v>
      </c>
      <c r="C6402" s="183">
        <v>45763</v>
      </c>
      <c r="D6402" s="17" t="s">
        <v>52</v>
      </c>
      <c r="E6402" s="17" t="s">
        <v>53</v>
      </c>
      <c r="F6402" s="17" t="s">
        <v>54</v>
      </c>
      <c r="G6402" s="17"/>
      <c r="H6402" s="19">
        <v>1.2311</v>
      </c>
      <c r="I6402" s="19"/>
      <c r="J6402" s="17" t="s">
        <v>82</v>
      </c>
      <c r="K6402" s="19">
        <v>1010</v>
      </c>
      <c r="L6402" s="19">
        <v>81</v>
      </c>
      <c r="M6402" s="19">
        <v>2250</v>
      </c>
      <c r="N6402" s="19" t="s">
        <v>66</v>
      </c>
      <c r="O6402" s="19" t="s">
        <v>141</v>
      </c>
      <c r="P6402" s="99">
        <v>1444.969125</v>
      </c>
      <c r="Q6402" s="98">
        <v>1452</v>
      </c>
      <c r="R6402" s="366">
        <f t="shared" si="281"/>
        <v>-7.03087500000015</v>
      </c>
      <c r="S6402" s="167">
        <v>1025</v>
      </c>
      <c r="T6402" s="19" t="s">
        <v>42</v>
      </c>
      <c r="U6402" s="102" t="s">
        <v>1563</v>
      </c>
      <c r="V6402" s="186">
        <v>45763</v>
      </c>
      <c r="W6402" s="17" t="s">
        <v>69</v>
      </c>
      <c r="X6402" s="17"/>
      <c r="Y6402" s="68">
        <v>45809</v>
      </c>
      <c r="Z6402" s="17" t="s">
        <v>191</v>
      </c>
      <c r="AA6402" s="17" t="s">
        <v>46</v>
      </c>
      <c r="AB6402" s="17" t="s">
        <v>1564</v>
      </c>
      <c r="AC6402" s="217">
        <v>45832</v>
      </c>
      <c r="AD6402" s="65">
        <v>1698</v>
      </c>
      <c r="AE6402" s="17" t="s">
        <v>48</v>
      </c>
      <c r="AF6402" s="17" t="s">
        <v>560</v>
      </c>
      <c r="AG6402" s="17"/>
      <c r="AH6402" s="17"/>
      <c r="AI6402" s="17"/>
      <c r="AJ6402" s="17"/>
      <c r="AK6402" s="17"/>
      <c r="AL6402" s="17"/>
      <c r="AM6402" s="17"/>
      <c r="AN6402" s="17"/>
      <c r="AO6402" s="17"/>
      <c r="AP6402" s="17"/>
      <c r="AQ6402" s="17"/>
      <c r="AR6402" s="17"/>
      <c r="AS6402" s="17"/>
    </row>
    <row r="6403" s="25" customFormat="1" hidden="1" spans="1:45">
      <c r="A6403" s="17" t="s">
        <v>34</v>
      </c>
      <c r="B6403" s="19">
        <v>1055</v>
      </c>
      <c r="C6403" s="183">
        <v>45763</v>
      </c>
      <c r="D6403" s="17" t="s">
        <v>52</v>
      </c>
      <c r="E6403" s="17" t="s">
        <v>53</v>
      </c>
      <c r="F6403" s="17" t="s">
        <v>54</v>
      </c>
      <c r="G6403" s="17"/>
      <c r="H6403" s="19">
        <v>1.2311</v>
      </c>
      <c r="I6403" s="19"/>
      <c r="J6403" s="17" t="s">
        <v>82</v>
      </c>
      <c r="K6403" s="19">
        <v>1010</v>
      </c>
      <c r="L6403" s="19">
        <v>91</v>
      </c>
      <c r="M6403" s="19">
        <v>2250</v>
      </c>
      <c r="N6403" s="19" t="s">
        <v>66</v>
      </c>
      <c r="O6403" s="19" t="s">
        <v>141</v>
      </c>
      <c r="P6403" s="99">
        <v>1623.360375</v>
      </c>
      <c r="Q6403" s="98">
        <v>1647</v>
      </c>
      <c r="R6403" s="366">
        <f t="shared" si="281"/>
        <v>-23.6396250000003</v>
      </c>
      <c r="S6403" s="167">
        <v>1025</v>
      </c>
      <c r="T6403" s="19" t="s">
        <v>42</v>
      </c>
      <c r="U6403" s="102" t="s">
        <v>1563</v>
      </c>
      <c r="V6403" s="186">
        <v>45763</v>
      </c>
      <c r="W6403" s="17" t="s">
        <v>69</v>
      </c>
      <c r="X6403" s="17"/>
      <c r="Y6403" s="68">
        <v>45809</v>
      </c>
      <c r="Z6403" s="17" t="s">
        <v>191</v>
      </c>
      <c r="AA6403" s="17" t="s">
        <v>46</v>
      </c>
      <c r="AB6403" s="17" t="s">
        <v>1564</v>
      </c>
      <c r="AC6403" s="217">
        <v>45832</v>
      </c>
      <c r="AD6403" s="65">
        <v>1698</v>
      </c>
      <c r="AE6403" s="17" t="s">
        <v>48</v>
      </c>
      <c r="AF6403" s="17" t="s">
        <v>560</v>
      </c>
      <c r="AG6403" s="17"/>
      <c r="AH6403" s="17"/>
      <c r="AI6403" s="17"/>
      <c r="AJ6403" s="17"/>
      <c r="AK6403" s="17"/>
      <c r="AL6403" s="17"/>
      <c r="AM6403" s="17"/>
      <c r="AN6403" s="17"/>
      <c r="AO6403" s="17"/>
      <c r="AP6403" s="17"/>
      <c r="AQ6403" s="17"/>
      <c r="AR6403" s="17"/>
      <c r="AS6403" s="17"/>
    </row>
    <row r="6404" s="25" customFormat="1" hidden="1" spans="1:45">
      <c r="A6404" s="17" t="s">
        <v>34</v>
      </c>
      <c r="B6404" s="19">
        <v>1055</v>
      </c>
      <c r="C6404" s="183">
        <v>45763</v>
      </c>
      <c r="D6404" s="17" t="s">
        <v>52</v>
      </c>
      <c r="E6404" s="17" t="s">
        <v>53</v>
      </c>
      <c r="F6404" s="17" t="s">
        <v>54</v>
      </c>
      <c r="G6404" s="17"/>
      <c r="H6404" s="19">
        <v>1.2311</v>
      </c>
      <c r="I6404" s="19"/>
      <c r="J6404" s="17" t="s">
        <v>82</v>
      </c>
      <c r="K6404" s="19">
        <v>1010</v>
      </c>
      <c r="L6404" s="19">
        <v>105</v>
      </c>
      <c r="M6404" s="19">
        <v>2250</v>
      </c>
      <c r="N6404" s="19" t="s">
        <v>66</v>
      </c>
      <c r="O6404" s="19" t="s">
        <v>141</v>
      </c>
      <c r="P6404" s="99">
        <v>1873.108125</v>
      </c>
      <c r="Q6404" s="19">
        <v>1906</v>
      </c>
      <c r="R6404" s="99">
        <f t="shared" si="281"/>
        <v>-32.8918750000003</v>
      </c>
      <c r="S6404" s="167">
        <v>1025</v>
      </c>
      <c r="T6404" s="19" t="s">
        <v>42</v>
      </c>
      <c r="U6404" s="102" t="s">
        <v>1563</v>
      </c>
      <c r="V6404" s="186">
        <v>45763</v>
      </c>
      <c r="W6404" s="17" t="s">
        <v>69</v>
      </c>
      <c r="X6404" s="17"/>
      <c r="Y6404" s="68">
        <v>45809</v>
      </c>
      <c r="Z6404" s="17" t="s">
        <v>191</v>
      </c>
      <c r="AA6404" s="17" t="s">
        <v>46</v>
      </c>
      <c r="AB6404" s="17" t="s">
        <v>1564</v>
      </c>
      <c r="AC6404" s="217">
        <v>45832</v>
      </c>
      <c r="AD6404" s="65">
        <v>1698</v>
      </c>
      <c r="AE6404" s="17" t="s">
        <v>48</v>
      </c>
      <c r="AF6404" s="17" t="s">
        <v>560</v>
      </c>
      <c r="AG6404" s="17"/>
      <c r="AH6404" s="17"/>
      <c r="AI6404" s="17"/>
      <c r="AJ6404" s="17"/>
      <c r="AK6404" s="17"/>
      <c r="AL6404" s="17"/>
      <c r="AM6404" s="17"/>
      <c r="AN6404" s="17"/>
      <c r="AO6404" s="17"/>
      <c r="AP6404" s="17"/>
      <c r="AQ6404" s="17"/>
      <c r="AR6404" s="17"/>
      <c r="AS6404" s="17"/>
    </row>
    <row r="6405" s="25" customFormat="1" hidden="1" spans="1:45">
      <c r="A6405" s="17" t="s">
        <v>34</v>
      </c>
      <c r="B6405" s="19">
        <v>1057</v>
      </c>
      <c r="C6405" s="183">
        <v>45779</v>
      </c>
      <c r="D6405" s="17" t="s">
        <v>52</v>
      </c>
      <c r="E6405" s="17" t="s">
        <v>53</v>
      </c>
      <c r="F6405" s="17" t="s">
        <v>54</v>
      </c>
      <c r="G6405" s="17"/>
      <c r="H6405" s="19">
        <v>1.2311</v>
      </c>
      <c r="I6405" s="19"/>
      <c r="J6405" s="17" t="s">
        <v>49</v>
      </c>
      <c r="K6405" s="19">
        <v>1210</v>
      </c>
      <c r="L6405" s="91">
        <v>335</v>
      </c>
      <c r="M6405" s="19">
        <v>4000</v>
      </c>
      <c r="N6405" s="19" t="s">
        <v>66</v>
      </c>
      <c r="O6405" s="19" t="s">
        <v>50</v>
      </c>
      <c r="P6405" s="19">
        <v>12434</v>
      </c>
      <c r="Q6405" s="19">
        <v>10660</v>
      </c>
      <c r="R6405" s="19">
        <f t="shared" si="281"/>
        <v>1774</v>
      </c>
      <c r="S6405" s="19">
        <f>1245</f>
        <v>1245</v>
      </c>
      <c r="T6405" s="19" t="s">
        <v>42</v>
      </c>
      <c r="U6405" s="102" t="s">
        <v>1565</v>
      </c>
      <c r="V6405" s="186">
        <v>45780</v>
      </c>
      <c r="W6405" s="17" t="s">
        <v>69</v>
      </c>
      <c r="X6405" s="17"/>
      <c r="Y6405" s="68">
        <v>45839</v>
      </c>
      <c r="Z6405" s="17" t="s">
        <v>191</v>
      </c>
      <c r="AA6405" s="17" t="s">
        <v>46</v>
      </c>
      <c r="AB6405" s="17" t="s">
        <v>1566</v>
      </c>
      <c r="AC6405" s="217">
        <v>45840</v>
      </c>
      <c r="AD6405" s="65">
        <v>1697</v>
      </c>
      <c r="AE6405" s="17" t="s">
        <v>48</v>
      </c>
      <c r="AF6405" s="17" t="s">
        <v>1567</v>
      </c>
      <c r="AG6405" s="17"/>
      <c r="AH6405" s="17"/>
      <c r="AI6405" s="17"/>
      <c r="AJ6405" s="17"/>
      <c r="AK6405" s="17"/>
      <c r="AL6405" s="17"/>
      <c r="AM6405" s="17"/>
      <c r="AN6405" s="17"/>
      <c r="AO6405" s="17"/>
      <c r="AP6405" s="17"/>
      <c r="AQ6405" s="17"/>
      <c r="AR6405" s="17"/>
    </row>
    <row r="6406" s="25" customFormat="1" hidden="1" spans="1:45">
      <c r="A6406" s="17" t="s">
        <v>34</v>
      </c>
      <c r="B6406" s="19">
        <v>1057</v>
      </c>
      <c r="C6406" s="183">
        <v>45779</v>
      </c>
      <c r="D6406" s="17" t="s">
        <v>52</v>
      </c>
      <c r="E6406" s="17" t="s">
        <v>53</v>
      </c>
      <c r="F6406" s="17" t="s">
        <v>54</v>
      </c>
      <c r="G6406" s="17"/>
      <c r="H6406" s="19">
        <v>1.2311</v>
      </c>
      <c r="I6406" s="19"/>
      <c r="J6406" s="17" t="s">
        <v>49</v>
      </c>
      <c r="K6406" s="19">
        <v>1530</v>
      </c>
      <c r="L6406" s="91">
        <v>395</v>
      </c>
      <c r="M6406" s="19">
        <v>4000</v>
      </c>
      <c r="N6406" s="19" t="s">
        <v>66</v>
      </c>
      <c r="O6406" s="19" t="s">
        <v>50</v>
      </c>
      <c r="P6406" s="19">
        <v>18369</v>
      </c>
      <c r="Q6406" s="19">
        <v>16430</v>
      </c>
      <c r="R6406" s="19">
        <f t="shared" si="281"/>
        <v>1939</v>
      </c>
      <c r="S6406" s="19">
        <f>1245</f>
        <v>1245</v>
      </c>
      <c r="T6406" s="19" t="s">
        <v>42</v>
      </c>
      <c r="U6406" s="102" t="s">
        <v>1565</v>
      </c>
      <c r="V6406" s="186">
        <v>45780</v>
      </c>
      <c r="W6406" s="17" t="s">
        <v>69</v>
      </c>
      <c r="X6406" s="17"/>
      <c r="Y6406" s="68">
        <v>45839</v>
      </c>
      <c r="Z6406" s="17" t="s">
        <v>191</v>
      </c>
      <c r="AA6406" s="17" t="s">
        <v>46</v>
      </c>
      <c r="AB6406" s="17" t="s">
        <v>1566</v>
      </c>
      <c r="AC6406" s="217">
        <v>45840</v>
      </c>
      <c r="AD6406" s="65">
        <v>1697</v>
      </c>
      <c r="AE6406" s="17" t="s">
        <v>48</v>
      </c>
      <c r="AF6406" s="17" t="s">
        <v>1567</v>
      </c>
      <c r="AG6406" s="17"/>
      <c r="AH6406" s="17"/>
      <c r="AI6406" s="17"/>
      <c r="AJ6406" s="17"/>
      <c r="AK6406" s="17"/>
      <c r="AL6406" s="17"/>
      <c r="AM6406" s="17"/>
      <c r="AN6406" s="17"/>
      <c r="AO6406" s="17"/>
      <c r="AP6406" s="17"/>
      <c r="AQ6406" s="17"/>
      <c r="AR6406" s="17"/>
    </row>
    <row r="6407" s="25" customFormat="1" hidden="1" spans="1:45">
      <c r="A6407" s="17" t="s">
        <v>34</v>
      </c>
      <c r="B6407" s="19">
        <v>1057</v>
      </c>
      <c r="C6407" s="183">
        <v>45779</v>
      </c>
      <c r="D6407" s="17" t="s">
        <v>52</v>
      </c>
      <c r="E6407" s="17" t="s">
        <v>53</v>
      </c>
      <c r="F6407" s="17" t="s">
        <v>54</v>
      </c>
      <c r="G6407" s="17"/>
      <c r="H6407" s="19">
        <v>1.2311</v>
      </c>
      <c r="I6407" s="19"/>
      <c r="J6407" s="17" t="s">
        <v>49</v>
      </c>
      <c r="K6407" s="19">
        <v>1515</v>
      </c>
      <c r="L6407" s="91">
        <v>460</v>
      </c>
      <c r="M6407" s="19">
        <v>4000</v>
      </c>
      <c r="N6407" s="19" t="s">
        <v>66</v>
      </c>
      <c r="O6407" s="19" t="s">
        <v>50</v>
      </c>
      <c r="P6407" s="19">
        <v>21431</v>
      </c>
      <c r="Q6407" s="19">
        <v>21940</v>
      </c>
      <c r="R6407" s="19">
        <f t="shared" si="281"/>
        <v>-509</v>
      </c>
      <c r="S6407" s="19">
        <f>1245</f>
        <v>1245</v>
      </c>
      <c r="T6407" s="19" t="s">
        <v>42</v>
      </c>
      <c r="U6407" s="102" t="s">
        <v>1565</v>
      </c>
      <c r="V6407" s="186">
        <v>45780</v>
      </c>
      <c r="W6407" s="17" t="s">
        <v>69</v>
      </c>
      <c r="X6407" s="17"/>
      <c r="Y6407" s="68">
        <v>45839</v>
      </c>
      <c r="Z6407" s="17" t="s">
        <v>191</v>
      </c>
      <c r="AA6407" s="17" t="s">
        <v>46</v>
      </c>
      <c r="AB6407" s="17" t="s">
        <v>1566</v>
      </c>
      <c r="AC6407" s="217">
        <v>45840</v>
      </c>
      <c r="AD6407" s="65">
        <v>1697</v>
      </c>
      <c r="AE6407" s="17" t="s">
        <v>48</v>
      </c>
      <c r="AF6407" s="17" t="s">
        <v>1567</v>
      </c>
      <c r="AG6407" s="17"/>
      <c r="AH6407" s="17"/>
      <c r="AI6407" s="17"/>
      <c r="AJ6407" s="17"/>
      <c r="AK6407" s="17"/>
      <c r="AL6407" s="17"/>
      <c r="AM6407" s="17"/>
      <c r="AN6407" s="17"/>
      <c r="AO6407" s="17"/>
      <c r="AP6407" s="17"/>
      <c r="AQ6407" s="17"/>
      <c r="AR6407" s="17"/>
    </row>
    <row r="6408" s="25" customFormat="1" hidden="1" spans="1:45">
      <c r="A6408" s="17" t="s">
        <v>34</v>
      </c>
      <c r="B6408" s="19">
        <v>1057</v>
      </c>
      <c r="C6408" s="183">
        <v>45779</v>
      </c>
      <c r="D6408" s="17" t="s">
        <v>52</v>
      </c>
      <c r="E6408" s="17" t="s">
        <v>53</v>
      </c>
      <c r="F6408" s="17" t="s">
        <v>54</v>
      </c>
      <c r="G6408" s="17"/>
      <c r="H6408" s="19">
        <v>1.2738</v>
      </c>
      <c r="I6408" s="19"/>
      <c r="J6408" s="17" t="s">
        <v>49</v>
      </c>
      <c r="K6408" s="19">
        <v>1240</v>
      </c>
      <c r="L6408" s="91">
        <v>285</v>
      </c>
      <c r="M6408" s="19">
        <v>3890</v>
      </c>
      <c r="N6408" s="19" t="s">
        <v>66</v>
      </c>
      <c r="O6408" s="19" t="s">
        <v>50</v>
      </c>
      <c r="P6408" s="19">
        <v>10550</v>
      </c>
      <c r="Q6408" s="19">
        <v>10810</v>
      </c>
      <c r="R6408" s="19">
        <f t="shared" si="281"/>
        <v>-260</v>
      </c>
      <c r="S6408" s="19">
        <f>1545</f>
        <v>1545</v>
      </c>
      <c r="T6408" s="19" t="s">
        <v>42</v>
      </c>
      <c r="U6408" s="102" t="s">
        <v>1568</v>
      </c>
      <c r="V6408" s="186">
        <v>45792</v>
      </c>
      <c r="W6408" s="17" t="s">
        <v>69</v>
      </c>
      <c r="X6408" s="17"/>
      <c r="Y6408" s="68">
        <v>45839</v>
      </c>
      <c r="Z6408" s="17" t="s">
        <v>191</v>
      </c>
      <c r="AA6408" s="17" t="s">
        <v>46</v>
      </c>
      <c r="AB6408" s="17" t="s">
        <v>1569</v>
      </c>
      <c r="AC6408" s="217">
        <v>45833</v>
      </c>
      <c r="AD6408" s="65">
        <v>1696</v>
      </c>
      <c r="AE6408" s="17" t="s">
        <v>48</v>
      </c>
      <c r="AF6408" s="17" t="s">
        <v>1570</v>
      </c>
      <c r="AG6408" s="17"/>
      <c r="AH6408" s="17"/>
      <c r="AI6408" s="17"/>
      <c r="AJ6408" s="17"/>
      <c r="AK6408" s="17"/>
      <c r="AL6408" s="17"/>
      <c r="AM6408" s="17"/>
      <c r="AN6408" s="17"/>
      <c r="AO6408" s="17"/>
      <c r="AP6408" s="17"/>
      <c r="AQ6408" s="17"/>
      <c r="AR6408" s="17"/>
    </row>
    <row r="6409" s="25" customFormat="1" hidden="1" spans="1:45">
      <c r="A6409" s="17" t="s">
        <v>34</v>
      </c>
      <c r="B6409" s="19">
        <v>1057</v>
      </c>
      <c r="C6409" s="183">
        <v>45779</v>
      </c>
      <c r="D6409" s="17" t="s">
        <v>52</v>
      </c>
      <c r="E6409" s="17" t="s">
        <v>53</v>
      </c>
      <c r="F6409" s="17" t="s">
        <v>54</v>
      </c>
      <c r="G6409" s="17"/>
      <c r="H6409" s="19">
        <v>1.2738</v>
      </c>
      <c r="I6409" s="19"/>
      <c r="J6409" s="17" t="s">
        <v>49</v>
      </c>
      <c r="K6409" s="19">
        <v>1810</v>
      </c>
      <c r="L6409" s="91">
        <v>338</v>
      </c>
      <c r="M6409" s="19">
        <v>3420</v>
      </c>
      <c r="N6409" s="19" t="s">
        <v>66</v>
      </c>
      <c r="O6409" s="19" t="s">
        <v>50</v>
      </c>
      <c r="P6409" s="19">
        <v>12434</v>
      </c>
      <c r="Q6409" s="367">
        <v>16430</v>
      </c>
      <c r="R6409" s="19">
        <f t="shared" si="281"/>
        <v>-3996</v>
      </c>
      <c r="S6409" s="19">
        <f>1545</f>
        <v>1545</v>
      </c>
      <c r="T6409" s="19" t="s">
        <v>42</v>
      </c>
      <c r="U6409" s="102" t="s">
        <v>1568</v>
      </c>
      <c r="V6409" s="186">
        <v>45792</v>
      </c>
      <c r="W6409" s="17" t="s">
        <v>69</v>
      </c>
      <c r="X6409" s="17"/>
      <c r="Y6409" s="68">
        <v>45839</v>
      </c>
      <c r="Z6409" s="17" t="s">
        <v>191</v>
      </c>
      <c r="AA6409" s="17" t="s">
        <v>46</v>
      </c>
      <c r="AB6409" s="17" t="s">
        <v>1569</v>
      </c>
      <c r="AC6409" s="217">
        <v>45833</v>
      </c>
      <c r="AD6409" s="65">
        <v>1696</v>
      </c>
      <c r="AE6409" s="17" t="s">
        <v>48</v>
      </c>
      <c r="AF6409" s="17" t="s">
        <v>1570</v>
      </c>
      <c r="AG6409" s="17"/>
      <c r="AH6409" s="17"/>
      <c r="AI6409" s="17"/>
      <c r="AJ6409" s="17"/>
      <c r="AK6409" s="17"/>
      <c r="AL6409" s="17"/>
      <c r="AM6409" s="17"/>
      <c r="AN6409" s="17"/>
      <c r="AO6409" s="17"/>
      <c r="AP6409" s="17"/>
      <c r="AQ6409" s="17"/>
      <c r="AR6409" s="17"/>
    </row>
    <row r="6410" s="25" customFormat="1" hidden="1" spans="1:45">
      <c r="A6410" s="17" t="s">
        <v>34</v>
      </c>
      <c r="B6410" s="19">
        <v>1057</v>
      </c>
      <c r="C6410" s="183">
        <v>45779</v>
      </c>
      <c r="D6410" s="17" t="s">
        <v>52</v>
      </c>
      <c r="E6410" s="17" t="s">
        <v>53</v>
      </c>
      <c r="F6410" s="17" t="s">
        <v>54</v>
      </c>
      <c r="G6410" s="17"/>
      <c r="H6410" s="19">
        <v>1.2738</v>
      </c>
      <c r="I6410" s="19"/>
      <c r="J6410" s="17" t="s">
        <v>49</v>
      </c>
      <c r="K6410" s="19">
        <v>1520</v>
      </c>
      <c r="L6410" s="91">
        <v>513</v>
      </c>
      <c r="M6410" s="19">
        <v>4000</v>
      </c>
      <c r="N6410" s="19" t="s">
        <v>66</v>
      </c>
      <c r="O6410" s="19" t="s">
        <v>50</v>
      </c>
      <c r="P6410" s="19">
        <v>24021</v>
      </c>
      <c r="Q6410" s="19">
        <v>23090</v>
      </c>
      <c r="R6410" s="19">
        <f t="shared" si="281"/>
        <v>931</v>
      </c>
      <c r="S6410" s="19">
        <f>1545</f>
        <v>1545</v>
      </c>
      <c r="T6410" s="19" t="s">
        <v>42</v>
      </c>
      <c r="U6410" s="102" t="s">
        <v>1565</v>
      </c>
      <c r="V6410" s="186">
        <v>45780</v>
      </c>
      <c r="W6410" s="17" t="s">
        <v>69</v>
      </c>
      <c r="X6410" s="17"/>
      <c r="Y6410" s="68">
        <v>45839</v>
      </c>
      <c r="Z6410" s="17" t="s">
        <v>191</v>
      </c>
      <c r="AA6410" s="17" t="s">
        <v>46</v>
      </c>
      <c r="AB6410" s="17" t="s">
        <v>1566</v>
      </c>
      <c r="AC6410" s="217">
        <v>45840</v>
      </c>
      <c r="AD6410" s="65">
        <v>1697</v>
      </c>
      <c r="AE6410" s="17" t="s">
        <v>48</v>
      </c>
      <c r="AF6410" s="17" t="s">
        <v>1567</v>
      </c>
      <c r="AG6410" s="17"/>
      <c r="AH6410" s="17"/>
      <c r="AI6410" s="17"/>
      <c r="AJ6410" s="17"/>
      <c r="AK6410" s="17"/>
      <c r="AL6410" s="17"/>
      <c r="AM6410" s="17"/>
      <c r="AN6410" s="17"/>
      <c r="AO6410" s="17"/>
      <c r="AP6410" s="17"/>
      <c r="AQ6410" s="17"/>
      <c r="AR6410" s="17"/>
    </row>
    <row r="6411" s="25" customFormat="1" hidden="1" spans="1:45">
      <c r="A6411" s="17" t="s">
        <v>34</v>
      </c>
      <c r="B6411" s="19">
        <v>1057</v>
      </c>
      <c r="C6411" s="183">
        <v>45779</v>
      </c>
      <c r="D6411" s="17" t="s">
        <v>52</v>
      </c>
      <c r="E6411" s="17" t="s">
        <v>53</v>
      </c>
      <c r="F6411" s="17" t="s">
        <v>54</v>
      </c>
      <c r="G6411" s="17"/>
      <c r="H6411" s="19">
        <v>1.2738</v>
      </c>
      <c r="I6411" s="19"/>
      <c r="J6411" s="17" t="s">
        <v>49</v>
      </c>
      <c r="K6411" s="19">
        <v>1230</v>
      </c>
      <c r="L6411" s="91">
        <v>260</v>
      </c>
      <c r="M6411" s="19">
        <v>4060</v>
      </c>
      <c r="N6411" s="19" t="s">
        <v>66</v>
      </c>
      <c r="O6411" s="19" t="s">
        <v>50</v>
      </c>
      <c r="P6411" s="19">
        <v>9608</v>
      </c>
      <c r="Q6411" s="19">
        <v>10210</v>
      </c>
      <c r="R6411" s="19">
        <f t="shared" si="281"/>
        <v>-602</v>
      </c>
      <c r="S6411" s="19">
        <f>1545</f>
        <v>1545</v>
      </c>
      <c r="T6411" s="19" t="s">
        <v>42</v>
      </c>
      <c r="U6411" s="102" t="s">
        <v>1568</v>
      </c>
      <c r="V6411" s="186">
        <v>45792</v>
      </c>
      <c r="W6411" s="17" t="s">
        <v>69</v>
      </c>
      <c r="X6411" s="17"/>
      <c r="Y6411" s="68">
        <v>45839</v>
      </c>
      <c r="Z6411" s="17" t="s">
        <v>191</v>
      </c>
      <c r="AA6411" s="17" t="s">
        <v>46</v>
      </c>
      <c r="AB6411" s="17" t="s">
        <v>1569</v>
      </c>
      <c r="AC6411" s="217">
        <v>45833</v>
      </c>
      <c r="AD6411" s="65">
        <v>1696</v>
      </c>
      <c r="AE6411" s="17" t="s">
        <v>48</v>
      </c>
      <c r="AF6411" s="17" t="s">
        <v>1570</v>
      </c>
      <c r="AG6411" s="17"/>
      <c r="AH6411" s="17"/>
      <c r="AI6411" s="17"/>
      <c r="AJ6411" s="17"/>
      <c r="AK6411" s="17"/>
      <c r="AL6411" s="17"/>
      <c r="AM6411" s="17"/>
      <c r="AN6411" s="17"/>
      <c r="AO6411" s="17"/>
      <c r="AP6411" s="17"/>
      <c r="AQ6411" s="17"/>
      <c r="AR6411" s="17"/>
    </row>
    <row r="6412" s="25" customFormat="1" ht="15.6" hidden="1" spans="1:45">
      <c r="A6412" s="17" t="s">
        <v>34</v>
      </c>
      <c r="B6412" s="19">
        <v>1058</v>
      </c>
      <c r="C6412" s="183">
        <v>45790</v>
      </c>
      <c r="D6412" s="17" t="s">
        <v>52</v>
      </c>
      <c r="E6412" s="17" t="s">
        <v>53</v>
      </c>
      <c r="F6412" s="17" t="s">
        <v>54</v>
      </c>
      <c r="G6412" s="17"/>
      <c r="H6412" s="19">
        <v>1.2311</v>
      </c>
      <c r="I6412" s="19"/>
      <c r="J6412" s="17" t="s">
        <v>82</v>
      </c>
      <c r="K6412" s="19">
        <v>255</v>
      </c>
      <c r="L6412" s="19">
        <v>46</v>
      </c>
      <c r="M6412" s="19">
        <v>2250</v>
      </c>
      <c r="N6412" s="19" t="s">
        <v>66</v>
      </c>
      <c r="O6412" s="19" t="s">
        <v>141</v>
      </c>
      <c r="P6412" s="19">
        <v>424</v>
      </c>
      <c r="Q6412" s="19">
        <v>424</v>
      </c>
      <c r="R6412" s="19">
        <f t="shared" si="281"/>
        <v>0</v>
      </c>
      <c r="S6412" s="274">
        <f t="shared" ref="S6412:S6442" si="282">880-50</f>
        <v>830</v>
      </c>
      <c r="T6412" s="19" t="s">
        <v>42</v>
      </c>
      <c r="U6412" s="102" t="s">
        <v>1571</v>
      </c>
      <c r="V6412" s="186">
        <v>45792</v>
      </c>
      <c r="W6412" s="17" t="s">
        <v>44</v>
      </c>
      <c r="X6412" s="17"/>
      <c r="Y6412" s="68">
        <v>45809</v>
      </c>
      <c r="Z6412" s="17" t="s">
        <v>191</v>
      </c>
      <c r="AA6412" s="17" t="s">
        <v>46</v>
      </c>
      <c r="AB6412" s="17" t="s">
        <v>1572</v>
      </c>
      <c r="AC6412" s="217">
        <v>45874</v>
      </c>
      <c r="AD6412" s="65">
        <v>1715</v>
      </c>
      <c r="AE6412" s="17" t="s">
        <v>48</v>
      </c>
      <c r="AF6412" s="17" t="s">
        <v>1573</v>
      </c>
      <c r="AG6412" s="17"/>
      <c r="AH6412" s="17"/>
      <c r="AI6412" s="17"/>
      <c r="AJ6412" s="17"/>
      <c r="AK6412" s="17"/>
      <c r="AL6412" s="17"/>
      <c r="AM6412" s="17"/>
      <c r="AN6412" s="17"/>
      <c r="AO6412" s="17"/>
      <c r="AP6412" s="17"/>
      <c r="AQ6412" s="17"/>
      <c r="AR6412" s="17"/>
    </row>
    <row r="6413" s="25" customFormat="1" ht="15.6" hidden="1" spans="1:45">
      <c r="A6413" s="17" t="s">
        <v>34</v>
      </c>
      <c r="B6413" s="19">
        <v>1058</v>
      </c>
      <c r="C6413" s="183">
        <v>45790</v>
      </c>
      <c r="D6413" s="17" t="s">
        <v>52</v>
      </c>
      <c r="E6413" s="17" t="s">
        <v>53</v>
      </c>
      <c r="F6413" s="17" t="s">
        <v>54</v>
      </c>
      <c r="G6413" s="17"/>
      <c r="H6413" s="19">
        <v>1.2311</v>
      </c>
      <c r="I6413" s="19"/>
      <c r="J6413" s="17" t="s">
        <v>82</v>
      </c>
      <c r="K6413" s="19">
        <v>305</v>
      </c>
      <c r="L6413" s="19">
        <v>46</v>
      </c>
      <c r="M6413" s="19">
        <v>2250</v>
      </c>
      <c r="N6413" s="19" t="s">
        <v>66</v>
      </c>
      <c r="O6413" s="19" t="s">
        <v>141</v>
      </c>
      <c r="P6413" s="19">
        <v>511</v>
      </c>
      <c r="Q6413" s="19">
        <v>511</v>
      </c>
      <c r="R6413" s="19">
        <f t="shared" si="281"/>
        <v>0</v>
      </c>
      <c r="S6413" s="274">
        <f t="shared" si="282"/>
        <v>830</v>
      </c>
      <c r="T6413" s="19" t="s">
        <v>42</v>
      </c>
      <c r="U6413" s="102" t="s">
        <v>1571</v>
      </c>
      <c r="V6413" s="186">
        <v>45792</v>
      </c>
      <c r="W6413" s="17" t="s">
        <v>44</v>
      </c>
      <c r="X6413" s="17"/>
      <c r="Y6413" s="68">
        <v>45809</v>
      </c>
      <c r="Z6413" s="17" t="s">
        <v>191</v>
      </c>
      <c r="AA6413" s="17" t="s">
        <v>46</v>
      </c>
      <c r="AB6413" s="17" t="s">
        <v>1572</v>
      </c>
      <c r="AC6413" s="217">
        <v>45874</v>
      </c>
      <c r="AD6413" s="65">
        <v>1715</v>
      </c>
      <c r="AE6413" s="17" t="s">
        <v>48</v>
      </c>
      <c r="AF6413" s="17" t="s">
        <v>1573</v>
      </c>
      <c r="AG6413" s="17"/>
      <c r="AH6413" s="17"/>
      <c r="AI6413" s="17"/>
      <c r="AJ6413" s="17"/>
      <c r="AK6413" s="17"/>
      <c r="AL6413" s="17"/>
      <c r="AM6413" s="17"/>
      <c r="AN6413" s="17"/>
      <c r="AO6413" s="17"/>
      <c r="AP6413" s="17"/>
      <c r="AQ6413" s="17"/>
      <c r="AR6413" s="17"/>
    </row>
    <row r="6414" s="25" customFormat="1" ht="15.6" hidden="1" spans="1:45">
      <c r="A6414" s="17" t="s">
        <v>34</v>
      </c>
      <c r="B6414" s="19">
        <v>1058</v>
      </c>
      <c r="C6414" s="183">
        <v>45790</v>
      </c>
      <c r="D6414" s="17" t="s">
        <v>52</v>
      </c>
      <c r="E6414" s="17" t="s">
        <v>53</v>
      </c>
      <c r="F6414" s="17" t="s">
        <v>54</v>
      </c>
      <c r="G6414" s="17"/>
      <c r="H6414" s="19">
        <v>1.2311</v>
      </c>
      <c r="I6414" s="19"/>
      <c r="J6414" s="17" t="s">
        <v>82</v>
      </c>
      <c r="K6414" s="19">
        <v>355</v>
      </c>
      <c r="L6414" s="19">
        <v>46</v>
      </c>
      <c r="M6414" s="19">
        <v>2250</v>
      </c>
      <c r="N6414" s="19" t="s">
        <v>66</v>
      </c>
      <c r="O6414" s="19" t="s">
        <v>141</v>
      </c>
      <c r="P6414" s="19">
        <v>594</v>
      </c>
      <c r="Q6414" s="19">
        <v>594</v>
      </c>
      <c r="R6414" s="19">
        <f t="shared" si="281"/>
        <v>0</v>
      </c>
      <c r="S6414" s="274">
        <f t="shared" si="282"/>
        <v>830</v>
      </c>
      <c r="T6414" s="19" t="s">
        <v>42</v>
      </c>
      <c r="U6414" s="102" t="s">
        <v>1571</v>
      </c>
      <c r="V6414" s="186">
        <v>45792</v>
      </c>
      <c r="W6414" s="17" t="s">
        <v>44</v>
      </c>
      <c r="X6414" s="17"/>
      <c r="Y6414" s="68">
        <v>45809</v>
      </c>
      <c r="Z6414" s="17" t="s">
        <v>191</v>
      </c>
      <c r="AA6414" s="17" t="s">
        <v>46</v>
      </c>
      <c r="AB6414" s="17" t="s">
        <v>1572</v>
      </c>
      <c r="AC6414" s="217">
        <v>45874</v>
      </c>
      <c r="AD6414" s="65">
        <v>1715</v>
      </c>
      <c r="AE6414" s="17" t="s">
        <v>48</v>
      </c>
      <c r="AF6414" s="17" t="s">
        <v>1573</v>
      </c>
      <c r="AG6414" s="17"/>
      <c r="AH6414" s="17"/>
      <c r="AI6414" s="17"/>
      <c r="AJ6414" s="17"/>
      <c r="AK6414" s="17"/>
      <c r="AL6414" s="17"/>
      <c r="AM6414" s="17"/>
      <c r="AN6414" s="17"/>
      <c r="AO6414" s="17"/>
      <c r="AP6414" s="17"/>
      <c r="AQ6414" s="17"/>
      <c r="AR6414" s="17"/>
    </row>
    <row r="6415" s="25" customFormat="1" ht="15.6" hidden="1" spans="1:45">
      <c r="A6415" s="17" t="s">
        <v>34</v>
      </c>
      <c r="B6415" s="19">
        <v>1058</v>
      </c>
      <c r="C6415" s="183">
        <v>45790</v>
      </c>
      <c r="D6415" s="17" t="s">
        <v>52</v>
      </c>
      <c r="E6415" s="17" t="s">
        <v>53</v>
      </c>
      <c r="F6415" s="17" t="s">
        <v>54</v>
      </c>
      <c r="G6415" s="17"/>
      <c r="H6415" s="19">
        <v>1.2311</v>
      </c>
      <c r="I6415" s="19"/>
      <c r="J6415" s="17" t="s">
        <v>82</v>
      </c>
      <c r="K6415" s="19">
        <v>410</v>
      </c>
      <c r="L6415" s="19">
        <v>46</v>
      </c>
      <c r="M6415" s="19">
        <v>2250</v>
      </c>
      <c r="N6415" s="19" t="s">
        <v>66</v>
      </c>
      <c r="O6415" s="19" t="s">
        <v>141</v>
      </c>
      <c r="P6415" s="19">
        <v>677</v>
      </c>
      <c r="Q6415" s="19">
        <v>677</v>
      </c>
      <c r="R6415" s="19">
        <f t="shared" si="281"/>
        <v>0</v>
      </c>
      <c r="S6415" s="274">
        <f t="shared" si="282"/>
        <v>830</v>
      </c>
      <c r="T6415" s="19" t="s">
        <v>42</v>
      </c>
      <c r="U6415" s="102" t="s">
        <v>1571</v>
      </c>
      <c r="V6415" s="186">
        <v>45792</v>
      </c>
      <c r="W6415" s="17" t="s">
        <v>44</v>
      </c>
      <c r="X6415" s="17"/>
      <c r="Y6415" s="68">
        <v>45809</v>
      </c>
      <c r="Z6415" s="17" t="s">
        <v>191</v>
      </c>
      <c r="AA6415" s="17" t="s">
        <v>46</v>
      </c>
      <c r="AB6415" s="17" t="s">
        <v>1572</v>
      </c>
      <c r="AC6415" s="217">
        <v>45874</v>
      </c>
      <c r="AD6415" s="65">
        <v>1715</v>
      </c>
      <c r="AE6415" s="17" t="s">
        <v>48</v>
      </c>
      <c r="AF6415" s="17" t="s">
        <v>1573</v>
      </c>
      <c r="AG6415" s="17"/>
      <c r="AH6415" s="17"/>
      <c r="AI6415" s="17"/>
      <c r="AJ6415" s="17"/>
      <c r="AK6415" s="17"/>
      <c r="AL6415" s="17"/>
      <c r="AM6415" s="17"/>
      <c r="AN6415" s="17"/>
      <c r="AO6415" s="17"/>
      <c r="AP6415" s="17"/>
      <c r="AQ6415" s="17"/>
      <c r="AR6415" s="17"/>
    </row>
    <row r="6416" s="25" customFormat="1" ht="15.6" hidden="1" spans="1:45">
      <c r="A6416" s="17" t="s">
        <v>34</v>
      </c>
      <c r="B6416" s="19">
        <v>1058</v>
      </c>
      <c r="C6416" s="183">
        <v>45790</v>
      </c>
      <c r="D6416" s="17" t="s">
        <v>52</v>
      </c>
      <c r="E6416" s="17" t="s">
        <v>53</v>
      </c>
      <c r="F6416" s="17" t="s">
        <v>54</v>
      </c>
      <c r="G6416" s="17"/>
      <c r="H6416" s="19">
        <v>1.2311</v>
      </c>
      <c r="I6416" s="19"/>
      <c r="J6416" s="17" t="s">
        <v>82</v>
      </c>
      <c r="K6416" s="19">
        <v>555</v>
      </c>
      <c r="L6416" s="19">
        <v>51</v>
      </c>
      <c r="M6416" s="19">
        <v>2250</v>
      </c>
      <c r="N6416" s="19" t="s">
        <v>66</v>
      </c>
      <c r="O6416" s="19" t="s">
        <v>141</v>
      </c>
      <c r="P6416" s="19">
        <v>514</v>
      </c>
      <c r="Q6416" s="19">
        <v>514</v>
      </c>
      <c r="R6416" s="19">
        <f t="shared" si="281"/>
        <v>0</v>
      </c>
      <c r="S6416" s="274">
        <f t="shared" si="282"/>
        <v>830</v>
      </c>
      <c r="T6416" s="19" t="s">
        <v>42</v>
      </c>
      <c r="U6416" s="102" t="s">
        <v>1571</v>
      </c>
      <c r="V6416" s="186">
        <v>45792</v>
      </c>
      <c r="W6416" s="17" t="s">
        <v>44</v>
      </c>
      <c r="X6416" s="17"/>
      <c r="Y6416" s="68">
        <v>45809</v>
      </c>
      <c r="Z6416" s="17" t="s">
        <v>191</v>
      </c>
      <c r="AA6416" s="17" t="s">
        <v>46</v>
      </c>
      <c r="AB6416" s="17" t="s">
        <v>1572</v>
      </c>
      <c r="AC6416" s="217">
        <v>45874</v>
      </c>
      <c r="AD6416" s="65">
        <v>1715</v>
      </c>
      <c r="AE6416" s="17" t="s">
        <v>48</v>
      </c>
      <c r="AF6416" s="17" t="s">
        <v>1573</v>
      </c>
      <c r="AG6416" s="17"/>
      <c r="AH6416" s="17"/>
      <c r="AI6416" s="17"/>
      <c r="AJ6416" s="17"/>
      <c r="AK6416" s="17"/>
      <c r="AL6416" s="17"/>
      <c r="AM6416" s="17"/>
      <c r="AN6416" s="17"/>
      <c r="AO6416" s="17"/>
      <c r="AP6416" s="17"/>
      <c r="AQ6416" s="17"/>
      <c r="AR6416" s="17"/>
    </row>
    <row r="6417" s="25" customFormat="1" ht="15.6" hidden="1" spans="1:44">
      <c r="A6417" s="17" t="s">
        <v>34</v>
      </c>
      <c r="B6417" s="19">
        <v>1058</v>
      </c>
      <c r="C6417" s="183">
        <v>45790</v>
      </c>
      <c r="D6417" s="17" t="s">
        <v>52</v>
      </c>
      <c r="E6417" s="17" t="s">
        <v>53</v>
      </c>
      <c r="F6417" s="17" t="s">
        <v>54</v>
      </c>
      <c r="G6417" s="17"/>
      <c r="H6417" s="19">
        <v>1.2311</v>
      </c>
      <c r="I6417" s="19"/>
      <c r="J6417" s="17" t="s">
        <v>82</v>
      </c>
      <c r="K6417" s="19">
        <v>255</v>
      </c>
      <c r="L6417" s="19">
        <v>56</v>
      </c>
      <c r="M6417" s="19">
        <v>2250</v>
      </c>
      <c r="N6417" s="19" t="s">
        <v>66</v>
      </c>
      <c r="O6417" s="19" t="s">
        <v>141</v>
      </c>
      <c r="P6417" s="19">
        <v>522</v>
      </c>
      <c r="Q6417" s="19">
        <v>522</v>
      </c>
      <c r="R6417" s="19">
        <f t="shared" si="281"/>
        <v>0</v>
      </c>
      <c r="S6417" s="274">
        <f t="shared" si="282"/>
        <v>830</v>
      </c>
      <c r="T6417" s="19" t="s">
        <v>42</v>
      </c>
      <c r="U6417" s="102" t="s">
        <v>1571</v>
      </c>
      <c r="V6417" s="186">
        <v>45792</v>
      </c>
      <c r="W6417" s="17" t="s">
        <v>44</v>
      </c>
      <c r="X6417" s="17"/>
      <c r="Y6417" s="68">
        <v>45809</v>
      </c>
      <c r="Z6417" s="17" t="s">
        <v>191</v>
      </c>
      <c r="AA6417" s="17" t="s">
        <v>46</v>
      </c>
      <c r="AB6417" s="17" t="s">
        <v>1572</v>
      </c>
      <c r="AC6417" s="217">
        <v>45874</v>
      </c>
      <c r="AD6417" s="65">
        <v>1715</v>
      </c>
      <c r="AE6417" s="17" t="s">
        <v>48</v>
      </c>
      <c r="AF6417" s="17" t="s">
        <v>1573</v>
      </c>
      <c r="AG6417" s="17"/>
      <c r="AH6417" s="17"/>
      <c r="AI6417" s="17"/>
      <c r="AJ6417" s="17"/>
      <c r="AK6417" s="17"/>
      <c r="AL6417" s="17"/>
      <c r="AM6417" s="17"/>
      <c r="AN6417" s="17"/>
      <c r="AO6417" s="17"/>
      <c r="AP6417" s="17"/>
      <c r="AQ6417" s="17"/>
      <c r="AR6417" s="17"/>
    </row>
    <row r="6418" s="25" customFormat="1" ht="15.6" hidden="1" spans="1:44">
      <c r="A6418" s="17" t="s">
        <v>34</v>
      </c>
      <c r="B6418" s="19">
        <v>1058</v>
      </c>
      <c r="C6418" s="183">
        <v>45790</v>
      </c>
      <c r="D6418" s="17" t="s">
        <v>52</v>
      </c>
      <c r="E6418" s="17" t="s">
        <v>53</v>
      </c>
      <c r="F6418" s="17" t="s">
        <v>54</v>
      </c>
      <c r="G6418" s="17"/>
      <c r="H6418" s="19">
        <v>1.2311</v>
      </c>
      <c r="I6418" s="19"/>
      <c r="J6418" s="17" t="s">
        <v>82</v>
      </c>
      <c r="K6418" s="19">
        <v>305</v>
      </c>
      <c r="L6418" s="19">
        <v>56</v>
      </c>
      <c r="M6418" s="19">
        <v>2250</v>
      </c>
      <c r="N6418" s="19" t="s">
        <v>66</v>
      </c>
      <c r="O6418" s="19" t="s">
        <v>141</v>
      </c>
      <c r="P6418" s="19">
        <v>622</v>
      </c>
      <c r="Q6418" s="19">
        <v>622</v>
      </c>
      <c r="R6418" s="19">
        <f t="shared" si="281"/>
        <v>0</v>
      </c>
      <c r="S6418" s="274">
        <f t="shared" si="282"/>
        <v>830</v>
      </c>
      <c r="T6418" s="19" t="s">
        <v>42</v>
      </c>
      <c r="U6418" s="102" t="s">
        <v>1571</v>
      </c>
      <c r="V6418" s="186">
        <v>45792</v>
      </c>
      <c r="W6418" s="17" t="s">
        <v>44</v>
      </c>
      <c r="X6418" s="17"/>
      <c r="Y6418" s="68">
        <v>45809</v>
      </c>
      <c r="Z6418" s="17" t="s">
        <v>191</v>
      </c>
      <c r="AA6418" s="17" t="s">
        <v>46</v>
      </c>
      <c r="AB6418" s="17" t="s">
        <v>1572</v>
      </c>
      <c r="AC6418" s="217">
        <v>45874</v>
      </c>
      <c r="AD6418" s="65">
        <v>1715</v>
      </c>
      <c r="AE6418" s="17" t="s">
        <v>48</v>
      </c>
      <c r="AF6418" s="17" t="s">
        <v>1573</v>
      </c>
      <c r="AG6418" s="17"/>
      <c r="AH6418" s="17"/>
      <c r="AI6418" s="17"/>
      <c r="AJ6418" s="17"/>
      <c r="AK6418" s="17"/>
      <c r="AL6418" s="17"/>
      <c r="AM6418" s="17"/>
      <c r="AN6418" s="17"/>
      <c r="AO6418" s="17"/>
      <c r="AP6418" s="17"/>
      <c r="AQ6418" s="17"/>
      <c r="AR6418" s="17"/>
    </row>
    <row r="6419" s="25" customFormat="1" ht="15.6" hidden="1" spans="1:44">
      <c r="A6419" s="17" t="s">
        <v>34</v>
      </c>
      <c r="B6419" s="19">
        <v>1058</v>
      </c>
      <c r="C6419" s="183">
        <v>45790</v>
      </c>
      <c r="D6419" s="17" t="s">
        <v>52</v>
      </c>
      <c r="E6419" s="17" t="s">
        <v>53</v>
      </c>
      <c r="F6419" s="17" t="s">
        <v>54</v>
      </c>
      <c r="G6419" s="17"/>
      <c r="H6419" s="19">
        <v>1.2311</v>
      </c>
      <c r="I6419" s="19"/>
      <c r="J6419" s="17" t="s">
        <v>82</v>
      </c>
      <c r="K6419" s="19">
        <v>355</v>
      </c>
      <c r="L6419" s="19">
        <v>56</v>
      </c>
      <c r="M6419" s="19">
        <v>2250</v>
      </c>
      <c r="N6419" s="19" t="s">
        <v>66</v>
      </c>
      <c r="O6419" s="19" t="s">
        <v>141</v>
      </c>
      <c r="P6419" s="19">
        <v>720</v>
      </c>
      <c r="Q6419" s="19">
        <v>720</v>
      </c>
      <c r="R6419" s="19">
        <f t="shared" si="281"/>
        <v>0</v>
      </c>
      <c r="S6419" s="274">
        <f t="shared" si="282"/>
        <v>830</v>
      </c>
      <c r="T6419" s="19" t="s">
        <v>42</v>
      </c>
      <c r="U6419" s="102" t="s">
        <v>1571</v>
      </c>
      <c r="V6419" s="186">
        <v>45792</v>
      </c>
      <c r="W6419" s="17" t="s">
        <v>44</v>
      </c>
      <c r="X6419" s="17"/>
      <c r="Y6419" s="68">
        <v>45809</v>
      </c>
      <c r="Z6419" s="17" t="s">
        <v>191</v>
      </c>
      <c r="AA6419" s="17" t="s">
        <v>46</v>
      </c>
      <c r="AB6419" s="17" t="s">
        <v>1572</v>
      </c>
      <c r="AC6419" s="217">
        <v>45874</v>
      </c>
      <c r="AD6419" s="65">
        <v>1715</v>
      </c>
      <c r="AE6419" s="17" t="s">
        <v>48</v>
      </c>
      <c r="AF6419" s="17" t="s">
        <v>1573</v>
      </c>
      <c r="AG6419" s="17"/>
      <c r="AH6419" s="17"/>
      <c r="AI6419" s="17"/>
      <c r="AJ6419" s="17"/>
      <c r="AK6419" s="17"/>
      <c r="AL6419" s="17"/>
      <c r="AM6419" s="17"/>
      <c r="AN6419" s="17"/>
      <c r="AO6419" s="17"/>
      <c r="AP6419" s="17"/>
      <c r="AQ6419" s="17"/>
      <c r="AR6419" s="17"/>
    </row>
    <row r="6420" s="25" customFormat="1" ht="15.6" hidden="1" spans="1:44">
      <c r="A6420" s="17" t="s">
        <v>34</v>
      </c>
      <c r="B6420" s="19">
        <v>1058</v>
      </c>
      <c r="C6420" s="183">
        <v>45790</v>
      </c>
      <c r="D6420" s="17" t="s">
        <v>52</v>
      </c>
      <c r="E6420" s="17" t="s">
        <v>53</v>
      </c>
      <c r="F6420" s="17" t="s">
        <v>54</v>
      </c>
      <c r="G6420" s="17"/>
      <c r="H6420" s="19">
        <v>1.2311</v>
      </c>
      <c r="I6420" s="19"/>
      <c r="J6420" s="17" t="s">
        <v>82</v>
      </c>
      <c r="K6420" s="19">
        <v>410</v>
      </c>
      <c r="L6420" s="19">
        <v>56</v>
      </c>
      <c r="M6420" s="19">
        <v>2250</v>
      </c>
      <c r="N6420" s="19" t="s">
        <v>66</v>
      </c>
      <c r="O6420" s="19" t="s">
        <v>141</v>
      </c>
      <c r="P6420" s="19">
        <v>418</v>
      </c>
      <c r="Q6420" s="19">
        <v>418</v>
      </c>
      <c r="R6420" s="19">
        <f t="shared" si="281"/>
        <v>0</v>
      </c>
      <c r="S6420" s="274">
        <f t="shared" si="282"/>
        <v>830</v>
      </c>
      <c r="T6420" s="19" t="s">
        <v>42</v>
      </c>
      <c r="U6420" s="102" t="s">
        <v>1571</v>
      </c>
      <c r="V6420" s="186">
        <v>45792</v>
      </c>
      <c r="W6420" s="17" t="s">
        <v>44</v>
      </c>
      <c r="X6420" s="17"/>
      <c r="Y6420" s="68">
        <v>45809</v>
      </c>
      <c r="Z6420" s="17" t="s">
        <v>191</v>
      </c>
      <c r="AA6420" s="17" t="s">
        <v>46</v>
      </c>
      <c r="AB6420" s="17" t="s">
        <v>1572</v>
      </c>
      <c r="AC6420" s="217">
        <v>45874</v>
      </c>
      <c r="AD6420" s="65">
        <v>1715</v>
      </c>
      <c r="AE6420" s="17" t="s">
        <v>48</v>
      </c>
      <c r="AF6420" s="17" t="s">
        <v>1573</v>
      </c>
      <c r="AG6420" s="17"/>
      <c r="AH6420" s="17"/>
      <c r="AI6420" s="17"/>
      <c r="AJ6420" s="17"/>
      <c r="AK6420" s="17"/>
      <c r="AL6420" s="17"/>
      <c r="AM6420" s="17"/>
      <c r="AN6420" s="17"/>
      <c r="AO6420" s="17"/>
      <c r="AP6420" s="17"/>
      <c r="AQ6420" s="17"/>
      <c r="AR6420" s="17"/>
    </row>
    <row r="6421" s="25" customFormat="1" ht="15.6" hidden="1" spans="1:44">
      <c r="A6421" s="17" t="s">
        <v>34</v>
      </c>
      <c r="B6421" s="19">
        <v>1058</v>
      </c>
      <c r="C6421" s="183">
        <v>45790</v>
      </c>
      <c r="D6421" s="17" t="s">
        <v>52</v>
      </c>
      <c r="E6421" s="17" t="s">
        <v>53</v>
      </c>
      <c r="F6421" s="17" t="s">
        <v>54</v>
      </c>
      <c r="G6421" s="17"/>
      <c r="H6421" s="19">
        <v>1.2311</v>
      </c>
      <c r="I6421" s="19"/>
      <c r="J6421" s="17" t="s">
        <v>82</v>
      </c>
      <c r="K6421" s="19">
        <v>255</v>
      </c>
      <c r="L6421" s="19">
        <v>61</v>
      </c>
      <c r="M6421" s="19">
        <v>2250</v>
      </c>
      <c r="N6421" s="19" t="s">
        <v>66</v>
      </c>
      <c r="O6421" s="19" t="s">
        <v>141</v>
      </c>
      <c r="P6421" s="19">
        <v>564</v>
      </c>
      <c r="Q6421" s="19">
        <v>564</v>
      </c>
      <c r="R6421" s="19">
        <f t="shared" si="281"/>
        <v>0</v>
      </c>
      <c r="S6421" s="274">
        <f t="shared" si="282"/>
        <v>830</v>
      </c>
      <c r="T6421" s="19" t="s">
        <v>42</v>
      </c>
      <c r="U6421" s="102" t="s">
        <v>1571</v>
      </c>
      <c r="V6421" s="186">
        <v>45792</v>
      </c>
      <c r="W6421" s="17" t="s">
        <v>44</v>
      </c>
      <c r="X6421" s="17"/>
      <c r="Y6421" s="68">
        <v>45809</v>
      </c>
      <c r="Z6421" s="17" t="s">
        <v>191</v>
      </c>
      <c r="AA6421" s="17" t="s">
        <v>46</v>
      </c>
      <c r="AB6421" s="17" t="s">
        <v>1572</v>
      </c>
      <c r="AC6421" s="217">
        <v>45874</v>
      </c>
      <c r="AD6421" s="65">
        <v>1715</v>
      </c>
      <c r="AE6421" s="17" t="s">
        <v>48</v>
      </c>
      <c r="AF6421" s="17" t="s">
        <v>1573</v>
      </c>
      <c r="AG6421" s="17"/>
      <c r="AH6421" s="17"/>
      <c r="AI6421" s="17"/>
      <c r="AJ6421" s="17"/>
      <c r="AK6421" s="17"/>
      <c r="AL6421" s="17"/>
      <c r="AM6421" s="17"/>
      <c r="AN6421" s="17"/>
      <c r="AO6421" s="17"/>
      <c r="AP6421" s="17"/>
      <c r="AQ6421" s="17"/>
      <c r="AR6421" s="17"/>
    </row>
    <row r="6422" s="25" customFormat="1" ht="15.6" hidden="1" spans="1:44">
      <c r="A6422" s="17" t="s">
        <v>34</v>
      </c>
      <c r="B6422" s="19">
        <v>1058</v>
      </c>
      <c r="C6422" s="183">
        <v>45790</v>
      </c>
      <c r="D6422" s="17" t="s">
        <v>52</v>
      </c>
      <c r="E6422" s="17" t="s">
        <v>53</v>
      </c>
      <c r="F6422" s="17" t="s">
        <v>54</v>
      </c>
      <c r="G6422" s="17"/>
      <c r="H6422" s="19">
        <v>1.2311</v>
      </c>
      <c r="I6422" s="19"/>
      <c r="J6422" s="17" t="s">
        <v>82</v>
      </c>
      <c r="K6422" s="19">
        <v>305</v>
      </c>
      <c r="L6422" s="19">
        <v>61</v>
      </c>
      <c r="M6422" s="19">
        <v>2250</v>
      </c>
      <c r="N6422" s="19" t="s">
        <v>66</v>
      </c>
      <c r="O6422" s="19" t="s">
        <v>141</v>
      </c>
      <c r="P6422" s="19">
        <v>671</v>
      </c>
      <c r="Q6422" s="19">
        <v>671</v>
      </c>
      <c r="R6422" s="19">
        <f t="shared" si="281"/>
        <v>0</v>
      </c>
      <c r="S6422" s="274">
        <f t="shared" si="282"/>
        <v>830</v>
      </c>
      <c r="T6422" s="19" t="s">
        <v>42</v>
      </c>
      <c r="U6422" s="102" t="s">
        <v>1571</v>
      </c>
      <c r="V6422" s="186">
        <v>45792</v>
      </c>
      <c r="W6422" s="17" t="s">
        <v>44</v>
      </c>
      <c r="X6422" s="17"/>
      <c r="Y6422" s="68">
        <v>45809</v>
      </c>
      <c r="Z6422" s="17" t="s">
        <v>191</v>
      </c>
      <c r="AA6422" s="17" t="s">
        <v>46</v>
      </c>
      <c r="AB6422" s="17" t="s">
        <v>1572</v>
      </c>
      <c r="AC6422" s="217">
        <v>45874</v>
      </c>
      <c r="AD6422" s="65">
        <v>1715</v>
      </c>
      <c r="AE6422" s="17" t="s">
        <v>48</v>
      </c>
      <c r="AF6422" s="17" t="s">
        <v>1573</v>
      </c>
      <c r="AG6422" s="17"/>
      <c r="AH6422" s="17"/>
      <c r="AI6422" s="17"/>
      <c r="AJ6422" s="17"/>
      <c r="AK6422" s="17"/>
      <c r="AL6422" s="17"/>
      <c r="AM6422" s="17"/>
      <c r="AN6422" s="17"/>
      <c r="AO6422" s="17"/>
      <c r="AP6422" s="17"/>
      <c r="AQ6422" s="17"/>
      <c r="AR6422" s="17"/>
    </row>
    <row r="6423" s="25" customFormat="1" ht="15.6" hidden="1" spans="1:44">
      <c r="A6423" s="17" t="s">
        <v>34</v>
      </c>
      <c r="B6423" s="19">
        <v>1058</v>
      </c>
      <c r="C6423" s="183">
        <v>45790</v>
      </c>
      <c r="D6423" s="17" t="s">
        <v>52</v>
      </c>
      <c r="E6423" s="17" t="s">
        <v>53</v>
      </c>
      <c r="F6423" s="17" t="s">
        <v>54</v>
      </c>
      <c r="G6423" s="17"/>
      <c r="H6423" s="19">
        <v>1.2311</v>
      </c>
      <c r="I6423" s="19"/>
      <c r="J6423" s="17" t="s">
        <v>82</v>
      </c>
      <c r="K6423" s="19">
        <v>355</v>
      </c>
      <c r="L6423" s="19">
        <v>61</v>
      </c>
      <c r="M6423" s="19">
        <v>2250</v>
      </c>
      <c r="N6423" s="19" t="s">
        <v>66</v>
      </c>
      <c r="O6423" s="19" t="s">
        <v>141</v>
      </c>
      <c r="P6423" s="19">
        <v>785</v>
      </c>
      <c r="Q6423" s="19">
        <v>785</v>
      </c>
      <c r="R6423" s="19">
        <f t="shared" si="281"/>
        <v>0</v>
      </c>
      <c r="S6423" s="274">
        <f t="shared" si="282"/>
        <v>830</v>
      </c>
      <c r="T6423" s="19" t="s">
        <v>42</v>
      </c>
      <c r="U6423" s="102" t="s">
        <v>1571</v>
      </c>
      <c r="V6423" s="186">
        <v>45792</v>
      </c>
      <c r="W6423" s="17" t="s">
        <v>44</v>
      </c>
      <c r="X6423" s="17"/>
      <c r="Y6423" s="68">
        <v>45809</v>
      </c>
      <c r="Z6423" s="17" t="s">
        <v>191</v>
      </c>
      <c r="AA6423" s="17" t="s">
        <v>46</v>
      </c>
      <c r="AB6423" s="17" t="s">
        <v>1572</v>
      </c>
      <c r="AC6423" s="217">
        <v>45874</v>
      </c>
      <c r="AD6423" s="65">
        <v>1715</v>
      </c>
      <c r="AE6423" s="17" t="s">
        <v>48</v>
      </c>
      <c r="AF6423" s="17" t="s">
        <v>1573</v>
      </c>
      <c r="AG6423" s="17"/>
      <c r="AH6423" s="17"/>
      <c r="AI6423" s="17"/>
      <c r="AJ6423" s="17"/>
      <c r="AK6423" s="17"/>
      <c r="AL6423" s="17"/>
      <c r="AM6423" s="17"/>
      <c r="AN6423" s="17"/>
      <c r="AO6423" s="17"/>
      <c r="AP6423" s="17"/>
      <c r="AQ6423" s="17"/>
      <c r="AR6423" s="17"/>
    </row>
    <row r="6424" s="25" customFormat="1" ht="15.6" hidden="1" spans="1:44">
      <c r="A6424" s="17" t="s">
        <v>34</v>
      </c>
      <c r="B6424" s="19">
        <v>1058</v>
      </c>
      <c r="C6424" s="183">
        <v>45790</v>
      </c>
      <c r="D6424" s="17" t="s">
        <v>52</v>
      </c>
      <c r="E6424" s="17" t="s">
        <v>53</v>
      </c>
      <c r="F6424" s="17" t="s">
        <v>54</v>
      </c>
      <c r="G6424" s="17"/>
      <c r="H6424" s="19">
        <v>1.2311</v>
      </c>
      <c r="I6424" s="19"/>
      <c r="J6424" s="17" t="s">
        <v>82</v>
      </c>
      <c r="K6424" s="19">
        <v>410</v>
      </c>
      <c r="L6424" s="19">
        <v>61</v>
      </c>
      <c r="M6424" s="19">
        <v>2250</v>
      </c>
      <c r="N6424" s="19" t="s">
        <v>66</v>
      </c>
      <c r="O6424" s="19" t="s">
        <v>141</v>
      </c>
      <c r="P6424" s="19">
        <v>454</v>
      </c>
      <c r="Q6424" s="19">
        <v>454</v>
      </c>
      <c r="R6424" s="19">
        <f t="shared" si="281"/>
        <v>0</v>
      </c>
      <c r="S6424" s="274">
        <f t="shared" si="282"/>
        <v>830</v>
      </c>
      <c r="T6424" s="19" t="s">
        <v>42</v>
      </c>
      <c r="U6424" s="102" t="s">
        <v>1571</v>
      </c>
      <c r="V6424" s="186">
        <v>45792</v>
      </c>
      <c r="W6424" s="17" t="s">
        <v>44</v>
      </c>
      <c r="X6424" s="17"/>
      <c r="Y6424" s="68">
        <v>45809</v>
      </c>
      <c r="Z6424" s="17" t="s">
        <v>191</v>
      </c>
      <c r="AA6424" s="17" t="s">
        <v>46</v>
      </c>
      <c r="AB6424" s="17" t="s">
        <v>1572</v>
      </c>
      <c r="AC6424" s="217">
        <v>45874</v>
      </c>
      <c r="AD6424" s="65">
        <v>1715</v>
      </c>
      <c r="AE6424" s="17" t="s">
        <v>48</v>
      </c>
      <c r="AF6424" s="17" t="s">
        <v>1573</v>
      </c>
      <c r="AG6424" s="17"/>
      <c r="AH6424" s="17"/>
      <c r="AI6424" s="17"/>
      <c r="AJ6424" s="17"/>
      <c r="AK6424" s="17"/>
      <c r="AL6424" s="17"/>
      <c r="AM6424" s="17"/>
      <c r="AN6424" s="17"/>
      <c r="AO6424" s="17"/>
      <c r="AP6424" s="17"/>
      <c r="AQ6424" s="17"/>
      <c r="AR6424" s="17"/>
    </row>
    <row r="6425" s="25" customFormat="1" ht="15.6" hidden="1" spans="1:44">
      <c r="A6425" s="17" t="s">
        <v>34</v>
      </c>
      <c r="B6425" s="19">
        <v>1058</v>
      </c>
      <c r="C6425" s="183">
        <v>45790</v>
      </c>
      <c r="D6425" s="17" t="s">
        <v>52</v>
      </c>
      <c r="E6425" s="17" t="s">
        <v>53</v>
      </c>
      <c r="F6425" s="17" t="s">
        <v>54</v>
      </c>
      <c r="G6425" s="17"/>
      <c r="H6425" s="19">
        <v>1.2311</v>
      </c>
      <c r="I6425" s="19"/>
      <c r="J6425" s="17" t="s">
        <v>82</v>
      </c>
      <c r="K6425" s="19">
        <v>510</v>
      </c>
      <c r="L6425" s="19">
        <v>61</v>
      </c>
      <c r="M6425" s="19">
        <v>2250</v>
      </c>
      <c r="N6425" s="19" t="s">
        <v>66</v>
      </c>
      <c r="O6425" s="19" t="s">
        <v>141</v>
      </c>
      <c r="P6425" s="19">
        <v>567</v>
      </c>
      <c r="Q6425" s="19">
        <v>567</v>
      </c>
      <c r="R6425" s="19">
        <f t="shared" si="281"/>
        <v>0</v>
      </c>
      <c r="S6425" s="274">
        <f t="shared" si="282"/>
        <v>830</v>
      </c>
      <c r="T6425" s="19" t="s">
        <v>42</v>
      </c>
      <c r="U6425" s="102" t="s">
        <v>1571</v>
      </c>
      <c r="V6425" s="186">
        <v>45792</v>
      </c>
      <c r="W6425" s="17" t="s">
        <v>44</v>
      </c>
      <c r="X6425" s="17"/>
      <c r="Y6425" s="68">
        <v>45809</v>
      </c>
      <c r="Z6425" s="17" t="s">
        <v>191</v>
      </c>
      <c r="AA6425" s="17" t="s">
        <v>46</v>
      </c>
      <c r="AB6425" s="17" t="s">
        <v>1572</v>
      </c>
      <c r="AC6425" s="217">
        <v>45874</v>
      </c>
      <c r="AD6425" s="65">
        <v>1715</v>
      </c>
      <c r="AE6425" s="17" t="s">
        <v>48</v>
      </c>
      <c r="AF6425" s="17" t="s">
        <v>1573</v>
      </c>
      <c r="AG6425" s="17"/>
      <c r="AH6425" s="17"/>
      <c r="AI6425" s="17"/>
      <c r="AJ6425" s="17"/>
      <c r="AK6425" s="17"/>
      <c r="AL6425" s="17"/>
      <c r="AM6425" s="17"/>
      <c r="AN6425" s="17"/>
      <c r="AO6425" s="17"/>
      <c r="AP6425" s="17"/>
      <c r="AQ6425" s="17"/>
      <c r="AR6425" s="17"/>
    </row>
    <row r="6426" s="25" customFormat="1" ht="15.6" hidden="1" spans="1:44">
      <c r="A6426" s="17" t="s">
        <v>34</v>
      </c>
      <c r="B6426" s="19">
        <v>1058</v>
      </c>
      <c r="C6426" s="183">
        <v>45790</v>
      </c>
      <c r="D6426" s="17" t="s">
        <v>52</v>
      </c>
      <c r="E6426" s="17" t="s">
        <v>53</v>
      </c>
      <c r="F6426" s="17" t="s">
        <v>54</v>
      </c>
      <c r="G6426" s="17"/>
      <c r="H6426" s="19">
        <v>1.2311</v>
      </c>
      <c r="I6426" s="19"/>
      <c r="J6426" s="17" t="s">
        <v>82</v>
      </c>
      <c r="K6426" s="19">
        <v>255</v>
      </c>
      <c r="L6426" s="19">
        <v>66</v>
      </c>
      <c r="M6426" s="19">
        <v>2250</v>
      </c>
      <c r="N6426" s="19" t="s">
        <v>66</v>
      </c>
      <c r="O6426" s="19" t="s">
        <v>141</v>
      </c>
      <c r="P6426" s="19">
        <v>1099</v>
      </c>
      <c r="Q6426" s="19">
        <v>1222</v>
      </c>
      <c r="R6426" s="19">
        <f t="shared" si="281"/>
        <v>-123</v>
      </c>
      <c r="S6426" s="274">
        <f t="shared" si="282"/>
        <v>830</v>
      </c>
      <c r="T6426" s="19" t="s">
        <v>42</v>
      </c>
      <c r="U6426" s="102" t="s">
        <v>1571</v>
      </c>
      <c r="V6426" s="186">
        <v>45792</v>
      </c>
      <c r="W6426" s="17" t="s">
        <v>44</v>
      </c>
      <c r="X6426" s="17"/>
      <c r="Y6426" s="68">
        <v>45809</v>
      </c>
      <c r="Z6426" s="17" t="s">
        <v>191</v>
      </c>
      <c r="AA6426" s="17" t="s">
        <v>46</v>
      </c>
      <c r="AB6426" s="17" t="s">
        <v>1572</v>
      </c>
      <c r="AC6426" s="217">
        <v>45874</v>
      </c>
      <c r="AD6426" s="65">
        <v>1715</v>
      </c>
      <c r="AE6426" s="17" t="s">
        <v>48</v>
      </c>
      <c r="AF6426" s="17" t="s">
        <v>1573</v>
      </c>
      <c r="AG6426" s="17"/>
      <c r="AH6426" s="17"/>
      <c r="AI6426" s="17"/>
      <c r="AJ6426" s="17"/>
      <c r="AK6426" s="17"/>
      <c r="AL6426" s="17"/>
      <c r="AM6426" s="17"/>
      <c r="AN6426" s="17"/>
      <c r="AO6426" s="17"/>
      <c r="AP6426" s="17"/>
      <c r="AQ6426" s="17"/>
      <c r="AR6426" s="17"/>
    </row>
    <row r="6427" s="25" customFormat="1" ht="15.6" hidden="1" spans="1:44">
      <c r="A6427" s="17" t="s">
        <v>34</v>
      </c>
      <c r="B6427" s="19">
        <v>1058</v>
      </c>
      <c r="C6427" s="183">
        <v>45790</v>
      </c>
      <c r="D6427" s="17" t="s">
        <v>52</v>
      </c>
      <c r="E6427" s="17" t="s">
        <v>53</v>
      </c>
      <c r="F6427" s="17" t="s">
        <v>54</v>
      </c>
      <c r="G6427" s="17"/>
      <c r="H6427" s="19">
        <v>1.2311</v>
      </c>
      <c r="I6427" s="19"/>
      <c r="J6427" s="17" t="s">
        <v>82</v>
      </c>
      <c r="K6427" s="19">
        <v>305</v>
      </c>
      <c r="L6427" s="19">
        <v>66</v>
      </c>
      <c r="M6427" s="19">
        <v>2250</v>
      </c>
      <c r="N6427" s="19" t="s">
        <v>66</v>
      </c>
      <c r="O6427" s="19" t="s">
        <v>141</v>
      </c>
      <c r="P6427" s="19">
        <v>1454</v>
      </c>
      <c r="Q6427" s="19">
        <v>1454</v>
      </c>
      <c r="R6427" s="19">
        <f t="shared" si="281"/>
        <v>0</v>
      </c>
      <c r="S6427" s="274">
        <f t="shared" si="282"/>
        <v>830</v>
      </c>
      <c r="T6427" s="19" t="s">
        <v>42</v>
      </c>
      <c r="U6427" s="102" t="s">
        <v>1571</v>
      </c>
      <c r="V6427" s="186">
        <v>45792</v>
      </c>
      <c r="W6427" s="17" t="s">
        <v>44</v>
      </c>
      <c r="X6427" s="17"/>
      <c r="Y6427" s="68">
        <v>45809</v>
      </c>
      <c r="Z6427" s="17" t="s">
        <v>191</v>
      </c>
      <c r="AA6427" s="17" t="s">
        <v>46</v>
      </c>
      <c r="AB6427" s="17" t="s">
        <v>1572</v>
      </c>
      <c r="AC6427" s="217">
        <v>45874</v>
      </c>
      <c r="AD6427" s="65">
        <v>1715</v>
      </c>
      <c r="AE6427" s="17" t="s">
        <v>48</v>
      </c>
      <c r="AF6427" s="17" t="s">
        <v>1573</v>
      </c>
      <c r="AG6427" s="17"/>
      <c r="AH6427" s="17"/>
      <c r="AI6427" s="17"/>
      <c r="AJ6427" s="17"/>
      <c r="AK6427" s="17"/>
      <c r="AL6427" s="17"/>
      <c r="AM6427" s="17"/>
      <c r="AN6427" s="17"/>
      <c r="AO6427" s="17"/>
      <c r="AP6427" s="17"/>
      <c r="AQ6427" s="17"/>
      <c r="AR6427" s="17"/>
    </row>
    <row r="6428" s="25" customFormat="1" ht="15.6" hidden="1" spans="1:44">
      <c r="A6428" s="17" t="s">
        <v>34</v>
      </c>
      <c r="B6428" s="19">
        <v>1058</v>
      </c>
      <c r="C6428" s="183">
        <v>45790</v>
      </c>
      <c r="D6428" s="17" t="s">
        <v>52</v>
      </c>
      <c r="E6428" s="17" t="s">
        <v>53</v>
      </c>
      <c r="F6428" s="17" t="s">
        <v>54</v>
      </c>
      <c r="G6428" s="17"/>
      <c r="H6428" s="19">
        <v>1.2311</v>
      </c>
      <c r="I6428" s="19"/>
      <c r="J6428" s="17" t="s">
        <v>82</v>
      </c>
      <c r="K6428" s="19">
        <v>405</v>
      </c>
      <c r="L6428" s="19">
        <v>66</v>
      </c>
      <c r="M6428" s="19">
        <v>2250</v>
      </c>
      <c r="N6428" s="19" t="s">
        <v>66</v>
      </c>
      <c r="O6428" s="19" t="s">
        <v>141</v>
      </c>
      <c r="P6428" s="19">
        <v>484</v>
      </c>
      <c r="Q6428" s="19">
        <v>484</v>
      </c>
      <c r="R6428" s="19">
        <f t="shared" si="281"/>
        <v>0</v>
      </c>
      <c r="S6428" s="274">
        <f t="shared" si="282"/>
        <v>830</v>
      </c>
      <c r="T6428" s="19" t="s">
        <v>42</v>
      </c>
      <c r="U6428" s="102" t="s">
        <v>1571</v>
      </c>
      <c r="V6428" s="186">
        <v>45792</v>
      </c>
      <c r="W6428" s="17" t="s">
        <v>44</v>
      </c>
      <c r="X6428" s="17"/>
      <c r="Y6428" s="68">
        <v>45809</v>
      </c>
      <c r="Z6428" s="17" t="s">
        <v>191</v>
      </c>
      <c r="AA6428" s="17" t="s">
        <v>46</v>
      </c>
      <c r="AB6428" s="17" t="s">
        <v>1572</v>
      </c>
      <c r="AC6428" s="217">
        <v>45874</v>
      </c>
      <c r="AD6428" s="65">
        <v>1715</v>
      </c>
      <c r="AE6428" s="17" t="s">
        <v>48</v>
      </c>
      <c r="AF6428" s="17" t="s">
        <v>1573</v>
      </c>
      <c r="AG6428" s="17"/>
      <c r="AH6428" s="17"/>
      <c r="AI6428" s="17"/>
      <c r="AJ6428" s="17"/>
      <c r="AK6428" s="17"/>
      <c r="AL6428" s="17"/>
      <c r="AM6428" s="17"/>
      <c r="AN6428" s="17"/>
      <c r="AO6428" s="17"/>
      <c r="AP6428" s="17"/>
      <c r="AQ6428" s="17"/>
      <c r="AR6428" s="17"/>
    </row>
    <row r="6429" s="25" customFormat="1" ht="15.6" hidden="1" spans="1:44">
      <c r="A6429" s="17" t="s">
        <v>34</v>
      </c>
      <c r="B6429" s="19">
        <v>1058</v>
      </c>
      <c r="C6429" s="183">
        <v>45790</v>
      </c>
      <c r="D6429" s="17" t="s">
        <v>52</v>
      </c>
      <c r="E6429" s="17" t="s">
        <v>53</v>
      </c>
      <c r="F6429" s="17" t="s">
        <v>54</v>
      </c>
      <c r="G6429" s="17"/>
      <c r="H6429" s="19">
        <v>1.2311</v>
      </c>
      <c r="I6429" s="19"/>
      <c r="J6429" s="17" t="s">
        <v>82</v>
      </c>
      <c r="K6429" s="19">
        <v>510</v>
      </c>
      <c r="L6429" s="19">
        <v>66</v>
      </c>
      <c r="M6429" s="19">
        <v>2250</v>
      </c>
      <c r="N6429" s="19" t="s">
        <v>66</v>
      </c>
      <c r="O6429" s="19" t="s">
        <v>141</v>
      </c>
      <c r="P6429" s="19">
        <v>1189</v>
      </c>
      <c r="Q6429" s="19">
        <v>1225</v>
      </c>
      <c r="R6429" s="19">
        <f t="shared" si="281"/>
        <v>-36</v>
      </c>
      <c r="S6429" s="274">
        <f t="shared" si="282"/>
        <v>830</v>
      </c>
      <c r="T6429" s="19" t="s">
        <v>42</v>
      </c>
      <c r="U6429" s="102" t="s">
        <v>1571</v>
      </c>
      <c r="V6429" s="186">
        <v>45792</v>
      </c>
      <c r="W6429" s="17" t="s">
        <v>44</v>
      </c>
      <c r="X6429" s="17"/>
      <c r="Y6429" s="68">
        <v>45809</v>
      </c>
      <c r="Z6429" s="17" t="s">
        <v>191</v>
      </c>
      <c r="AA6429" s="17" t="s">
        <v>46</v>
      </c>
      <c r="AB6429" s="17" t="s">
        <v>1572</v>
      </c>
      <c r="AC6429" s="217">
        <v>45874</v>
      </c>
      <c r="AD6429" s="65">
        <v>1715</v>
      </c>
      <c r="AE6429" s="17" t="s">
        <v>48</v>
      </c>
      <c r="AF6429" s="17" t="s">
        <v>1573</v>
      </c>
      <c r="AG6429" s="17"/>
      <c r="AH6429" s="17"/>
      <c r="AI6429" s="17"/>
      <c r="AJ6429" s="17"/>
      <c r="AK6429" s="17"/>
      <c r="AL6429" s="17"/>
      <c r="AM6429" s="17"/>
      <c r="AN6429" s="17"/>
      <c r="AO6429" s="17"/>
      <c r="AP6429" s="17"/>
      <c r="AQ6429" s="17"/>
      <c r="AR6429" s="17"/>
    </row>
    <row r="6430" s="25" customFormat="1" ht="15.6" hidden="1" spans="1:44">
      <c r="A6430" s="17" t="s">
        <v>34</v>
      </c>
      <c r="B6430" s="19">
        <v>1058</v>
      </c>
      <c r="C6430" s="183">
        <v>45790</v>
      </c>
      <c r="D6430" s="17" t="s">
        <v>52</v>
      </c>
      <c r="E6430" s="17" t="s">
        <v>53</v>
      </c>
      <c r="F6430" s="17" t="s">
        <v>54</v>
      </c>
      <c r="G6430" s="17"/>
      <c r="H6430" s="19">
        <v>1.2311</v>
      </c>
      <c r="I6430" s="19"/>
      <c r="J6430" s="17" t="s">
        <v>82</v>
      </c>
      <c r="K6430" s="19">
        <v>555</v>
      </c>
      <c r="L6430" s="19">
        <v>66</v>
      </c>
      <c r="M6430" s="19">
        <v>2250</v>
      </c>
      <c r="N6430" s="19" t="s">
        <v>66</v>
      </c>
      <c r="O6430" s="19" t="s">
        <v>141</v>
      </c>
      <c r="P6430" s="19">
        <v>658</v>
      </c>
      <c r="Q6430" s="19">
        <v>658</v>
      </c>
      <c r="R6430" s="19">
        <f t="shared" ref="R6430:R6448" si="283">+P6430-Q6430</f>
        <v>0</v>
      </c>
      <c r="S6430" s="274">
        <f t="shared" si="282"/>
        <v>830</v>
      </c>
      <c r="T6430" s="19" t="s">
        <v>42</v>
      </c>
      <c r="U6430" s="102" t="s">
        <v>1571</v>
      </c>
      <c r="V6430" s="186">
        <v>45792</v>
      </c>
      <c r="W6430" s="17" t="s">
        <v>44</v>
      </c>
      <c r="X6430" s="17"/>
      <c r="Y6430" s="68">
        <v>45809</v>
      </c>
      <c r="Z6430" s="17" t="s">
        <v>191</v>
      </c>
      <c r="AA6430" s="17" t="s">
        <v>46</v>
      </c>
      <c r="AB6430" s="17" t="s">
        <v>1572</v>
      </c>
      <c r="AC6430" s="217">
        <v>45874</v>
      </c>
      <c r="AD6430" s="65">
        <v>1715</v>
      </c>
      <c r="AE6430" s="17" t="s">
        <v>48</v>
      </c>
      <c r="AF6430" s="17" t="s">
        <v>1573</v>
      </c>
      <c r="AG6430" s="17"/>
      <c r="AH6430" s="17"/>
      <c r="AI6430" s="17"/>
      <c r="AJ6430" s="17"/>
      <c r="AK6430" s="17"/>
      <c r="AL6430" s="17"/>
      <c r="AM6430" s="17"/>
      <c r="AN6430" s="17"/>
      <c r="AO6430" s="17"/>
      <c r="AP6430" s="17"/>
      <c r="AQ6430" s="17"/>
      <c r="AR6430" s="17"/>
    </row>
    <row r="6431" s="25" customFormat="1" ht="15.6" hidden="1" spans="1:44">
      <c r="A6431" s="17" t="s">
        <v>34</v>
      </c>
      <c r="B6431" s="19">
        <v>1058</v>
      </c>
      <c r="C6431" s="183">
        <v>45790</v>
      </c>
      <c r="D6431" s="17" t="s">
        <v>52</v>
      </c>
      <c r="E6431" s="17" t="s">
        <v>53</v>
      </c>
      <c r="F6431" s="17" t="s">
        <v>54</v>
      </c>
      <c r="G6431" s="17"/>
      <c r="H6431" s="19">
        <v>1.2311</v>
      </c>
      <c r="I6431" s="19"/>
      <c r="J6431" s="17" t="s">
        <v>82</v>
      </c>
      <c r="K6431" s="19">
        <v>255</v>
      </c>
      <c r="L6431" s="19">
        <v>81</v>
      </c>
      <c r="M6431" s="19">
        <v>2250</v>
      </c>
      <c r="N6431" s="19" t="s">
        <v>66</v>
      </c>
      <c r="O6431" s="19" t="s">
        <v>141</v>
      </c>
      <c r="P6431" s="19">
        <v>1113</v>
      </c>
      <c r="Q6431" s="19">
        <v>1113</v>
      </c>
      <c r="R6431" s="19">
        <f t="shared" si="283"/>
        <v>0</v>
      </c>
      <c r="S6431" s="274">
        <f t="shared" si="282"/>
        <v>830</v>
      </c>
      <c r="T6431" s="19" t="s">
        <v>42</v>
      </c>
      <c r="U6431" s="102" t="s">
        <v>1571</v>
      </c>
      <c r="V6431" s="186">
        <v>45792</v>
      </c>
      <c r="W6431" s="17" t="s">
        <v>44</v>
      </c>
      <c r="X6431" s="17"/>
      <c r="Y6431" s="68">
        <v>45809</v>
      </c>
      <c r="Z6431" s="17" t="s">
        <v>191</v>
      </c>
      <c r="AA6431" s="17" t="s">
        <v>46</v>
      </c>
      <c r="AB6431" s="17" t="s">
        <v>1572</v>
      </c>
      <c r="AC6431" s="217">
        <v>45874</v>
      </c>
      <c r="AD6431" s="65">
        <v>1715</v>
      </c>
      <c r="AE6431" s="17" t="s">
        <v>48</v>
      </c>
      <c r="AF6431" s="17" t="s">
        <v>1573</v>
      </c>
      <c r="AG6431" s="17"/>
      <c r="AH6431" s="17"/>
      <c r="AI6431" s="17"/>
      <c r="AJ6431" s="17"/>
      <c r="AK6431" s="17"/>
      <c r="AL6431" s="17"/>
      <c r="AM6431" s="17"/>
      <c r="AN6431" s="17"/>
      <c r="AO6431" s="17"/>
      <c r="AP6431" s="17"/>
      <c r="AQ6431" s="17"/>
      <c r="AR6431" s="17"/>
    </row>
    <row r="6432" s="25" customFormat="1" ht="15.6" hidden="1" spans="1:44">
      <c r="A6432" s="17" t="s">
        <v>34</v>
      </c>
      <c r="B6432" s="19">
        <v>1058</v>
      </c>
      <c r="C6432" s="183">
        <v>45790</v>
      </c>
      <c r="D6432" s="17" t="s">
        <v>52</v>
      </c>
      <c r="E6432" s="17" t="s">
        <v>53</v>
      </c>
      <c r="F6432" s="17" t="s">
        <v>54</v>
      </c>
      <c r="G6432" s="17"/>
      <c r="H6432" s="19">
        <v>1.2311</v>
      </c>
      <c r="I6432" s="19"/>
      <c r="J6432" s="17" t="s">
        <v>82</v>
      </c>
      <c r="K6432" s="19">
        <v>305</v>
      </c>
      <c r="L6432" s="19">
        <v>81</v>
      </c>
      <c r="M6432" s="19">
        <v>2250</v>
      </c>
      <c r="N6432" s="19" t="s">
        <v>66</v>
      </c>
      <c r="O6432" s="19" t="s">
        <v>141</v>
      </c>
      <c r="P6432" s="19">
        <v>1323</v>
      </c>
      <c r="Q6432" s="19">
        <v>1323</v>
      </c>
      <c r="R6432" s="19">
        <f t="shared" si="283"/>
        <v>0</v>
      </c>
      <c r="S6432" s="274">
        <f t="shared" si="282"/>
        <v>830</v>
      </c>
      <c r="T6432" s="19" t="s">
        <v>42</v>
      </c>
      <c r="U6432" s="102" t="s">
        <v>1571</v>
      </c>
      <c r="V6432" s="186">
        <v>45792</v>
      </c>
      <c r="W6432" s="17" t="s">
        <v>44</v>
      </c>
      <c r="X6432" s="17"/>
      <c r="Y6432" s="68">
        <v>45809</v>
      </c>
      <c r="Z6432" s="17" t="s">
        <v>191</v>
      </c>
      <c r="AA6432" s="17" t="s">
        <v>46</v>
      </c>
      <c r="AB6432" s="17" t="s">
        <v>1572</v>
      </c>
      <c r="AC6432" s="217">
        <v>45874</v>
      </c>
      <c r="AD6432" s="65">
        <v>1715</v>
      </c>
      <c r="AE6432" s="17" t="s">
        <v>48</v>
      </c>
      <c r="AF6432" s="17" t="s">
        <v>1573</v>
      </c>
      <c r="AG6432" s="17"/>
      <c r="AH6432" s="17"/>
      <c r="AI6432" s="17"/>
      <c r="AJ6432" s="17"/>
      <c r="AK6432" s="17"/>
      <c r="AL6432" s="17"/>
      <c r="AM6432" s="17"/>
      <c r="AN6432" s="17"/>
      <c r="AO6432" s="17"/>
      <c r="AP6432" s="17"/>
      <c r="AQ6432" s="17"/>
      <c r="AR6432" s="17"/>
    </row>
    <row r="6433" s="25" customFormat="1" ht="15.6" hidden="1" spans="1:44">
      <c r="A6433" s="17" t="s">
        <v>34</v>
      </c>
      <c r="B6433" s="19">
        <v>1058</v>
      </c>
      <c r="C6433" s="183">
        <v>45790</v>
      </c>
      <c r="D6433" s="17" t="s">
        <v>52</v>
      </c>
      <c r="E6433" s="17" t="s">
        <v>53</v>
      </c>
      <c r="F6433" s="17" t="s">
        <v>54</v>
      </c>
      <c r="G6433" s="17"/>
      <c r="H6433" s="19">
        <v>1.2311</v>
      </c>
      <c r="I6433" s="19"/>
      <c r="J6433" s="17" t="s">
        <v>82</v>
      </c>
      <c r="K6433" s="19">
        <v>355</v>
      </c>
      <c r="L6433" s="19">
        <v>81</v>
      </c>
      <c r="M6433" s="19">
        <v>2250</v>
      </c>
      <c r="N6433" s="19" t="s">
        <v>66</v>
      </c>
      <c r="O6433" s="19" t="s">
        <v>141</v>
      </c>
      <c r="P6433" s="19">
        <v>1022</v>
      </c>
      <c r="Q6433" s="19">
        <v>1022</v>
      </c>
      <c r="R6433" s="19">
        <f t="shared" si="283"/>
        <v>0</v>
      </c>
      <c r="S6433" s="274">
        <f t="shared" si="282"/>
        <v>830</v>
      </c>
      <c r="T6433" s="19" t="s">
        <v>42</v>
      </c>
      <c r="U6433" s="102" t="s">
        <v>1571</v>
      </c>
      <c r="V6433" s="186">
        <v>45792</v>
      </c>
      <c r="W6433" s="17" t="s">
        <v>44</v>
      </c>
      <c r="X6433" s="17"/>
      <c r="Y6433" s="68">
        <v>45809</v>
      </c>
      <c r="Z6433" s="17" t="s">
        <v>191</v>
      </c>
      <c r="AA6433" s="17" t="s">
        <v>46</v>
      </c>
      <c r="AB6433" s="17" t="s">
        <v>1572</v>
      </c>
      <c r="AC6433" s="217">
        <v>45874</v>
      </c>
      <c r="AD6433" s="65">
        <v>1715</v>
      </c>
      <c r="AE6433" s="17" t="s">
        <v>48</v>
      </c>
      <c r="AF6433" s="17" t="s">
        <v>1573</v>
      </c>
      <c r="AG6433" s="17"/>
      <c r="AH6433" s="17"/>
      <c r="AI6433" s="17"/>
      <c r="AJ6433" s="17"/>
      <c r="AK6433" s="17"/>
      <c r="AL6433" s="17"/>
      <c r="AM6433" s="17"/>
      <c r="AN6433" s="17"/>
      <c r="AO6433" s="17"/>
      <c r="AP6433" s="17"/>
      <c r="AQ6433" s="17"/>
      <c r="AR6433" s="17"/>
    </row>
    <row r="6434" s="25" customFormat="1" ht="15.6" hidden="1" spans="1:44">
      <c r="A6434" s="17" t="s">
        <v>34</v>
      </c>
      <c r="B6434" s="19">
        <v>1058</v>
      </c>
      <c r="C6434" s="183">
        <v>45790</v>
      </c>
      <c r="D6434" s="17" t="s">
        <v>52</v>
      </c>
      <c r="E6434" s="17" t="s">
        <v>53</v>
      </c>
      <c r="F6434" s="17" t="s">
        <v>54</v>
      </c>
      <c r="G6434" s="17"/>
      <c r="H6434" s="19">
        <v>1.2311</v>
      </c>
      <c r="I6434" s="19"/>
      <c r="J6434" s="17" t="s">
        <v>82</v>
      </c>
      <c r="K6434" s="19">
        <v>410</v>
      </c>
      <c r="L6434" s="19">
        <v>81</v>
      </c>
      <c r="M6434" s="19">
        <v>2250</v>
      </c>
      <c r="N6434" s="19" t="s">
        <v>66</v>
      </c>
      <c r="O6434" s="19" t="s">
        <v>141</v>
      </c>
      <c r="P6434" s="19">
        <v>595</v>
      </c>
      <c r="Q6434" s="19">
        <v>595</v>
      </c>
      <c r="R6434" s="19">
        <f t="shared" si="283"/>
        <v>0</v>
      </c>
      <c r="S6434" s="274">
        <f t="shared" si="282"/>
        <v>830</v>
      </c>
      <c r="T6434" s="19" t="s">
        <v>42</v>
      </c>
      <c r="U6434" s="102" t="s">
        <v>1571</v>
      </c>
      <c r="V6434" s="186">
        <v>45792</v>
      </c>
      <c r="W6434" s="17" t="s">
        <v>44</v>
      </c>
      <c r="X6434" s="17"/>
      <c r="Y6434" s="68">
        <v>45809</v>
      </c>
      <c r="Z6434" s="17" t="s">
        <v>191</v>
      </c>
      <c r="AA6434" s="17" t="s">
        <v>46</v>
      </c>
      <c r="AB6434" s="17" t="s">
        <v>1572</v>
      </c>
      <c r="AC6434" s="217">
        <v>45874</v>
      </c>
      <c r="AD6434" s="65">
        <v>1715</v>
      </c>
      <c r="AE6434" s="17" t="s">
        <v>48</v>
      </c>
      <c r="AF6434" s="17" t="s">
        <v>1573</v>
      </c>
      <c r="AG6434" s="17"/>
      <c r="AH6434" s="17"/>
      <c r="AI6434" s="17"/>
      <c r="AJ6434" s="17"/>
      <c r="AK6434" s="17"/>
      <c r="AL6434" s="17"/>
      <c r="AM6434" s="17"/>
      <c r="AN6434" s="17"/>
      <c r="AO6434" s="17"/>
      <c r="AP6434" s="17"/>
      <c r="AQ6434" s="17"/>
      <c r="AR6434" s="17"/>
    </row>
    <row r="6435" s="25" customFormat="1" ht="15.6" hidden="1" spans="1:44">
      <c r="A6435" s="17" t="s">
        <v>34</v>
      </c>
      <c r="B6435" s="19">
        <v>1058</v>
      </c>
      <c r="C6435" s="183">
        <v>45790</v>
      </c>
      <c r="D6435" s="17" t="s">
        <v>52</v>
      </c>
      <c r="E6435" s="17" t="s">
        <v>53</v>
      </c>
      <c r="F6435" s="17" t="s">
        <v>54</v>
      </c>
      <c r="G6435" s="17"/>
      <c r="H6435" s="19">
        <v>1.2311</v>
      </c>
      <c r="I6435" s="19"/>
      <c r="J6435" s="17" t="s">
        <v>82</v>
      </c>
      <c r="K6435" s="19">
        <v>455</v>
      </c>
      <c r="L6435" s="19">
        <v>81</v>
      </c>
      <c r="M6435" s="19">
        <v>2250</v>
      </c>
      <c r="N6435" s="19" t="s">
        <v>66</v>
      </c>
      <c r="O6435" s="19" t="s">
        <v>141</v>
      </c>
      <c r="P6435" s="19">
        <v>660</v>
      </c>
      <c r="Q6435" s="19">
        <v>660</v>
      </c>
      <c r="R6435" s="19">
        <f t="shared" si="283"/>
        <v>0</v>
      </c>
      <c r="S6435" s="274">
        <f t="shared" si="282"/>
        <v>830</v>
      </c>
      <c r="T6435" s="19" t="s">
        <v>42</v>
      </c>
      <c r="U6435" s="102" t="s">
        <v>1571</v>
      </c>
      <c r="V6435" s="186">
        <v>45792</v>
      </c>
      <c r="W6435" s="17" t="s">
        <v>44</v>
      </c>
      <c r="X6435" s="17"/>
      <c r="Y6435" s="68">
        <v>45809</v>
      </c>
      <c r="Z6435" s="17" t="s">
        <v>191</v>
      </c>
      <c r="AA6435" s="17" t="s">
        <v>46</v>
      </c>
      <c r="AB6435" s="17" t="s">
        <v>1572</v>
      </c>
      <c r="AC6435" s="217">
        <v>45874</v>
      </c>
      <c r="AD6435" s="65">
        <v>1715</v>
      </c>
      <c r="AE6435" s="17" t="s">
        <v>48</v>
      </c>
      <c r="AF6435" s="17" t="s">
        <v>1573</v>
      </c>
      <c r="AG6435" s="17"/>
      <c r="AH6435" s="17"/>
      <c r="AI6435" s="17"/>
      <c r="AJ6435" s="17"/>
      <c r="AK6435" s="17"/>
      <c r="AL6435" s="17"/>
      <c r="AM6435" s="17"/>
      <c r="AN6435" s="17"/>
      <c r="AO6435" s="17"/>
      <c r="AP6435" s="17"/>
      <c r="AQ6435" s="17"/>
      <c r="AR6435" s="17"/>
    </row>
    <row r="6436" s="25" customFormat="1" ht="15.6" hidden="1" spans="1:44">
      <c r="A6436" s="17" t="s">
        <v>34</v>
      </c>
      <c r="B6436" s="19">
        <v>1058</v>
      </c>
      <c r="C6436" s="183">
        <v>45790</v>
      </c>
      <c r="D6436" s="17" t="s">
        <v>52</v>
      </c>
      <c r="E6436" s="17" t="s">
        <v>53</v>
      </c>
      <c r="F6436" s="17" t="s">
        <v>54</v>
      </c>
      <c r="G6436" s="17"/>
      <c r="H6436" s="19">
        <v>1.2311</v>
      </c>
      <c r="I6436" s="19"/>
      <c r="J6436" s="17" t="s">
        <v>82</v>
      </c>
      <c r="K6436" s="19">
        <v>510</v>
      </c>
      <c r="L6436" s="19">
        <v>81</v>
      </c>
      <c r="M6436" s="19">
        <v>2250</v>
      </c>
      <c r="N6436" s="19" t="s">
        <v>66</v>
      </c>
      <c r="O6436" s="19" t="s">
        <v>141</v>
      </c>
      <c r="P6436" s="19">
        <v>1474</v>
      </c>
      <c r="Q6436" s="19">
        <v>1474</v>
      </c>
      <c r="R6436" s="19">
        <f t="shared" si="283"/>
        <v>0</v>
      </c>
      <c r="S6436" s="274">
        <f t="shared" si="282"/>
        <v>830</v>
      </c>
      <c r="T6436" s="19" t="s">
        <v>42</v>
      </c>
      <c r="U6436" s="102" t="s">
        <v>1571</v>
      </c>
      <c r="V6436" s="186">
        <v>45792</v>
      </c>
      <c r="W6436" s="17" t="s">
        <v>44</v>
      </c>
      <c r="X6436" s="17"/>
      <c r="Y6436" s="68">
        <v>45809</v>
      </c>
      <c r="Z6436" s="17" t="s">
        <v>191</v>
      </c>
      <c r="AA6436" s="17" t="s">
        <v>46</v>
      </c>
      <c r="AB6436" s="17" t="s">
        <v>1572</v>
      </c>
      <c r="AC6436" s="217">
        <v>45874</v>
      </c>
      <c r="AD6436" s="65">
        <v>1715</v>
      </c>
      <c r="AE6436" s="17" t="s">
        <v>48</v>
      </c>
      <c r="AF6436" s="17" t="s">
        <v>1573</v>
      </c>
      <c r="AG6436" s="17"/>
      <c r="AH6436" s="17"/>
      <c r="AI6436" s="17"/>
      <c r="AJ6436" s="17"/>
      <c r="AK6436" s="17"/>
      <c r="AL6436" s="17"/>
      <c r="AM6436" s="17"/>
      <c r="AN6436" s="17"/>
      <c r="AO6436" s="17"/>
      <c r="AP6436" s="17"/>
      <c r="AQ6436" s="17"/>
      <c r="AR6436" s="17"/>
    </row>
    <row r="6437" s="25" customFormat="1" ht="15.6" hidden="1" spans="1:44">
      <c r="A6437" s="17" t="s">
        <v>34</v>
      </c>
      <c r="B6437" s="19">
        <v>1058</v>
      </c>
      <c r="C6437" s="183">
        <v>45790</v>
      </c>
      <c r="D6437" s="17" t="s">
        <v>52</v>
      </c>
      <c r="E6437" s="17" t="s">
        <v>53</v>
      </c>
      <c r="F6437" s="17" t="s">
        <v>54</v>
      </c>
      <c r="G6437" s="17"/>
      <c r="H6437" s="19">
        <v>1.2311</v>
      </c>
      <c r="I6437" s="19"/>
      <c r="J6437" s="17" t="s">
        <v>82</v>
      </c>
      <c r="K6437" s="19">
        <v>555</v>
      </c>
      <c r="L6437" s="19">
        <v>81</v>
      </c>
      <c r="M6437" s="19">
        <v>2250</v>
      </c>
      <c r="N6437" s="19" t="s">
        <v>66</v>
      </c>
      <c r="O6437" s="19" t="s">
        <v>141</v>
      </c>
      <c r="P6437" s="19">
        <v>804</v>
      </c>
      <c r="Q6437" s="19">
        <v>804</v>
      </c>
      <c r="R6437" s="19">
        <f t="shared" si="283"/>
        <v>0</v>
      </c>
      <c r="S6437" s="274">
        <f t="shared" si="282"/>
        <v>830</v>
      </c>
      <c r="T6437" s="19" t="s">
        <v>42</v>
      </c>
      <c r="U6437" s="102" t="s">
        <v>1571</v>
      </c>
      <c r="V6437" s="186">
        <v>45792</v>
      </c>
      <c r="W6437" s="17" t="s">
        <v>44</v>
      </c>
      <c r="X6437" s="17"/>
      <c r="Y6437" s="68">
        <v>45809</v>
      </c>
      <c r="Z6437" s="17" t="s">
        <v>191</v>
      </c>
      <c r="AA6437" s="17" t="s">
        <v>46</v>
      </c>
      <c r="AB6437" s="17" t="s">
        <v>1572</v>
      </c>
      <c r="AC6437" s="217">
        <v>45874</v>
      </c>
      <c r="AD6437" s="65">
        <v>1715</v>
      </c>
      <c r="AE6437" s="17" t="s">
        <v>48</v>
      </c>
      <c r="AF6437" s="17" t="s">
        <v>1573</v>
      </c>
      <c r="AG6437" s="17"/>
      <c r="AH6437" s="17"/>
      <c r="AI6437" s="17"/>
      <c r="AJ6437" s="17"/>
      <c r="AK6437" s="17"/>
      <c r="AL6437" s="17"/>
      <c r="AM6437" s="17"/>
      <c r="AN6437" s="17"/>
      <c r="AO6437" s="17"/>
      <c r="AP6437" s="17"/>
      <c r="AQ6437" s="17"/>
      <c r="AR6437" s="17"/>
    </row>
    <row r="6438" s="25" customFormat="1" ht="15.6" hidden="1" spans="1:44">
      <c r="A6438" s="17" t="s">
        <v>34</v>
      </c>
      <c r="B6438" s="19">
        <v>1058</v>
      </c>
      <c r="C6438" s="183">
        <v>45790</v>
      </c>
      <c r="D6438" s="17" t="s">
        <v>52</v>
      </c>
      <c r="E6438" s="17" t="s">
        <v>53</v>
      </c>
      <c r="F6438" s="17" t="s">
        <v>54</v>
      </c>
      <c r="G6438" s="17"/>
      <c r="H6438" s="19">
        <v>1.2311</v>
      </c>
      <c r="I6438" s="19"/>
      <c r="J6438" s="17" t="s">
        <v>82</v>
      </c>
      <c r="K6438" s="19">
        <v>255</v>
      </c>
      <c r="L6438" s="19">
        <v>106</v>
      </c>
      <c r="M6438" s="19">
        <v>2250</v>
      </c>
      <c r="N6438" s="19" t="s">
        <v>66</v>
      </c>
      <c r="O6438" s="19" t="s">
        <v>141</v>
      </c>
      <c r="P6438" s="19">
        <v>996</v>
      </c>
      <c r="Q6438" s="19">
        <v>996</v>
      </c>
      <c r="R6438" s="19">
        <f t="shared" si="283"/>
        <v>0</v>
      </c>
      <c r="S6438" s="274">
        <f t="shared" si="282"/>
        <v>830</v>
      </c>
      <c r="T6438" s="19" t="s">
        <v>42</v>
      </c>
      <c r="U6438" s="102" t="s">
        <v>1571</v>
      </c>
      <c r="V6438" s="186">
        <v>45792</v>
      </c>
      <c r="W6438" s="17" t="s">
        <v>44</v>
      </c>
      <c r="X6438" s="17"/>
      <c r="Y6438" s="68">
        <v>45809</v>
      </c>
      <c r="Z6438" s="17" t="s">
        <v>191</v>
      </c>
      <c r="AA6438" s="17" t="s">
        <v>46</v>
      </c>
      <c r="AB6438" s="17" t="s">
        <v>1572</v>
      </c>
      <c r="AC6438" s="217">
        <v>45874</v>
      </c>
      <c r="AD6438" s="65">
        <v>1715</v>
      </c>
      <c r="AE6438" s="17" t="s">
        <v>48</v>
      </c>
      <c r="AF6438" s="17" t="s">
        <v>1573</v>
      </c>
      <c r="AG6438" s="17"/>
      <c r="AH6438" s="17"/>
      <c r="AI6438" s="17"/>
      <c r="AJ6438" s="17"/>
      <c r="AK6438" s="17"/>
      <c r="AL6438" s="17"/>
      <c r="AM6438" s="17"/>
      <c r="AN6438" s="17"/>
      <c r="AO6438" s="17"/>
      <c r="AP6438" s="17"/>
      <c r="AQ6438" s="17"/>
      <c r="AR6438" s="17"/>
    </row>
    <row r="6439" s="25" customFormat="1" ht="15.6" hidden="1" spans="1:44">
      <c r="A6439" s="17" t="s">
        <v>34</v>
      </c>
      <c r="B6439" s="19">
        <v>1058</v>
      </c>
      <c r="C6439" s="183">
        <v>45790</v>
      </c>
      <c r="D6439" s="17" t="s">
        <v>52</v>
      </c>
      <c r="E6439" s="17" t="s">
        <v>53</v>
      </c>
      <c r="F6439" s="17" t="s">
        <v>54</v>
      </c>
      <c r="G6439" s="17"/>
      <c r="H6439" s="19">
        <v>1.2311</v>
      </c>
      <c r="I6439" s="19"/>
      <c r="J6439" s="17" t="s">
        <v>82</v>
      </c>
      <c r="K6439" s="19">
        <v>305</v>
      </c>
      <c r="L6439" s="19">
        <v>106</v>
      </c>
      <c r="M6439" s="19">
        <v>2250</v>
      </c>
      <c r="N6439" s="19" t="s">
        <v>66</v>
      </c>
      <c r="O6439" s="19" t="s">
        <v>141</v>
      </c>
      <c r="P6439" s="19">
        <v>1166</v>
      </c>
      <c r="Q6439" s="19">
        <v>1166</v>
      </c>
      <c r="R6439" s="19">
        <f t="shared" si="283"/>
        <v>0</v>
      </c>
      <c r="S6439" s="274">
        <f t="shared" si="282"/>
        <v>830</v>
      </c>
      <c r="T6439" s="19" t="s">
        <v>42</v>
      </c>
      <c r="U6439" s="102" t="s">
        <v>1571</v>
      </c>
      <c r="V6439" s="186">
        <v>45792</v>
      </c>
      <c r="W6439" s="17" t="s">
        <v>44</v>
      </c>
      <c r="X6439" s="17"/>
      <c r="Y6439" s="68">
        <v>45809</v>
      </c>
      <c r="Z6439" s="17" t="s">
        <v>191</v>
      </c>
      <c r="AA6439" s="17" t="s">
        <v>46</v>
      </c>
      <c r="AB6439" s="17" t="s">
        <v>1572</v>
      </c>
      <c r="AC6439" s="217">
        <v>45874</v>
      </c>
      <c r="AD6439" s="65">
        <v>1715</v>
      </c>
      <c r="AE6439" s="17" t="s">
        <v>48</v>
      </c>
      <c r="AF6439" s="17" t="s">
        <v>1573</v>
      </c>
      <c r="AG6439" s="17"/>
      <c r="AH6439" s="17"/>
      <c r="AI6439" s="17"/>
      <c r="AJ6439" s="17"/>
      <c r="AK6439" s="17"/>
      <c r="AL6439" s="17"/>
      <c r="AM6439" s="17"/>
      <c r="AN6439" s="17"/>
      <c r="AO6439" s="17"/>
      <c r="AP6439" s="17"/>
      <c r="AQ6439" s="17"/>
      <c r="AR6439" s="17"/>
    </row>
    <row r="6440" s="25" customFormat="1" ht="15.6" hidden="1" spans="1:44">
      <c r="A6440" s="17" t="s">
        <v>34</v>
      </c>
      <c r="B6440" s="19">
        <v>1058</v>
      </c>
      <c r="C6440" s="183">
        <v>45790</v>
      </c>
      <c r="D6440" s="17" t="s">
        <v>52</v>
      </c>
      <c r="E6440" s="17" t="s">
        <v>53</v>
      </c>
      <c r="F6440" s="17" t="s">
        <v>54</v>
      </c>
      <c r="G6440" s="17"/>
      <c r="H6440" s="19">
        <v>1.2311</v>
      </c>
      <c r="I6440" s="19"/>
      <c r="J6440" s="17" t="s">
        <v>82</v>
      </c>
      <c r="K6440" s="19">
        <v>355</v>
      </c>
      <c r="L6440" s="19">
        <v>106</v>
      </c>
      <c r="M6440" s="19">
        <v>2250</v>
      </c>
      <c r="N6440" s="19" t="s">
        <v>66</v>
      </c>
      <c r="O6440" s="19" t="s">
        <v>141</v>
      </c>
      <c r="P6440" s="19">
        <v>1361</v>
      </c>
      <c r="Q6440" s="19">
        <v>1361</v>
      </c>
      <c r="R6440" s="19">
        <f t="shared" si="283"/>
        <v>0</v>
      </c>
      <c r="S6440" s="274">
        <f t="shared" si="282"/>
        <v>830</v>
      </c>
      <c r="T6440" s="19" t="s">
        <v>42</v>
      </c>
      <c r="U6440" s="102" t="s">
        <v>1571</v>
      </c>
      <c r="V6440" s="186">
        <v>45792</v>
      </c>
      <c r="W6440" s="17" t="s">
        <v>44</v>
      </c>
      <c r="X6440" s="17"/>
      <c r="Y6440" s="68">
        <v>45809</v>
      </c>
      <c r="Z6440" s="17" t="s">
        <v>191</v>
      </c>
      <c r="AA6440" s="17" t="s">
        <v>46</v>
      </c>
      <c r="AB6440" s="17" t="s">
        <v>1572</v>
      </c>
      <c r="AC6440" s="217">
        <v>45874</v>
      </c>
      <c r="AD6440" s="65">
        <v>1715</v>
      </c>
      <c r="AE6440" s="17" t="s">
        <v>48</v>
      </c>
      <c r="AF6440" s="17" t="s">
        <v>1573</v>
      </c>
      <c r="AG6440" s="17"/>
      <c r="AH6440" s="17"/>
      <c r="AI6440" s="17"/>
      <c r="AJ6440" s="17"/>
      <c r="AK6440" s="17"/>
      <c r="AL6440" s="17"/>
      <c r="AM6440" s="17"/>
      <c r="AN6440" s="17"/>
      <c r="AO6440" s="17"/>
      <c r="AP6440" s="17"/>
      <c r="AQ6440" s="17"/>
      <c r="AR6440" s="17"/>
    </row>
    <row r="6441" s="25" customFormat="1" ht="15.6" hidden="1" spans="1:44">
      <c r="A6441" s="17" t="s">
        <v>34</v>
      </c>
      <c r="B6441" s="19">
        <v>1058</v>
      </c>
      <c r="C6441" s="183">
        <v>45790</v>
      </c>
      <c r="D6441" s="17" t="s">
        <v>52</v>
      </c>
      <c r="E6441" s="17" t="s">
        <v>53</v>
      </c>
      <c r="F6441" s="17" t="s">
        <v>54</v>
      </c>
      <c r="G6441" s="17"/>
      <c r="H6441" s="19">
        <v>1.2311</v>
      </c>
      <c r="I6441" s="19"/>
      <c r="J6441" s="17" t="s">
        <v>82</v>
      </c>
      <c r="K6441" s="19">
        <v>410</v>
      </c>
      <c r="L6441" s="19">
        <v>106</v>
      </c>
      <c r="M6441" s="19">
        <v>2250</v>
      </c>
      <c r="N6441" s="19" t="s">
        <v>66</v>
      </c>
      <c r="O6441" s="19" t="s">
        <v>141</v>
      </c>
      <c r="P6441" s="19">
        <v>1586</v>
      </c>
      <c r="Q6441" s="19">
        <v>1586</v>
      </c>
      <c r="R6441" s="19">
        <f t="shared" si="283"/>
        <v>0</v>
      </c>
      <c r="S6441" s="274">
        <f t="shared" si="282"/>
        <v>830</v>
      </c>
      <c r="T6441" s="19" t="s">
        <v>42</v>
      </c>
      <c r="U6441" s="102" t="s">
        <v>1571</v>
      </c>
      <c r="V6441" s="186">
        <v>45792</v>
      </c>
      <c r="W6441" s="17" t="s">
        <v>44</v>
      </c>
      <c r="X6441" s="17"/>
      <c r="Y6441" s="68">
        <v>45809</v>
      </c>
      <c r="Z6441" s="17" t="s">
        <v>191</v>
      </c>
      <c r="AA6441" s="17" t="s">
        <v>46</v>
      </c>
      <c r="AB6441" s="17" t="s">
        <v>1572</v>
      </c>
      <c r="AC6441" s="217">
        <v>45874</v>
      </c>
      <c r="AD6441" s="65">
        <v>1715</v>
      </c>
      <c r="AE6441" s="17" t="s">
        <v>48</v>
      </c>
      <c r="AF6441" s="17" t="s">
        <v>1573</v>
      </c>
      <c r="AG6441" s="17"/>
      <c r="AH6441" s="17"/>
      <c r="AI6441" s="17"/>
      <c r="AJ6441" s="17"/>
      <c r="AK6441" s="17"/>
      <c r="AL6441" s="17"/>
      <c r="AM6441" s="17"/>
      <c r="AN6441" s="17"/>
      <c r="AO6441" s="17"/>
      <c r="AP6441" s="17"/>
      <c r="AQ6441" s="17"/>
      <c r="AR6441" s="17"/>
    </row>
    <row r="6442" s="25" customFormat="1" ht="15.6" hidden="1" spans="1:44">
      <c r="A6442" s="17" t="s">
        <v>34</v>
      </c>
      <c r="B6442" s="19">
        <v>1058</v>
      </c>
      <c r="C6442" s="183">
        <v>45790</v>
      </c>
      <c r="D6442" s="17" t="s">
        <v>52</v>
      </c>
      <c r="E6442" s="17" t="s">
        <v>53</v>
      </c>
      <c r="F6442" s="17" t="s">
        <v>54</v>
      </c>
      <c r="G6442" s="17"/>
      <c r="H6442" s="19">
        <v>1.2311</v>
      </c>
      <c r="I6442" s="19"/>
      <c r="J6442" s="17" t="s">
        <v>82</v>
      </c>
      <c r="K6442" s="19">
        <v>510</v>
      </c>
      <c r="L6442" s="19">
        <v>106</v>
      </c>
      <c r="M6442" s="19">
        <v>2250</v>
      </c>
      <c r="N6442" s="19" t="s">
        <v>66</v>
      </c>
      <c r="O6442" s="19" t="s">
        <v>141</v>
      </c>
      <c r="P6442" s="19">
        <v>1929</v>
      </c>
      <c r="Q6442" s="19">
        <v>1929</v>
      </c>
      <c r="R6442" s="19">
        <f t="shared" si="283"/>
        <v>0</v>
      </c>
      <c r="S6442" s="274">
        <f t="shared" si="282"/>
        <v>830</v>
      </c>
      <c r="T6442" s="19" t="s">
        <v>42</v>
      </c>
      <c r="U6442" s="102" t="s">
        <v>1571</v>
      </c>
      <c r="V6442" s="186">
        <v>45792</v>
      </c>
      <c r="W6442" s="17" t="s">
        <v>44</v>
      </c>
      <c r="X6442" s="17"/>
      <c r="Y6442" s="68">
        <v>45809</v>
      </c>
      <c r="Z6442" s="17" t="s">
        <v>191</v>
      </c>
      <c r="AA6442" s="17" t="s">
        <v>46</v>
      </c>
      <c r="AB6442" s="17" t="s">
        <v>1572</v>
      </c>
      <c r="AC6442" s="217">
        <v>45874</v>
      </c>
      <c r="AD6442" s="65">
        <v>1715</v>
      </c>
      <c r="AE6442" s="17" t="s">
        <v>48</v>
      </c>
      <c r="AF6442" s="17" t="s">
        <v>1573</v>
      </c>
      <c r="AG6442" s="17"/>
      <c r="AH6442" s="17"/>
      <c r="AI6442" s="17"/>
      <c r="AJ6442" s="17"/>
      <c r="AK6442" s="17"/>
      <c r="AL6442" s="17"/>
      <c r="AM6442" s="17"/>
      <c r="AN6442" s="17"/>
      <c r="AO6442" s="17"/>
      <c r="AP6442" s="17"/>
      <c r="AQ6442" s="17"/>
      <c r="AR6442" s="17"/>
    </row>
    <row r="6443" s="25" customFormat="1" hidden="1" spans="1:44">
      <c r="A6443" s="17" t="s">
        <v>34</v>
      </c>
      <c r="B6443" s="19">
        <v>1059</v>
      </c>
      <c r="C6443" s="183">
        <v>45792</v>
      </c>
      <c r="D6443" s="17" t="s">
        <v>52</v>
      </c>
      <c r="E6443" s="17" t="s">
        <v>1113</v>
      </c>
      <c r="F6443" s="17" t="s">
        <v>54</v>
      </c>
      <c r="G6443" s="17"/>
      <c r="H6443" s="19">
        <v>1.2311</v>
      </c>
      <c r="I6443" s="19"/>
      <c r="J6443" s="17" t="s">
        <v>49</v>
      </c>
      <c r="K6443" s="19">
        <v>2200</v>
      </c>
      <c r="L6443" s="91">
        <v>50</v>
      </c>
      <c r="M6443" s="19">
        <v>5800</v>
      </c>
      <c r="N6443" s="19" t="s">
        <v>66</v>
      </c>
      <c r="O6443" s="19" t="s">
        <v>141</v>
      </c>
      <c r="P6443" s="19">
        <v>6000</v>
      </c>
      <c r="Q6443" s="19">
        <v>5190</v>
      </c>
      <c r="R6443" s="19">
        <f t="shared" si="283"/>
        <v>810</v>
      </c>
      <c r="S6443" s="19">
        <v>840</v>
      </c>
      <c r="T6443" s="19" t="s">
        <v>42</v>
      </c>
      <c r="U6443" s="102" t="s">
        <v>1535</v>
      </c>
      <c r="V6443" s="186">
        <v>45671</v>
      </c>
      <c r="W6443" s="17" t="s">
        <v>44</v>
      </c>
      <c r="X6443" s="17"/>
      <c r="Y6443" s="68">
        <v>45748</v>
      </c>
      <c r="Z6443" s="17" t="s">
        <v>191</v>
      </c>
      <c r="AA6443" s="17" t="s">
        <v>46</v>
      </c>
      <c r="AB6443" s="17" t="s">
        <v>1537</v>
      </c>
      <c r="AC6443" s="217">
        <v>45811</v>
      </c>
      <c r="AD6443" s="65">
        <v>1690</v>
      </c>
      <c r="AE6443" s="17" t="s">
        <v>48</v>
      </c>
      <c r="AF6443" s="17" t="s">
        <v>560</v>
      </c>
      <c r="AG6443" s="17"/>
      <c r="AH6443" s="17"/>
      <c r="AI6443" s="17"/>
      <c r="AJ6443" s="17"/>
      <c r="AK6443" s="17"/>
      <c r="AL6443" s="17"/>
      <c r="AM6443" s="17"/>
      <c r="AN6443" s="17"/>
      <c r="AO6443" s="17"/>
      <c r="AP6443" s="17"/>
      <c r="AQ6443" s="17"/>
      <c r="AR6443" s="17"/>
    </row>
    <row r="6444" s="25" customFormat="1" hidden="1" spans="1:44">
      <c r="A6444" s="17" t="s">
        <v>34</v>
      </c>
      <c r="B6444" s="19">
        <v>1059</v>
      </c>
      <c r="C6444" s="183">
        <v>45792</v>
      </c>
      <c r="D6444" s="17" t="s">
        <v>52</v>
      </c>
      <c r="E6444" s="17" t="s">
        <v>1113</v>
      </c>
      <c r="F6444" s="17" t="s">
        <v>54</v>
      </c>
      <c r="G6444" s="17"/>
      <c r="H6444" s="19">
        <v>1.2311</v>
      </c>
      <c r="I6444" s="19"/>
      <c r="J6444" s="17" t="s">
        <v>49</v>
      </c>
      <c r="K6444" s="19">
        <v>2200</v>
      </c>
      <c r="L6444" s="91">
        <v>32</v>
      </c>
      <c r="M6444" s="19">
        <v>5800</v>
      </c>
      <c r="N6444" s="19" t="s">
        <v>66</v>
      </c>
      <c r="O6444" s="19" t="s">
        <v>141</v>
      </c>
      <c r="P6444" s="19">
        <v>2000</v>
      </c>
      <c r="Q6444" s="19">
        <v>1865</v>
      </c>
      <c r="R6444" s="19">
        <f t="shared" si="283"/>
        <v>135</v>
      </c>
      <c r="S6444" s="19">
        <v>840</v>
      </c>
      <c r="T6444" s="19" t="s">
        <v>42</v>
      </c>
      <c r="U6444" s="102" t="s">
        <v>1535</v>
      </c>
      <c r="V6444" s="186">
        <v>45671</v>
      </c>
      <c r="W6444" s="17" t="s">
        <v>44</v>
      </c>
      <c r="X6444" s="17"/>
      <c r="Y6444" s="68">
        <v>45748</v>
      </c>
      <c r="Z6444" s="17" t="s">
        <v>191</v>
      </c>
      <c r="AA6444" s="17" t="s">
        <v>46</v>
      </c>
      <c r="AB6444" s="17" t="s">
        <v>1537</v>
      </c>
      <c r="AC6444" s="217">
        <v>45811</v>
      </c>
      <c r="AD6444" s="65">
        <v>1690</v>
      </c>
      <c r="AE6444" s="17" t="s">
        <v>48</v>
      </c>
      <c r="AF6444" s="17" t="s">
        <v>560</v>
      </c>
      <c r="AG6444" s="17"/>
      <c r="AH6444" s="17"/>
      <c r="AI6444" s="17"/>
      <c r="AJ6444" s="17"/>
      <c r="AK6444" s="17"/>
      <c r="AL6444" s="17"/>
      <c r="AM6444" s="17"/>
      <c r="AN6444" s="17"/>
      <c r="AO6444" s="17"/>
      <c r="AP6444" s="17"/>
      <c r="AQ6444" s="17"/>
      <c r="AR6444" s="17"/>
    </row>
    <row r="6445" s="25" customFormat="1" hidden="1" spans="1:44">
      <c r="A6445" s="17" t="s">
        <v>34</v>
      </c>
      <c r="B6445" s="19">
        <v>1059</v>
      </c>
      <c r="C6445" s="183">
        <v>45792</v>
      </c>
      <c r="D6445" s="17" t="s">
        <v>52</v>
      </c>
      <c r="E6445" s="17" t="s">
        <v>1113</v>
      </c>
      <c r="F6445" s="17" t="s">
        <v>54</v>
      </c>
      <c r="G6445" s="17"/>
      <c r="H6445" s="19">
        <v>1.2311</v>
      </c>
      <c r="I6445" s="19"/>
      <c r="J6445" s="17" t="s">
        <v>49</v>
      </c>
      <c r="K6445" s="19">
        <v>2200</v>
      </c>
      <c r="L6445" s="91">
        <v>105</v>
      </c>
      <c r="M6445" s="19">
        <v>5800</v>
      </c>
      <c r="N6445" s="19" t="s">
        <v>66</v>
      </c>
      <c r="O6445" s="19" t="s">
        <v>141</v>
      </c>
      <c r="P6445" s="19">
        <v>9000</v>
      </c>
      <c r="Q6445" s="19">
        <v>8800</v>
      </c>
      <c r="R6445" s="99">
        <f t="shared" si="283"/>
        <v>200</v>
      </c>
      <c r="S6445" s="19">
        <v>840</v>
      </c>
      <c r="T6445" s="19" t="s">
        <v>42</v>
      </c>
      <c r="U6445" s="102" t="s">
        <v>1535</v>
      </c>
      <c r="V6445" s="186">
        <v>45671</v>
      </c>
      <c r="W6445" s="17" t="s">
        <v>44</v>
      </c>
      <c r="X6445" s="17"/>
      <c r="Y6445" s="68">
        <v>45748</v>
      </c>
      <c r="Z6445" s="17" t="s">
        <v>191</v>
      </c>
      <c r="AA6445" s="17" t="s">
        <v>46</v>
      </c>
      <c r="AB6445" s="17" t="s">
        <v>1537</v>
      </c>
      <c r="AC6445" s="217">
        <v>45811</v>
      </c>
      <c r="AD6445" s="65">
        <v>1690</v>
      </c>
      <c r="AE6445" s="17" t="s">
        <v>48</v>
      </c>
      <c r="AF6445" s="17" t="s">
        <v>560</v>
      </c>
      <c r="AG6445" s="17"/>
      <c r="AH6445" s="17"/>
      <c r="AI6445" s="17"/>
      <c r="AJ6445" s="17"/>
      <c r="AK6445" s="17"/>
      <c r="AL6445" s="17"/>
      <c r="AM6445" s="17"/>
      <c r="AN6445" s="17"/>
      <c r="AO6445" s="17"/>
      <c r="AP6445" s="17"/>
      <c r="AQ6445" s="17"/>
      <c r="AR6445" s="17"/>
    </row>
    <row r="6446" s="25" customFormat="1" hidden="1" spans="1:44">
      <c r="A6446" s="17" t="s">
        <v>34</v>
      </c>
      <c r="B6446" s="19">
        <v>1060</v>
      </c>
      <c r="C6446" s="183">
        <v>45793</v>
      </c>
      <c r="D6446" s="17" t="s">
        <v>52</v>
      </c>
      <c r="E6446" s="17" t="s">
        <v>1574</v>
      </c>
      <c r="F6446" s="17" t="s">
        <v>54</v>
      </c>
      <c r="G6446" s="17"/>
      <c r="H6446" s="19">
        <v>1.2311</v>
      </c>
      <c r="I6446" s="19"/>
      <c r="J6446" s="17" t="s">
        <v>49</v>
      </c>
      <c r="K6446" s="19">
        <v>2200</v>
      </c>
      <c r="L6446" s="368">
        <v>26</v>
      </c>
      <c r="M6446" s="19">
        <v>5000</v>
      </c>
      <c r="N6446" s="19" t="s">
        <v>66</v>
      </c>
      <c r="O6446" s="19" t="s">
        <v>141</v>
      </c>
      <c r="P6446" s="369">
        <v>2245.1</v>
      </c>
      <c r="Q6446" s="19">
        <v>2597</v>
      </c>
      <c r="R6446" s="99">
        <f t="shared" si="283"/>
        <v>-351.9</v>
      </c>
      <c r="S6446" s="176">
        <f>840-50</f>
        <v>790</v>
      </c>
      <c r="T6446" s="19" t="s">
        <v>42</v>
      </c>
      <c r="U6446" s="102" t="s">
        <v>1575</v>
      </c>
      <c r="V6446" s="186">
        <v>45800</v>
      </c>
      <c r="W6446" s="17" t="s">
        <v>44</v>
      </c>
      <c r="X6446" s="17"/>
      <c r="Y6446" s="68">
        <v>45809</v>
      </c>
      <c r="Z6446" s="17" t="s">
        <v>207</v>
      </c>
      <c r="AA6446" s="17" t="s">
        <v>46</v>
      </c>
      <c r="AB6446" s="17" t="s">
        <v>1576</v>
      </c>
      <c r="AC6446" s="217">
        <v>45863</v>
      </c>
      <c r="AD6446" s="65">
        <v>1710</v>
      </c>
      <c r="AE6446" s="17" t="s">
        <v>48</v>
      </c>
      <c r="AF6446" s="17" t="s">
        <v>1577</v>
      </c>
      <c r="AG6446" s="17" t="s">
        <v>1464</v>
      </c>
      <c r="AI6446" s="17"/>
      <c r="AJ6446" s="17"/>
      <c r="AK6446" s="17"/>
      <c r="AL6446" s="17"/>
      <c r="AM6446" s="17"/>
      <c r="AN6446" s="17"/>
      <c r="AO6446" s="17"/>
      <c r="AP6446" s="17"/>
      <c r="AQ6446" s="17"/>
      <c r="AR6446" s="17"/>
    </row>
    <row r="6447" s="25" customFormat="1" hidden="1" spans="1:44">
      <c r="A6447" s="17" t="s">
        <v>34</v>
      </c>
      <c r="B6447" s="19">
        <v>1060</v>
      </c>
      <c r="C6447" s="183">
        <v>45793</v>
      </c>
      <c r="D6447" s="17" t="s">
        <v>52</v>
      </c>
      <c r="E6447" s="17" t="s">
        <v>1574</v>
      </c>
      <c r="F6447" s="17" t="s">
        <v>54</v>
      </c>
      <c r="G6447" s="17"/>
      <c r="H6447" s="19">
        <v>1.2311</v>
      </c>
      <c r="I6447" s="19"/>
      <c r="J6447" s="17" t="s">
        <v>49</v>
      </c>
      <c r="K6447" s="19">
        <v>2200</v>
      </c>
      <c r="L6447" s="368">
        <v>32</v>
      </c>
      <c r="M6447" s="19">
        <v>5000</v>
      </c>
      <c r="N6447" s="19" t="s">
        <v>66</v>
      </c>
      <c r="O6447" s="19" t="s">
        <v>141</v>
      </c>
      <c r="P6447" s="369">
        <v>2763.2</v>
      </c>
      <c r="Q6447" s="19">
        <v>3270</v>
      </c>
      <c r="R6447" s="99">
        <f t="shared" si="283"/>
        <v>-506.8</v>
      </c>
      <c r="S6447" s="176">
        <f>840-50</f>
        <v>790</v>
      </c>
      <c r="T6447" s="19" t="s">
        <v>42</v>
      </c>
      <c r="U6447" s="102" t="s">
        <v>1575</v>
      </c>
      <c r="V6447" s="186">
        <v>45800</v>
      </c>
      <c r="W6447" s="17" t="s">
        <v>44</v>
      </c>
      <c r="X6447" s="17"/>
      <c r="Y6447" s="68">
        <v>45809</v>
      </c>
      <c r="Z6447" s="17" t="s">
        <v>207</v>
      </c>
      <c r="AA6447" s="17" t="s">
        <v>46</v>
      </c>
      <c r="AB6447" s="17" t="s">
        <v>1576</v>
      </c>
      <c r="AC6447" s="217">
        <v>45863</v>
      </c>
      <c r="AD6447" s="65">
        <v>1710</v>
      </c>
      <c r="AE6447" s="17" t="s">
        <v>48</v>
      </c>
      <c r="AF6447" s="17" t="s">
        <v>1577</v>
      </c>
      <c r="AG6447" s="17" t="s">
        <v>1464</v>
      </c>
      <c r="AI6447" s="17"/>
      <c r="AJ6447" s="17"/>
      <c r="AK6447" s="17"/>
      <c r="AL6447" s="17"/>
      <c r="AM6447" s="17"/>
      <c r="AN6447" s="17"/>
      <c r="AO6447" s="17"/>
      <c r="AP6447" s="17"/>
      <c r="AQ6447" s="17"/>
      <c r="AR6447" s="17"/>
    </row>
    <row r="6448" s="25" customFormat="1" hidden="1" spans="1:44">
      <c r="A6448" s="17" t="s">
        <v>34</v>
      </c>
      <c r="B6448" s="19">
        <v>1060</v>
      </c>
      <c r="C6448" s="183">
        <v>45793</v>
      </c>
      <c r="D6448" s="17" t="s">
        <v>52</v>
      </c>
      <c r="E6448" s="17" t="s">
        <v>1574</v>
      </c>
      <c r="F6448" s="17" t="s">
        <v>54</v>
      </c>
      <c r="G6448" s="17"/>
      <c r="H6448" s="19">
        <v>1.2311</v>
      </c>
      <c r="I6448" s="19"/>
      <c r="J6448" s="17" t="s">
        <v>49</v>
      </c>
      <c r="K6448" s="19">
        <v>2200</v>
      </c>
      <c r="L6448" s="368">
        <v>36</v>
      </c>
      <c r="M6448" s="19">
        <v>5000</v>
      </c>
      <c r="N6448" s="19" t="s">
        <v>66</v>
      </c>
      <c r="O6448" s="19" t="s">
        <v>141</v>
      </c>
      <c r="P6448" s="369">
        <v>3108.6</v>
      </c>
      <c r="Q6448" s="19">
        <v>3240</v>
      </c>
      <c r="R6448" s="99">
        <f t="shared" si="283"/>
        <v>-131.400000000001</v>
      </c>
      <c r="S6448" s="176">
        <v>840</v>
      </c>
      <c r="T6448" s="19" t="s">
        <v>42</v>
      </c>
      <c r="U6448" s="102" t="s">
        <v>1575</v>
      </c>
      <c r="V6448" s="186">
        <v>45800</v>
      </c>
      <c r="W6448" s="17" t="s">
        <v>44</v>
      </c>
      <c r="X6448" s="17"/>
      <c r="Y6448" s="68">
        <v>45809</v>
      </c>
      <c r="Z6448" s="17" t="s">
        <v>207</v>
      </c>
      <c r="AA6448" s="17" t="s">
        <v>46</v>
      </c>
      <c r="AB6448" s="17" t="s">
        <v>1578</v>
      </c>
      <c r="AC6448" s="217">
        <v>45849</v>
      </c>
      <c r="AD6448" s="65">
        <v>1707</v>
      </c>
      <c r="AE6448" s="17" t="s">
        <v>48</v>
      </c>
      <c r="AF6448" s="17" t="s">
        <v>560</v>
      </c>
      <c r="AG6448" s="17" t="s">
        <v>1456</v>
      </c>
      <c r="AH6448" s="17"/>
      <c r="AI6448" s="17"/>
      <c r="AJ6448" s="17"/>
      <c r="AK6448" s="17"/>
      <c r="AL6448" s="17"/>
      <c r="AM6448" s="17"/>
      <c r="AN6448" s="17"/>
      <c r="AO6448" s="17"/>
      <c r="AP6448" s="17"/>
      <c r="AQ6448" s="17"/>
      <c r="AR6448" s="17"/>
    </row>
    <row r="6449" s="25" customFormat="1" hidden="1" spans="1:44">
      <c r="A6449" s="17" t="s">
        <v>34</v>
      </c>
      <c r="B6449" s="19">
        <v>1060</v>
      </c>
      <c r="C6449" s="183">
        <v>45793</v>
      </c>
      <c r="D6449" s="17" t="s">
        <v>52</v>
      </c>
      <c r="E6449" s="17" t="s">
        <v>1574</v>
      </c>
      <c r="F6449" s="17" t="s">
        <v>54</v>
      </c>
      <c r="G6449" s="17"/>
      <c r="H6449" s="19">
        <v>1.2311</v>
      </c>
      <c r="I6449" s="19"/>
      <c r="J6449" s="17" t="s">
        <v>49</v>
      </c>
      <c r="K6449" s="19">
        <v>2200</v>
      </c>
      <c r="L6449" s="368">
        <v>41</v>
      </c>
      <c r="M6449" s="19">
        <v>5000</v>
      </c>
      <c r="N6449" s="19" t="s">
        <v>66</v>
      </c>
      <c r="O6449" s="19" t="s">
        <v>141</v>
      </c>
      <c r="P6449" s="369">
        <v>10621.05</v>
      </c>
      <c r="Q6449" s="19">
        <v>2798</v>
      </c>
      <c r="R6449" s="17"/>
      <c r="S6449" s="176">
        <v>840</v>
      </c>
      <c r="T6449" s="19" t="s">
        <v>42</v>
      </c>
      <c r="U6449" s="102" t="s">
        <v>1575</v>
      </c>
      <c r="V6449" s="186">
        <v>45800</v>
      </c>
      <c r="W6449" s="17" t="s">
        <v>44</v>
      </c>
      <c r="X6449" s="17"/>
      <c r="Y6449" s="68">
        <v>45809</v>
      </c>
      <c r="Z6449" s="17" t="s">
        <v>207</v>
      </c>
      <c r="AA6449" s="17" t="s">
        <v>46</v>
      </c>
      <c r="AB6449" s="17" t="s">
        <v>1579</v>
      </c>
      <c r="AC6449" s="217">
        <v>45831</v>
      </c>
      <c r="AD6449" s="65">
        <v>1694</v>
      </c>
      <c r="AE6449" s="17" t="s">
        <v>48</v>
      </c>
      <c r="AF6449" s="17" t="s">
        <v>560</v>
      </c>
      <c r="AG6449" s="17" t="s">
        <v>1456</v>
      </c>
      <c r="AH6449" s="17"/>
      <c r="AI6449" s="17"/>
      <c r="AJ6449" s="17"/>
      <c r="AK6449" s="17"/>
      <c r="AL6449" s="17"/>
      <c r="AM6449" s="17"/>
      <c r="AN6449" s="17"/>
      <c r="AO6449" s="17"/>
      <c r="AP6449" s="17"/>
      <c r="AQ6449" s="17"/>
      <c r="AR6449" s="17"/>
    </row>
    <row r="6450" s="25" customFormat="1" hidden="1" spans="1:44">
      <c r="A6450" s="17" t="s">
        <v>34</v>
      </c>
      <c r="B6450" s="19">
        <v>1060</v>
      </c>
      <c r="C6450" s="183">
        <v>45793</v>
      </c>
      <c r="D6450" s="17" t="s">
        <v>52</v>
      </c>
      <c r="E6450" s="17" t="s">
        <v>1574</v>
      </c>
      <c r="F6450" s="17" t="s">
        <v>54</v>
      </c>
      <c r="G6450" s="17"/>
      <c r="H6450" s="19">
        <v>1.2311</v>
      </c>
      <c r="I6450" s="19"/>
      <c r="J6450" s="17" t="s">
        <v>49</v>
      </c>
      <c r="K6450" s="19">
        <v>2200</v>
      </c>
      <c r="L6450" s="368">
        <v>41</v>
      </c>
      <c r="M6450" s="19">
        <v>5000</v>
      </c>
      <c r="N6450" s="19" t="s">
        <v>66</v>
      </c>
      <c r="O6450" s="19" t="s">
        <v>141</v>
      </c>
      <c r="P6450" s="369"/>
      <c r="Q6450" s="19">
        <v>4110</v>
      </c>
      <c r="S6450" s="176">
        <v>840</v>
      </c>
      <c r="T6450" s="19" t="s">
        <v>42</v>
      </c>
      <c r="U6450" s="102" t="s">
        <v>1575</v>
      </c>
      <c r="V6450" s="186">
        <v>45800</v>
      </c>
      <c r="W6450" s="17" t="s">
        <v>44</v>
      </c>
      <c r="X6450" s="17"/>
      <c r="Y6450" s="68">
        <v>45809</v>
      </c>
      <c r="Z6450" s="17" t="s">
        <v>207</v>
      </c>
      <c r="AA6450" s="17" t="s">
        <v>46</v>
      </c>
      <c r="AB6450" s="17" t="s">
        <v>1578</v>
      </c>
      <c r="AC6450" s="217">
        <v>45849</v>
      </c>
      <c r="AD6450" s="65">
        <v>1707</v>
      </c>
      <c r="AE6450" s="17" t="s">
        <v>48</v>
      </c>
      <c r="AF6450" s="17" t="s">
        <v>560</v>
      </c>
      <c r="AG6450" s="17" t="s">
        <v>1456</v>
      </c>
      <c r="AH6450" s="17"/>
      <c r="AI6450" s="17"/>
      <c r="AJ6450" s="17"/>
      <c r="AK6450" s="17"/>
      <c r="AL6450" s="17"/>
      <c r="AM6450" s="17"/>
      <c r="AN6450" s="17"/>
      <c r="AO6450" s="17"/>
      <c r="AP6450" s="17"/>
      <c r="AQ6450" s="17"/>
      <c r="AR6450" s="17"/>
    </row>
    <row r="6451" s="25" customFormat="1" hidden="1" spans="1:44">
      <c r="A6451" s="17" t="s">
        <v>34</v>
      </c>
      <c r="B6451" s="19">
        <v>1060</v>
      </c>
      <c r="C6451" s="183">
        <v>45793</v>
      </c>
      <c r="D6451" s="17" t="s">
        <v>52</v>
      </c>
      <c r="E6451" s="17" t="s">
        <v>1574</v>
      </c>
      <c r="F6451" s="17" t="s">
        <v>54</v>
      </c>
      <c r="G6451" s="17"/>
      <c r="H6451" s="19">
        <v>1.2311</v>
      </c>
      <c r="I6451" s="19"/>
      <c r="J6451" s="17" t="s">
        <v>49</v>
      </c>
      <c r="K6451" s="19">
        <v>2200</v>
      </c>
      <c r="L6451" s="368">
        <v>41</v>
      </c>
      <c r="M6451" s="19">
        <v>5000</v>
      </c>
      <c r="N6451" s="19" t="s">
        <v>66</v>
      </c>
      <c r="O6451" s="19" t="s">
        <v>141</v>
      </c>
      <c r="P6451" s="369"/>
      <c r="Q6451" s="19">
        <v>3850</v>
      </c>
      <c r="R6451" s="99">
        <f>+P6449-Q6449-Q6450-Q6451</f>
        <v>-136.950000000001</v>
      </c>
      <c r="S6451" s="176">
        <f>840-50</f>
        <v>790</v>
      </c>
      <c r="T6451" s="19" t="s">
        <v>42</v>
      </c>
      <c r="U6451" s="102" t="s">
        <v>1575</v>
      </c>
      <c r="V6451" s="186">
        <v>45800</v>
      </c>
      <c r="W6451" s="17" t="s">
        <v>44</v>
      </c>
      <c r="X6451" s="17"/>
      <c r="Y6451" s="68">
        <v>45809</v>
      </c>
      <c r="Z6451" s="17" t="s">
        <v>207</v>
      </c>
      <c r="AA6451" s="17" t="s">
        <v>46</v>
      </c>
      <c r="AB6451" s="17" t="s">
        <v>1576</v>
      </c>
      <c r="AC6451" s="217">
        <v>45863</v>
      </c>
      <c r="AD6451" s="65">
        <v>1710</v>
      </c>
      <c r="AE6451" s="17" t="s">
        <v>48</v>
      </c>
      <c r="AF6451" s="17" t="s">
        <v>1577</v>
      </c>
      <c r="AG6451" s="17" t="s">
        <v>1464</v>
      </c>
      <c r="AI6451" s="17"/>
      <c r="AJ6451" s="17"/>
      <c r="AK6451" s="17"/>
      <c r="AL6451" s="17"/>
      <c r="AM6451" s="17"/>
      <c r="AN6451" s="17"/>
      <c r="AO6451" s="17"/>
      <c r="AP6451" s="17"/>
      <c r="AQ6451" s="17"/>
      <c r="AR6451" s="17"/>
    </row>
    <row r="6452" s="25" customFormat="1" hidden="1" spans="1:44">
      <c r="A6452" s="17" t="s">
        <v>34</v>
      </c>
      <c r="B6452" s="19">
        <v>1060</v>
      </c>
      <c r="C6452" s="183">
        <v>45793</v>
      </c>
      <c r="D6452" s="17" t="s">
        <v>52</v>
      </c>
      <c r="E6452" s="17" t="s">
        <v>1574</v>
      </c>
      <c r="F6452" s="17" t="s">
        <v>54</v>
      </c>
      <c r="G6452" s="17"/>
      <c r="H6452" s="19">
        <v>1.2311</v>
      </c>
      <c r="I6452" s="19"/>
      <c r="J6452" s="17" t="s">
        <v>49</v>
      </c>
      <c r="K6452" s="19">
        <v>2200</v>
      </c>
      <c r="L6452" s="368">
        <v>45</v>
      </c>
      <c r="M6452" s="19">
        <v>5000</v>
      </c>
      <c r="N6452" s="19" t="s">
        <v>66</v>
      </c>
      <c r="O6452" s="19" t="s">
        <v>141</v>
      </c>
      <c r="P6452" s="369">
        <v>7771.5</v>
      </c>
      <c r="Q6452" s="19">
        <f>3820+3790</f>
        <v>7610</v>
      </c>
      <c r="R6452" s="99">
        <f>+P6452-Q6452</f>
        <v>161.499999999999</v>
      </c>
      <c r="S6452" s="176">
        <v>840</v>
      </c>
      <c r="T6452" s="19" t="s">
        <v>42</v>
      </c>
      <c r="U6452" s="102" t="s">
        <v>1575</v>
      </c>
      <c r="V6452" s="186">
        <v>45800</v>
      </c>
      <c r="W6452" s="17" t="s">
        <v>44</v>
      </c>
      <c r="X6452" s="17"/>
      <c r="Y6452" s="68">
        <v>45809</v>
      </c>
      <c r="Z6452" s="17" t="s">
        <v>207</v>
      </c>
      <c r="AA6452" s="17" t="s">
        <v>46</v>
      </c>
      <c r="AB6452" s="17" t="s">
        <v>1578</v>
      </c>
      <c r="AC6452" s="217">
        <v>45849</v>
      </c>
      <c r="AD6452" s="65">
        <v>1707</v>
      </c>
      <c r="AE6452" s="17" t="s">
        <v>48</v>
      </c>
      <c r="AF6452" s="17" t="s">
        <v>560</v>
      </c>
      <c r="AG6452" s="17" t="s">
        <v>1456</v>
      </c>
      <c r="AH6452" s="17"/>
      <c r="AI6452" s="17"/>
      <c r="AJ6452" s="17"/>
      <c r="AK6452" s="17"/>
      <c r="AL6452" s="17"/>
      <c r="AM6452" s="17"/>
      <c r="AN6452" s="17"/>
      <c r="AO6452" s="17"/>
      <c r="AP6452" s="17"/>
      <c r="AQ6452" s="17"/>
      <c r="AR6452" s="17"/>
    </row>
    <row r="6453" s="25" customFormat="1" hidden="1" spans="1:44">
      <c r="A6453" s="17" t="s">
        <v>34</v>
      </c>
      <c r="B6453" s="19">
        <v>1060</v>
      </c>
      <c r="C6453" s="183">
        <v>45793</v>
      </c>
      <c r="D6453" s="17" t="s">
        <v>52</v>
      </c>
      <c r="E6453" s="17" t="s">
        <v>1574</v>
      </c>
      <c r="F6453" s="17" t="s">
        <v>54</v>
      </c>
      <c r="G6453" s="17"/>
      <c r="H6453" s="19">
        <v>1.2311</v>
      </c>
      <c r="I6453" s="19"/>
      <c r="J6453" s="17" t="s">
        <v>49</v>
      </c>
      <c r="K6453" s="19">
        <v>2200</v>
      </c>
      <c r="L6453" s="368">
        <v>51</v>
      </c>
      <c r="M6453" s="19">
        <v>5000</v>
      </c>
      <c r="N6453" s="19" t="s">
        <v>66</v>
      </c>
      <c r="O6453" s="19" t="s">
        <v>141</v>
      </c>
      <c r="P6453" s="369">
        <v>17615.4</v>
      </c>
      <c r="Q6453" s="19">
        <v>5070</v>
      </c>
      <c r="S6453" s="176">
        <v>840</v>
      </c>
      <c r="T6453" s="19" t="s">
        <v>42</v>
      </c>
      <c r="U6453" s="102" t="s">
        <v>1575</v>
      </c>
      <c r="V6453" s="186">
        <v>45800</v>
      </c>
      <c r="W6453" s="17" t="s">
        <v>44</v>
      </c>
      <c r="X6453" s="17"/>
      <c r="Y6453" s="68">
        <v>45809</v>
      </c>
      <c r="Z6453" s="17" t="s">
        <v>207</v>
      </c>
      <c r="AA6453" s="17" t="s">
        <v>46</v>
      </c>
      <c r="AB6453" s="17" t="s">
        <v>1579</v>
      </c>
      <c r="AC6453" s="217">
        <v>45831</v>
      </c>
      <c r="AD6453" s="65">
        <v>1694</v>
      </c>
      <c r="AE6453" s="17" t="s">
        <v>48</v>
      </c>
      <c r="AF6453" s="17" t="s">
        <v>560</v>
      </c>
      <c r="AG6453" s="17" t="s">
        <v>1456</v>
      </c>
      <c r="AH6453" s="17"/>
      <c r="AI6453" s="17"/>
      <c r="AJ6453" s="17"/>
      <c r="AK6453" s="17"/>
      <c r="AL6453" s="17"/>
      <c r="AM6453" s="17"/>
      <c r="AN6453" s="17"/>
      <c r="AO6453" s="17"/>
      <c r="AP6453" s="17"/>
      <c r="AQ6453" s="17"/>
      <c r="AR6453" s="17"/>
    </row>
    <row r="6454" s="25" customFormat="1" hidden="1" spans="1:44">
      <c r="A6454" s="17" t="s">
        <v>34</v>
      </c>
      <c r="B6454" s="19">
        <v>1060</v>
      </c>
      <c r="C6454" s="183">
        <v>45793</v>
      </c>
      <c r="D6454" s="17" t="s">
        <v>52</v>
      </c>
      <c r="E6454" s="17" t="s">
        <v>1574</v>
      </c>
      <c r="F6454" s="17" t="s">
        <v>54</v>
      </c>
      <c r="G6454" s="17"/>
      <c r="H6454" s="19">
        <v>1.2311</v>
      </c>
      <c r="I6454" s="19"/>
      <c r="J6454" s="17" t="s">
        <v>49</v>
      </c>
      <c r="K6454" s="19">
        <v>2200</v>
      </c>
      <c r="L6454" s="368">
        <v>51</v>
      </c>
      <c r="M6454" s="19">
        <v>5000</v>
      </c>
      <c r="N6454" s="19" t="s">
        <v>66</v>
      </c>
      <c r="O6454" s="19" t="s">
        <v>141</v>
      </c>
      <c r="P6454" s="369"/>
      <c r="Q6454" s="19">
        <f>3910+3920+4940</f>
        <v>12770</v>
      </c>
      <c r="R6454" s="99">
        <f>+P6453-Q6453-Q6454</f>
        <v>-224.599999999999</v>
      </c>
      <c r="S6454" s="176">
        <v>840</v>
      </c>
      <c r="T6454" s="19" t="s">
        <v>42</v>
      </c>
      <c r="U6454" s="102" t="s">
        <v>1575</v>
      </c>
      <c r="V6454" s="186">
        <v>45800</v>
      </c>
      <c r="W6454" s="17" t="s">
        <v>44</v>
      </c>
      <c r="X6454" s="17"/>
      <c r="Y6454" s="68">
        <v>45809</v>
      </c>
      <c r="Z6454" s="17" t="s">
        <v>207</v>
      </c>
      <c r="AA6454" s="17" t="s">
        <v>46</v>
      </c>
      <c r="AB6454" s="17" t="s">
        <v>1578</v>
      </c>
      <c r="AC6454" s="217">
        <v>45849</v>
      </c>
      <c r="AD6454" s="65">
        <v>1707</v>
      </c>
      <c r="AE6454" s="17" t="s">
        <v>48</v>
      </c>
      <c r="AF6454" s="17" t="s">
        <v>560</v>
      </c>
      <c r="AG6454" s="17" t="s">
        <v>1456</v>
      </c>
      <c r="AH6454" s="17"/>
      <c r="AI6454" s="17"/>
      <c r="AJ6454" s="17"/>
      <c r="AK6454" s="17"/>
      <c r="AL6454" s="17"/>
      <c r="AM6454" s="17"/>
      <c r="AN6454" s="17"/>
      <c r="AO6454" s="17"/>
      <c r="AP6454" s="17"/>
      <c r="AQ6454" s="17"/>
      <c r="AR6454" s="17"/>
    </row>
    <row r="6455" s="25" customFormat="1" hidden="1" spans="1:44">
      <c r="A6455" s="17" t="s">
        <v>34</v>
      </c>
      <c r="B6455" s="19">
        <v>1060</v>
      </c>
      <c r="C6455" s="183">
        <v>45793</v>
      </c>
      <c r="D6455" s="17" t="s">
        <v>52</v>
      </c>
      <c r="E6455" s="17" t="s">
        <v>1574</v>
      </c>
      <c r="F6455" s="17" t="s">
        <v>54</v>
      </c>
      <c r="G6455" s="17"/>
      <c r="H6455" s="19">
        <v>1.2311</v>
      </c>
      <c r="I6455" s="19"/>
      <c r="J6455" s="17" t="s">
        <v>49</v>
      </c>
      <c r="K6455" s="19">
        <v>2200</v>
      </c>
      <c r="L6455" s="368">
        <v>56</v>
      </c>
      <c r="M6455" s="19">
        <v>5000</v>
      </c>
      <c r="N6455" s="19" t="s">
        <v>66</v>
      </c>
      <c r="O6455" s="19" t="s">
        <v>141</v>
      </c>
      <c r="P6455" s="369">
        <v>9671.2</v>
      </c>
      <c r="Q6455" s="19">
        <v>5290</v>
      </c>
      <c r="S6455" s="176">
        <v>840</v>
      </c>
      <c r="T6455" s="19" t="s">
        <v>42</v>
      </c>
      <c r="U6455" s="102" t="s">
        <v>1575</v>
      </c>
      <c r="V6455" s="186">
        <v>45800</v>
      </c>
      <c r="W6455" s="17" t="s">
        <v>44</v>
      </c>
      <c r="X6455" s="17"/>
      <c r="Y6455" s="68">
        <v>45809</v>
      </c>
      <c r="Z6455" s="17" t="s">
        <v>207</v>
      </c>
      <c r="AA6455" s="17" t="s">
        <v>46</v>
      </c>
      <c r="AB6455" s="17" t="s">
        <v>1579</v>
      </c>
      <c r="AC6455" s="217">
        <v>45831</v>
      </c>
      <c r="AD6455" s="65">
        <v>1694</v>
      </c>
      <c r="AE6455" s="17" t="s">
        <v>48</v>
      </c>
      <c r="AF6455" s="17" t="s">
        <v>560</v>
      </c>
      <c r="AG6455" s="17" t="s">
        <v>1456</v>
      </c>
      <c r="AH6455" s="17"/>
      <c r="AI6455" s="17"/>
      <c r="AJ6455" s="17"/>
      <c r="AK6455" s="17"/>
      <c r="AL6455" s="17"/>
      <c r="AM6455" s="17"/>
      <c r="AN6455" s="17"/>
      <c r="AO6455" s="17"/>
      <c r="AP6455" s="17"/>
      <c r="AQ6455" s="17"/>
      <c r="AR6455" s="17"/>
    </row>
    <row r="6456" s="25" customFormat="1" hidden="1" spans="1:44">
      <c r="A6456" s="17" t="s">
        <v>34</v>
      </c>
      <c r="B6456" s="19">
        <v>1060</v>
      </c>
      <c r="C6456" s="183">
        <v>45793</v>
      </c>
      <c r="D6456" s="17" t="s">
        <v>52</v>
      </c>
      <c r="E6456" s="17" t="s">
        <v>1574</v>
      </c>
      <c r="F6456" s="17" t="s">
        <v>54</v>
      </c>
      <c r="G6456" s="17"/>
      <c r="H6456" s="19">
        <v>1.2311</v>
      </c>
      <c r="I6456" s="19"/>
      <c r="J6456" s="17" t="s">
        <v>49</v>
      </c>
      <c r="K6456" s="19">
        <v>2200</v>
      </c>
      <c r="L6456" s="368">
        <v>56</v>
      </c>
      <c r="M6456" s="19">
        <v>5000</v>
      </c>
      <c r="N6456" s="19" t="s">
        <v>66</v>
      </c>
      <c r="O6456" s="19" t="s">
        <v>141</v>
      </c>
      <c r="P6456" s="369"/>
      <c r="Q6456" s="19">
        <v>5820</v>
      </c>
      <c r="R6456" s="99">
        <f>+P6455-Q6455-Q6456</f>
        <v>-1438.8</v>
      </c>
      <c r="S6456" s="176">
        <v>840</v>
      </c>
      <c r="T6456" s="19" t="s">
        <v>42</v>
      </c>
      <c r="U6456" s="102" t="s">
        <v>1575</v>
      </c>
      <c r="V6456" s="186">
        <v>45800</v>
      </c>
      <c r="W6456" s="17" t="s">
        <v>44</v>
      </c>
      <c r="X6456" s="17"/>
      <c r="Y6456" s="68">
        <v>45809</v>
      </c>
      <c r="Z6456" s="17" t="s">
        <v>207</v>
      </c>
      <c r="AA6456" s="17" t="s">
        <v>46</v>
      </c>
      <c r="AB6456" s="17" t="s">
        <v>1578</v>
      </c>
      <c r="AC6456" s="217">
        <v>45849</v>
      </c>
      <c r="AD6456" s="65">
        <v>1707</v>
      </c>
      <c r="AE6456" s="17" t="s">
        <v>48</v>
      </c>
      <c r="AF6456" s="17" t="s">
        <v>560</v>
      </c>
      <c r="AG6456" s="17" t="s">
        <v>1456</v>
      </c>
      <c r="AH6456" s="17"/>
      <c r="AI6456" s="17"/>
      <c r="AJ6456" s="17"/>
      <c r="AK6456" s="17"/>
      <c r="AL6456" s="17"/>
      <c r="AM6456" s="17"/>
      <c r="AN6456" s="17"/>
      <c r="AO6456" s="17"/>
      <c r="AP6456" s="17"/>
      <c r="AQ6456" s="17"/>
      <c r="AR6456" s="17"/>
    </row>
    <row r="6457" s="25" customFormat="1" hidden="1" spans="1:44">
      <c r="A6457" s="17" t="s">
        <v>34</v>
      </c>
      <c r="B6457" s="19">
        <v>1060</v>
      </c>
      <c r="C6457" s="183">
        <v>45793</v>
      </c>
      <c r="D6457" s="17" t="s">
        <v>52</v>
      </c>
      <c r="E6457" s="17" t="s">
        <v>1574</v>
      </c>
      <c r="F6457" s="17" t="s">
        <v>54</v>
      </c>
      <c r="G6457" s="17"/>
      <c r="H6457" s="19">
        <v>1.2311</v>
      </c>
      <c r="I6457" s="19"/>
      <c r="J6457" s="17" t="s">
        <v>49</v>
      </c>
      <c r="K6457" s="19">
        <v>2200</v>
      </c>
      <c r="L6457" s="368">
        <v>61</v>
      </c>
      <c r="M6457" s="19">
        <v>5000</v>
      </c>
      <c r="N6457" s="19" t="s">
        <v>66</v>
      </c>
      <c r="O6457" s="19" t="s">
        <v>141</v>
      </c>
      <c r="P6457" s="369">
        <v>10534.7</v>
      </c>
      <c r="Q6457" s="19">
        <f>3780+3800</f>
        <v>7580</v>
      </c>
      <c r="S6457" s="176">
        <v>840</v>
      </c>
      <c r="T6457" s="19" t="s">
        <v>42</v>
      </c>
      <c r="U6457" s="102" t="s">
        <v>1575</v>
      </c>
      <c r="V6457" s="186">
        <v>45800</v>
      </c>
      <c r="W6457" s="17" t="s">
        <v>44</v>
      </c>
      <c r="X6457" s="17"/>
      <c r="Y6457" s="68">
        <v>45809</v>
      </c>
      <c r="Z6457" s="17" t="s">
        <v>191</v>
      </c>
      <c r="AA6457" s="17" t="s">
        <v>46</v>
      </c>
      <c r="AB6457" s="17" t="s">
        <v>1539</v>
      </c>
      <c r="AC6457" s="217">
        <v>45838</v>
      </c>
      <c r="AD6457" s="65">
        <v>1693</v>
      </c>
      <c r="AE6457" s="17" t="s">
        <v>48</v>
      </c>
      <c r="AF6457" s="17" t="s">
        <v>1538</v>
      </c>
      <c r="AG6457" s="17"/>
      <c r="AH6457" s="17"/>
      <c r="AI6457" s="17"/>
      <c r="AJ6457" s="17"/>
      <c r="AK6457" s="17"/>
      <c r="AL6457" s="17"/>
      <c r="AM6457" s="17"/>
      <c r="AN6457" s="17"/>
      <c r="AO6457" s="17"/>
      <c r="AP6457" s="17"/>
      <c r="AQ6457" s="17"/>
      <c r="AR6457" s="17"/>
    </row>
    <row r="6458" s="25" customFormat="1" hidden="1" spans="1:44">
      <c r="A6458" s="17" t="s">
        <v>34</v>
      </c>
      <c r="B6458" s="19">
        <v>1060</v>
      </c>
      <c r="C6458" s="183">
        <v>45793</v>
      </c>
      <c r="D6458" s="17" t="s">
        <v>52</v>
      </c>
      <c r="E6458" s="17" t="s">
        <v>1574</v>
      </c>
      <c r="F6458" s="17" t="s">
        <v>54</v>
      </c>
      <c r="G6458" s="17"/>
      <c r="H6458" s="19">
        <v>1.2311</v>
      </c>
      <c r="I6458" s="19"/>
      <c r="J6458" s="17" t="s">
        <v>49</v>
      </c>
      <c r="K6458" s="19">
        <v>2200</v>
      </c>
      <c r="L6458" s="368">
        <v>61</v>
      </c>
      <c r="M6458" s="19">
        <v>5000</v>
      </c>
      <c r="N6458" s="19" t="s">
        <v>66</v>
      </c>
      <c r="O6458" s="19" t="s">
        <v>141</v>
      </c>
      <c r="P6458" s="369"/>
      <c r="Q6458" s="19">
        <v>3935</v>
      </c>
      <c r="R6458" s="99">
        <f>+P6457-Q6457-Q6458</f>
        <v>-980.299999999999</v>
      </c>
      <c r="S6458" s="176">
        <f>840-50</f>
        <v>790</v>
      </c>
      <c r="T6458" s="19" t="s">
        <v>42</v>
      </c>
      <c r="U6458" s="102" t="s">
        <v>1575</v>
      </c>
      <c r="V6458" s="186">
        <v>45800</v>
      </c>
      <c r="W6458" s="17" t="s">
        <v>44</v>
      </c>
      <c r="X6458" s="17"/>
      <c r="Y6458" s="68">
        <v>45809</v>
      </c>
      <c r="Z6458" s="17" t="s">
        <v>207</v>
      </c>
      <c r="AA6458" s="17" t="s">
        <v>46</v>
      </c>
      <c r="AB6458" s="17" t="s">
        <v>1576</v>
      </c>
      <c r="AC6458" s="217">
        <v>45863</v>
      </c>
      <c r="AD6458" s="65">
        <v>1710</v>
      </c>
      <c r="AE6458" s="17" t="s">
        <v>48</v>
      </c>
      <c r="AF6458" s="17" t="s">
        <v>1577</v>
      </c>
      <c r="AG6458" s="17" t="s">
        <v>1464</v>
      </c>
      <c r="AI6458" s="17"/>
      <c r="AJ6458" s="17"/>
      <c r="AK6458" s="17"/>
      <c r="AL6458" s="17"/>
      <c r="AM6458" s="17"/>
      <c r="AN6458" s="17"/>
      <c r="AO6458" s="17"/>
      <c r="AP6458" s="17"/>
      <c r="AQ6458" s="17"/>
      <c r="AR6458" s="17"/>
    </row>
    <row r="6459" s="25" customFormat="1" hidden="1" spans="1:44">
      <c r="A6459" s="17" t="s">
        <v>34</v>
      </c>
      <c r="B6459" s="19">
        <v>1060</v>
      </c>
      <c r="C6459" s="183">
        <v>45793</v>
      </c>
      <c r="D6459" s="17" t="s">
        <v>52</v>
      </c>
      <c r="E6459" s="17" t="s">
        <v>1574</v>
      </c>
      <c r="F6459" s="17" t="s">
        <v>54</v>
      </c>
      <c r="G6459" s="17"/>
      <c r="H6459" s="19">
        <v>1.2311</v>
      </c>
      <c r="I6459" s="19"/>
      <c r="J6459" s="17" t="s">
        <v>49</v>
      </c>
      <c r="K6459" s="19">
        <v>2200</v>
      </c>
      <c r="L6459" s="368">
        <v>65</v>
      </c>
      <c r="M6459" s="19">
        <v>5000</v>
      </c>
      <c r="N6459" s="19" t="s">
        <v>66</v>
      </c>
      <c r="O6459" s="19" t="s">
        <v>141</v>
      </c>
      <c r="P6459" s="369">
        <v>16838.25</v>
      </c>
      <c r="Q6459" s="19">
        <f>5400+5360+6220</f>
        <v>16980</v>
      </c>
      <c r="R6459" s="99">
        <f>+P6459-Q6459</f>
        <v>-141.750000000004</v>
      </c>
      <c r="S6459" s="176">
        <v>840</v>
      </c>
      <c r="T6459" s="19" t="s">
        <v>42</v>
      </c>
      <c r="U6459" s="102" t="s">
        <v>1575</v>
      </c>
      <c r="V6459" s="186">
        <v>45800</v>
      </c>
      <c r="W6459" s="17" t="s">
        <v>44</v>
      </c>
      <c r="X6459" s="17"/>
      <c r="Y6459" s="68">
        <v>45809</v>
      </c>
      <c r="Z6459" s="17" t="s">
        <v>207</v>
      </c>
      <c r="AA6459" s="17" t="s">
        <v>46</v>
      </c>
      <c r="AB6459" s="17" t="s">
        <v>1579</v>
      </c>
      <c r="AC6459" s="217">
        <v>45831</v>
      </c>
      <c r="AD6459" s="65">
        <v>1694</v>
      </c>
      <c r="AE6459" s="17" t="s">
        <v>48</v>
      </c>
      <c r="AF6459" s="17" t="s">
        <v>560</v>
      </c>
      <c r="AG6459" s="17" t="s">
        <v>1456</v>
      </c>
      <c r="AH6459" s="17"/>
      <c r="AI6459" s="17"/>
      <c r="AJ6459" s="17"/>
      <c r="AK6459" s="17"/>
      <c r="AL6459" s="17"/>
      <c r="AM6459" s="17"/>
      <c r="AN6459" s="17"/>
      <c r="AO6459" s="17"/>
      <c r="AP6459" s="17"/>
      <c r="AQ6459" s="17"/>
      <c r="AR6459" s="17"/>
    </row>
    <row r="6460" s="25" customFormat="1" hidden="1" spans="1:44">
      <c r="A6460" s="17" t="s">
        <v>34</v>
      </c>
      <c r="B6460" s="19">
        <v>1060</v>
      </c>
      <c r="C6460" s="183">
        <v>45793</v>
      </c>
      <c r="D6460" s="17" t="s">
        <v>52</v>
      </c>
      <c r="E6460" s="17" t="s">
        <v>1574</v>
      </c>
      <c r="F6460" s="17" t="s">
        <v>54</v>
      </c>
      <c r="G6460" s="17"/>
      <c r="H6460" s="19">
        <v>1.2311</v>
      </c>
      <c r="I6460" s="19"/>
      <c r="J6460" s="17" t="s">
        <v>49</v>
      </c>
      <c r="K6460" s="19">
        <v>2200</v>
      </c>
      <c r="L6460" s="368">
        <v>81</v>
      </c>
      <c r="M6460" s="19">
        <v>5000</v>
      </c>
      <c r="N6460" s="19" t="s">
        <v>66</v>
      </c>
      <c r="O6460" s="19" t="s">
        <v>141</v>
      </c>
      <c r="P6460" s="369">
        <v>13988.7</v>
      </c>
      <c r="Q6460" s="19">
        <v>7920</v>
      </c>
      <c r="S6460" s="176">
        <v>840</v>
      </c>
      <c r="T6460" s="19" t="s">
        <v>42</v>
      </c>
      <c r="U6460" s="102" t="s">
        <v>1575</v>
      </c>
      <c r="V6460" s="186">
        <v>45800</v>
      </c>
      <c r="W6460" s="17" t="s">
        <v>44</v>
      </c>
      <c r="X6460" s="17"/>
      <c r="Y6460" s="68">
        <v>45809</v>
      </c>
      <c r="Z6460" s="17" t="s">
        <v>191</v>
      </c>
      <c r="AA6460" s="17" t="s">
        <v>46</v>
      </c>
      <c r="AB6460" s="17" t="s">
        <v>1539</v>
      </c>
      <c r="AC6460" s="217">
        <v>45838</v>
      </c>
      <c r="AD6460" s="65">
        <v>1693</v>
      </c>
      <c r="AE6460" s="17" t="s">
        <v>48</v>
      </c>
      <c r="AF6460" s="17" t="s">
        <v>1538</v>
      </c>
      <c r="AG6460" s="17"/>
      <c r="AH6460" s="17"/>
      <c r="AI6460" s="17"/>
      <c r="AJ6460" s="17"/>
      <c r="AK6460" s="17"/>
      <c r="AL6460" s="17"/>
      <c r="AM6460" s="17"/>
      <c r="AN6460" s="17"/>
      <c r="AO6460" s="17"/>
      <c r="AP6460" s="17"/>
      <c r="AQ6460" s="17"/>
      <c r="AR6460" s="17"/>
    </row>
    <row r="6461" s="25" customFormat="1" hidden="1" spans="1:44">
      <c r="A6461" s="17" t="s">
        <v>34</v>
      </c>
      <c r="B6461" s="19">
        <v>1060</v>
      </c>
      <c r="C6461" s="183">
        <v>45793</v>
      </c>
      <c r="D6461" s="17" t="s">
        <v>52</v>
      </c>
      <c r="E6461" s="17" t="s">
        <v>1574</v>
      </c>
      <c r="F6461" s="17" t="s">
        <v>54</v>
      </c>
      <c r="G6461" s="17"/>
      <c r="H6461" s="19">
        <v>1.2311</v>
      </c>
      <c r="I6461" s="19"/>
      <c r="J6461" s="17" t="s">
        <v>49</v>
      </c>
      <c r="K6461" s="19">
        <v>2200</v>
      </c>
      <c r="L6461" s="368">
        <v>81</v>
      </c>
      <c r="M6461" s="19">
        <v>5000</v>
      </c>
      <c r="N6461" s="19" t="s">
        <v>66</v>
      </c>
      <c r="O6461" s="19" t="s">
        <v>141</v>
      </c>
      <c r="P6461" s="369"/>
      <c r="Q6461" s="19">
        <v>7200</v>
      </c>
      <c r="R6461" s="99">
        <f>+P6460-Q6460-Q6461</f>
        <v>-1131.3</v>
      </c>
      <c r="S6461" s="176">
        <v>840</v>
      </c>
      <c r="T6461" s="19" t="s">
        <v>42</v>
      </c>
      <c r="U6461" s="102" t="s">
        <v>1575</v>
      </c>
      <c r="V6461" s="186">
        <v>45800</v>
      </c>
      <c r="W6461" s="17" t="s">
        <v>44</v>
      </c>
      <c r="X6461" s="17"/>
      <c r="Y6461" s="68">
        <v>45809</v>
      </c>
      <c r="Z6461" s="17" t="s">
        <v>207</v>
      </c>
      <c r="AA6461" s="17" t="s">
        <v>46</v>
      </c>
      <c r="AB6461" s="17" t="s">
        <v>1578</v>
      </c>
      <c r="AC6461" s="217">
        <v>45849</v>
      </c>
      <c r="AD6461" s="65">
        <v>1707</v>
      </c>
      <c r="AE6461" s="17" t="s">
        <v>48</v>
      </c>
      <c r="AF6461" s="17" t="s">
        <v>560</v>
      </c>
      <c r="AG6461" s="17" t="s">
        <v>1456</v>
      </c>
      <c r="AH6461" s="17"/>
      <c r="AI6461" s="17"/>
      <c r="AJ6461" s="17"/>
      <c r="AK6461" s="17"/>
      <c r="AL6461" s="17"/>
      <c r="AM6461" s="17"/>
      <c r="AN6461" s="17"/>
      <c r="AO6461" s="17"/>
      <c r="AP6461" s="17"/>
      <c r="AQ6461" s="17"/>
      <c r="AR6461" s="17"/>
    </row>
    <row r="6462" s="25" customFormat="1" hidden="1" spans="1:44">
      <c r="A6462" s="17" t="s">
        <v>34</v>
      </c>
      <c r="B6462" s="19">
        <v>1060</v>
      </c>
      <c r="C6462" s="183">
        <v>45793</v>
      </c>
      <c r="D6462" s="17" t="s">
        <v>52</v>
      </c>
      <c r="E6462" s="17" t="s">
        <v>1574</v>
      </c>
      <c r="F6462" s="17" t="s">
        <v>54</v>
      </c>
      <c r="G6462" s="17"/>
      <c r="H6462" s="19">
        <v>1.2311</v>
      </c>
      <c r="I6462" s="19"/>
      <c r="J6462" s="17" t="s">
        <v>49</v>
      </c>
      <c r="K6462" s="19">
        <v>2200</v>
      </c>
      <c r="L6462" s="368">
        <v>91</v>
      </c>
      <c r="M6462" s="19">
        <v>5000</v>
      </c>
      <c r="N6462" s="19" t="s">
        <v>66</v>
      </c>
      <c r="O6462" s="19" t="s">
        <v>141</v>
      </c>
      <c r="P6462" s="369">
        <v>7857.85</v>
      </c>
      <c r="Q6462" s="19">
        <v>6600</v>
      </c>
      <c r="R6462" s="99">
        <f>+P6462-Q6462</f>
        <v>1257.85</v>
      </c>
      <c r="S6462" s="176">
        <v>840</v>
      </c>
      <c r="T6462" s="19" t="s">
        <v>42</v>
      </c>
      <c r="U6462" s="102" t="s">
        <v>1575</v>
      </c>
      <c r="V6462" s="186">
        <v>45800</v>
      </c>
      <c r="W6462" s="17" t="s">
        <v>44</v>
      </c>
      <c r="X6462" s="17"/>
      <c r="Y6462" s="68">
        <v>45809</v>
      </c>
      <c r="Z6462" s="17" t="s">
        <v>191</v>
      </c>
      <c r="AA6462" s="17" t="s">
        <v>46</v>
      </c>
      <c r="AB6462" s="17" t="s">
        <v>1539</v>
      </c>
      <c r="AC6462" s="217">
        <v>45838</v>
      </c>
      <c r="AD6462" s="65">
        <v>1693</v>
      </c>
      <c r="AE6462" s="17" t="s">
        <v>48</v>
      </c>
      <c r="AF6462" s="17" t="s">
        <v>1538</v>
      </c>
      <c r="AG6462" s="17"/>
      <c r="AH6462" s="17"/>
      <c r="AI6462" s="17"/>
      <c r="AJ6462" s="17"/>
      <c r="AK6462" s="17"/>
      <c r="AL6462" s="17"/>
      <c r="AM6462" s="17"/>
      <c r="AN6462" s="17"/>
      <c r="AO6462" s="17"/>
      <c r="AP6462" s="17"/>
      <c r="AQ6462" s="17"/>
      <c r="AR6462" s="17"/>
    </row>
    <row r="6463" s="25" customFormat="1" hidden="1" spans="1:44">
      <c r="A6463" s="17" t="s">
        <v>34</v>
      </c>
      <c r="B6463" s="19">
        <v>1060</v>
      </c>
      <c r="C6463" s="183">
        <v>45793</v>
      </c>
      <c r="D6463" s="17" t="s">
        <v>52</v>
      </c>
      <c r="E6463" s="17" t="s">
        <v>1574</v>
      </c>
      <c r="F6463" s="17" t="s">
        <v>54</v>
      </c>
      <c r="G6463" s="17"/>
      <c r="H6463" s="19">
        <v>1.2311</v>
      </c>
      <c r="I6463" s="19"/>
      <c r="J6463" s="17" t="s">
        <v>49</v>
      </c>
      <c r="K6463" s="19">
        <v>2200</v>
      </c>
      <c r="L6463" s="368">
        <v>100</v>
      </c>
      <c r="M6463" s="19">
        <v>5000</v>
      </c>
      <c r="N6463" s="19" t="s">
        <v>66</v>
      </c>
      <c r="O6463" s="19" t="s">
        <v>141</v>
      </c>
      <c r="P6463" s="369">
        <v>8635</v>
      </c>
      <c r="Q6463" s="19">
        <v>8480</v>
      </c>
      <c r="R6463" s="99">
        <f>+P6463-Q6463</f>
        <v>155</v>
      </c>
      <c r="S6463" s="176">
        <v>840</v>
      </c>
      <c r="T6463" s="19" t="s">
        <v>42</v>
      </c>
      <c r="U6463" s="102" t="s">
        <v>1575</v>
      </c>
      <c r="V6463" s="186">
        <v>45800</v>
      </c>
      <c r="W6463" s="17" t="s">
        <v>44</v>
      </c>
      <c r="X6463" s="17"/>
      <c r="Y6463" s="68">
        <v>45809</v>
      </c>
      <c r="Z6463" s="17" t="s">
        <v>207</v>
      </c>
      <c r="AA6463" s="17" t="s">
        <v>46</v>
      </c>
      <c r="AB6463" s="17" t="s">
        <v>1579</v>
      </c>
      <c r="AC6463" s="217">
        <v>45831</v>
      </c>
      <c r="AD6463" s="65">
        <v>1694</v>
      </c>
      <c r="AE6463" s="17" t="s">
        <v>48</v>
      </c>
      <c r="AF6463" s="17" t="s">
        <v>560</v>
      </c>
      <c r="AG6463" s="17" t="s">
        <v>1456</v>
      </c>
      <c r="AH6463" s="17"/>
      <c r="AI6463" s="17"/>
      <c r="AJ6463" s="17"/>
      <c r="AK6463" s="17"/>
      <c r="AL6463" s="17"/>
      <c r="AM6463" s="17"/>
      <c r="AN6463" s="17"/>
      <c r="AO6463" s="17"/>
      <c r="AP6463" s="17"/>
      <c r="AQ6463" s="17"/>
      <c r="AR6463" s="17"/>
    </row>
    <row r="6464" s="25" customFormat="1" hidden="1" spans="1:44">
      <c r="A6464" s="17" t="s">
        <v>34</v>
      </c>
      <c r="B6464" s="19">
        <v>1060</v>
      </c>
      <c r="C6464" s="183">
        <v>45793</v>
      </c>
      <c r="D6464" s="17" t="s">
        <v>52</v>
      </c>
      <c r="E6464" s="17" t="s">
        <v>1574</v>
      </c>
      <c r="F6464" s="17" t="s">
        <v>54</v>
      </c>
      <c r="G6464" s="17"/>
      <c r="H6464" s="19">
        <v>1.2311</v>
      </c>
      <c r="I6464" s="19"/>
      <c r="J6464" s="17" t="s">
        <v>49</v>
      </c>
      <c r="K6464" s="19">
        <v>2200</v>
      </c>
      <c r="L6464" s="368">
        <v>105</v>
      </c>
      <c r="M6464" s="19">
        <v>5000</v>
      </c>
      <c r="N6464" s="19" t="s">
        <v>66</v>
      </c>
      <c r="O6464" s="19" t="s">
        <v>141</v>
      </c>
      <c r="P6464" s="369">
        <v>18133.5</v>
      </c>
      <c r="Q6464" s="19">
        <v>10800</v>
      </c>
      <c r="S6464" s="176">
        <v>840</v>
      </c>
      <c r="T6464" s="19" t="s">
        <v>42</v>
      </c>
      <c r="U6464" s="102" t="s">
        <v>1575</v>
      </c>
      <c r="V6464" s="186">
        <v>45800</v>
      </c>
      <c r="W6464" s="17" t="s">
        <v>44</v>
      </c>
      <c r="X6464" s="17"/>
      <c r="Y6464" s="68">
        <v>45809</v>
      </c>
      <c r="Z6464" s="17" t="s">
        <v>191</v>
      </c>
      <c r="AA6464" s="17" t="s">
        <v>46</v>
      </c>
      <c r="AB6464" s="17" t="s">
        <v>1539</v>
      </c>
      <c r="AC6464" s="217">
        <v>45838</v>
      </c>
      <c r="AD6464" s="65">
        <v>1693</v>
      </c>
      <c r="AE6464" s="17" t="s">
        <v>48</v>
      </c>
      <c r="AF6464" s="17" t="s">
        <v>1538</v>
      </c>
      <c r="AG6464" s="17"/>
      <c r="AH6464" s="17"/>
      <c r="AI6464" s="17"/>
      <c r="AJ6464" s="17"/>
      <c r="AK6464" s="17"/>
      <c r="AL6464" s="17"/>
      <c r="AM6464" s="17"/>
      <c r="AN6464" s="17"/>
      <c r="AO6464" s="17"/>
      <c r="AP6464" s="17"/>
      <c r="AQ6464" s="17"/>
      <c r="AR6464" s="17"/>
    </row>
    <row r="6465" s="25" customFormat="1" hidden="1" spans="1:44">
      <c r="A6465" s="17" t="s">
        <v>34</v>
      </c>
      <c r="B6465" s="19">
        <v>1060</v>
      </c>
      <c r="C6465" s="183">
        <v>45793</v>
      </c>
      <c r="D6465" s="17" t="s">
        <v>52</v>
      </c>
      <c r="E6465" s="17" t="s">
        <v>1574</v>
      </c>
      <c r="F6465" s="17" t="s">
        <v>54</v>
      </c>
      <c r="G6465" s="17"/>
      <c r="H6465" s="19">
        <v>1.2311</v>
      </c>
      <c r="I6465" s="19"/>
      <c r="J6465" s="17" t="s">
        <v>49</v>
      </c>
      <c r="K6465" s="19">
        <v>2200</v>
      </c>
      <c r="L6465" s="368">
        <v>105</v>
      </c>
      <c r="M6465" s="19">
        <v>5000</v>
      </c>
      <c r="N6465" s="19" t="s">
        <v>66</v>
      </c>
      <c r="O6465" s="19" t="s">
        <v>141</v>
      </c>
      <c r="P6465" s="369"/>
      <c r="Q6465" s="19">
        <v>10510</v>
      </c>
      <c r="R6465" s="99">
        <f>+P6464-Q6464-Q6465</f>
        <v>-3176.5</v>
      </c>
      <c r="S6465" s="176">
        <v>840</v>
      </c>
      <c r="T6465" s="19" t="s">
        <v>42</v>
      </c>
      <c r="U6465" s="102" t="s">
        <v>1575</v>
      </c>
      <c r="V6465" s="186">
        <v>45800</v>
      </c>
      <c r="W6465" s="17" t="s">
        <v>44</v>
      </c>
      <c r="X6465" s="17"/>
      <c r="Y6465" s="68">
        <v>45809</v>
      </c>
      <c r="Z6465" s="17" t="s">
        <v>207</v>
      </c>
      <c r="AA6465" s="17" t="s">
        <v>46</v>
      </c>
      <c r="AB6465" s="17" t="s">
        <v>1579</v>
      </c>
      <c r="AC6465" s="217">
        <v>45831</v>
      </c>
      <c r="AD6465" s="65">
        <v>1694</v>
      </c>
      <c r="AE6465" s="17" t="s">
        <v>1580</v>
      </c>
      <c r="AF6465" s="17" t="s">
        <v>560</v>
      </c>
      <c r="AG6465" s="17" t="s">
        <v>1456</v>
      </c>
      <c r="AH6465" s="17"/>
      <c r="AI6465" s="17"/>
      <c r="AJ6465" s="17"/>
      <c r="AK6465" s="17"/>
      <c r="AL6465" s="17"/>
      <c r="AM6465" s="17"/>
      <c r="AN6465" s="17"/>
      <c r="AO6465" s="17"/>
      <c r="AP6465" s="17"/>
      <c r="AQ6465" s="17"/>
      <c r="AR6465" s="17"/>
    </row>
    <row r="6466" s="25" customFormat="1" hidden="1" spans="1:44">
      <c r="A6466" s="17" t="s">
        <v>34</v>
      </c>
      <c r="B6466" s="19">
        <v>1060</v>
      </c>
      <c r="C6466" s="183">
        <v>45793</v>
      </c>
      <c r="D6466" s="17" t="s">
        <v>52</v>
      </c>
      <c r="E6466" s="17" t="s">
        <v>1574</v>
      </c>
      <c r="F6466" s="17" t="s">
        <v>54</v>
      </c>
      <c r="G6466" s="17"/>
      <c r="H6466" s="19">
        <v>1.2311</v>
      </c>
      <c r="I6466" s="19"/>
      <c r="J6466" s="17" t="s">
        <v>49</v>
      </c>
      <c r="K6466" s="19">
        <v>2200</v>
      </c>
      <c r="L6466" s="368">
        <v>130</v>
      </c>
      <c r="M6466" s="19">
        <v>5000</v>
      </c>
      <c r="N6466" s="19" t="s">
        <v>66</v>
      </c>
      <c r="O6466" s="19" t="s">
        <v>141</v>
      </c>
      <c r="P6466" s="369">
        <v>11225.5</v>
      </c>
      <c r="Q6466" s="19">
        <v>7130</v>
      </c>
      <c r="R6466" s="99">
        <f t="shared" ref="R6466:R6529" si="284">+P6466-Q6466</f>
        <v>4095.5</v>
      </c>
      <c r="S6466" s="176">
        <f>870-50</f>
        <v>820</v>
      </c>
      <c r="T6466" s="19" t="s">
        <v>42</v>
      </c>
      <c r="U6466" s="102" t="s">
        <v>1575</v>
      </c>
      <c r="V6466" s="186">
        <v>45800</v>
      </c>
      <c r="W6466" s="17" t="s">
        <v>44</v>
      </c>
      <c r="X6466" s="17"/>
      <c r="Y6466" s="68">
        <v>45809</v>
      </c>
      <c r="Z6466" s="17" t="s">
        <v>207</v>
      </c>
      <c r="AA6466" s="17" t="s">
        <v>46</v>
      </c>
      <c r="AB6466" s="17" t="s">
        <v>1576</v>
      </c>
      <c r="AC6466" s="217">
        <v>45863</v>
      </c>
      <c r="AD6466" s="65">
        <v>1710</v>
      </c>
      <c r="AE6466" s="17" t="s">
        <v>48</v>
      </c>
      <c r="AF6466" s="17" t="s">
        <v>1577</v>
      </c>
      <c r="AG6466" s="17" t="s">
        <v>1464</v>
      </c>
      <c r="AI6466" s="17"/>
      <c r="AJ6466" s="17"/>
      <c r="AK6466" s="17"/>
      <c r="AL6466" s="17"/>
      <c r="AM6466" s="17"/>
      <c r="AN6466" s="17"/>
      <c r="AO6466" s="17"/>
      <c r="AP6466" s="17"/>
      <c r="AQ6466" s="17"/>
      <c r="AR6466" s="17"/>
    </row>
    <row r="6467" s="25" customFormat="1" hidden="1" spans="1:44">
      <c r="A6467" s="17" t="s">
        <v>34</v>
      </c>
      <c r="B6467" s="19">
        <v>1060</v>
      </c>
      <c r="C6467" s="183">
        <v>45793</v>
      </c>
      <c r="D6467" s="17" t="s">
        <v>52</v>
      </c>
      <c r="E6467" s="17" t="s">
        <v>1574</v>
      </c>
      <c r="F6467" s="17" t="s">
        <v>54</v>
      </c>
      <c r="G6467" s="17"/>
      <c r="H6467" s="19">
        <v>1.2311</v>
      </c>
      <c r="I6467" s="19"/>
      <c r="J6467" s="17" t="s">
        <v>49</v>
      </c>
      <c r="K6467" s="19">
        <v>2200</v>
      </c>
      <c r="L6467" s="368">
        <v>140</v>
      </c>
      <c r="M6467" s="19">
        <v>5000</v>
      </c>
      <c r="N6467" s="19" t="s">
        <v>66</v>
      </c>
      <c r="O6467" s="19" t="s">
        <v>141</v>
      </c>
      <c r="P6467" s="369">
        <v>12089</v>
      </c>
      <c r="Q6467" s="19">
        <v>8000</v>
      </c>
      <c r="R6467" s="99">
        <f t="shared" si="284"/>
        <v>4089</v>
      </c>
      <c r="S6467" s="176">
        <f>870-50</f>
        <v>820</v>
      </c>
      <c r="T6467" s="19" t="s">
        <v>42</v>
      </c>
      <c r="U6467" s="102" t="s">
        <v>1575</v>
      </c>
      <c r="V6467" s="186">
        <v>45800</v>
      </c>
      <c r="W6467" s="17" t="s">
        <v>44</v>
      </c>
      <c r="X6467" s="17"/>
      <c r="Y6467" s="68">
        <v>45809</v>
      </c>
      <c r="Z6467" s="17" t="s">
        <v>207</v>
      </c>
      <c r="AA6467" s="17" t="s">
        <v>46</v>
      </c>
      <c r="AB6467" s="17" t="s">
        <v>1576</v>
      </c>
      <c r="AC6467" s="217">
        <v>45863</v>
      </c>
      <c r="AD6467" s="65">
        <v>1710</v>
      </c>
      <c r="AE6467" s="17" t="s">
        <v>48</v>
      </c>
      <c r="AF6467" s="17" t="s">
        <v>1577</v>
      </c>
      <c r="AG6467" s="17" t="s">
        <v>1464</v>
      </c>
      <c r="AI6467" s="17"/>
      <c r="AJ6467" s="17"/>
      <c r="AK6467" s="17"/>
      <c r="AL6467" s="17"/>
      <c r="AM6467" s="17"/>
      <c r="AN6467" s="17"/>
      <c r="AO6467" s="17"/>
      <c r="AP6467" s="17"/>
      <c r="AQ6467" s="17"/>
      <c r="AR6467" s="17"/>
    </row>
    <row r="6468" s="25" customFormat="1" hidden="1" spans="1:44">
      <c r="A6468" s="17" t="s">
        <v>34</v>
      </c>
      <c r="B6468" s="19">
        <v>1060</v>
      </c>
      <c r="C6468" s="183">
        <v>45793</v>
      </c>
      <c r="D6468" s="17" t="s">
        <v>52</v>
      </c>
      <c r="E6468" s="17" t="s">
        <v>1574</v>
      </c>
      <c r="F6468" s="17" t="s">
        <v>54</v>
      </c>
      <c r="G6468" s="17"/>
      <c r="H6468" s="19">
        <v>1.2311</v>
      </c>
      <c r="I6468" s="19"/>
      <c r="J6468" s="17" t="s">
        <v>49</v>
      </c>
      <c r="K6468" s="19">
        <v>2200</v>
      </c>
      <c r="L6468" s="368">
        <v>155</v>
      </c>
      <c r="M6468" s="19">
        <v>5000</v>
      </c>
      <c r="N6468" s="19" t="s">
        <v>66</v>
      </c>
      <c r="O6468" s="19" t="s">
        <v>141</v>
      </c>
      <c r="P6468" s="369">
        <v>13384.25</v>
      </c>
      <c r="Q6468" s="19">
        <v>12760</v>
      </c>
      <c r="R6468" s="99">
        <f t="shared" si="284"/>
        <v>624.249999999998</v>
      </c>
      <c r="S6468" s="176">
        <v>975</v>
      </c>
      <c r="T6468" s="19" t="s">
        <v>42</v>
      </c>
      <c r="U6468" s="102" t="s">
        <v>1575</v>
      </c>
      <c r="V6468" s="186">
        <v>45800</v>
      </c>
      <c r="W6468" s="17" t="s">
        <v>44</v>
      </c>
      <c r="X6468" s="17"/>
      <c r="Y6468" s="68">
        <v>45809</v>
      </c>
      <c r="Z6468" s="17" t="s">
        <v>207</v>
      </c>
      <c r="AA6468" s="17" t="s">
        <v>46</v>
      </c>
      <c r="AB6468" s="17" t="s">
        <v>1578</v>
      </c>
      <c r="AC6468" s="217">
        <v>45849</v>
      </c>
      <c r="AD6468" s="65">
        <v>1707</v>
      </c>
      <c r="AE6468" s="17" t="s">
        <v>48</v>
      </c>
      <c r="AF6468" s="17" t="s">
        <v>560</v>
      </c>
      <c r="AG6468" s="17" t="s">
        <v>1456</v>
      </c>
      <c r="AH6468" s="17"/>
      <c r="AI6468" s="17"/>
      <c r="AJ6468" s="17"/>
      <c r="AK6468" s="17"/>
      <c r="AL6468" s="17"/>
      <c r="AM6468" s="17"/>
      <c r="AN6468" s="17"/>
      <c r="AO6468" s="17"/>
      <c r="AP6468" s="17"/>
      <c r="AQ6468" s="17"/>
      <c r="AR6468" s="17"/>
    </row>
    <row r="6469" s="25" customFormat="1" hidden="1" spans="1:44">
      <c r="A6469" s="17" t="s">
        <v>34</v>
      </c>
      <c r="B6469" s="19">
        <v>1060</v>
      </c>
      <c r="C6469" s="183">
        <v>45793</v>
      </c>
      <c r="D6469" s="17" t="s">
        <v>52</v>
      </c>
      <c r="E6469" s="17" t="s">
        <v>1574</v>
      </c>
      <c r="F6469" s="17" t="s">
        <v>54</v>
      </c>
      <c r="G6469" s="17"/>
      <c r="H6469" s="19">
        <v>1.2311</v>
      </c>
      <c r="I6469" s="19"/>
      <c r="J6469" s="17" t="s">
        <v>49</v>
      </c>
      <c r="K6469" s="19">
        <v>2200</v>
      </c>
      <c r="L6469" s="368">
        <v>180</v>
      </c>
      <c r="M6469" s="19">
        <v>5000</v>
      </c>
      <c r="N6469" s="19" t="s">
        <v>66</v>
      </c>
      <c r="O6469" s="19" t="s">
        <v>141</v>
      </c>
      <c r="P6469" s="369">
        <v>15543</v>
      </c>
      <c r="Q6469" s="19">
        <v>16280</v>
      </c>
      <c r="R6469" s="99">
        <f t="shared" si="284"/>
        <v>-737.000000000002</v>
      </c>
      <c r="S6469" s="176">
        <v>975</v>
      </c>
      <c r="T6469" s="19" t="s">
        <v>42</v>
      </c>
      <c r="U6469" s="102" t="s">
        <v>1575</v>
      </c>
      <c r="V6469" s="186">
        <v>45800</v>
      </c>
      <c r="W6469" s="17" t="s">
        <v>44</v>
      </c>
      <c r="X6469" s="17"/>
      <c r="Y6469" s="68">
        <v>45809</v>
      </c>
      <c r="Z6469" s="17" t="s">
        <v>207</v>
      </c>
      <c r="AA6469" s="17" t="s">
        <v>46</v>
      </c>
      <c r="AB6469" s="17" t="s">
        <v>1579</v>
      </c>
      <c r="AC6469" s="217">
        <v>45831</v>
      </c>
      <c r="AD6469" s="65">
        <v>1694</v>
      </c>
      <c r="AE6469" s="17" t="s">
        <v>48</v>
      </c>
      <c r="AF6469" s="17" t="s">
        <v>560</v>
      </c>
      <c r="AG6469" s="17" t="s">
        <v>1456</v>
      </c>
      <c r="AH6469" s="17"/>
      <c r="AI6469" s="17"/>
      <c r="AJ6469" s="17"/>
      <c r="AK6469" s="17"/>
      <c r="AL6469" s="17"/>
      <c r="AM6469" s="17"/>
      <c r="AN6469" s="17"/>
      <c r="AO6469" s="17"/>
      <c r="AP6469" s="17"/>
      <c r="AQ6469" s="17"/>
      <c r="AR6469" s="17"/>
    </row>
    <row r="6470" s="25" customFormat="1" hidden="1" spans="1:44">
      <c r="A6470" s="17" t="s">
        <v>34</v>
      </c>
      <c r="B6470" s="19">
        <v>1060</v>
      </c>
      <c r="C6470" s="183">
        <v>45793</v>
      </c>
      <c r="D6470" s="17" t="s">
        <v>52</v>
      </c>
      <c r="E6470" s="17" t="s">
        <v>1574</v>
      </c>
      <c r="F6470" s="17" t="s">
        <v>54</v>
      </c>
      <c r="G6470" s="17"/>
      <c r="H6470" s="19">
        <v>1.2311</v>
      </c>
      <c r="I6470" s="19"/>
      <c r="J6470" s="17" t="s">
        <v>49</v>
      </c>
      <c r="K6470" s="19">
        <v>2200</v>
      </c>
      <c r="L6470" s="368">
        <v>210</v>
      </c>
      <c r="M6470" s="19">
        <v>5000</v>
      </c>
      <c r="N6470" s="19" t="s">
        <v>66</v>
      </c>
      <c r="O6470" s="19" t="s">
        <v>141</v>
      </c>
      <c r="P6470" s="369">
        <v>18133.5</v>
      </c>
      <c r="Q6470" s="19">
        <v>17580</v>
      </c>
      <c r="R6470" s="99">
        <f t="shared" si="284"/>
        <v>553.5</v>
      </c>
      <c r="S6470" s="176">
        <v>1050</v>
      </c>
      <c r="T6470" s="19" t="s">
        <v>42</v>
      </c>
      <c r="U6470" s="102" t="s">
        <v>1575</v>
      </c>
      <c r="V6470" s="186">
        <v>45800</v>
      </c>
      <c r="W6470" s="17" t="s">
        <v>44</v>
      </c>
      <c r="X6470" s="17"/>
      <c r="Y6470" s="68">
        <v>45809</v>
      </c>
      <c r="Z6470" s="17" t="s">
        <v>207</v>
      </c>
      <c r="AA6470" s="17" t="s">
        <v>46</v>
      </c>
      <c r="AB6470" s="17" t="s">
        <v>1579</v>
      </c>
      <c r="AC6470" s="217">
        <v>45831</v>
      </c>
      <c r="AD6470" s="65">
        <v>1694</v>
      </c>
      <c r="AE6470" s="17" t="s">
        <v>48</v>
      </c>
      <c r="AF6470" s="17" t="s">
        <v>560</v>
      </c>
      <c r="AG6470" s="17" t="s">
        <v>1456</v>
      </c>
      <c r="AH6470" s="17"/>
      <c r="AI6470" s="17"/>
      <c r="AJ6470" s="17"/>
      <c r="AK6470" s="17"/>
      <c r="AL6470" s="17"/>
      <c r="AM6470" s="17"/>
      <c r="AN6470" s="17"/>
      <c r="AO6470" s="17"/>
      <c r="AP6470" s="17"/>
      <c r="AQ6470" s="17"/>
      <c r="AR6470" s="17"/>
    </row>
    <row r="6471" s="25" customFormat="1" hidden="1" spans="1:44">
      <c r="A6471" s="17" t="s">
        <v>34</v>
      </c>
      <c r="B6471" s="19">
        <v>1061</v>
      </c>
      <c r="C6471" s="183">
        <v>45794</v>
      </c>
      <c r="D6471" s="17" t="s">
        <v>1550</v>
      </c>
      <c r="E6471" s="17" t="s">
        <v>1581</v>
      </c>
      <c r="F6471" s="17" t="s">
        <v>54</v>
      </c>
      <c r="G6471" s="17"/>
      <c r="H6471" s="19">
        <v>1.2311</v>
      </c>
      <c r="I6471" s="19"/>
      <c r="J6471" s="17" t="s">
        <v>49</v>
      </c>
      <c r="K6471" s="19">
        <v>2200</v>
      </c>
      <c r="L6471" s="370">
        <v>32</v>
      </c>
      <c r="M6471" s="19">
        <v>5000</v>
      </c>
      <c r="N6471" s="19" t="s">
        <v>66</v>
      </c>
      <c r="O6471" s="19" t="s">
        <v>141</v>
      </c>
      <c r="P6471" s="371">
        <v>2763</v>
      </c>
      <c r="Q6471" s="98">
        <v>2830</v>
      </c>
      <c r="R6471" s="99">
        <f t="shared" si="284"/>
        <v>-67</v>
      </c>
      <c r="S6471" s="372">
        <v>104</v>
      </c>
      <c r="T6471" s="19" t="s">
        <v>421</v>
      </c>
      <c r="U6471" s="102"/>
      <c r="V6471" s="186"/>
      <c r="W6471" s="17"/>
      <c r="X6471" s="17"/>
      <c r="Y6471" s="68">
        <v>45809</v>
      </c>
      <c r="Z6471" s="17"/>
      <c r="AA6471" s="17"/>
      <c r="AB6471" s="17" t="s">
        <v>1582</v>
      </c>
      <c r="AC6471" s="217">
        <v>45818</v>
      </c>
      <c r="AD6471" s="65">
        <v>1692</v>
      </c>
      <c r="AE6471" s="17" t="s">
        <v>48</v>
      </c>
      <c r="AF6471" s="17" t="s">
        <v>1583</v>
      </c>
      <c r="AG6471" s="17"/>
      <c r="AH6471" s="17"/>
      <c r="AI6471" s="17"/>
      <c r="AJ6471" s="17"/>
      <c r="AK6471" s="17"/>
      <c r="AL6471" s="17"/>
      <c r="AM6471" s="17"/>
      <c r="AN6471" s="17"/>
      <c r="AO6471" s="17"/>
      <c r="AP6471" s="17"/>
      <c r="AQ6471" s="17"/>
      <c r="AR6471" s="17"/>
    </row>
    <row r="6472" s="25" customFormat="1" hidden="1" spans="1:44">
      <c r="A6472" s="17" t="s">
        <v>34</v>
      </c>
      <c r="B6472" s="19">
        <v>1061</v>
      </c>
      <c r="C6472" s="183">
        <v>45794</v>
      </c>
      <c r="D6472" s="17" t="s">
        <v>1550</v>
      </c>
      <c r="E6472" s="17" t="s">
        <v>1581</v>
      </c>
      <c r="F6472" s="17" t="s">
        <v>54</v>
      </c>
      <c r="G6472" s="17"/>
      <c r="H6472" s="19">
        <v>1.2311</v>
      </c>
      <c r="I6472" s="19"/>
      <c r="J6472" s="17" t="s">
        <v>49</v>
      </c>
      <c r="K6472" s="19">
        <v>2200</v>
      </c>
      <c r="L6472" s="370">
        <v>36</v>
      </c>
      <c r="M6472" s="19">
        <v>5000</v>
      </c>
      <c r="N6472" s="19" t="s">
        <v>66</v>
      </c>
      <c r="O6472" s="19" t="s">
        <v>141</v>
      </c>
      <c r="P6472" s="371">
        <v>3109</v>
      </c>
      <c r="Q6472" s="98">
        <v>3320</v>
      </c>
      <c r="R6472" s="99">
        <f t="shared" si="284"/>
        <v>-211</v>
      </c>
      <c r="S6472" s="372">
        <v>104</v>
      </c>
      <c r="T6472" s="19" t="s">
        <v>421</v>
      </c>
      <c r="U6472" s="102"/>
      <c r="V6472" s="186"/>
      <c r="W6472" s="17"/>
      <c r="X6472" s="17"/>
      <c r="Y6472" s="68">
        <v>45809</v>
      </c>
      <c r="Z6472" s="17"/>
      <c r="AA6472" s="17"/>
      <c r="AB6472" s="17" t="s">
        <v>1582</v>
      </c>
      <c r="AC6472" s="217">
        <v>45818</v>
      </c>
      <c r="AD6472" s="65">
        <v>1692</v>
      </c>
      <c r="AE6472" s="17" t="s">
        <v>48</v>
      </c>
      <c r="AF6472" s="17" t="s">
        <v>1583</v>
      </c>
      <c r="AG6472" s="17"/>
      <c r="AH6472" s="17"/>
      <c r="AI6472" s="17"/>
      <c r="AJ6472" s="17"/>
      <c r="AK6472" s="17"/>
      <c r="AL6472" s="17"/>
      <c r="AM6472" s="17"/>
      <c r="AN6472" s="17"/>
      <c r="AO6472" s="17"/>
      <c r="AP6472" s="17"/>
      <c r="AQ6472" s="17"/>
      <c r="AR6472" s="17"/>
    </row>
    <row r="6473" s="25" customFormat="1" hidden="1" spans="1:44">
      <c r="A6473" s="17" t="s">
        <v>34</v>
      </c>
      <c r="B6473" s="19">
        <v>1061</v>
      </c>
      <c r="C6473" s="183">
        <v>45794</v>
      </c>
      <c r="D6473" s="17" t="s">
        <v>1550</v>
      </c>
      <c r="E6473" s="17" t="s">
        <v>1581</v>
      </c>
      <c r="F6473" s="17" t="s">
        <v>54</v>
      </c>
      <c r="G6473" s="17"/>
      <c r="H6473" s="19">
        <v>1.2311</v>
      </c>
      <c r="I6473" s="19"/>
      <c r="J6473" s="17" t="s">
        <v>49</v>
      </c>
      <c r="K6473" s="19">
        <v>2200</v>
      </c>
      <c r="L6473" s="370">
        <v>40</v>
      </c>
      <c r="M6473" s="19">
        <v>5000</v>
      </c>
      <c r="N6473" s="19" t="s">
        <v>66</v>
      </c>
      <c r="O6473" s="19" t="s">
        <v>141</v>
      </c>
      <c r="P6473" s="371">
        <v>3454</v>
      </c>
      <c r="Q6473" s="373">
        <v>3750</v>
      </c>
      <c r="R6473" s="99">
        <f t="shared" si="284"/>
        <v>-296</v>
      </c>
      <c r="S6473" s="372">
        <v>104</v>
      </c>
      <c r="T6473" s="19" t="s">
        <v>421</v>
      </c>
      <c r="U6473" s="102"/>
      <c r="V6473" s="186"/>
      <c r="W6473" s="17"/>
      <c r="X6473" s="17"/>
      <c r="Y6473" s="68">
        <v>45809</v>
      </c>
      <c r="Z6473" s="17"/>
      <c r="AA6473" s="17"/>
      <c r="AB6473" s="17" t="s">
        <v>1584</v>
      </c>
      <c r="AC6473" s="217">
        <v>45824</v>
      </c>
      <c r="AD6473" s="65">
        <v>1692</v>
      </c>
      <c r="AE6473" s="17" t="s">
        <v>48</v>
      </c>
      <c r="AF6473" s="17" t="s">
        <v>1583</v>
      </c>
      <c r="AG6473" s="17"/>
      <c r="AH6473" s="17"/>
      <c r="AI6473" s="17"/>
      <c r="AJ6473" s="17"/>
      <c r="AK6473" s="17"/>
      <c r="AL6473" s="17"/>
      <c r="AM6473" s="17"/>
      <c r="AN6473" s="17"/>
      <c r="AO6473" s="17"/>
      <c r="AP6473" s="17"/>
      <c r="AQ6473" s="17"/>
      <c r="AR6473" s="17"/>
    </row>
    <row r="6474" s="25" customFormat="1" hidden="1" spans="1:44">
      <c r="A6474" s="17" t="s">
        <v>34</v>
      </c>
      <c r="B6474" s="19">
        <v>1061</v>
      </c>
      <c r="C6474" s="183">
        <v>45794</v>
      </c>
      <c r="D6474" s="17" t="s">
        <v>1550</v>
      </c>
      <c r="E6474" s="17" t="s">
        <v>1581</v>
      </c>
      <c r="F6474" s="17" t="s">
        <v>54</v>
      </c>
      <c r="G6474" s="17"/>
      <c r="H6474" s="19">
        <v>1.2311</v>
      </c>
      <c r="I6474" s="19"/>
      <c r="J6474" s="17" t="s">
        <v>49</v>
      </c>
      <c r="K6474" s="19">
        <v>2200</v>
      </c>
      <c r="L6474" s="370">
        <v>45</v>
      </c>
      <c r="M6474" s="19">
        <v>5000</v>
      </c>
      <c r="N6474" s="19" t="s">
        <v>66</v>
      </c>
      <c r="O6474" s="19" t="s">
        <v>141</v>
      </c>
      <c r="P6474" s="371">
        <v>3886</v>
      </c>
      <c r="Q6474" s="373">
        <v>4215</v>
      </c>
      <c r="R6474" s="99">
        <f t="shared" si="284"/>
        <v>-329</v>
      </c>
      <c r="S6474" s="372">
        <v>104</v>
      </c>
      <c r="T6474" s="19" t="s">
        <v>421</v>
      </c>
      <c r="U6474" s="102"/>
      <c r="V6474" s="186"/>
      <c r="W6474" s="17"/>
      <c r="X6474" s="17"/>
      <c r="Y6474" s="68">
        <v>45809</v>
      </c>
      <c r="Z6474" s="17"/>
      <c r="AA6474" s="17"/>
      <c r="AB6474" s="17" t="s">
        <v>1584</v>
      </c>
      <c r="AC6474" s="217">
        <v>45824</v>
      </c>
      <c r="AD6474" s="65">
        <v>1692</v>
      </c>
      <c r="AE6474" s="17" t="s">
        <v>48</v>
      </c>
      <c r="AF6474" s="17" t="s">
        <v>1583</v>
      </c>
      <c r="AG6474" s="17"/>
      <c r="AH6474" s="17"/>
      <c r="AI6474" s="17"/>
      <c r="AJ6474" s="17"/>
      <c r="AK6474" s="17"/>
      <c r="AL6474" s="17"/>
      <c r="AM6474" s="17"/>
      <c r="AN6474" s="17"/>
      <c r="AO6474" s="17"/>
      <c r="AP6474" s="17"/>
      <c r="AQ6474" s="17"/>
      <c r="AR6474" s="17"/>
    </row>
    <row r="6475" s="25" customFormat="1" hidden="1" spans="1:44">
      <c r="A6475" s="17" t="s">
        <v>34</v>
      </c>
      <c r="B6475" s="19">
        <v>1061</v>
      </c>
      <c r="C6475" s="183">
        <v>45794</v>
      </c>
      <c r="D6475" s="17" t="s">
        <v>1550</v>
      </c>
      <c r="E6475" s="17" t="s">
        <v>1581</v>
      </c>
      <c r="F6475" s="17" t="s">
        <v>54</v>
      </c>
      <c r="G6475" s="17"/>
      <c r="H6475" s="19">
        <v>1.2311</v>
      </c>
      <c r="I6475" s="19"/>
      <c r="J6475" s="17" t="s">
        <v>49</v>
      </c>
      <c r="K6475" s="19">
        <v>2200</v>
      </c>
      <c r="L6475" s="370">
        <v>50</v>
      </c>
      <c r="M6475" s="19">
        <v>5000</v>
      </c>
      <c r="N6475" s="19" t="s">
        <v>66</v>
      </c>
      <c r="O6475" s="19" t="s">
        <v>141</v>
      </c>
      <c r="P6475" s="371">
        <v>8635</v>
      </c>
      <c r="Q6475" s="373">
        <f>4610+4660</f>
        <v>9270</v>
      </c>
      <c r="R6475" s="99">
        <f t="shared" si="284"/>
        <v>-635</v>
      </c>
      <c r="S6475" s="372">
        <v>104</v>
      </c>
      <c r="T6475" s="19" t="s">
        <v>421</v>
      </c>
      <c r="U6475" s="102"/>
      <c r="V6475" s="186"/>
      <c r="W6475" s="17"/>
      <c r="X6475" s="17"/>
      <c r="Y6475" s="68">
        <v>45809</v>
      </c>
      <c r="Z6475" s="17"/>
      <c r="AA6475" s="17"/>
      <c r="AB6475" s="17" t="s">
        <v>1584</v>
      </c>
      <c r="AC6475" s="217">
        <v>45824</v>
      </c>
      <c r="AD6475" s="65">
        <v>1692</v>
      </c>
      <c r="AE6475" s="17" t="s">
        <v>48</v>
      </c>
      <c r="AF6475" s="17" t="s">
        <v>1583</v>
      </c>
      <c r="AG6475" s="17"/>
      <c r="AH6475" s="17"/>
      <c r="AI6475" s="17"/>
      <c r="AJ6475" s="17"/>
      <c r="AK6475" s="17"/>
      <c r="AL6475" s="17"/>
      <c r="AM6475" s="17"/>
      <c r="AN6475" s="17"/>
      <c r="AO6475" s="17"/>
      <c r="AP6475" s="17"/>
      <c r="AQ6475" s="17"/>
      <c r="AR6475" s="17"/>
    </row>
    <row r="6476" s="25" customFormat="1" hidden="1" spans="1:44">
      <c r="A6476" s="17" t="s">
        <v>34</v>
      </c>
      <c r="B6476" s="19">
        <v>1061</v>
      </c>
      <c r="C6476" s="183">
        <v>45794</v>
      </c>
      <c r="D6476" s="17" t="s">
        <v>1550</v>
      </c>
      <c r="E6476" s="17" t="s">
        <v>1581</v>
      </c>
      <c r="F6476" s="17" t="s">
        <v>54</v>
      </c>
      <c r="G6476" s="17"/>
      <c r="H6476" s="19">
        <v>1.2311</v>
      </c>
      <c r="I6476" s="19"/>
      <c r="J6476" s="17" t="s">
        <v>49</v>
      </c>
      <c r="K6476" s="19">
        <v>2200</v>
      </c>
      <c r="L6476" s="370">
        <v>56</v>
      </c>
      <c r="M6476" s="19">
        <v>5000</v>
      </c>
      <c r="N6476" s="19" t="s">
        <v>66</v>
      </c>
      <c r="O6476" s="19" t="s">
        <v>141</v>
      </c>
      <c r="P6476" s="371">
        <v>4836</v>
      </c>
      <c r="Q6476" s="373">
        <v>5080</v>
      </c>
      <c r="R6476" s="99">
        <f t="shared" si="284"/>
        <v>-244</v>
      </c>
      <c r="S6476" s="372">
        <v>104</v>
      </c>
      <c r="T6476" s="19" t="s">
        <v>421</v>
      </c>
      <c r="U6476" s="102"/>
      <c r="V6476" s="186"/>
      <c r="W6476" s="17"/>
      <c r="X6476" s="17"/>
      <c r="Y6476" s="68">
        <v>45809</v>
      </c>
      <c r="Z6476" s="17"/>
      <c r="AA6476" s="17"/>
      <c r="AB6476" s="17" t="s">
        <v>1584</v>
      </c>
      <c r="AC6476" s="217">
        <v>45824</v>
      </c>
      <c r="AD6476" s="65">
        <v>1692</v>
      </c>
      <c r="AE6476" s="17" t="s">
        <v>48</v>
      </c>
      <c r="AF6476" s="17" t="s">
        <v>1583</v>
      </c>
      <c r="AG6476" s="17"/>
      <c r="AH6476" s="17"/>
      <c r="AI6476" s="17"/>
      <c r="AJ6476" s="17"/>
      <c r="AK6476" s="17"/>
      <c r="AL6476" s="17"/>
      <c r="AM6476" s="17"/>
      <c r="AN6476" s="17"/>
      <c r="AO6476" s="17"/>
      <c r="AP6476" s="17"/>
      <c r="AQ6476" s="17"/>
      <c r="AR6476" s="17"/>
    </row>
    <row r="6477" s="25" customFormat="1" hidden="1" spans="1:44">
      <c r="A6477" s="17" t="s">
        <v>34</v>
      </c>
      <c r="B6477" s="19">
        <v>1061</v>
      </c>
      <c r="C6477" s="183">
        <v>45794</v>
      </c>
      <c r="D6477" s="17" t="s">
        <v>1550</v>
      </c>
      <c r="E6477" s="17" t="s">
        <v>1581</v>
      </c>
      <c r="F6477" s="17" t="s">
        <v>54</v>
      </c>
      <c r="G6477" s="17"/>
      <c r="H6477" s="19">
        <v>1.2311</v>
      </c>
      <c r="I6477" s="19"/>
      <c r="J6477" s="17" t="s">
        <v>49</v>
      </c>
      <c r="K6477" s="19">
        <v>2200</v>
      </c>
      <c r="L6477" s="370">
        <v>61</v>
      </c>
      <c r="M6477" s="19">
        <v>5000</v>
      </c>
      <c r="N6477" s="19" t="s">
        <v>66</v>
      </c>
      <c r="O6477" s="19" t="s">
        <v>141</v>
      </c>
      <c r="P6477" s="371">
        <v>5267</v>
      </c>
      <c r="Q6477" s="373">
        <v>5530</v>
      </c>
      <c r="R6477" s="99">
        <f t="shared" si="284"/>
        <v>-263</v>
      </c>
      <c r="S6477" s="372">
        <v>104</v>
      </c>
      <c r="T6477" s="19" t="s">
        <v>421</v>
      </c>
      <c r="U6477" s="102"/>
      <c r="V6477" s="186"/>
      <c r="W6477" s="17"/>
      <c r="X6477" s="17"/>
      <c r="Y6477" s="68">
        <v>45809</v>
      </c>
      <c r="Z6477" s="17"/>
      <c r="AA6477" s="17"/>
      <c r="AB6477" s="17" t="s">
        <v>1584</v>
      </c>
      <c r="AC6477" s="217">
        <v>45824</v>
      </c>
      <c r="AD6477" s="65">
        <v>1692</v>
      </c>
      <c r="AE6477" s="17" t="s">
        <v>48</v>
      </c>
      <c r="AF6477" s="17" t="s">
        <v>1583</v>
      </c>
      <c r="AG6477" s="17"/>
      <c r="AH6477" s="17"/>
      <c r="AI6477" s="17"/>
      <c r="AJ6477" s="17"/>
      <c r="AK6477" s="17"/>
      <c r="AL6477" s="17"/>
      <c r="AM6477" s="17"/>
      <c r="AN6477" s="17"/>
      <c r="AO6477" s="17"/>
      <c r="AP6477" s="17"/>
      <c r="AQ6477" s="17"/>
      <c r="AR6477" s="17"/>
    </row>
    <row r="6478" s="25" customFormat="1" hidden="1" spans="1:44">
      <c r="A6478" s="17" t="s">
        <v>34</v>
      </c>
      <c r="B6478" s="19">
        <v>1061</v>
      </c>
      <c r="C6478" s="183">
        <v>45794</v>
      </c>
      <c r="D6478" s="17" t="s">
        <v>1550</v>
      </c>
      <c r="E6478" s="17" t="s">
        <v>1581</v>
      </c>
      <c r="F6478" s="17" t="s">
        <v>54</v>
      </c>
      <c r="G6478" s="17"/>
      <c r="H6478" s="19">
        <v>1.2311</v>
      </c>
      <c r="I6478" s="19"/>
      <c r="J6478" s="17" t="s">
        <v>49</v>
      </c>
      <c r="K6478" s="19">
        <v>2200</v>
      </c>
      <c r="L6478" s="370">
        <v>65</v>
      </c>
      <c r="M6478" s="19">
        <v>5000</v>
      </c>
      <c r="N6478" s="19" t="s">
        <v>66</v>
      </c>
      <c r="O6478" s="19" t="s">
        <v>141</v>
      </c>
      <c r="P6478" s="371">
        <v>5613</v>
      </c>
      <c r="Q6478" s="98">
        <v>5960</v>
      </c>
      <c r="R6478" s="99">
        <f t="shared" si="284"/>
        <v>-347</v>
      </c>
      <c r="S6478" s="372">
        <v>104</v>
      </c>
      <c r="T6478" s="19" t="s">
        <v>421</v>
      </c>
      <c r="U6478" s="102"/>
      <c r="V6478" s="186"/>
      <c r="W6478" s="17"/>
      <c r="X6478" s="17"/>
      <c r="Y6478" s="68">
        <v>45809</v>
      </c>
      <c r="Z6478" s="17"/>
      <c r="AA6478" s="17"/>
      <c r="AB6478" s="17" t="s">
        <v>1582</v>
      </c>
      <c r="AC6478" s="217">
        <v>45818</v>
      </c>
      <c r="AD6478" s="65">
        <v>1692</v>
      </c>
      <c r="AE6478" s="17" t="s">
        <v>48</v>
      </c>
      <c r="AF6478" s="17" t="s">
        <v>1583</v>
      </c>
      <c r="AG6478" s="17"/>
      <c r="AH6478" s="17"/>
      <c r="AI6478" s="17"/>
      <c r="AJ6478" s="17"/>
      <c r="AK6478" s="17"/>
      <c r="AL6478" s="17"/>
      <c r="AM6478" s="17"/>
      <c r="AN6478" s="17"/>
      <c r="AO6478" s="17"/>
      <c r="AP6478" s="17"/>
      <c r="AQ6478" s="17"/>
      <c r="AR6478" s="17"/>
    </row>
    <row r="6479" s="25" customFormat="1" hidden="1" spans="1:44">
      <c r="A6479" s="17" t="s">
        <v>34</v>
      </c>
      <c r="B6479" s="19">
        <v>1061</v>
      </c>
      <c r="C6479" s="183">
        <v>45794</v>
      </c>
      <c r="D6479" s="17" t="s">
        <v>1550</v>
      </c>
      <c r="E6479" s="17" t="s">
        <v>1581</v>
      </c>
      <c r="F6479" s="17" t="s">
        <v>54</v>
      </c>
      <c r="G6479" s="17"/>
      <c r="H6479" s="19">
        <v>1.2311</v>
      </c>
      <c r="I6479" s="19"/>
      <c r="J6479" s="17" t="s">
        <v>49</v>
      </c>
      <c r="K6479" s="19">
        <v>2200</v>
      </c>
      <c r="L6479" s="374">
        <v>81</v>
      </c>
      <c r="M6479" s="19">
        <v>5000</v>
      </c>
      <c r="N6479" s="19" t="s">
        <v>66</v>
      </c>
      <c r="O6479" s="19" t="s">
        <v>141</v>
      </c>
      <c r="P6479" s="371">
        <v>6994</v>
      </c>
      <c r="Q6479" s="98">
        <v>7415</v>
      </c>
      <c r="R6479" s="99">
        <f t="shared" si="284"/>
        <v>-421</v>
      </c>
      <c r="S6479" s="372">
        <v>104</v>
      </c>
      <c r="T6479" s="19" t="s">
        <v>421</v>
      </c>
      <c r="U6479" s="102"/>
      <c r="V6479" s="186"/>
      <c r="W6479" s="17"/>
      <c r="X6479" s="17"/>
      <c r="Y6479" s="68">
        <v>45809</v>
      </c>
      <c r="Z6479" s="17"/>
      <c r="AA6479" s="17"/>
      <c r="AB6479" s="17" t="s">
        <v>1582</v>
      </c>
      <c r="AC6479" s="217">
        <v>45818</v>
      </c>
      <c r="AD6479" s="65">
        <v>1692</v>
      </c>
      <c r="AE6479" s="17" t="s">
        <v>48</v>
      </c>
      <c r="AF6479" s="17" t="s">
        <v>1583</v>
      </c>
      <c r="AG6479" s="17"/>
      <c r="AH6479" s="17"/>
      <c r="AI6479" s="17"/>
      <c r="AJ6479" s="17"/>
      <c r="AK6479" s="17"/>
      <c r="AL6479" s="17"/>
      <c r="AM6479" s="17"/>
      <c r="AN6479" s="17"/>
      <c r="AO6479" s="17"/>
      <c r="AP6479" s="17"/>
      <c r="AQ6479" s="17"/>
      <c r="AR6479" s="17"/>
    </row>
    <row r="6480" s="25" customFormat="1" hidden="1" spans="1:44">
      <c r="A6480" s="17" t="s">
        <v>34</v>
      </c>
      <c r="B6480" s="19">
        <v>1061</v>
      </c>
      <c r="C6480" s="183">
        <v>45794</v>
      </c>
      <c r="D6480" s="17" t="s">
        <v>1550</v>
      </c>
      <c r="E6480" s="17" t="s">
        <v>1581</v>
      </c>
      <c r="F6480" s="17" t="s">
        <v>54</v>
      </c>
      <c r="G6480" s="17"/>
      <c r="H6480" s="19">
        <v>1.2311</v>
      </c>
      <c r="I6480" s="19"/>
      <c r="J6480" s="17" t="s">
        <v>49</v>
      </c>
      <c r="K6480" s="147">
        <v>2200</v>
      </c>
      <c r="L6480" s="375">
        <v>90</v>
      </c>
      <c r="M6480" s="19">
        <v>5000</v>
      </c>
      <c r="N6480" s="19" t="s">
        <v>66</v>
      </c>
      <c r="O6480" s="19" t="s">
        <v>141</v>
      </c>
      <c r="P6480" s="371">
        <v>7772</v>
      </c>
      <c r="Q6480" s="98">
        <v>8230</v>
      </c>
      <c r="R6480" s="99">
        <f t="shared" si="284"/>
        <v>-458</v>
      </c>
      <c r="S6480" s="372">
        <v>104</v>
      </c>
      <c r="T6480" s="19" t="s">
        <v>421</v>
      </c>
      <c r="U6480" s="102"/>
      <c r="V6480" s="186"/>
      <c r="W6480" s="17"/>
      <c r="X6480" s="17"/>
      <c r="Y6480" s="68">
        <v>45809</v>
      </c>
      <c r="Z6480" s="17"/>
      <c r="AA6480" s="17"/>
      <c r="AB6480" s="17" t="s">
        <v>1582</v>
      </c>
      <c r="AC6480" s="217">
        <v>45818</v>
      </c>
      <c r="AD6480" s="65">
        <v>1692</v>
      </c>
      <c r="AE6480" s="17" t="s">
        <v>48</v>
      </c>
      <c r="AF6480" s="17" t="s">
        <v>1583</v>
      </c>
      <c r="AG6480" s="17"/>
      <c r="AH6480" s="17"/>
      <c r="AI6480" s="17"/>
      <c r="AJ6480" s="17"/>
      <c r="AK6480" s="17"/>
      <c r="AL6480" s="17"/>
      <c r="AM6480" s="17"/>
      <c r="AN6480" s="17"/>
      <c r="AO6480" s="17"/>
      <c r="AP6480" s="17"/>
      <c r="AQ6480" s="17"/>
      <c r="AR6480" s="17"/>
    </row>
    <row r="6481" s="25" customFormat="1" hidden="1" spans="1:44">
      <c r="A6481" s="17" t="s">
        <v>34</v>
      </c>
      <c r="B6481" s="19">
        <v>1062</v>
      </c>
      <c r="C6481" s="183">
        <v>45812</v>
      </c>
      <c r="D6481" s="17" t="s">
        <v>52</v>
      </c>
      <c r="E6481" s="17" t="s">
        <v>1555</v>
      </c>
      <c r="F6481" s="17" t="s">
        <v>54</v>
      </c>
      <c r="G6481" s="17"/>
      <c r="H6481" s="19" t="s">
        <v>426</v>
      </c>
      <c r="I6481" s="19"/>
      <c r="J6481" s="17" t="s">
        <v>49</v>
      </c>
      <c r="K6481" s="290">
        <v>1220</v>
      </c>
      <c r="L6481" s="290">
        <v>40</v>
      </c>
      <c r="M6481" s="19">
        <v>2000</v>
      </c>
      <c r="N6481" s="19" t="s">
        <v>40</v>
      </c>
      <c r="O6481" s="19" t="s">
        <v>141</v>
      </c>
      <c r="P6481" s="19">
        <v>4310</v>
      </c>
      <c r="Q6481" s="19">
        <f>861+865+863+861+866</f>
        <v>4316</v>
      </c>
      <c r="R6481" s="99">
        <f t="shared" si="284"/>
        <v>-6</v>
      </c>
      <c r="S6481" s="19">
        <v>655</v>
      </c>
      <c r="T6481" s="19" t="s">
        <v>42</v>
      </c>
      <c r="U6481" s="102" t="s">
        <v>1585</v>
      </c>
      <c r="V6481" s="186">
        <v>45819</v>
      </c>
      <c r="W6481" s="17" t="s">
        <v>44</v>
      </c>
      <c r="X6481" s="17"/>
      <c r="Y6481" s="68">
        <v>45809</v>
      </c>
      <c r="Z6481" s="17" t="s">
        <v>191</v>
      </c>
      <c r="AA6481" s="17" t="s">
        <v>46</v>
      </c>
      <c r="AB6481" s="17" t="s">
        <v>1586</v>
      </c>
      <c r="AC6481" s="217">
        <v>45832</v>
      </c>
      <c r="AD6481" s="65">
        <v>1695</v>
      </c>
      <c r="AE6481" s="17" t="s">
        <v>658</v>
      </c>
      <c r="AF6481" s="17" t="s">
        <v>560</v>
      </c>
      <c r="AG6481" s="17"/>
      <c r="AH6481" s="17"/>
      <c r="AI6481" s="17"/>
      <c r="AJ6481" s="17"/>
      <c r="AK6481" s="17"/>
      <c r="AL6481" s="17"/>
      <c r="AM6481" s="17"/>
      <c r="AN6481" s="17"/>
      <c r="AO6481" s="17"/>
      <c r="AP6481" s="17"/>
      <c r="AQ6481" s="17"/>
      <c r="AR6481" s="17"/>
    </row>
    <row r="6482" s="25" customFormat="1" hidden="1" spans="1:44">
      <c r="A6482" s="17" t="s">
        <v>34</v>
      </c>
      <c r="B6482" s="19">
        <v>1062</v>
      </c>
      <c r="C6482" s="183">
        <v>45812</v>
      </c>
      <c r="D6482" s="17" t="s">
        <v>52</v>
      </c>
      <c r="E6482" s="17" t="s">
        <v>1555</v>
      </c>
      <c r="F6482" s="17" t="s">
        <v>54</v>
      </c>
      <c r="G6482" s="17"/>
      <c r="H6482" s="19" t="s">
        <v>426</v>
      </c>
      <c r="I6482" s="19"/>
      <c r="J6482" s="17" t="s">
        <v>49</v>
      </c>
      <c r="K6482" s="290">
        <v>1220</v>
      </c>
      <c r="L6482" s="290">
        <v>50</v>
      </c>
      <c r="M6482" s="19">
        <v>2000</v>
      </c>
      <c r="N6482" s="19" t="s">
        <v>40</v>
      </c>
      <c r="O6482" s="19" t="s">
        <v>141</v>
      </c>
      <c r="P6482" s="19">
        <v>4310</v>
      </c>
      <c r="Q6482" s="19">
        <f>1077+1078+1078+1079</f>
        <v>4312</v>
      </c>
      <c r="R6482" s="99">
        <f t="shared" si="284"/>
        <v>-2</v>
      </c>
      <c r="S6482" s="19">
        <v>655</v>
      </c>
      <c r="T6482" s="19" t="s">
        <v>42</v>
      </c>
      <c r="U6482" s="102" t="s">
        <v>1585</v>
      </c>
      <c r="V6482" s="186">
        <v>45819</v>
      </c>
      <c r="W6482" s="17" t="s">
        <v>44</v>
      </c>
      <c r="X6482" s="17"/>
      <c r="Y6482" s="68">
        <v>45809</v>
      </c>
      <c r="Z6482" s="17" t="s">
        <v>191</v>
      </c>
      <c r="AA6482" s="17" t="s">
        <v>46</v>
      </c>
      <c r="AB6482" s="17" t="s">
        <v>1586</v>
      </c>
      <c r="AC6482" s="217">
        <v>45832</v>
      </c>
      <c r="AD6482" s="65">
        <v>1695</v>
      </c>
      <c r="AE6482" s="17" t="s">
        <v>658</v>
      </c>
      <c r="AF6482" s="17" t="s">
        <v>560</v>
      </c>
      <c r="AG6482" s="17"/>
      <c r="AH6482" s="17"/>
      <c r="AI6482" s="17"/>
      <c r="AJ6482" s="17"/>
      <c r="AK6482" s="17"/>
      <c r="AL6482" s="17"/>
      <c r="AM6482" s="17"/>
      <c r="AN6482" s="17"/>
      <c r="AO6482" s="17"/>
      <c r="AP6482" s="17"/>
      <c r="AQ6482" s="17"/>
      <c r="AR6482" s="17"/>
    </row>
    <row r="6483" s="25" customFormat="1" hidden="1" spans="1:44">
      <c r="A6483" s="17" t="s">
        <v>34</v>
      </c>
      <c r="B6483" s="19">
        <v>1062</v>
      </c>
      <c r="C6483" s="183">
        <v>45812</v>
      </c>
      <c r="D6483" s="17" t="s">
        <v>52</v>
      </c>
      <c r="E6483" s="17" t="s">
        <v>1555</v>
      </c>
      <c r="F6483" s="17" t="s">
        <v>54</v>
      </c>
      <c r="G6483" s="17"/>
      <c r="H6483" s="19" t="s">
        <v>426</v>
      </c>
      <c r="I6483" s="19"/>
      <c r="J6483" s="17" t="s">
        <v>49</v>
      </c>
      <c r="K6483" s="290">
        <v>1220</v>
      </c>
      <c r="L6483" s="290">
        <v>80</v>
      </c>
      <c r="M6483" s="19">
        <v>2000</v>
      </c>
      <c r="N6483" s="19" t="s">
        <v>40</v>
      </c>
      <c r="O6483" s="19" t="s">
        <v>141</v>
      </c>
      <c r="P6483" s="19">
        <v>5172</v>
      </c>
      <c r="Q6483" s="19">
        <f>1736+1733+1741</f>
        <v>5210</v>
      </c>
      <c r="R6483" s="99">
        <f t="shared" si="284"/>
        <v>-38</v>
      </c>
      <c r="S6483" s="19">
        <v>655</v>
      </c>
      <c r="T6483" s="19" t="s">
        <v>42</v>
      </c>
      <c r="U6483" s="102" t="s">
        <v>1585</v>
      </c>
      <c r="V6483" s="186">
        <v>45819</v>
      </c>
      <c r="W6483" s="17" t="s">
        <v>44</v>
      </c>
      <c r="X6483" s="17"/>
      <c r="Y6483" s="68">
        <v>45809</v>
      </c>
      <c r="Z6483" s="17" t="s">
        <v>191</v>
      </c>
      <c r="AA6483" s="17" t="s">
        <v>46</v>
      </c>
      <c r="AB6483" s="17" t="s">
        <v>1586</v>
      </c>
      <c r="AC6483" s="217">
        <v>45832</v>
      </c>
      <c r="AD6483" s="65">
        <v>1695</v>
      </c>
      <c r="AE6483" s="17" t="s">
        <v>658</v>
      </c>
      <c r="AF6483" s="17" t="s">
        <v>560</v>
      </c>
      <c r="AG6483" s="17"/>
      <c r="AH6483" s="17"/>
      <c r="AI6483" s="17"/>
      <c r="AJ6483" s="17"/>
      <c r="AK6483" s="17"/>
      <c r="AL6483" s="17"/>
      <c r="AM6483" s="17"/>
      <c r="AN6483" s="17"/>
      <c r="AO6483" s="17"/>
      <c r="AP6483" s="17"/>
      <c r="AQ6483" s="17"/>
      <c r="AR6483" s="17"/>
    </row>
    <row r="6484" s="25" customFormat="1" hidden="1" spans="1:44">
      <c r="A6484" s="17" t="s">
        <v>34</v>
      </c>
      <c r="B6484" s="19">
        <v>1062</v>
      </c>
      <c r="C6484" s="183">
        <v>45812</v>
      </c>
      <c r="D6484" s="17" t="s">
        <v>52</v>
      </c>
      <c r="E6484" s="17" t="s">
        <v>1555</v>
      </c>
      <c r="F6484" s="17" t="s">
        <v>54</v>
      </c>
      <c r="G6484" s="17"/>
      <c r="H6484" s="19" t="s">
        <v>426</v>
      </c>
      <c r="I6484" s="19"/>
      <c r="J6484" s="17" t="s">
        <v>49</v>
      </c>
      <c r="K6484" s="290">
        <v>1220</v>
      </c>
      <c r="L6484" s="290">
        <v>120</v>
      </c>
      <c r="M6484" s="19">
        <v>2000</v>
      </c>
      <c r="N6484" s="19" t="s">
        <v>40</v>
      </c>
      <c r="O6484" s="19" t="s">
        <v>141</v>
      </c>
      <c r="P6484" s="19">
        <v>5172</v>
      </c>
      <c r="Q6484" s="19">
        <f>2600+2600</f>
        <v>5200</v>
      </c>
      <c r="R6484" s="99">
        <f t="shared" si="284"/>
        <v>-28</v>
      </c>
      <c r="S6484" s="19">
        <v>670</v>
      </c>
      <c r="T6484" s="19" t="s">
        <v>42</v>
      </c>
      <c r="U6484" s="102" t="s">
        <v>1585</v>
      </c>
      <c r="V6484" s="186">
        <v>45819</v>
      </c>
      <c r="W6484" s="17" t="s">
        <v>44</v>
      </c>
      <c r="X6484" s="17"/>
      <c r="Y6484" s="68">
        <v>45809</v>
      </c>
      <c r="Z6484" s="17" t="s">
        <v>191</v>
      </c>
      <c r="AA6484" s="17" t="s">
        <v>46</v>
      </c>
      <c r="AB6484" s="17" t="s">
        <v>1586</v>
      </c>
      <c r="AC6484" s="217">
        <v>45832</v>
      </c>
      <c r="AD6484" s="65">
        <v>1695</v>
      </c>
      <c r="AE6484" s="17" t="s">
        <v>658</v>
      </c>
      <c r="AF6484" s="17" t="s">
        <v>560</v>
      </c>
      <c r="AG6484" s="17"/>
      <c r="AH6484" s="17"/>
      <c r="AI6484" s="17"/>
      <c r="AJ6484" s="17"/>
      <c r="AK6484" s="17"/>
      <c r="AL6484" s="17"/>
      <c r="AM6484" s="17"/>
      <c r="AN6484" s="17"/>
      <c r="AO6484" s="17"/>
      <c r="AP6484" s="17"/>
      <c r="AQ6484" s="17"/>
      <c r="AR6484" s="17"/>
    </row>
    <row r="6485" s="25" customFormat="1" hidden="1" spans="1:44">
      <c r="A6485" s="17" t="s">
        <v>34</v>
      </c>
      <c r="B6485" s="19">
        <v>1062</v>
      </c>
      <c r="C6485" s="183">
        <v>45812</v>
      </c>
      <c r="D6485" s="17" t="s">
        <v>52</v>
      </c>
      <c r="E6485" s="17" t="s">
        <v>1555</v>
      </c>
      <c r="F6485" s="17" t="s">
        <v>54</v>
      </c>
      <c r="G6485" s="17"/>
      <c r="H6485" s="124">
        <v>1.251</v>
      </c>
      <c r="I6485" s="376"/>
      <c r="J6485" s="185" t="s">
        <v>39</v>
      </c>
      <c r="K6485" s="290">
        <v>12</v>
      </c>
      <c r="L6485" s="91"/>
      <c r="M6485" s="19">
        <v>3000</v>
      </c>
      <c r="N6485" s="19" t="s">
        <v>40</v>
      </c>
      <c r="O6485" s="19" t="s">
        <v>84</v>
      </c>
      <c r="P6485" s="19">
        <v>27</v>
      </c>
      <c r="Q6485" s="19">
        <v>28</v>
      </c>
      <c r="R6485" s="99">
        <f t="shared" si="284"/>
        <v>-1</v>
      </c>
      <c r="S6485" s="19">
        <v>1805</v>
      </c>
      <c r="T6485" s="19" t="s">
        <v>42</v>
      </c>
      <c r="U6485" s="102" t="s">
        <v>1585</v>
      </c>
      <c r="V6485" s="186">
        <v>45819</v>
      </c>
      <c r="W6485" s="17" t="s">
        <v>44</v>
      </c>
      <c r="X6485" s="17"/>
      <c r="Y6485" s="68">
        <v>45809</v>
      </c>
      <c r="Z6485" s="17" t="s">
        <v>191</v>
      </c>
      <c r="AA6485" s="17" t="s">
        <v>46</v>
      </c>
      <c r="AB6485" s="17" t="s">
        <v>1586</v>
      </c>
      <c r="AC6485" s="217">
        <v>45832</v>
      </c>
      <c r="AD6485" s="65">
        <v>1695</v>
      </c>
      <c r="AE6485" s="17" t="s">
        <v>658</v>
      </c>
      <c r="AF6485" s="17" t="s">
        <v>560</v>
      </c>
      <c r="AG6485" s="17"/>
      <c r="AH6485" s="17"/>
      <c r="AI6485" s="17"/>
      <c r="AJ6485" s="17"/>
      <c r="AK6485" s="17"/>
      <c r="AL6485" s="17"/>
      <c r="AM6485" s="17"/>
      <c r="AN6485" s="17"/>
      <c r="AO6485" s="17"/>
      <c r="AP6485" s="17"/>
      <c r="AQ6485" s="17"/>
      <c r="AR6485" s="17"/>
    </row>
    <row r="6486" s="25" customFormat="1" hidden="1" spans="1:44">
      <c r="A6486" s="17" t="s">
        <v>34</v>
      </c>
      <c r="B6486" s="19">
        <v>1062</v>
      </c>
      <c r="C6486" s="183">
        <v>45812</v>
      </c>
      <c r="D6486" s="17" t="s">
        <v>52</v>
      </c>
      <c r="E6486" s="17" t="s">
        <v>1555</v>
      </c>
      <c r="F6486" s="17" t="s">
        <v>54</v>
      </c>
      <c r="G6486" s="17"/>
      <c r="H6486" s="124">
        <v>1.251</v>
      </c>
      <c r="I6486" s="376"/>
      <c r="J6486" s="185" t="s">
        <v>39</v>
      </c>
      <c r="K6486" s="290">
        <v>20</v>
      </c>
      <c r="L6486" s="91"/>
      <c r="M6486" s="19">
        <v>3000</v>
      </c>
      <c r="N6486" s="19" t="s">
        <v>40</v>
      </c>
      <c r="O6486" s="19" t="s">
        <v>84</v>
      </c>
      <c r="P6486" s="19">
        <v>37</v>
      </c>
      <c r="Q6486" s="19">
        <v>43</v>
      </c>
      <c r="R6486" s="99">
        <f t="shared" si="284"/>
        <v>-6</v>
      </c>
      <c r="S6486" s="19">
        <v>1805</v>
      </c>
      <c r="T6486" s="19" t="s">
        <v>42</v>
      </c>
      <c r="U6486" s="102" t="s">
        <v>1585</v>
      </c>
      <c r="V6486" s="186">
        <v>45819</v>
      </c>
      <c r="W6486" s="17" t="s">
        <v>44</v>
      </c>
      <c r="X6486" s="17"/>
      <c r="Y6486" s="68">
        <v>45809</v>
      </c>
      <c r="Z6486" s="17" t="s">
        <v>191</v>
      </c>
      <c r="AA6486" s="17" t="s">
        <v>46</v>
      </c>
      <c r="AB6486" s="17" t="s">
        <v>1586</v>
      </c>
      <c r="AC6486" s="217">
        <v>45832</v>
      </c>
      <c r="AD6486" s="65">
        <v>1695</v>
      </c>
      <c r="AE6486" s="17" t="s">
        <v>658</v>
      </c>
      <c r="AF6486" s="17" t="s">
        <v>560</v>
      </c>
      <c r="AG6486" s="17"/>
      <c r="AH6486" s="17"/>
      <c r="AI6486" s="17"/>
      <c r="AJ6486" s="17"/>
      <c r="AK6486" s="17"/>
      <c r="AL6486" s="17"/>
      <c r="AM6486" s="17"/>
      <c r="AN6486" s="17"/>
      <c r="AO6486" s="17"/>
      <c r="AP6486" s="17"/>
      <c r="AQ6486" s="17"/>
      <c r="AR6486" s="17"/>
    </row>
    <row r="6487" s="25" customFormat="1" hidden="1" spans="1:44">
      <c r="A6487" s="17" t="s">
        <v>34</v>
      </c>
      <c r="B6487" s="19">
        <v>1062</v>
      </c>
      <c r="C6487" s="183">
        <v>45812</v>
      </c>
      <c r="D6487" s="17" t="s">
        <v>52</v>
      </c>
      <c r="E6487" s="17" t="s">
        <v>1555</v>
      </c>
      <c r="F6487" s="17" t="s">
        <v>54</v>
      </c>
      <c r="G6487" s="17"/>
      <c r="H6487" s="124">
        <v>1.251</v>
      </c>
      <c r="I6487" s="376"/>
      <c r="J6487" s="185" t="s">
        <v>39</v>
      </c>
      <c r="K6487" s="290">
        <v>25</v>
      </c>
      <c r="L6487" s="91"/>
      <c r="M6487" s="19">
        <v>3000</v>
      </c>
      <c r="N6487" s="19" t="s">
        <v>40</v>
      </c>
      <c r="O6487" s="19" t="s">
        <v>84</v>
      </c>
      <c r="P6487" s="19">
        <v>77</v>
      </c>
      <c r="Q6487" s="19">
        <v>83</v>
      </c>
      <c r="R6487" s="99">
        <f t="shared" si="284"/>
        <v>-6</v>
      </c>
      <c r="S6487" s="19">
        <v>1805</v>
      </c>
      <c r="T6487" s="19" t="s">
        <v>42</v>
      </c>
      <c r="U6487" s="102" t="s">
        <v>1585</v>
      </c>
      <c r="V6487" s="186">
        <v>45819</v>
      </c>
      <c r="W6487" s="17" t="s">
        <v>44</v>
      </c>
      <c r="X6487" s="17"/>
      <c r="Y6487" s="68">
        <v>45809</v>
      </c>
      <c r="Z6487" s="17" t="s">
        <v>191</v>
      </c>
      <c r="AA6487" s="17" t="s">
        <v>46</v>
      </c>
      <c r="AB6487" s="17" t="s">
        <v>1586</v>
      </c>
      <c r="AC6487" s="217">
        <v>45832</v>
      </c>
      <c r="AD6487" s="65">
        <v>1695</v>
      </c>
      <c r="AE6487" s="17" t="s">
        <v>658</v>
      </c>
      <c r="AF6487" s="17" t="s">
        <v>560</v>
      </c>
      <c r="AG6487" s="17"/>
      <c r="AH6487" s="17"/>
      <c r="AI6487" s="17"/>
      <c r="AJ6487" s="17"/>
      <c r="AK6487" s="17"/>
      <c r="AL6487" s="17"/>
      <c r="AM6487" s="17"/>
      <c r="AN6487" s="17"/>
      <c r="AO6487" s="17"/>
      <c r="AP6487" s="17"/>
      <c r="AQ6487" s="17"/>
      <c r="AR6487" s="17"/>
    </row>
    <row r="6488" s="25" customFormat="1" hidden="1" spans="1:44">
      <c r="A6488" s="17" t="s">
        <v>34</v>
      </c>
      <c r="B6488" s="19">
        <v>1062</v>
      </c>
      <c r="C6488" s="183">
        <v>45812</v>
      </c>
      <c r="D6488" s="17" t="s">
        <v>52</v>
      </c>
      <c r="E6488" s="17" t="s">
        <v>1555</v>
      </c>
      <c r="F6488" s="17" t="s">
        <v>54</v>
      </c>
      <c r="G6488" s="17"/>
      <c r="H6488" s="124">
        <v>1.251</v>
      </c>
      <c r="I6488" s="376"/>
      <c r="J6488" s="185" t="s">
        <v>39</v>
      </c>
      <c r="K6488" s="290">
        <v>30</v>
      </c>
      <c r="L6488" s="91"/>
      <c r="M6488" s="19">
        <v>3000</v>
      </c>
      <c r="N6488" s="19" t="s">
        <v>40</v>
      </c>
      <c r="O6488" s="19" t="s">
        <v>84</v>
      </c>
      <c r="P6488" s="19">
        <v>83</v>
      </c>
      <c r="Q6488" s="19">
        <v>91</v>
      </c>
      <c r="R6488" s="99">
        <f t="shared" si="284"/>
        <v>-8</v>
      </c>
      <c r="S6488" s="19">
        <v>1805</v>
      </c>
      <c r="T6488" s="19" t="s">
        <v>42</v>
      </c>
      <c r="U6488" s="102" t="s">
        <v>1585</v>
      </c>
      <c r="V6488" s="186">
        <v>45819</v>
      </c>
      <c r="W6488" s="17" t="s">
        <v>44</v>
      </c>
      <c r="X6488" s="17"/>
      <c r="Y6488" s="68">
        <v>45809</v>
      </c>
      <c r="Z6488" s="17" t="s">
        <v>191</v>
      </c>
      <c r="AA6488" s="17" t="s">
        <v>46</v>
      </c>
      <c r="AB6488" s="17" t="s">
        <v>1586</v>
      </c>
      <c r="AC6488" s="217">
        <v>45832</v>
      </c>
      <c r="AD6488" s="65">
        <v>1695</v>
      </c>
      <c r="AE6488" s="17" t="s">
        <v>658</v>
      </c>
      <c r="AF6488" s="17" t="s">
        <v>560</v>
      </c>
      <c r="AG6488" s="17"/>
      <c r="AH6488" s="17"/>
      <c r="AI6488" s="17"/>
      <c r="AJ6488" s="17"/>
      <c r="AK6488" s="17"/>
      <c r="AL6488" s="17"/>
      <c r="AM6488" s="17"/>
      <c r="AN6488" s="17"/>
      <c r="AO6488" s="17"/>
      <c r="AP6488" s="17"/>
      <c r="AQ6488" s="17"/>
      <c r="AR6488" s="17"/>
    </row>
    <row r="6489" s="25" customFormat="1" hidden="1" spans="1:44">
      <c r="A6489" s="17" t="s">
        <v>34</v>
      </c>
      <c r="B6489" s="19">
        <v>1062</v>
      </c>
      <c r="C6489" s="183">
        <v>45812</v>
      </c>
      <c r="D6489" s="17" t="s">
        <v>52</v>
      </c>
      <c r="E6489" s="17" t="s">
        <v>1555</v>
      </c>
      <c r="F6489" s="17" t="s">
        <v>54</v>
      </c>
      <c r="G6489" s="17"/>
      <c r="H6489" s="124">
        <v>1.251</v>
      </c>
      <c r="I6489" s="376"/>
      <c r="J6489" s="185" t="s">
        <v>39</v>
      </c>
      <c r="K6489" s="290">
        <v>40</v>
      </c>
      <c r="L6489" s="91"/>
      <c r="M6489" s="19">
        <v>3000</v>
      </c>
      <c r="N6489" s="19" t="s">
        <v>40</v>
      </c>
      <c r="O6489" s="19" t="s">
        <v>84</v>
      </c>
      <c r="P6489" s="19">
        <v>296</v>
      </c>
      <c r="Q6489" s="19">
        <v>334</v>
      </c>
      <c r="R6489" s="99">
        <f t="shared" si="284"/>
        <v>-38</v>
      </c>
      <c r="S6489" s="19">
        <v>1805</v>
      </c>
      <c r="T6489" s="19" t="s">
        <v>42</v>
      </c>
      <c r="U6489" s="102" t="s">
        <v>1585</v>
      </c>
      <c r="V6489" s="186">
        <v>45819</v>
      </c>
      <c r="W6489" s="17" t="s">
        <v>44</v>
      </c>
      <c r="X6489" s="17"/>
      <c r="Y6489" s="68">
        <v>45809</v>
      </c>
      <c r="Z6489" s="17" t="s">
        <v>191</v>
      </c>
      <c r="AA6489" s="17" t="s">
        <v>46</v>
      </c>
      <c r="AB6489" s="17" t="s">
        <v>1586</v>
      </c>
      <c r="AC6489" s="217">
        <v>45832</v>
      </c>
      <c r="AD6489" s="65">
        <v>1695</v>
      </c>
      <c r="AE6489" s="17" t="s">
        <v>658</v>
      </c>
      <c r="AF6489" s="17" t="s">
        <v>560</v>
      </c>
      <c r="AG6489" s="17"/>
      <c r="AH6489" s="17"/>
      <c r="AI6489" s="17"/>
      <c r="AJ6489" s="17"/>
      <c r="AK6489" s="17"/>
      <c r="AL6489" s="17"/>
      <c r="AM6489" s="17"/>
      <c r="AN6489" s="17"/>
      <c r="AO6489" s="17"/>
      <c r="AP6489" s="17"/>
      <c r="AQ6489" s="17"/>
      <c r="AR6489" s="17"/>
    </row>
    <row r="6490" s="25" customFormat="1" hidden="1" spans="1:44">
      <c r="A6490" s="17" t="s">
        <v>34</v>
      </c>
      <c r="B6490" s="19">
        <v>1062</v>
      </c>
      <c r="C6490" s="183">
        <v>45812</v>
      </c>
      <c r="D6490" s="17" t="s">
        <v>52</v>
      </c>
      <c r="E6490" s="17" t="s">
        <v>1555</v>
      </c>
      <c r="F6490" s="17" t="s">
        <v>54</v>
      </c>
      <c r="G6490" s="17"/>
      <c r="H6490" s="124">
        <v>1.251</v>
      </c>
      <c r="I6490" s="376"/>
      <c r="J6490" s="185" t="s">
        <v>39</v>
      </c>
      <c r="K6490" s="290">
        <v>51</v>
      </c>
      <c r="L6490" s="91"/>
      <c r="M6490" s="19">
        <v>3000</v>
      </c>
      <c r="N6490" s="19" t="s">
        <v>40</v>
      </c>
      <c r="O6490" s="19" t="s">
        <v>84</v>
      </c>
      <c r="P6490" s="19">
        <v>241</v>
      </c>
      <c r="Q6490" s="19">
        <v>255</v>
      </c>
      <c r="R6490" s="99">
        <f t="shared" si="284"/>
        <v>-14</v>
      </c>
      <c r="S6490" s="19">
        <v>1805</v>
      </c>
      <c r="T6490" s="19" t="s">
        <v>42</v>
      </c>
      <c r="U6490" s="102" t="s">
        <v>1585</v>
      </c>
      <c r="V6490" s="186">
        <v>45819</v>
      </c>
      <c r="W6490" s="17" t="s">
        <v>44</v>
      </c>
      <c r="X6490" s="17"/>
      <c r="Y6490" s="68">
        <v>45809</v>
      </c>
      <c r="Z6490" s="17" t="s">
        <v>191</v>
      </c>
      <c r="AA6490" s="17" t="s">
        <v>46</v>
      </c>
      <c r="AB6490" s="17" t="s">
        <v>1586</v>
      </c>
      <c r="AC6490" s="217">
        <v>45832</v>
      </c>
      <c r="AD6490" s="65">
        <v>1695</v>
      </c>
      <c r="AE6490" s="17" t="s">
        <v>658</v>
      </c>
      <c r="AF6490" s="17" t="s">
        <v>560</v>
      </c>
      <c r="AG6490" s="17"/>
      <c r="AH6490" s="17"/>
      <c r="AI6490" s="17"/>
      <c r="AJ6490" s="17"/>
      <c r="AK6490" s="17"/>
      <c r="AL6490" s="17"/>
      <c r="AM6490" s="17"/>
      <c r="AN6490" s="17"/>
      <c r="AO6490" s="17"/>
      <c r="AP6490" s="17"/>
      <c r="AQ6490" s="17"/>
      <c r="AR6490" s="17"/>
    </row>
    <row r="6491" s="25" customFormat="1" hidden="1" spans="1:44">
      <c r="A6491" s="17" t="s">
        <v>34</v>
      </c>
      <c r="B6491" s="19">
        <v>1062</v>
      </c>
      <c r="C6491" s="183">
        <v>45812</v>
      </c>
      <c r="D6491" s="17" t="s">
        <v>52</v>
      </c>
      <c r="E6491" s="17" t="s">
        <v>1555</v>
      </c>
      <c r="F6491" s="17" t="s">
        <v>54</v>
      </c>
      <c r="G6491" s="17"/>
      <c r="H6491" s="124">
        <v>1.251</v>
      </c>
      <c r="I6491" s="376"/>
      <c r="J6491" s="185" t="s">
        <v>39</v>
      </c>
      <c r="K6491" s="290">
        <v>60</v>
      </c>
      <c r="L6491" s="91"/>
      <c r="M6491" s="19">
        <v>3000</v>
      </c>
      <c r="N6491" s="19" t="s">
        <v>40</v>
      </c>
      <c r="O6491" s="19" t="s">
        <v>84</v>
      </c>
      <c r="P6491" s="19">
        <v>222</v>
      </c>
      <c r="Q6491" s="19">
        <v>260</v>
      </c>
      <c r="R6491" s="99">
        <f t="shared" si="284"/>
        <v>-38</v>
      </c>
      <c r="S6491" s="19">
        <v>1805</v>
      </c>
      <c r="T6491" s="19" t="s">
        <v>42</v>
      </c>
      <c r="U6491" s="102" t="s">
        <v>1585</v>
      </c>
      <c r="V6491" s="186">
        <v>45819</v>
      </c>
      <c r="W6491" s="17" t="s">
        <v>44</v>
      </c>
      <c r="X6491" s="17"/>
      <c r="Y6491" s="68">
        <v>45809</v>
      </c>
      <c r="Z6491" s="17" t="s">
        <v>191</v>
      </c>
      <c r="AA6491" s="17" t="s">
        <v>46</v>
      </c>
      <c r="AB6491" s="17" t="s">
        <v>1586</v>
      </c>
      <c r="AC6491" s="217">
        <v>45832</v>
      </c>
      <c r="AD6491" s="65">
        <v>1695</v>
      </c>
      <c r="AE6491" s="17" t="s">
        <v>658</v>
      </c>
      <c r="AF6491" s="17" t="s">
        <v>560</v>
      </c>
      <c r="AG6491" s="17"/>
      <c r="AH6491" s="17"/>
      <c r="AI6491" s="17"/>
      <c r="AJ6491" s="17"/>
      <c r="AK6491" s="17"/>
      <c r="AL6491" s="17"/>
      <c r="AM6491" s="17"/>
      <c r="AN6491" s="17"/>
      <c r="AO6491" s="17"/>
      <c r="AP6491" s="17"/>
      <c r="AQ6491" s="17"/>
      <c r="AR6491" s="17"/>
    </row>
    <row r="6492" s="25" customFormat="1" hidden="1" spans="1:44">
      <c r="A6492" s="17" t="s">
        <v>34</v>
      </c>
      <c r="B6492" s="19">
        <v>1062</v>
      </c>
      <c r="C6492" s="183">
        <v>45812</v>
      </c>
      <c r="D6492" s="17" t="s">
        <v>52</v>
      </c>
      <c r="E6492" s="17" t="s">
        <v>1555</v>
      </c>
      <c r="F6492" s="17" t="s">
        <v>54</v>
      </c>
      <c r="G6492" s="17"/>
      <c r="H6492" s="124">
        <v>1.251</v>
      </c>
      <c r="I6492" s="376"/>
      <c r="J6492" s="185" t="s">
        <v>39</v>
      </c>
      <c r="K6492" s="290">
        <v>71</v>
      </c>
      <c r="L6492" s="91"/>
      <c r="M6492" s="19">
        <v>3000</v>
      </c>
      <c r="N6492" s="19" t="s">
        <v>40</v>
      </c>
      <c r="O6492" s="19" t="s">
        <v>84</v>
      </c>
      <c r="P6492" s="19">
        <v>156</v>
      </c>
      <c r="Q6492" s="19">
        <v>240</v>
      </c>
      <c r="R6492" s="99">
        <f t="shared" si="284"/>
        <v>-84</v>
      </c>
      <c r="S6492" s="19">
        <v>1805</v>
      </c>
      <c r="T6492" s="19" t="s">
        <v>42</v>
      </c>
      <c r="U6492" s="102" t="s">
        <v>1585</v>
      </c>
      <c r="V6492" s="186">
        <v>45819</v>
      </c>
      <c r="W6492" s="17" t="s">
        <v>44</v>
      </c>
      <c r="X6492" s="17"/>
      <c r="Y6492" s="68">
        <v>45809</v>
      </c>
      <c r="Z6492" s="17" t="s">
        <v>191</v>
      </c>
      <c r="AA6492" s="17" t="s">
        <v>46</v>
      </c>
      <c r="AB6492" s="17" t="s">
        <v>1586</v>
      </c>
      <c r="AC6492" s="217">
        <v>45832</v>
      </c>
      <c r="AD6492" s="65">
        <v>1695</v>
      </c>
      <c r="AE6492" s="17" t="s">
        <v>658</v>
      </c>
      <c r="AF6492" s="17" t="s">
        <v>560</v>
      </c>
      <c r="AG6492" s="17"/>
      <c r="AH6492" s="17"/>
      <c r="AI6492" s="17"/>
      <c r="AJ6492" s="17"/>
      <c r="AK6492" s="17"/>
      <c r="AL6492" s="17"/>
      <c r="AM6492" s="17"/>
      <c r="AN6492" s="17"/>
      <c r="AO6492" s="17"/>
      <c r="AP6492" s="17"/>
      <c r="AQ6492" s="17"/>
      <c r="AR6492" s="17"/>
    </row>
    <row r="6493" s="25" customFormat="1" hidden="1" spans="1:44">
      <c r="A6493" s="17" t="s">
        <v>34</v>
      </c>
      <c r="B6493" s="19">
        <v>1062</v>
      </c>
      <c r="C6493" s="183">
        <v>45812</v>
      </c>
      <c r="D6493" s="17" t="s">
        <v>52</v>
      </c>
      <c r="E6493" s="17" t="s">
        <v>1555</v>
      </c>
      <c r="F6493" s="17" t="s">
        <v>54</v>
      </c>
      <c r="G6493" s="17"/>
      <c r="H6493" s="124">
        <v>1.251</v>
      </c>
      <c r="I6493" s="376"/>
      <c r="J6493" s="185" t="s">
        <v>39</v>
      </c>
      <c r="K6493" s="290">
        <v>90</v>
      </c>
      <c r="L6493" s="91"/>
      <c r="M6493" s="19">
        <v>3000</v>
      </c>
      <c r="N6493" s="19" t="s">
        <v>40</v>
      </c>
      <c r="O6493" s="19" t="s">
        <v>84</v>
      </c>
      <c r="P6493" s="19">
        <v>250</v>
      </c>
      <c r="Q6493" s="19">
        <v>246</v>
      </c>
      <c r="R6493" s="99">
        <f t="shared" si="284"/>
        <v>4</v>
      </c>
      <c r="S6493" s="19">
        <v>1805</v>
      </c>
      <c r="T6493" s="19" t="s">
        <v>42</v>
      </c>
      <c r="U6493" s="102" t="s">
        <v>1585</v>
      </c>
      <c r="V6493" s="186">
        <v>45819</v>
      </c>
      <c r="W6493" s="17" t="s">
        <v>44</v>
      </c>
      <c r="X6493" s="17"/>
      <c r="Y6493" s="68">
        <v>45809</v>
      </c>
      <c r="Z6493" s="17" t="s">
        <v>191</v>
      </c>
      <c r="AA6493" s="17" t="s">
        <v>46</v>
      </c>
      <c r="AB6493" s="17" t="s">
        <v>1586</v>
      </c>
      <c r="AC6493" s="217">
        <v>45832</v>
      </c>
      <c r="AD6493" s="65">
        <v>1695</v>
      </c>
      <c r="AE6493" s="17" t="s">
        <v>658</v>
      </c>
      <c r="AF6493" s="17" t="s">
        <v>560</v>
      </c>
      <c r="AG6493" s="17"/>
      <c r="AH6493" s="17"/>
      <c r="AI6493" s="17"/>
      <c r="AJ6493" s="17"/>
      <c r="AK6493" s="17"/>
      <c r="AL6493" s="17"/>
      <c r="AM6493" s="17"/>
      <c r="AN6493" s="17"/>
      <c r="AO6493" s="17"/>
      <c r="AP6493" s="17"/>
      <c r="AQ6493" s="17"/>
      <c r="AR6493" s="17"/>
    </row>
    <row r="6494" s="25" customFormat="1" hidden="1" spans="1:44">
      <c r="A6494" s="17" t="s">
        <v>34</v>
      </c>
      <c r="B6494" s="19">
        <v>1062</v>
      </c>
      <c r="C6494" s="183">
        <v>45812</v>
      </c>
      <c r="D6494" s="17" t="s">
        <v>52</v>
      </c>
      <c r="E6494" s="17" t="s">
        <v>1555</v>
      </c>
      <c r="F6494" s="17" t="s">
        <v>54</v>
      </c>
      <c r="G6494" s="17"/>
      <c r="H6494" s="124">
        <v>1.251</v>
      </c>
      <c r="I6494" s="376"/>
      <c r="J6494" s="185" t="s">
        <v>39</v>
      </c>
      <c r="K6494" s="290">
        <v>100</v>
      </c>
      <c r="L6494" s="91"/>
      <c r="M6494" s="19">
        <v>3000</v>
      </c>
      <c r="N6494" s="19" t="s">
        <v>40</v>
      </c>
      <c r="O6494" s="19" t="s">
        <v>84</v>
      </c>
      <c r="P6494" s="19">
        <v>309</v>
      </c>
      <c r="Q6494" s="19">
        <v>349</v>
      </c>
      <c r="R6494" s="99">
        <f t="shared" si="284"/>
        <v>-40</v>
      </c>
      <c r="S6494" s="19">
        <v>1805</v>
      </c>
      <c r="T6494" s="19" t="s">
        <v>42</v>
      </c>
      <c r="U6494" s="102" t="s">
        <v>1585</v>
      </c>
      <c r="V6494" s="186">
        <v>45819</v>
      </c>
      <c r="W6494" s="17" t="s">
        <v>44</v>
      </c>
      <c r="X6494" s="17"/>
      <c r="Y6494" s="68">
        <v>45809</v>
      </c>
      <c r="Z6494" s="17" t="s">
        <v>191</v>
      </c>
      <c r="AA6494" s="17" t="s">
        <v>46</v>
      </c>
      <c r="AB6494" s="17" t="s">
        <v>1586</v>
      </c>
      <c r="AC6494" s="217">
        <v>45832</v>
      </c>
      <c r="AD6494" s="65">
        <v>1695</v>
      </c>
      <c r="AE6494" s="17" t="s">
        <v>658</v>
      </c>
      <c r="AF6494" s="17" t="s">
        <v>560</v>
      </c>
      <c r="AG6494" s="17"/>
      <c r="AH6494" s="17"/>
      <c r="AI6494" s="17"/>
      <c r="AJ6494" s="17"/>
      <c r="AK6494" s="17"/>
      <c r="AL6494" s="17"/>
      <c r="AM6494" s="17"/>
      <c r="AN6494" s="17"/>
      <c r="AO6494" s="17"/>
      <c r="AP6494" s="17"/>
      <c r="AQ6494" s="17"/>
      <c r="AR6494" s="17"/>
    </row>
    <row r="6495" s="25" customFormat="1" hidden="1" spans="1:44">
      <c r="A6495" s="17" t="s">
        <v>34</v>
      </c>
      <c r="B6495" s="19">
        <v>1063</v>
      </c>
      <c r="C6495" s="183">
        <v>45821</v>
      </c>
      <c r="D6495" s="17" t="s">
        <v>52</v>
      </c>
      <c r="E6495" s="17" t="s">
        <v>53</v>
      </c>
      <c r="F6495" s="17" t="s">
        <v>54</v>
      </c>
      <c r="G6495" s="17"/>
      <c r="H6495" s="19">
        <v>1.2311</v>
      </c>
      <c r="I6495" s="19"/>
      <c r="J6495" s="17" t="s">
        <v>49</v>
      </c>
      <c r="K6495" s="19">
        <v>760</v>
      </c>
      <c r="L6495" s="91">
        <v>215</v>
      </c>
      <c r="M6495" s="19">
        <v>3820</v>
      </c>
      <c r="N6495" s="19" t="s">
        <v>66</v>
      </c>
      <c r="O6495" s="19" t="s">
        <v>98</v>
      </c>
      <c r="P6495" s="19">
        <v>5448</v>
      </c>
      <c r="Q6495" s="19">
        <v>4980</v>
      </c>
      <c r="R6495" s="19">
        <f t="shared" si="284"/>
        <v>468</v>
      </c>
      <c r="S6495" s="19">
        <f>1245</f>
        <v>1245</v>
      </c>
      <c r="T6495" s="19" t="s">
        <v>42</v>
      </c>
      <c r="U6495" s="102" t="s">
        <v>1565</v>
      </c>
      <c r="V6495" s="186">
        <v>45780</v>
      </c>
      <c r="W6495" s="17" t="s">
        <v>69</v>
      </c>
      <c r="X6495" s="17"/>
      <c r="Y6495" s="68">
        <v>45839</v>
      </c>
      <c r="Z6495" s="17" t="s">
        <v>191</v>
      </c>
      <c r="AA6495" s="17" t="s">
        <v>46</v>
      </c>
      <c r="AB6495" s="17" t="s">
        <v>1566</v>
      </c>
      <c r="AC6495" s="217">
        <v>45840</v>
      </c>
      <c r="AD6495" s="65">
        <v>1697</v>
      </c>
      <c r="AE6495" s="17" t="s">
        <v>48</v>
      </c>
      <c r="AF6495" s="17" t="s">
        <v>1567</v>
      </c>
      <c r="AG6495" s="17"/>
      <c r="AH6495" s="17"/>
      <c r="AI6495" s="17"/>
      <c r="AJ6495" s="17"/>
      <c r="AK6495" s="17"/>
      <c r="AL6495" s="17"/>
      <c r="AM6495" s="17"/>
      <c r="AN6495" s="17"/>
      <c r="AO6495" s="17"/>
      <c r="AP6495" s="17"/>
      <c r="AQ6495" s="17"/>
      <c r="AR6495" s="17"/>
    </row>
    <row r="6496" s="25" customFormat="1" hidden="1" spans="1:44">
      <c r="A6496" s="17" t="s">
        <v>34</v>
      </c>
      <c r="B6496" s="19">
        <v>1063</v>
      </c>
      <c r="C6496" s="183">
        <v>45821</v>
      </c>
      <c r="D6496" s="17" t="s">
        <v>52</v>
      </c>
      <c r="E6496" s="17" t="s">
        <v>53</v>
      </c>
      <c r="F6496" s="17" t="s">
        <v>54</v>
      </c>
      <c r="G6496" s="17"/>
      <c r="H6496" s="19">
        <v>1.2311</v>
      </c>
      <c r="I6496" s="19"/>
      <c r="J6496" s="17" t="s">
        <v>49</v>
      </c>
      <c r="K6496" s="19">
        <v>810</v>
      </c>
      <c r="L6496" s="91">
        <v>153</v>
      </c>
      <c r="M6496" s="19">
        <v>3530</v>
      </c>
      <c r="N6496" s="19" t="s">
        <v>66</v>
      </c>
      <c r="O6496" s="19" t="s">
        <v>98</v>
      </c>
      <c r="P6496" s="19">
        <v>3754</v>
      </c>
      <c r="Q6496" s="19">
        <v>3410</v>
      </c>
      <c r="R6496" s="19">
        <f t="shared" si="284"/>
        <v>344</v>
      </c>
      <c r="S6496" s="19">
        <f>1245</f>
        <v>1245</v>
      </c>
      <c r="T6496" s="19" t="s">
        <v>42</v>
      </c>
      <c r="U6496" s="102" t="s">
        <v>1568</v>
      </c>
      <c r="V6496" s="186">
        <v>45780</v>
      </c>
      <c r="W6496" s="17" t="s">
        <v>69</v>
      </c>
      <c r="X6496" s="17"/>
      <c r="Y6496" s="68">
        <v>45839</v>
      </c>
      <c r="Z6496" s="17" t="s">
        <v>191</v>
      </c>
      <c r="AA6496" s="17" t="s">
        <v>46</v>
      </c>
      <c r="AB6496" s="17" t="s">
        <v>1569</v>
      </c>
      <c r="AC6496" s="217">
        <v>45833</v>
      </c>
      <c r="AD6496" s="65">
        <v>1696</v>
      </c>
      <c r="AE6496" s="17" t="s">
        <v>48</v>
      </c>
      <c r="AF6496" s="17" t="s">
        <v>1570</v>
      </c>
      <c r="AG6496" s="17"/>
      <c r="AH6496" s="17"/>
      <c r="AI6496" s="17"/>
      <c r="AJ6496" s="17"/>
      <c r="AK6496" s="17"/>
      <c r="AL6496" s="17"/>
      <c r="AM6496" s="17"/>
      <c r="AN6496" s="17"/>
      <c r="AO6496" s="17"/>
      <c r="AP6496" s="17"/>
      <c r="AQ6496" s="17"/>
      <c r="AR6496" s="17"/>
    </row>
    <row r="6497" s="25" customFormat="1" hidden="1" spans="1:44">
      <c r="A6497" s="17" t="s">
        <v>34</v>
      </c>
      <c r="B6497" s="19">
        <v>1063</v>
      </c>
      <c r="C6497" s="183">
        <v>45821</v>
      </c>
      <c r="D6497" s="17" t="s">
        <v>52</v>
      </c>
      <c r="E6497" s="17" t="s">
        <v>53</v>
      </c>
      <c r="F6497" s="17" t="s">
        <v>54</v>
      </c>
      <c r="G6497" s="17"/>
      <c r="H6497" s="19">
        <v>1.2738</v>
      </c>
      <c r="I6497" s="19"/>
      <c r="J6497" s="17" t="s">
        <v>49</v>
      </c>
      <c r="K6497" s="19">
        <v>795</v>
      </c>
      <c r="L6497" s="91">
        <v>175</v>
      </c>
      <c r="M6497" s="19">
        <v>3940</v>
      </c>
      <c r="N6497" s="19" t="s">
        <v>66</v>
      </c>
      <c r="O6497" s="19" t="s">
        <v>98</v>
      </c>
      <c r="P6497" s="19">
        <v>4556</v>
      </c>
      <c r="Q6497" s="19">
        <v>4116</v>
      </c>
      <c r="R6497" s="19">
        <f t="shared" si="284"/>
        <v>440</v>
      </c>
      <c r="S6497" s="19">
        <f>1545</f>
        <v>1545</v>
      </c>
      <c r="T6497" s="19" t="s">
        <v>42</v>
      </c>
      <c r="U6497" s="102" t="s">
        <v>1565</v>
      </c>
      <c r="V6497" s="186">
        <v>45780</v>
      </c>
      <c r="W6497" s="17" t="s">
        <v>69</v>
      </c>
      <c r="X6497" s="17"/>
      <c r="Y6497" s="68">
        <v>45839</v>
      </c>
      <c r="Z6497" s="17" t="s">
        <v>191</v>
      </c>
      <c r="AA6497" s="17" t="s">
        <v>46</v>
      </c>
      <c r="AB6497" s="17" t="s">
        <v>1566</v>
      </c>
      <c r="AC6497" s="217">
        <v>45840</v>
      </c>
      <c r="AD6497" s="65">
        <v>1697</v>
      </c>
      <c r="AE6497" s="17" t="s">
        <v>48</v>
      </c>
      <c r="AF6497" s="17" t="s">
        <v>1567</v>
      </c>
      <c r="AG6497" s="17"/>
      <c r="AH6497" s="17"/>
      <c r="AI6497" s="17"/>
      <c r="AJ6497" s="17"/>
      <c r="AK6497" s="17"/>
      <c r="AL6497" s="17"/>
      <c r="AM6497" s="17"/>
      <c r="AN6497" s="17"/>
      <c r="AO6497" s="17"/>
      <c r="AP6497" s="17"/>
      <c r="AQ6497" s="17"/>
      <c r="AR6497" s="17"/>
    </row>
    <row r="6498" s="25" customFormat="1" hidden="1" spans="1:44">
      <c r="A6498" s="17" t="s">
        <v>34</v>
      </c>
      <c r="B6498" s="19">
        <v>1063</v>
      </c>
      <c r="C6498" s="183">
        <v>45821</v>
      </c>
      <c r="D6498" s="17" t="s">
        <v>52</v>
      </c>
      <c r="E6498" s="17" t="s">
        <v>53</v>
      </c>
      <c r="F6498" s="17" t="s">
        <v>54</v>
      </c>
      <c r="G6498" s="17"/>
      <c r="H6498" s="19">
        <v>1.2311</v>
      </c>
      <c r="I6498" s="19"/>
      <c r="J6498" s="17" t="s">
        <v>49</v>
      </c>
      <c r="K6498" s="19">
        <v>2190</v>
      </c>
      <c r="L6498" s="91">
        <v>32</v>
      </c>
      <c r="M6498" s="19">
        <v>3500</v>
      </c>
      <c r="N6498" s="19" t="s">
        <v>66</v>
      </c>
      <c r="O6498" s="19" t="s">
        <v>98</v>
      </c>
      <c r="P6498" s="19"/>
      <c r="Q6498" s="19">
        <v>1890</v>
      </c>
      <c r="R6498" s="19">
        <f t="shared" si="284"/>
        <v>-1890</v>
      </c>
      <c r="S6498" s="19"/>
      <c r="T6498" s="19" t="s">
        <v>42</v>
      </c>
      <c r="U6498" s="102" t="s">
        <v>1568</v>
      </c>
      <c r="V6498" s="186">
        <v>45780</v>
      </c>
      <c r="W6498" s="17" t="s">
        <v>69</v>
      </c>
      <c r="X6498" s="17"/>
      <c r="Y6498" s="68">
        <v>45839</v>
      </c>
      <c r="Z6498" s="17" t="s">
        <v>191</v>
      </c>
      <c r="AA6498" s="17" t="s">
        <v>46</v>
      </c>
      <c r="AB6498" s="17" t="s">
        <v>1569</v>
      </c>
      <c r="AC6498" s="217">
        <v>45833</v>
      </c>
      <c r="AD6498" s="65">
        <v>1696</v>
      </c>
      <c r="AE6498" s="17" t="s">
        <v>48</v>
      </c>
      <c r="AF6498" s="17" t="s">
        <v>1570</v>
      </c>
      <c r="AG6498" s="17"/>
      <c r="AH6498" s="17"/>
      <c r="AI6498" s="17"/>
      <c r="AJ6498" s="17"/>
      <c r="AK6498" s="17"/>
      <c r="AL6498" s="17"/>
      <c r="AM6498" s="17"/>
      <c r="AN6498" s="17"/>
      <c r="AO6498" s="17"/>
      <c r="AP6498" s="17"/>
      <c r="AQ6498" s="17"/>
      <c r="AR6498" s="17"/>
    </row>
    <row r="6499" s="25" customFormat="1" hidden="1" spans="1:44">
      <c r="A6499" s="17" t="s">
        <v>34</v>
      </c>
      <c r="B6499" s="19">
        <v>1063</v>
      </c>
      <c r="C6499" s="183">
        <v>45821</v>
      </c>
      <c r="D6499" s="17" t="s">
        <v>52</v>
      </c>
      <c r="E6499" s="17" t="s">
        <v>53</v>
      </c>
      <c r="F6499" s="17" t="s">
        <v>54</v>
      </c>
      <c r="G6499" s="17"/>
      <c r="H6499" s="19">
        <v>1.2738</v>
      </c>
      <c r="I6499" s="19"/>
      <c r="J6499" s="17" t="s">
        <v>49</v>
      </c>
      <c r="K6499" s="19">
        <v>1230</v>
      </c>
      <c r="L6499" s="91">
        <v>335</v>
      </c>
      <c r="M6499" s="19">
        <v>3440</v>
      </c>
      <c r="N6499" s="19" t="s">
        <v>66</v>
      </c>
      <c r="O6499" s="19" t="s">
        <v>98</v>
      </c>
      <c r="P6499" s="19">
        <v>16877</v>
      </c>
      <c r="Q6499" s="19">
        <v>11180</v>
      </c>
      <c r="R6499" s="19">
        <f t="shared" si="284"/>
        <v>5697</v>
      </c>
      <c r="S6499" s="19">
        <f>1545</f>
        <v>1545</v>
      </c>
      <c r="T6499" s="19" t="s">
        <v>42</v>
      </c>
      <c r="U6499" s="102" t="s">
        <v>1568</v>
      </c>
      <c r="V6499" s="186">
        <v>45780</v>
      </c>
      <c r="W6499" s="17" t="s">
        <v>69</v>
      </c>
      <c r="X6499" s="17"/>
      <c r="Y6499" s="68">
        <v>45839</v>
      </c>
      <c r="Z6499" s="17" t="s">
        <v>191</v>
      </c>
      <c r="AA6499" s="17" t="s">
        <v>46</v>
      </c>
      <c r="AB6499" s="17" t="s">
        <v>1569</v>
      </c>
      <c r="AC6499" s="217">
        <v>45833</v>
      </c>
      <c r="AD6499" s="65">
        <v>1696</v>
      </c>
      <c r="AE6499" s="17" t="s">
        <v>48</v>
      </c>
      <c r="AF6499" s="17" t="s">
        <v>1570</v>
      </c>
      <c r="AG6499" s="17"/>
      <c r="AH6499" s="17"/>
      <c r="AI6499" s="17"/>
      <c r="AJ6499" s="17"/>
      <c r="AK6499" s="17"/>
      <c r="AL6499" s="17"/>
      <c r="AM6499" s="17"/>
      <c r="AN6499" s="17"/>
      <c r="AO6499" s="17"/>
      <c r="AP6499" s="17"/>
      <c r="AQ6499" s="17"/>
      <c r="AR6499" s="17"/>
    </row>
    <row r="6500" hidden="1" spans="1:44">
      <c r="A6500" s="18"/>
      <c r="B6500" s="75">
        <v>1064</v>
      </c>
      <c r="C6500" s="213">
        <v>45821</v>
      </c>
      <c r="D6500" s="18" t="s">
        <v>52</v>
      </c>
      <c r="E6500" s="18" t="s">
        <v>53</v>
      </c>
      <c r="F6500" s="18" t="s">
        <v>54</v>
      </c>
      <c r="G6500" s="18"/>
      <c r="H6500" s="75">
        <v>1.2311</v>
      </c>
      <c r="I6500" s="75"/>
      <c r="J6500" s="18" t="s">
        <v>49</v>
      </c>
      <c r="K6500" s="75"/>
      <c r="L6500" s="111"/>
      <c r="M6500" s="75"/>
      <c r="N6500" s="75" t="s">
        <v>66</v>
      </c>
      <c r="O6500" s="75"/>
      <c r="P6500" s="75">
        <v>0</v>
      </c>
      <c r="Q6500" s="75"/>
      <c r="R6500" s="75">
        <f t="shared" si="284"/>
        <v>0</v>
      </c>
      <c r="S6500" s="75"/>
      <c r="T6500" s="75" t="s">
        <v>42</v>
      </c>
      <c r="U6500" s="137"/>
      <c r="V6500" s="193"/>
      <c r="W6500" s="18"/>
      <c r="X6500" s="18"/>
      <c r="Y6500" s="114"/>
      <c r="Z6500" s="18"/>
      <c r="AA6500" s="18"/>
      <c r="AB6500" s="18"/>
      <c r="AC6500" s="137"/>
      <c r="AD6500" s="77"/>
      <c r="AE6500" s="18" t="s">
        <v>188</v>
      </c>
      <c r="AF6500" s="18"/>
      <c r="AG6500" s="18"/>
      <c r="AH6500" s="18"/>
      <c r="AI6500" s="18"/>
      <c r="AJ6500" s="18"/>
      <c r="AK6500" s="18"/>
      <c r="AL6500" s="18"/>
      <c r="AM6500" s="18"/>
      <c r="AN6500" s="18"/>
      <c r="AO6500" s="18"/>
      <c r="AP6500" s="18"/>
      <c r="AQ6500" s="18"/>
      <c r="AR6500" s="18"/>
    </row>
    <row r="6501" s="25" customFormat="1" hidden="1" spans="1:44">
      <c r="A6501" s="17" t="s">
        <v>34</v>
      </c>
      <c r="B6501" s="19">
        <v>1065</v>
      </c>
      <c r="C6501" s="183">
        <v>45821</v>
      </c>
      <c r="D6501" s="17" t="s">
        <v>52</v>
      </c>
      <c r="E6501" s="17" t="s">
        <v>1555</v>
      </c>
      <c r="F6501" s="17" t="s">
        <v>54</v>
      </c>
      <c r="G6501" s="17"/>
      <c r="H6501" s="19">
        <v>1.2311</v>
      </c>
      <c r="I6501" s="19"/>
      <c r="J6501" s="17" t="s">
        <v>49</v>
      </c>
      <c r="K6501" s="19">
        <v>2200</v>
      </c>
      <c r="L6501" s="368">
        <v>32</v>
      </c>
      <c r="M6501" s="368">
        <v>5000</v>
      </c>
      <c r="N6501" s="19" t="s">
        <v>66</v>
      </c>
      <c r="O6501" s="19" t="s">
        <v>141</v>
      </c>
      <c r="P6501" s="369">
        <v>3540</v>
      </c>
      <c r="Q6501" s="19">
        <v>2940</v>
      </c>
      <c r="R6501" s="19">
        <f t="shared" si="284"/>
        <v>600</v>
      </c>
      <c r="S6501" s="176">
        <f>825-50</f>
        <v>775</v>
      </c>
      <c r="T6501" s="19" t="s">
        <v>42</v>
      </c>
      <c r="U6501" s="102" t="s">
        <v>1587</v>
      </c>
      <c r="V6501" s="186">
        <v>45856</v>
      </c>
      <c r="W6501" s="17" t="s">
        <v>44</v>
      </c>
      <c r="X6501" s="17"/>
      <c r="Y6501" s="68">
        <v>45870</v>
      </c>
      <c r="Z6501" s="17" t="s">
        <v>1588</v>
      </c>
      <c r="AA6501" s="17" t="s">
        <v>46</v>
      </c>
      <c r="AB6501" s="17" t="s">
        <v>1589</v>
      </c>
      <c r="AC6501" s="217">
        <v>45882</v>
      </c>
      <c r="AD6501" s="65">
        <v>1712</v>
      </c>
      <c r="AE6501" s="17" t="s">
        <v>48</v>
      </c>
      <c r="AF6501" s="17" t="s">
        <v>1577</v>
      </c>
      <c r="AG6501" s="17" t="s">
        <v>1456</v>
      </c>
      <c r="AH6501" s="17"/>
      <c r="AI6501" s="17"/>
      <c r="AJ6501" s="17"/>
      <c r="AK6501" s="17"/>
      <c r="AL6501" s="17"/>
      <c r="AM6501" s="17"/>
      <c r="AN6501" s="17"/>
      <c r="AO6501" s="17"/>
      <c r="AP6501" s="17"/>
      <c r="AQ6501" s="17"/>
      <c r="AR6501" s="17"/>
    </row>
    <row r="6502" hidden="1" spans="1:44">
      <c r="A6502" s="18"/>
      <c r="B6502" s="75">
        <v>1065</v>
      </c>
      <c r="C6502" s="213">
        <v>45821</v>
      </c>
      <c r="D6502" s="18" t="s">
        <v>52</v>
      </c>
      <c r="E6502" s="17" t="s">
        <v>1113</v>
      </c>
      <c r="F6502" s="18" t="s">
        <v>54</v>
      </c>
      <c r="G6502" s="18"/>
      <c r="H6502" s="75">
        <v>1.2311</v>
      </c>
      <c r="I6502" s="75"/>
      <c r="J6502" s="18" t="s">
        <v>49</v>
      </c>
      <c r="K6502" s="75">
        <v>2200</v>
      </c>
      <c r="L6502" s="377">
        <v>41</v>
      </c>
      <c r="M6502" s="377">
        <v>5000</v>
      </c>
      <c r="N6502" s="75" t="s">
        <v>66</v>
      </c>
      <c r="O6502" s="75" t="s">
        <v>84</v>
      </c>
      <c r="P6502" s="378">
        <v>8808</v>
      </c>
      <c r="Q6502" s="75"/>
      <c r="R6502" s="75">
        <f t="shared" si="284"/>
        <v>8808</v>
      </c>
      <c r="S6502" s="379">
        <v>840</v>
      </c>
      <c r="T6502" s="75" t="s">
        <v>42</v>
      </c>
      <c r="U6502" s="137"/>
      <c r="V6502" s="193"/>
      <c r="W6502" s="18" t="s">
        <v>44</v>
      </c>
      <c r="X6502" s="18"/>
      <c r="Y6502" s="114"/>
      <c r="Z6502" s="18" t="s">
        <v>191</v>
      </c>
      <c r="AA6502" s="18" t="s">
        <v>46</v>
      </c>
      <c r="AB6502" s="18"/>
      <c r="AC6502" s="137"/>
      <c r="AD6502" s="77"/>
      <c r="AE6502" s="18" t="s">
        <v>48</v>
      </c>
      <c r="AF6502" s="18" t="s">
        <v>560</v>
      </c>
      <c r="AG6502" s="18"/>
      <c r="AH6502" s="18"/>
      <c r="AI6502" s="18"/>
      <c r="AJ6502" s="18"/>
      <c r="AK6502" s="18"/>
      <c r="AL6502" s="18"/>
      <c r="AM6502" s="18"/>
      <c r="AN6502" s="18"/>
      <c r="AO6502" s="18"/>
      <c r="AP6502" s="18"/>
      <c r="AQ6502" s="18"/>
      <c r="AR6502" s="18"/>
    </row>
    <row r="6503" s="25" customFormat="1" hidden="1" spans="1:44">
      <c r="A6503" s="17" t="s">
        <v>34</v>
      </c>
      <c r="B6503" s="19">
        <v>1065</v>
      </c>
      <c r="C6503" s="183">
        <v>45821</v>
      </c>
      <c r="D6503" s="17" t="s">
        <v>52</v>
      </c>
      <c r="E6503" s="17" t="s">
        <v>1555</v>
      </c>
      <c r="F6503" s="17" t="s">
        <v>54</v>
      </c>
      <c r="G6503" s="17"/>
      <c r="H6503" s="19">
        <v>1.2311</v>
      </c>
      <c r="I6503" s="19"/>
      <c r="J6503" s="17" t="s">
        <v>49</v>
      </c>
      <c r="K6503" s="19">
        <v>2200</v>
      </c>
      <c r="L6503" s="368">
        <v>45</v>
      </c>
      <c r="M6503" s="368">
        <v>5000</v>
      </c>
      <c r="N6503" s="19" t="s">
        <v>66</v>
      </c>
      <c r="O6503" s="19" t="s">
        <v>141</v>
      </c>
      <c r="P6503" s="369">
        <v>4836</v>
      </c>
      <c r="Q6503" s="19">
        <v>3986</v>
      </c>
      <c r="R6503" s="19">
        <f t="shared" si="284"/>
        <v>850</v>
      </c>
      <c r="S6503" s="176">
        <f>825-50</f>
        <v>775</v>
      </c>
      <c r="T6503" s="19" t="s">
        <v>42</v>
      </c>
      <c r="U6503" s="102" t="s">
        <v>1587</v>
      </c>
      <c r="V6503" s="186">
        <v>45856</v>
      </c>
      <c r="W6503" s="17" t="s">
        <v>44</v>
      </c>
      <c r="X6503" s="17"/>
      <c r="Y6503" s="68">
        <v>45870</v>
      </c>
      <c r="Z6503" s="17" t="s">
        <v>1588</v>
      </c>
      <c r="AA6503" s="17" t="s">
        <v>46</v>
      </c>
      <c r="AB6503" s="17" t="s">
        <v>1589</v>
      </c>
      <c r="AC6503" s="217">
        <v>45882</v>
      </c>
      <c r="AD6503" s="65">
        <v>1712</v>
      </c>
      <c r="AE6503" s="17" t="s">
        <v>48</v>
      </c>
      <c r="AF6503" s="17" t="s">
        <v>1577</v>
      </c>
      <c r="AG6503" s="17" t="s">
        <v>1456</v>
      </c>
      <c r="AH6503" s="17"/>
      <c r="AI6503" s="17"/>
      <c r="AJ6503" s="17"/>
      <c r="AK6503" s="17"/>
      <c r="AL6503" s="17"/>
      <c r="AM6503" s="17"/>
      <c r="AN6503" s="17"/>
      <c r="AO6503" s="17"/>
      <c r="AP6503" s="17"/>
      <c r="AQ6503" s="17"/>
      <c r="AR6503" s="17"/>
    </row>
    <row r="6504" s="25" customFormat="1" hidden="1" spans="1:44">
      <c r="A6504" s="17" t="s">
        <v>34</v>
      </c>
      <c r="B6504" s="19">
        <v>1065</v>
      </c>
      <c r="C6504" s="183">
        <v>45821</v>
      </c>
      <c r="D6504" s="17" t="s">
        <v>52</v>
      </c>
      <c r="E6504" s="17" t="s">
        <v>1555</v>
      </c>
      <c r="F6504" s="17" t="s">
        <v>54</v>
      </c>
      <c r="G6504" s="17"/>
      <c r="H6504" s="19">
        <v>1.2311</v>
      </c>
      <c r="I6504" s="19"/>
      <c r="J6504" s="17" t="s">
        <v>49</v>
      </c>
      <c r="K6504" s="19">
        <v>2200</v>
      </c>
      <c r="L6504" s="368">
        <v>51</v>
      </c>
      <c r="M6504" s="368">
        <v>5000</v>
      </c>
      <c r="N6504" s="19" t="s">
        <v>66</v>
      </c>
      <c r="O6504" s="19" t="s">
        <v>141</v>
      </c>
      <c r="P6504" s="369">
        <v>6131</v>
      </c>
      <c r="Q6504" s="19">
        <v>4476</v>
      </c>
      <c r="R6504" s="19">
        <f t="shared" si="284"/>
        <v>1655</v>
      </c>
      <c r="S6504" s="176">
        <f>825-50</f>
        <v>775</v>
      </c>
      <c r="T6504" s="19" t="s">
        <v>42</v>
      </c>
      <c r="U6504" s="102" t="s">
        <v>1587</v>
      </c>
      <c r="V6504" s="186">
        <v>45856</v>
      </c>
      <c r="W6504" s="17" t="s">
        <v>44</v>
      </c>
      <c r="X6504" s="17"/>
      <c r="Y6504" s="68">
        <v>45870</v>
      </c>
      <c r="Z6504" s="17" t="s">
        <v>1588</v>
      </c>
      <c r="AA6504" s="17" t="s">
        <v>46</v>
      </c>
      <c r="AB6504" s="17" t="s">
        <v>1589</v>
      </c>
      <c r="AC6504" s="217">
        <v>45882</v>
      </c>
      <c r="AD6504" s="65">
        <v>1712</v>
      </c>
      <c r="AE6504" s="17" t="s">
        <v>48</v>
      </c>
      <c r="AF6504" s="17" t="s">
        <v>1577</v>
      </c>
      <c r="AG6504" s="17" t="s">
        <v>1456</v>
      </c>
      <c r="AH6504" s="17"/>
      <c r="AI6504" s="17"/>
      <c r="AJ6504" s="17"/>
      <c r="AK6504" s="17"/>
      <c r="AL6504" s="17"/>
      <c r="AM6504" s="17"/>
      <c r="AN6504" s="17"/>
      <c r="AO6504" s="17"/>
      <c r="AP6504" s="17"/>
      <c r="AQ6504" s="17"/>
      <c r="AR6504" s="17"/>
    </row>
    <row r="6505" s="25" customFormat="1" hidden="1" spans="1:44">
      <c r="A6505" s="17" t="s">
        <v>34</v>
      </c>
      <c r="B6505" s="19">
        <v>1065</v>
      </c>
      <c r="C6505" s="183">
        <v>45821</v>
      </c>
      <c r="D6505" s="17" t="s">
        <v>52</v>
      </c>
      <c r="E6505" s="17" t="s">
        <v>1555</v>
      </c>
      <c r="F6505" s="17" t="s">
        <v>54</v>
      </c>
      <c r="G6505" s="17"/>
      <c r="H6505" s="19">
        <v>1.2311</v>
      </c>
      <c r="I6505" s="19"/>
      <c r="J6505" s="17" t="s">
        <v>49</v>
      </c>
      <c r="K6505" s="19">
        <v>2200</v>
      </c>
      <c r="L6505" s="368">
        <v>56</v>
      </c>
      <c r="M6505" s="368">
        <v>5000</v>
      </c>
      <c r="N6505" s="19" t="s">
        <v>66</v>
      </c>
      <c r="O6505" s="19" t="s">
        <v>141</v>
      </c>
      <c r="P6505" s="369">
        <v>14248</v>
      </c>
      <c r="Q6505" s="19">
        <v>5560</v>
      </c>
      <c r="R6505" s="19">
        <f t="shared" si="284"/>
        <v>8688</v>
      </c>
      <c r="S6505" s="176">
        <f>825-50</f>
        <v>775</v>
      </c>
      <c r="T6505" s="19" t="s">
        <v>42</v>
      </c>
      <c r="U6505" s="102" t="s">
        <v>1587</v>
      </c>
      <c r="V6505" s="186">
        <v>45856</v>
      </c>
      <c r="W6505" s="17" t="s">
        <v>44</v>
      </c>
      <c r="X6505" s="17"/>
      <c r="Y6505" s="68">
        <v>45870</v>
      </c>
      <c r="Z6505" s="17" t="s">
        <v>1588</v>
      </c>
      <c r="AA6505" s="17" t="s">
        <v>46</v>
      </c>
      <c r="AB6505" s="17" t="s">
        <v>1589</v>
      </c>
      <c r="AC6505" s="217">
        <v>45882</v>
      </c>
      <c r="AD6505" s="65">
        <v>1712</v>
      </c>
      <c r="AE6505" s="17" t="s">
        <v>48</v>
      </c>
      <c r="AF6505" s="17" t="s">
        <v>1577</v>
      </c>
      <c r="AG6505" s="17" t="s">
        <v>1456</v>
      </c>
      <c r="AH6505" s="17"/>
      <c r="AI6505" s="17"/>
      <c r="AJ6505" s="17"/>
      <c r="AK6505" s="17"/>
      <c r="AL6505" s="17"/>
      <c r="AM6505" s="17"/>
      <c r="AN6505" s="17"/>
      <c r="AO6505" s="17"/>
      <c r="AP6505" s="17"/>
      <c r="AQ6505" s="17"/>
      <c r="AR6505" s="17"/>
    </row>
    <row r="6506" hidden="1" spans="1:44">
      <c r="A6506" s="18"/>
      <c r="B6506" s="75">
        <v>1065</v>
      </c>
      <c r="C6506" s="213">
        <v>45821</v>
      </c>
      <c r="D6506" s="18" t="s">
        <v>52</v>
      </c>
      <c r="E6506" s="17" t="s">
        <v>1113</v>
      </c>
      <c r="F6506" s="18" t="s">
        <v>54</v>
      </c>
      <c r="G6506" s="18"/>
      <c r="H6506" s="75">
        <v>1.2311</v>
      </c>
      <c r="I6506" s="75"/>
      <c r="J6506" s="18" t="s">
        <v>49</v>
      </c>
      <c r="K6506" s="75">
        <v>2200</v>
      </c>
      <c r="L6506" s="377">
        <v>61</v>
      </c>
      <c r="M6506" s="377">
        <v>5000</v>
      </c>
      <c r="N6506" s="75" t="s">
        <v>66</v>
      </c>
      <c r="O6506" s="75" t="s">
        <v>84</v>
      </c>
      <c r="P6506" s="378">
        <v>3886</v>
      </c>
      <c r="Q6506" s="75"/>
      <c r="R6506" s="75">
        <f t="shared" si="284"/>
        <v>3886</v>
      </c>
      <c r="S6506" s="379">
        <v>840</v>
      </c>
      <c r="T6506" s="75" t="s">
        <v>42</v>
      </c>
      <c r="U6506" s="137"/>
      <c r="V6506" s="193"/>
      <c r="W6506" s="18" t="s">
        <v>44</v>
      </c>
      <c r="X6506" s="18"/>
      <c r="Y6506" s="114"/>
      <c r="Z6506" s="18" t="s">
        <v>191</v>
      </c>
      <c r="AA6506" s="18" t="s">
        <v>46</v>
      </c>
      <c r="AB6506" s="18"/>
      <c r="AC6506" s="137"/>
      <c r="AD6506" s="77"/>
      <c r="AE6506" s="18" t="s">
        <v>48</v>
      </c>
      <c r="AF6506" s="18" t="s">
        <v>560</v>
      </c>
      <c r="AG6506" s="18"/>
      <c r="AH6506" s="18"/>
      <c r="AI6506" s="18"/>
      <c r="AJ6506" s="18"/>
      <c r="AK6506" s="18"/>
      <c r="AL6506" s="18"/>
      <c r="AM6506" s="18"/>
      <c r="AN6506" s="18"/>
      <c r="AO6506" s="18"/>
      <c r="AP6506" s="18"/>
      <c r="AQ6506" s="18"/>
      <c r="AR6506" s="18"/>
    </row>
    <row r="6507" s="25" customFormat="1" hidden="1" spans="1:44">
      <c r="A6507" s="17" t="s">
        <v>34</v>
      </c>
      <c r="B6507" s="19">
        <v>1065</v>
      </c>
      <c r="C6507" s="183">
        <v>45821</v>
      </c>
      <c r="D6507" s="17" t="s">
        <v>52</v>
      </c>
      <c r="E6507" s="17" t="s">
        <v>1113</v>
      </c>
      <c r="F6507" s="17" t="s">
        <v>54</v>
      </c>
      <c r="G6507" s="17"/>
      <c r="H6507" s="19">
        <v>1.2311</v>
      </c>
      <c r="I6507" s="19"/>
      <c r="J6507" s="17" t="s">
        <v>49</v>
      </c>
      <c r="K6507" s="19">
        <v>2200</v>
      </c>
      <c r="L6507" s="368">
        <v>71</v>
      </c>
      <c r="M6507" s="368">
        <v>5000</v>
      </c>
      <c r="N6507" s="19" t="s">
        <v>66</v>
      </c>
      <c r="O6507" s="19" t="s">
        <v>84</v>
      </c>
      <c r="P6507" s="369">
        <v>2763</v>
      </c>
      <c r="Q6507" s="19">
        <v>6310</v>
      </c>
      <c r="R6507" s="19">
        <f t="shared" si="284"/>
        <v>-3547</v>
      </c>
      <c r="S6507" s="176">
        <f>840-50</f>
        <v>790</v>
      </c>
      <c r="T6507" s="19" t="s">
        <v>42</v>
      </c>
      <c r="U6507" s="102"/>
      <c r="V6507" s="186"/>
      <c r="W6507" s="17" t="s">
        <v>44</v>
      </c>
      <c r="X6507" s="17"/>
      <c r="Y6507" s="68"/>
      <c r="Z6507" s="17" t="s">
        <v>207</v>
      </c>
      <c r="AA6507" s="17" t="s">
        <v>46</v>
      </c>
      <c r="AB6507" s="17" t="s">
        <v>1576</v>
      </c>
      <c r="AC6507" s="217">
        <v>45863</v>
      </c>
      <c r="AD6507" s="65">
        <v>1710</v>
      </c>
      <c r="AE6507" s="17" t="s">
        <v>48</v>
      </c>
      <c r="AF6507" s="17" t="s">
        <v>1577</v>
      </c>
      <c r="AG6507" s="17" t="s">
        <v>1464</v>
      </c>
      <c r="AH6507" s="17"/>
      <c r="AI6507" s="17"/>
      <c r="AJ6507" s="17"/>
      <c r="AK6507" s="17"/>
      <c r="AL6507" s="17"/>
      <c r="AM6507" s="17"/>
      <c r="AN6507" s="17"/>
      <c r="AO6507" s="17"/>
      <c r="AP6507" s="17"/>
      <c r="AQ6507" s="17"/>
      <c r="AR6507" s="17"/>
    </row>
    <row r="6508" s="25" customFormat="1" hidden="1" spans="1:44">
      <c r="A6508" s="17" t="s">
        <v>34</v>
      </c>
      <c r="B6508" s="19">
        <v>1065</v>
      </c>
      <c r="C6508" s="183">
        <v>45821</v>
      </c>
      <c r="D6508" s="17" t="s">
        <v>52</v>
      </c>
      <c r="E6508" s="17" t="s">
        <v>1113</v>
      </c>
      <c r="F6508" s="17" t="s">
        <v>54</v>
      </c>
      <c r="G6508" s="17"/>
      <c r="H6508" s="19">
        <v>1.2311</v>
      </c>
      <c r="I6508" s="19"/>
      <c r="J6508" s="17" t="s">
        <v>49</v>
      </c>
      <c r="K6508" s="147">
        <v>2200</v>
      </c>
      <c r="L6508" s="380">
        <v>210</v>
      </c>
      <c r="M6508" s="368">
        <v>5000</v>
      </c>
      <c r="N6508" s="19" t="s">
        <v>66</v>
      </c>
      <c r="O6508" s="19" t="s">
        <v>84</v>
      </c>
      <c r="P6508" s="369">
        <v>18134</v>
      </c>
      <c r="Q6508" s="19">
        <v>16140</v>
      </c>
      <c r="R6508" s="19">
        <f t="shared" si="284"/>
        <v>1994</v>
      </c>
      <c r="S6508" s="176">
        <v>1000</v>
      </c>
      <c r="T6508" s="19" t="s">
        <v>42</v>
      </c>
      <c r="U6508" s="102"/>
      <c r="V6508" s="186"/>
      <c r="W6508" s="17" t="s">
        <v>44</v>
      </c>
      <c r="X6508" s="17"/>
      <c r="Y6508" s="68"/>
      <c r="Z6508" s="17" t="s">
        <v>207</v>
      </c>
      <c r="AA6508" s="17" t="s">
        <v>46</v>
      </c>
      <c r="AB6508" s="17" t="s">
        <v>1576</v>
      </c>
      <c r="AC6508" s="217">
        <v>45863</v>
      </c>
      <c r="AD6508" s="65">
        <v>1710</v>
      </c>
      <c r="AE6508" s="17" t="s">
        <v>48</v>
      </c>
      <c r="AF6508" s="17" t="s">
        <v>560</v>
      </c>
      <c r="AG6508" s="17" t="s">
        <v>1464</v>
      </c>
      <c r="AI6508" s="17"/>
      <c r="AJ6508" s="17"/>
      <c r="AK6508" s="17"/>
      <c r="AL6508" s="17"/>
      <c r="AM6508" s="17"/>
      <c r="AN6508" s="17"/>
      <c r="AO6508" s="17"/>
      <c r="AP6508" s="17"/>
      <c r="AQ6508" s="17"/>
      <c r="AR6508" s="17"/>
    </row>
    <row r="6509" hidden="1" spans="1:44">
      <c r="A6509" s="18"/>
      <c r="B6509" s="75">
        <v>1066</v>
      </c>
      <c r="C6509" s="213">
        <v>45822</v>
      </c>
      <c r="D6509" s="18" t="s">
        <v>1550</v>
      </c>
      <c r="E6509" s="18" t="s">
        <v>1551</v>
      </c>
      <c r="F6509" s="18" t="s">
        <v>54</v>
      </c>
      <c r="G6509" s="18"/>
      <c r="H6509" s="75">
        <v>1.2311</v>
      </c>
      <c r="I6509" s="75"/>
      <c r="J6509" s="18" t="s">
        <v>82</v>
      </c>
      <c r="K6509" s="381">
        <v>510</v>
      </c>
      <c r="L6509" s="381">
        <v>32</v>
      </c>
      <c r="M6509" s="381">
        <v>2220</v>
      </c>
      <c r="N6509" s="382" t="s">
        <v>66</v>
      </c>
      <c r="O6509" s="382" t="s">
        <v>84</v>
      </c>
      <c r="P6509" s="381">
        <v>276</v>
      </c>
      <c r="Q6509" s="75"/>
      <c r="R6509" s="75">
        <f t="shared" si="284"/>
        <v>276</v>
      </c>
      <c r="S6509" s="75">
        <v>100</v>
      </c>
      <c r="T6509" s="75" t="s">
        <v>421</v>
      </c>
      <c r="U6509" s="137"/>
      <c r="V6509" s="193"/>
      <c r="W6509" s="18"/>
      <c r="X6509" s="18"/>
      <c r="Y6509" s="114"/>
      <c r="Z6509" s="18"/>
      <c r="AA6509" s="18"/>
      <c r="AB6509" s="18"/>
      <c r="AC6509" s="137"/>
      <c r="AD6509" s="77"/>
      <c r="AE6509" s="18" t="s">
        <v>48</v>
      </c>
      <c r="AF6509" s="18"/>
      <c r="AG6509" s="18"/>
      <c r="AH6509" s="18"/>
      <c r="AI6509" s="18"/>
      <c r="AJ6509" s="18"/>
      <c r="AK6509" s="18"/>
      <c r="AL6509" s="18"/>
      <c r="AM6509" s="18"/>
      <c r="AN6509" s="18"/>
      <c r="AO6509" s="18"/>
      <c r="AP6509" s="18"/>
      <c r="AQ6509" s="18"/>
      <c r="AR6509" s="18"/>
    </row>
    <row r="6510" hidden="1" spans="1:44">
      <c r="A6510" s="18"/>
      <c r="B6510" s="75">
        <v>1066</v>
      </c>
      <c r="C6510" s="213">
        <v>45822</v>
      </c>
      <c r="D6510" s="18" t="s">
        <v>1550</v>
      </c>
      <c r="E6510" s="18" t="s">
        <v>1551</v>
      </c>
      <c r="F6510" s="18" t="s">
        <v>54</v>
      </c>
      <c r="G6510" s="18"/>
      <c r="H6510" s="75">
        <v>1.2311</v>
      </c>
      <c r="I6510" s="75"/>
      <c r="J6510" s="18" t="s">
        <v>82</v>
      </c>
      <c r="K6510" s="381">
        <v>510</v>
      </c>
      <c r="L6510" s="381">
        <v>32</v>
      </c>
      <c r="M6510" s="383">
        <v>2220</v>
      </c>
      <c r="N6510" s="382" t="s">
        <v>66</v>
      </c>
      <c r="O6510" s="382" t="s">
        <v>84</v>
      </c>
      <c r="P6510" s="383">
        <v>276</v>
      </c>
      <c r="Q6510" s="75"/>
      <c r="R6510" s="75">
        <f t="shared" si="284"/>
        <v>276</v>
      </c>
      <c r="S6510" s="75">
        <v>100</v>
      </c>
      <c r="T6510" s="75" t="s">
        <v>421</v>
      </c>
      <c r="U6510" s="137"/>
      <c r="V6510" s="193"/>
      <c r="W6510" s="18"/>
      <c r="X6510" s="18"/>
      <c r="Y6510" s="114"/>
      <c r="Z6510" s="18"/>
      <c r="AA6510" s="18"/>
      <c r="AB6510" s="18"/>
      <c r="AC6510" s="137"/>
      <c r="AD6510" s="77"/>
      <c r="AE6510" s="18" t="s">
        <v>48</v>
      </c>
      <c r="AF6510" s="18"/>
      <c r="AG6510" s="18"/>
      <c r="AH6510" s="18"/>
      <c r="AI6510" s="18"/>
      <c r="AJ6510" s="18"/>
      <c r="AK6510" s="18"/>
      <c r="AL6510" s="18"/>
      <c r="AM6510" s="18"/>
      <c r="AN6510" s="18"/>
      <c r="AO6510" s="18"/>
      <c r="AP6510" s="18"/>
      <c r="AQ6510" s="18"/>
      <c r="AR6510" s="18"/>
    </row>
    <row r="6511" hidden="1" spans="1:44">
      <c r="A6511" s="18"/>
      <c r="B6511" s="75">
        <v>1066</v>
      </c>
      <c r="C6511" s="213">
        <v>45822</v>
      </c>
      <c r="D6511" s="18" t="s">
        <v>1550</v>
      </c>
      <c r="E6511" s="18" t="s">
        <v>1551</v>
      </c>
      <c r="F6511" s="18" t="s">
        <v>54</v>
      </c>
      <c r="G6511" s="18"/>
      <c r="H6511" s="75">
        <v>1.2311</v>
      </c>
      <c r="I6511" s="75"/>
      <c r="J6511" s="18" t="s">
        <v>82</v>
      </c>
      <c r="K6511" s="381">
        <v>510</v>
      </c>
      <c r="L6511" s="381">
        <v>32</v>
      </c>
      <c r="M6511" s="383">
        <v>2220</v>
      </c>
      <c r="N6511" s="382" t="s">
        <v>66</v>
      </c>
      <c r="O6511" s="382" t="s">
        <v>84</v>
      </c>
      <c r="P6511" s="383">
        <v>276</v>
      </c>
      <c r="Q6511" s="75"/>
      <c r="R6511" s="75">
        <f t="shared" si="284"/>
        <v>276</v>
      </c>
      <c r="S6511" s="75">
        <v>100</v>
      </c>
      <c r="T6511" s="75" t="s">
        <v>421</v>
      </c>
      <c r="U6511" s="137"/>
      <c r="V6511" s="193"/>
      <c r="W6511" s="18"/>
      <c r="X6511" s="18"/>
      <c r="Y6511" s="114"/>
      <c r="Z6511" s="18"/>
      <c r="AA6511" s="18"/>
      <c r="AB6511" s="18"/>
      <c r="AC6511" s="137"/>
      <c r="AD6511" s="77"/>
      <c r="AE6511" s="18" t="s">
        <v>48</v>
      </c>
      <c r="AF6511" s="18"/>
      <c r="AG6511" s="18"/>
      <c r="AH6511" s="18"/>
      <c r="AI6511" s="18"/>
      <c r="AJ6511" s="18"/>
      <c r="AK6511" s="18"/>
      <c r="AL6511" s="18"/>
      <c r="AM6511" s="18"/>
      <c r="AN6511" s="18"/>
      <c r="AO6511" s="18"/>
      <c r="AP6511" s="18"/>
      <c r="AQ6511" s="18"/>
      <c r="AR6511" s="18"/>
    </row>
    <row r="6512" hidden="1" spans="1:44">
      <c r="A6512" s="18"/>
      <c r="B6512" s="75">
        <v>1066</v>
      </c>
      <c r="C6512" s="213">
        <v>45822</v>
      </c>
      <c r="D6512" s="18" t="s">
        <v>1550</v>
      </c>
      <c r="E6512" s="18" t="s">
        <v>1551</v>
      </c>
      <c r="F6512" s="18" t="s">
        <v>54</v>
      </c>
      <c r="G6512" s="18"/>
      <c r="H6512" s="75">
        <v>1.2311</v>
      </c>
      <c r="I6512" s="75"/>
      <c r="J6512" s="18" t="s">
        <v>82</v>
      </c>
      <c r="K6512" s="381">
        <v>510</v>
      </c>
      <c r="L6512" s="381">
        <v>32</v>
      </c>
      <c r="M6512" s="383">
        <v>2220</v>
      </c>
      <c r="N6512" s="382" t="s">
        <v>66</v>
      </c>
      <c r="O6512" s="382" t="s">
        <v>84</v>
      </c>
      <c r="P6512" s="383">
        <v>276</v>
      </c>
      <c r="Q6512" s="75"/>
      <c r="R6512" s="75">
        <f t="shared" si="284"/>
        <v>276</v>
      </c>
      <c r="S6512" s="75">
        <v>100</v>
      </c>
      <c r="T6512" s="75" t="s">
        <v>421</v>
      </c>
      <c r="U6512" s="137"/>
      <c r="V6512" s="193"/>
      <c r="W6512" s="18"/>
      <c r="X6512" s="18"/>
      <c r="Y6512" s="114"/>
      <c r="Z6512" s="18"/>
      <c r="AA6512" s="18"/>
      <c r="AB6512" s="18"/>
      <c r="AC6512" s="137"/>
      <c r="AD6512" s="77"/>
      <c r="AE6512" s="18" t="s">
        <v>48</v>
      </c>
      <c r="AF6512" s="18"/>
      <c r="AG6512" s="18"/>
      <c r="AH6512" s="18"/>
      <c r="AI6512" s="18"/>
      <c r="AJ6512" s="18"/>
      <c r="AK6512" s="18"/>
      <c r="AL6512" s="18"/>
      <c r="AM6512" s="18"/>
      <c r="AN6512" s="18"/>
      <c r="AO6512" s="18"/>
      <c r="AP6512" s="18"/>
      <c r="AQ6512" s="18"/>
      <c r="AR6512" s="18"/>
    </row>
    <row r="6513" hidden="1" spans="1:44">
      <c r="A6513" s="18"/>
      <c r="B6513" s="75">
        <v>1066</v>
      </c>
      <c r="C6513" s="213">
        <v>45822</v>
      </c>
      <c r="D6513" s="18" t="s">
        <v>1550</v>
      </c>
      <c r="E6513" s="18" t="s">
        <v>1551</v>
      </c>
      <c r="F6513" s="18" t="s">
        <v>54</v>
      </c>
      <c r="G6513" s="18"/>
      <c r="H6513" s="75">
        <v>1.2311</v>
      </c>
      <c r="I6513" s="75"/>
      <c r="J6513" s="18" t="s">
        <v>82</v>
      </c>
      <c r="K6513" s="381">
        <v>510</v>
      </c>
      <c r="L6513" s="381">
        <v>32</v>
      </c>
      <c r="M6513" s="383">
        <v>2220</v>
      </c>
      <c r="N6513" s="382" t="s">
        <v>66</v>
      </c>
      <c r="O6513" s="382" t="s">
        <v>84</v>
      </c>
      <c r="P6513" s="383">
        <v>276</v>
      </c>
      <c r="Q6513" s="75"/>
      <c r="R6513" s="75">
        <f t="shared" si="284"/>
        <v>276</v>
      </c>
      <c r="S6513" s="75">
        <v>100</v>
      </c>
      <c r="T6513" s="75" t="s">
        <v>421</v>
      </c>
      <c r="U6513" s="137"/>
      <c r="V6513" s="193"/>
      <c r="W6513" s="18"/>
      <c r="X6513" s="18"/>
      <c r="Y6513" s="114"/>
      <c r="Z6513" s="18"/>
      <c r="AA6513" s="18"/>
      <c r="AB6513" s="18"/>
      <c r="AC6513" s="137"/>
      <c r="AD6513" s="77"/>
      <c r="AE6513" s="18" t="s">
        <v>48</v>
      </c>
      <c r="AF6513" s="18"/>
      <c r="AG6513" s="18"/>
      <c r="AH6513" s="18"/>
      <c r="AI6513" s="18"/>
      <c r="AJ6513" s="18"/>
      <c r="AK6513" s="18"/>
      <c r="AL6513" s="18"/>
      <c r="AM6513" s="18"/>
      <c r="AN6513" s="18"/>
      <c r="AO6513" s="18"/>
      <c r="AP6513" s="18"/>
      <c r="AQ6513" s="18"/>
      <c r="AR6513" s="18"/>
    </row>
    <row r="6514" hidden="1" spans="1:44">
      <c r="A6514" s="18"/>
      <c r="B6514" s="75">
        <v>1066</v>
      </c>
      <c r="C6514" s="213">
        <v>45822</v>
      </c>
      <c r="D6514" s="18" t="s">
        <v>1550</v>
      </c>
      <c r="E6514" s="18" t="s">
        <v>1551</v>
      </c>
      <c r="F6514" s="18" t="s">
        <v>54</v>
      </c>
      <c r="G6514" s="18"/>
      <c r="H6514" s="75">
        <v>1.2311</v>
      </c>
      <c r="I6514" s="75"/>
      <c r="J6514" s="18" t="s">
        <v>82</v>
      </c>
      <c r="K6514" s="381">
        <v>510</v>
      </c>
      <c r="L6514" s="381">
        <v>40</v>
      </c>
      <c r="M6514" s="383">
        <v>2220</v>
      </c>
      <c r="N6514" s="382" t="s">
        <v>66</v>
      </c>
      <c r="O6514" s="382" t="s">
        <v>84</v>
      </c>
      <c r="P6514" s="383">
        <v>364</v>
      </c>
      <c r="Q6514" s="75"/>
      <c r="R6514" s="75">
        <f t="shared" si="284"/>
        <v>364</v>
      </c>
      <c r="S6514" s="75">
        <v>100</v>
      </c>
      <c r="T6514" s="75" t="s">
        <v>421</v>
      </c>
      <c r="U6514" s="137"/>
      <c r="V6514" s="193"/>
      <c r="W6514" s="18"/>
      <c r="X6514" s="18"/>
      <c r="Y6514" s="114"/>
      <c r="Z6514" s="18"/>
      <c r="AA6514" s="18"/>
      <c r="AB6514" s="18"/>
      <c r="AC6514" s="137"/>
      <c r="AD6514" s="77"/>
      <c r="AE6514" s="18" t="s">
        <v>48</v>
      </c>
      <c r="AF6514" s="18"/>
      <c r="AG6514" s="18"/>
      <c r="AH6514" s="18"/>
      <c r="AI6514" s="18"/>
      <c r="AJ6514" s="18"/>
      <c r="AK6514" s="18"/>
      <c r="AL6514" s="18"/>
      <c r="AM6514" s="18"/>
      <c r="AN6514" s="18"/>
      <c r="AO6514" s="18"/>
      <c r="AP6514" s="18"/>
      <c r="AQ6514" s="18"/>
      <c r="AR6514" s="18"/>
    </row>
    <row r="6515" hidden="1" spans="1:44">
      <c r="A6515" s="18"/>
      <c r="B6515" s="75">
        <v>1066</v>
      </c>
      <c r="C6515" s="213">
        <v>45822</v>
      </c>
      <c r="D6515" s="18" t="s">
        <v>1550</v>
      </c>
      <c r="E6515" s="18" t="s">
        <v>1551</v>
      </c>
      <c r="F6515" s="18" t="s">
        <v>54</v>
      </c>
      <c r="G6515" s="18"/>
      <c r="H6515" s="75">
        <v>1.2311</v>
      </c>
      <c r="I6515" s="75"/>
      <c r="J6515" s="18" t="s">
        <v>82</v>
      </c>
      <c r="K6515" s="381">
        <v>510</v>
      </c>
      <c r="L6515" s="381">
        <v>40</v>
      </c>
      <c r="M6515" s="383">
        <v>2220</v>
      </c>
      <c r="N6515" s="382" t="s">
        <v>66</v>
      </c>
      <c r="O6515" s="382" t="s">
        <v>84</v>
      </c>
      <c r="P6515" s="383">
        <v>364</v>
      </c>
      <c r="Q6515" s="75"/>
      <c r="R6515" s="75">
        <f t="shared" si="284"/>
        <v>364</v>
      </c>
      <c r="S6515" s="75">
        <v>100</v>
      </c>
      <c r="T6515" s="75" t="s">
        <v>421</v>
      </c>
      <c r="U6515" s="137"/>
      <c r="V6515" s="193"/>
      <c r="W6515" s="18"/>
      <c r="X6515" s="18"/>
      <c r="Y6515" s="114"/>
      <c r="Z6515" s="18"/>
      <c r="AA6515" s="18"/>
      <c r="AB6515" s="18"/>
      <c r="AC6515" s="137"/>
      <c r="AD6515" s="77"/>
      <c r="AE6515" s="18" t="s">
        <v>48</v>
      </c>
      <c r="AF6515" s="18"/>
      <c r="AG6515" s="18"/>
      <c r="AH6515" s="18"/>
      <c r="AI6515" s="18"/>
      <c r="AJ6515" s="18"/>
      <c r="AK6515" s="18"/>
      <c r="AL6515" s="18"/>
      <c r="AM6515" s="18"/>
      <c r="AN6515" s="18"/>
      <c r="AO6515" s="18"/>
      <c r="AP6515" s="18"/>
      <c r="AQ6515" s="18"/>
      <c r="AR6515" s="18"/>
    </row>
    <row r="6516" hidden="1" spans="1:44">
      <c r="A6516" s="18"/>
      <c r="B6516" s="75">
        <v>1066</v>
      </c>
      <c r="C6516" s="213">
        <v>45822</v>
      </c>
      <c r="D6516" s="18" t="s">
        <v>1550</v>
      </c>
      <c r="E6516" s="18" t="s">
        <v>1551</v>
      </c>
      <c r="F6516" s="18" t="s">
        <v>54</v>
      </c>
      <c r="G6516" s="18"/>
      <c r="H6516" s="75">
        <v>1.2311</v>
      </c>
      <c r="I6516" s="75"/>
      <c r="J6516" s="18" t="s">
        <v>82</v>
      </c>
      <c r="K6516" s="381">
        <v>510</v>
      </c>
      <c r="L6516" s="381">
        <v>65</v>
      </c>
      <c r="M6516" s="383">
        <v>2220</v>
      </c>
      <c r="N6516" s="382" t="s">
        <v>66</v>
      </c>
      <c r="O6516" s="382" t="s">
        <v>84</v>
      </c>
      <c r="P6516" s="383">
        <v>586</v>
      </c>
      <c r="Q6516" s="75"/>
      <c r="R6516" s="75">
        <f t="shared" si="284"/>
        <v>586</v>
      </c>
      <c r="S6516" s="75">
        <v>100</v>
      </c>
      <c r="T6516" s="75" t="s">
        <v>421</v>
      </c>
      <c r="U6516" s="137"/>
      <c r="V6516" s="193"/>
      <c r="W6516" s="18"/>
      <c r="X6516" s="18"/>
      <c r="Y6516" s="114"/>
      <c r="Z6516" s="18"/>
      <c r="AA6516" s="18"/>
      <c r="AB6516" s="18"/>
      <c r="AC6516" s="137"/>
      <c r="AD6516" s="77"/>
      <c r="AE6516" s="18" t="s">
        <v>48</v>
      </c>
      <c r="AF6516" s="18"/>
      <c r="AG6516" s="18"/>
      <c r="AH6516" s="18"/>
      <c r="AI6516" s="18"/>
      <c r="AJ6516" s="18"/>
      <c r="AK6516" s="18"/>
      <c r="AL6516" s="18"/>
      <c r="AM6516" s="18"/>
      <c r="AN6516" s="18"/>
      <c r="AO6516" s="18"/>
      <c r="AP6516" s="18"/>
      <c r="AQ6516" s="18"/>
      <c r="AR6516" s="18"/>
    </row>
    <row r="6517" hidden="1" spans="1:44">
      <c r="A6517" s="18"/>
      <c r="B6517" s="75">
        <v>1066</v>
      </c>
      <c r="C6517" s="213">
        <v>45822</v>
      </c>
      <c r="D6517" s="18" t="s">
        <v>1550</v>
      </c>
      <c r="E6517" s="18" t="s">
        <v>1551</v>
      </c>
      <c r="F6517" s="18" t="s">
        <v>54</v>
      </c>
      <c r="G6517" s="18"/>
      <c r="H6517" s="75">
        <v>1.2311</v>
      </c>
      <c r="I6517" s="75"/>
      <c r="J6517" s="18" t="s">
        <v>82</v>
      </c>
      <c r="K6517" s="381">
        <v>510</v>
      </c>
      <c r="L6517" s="381">
        <v>120</v>
      </c>
      <c r="M6517" s="383">
        <v>2220</v>
      </c>
      <c r="N6517" s="382" t="s">
        <v>66</v>
      </c>
      <c r="O6517" s="382" t="s">
        <v>84</v>
      </c>
      <c r="P6517" s="383">
        <v>1074</v>
      </c>
      <c r="Q6517" s="75"/>
      <c r="R6517" s="75">
        <f t="shared" si="284"/>
        <v>1074</v>
      </c>
      <c r="S6517" s="75">
        <v>100</v>
      </c>
      <c r="T6517" s="75" t="s">
        <v>421</v>
      </c>
      <c r="U6517" s="137"/>
      <c r="V6517" s="193"/>
      <c r="W6517" s="18"/>
      <c r="X6517" s="18"/>
      <c r="Y6517" s="114"/>
      <c r="Z6517" s="18"/>
      <c r="AA6517" s="18"/>
      <c r="AB6517" s="18"/>
      <c r="AC6517" s="137"/>
      <c r="AD6517" s="77"/>
      <c r="AE6517" s="18" t="s">
        <v>48</v>
      </c>
      <c r="AF6517" s="18"/>
      <c r="AG6517" s="18"/>
      <c r="AH6517" s="18"/>
      <c r="AI6517" s="18"/>
      <c r="AJ6517" s="18"/>
      <c r="AK6517" s="18"/>
      <c r="AL6517" s="18"/>
      <c r="AM6517" s="18"/>
      <c r="AN6517" s="18"/>
      <c r="AO6517" s="18"/>
      <c r="AP6517" s="18"/>
      <c r="AQ6517" s="18"/>
      <c r="AR6517" s="18"/>
    </row>
    <row r="6518" hidden="1" spans="1:44">
      <c r="A6518" s="18"/>
      <c r="B6518" s="75">
        <v>1066</v>
      </c>
      <c r="C6518" s="213">
        <v>45822</v>
      </c>
      <c r="D6518" s="18" t="s">
        <v>1550</v>
      </c>
      <c r="E6518" s="18" t="s">
        <v>1551</v>
      </c>
      <c r="F6518" s="18" t="s">
        <v>54</v>
      </c>
      <c r="G6518" s="18"/>
      <c r="H6518" s="75">
        <v>1.2311</v>
      </c>
      <c r="I6518" s="75"/>
      <c r="J6518" s="18" t="s">
        <v>82</v>
      </c>
      <c r="K6518" s="381">
        <v>510</v>
      </c>
      <c r="L6518" s="381">
        <v>110</v>
      </c>
      <c r="M6518" s="383">
        <v>2220</v>
      </c>
      <c r="N6518" s="382" t="s">
        <v>66</v>
      </c>
      <c r="O6518" s="382" t="s">
        <v>84</v>
      </c>
      <c r="P6518" s="383">
        <v>988</v>
      </c>
      <c r="Q6518" s="75"/>
      <c r="R6518" s="75">
        <f t="shared" si="284"/>
        <v>988</v>
      </c>
      <c r="S6518" s="75">
        <v>100</v>
      </c>
      <c r="T6518" s="75" t="s">
        <v>421</v>
      </c>
      <c r="U6518" s="137"/>
      <c r="V6518" s="193"/>
      <c r="W6518" s="18"/>
      <c r="X6518" s="18"/>
      <c r="Y6518" s="114"/>
      <c r="Z6518" s="18"/>
      <c r="AA6518" s="18"/>
      <c r="AB6518" s="18"/>
      <c r="AC6518" s="137"/>
      <c r="AD6518" s="77"/>
      <c r="AE6518" s="18" t="s">
        <v>48</v>
      </c>
      <c r="AF6518" s="18"/>
      <c r="AG6518" s="18"/>
      <c r="AH6518" s="18"/>
      <c r="AI6518" s="18"/>
      <c r="AJ6518" s="18"/>
      <c r="AK6518" s="18"/>
      <c r="AL6518" s="18"/>
      <c r="AM6518" s="18"/>
      <c r="AN6518" s="18"/>
      <c r="AO6518" s="18"/>
      <c r="AP6518" s="18"/>
      <c r="AQ6518" s="18"/>
      <c r="AR6518" s="18"/>
    </row>
    <row r="6519" hidden="1" spans="1:44">
      <c r="A6519" s="18"/>
      <c r="B6519" s="75">
        <v>1066</v>
      </c>
      <c r="C6519" s="213">
        <v>45822</v>
      </c>
      <c r="D6519" s="18" t="s">
        <v>1550</v>
      </c>
      <c r="E6519" s="18" t="s">
        <v>1551</v>
      </c>
      <c r="F6519" s="18" t="s">
        <v>54</v>
      </c>
      <c r="G6519" s="18"/>
      <c r="H6519" s="75">
        <v>1.2311</v>
      </c>
      <c r="I6519" s="75"/>
      <c r="J6519" s="18" t="s">
        <v>82</v>
      </c>
      <c r="K6519" s="381">
        <v>350</v>
      </c>
      <c r="L6519" s="381">
        <v>65</v>
      </c>
      <c r="M6519" s="383">
        <v>2220</v>
      </c>
      <c r="N6519" s="382" t="s">
        <v>66</v>
      </c>
      <c r="O6519" s="382" t="s">
        <v>84</v>
      </c>
      <c r="P6519" s="383">
        <v>406</v>
      </c>
      <c r="Q6519" s="75"/>
      <c r="R6519" s="75">
        <f t="shared" si="284"/>
        <v>406</v>
      </c>
      <c r="S6519" s="75">
        <v>100</v>
      </c>
      <c r="T6519" s="75" t="s">
        <v>421</v>
      </c>
      <c r="U6519" s="137"/>
      <c r="V6519" s="193"/>
      <c r="W6519" s="18"/>
      <c r="X6519" s="18"/>
      <c r="Y6519" s="114"/>
      <c r="Z6519" s="18"/>
      <c r="AA6519" s="18"/>
      <c r="AB6519" s="18"/>
      <c r="AC6519" s="137"/>
      <c r="AD6519" s="77"/>
      <c r="AE6519" s="18" t="s">
        <v>48</v>
      </c>
      <c r="AF6519" s="18"/>
      <c r="AG6519" s="18"/>
      <c r="AH6519" s="18"/>
      <c r="AI6519" s="18"/>
      <c r="AJ6519" s="18"/>
      <c r="AK6519" s="18"/>
      <c r="AL6519" s="18"/>
      <c r="AM6519" s="18"/>
      <c r="AN6519" s="18"/>
      <c r="AO6519" s="18"/>
      <c r="AP6519" s="18"/>
      <c r="AQ6519" s="18"/>
      <c r="AR6519" s="18"/>
    </row>
    <row r="6520" hidden="1" spans="1:44">
      <c r="A6520" s="18"/>
      <c r="B6520" s="75">
        <v>1066</v>
      </c>
      <c r="C6520" s="213">
        <v>45822</v>
      </c>
      <c r="D6520" s="18" t="s">
        <v>1550</v>
      </c>
      <c r="E6520" s="18" t="s">
        <v>1551</v>
      </c>
      <c r="F6520" s="18" t="s">
        <v>54</v>
      </c>
      <c r="G6520" s="18"/>
      <c r="H6520" s="75">
        <v>1.2311</v>
      </c>
      <c r="I6520" s="75"/>
      <c r="J6520" s="18" t="s">
        <v>82</v>
      </c>
      <c r="K6520" s="381">
        <v>350</v>
      </c>
      <c r="L6520" s="381">
        <v>65</v>
      </c>
      <c r="M6520" s="383">
        <v>2220</v>
      </c>
      <c r="N6520" s="382" t="s">
        <v>66</v>
      </c>
      <c r="O6520" s="382" t="s">
        <v>84</v>
      </c>
      <c r="P6520" s="383">
        <v>407</v>
      </c>
      <c r="Q6520" s="75"/>
      <c r="R6520" s="75">
        <f t="shared" si="284"/>
        <v>407</v>
      </c>
      <c r="S6520" s="75">
        <v>100</v>
      </c>
      <c r="T6520" s="75" t="s">
        <v>421</v>
      </c>
      <c r="U6520" s="137"/>
      <c r="V6520" s="193"/>
      <c r="W6520" s="18"/>
      <c r="X6520" s="18"/>
      <c r="Y6520" s="114"/>
      <c r="Z6520" s="18"/>
      <c r="AA6520" s="18"/>
      <c r="AB6520" s="18"/>
      <c r="AC6520" s="137"/>
      <c r="AD6520" s="77"/>
      <c r="AE6520" s="18" t="s">
        <v>48</v>
      </c>
      <c r="AF6520" s="18"/>
      <c r="AG6520" s="18"/>
      <c r="AH6520" s="18"/>
      <c r="AI6520" s="18"/>
      <c r="AJ6520" s="18"/>
      <c r="AK6520" s="18"/>
      <c r="AL6520" s="18"/>
      <c r="AM6520" s="18"/>
      <c r="AN6520" s="18"/>
      <c r="AO6520" s="18"/>
      <c r="AP6520" s="18"/>
      <c r="AQ6520" s="18"/>
      <c r="AR6520" s="18"/>
    </row>
    <row r="6521" hidden="1" spans="1:44">
      <c r="A6521" s="18"/>
      <c r="B6521" s="75">
        <v>1066</v>
      </c>
      <c r="C6521" s="213">
        <v>45822</v>
      </c>
      <c r="D6521" s="18" t="s">
        <v>1550</v>
      </c>
      <c r="E6521" s="18" t="s">
        <v>1551</v>
      </c>
      <c r="F6521" s="18" t="s">
        <v>54</v>
      </c>
      <c r="G6521" s="18"/>
      <c r="H6521" s="75">
        <v>1.2311</v>
      </c>
      <c r="I6521" s="75"/>
      <c r="J6521" s="18" t="s">
        <v>82</v>
      </c>
      <c r="K6521" s="381">
        <v>350</v>
      </c>
      <c r="L6521" s="381">
        <v>65</v>
      </c>
      <c r="M6521" s="383">
        <v>2220</v>
      </c>
      <c r="N6521" s="382" t="s">
        <v>66</v>
      </c>
      <c r="O6521" s="382" t="s">
        <v>84</v>
      </c>
      <c r="P6521" s="383">
        <v>407</v>
      </c>
      <c r="Q6521" s="75"/>
      <c r="R6521" s="75">
        <f t="shared" si="284"/>
        <v>407</v>
      </c>
      <c r="S6521" s="75">
        <v>100</v>
      </c>
      <c r="T6521" s="75" t="s">
        <v>421</v>
      </c>
      <c r="U6521" s="137"/>
      <c r="V6521" s="193"/>
      <c r="W6521" s="18"/>
      <c r="X6521" s="18"/>
      <c r="Y6521" s="114"/>
      <c r="Z6521" s="18"/>
      <c r="AA6521" s="18"/>
      <c r="AB6521" s="18"/>
      <c r="AC6521" s="137"/>
      <c r="AD6521" s="77"/>
      <c r="AE6521" s="18" t="s">
        <v>48</v>
      </c>
      <c r="AF6521" s="18"/>
      <c r="AG6521" s="18"/>
      <c r="AH6521" s="18"/>
      <c r="AI6521" s="18"/>
      <c r="AJ6521" s="18"/>
      <c r="AK6521" s="18"/>
      <c r="AL6521" s="18"/>
      <c r="AM6521" s="18"/>
      <c r="AN6521" s="18"/>
      <c r="AO6521" s="18"/>
      <c r="AP6521" s="18"/>
      <c r="AQ6521" s="18"/>
      <c r="AR6521" s="18"/>
    </row>
    <row r="6522" hidden="1" spans="1:44">
      <c r="A6522" s="18"/>
      <c r="B6522" s="75">
        <v>1066</v>
      </c>
      <c r="C6522" s="213">
        <v>45822</v>
      </c>
      <c r="D6522" s="18" t="s">
        <v>1550</v>
      </c>
      <c r="E6522" s="18" t="s">
        <v>1551</v>
      </c>
      <c r="F6522" s="18" t="s">
        <v>54</v>
      </c>
      <c r="G6522" s="18"/>
      <c r="H6522" s="75">
        <v>1.2311</v>
      </c>
      <c r="I6522" s="75"/>
      <c r="J6522" s="18" t="s">
        <v>82</v>
      </c>
      <c r="K6522" s="381">
        <v>305</v>
      </c>
      <c r="L6522" s="381">
        <v>40</v>
      </c>
      <c r="M6522" s="383">
        <v>2220</v>
      </c>
      <c r="N6522" s="382" t="s">
        <v>66</v>
      </c>
      <c r="O6522" s="382" t="s">
        <v>84</v>
      </c>
      <c r="P6522" s="383">
        <v>217</v>
      </c>
      <c r="Q6522" s="75"/>
      <c r="R6522" s="75">
        <f t="shared" si="284"/>
        <v>217</v>
      </c>
      <c r="S6522" s="75">
        <v>100</v>
      </c>
      <c r="T6522" s="75" t="s">
        <v>421</v>
      </c>
      <c r="U6522" s="137"/>
      <c r="V6522" s="193"/>
      <c r="W6522" s="18"/>
      <c r="X6522" s="18"/>
      <c r="Y6522" s="114"/>
      <c r="Z6522" s="18"/>
      <c r="AA6522" s="18"/>
      <c r="AB6522" s="18"/>
      <c r="AC6522" s="137"/>
      <c r="AD6522" s="77"/>
      <c r="AE6522" s="18" t="s">
        <v>48</v>
      </c>
      <c r="AF6522" s="18"/>
      <c r="AG6522" s="18"/>
      <c r="AH6522" s="18"/>
      <c r="AI6522" s="18"/>
      <c r="AJ6522" s="18"/>
      <c r="AK6522" s="18"/>
      <c r="AL6522" s="18"/>
      <c r="AM6522" s="18"/>
      <c r="AN6522" s="18"/>
      <c r="AO6522" s="18"/>
      <c r="AP6522" s="18"/>
      <c r="AQ6522" s="18"/>
      <c r="AR6522" s="18"/>
    </row>
    <row r="6523" hidden="1" spans="1:44">
      <c r="A6523" s="18"/>
      <c r="B6523" s="75">
        <v>1066</v>
      </c>
      <c r="C6523" s="213">
        <v>45822</v>
      </c>
      <c r="D6523" s="18" t="s">
        <v>1550</v>
      </c>
      <c r="E6523" s="18" t="s">
        <v>1551</v>
      </c>
      <c r="F6523" s="18" t="s">
        <v>54</v>
      </c>
      <c r="G6523" s="18"/>
      <c r="H6523" s="75">
        <v>1.2311</v>
      </c>
      <c r="I6523" s="75"/>
      <c r="J6523" s="18" t="s">
        <v>82</v>
      </c>
      <c r="K6523" s="381">
        <v>305</v>
      </c>
      <c r="L6523" s="381">
        <v>40</v>
      </c>
      <c r="M6523" s="383">
        <v>2220</v>
      </c>
      <c r="N6523" s="382" t="s">
        <v>66</v>
      </c>
      <c r="O6523" s="382" t="s">
        <v>84</v>
      </c>
      <c r="P6523" s="383">
        <v>214</v>
      </c>
      <c r="Q6523" s="75"/>
      <c r="R6523" s="75">
        <f t="shared" si="284"/>
        <v>214</v>
      </c>
      <c r="S6523" s="75">
        <v>100</v>
      </c>
      <c r="T6523" s="75" t="s">
        <v>421</v>
      </c>
      <c r="U6523" s="137"/>
      <c r="V6523" s="193"/>
      <c r="W6523" s="18"/>
      <c r="X6523" s="18"/>
      <c r="Y6523" s="114"/>
      <c r="Z6523" s="18"/>
      <c r="AA6523" s="18"/>
      <c r="AB6523" s="18"/>
      <c r="AC6523" s="137"/>
      <c r="AD6523" s="77"/>
      <c r="AE6523" s="18" t="s">
        <v>48</v>
      </c>
      <c r="AF6523" s="18"/>
      <c r="AG6523" s="18"/>
      <c r="AH6523" s="18"/>
      <c r="AI6523" s="18"/>
      <c r="AJ6523" s="18"/>
      <c r="AK6523" s="18"/>
      <c r="AL6523" s="18"/>
      <c r="AM6523" s="18"/>
      <c r="AN6523" s="18"/>
      <c r="AO6523" s="18"/>
      <c r="AP6523" s="18"/>
      <c r="AQ6523" s="18"/>
      <c r="AR6523" s="18"/>
    </row>
    <row r="6524" hidden="1" spans="1:44">
      <c r="A6524" s="18"/>
      <c r="B6524" s="75">
        <v>1066</v>
      </c>
      <c r="C6524" s="213">
        <v>45822</v>
      </c>
      <c r="D6524" s="18" t="s">
        <v>1550</v>
      </c>
      <c r="E6524" s="18" t="s">
        <v>1551</v>
      </c>
      <c r="F6524" s="18" t="s">
        <v>54</v>
      </c>
      <c r="G6524" s="18"/>
      <c r="H6524" s="75">
        <v>1.2311</v>
      </c>
      <c r="I6524" s="75"/>
      <c r="J6524" s="18" t="s">
        <v>82</v>
      </c>
      <c r="K6524" s="381">
        <v>305</v>
      </c>
      <c r="L6524" s="381">
        <v>80</v>
      </c>
      <c r="M6524" s="383">
        <v>2220</v>
      </c>
      <c r="N6524" s="382" t="s">
        <v>66</v>
      </c>
      <c r="O6524" s="382" t="s">
        <v>84</v>
      </c>
      <c r="P6524" s="383">
        <v>433</v>
      </c>
      <c r="Q6524" s="75"/>
      <c r="R6524" s="75">
        <f t="shared" si="284"/>
        <v>433</v>
      </c>
      <c r="S6524" s="75">
        <v>100</v>
      </c>
      <c r="T6524" s="75" t="s">
        <v>421</v>
      </c>
      <c r="U6524" s="137"/>
      <c r="V6524" s="193"/>
      <c r="W6524" s="18"/>
      <c r="X6524" s="18"/>
      <c r="Y6524" s="114"/>
      <c r="Z6524" s="18"/>
      <c r="AA6524" s="18"/>
      <c r="AB6524" s="18"/>
      <c r="AC6524" s="137"/>
      <c r="AD6524" s="77"/>
      <c r="AE6524" s="18" t="s">
        <v>48</v>
      </c>
      <c r="AF6524" s="18"/>
      <c r="AG6524" s="18"/>
      <c r="AH6524" s="18"/>
      <c r="AI6524" s="18"/>
      <c r="AJ6524" s="18"/>
      <c r="AK6524" s="18"/>
      <c r="AL6524" s="18"/>
      <c r="AM6524" s="18"/>
      <c r="AN6524" s="18"/>
      <c r="AO6524" s="18"/>
      <c r="AP6524" s="18"/>
      <c r="AQ6524" s="18"/>
      <c r="AR6524" s="18"/>
    </row>
    <row r="6525" hidden="1" spans="1:44">
      <c r="A6525" s="18"/>
      <c r="B6525" s="75">
        <v>1066</v>
      </c>
      <c r="C6525" s="213">
        <v>45822</v>
      </c>
      <c r="D6525" s="18" t="s">
        <v>1550</v>
      </c>
      <c r="E6525" s="18" t="s">
        <v>1551</v>
      </c>
      <c r="F6525" s="18" t="s">
        <v>54</v>
      </c>
      <c r="G6525" s="18"/>
      <c r="H6525" s="75">
        <v>1.2311</v>
      </c>
      <c r="I6525" s="75"/>
      <c r="J6525" s="18" t="s">
        <v>82</v>
      </c>
      <c r="K6525" s="381">
        <v>305</v>
      </c>
      <c r="L6525" s="381">
        <v>80</v>
      </c>
      <c r="M6525" s="383">
        <v>2220</v>
      </c>
      <c r="N6525" s="382" t="s">
        <v>66</v>
      </c>
      <c r="O6525" s="382" t="s">
        <v>84</v>
      </c>
      <c r="P6525" s="383">
        <v>433</v>
      </c>
      <c r="Q6525" s="75"/>
      <c r="R6525" s="75">
        <f t="shared" si="284"/>
        <v>433</v>
      </c>
      <c r="S6525" s="75">
        <v>100</v>
      </c>
      <c r="T6525" s="75" t="s">
        <v>421</v>
      </c>
      <c r="U6525" s="137"/>
      <c r="V6525" s="193"/>
      <c r="W6525" s="18"/>
      <c r="X6525" s="18"/>
      <c r="Y6525" s="114"/>
      <c r="Z6525" s="18"/>
      <c r="AA6525" s="18"/>
      <c r="AB6525" s="18"/>
      <c r="AC6525" s="137"/>
      <c r="AD6525" s="77"/>
      <c r="AE6525" s="18" t="s">
        <v>48</v>
      </c>
      <c r="AF6525" s="18"/>
      <c r="AG6525" s="18"/>
      <c r="AH6525" s="18"/>
      <c r="AI6525" s="18"/>
      <c r="AJ6525" s="18"/>
      <c r="AK6525" s="18"/>
      <c r="AL6525" s="18"/>
      <c r="AM6525" s="18"/>
      <c r="AN6525" s="18"/>
      <c r="AO6525" s="18"/>
      <c r="AP6525" s="18"/>
      <c r="AQ6525" s="18"/>
      <c r="AR6525" s="18"/>
    </row>
    <row r="6526" hidden="1" spans="1:44">
      <c r="A6526" s="18"/>
      <c r="B6526" s="75">
        <v>1066</v>
      </c>
      <c r="C6526" s="213">
        <v>45822</v>
      </c>
      <c r="D6526" s="18" t="s">
        <v>1550</v>
      </c>
      <c r="E6526" s="18" t="s">
        <v>1551</v>
      </c>
      <c r="F6526" s="18" t="s">
        <v>54</v>
      </c>
      <c r="G6526" s="18"/>
      <c r="H6526" s="75">
        <v>1.2311</v>
      </c>
      <c r="I6526" s="75"/>
      <c r="J6526" s="18" t="s">
        <v>82</v>
      </c>
      <c r="K6526" s="381">
        <v>305</v>
      </c>
      <c r="L6526" s="381">
        <v>40</v>
      </c>
      <c r="M6526" s="383">
        <v>2220</v>
      </c>
      <c r="N6526" s="382" t="s">
        <v>66</v>
      </c>
      <c r="O6526" s="382" t="s">
        <v>84</v>
      </c>
      <c r="P6526" s="383">
        <v>220</v>
      </c>
      <c r="Q6526" s="75"/>
      <c r="R6526" s="75">
        <f t="shared" si="284"/>
        <v>220</v>
      </c>
      <c r="S6526" s="75">
        <v>100</v>
      </c>
      <c r="T6526" s="75" t="s">
        <v>421</v>
      </c>
      <c r="U6526" s="137"/>
      <c r="V6526" s="193"/>
      <c r="W6526" s="18"/>
      <c r="X6526" s="18"/>
      <c r="Y6526" s="114"/>
      <c r="Z6526" s="18"/>
      <c r="AA6526" s="18"/>
      <c r="AB6526" s="18"/>
      <c r="AC6526" s="137"/>
      <c r="AD6526" s="77"/>
      <c r="AE6526" s="18" t="s">
        <v>48</v>
      </c>
      <c r="AF6526" s="18"/>
      <c r="AG6526" s="18"/>
      <c r="AH6526" s="18"/>
      <c r="AI6526" s="18"/>
      <c r="AJ6526" s="18"/>
      <c r="AK6526" s="18"/>
      <c r="AL6526" s="18"/>
      <c r="AM6526" s="18"/>
      <c r="AN6526" s="18"/>
      <c r="AO6526" s="18"/>
      <c r="AP6526" s="18"/>
      <c r="AQ6526" s="18"/>
      <c r="AR6526" s="18"/>
    </row>
    <row r="6527" hidden="1" spans="1:44">
      <c r="A6527" s="18"/>
      <c r="B6527" s="75">
        <v>1066</v>
      </c>
      <c r="C6527" s="213">
        <v>45822</v>
      </c>
      <c r="D6527" s="18" t="s">
        <v>1550</v>
      </c>
      <c r="E6527" s="18" t="s">
        <v>1551</v>
      </c>
      <c r="F6527" s="18" t="s">
        <v>54</v>
      </c>
      <c r="G6527" s="18"/>
      <c r="H6527" s="75">
        <v>1.2311</v>
      </c>
      <c r="I6527" s="75"/>
      <c r="J6527" s="18" t="s">
        <v>82</v>
      </c>
      <c r="K6527" s="381">
        <v>305</v>
      </c>
      <c r="L6527" s="381">
        <v>40</v>
      </c>
      <c r="M6527" s="383">
        <v>2220</v>
      </c>
      <c r="N6527" s="382" t="s">
        <v>66</v>
      </c>
      <c r="O6527" s="382" t="s">
        <v>84</v>
      </c>
      <c r="P6527" s="383">
        <v>220</v>
      </c>
      <c r="Q6527" s="75"/>
      <c r="R6527" s="75">
        <f t="shared" si="284"/>
        <v>220</v>
      </c>
      <c r="S6527" s="75">
        <v>100</v>
      </c>
      <c r="T6527" s="75" t="s">
        <v>421</v>
      </c>
      <c r="U6527" s="137"/>
      <c r="V6527" s="193"/>
      <c r="W6527" s="18"/>
      <c r="X6527" s="18"/>
      <c r="Y6527" s="114"/>
      <c r="Z6527" s="18"/>
      <c r="AA6527" s="18"/>
      <c r="AB6527" s="18"/>
      <c r="AC6527" s="137"/>
      <c r="AD6527" s="77"/>
      <c r="AE6527" s="18" t="s">
        <v>48</v>
      </c>
      <c r="AF6527" s="18"/>
      <c r="AG6527" s="18"/>
      <c r="AH6527" s="18"/>
      <c r="AI6527" s="18"/>
      <c r="AJ6527" s="18"/>
      <c r="AK6527" s="18"/>
      <c r="AL6527" s="18"/>
      <c r="AM6527" s="18"/>
      <c r="AN6527" s="18"/>
      <c r="AO6527" s="18"/>
      <c r="AP6527" s="18"/>
      <c r="AQ6527" s="18"/>
      <c r="AR6527" s="18"/>
    </row>
    <row r="6528" hidden="1" spans="1:44">
      <c r="A6528" s="18"/>
      <c r="B6528" s="75">
        <v>1066</v>
      </c>
      <c r="C6528" s="213">
        <v>45822</v>
      </c>
      <c r="D6528" s="18" t="s">
        <v>1550</v>
      </c>
      <c r="E6528" s="18" t="s">
        <v>1551</v>
      </c>
      <c r="F6528" s="18" t="s">
        <v>54</v>
      </c>
      <c r="G6528" s="18"/>
      <c r="H6528" s="75">
        <v>1.2311</v>
      </c>
      <c r="I6528" s="75"/>
      <c r="J6528" s="18" t="s">
        <v>82</v>
      </c>
      <c r="K6528" s="381">
        <v>305</v>
      </c>
      <c r="L6528" s="381">
        <v>65</v>
      </c>
      <c r="M6528" s="383">
        <v>2220</v>
      </c>
      <c r="N6528" s="382" t="s">
        <v>66</v>
      </c>
      <c r="O6528" s="382" t="s">
        <v>84</v>
      </c>
      <c r="P6528" s="383">
        <v>353</v>
      </c>
      <c r="Q6528" s="75"/>
      <c r="R6528" s="75">
        <f t="shared" si="284"/>
        <v>353</v>
      </c>
      <c r="S6528" s="75">
        <v>100</v>
      </c>
      <c r="T6528" s="75" t="s">
        <v>421</v>
      </c>
      <c r="U6528" s="137"/>
      <c r="V6528" s="193"/>
      <c r="W6528" s="18"/>
      <c r="X6528" s="18"/>
      <c r="Y6528" s="114"/>
      <c r="Z6528" s="18"/>
      <c r="AA6528" s="18"/>
      <c r="AB6528" s="18"/>
      <c r="AC6528" s="137"/>
      <c r="AD6528" s="77"/>
      <c r="AE6528" s="18" t="s">
        <v>48</v>
      </c>
      <c r="AF6528" s="18"/>
      <c r="AG6528" s="18"/>
      <c r="AH6528" s="18"/>
      <c r="AI6528" s="18"/>
      <c r="AJ6528" s="18"/>
      <c r="AK6528" s="18"/>
      <c r="AL6528" s="18"/>
      <c r="AM6528" s="18"/>
      <c r="AN6528" s="18"/>
      <c r="AO6528" s="18"/>
      <c r="AP6528" s="18"/>
      <c r="AQ6528" s="18"/>
      <c r="AR6528" s="18"/>
    </row>
    <row r="6529" hidden="1" spans="1:44">
      <c r="A6529" s="18"/>
      <c r="B6529" s="75">
        <v>1066</v>
      </c>
      <c r="C6529" s="213">
        <v>45822</v>
      </c>
      <c r="D6529" s="18" t="s">
        <v>1550</v>
      </c>
      <c r="E6529" s="18" t="s">
        <v>1551</v>
      </c>
      <c r="F6529" s="18" t="s">
        <v>54</v>
      </c>
      <c r="G6529" s="18"/>
      <c r="H6529" s="75">
        <v>1.2311</v>
      </c>
      <c r="I6529" s="75"/>
      <c r="J6529" s="18" t="s">
        <v>82</v>
      </c>
      <c r="K6529" s="381">
        <v>305</v>
      </c>
      <c r="L6529" s="381">
        <v>65</v>
      </c>
      <c r="M6529" s="383">
        <v>2220</v>
      </c>
      <c r="N6529" s="382" t="s">
        <v>66</v>
      </c>
      <c r="O6529" s="382" t="s">
        <v>84</v>
      </c>
      <c r="P6529" s="383">
        <v>353</v>
      </c>
      <c r="Q6529" s="75"/>
      <c r="R6529" s="75">
        <f t="shared" si="284"/>
        <v>353</v>
      </c>
      <c r="S6529" s="75">
        <v>100</v>
      </c>
      <c r="T6529" s="75" t="s">
        <v>421</v>
      </c>
      <c r="U6529" s="137"/>
      <c r="V6529" s="193"/>
      <c r="W6529" s="18"/>
      <c r="X6529" s="18"/>
      <c r="Y6529" s="114"/>
      <c r="Z6529" s="18"/>
      <c r="AA6529" s="18"/>
      <c r="AB6529" s="18"/>
      <c r="AC6529" s="137"/>
      <c r="AD6529" s="77"/>
      <c r="AE6529" s="18" t="s">
        <v>48</v>
      </c>
      <c r="AF6529" s="18"/>
      <c r="AG6529" s="18"/>
      <c r="AH6529" s="18"/>
      <c r="AI6529" s="18"/>
      <c r="AJ6529" s="18"/>
      <c r="AK6529" s="18"/>
      <c r="AL6529" s="18"/>
      <c r="AM6529" s="18"/>
      <c r="AN6529" s="18"/>
      <c r="AO6529" s="18"/>
      <c r="AP6529" s="18"/>
      <c r="AQ6529" s="18"/>
      <c r="AR6529" s="18"/>
    </row>
    <row r="6530" hidden="1" spans="1:44">
      <c r="A6530" s="18"/>
      <c r="B6530" s="75">
        <v>1066</v>
      </c>
      <c r="C6530" s="213">
        <v>45822</v>
      </c>
      <c r="D6530" s="18" t="s">
        <v>1550</v>
      </c>
      <c r="E6530" s="18" t="s">
        <v>1551</v>
      </c>
      <c r="F6530" s="18" t="s">
        <v>54</v>
      </c>
      <c r="G6530" s="18"/>
      <c r="H6530" s="75">
        <v>1.2311</v>
      </c>
      <c r="I6530" s="75"/>
      <c r="J6530" s="18" t="s">
        <v>82</v>
      </c>
      <c r="K6530" s="381">
        <v>305</v>
      </c>
      <c r="L6530" s="381">
        <v>40</v>
      </c>
      <c r="M6530" s="383">
        <v>2220</v>
      </c>
      <c r="N6530" s="382" t="s">
        <v>66</v>
      </c>
      <c r="O6530" s="382" t="s">
        <v>84</v>
      </c>
      <c r="P6530" s="383">
        <v>220</v>
      </c>
      <c r="Q6530" s="75"/>
      <c r="R6530" s="75">
        <f t="shared" ref="R6530:R6593" si="285">+P6530-Q6530</f>
        <v>220</v>
      </c>
      <c r="S6530" s="75">
        <v>100</v>
      </c>
      <c r="T6530" s="75" t="s">
        <v>421</v>
      </c>
      <c r="U6530" s="137"/>
      <c r="V6530" s="193"/>
      <c r="W6530" s="18"/>
      <c r="X6530" s="18"/>
      <c r="Y6530" s="114"/>
      <c r="Z6530" s="18"/>
      <c r="AA6530" s="18"/>
      <c r="AB6530" s="18"/>
      <c r="AC6530" s="137"/>
      <c r="AD6530" s="77"/>
      <c r="AE6530" s="18" t="s">
        <v>48</v>
      </c>
      <c r="AF6530" s="18"/>
      <c r="AG6530" s="18"/>
      <c r="AH6530" s="18"/>
      <c r="AI6530" s="18"/>
      <c r="AJ6530" s="18"/>
      <c r="AK6530" s="18"/>
      <c r="AL6530" s="18"/>
      <c r="AM6530" s="18"/>
      <c r="AN6530" s="18"/>
      <c r="AO6530" s="18"/>
      <c r="AP6530" s="18"/>
      <c r="AQ6530" s="18"/>
      <c r="AR6530" s="18"/>
    </row>
    <row r="6531" hidden="1" spans="1:44">
      <c r="A6531" s="18"/>
      <c r="B6531" s="75">
        <v>1066</v>
      </c>
      <c r="C6531" s="213">
        <v>45822</v>
      </c>
      <c r="D6531" s="18" t="s">
        <v>1550</v>
      </c>
      <c r="E6531" s="18" t="s">
        <v>1551</v>
      </c>
      <c r="F6531" s="18" t="s">
        <v>54</v>
      </c>
      <c r="G6531" s="18"/>
      <c r="H6531" s="75">
        <v>1.2311</v>
      </c>
      <c r="I6531" s="75"/>
      <c r="J6531" s="18" t="s">
        <v>82</v>
      </c>
      <c r="K6531" s="381">
        <v>305</v>
      </c>
      <c r="L6531" s="381">
        <v>40</v>
      </c>
      <c r="M6531" s="383">
        <v>2220</v>
      </c>
      <c r="N6531" s="382" t="s">
        <v>66</v>
      </c>
      <c r="O6531" s="382" t="s">
        <v>84</v>
      </c>
      <c r="P6531" s="383">
        <v>220</v>
      </c>
      <c r="Q6531" s="75"/>
      <c r="R6531" s="75">
        <f t="shared" si="285"/>
        <v>220</v>
      </c>
      <c r="S6531" s="75">
        <v>100</v>
      </c>
      <c r="T6531" s="75" t="s">
        <v>421</v>
      </c>
      <c r="U6531" s="137"/>
      <c r="V6531" s="193"/>
      <c r="W6531" s="18"/>
      <c r="X6531" s="18"/>
      <c r="Y6531" s="114"/>
      <c r="Z6531" s="18"/>
      <c r="AA6531" s="18"/>
      <c r="AB6531" s="18"/>
      <c r="AC6531" s="137"/>
      <c r="AD6531" s="77"/>
      <c r="AE6531" s="18" t="s">
        <v>48</v>
      </c>
      <c r="AF6531" s="18"/>
      <c r="AG6531" s="18"/>
      <c r="AH6531" s="18"/>
      <c r="AI6531" s="18"/>
      <c r="AJ6531" s="18"/>
      <c r="AK6531" s="18"/>
      <c r="AL6531" s="18"/>
      <c r="AM6531" s="18"/>
      <c r="AN6531" s="18"/>
      <c r="AO6531" s="18"/>
      <c r="AP6531" s="18"/>
      <c r="AQ6531" s="18"/>
      <c r="AR6531" s="18"/>
    </row>
    <row r="6532" hidden="1" spans="1:44">
      <c r="A6532" s="18"/>
      <c r="B6532" s="75">
        <v>1066</v>
      </c>
      <c r="C6532" s="213">
        <v>45822</v>
      </c>
      <c r="D6532" s="18" t="s">
        <v>1550</v>
      </c>
      <c r="E6532" s="18" t="s">
        <v>1551</v>
      </c>
      <c r="F6532" s="18" t="s">
        <v>54</v>
      </c>
      <c r="G6532" s="18"/>
      <c r="H6532" s="75">
        <v>1.2311</v>
      </c>
      <c r="I6532" s="75"/>
      <c r="J6532" s="18" t="s">
        <v>82</v>
      </c>
      <c r="K6532" s="381">
        <v>305</v>
      </c>
      <c r="L6532" s="381">
        <v>65</v>
      </c>
      <c r="M6532" s="383">
        <v>2220</v>
      </c>
      <c r="N6532" s="382" t="s">
        <v>66</v>
      </c>
      <c r="O6532" s="382" t="s">
        <v>84</v>
      </c>
      <c r="P6532" s="383">
        <v>352</v>
      </c>
      <c r="Q6532" s="75"/>
      <c r="R6532" s="75">
        <f t="shared" si="285"/>
        <v>352</v>
      </c>
      <c r="S6532" s="75">
        <v>100</v>
      </c>
      <c r="T6532" s="75" t="s">
        <v>421</v>
      </c>
      <c r="U6532" s="137"/>
      <c r="V6532" s="193"/>
      <c r="W6532" s="18"/>
      <c r="X6532" s="18"/>
      <c r="Y6532" s="114"/>
      <c r="Z6532" s="18"/>
      <c r="AA6532" s="18"/>
      <c r="AB6532" s="18"/>
      <c r="AC6532" s="137"/>
      <c r="AD6532" s="77"/>
      <c r="AE6532" s="18" t="s">
        <v>48</v>
      </c>
      <c r="AF6532" s="18"/>
      <c r="AG6532" s="18"/>
      <c r="AH6532" s="18"/>
      <c r="AI6532" s="18"/>
      <c r="AJ6532" s="18"/>
      <c r="AK6532" s="18"/>
      <c r="AL6532" s="18"/>
      <c r="AM6532" s="18"/>
      <c r="AN6532" s="18"/>
      <c r="AO6532" s="18"/>
      <c r="AP6532" s="18"/>
      <c r="AQ6532" s="18"/>
      <c r="AR6532" s="18"/>
    </row>
    <row r="6533" hidden="1" spans="1:44">
      <c r="A6533" s="18"/>
      <c r="B6533" s="75">
        <v>1066</v>
      </c>
      <c r="C6533" s="213">
        <v>45822</v>
      </c>
      <c r="D6533" s="18" t="s">
        <v>1550</v>
      </c>
      <c r="E6533" s="18" t="s">
        <v>1551</v>
      </c>
      <c r="F6533" s="18" t="s">
        <v>54</v>
      </c>
      <c r="G6533" s="18"/>
      <c r="H6533" s="75">
        <v>1.2311</v>
      </c>
      <c r="I6533" s="75"/>
      <c r="J6533" s="18" t="s">
        <v>82</v>
      </c>
      <c r="K6533" s="381">
        <v>305</v>
      </c>
      <c r="L6533" s="381">
        <v>65</v>
      </c>
      <c r="M6533" s="383">
        <v>2220</v>
      </c>
      <c r="N6533" s="382" t="s">
        <v>66</v>
      </c>
      <c r="O6533" s="382" t="s">
        <v>84</v>
      </c>
      <c r="P6533" s="383">
        <v>352</v>
      </c>
      <c r="Q6533" s="75"/>
      <c r="R6533" s="75">
        <f t="shared" si="285"/>
        <v>352</v>
      </c>
      <c r="S6533" s="75">
        <v>100</v>
      </c>
      <c r="T6533" s="75" t="s">
        <v>421</v>
      </c>
      <c r="U6533" s="137"/>
      <c r="V6533" s="193"/>
      <c r="W6533" s="18"/>
      <c r="X6533" s="18"/>
      <c r="Y6533" s="114"/>
      <c r="Z6533" s="18"/>
      <c r="AA6533" s="18"/>
      <c r="AB6533" s="18"/>
      <c r="AC6533" s="137"/>
      <c r="AD6533" s="77"/>
      <c r="AE6533" s="18" t="s">
        <v>48</v>
      </c>
      <c r="AF6533" s="18"/>
      <c r="AG6533" s="18"/>
      <c r="AH6533" s="18"/>
      <c r="AI6533" s="18"/>
      <c r="AJ6533" s="18"/>
      <c r="AK6533" s="18"/>
      <c r="AL6533" s="18"/>
      <c r="AM6533" s="18"/>
      <c r="AN6533" s="18"/>
      <c r="AO6533" s="18"/>
      <c r="AP6533" s="18"/>
      <c r="AQ6533" s="18"/>
      <c r="AR6533" s="18"/>
    </row>
    <row r="6534" hidden="1" spans="1:44">
      <c r="A6534" s="18"/>
      <c r="B6534" s="75">
        <v>1066</v>
      </c>
      <c r="C6534" s="213">
        <v>45822</v>
      </c>
      <c r="D6534" s="18" t="s">
        <v>1550</v>
      </c>
      <c r="E6534" s="18" t="s">
        <v>1551</v>
      </c>
      <c r="F6534" s="18" t="s">
        <v>54</v>
      </c>
      <c r="G6534" s="18"/>
      <c r="H6534" s="75">
        <v>1.2311</v>
      </c>
      <c r="I6534" s="75"/>
      <c r="J6534" s="18" t="s">
        <v>82</v>
      </c>
      <c r="K6534" s="381">
        <v>305</v>
      </c>
      <c r="L6534" s="381">
        <v>80</v>
      </c>
      <c r="M6534" s="383">
        <v>2220</v>
      </c>
      <c r="N6534" s="382" t="s">
        <v>66</v>
      </c>
      <c r="O6534" s="382" t="s">
        <v>84</v>
      </c>
      <c r="P6534" s="383">
        <v>432</v>
      </c>
      <c r="Q6534" s="75"/>
      <c r="R6534" s="75">
        <f t="shared" si="285"/>
        <v>432</v>
      </c>
      <c r="S6534" s="75">
        <v>100</v>
      </c>
      <c r="T6534" s="75" t="s">
        <v>421</v>
      </c>
      <c r="U6534" s="137"/>
      <c r="V6534" s="193"/>
      <c r="W6534" s="18"/>
      <c r="X6534" s="18"/>
      <c r="Y6534" s="114"/>
      <c r="Z6534" s="18"/>
      <c r="AA6534" s="18"/>
      <c r="AB6534" s="18"/>
      <c r="AC6534" s="137"/>
      <c r="AD6534" s="77"/>
      <c r="AE6534" s="18" t="s">
        <v>48</v>
      </c>
      <c r="AF6534" s="18"/>
      <c r="AG6534" s="18"/>
      <c r="AH6534" s="18"/>
      <c r="AI6534" s="18"/>
      <c r="AJ6534" s="18"/>
      <c r="AK6534" s="18"/>
      <c r="AL6534" s="18"/>
      <c r="AM6534" s="18"/>
      <c r="AN6534" s="18"/>
      <c r="AO6534" s="18"/>
      <c r="AP6534" s="18"/>
      <c r="AQ6534" s="18"/>
      <c r="AR6534" s="18"/>
    </row>
    <row r="6535" hidden="1" spans="1:44">
      <c r="A6535" s="18"/>
      <c r="B6535" s="75">
        <v>1066</v>
      </c>
      <c r="C6535" s="213">
        <v>45822</v>
      </c>
      <c r="D6535" s="18" t="s">
        <v>1550</v>
      </c>
      <c r="E6535" s="18" t="s">
        <v>1551</v>
      </c>
      <c r="F6535" s="18" t="s">
        <v>54</v>
      </c>
      <c r="G6535" s="18"/>
      <c r="H6535" s="75">
        <v>1.2311</v>
      </c>
      <c r="I6535" s="75"/>
      <c r="J6535" s="18" t="s">
        <v>82</v>
      </c>
      <c r="K6535" s="381">
        <v>305</v>
      </c>
      <c r="L6535" s="381">
        <v>80</v>
      </c>
      <c r="M6535" s="383">
        <v>2220</v>
      </c>
      <c r="N6535" s="382" t="s">
        <v>66</v>
      </c>
      <c r="O6535" s="382" t="s">
        <v>84</v>
      </c>
      <c r="P6535" s="383">
        <v>432</v>
      </c>
      <c r="Q6535" s="75"/>
      <c r="R6535" s="75">
        <f t="shared" si="285"/>
        <v>432</v>
      </c>
      <c r="S6535" s="75">
        <v>100</v>
      </c>
      <c r="T6535" s="75" t="s">
        <v>421</v>
      </c>
      <c r="U6535" s="137"/>
      <c r="V6535" s="193"/>
      <c r="W6535" s="18"/>
      <c r="X6535" s="18"/>
      <c r="Y6535" s="114"/>
      <c r="Z6535" s="18"/>
      <c r="AA6535" s="18"/>
      <c r="AB6535" s="18"/>
      <c r="AC6535" s="137"/>
      <c r="AD6535" s="77"/>
      <c r="AE6535" s="18" t="s">
        <v>48</v>
      </c>
      <c r="AF6535" s="18"/>
      <c r="AG6535" s="18"/>
      <c r="AH6535" s="18"/>
      <c r="AI6535" s="18"/>
      <c r="AJ6535" s="18"/>
      <c r="AK6535" s="18"/>
      <c r="AL6535" s="18"/>
      <c r="AM6535" s="18"/>
      <c r="AN6535" s="18"/>
      <c r="AO6535" s="18"/>
      <c r="AP6535" s="18"/>
      <c r="AQ6535" s="18"/>
      <c r="AR6535" s="18"/>
    </row>
    <row r="6536" hidden="1" spans="1:44">
      <c r="A6536" s="18"/>
      <c r="B6536" s="75">
        <v>1066</v>
      </c>
      <c r="C6536" s="213">
        <v>45822</v>
      </c>
      <c r="D6536" s="18" t="s">
        <v>1550</v>
      </c>
      <c r="E6536" s="18" t="s">
        <v>1551</v>
      </c>
      <c r="F6536" s="18" t="s">
        <v>54</v>
      </c>
      <c r="G6536" s="18"/>
      <c r="H6536" s="75">
        <v>1.2311</v>
      </c>
      <c r="I6536" s="75"/>
      <c r="J6536" s="18" t="s">
        <v>82</v>
      </c>
      <c r="K6536" s="381">
        <v>410</v>
      </c>
      <c r="L6536" s="381">
        <v>90</v>
      </c>
      <c r="M6536" s="383">
        <v>2220</v>
      </c>
      <c r="N6536" s="382" t="s">
        <v>66</v>
      </c>
      <c r="O6536" s="382" t="s">
        <v>84</v>
      </c>
      <c r="P6536" s="383">
        <v>647</v>
      </c>
      <c r="Q6536" s="75"/>
      <c r="R6536" s="75">
        <f t="shared" si="285"/>
        <v>647</v>
      </c>
      <c r="S6536" s="75">
        <v>100</v>
      </c>
      <c r="T6536" s="75" t="s">
        <v>421</v>
      </c>
      <c r="U6536" s="137"/>
      <c r="V6536" s="193"/>
      <c r="W6536" s="18"/>
      <c r="X6536" s="18"/>
      <c r="Y6536" s="114"/>
      <c r="Z6536" s="18"/>
      <c r="AA6536" s="18"/>
      <c r="AB6536" s="18"/>
      <c r="AC6536" s="137"/>
      <c r="AD6536" s="77"/>
      <c r="AE6536" s="18" t="s">
        <v>48</v>
      </c>
      <c r="AF6536" s="18"/>
      <c r="AG6536" s="18"/>
      <c r="AH6536" s="18"/>
      <c r="AI6536" s="18"/>
      <c r="AJ6536" s="18"/>
      <c r="AK6536" s="18"/>
      <c r="AL6536" s="18"/>
      <c r="AM6536" s="18"/>
      <c r="AN6536" s="18"/>
      <c r="AO6536" s="18"/>
      <c r="AP6536" s="18"/>
      <c r="AQ6536" s="18"/>
      <c r="AR6536" s="18"/>
    </row>
    <row r="6537" hidden="1" spans="1:44">
      <c r="A6537" s="18"/>
      <c r="B6537" s="75">
        <v>1066</v>
      </c>
      <c r="C6537" s="213">
        <v>45822</v>
      </c>
      <c r="D6537" s="18" t="s">
        <v>1550</v>
      </c>
      <c r="E6537" s="18" t="s">
        <v>1551</v>
      </c>
      <c r="F6537" s="18" t="s">
        <v>54</v>
      </c>
      <c r="G6537" s="18"/>
      <c r="H6537" s="75">
        <v>1.2311</v>
      </c>
      <c r="I6537" s="75"/>
      <c r="J6537" s="18" t="s">
        <v>82</v>
      </c>
      <c r="K6537" s="381">
        <v>410</v>
      </c>
      <c r="L6537" s="381">
        <v>40</v>
      </c>
      <c r="M6537" s="383">
        <v>2220</v>
      </c>
      <c r="N6537" s="382" t="s">
        <v>66</v>
      </c>
      <c r="O6537" s="382" t="s">
        <v>84</v>
      </c>
      <c r="P6537" s="383">
        <v>293</v>
      </c>
      <c r="Q6537" s="75"/>
      <c r="R6537" s="75">
        <f t="shared" si="285"/>
        <v>293</v>
      </c>
      <c r="S6537" s="75">
        <v>100</v>
      </c>
      <c r="T6537" s="75" t="s">
        <v>421</v>
      </c>
      <c r="U6537" s="137"/>
      <c r="V6537" s="193"/>
      <c r="W6537" s="18"/>
      <c r="X6537" s="18"/>
      <c r="Y6537" s="114"/>
      <c r="Z6537" s="18"/>
      <c r="AA6537" s="18"/>
      <c r="AB6537" s="18"/>
      <c r="AC6537" s="137"/>
      <c r="AD6537" s="77"/>
      <c r="AE6537" s="18" t="s">
        <v>48</v>
      </c>
      <c r="AF6537" s="18"/>
      <c r="AG6537" s="18"/>
      <c r="AH6537" s="18"/>
      <c r="AI6537" s="18"/>
      <c r="AJ6537" s="18"/>
      <c r="AK6537" s="18"/>
      <c r="AL6537" s="18"/>
      <c r="AM6537" s="18"/>
      <c r="AN6537" s="18"/>
      <c r="AO6537" s="18"/>
      <c r="AP6537" s="18"/>
      <c r="AQ6537" s="18"/>
      <c r="AR6537" s="18"/>
    </row>
    <row r="6538" hidden="1" spans="1:44">
      <c r="A6538" s="18"/>
      <c r="B6538" s="75">
        <v>1066</v>
      </c>
      <c r="C6538" s="213">
        <v>45822</v>
      </c>
      <c r="D6538" s="18" t="s">
        <v>1550</v>
      </c>
      <c r="E6538" s="18" t="s">
        <v>1551</v>
      </c>
      <c r="F6538" s="18" t="s">
        <v>54</v>
      </c>
      <c r="G6538" s="18"/>
      <c r="H6538" s="75">
        <v>1.2311</v>
      </c>
      <c r="I6538" s="75"/>
      <c r="J6538" s="18" t="s">
        <v>82</v>
      </c>
      <c r="K6538" s="381">
        <v>410</v>
      </c>
      <c r="L6538" s="381">
        <v>32</v>
      </c>
      <c r="M6538" s="383">
        <v>2220</v>
      </c>
      <c r="N6538" s="382" t="s">
        <v>66</v>
      </c>
      <c r="O6538" s="382" t="s">
        <v>84</v>
      </c>
      <c r="P6538" s="383">
        <v>223</v>
      </c>
      <c r="Q6538" s="75"/>
      <c r="R6538" s="75">
        <f t="shared" si="285"/>
        <v>223</v>
      </c>
      <c r="S6538" s="75">
        <v>100</v>
      </c>
      <c r="T6538" s="75" t="s">
        <v>421</v>
      </c>
      <c r="U6538" s="137"/>
      <c r="V6538" s="193"/>
      <c r="W6538" s="18"/>
      <c r="X6538" s="18"/>
      <c r="Y6538" s="114"/>
      <c r="Z6538" s="18"/>
      <c r="AA6538" s="18"/>
      <c r="AB6538" s="18"/>
      <c r="AC6538" s="137"/>
      <c r="AD6538" s="77"/>
      <c r="AE6538" s="18" t="s">
        <v>48</v>
      </c>
      <c r="AF6538" s="18"/>
      <c r="AG6538" s="18"/>
      <c r="AH6538" s="18"/>
      <c r="AI6538" s="18"/>
      <c r="AJ6538" s="18"/>
      <c r="AK6538" s="18"/>
      <c r="AL6538" s="18"/>
      <c r="AM6538" s="18"/>
      <c r="AN6538" s="18"/>
      <c r="AO6538" s="18"/>
      <c r="AP6538" s="18"/>
      <c r="AQ6538" s="18"/>
      <c r="AR6538" s="18"/>
    </row>
    <row r="6539" hidden="1" spans="1:44">
      <c r="A6539" s="18"/>
      <c r="B6539" s="75">
        <v>1066</v>
      </c>
      <c r="C6539" s="213">
        <v>45822</v>
      </c>
      <c r="D6539" s="18" t="s">
        <v>1550</v>
      </c>
      <c r="E6539" s="18" t="s">
        <v>1551</v>
      </c>
      <c r="F6539" s="18" t="s">
        <v>54</v>
      </c>
      <c r="G6539" s="18"/>
      <c r="H6539" s="75">
        <v>1.2311</v>
      </c>
      <c r="I6539" s="75"/>
      <c r="J6539" s="18" t="s">
        <v>82</v>
      </c>
      <c r="K6539" s="381">
        <v>410</v>
      </c>
      <c r="L6539" s="381">
        <v>32</v>
      </c>
      <c r="M6539" s="383">
        <v>2220</v>
      </c>
      <c r="N6539" s="382" t="s">
        <v>66</v>
      </c>
      <c r="O6539" s="382" t="s">
        <v>84</v>
      </c>
      <c r="P6539" s="383">
        <v>223</v>
      </c>
      <c r="Q6539" s="75"/>
      <c r="R6539" s="75">
        <f t="shared" si="285"/>
        <v>223</v>
      </c>
      <c r="S6539" s="75">
        <v>100</v>
      </c>
      <c r="T6539" s="75" t="s">
        <v>421</v>
      </c>
      <c r="U6539" s="137"/>
      <c r="V6539" s="193"/>
      <c r="W6539" s="18"/>
      <c r="X6539" s="18"/>
      <c r="Y6539" s="114"/>
      <c r="Z6539" s="18"/>
      <c r="AA6539" s="18"/>
      <c r="AB6539" s="18"/>
      <c r="AC6539" s="137"/>
      <c r="AD6539" s="77"/>
      <c r="AE6539" s="18" t="s">
        <v>48</v>
      </c>
      <c r="AF6539" s="18"/>
      <c r="AG6539" s="18"/>
      <c r="AH6539" s="18"/>
      <c r="AI6539" s="18"/>
      <c r="AJ6539" s="18"/>
      <c r="AK6539" s="18"/>
      <c r="AL6539" s="18"/>
      <c r="AM6539" s="18"/>
      <c r="AN6539" s="18"/>
      <c r="AO6539" s="18"/>
      <c r="AP6539" s="18"/>
      <c r="AQ6539" s="18"/>
      <c r="AR6539" s="18"/>
    </row>
    <row r="6540" hidden="1" spans="1:44">
      <c r="A6540" s="18"/>
      <c r="B6540" s="75">
        <v>1066</v>
      </c>
      <c r="C6540" s="213">
        <v>45822</v>
      </c>
      <c r="D6540" s="18" t="s">
        <v>1550</v>
      </c>
      <c r="E6540" s="18" t="s">
        <v>1551</v>
      </c>
      <c r="F6540" s="18" t="s">
        <v>54</v>
      </c>
      <c r="G6540" s="18"/>
      <c r="H6540" s="75">
        <v>1.2311</v>
      </c>
      <c r="I6540" s="75"/>
      <c r="J6540" s="18" t="s">
        <v>82</v>
      </c>
      <c r="K6540" s="381">
        <v>410</v>
      </c>
      <c r="L6540" s="381">
        <v>32</v>
      </c>
      <c r="M6540" s="383">
        <v>2220</v>
      </c>
      <c r="N6540" s="382" t="s">
        <v>66</v>
      </c>
      <c r="O6540" s="382" t="s">
        <v>84</v>
      </c>
      <c r="P6540" s="383">
        <v>222</v>
      </c>
      <c r="Q6540" s="75"/>
      <c r="R6540" s="75">
        <f t="shared" si="285"/>
        <v>222</v>
      </c>
      <c r="S6540" s="75">
        <v>100</v>
      </c>
      <c r="T6540" s="75" t="s">
        <v>421</v>
      </c>
      <c r="U6540" s="137"/>
      <c r="V6540" s="193"/>
      <c r="W6540" s="18"/>
      <c r="X6540" s="18"/>
      <c r="Y6540" s="114"/>
      <c r="Z6540" s="18"/>
      <c r="AA6540" s="18"/>
      <c r="AB6540" s="18"/>
      <c r="AC6540" s="137"/>
      <c r="AD6540" s="77"/>
      <c r="AE6540" s="18" t="s">
        <v>48</v>
      </c>
      <c r="AF6540" s="18"/>
      <c r="AG6540" s="18"/>
      <c r="AH6540" s="18"/>
      <c r="AI6540" s="18"/>
      <c r="AJ6540" s="18"/>
      <c r="AK6540" s="18"/>
      <c r="AL6540" s="18"/>
      <c r="AM6540" s="18"/>
      <c r="AN6540" s="18"/>
      <c r="AO6540" s="18"/>
      <c r="AP6540" s="18"/>
      <c r="AQ6540" s="18"/>
      <c r="AR6540" s="18"/>
    </row>
    <row r="6541" hidden="1" spans="1:44">
      <c r="A6541" s="18"/>
      <c r="B6541" s="75">
        <v>1066</v>
      </c>
      <c r="C6541" s="213">
        <v>45822</v>
      </c>
      <c r="D6541" s="18" t="s">
        <v>1550</v>
      </c>
      <c r="E6541" s="18" t="s">
        <v>1551</v>
      </c>
      <c r="F6541" s="18" t="s">
        <v>54</v>
      </c>
      <c r="G6541" s="18"/>
      <c r="H6541" s="75">
        <v>1.2311</v>
      </c>
      <c r="I6541" s="75"/>
      <c r="J6541" s="18" t="s">
        <v>82</v>
      </c>
      <c r="K6541" s="381">
        <v>410</v>
      </c>
      <c r="L6541" s="381">
        <v>32</v>
      </c>
      <c r="M6541" s="383">
        <v>2220</v>
      </c>
      <c r="N6541" s="382" t="s">
        <v>66</v>
      </c>
      <c r="O6541" s="382" t="s">
        <v>84</v>
      </c>
      <c r="P6541" s="383">
        <v>224</v>
      </c>
      <c r="Q6541" s="75"/>
      <c r="R6541" s="75">
        <f t="shared" si="285"/>
        <v>224</v>
      </c>
      <c r="S6541" s="75">
        <v>100</v>
      </c>
      <c r="T6541" s="75" t="s">
        <v>421</v>
      </c>
      <c r="U6541" s="137"/>
      <c r="V6541" s="193"/>
      <c r="W6541" s="18"/>
      <c r="X6541" s="18"/>
      <c r="Y6541" s="114"/>
      <c r="Z6541" s="18"/>
      <c r="AA6541" s="18"/>
      <c r="AB6541" s="18"/>
      <c r="AC6541" s="137"/>
      <c r="AD6541" s="77"/>
      <c r="AE6541" s="18" t="s">
        <v>48</v>
      </c>
      <c r="AF6541" s="18"/>
      <c r="AG6541" s="18"/>
      <c r="AH6541" s="18"/>
      <c r="AI6541" s="18"/>
      <c r="AJ6541" s="18"/>
      <c r="AK6541" s="18"/>
      <c r="AL6541" s="18"/>
      <c r="AM6541" s="18"/>
      <c r="AN6541" s="18"/>
      <c r="AO6541" s="18"/>
      <c r="AP6541" s="18"/>
      <c r="AQ6541" s="18"/>
      <c r="AR6541" s="18"/>
    </row>
    <row r="6542" hidden="1" spans="1:44">
      <c r="A6542" s="18"/>
      <c r="B6542" s="75">
        <v>1066</v>
      </c>
      <c r="C6542" s="213">
        <v>45822</v>
      </c>
      <c r="D6542" s="18" t="s">
        <v>1550</v>
      </c>
      <c r="E6542" s="18" t="s">
        <v>1551</v>
      </c>
      <c r="F6542" s="18" t="s">
        <v>54</v>
      </c>
      <c r="G6542" s="18"/>
      <c r="H6542" s="75">
        <v>1.2311</v>
      </c>
      <c r="I6542" s="75"/>
      <c r="J6542" s="18" t="s">
        <v>82</v>
      </c>
      <c r="K6542" s="381">
        <v>410</v>
      </c>
      <c r="L6542" s="381">
        <v>90</v>
      </c>
      <c r="M6542" s="383">
        <v>2220</v>
      </c>
      <c r="N6542" s="382" t="s">
        <v>66</v>
      </c>
      <c r="O6542" s="382" t="s">
        <v>84</v>
      </c>
      <c r="P6542" s="383">
        <v>656</v>
      </c>
      <c r="Q6542" s="75"/>
      <c r="R6542" s="75">
        <f t="shared" si="285"/>
        <v>656</v>
      </c>
      <c r="S6542" s="75">
        <v>100</v>
      </c>
      <c r="T6542" s="75" t="s">
        <v>421</v>
      </c>
      <c r="U6542" s="137"/>
      <c r="V6542" s="193"/>
      <c r="W6542" s="18"/>
      <c r="X6542" s="18"/>
      <c r="Y6542" s="114"/>
      <c r="Z6542" s="18"/>
      <c r="AA6542" s="18"/>
      <c r="AB6542" s="18"/>
      <c r="AC6542" s="137"/>
      <c r="AD6542" s="77"/>
      <c r="AE6542" s="18" t="s">
        <v>48</v>
      </c>
      <c r="AF6542" s="18"/>
      <c r="AG6542" s="18"/>
      <c r="AH6542" s="18"/>
      <c r="AI6542" s="18"/>
      <c r="AJ6542" s="18"/>
      <c r="AK6542" s="18"/>
      <c r="AL6542" s="18"/>
      <c r="AM6542" s="18"/>
      <c r="AN6542" s="18"/>
      <c r="AO6542" s="18"/>
      <c r="AP6542" s="18"/>
      <c r="AQ6542" s="18"/>
      <c r="AR6542" s="18"/>
    </row>
    <row r="6543" hidden="1" spans="1:44">
      <c r="A6543" s="18"/>
      <c r="B6543" s="75">
        <v>1066</v>
      </c>
      <c r="C6543" s="213">
        <v>45822</v>
      </c>
      <c r="D6543" s="18" t="s">
        <v>1550</v>
      </c>
      <c r="E6543" s="18" t="s">
        <v>1551</v>
      </c>
      <c r="F6543" s="18" t="s">
        <v>54</v>
      </c>
      <c r="G6543" s="18"/>
      <c r="H6543" s="75">
        <v>1.2311</v>
      </c>
      <c r="I6543" s="75"/>
      <c r="J6543" s="18" t="s">
        <v>82</v>
      </c>
      <c r="K6543" s="381">
        <v>410</v>
      </c>
      <c r="L6543" s="381">
        <v>80</v>
      </c>
      <c r="M6543" s="383">
        <v>2220</v>
      </c>
      <c r="N6543" s="382" t="s">
        <v>66</v>
      </c>
      <c r="O6543" s="382" t="s">
        <v>84</v>
      </c>
      <c r="P6543" s="383">
        <v>582</v>
      </c>
      <c r="Q6543" s="75"/>
      <c r="R6543" s="75">
        <f t="shared" si="285"/>
        <v>582</v>
      </c>
      <c r="S6543" s="75">
        <v>100</v>
      </c>
      <c r="T6543" s="75" t="s">
        <v>421</v>
      </c>
      <c r="U6543" s="137"/>
      <c r="V6543" s="193"/>
      <c r="W6543" s="18"/>
      <c r="X6543" s="18"/>
      <c r="Y6543" s="114"/>
      <c r="Z6543" s="18"/>
      <c r="AA6543" s="18"/>
      <c r="AB6543" s="18"/>
      <c r="AC6543" s="137"/>
      <c r="AD6543" s="77"/>
      <c r="AE6543" s="18" t="s">
        <v>48</v>
      </c>
      <c r="AF6543" s="18"/>
      <c r="AG6543" s="18"/>
      <c r="AH6543" s="18"/>
      <c r="AI6543" s="18"/>
      <c r="AJ6543" s="18"/>
      <c r="AK6543" s="18"/>
      <c r="AL6543" s="18"/>
      <c r="AM6543" s="18"/>
      <c r="AN6543" s="18"/>
      <c r="AO6543" s="18"/>
      <c r="AP6543" s="18"/>
      <c r="AQ6543" s="18"/>
      <c r="AR6543" s="18"/>
    </row>
    <row r="6544" hidden="1" spans="1:44">
      <c r="A6544" s="18"/>
      <c r="B6544" s="75">
        <v>1066</v>
      </c>
      <c r="C6544" s="213">
        <v>45822</v>
      </c>
      <c r="D6544" s="18" t="s">
        <v>1550</v>
      </c>
      <c r="E6544" s="18" t="s">
        <v>1551</v>
      </c>
      <c r="F6544" s="18" t="s">
        <v>54</v>
      </c>
      <c r="G6544" s="18"/>
      <c r="H6544" s="75">
        <v>1.2311</v>
      </c>
      <c r="I6544" s="75"/>
      <c r="J6544" s="18" t="s">
        <v>82</v>
      </c>
      <c r="K6544" s="381">
        <v>410</v>
      </c>
      <c r="L6544" s="381">
        <v>65</v>
      </c>
      <c r="M6544" s="383">
        <v>2220</v>
      </c>
      <c r="N6544" s="382" t="s">
        <v>66</v>
      </c>
      <c r="O6544" s="382" t="s">
        <v>84</v>
      </c>
      <c r="P6544" s="383">
        <v>463</v>
      </c>
      <c r="Q6544" s="75"/>
      <c r="R6544" s="75">
        <f t="shared" si="285"/>
        <v>463</v>
      </c>
      <c r="S6544" s="75">
        <v>100</v>
      </c>
      <c r="T6544" s="75" t="s">
        <v>421</v>
      </c>
      <c r="U6544" s="137"/>
      <c r="V6544" s="193"/>
      <c r="W6544" s="18"/>
      <c r="X6544" s="18"/>
      <c r="Y6544" s="114"/>
      <c r="Z6544" s="18"/>
      <c r="AA6544" s="18"/>
      <c r="AB6544" s="18"/>
      <c r="AC6544" s="137"/>
      <c r="AD6544" s="77"/>
      <c r="AE6544" s="18" t="s">
        <v>48</v>
      </c>
      <c r="AF6544" s="18"/>
      <c r="AG6544" s="18"/>
      <c r="AH6544" s="18"/>
      <c r="AI6544" s="18"/>
      <c r="AJ6544" s="18"/>
      <c r="AK6544" s="18"/>
      <c r="AL6544" s="18"/>
      <c r="AM6544" s="18"/>
      <c r="AN6544" s="18"/>
      <c r="AO6544" s="18"/>
      <c r="AP6544" s="18"/>
      <c r="AQ6544" s="18"/>
      <c r="AR6544" s="18"/>
    </row>
    <row r="6545" hidden="1" spans="1:44">
      <c r="A6545" s="18"/>
      <c r="B6545" s="75">
        <v>1066</v>
      </c>
      <c r="C6545" s="213">
        <v>45822</v>
      </c>
      <c r="D6545" s="18" t="s">
        <v>1550</v>
      </c>
      <c r="E6545" s="18" t="s">
        <v>1551</v>
      </c>
      <c r="F6545" s="18" t="s">
        <v>54</v>
      </c>
      <c r="G6545" s="18"/>
      <c r="H6545" s="75">
        <v>1.2311</v>
      </c>
      <c r="I6545" s="75"/>
      <c r="J6545" s="18" t="s">
        <v>82</v>
      </c>
      <c r="K6545" s="381">
        <v>410</v>
      </c>
      <c r="L6545" s="381">
        <v>65</v>
      </c>
      <c r="M6545" s="383">
        <v>2220</v>
      </c>
      <c r="N6545" s="382" t="s">
        <v>66</v>
      </c>
      <c r="O6545" s="382" t="s">
        <v>84</v>
      </c>
      <c r="P6545" s="383">
        <v>463</v>
      </c>
      <c r="Q6545" s="75"/>
      <c r="R6545" s="75">
        <f t="shared" si="285"/>
        <v>463</v>
      </c>
      <c r="S6545" s="75">
        <v>100</v>
      </c>
      <c r="T6545" s="75" t="s">
        <v>421</v>
      </c>
      <c r="U6545" s="137"/>
      <c r="V6545" s="193"/>
      <c r="W6545" s="18"/>
      <c r="X6545" s="18"/>
      <c r="Y6545" s="114"/>
      <c r="Z6545" s="18"/>
      <c r="AA6545" s="18"/>
      <c r="AB6545" s="18"/>
      <c r="AC6545" s="137"/>
      <c r="AD6545" s="77"/>
      <c r="AE6545" s="18" t="s">
        <v>48</v>
      </c>
      <c r="AF6545" s="18"/>
      <c r="AG6545" s="18"/>
      <c r="AH6545" s="18"/>
      <c r="AI6545" s="18"/>
      <c r="AJ6545" s="18"/>
      <c r="AK6545" s="18"/>
      <c r="AL6545" s="18"/>
      <c r="AM6545" s="18"/>
      <c r="AN6545" s="18"/>
      <c r="AO6545" s="18"/>
      <c r="AP6545" s="18"/>
      <c r="AQ6545" s="18"/>
      <c r="AR6545" s="18"/>
    </row>
    <row r="6546" hidden="1" spans="1:44">
      <c r="A6546" s="18"/>
      <c r="B6546" s="75">
        <v>1066</v>
      </c>
      <c r="C6546" s="213">
        <v>45822</v>
      </c>
      <c r="D6546" s="18" t="s">
        <v>1550</v>
      </c>
      <c r="E6546" s="18" t="s">
        <v>1551</v>
      </c>
      <c r="F6546" s="18" t="s">
        <v>54</v>
      </c>
      <c r="G6546" s="18"/>
      <c r="H6546" s="75">
        <v>1.2311</v>
      </c>
      <c r="I6546" s="75"/>
      <c r="J6546" s="18" t="s">
        <v>82</v>
      </c>
      <c r="K6546" s="381">
        <v>410</v>
      </c>
      <c r="L6546" s="381">
        <v>80</v>
      </c>
      <c r="M6546" s="383">
        <v>2220</v>
      </c>
      <c r="N6546" s="382" t="s">
        <v>66</v>
      </c>
      <c r="O6546" s="382" t="s">
        <v>84</v>
      </c>
      <c r="P6546" s="383">
        <v>570</v>
      </c>
      <c r="Q6546" s="75"/>
      <c r="R6546" s="75">
        <f t="shared" si="285"/>
        <v>570</v>
      </c>
      <c r="S6546" s="75">
        <v>100</v>
      </c>
      <c r="T6546" s="75" t="s">
        <v>421</v>
      </c>
      <c r="U6546" s="137"/>
      <c r="V6546" s="193"/>
      <c r="W6546" s="18"/>
      <c r="X6546" s="18"/>
      <c r="Y6546" s="114"/>
      <c r="Z6546" s="18"/>
      <c r="AA6546" s="18"/>
      <c r="AB6546" s="18"/>
      <c r="AC6546" s="137"/>
      <c r="AD6546" s="77"/>
      <c r="AE6546" s="18" t="s">
        <v>48</v>
      </c>
      <c r="AF6546" s="18"/>
      <c r="AG6546" s="18"/>
      <c r="AH6546" s="18"/>
      <c r="AI6546" s="18"/>
      <c r="AJ6546" s="18"/>
      <c r="AK6546" s="18"/>
      <c r="AL6546" s="18"/>
      <c r="AM6546" s="18"/>
      <c r="AN6546" s="18"/>
      <c r="AO6546" s="18"/>
      <c r="AP6546" s="18"/>
      <c r="AQ6546" s="18"/>
      <c r="AR6546" s="18"/>
    </row>
    <row r="6547" hidden="1" spans="1:44">
      <c r="A6547" s="18"/>
      <c r="B6547" s="75">
        <v>1066</v>
      </c>
      <c r="C6547" s="213">
        <v>45822</v>
      </c>
      <c r="D6547" s="18" t="s">
        <v>1550</v>
      </c>
      <c r="E6547" s="18" t="s">
        <v>1551</v>
      </c>
      <c r="F6547" s="18" t="s">
        <v>54</v>
      </c>
      <c r="G6547" s="18"/>
      <c r="H6547" s="75">
        <v>1.2311</v>
      </c>
      <c r="I6547" s="75"/>
      <c r="J6547" s="18" t="s">
        <v>82</v>
      </c>
      <c r="K6547" s="381">
        <v>510</v>
      </c>
      <c r="L6547" s="381">
        <v>40</v>
      </c>
      <c r="M6547" s="383">
        <v>2220</v>
      </c>
      <c r="N6547" s="382" t="s">
        <v>66</v>
      </c>
      <c r="O6547" s="382" t="s">
        <v>84</v>
      </c>
      <c r="P6547" s="383">
        <v>363</v>
      </c>
      <c r="Q6547" s="75"/>
      <c r="R6547" s="75">
        <f t="shared" si="285"/>
        <v>363</v>
      </c>
      <c r="S6547" s="75">
        <v>100</v>
      </c>
      <c r="T6547" s="75" t="s">
        <v>421</v>
      </c>
      <c r="U6547" s="137"/>
      <c r="V6547" s="193"/>
      <c r="W6547" s="18"/>
      <c r="X6547" s="18"/>
      <c r="Y6547" s="114"/>
      <c r="Z6547" s="18"/>
      <c r="AA6547" s="18"/>
      <c r="AB6547" s="18"/>
      <c r="AC6547" s="137"/>
      <c r="AD6547" s="77"/>
      <c r="AE6547" s="18" t="s">
        <v>48</v>
      </c>
      <c r="AF6547" s="18"/>
      <c r="AG6547" s="18"/>
      <c r="AH6547" s="18"/>
      <c r="AI6547" s="18"/>
      <c r="AJ6547" s="18"/>
      <c r="AK6547" s="18"/>
      <c r="AL6547" s="18"/>
      <c r="AM6547" s="18"/>
      <c r="AN6547" s="18"/>
      <c r="AO6547" s="18"/>
      <c r="AP6547" s="18"/>
      <c r="AQ6547" s="18"/>
      <c r="AR6547" s="18"/>
    </row>
    <row r="6548" hidden="1" spans="1:44">
      <c r="A6548" s="18"/>
      <c r="B6548" s="75">
        <v>1066</v>
      </c>
      <c r="C6548" s="213">
        <v>45822</v>
      </c>
      <c r="D6548" s="18" t="s">
        <v>1550</v>
      </c>
      <c r="E6548" s="18" t="s">
        <v>1551</v>
      </c>
      <c r="F6548" s="18" t="s">
        <v>54</v>
      </c>
      <c r="G6548" s="18"/>
      <c r="H6548" s="75">
        <v>1.2311</v>
      </c>
      <c r="I6548" s="75"/>
      <c r="J6548" s="18" t="s">
        <v>82</v>
      </c>
      <c r="K6548" s="381">
        <v>510</v>
      </c>
      <c r="L6548" s="381">
        <v>65</v>
      </c>
      <c r="M6548" s="383">
        <v>2220</v>
      </c>
      <c r="N6548" s="382" t="s">
        <v>66</v>
      </c>
      <c r="O6548" s="382" t="s">
        <v>84</v>
      </c>
      <c r="P6548" s="383">
        <v>585</v>
      </c>
      <c r="Q6548" s="75"/>
      <c r="R6548" s="75">
        <f t="shared" si="285"/>
        <v>585</v>
      </c>
      <c r="S6548" s="75">
        <v>100</v>
      </c>
      <c r="T6548" s="75" t="s">
        <v>421</v>
      </c>
      <c r="U6548" s="137"/>
      <c r="V6548" s="193"/>
      <c r="W6548" s="18"/>
      <c r="X6548" s="18"/>
      <c r="Y6548" s="114"/>
      <c r="Z6548" s="18"/>
      <c r="AA6548" s="18"/>
      <c r="AB6548" s="18"/>
      <c r="AC6548" s="137"/>
      <c r="AD6548" s="77"/>
      <c r="AE6548" s="18" t="s">
        <v>48</v>
      </c>
      <c r="AF6548" s="18"/>
      <c r="AG6548" s="18"/>
      <c r="AH6548" s="18"/>
      <c r="AI6548" s="18"/>
      <c r="AJ6548" s="18"/>
      <c r="AK6548" s="18"/>
      <c r="AL6548" s="18"/>
      <c r="AM6548" s="18"/>
      <c r="AN6548" s="18"/>
      <c r="AO6548" s="18"/>
      <c r="AP6548" s="18"/>
      <c r="AQ6548" s="18"/>
      <c r="AR6548" s="18"/>
    </row>
    <row r="6549" hidden="1" spans="1:44">
      <c r="A6549" s="18"/>
      <c r="B6549" s="75">
        <v>1066</v>
      </c>
      <c r="C6549" s="213">
        <v>45822</v>
      </c>
      <c r="D6549" s="18" t="s">
        <v>1550</v>
      </c>
      <c r="E6549" s="18" t="s">
        <v>1551</v>
      </c>
      <c r="F6549" s="18" t="s">
        <v>54</v>
      </c>
      <c r="G6549" s="18"/>
      <c r="H6549" s="75">
        <v>1.2311</v>
      </c>
      <c r="I6549" s="75"/>
      <c r="J6549" s="18" t="s">
        <v>82</v>
      </c>
      <c r="K6549" s="381">
        <v>510</v>
      </c>
      <c r="L6549" s="381">
        <v>40</v>
      </c>
      <c r="M6549" s="383">
        <v>2220</v>
      </c>
      <c r="N6549" s="382" t="s">
        <v>66</v>
      </c>
      <c r="O6549" s="382" t="s">
        <v>84</v>
      </c>
      <c r="P6549" s="383">
        <v>370</v>
      </c>
      <c r="Q6549" s="75"/>
      <c r="R6549" s="75">
        <f t="shared" si="285"/>
        <v>370</v>
      </c>
      <c r="S6549" s="75">
        <v>100</v>
      </c>
      <c r="T6549" s="75" t="s">
        <v>421</v>
      </c>
      <c r="U6549" s="137"/>
      <c r="V6549" s="193"/>
      <c r="W6549" s="18"/>
      <c r="X6549" s="18"/>
      <c r="Y6549" s="114"/>
      <c r="Z6549" s="18"/>
      <c r="AA6549" s="18"/>
      <c r="AB6549" s="18"/>
      <c r="AC6549" s="137"/>
      <c r="AD6549" s="77"/>
      <c r="AE6549" s="18" t="s">
        <v>48</v>
      </c>
      <c r="AF6549" s="18"/>
      <c r="AG6549" s="18"/>
      <c r="AH6549" s="18"/>
      <c r="AI6549" s="18"/>
      <c r="AJ6549" s="18"/>
      <c r="AK6549" s="18"/>
      <c r="AL6549" s="18"/>
      <c r="AM6549" s="18"/>
      <c r="AN6549" s="18"/>
      <c r="AO6549" s="18"/>
      <c r="AP6549" s="18"/>
      <c r="AQ6549" s="18"/>
      <c r="AR6549" s="18"/>
    </row>
    <row r="6550" hidden="1" spans="1:44">
      <c r="A6550" s="18"/>
      <c r="B6550" s="75">
        <v>1066</v>
      </c>
      <c r="C6550" s="213">
        <v>45822</v>
      </c>
      <c r="D6550" s="18" t="s">
        <v>1550</v>
      </c>
      <c r="E6550" s="18" t="s">
        <v>1551</v>
      </c>
      <c r="F6550" s="18" t="s">
        <v>54</v>
      </c>
      <c r="G6550" s="18"/>
      <c r="H6550" s="75">
        <v>1.2311</v>
      </c>
      <c r="I6550" s="75"/>
      <c r="J6550" s="18" t="s">
        <v>82</v>
      </c>
      <c r="K6550" s="381">
        <v>510</v>
      </c>
      <c r="L6550" s="381">
        <v>80</v>
      </c>
      <c r="M6550" s="383">
        <v>2220</v>
      </c>
      <c r="N6550" s="382" t="s">
        <v>66</v>
      </c>
      <c r="O6550" s="382" t="s">
        <v>84</v>
      </c>
      <c r="P6550" s="383">
        <v>720</v>
      </c>
      <c r="Q6550" s="75"/>
      <c r="R6550" s="75">
        <f t="shared" si="285"/>
        <v>720</v>
      </c>
      <c r="S6550" s="75">
        <v>100</v>
      </c>
      <c r="T6550" s="75" t="s">
        <v>421</v>
      </c>
      <c r="U6550" s="137"/>
      <c r="V6550" s="193"/>
      <c r="W6550" s="18"/>
      <c r="X6550" s="18"/>
      <c r="Y6550" s="114"/>
      <c r="Z6550" s="18"/>
      <c r="AA6550" s="18"/>
      <c r="AB6550" s="18"/>
      <c r="AC6550" s="137"/>
      <c r="AD6550" s="77"/>
      <c r="AE6550" s="18" t="s">
        <v>48</v>
      </c>
      <c r="AF6550" s="18"/>
      <c r="AG6550" s="18"/>
      <c r="AH6550" s="18"/>
      <c r="AI6550" s="18"/>
      <c r="AJ6550" s="18"/>
      <c r="AK6550" s="18"/>
      <c r="AL6550" s="18"/>
      <c r="AM6550" s="18"/>
      <c r="AN6550" s="18"/>
      <c r="AO6550" s="18"/>
      <c r="AP6550" s="18"/>
      <c r="AQ6550" s="18"/>
      <c r="AR6550" s="18"/>
    </row>
    <row r="6551" hidden="1" spans="1:44">
      <c r="A6551" s="18"/>
      <c r="B6551" s="75">
        <v>1066</v>
      </c>
      <c r="C6551" s="213">
        <v>45822</v>
      </c>
      <c r="D6551" s="18" t="s">
        <v>1550</v>
      </c>
      <c r="E6551" s="18" t="s">
        <v>1551</v>
      </c>
      <c r="F6551" s="18" t="s">
        <v>54</v>
      </c>
      <c r="G6551" s="18"/>
      <c r="H6551" s="75">
        <v>1.2311</v>
      </c>
      <c r="I6551" s="75"/>
      <c r="J6551" s="18" t="s">
        <v>49</v>
      </c>
      <c r="K6551" s="381">
        <v>710</v>
      </c>
      <c r="L6551" s="381">
        <v>80</v>
      </c>
      <c r="M6551" s="383">
        <v>2220</v>
      </c>
      <c r="N6551" s="382" t="s">
        <v>66</v>
      </c>
      <c r="O6551" s="382" t="s">
        <v>84</v>
      </c>
      <c r="P6551" s="383">
        <v>988</v>
      </c>
      <c r="Q6551" s="75"/>
      <c r="R6551" s="75">
        <f t="shared" si="285"/>
        <v>988</v>
      </c>
      <c r="S6551" s="75">
        <v>100</v>
      </c>
      <c r="T6551" s="75" t="s">
        <v>421</v>
      </c>
      <c r="U6551" s="137"/>
      <c r="V6551" s="193"/>
      <c r="W6551" s="18"/>
      <c r="X6551" s="18"/>
      <c r="Y6551" s="114"/>
      <c r="Z6551" s="18"/>
      <c r="AA6551" s="18"/>
      <c r="AB6551" s="18"/>
      <c r="AC6551" s="137"/>
      <c r="AD6551" s="77"/>
      <c r="AE6551" s="18" t="s">
        <v>48</v>
      </c>
      <c r="AF6551" s="18"/>
      <c r="AG6551" s="18"/>
      <c r="AH6551" s="18"/>
      <c r="AI6551" s="18"/>
      <c r="AJ6551" s="18"/>
      <c r="AK6551" s="18"/>
      <c r="AL6551" s="18"/>
      <c r="AM6551" s="18"/>
      <c r="AN6551" s="18"/>
      <c r="AO6551" s="18"/>
      <c r="AP6551" s="18"/>
      <c r="AQ6551" s="18"/>
      <c r="AR6551" s="18"/>
    </row>
    <row r="6552" hidden="1" spans="1:44">
      <c r="A6552" s="18"/>
      <c r="B6552" s="75">
        <v>1066</v>
      </c>
      <c r="C6552" s="213">
        <v>45822</v>
      </c>
      <c r="D6552" s="18" t="s">
        <v>1550</v>
      </c>
      <c r="E6552" s="18" t="s">
        <v>1551</v>
      </c>
      <c r="F6552" s="18" t="s">
        <v>54</v>
      </c>
      <c r="G6552" s="18"/>
      <c r="H6552" s="75">
        <v>1.2311</v>
      </c>
      <c r="I6552" s="75"/>
      <c r="J6552" s="18" t="s">
        <v>49</v>
      </c>
      <c r="K6552" s="381">
        <v>710</v>
      </c>
      <c r="L6552" s="381">
        <v>65</v>
      </c>
      <c r="M6552" s="383">
        <v>2220</v>
      </c>
      <c r="N6552" s="382" t="s">
        <v>66</v>
      </c>
      <c r="O6552" s="382" t="s">
        <v>84</v>
      </c>
      <c r="P6552" s="383">
        <v>807</v>
      </c>
      <c r="Q6552" s="75"/>
      <c r="R6552" s="75">
        <f t="shared" si="285"/>
        <v>807</v>
      </c>
      <c r="S6552" s="75">
        <v>100</v>
      </c>
      <c r="T6552" s="75" t="s">
        <v>421</v>
      </c>
      <c r="U6552" s="137"/>
      <c r="V6552" s="193"/>
      <c r="W6552" s="18"/>
      <c r="X6552" s="18"/>
      <c r="Y6552" s="114"/>
      <c r="Z6552" s="18"/>
      <c r="AA6552" s="18"/>
      <c r="AB6552" s="18"/>
      <c r="AC6552" s="137"/>
      <c r="AD6552" s="77"/>
      <c r="AE6552" s="18" t="s">
        <v>48</v>
      </c>
      <c r="AF6552" s="18"/>
      <c r="AG6552" s="18"/>
      <c r="AH6552" s="18"/>
      <c r="AI6552" s="18"/>
      <c r="AJ6552" s="18"/>
      <c r="AK6552" s="18"/>
      <c r="AL6552" s="18"/>
      <c r="AM6552" s="18"/>
      <c r="AN6552" s="18"/>
      <c r="AO6552" s="18"/>
      <c r="AP6552" s="18"/>
      <c r="AQ6552" s="18"/>
      <c r="AR6552" s="18"/>
    </row>
    <row r="6553" hidden="1" spans="1:44">
      <c r="A6553" s="18"/>
      <c r="B6553" s="75">
        <v>1066</v>
      </c>
      <c r="C6553" s="213">
        <v>45822</v>
      </c>
      <c r="D6553" s="18" t="s">
        <v>1550</v>
      </c>
      <c r="E6553" s="18" t="s">
        <v>1551</v>
      </c>
      <c r="F6553" s="18" t="s">
        <v>54</v>
      </c>
      <c r="G6553" s="18"/>
      <c r="H6553" s="75">
        <v>1.2311</v>
      </c>
      <c r="I6553" s="75"/>
      <c r="J6553" s="18" t="s">
        <v>49</v>
      </c>
      <c r="K6553" s="381">
        <v>710</v>
      </c>
      <c r="L6553" s="381">
        <v>80</v>
      </c>
      <c r="M6553" s="383">
        <v>2220</v>
      </c>
      <c r="N6553" s="382" t="s">
        <v>66</v>
      </c>
      <c r="O6553" s="382" t="s">
        <v>84</v>
      </c>
      <c r="P6553" s="383">
        <v>999</v>
      </c>
      <c r="Q6553" s="75"/>
      <c r="R6553" s="75">
        <f t="shared" si="285"/>
        <v>999</v>
      </c>
      <c r="S6553" s="75">
        <v>100</v>
      </c>
      <c r="T6553" s="75" t="s">
        <v>421</v>
      </c>
      <c r="U6553" s="137"/>
      <c r="V6553" s="193"/>
      <c r="W6553" s="18"/>
      <c r="X6553" s="18"/>
      <c r="Y6553" s="114"/>
      <c r="Z6553" s="18"/>
      <c r="AA6553" s="18"/>
      <c r="AB6553" s="18"/>
      <c r="AC6553" s="137"/>
      <c r="AD6553" s="77"/>
      <c r="AE6553" s="18" t="s">
        <v>48</v>
      </c>
      <c r="AF6553" s="18"/>
      <c r="AG6553" s="18"/>
      <c r="AH6553" s="18"/>
      <c r="AI6553" s="18"/>
      <c r="AJ6553" s="18"/>
      <c r="AK6553" s="18"/>
      <c r="AL6553" s="18"/>
      <c r="AM6553" s="18"/>
      <c r="AN6553" s="18"/>
      <c r="AO6553" s="18"/>
      <c r="AP6553" s="18"/>
      <c r="AQ6553" s="18"/>
      <c r="AR6553" s="18"/>
    </row>
    <row r="6554" hidden="1" spans="1:44">
      <c r="A6554" s="18"/>
      <c r="B6554" s="75">
        <v>1066</v>
      </c>
      <c r="C6554" s="213">
        <v>45822</v>
      </c>
      <c r="D6554" s="18" t="s">
        <v>1550</v>
      </c>
      <c r="E6554" s="18" t="s">
        <v>1551</v>
      </c>
      <c r="F6554" s="18" t="s">
        <v>54</v>
      </c>
      <c r="G6554" s="18"/>
      <c r="H6554" s="75">
        <v>1.2311</v>
      </c>
      <c r="I6554" s="75"/>
      <c r="J6554" s="18" t="s">
        <v>49</v>
      </c>
      <c r="K6554" s="381">
        <v>710</v>
      </c>
      <c r="L6554" s="381">
        <v>90</v>
      </c>
      <c r="M6554" s="383">
        <v>2220</v>
      </c>
      <c r="N6554" s="382" t="s">
        <v>66</v>
      </c>
      <c r="O6554" s="382" t="s">
        <v>84</v>
      </c>
      <c r="P6554" s="383">
        <v>1115</v>
      </c>
      <c r="Q6554" s="75"/>
      <c r="R6554" s="75">
        <f t="shared" si="285"/>
        <v>1115</v>
      </c>
      <c r="S6554" s="75">
        <v>100</v>
      </c>
      <c r="T6554" s="75" t="s">
        <v>421</v>
      </c>
      <c r="U6554" s="137"/>
      <c r="V6554" s="193"/>
      <c r="W6554" s="18"/>
      <c r="X6554" s="18"/>
      <c r="Y6554" s="114"/>
      <c r="Z6554" s="18"/>
      <c r="AA6554" s="18"/>
      <c r="AB6554" s="18"/>
      <c r="AC6554" s="137"/>
      <c r="AD6554" s="77"/>
      <c r="AE6554" s="18" t="s">
        <v>48</v>
      </c>
      <c r="AF6554" s="18"/>
      <c r="AG6554" s="18"/>
      <c r="AH6554" s="18"/>
      <c r="AI6554" s="18"/>
      <c r="AJ6554" s="18"/>
      <c r="AK6554" s="18"/>
      <c r="AL6554" s="18"/>
      <c r="AM6554" s="18"/>
      <c r="AN6554" s="18"/>
      <c r="AO6554" s="18"/>
      <c r="AP6554" s="18"/>
      <c r="AQ6554" s="18"/>
      <c r="AR6554" s="18"/>
    </row>
    <row r="6555" hidden="1" spans="1:44">
      <c r="A6555" s="18"/>
      <c r="B6555" s="75">
        <v>1066</v>
      </c>
      <c r="C6555" s="213">
        <v>45822</v>
      </c>
      <c r="D6555" s="18" t="s">
        <v>1550</v>
      </c>
      <c r="E6555" s="18" t="s">
        <v>1551</v>
      </c>
      <c r="F6555" s="18" t="s">
        <v>54</v>
      </c>
      <c r="G6555" s="18"/>
      <c r="H6555" s="75">
        <v>1.2311</v>
      </c>
      <c r="I6555" s="75"/>
      <c r="J6555" s="18" t="s">
        <v>49</v>
      </c>
      <c r="K6555" s="381">
        <v>710</v>
      </c>
      <c r="L6555" s="381">
        <v>65</v>
      </c>
      <c r="M6555" s="383">
        <v>2220</v>
      </c>
      <c r="N6555" s="382" t="s">
        <v>66</v>
      </c>
      <c r="O6555" s="382" t="s">
        <v>84</v>
      </c>
      <c r="P6555" s="383">
        <v>800</v>
      </c>
      <c r="Q6555" s="75"/>
      <c r="R6555" s="75">
        <f t="shared" si="285"/>
        <v>800</v>
      </c>
      <c r="S6555" s="75">
        <v>100</v>
      </c>
      <c r="T6555" s="75" t="s">
        <v>421</v>
      </c>
      <c r="U6555" s="137"/>
      <c r="V6555" s="193"/>
      <c r="W6555" s="18"/>
      <c r="X6555" s="18"/>
      <c r="Y6555" s="114"/>
      <c r="Z6555" s="18"/>
      <c r="AA6555" s="18"/>
      <c r="AB6555" s="18"/>
      <c r="AC6555" s="137"/>
      <c r="AD6555" s="77"/>
      <c r="AE6555" s="18" t="s">
        <v>48</v>
      </c>
      <c r="AF6555" s="18"/>
      <c r="AG6555" s="18"/>
      <c r="AH6555" s="18"/>
      <c r="AI6555" s="18"/>
      <c r="AJ6555" s="18"/>
      <c r="AK6555" s="18"/>
      <c r="AL6555" s="18"/>
      <c r="AM6555" s="18"/>
      <c r="AN6555" s="18"/>
      <c r="AO6555" s="18"/>
      <c r="AP6555" s="18"/>
      <c r="AQ6555" s="18"/>
      <c r="AR6555" s="18"/>
    </row>
    <row r="6556" hidden="1" spans="1:44">
      <c r="A6556" s="18"/>
      <c r="B6556" s="75">
        <v>1066</v>
      </c>
      <c r="C6556" s="213">
        <v>45822</v>
      </c>
      <c r="D6556" s="18" t="s">
        <v>1550</v>
      </c>
      <c r="E6556" s="18" t="s">
        <v>1551</v>
      </c>
      <c r="F6556" s="18" t="s">
        <v>54</v>
      </c>
      <c r="G6556" s="18"/>
      <c r="H6556" s="75">
        <v>1.2311</v>
      </c>
      <c r="I6556" s="75"/>
      <c r="J6556" s="18" t="s">
        <v>49</v>
      </c>
      <c r="K6556" s="381">
        <v>610</v>
      </c>
      <c r="L6556" s="381">
        <v>40</v>
      </c>
      <c r="M6556" s="383">
        <v>2220</v>
      </c>
      <c r="N6556" s="382" t="s">
        <v>66</v>
      </c>
      <c r="O6556" s="382" t="s">
        <v>84</v>
      </c>
      <c r="P6556" s="383">
        <v>436</v>
      </c>
      <c r="Q6556" s="75"/>
      <c r="R6556" s="75">
        <f t="shared" si="285"/>
        <v>436</v>
      </c>
      <c r="S6556" s="75">
        <v>100</v>
      </c>
      <c r="T6556" s="75" t="s">
        <v>421</v>
      </c>
      <c r="U6556" s="137"/>
      <c r="V6556" s="193"/>
      <c r="W6556" s="18"/>
      <c r="X6556" s="18"/>
      <c r="Y6556" s="114"/>
      <c r="Z6556" s="18"/>
      <c r="AA6556" s="18"/>
      <c r="AB6556" s="18"/>
      <c r="AC6556" s="137"/>
      <c r="AD6556" s="77"/>
      <c r="AE6556" s="18" t="s">
        <v>48</v>
      </c>
      <c r="AF6556" s="18"/>
      <c r="AG6556" s="18"/>
      <c r="AH6556" s="18"/>
      <c r="AI6556" s="18"/>
      <c r="AJ6556" s="18"/>
      <c r="AK6556" s="18"/>
      <c r="AL6556" s="18"/>
      <c r="AM6556" s="18"/>
      <c r="AN6556" s="18"/>
      <c r="AO6556" s="18"/>
      <c r="AP6556" s="18"/>
      <c r="AQ6556" s="18"/>
      <c r="AR6556" s="18"/>
    </row>
    <row r="6557" hidden="1" spans="1:44">
      <c r="A6557" s="18"/>
      <c r="B6557" s="75">
        <v>1066</v>
      </c>
      <c r="C6557" s="213">
        <v>45822</v>
      </c>
      <c r="D6557" s="18" t="s">
        <v>1550</v>
      </c>
      <c r="E6557" s="18" t="s">
        <v>1551</v>
      </c>
      <c r="F6557" s="18" t="s">
        <v>54</v>
      </c>
      <c r="G6557" s="18"/>
      <c r="H6557" s="75">
        <v>1.2311</v>
      </c>
      <c r="I6557" s="75"/>
      <c r="J6557" s="18" t="s">
        <v>49</v>
      </c>
      <c r="K6557" s="381">
        <v>610</v>
      </c>
      <c r="L6557" s="381">
        <v>40</v>
      </c>
      <c r="M6557" s="383">
        <v>2220</v>
      </c>
      <c r="N6557" s="382" t="s">
        <v>66</v>
      </c>
      <c r="O6557" s="382" t="s">
        <v>84</v>
      </c>
      <c r="P6557" s="383">
        <v>438</v>
      </c>
      <c r="Q6557" s="75"/>
      <c r="R6557" s="75">
        <f t="shared" si="285"/>
        <v>438</v>
      </c>
      <c r="S6557" s="75">
        <v>100</v>
      </c>
      <c r="T6557" s="75" t="s">
        <v>421</v>
      </c>
      <c r="U6557" s="137"/>
      <c r="V6557" s="193"/>
      <c r="W6557" s="18"/>
      <c r="X6557" s="18"/>
      <c r="Y6557" s="114"/>
      <c r="Z6557" s="18"/>
      <c r="AA6557" s="18"/>
      <c r="AB6557" s="18"/>
      <c r="AC6557" s="137"/>
      <c r="AD6557" s="77"/>
      <c r="AE6557" s="18" t="s">
        <v>48</v>
      </c>
      <c r="AF6557" s="18"/>
      <c r="AG6557" s="18"/>
      <c r="AH6557" s="18"/>
      <c r="AI6557" s="18"/>
      <c r="AJ6557" s="18"/>
      <c r="AK6557" s="18"/>
      <c r="AL6557" s="18"/>
      <c r="AM6557" s="18"/>
      <c r="AN6557" s="18"/>
      <c r="AO6557" s="18"/>
      <c r="AP6557" s="18"/>
      <c r="AQ6557" s="18"/>
      <c r="AR6557" s="18"/>
    </row>
    <row r="6558" hidden="1" spans="1:44">
      <c r="A6558" s="18"/>
      <c r="B6558" s="75">
        <v>1066</v>
      </c>
      <c r="C6558" s="213">
        <v>45822</v>
      </c>
      <c r="D6558" s="18" t="s">
        <v>1550</v>
      </c>
      <c r="E6558" s="18" t="s">
        <v>1551</v>
      </c>
      <c r="F6558" s="18" t="s">
        <v>54</v>
      </c>
      <c r="G6558" s="18"/>
      <c r="H6558" s="75">
        <v>1.2311</v>
      </c>
      <c r="I6558" s="75"/>
      <c r="J6558" s="18" t="s">
        <v>49</v>
      </c>
      <c r="K6558" s="381">
        <v>610</v>
      </c>
      <c r="L6558" s="381">
        <v>80</v>
      </c>
      <c r="M6558" s="383">
        <v>2220</v>
      </c>
      <c r="N6558" s="382" t="s">
        <v>66</v>
      </c>
      <c r="O6558" s="382" t="s">
        <v>84</v>
      </c>
      <c r="P6558" s="383">
        <v>861</v>
      </c>
      <c r="Q6558" s="75"/>
      <c r="R6558" s="75">
        <f t="shared" si="285"/>
        <v>861</v>
      </c>
      <c r="S6558" s="75">
        <v>100</v>
      </c>
      <c r="T6558" s="75" t="s">
        <v>421</v>
      </c>
      <c r="U6558" s="137"/>
      <c r="V6558" s="193"/>
      <c r="W6558" s="18"/>
      <c r="X6558" s="18"/>
      <c r="Y6558" s="114"/>
      <c r="Z6558" s="18"/>
      <c r="AA6558" s="18"/>
      <c r="AB6558" s="18"/>
      <c r="AC6558" s="137"/>
      <c r="AD6558" s="77"/>
      <c r="AE6558" s="18" t="s">
        <v>48</v>
      </c>
      <c r="AF6558" s="18"/>
      <c r="AG6558" s="18"/>
      <c r="AH6558" s="18"/>
      <c r="AI6558" s="18"/>
      <c r="AJ6558" s="18"/>
      <c r="AK6558" s="18"/>
      <c r="AL6558" s="18"/>
      <c r="AM6558" s="18"/>
      <c r="AN6558" s="18"/>
      <c r="AO6558" s="18"/>
      <c r="AP6558" s="18"/>
      <c r="AQ6558" s="18"/>
      <c r="AR6558" s="18"/>
    </row>
    <row r="6559" hidden="1" spans="1:44">
      <c r="A6559" s="18"/>
      <c r="B6559" s="75">
        <v>1066</v>
      </c>
      <c r="C6559" s="213">
        <v>45822</v>
      </c>
      <c r="D6559" s="18" t="s">
        <v>1550</v>
      </c>
      <c r="E6559" s="18" t="s">
        <v>1551</v>
      </c>
      <c r="F6559" s="18" t="s">
        <v>54</v>
      </c>
      <c r="G6559" s="18"/>
      <c r="H6559" s="75">
        <v>1.2311</v>
      </c>
      <c r="I6559" s="75"/>
      <c r="J6559" s="18" t="s">
        <v>49</v>
      </c>
      <c r="K6559" s="381">
        <v>610</v>
      </c>
      <c r="L6559" s="381">
        <v>65</v>
      </c>
      <c r="M6559" s="383">
        <v>2220</v>
      </c>
      <c r="N6559" s="382" t="s">
        <v>66</v>
      </c>
      <c r="O6559" s="382" t="s">
        <v>84</v>
      </c>
      <c r="P6559" s="383">
        <v>701</v>
      </c>
      <c r="Q6559" s="75"/>
      <c r="R6559" s="75">
        <f t="shared" si="285"/>
        <v>701</v>
      </c>
      <c r="S6559" s="75">
        <v>100</v>
      </c>
      <c r="T6559" s="75" t="s">
        <v>421</v>
      </c>
      <c r="U6559" s="137"/>
      <c r="V6559" s="193"/>
      <c r="W6559" s="18"/>
      <c r="X6559" s="18"/>
      <c r="Y6559" s="114"/>
      <c r="Z6559" s="18"/>
      <c r="AA6559" s="18"/>
      <c r="AB6559" s="18"/>
      <c r="AC6559" s="137"/>
      <c r="AD6559" s="77"/>
      <c r="AE6559" s="18" t="s">
        <v>48</v>
      </c>
      <c r="AF6559" s="18"/>
      <c r="AG6559" s="18"/>
      <c r="AH6559" s="18"/>
      <c r="AI6559" s="18"/>
      <c r="AJ6559" s="18"/>
      <c r="AK6559" s="18"/>
      <c r="AL6559" s="18"/>
      <c r="AM6559" s="18"/>
      <c r="AN6559" s="18"/>
      <c r="AO6559" s="18"/>
      <c r="AP6559" s="18"/>
      <c r="AQ6559" s="18"/>
      <c r="AR6559" s="18"/>
    </row>
    <row r="6560" hidden="1" spans="1:44">
      <c r="A6560" s="18"/>
      <c r="B6560" s="75">
        <v>1066</v>
      </c>
      <c r="C6560" s="213">
        <v>45822</v>
      </c>
      <c r="D6560" s="18" t="s">
        <v>1550</v>
      </c>
      <c r="E6560" s="18" t="s">
        <v>1551</v>
      </c>
      <c r="F6560" s="18" t="s">
        <v>54</v>
      </c>
      <c r="G6560" s="18"/>
      <c r="H6560" s="75">
        <v>1.2311</v>
      </c>
      <c r="I6560" s="75"/>
      <c r="J6560" s="18" t="s">
        <v>49</v>
      </c>
      <c r="K6560" s="384">
        <v>610</v>
      </c>
      <c r="L6560" s="384">
        <v>80</v>
      </c>
      <c r="M6560" s="384">
        <v>2220</v>
      </c>
      <c r="N6560" s="382" t="s">
        <v>66</v>
      </c>
      <c r="O6560" s="382" t="s">
        <v>84</v>
      </c>
      <c r="P6560" s="384">
        <v>850</v>
      </c>
      <c r="Q6560" s="75"/>
      <c r="R6560" s="75">
        <f t="shared" si="285"/>
        <v>850</v>
      </c>
      <c r="S6560" s="75">
        <v>100</v>
      </c>
      <c r="T6560" s="75" t="s">
        <v>421</v>
      </c>
      <c r="U6560" s="137"/>
      <c r="V6560" s="193"/>
      <c r="W6560" s="18"/>
      <c r="X6560" s="18"/>
      <c r="Y6560" s="114"/>
      <c r="Z6560" s="18"/>
      <c r="AA6560" s="18"/>
      <c r="AB6560" s="18"/>
      <c r="AC6560" s="137"/>
      <c r="AD6560" s="77"/>
      <c r="AE6560" s="18" t="s">
        <v>48</v>
      </c>
      <c r="AF6560" s="18"/>
      <c r="AG6560" s="18"/>
      <c r="AH6560" s="18"/>
      <c r="AI6560" s="18"/>
      <c r="AJ6560" s="18"/>
      <c r="AK6560" s="18"/>
      <c r="AL6560" s="18"/>
      <c r="AM6560" s="18"/>
      <c r="AN6560" s="18"/>
      <c r="AO6560" s="18"/>
      <c r="AP6560" s="18"/>
      <c r="AQ6560" s="18"/>
      <c r="AR6560" s="18"/>
    </row>
    <row r="6561" hidden="1" spans="1:44">
      <c r="A6561" s="18"/>
      <c r="B6561" s="75">
        <v>1066</v>
      </c>
      <c r="C6561" s="213">
        <v>45822</v>
      </c>
      <c r="D6561" s="18" t="s">
        <v>1550</v>
      </c>
      <c r="E6561" s="18" t="s">
        <v>1551</v>
      </c>
      <c r="F6561" s="18" t="s">
        <v>54</v>
      </c>
      <c r="G6561" s="18"/>
      <c r="H6561" s="75">
        <v>1.2311</v>
      </c>
      <c r="I6561" s="75"/>
      <c r="J6561" s="18" t="s">
        <v>49</v>
      </c>
      <c r="K6561" s="381">
        <v>610</v>
      </c>
      <c r="L6561" s="381">
        <v>90</v>
      </c>
      <c r="M6561" s="381">
        <v>2220</v>
      </c>
      <c r="N6561" s="382" t="s">
        <v>66</v>
      </c>
      <c r="O6561" s="382" t="s">
        <v>84</v>
      </c>
      <c r="P6561" s="381">
        <v>955</v>
      </c>
      <c r="Q6561" s="75"/>
      <c r="R6561" s="75">
        <f t="shared" si="285"/>
        <v>955</v>
      </c>
      <c r="S6561" s="75">
        <v>100</v>
      </c>
      <c r="T6561" s="75" t="s">
        <v>421</v>
      </c>
      <c r="U6561" s="137"/>
      <c r="V6561" s="193"/>
      <c r="W6561" s="18"/>
      <c r="X6561" s="18"/>
      <c r="Y6561" s="114"/>
      <c r="Z6561" s="18"/>
      <c r="AA6561" s="18"/>
      <c r="AB6561" s="18"/>
      <c r="AC6561" s="137"/>
      <c r="AD6561" s="77"/>
      <c r="AE6561" s="18" t="s">
        <v>48</v>
      </c>
      <c r="AF6561" s="18"/>
      <c r="AG6561" s="18"/>
      <c r="AH6561" s="18"/>
      <c r="AI6561" s="18"/>
      <c r="AJ6561" s="18"/>
      <c r="AK6561" s="18"/>
      <c r="AL6561" s="18"/>
      <c r="AM6561" s="18"/>
      <c r="AN6561" s="18"/>
      <c r="AO6561" s="18"/>
      <c r="AP6561" s="18"/>
      <c r="AQ6561" s="18"/>
      <c r="AR6561" s="18"/>
    </row>
    <row r="6562" hidden="1" spans="1:44">
      <c r="A6562" s="18"/>
      <c r="B6562" s="75">
        <v>1067</v>
      </c>
      <c r="C6562" s="213">
        <v>45822</v>
      </c>
      <c r="D6562" s="18" t="s">
        <v>1550</v>
      </c>
      <c r="E6562" s="18" t="s">
        <v>1551</v>
      </c>
      <c r="F6562" s="18" t="s">
        <v>54</v>
      </c>
      <c r="G6562" s="18"/>
      <c r="H6562" s="75">
        <v>1.2311</v>
      </c>
      <c r="I6562" s="75"/>
      <c r="J6562" s="18" t="s">
        <v>82</v>
      </c>
      <c r="K6562" s="385">
        <v>360</v>
      </c>
      <c r="L6562" s="385">
        <v>25</v>
      </c>
      <c r="M6562" s="385">
        <v>2225</v>
      </c>
      <c r="N6562" s="75" t="s">
        <v>66</v>
      </c>
      <c r="O6562" s="75" t="s">
        <v>84</v>
      </c>
      <c r="P6562" s="385">
        <v>169</v>
      </c>
      <c r="Q6562" s="75"/>
      <c r="R6562" s="75">
        <f t="shared" si="285"/>
        <v>169</v>
      </c>
      <c r="S6562" s="75">
        <v>100</v>
      </c>
      <c r="T6562" s="75" t="s">
        <v>421</v>
      </c>
      <c r="U6562" s="137"/>
      <c r="V6562" s="193"/>
      <c r="W6562" s="18"/>
      <c r="X6562" s="18"/>
      <c r="Y6562" s="114"/>
      <c r="Z6562" s="18"/>
      <c r="AA6562" s="18"/>
      <c r="AB6562" s="18"/>
      <c r="AC6562" s="137"/>
      <c r="AD6562" s="77"/>
      <c r="AE6562" s="18" t="s">
        <v>48</v>
      </c>
      <c r="AF6562" s="18"/>
      <c r="AG6562" s="18"/>
      <c r="AH6562" s="18"/>
      <c r="AI6562" s="18"/>
      <c r="AJ6562" s="18"/>
      <c r="AK6562" s="18"/>
      <c r="AL6562" s="18"/>
      <c r="AM6562" s="18"/>
      <c r="AN6562" s="18"/>
      <c r="AO6562" s="18"/>
      <c r="AP6562" s="18"/>
      <c r="AQ6562" s="18"/>
      <c r="AR6562" s="18"/>
    </row>
    <row r="6563" hidden="1" spans="1:44">
      <c r="A6563" s="18"/>
      <c r="B6563" s="75">
        <v>1067</v>
      </c>
      <c r="C6563" s="213">
        <v>45822</v>
      </c>
      <c r="D6563" s="18" t="s">
        <v>1550</v>
      </c>
      <c r="E6563" s="18" t="s">
        <v>1551</v>
      </c>
      <c r="F6563" s="18" t="s">
        <v>54</v>
      </c>
      <c r="G6563" s="18"/>
      <c r="H6563" s="75">
        <v>1.2311</v>
      </c>
      <c r="I6563" s="75"/>
      <c r="J6563" s="18" t="s">
        <v>82</v>
      </c>
      <c r="K6563" s="385">
        <v>360</v>
      </c>
      <c r="L6563" s="385">
        <v>25</v>
      </c>
      <c r="M6563" s="385">
        <v>2230</v>
      </c>
      <c r="N6563" s="75" t="s">
        <v>66</v>
      </c>
      <c r="O6563" s="75" t="s">
        <v>84</v>
      </c>
      <c r="P6563" s="385">
        <v>170</v>
      </c>
      <c r="Q6563" s="75"/>
      <c r="R6563" s="75">
        <f t="shared" si="285"/>
        <v>170</v>
      </c>
      <c r="S6563" s="75">
        <v>100</v>
      </c>
      <c r="T6563" s="75" t="s">
        <v>421</v>
      </c>
      <c r="U6563" s="137"/>
      <c r="V6563" s="193"/>
      <c r="W6563" s="18"/>
      <c r="X6563" s="18"/>
      <c r="Y6563" s="114"/>
      <c r="Z6563" s="18"/>
      <c r="AA6563" s="18"/>
      <c r="AB6563" s="18"/>
      <c r="AC6563" s="137"/>
      <c r="AD6563" s="77"/>
      <c r="AE6563" s="18" t="s">
        <v>48</v>
      </c>
      <c r="AF6563" s="18"/>
      <c r="AG6563" s="18"/>
      <c r="AH6563" s="18"/>
      <c r="AI6563" s="18"/>
      <c r="AJ6563" s="18"/>
      <c r="AK6563" s="18"/>
      <c r="AL6563" s="18"/>
      <c r="AM6563" s="18"/>
      <c r="AN6563" s="18"/>
      <c r="AO6563" s="18"/>
      <c r="AP6563" s="18"/>
      <c r="AQ6563" s="18"/>
      <c r="AR6563" s="18"/>
    </row>
    <row r="6564" hidden="1" spans="1:44">
      <c r="A6564" s="18"/>
      <c r="B6564" s="75">
        <v>1067</v>
      </c>
      <c r="C6564" s="213">
        <v>45822</v>
      </c>
      <c r="D6564" s="18" t="s">
        <v>1550</v>
      </c>
      <c r="E6564" s="18" t="s">
        <v>1551</v>
      </c>
      <c r="F6564" s="18" t="s">
        <v>54</v>
      </c>
      <c r="G6564" s="18"/>
      <c r="H6564" s="75">
        <v>1.2311</v>
      </c>
      <c r="I6564" s="75"/>
      <c r="J6564" s="18" t="s">
        <v>82</v>
      </c>
      <c r="K6564" s="385">
        <v>410</v>
      </c>
      <c r="L6564" s="385">
        <v>25</v>
      </c>
      <c r="M6564" s="385">
        <v>2235</v>
      </c>
      <c r="N6564" s="75" t="s">
        <v>66</v>
      </c>
      <c r="O6564" s="75" t="s">
        <v>84</v>
      </c>
      <c r="P6564" s="385">
        <v>194</v>
      </c>
      <c r="Q6564" s="75"/>
      <c r="R6564" s="75">
        <f t="shared" si="285"/>
        <v>194</v>
      </c>
      <c r="S6564" s="75">
        <v>100</v>
      </c>
      <c r="T6564" s="75" t="s">
        <v>421</v>
      </c>
      <c r="U6564" s="137"/>
      <c r="V6564" s="193"/>
      <c r="W6564" s="18"/>
      <c r="X6564" s="18"/>
      <c r="Y6564" s="114"/>
      <c r="Z6564" s="18"/>
      <c r="AA6564" s="18"/>
      <c r="AB6564" s="18"/>
      <c r="AC6564" s="137"/>
      <c r="AD6564" s="77"/>
      <c r="AE6564" s="18" t="s">
        <v>48</v>
      </c>
      <c r="AF6564" s="18"/>
      <c r="AG6564" s="18"/>
      <c r="AH6564" s="18"/>
      <c r="AI6564" s="18"/>
      <c r="AJ6564" s="18"/>
      <c r="AK6564" s="18"/>
      <c r="AL6564" s="18"/>
      <c r="AM6564" s="18"/>
      <c r="AN6564" s="18"/>
      <c r="AO6564" s="18"/>
      <c r="AP6564" s="18"/>
      <c r="AQ6564" s="18"/>
      <c r="AR6564" s="18"/>
    </row>
    <row r="6565" hidden="1" spans="1:44">
      <c r="A6565" s="18"/>
      <c r="B6565" s="75">
        <v>1067</v>
      </c>
      <c r="C6565" s="213">
        <v>45822</v>
      </c>
      <c r="D6565" s="18" t="s">
        <v>1550</v>
      </c>
      <c r="E6565" s="18" t="s">
        <v>1551</v>
      </c>
      <c r="F6565" s="18" t="s">
        <v>54</v>
      </c>
      <c r="G6565" s="18"/>
      <c r="H6565" s="75">
        <v>1.2311</v>
      </c>
      <c r="I6565" s="75"/>
      <c r="J6565" s="18" t="s">
        <v>82</v>
      </c>
      <c r="K6565" s="385">
        <v>410</v>
      </c>
      <c r="L6565" s="385">
        <v>25</v>
      </c>
      <c r="M6565" s="385">
        <v>2235</v>
      </c>
      <c r="N6565" s="75" t="s">
        <v>66</v>
      </c>
      <c r="O6565" s="75" t="s">
        <v>84</v>
      </c>
      <c r="P6565" s="385">
        <v>194</v>
      </c>
      <c r="Q6565" s="75"/>
      <c r="R6565" s="75">
        <f t="shared" si="285"/>
        <v>194</v>
      </c>
      <c r="S6565" s="75">
        <v>100</v>
      </c>
      <c r="T6565" s="75" t="s">
        <v>421</v>
      </c>
      <c r="U6565" s="137"/>
      <c r="V6565" s="193"/>
      <c r="W6565" s="18"/>
      <c r="X6565" s="18"/>
      <c r="Y6565" s="114"/>
      <c r="Z6565" s="18"/>
      <c r="AA6565" s="18"/>
      <c r="AB6565" s="18"/>
      <c r="AC6565" s="137"/>
      <c r="AD6565" s="77"/>
      <c r="AE6565" s="18" t="s">
        <v>48</v>
      </c>
      <c r="AF6565" s="18"/>
      <c r="AG6565" s="18"/>
      <c r="AH6565" s="18"/>
      <c r="AI6565" s="18"/>
      <c r="AJ6565" s="18"/>
      <c r="AK6565" s="18"/>
      <c r="AL6565" s="18"/>
      <c r="AM6565" s="18"/>
      <c r="AN6565" s="18"/>
      <c r="AO6565" s="18"/>
      <c r="AP6565" s="18"/>
      <c r="AQ6565" s="18"/>
      <c r="AR6565" s="18"/>
    </row>
    <row r="6566" hidden="1" spans="1:44">
      <c r="A6566" s="18"/>
      <c r="B6566" s="75">
        <v>1067</v>
      </c>
      <c r="C6566" s="213">
        <v>45822</v>
      </c>
      <c r="D6566" s="18" t="s">
        <v>1550</v>
      </c>
      <c r="E6566" s="18" t="s">
        <v>1551</v>
      </c>
      <c r="F6566" s="18" t="s">
        <v>54</v>
      </c>
      <c r="G6566" s="18"/>
      <c r="H6566" s="75">
        <v>1.2311</v>
      </c>
      <c r="I6566" s="75"/>
      <c r="J6566" s="18" t="s">
        <v>82</v>
      </c>
      <c r="K6566" s="385">
        <v>510</v>
      </c>
      <c r="L6566" s="385">
        <v>25</v>
      </c>
      <c r="M6566" s="385">
        <v>2238</v>
      </c>
      <c r="N6566" s="75" t="s">
        <v>66</v>
      </c>
      <c r="O6566" s="75" t="s">
        <v>84</v>
      </c>
      <c r="P6566" s="385">
        <v>240</v>
      </c>
      <c r="Q6566" s="75"/>
      <c r="R6566" s="75">
        <f t="shared" si="285"/>
        <v>240</v>
      </c>
      <c r="S6566" s="75">
        <v>100</v>
      </c>
      <c r="T6566" s="75" t="s">
        <v>421</v>
      </c>
      <c r="U6566" s="137"/>
      <c r="V6566" s="193"/>
      <c r="W6566" s="18"/>
      <c r="X6566" s="18"/>
      <c r="Y6566" s="114"/>
      <c r="Z6566" s="18"/>
      <c r="AA6566" s="18"/>
      <c r="AB6566" s="18"/>
      <c r="AC6566" s="137"/>
      <c r="AD6566" s="77"/>
      <c r="AE6566" s="18" t="s">
        <v>48</v>
      </c>
      <c r="AF6566" s="18"/>
      <c r="AG6566" s="18"/>
      <c r="AH6566" s="18"/>
      <c r="AI6566" s="18"/>
      <c r="AJ6566" s="18"/>
      <c r="AK6566" s="18"/>
      <c r="AL6566" s="18"/>
      <c r="AM6566" s="18"/>
      <c r="AN6566" s="18"/>
      <c r="AO6566" s="18"/>
      <c r="AP6566" s="18"/>
      <c r="AQ6566" s="18"/>
      <c r="AR6566" s="18"/>
    </row>
    <row r="6567" hidden="1" spans="1:44">
      <c r="A6567" s="18"/>
      <c r="B6567" s="75">
        <v>1067</v>
      </c>
      <c r="C6567" s="213">
        <v>45822</v>
      </c>
      <c r="D6567" s="18" t="s">
        <v>1550</v>
      </c>
      <c r="E6567" s="18" t="s">
        <v>1551</v>
      </c>
      <c r="F6567" s="18" t="s">
        <v>54</v>
      </c>
      <c r="G6567" s="18"/>
      <c r="H6567" s="75">
        <v>1.2311</v>
      </c>
      <c r="I6567" s="75"/>
      <c r="J6567" s="18" t="s">
        <v>82</v>
      </c>
      <c r="K6567" s="385">
        <v>510</v>
      </c>
      <c r="L6567" s="385">
        <v>25</v>
      </c>
      <c r="M6567" s="385">
        <v>2240</v>
      </c>
      <c r="N6567" s="75" t="s">
        <v>66</v>
      </c>
      <c r="O6567" s="75" t="s">
        <v>84</v>
      </c>
      <c r="P6567" s="385">
        <v>239</v>
      </c>
      <c r="Q6567" s="75"/>
      <c r="R6567" s="75">
        <f t="shared" si="285"/>
        <v>239</v>
      </c>
      <c r="S6567" s="75">
        <v>100</v>
      </c>
      <c r="T6567" s="75" t="s">
        <v>421</v>
      </c>
      <c r="U6567" s="137"/>
      <c r="V6567" s="193"/>
      <c r="W6567" s="18"/>
      <c r="X6567" s="18"/>
      <c r="Y6567" s="114"/>
      <c r="Z6567" s="18"/>
      <c r="AA6567" s="18"/>
      <c r="AB6567" s="18"/>
      <c r="AC6567" s="137"/>
      <c r="AD6567" s="77"/>
      <c r="AE6567" s="18" t="s">
        <v>48</v>
      </c>
      <c r="AF6567" s="18"/>
      <c r="AG6567" s="18"/>
      <c r="AH6567" s="18"/>
      <c r="AI6567" s="18"/>
      <c r="AJ6567" s="18"/>
      <c r="AK6567" s="18"/>
      <c r="AL6567" s="18"/>
      <c r="AM6567" s="18"/>
      <c r="AN6567" s="18"/>
      <c r="AO6567" s="18"/>
      <c r="AP6567" s="18"/>
      <c r="AQ6567" s="18"/>
      <c r="AR6567" s="18"/>
    </row>
    <row r="6568" hidden="1" spans="1:44">
      <c r="A6568" s="18"/>
      <c r="B6568" s="75">
        <v>1067</v>
      </c>
      <c r="C6568" s="213">
        <v>45822</v>
      </c>
      <c r="D6568" s="18" t="s">
        <v>1550</v>
      </c>
      <c r="E6568" s="18" t="s">
        <v>1551</v>
      </c>
      <c r="F6568" s="18" t="s">
        <v>54</v>
      </c>
      <c r="G6568" s="18"/>
      <c r="H6568" s="75">
        <v>1.2311</v>
      </c>
      <c r="I6568" s="75"/>
      <c r="J6568" s="18" t="s">
        <v>82</v>
      </c>
      <c r="K6568" s="385">
        <v>510</v>
      </c>
      <c r="L6568" s="385">
        <v>25</v>
      </c>
      <c r="M6568" s="385">
        <v>2218</v>
      </c>
      <c r="N6568" s="75" t="s">
        <v>66</v>
      </c>
      <c r="O6568" s="75" t="s">
        <v>84</v>
      </c>
      <c r="P6568" s="385">
        <v>238</v>
      </c>
      <c r="Q6568" s="75"/>
      <c r="R6568" s="75">
        <f t="shared" si="285"/>
        <v>238</v>
      </c>
      <c r="S6568" s="75">
        <v>100</v>
      </c>
      <c r="T6568" s="75" t="s">
        <v>421</v>
      </c>
      <c r="U6568" s="137"/>
      <c r="V6568" s="193"/>
      <c r="W6568" s="18"/>
      <c r="X6568" s="18"/>
      <c r="Y6568" s="114"/>
      <c r="Z6568" s="18"/>
      <c r="AA6568" s="18"/>
      <c r="AB6568" s="18"/>
      <c r="AC6568" s="137"/>
      <c r="AD6568" s="77"/>
      <c r="AE6568" s="18" t="s">
        <v>48</v>
      </c>
      <c r="AF6568" s="18"/>
      <c r="AG6568" s="18"/>
      <c r="AH6568" s="18"/>
      <c r="AI6568" s="18"/>
      <c r="AJ6568" s="18"/>
      <c r="AK6568" s="18"/>
      <c r="AL6568" s="18"/>
      <c r="AM6568" s="18"/>
      <c r="AN6568" s="18"/>
      <c r="AO6568" s="18"/>
      <c r="AP6568" s="18"/>
      <c r="AQ6568" s="18"/>
      <c r="AR6568" s="18"/>
    </row>
    <row r="6569" hidden="1" spans="1:44">
      <c r="A6569" s="18"/>
      <c r="B6569" s="75">
        <v>1067</v>
      </c>
      <c r="C6569" s="213">
        <v>45822</v>
      </c>
      <c r="D6569" s="18" t="s">
        <v>1550</v>
      </c>
      <c r="E6569" s="18" t="s">
        <v>1551</v>
      </c>
      <c r="F6569" s="18" t="s">
        <v>54</v>
      </c>
      <c r="G6569" s="18"/>
      <c r="H6569" s="75">
        <v>1.2311</v>
      </c>
      <c r="I6569" s="75"/>
      <c r="J6569" s="18" t="s">
        <v>49</v>
      </c>
      <c r="K6569" s="385">
        <v>610</v>
      </c>
      <c r="L6569" s="385">
        <v>25</v>
      </c>
      <c r="M6569" s="385">
        <v>2223</v>
      </c>
      <c r="N6569" s="75" t="s">
        <v>66</v>
      </c>
      <c r="O6569" s="75" t="s">
        <v>84</v>
      </c>
      <c r="P6569" s="385">
        <v>286</v>
      </c>
      <c r="Q6569" s="75"/>
      <c r="R6569" s="75">
        <f t="shared" si="285"/>
        <v>286</v>
      </c>
      <c r="S6569" s="75">
        <v>100</v>
      </c>
      <c r="T6569" s="75" t="s">
        <v>421</v>
      </c>
      <c r="U6569" s="137"/>
      <c r="V6569" s="193"/>
      <c r="W6569" s="18"/>
      <c r="X6569" s="18"/>
      <c r="Y6569" s="114"/>
      <c r="Z6569" s="18"/>
      <c r="AA6569" s="18"/>
      <c r="AB6569" s="18"/>
      <c r="AC6569" s="137"/>
      <c r="AD6569" s="77"/>
      <c r="AE6569" s="18" t="s">
        <v>48</v>
      </c>
      <c r="AF6569" s="18"/>
      <c r="AG6569" s="18"/>
      <c r="AH6569" s="18"/>
      <c r="AI6569" s="18"/>
      <c r="AJ6569" s="18"/>
      <c r="AK6569" s="18"/>
      <c r="AL6569" s="18"/>
      <c r="AM6569" s="18"/>
      <c r="AN6569" s="18"/>
      <c r="AO6569" s="18"/>
      <c r="AP6569" s="18"/>
      <c r="AQ6569" s="18"/>
      <c r="AR6569" s="18"/>
    </row>
    <row r="6570" hidden="1" spans="1:44">
      <c r="A6570" s="18"/>
      <c r="B6570" s="75">
        <v>1067</v>
      </c>
      <c r="C6570" s="213">
        <v>45822</v>
      </c>
      <c r="D6570" s="18" t="s">
        <v>1550</v>
      </c>
      <c r="E6570" s="18" t="s">
        <v>1551</v>
      </c>
      <c r="F6570" s="18" t="s">
        <v>54</v>
      </c>
      <c r="G6570" s="18"/>
      <c r="H6570" s="75">
        <v>1.2311</v>
      </c>
      <c r="I6570" s="75"/>
      <c r="J6570" s="18" t="s">
        <v>82</v>
      </c>
      <c r="K6570" s="385">
        <v>360</v>
      </c>
      <c r="L6570" s="385">
        <v>32</v>
      </c>
      <c r="M6570" s="385">
        <v>2240</v>
      </c>
      <c r="N6570" s="75" t="s">
        <v>66</v>
      </c>
      <c r="O6570" s="75" t="s">
        <v>84</v>
      </c>
      <c r="P6570" s="385">
        <v>203</v>
      </c>
      <c r="Q6570" s="75"/>
      <c r="R6570" s="75">
        <f t="shared" si="285"/>
        <v>203</v>
      </c>
      <c r="S6570" s="75">
        <v>100</v>
      </c>
      <c r="T6570" s="75" t="s">
        <v>421</v>
      </c>
      <c r="U6570" s="137"/>
      <c r="V6570" s="193"/>
      <c r="W6570" s="18"/>
      <c r="X6570" s="18"/>
      <c r="Y6570" s="114"/>
      <c r="Z6570" s="18"/>
      <c r="AA6570" s="18"/>
      <c r="AB6570" s="18"/>
      <c r="AC6570" s="137"/>
      <c r="AD6570" s="77"/>
      <c r="AE6570" s="18" t="s">
        <v>48</v>
      </c>
      <c r="AF6570" s="18"/>
      <c r="AG6570" s="18"/>
      <c r="AH6570" s="18"/>
      <c r="AI6570" s="18"/>
      <c r="AJ6570" s="18"/>
      <c r="AK6570" s="18"/>
      <c r="AL6570" s="18"/>
      <c r="AM6570" s="18"/>
      <c r="AN6570" s="18"/>
      <c r="AO6570" s="18"/>
      <c r="AP6570" s="18"/>
      <c r="AQ6570" s="18"/>
      <c r="AR6570" s="18"/>
    </row>
    <row r="6571" hidden="1" spans="1:44">
      <c r="A6571" s="18"/>
      <c r="B6571" s="75">
        <v>1067</v>
      </c>
      <c r="C6571" s="213">
        <v>45822</v>
      </c>
      <c r="D6571" s="18" t="s">
        <v>1550</v>
      </c>
      <c r="E6571" s="18" t="s">
        <v>1551</v>
      </c>
      <c r="F6571" s="18" t="s">
        <v>54</v>
      </c>
      <c r="G6571" s="18"/>
      <c r="H6571" s="75">
        <v>1.2311</v>
      </c>
      <c r="I6571" s="75"/>
      <c r="J6571" s="18" t="s">
        <v>82</v>
      </c>
      <c r="K6571" s="385">
        <v>360</v>
      </c>
      <c r="L6571" s="385">
        <v>32</v>
      </c>
      <c r="M6571" s="385">
        <v>2240</v>
      </c>
      <c r="N6571" s="75" t="s">
        <v>66</v>
      </c>
      <c r="O6571" s="75" t="s">
        <v>84</v>
      </c>
      <c r="P6571" s="385">
        <v>202</v>
      </c>
      <c r="Q6571" s="75"/>
      <c r="R6571" s="75">
        <f t="shared" si="285"/>
        <v>202</v>
      </c>
      <c r="S6571" s="75">
        <v>100</v>
      </c>
      <c r="T6571" s="75" t="s">
        <v>421</v>
      </c>
      <c r="U6571" s="137"/>
      <c r="V6571" s="193"/>
      <c r="W6571" s="18"/>
      <c r="X6571" s="18"/>
      <c r="Y6571" s="114"/>
      <c r="Z6571" s="18"/>
      <c r="AA6571" s="18"/>
      <c r="AB6571" s="18"/>
      <c r="AC6571" s="137"/>
      <c r="AD6571" s="77"/>
      <c r="AE6571" s="18" t="s">
        <v>48</v>
      </c>
      <c r="AF6571" s="18"/>
      <c r="AG6571" s="18"/>
      <c r="AH6571" s="18"/>
      <c r="AI6571" s="18"/>
      <c r="AJ6571" s="18"/>
      <c r="AK6571" s="18"/>
      <c r="AL6571" s="18"/>
      <c r="AM6571" s="18"/>
      <c r="AN6571" s="18"/>
      <c r="AO6571" s="18"/>
      <c r="AP6571" s="18"/>
      <c r="AQ6571" s="18"/>
      <c r="AR6571" s="18"/>
    </row>
    <row r="6572" hidden="1" spans="1:44">
      <c r="A6572" s="18"/>
      <c r="B6572" s="75">
        <v>1067</v>
      </c>
      <c r="C6572" s="213">
        <v>45822</v>
      </c>
      <c r="D6572" s="18" t="s">
        <v>1550</v>
      </c>
      <c r="E6572" s="18" t="s">
        <v>1551</v>
      </c>
      <c r="F6572" s="18" t="s">
        <v>54</v>
      </c>
      <c r="G6572" s="18"/>
      <c r="H6572" s="75">
        <v>1.2311</v>
      </c>
      <c r="I6572" s="75"/>
      <c r="J6572" s="18" t="s">
        <v>82</v>
      </c>
      <c r="K6572" s="385">
        <v>410</v>
      </c>
      <c r="L6572" s="385">
        <v>32</v>
      </c>
      <c r="M6572" s="385">
        <v>2245</v>
      </c>
      <c r="N6572" s="75" t="s">
        <v>66</v>
      </c>
      <c r="O6572" s="75" t="s">
        <v>84</v>
      </c>
      <c r="P6572" s="385">
        <v>231</v>
      </c>
      <c r="Q6572" s="75"/>
      <c r="R6572" s="75">
        <f t="shared" si="285"/>
        <v>231</v>
      </c>
      <c r="S6572" s="75">
        <v>100</v>
      </c>
      <c r="T6572" s="75" t="s">
        <v>421</v>
      </c>
      <c r="U6572" s="137"/>
      <c r="V6572" s="193"/>
      <c r="W6572" s="18"/>
      <c r="X6572" s="18"/>
      <c r="Y6572" s="114"/>
      <c r="Z6572" s="18"/>
      <c r="AA6572" s="18"/>
      <c r="AB6572" s="18"/>
      <c r="AC6572" s="137"/>
      <c r="AD6572" s="77"/>
      <c r="AE6572" s="18" t="s">
        <v>48</v>
      </c>
      <c r="AF6572" s="18"/>
      <c r="AG6572" s="18"/>
      <c r="AH6572" s="18"/>
      <c r="AI6572" s="18"/>
      <c r="AJ6572" s="18"/>
      <c r="AK6572" s="18"/>
      <c r="AL6572" s="18"/>
      <c r="AM6572" s="18"/>
      <c r="AN6572" s="18"/>
      <c r="AO6572" s="18"/>
      <c r="AP6572" s="18"/>
      <c r="AQ6572" s="18"/>
      <c r="AR6572" s="18"/>
    </row>
    <row r="6573" hidden="1" spans="1:44">
      <c r="A6573" s="18"/>
      <c r="B6573" s="75">
        <v>1067</v>
      </c>
      <c r="C6573" s="213">
        <v>45822</v>
      </c>
      <c r="D6573" s="18" t="s">
        <v>1550</v>
      </c>
      <c r="E6573" s="18" t="s">
        <v>1551</v>
      </c>
      <c r="F6573" s="18" t="s">
        <v>54</v>
      </c>
      <c r="G6573" s="18"/>
      <c r="H6573" s="75">
        <v>1.2311</v>
      </c>
      <c r="I6573" s="75"/>
      <c r="J6573" s="18" t="s">
        <v>82</v>
      </c>
      <c r="K6573" s="385">
        <v>410</v>
      </c>
      <c r="L6573" s="385">
        <v>32</v>
      </c>
      <c r="M6573" s="385">
        <v>2240</v>
      </c>
      <c r="N6573" s="75" t="s">
        <v>66</v>
      </c>
      <c r="O6573" s="75" t="s">
        <v>84</v>
      </c>
      <c r="P6573" s="385">
        <v>230</v>
      </c>
      <c r="Q6573" s="75"/>
      <c r="R6573" s="75">
        <f t="shared" si="285"/>
        <v>230</v>
      </c>
      <c r="S6573" s="75">
        <v>100</v>
      </c>
      <c r="T6573" s="75" t="s">
        <v>421</v>
      </c>
      <c r="U6573" s="137"/>
      <c r="V6573" s="193"/>
      <c r="W6573" s="18"/>
      <c r="X6573" s="18"/>
      <c r="Y6573" s="114"/>
      <c r="Z6573" s="18"/>
      <c r="AA6573" s="18"/>
      <c r="AB6573" s="18"/>
      <c r="AC6573" s="137"/>
      <c r="AD6573" s="77"/>
      <c r="AE6573" s="18" t="s">
        <v>48</v>
      </c>
      <c r="AF6573" s="18"/>
      <c r="AG6573" s="18"/>
      <c r="AH6573" s="18"/>
      <c r="AI6573" s="18"/>
      <c r="AJ6573" s="18"/>
      <c r="AK6573" s="18"/>
      <c r="AL6573" s="18"/>
      <c r="AM6573" s="18"/>
      <c r="AN6573" s="18"/>
      <c r="AO6573" s="18"/>
      <c r="AP6573" s="18"/>
      <c r="AQ6573" s="18"/>
      <c r="AR6573" s="18"/>
    </row>
    <row r="6574" hidden="1" spans="1:44">
      <c r="A6574" s="18"/>
      <c r="B6574" s="75">
        <v>1067</v>
      </c>
      <c r="C6574" s="213">
        <v>45822</v>
      </c>
      <c r="D6574" s="18" t="s">
        <v>1550</v>
      </c>
      <c r="E6574" s="18" t="s">
        <v>1551</v>
      </c>
      <c r="F6574" s="18" t="s">
        <v>54</v>
      </c>
      <c r="G6574" s="18"/>
      <c r="H6574" s="75">
        <v>1.2311</v>
      </c>
      <c r="I6574" s="75"/>
      <c r="J6574" s="18" t="s">
        <v>82</v>
      </c>
      <c r="K6574" s="385">
        <v>410</v>
      </c>
      <c r="L6574" s="385">
        <v>32</v>
      </c>
      <c r="M6574" s="385">
        <v>2242</v>
      </c>
      <c r="N6574" s="75" t="s">
        <v>66</v>
      </c>
      <c r="O6574" s="75" t="s">
        <v>84</v>
      </c>
      <c r="P6574" s="385">
        <v>229</v>
      </c>
      <c r="Q6574" s="75"/>
      <c r="R6574" s="75">
        <f t="shared" si="285"/>
        <v>229</v>
      </c>
      <c r="S6574" s="75">
        <v>100</v>
      </c>
      <c r="T6574" s="75" t="s">
        <v>421</v>
      </c>
      <c r="U6574" s="137"/>
      <c r="V6574" s="193"/>
      <c r="W6574" s="18"/>
      <c r="X6574" s="18"/>
      <c r="Y6574" s="114"/>
      <c r="Z6574" s="18"/>
      <c r="AA6574" s="18"/>
      <c r="AB6574" s="18"/>
      <c r="AC6574" s="137"/>
      <c r="AD6574" s="77"/>
      <c r="AE6574" s="18" t="s">
        <v>48</v>
      </c>
      <c r="AF6574" s="18"/>
      <c r="AG6574" s="18"/>
      <c r="AH6574" s="18"/>
      <c r="AI6574" s="18"/>
      <c r="AJ6574" s="18"/>
      <c r="AK6574" s="18"/>
      <c r="AL6574" s="18"/>
      <c r="AM6574" s="18"/>
      <c r="AN6574" s="18"/>
      <c r="AO6574" s="18"/>
      <c r="AP6574" s="18"/>
      <c r="AQ6574" s="18"/>
      <c r="AR6574" s="18"/>
    </row>
    <row r="6575" hidden="1" spans="1:44">
      <c r="A6575" s="18"/>
      <c r="B6575" s="75">
        <v>1067</v>
      </c>
      <c r="C6575" s="213">
        <v>45822</v>
      </c>
      <c r="D6575" s="18" t="s">
        <v>1550</v>
      </c>
      <c r="E6575" s="18" t="s">
        <v>1551</v>
      </c>
      <c r="F6575" s="18" t="s">
        <v>54</v>
      </c>
      <c r="G6575" s="18"/>
      <c r="H6575" s="75">
        <v>1.2311</v>
      </c>
      <c r="I6575" s="75"/>
      <c r="J6575" s="18" t="s">
        <v>82</v>
      </c>
      <c r="K6575" s="385">
        <v>460</v>
      </c>
      <c r="L6575" s="385">
        <v>32</v>
      </c>
      <c r="M6575" s="385">
        <v>2236</v>
      </c>
      <c r="N6575" s="75" t="s">
        <v>66</v>
      </c>
      <c r="O6575" s="75" t="s">
        <v>84</v>
      </c>
      <c r="P6575" s="385">
        <v>257</v>
      </c>
      <c r="Q6575" s="75"/>
      <c r="R6575" s="75">
        <f t="shared" si="285"/>
        <v>257</v>
      </c>
      <c r="S6575" s="75">
        <v>100</v>
      </c>
      <c r="T6575" s="75" t="s">
        <v>421</v>
      </c>
      <c r="U6575" s="137"/>
      <c r="V6575" s="193"/>
      <c r="W6575" s="18"/>
      <c r="X6575" s="18"/>
      <c r="Y6575" s="114"/>
      <c r="Z6575" s="18"/>
      <c r="AA6575" s="18"/>
      <c r="AB6575" s="18"/>
      <c r="AC6575" s="137"/>
      <c r="AD6575" s="77"/>
      <c r="AE6575" s="18" t="s">
        <v>48</v>
      </c>
      <c r="AF6575" s="18"/>
      <c r="AG6575" s="18"/>
      <c r="AH6575" s="18"/>
      <c r="AI6575" s="18"/>
      <c r="AJ6575" s="18"/>
      <c r="AK6575" s="18"/>
      <c r="AL6575" s="18"/>
      <c r="AM6575" s="18"/>
      <c r="AN6575" s="18"/>
      <c r="AO6575" s="18"/>
      <c r="AP6575" s="18"/>
      <c r="AQ6575" s="18"/>
      <c r="AR6575" s="18"/>
    </row>
    <row r="6576" hidden="1" spans="1:44">
      <c r="A6576" s="18"/>
      <c r="B6576" s="75">
        <v>1067</v>
      </c>
      <c r="C6576" s="213">
        <v>45822</v>
      </c>
      <c r="D6576" s="18" t="s">
        <v>1550</v>
      </c>
      <c r="E6576" s="18" t="s">
        <v>1551</v>
      </c>
      <c r="F6576" s="18" t="s">
        <v>54</v>
      </c>
      <c r="G6576" s="18"/>
      <c r="H6576" s="75">
        <v>1.2311</v>
      </c>
      <c r="I6576" s="75"/>
      <c r="J6576" s="18" t="s">
        <v>82</v>
      </c>
      <c r="K6576" s="385">
        <v>460</v>
      </c>
      <c r="L6576" s="385">
        <v>32</v>
      </c>
      <c r="M6576" s="385">
        <v>2237</v>
      </c>
      <c r="N6576" s="75" t="s">
        <v>66</v>
      </c>
      <c r="O6576" s="75" t="s">
        <v>84</v>
      </c>
      <c r="P6576" s="385">
        <v>256</v>
      </c>
      <c r="Q6576" s="75"/>
      <c r="R6576" s="75">
        <f t="shared" si="285"/>
        <v>256</v>
      </c>
      <c r="S6576" s="75">
        <v>100</v>
      </c>
      <c r="T6576" s="75" t="s">
        <v>421</v>
      </c>
      <c r="U6576" s="137"/>
      <c r="V6576" s="193"/>
      <c r="W6576" s="18"/>
      <c r="X6576" s="18"/>
      <c r="Y6576" s="114"/>
      <c r="Z6576" s="18"/>
      <c r="AA6576" s="18"/>
      <c r="AB6576" s="18"/>
      <c r="AC6576" s="137"/>
      <c r="AD6576" s="77"/>
      <c r="AE6576" s="18" t="s">
        <v>48</v>
      </c>
      <c r="AF6576" s="18"/>
      <c r="AG6576" s="18"/>
      <c r="AH6576" s="18"/>
      <c r="AI6576" s="18"/>
      <c r="AJ6576" s="18"/>
      <c r="AK6576" s="18"/>
      <c r="AL6576" s="18"/>
      <c r="AM6576" s="18"/>
      <c r="AN6576" s="18"/>
      <c r="AO6576" s="18"/>
      <c r="AP6576" s="18"/>
      <c r="AQ6576" s="18"/>
      <c r="AR6576" s="18"/>
    </row>
    <row r="6577" hidden="1" spans="1:44">
      <c r="A6577" s="18"/>
      <c r="B6577" s="75">
        <v>1067</v>
      </c>
      <c r="C6577" s="213">
        <v>45822</v>
      </c>
      <c r="D6577" s="18" t="s">
        <v>1550</v>
      </c>
      <c r="E6577" s="18" t="s">
        <v>1551</v>
      </c>
      <c r="F6577" s="18" t="s">
        <v>54</v>
      </c>
      <c r="G6577" s="18"/>
      <c r="H6577" s="75">
        <v>1.2311</v>
      </c>
      <c r="I6577" s="75"/>
      <c r="J6577" s="18" t="s">
        <v>82</v>
      </c>
      <c r="K6577" s="385">
        <v>510</v>
      </c>
      <c r="L6577" s="385">
        <v>32</v>
      </c>
      <c r="M6577" s="385">
        <v>2235</v>
      </c>
      <c r="N6577" s="75" t="s">
        <v>66</v>
      </c>
      <c r="O6577" s="75" t="s">
        <v>84</v>
      </c>
      <c r="P6577" s="385">
        <v>284</v>
      </c>
      <c r="Q6577" s="75"/>
      <c r="R6577" s="75">
        <f t="shared" si="285"/>
        <v>284</v>
      </c>
      <c r="S6577" s="75">
        <v>100</v>
      </c>
      <c r="T6577" s="75" t="s">
        <v>421</v>
      </c>
      <c r="U6577" s="137"/>
      <c r="V6577" s="193"/>
      <c r="W6577" s="18"/>
      <c r="X6577" s="18"/>
      <c r="Y6577" s="114"/>
      <c r="Z6577" s="18"/>
      <c r="AA6577" s="18"/>
      <c r="AB6577" s="18"/>
      <c r="AC6577" s="137"/>
      <c r="AD6577" s="77"/>
      <c r="AE6577" s="18" t="s">
        <v>48</v>
      </c>
      <c r="AF6577" s="18"/>
      <c r="AG6577" s="18"/>
      <c r="AH6577" s="18"/>
      <c r="AI6577" s="18"/>
      <c r="AJ6577" s="18"/>
      <c r="AK6577" s="18"/>
      <c r="AL6577" s="18"/>
      <c r="AM6577" s="18"/>
      <c r="AN6577" s="18"/>
      <c r="AO6577" s="18"/>
      <c r="AP6577" s="18"/>
      <c r="AQ6577" s="18"/>
      <c r="AR6577" s="18"/>
    </row>
    <row r="6578" hidden="1" spans="1:44">
      <c r="A6578" s="18"/>
      <c r="B6578" s="75">
        <v>1067</v>
      </c>
      <c r="C6578" s="213">
        <v>45822</v>
      </c>
      <c r="D6578" s="18" t="s">
        <v>1550</v>
      </c>
      <c r="E6578" s="18" t="s">
        <v>1551</v>
      </c>
      <c r="F6578" s="18" t="s">
        <v>54</v>
      </c>
      <c r="G6578" s="18"/>
      <c r="H6578" s="75">
        <v>1.2311</v>
      </c>
      <c r="I6578" s="75"/>
      <c r="J6578" s="18" t="s">
        <v>82</v>
      </c>
      <c r="K6578" s="385">
        <v>510</v>
      </c>
      <c r="L6578" s="385">
        <v>32</v>
      </c>
      <c r="M6578" s="385">
        <v>2240</v>
      </c>
      <c r="N6578" s="75" t="s">
        <v>66</v>
      </c>
      <c r="O6578" s="75" t="s">
        <v>84</v>
      </c>
      <c r="P6578" s="385">
        <v>284</v>
      </c>
      <c r="Q6578" s="75"/>
      <c r="R6578" s="75">
        <f t="shared" si="285"/>
        <v>284</v>
      </c>
      <c r="S6578" s="75">
        <v>100</v>
      </c>
      <c r="T6578" s="75" t="s">
        <v>421</v>
      </c>
      <c r="U6578" s="137"/>
      <c r="V6578" s="193"/>
      <c r="W6578" s="18"/>
      <c r="X6578" s="18"/>
      <c r="Y6578" s="114"/>
      <c r="Z6578" s="18"/>
      <c r="AA6578" s="18"/>
      <c r="AB6578" s="18"/>
      <c r="AC6578" s="137"/>
      <c r="AD6578" s="77"/>
      <c r="AE6578" s="18" t="s">
        <v>48</v>
      </c>
      <c r="AF6578" s="18"/>
      <c r="AG6578" s="18"/>
      <c r="AH6578" s="18"/>
      <c r="AI6578" s="18"/>
      <c r="AJ6578" s="18"/>
      <c r="AK6578" s="18"/>
      <c r="AL6578" s="18"/>
      <c r="AM6578" s="18"/>
      <c r="AN6578" s="18"/>
      <c r="AO6578" s="18"/>
      <c r="AP6578" s="18"/>
      <c r="AQ6578" s="18"/>
      <c r="AR6578" s="18"/>
    </row>
    <row r="6579" hidden="1" spans="1:44">
      <c r="A6579" s="18"/>
      <c r="B6579" s="75">
        <v>1067</v>
      </c>
      <c r="C6579" s="213">
        <v>45822</v>
      </c>
      <c r="D6579" s="18" t="s">
        <v>1550</v>
      </c>
      <c r="E6579" s="18" t="s">
        <v>1551</v>
      </c>
      <c r="F6579" s="18" t="s">
        <v>54</v>
      </c>
      <c r="G6579" s="18"/>
      <c r="H6579" s="75">
        <v>1.2311</v>
      </c>
      <c r="I6579" s="75"/>
      <c r="J6579" s="18" t="s">
        <v>49</v>
      </c>
      <c r="K6579" s="385">
        <v>610</v>
      </c>
      <c r="L6579" s="385">
        <v>32</v>
      </c>
      <c r="M6579" s="385">
        <v>2215</v>
      </c>
      <c r="N6579" s="75" t="s">
        <v>66</v>
      </c>
      <c r="O6579" s="75" t="s">
        <v>84</v>
      </c>
      <c r="P6579" s="385">
        <v>338</v>
      </c>
      <c r="Q6579" s="75"/>
      <c r="R6579" s="75">
        <f t="shared" si="285"/>
        <v>338</v>
      </c>
      <c r="S6579" s="75">
        <v>100</v>
      </c>
      <c r="T6579" s="75" t="s">
        <v>421</v>
      </c>
      <c r="U6579" s="137"/>
      <c r="V6579" s="193"/>
      <c r="W6579" s="18"/>
      <c r="X6579" s="18"/>
      <c r="Y6579" s="114"/>
      <c r="Z6579" s="18"/>
      <c r="AA6579" s="18"/>
      <c r="AB6579" s="18"/>
      <c r="AC6579" s="137"/>
      <c r="AD6579" s="77"/>
      <c r="AE6579" s="18" t="s">
        <v>48</v>
      </c>
      <c r="AF6579" s="18"/>
      <c r="AG6579" s="18"/>
      <c r="AH6579" s="18"/>
      <c r="AI6579" s="18"/>
      <c r="AJ6579" s="18"/>
      <c r="AK6579" s="18"/>
      <c r="AL6579" s="18"/>
      <c r="AM6579" s="18"/>
      <c r="AN6579" s="18"/>
      <c r="AO6579" s="18"/>
      <c r="AP6579" s="18"/>
      <c r="AQ6579" s="18"/>
      <c r="AR6579" s="18"/>
    </row>
    <row r="6580" hidden="1" spans="1:44">
      <c r="A6580" s="18"/>
      <c r="B6580" s="75">
        <v>1067</v>
      </c>
      <c r="C6580" s="213">
        <v>45822</v>
      </c>
      <c r="D6580" s="18" t="s">
        <v>1550</v>
      </c>
      <c r="E6580" s="18" t="s">
        <v>1551</v>
      </c>
      <c r="F6580" s="18" t="s">
        <v>54</v>
      </c>
      <c r="G6580" s="18"/>
      <c r="H6580" s="75">
        <v>1.2311</v>
      </c>
      <c r="I6580" s="75"/>
      <c r="J6580" s="18" t="s">
        <v>49</v>
      </c>
      <c r="K6580" s="385">
        <v>610</v>
      </c>
      <c r="L6580" s="385">
        <v>32</v>
      </c>
      <c r="M6580" s="385">
        <v>2207</v>
      </c>
      <c r="N6580" s="75" t="s">
        <v>66</v>
      </c>
      <c r="O6580" s="75" t="s">
        <v>84</v>
      </c>
      <c r="P6580" s="385">
        <v>337</v>
      </c>
      <c r="Q6580" s="75"/>
      <c r="R6580" s="75">
        <f t="shared" si="285"/>
        <v>337</v>
      </c>
      <c r="S6580" s="75">
        <v>100</v>
      </c>
      <c r="T6580" s="75" t="s">
        <v>421</v>
      </c>
      <c r="U6580" s="137"/>
      <c r="V6580" s="193"/>
      <c r="W6580" s="18"/>
      <c r="X6580" s="18"/>
      <c r="Y6580" s="114"/>
      <c r="Z6580" s="18"/>
      <c r="AA6580" s="18"/>
      <c r="AB6580" s="18"/>
      <c r="AC6580" s="137"/>
      <c r="AD6580" s="77"/>
      <c r="AE6580" s="18" t="s">
        <v>48</v>
      </c>
      <c r="AF6580" s="18"/>
      <c r="AG6580" s="18"/>
      <c r="AH6580" s="18"/>
      <c r="AI6580" s="18"/>
      <c r="AJ6580" s="18"/>
      <c r="AK6580" s="18"/>
      <c r="AL6580" s="18"/>
      <c r="AM6580" s="18"/>
      <c r="AN6580" s="18"/>
      <c r="AO6580" s="18"/>
      <c r="AP6580" s="18"/>
      <c r="AQ6580" s="18"/>
      <c r="AR6580" s="18"/>
    </row>
    <row r="6581" hidden="1" spans="1:44">
      <c r="A6581" s="18"/>
      <c r="B6581" s="75">
        <v>1067</v>
      </c>
      <c r="C6581" s="213">
        <v>45822</v>
      </c>
      <c r="D6581" s="18" t="s">
        <v>1550</v>
      </c>
      <c r="E6581" s="18" t="s">
        <v>1551</v>
      </c>
      <c r="F6581" s="18" t="s">
        <v>54</v>
      </c>
      <c r="G6581" s="18"/>
      <c r="H6581" s="75">
        <v>1.2311</v>
      </c>
      <c r="I6581" s="75"/>
      <c r="J6581" s="18" t="s">
        <v>49</v>
      </c>
      <c r="K6581" s="385">
        <v>610</v>
      </c>
      <c r="L6581" s="385">
        <v>32</v>
      </c>
      <c r="M6581" s="385">
        <v>2215</v>
      </c>
      <c r="N6581" s="75" t="s">
        <v>66</v>
      </c>
      <c r="O6581" s="75" t="s">
        <v>84</v>
      </c>
      <c r="P6581" s="385">
        <v>340</v>
      </c>
      <c r="Q6581" s="75"/>
      <c r="R6581" s="75">
        <f t="shared" si="285"/>
        <v>340</v>
      </c>
      <c r="S6581" s="75">
        <v>100</v>
      </c>
      <c r="T6581" s="75" t="s">
        <v>421</v>
      </c>
      <c r="U6581" s="137"/>
      <c r="V6581" s="193"/>
      <c r="W6581" s="18"/>
      <c r="X6581" s="18"/>
      <c r="Y6581" s="114"/>
      <c r="Z6581" s="18"/>
      <c r="AA6581" s="18"/>
      <c r="AB6581" s="18"/>
      <c r="AC6581" s="137"/>
      <c r="AD6581" s="77"/>
      <c r="AE6581" s="18" t="s">
        <v>48</v>
      </c>
      <c r="AF6581" s="18"/>
      <c r="AG6581" s="18"/>
      <c r="AH6581" s="18"/>
      <c r="AI6581" s="18"/>
      <c r="AJ6581" s="18"/>
      <c r="AK6581" s="18"/>
      <c r="AL6581" s="18"/>
      <c r="AM6581" s="18"/>
      <c r="AN6581" s="18"/>
      <c r="AO6581" s="18"/>
      <c r="AP6581" s="18"/>
      <c r="AQ6581" s="18"/>
      <c r="AR6581" s="18"/>
    </row>
    <row r="6582" hidden="1" spans="1:44">
      <c r="A6582" s="18"/>
      <c r="B6582" s="75">
        <v>1067</v>
      </c>
      <c r="C6582" s="213">
        <v>45822</v>
      </c>
      <c r="D6582" s="18" t="s">
        <v>1550</v>
      </c>
      <c r="E6582" s="18" t="s">
        <v>1551</v>
      </c>
      <c r="F6582" s="18" t="s">
        <v>54</v>
      </c>
      <c r="G6582" s="18"/>
      <c r="H6582" s="75">
        <v>1.2311</v>
      </c>
      <c r="I6582" s="75"/>
      <c r="J6582" s="18" t="s">
        <v>49</v>
      </c>
      <c r="K6582" s="385">
        <v>710</v>
      </c>
      <c r="L6582" s="385">
        <v>32</v>
      </c>
      <c r="M6582" s="385">
        <v>2212</v>
      </c>
      <c r="N6582" s="75" t="s">
        <v>66</v>
      </c>
      <c r="O6582" s="75" t="s">
        <v>84</v>
      </c>
      <c r="P6582" s="385">
        <v>392</v>
      </c>
      <c r="Q6582" s="75"/>
      <c r="R6582" s="75">
        <f t="shared" si="285"/>
        <v>392</v>
      </c>
      <c r="S6582" s="75">
        <v>100</v>
      </c>
      <c r="T6582" s="75" t="s">
        <v>421</v>
      </c>
      <c r="U6582" s="137"/>
      <c r="V6582" s="193"/>
      <c r="W6582" s="18"/>
      <c r="X6582" s="18"/>
      <c r="Y6582" s="114"/>
      <c r="Z6582" s="18"/>
      <c r="AA6582" s="18"/>
      <c r="AB6582" s="18"/>
      <c r="AC6582" s="137"/>
      <c r="AD6582" s="77"/>
      <c r="AE6582" s="18" t="s">
        <v>48</v>
      </c>
      <c r="AF6582" s="18"/>
      <c r="AG6582" s="18"/>
      <c r="AH6582" s="18"/>
      <c r="AI6582" s="18"/>
      <c r="AJ6582" s="18"/>
      <c r="AK6582" s="18"/>
      <c r="AL6582" s="18"/>
      <c r="AM6582" s="18"/>
      <c r="AN6582" s="18"/>
      <c r="AO6582" s="18"/>
      <c r="AP6582" s="18"/>
      <c r="AQ6582" s="18"/>
      <c r="AR6582" s="18"/>
    </row>
    <row r="6583" hidden="1" spans="1:44">
      <c r="A6583" s="18"/>
      <c r="B6583" s="75">
        <v>1067</v>
      </c>
      <c r="C6583" s="213">
        <v>45822</v>
      </c>
      <c r="D6583" s="18" t="s">
        <v>1550</v>
      </c>
      <c r="E6583" s="18" t="s">
        <v>1551</v>
      </c>
      <c r="F6583" s="18" t="s">
        <v>54</v>
      </c>
      <c r="G6583" s="18"/>
      <c r="H6583" s="75">
        <v>1.2311</v>
      </c>
      <c r="I6583" s="75"/>
      <c r="J6583" s="18" t="s">
        <v>49</v>
      </c>
      <c r="K6583" s="385">
        <v>710</v>
      </c>
      <c r="L6583" s="385">
        <v>32</v>
      </c>
      <c r="M6583" s="385">
        <v>2206</v>
      </c>
      <c r="N6583" s="75" t="s">
        <v>66</v>
      </c>
      <c r="O6583" s="75" t="s">
        <v>84</v>
      </c>
      <c r="P6583" s="385">
        <v>390</v>
      </c>
      <c r="Q6583" s="75"/>
      <c r="R6583" s="75">
        <f t="shared" si="285"/>
        <v>390</v>
      </c>
      <c r="S6583" s="75">
        <v>100</v>
      </c>
      <c r="T6583" s="75" t="s">
        <v>421</v>
      </c>
      <c r="U6583" s="137"/>
      <c r="V6583" s="193"/>
      <c r="W6583" s="18"/>
      <c r="X6583" s="18"/>
      <c r="Y6583" s="114"/>
      <c r="Z6583" s="18"/>
      <c r="AA6583" s="18"/>
      <c r="AB6583" s="18"/>
      <c r="AC6583" s="137"/>
      <c r="AD6583" s="77"/>
      <c r="AE6583" s="18" t="s">
        <v>48</v>
      </c>
      <c r="AF6583" s="18"/>
      <c r="AG6583" s="18"/>
      <c r="AH6583" s="18"/>
      <c r="AI6583" s="18"/>
      <c r="AJ6583" s="18"/>
      <c r="AK6583" s="18"/>
      <c r="AL6583" s="18"/>
      <c r="AM6583" s="18"/>
      <c r="AN6583" s="18"/>
      <c r="AO6583" s="18"/>
      <c r="AP6583" s="18"/>
      <c r="AQ6583" s="18"/>
      <c r="AR6583" s="18"/>
    </row>
    <row r="6584" hidden="1" spans="1:44">
      <c r="A6584" s="18"/>
      <c r="B6584" s="75">
        <v>1067</v>
      </c>
      <c r="C6584" s="213">
        <v>45822</v>
      </c>
      <c r="D6584" s="18" t="s">
        <v>1550</v>
      </c>
      <c r="E6584" s="18" t="s">
        <v>1551</v>
      </c>
      <c r="F6584" s="18" t="s">
        <v>54</v>
      </c>
      <c r="G6584" s="18"/>
      <c r="H6584" s="75">
        <v>1.2311</v>
      </c>
      <c r="I6584" s="75"/>
      <c r="J6584" s="18" t="s">
        <v>82</v>
      </c>
      <c r="K6584" s="385">
        <v>360</v>
      </c>
      <c r="L6584" s="385">
        <v>41</v>
      </c>
      <c r="M6584" s="385">
        <v>2203</v>
      </c>
      <c r="N6584" s="75" t="s">
        <v>66</v>
      </c>
      <c r="O6584" s="75" t="s">
        <v>84</v>
      </c>
      <c r="P6584" s="385">
        <v>262</v>
      </c>
      <c r="Q6584" s="75"/>
      <c r="R6584" s="75">
        <f t="shared" si="285"/>
        <v>262</v>
      </c>
      <c r="S6584" s="75">
        <v>100</v>
      </c>
      <c r="T6584" s="75" t="s">
        <v>421</v>
      </c>
      <c r="U6584" s="137"/>
      <c r="V6584" s="193"/>
      <c r="W6584" s="18"/>
      <c r="X6584" s="18"/>
      <c r="Y6584" s="114"/>
      <c r="Z6584" s="18"/>
      <c r="AA6584" s="18"/>
      <c r="AB6584" s="18"/>
      <c r="AC6584" s="137"/>
      <c r="AD6584" s="77"/>
      <c r="AE6584" s="18" t="s">
        <v>48</v>
      </c>
      <c r="AF6584" s="18"/>
      <c r="AG6584" s="18"/>
      <c r="AH6584" s="18"/>
      <c r="AI6584" s="18"/>
      <c r="AJ6584" s="18"/>
      <c r="AK6584" s="18"/>
      <c r="AL6584" s="18"/>
      <c r="AM6584" s="18"/>
      <c r="AN6584" s="18"/>
      <c r="AO6584" s="18"/>
      <c r="AP6584" s="18"/>
      <c r="AQ6584" s="18"/>
      <c r="AR6584" s="18"/>
    </row>
    <row r="6585" hidden="1" spans="1:44">
      <c r="A6585" s="18"/>
      <c r="B6585" s="75">
        <v>1067</v>
      </c>
      <c r="C6585" s="213">
        <v>45822</v>
      </c>
      <c r="D6585" s="18" t="s">
        <v>1550</v>
      </c>
      <c r="E6585" s="18" t="s">
        <v>1551</v>
      </c>
      <c r="F6585" s="18" t="s">
        <v>54</v>
      </c>
      <c r="G6585" s="18"/>
      <c r="H6585" s="75">
        <v>1.2311</v>
      </c>
      <c r="I6585" s="75"/>
      <c r="J6585" s="18" t="s">
        <v>82</v>
      </c>
      <c r="K6585" s="385">
        <v>360</v>
      </c>
      <c r="L6585" s="385">
        <v>41</v>
      </c>
      <c r="M6585" s="385">
        <v>2200</v>
      </c>
      <c r="N6585" s="75" t="s">
        <v>66</v>
      </c>
      <c r="O6585" s="75" t="s">
        <v>84</v>
      </c>
      <c r="P6585" s="385">
        <v>262</v>
      </c>
      <c r="Q6585" s="75"/>
      <c r="R6585" s="75">
        <f t="shared" si="285"/>
        <v>262</v>
      </c>
      <c r="S6585" s="75">
        <v>100</v>
      </c>
      <c r="T6585" s="75" t="s">
        <v>421</v>
      </c>
      <c r="U6585" s="137"/>
      <c r="V6585" s="193"/>
      <c r="W6585" s="18"/>
      <c r="X6585" s="18"/>
      <c r="Y6585" s="114"/>
      <c r="Z6585" s="18"/>
      <c r="AA6585" s="18"/>
      <c r="AB6585" s="18"/>
      <c r="AC6585" s="137"/>
      <c r="AD6585" s="77"/>
      <c r="AE6585" s="18" t="s">
        <v>48</v>
      </c>
      <c r="AF6585" s="18"/>
      <c r="AG6585" s="18"/>
      <c r="AH6585" s="18"/>
      <c r="AI6585" s="18"/>
      <c r="AJ6585" s="18"/>
      <c r="AK6585" s="18"/>
      <c r="AL6585" s="18"/>
      <c r="AM6585" s="18"/>
      <c r="AN6585" s="18"/>
      <c r="AO6585" s="18"/>
      <c r="AP6585" s="18"/>
      <c r="AQ6585" s="18"/>
      <c r="AR6585" s="18"/>
    </row>
    <row r="6586" hidden="1" spans="1:44">
      <c r="A6586" s="18"/>
      <c r="B6586" s="75">
        <v>1067</v>
      </c>
      <c r="C6586" s="213">
        <v>45822</v>
      </c>
      <c r="D6586" s="18" t="s">
        <v>1550</v>
      </c>
      <c r="E6586" s="18" t="s">
        <v>1551</v>
      </c>
      <c r="F6586" s="18" t="s">
        <v>54</v>
      </c>
      <c r="G6586" s="18"/>
      <c r="H6586" s="75">
        <v>1.2311</v>
      </c>
      <c r="I6586" s="75"/>
      <c r="J6586" s="18" t="s">
        <v>82</v>
      </c>
      <c r="K6586" s="385">
        <v>410</v>
      </c>
      <c r="L6586" s="385">
        <v>41</v>
      </c>
      <c r="M6586" s="385">
        <v>2198</v>
      </c>
      <c r="N6586" s="75" t="s">
        <v>66</v>
      </c>
      <c r="O6586" s="75" t="s">
        <v>84</v>
      </c>
      <c r="P6586" s="385">
        <v>297</v>
      </c>
      <c r="Q6586" s="75"/>
      <c r="R6586" s="75">
        <f t="shared" si="285"/>
        <v>297</v>
      </c>
      <c r="S6586" s="75">
        <v>100</v>
      </c>
      <c r="T6586" s="75" t="s">
        <v>421</v>
      </c>
      <c r="U6586" s="137"/>
      <c r="V6586" s="193"/>
      <c r="W6586" s="18"/>
      <c r="X6586" s="18"/>
      <c r="Y6586" s="114"/>
      <c r="Z6586" s="18"/>
      <c r="AA6586" s="18"/>
      <c r="AB6586" s="18"/>
      <c r="AC6586" s="137"/>
      <c r="AD6586" s="77"/>
      <c r="AE6586" s="18" t="s">
        <v>48</v>
      </c>
      <c r="AF6586" s="18"/>
      <c r="AG6586" s="18"/>
      <c r="AH6586" s="18"/>
      <c r="AI6586" s="18"/>
      <c r="AJ6586" s="18"/>
      <c r="AK6586" s="18"/>
      <c r="AL6586" s="18"/>
      <c r="AM6586" s="18"/>
      <c r="AN6586" s="18"/>
      <c r="AO6586" s="18"/>
      <c r="AP6586" s="18"/>
      <c r="AQ6586" s="18"/>
      <c r="AR6586" s="18"/>
    </row>
    <row r="6587" hidden="1" spans="1:44">
      <c r="A6587" s="18"/>
      <c r="B6587" s="75">
        <v>1067</v>
      </c>
      <c r="C6587" s="213">
        <v>45822</v>
      </c>
      <c r="D6587" s="18" t="s">
        <v>1550</v>
      </c>
      <c r="E6587" s="18" t="s">
        <v>1551</v>
      </c>
      <c r="F6587" s="18" t="s">
        <v>54</v>
      </c>
      <c r="G6587" s="18"/>
      <c r="H6587" s="75">
        <v>1.2311</v>
      </c>
      <c r="I6587" s="75"/>
      <c r="J6587" s="18" t="s">
        <v>82</v>
      </c>
      <c r="K6587" s="385">
        <v>410</v>
      </c>
      <c r="L6587" s="385">
        <v>41</v>
      </c>
      <c r="M6587" s="385">
        <v>2202</v>
      </c>
      <c r="N6587" s="75" t="s">
        <v>66</v>
      </c>
      <c r="O6587" s="75" t="s">
        <v>84</v>
      </c>
      <c r="P6587" s="385">
        <v>297</v>
      </c>
      <c r="Q6587" s="75"/>
      <c r="R6587" s="75">
        <f t="shared" si="285"/>
        <v>297</v>
      </c>
      <c r="S6587" s="75">
        <v>100</v>
      </c>
      <c r="T6587" s="75" t="s">
        <v>421</v>
      </c>
      <c r="U6587" s="137"/>
      <c r="V6587" s="193"/>
      <c r="W6587" s="18"/>
      <c r="X6587" s="18"/>
      <c r="Y6587" s="114"/>
      <c r="Z6587" s="18"/>
      <c r="AA6587" s="18"/>
      <c r="AB6587" s="18"/>
      <c r="AC6587" s="137"/>
      <c r="AD6587" s="77"/>
      <c r="AE6587" s="18" t="s">
        <v>48</v>
      </c>
      <c r="AF6587" s="18"/>
      <c r="AG6587" s="18"/>
      <c r="AH6587" s="18"/>
      <c r="AI6587" s="18"/>
      <c r="AJ6587" s="18"/>
      <c r="AK6587" s="18"/>
      <c r="AL6587" s="18"/>
      <c r="AM6587" s="18"/>
      <c r="AN6587" s="18"/>
      <c r="AO6587" s="18"/>
      <c r="AP6587" s="18"/>
      <c r="AQ6587" s="18"/>
      <c r="AR6587" s="18"/>
    </row>
    <row r="6588" hidden="1" spans="1:44">
      <c r="A6588" s="18"/>
      <c r="B6588" s="75">
        <v>1067</v>
      </c>
      <c r="C6588" s="213">
        <v>45822</v>
      </c>
      <c r="D6588" s="18" t="s">
        <v>1550</v>
      </c>
      <c r="E6588" s="18" t="s">
        <v>1551</v>
      </c>
      <c r="F6588" s="18" t="s">
        <v>54</v>
      </c>
      <c r="G6588" s="18"/>
      <c r="H6588" s="75">
        <v>1.2311</v>
      </c>
      <c r="I6588" s="75"/>
      <c r="J6588" s="18" t="s">
        <v>82</v>
      </c>
      <c r="K6588" s="385">
        <v>510</v>
      </c>
      <c r="L6588" s="385">
        <v>41</v>
      </c>
      <c r="M6588" s="385">
        <v>2200</v>
      </c>
      <c r="N6588" s="75" t="s">
        <v>66</v>
      </c>
      <c r="O6588" s="75" t="s">
        <v>84</v>
      </c>
      <c r="P6588" s="385">
        <v>368</v>
      </c>
      <c r="Q6588" s="75"/>
      <c r="R6588" s="75">
        <f t="shared" si="285"/>
        <v>368</v>
      </c>
      <c r="S6588" s="75">
        <v>100</v>
      </c>
      <c r="T6588" s="75" t="s">
        <v>421</v>
      </c>
      <c r="U6588" s="137"/>
      <c r="V6588" s="193"/>
      <c r="W6588" s="18"/>
      <c r="X6588" s="18"/>
      <c r="Y6588" s="114"/>
      <c r="Z6588" s="18"/>
      <c r="AA6588" s="18"/>
      <c r="AB6588" s="18"/>
      <c r="AC6588" s="137"/>
      <c r="AD6588" s="77"/>
      <c r="AE6588" s="18" t="s">
        <v>48</v>
      </c>
      <c r="AF6588" s="18"/>
      <c r="AG6588" s="18"/>
      <c r="AH6588" s="18"/>
      <c r="AI6588" s="18"/>
      <c r="AJ6588" s="18"/>
      <c r="AK6588" s="18"/>
      <c r="AL6588" s="18"/>
      <c r="AM6588" s="18"/>
      <c r="AN6588" s="18"/>
      <c r="AO6588" s="18"/>
      <c r="AP6588" s="18"/>
      <c r="AQ6588" s="18"/>
      <c r="AR6588" s="18"/>
    </row>
    <row r="6589" hidden="1" spans="1:44">
      <c r="A6589" s="18"/>
      <c r="B6589" s="75">
        <v>1067</v>
      </c>
      <c r="C6589" s="213">
        <v>45822</v>
      </c>
      <c r="D6589" s="18" t="s">
        <v>1550</v>
      </c>
      <c r="E6589" s="18" t="s">
        <v>1551</v>
      </c>
      <c r="F6589" s="18" t="s">
        <v>54</v>
      </c>
      <c r="G6589" s="18"/>
      <c r="H6589" s="75">
        <v>1.2311</v>
      </c>
      <c r="I6589" s="75"/>
      <c r="J6589" s="18" t="s">
        <v>82</v>
      </c>
      <c r="K6589" s="385">
        <v>510</v>
      </c>
      <c r="L6589" s="385">
        <v>41</v>
      </c>
      <c r="M6589" s="385">
        <v>2206</v>
      </c>
      <c r="N6589" s="75" t="s">
        <v>66</v>
      </c>
      <c r="O6589" s="75" t="s">
        <v>84</v>
      </c>
      <c r="P6589" s="385">
        <v>371</v>
      </c>
      <c r="Q6589" s="75"/>
      <c r="R6589" s="75">
        <f t="shared" si="285"/>
        <v>371</v>
      </c>
      <c r="S6589" s="75">
        <v>100</v>
      </c>
      <c r="T6589" s="75" t="s">
        <v>421</v>
      </c>
      <c r="U6589" s="137"/>
      <c r="V6589" s="193"/>
      <c r="W6589" s="18"/>
      <c r="X6589" s="18"/>
      <c r="Y6589" s="114"/>
      <c r="Z6589" s="18"/>
      <c r="AA6589" s="18"/>
      <c r="AB6589" s="18"/>
      <c r="AC6589" s="137"/>
      <c r="AD6589" s="77"/>
      <c r="AE6589" s="18" t="s">
        <v>48</v>
      </c>
      <c r="AF6589" s="18"/>
      <c r="AG6589" s="18"/>
      <c r="AH6589" s="18"/>
      <c r="AI6589" s="18"/>
      <c r="AJ6589" s="18"/>
      <c r="AK6589" s="18"/>
      <c r="AL6589" s="18"/>
      <c r="AM6589" s="18"/>
      <c r="AN6589" s="18"/>
      <c r="AO6589" s="18"/>
      <c r="AP6589" s="18"/>
      <c r="AQ6589" s="18"/>
      <c r="AR6589" s="18"/>
    </row>
    <row r="6590" hidden="1" spans="1:44">
      <c r="A6590" s="18"/>
      <c r="B6590" s="75">
        <v>1067</v>
      </c>
      <c r="C6590" s="213">
        <v>45822</v>
      </c>
      <c r="D6590" s="18" t="s">
        <v>1550</v>
      </c>
      <c r="E6590" s="18" t="s">
        <v>1551</v>
      </c>
      <c r="F6590" s="18" t="s">
        <v>54</v>
      </c>
      <c r="G6590" s="18"/>
      <c r="H6590" s="75">
        <v>1.2311</v>
      </c>
      <c r="I6590" s="75"/>
      <c r="J6590" s="18" t="s">
        <v>82</v>
      </c>
      <c r="K6590" s="385">
        <v>510</v>
      </c>
      <c r="L6590" s="385">
        <v>41</v>
      </c>
      <c r="M6590" s="385">
        <v>2205</v>
      </c>
      <c r="N6590" s="75" t="s">
        <v>66</v>
      </c>
      <c r="O6590" s="75" t="s">
        <v>84</v>
      </c>
      <c r="P6590" s="385">
        <v>370</v>
      </c>
      <c r="Q6590" s="75"/>
      <c r="R6590" s="75">
        <f t="shared" si="285"/>
        <v>370</v>
      </c>
      <c r="S6590" s="75">
        <v>100</v>
      </c>
      <c r="T6590" s="75" t="s">
        <v>421</v>
      </c>
      <c r="U6590" s="137"/>
      <c r="V6590" s="193"/>
      <c r="W6590" s="18"/>
      <c r="X6590" s="18"/>
      <c r="Y6590" s="114"/>
      <c r="Z6590" s="18"/>
      <c r="AA6590" s="18"/>
      <c r="AB6590" s="18"/>
      <c r="AC6590" s="137"/>
      <c r="AD6590" s="77"/>
      <c r="AE6590" s="18" t="s">
        <v>48</v>
      </c>
      <c r="AF6590" s="18"/>
      <c r="AG6590" s="18"/>
      <c r="AH6590" s="18"/>
      <c r="AI6590" s="18"/>
      <c r="AJ6590" s="18"/>
      <c r="AK6590" s="18"/>
      <c r="AL6590" s="18"/>
      <c r="AM6590" s="18"/>
      <c r="AN6590" s="18"/>
      <c r="AO6590" s="18"/>
      <c r="AP6590" s="18"/>
      <c r="AQ6590" s="18"/>
      <c r="AR6590" s="18"/>
    </row>
    <row r="6591" hidden="1" spans="1:44">
      <c r="A6591" s="18"/>
      <c r="B6591" s="75">
        <v>1067</v>
      </c>
      <c r="C6591" s="213">
        <v>45822</v>
      </c>
      <c r="D6591" s="18" t="s">
        <v>1550</v>
      </c>
      <c r="E6591" s="18" t="s">
        <v>1551</v>
      </c>
      <c r="F6591" s="18" t="s">
        <v>54</v>
      </c>
      <c r="G6591" s="18"/>
      <c r="H6591" s="75">
        <v>1.2311</v>
      </c>
      <c r="I6591" s="75"/>
      <c r="J6591" s="18" t="s">
        <v>82</v>
      </c>
      <c r="K6591" s="385">
        <v>510</v>
      </c>
      <c r="L6591" s="385">
        <v>41</v>
      </c>
      <c r="M6591" s="385">
        <v>2208</v>
      </c>
      <c r="N6591" s="75" t="s">
        <v>66</v>
      </c>
      <c r="O6591" s="75" t="s">
        <v>84</v>
      </c>
      <c r="P6591" s="385">
        <v>370</v>
      </c>
      <c r="Q6591" s="75"/>
      <c r="R6591" s="75">
        <f t="shared" si="285"/>
        <v>370</v>
      </c>
      <c r="S6591" s="75">
        <v>100</v>
      </c>
      <c r="T6591" s="75" t="s">
        <v>421</v>
      </c>
      <c r="U6591" s="137"/>
      <c r="V6591" s="193"/>
      <c r="W6591" s="18"/>
      <c r="X6591" s="18"/>
      <c r="Y6591" s="114"/>
      <c r="Z6591" s="18"/>
      <c r="AA6591" s="18"/>
      <c r="AB6591" s="18"/>
      <c r="AC6591" s="137"/>
      <c r="AD6591" s="77"/>
      <c r="AE6591" s="18" t="s">
        <v>48</v>
      </c>
      <c r="AF6591" s="18"/>
      <c r="AG6591" s="18"/>
      <c r="AH6591" s="18"/>
      <c r="AI6591" s="18"/>
      <c r="AJ6591" s="18"/>
      <c r="AK6591" s="18"/>
      <c r="AL6591" s="18"/>
      <c r="AM6591" s="18"/>
      <c r="AN6591" s="18"/>
      <c r="AO6591" s="18"/>
      <c r="AP6591" s="18"/>
      <c r="AQ6591" s="18"/>
      <c r="AR6591" s="18"/>
    </row>
    <row r="6592" hidden="1" spans="1:44">
      <c r="A6592" s="18"/>
      <c r="B6592" s="75">
        <v>1067</v>
      </c>
      <c r="C6592" s="213">
        <v>45822</v>
      </c>
      <c r="D6592" s="18" t="s">
        <v>1550</v>
      </c>
      <c r="E6592" s="18" t="s">
        <v>1551</v>
      </c>
      <c r="F6592" s="18" t="s">
        <v>54</v>
      </c>
      <c r="G6592" s="18"/>
      <c r="H6592" s="75">
        <v>1.2311</v>
      </c>
      <c r="I6592" s="75"/>
      <c r="J6592" s="18" t="s">
        <v>49</v>
      </c>
      <c r="K6592" s="385">
        <v>610</v>
      </c>
      <c r="L6592" s="385">
        <v>41</v>
      </c>
      <c r="M6592" s="385">
        <v>2210</v>
      </c>
      <c r="N6592" s="75" t="s">
        <v>66</v>
      </c>
      <c r="O6592" s="75" t="s">
        <v>84</v>
      </c>
      <c r="P6592" s="385">
        <v>443</v>
      </c>
      <c r="Q6592" s="75"/>
      <c r="R6592" s="75">
        <f t="shared" si="285"/>
        <v>443</v>
      </c>
      <c r="S6592" s="75">
        <v>100</v>
      </c>
      <c r="T6592" s="75" t="s">
        <v>421</v>
      </c>
      <c r="U6592" s="137"/>
      <c r="V6592" s="193"/>
      <c r="W6592" s="18"/>
      <c r="X6592" s="18"/>
      <c r="Y6592" s="114"/>
      <c r="Z6592" s="18"/>
      <c r="AA6592" s="18"/>
      <c r="AB6592" s="18"/>
      <c r="AC6592" s="137"/>
      <c r="AD6592" s="77"/>
      <c r="AE6592" s="18" t="s">
        <v>48</v>
      </c>
      <c r="AF6592" s="18"/>
      <c r="AG6592" s="18"/>
      <c r="AH6592" s="18"/>
      <c r="AI6592" s="18"/>
      <c r="AJ6592" s="18"/>
      <c r="AK6592" s="18"/>
      <c r="AL6592" s="18"/>
      <c r="AM6592" s="18"/>
      <c r="AN6592" s="18"/>
      <c r="AO6592" s="18"/>
      <c r="AP6592" s="18"/>
      <c r="AQ6592" s="18"/>
      <c r="AR6592" s="18"/>
    </row>
    <row r="6593" hidden="1" spans="1:44">
      <c r="A6593" s="18"/>
      <c r="B6593" s="75">
        <v>1067</v>
      </c>
      <c r="C6593" s="213">
        <v>45822</v>
      </c>
      <c r="D6593" s="18" t="s">
        <v>1550</v>
      </c>
      <c r="E6593" s="18" t="s">
        <v>1551</v>
      </c>
      <c r="F6593" s="18" t="s">
        <v>54</v>
      </c>
      <c r="G6593" s="18"/>
      <c r="H6593" s="75">
        <v>1.2311</v>
      </c>
      <c r="I6593" s="75"/>
      <c r="J6593" s="18" t="s">
        <v>49</v>
      </c>
      <c r="K6593" s="385">
        <v>610</v>
      </c>
      <c r="L6593" s="385">
        <v>41</v>
      </c>
      <c r="M6593" s="385">
        <v>2205</v>
      </c>
      <c r="N6593" s="75" t="s">
        <v>66</v>
      </c>
      <c r="O6593" s="75" t="s">
        <v>84</v>
      </c>
      <c r="P6593" s="385">
        <v>442</v>
      </c>
      <c r="Q6593" s="75"/>
      <c r="R6593" s="75">
        <f t="shared" si="285"/>
        <v>442</v>
      </c>
      <c r="S6593" s="75">
        <v>100</v>
      </c>
      <c r="T6593" s="75" t="s">
        <v>421</v>
      </c>
      <c r="U6593" s="137"/>
      <c r="V6593" s="193"/>
      <c r="W6593" s="18"/>
      <c r="X6593" s="18"/>
      <c r="Y6593" s="114"/>
      <c r="Z6593" s="18"/>
      <c r="AA6593" s="18"/>
      <c r="AB6593" s="18"/>
      <c r="AC6593" s="137"/>
      <c r="AD6593" s="77"/>
      <c r="AE6593" s="18" t="s">
        <v>48</v>
      </c>
      <c r="AF6593" s="18"/>
      <c r="AG6593" s="18"/>
      <c r="AH6593" s="18"/>
      <c r="AI6593" s="18"/>
      <c r="AJ6593" s="18"/>
      <c r="AK6593" s="18"/>
      <c r="AL6593" s="18"/>
      <c r="AM6593" s="18"/>
      <c r="AN6593" s="18"/>
      <c r="AO6593" s="18"/>
      <c r="AP6593" s="18"/>
      <c r="AQ6593" s="18"/>
      <c r="AR6593" s="18"/>
    </row>
    <row r="6594" hidden="1" spans="1:44">
      <c r="A6594" s="18"/>
      <c r="B6594" s="75">
        <v>1067</v>
      </c>
      <c r="C6594" s="213">
        <v>45822</v>
      </c>
      <c r="D6594" s="18" t="s">
        <v>1550</v>
      </c>
      <c r="E6594" s="18" t="s">
        <v>1551</v>
      </c>
      <c r="F6594" s="18" t="s">
        <v>54</v>
      </c>
      <c r="G6594" s="18"/>
      <c r="H6594" s="75">
        <v>1.2311</v>
      </c>
      <c r="I6594" s="75"/>
      <c r="J6594" s="18" t="s">
        <v>49</v>
      </c>
      <c r="K6594" s="385">
        <v>610</v>
      </c>
      <c r="L6594" s="385">
        <v>41</v>
      </c>
      <c r="M6594" s="385">
        <v>2198</v>
      </c>
      <c r="N6594" s="75" t="s">
        <v>66</v>
      </c>
      <c r="O6594" s="75" t="s">
        <v>84</v>
      </c>
      <c r="P6594" s="385">
        <v>441</v>
      </c>
      <c r="Q6594" s="75"/>
      <c r="R6594" s="75">
        <f t="shared" ref="R6594:R6657" si="286">+P6594-Q6594</f>
        <v>441</v>
      </c>
      <c r="S6594" s="75">
        <v>100</v>
      </c>
      <c r="T6594" s="75" t="s">
        <v>421</v>
      </c>
      <c r="U6594" s="137"/>
      <c r="V6594" s="193"/>
      <c r="W6594" s="18"/>
      <c r="X6594" s="18"/>
      <c r="Y6594" s="114"/>
      <c r="Z6594" s="18"/>
      <c r="AA6594" s="18"/>
      <c r="AB6594" s="18"/>
      <c r="AC6594" s="137"/>
      <c r="AD6594" s="77"/>
      <c r="AE6594" s="18" t="s">
        <v>48</v>
      </c>
      <c r="AF6594" s="18"/>
      <c r="AG6594" s="18"/>
      <c r="AH6594" s="18"/>
      <c r="AI6594" s="18"/>
      <c r="AJ6594" s="18"/>
      <c r="AK6594" s="18"/>
      <c r="AL6594" s="18"/>
      <c r="AM6594" s="18"/>
      <c r="AN6594" s="18"/>
      <c r="AO6594" s="18"/>
      <c r="AP6594" s="18"/>
      <c r="AQ6594" s="18"/>
      <c r="AR6594" s="18"/>
    </row>
    <row r="6595" hidden="1" spans="1:44">
      <c r="A6595" s="18"/>
      <c r="B6595" s="75">
        <v>1067</v>
      </c>
      <c r="C6595" s="213">
        <v>45822</v>
      </c>
      <c r="D6595" s="18" t="s">
        <v>1550</v>
      </c>
      <c r="E6595" s="18" t="s">
        <v>1551</v>
      </c>
      <c r="F6595" s="18" t="s">
        <v>54</v>
      </c>
      <c r="G6595" s="18"/>
      <c r="H6595" s="75">
        <v>1.2311</v>
      </c>
      <c r="I6595" s="75"/>
      <c r="J6595" s="18" t="s">
        <v>49</v>
      </c>
      <c r="K6595" s="385">
        <v>610</v>
      </c>
      <c r="L6595" s="385">
        <v>41</v>
      </c>
      <c r="M6595" s="385">
        <v>2210</v>
      </c>
      <c r="N6595" s="75" t="s">
        <v>66</v>
      </c>
      <c r="O6595" s="75" t="s">
        <v>84</v>
      </c>
      <c r="P6595" s="385">
        <v>445</v>
      </c>
      <c r="Q6595" s="75"/>
      <c r="R6595" s="75">
        <f t="shared" si="286"/>
        <v>445</v>
      </c>
      <c r="S6595" s="75">
        <v>100</v>
      </c>
      <c r="T6595" s="75" t="s">
        <v>421</v>
      </c>
      <c r="U6595" s="137"/>
      <c r="V6595" s="193"/>
      <c r="W6595" s="18"/>
      <c r="X6595" s="18"/>
      <c r="Y6595" s="114"/>
      <c r="Z6595" s="18"/>
      <c r="AA6595" s="18"/>
      <c r="AB6595" s="18"/>
      <c r="AC6595" s="137"/>
      <c r="AD6595" s="77"/>
      <c r="AE6595" s="18" t="s">
        <v>48</v>
      </c>
      <c r="AF6595" s="18"/>
      <c r="AG6595" s="18"/>
      <c r="AH6595" s="18"/>
      <c r="AI6595" s="18"/>
      <c r="AJ6595" s="18"/>
      <c r="AK6595" s="18"/>
      <c r="AL6595" s="18"/>
      <c r="AM6595" s="18"/>
      <c r="AN6595" s="18"/>
      <c r="AO6595" s="18"/>
      <c r="AP6595" s="18"/>
      <c r="AQ6595" s="18"/>
      <c r="AR6595" s="18"/>
    </row>
    <row r="6596" hidden="1" spans="1:44">
      <c r="A6596" s="18"/>
      <c r="B6596" s="75">
        <v>1067</v>
      </c>
      <c r="C6596" s="213">
        <v>45822</v>
      </c>
      <c r="D6596" s="18" t="s">
        <v>1550</v>
      </c>
      <c r="E6596" s="18" t="s">
        <v>1551</v>
      </c>
      <c r="F6596" s="18" t="s">
        <v>54</v>
      </c>
      <c r="G6596" s="18"/>
      <c r="H6596" s="75">
        <v>1.2311</v>
      </c>
      <c r="I6596" s="75"/>
      <c r="J6596" s="18" t="s">
        <v>49</v>
      </c>
      <c r="K6596" s="385">
        <v>710</v>
      </c>
      <c r="L6596" s="385">
        <v>41</v>
      </c>
      <c r="M6596" s="385">
        <v>2195</v>
      </c>
      <c r="N6596" s="75" t="s">
        <v>66</v>
      </c>
      <c r="O6596" s="75" t="s">
        <v>84</v>
      </c>
      <c r="P6596" s="385">
        <v>510</v>
      </c>
      <c r="Q6596" s="75"/>
      <c r="R6596" s="75">
        <f t="shared" si="286"/>
        <v>510</v>
      </c>
      <c r="S6596" s="75">
        <v>100</v>
      </c>
      <c r="T6596" s="75" t="s">
        <v>421</v>
      </c>
      <c r="U6596" s="137"/>
      <c r="V6596" s="193"/>
      <c r="W6596" s="18"/>
      <c r="X6596" s="18"/>
      <c r="Y6596" s="114"/>
      <c r="Z6596" s="18"/>
      <c r="AA6596" s="18"/>
      <c r="AB6596" s="18"/>
      <c r="AC6596" s="137"/>
      <c r="AD6596" s="77"/>
      <c r="AE6596" s="18" t="s">
        <v>48</v>
      </c>
      <c r="AF6596" s="18"/>
      <c r="AG6596" s="18"/>
      <c r="AH6596" s="18"/>
      <c r="AI6596" s="18"/>
      <c r="AJ6596" s="18"/>
      <c r="AK6596" s="18"/>
      <c r="AL6596" s="18"/>
      <c r="AM6596" s="18"/>
      <c r="AN6596" s="18"/>
      <c r="AO6596" s="18"/>
      <c r="AP6596" s="18"/>
      <c r="AQ6596" s="18"/>
      <c r="AR6596" s="18"/>
    </row>
    <row r="6597" hidden="1" spans="1:44">
      <c r="A6597" s="18"/>
      <c r="B6597" s="75">
        <v>1067</v>
      </c>
      <c r="C6597" s="213">
        <v>45822</v>
      </c>
      <c r="D6597" s="18" t="s">
        <v>1550</v>
      </c>
      <c r="E6597" s="18" t="s">
        <v>1551</v>
      </c>
      <c r="F6597" s="18" t="s">
        <v>54</v>
      </c>
      <c r="G6597" s="18"/>
      <c r="H6597" s="75">
        <v>1.2311</v>
      </c>
      <c r="I6597" s="75"/>
      <c r="J6597" s="18" t="s">
        <v>49</v>
      </c>
      <c r="K6597" s="385">
        <v>710</v>
      </c>
      <c r="L6597" s="385">
        <v>41</v>
      </c>
      <c r="M6597" s="385">
        <v>2192</v>
      </c>
      <c r="N6597" s="75" t="s">
        <v>66</v>
      </c>
      <c r="O6597" s="75" t="s">
        <v>84</v>
      </c>
      <c r="P6597" s="385">
        <v>510</v>
      </c>
      <c r="Q6597" s="75"/>
      <c r="R6597" s="75">
        <f t="shared" si="286"/>
        <v>510</v>
      </c>
      <c r="S6597" s="75">
        <v>100</v>
      </c>
      <c r="T6597" s="75" t="s">
        <v>421</v>
      </c>
      <c r="U6597" s="137"/>
      <c r="V6597" s="193"/>
      <c r="W6597" s="18"/>
      <c r="X6597" s="18"/>
      <c r="Y6597" s="114"/>
      <c r="Z6597" s="18"/>
      <c r="AA6597" s="18"/>
      <c r="AB6597" s="18"/>
      <c r="AC6597" s="137"/>
      <c r="AD6597" s="77"/>
      <c r="AE6597" s="18" t="s">
        <v>48</v>
      </c>
      <c r="AF6597" s="18"/>
      <c r="AG6597" s="18"/>
      <c r="AH6597" s="18"/>
      <c r="AI6597" s="18"/>
      <c r="AJ6597" s="18"/>
      <c r="AK6597" s="18"/>
      <c r="AL6597" s="18"/>
      <c r="AM6597" s="18"/>
      <c r="AN6597" s="18"/>
      <c r="AO6597" s="18"/>
      <c r="AP6597" s="18"/>
      <c r="AQ6597" s="18"/>
      <c r="AR6597" s="18"/>
    </row>
    <row r="6598" hidden="1" spans="1:44">
      <c r="A6598" s="18"/>
      <c r="B6598" s="75">
        <v>1067</v>
      </c>
      <c r="C6598" s="213">
        <v>45822</v>
      </c>
      <c r="D6598" s="18" t="s">
        <v>1550</v>
      </c>
      <c r="E6598" s="18" t="s">
        <v>1551</v>
      </c>
      <c r="F6598" s="18" t="s">
        <v>54</v>
      </c>
      <c r="G6598" s="18"/>
      <c r="H6598" s="75">
        <v>1.2311</v>
      </c>
      <c r="I6598" s="75"/>
      <c r="J6598" s="18" t="s">
        <v>49</v>
      </c>
      <c r="K6598" s="385">
        <v>710</v>
      </c>
      <c r="L6598" s="385">
        <v>41</v>
      </c>
      <c r="M6598" s="385">
        <v>2192</v>
      </c>
      <c r="N6598" s="75" t="s">
        <v>66</v>
      </c>
      <c r="O6598" s="75" t="s">
        <v>84</v>
      </c>
      <c r="P6598" s="385">
        <v>510</v>
      </c>
      <c r="Q6598" s="75"/>
      <c r="R6598" s="75">
        <f t="shared" si="286"/>
        <v>510</v>
      </c>
      <c r="S6598" s="75">
        <v>100</v>
      </c>
      <c r="T6598" s="75" t="s">
        <v>421</v>
      </c>
      <c r="U6598" s="137"/>
      <c r="V6598" s="193"/>
      <c r="W6598" s="18"/>
      <c r="X6598" s="18"/>
      <c r="Y6598" s="114"/>
      <c r="Z6598" s="18"/>
      <c r="AA6598" s="18"/>
      <c r="AB6598" s="18"/>
      <c r="AC6598" s="137"/>
      <c r="AD6598" s="77"/>
      <c r="AE6598" s="18" t="s">
        <v>48</v>
      </c>
      <c r="AF6598" s="18"/>
      <c r="AG6598" s="18"/>
      <c r="AH6598" s="18"/>
      <c r="AI6598" s="18"/>
      <c r="AJ6598" s="18"/>
      <c r="AK6598" s="18"/>
      <c r="AL6598" s="18"/>
      <c r="AM6598" s="18"/>
      <c r="AN6598" s="18"/>
      <c r="AO6598" s="18"/>
      <c r="AP6598" s="18"/>
      <c r="AQ6598" s="18"/>
      <c r="AR6598" s="18"/>
    </row>
    <row r="6599" hidden="1" spans="1:44">
      <c r="A6599" s="18"/>
      <c r="B6599" s="75">
        <v>1067</v>
      </c>
      <c r="C6599" s="213">
        <v>45822</v>
      </c>
      <c r="D6599" s="18" t="s">
        <v>1550</v>
      </c>
      <c r="E6599" s="18" t="s">
        <v>1551</v>
      </c>
      <c r="F6599" s="18" t="s">
        <v>54</v>
      </c>
      <c r="G6599" s="18"/>
      <c r="H6599" s="75">
        <v>1.2311</v>
      </c>
      <c r="I6599" s="75"/>
      <c r="J6599" s="18" t="s">
        <v>82</v>
      </c>
      <c r="K6599" s="385">
        <v>360</v>
      </c>
      <c r="L6599" s="385">
        <v>51</v>
      </c>
      <c r="M6599" s="385">
        <v>2248</v>
      </c>
      <c r="N6599" s="75" t="s">
        <v>66</v>
      </c>
      <c r="O6599" s="75" t="s">
        <v>84</v>
      </c>
      <c r="P6599" s="385">
        <v>335</v>
      </c>
      <c r="Q6599" s="75"/>
      <c r="R6599" s="75">
        <f t="shared" si="286"/>
        <v>335</v>
      </c>
      <c r="S6599" s="75">
        <v>100</v>
      </c>
      <c r="T6599" s="75" t="s">
        <v>421</v>
      </c>
      <c r="U6599" s="137"/>
      <c r="V6599" s="193"/>
      <c r="W6599" s="18"/>
      <c r="X6599" s="18"/>
      <c r="Y6599" s="114"/>
      <c r="Z6599" s="18"/>
      <c r="AA6599" s="18"/>
      <c r="AB6599" s="18"/>
      <c r="AC6599" s="137"/>
      <c r="AD6599" s="77"/>
      <c r="AE6599" s="18" t="s">
        <v>48</v>
      </c>
      <c r="AF6599" s="18"/>
      <c r="AG6599" s="18"/>
      <c r="AH6599" s="18"/>
      <c r="AI6599" s="18"/>
      <c r="AJ6599" s="18"/>
      <c r="AK6599" s="18"/>
      <c r="AL6599" s="18"/>
      <c r="AM6599" s="18"/>
      <c r="AN6599" s="18"/>
      <c r="AO6599" s="18"/>
      <c r="AP6599" s="18"/>
      <c r="AQ6599" s="18"/>
      <c r="AR6599" s="18"/>
    </row>
    <row r="6600" hidden="1" spans="1:44">
      <c r="A6600" s="18"/>
      <c r="B6600" s="75">
        <v>1067</v>
      </c>
      <c r="C6600" s="213">
        <v>45822</v>
      </c>
      <c r="D6600" s="18" t="s">
        <v>1550</v>
      </c>
      <c r="E6600" s="18" t="s">
        <v>1551</v>
      </c>
      <c r="F6600" s="18" t="s">
        <v>54</v>
      </c>
      <c r="G6600" s="18"/>
      <c r="H6600" s="75">
        <v>1.2311</v>
      </c>
      <c r="I6600" s="75"/>
      <c r="J6600" s="18" t="s">
        <v>82</v>
      </c>
      <c r="K6600" s="385">
        <v>360</v>
      </c>
      <c r="L6600" s="385">
        <v>51</v>
      </c>
      <c r="M6600" s="385">
        <v>2246</v>
      </c>
      <c r="N6600" s="75" t="s">
        <v>66</v>
      </c>
      <c r="O6600" s="75" t="s">
        <v>84</v>
      </c>
      <c r="P6600" s="385">
        <v>333</v>
      </c>
      <c r="Q6600" s="75"/>
      <c r="R6600" s="75">
        <f t="shared" si="286"/>
        <v>333</v>
      </c>
      <c r="S6600" s="75">
        <v>100</v>
      </c>
      <c r="T6600" s="75" t="s">
        <v>421</v>
      </c>
      <c r="U6600" s="137"/>
      <c r="V6600" s="193"/>
      <c r="W6600" s="18"/>
      <c r="X6600" s="18"/>
      <c r="Y6600" s="114"/>
      <c r="Z6600" s="18"/>
      <c r="AA6600" s="18"/>
      <c r="AB6600" s="18"/>
      <c r="AC6600" s="137"/>
      <c r="AD6600" s="77"/>
      <c r="AE6600" s="18" t="s">
        <v>48</v>
      </c>
      <c r="AF6600" s="18"/>
      <c r="AG6600" s="18"/>
      <c r="AH6600" s="18"/>
      <c r="AI6600" s="18"/>
      <c r="AJ6600" s="18"/>
      <c r="AK6600" s="18"/>
      <c r="AL6600" s="18"/>
      <c r="AM6600" s="18"/>
      <c r="AN6600" s="18"/>
      <c r="AO6600" s="18"/>
      <c r="AP6600" s="18"/>
      <c r="AQ6600" s="18"/>
      <c r="AR6600" s="18"/>
    </row>
    <row r="6601" hidden="1" spans="1:44">
      <c r="A6601" s="18"/>
      <c r="B6601" s="75">
        <v>1067</v>
      </c>
      <c r="C6601" s="213">
        <v>45822</v>
      </c>
      <c r="D6601" s="18" t="s">
        <v>1550</v>
      </c>
      <c r="E6601" s="18" t="s">
        <v>1551</v>
      </c>
      <c r="F6601" s="18" t="s">
        <v>54</v>
      </c>
      <c r="G6601" s="18"/>
      <c r="H6601" s="75">
        <v>1.2311</v>
      </c>
      <c r="I6601" s="75"/>
      <c r="J6601" s="18" t="s">
        <v>82</v>
      </c>
      <c r="K6601" s="385">
        <v>410</v>
      </c>
      <c r="L6601" s="385">
        <v>51</v>
      </c>
      <c r="M6601" s="385">
        <v>2253</v>
      </c>
      <c r="N6601" s="75" t="s">
        <v>66</v>
      </c>
      <c r="O6601" s="75" t="s">
        <v>84</v>
      </c>
      <c r="P6601" s="385">
        <v>380</v>
      </c>
      <c r="Q6601" s="75"/>
      <c r="R6601" s="75">
        <f t="shared" si="286"/>
        <v>380</v>
      </c>
      <c r="S6601" s="75">
        <v>100</v>
      </c>
      <c r="T6601" s="75" t="s">
        <v>421</v>
      </c>
      <c r="U6601" s="137"/>
      <c r="V6601" s="193"/>
      <c r="W6601" s="18"/>
      <c r="X6601" s="18"/>
      <c r="Y6601" s="114"/>
      <c r="Z6601" s="18"/>
      <c r="AA6601" s="18"/>
      <c r="AB6601" s="18"/>
      <c r="AC6601" s="137"/>
      <c r="AD6601" s="77"/>
      <c r="AE6601" s="18" t="s">
        <v>48</v>
      </c>
      <c r="AF6601" s="18"/>
      <c r="AG6601" s="18"/>
      <c r="AH6601" s="18"/>
      <c r="AI6601" s="18"/>
      <c r="AJ6601" s="18"/>
      <c r="AK6601" s="18"/>
      <c r="AL6601" s="18"/>
      <c r="AM6601" s="18"/>
      <c r="AN6601" s="18"/>
      <c r="AO6601" s="18"/>
      <c r="AP6601" s="18"/>
      <c r="AQ6601" s="18"/>
      <c r="AR6601" s="18"/>
    </row>
    <row r="6602" hidden="1" spans="1:44">
      <c r="A6602" s="18"/>
      <c r="B6602" s="75">
        <v>1067</v>
      </c>
      <c r="C6602" s="213">
        <v>45822</v>
      </c>
      <c r="D6602" s="18" t="s">
        <v>1550</v>
      </c>
      <c r="E6602" s="18" t="s">
        <v>1551</v>
      </c>
      <c r="F6602" s="18" t="s">
        <v>54</v>
      </c>
      <c r="G6602" s="18"/>
      <c r="H6602" s="75">
        <v>1.2311</v>
      </c>
      <c r="I6602" s="75"/>
      <c r="J6602" s="18" t="s">
        <v>82</v>
      </c>
      <c r="K6602" s="385">
        <v>410</v>
      </c>
      <c r="L6602" s="385">
        <v>51</v>
      </c>
      <c r="M6602" s="385">
        <v>2252</v>
      </c>
      <c r="N6602" s="75" t="s">
        <v>66</v>
      </c>
      <c r="O6602" s="75" t="s">
        <v>84</v>
      </c>
      <c r="P6602" s="385">
        <v>380</v>
      </c>
      <c r="Q6602" s="75"/>
      <c r="R6602" s="75">
        <f t="shared" si="286"/>
        <v>380</v>
      </c>
      <c r="S6602" s="75">
        <v>100</v>
      </c>
      <c r="T6602" s="75" t="s">
        <v>421</v>
      </c>
      <c r="U6602" s="137"/>
      <c r="V6602" s="193"/>
      <c r="W6602" s="18"/>
      <c r="X6602" s="18"/>
      <c r="Y6602" s="114"/>
      <c r="Z6602" s="18"/>
      <c r="AA6602" s="18"/>
      <c r="AB6602" s="18"/>
      <c r="AC6602" s="137"/>
      <c r="AD6602" s="77"/>
      <c r="AE6602" s="18" t="s">
        <v>48</v>
      </c>
      <c r="AF6602" s="18"/>
      <c r="AG6602" s="18"/>
      <c r="AH6602" s="18"/>
      <c r="AI6602" s="18"/>
      <c r="AJ6602" s="18"/>
      <c r="AK6602" s="18"/>
      <c r="AL6602" s="18"/>
      <c r="AM6602" s="18"/>
      <c r="AN6602" s="18"/>
      <c r="AO6602" s="18"/>
      <c r="AP6602" s="18"/>
      <c r="AQ6602" s="18"/>
      <c r="AR6602" s="18"/>
    </row>
    <row r="6603" hidden="1" spans="1:44">
      <c r="A6603" s="18"/>
      <c r="B6603" s="75">
        <v>1067</v>
      </c>
      <c r="C6603" s="213">
        <v>45822</v>
      </c>
      <c r="D6603" s="18" t="s">
        <v>1550</v>
      </c>
      <c r="E6603" s="18" t="s">
        <v>1551</v>
      </c>
      <c r="F6603" s="18" t="s">
        <v>54</v>
      </c>
      <c r="G6603" s="18"/>
      <c r="H6603" s="75">
        <v>1.2311</v>
      </c>
      <c r="I6603" s="75"/>
      <c r="J6603" s="18" t="s">
        <v>82</v>
      </c>
      <c r="K6603" s="385">
        <v>410</v>
      </c>
      <c r="L6603" s="385">
        <v>51</v>
      </c>
      <c r="M6603" s="385">
        <v>2255</v>
      </c>
      <c r="N6603" s="75" t="s">
        <v>66</v>
      </c>
      <c r="O6603" s="75" t="s">
        <v>84</v>
      </c>
      <c r="P6603" s="385">
        <v>380</v>
      </c>
      <c r="Q6603" s="75"/>
      <c r="R6603" s="75">
        <f t="shared" si="286"/>
        <v>380</v>
      </c>
      <c r="S6603" s="75">
        <v>100</v>
      </c>
      <c r="T6603" s="75" t="s">
        <v>421</v>
      </c>
      <c r="U6603" s="137"/>
      <c r="V6603" s="193"/>
      <c r="W6603" s="18"/>
      <c r="X6603" s="18"/>
      <c r="Y6603" s="114"/>
      <c r="Z6603" s="18"/>
      <c r="AA6603" s="18"/>
      <c r="AB6603" s="18"/>
      <c r="AC6603" s="137"/>
      <c r="AD6603" s="77"/>
      <c r="AE6603" s="18" t="s">
        <v>48</v>
      </c>
      <c r="AF6603" s="18"/>
      <c r="AG6603" s="18"/>
      <c r="AH6603" s="18"/>
      <c r="AI6603" s="18"/>
      <c r="AJ6603" s="18"/>
      <c r="AK6603" s="18"/>
      <c r="AL6603" s="18"/>
      <c r="AM6603" s="18"/>
      <c r="AN6603" s="18"/>
      <c r="AO6603" s="18"/>
      <c r="AP6603" s="18"/>
      <c r="AQ6603" s="18"/>
      <c r="AR6603" s="18"/>
    </row>
    <row r="6604" hidden="1" spans="1:44">
      <c r="A6604" s="18"/>
      <c r="B6604" s="75">
        <v>1067</v>
      </c>
      <c r="C6604" s="213">
        <v>45822</v>
      </c>
      <c r="D6604" s="18" t="s">
        <v>1550</v>
      </c>
      <c r="E6604" s="18" t="s">
        <v>1551</v>
      </c>
      <c r="F6604" s="18" t="s">
        <v>54</v>
      </c>
      <c r="G6604" s="18"/>
      <c r="H6604" s="75">
        <v>1.2311</v>
      </c>
      <c r="I6604" s="75"/>
      <c r="J6604" s="18" t="s">
        <v>82</v>
      </c>
      <c r="K6604" s="385">
        <v>410</v>
      </c>
      <c r="L6604" s="385">
        <v>51</v>
      </c>
      <c r="M6604" s="385">
        <v>2253</v>
      </c>
      <c r="N6604" s="75" t="s">
        <v>66</v>
      </c>
      <c r="O6604" s="75" t="s">
        <v>84</v>
      </c>
      <c r="P6604" s="385">
        <v>378</v>
      </c>
      <c r="Q6604" s="75"/>
      <c r="R6604" s="75">
        <f t="shared" si="286"/>
        <v>378</v>
      </c>
      <c r="S6604" s="75">
        <v>100</v>
      </c>
      <c r="T6604" s="75" t="s">
        <v>421</v>
      </c>
      <c r="U6604" s="137"/>
      <c r="V6604" s="193"/>
      <c r="W6604" s="18"/>
      <c r="X6604" s="18"/>
      <c r="Y6604" s="114"/>
      <c r="Z6604" s="18"/>
      <c r="AA6604" s="18"/>
      <c r="AB6604" s="18"/>
      <c r="AC6604" s="137"/>
      <c r="AD6604" s="77"/>
      <c r="AE6604" s="18" t="s">
        <v>48</v>
      </c>
      <c r="AF6604" s="18"/>
      <c r="AG6604" s="18"/>
      <c r="AH6604" s="18"/>
      <c r="AI6604" s="18"/>
      <c r="AJ6604" s="18"/>
      <c r="AK6604" s="18"/>
      <c r="AL6604" s="18"/>
      <c r="AM6604" s="18"/>
      <c r="AN6604" s="18"/>
      <c r="AO6604" s="18"/>
      <c r="AP6604" s="18"/>
      <c r="AQ6604" s="18"/>
      <c r="AR6604" s="18"/>
    </row>
    <row r="6605" hidden="1" spans="1:44">
      <c r="A6605" s="18"/>
      <c r="B6605" s="75">
        <v>1067</v>
      </c>
      <c r="C6605" s="213">
        <v>45822</v>
      </c>
      <c r="D6605" s="18" t="s">
        <v>1550</v>
      </c>
      <c r="E6605" s="18" t="s">
        <v>1551</v>
      </c>
      <c r="F6605" s="18" t="s">
        <v>54</v>
      </c>
      <c r="G6605" s="18"/>
      <c r="H6605" s="75">
        <v>1.2311</v>
      </c>
      <c r="I6605" s="75"/>
      <c r="J6605" s="18" t="s">
        <v>82</v>
      </c>
      <c r="K6605" s="385">
        <v>410</v>
      </c>
      <c r="L6605" s="385">
        <v>51</v>
      </c>
      <c r="M6605" s="385">
        <v>2250</v>
      </c>
      <c r="N6605" s="75" t="s">
        <v>66</v>
      </c>
      <c r="O6605" s="75" t="s">
        <v>84</v>
      </c>
      <c r="P6605" s="385">
        <v>380</v>
      </c>
      <c r="Q6605" s="75"/>
      <c r="R6605" s="75">
        <f t="shared" si="286"/>
        <v>380</v>
      </c>
      <c r="S6605" s="75">
        <v>100</v>
      </c>
      <c r="T6605" s="75" t="s">
        <v>421</v>
      </c>
      <c r="U6605" s="137"/>
      <c r="V6605" s="193"/>
      <c r="W6605" s="18"/>
      <c r="X6605" s="18"/>
      <c r="Y6605" s="114"/>
      <c r="Z6605" s="18"/>
      <c r="AA6605" s="18"/>
      <c r="AB6605" s="18"/>
      <c r="AC6605" s="137"/>
      <c r="AD6605" s="77"/>
      <c r="AE6605" s="18" t="s">
        <v>48</v>
      </c>
      <c r="AF6605" s="18"/>
      <c r="AG6605" s="18"/>
      <c r="AH6605" s="18"/>
      <c r="AI6605" s="18"/>
      <c r="AJ6605" s="18"/>
      <c r="AK6605" s="18"/>
      <c r="AL6605" s="18"/>
      <c r="AM6605" s="18"/>
      <c r="AN6605" s="18"/>
      <c r="AO6605" s="18"/>
      <c r="AP6605" s="18"/>
      <c r="AQ6605" s="18"/>
      <c r="AR6605" s="18"/>
    </row>
    <row r="6606" hidden="1" spans="1:44">
      <c r="A6606" s="18"/>
      <c r="B6606" s="75">
        <v>1067</v>
      </c>
      <c r="C6606" s="213">
        <v>45822</v>
      </c>
      <c r="D6606" s="18" t="s">
        <v>1550</v>
      </c>
      <c r="E6606" s="18" t="s">
        <v>1551</v>
      </c>
      <c r="F6606" s="18" t="s">
        <v>54</v>
      </c>
      <c r="G6606" s="18"/>
      <c r="H6606" s="75">
        <v>1.2311</v>
      </c>
      <c r="I6606" s="75"/>
      <c r="J6606" s="18" t="s">
        <v>82</v>
      </c>
      <c r="K6606" s="385">
        <v>510</v>
      </c>
      <c r="L6606" s="385">
        <v>51</v>
      </c>
      <c r="M6606" s="385">
        <v>2230</v>
      </c>
      <c r="N6606" s="75" t="s">
        <v>66</v>
      </c>
      <c r="O6606" s="75" t="s">
        <v>84</v>
      </c>
      <c r="P6606" s="385">
        <v>464</v>
      </c>
      <c r="Q6606" s="75"/>
      <c r="R6606" s="75">
        <f t="shared" si="286"/>
        <v>464</v>
      </c>
      <c r="S6606" s="75">
        <v>100</v>
      </c>
      <c r="T6606" s="75" t="s">
        <v>421</v>
      </c>
      <c r="U6606" s="137"/>
      <c r="V6606" s="193"/>
      <c r="W6606" s="18"/>
      <c r="X6606" s="18"/>
      <c r="Y6606" s="114"/>
      <c r="Z6606" s="18"/>
      <c r="AA6606" s="18"/>
      <c r="AB6606" s="18"/>
      <c r="AC6606" s="137"/>
      <c r="AD6606" s="77"/>
      <c r="AE6606" s="18" t="s">
        <v>48</v>
      </c>
      <c r="AF6606" s="18"/>
      <c r="AG6606" s="18"/>
      <c r="AH6606" s="18"/>
      <c r="AI6606" s="18"/>
      <c r="AJ6606" s="18"/>
      <c r="AK6606" s="18"/>
      <c r="AL6606" s="18"/>
      <c r="AM6606" s="18"/>
      <c r="AN6606" s="18"/>
      <c r="AO6606" s="18"/>
      <c r="AP6606" s="18"/>
      <c r="AQ6606" s="18"/>
      <c r="AR6606" s="18"/>
    </row>
    <row r="6607" hidden="1" spans="1:44">
      <c r="A6607" s="18"/>
      <c r="B6607" s="75">
        <v>1067</v>
      </c>
      <c r="C6607" s="213">
        <v>45822</v>
      </c>
      <c r="D6607" s="18" t="s">
        <v>1550</v>
      </c>
      <c r="E6607" s="18" t="s">
        <v>1551</v>
      </c>
      <c r="F6607" s="18" t="s">
        <v>54</v>
      </c>
      <c r="G6607" s="18"/>
      <c r="H6607" s="75">
        <v>1.2311</v>
      </c>
      <c r="I6607" s="75"/>
      <c r="J6607" s="18" t="s">
        <v>82</v>
      </c>
      <c r="K6607" s="385">
        <v>510</v>
      </c>
      <c r="L6607" s="385">
        <v>51</v>
      </c>
      <c r="M6607" s="385">
        <v>2254</v>
      </c>
      <c r="N6607" s="75" t="s">
        <v>66</v>
      </c>
      <c r="O6607" s="75" t="s">
        <v>84</v>
      </c>
      <c r="P6607" s="385">
        <v>471</v>
      </c>
      <c r="Q6607" s="75"/>
      <c r="R6607" s="75">
        <f t="shared" si="286"/>
        <v>471</v>
      </c>
      <c r="S6607" s="75">
        <v>100</v>
      </c>
      <c r="T6607" s="75" t="s">
        <v>421</v>
      </c>
      <c r="U6607" s="137"/>
      <c r="V6607" s="193"/>
      <c r="W6607" s="18"/>
      <c r="X6607" s="18"/>
      <c r="Y6607" s="114"/>
      <c r="Z6607" s="18"/>
      <c r="AA6607" s="18"/>
      <c r="AB6607" s="18"/>
      <c r="AC6607" s="137"/>
      <c r="AD6607" s="77"/>
      <c r="AE6607" s="18" t="s">
        <v>48</v>
      </c>
      <c r="AF6607" s="18"/>
      <c r="AG6607" s="18"/>
      <c r="AH6607" s="18"/>
      <c r="AI6607" s="18"/>
      <c r="AJ6607" s="18"/>
      <c r="AK6607" s="18"/>
      <c r="AL6607" s="18"/>
      <c r="AM6607" s="18"/>
      <c r="AN6607" s="18"/>
      <c r="AO6607" s="18"/>
      <c r="AP6607" s="18"/>
      <c r="AQ6607" s="18"/>
      <c r="AR6607" s="18"/>
    </row>
    <row r="6608" hidden="1" spans="1:44">
      <c r="A6608" s="18"/>
      <c r="B6608" s="75">
        <v>1067</v>
      </c>
      <c r="C6608" s="213">
        <v>45822</v>
      </c>
      <c r="D6608" s="18" t="s">
        <v>1550</v>
      </c>
      <c r="E6608" s="18" t="s">
        <v>1551</v>
      </c>
      <c r="F6608" s="18" t="s">
        <v>54</v>
      </c>
      <c r="G6608" s="18"/>
      <c r="H6608" s="75">
        <v>1.2311</v>
      </c>
      <c r="I6608" s="75"/>
      <c r="J6608" s="18" t="s">
        <v>82</v>
      </c>
      <c r="K6608" s="385">
        <v>510</v>
      </c>
      <c r="L6608" s="385">
        <v>51</v>
      </c>
      <c r="M6608" s="385">
        <v>2250</v>
      </c>
      <c r="N6608" s="75" t="s">
        <v>66</v>
      </c>
      <c r="O6608" s="75" t="s">
        <v>84</v>
      </c>
      <c r="P6608" s="385">
        <v>470</v>
      </c>
      <c r="Q6608" s="75"/>
      <c r="R6608" s="75">
        <f t="shared" si="286"/>
        <v>470</v>
      </c>
      <c r="S6608" s="75">
        <v>100</v>
      </c>
      <c r="T6608" s="75" t="s">
        <v>421</v>
      </c>
      <c r="U6608" s="137"/>
      <c r="V6608" s="193"/>
      <c r="W6608" s="18"/>
      <c r="X6608" s="18"/>
      <c r="Y6608" s="114"/>
      <c r="Z6608" s="18"/>
      <c r="AA6608" s="18"/>
      <c r="AB6608" s="18"/>
      <c r="AC6608" s="137"/>
      <c r="AD6608" s="77"/>
      <c r="AE6608" s="18" t="s">
        <v>48</v>
      </c>
      <c r="AF6608" s="18"/>
      <c r="AG6608" s="18"/>
      <c r="AH6608" s="18"/>
      <c r="AI6608" s="18"/>
      <c r="AJ6608" s="18"/>
      <c r="AK6608" s="18"/>
      <c r="AL6608" s="18"/>
      <c r="AM6608" s="18"/>
      <c r="AN6608" s="18"/>
      <c r="AO6608" s="18"/>
      <c r="AP6608" s="18"/>
      <c r="AQ6608" s="18"/>
      <c r="AR6608" s="18"/>
    </row>
    <row r="6609" hidden="1" spans="1:44">
      <c r="A6609" s="18"/>
      <c r="B6609" s="75">
        <v>1067</v>
      </c>
      <c r="C6609" s="213">
        <v>45822</v>
      </c>
      <c r="D6609" s="18" t="s">
        <v>1550</v>
      </c>
      <c r="E6609" s="18" t="s">
        <v>1551</v>
      </c>
      <c r="F6609" s="18" t="s">
        <v>54</v>
      </c>
      <c r="G6609" s="18"/>
      <c r="H6609" s="75">
        <v>1.2311</v>
      </c>
      <c r="I6609" s="75"/>
      <c r="J6609" s="18" t="s">
        <v>82</v>
      </c>
      <c r="K6609" s="385">
        <v>510</v>
      </c>
      <c r="L6609" s="385">
        <v>51</v>
      </c>
      <c r="M6609" s="385">
        <v>2255</v>
      </c>
      <c r="N6609" s="75" t="s">
        <v>66</v>
      </c>
      <c r="O6609" s="75" t="s">
        <v>84</v>
      </c>
      <c r="P6609" s="385">
        <v>472</v>
      </c>
      <c r="Q6609" s="75"/>
      <c r="R6609" s="75">
        <f t="shared" si="286"/>
        <v>472</v>
      </c>
      <c r="S6609" s="75">
        <v>100</v>
      </c>
      <c r="T6609" s="75" t="s">
        <v>421</v>
      </c>
      <c r="U6609" s="137"/>
      <c r="V6609" s="193"/>
      <c r="W6609" s="18"/>
      <c r="X6609" s="18"/>
      <c r="Y6609" s="114"/>
      <c r="Z6609" s="18"/>
      <c r="AA6609" s="18"/>
      <c r="AB6609" s="18"/>
      <c r="AC6609" s="137"/>
      <c r="AD6609" s="77"/>
      <c r="AE6609" s="18" t="s">
        <v>48</v>
      </c>
      <c r="AF6609" s="18"/>
      <c r="AG6609" s="18"/>
      <c r="AH6609" s="18"/>
      <c r="AI6609" s="18"/>
      <c r="AJ6609" s="18"/>
      <c r="AK6609" s="18"/>
      <c r="AL6609" s="18"/>
      <c r="AM6609" s="18"/>
      <c r="AN6609" s="18"/>
      <c r="AO6609" s="18"/>
      <c r="AP6609" s="18"/>
      <c r="AQ6609" s="18"/>
      <c r="AR6609" s="18"/>
    </row>
    <row r="6610" hidden="1" spans="1:44">
      <c r="A6610" s="18"/>
      <c r="B6610" s="75">
        <v>1067</v>
      </c>
      <c r="C6610" s="213">
        <v>45822</v>
      </c>
      <c r="D6610" s="18" t="s">
        <v>1550</v>
      </c>
      <c r="E6610" s="18" t="s">
        <v>1551</v>
      </c>
      <c r="F6610" s="18" t="s">
        <v>54</v>
      </c>
      <c r="G6610" s="18"/>
      <c r="H6610" s="75">
        <v>1.2311</v>
      </c>
      <c r="I6610" s="75"/>
      <c r="J6610" s="18" t="s">
        <v>82</v>
      </c>
      <c r="K6610" s="385">
        <v>510</v>
      </c>
      <c r="L6610" s="385">
        <v>51</v>
      </c>
      <c r="M6610" s="385">
        <v>2255</v>
      </c>
      <c r="N6610" s="75" t="s">
        <v>66</v>
      </c>
      <c r="O6610" s="75" t="s">
        <v>84</v>
      </c>
      <c r="P6610" s="385">
        <v>471</v>
      </c>
      <c r="Q6610" s="75"/>
      <c r="R6610" s="75">
        <f t="shared" si="286"/>
        <v>471</v>
      </c>
      <c r="S6610" s="75">
        <v>100</v>
      </c>
      <c r="T6610" s="75" t="s">
        <v>421</v>
      </c>
      <c r="U6610" s="137"/>
      <c r="V6610" s="193"/>
      <c r="W6610" s="18"/>
      <c r="X6610" s="18"/>
      <c r="Y6610" s="114"/>
      <c r="Z6610" s="18"/>
      <c r="AA6610" s="18"/>
      <c r="AB6610" s="18"/>
      <c r="AC6610" s="137"/>
      <c r="AD6610" s="77"/>
      <c r="AE6610" s="18" t="s">
        <v>48</v>
      </c>
      <c r="AF6610" s="18"/>
      <c r="AG6610" s="18"/>
      <c r="AH6610" s="18"/>
      <c r="AI6610" s="18"/>
      <c r="AJ6610" s="18"/>
      <c r="AK6610" s="18"/>
      <c r="AL6610" s="18"/>
      <c r="AM6610" s="18"/>
      <c r="AN6610" s="18"/>
      <c r="AO6610" s="18"/>
      <c r="AP6610" s="18"/>
      <c r="AQ6610" s="18"/>
      <c r="AR6610" s="18"/>
    </row>
    <row r="6611" hidden="1" spans="1:44">
      <c r="A6611" s="18"/>
      <c r="B6611" s="75">
        <v>1067</v>
      </c>
      <c r="C6611" s="213">
        <v>45822</v>
      </c>
      <c r="D6611" s="18" t="s">
        <v>1550</v>
      </c>
      <c r="E6611" s="18" t="s">
        <v>1551</v>
      </c>
      <c r="F6611" s="18" t="s">
        <v>54</v>
      </c>
      <c r="G6611" s="18"/>
      <c r="H6611" s="75">
        <v>1.2311</v>
      </c>
      <c r="I6611" s="75"/>
      <c r="J6611" s="18" t="s">
        <v>49</v>
      </c>
      <c r="K6611" s="385">
        <v>610</v>
      </c>
      <c r="L6611" s="385">
        <v>51</v>
      </c>
      <c r="M6611" s="385">
        <v>2236</v>
      </c>
      <c r="N6611" s="75" t="s">
        <v>66</v>
      </c>
      <c r="O6611" s="75" t="s">
        <v>84</v>
      </c>
      <c r="P6611" s="385">
        <v>560</v>
      </c>
      <c r="Q6611" s="75"/>
      <c r="R6611" s="75">
        <f t="shared" si="286"/>
        <v>560</v>
      </c>
      <c r="S6611" s="75">
        <v>100</v>
      </c>
      <c r="T6611" s="75" t="s">
        <v>421</v>
      </c>
      <c r="U6611" s="137"/>
      <c r="V6611" s="193"/>
      <c r="W6611" s="18"/>
      <c r="X6611" s="18"/>
      <c r="Y6611" s="114"/>
      <c r="Z6611" s="18"/>
      <c r="AA6611" s="18"/>
      <c r="AB6611" s="18"/>
      <c r="AC6611" s="137"/>
      <c r="AD6611" s="77"/>
      <c r="AE6611" s="18" t="s">
        <v>48</v>
      </c>
      <c r="AF6611" s="18"/>
      <c r="AG6611" s="18"/>
      <c r="AH6611" s="18"/>
      <c r="AI6611" s="18"/>
      <c r="AJ6611" s="18"/>
      <c r="AK6611" s="18"/>
      <c r="AL6611" s="18"/>
      <c r="AM6611" s="18"/>
      <c r="AN6611" s="18"/>
      <c r="AO6611" s="18"/>
      <c r="AP6611" s="18"/>
      <c r="AQ6611" s="18"/>
      <c r="AR6611" s="18"/>
    </row>
    <row r="6612" hidden="1" spans="1:44">
      <c r="A6612" s="18"/>
      <c r="B6612" s="75">
        <v>1067</v>
      </c>
      <c r="C6612" s="213">
        <v>45822</v>
      </c>
      <c r="D6612" s="18" t="s">
        <v>1550</v>
      </c>
      <c r="E6612" s="18" t="s">
        <v>1551</v>
      </c>
      <c r="F6612" s="18" t="s">
        <v>54</v>
      </c>
      <c r="G6612" s="18"/>
      <c r="H6612" s="75">
        <v>1.2311</v>
      </c>
      <c r="I6612" s="75"/>
      <c r="J6612" s="18" t="s">
        <v>49</v>
      </c>
      <c r="K6612" s="385">
        <v>610</v>
      </c>
      <c r="L6612" s="385">
        <v>51</v>
      </c>
      <c r="M6612" s="385">
        <v>2240</v>
      </c>
      <c r="N6612" s="75" t="s">
        <v>66</v>
      </c>
      <c r="O6612" s="75" t="s">
        <v>84</v>
      </c>
      <c r="P6612" s="385">
        <v>559</v>
      </c>
      <c r="Q6612" s="75"/>
      <c r="R6612" s="75">
        <f t="shared" si="286"/>
        <v>559</v>
      </c>
      <c r="S6612" s="75">
        <v>100</v>
      </c>
      <c r="T6612" s="75" t="s">
        <v>421</v>
      </c>
      <c r="U6612" s="137"/>
      <c r="V6612" s="193"/>
      <c r="W6612" s="18"/>
      <c r="X6612" s="18"/>
      <c r="Y6612" s="114"/>
      <c r="Z6612" s="18"/>
      <c r="AA6612" s="18"/>
      <c r="AB6612" s="18"/>
      <c r="AC6612" s="137"/>
      <c r="AD6612" s="77"/>
      <c r="AE6612" s="18" t="s">
        <v>48</v>
      </c>
      <c r="AF6612" s="18"/>
      <c r="AG6612" s="18"/>
      <c r="AH6612" s="18"/>
      <c r="AI6612" s="18"/>
      <c r="AJ6612" s="18"/>
      <c r="AK6612" s="18"/>
      <c r="AL6612" s="18"/>
      <c r="AM6612" s="18"/>
      <c r="AN6612" s="18"/>
      <c r="AO6612" s="18"/>
      <c r="AP6612" s="18"/>
      <c r="AQ6612" s="18"/>
      <c r="AR6612" s="18"/>
    </row>
    <row r="6613" hidden="1" spans="1:44">
      <c r="A6613" s="18"/>
      <c r="B6613" s="75">
        <v>1067</v>
      </c>
      <c r="C6613" s="213">
        <v>45822</v>
      </c>
      <c r="D6613" s="18" t="s">
        <v>1550</v>
      </c>
      <c r="E6613" s="18" t="s">
        <v>1551</v>
      </c>
      <c r="F6613" s="18" t="s">
        <v>54</v>
      </c>
      <c r="G6613" s="18"/>
      <c r="H6613" s="75">
        <v>1.2311</v>
      </c>
      <c r="I6613" s="75"/>
      <c r="J6613" s="18" t="s">
        <v>49</v>
      </c>
      <c r="K6613" s="385">
        <v>610</v>
      </c>
      <c r="L6613" s="385">
        <v>51</v>
      </c>
      <c r="M6613" s="385">
        <v>2240</v>
      </c>
      <c r="N6613" s="75" t="s">
        <v>66</v>
      </c>
      <c r="O6613" s="75" t="s">
        <v>84</v>
      </c>
      <c r="P6613" s="385">
        <v>560</v>
      </c>
      <c r="Q6613" s="75"/>
      <c r="R6613" s="75">
        <f t="shared" si="286"/>
        <v>560</v>
      </c>
      <c r="S6613" s="75">
        <v>100</v>
      </c>
      <c r="T6613" s="75" t="s">
        <v>421</v>
      </c>
      <c r="U6613" s="137"/>
      <c r="V6613" s="193"/>
      <c r="W6613" s="18"/>
      <c r="X6613" s="18"/>
      <c r="Y6613" s="114"/>
      <c r="Z6613" s="18"/>
      <c r="AA6613" s="18"/>
      <c r="AB6613" s="18"/>
      <c r="AC6613" s="137"/>
      <c r="AD6613" s="77"/>
      <c r="AE6613" s="18" t="s">
        <v>48</v>
      </c>
      <c r="AF6613" s="18"/>
      <c r="AG6613" s="18"/>
      <c r="AH6613" s="18"/>
      <c r="AI6613" s="18"/>
      <c r="AJ6613" s="18"/>
      <c r="AK6613" s="18"/>
      <c r="AL6613" s="18"/>
      <c r="AM6613" s="18"/>
      <c r="AN6613" s="18"/>
      <c r="AO6613" s="18"/>
      <c r="AP6613" s="18"/>
      <c r="AQ6613" s="18"/>
      <c r="AR6613" s="18"/>
    </row>
    <row r="6614" hidden="1" spans="1:44">
      <c r="A6614" s="18"/>
      <c r="B6614" s="75">
        <v>1067</v>
      </c>
      <c r="C6614" s="213">
        <v>45822</v>
      </c>
      <c r="D6614" s="18" t="s">
        <v>1550</v>
      </c>
      <c r="E6614" s="18" t="s">
        <v>1551</v>
      </c>
      <c r="F6614" s="18" t="s">
        <v>54</v>
      </c>
      <c r="G6614" s="18"/>
      <c r="H6614" s="75">
        <v>1.2311</v>
      </c>
      <c r="I6614" s="75"/>
      <c r="J6614" s="18" t="s">
        <v>49</v>
      </c>
      <c r="K6614" s="385">
        <v>610</v>
      </c>
      <c r="L6614" s="385">
        <v>51</v>
      </c>
      <c r="M6614" s="385">
        <v>2245</v>
      </c>
      <c r="N6614" s="75" t="s">
        <v>66</v>
      </c>
      <c r="O6614" s="75" t="s">
        <v>84</v>
      </c>
      <c r="P6614" s="385">
        <v>562</v>
      </c>
      <c r="Q6614" s="75"/>
      <c r="R6614" s="75">
        <f t="shared" si="286"/>
        <v>562</v>
      </c>
      <c r="S6614" s="75">
        <v>100</v>
      </c>
      <c r="T6614" s="75" t="s">
        <v>421</v>
      </c>
      <c r="U6614" s="137"/>
      <c r="V6614" s="193"/>
      <c r="W6614" s="18"/>
      <c r="X6614" s="18"/>
      <c r="Y6614" s="114"/>
      <c r="Z6614" s="18"/>
      <c r="AA6614" s="18"/>
      <c r="AB6614" s="18"/>
      <c r="AC6614" s="137"/>
      <c r="AD6614" s="77"/>
      <c r="AE6614" s="18" t="s">
        <v>48</v>
      </c>
      <c r="AF6614" s="18"/>
      <c r="AG6614" s="18"/>
      <c r="AH6614" s="18"/>
      <c r="AI6614" s="18"/>
      <c r="AJ6614" s="18"/>
      <c r="AK6614" s="18"/>
      <c r="AL6614" s="18"/>
      <c r="AM6614" s="18"/>
      <c r="AN6614" s="18"/>
      <c r="AO6614" s="18"/>
      <c r="AP6614" s="18"/>
      <c r="AQ6614" s="18"/>
      <c r="AR6614" s="18"/>
    </row>
    <row r="6615" hidden="1" spans="1:44">
      <c r="A6615" s="18"/>
      <c r="B6615" s="75">
        <v>1067</v>
      </c>
      <c r="C6615" s="213">
        <v>45822</v>
      </c>
      <c r="D6615" s="18" t="s">
        <v>1550</v>
      </c>
      <c r="E6615" s="18" t="s">
        <v>1551</v>
      </c>
      <c r="F6615" s="18" t="s">
        <v>54</v>
      </c>
      <c r="G6615" s="18"/>
      <c r="H6615" s="75">
        <v>1.2311</v>
      </c>
      <c r="I6615" s="75"/>
      <c r="J6615" s="18" t="s">
        <v>49</v>
      </c>
      <c r="K6615" s="385">
        <v>610</v>
      </c>
      <c r="L6615" s="385">
        <v>51</v>
      </c>
      <c r="M6615" s="385">
        <v>2240</v>
      </c>
      <c r="N6615" s="75" t="s">
        <v>66</v>
      </c>
      <c r="O6615" s="75" t="s">
        <v>84</v>
      </c>
      <c r="P6615" s="385">
        <v>560</v>
      </c>
      <c r="Q6615" s="75"/>
      <c r="R6615" s="75">
        <f t="shared" si="286"/>
        <v>560</v>
      </c>
      <c r="S6615" s="75">
        <v>100</v>
      </c>
      <c r="T6615" s="75" t="s">
        <v>421</v>
      </c>
      <c r="U6615" s="137"/>
      <c r="V6615" s="193"/>
      <c r="W6615" s="18"/>
      <c r="X6615" s="18"/>
      <c r="Y6615" s="114"/>
      <c r="Z6615" s="18"/>
      <c r="AA6615" s="18"/>
      <c r="AB6615" s="18"/>
      <c r="AC6615" s="137"/>
      <c r="AD6615" s="77"/>
      <c r="AE6615" s="18" t="s">
        <v>48</v>
      </c>
      <c r="AF6615" s="18"/>
      <c r="AG6615" s="18"/>
      <c r="AH6615" s="18"/>
      <c r="AI6615" s="18"/>
      <c r="AJ6615" s="18"/>
      <c r="AK6615" s="18"/>
      <c r="AL6615" s="18"/>
      <c r="AM6615" s="18"/>
      <c r="AN6615" s="18"/>
      <c r="AO6615" s="18"/>
      <c r="AP6615" s="18"/>
      <c r="AQ6615" s="18"/>
      <c r="AR6615" s="18"/>
    </row>
    <row r="6616" hidden="1" spans="1:44">
      <c r="A6616" s="18"/>
      <c r="B6616" s="75">
        <v>1067</v>
      </c>
      <c r="C6616" s="213">
        <v>45822</v>
      </c>
      <c r="D6616" s="18" t="s">
        <v>1550</v>
      </c>
      <c r="E6616" s="18" t="s">
        <v>1551</v>
      </c>
      <c r="F6616" s="18" t="s">
        <v>54</v>
      </c>
      <c r="G6616" s="18"/>
      <c r="H6616" s="75">
        <v>1.2311</v>
      </c>
      <c r="I6616" s="75"/>
      <c r="J6616" s="18" t="s">
        <v>49</v>
      </c>
      <c r="K6616" s="385">
        <v>660</v>
      </c>
      <c r="L6616" s="385">
        <v>51</v>
      </c>
      <c r="M6616" s="385">
        <v>2245</v>
      </c>
      <c r="N6616" s="75" t="s">
        <v>66</v>
      </c>
      <c r="O6616" s="75" t="s">
        <v>84</v>
      </c>
      <c r="P6616" s="385">
        <v>607</v>
      </c>
      <c r="Q6616" s="75"/>
      <c r="R6616" s="75">
        <f t="shared" si="286"/>
        <v>607</v>
      </c>
      <c r="S6616" s="75">
        <v>100</v>
      </c>
      <c r="T6616" s="75" t="s">
        <v>421</v>
      </c>
      <c r="U6616" s="137"/>
      <c r="V6616" s="193"/>
      <c r="W6616" s="18"/>
      <c r="X6616" s="18"/>
      <c r="Y6616" s="114"/>
      <c r="Z6616" s="18"/>
      <c r="AA6616" s="18"/>
      <c r="AB6616" s="18"/>
      <c r="AC6616" s="137"/>
      <c r="AD6616" s="77"/>
      <c r="AE6616" s="18" t="s">
        <v>48</v>
      </c>
      <c r="AF6616" s="18"/>
      <c r="AG6616" s="18"/>
      <c r="AH6616" s="18"/>
      <c r="AI6616" s="18"/>
      <c r="AJ6616" s="18"/>
      <c r="AK6616" s="18"/>
      <c r="AL6616" s="18"/>
      <c r="AM6616" s="18"/>
      <c r="AN6616" s="18"/>
      <c r="AO6616" s="18"/>
      <c r="AP6616" s="18"/>
      <c r="AQ6616" s="18"/>
      <c r="AR6616" s="18"/>
    </row>
    <row r="6617" hidden="1" spans="1:44">
      <c r="A6617" s="18"/>
      <c r="B6617" s="75">
        <v>1067</v>
      </c>
      <c r="C6617" s="213">
        <v>45822</v>
      </c>
      <c r="D6617" s="18" t="s">
        <v>1550</v>
      </c>
      <c r="E6617" s="18" t="s">
        <v>1551</v>
      </c>
      <c r="F6617" s="18" t="s">
        <v>54</v>
      </c>
      <c r="G6617" s="18"/>
      <c r="H6617" s="75">
        <v>1.2311</v>
      </c>
      <c r="I6617" s="75"/>
      <c r="J6617" s="18" t="s">
        <v>49</v>
      </c>
      <c r="K6617" s="385">
        <v>660</v>
      </c>
      <c r="L6617" s="385">
        <v>51</v>
      </c>
      <c r="M6617" s="385">
        <v>2248</v>
      </c>
      <c r="N6617" s="75" t="s">
        <v>66</v>
      </c>
      <c r="O6617" s="75" t="s">
        <v>84</v>
      </c>
      <c r="P6617" s="385">
        <v>608</v>
      </c>
      <c r="Q6617" s="75"/>
      <c r="R6617" s="75">
        <f t="shared" si="286"/>
        <v>608</v>
      </c>
      <c r="S6617" s="75">
        <v>100</v>
      </c>
      <c r="T6617" s="75" t="s">
        <v>421</v>
      </c>
      <c r="U6617" s="137"/>
      <c r="V6617" s="193"/>
      <c r="W6617" s="18"/>
      <c r="X6617" s="18"/>
      <c r="Y6617" s="114"/>
      <c r="Z6617" s="18"/>
      <c r="AA6617" s="18"/>
      <c r="AB6617" s="18"/>
      <c r="AC6617" s="137"/>
      <c r="AD6617" s="77"/>
      <c r="AE6617" s="18" t="s">
        <v>48</v>
      </c>
      <c r="AF6617" s="18"/>
      <c r="AG6617" s="18"/>
      <c r="AH6617" s="18"/>
      <c r="AI6617" s="18"/>
      <c r="AJ6617" s="18"/>
      <c r="AK6617" s="18"/>
      <c r="AL6617" s="18"/>
      <c r="AM6617" s="18"/>
      <c r="AN6617" s="18"/>
      <c r="AO6617" s="18"/>
      <c r="AP6617" s="18"/>
      <c r="AQ6617" s="18"/>
      <c r="AR6617" s="18"/>
    </row>
    <row r="6618" hidden="1" spans="1:44">
      <c r="A6618" s="18"/>
      <c r="B6618" s="75">
        <v>1067</v>
      </c>
      <c r="C6618" s="213">
        <v>45822</v>
      </c>
      <c r="D6618" s="18" t="s">
        <v>1550</v>
      </c>
      <c r="E6618" s="18" t="s">
        <v>1551</v>
      </c>
      <c r="F6618" s="18" t="s">
        <v>54</v>
      </c>
      <c r="G6618" s="18"/>
      <c r="H6618" s="75">
        <v>1.2311</v>
      </c>
      <c r="I6618" s="75"/>
      <c r="J6618" s="18" t="s">
        <v>49</v>
      </c>
      <c r="K6618" s="385">
        <v>660</v>
      </c>
      <c r="L6618" s="385">
        <v>51</v>
      </c>
      <c r="M6618" s="385">
        <v>2246</v>
      </c>
      <c r="N6618" s="75" t="s">
        <v>66</v>
      </c>
      <c r="O6618" s="75" t="s">
        <v>84</v>
      </c>
      <c r="P6618" s="385">
        <v>605</v>
      </c>
      <c r="Q6618" s="75"/>
      <c r="R6618" s="75">
        <f t="shared" si="286"/>
        <v>605</v>
      </c>
      <c r="S6618" s="75">
        <v>100</v>
      </c>
      <c r="T6618" s="75" t="s">
        <v>421</v>
      </c>
      <c r="U6618" s="137"/>
      <c r="V6618" s="193"/>
      <c r="W6618" s="18"/>
      <c r="X6618" s="18"/>
      <c r="Y6618" s="114"/>
      <c r="Z6618" s="18"/>
      <c r="AA6618" s="18"/>
      <c r="AB6618" s="18"/>
      <c r="AC6618" s="137"/>
      <c r="AD6618" s="77"/>
      <c r="AE6618" s="18" t="s">
        <v>48</v>
      </c>
      <c r="AF6618" s="18"/>
      <c r="AG6618" s="18"/>
      <c r="AH6618" s="18"/>
      <c r="AI6618" s="18"/>
      <c r="AJ6618" s="18"/>
      <c r="AK6618" s="18"/>
      <c r="AL6618" s="18"/>
      <c r="AM6618" s="18"/>
      <c r="AN6618" s="18"/>
      <c r="AO6618" s="18"/>
      <c r="AP6618" s="18"/>
      <c r="AQ6618" s="18"/>
      <c r="AR6618" s="18"/>
    </row>
    <row r="6619" hidden="1" spans="1:44">
      <c r="A6619" s="18"/>
      <c r="B6619" s="75">
        <v>1067</v>
      </c>
      <c r="C6619" s="213">
        <v>45822</v>
      </c>
      <c r="D6619" s="18" t="s">
        <v>1550</v>
      </c>
      <c r="E6619" s="18" t="s">
        <v>1551</v>
      </c>
      <c r="F6619" s="18" t="s">
        <v>54</v>
      </c>
      <c r="G6619" s="18"/>
      <c r="H6619" s="75">
        <v>1.2311</v>
      </c>
      <c r="I6619" s="75"/>
      <c r="J6619" s="18" t="s">
        <v>49</v>
      </c>
      <c r="K6619" s="385">
        <v>710</v>
      </c>
      <c r="L6619" s="385">
        <v>51</v>
      </c>
      <c r="M6619" s="385">
        <v>2235</v>
      </c>
      <c r="N6619" s="75" t="s">
        <v>66</v>
      </c>
      <c r="O6619" s="75" t="s">
        <v>84</v>
      </c>
      <c r="P6619" s="385">
        <v>648</v>
      </c>
      <c r="Q6619" s="75"/>
      <c r="R6619" s="75">
        <f t="shared" si="286"/>
        <v>648</v>
      </c>
      <c r="S6619" s="75">
        <v>100</v>
      </c>
      <c r="T6619" s="75" t="s">
        <v>421</v>
      </c>
      <c r="U6619" s="137"/>
      <c r="V6619" s="193"/>
      <c r="W6619" s="18"/>
      <c r="X6619" s="18"/>
      <c r="Y6619" s="114"/>
      <c r="Z6619" s="18"/>
      <c r="AA6619" s="18"/>
      <c r="AB6619" s="18"/>
      <c r="AC6619" s="137"/>
      <c r="AD6619" s="77"/>
      <c r="AE6619" s="18" t="s">
        <v>48</v>
      </c>
      <c r="AF6619" s="18"/>
      <c r="AG6619" s="18"/>
      <c r="AH6619" s="18"/>
      <c r="AI6619" s="18"/>
      <c r="AJ6619" s="18"/>
      <c r="AK6619" s="18"/>
      <c r="AL6619" s="18"/>
      <c r="AM6619" s="18"/>
      <c r="AN6619" s="18"/>
      <c r="AO6619" s="18"/>
      <c r="AP6619" s="18"/>
      <c r="AQ6619" s="18"/>
      <c r="AR6619" s="18"/>
    </row>
    <row r="6620" hidden="1" spans="1:44">
      <c r="A6620" s="18"/>
      <c r="B6620" s="75">
        <v>1067</v>
      </c>
      <c r="C6620" s="213">
        <v>45822</v>
      </c>
      <c r="D6620" s="18" t="s">
        <v>1550</v>
      </c>
      <c r="E6620" s="18" t="s">
        <v>1551</v>
      </c>
      <c r="F6620" s="18" t="s">
        <v>54</v>
      </c>
      <c r="G6620" s="18"/>
      <c r="H6620" s="75">
        <v>1.2311</v>
      </c>
      <c r="I6620" s="75"/>
      <c r="J6620" s="18" t="s">
        <v>49</v>
      </c>
      <c r="K6620" s="385">
        <v>710</v>
      </c>
      <c r="L6620" s="385">
        <v>51</v>
      </c>
      <c r="M6620" s="385">
        <v>2230</v>
      </c>
      <c r="N6620" s="75" t="s">
        <v>66</v>
      </c>
      <c r="O6620" s="75" t="s">
        <v>84</v>
      </c>
      <c r="P6620" s="385">
        <v>646</v>
      </c>
      <c r="Q6620" s="75"/>
      <c r="R6620" s="75">
        <f t="shared" si="286"/>
        <v>646</v>
      </c>
      <c r="S6620" s="75">
        <v>100</v>
      </c>
      <c r="T6620" s="75" t="s">
        <v>421</v>
      </c>
      <c r="U6620" s="137"/>
      <c r="V6620" s="193"/>
      <c r="W6620" s="18"/>
      <c r="X6620" s="18"/>
      <c r="Y6620" s="114"/>
      <c r="Z6620" s="18"/>
      <c r="AA6620" s="18"/>
      <c r="AB6620" s="18"/>
      <c r="AC6620" s="137"/>
      <c r="AD6620" s="77"/>
      <c r="AE6620" s="18" t="s">
        <v>48</v>
      </c>
      <c r="AF6620" s="18"/>
      <c r="AG6620" s="18"/>
      <c r="AH6620" s="18"/>
      <c r="AI6620" s="18"/>
      <c r="AJ6620" s="18"/>
      <c r="AK6620" s="18"/>
      <c r="AL6620" s="18"/>
      <c r="AM6620" s="18"/>
      <c r="AN6620" s="18"/>
      <c r="AO6620" s="18"/>
      <c r="AP6620" s="18"/>
      <c r="AQ6620" s="18"/>
      <c r="AR6620" s="18"/>
    </row>
    <row r="6621" hidden="1" spans="1:44">
      <c r="A6621" s="18"/>
      <c r="B6621" s="75">
        <v>1067</v>
      </c>
      <c r="C6621" s="213">
        <v>45822</v>
      </c>
      <c r="D6621" s="18" t="s">
        <v>1550</v>
      </c>
      <c r="E6621" s="18" t="s">
        <v>1551</v>
      </c>
      <c r="F6621" s="18" t="s">
        <v>54</v>
      </c>
      <c r="G6621" s="18"/>
      <c r="H6621" s="75">
        <v>1.2311</v>
      </c>
      <c r="I6621" s="75"/>
      <c r="J6621" s="18" t="s">
        <v>49</v>
      </c>
      <c r="K6621" s="385">
        <v>710</v>
      </c>
      <c r="L6621" s="385">
        <v>51</v>
      </c>
      <c r="M6621" s="385">
        <v>2236</v>
      </c>
      <c r="N6621" s="75" t="s">
        <v>66</v>
      </c>
      <c r="O6621" s="75" t="s">
        <v>84</v>
      </c>
      <c r="P6621" s="385">
        <v>649</v>
      </c>
      <c r="Q6621" s="75"/>
      <c r="R6621" s="75">
        <f t="shared" si="286"/>
        <v>649</v>
      </c>
      <c r="S6621" s="75">
        <v>100</v>
      </c>
      <c r="T6621" s="75" t="s">
        <v>421</v>
      </c>
      <c r="U6621" s="137"/>
      <c r="V6621" s="193"/>
      <c r="W6621" s="18"/>
      <c r="X6621" s="18"/>
      <c r="Y6621" s="114"/>
      <c r="Z6621" s="18"/>
      <c r="AA6621" s="18"/>
      <c r="AB6621" s="18"/>
      <c r="AC6621" s="137"/>
      <c r="AD6621" s="77"/>
      <c r="AE6621" s="18" t="s">
        <v>48</v>
      </c>
      <c r="AF6621" s="18"/>
      <c r="AG6621" s="18"/>
      <c r="AH6621" s="18"/>
      <c r="AI6621" s="18"/>
      <c r="AJ6621" s="18"/>
      <c r="AK6621" s="18"/>
      <c r="AL6621" s="18"/>
      <c r="AM6621" s="18"/>
      <c r="AN6621" s="18"/>
      <c r="AO6621" s="18"/>
      <c r="AP6621" s="18"/>
      <c r="AQ6621" s="18"/>
      <c r="AR6621" s="18"/>
    </row>
    <row r="6622" hidden="1" spans="1:44">
      <c r="A6622" s="18"/>
      <c r="B6622" s="75">
        <v>1067</v>
      </c>
      <c r="C6622" s="213">
        <v>45822</v>
      </c>
      <c r="D6622" s="18" t="s">
        <v>1550</v>
      </c>
      <c r="E6622" s="18" t="s">
        <v>1551</v>
      </c>
      <c r="F6622" s="18" t="s">
        <v>54</v>
      </c>
      <c r="G6622" s="18"/>
      <c r="H6622" s="75">
        <v>1.2311</v>
      </c>
      <c r="I6622" s="75"/>
      <c r="J6622" s="18" t="s">
        <v>49</v>
      </c>
      <c r="K6622" s="385">
        <v>710</v>
      </c>
      <c r="L6622" s="385">
        <v>51</v>
      </c>
      <c r="M6622" s="385">
        <v>2236</v>
      </c>
      <c r="N6622" s="75" t="s">
        <v>66</v>
      </c>
      <c r="O6622" s="75" t="s">
        <v>84</v>
      </c>
      <c r="P6622" s="385">
        <v>649</v>
      </c>
      <c r="Q6622" s="75"/>
      <c r="R6622" s="75">
        <f t="shared" si="286"/>
        <v>649</v>
      </c>
      <c r="S6622" s="75">
        <v>100</v>
      </c>
      <c r="T6622" s="75" t="s">
        <v>421</v>
      </c>
      <c r="U6622" s="137"/>
      <c r="V6622" s="193"/>
      <c r="W6622" s="18"/>
      <c r="X6622" s="18"/>
      <c r="Y6622" s="114"/>
      <c r="Z6622" s="18"/>
      <c r="AA6622" s="18"/>
      <c r="AB6622" s="18"/>
      <c r="AC6622" s="137"/>
      <c r="AD6622" s="77"/>
      <c r="AE6622" s="18" t="s">
        <v>48</v>
      </c>
      <c r="AF6622" s="18"/>
      <c r="AG6622" s="18"/>
      <c r="AH6622" s="18"/>
      <c r="AI6622" s="18"/>
      <c r="AJ6622" s="18"/>
      <c r="AK6622" s="18"/>
      <c r="AL6622" s="18"/>
      <c r="AM6622" s="18"/>
      <c r="AN6622" s="18"/>
      <c r="AO6622" s="18"/>
      <c r="AP6622" s="18"/>
      <c r="AQ6622" s="18"/>
      <c r="AR6622" s="18"/>
    </row>
    <row r="6623" hidden="1" spans="1:44">
      <c r="A6623" s="18"/>
      <c r="B6623" s="75">
        <v>1067</v>
      </c>
      <c r="C6623" s="213">
        <v>45822</v>
      </c>
      <c r="D6623" s="18" t="s">
        <v>1550</v>
      </c>
      <c r="E6623" s="18" t="s">
        <v>1551</v>
      </c>
      <c r="F6623" s="18" t="s">
        <v>54</v>
      </c>
      <c r="G6623" s="18"/>
      <c r="H6623" s="75">
        <v>1.2311</v>
      </c>
      <c r="I6623" s="75"/>
      <c r="J6623" s="18" t="s">
        <v>49</v>
      </c>
      <c r="K6623" s="385">
        <v>710</v>
      </c>
      <c r="L6623" s="385">
        <v>51</v>
      </c>
      <c r="M6623" s="385">
        <v>2226</v>
      </c>
      <c r="N6623" s="75" t="s">
        <v>66</v>
      </c>
      <c r="O6623" s="75" t="s">
        <v>84</v>
      </c>
      <c r="P6623" s="385">
        <v>643</v>
      </c>
      <c r="Q6623" s="75"/>
      <c r="R6623" s="75">
        <f t="shared" si="286"/>
        <v>643</v>
      </c>
      <c r="S6623" s="75">
        <v>100</v>
      </c>
      <c r="T6623" s="75" t="s">
        <v>421</v>
      </c>
      <c r="U6623" s="137"/>
      <c r="V6623" s="193"/>
      <c r="W6623" s="18"/>
      <c r="X6623" s="18"/>
      <c r="Y6623" s="114"/>
      <c r="Z6623" s="18"/>
      <c r="AA6623" s="18"/>
      <c r="AB6623" s="18"/>
      <c r="AC6623" s="137"/>
      <c r="AD6623" s="77"/>
      <c r="AE6623" s="18" t="s">
        <v>48</v>
      </c>
      <c r="AF6623" s="18"/>
      <c r="AG6623" s="18"/>
      <c r="AH6623" s="18"/>
      <c r="AI6623" s="18"/>
      <c r="AJ6623" s="18"/>
      <c r="AK6623" s="18"/>
      <c r="AL6623" s="18"/>
      <c r="AM6623" s="18"/>
      <c r="AN6623" s="18"/>
      <c r="AO6623" s="18"/>
      <c r="AP6623" s="18"/>
      <c r="AQ6623" s="18"/>
      <c r="AR6623" s="18"/>
    </row>
    <row r="6624" hidden="1" spans="1:44">
      <c r="A6624" s="18"/>
      <c r="B6624" s="75">
        <v>1067</v>
      </c>
      <c r="C6624" s="213">
        <v>45822</v>
      </c>
      <c r="D6624" s="18" t="s">
        <v>1550</v>
      </c>
      <c r="E6624" s="18" t="s">
        <v>1551</v>
      </c>
      <c r="F6624" s="18" t="s">
        <v>54</v>
      </c>
      <c r="G6624" s="18"/>
      <c r="H6624" s="75">
        <v>1.2311</v>
      </c>
      <c r="I6624" s="75"/>
      <c r="J6624" s="18" t="s">
        <v>82</v>
      </c>
      <c r="K6624" s="385">
        <v>305</v>
      </c>
      <c r="L6624" s="385">
        <v>65</v>
      </c>
      <c r="M6624" s="385">
        <v>2190</v>
      </c>
      <c r="N6624" s="75" t="s">
        <v>66</v>
      </c>
      <c r="O6624" s="75" t="s">
        <v>84</v>
      </c>
      <c r="P6624" s="385">
        <v>356</v>
      </c>
      <c r="Q6624" s="75"/>
      <c r="R6624" s="75">
        <f t="shared" si="286"/>
        <v>356</v>
      </c>
      <c r="S6624" s="75">
        <v>100</v>
      </c>
      <c r="T6624" s="75" t="s">
        <v>421</v>
      </c>
      <c r="U6624" s="137"/>
      <c r="V6624" s="193"/>
      <c r="W6624" s="18"/>
      <c r="X6624" s="18"/>
      <c r="Y6624" s="114"/>
      <c r="Z6624" s="18"/>
      <c r="AA6624" s="18"/>
      <c r="AB6624" s="18"/>
      <c r="AC6624" s="137"/>
      <c r="AD6624" s="77"/>
      <c r="AE6624" s="18" t="s">
        <v>48</v>
      </c>
      <c r="AF6624" s="18"/>
      <c r="AG6624" s="18"/>
      <c r="AH6624" s="18"/>
      <c r="AI6624" s="18"/>
      <c r="AJ6624" s="18"/>
      <c r="AK6624" s="18"/>
      <c r="AL6624" s="18"/>
      <c r="AM6624" s="18"/>
      <c r="AN6624" s="18"/>
      <c r="AO6624" s="18"/>
      <c r="AP6624" s="18"/>
      <c r="AQ6624" s="18"/>
      <c r="AR6624" s="18"/>
    </row>
    <row r="6625" hidden="1" spans="1:44">
      <c r="A6625" s="18"/>
      <c r="B6625" s="75">
        <v>1067</v>
      </c>
      <c r="C6625" s="213">
        <v>45822</v>
      </c>
      <c r="D6625" s="18" t="s">
        <v>1550</v>
      </c>
      <c r="E6625" s="18" t="s">
        <v>1551</v>
      </c>
      <c r="F6625" s="18" t="s">
        <v>54</v>
      </c>
      <c r="G6625" s="18"/>
      <c r="H6625" s="75">
        <v>1.2311</v>
      </c>
      <c r="I6625" s="75"/>
      <c r="J6625" s="18" t="s">
        <v>82</v>
      </c>
      <c r="K6625" s="385">
        <v>305</v>
      </c>
      <c r="L6625" s="385">
        <v>65</v>
      </c>
      <c r="M6625" s="385">
        <v>2188</v>
      </c>
      <c r="N6625" s="75" t="s">
        <v>66</v>
      </c>
      <c r="O6625" s="75" t="s">
        <v>84</v>
      </c>
      <c r="P6625" s="385">
        <v>355</v>
      </c>
      <c r="Q6625" s="75"/>
      <c r="R6625" s="75">
        <f t="shared" si="286"/>
        <v>355</v>
      </c>
      <c r="S6625" s="75">
        <v>100</v>
      </c>
      <c r="T6625" s="75" t="s">
        <v>421</v>
      </c>
      <c r="U6625" s="137"/>
      <c r="V6625" s="193"/>
      <c r="W6625" s="18"/>
      <c r="X6625" s="18"/>
      <c r="Y6625" s="114"/>
      <c r="Z6625" s="18"/>
      <c r="AA6625" s="18"/>
      <c r="AB6625" s="18"/>
      <c r="AC6625" s="137"/>
      <c r="AD6625" s="77"/>
      <c r="AE6625" s="18" t="s">
        <v>48</v>
      </c>
      <c r="AF6625" s="18"/>
      <c r="AG6625" s="18"/>
      <c r="AH6625" s="18"/>
      <c r="AI6625" s="18"/>
      <c r="AJ6625" s="18"/>
      <c r="AK6625" s="18"/>
      <c r="AL6625" s="18"/>
      <c r="AM6625" s="18"/>
      <c r="AN6625" s="18"/>
      <c r="AO6625" s="18"/>
      <c r="AP6625" s="18"/>
      <c r="AQ6625" s="18"/>
      <c r="AR6625" s="18"/>
    </row>
    <row r="6626" hidden="1" spans="1:44">
      <c r="A6626" s="18"/>
      <c r="B6626" s="75">
        <v>1067</v>
      </c>
      <c r="C6626" s="213">
        <v>45822</v>
      </c>
      <c r="D6626" s="18" t="s">
        <v>1550</v>
      </c>
      <c r="E6626" s="18" t="s">
        <v>1551</v>
      </c>
      <c r="F6626" s="18" t="s">
        <v>54</v>
      </c>
      <c r="G6626" s="18"/>
      <c r="H6626" s="75">
        <v>1.2311</v>
      </c>
      <c r="I6626" s="75"/>
      <c r="J6626" s="18" t="s">
        <v>82</v>
      </c>
      <c r="K6626" s="385">
        <v>305</v>
      </c>
      <c r="L6626" s="385">
        <v>65</v>
      </c>
      <c r="M6626" s="385">
        <v>2188</v>
      </c>
      <c r="N6626" s="75" t="s">
        <v>66</v>
      </c>
      <c r="O6626" s="75" t="s">
        <v>84</v>
      </c>
      <c r="P6626" s="385">
        <v>355</v>
      </c>
      <c r="Q6626" s="75"/>
      <c r="R6626" s="75">
        <f t="shared" si="286"/>
        <v>355</v>
      </c>
      <c r="S6626" s="75">
        <v>100</v>
      </c>
      <c r="T6626" s="75" t="s">
        <v>421</v>
      </c>
      <c r="U6626" s="137"/>
      <c r="V6626" s="193"/>
      <c r="W6626" s="18"/>
      <c r="X6626" s="18"/>
      <c r="Y6626" s="114"/>
      <c r="Z6626" s="18"/>
      <c r="AA6626" s="18"/>
      <c r="AB6626" s="18"/>
      <c r="AC6626" s="137"/>
      <c r="AD6626" s="77"/>
      <c r="AE6626" s="18" t="s">
        <v>48</v>
      </c>
      <c r="AF6626" s="18"/>
      <c r="AG6626" s="18"/>
      <c r="AH6626" s="18"/>
      <c r="AI6626" s="18"/>
      <c r="AJ6626" s="18"/>
      <c r="AK6626" s="18"/>
      <c r="AL6626" s="18"/>
      <c r="AM6626" s="18"/>
      <c r="AN6626" s="18"/>
      <c r="AO6626" s="18"/>
      <c r="AP6626" s="18"/>
      <c r="AQ6626" s="18"/>
      <c r="AR6626" s="18"/>
    </row>
    <row r="6627" hidden="1" spans="1:44">
      <c r="A6627" s="18"/>
      <c r="B6627" s="75">
        <v>1067</v>
      </c>
      <c r="C6627" s="213">
        <v>45822</v>
      </c>
      <c r="D6627" s="18" t="s">
        <v>1550</v>
      </c>
      <c r="E6627" s="18" t="s">
        <v>1551</v>
      </c>
      <c r="F6627" s="18" t="s">
        <v>54</v>
      </c>
      <c r="G6627" s="18"/>
      <c r="H6627" s="75">
        <v>1.2311</v>
      </c>
      <c r="I6627" s="75"/>
      <c r="J6627" s="18" t="s">
        <v>82</v>
      </c>
      <c r="K6627" s="385">
        <v>360</v>
      </c>
      <c r="L6627" s="385">
        <v>65</v>
      </c>
      <c r="M6627" s="385">
        <v>2200</v>
      </c>
      <c r="N6627" s="75" t="s">
        <v>66</v>
      </c>
      <c r="O6627" s="75" t="s">
        <v>84</v>
      </c>
      <c r="P6627" s="385">
        <v>419</v>
      </c>
      <c r="Q6627" s="75"/>
      <c r="R6627" s="75">
        <f t="shared" si="286"/>
        <v>419</v>
      </c>
      <c r="S6627" s="75">
        <v>100</v>
      </c>
      <c r="T6627" s="75" t="s">
        <v>421</v>
      </c>
      <c r="U6627" s="137"/>
      <c r="V6627" s="193"/>
      <c r="W6627" s="18"/>
      <c r="X6627" s="18"/>
      <c r="Y6627" s="114"/>
      <c r="Z6627" s="18"/>
      <c r="AA6627" s="18"/>
      <c r="AB6627" s="18"/>
      <c r="AC6627" s="137"/>
      <c r="AD6627" s="77"/>
      <c r="AE6627" s="18" t="s">
        <v>48</v>
      </c>
      <c r="AF6627" s="18"/>
      <c r="AG6627" s="18"/>
      <c r="AH6627" s="18"/>
      <c r="AI6627" s="18"/>
      <c r="AJ6627" s="18"/>
      <c r="AK6627" s="18"/>
      <c r="AL6627" s="18"/>
      <c r="AM6627" s="18"/>
      <c r="AN6627" s="18"/>
      <c r="AO6627" s="18"/>
      <c r="AP6627" s="18"/>
      <c r="AQ6627" s="18"/>
      <c r="AR6627" s="18"/>
    </row>
    <row r="6628" hidden="1" spans="1:44">
      <c r="A6628" s="18"/>
      <c r="B6628" s="75">
        <v>1067</v>
      </c>
      <c r="C6628" s="213">
        <v>45822</v>
      </c>
      <c r="D6628" s="18" t="s">
        <v>1550</v>
      </c>
      <c r="E6628" s="18" t="s">
        <v>1551</v>
      </c>
      <c r="F6628" s="18" t="s">
        <v>54</v>
      </c>
      <c r="G6628" s="18"/>
      <c r="H6628" s="75">
        <v>1.2311</v>
      </c>
      <c r="I6628" s="75"/>
      <c r="J6628" s="18" t="s">
        <v>82</v>
      </c>
      <c r="K6628" s="385">
        <v>360</v>
      </c>
      <c r="L6628" s="385">
        <v>65</v>
      </c>
      <c r="M6628" s="385">
        <v>2202</v>
      </c>
      <c r="N6628" s="75" t="s">
        <v>66</v>
      </c>
      <c r="O6628" s="75" t="s">
        <v>84</v>
      </c>
      <c r="P6628" s="385">
        <v>421</v>
      </c>
      <c r="Q6628" s="75"/>
      <c r="R6628" s="75">
        <f t="shared" si="286"/>
        <v>421</v>
      </c>
      <c r="S6628" s="75">
        <v>100</v>
      </c>
      <c r="T6628" s="75" t="s">
        <v>421</v>
      </c>
      <c r="U6628" s="137"/>
      <c r="V6628" s="193"/>
      <c r="W6628" s="18"/>
      <c r="X6628" s="18"/>
      <c r="Y6628" s="114"/>
      <c r="Z6628" s="18"/>
      <c r="AA6628" s="18"/>
      <c r="AB6628" s="18"/>
      <c r="AC6628" s="137"/>
      <c r="AD6628" s="77"/>
      <c r="AE6628" s="18" t="s">
        <v>48</v>
      </c>
      <c r="AF6628" s="18"/>
      <c r="AG6628" s="18"/>
      <c r="AH6628" s="18"/>
      <c r="AI6628" s="18"/>
      <c r="AJ6628" s="18"/>
      <c r="AK6628" s="18"/>
      <c r="AL6628" s="18"/>
      <c r="AM6628" s="18"/>
      <c r="AN6628" s="18"/>
      <c r="AO6628" s="18"/>
      <c r="AP6628" s="18"/>
      <c r="AQ6628" s="18"/>
      <c r="AR6628" s="18"/>
    </row>
    <row r="6629" hidden="1" spans="1:44">
      <c r="A6629" s="18"/>
      <c r="B6629" s="75">
        <v>1067</v>
      </c>
      <c r="C6629" s="213">
        <v>45822</v>
      </c>
      <c r="D6629" s="18" t="s">
        <v>1550</v>
      </c>
      <c r="E6629" s="18" t="s">
        <v>1551</v>
      </c>
      <c r="F6629" s="18" t="s">
        <v>54</v>
      </c>
      <c r="G6629" s="18"/>
      <c r="H6629" s="75">
        <v>1.2311</v>
      </c>
      <c r="I6629" s="75"/>
      <c r="J6629" s="18" t="s">
        <v>82</v>
      </c>
      <c r="K6629" s="385">
        <v>410</v>
      </c>
      <c r="L6629" s="385">
        <v>65</v>
      </c>
      <c r="M6629" s="385">
        <v>2212</v>
      </c>
      <c r="N6629" s="75" t="s">
        <v>66</v>
      </c>
      <c r="O6629" s="75" t="s">
        <v>84</v>
      </c>
      <c r="P6629" s="385">
        <v>480</v>
      </c>
      <c r="Q6629" s="75"/>
      <c r="R6629" s="75">
        <f t="shared" si="286"/>
        <v>480</v>
      </c>
      <c r="S6629" s="75">
        <v>100</v>
      </c>
      <c r="T6629" s="75" t="s">
        <v>421</v>
      </c>
      <c r="U6629" s="137"/>
      <c r="V6629" s="193"/>
      <c r="W6629" s="18"/>
      <c r="X6629" s="18"/>
      <c r="Y6629" s="114"/>
      <c r="Z6629" s="18"/>
      <c r="AA6629" s="18"/>
      <c r="AB6629" s="18"/>
      <c r="AC6629" s="137"/>
      <c r="AD6629" s="77"/>
      <c r="AE6629" s="18" t="s">
        <v>48</v>
      </c>
      <c r="AF6629" s="18"/>
      <c r="AG6629" s="18"/>
      <c r="AH6629" s="18"/>
      <c r="AI6629" s="18"/>
      <c r="AJ6629" s="18"/>
      <c r="AK6629" s="18"/>
      <c r="AL6629" s="18"/>
      <c r="AM6629" s="18"/>
      <c r="AN6629" s="18"/>
      <c r="AO6629" s="18"/>
      <c r="AP6629" s="18"/>
      <c r="AQ6629" s="18"/>
      <c r="AR6629" s="18"/>
    </row>
    <row r="6630" hidden="1" spans="1:44">
      <c r="A6630" s="18"/>
      <c r="B6630" s="75">
        <v>1067</v>
      </c>
      <c r="C6630" s="213">
        <v>45822</v>
      </c>
      <c r="D6630" s="18" t="s">
        <v>1550</v>
      </c>
      <c r="E6630" s="18" t="s">
        <v>1551</v>
      </c>
      <c r="F6630" s="18" t="s">
        <v>54</v>
      </c>
      <c r="G6630" s="18"/>
      <c r="H6630" s="75">
        <v>1.2311</v>
      </c>
      <c r="I6630" s="75"/>
      <c r="J6630" s="18" t="s">
        <v>82</v>
      </c>
      <c r="K6630" s="385">
        <v>410</v>
      </c>
      <c r="L6630" s="385">
        <v>65</v>
      </c>
      <c r="M6630" s="385">
        <v>2212</v>
      </c>
      <c r="N6630" s="75" t="s">
        <v>66</v>
      </c>
      <c r="O6630" s="75" t="s">
        <v>84</v>
      </c>
      <c r="P6630" s="385">
        <v>480</v>
      </c>
      <c r="Q6630" s="75"/>
      <c r="R6630" s="75">
        <f t="shared" si="286"/>
        <v>480</v>
      </c>
      <c r="S6630" s="75">
        <v>100</v>
      </c>
      <c r="T6630" s="75" t="s">
        <v>421</v>
      </c>
      <c r="U6630" s="137"/>
      <c r="V6630" s="193"/>
      <c r="W6630" s="18"/>
      <c r="X6630" s="18"/>
      <c r="Y6630" s="114"/>
      <c r="Z6630" s="18"/>
      <c r="AA6630" s="18"/>
      <c r="AB6630" s="18"/>
      <c r="AC6630" s="137"/>
      <c r="AD6630" s="77"/>
      <c r="AE6630" s="18" t="s">
        <v>48</v>
      </c>
      <c r="AF6630" s="18"/>
      <c r="AG6630" s="18"/>
      <c r="AH6630" s="18"/>
      <c r="AI6630" s="18"/>
      <c r="AJ6630" s="18"/>
      <c r="AK6630" s="18"/>
      <c r="AL6630" s="18"/>
      <c r="AM6630" s="18"/>
      <c r="AN6630" s="18"/>
      <c r="AO6630" s="18"/>
      <c r="AP6630" s="18"/>
      <c r="AQ6630" s="18"/>
      <c r="AR6630" s="18"/>
    </row>
    <row r="6631" hidden="1" spans="1:44">
      <c r="A6631" s="18"/>
      <c r="B6631" s="75">
        <v>1067</v>
      </c>
      <c r="C6631" s="213">
        <v>45822</v>
      </c>
      <c r="D6631" s="18" t="s">
        <v>1550</v>
      </c>
      <c r="E6631" s="18" t="s">
        <v>1551</v>
      </c>
      <c r="F6631" s="18" t="s">
        <v>54</v>
      </c>
      <c r="G6631" s="18"/>
      <c r="H6631" s="75">
        <v>1.2311</v>
      </c>
      <c r="I6631" s="75"/>
      <c r="J6631" s="18" t="s">
        <v>82</v>
      </c>
      <c r="K6631" s="385">
        <v>510</v>
      </c>
      <c r="L6631" s="385">
        <v>65</v>
      </c>
      <c r="M6631" s="385">
        <v>2209</v>
      </c>
      <c r="N6631" s="75" t="s">
        <v>66</v>
      </c>
      <c r="O6631" s="75" t="s">
        <v>84</v>
      </c>
      <c r="P6631" s="385">
        <v>592</v>
      </c>
      <c r="Q6631" s="75"/>
      <c r="R6631" s="75">
        <f t="shared" si="286"/>
        <v>592</v>
      </c>
      <c r="S6631" s="75">
        <v>100</v>
      </c>
      <c r="T6631" s="75" t="s">
        <v>421</v>
      </c>
      <c r="U6631" s="137"/>
      <c r="V6631" s="193"/>
      <c r="W6631" s="18"/>
      <c r="X6631" s="18"/>
      <c r="Y6631" s="114"/>
      <c r="Z6631" s="18"/>
      <c r="AA6631" s="18"/>
      <c r="AB6631" s="18"/>
      <c r="AC6631" s="137"/>
      <c r="AD6631" s="77"/>
      <c r="AE6631" s="18" t="s">
        <v>48</v>
      </c>
      <c r="AF6631" s="18"/>
      <c r="AG6631" s="18"/>
      <c r="AH6631" s="18"/>
      <c r="AI6631" s="18"/>
      <c r="AJ6631" s="18"/>
      <c r="AK6631" s="18"/>
      <c r="AL6631" s="18"/>
      <c r="AM6631" s="18"/>
      <c r="AN6631" s="18"/>
      <c r="AO6631" s="18"/>
      <c r="AP6631" s="18"/>
      <c r="AQ6631" s="18"/>
      <c r="AR6631" s="18"/>
    </row>
    <row r="6632" hidden="1" spans="1:44">
      <c r="A6632" s="18"/>
      <c r="B6632" s="75">
        <v>1067</v>
      </c>
      <c r="C6632" s="213">
        <v>45822</v>
      </c>
      <c r="D6632" s="18" t="s">
        <v>1550</v>
      </c>
      <c r="E6632" s="18" t="s">
        <v>1551</v>
      </c>
      <c r="F6632" s="18" t="s">
        <v>54</v>
      </c>
      <c r="G6632" s="18"/>
      <c r="H6632" s="75">
        <v>1.2311</v>
      </c>
      <c r="I6632" s="75"/>
      <c r="J6632" s="18" t="s">
        <v>82</v>
      </c>
      <c r="K6632" s="385">
        <v>510</v>
      </c>
      <c r="L6632" s="385">
        <v>65</v>
      </c>
      <c r="M6632" s="385">
        <v>2207</v>
      </c>
      <c r="N6632" s="75" t="s">
        <v>66</v>
      </c>
      <c r="O6632" s="75" t="s">
        <v>84</v>
      </c>
      <c r="P6632" s="385">
        <v>593</v>
      </c>
      <c r="Q6632" s="75"/>
      <c r="R6632" s="75">
        <f t="shared" si="286"/>
        <v>593</v>
      </c>
      <c r="S6632" s="75">
        <v>100</v>
      </c>
      <c r="T6632" s="75" t="s">
        <v>421</v>
      </c>
      <c r="U6632" s="137"/>
      <c r="V6632" s="193"/>
      <c r="W6632" s="18"/>
      <c r="X6632" s="18"/>
      <c r="Y6632" s="114"/>
      <c r="Z6632" s="18"/>
      <c r="AA6632" s="18"/>
      <c r="AB6632" s="18"/>
      <c r="AC6632" s="137"/>
      <c r="AD6632" s="77"/>
      <c r="AE6632" s="18" t="s">
        <v>48</v>
      </c>
      <c r="AF6632" s="18"/>
      <c r="AG6632" s="18"/>
      <c r="AH6632" s="18"/>
      <c r="AI6632" s="18"/>
      <c r="AJ6632" s="18"/>
      <c r="AK6632" s="18"/>
      <c r="AL6632" s="18"/>
      <c r="AM6632" s="18"/>
      <c r="AN6632" s="18"/>
      <c r="AO6632" s="18"/>
      <c r="AP6632" s="18"/>
      <c r="AQ6632" s="18"/>
      <c r="AR6632" s="18"/>
    </row>
    <row r="6633" hidden="1" spans="1:44">
      <c r="A6633" s="18"/>
      <c r="B6633" s="75">
        <v>1067</v>
      </c>
      <c r="C6633" s="213">
        <v>45822</v>
      </c>
      <c r="D6633" s="18" t="s">
        <v>1550</v>
      </c>
      <c r="E6633" s="18" t="s">
        <v>1551</v>
      </c>
      <c r="F6633" s="18" t="s">
        <v>54</v>
      </c>
      <c r="G6633" s="18"/>
      <c r="H6633" s="75">
        <v>1.2311</v>
      </c>
      <c r="I6633" s="75"/>
      <c r="J6633" s="18" t="s">
        <v>82</v>
      </c>
      <c r="K6633" s="385">
        <v>510</v>
      </c>
      <c r="L6633" s="385">
        <v>65</v>
      </c>
      <c r="M6633" s="385">
        <v>2212</v>
      </c>
      <c r="N6633" s="75" t="s">
        <v>66</v>
      </c>
      <c r="O6633" s="75" t="s">
        <v>84</v>
      </c>
      <c r="P6633" s="385">
        <v>595</v>
      </c>
      <c r="Q6633" s="75"/>
      <c r="R6633" s="75">
        <f t="shared" si="286"/>
        <v>595</v>
      </c>
      <c r="S6633" s="75">
        <v>100</v>
      </c>
      <c r="T6633" s="75" t="s">
        <v>421</v>
      </c>
      <c r="U6633" s="137"/>
      <c r="V6633" s="193"/>
      <c r="W6633" s="18"/>
      <c r="X6633" s="18"/>
      <c r="Y6633" s="114"/>
      <c r="Z6633" s="18"/>
      <c r="AA6633" s="18"/>
      <c r="AB6633" s="18"/>
      <c r="AC6633" s="137"/>
      <c r="AD6633" s="77"/>
      <c r="AE6633" s="18" t="s">
        <v>48</v>
      </c>
      <c r="AF6633" s="18"/>
      <c r="AG6633" s="18"/>
      <c r="AH6633" s="18"/>
      <c r="AI6633" s="18"/>
      <c r="AJ6633" s="18"/>
      <c r="AK6633" s="18"/>
      <c r="AL6633" s="18"/>
      <c r="AM6633" s="18"/>
      <c r="AN6633" s="18"/>
      <c r="AO6633" s="18"/>
      <c r="AP6633" s="18"/>
      <c r="AQ6633" s="18"/>
      <c r="AR6633" s="18"/>
    </row>
    <row r="6634" hidden="1" spans="1:44">
      <c r="A6634" s="18"/>
      <c r="B6634" s="75">
        <v>1067</v>
      </c>
      <c r="C6634" s="213">
        <v>45822</v>
      </c>
      <c r="D6634" s="18" t="s">
        <v>1550</v>
      </c>
      <c r="E6634" s="18" t="s">
        <v>1551</v>
      </c>
      <c r="F6634" s="18" t="s">
        <v>54</v>
      </c>
      <c r="G6634" s="18"/>
      <c r="H6634" s="75">
        <v>1.2311</v>
      </c>
      <c r="I6634" s="75"/>
      <c r="J6634" s="18" t="s">
        <v>82</v>
      </c>
      <c r="K6634" s="385">
        <v>510</v>
      </c>
      <c r="L6634" s="385">
        <v>65</v>
      </c>
      <c r="M6634" s="385">
        <v>2185</v>
      </c>
      <c r="N6634" s="75" t="s">
        <v>66</v>
      </c>
      <c r="O6634" s="75" t="s">
        <v>84</v>
      </c>
      <c r="P6634" s="385">
        <v>589</v>
      </c>
      <c r="Q6634" s="75"/>
      <c r="R6634" s="75">
        <f t="shared" si="286"/>
        <v>589</v>
      </c>
      <c r="S6634" s="75">
        <v>100</v>
      </c>
      <c r="T6634" s="75" t="s">
        <v>421</v>
      </c>
      <c r="U6634" s="137"/>
      <c r="V6634" s="193"/>
      <c r="W6634" s="18"/>
      <c r="X6634" s="18"/>
      <c r="Y6634" s="114"/>
      <c r="Z6634" s="18"/>
      <c r="AA6634" s="18"/>
      <c r="AB6634" s="18"/>
      <c r="AC6634" s="137"/>
      <c r="AD6634" s="77"/>
      <c r="AE6634" s="18" t="s">
        <v>48</v>
      </c>
      <c r="AF6634" s="18"/>
      <c r="AG6634" s="18"/>
      <c r="AH6634" s="18"/>
      <c r="AI6634" s="18"/>
      <c r="AJ6634" s="18"/>
      <c r="AK6634" s="18"/>
      <c r="AL6634" s="18"/>
      <c r="AM6634" s="18"/>
      <c r="AN6634" s="18"/>
      <c r="AO6634" s="18"/>
      <c r="AP6634" s="18"/>
      <c r="AQ6634" s="18"/>
      <c r="AR6634" s="18"/>
    </row>
    <row r="6635" hidden="1" spans="1:44">
      <c r="A6635" s="18"/>
      <c r="B6635" s="75">
        <v>1067</v>
      </c>
      <c r="C6635" s="213">
        <v>45822</v>
      </c>
      <c r="D6635" s="18" t="s">
        <v>1550</v>
      </c>
      <c r="E6635" s="18" t="s">
        <v>1551</v>
      </c>
      <c r="F6635" s="18" t="s">
        <v>54</v>
      </c>
      <c r="G6635" s="18"/>
      <c r="H6635" s="75">
        <v>1.2311</v>
      </c>
      <c r="I6635" s="75"/>
      <c r="J6635" s="18" t="s">
        <v>49</v>
      </c>
      <c r="K6635" s="385">
        <v>610</v>
      </c>
      <c r="L6635" s="385">
        <v>65</v>
      </c>
      <c r="M6635" s="385">
        <v>2195</v>
      </c>
      <c r="N6635" s="75" t="s">
        <v>66</v>
      </c>
      <c r="O6635" s="75" t="s">
        <v>84</v>
      </c>
      <c r="P6635" s="385">
        <v>710</v>
      </c>
      <c r="Q6635" s="75"/>
      <c r="R6635" s="75">
        <f t="shared" si="286"/>
        <v>710</v>
      </c>
      <c r="S6635" s="75">
        <v>100</v>
      </c>
      <c r="T6635" s="75" t="s">
        <v>421</v>
      </c>
      <c r="U6635" s="137"/>
      <c r="V6635" s="193"/>
      <c r="W6635" s="18"/>
      <c r="X6635" s="18"/>
      <c r="Y6635" s="114"/>
      <c r="Z6635" s="18"/>
      <c r="AA6635" s="18"/>
      <c r="AB6635" s="18"/>
      <c r="AC6635" s="137"/>
      <c r="AD6635" s="77"/>
      <c r="AE6635" s="18" t="s">
        <v>48</v>
      </c>
      <c r="AF6635" s="18"/>
      <c r="AG6635" s="18"/>
      <c r="AH6635" s="18"/>
      <c r="AI6635" s="18"/>
      <c r="AJ6635" s="18"/>
      <c r="AK6635" s="18"/>
      <c r="AL6635" s="18"/>
      <c r="AM6635" s="18"/>
      <c r="AN6635" s="18"/>
      <c r="AO6635" s="18"/>
      <c r="AP6635" s="18"/>
      <c r="AQ6635" s="18"/>
      <c r="AR6635" s="18"/>
    </row>
    <row r="6636" hidden="1" spans="1:44">
      <c r="A6636" s="18"/>
      <c r="B6636" s="75">
        <v>1067</v>
      </c>
      <c r="C6636" s="213">
        <v>45822</v>
      </c>
      <c r="D6636" s="18" t="s">
        <v>1550</v>
      </c>
      <c r="E6636" s="18" t="s">
        <v>1551</v>
      </c>
      <c r="F6636" s="18" t="s">
        <v>54</v>
      </c>
      <c r="G6636" s="18"/>
      <c r="H6636" s="75">
        <v>1.2311</v>
      </c>
      <c r="I6636" s="75"/>
      <c r="J6636" s="18" t="s">
        <v>49</v>
      </c>
      <c r="K6636" s="385">
        <v>610</v>
      </c>
      <c r="L6636" s="385">
        <v>65</v>
      </c>
      <c r="M6636" s="385">
        <v>2196</v>
      </c>
      <c r="N6636" s="75" t="s">
        <v>66</v>
      </c>
      <c r="O6636" s="75" t="s">
        <v>84</v>
      </c>
      <c r="P6636" s="385">
        <v>709</v>
      </c>
      <c r="Q6636" s="75"/>
      <c r="R6636" s="75">
        <f t="shared" si="286"/>
        <v>709</v>
      </c>
      <c r="S6636" s="75">
        <v>100</v>
      </c>
      <c r="T6636" s="75" t="s">
        <v>421</v>
      </c>
      <c r="U6636" s="137"/>
      <c r="V6636" s="193"/>
      <c r="W6636" s="18"/>
      <c r="X6636" s="18"/>
      <c r="Y6636" s="114"/>
      <c r="Z6636" s="18"/>
      <c r="AA6636" s="18"/>
      <c r="AB6636" s="18"/>
      <c r="AC6636" s="137"/>
      <c r="AD6636" s="77"/>
      <c r="AE6636" s="18" t="s">
        <v>48</v>
      </c>
      <c r="AF6636" s="18"/>
      <c r="AG6636" s="18"/>
      <c r="AH6636" s="18"/>
      <c r="AI6636" s="18"/>
      <c r="AJ6636" s="18"/>
      <c r="AK6636" s="18"/>
      <c r="AL6636" s="18"/>
      <c r="AM6636" s="18"/>
      <c r="AN6636" s="18"/>
      <c r="AO6636" s="18"/>
      <c r="AP6636" s="18"/>
      <c r="AQ6636" s="18"/>
      <c r="AR6636" s="18"/>
    </row>
    <row r="6637" hidden="1" spans="1:44">
      <c r="A6637" s="18"/>
      <c r="B6637" s="75">
        <v>1067</v>
      </c>
      <c r="C6637" s="213">
        <v>45822</v>
      </c>
      <c r="D6637" s="18" t="s">
        <v>1550</v>
      </c>
      <c r="E6637" s="18" t="s">
        <v>1551</v>
      </c>
      <c r="F6637" s="18" t="s">
        <v>54</v>
      </c>
      <c r="G6637" s="18"/>
      <c r="H6637" s="75">
        <v>1.2311</v>
      </c>
      <c r="I6637" s="75"/>
      <c r="J6637" s="18" t="s">
        <v>49</v>
      </c>
      <c r="K6637" s="385">
        <v>610</v>
      </c>
      <c r="L6637" s="385">
        <v>65</v>
      </c>
      <c r="M6637" s="385">
        <v>2200</v>
      </c>
      <c r="N6637" s="75" t="s">
        <v>66</v>
      </c>
      <c r="O6637" s="75" t="s">
        <v>84</v>
      </c>
      <c r="P6637" s="385">
        <v>712</v>
      </c>
      <c r="Q6637" s="75"/>
      <c r="R6637" s="75">
        <f t="shared" si="286"/>
        <v>712</v>
      </c>
      <c r="S6637" s="75">
        <v>100</v>
      </c>
      <c r="T6637" s="75" t="s">
        <v>421</v>
      </c>
      <c r="U6637" s="137"/>
      <c r="V6637" s="193"/>
      <c r="W6637" s="18"/>
      <c r="X6637" s="18"/>
      <c r="Y6637" s="114"/>
      <c r="Z6637" s="18"/>
      <c r="AA6637" s="18"/>
      <c r="AB6637" s="18"/>
      <c r="AC6637" s="137"/>
      <c r="AD6637" s="77"/>
      <c r="AE6637" s="18" t="s">
        <v>48</v>
      </c>
      <c r="AF6637" s="18"/>
      <c r="AG6637" s="18"/>
      <c r="AH6637" s="18"/>
      <c r="AI6637" s="18"/>
      <c r="AJ6637" s="18"/>
      <c r="AK6637" s="18"/>
      <c r="AL6637" s="18"/>
      <c r="AM6637" s="18"/>
      <c r="AN6637" s="18"/>
      <c r="AO6637" s="18"/>
      <c r="AP6637" s="18"/>
      <c r="AQ6637" s="18"/>
      <c r="AR6637" s="18"/>
    </row>
    <row r="6638" hidden="1" spans="1:44">
      <c r="A6638" s="18"/>
      <c r="B6638" s="75">
        <v>1067</v>
      </c>
      <c r="C6638" s="213">
        <v>45822</v>
      </c>
      <c r="D6638" s="18" t="s">
        <v>1550</v>
      </c>
      <c r="E6638" s="18" t="s">
        <v>1551</v>
      </c>
      <c r="F6638" s="18" t="s">
        <v>54</v>
      </c>
      <c r="G6638" s="18"/>
      <c r="H6638" s="75">
        <v>1.2311</v>
      </c>
      <c r="I6638" s="75"/>
      <c r="J6638" s="18" t="s">
        <v>49</v>
      </c>
      <c r="K6638" s="385">
        <v>610</v>
      </c>
      <c r="L6638" s="385">
        <v>65</v>
      </c>
      <c r="M6638" s="385">
        <v>2197</v>
      </c>
      <c r="N6638" s="75" t="s">
        <v>66</v>
      </c>
      <c r="O6638" s="75" t="s">
        <v>84</v>
      </c>
      <c r="P6638" s="385">
        <v>711</v>
      </c>
      <c r="Q6638" s="75"/>
      <c r="R6638" s="75">
        <f t="shared" si="286"/>
        <v>711</v>
      </c>
      <c r="S6638" s="75">
        <v>100</v>
      </c>
      <c r="T6638" s="75" t="s">
        <v>421</v>
      </c>
      <c r="U6638" s="137"/>
      <c r="V6638" s="193"/>
      <c r="W6638" s="18"/>
      <c r="X6638" s="18"/>
      <c r="Y6638" s="114"/>
      <c r="Z6638" s="18"/>
      <c r="AA6638" s="18"/>
      <c r="AB6638" s="18"/>
      <c r="AC6638" s="137"/>
      <c r="AD6638" s="77"/>
      <c r="AE6638" s="18" t="s">
        <v>48</v>
      </c>
      <c r="AF6638" s="18"/>
      <c r="AG6638" s="18"/>
      <c r="AH6638" s="18"/>
      <c r="AI6638" s="18"/>
      <c r="AJ6638" s="18"/>
      <c r="AK6638" s="18"/>
      <c r="AL6638" s="18"/>
      <c r="AM6638" s="18"/>
      <c r="AN6638" s="18"/>
      <c r="AO6638" s="18"/>
      <c r="AP6638" s="18"/>
      <c r="AQ6638" s="18"/>
      <c r="AR6638" s="18"/>
    </row>
    <row r="6639" hidden="1" spans="1:44">
      <c r="A6639" s="18"/>
      <c r="B6639" s="75">
        <v>1067</v>
      </c>
      <c r="C6639" s="213">
        <v>45822</v>
      </c>
      <c r="D6639" s="18" t="s">
        <v>1550</v>
      </c>
      <c r="E6639" s="18" t="s">
        <v>1551</v>
      </c>
      <c r="F6639" s="18" t="s">
        <v>54</v>
      </c>
      <c r="G6639" s="18"/>
      <c r="H6639" s="75">
        <v>1.2311</v>
      </c>
      <c r="I6639" s="75"/>
      <c r="J6639" s="18" t="s">
        <v>49</v>
      </c>
      <c r="K6639" s="385">
        <v>610</v>
      </c>
      <c r="L6639" s="385">
        <v>65</v>
      </c>
      <c r="M6639" s="385">
        <v>2200</v>
      </c>
      <c r="N6639" s="75" t="s">
        <v>66</v>
      </c>
      <c r="O6639" s="75" t="s">
        <v>84</v>
      </c>
      <c r="P6639" s="385">
        <v>711</v>
      </c>
      <c r="Q6639" s="75"/>
      <c r="R6639" s="75">
        <f t="shared" si="286"/>
        <v>711</v>
      </c>
      <c r="S6639" s="75">
        <v>100</v>
      </c>
      <c r="T6639" s="75" t="s">
        <v>421</v>
      </c>
      <c r="U6639" s="137"/>
      <c r="V6639" s="193"/>
      <c r="W6639" s="18"/>
      <c r="X6639" s="18"/>
      <c r="Y6639" s="114"/>
      <c r="Z6639" s="18"/>
      <c r="AA6639" s="18"/>
      <c r="AB6639" s="18"/>
      <c r="AC6639" s="137"/>
      <c r="AD6639" s="77"/>
      <c r="AE6639" s="18" t="s">
        <v>48</v>
      </c>
      <c r="AF6639" s="18"/>
      <c r="AG6639" s="18"/>
      <c r="AH6639" s="18"/>
      <c r="AI6639" s="18"/>
      <c r="AJ6639" s="18"/>
      <c r="AK6639" s="18"/>
      <c r="AL6639" s="18"/>
      <c r="AM6639" s="18"/>
      <c r="AN6639" s="18"/>
      <c r="AO6639" s="18"/>
      <c r="AP6639" s="18"/>
      <c r="AQ6639" s="18"/>
      <c r="AR6639" s="18"/>
    </row>
    <row r="6640" hidden="1" spans="1:44">
      <c r="A6640" s="18"/>
      <c r="B6640" s="75">
        <v>1067</v>
      </c>
      <c r="C6640" s="213">
        <v>45822</v>
      </c>
      <c r="D6640" s="18" t="s">
        <v>1550</v>
      </c>
      <c r="E6640" s="18" t="s">
        <v>1551</v>
      </c>
      <c r="F6640" s="18" t="s">
        <v>54</v>
      </c>
      <c r="G6640" s="18"/>
      <c r="H6640" s="75">
        <v>1.2311</v>
      </c>
      <c r="I6640" s="75"/>
      <c r="J6640" s="18" t="s">
        <v>49</v>
      </c>
      <c r="K6640" s="385">
        <v>710</v>
      </c>
      <c r="L6640" s="385">
        <v>65</v>
      </c>
      <c r="M6640" s="385">
        <v>2185</v>
      </c>
      <c r="N6640" s="75" t="s">
        <v>66</v>
      </c>
      <c r="O6640" s="75" t="s">
        <v>84</v>
      </c>
      <c r="P6640" s="385">
        <v>818</v>
      </c>
      <c r="Q6640" s="75"/>
      <c r="R6640" s="75">
        <f t="shared" si="286"/>
        <v>818</v>
      </c>
      <c r="S6640" s="75">
        <v>100</v>
      </c>
      <c r="T6640" s="75" t="s">
        <v>421</v>
      </c>
      <c r="U6640" s="137"/>
      <c r="V6640" s="193"/>
      <c r="W6640" s="18"/>
      <c r="X6640" s="18"/>
      <c r="Y6640" s="114"/>
      <c r="Z6640" s="18"/>
      <c r="AA6640" s="18"/>
      <c r="AB6640" s="18"/>
      <c r="AC6640" s="137"/>
      <c r="AD6640" s="77"/>
      <c r="AE6640" s="18" t="s">
        <v>48</v>
      </c>
      <c r="AF6640" s="18"/>
      <c r="AG6640" s="18"/>
      <c r="AH6640" s="18"/>
      <c r="AI6640" s="18"/>
      <c r="AJ6640" s="18"/>
      <c r="AK6640" s="18"/>
      <c r="AL6640" s="18"/>
      <c r="AM6640" s="18"/>
      <c r="AN6640" s="18"/>
      <c r="AO6640" s="18"/>
      <c r="AP6640" s="18"/>
      <c r="AQ6640" s="18"/>
      <c r="AR6640" s="18"/>
    </row>
    <row r="6641" hidden="1" spans="1:44">
      <c r="A6641" s="18"/>
      <c r="B6641" s="75">
        <v>1067</v>
      </c>
      <c r="C6641" s="213">
        <v>45822</v>
      </c>
      <c r="D6641" s="18" t="s">
        <v>1550</v>
      </c>
      <c r="E6641" s="18" t="s">
        <v>1551</v>
      </c>
      <c r="F6641" s="18" t="s">
        <v>54</v>
      </c>
      <c r="G6641" s="18"/>
      <c r="H6641" s="75">
        <v>1.2311</v>
      </c>
      <c r="I6641" s="75"/>
      <c r="J6641" s="18" t="s">
        <v>49</v>
      </c>
      <c r="K6641" s="385">
        <v>710</v>
      </c>
      <c r="L6641" s="385">
        <v>65</v>
      </c>
      <c r="M6641" s="385">
        <v>2183</v>
      </c>
      <c r="N6641" s="75" t="s">
        <v>66</v>
      </c>
      <c r="O6641" s="75" t="s">
        <v>84</v>
      </c>
      <c r="P6641" s="385">
        <v>819</v>
      </c>
      <c r="Q6641" s="75"/>
      <c r="R6641" s="75">
        <f t="shared" si="286"/>
        <v>819</v>
      </c>
      <c r="S6641" s="75">
        <v>100</v>
      </c>
      <c r="T6641" s="75" t="s">
        <v>421</v>
      </c>
      <c r="U6641" s="137"/>
      <c r="V6641" s="193"/>
      <c r="W6641" s="18"/>
      <c r="X6641" s="18"/>
      <c r="Y6641" s="114"/>
      <c r="Z6641" s="18"/>
      <c r="AA6641" s="18"/>
      <c r="AB6641" s="18"/>
      <c r="AC6641" s="137"/>
      <c r="AD6641" s="77"/>
      <c r="AE6641" s="18" t="s">
        <v>48</v>
      </c>
      <c r="AF6641" s="18"/>
      <c r="AG6641" s="18"/>
      <c r="AH6641" s="18"/>
      <c r="AI6641" s="18"/>
      <c r="AJ6641" s="18"/>
      <c r="AK6641" s="18"/>
      <c r="AL6641" s="18"/>
      <c r="AM6641" s="18"/>
      <c r="AN6641" s="18"/>
      <c r="AO6641" s="18"/>
      <c r="AP6641" s="18"/>
      <c r="AQ6641" s="18"/>
      <c r="AR6641" s="18"/>
    </row>
    <row r="6642" hidden="1" spans="1:44">
      <c r="A6642" s="18"/>
      <c r="B6642" s="75">
        <v>1067</v>
      </c>
      <c r="C6642" s="213">
        <v>45822</v>
      </c>
      <c r="D6642" s="18" t="s">
        <v>1550</v>
      </c>
      <c r="E6642" s="18" t="s">
        <v>1551</v>
      </c>
      <c r="F6642" s="18" t="s">
        <v>54</v>
      </c>
      <c r="G6642" s="18"/>
      <c r="H6642" s="75">
        <v>1.2311</v>
      </c>
      <c r="I6642" s="75"/>
      <c r="J6642" s="18" t="s">
        <v>49</v>
      </c>
      <c r="K6642" s="385">
        <v>710</v>
      </c>
      <c r="L6642" s="385">
        <v>65</v>
      </c>
      <c r="M6642" s="385">
        <v>2193</v>
      </c>
      <c r="N6642" s="75" t="s">
        <v>66</v>
      </c>
      <c r="O6642" s="75" t="s">
        <v>84</v>
      </c>
      <c r="P6642" s="385">
        <v>822</v>
      </c>
      <c r="Q6642" s="75"/>
      <c r="R6642" s="75">
        <f t="shared" si="286"/>
        <v>822</v>
      </c>
      <c r="S6642" s="75">
        <v>100</v>
      </c>
      <c r="T6642" s="75" t="s">
        <v>421</v>
      </c>
      <c r="U6642" s="137"/>
      <c r="V6642" s="193"/>
      <c r="W6642" s="18"/>
      <c r="X6642" s="18"/>
      <c r="Y6642" s="114"/>
      <c r="Z6642" s="18"/>
      <c r="AA6642" s="18"/>
      <c r="AB6642" s="18"/>
      <c r="AC6642" s="137"/>
      <c r="AD6642" s="77"/>
      <c r="AE6642" s="18" t="s">
        <v>48</v>
      </c>
      <c r="AF6642" s="18"/>
      <c r="AG6642" s="18"/>
      <c r="AH6642" s="18"/>
      <c r="AI6642" s="18"/>
      <c r="AJ6642" s="18"/>
      <c r="AK6642" s="18"/>
      <c r="AL6642" s="18"/>
      <c r="AM6642" s="18"/>
      <c r="AN6642" s="18"/>
      <c r="AO6642" s="18"/>
      <c r="AP6642" s="18"/>
      <c r="AQ6642" s="18"/>
      <c r="AR6642" s="18"/>
    </row>
    <row r="6643" hidden="1" spans="1:44">
      <c r="A6643" s="18"/>
      <c r="B6643" s="75">
        <v>1067</v>
      </c>
      <c r="C6643" s="213">
        <v>45822</v>
      </c>
      <c r="D6643" s="18" t="s">
        <v>1550</v>
      </c>
      <c r="E6643" s="18" t="s">
        <v>1551</v>
      </c>
      <c r="F6643" s="18" t="s">
        <v>54</v>
      </c>
      <c r="G6643" s="18"/>
      <c r="H6643" s="75">
        <v>1.2311</v>
      </c>
      <c r="I6643" s="75"/>
      <c r="J6643" s="18" t="s">
        <v>49</v>
      </c>
      <c r="K6643" s="385">
        <v>710</v>
      </c>
      <c r="L6643" s="385">
        <v>65</v>
      </c>
      <c r="M6643" s="385">
        <v>2185</v>
      </c>
      <c r="N6643" s="75" t="s">
        <v>66</v>
      </c>
      <c r="O6643" s="75" t="s">
        <v>84</v>
      </c>
      <c r="P6643" s="385">
        <v>820</v>
      </c>
      <c r="Q6643" s="75"/>
      <c r="R6643" s="75">
        <f t="shared" si="286"/>
        <v>820</v>
      </c>
      <c r="S6643" s="75">
        <v>100</v>
      </c>
      <c r="T6643" s="75" t="s">
        <v>421</v>
      </c>
      <c r="U6643" s="137"/>
      <c r="V6643" s="193"/>
      <c r="W6643" s="18"/>
      <c r="X6643" s="18"/>
      <c r="Y6643" s="114"/>
      <c r="Z6643" s="18"/>
      <c r="AA6643" s="18"/>
      <c r="AB6643" s="18"/>
      <c r="AC6643" s="137"/>
      <c r="AD6643" s="77"/>
      <c r="AE6643" s="18" t="s">
        <v>48</v>
      </c>
      <c r="AF6643" s="18"/>
      <c r="AG6643" s="18"/>
      <c r="AH6643" s="18"/>
      <c r="AI6643" s="18"/>
      <c r="AJ6643" s="18"/>
      <c r="AK6643" s="18"/>
      <c r="AL6643" s="18"/>
      <c r="AM6643" s="18"/>
      <c r="AN6643" s="18"/>
      <c r="AO6643" s="18"/>
      <c r="AP6643" s="18"/>
      <c r="AQ6643" s="18"/>
      <c r="AR6643" s="18"/>
    </row>
    <row r="6644" hidden="1" spans="1:44">
      <c r="A6644" s="18"/>
      <c r="B6644" s="75">
        <v>1067</v>
      </c>
      <c r="C6644" s="213">
        <v>45822</v>
      </c>
      <c r="D6644" s="18" t="s">
        <v>1550</v>
      </c>
      <c r="E6644" s="18" t="s">
        <v>1551</v>
      </c>
      <c r="F6644" s="18" t="s">
        <v>54</v>
      </c>
      <c r="G6644" s="18"/>
      <c r="H6644" s="75">
        <v>1.2311</v>
      </c>
      <c r="I6644" s="75"/>
      <c r="J6644" s="18" t="s">
        <v>49</v>
      </c>
      <c r="K6644" s="385">
        <v>710</v>
      </c>
      <c r="L6644" s="385">
        <v>65</v>
      </c>
      <c r="M6644" s="385">
        <v>2160</v>
      </c>
      <c r="N6644" s="75" t="s">
        <v>66</v>
      </c>
      <c r="O6644" s="75" t="s">
        <v>84</v>
      </c>
      <c r="P6644" s="385">
        <v>813</v>
      </c>
      <c r="Q6644" s="75"/>
      <c r="R6644" s="75">
        <f t="shared" si="286"/>
        <v>813</v>
      </c>
      <c r="S6644" s="75">
        <v>100</v>
      </c>
      <c r="T6644" s="75" t="s">
        <v>421</v>
      </c>
      <c r="U6644" s="137"/>
      <c r="V6644" s="193"/>
      <c r="W6644" s="18"/>
      <c r="X6644" s="18"/>
      <c r="Y6644" s="114"/>
      <c r="Z6644" s="18"/>
      <c r="AA6644" s="18"/>
      <c r="AB6644" s="18"/>
      <c r="AC6644" s="137"/>
      <c r="AD6644" s="77"/>
      <c r="AE6644" s="18" t="s">
        <v>48</v>
      </c>
      <c r="AF6644" s="18"/>
      <c r="AG6644" s="18"/>
      <c r="AH6644" s="18"/>
      <c r="AI6644" s="18"/>
      <c r="AJ6644" s="18"/>
      <c r="AK6644" s="18"/>
      <c r="AL6644" s="18"/>
      <c r="AM6644" s="18"/>
      <c r="AN6644" s="18"/>
      <c r="AO6644" s="18"/>
      <c r="AP6644" s="18"/>
      <c r="AQ6644" s="18"/>
      <c r="AR6644" s="18"/>
    </row>
    <row r="6645" hidden="1" spans="1:44">
      <c r="A6645" s="18"/>
      <c r="B6645" s="75">
        <v>1067</v>
      </c>
      <c r="C6645" s="213">
        <v>45822</v>
      </c>
      <c r="D6645" s="18" t="s">
        <v>1550</v>
      </c>
      <c r="E6645" s="18" t="s">
        <v>1551</v>
      </c>
      <c r="F6645" s="18" t="s">
        <v>54</v>
      </c>
      <c r="G6645" s="18"/>
      <c r="H6645" s="75">
        <v>1.2311</v>
      </c>
      <c r="I6645" s="75"/>
      <c r="J6645" s="18" t="s">
        <v>49</v>
      </c>
      <c r="K6645" s="385">
        <v>710</v>
      </c>
      <c r="L6645" s="385">
        <v>71</v>
      </c>
      <c r="M6645" s="385">
        <v>2205</v>
      </c>
      <c r="N6645" s="75" t="s">
        <v>66</v>
      </c>
      <c r="O6645" s="75" t="s">
        <v>84</v>
      </c>
      <c r="P6645" s="385">
        <v>885</v>
      </c>
      <c r="Q6645" s="75"/>
      <c r="R6645" s="75">
        <f t="shared" si="286"/>
        <v>885</v>
      </c>
      <c r="S6645" s="75">
        <v>100</v>
      </c>
      <c r="T6645" s="75" t="s">
        <v>421</v>
      </c>
      <c r="U6645" s="137"/>
      <c r="V6645" s="193"/>
      <c r="W6645" s="18"/>
      <c r="X6645" s="18"/>
      <c r="Y6645" s="114"/>
      <c r="Z6645" s="18"/>
      <c r="AA6645" s="18"/>
      <c r="AB6645" s="18"/>
      <c r="AC6645" s="137"/>
      <c r="AD6645" s="77"/>
      <c r="AE6645" s="18" t="s">
        <v>48</v>
      </c>
      <c r="AF6645" s="18"/>
      <c r="AG6645" s="18"/>
      <c r="AH6645" s="18"/>
      <c r="AI6645" s="18"/>
      <c r="AJ6645" s="18"/>
      <c r="AK6645" s="18"/>
      <c r="AL6645" s="18"/>
      <c r="AM6645" s="18"/>
      <c r="AN6645" s="18"/>
      <c r="AO6645" s="18"/>
      <c r="AP6645" s="18"/>
      <c r="AQ6645" s="18"/>
      <c r="AR6645" s="18"/>
    </row>
    <row r="6646" hidden="1" spans="1:44">
      <c r="A6646" s="18"/>
      <c r="B6646" s="75">
        <v>1067</v>
      </c>
      <c r="C6646" s="213">
        <v>45822</v>
      </c>
      <c r="D6646" s="18" t="s">
        <v>1550</v>
      </c>
      <c r="E6646" s="18" t="s">
        <v>1551</v>
      </c>
      <c r="F6646" s="18" t="s">
        <v>54</v>
      </c>
      <c r="G6646" s="18"/>
      <c r="H6646" s="75">
        <v>1.2311</v>
      </c>
      <c r="I6646" s="75"/>
      <c r="J6646" s="18" t="s">
        <v>49</v>
      </c>
      <c r="K6646" s="385">
        <v>710</v>
      </c>
      <c r="L6646" s="385">
        <v>71</v>
      </c>
      <c r="M6646" s="385">
        <v>2200</v>
      </c>
      <c r="N6646" s="75" t="s">
        <v>66</v>
      </c>
      <c r="O6646" s="75" t="s">
        <v>84</v>
      </c>
      <c r="P6646" s="385">
        <v>881</v>
      </c>
      <c r="Q6646" s="75"/>
      <c r="R6646" s="75">
        <f t="shared" si="286"/>
        <v>881</v>
      </c>
      <c r="S6646" s="75">
        <v>100</v>
      </c>
      <c r="T6646" s="75" t="s">
        <v>421</v>
      </c>
      <c r="U6646" s="137"/>
      <c r="V6646" s="193"/>
      <c r="W6646" s="18"/>
      <c r="X6646" s="18"/>
      <c r="Y6646" s="114"/>
      <c r="Z6646" s="18"/>
      <c r="AA6646" s="18"/>
      <c r="AB6646" s="18"/>
      <c r="AC6646" s="137"/>
      <c r="AD6646" s="77"/>
      <c r="AE6646" s="18" t="s">
        <v>48</v>
      </c>
      <c r="AF6646" s="18"/>
      <c r="AG6646" s="18"/>
      <c r="AH6646" s="18"/>
      <c r="AI6646" s="18"/>
      <c r="AJ6646" s="18"/>
      <c r="AK6646" s="18"/>
      <c r="AL6646" s="18"/>
      <c r="AM6646" s="18"/>
      <c r="AN6646" s="18"/>
      <c r="AO6646" s="18"/>
      <c r="AP6646" s="18"/>
      <c r="AQ6646" s="18"/>
      <c r="AR6646" s="18"/>
    </row>
    <row r="6647" hidden="1" spans="1:44">
      <c r="A6647" s="18"/>
      <c r="B6647" s="75">
        <v>1067</v>
      </c>
      <c r="C6647" s="213">
        <v>45822</v>
      </c>
      <c r="D6647" s="18" t="s">
        <v>1550</v>
      </c>
      <c r="E6647" s="18" t="s">
        <v>1551</v>
      </c>
      <c r="F6647" s="18" t="s">
        <v>54</v>
      </c>
      <c r="G6647" s="18"/>
      <c r="H6647" s="75">
        <v>1.2311</v>
      </c>
      <c r="I6647" s="75"/>
      <c r="J6647" s="18" t="s">
        <v>49</v>
      </c>
      <c r="K6647" s="385">
        <v>710</v>
      </c>
      <c r="L6647" s="385">
        <v>71</v>
      </c>
      <c r="M6647" s="385">
        <v>2202</v>
      </c>
      <c r="N6647" s="75" t="s">
        <v>66</v>
      </c>
      <c r="O6647" s="75" t="s">
        <v>84</v>
      </c>
      <c r="P6647" s="385">
        <v>882</v>
      </c>
      <c r="Q6647" s="75"/>
      <c r="R6647" s="75">
        <f t="shared" si="286"/>
        <v>882</v>
      </c>
      <c r="S6647" s="75">
        <v>100</v>
      </c>
      <c r="T6647" s="75" t="s">
        <v>421</v>
      </c>
      <c r="U6647" s="137"/>
      <c r="V6647" s="193"/>
      <c r="W6647" s="18"/>
      <c r="X6647" s="18"/>
      <c r="Y6647" s="114"/>
      <c r="Z6647" s="18"/>
      <c r="AA6647" s="18"/>
      <c r="AB6647" s="18"/>
      <c r="AC6647" s="137"/>
      <c r="AD6647" s="77"/>
      <c r="AE6647" s="18" t="s">
        <v>48</v>
      </c>
      <c r="AF6647" s="18"/>
      <c r="AG6647" s="18"/>
      <c r="AH6647" s="18"/>
      <c r="AI6647" s="18"/>
      <c r="AJ6647" s="18"/>
      <c r="AK6647" s="18"/>
      <c r="AL6647" s="18"/>
      <c r="AM6647" s="18"/>
      <c r="AN6647" s="18"/>
      <c r="AO6647" s="18"/>
      <c r="AP6647" s="18"/>
      <c r="AQ6647" s="18"/>
      <c r="AR6647" s="18"/>
    </row>
    <row r="6648" hidden="1" spans="1:44">
      <c r="A6648" s="18"/>
      <c r="B6648" s="75">
        <v>1067</v>
      </c>
      <c r="C6648" s="213">
        <v>45822</v>
      </c>
      <c r="D6648" s="18" t="s">
        <v>1550</v>
      </c>
      <c r="E6648" s="18" t="s">
        <v>1551</v>
      </c>
      <c r="F6648" s="18" t="s">
        <v>54</v>
      </c>
      <c r="G6648" s="18"/>
      <c r="H6648" s="75">
        <v>1.2311</v>
      </c>
      <c r="I6648" s="75"/>
      <c r="J6648" s="18" t="s">
        <v>49</v>
      </c>
      <c r="K6648" s="385">
        <v>710</v>
      </c>
      <c r="L6648" s="385">
        <v>71</v>
      </c>
      <c r="M6648" s="385">
        <v>2210</v>
      </c>
      <c r="N6648" s="75" t="s">
        <v>66</v>
      </c>
      <c r="O6648" s="75" t="s">
        <v>84</v>
      </c>
      <c r="P6648" s="385">
        <v>886</v>
      </c>
      <c r="Q6648" s="75"/>
      <c r="R6648" s="75">
        <f t="shared" si="286"/>
        <v>886</v>
      </c>
      <c r="S6648" s="75">
        <v>100</v>
      </c>
      <c r="T6648" s="75" t="s">
        <v>421</v>
      </c>
      <c r="U6648" s="137"/>
      <c r="V6648" s="193"/>
      <c r="W6648" s="18"/>
      <c r="X6648" s="18"/>
      <c r="Y6648" s="114"/>
      <c r="Z6648" s="18"/>
      <c r="AA6648" s="18"/>
      <c r="AB6648" s="18"/>
      <c r="AC6648" s="137"/>
      <c r="AD6648" s="77"/>
      <c r="AE6648" s="18" t="s">
        <v>48</v>
      </c>
      <c r="AF6648" s="18"/>
      <c r="AG6648" s="18"/>
      <c r="AH6648" s="18"/>
      <c r="AI6648" s="18"/>
      <c r="AJ6648" s="18"/>
      <c r="AK6648" s="18"/>
      <c r="AL6648" s="18"/>
      <c r="AM6648" s="18"/>
      <c r="AN6648" s="18"/>
      <c r="AO6648" s="18"/>
      <c r="AP6648" s="18"/>
      <c r="AQ6648" s="18"/>
      <c r="AR6648" s="18"/>
    </row>
    <row r="6649" hidden="1" spans="1:44">
      <c r="A6649" s="18"/>
      <c r="B6649" s="75">
        <v>1067</v>
      </c>
      <c r="C6649" s="213">
        <v>45822</v>
      </c>
      <c r="D6649" s="18" t="s">
        <v>1550</v>
      </c>
      <c r="E6649" s="18" t="s">
        <v>1551</v>
      </c>
      <c r="F6649" s="18" t="s">
        <v>54</v>
      </c>
      <c r="G6649" s="18"/>
      <c r="H6649" s="75">
        <v>1.2311</v>
      </c>
      <c r="I6649" s="75"/>
      <c r="J6649" s="18" t="s">
        <v>49</v>
      </c>
      <c r="K6649" s="385">
        <v>660</v>
      </c>
      <c r="L6649" s="385">
        <v>81</v>
      </c>
      <c r="M6649" s="385">
        <v>2195</v>
      </c>
      <c r="N6649" s="75" t="s">
        <v>66</v>
      </c>
      <c r="O6649" s="75" t="s">
        <v>84</v>
      </c>
      <c r="P6649" s="385">
        <v>940</v>
      </c>
      <c r="Q6649" s="75"/>
      <c r="R6649" s="75">
        <f t="shared" si="286"/>
        <v>940</v>
      </c>
      <c r="S6649" s="75">
        <v>100</v>
      </c>
      <c r="T6649" s="75" t="s">
        <v>421</v>
      </c>
      <c r="U6649" s="137"/>
      <c r="V6649" s="193"/>
      <c r="W6649" s="18"/>
      <c r="X6649" s="18"/>
      <c r="Y6649" s="114"/>
      <c r="Z6649" s="18"/>
      <c r="AA6649" s="18"/>
      <c r="AB6649" s="18"/>
      <c r="AC6649" s="137"/>
      <c r="AD6649" s="77"/>
      <c r="AE6649" s="18" t="s">
        <v>48</v>
      </c>
      <c r="AF6649" s="18"/>
      <c r="AG6649" s="18"/>
      <c r="AH6649" s="18"/>
      <c r="AI6649" s="18"/>
      <c r="AJ6649" s="18"/>
      <c r="AK6649" s="18"/>
      <c r="AL6649" s="18"/>
      <c r="AM6649" s="18"/>
      <c r="AN6649" s="18"/>
      <c r="AO6649" s="18"/>
      <c r="AP6649" s="18"/>
      <c r="AQ6649" s="18"/>
      <c r="AR6649" s="18"/>
    </row>
    <row r="6650" hidden="1" spans="1:44">
      <c r="A6650" s="18"/>
      <c r="B6650" s="75">
        <v>1067</v>
      </c>
      <c r="C6650" s="213">
        <v>45822</v>
      </c>
      <c r="D6650" s="18" t="s">
        <v>1550</v>
      </c>
      <c r="E6650" s="18" t="s">
        <v>1551</v>
      </c>
      <c r="F6650" s="18" t="s">
        <v>54</v>
      </c>
      <c r="G6650" s="18"/>
      <c r="H6650" s="75">
        <v>1.2311</v>
      </c>
      <c r="I6650" s="75"/>
      <c r="J6650" s="18" t="s">
        <v>49</v>
      </c>
      <c r="K6650" s="385">
        <v>660</v>
      </c>
      <c r="L6650" s="385">
        <v>81</v>
      </c>
      <c r="M6650" s="385">
        <v>2205</v>
      </c>
      <c r="N6650" s="75" t="s">
        <v>66</v>
      </c>
      <c r="O6650" s="75" t="s">
        <v>84</v>
      </c>
      <c r="P6650" s="385">
        <v>943</v>
      </c>
      <c r="Q6650" s="75"/>
      <c r="R6650" s="75">
        <f t="shared" si="286"/>
        <v>943</v>
      </c>
      <c r="S6650" s="75">
        <v>100</v>
      </c>
      <c r="T6650" s="75" t="s">
        <v>421</v>
      </c>
      <c r="U6650" s="137"/>
      <c r="V6650" s="193"/>
      <c r="W6650" s="18"/>
      <c r="X6650" s="18"/>
      <c r="Y6650" s="114"/>
      <c r="Z6650" s="18"/>
      <c r="AA6650" s="18"/>
      <c r="AB6650" s="18"/>
      <c r="AC6650" s="137"/>
      <c r="AD6650" s="77"/>
      <c r="AE6650" s="18" t="s">
        <v>48</v>
      </c>
      <c r="AF6650" s="18"/>
      <c r="AG6650" s="18"/>
      <c r="AH6650" s="18"/>
      <c r="AI6650" s="18"/>
      <c r="AJ6650" s="18"/>
      <c r="AK6650" s="18"/>
      <c r="AL6650" s="18"/>
      <c r="AM6650" s="18"/>
      <c r="AN6650" s="18"/>
      <c r="AO6650" s="18"/>
      <c r="AP6650" s="18"/>
      <c r="AQ6650" s="18"/>
      <c r="AR6650" s="18"/>
    </row>
    <row r="6651" hidden="1" spans="1:44">
      <c r="A6651" s="18"/>
      <c r="B6651" s="75">
        <v>1067</v>
      </c>
      <c r="C6651" s="213">
        <v>45822</v>
      </c>
      <c r="D6651" s="18" t="s">
        <v>1550</v>
      </c>
      <c r="E6651" s="18" t="s">
        <v>1551</v>
      </c>
      <c r="F6651" s="18" t="s">
        <v>54</v>
      </c>
      <c r="G6651" s="18"/>
      <c r="H6651" s="75">
        <v>1.2311</v>
      </c>
      <c r="I6651" s="75"/>
      <c r="J6651" s="18" t="s">
        <v>49</v>
      </c>
      <c r="K6651" s="385">
        <v>710</v>
      </c>
      <c r="L6651" s="385">
        <v>81</v>
      </c>
      <c r="M6651" s="385">
        <v>2198</v>
      </c>
      <c r="N6651" s="75" t="s">
        <v>66</v>
      </c>
      <c r="O6651" s="75" t="s">
        <v>84</v>
      </c>
      <c r="P6651" s="385">
        <v>1009</v>
      </c>
      <c r="Q6651" s="75"/>
      <c r="R6651" s="75">
        <f t="shared" si="286"/>
        <v>1009</v>
      </c>
      <c r="S6651" s="75">
        <v>100</v>
      </c>
      <c r="T6651" s="75" t="s">
        <v>421</v>
      </c>
      <c r="U6651" s="137"/>
      <c r="V6651" s="193"/>
      <c r="W6651" s="18"/>
      <c r="X6651" s="18"/>
      <c r="Y6651" s="114"/>
      <c r="Z6651" s="18"/>
      <c r="AA6651" s="18"/>
      <c r="AB6651" s="18"/>
      <c r="AC6651" s="137"/>
      <c r="AD6651" s="77"/>
      <c r="AE6651" s="18" t="s">
        <v>48</v>
      </c>
      <c r="AF6651" s="18"/>
      <c r="AG6651" s="18"/>
      <c r="AH6651" s="18"/>
      <c r="AI6651" s="18"/>
      <c r="AJ6651" s="18"/>
      <c r="AK6651" s="18"/>
      <c r="AL6651" s="18"/>
      <c r="AM6651" s="18"/>
      <c r="AN6651" s="18"/>
      <c r="AO6651" s="18"/>
      <c r="AP6651" s="18"/>
      <c r="AQ6651" s="18"/>
      <c r="AR6651" s="18"/>
    </row>
    <row r="6652" hidden="1" spans="1:44">
      <c r="A6652" s="18"/>
      <c r="B6652" s="75">
        <v>1067</v>
      </c>
      <c r="C6652" s="213">
        <v>45822</v>
      </c>
      <c r="D6652" s="18" t="s">
        <v>1550</v>
      </c>
      <c r="E6652" s="18" t="s">
        <v>1551</v>
      </c>
      <c r="F6652" s="18" t="s">
        <v>54</v>
      </c>
      <c r="G6652" s="18"/>
      <c r="H6652" s="75">
        <v>1.2311</v>
      </c>
      <c r="I6652" s="75"/>
      <c r="J6652" s="18" t="s">
        <v>49</v>
      </c>
      <c r="K6652" s="385">
        <v>710</v>
      </c>
      <c r="L6652" s="385">
        <v>81</v>
      </c>
      <c r="M6652" s="385">
        <v>2202</v>
      </c>
      <c r="N6652" s="75" t="s">
        <v>66</v>
      </c>
      <c r="O6652" s="75" t="s">
        <v>84</v>
      </c>
      <c r="P6652" s="385">
        <v>1009</v>
      </c>
      <c r="Q6652" s="75"/>
      <c r="R6652" s="75">
        <f t="shared" si="286"/>
        <v>1009</v>
      </c>
      <c r="S6652" s="75">
        <v>100</v>
      </c>
      <c r="T6652" s="75" t="s">
        <v>421</v>
      </c>
      <c r="U6652" s="137"/>
      <c r="V6652" s="193"/>
      <c r="W6652" s="18"/>
      <c r="X6652" s="18"/>
      <c r="Y6652" s="114"/>
      <c r="Z6652" s="18"/>
      <c r="AA6652" s="18"/>
      <c r="AB6652" s="18"/>
      <c r="AC6652" s="137"/>
      <c r="AD6652" s="77"/>
      <c r="AE6652" s="18" t="s">
        <v>48</v>
      </c>
      <c r="AF6652" s="18"/>
      <c r="AG6652" s="18"/>
      <c r="AH6652" s="18"/>
      <c r="AI6652" s="18"/>
      <c r="AJ6652" s="18"/>
      <c r="AK6652" s="18"/>
      <c r="AL6652" s="18"/>
      <c r="AM6652" s="18"/>
      <c r="AN6652" s="18"/>
      <c r="AO6652" s="18"/>
      <c r="AP6652" s="18"/>
      <c r="AQ6652" s="18"/>
      <c r="AR6652" s="18"/>
    </row>
    <row r="6653" hidden="1" spans="1:44">
      <c r="A6653" s="18"/>
      <c r="B6653" s="75">
        <v>1067</v>
      </c>
      <c r="C6653" s="213">
        <v>45822</v>
      </c>
      <c r="D6653" s="18" t="s">
        <v>1550</v>
      </c>
      <c r="E6653" s="18" t="s">
        <v>1551</v>
      </c>
      <c r="F6653" s="18" t="s">
        <v>54</v>
      </c>
      <c r="G6653" s="18"/>
      <c r="H6653" s="75">
        <v>1.2311</v>
      </c>
      <c r="I6653" s="75"/>
      <c r="J6653" s="18" t="s">
        <v>49</v>
      </c>
      <c r="K6653" s="385">
        <v>710</v>
      </c>
      <c r="L6653" s="385">
        <v>81</v>
      </c>
      <c r="M6653" s="385">
        <v>2200</v>
      </c>
      <c r="N6653" s="75" t="s">
        <v>66</v>
      </c>
      <c r="O6653" s="75" t="s">
        <v>84</v>
      </c>
      <c r="P6653" s="385">
        <v>1008</v>
      </c>
      <c r="Q6653" s="75"/>
      <c r="R6653" s="75">
        <f t="shared" si="286"/>
        <v>1008</v>
      </c>
      <c r="S6653" s="75">
        <v>100</v>
      </c>
      <c r="T6653" s="75" t="s">
        <v>421</v>
      </c>
      <c r="U6653" s="137"/>
      <c r="V6653" s="193"/>
      <c r="W6653" s="18"/>
      <c r="X6653" s="18"/>
      <c r="Y6653" s="114"/>
      <c r="Z6653" s="18"/>
      <c r="AA6653" s="18"/>
      <c r="AB6653" s="18"/>
      <c r="AC6653" s="137"/>
      <c r="AD6653" s="77"/>
      <c r="AE6653" s="18" t="s">
        <v>48</v>
      </c>
      <c r="AF6653" s="18"/>
      <c r="AG6653" s="18"/>
      <c r="AH6653" s="18"/>
      <c r="AI6653" s="18"/>
      <c r="AJ6653" s="18"/>
      <c r="AK6653" s="18"/>
      <c r="AL6653" s="18"/>
      <c r="AM6653" s="18"/>
      <c r="AN6653" s="18"/>
      <c r="AO6653" s="18"/>
      <c r="AP6653" s="18"/>
      <c r="AQ6653" s="18"/>
      <c r="AR6653" s="18"/>
    </row>
    <row r="6654" hidden="1" spans="1:44">
      <c r="A6654" s="18"/>
      <c r="B6654" s="75">
        <v>1067</v>
      </c>
      <c r="C6654" s="213">
        <v>45822</v>
      </c>
      <c r="D6654" s="18" t="s">
        <v>1550</v>
      </c>
      <c r="E6654" s="18" t="s">
        <v>1551</v>
      </c>
      <c r="F6654" s="18" t="s">
        <v>54</v>
      </c>
      <c r="G6654" s="18"/>
      <c r="H6654" s="75">
        <v>1.2311</v>
      </c>
      <c r="I6654" s="75"/>
      <c r="J6654" s="18" t="s">
        <v>49</v>
      </c>
      <c r="K6654" s="385">
        <v>710</v>
      </c>
      <c r="L6654" s="385">
        <v>81</v>
      </c>
      <c r="M6654" s="385">
        <v>2208</v>
      </c>
      <c r="N6654" s="75" t="s">
        <v>66</v>
      </c>
      <c r="O6654" s="75" t="s">
        <v>84</v>
      </c>
      <c r="P6654" s="385">
        <v>1014</v>
      </c>
      <c r="Q6654" s="75"/>
      <c r="R6654" s="75">
        <f t="shared" si="286"/>
        <v>1014</v>
      </c>
      <c r="S6654" s="75">
        <v>100</v>
      </c>
      <c r="T6654" s="75" t="s">
        <v>421</v>
      </c>
      <c r="U6654" s="137"/>
      <c r="V6654" s="193"/>
      <c r="W6654" s="18"/>
      <c r="X6654" s="18"/>
      <c r="Y6654" s="114"/>
      <c r="Z6654" s="18"/>
      <c r="AA6654" s="18"/>
      <c r="AB6654" s="18"/>
      <c r="AC6654" s="137"/>
      <c r="AD6654" s="77"/>
      <c r="AE6654" s="18" t="s">
        <v>48</v>
      </c>
      <c r="AF6654" s="18"/>
      <c r="AG6654" s="18"/>
      <c r="AH6654" s="18"/>
      <c r="AI6654" s="18"/>
      <c r="AJ6654" s="18"/>
      <c r="AK6654" s="18"/>
      <c r="AL6654" s="18"/>
      <c r="AM6654" s="18"/>
      <c r="AN6654" s="18"/>
      <c r="AO6654" s="18"/>
      <c r="AP6654" s="18"/>
      <c r="AQ6654" s="18"/>
      <c r="AR6654" s="18"/>
    </row>
    <row r="6655" hidden="1" spans="1:44">
      <c r="A6655" s="18"/>
      <c r="B6655" s="75">
        <v>1067</v>
      </c>
      <c r="C6655" s="213">
        <v>45822</v>
      </c>
      <c r="D6655" s="18" t="s">
        <v>1550</v>
      </c>
      <c r="E6655" s="18" t="s">
        <v>1551</v>
      </c>
      <c r="F6655" s="18" t="s">
        <v>54</v>
      </c>
      <c r="G6655" s="18"/>
      <c r="H6655" s="75">
        <v>1.2311</v>
      </c>
      <c r="I6655" s="75"/>
      <c r="J6655" s="18" t="s">
        <v>49</v>
      </c>
      <c r="K6655" s="385">
        <v>710</v>
      </c>
      <c r="L6655" s="385">
        <v>91</v>
      </c>
      <c r="M6655" s="385">
        <v>2195</v>
      </c>
      <c r="N6655" s="75" t="s">
        <v>66</v>
      </c>
      <c r="O6655" s="75" t="s">
        <v>84</v>
      </c>
      <c r="P6655" s="385">
        <v>1126</v>
      </c>
      <c r="Q6655" s="75"/>
      <c r="R6655" s="75">
        <f t="shared" si="286"/>
        <v>1126</v>
      </c>
      <c r="S6655" s="75">
        <v>100</v>
      </c>
      <c r="T6655" s="75" t="s">
        <v>421</v>
      </c>
      <c r="U6655" s="137"/>
      <c r="V6655" s="193"/>
      <c r="W6655" s="18"/>
      <c r="X6655" s="18"/>
      <c r="Y6655" s="114"/>
      <c r="Z6655" s="18"/>
      <c r="AA6655" s="18"/>
      <c r="AB6655" s="18"/>
      <c r="AC6655" s="137"/>
      <c r="AD6655" s="77"/>
      <c r="AE6655" s="18" t="s">
        <v>48</v>
      </c>
      <c r="AF6655" s="18"/>
      <c r="AG6655" s="18"/>
      <c r="AH6655" s="18"/>
      <c r="AI6655" s="18"/>
      <c r="AJ6655" s="18"/>
      <c r="AK6655" s="18"/>
      <c r="AL6655" s="18"/>
      <c r="AM6655" s="18"/>
      <c r="AN6655" s="18"/>
      <c r="AO6655" s="18"/>
      <c r="AP6655" s="18"/>
      <c r="AQ6655" s="18"/>
      <c r="AR6655" s="18"/>
    </row>
    <row r="6656" hidden="1" spans="1:44">
      <c r="A6656" s="18"/>
      <c r="B6656" s="75">
        <v>1067</v>
      </c>
      <c r="C6656" s="213">
        <v>45822</v>
      </c>
      <c r="D6656" s="18" t="s">
        <v>1550</v>
      </c>
      <c r="E6656" s="18" t="s">
        <v>1551</v>
      </c>
      <c r="F6656" s="18" t="s">
        <v>54</v>
      </c>
      <c r="G6656" s="18"/>
      <c r="H6656" s="75">
        <v>1.2311</v>
      </c>
      <c r="I6656" s="75"/>
      <c r="J6656" s="18" t="s">
        <v>49</v>
      </c>
      <c r="K6656" s="385">
        <v>710</v>
      </c>
      <c r="L6656" s="385">
        <v>91</v>
      </c>
      <c r="M6656" s="385">
        <v>2184</v>
      </c>
      <c r="N6656" s="75" t="s">
        <v>66</v>
      </c>
      <c r="O6656" s="75" t="s">
        <v>84</v>
      </c>
      <c r="P6656" s="385">
        <v>1119</v>
      </c>
      <c r="Q6656" s="75"/>
      <c r="R6656" s="75">
        <f t="shared" si="286"/>
        <v>1119</v>
      </c>
      <c r="S6656" s="75">
        <v>100</v>
      </c>
      <c r="T6656" s="75" t="s">
        <v>421</v>
      </c>
      <c r="U6656" s="137"/>
      <c r="V6656" s="193"/>
      <c r="W6656" s="18"/>
      <c r="X6656" s="18"/>
      <c r="Y6656" s="114"/>
      <c r="Z6656" s="18"/>
      <c r="AA6656" s="18"/>
      <c r="AB6656" s="18"/>
      <c r="AC6656" s="137"/>
      <c r="AD6656" s="77"/>
      <c r="AE6656" s="18" t="s">
        <v>48</v>
      </c>
      <c r="AF6656" s="18"/>
      <c r="AG6656" s="18"/>
      <c r="AH6656" s="18"/>
      <c r="AI6656" s="18"/>
      <c r="AJ6656" s="18"/>
      <c r="AK6656" s="18"/>
      <c r="AL6656" s="18"/>
      <c r="AM6656" s="18"/>
      <c r="AN6656" s="18"/>
      <c r="AO6656" s="18"/>
      <c r="AP6656" s="18"/>
      <c r="AQ6656" s="18"/>
      <c r="AR6656" s="18"/>
    </row>
    <row r="6657" hidden="1" spans="1:44">
      <c r="A6657" s="18"/>
      <c r="B6657" s="75">
        <v>1067</v>
      </c>
      <c r="C6657" s="213">
        <v>45822</v>
      </c>
      <c r="D6657" s="18" t="s">
        <v>1550</v>
      </c>
      <c r="E6657" s="18" t="s">
        <v>1551</v>
      </c>
      <c r="F6657" s="18" t="s">
        <v>54</v>
      </c>
      <c r="G6657" s="18"/>
      <c r="H6657" s="75">
        <v>1.2311</v>
      </c>
      <c r="I6657" s="75"/>
      <c r="J6657" s="18" t="s">
        <v>49</v>
      </c>
      <c r="K6657" s="385">
        <v>710</v>
      </c>
      <c r="L6657" s="385">
        <v>91</v>
      </c>
      <c r="M6657" s="385">
        <v>2184</v>
      </c>
      <c r="N6657" s="75" t="s">
        <v>66</v>
      </c>
      <c r="O6657" s="75" t="s">
        <v>84</v>
      </c>
      <c r="P6657" s="385">
        <v>1121</v>
      </c>
      <c r="Q6657" s="75"/>
      <c r="R6657" s="75">
        <f t="shared" si="286"/>
        <v>1121</v>
      </c>
      <c r="S6657" s="75">
        <v>100</v>
      </c>
      <c r="T6657" s="75" t="s">
        <v>421</v>
      </c>
      <c r="U6657" s="137"/>
      <c r="V6657" s="193"/>
      <c r="W6657" s="18"/>
      <c r="X6657" s="18"/>
      <c r="Y6657" s="114"/>
      <c r="Z6657" s="18"/>
      <c r="AA6657" s="18"/>
      <c r="AB6657" s="18"/>
      <c r="AC6657" s="137"/>
      <c r="AD6657" s="77"/>
      <c r="AE6657" s="18" t="s">
        <v>48</v>
      </c>
      <c r="AF6657" s="18"/>
      <c r="AG6657" s="18"/>
      <c r="AH6657" s="18"/>
      <c r="AI6657" s="18"/>
      <c r="AJ6657" s="18"/>
      <c r="AK6657" s="18"/>
      <c r="AL6657" s="18"/>
      <c r="AM6657" s="18"/>
      <c r="AN6657" s="18"/>
      <c r="AO6657" s="18"/>
      <c r="AP6657" s="18"/>
      <c r="AQ6657" s="18"/>
      <c r="AR6657" s="18"/>
    </row>
    <row r="6658" hidden="1" spans="1:44">
      <c r="A6658" s="18"/>
      <c r="B6658" s="75">
        <v>1067</v>
      </c>
      <c r="C6658" s="213">
        <v>45822</v>
      </c>
      <c r="D6658" s="18" t="s">
        <v>1550</v>
      </c>
      <c r="E6658" s="18" t="s">
        <v>1551</v>
      </c>
      <c r="F6658" s="18" t="s">
        <v>54</v>
      </c>
      <c r="G6658" s="18"/>
      <c r="H6658" s="75">
        <v>1.2311</v>
      </c>
      <c r="I6658" s="75"/>
      <c r="J6658" s="18" t="s">
        <v>49</v>
      </c>
      <c r="K6658" s="385">
        <v>710</v>
      </c>
      <c r="L6658" s="385">
        <v>91</v>
      </c>
      <c r="M6658" s="385">
        <v>2192</v>
      </c>
      <c r="N6658" s="75" t="s">
        <v>66</v>
      </c>
      <c r="O6658" s="75" t="s">
        <v>84</v>
      </c>
      <c r="P6658" s="385">
        <v>1122</v>
      </c>
      <c r="Q6658" s="75"/>
      <c r="R6658" s="75">
        <f t="shared" ref="R6658:R6699" si="287">+P6658-Q6658</f>
        <v>1122</v>
      </c>
      <c r="S6658" s="75">
        <v>100</v>
      </c>
      <c r="T6658" s="75" t="s">
        <v>421</v>
      </c>
      <c r="U6658" s="137"/>
      <c r="V6658" s="193"/>
      <c r="W6658" s="18"/>
      <c r="X6658" s="18"/>
      <c r="Y6658" s="114"/>
      <c r="Z6658" s="18"/>
      <c r="AA6658" s="18"/>
      <c r="AB6658" s="18"/>
      <c r="AC6658" s="137"/>
      <c r="AD6658" s="77"/>
      <c r="AE6658" s="18" t="s">
        <v>48</v>
      </c>
      <c r="AF6658" s="18"/>
      <c r="AG6658" s="18"/>
      <c r="AH6658" s="18"/>
      <c r="AI6658" s="18"/>
      <c r="AJ6658" s="18"/>
      <c r="AK6658" s="18"/>
      <c r="AL6658" s="18"/>
      <c r="AM6658" s="18"/>
      <c r="AN6658" s="18"/>
      <c r="AO6658" s="18"/>
      <c r="AP6658" s="18"/>
      <c r="AQ6658" s="18"/>
      <c r="AR6658" s="18"/>
    </row>
    <row r="6659" hidden="1" spans="1:44">
      <c r="A6659" s="18"/>
      <c r="B6659" s="75">
        <v>1067</v>
      </c>
      <c r="C6659" s="213">
        <v>45822</v>
      </c>
      <c r="D6659" s="18" t="s">
        <v>1550</v>
      </c>
      <c r="E6659" s="18" t="s">
        <v>1551</v>
      </c>
      <c r="F6659" s="18" t="s">
        <v>54</v>
      </c>
      <c r="G6659" s="18"/>
      <c r="H6659" s="75">
        <v>1.2311</v>
      </c>
      <c r="I6659" s="75"/>
      <c r="J6659" s="18" t="s">
        <v>49</v>
      </c>
      <c r="K6659" s="385">
        <v>710</v>
      </c>
      <c r="L6659" s="385">
        <v>101</v>
      </c>
      <c r="M6659" s="385">
        <v>2185</v>
      </c>
      <c r="N6659" s="75" t="s">
        <v>66</v>
      </c>
      <c r="O6659" s="75" t="s">
        <v>84</v>
      </c>
      <c r="P6659" s="385">
        <v>1252</v>
      </c>
      <c r="Q6659" s="75"/>
      <c r="R6659" s="75">
        <f t="shared" si="287"/>
        <v>1252</v>
      </c>
      <c r="S6659" s="75">
        <v>100</v>
      </c>
      <c r="T6659" s="75" t="s">
        <v>421</v>
      </c>
      <c r="U6659" s="137"/>
      <c r="V6659" s="193"/>
      <c r="W6659" s="18"/>
      <c r="X6659" s="18"/>
      <c r="Y6659" s="114"/>
      <c r="Z6659" s="18"/>
      <c r="AA6659" s="18"/>
      <c r="AB6659" s="18"/>
      <c r="AC6659" s="137"/>
      <c r="AD6659" s="77"/>
      <c r="AE6659" s="18" t="s">
        <v>48</v>
      </c>
      <c r="AF6659" s="18"/>
      <c r="AG6659" s="18"/>
      <c r="AH6659" s="18"/>
      <c r="AI6659" s="18"/>
      <c r="AJ6659" s="18"/>
      <c r="AK6659" s="18"/>
      <c r="AL6659" s="18"/>
      <c r="AM6659" s="18"/>
      <c r="AN6659" s="18"/>
      <c r="AO6659" s="18"/>
      <c r="AP6659" s="18"/>
      <c r="AQ6659" s="18"/>
      <c r="AR6659" s="18"/>
    </row>
    <row r="6660" hidden="1" spans="1:44">
      <c r="A6660" s="18"/>
      <c r="B6660" s="75">
        <v>1067</v>
      </c>
      <c r="C6660" s="213">
        <v>45822</v>
      </c>
      <c r="D6660" s="18" t="s">
        <v>1550</v>
      </c>
      <c r="E6660" s="18" t="s">
        <v>1551</v>
      </c>
      <c r="F6660" s="18" t="s">
        <v>54</v>
      </c>
      <c r="G6660" s="18"/>
      <c r="H6660" s="75">
        <v>1.2311</v>
      </c>
      <c r="I6660" s="75"/>
      <c r="J6660" s="18" t="s">
        <v>49</v>
      </c>
      <c r="K6660" s="385">
        <v>710</v>
      </c>
      <c r="L6660" s="385">
        <v>101</v>
      </c>
      <c r="M6660" s="385">
        <v>2188</v>
      </c>
      <c r="N6660" s="75" t="s">
        <v>66</v>
      </c>
      <c r="O6660" s="75" t="s">
        <v>84</v>
      </c>
      <c r="P6660" s="385">
        <v>1253</v>
      </c>
      <c r="Q6660" s="75"/>
      <c r="R6660" s="75">
        <f t="shared" si="287"/>
        <v>1253</v>
      </c>
      <c r="S6660" s="75">
        <v>100</v>
      </c>
      <c r="T6660" s="75" t="s">
        <v>421</v>
      </c>
      <c r="U6660" s="137"/>
      <c r="V6660" s="193"/>
      <c r="W6660" s="18"/>
      <c r="X6660" s="18"/>
      <c r="Y6660" s="114"/>
      <c r="Z6660" s="18"/>
      <c r="AA6660" s="18"/>
      <c r="AB6660" s="18"/>
      <c r="AC6660" s="137"/>
      <c r="AD6660" s="77"/>
      <c r="AE6660" s="18" t="s">
        <v>48</v>
      </c>
      <c r="AF6660" s="18"/>
      <c r="AG6660" s="18"/>
      <c r="AH6660" s="18"/>
      <c r="AI6660" s="18"/>
      <c r="AJ6660" s="18"/>
      <c r="AK6660" s="18"/>
      <c r="AL6660" s="18"/>
      <c r="AM6660" s="18"/>
      <c r="AN6660" s="18"/>
      <c r="AO6660" s="18"/>
      <c r="AP6660" s="18"/>
      <c r="AQ6660" s="18"/>
      <c r="AR6660" s="18"/>
    </row>
    <row r="6661" hidden="1" spans="1:44">
      <c r="A6661" s="18"/>
      <c r="B6661" s="75">
        <v>1067</v>
      </c>
      <c r="C6661" s="213">
        <v>45822</v>
      </c>
      <c r="D6661" s="18" t="s">
        <v>1550</v>
      </c>
      <c r="E6661" s="18" t="s">
        <v>1551</v>
      </c>
      <c r="F6661" s="18" t="s">
        <v>54</v>
      </c>
      <c r="G6661" s="18"/>
      <c r="H6661" s="75">
        <v>1.2311</v>
      </c>
      <c r="I6661" s="75"/>
      <c r="J6661" s="18" t="s">
        <v>49</v>
      </c>
      <c r="K6661" s="385">
        <v>710</v>
      </c>
      <c r="L6661" s="385">
        <v>101</v>
      </c>
      <c r="M6661" s="385">
        <v>2190</v>
      </c>
      <c r="N6661" s="75" t="s">
        <v>66</v>
      </c>
      <c r="O6661" s="75" t="s">
        <v>84</v>
      </c>
      <c r="P6661" s="385">
        <v>1256</v>
      </c>
      <c r="Q6661" s="75"/>
      <c r="R6661" s="75">
        <f t="shared" si="287"/>
        <v>1256</v>
      </c>
      <c r="S6661" s="75">
        <v>100</v>
      </c>
      <c r="T6661" s="75" t="s">
        <v>421</v>
      </c>
      <c r="U6661" s="137"/>
      <c r="V6661" s="193"/>
      <c r="W6661" s="18"/>
      <c r="X6661" s="18"/>
      <c r="Y6661" s="114"/>
      <c r="Z6661" s="18"/>
      <c r="AA6661" s="18"/>
      <c r="AB6661" s="18"/>
      <c r="AC6661" s="137"/>
      <c r="AD6661" s="77"/>
      <c r="AE6661" s="18" t="s">
        <v>48</v>
      </c>
      <c r="AF6661" s="18"/>
      <c r="AG6661" s="18"/>
      <c r="AH6661" s="18"/>
      <c r="AI6661" s="18"/>
      <c r="AJ6661" s="18"/>
      <c r="AK6661" s="18"/>
      <c r="AL6661" s="18"/>
      <c r="AM6661" s="18"/>
      <c r="AN6661" s="18"/>
      <c r="AO6661" s="18"/>
      <c r="AP6661" s="18"/>
      <c r="AQ6661" s="18"/>
      <c r="AR6661" s="18"/>
    </row>
    <row r="6662" hidden="1" spans="1:44">
      <c r="A6662" s="18"/>
      <c r="B6662" s="75">
        <v>1067</v>
      </c>
      <c r="C6662" s="213">
        <v>45822</v>
      </c>
      <c r="D6662" s="18" t="s">
        <v>1550</v>
      </c>
      <c r="E6662" s="18" t="s">
        <v>1551</v>
      </c>
      <c r="F6662" s="18" t="s">
        <v>54</v>
      </c>
      <c r="G6662" s="18"/>
      <c r="H6662" s="75">
        <v>1.2311</v>
      </c>
      <c r="I6662" s="75"/>
      <c r="J6662" s="18" t="s">
        <v>49</v>
      </c>
      <c r="K6662" s="385">
        <v>710</v>
      </c>
      <c r="L6662" s="385">
        <v>101</v>
      </c>
      <c r="M6662" s="385">
        <v>2190</v>
      </c>
      <c r="N6662" s="75" t="s">
        <v>66</v>
      </c>
      <c r="O6662" s="75" t="s">
        <v>84</v>
      </c>
      <c r="P6662" s="385">
        <v>1254</v>
      </c>
      <c r="Q6662" s="75"/>
      <c r="R6662" s="75">
        <f t="shared" si="287"/>
        <v>1254</v>
      </c>
      <c r="S6662" s="75">
        <v>100</v>
      </c>
      <c r="T6662" s="75" t="s">
        <v>421</v>
      </c>
      <c r="U6662" s="137"/>
      <c r="V6662" s="193"/>
      <c r="W6662" s="18"/>
      <c r="X6662" s="18"/>
      <c r="Y6662" s="114"/>
      <c r="Z6662" s="18"/>
      <c r="AA6662" s="18"/>
      <c r="AB6662" s="18"/>
      <c r="AC6662" s="137"/>
      <c r="AD6662" s="77"/>
      <c r="AE6662" s="18" t="s">
        <v>48</v>
      </c>
      <c r="AF6662" s="18"/>
      <c r="AG6662" s="18"/>
      <c r="AH6662" s="18"/>
      <c r="AI6662" s="18"/>
      <c r="AJ6662" s="18"/>
      <c r="AK6662" s="18"/>
      <c r="AL6662" s="18"/>
      <c r="AM6662" s="18"/>
      <c r="AN6662" s="18"/>
      <c r="AO6662" s="18"/>
      <c r="AP6662" s="18"/>
      <c r="AQ6662" s="18"/>
      <c r="AR6662" s="18"/>
    </row>
    <row r="6663" hidden="1" spans="1:44">
      <c r="A6663" s="18"/>
      <c r="B6663" s="75">
        <v>1067</v>
      </c>
      <c r="C6663" s="213">
        <v>45822</v>
      </c>
      <c r="D6663" s="18" t="s">
        <v>1550</v>
      </c>
      <c r="E6663" s="18" t="s">
        <v>1551</v>
      </c>
      <c r="F6663" s="18" t="s">
        <v>54</v>
      </c>
      <c r="G6663" s="18"/>
      <c r="H6663" s="75">
        <v>1.2311</v>
      </c>
      <c r="I6663" s="75"/>
      <c r="J6663" s="18" t="s">
        <v>49</v>
      </c>
      <c r="K6663" s="385">
        <v>660</v>
      </c>
      <c r="L6663" s="385">
        <v>41</v>
      </c>
      <c r="M6663" s="385">
        <v>2205</v>
      </c>
      <c r="N6663" s="75" t="s">
        <v>66</v>
      </c>
      <c r="O6663" s="75" t="s">
        <v>84</v>
      </c>
      <c r="P6663" s="385">
        <v>477</v>
      </c>
      <c r="Q6663" s="75"/>
      <c r="R6663" s="75">
        <f t="shared" si="287"/>
        <v>477</v>
      </c>
      <c r="S6663" s="75">
        <v>100</v>
      </c>
      <c r="T6663" s="75" t="s">
        <v>421</v>
      </c>
      <c r="U6663" s="137"/>
      <c r="V6663" s="193"/>
      <c r="W6663" s="18"/>
      <c r="X6663" s="18"/>
      <c r="Y6663" s="114"/>
      <c r="Z6663" s="18"/>
      <c r="AA6663" s="18"/>
      <c r="AB6663" s="18"/>
      <c r="AC6663" s="137"/>
      <c r="AD6663" s="77"/>
      <c r="AE6663" s="18" t="s">
        <v>48</v>
      </c>
      <c r="AF6663" s="18"/>
      <c r="AG6663" s="18"/>
      <c r="AH6663" s="18"/>
      <c r="AI6663" s="18"/>
      <c r="AJ6663" s="18"/>
      <c r="AK6663" s="18"/>
      <c r="AL6663" s="18"/>
      <c r="AM6663" s="18"/>
      <c r="AN6663" s="18"/>
      <c r="AO6663" s="18"/>
      <c r="AP6663" s="18"/>
      <c r="AQ6663" s="18"/>
      <c r="AR6663" s="18"/>
    </row>
    <row r="6664" hidden="1" spans="1:44">
      <c r="A6664" s="18"/>
      <c r="B6664" s="75">
        <v>1067</v>
      </c>
      <c r="C6664" s="213">
        <v>45822</v>
      </c>
      <c r="D6664" s="18" t="s">
        <v>1550</v>
      </c>
      <c r="E6664" s="18" t="s">
        <v>1551</v>
      </c>
      <c r="F6664" s="18" t="s">
        <v>54</v>
      </c>
      <c r="G6664" s="18"/>
      <c r="H6664" s="75">
        <v>1.2311</v>
      </c>
      <c r="I6664" s="75"/>
      <c r="J6664" s="18" t="s">
        <v>49</v>
      </c>
      <c r="K6664" s="385">
        <v>710</v>
      </c>
      <c r="L6664" s="385">
        <v>41</v>
      </c>
      <c r="M6664" s="385">
        <v>2200</v>
      </c>
      <c r="N6664" s="75" t="s">
        <v>66</v>
      </c>
      <c r="O6664" s="75" t="s">
        <v>84</v>
      </c>
      <c r="P6664" s="385">
        <v>513</v>
      </c>
      <c r="Q6664" s="75"/>
      <c r="R6664" s="75">
        <f t="shared" si="287"/>
        <v>513</v>
      </c>
      <c r="S6664" s="75">
        <v>100</v>
      </c>
      <c r="T6664" s="75" t="s">
        <v>421</v>
      </c>
      <c r="U6664" s="137"/>
      <c r="V6664" s="193"/>
      <c r="W6664" s="18"/>
      <c r="X6664" s="18"/>
      <c r="Y6664" s="114"/>
      <c r="Z6664" s="18"/>
      <c r="AA6664" s="18"/>
      <c r="AB6664" s="18"/>
      <c r="AC6664" s="137"/>
      <c r="AD6664" s="77"/>
      <c r="AE6664" s="18" t="s">
        <v>48</v>
      </c>
      <c r="AF6664" s="18"/>
      <c r="AG6664" s="18"/>
      <c r="AH6664" s="18"/>
      <c r="AI6664" s="18"/>
      <c r="AJ6664" s="18"/>
      <c r="AK6664" s="18"/>
      <c r="AL6664" s="18"/>
      <c r="AM6664" s="18"/>
      <c r="AN6664" s="18"/>
      <c r="AO6664" s="18"/>
      <c r="AP6664" s="18"/>
      <c r="AQ6664" s="18"/>
      <c r="AR6664" s="18"/>
    </row>
    <row r="6665" hidden="1" spans="1:44">
      <c r="A6665" s="18"/>
      <c r="B6665" s="75">
        <v>1067</v>
      </c>
      <c r="C6665" s="213">
        <v>45822</v>
      </c>
      <c r="D6665" s="18" t="s">
        <v>1550</v>
      </c>
      <c r="E6665" s="18" t="s">
        <v>1551</v>
      </c>
      <c r="F6665" s="18" t="s">
        <v>54</v>
      </c>
      <c r="G6665" s="18"/>
      <c r="H6665" s="75">
        <v>1.2311</v>
      </c>
      <c r="I6665" s="75"/>
      <c r="J6665" s="18" t="s">
        <v>49</v>
      </c>
      <c r="K6665" s="385">
        <v>710</v>
      </c>
      <c r="L6665" s="385">
        <v>41</v>
      </c>
      <c r="M6665" s="385">
        <v>2202</v>
      </c>
      <c r="N6665" s="75" t="s">
        <v>66</v>
      </c>
      <c r="O6665" s="75" t="s">
        <v>84</v>
      </c>
      <c r="P6665" s="385">
        <v>513</v>
      </c>
      <c r="Q6665" s="75"/>
      <c r="R6665" s="75">
        <f t="shared" si="287"/>
        <v>513</v>
      </c>
      <c r="S6665" s="75">
        <v>100</v>
      </c>
      <c r="T6665" s="75" t="s">
        <v>421</v>
      </c>
      <c r="U6665" s="137"/>
      <c r="V6665" s="193"/>
      <c r="W6665" s="18"/>
      <c r="X6665" s="18"/>
      <c r="Y6665" s="114"/>
      <c r="Z6665" s="18"/>
      <c r="AA6665" s="18"/>
      <c r="AB6665" s="18"/>
      <c r="AC6665" s="137"/>
      <c r="AD6665" s="77"/>
      <c r="AE6665" s="18" t="s">
        <v>48</v>
      </c>
      <c r="AF6665" s="18"/>
      <c r="AG6665" s="18"/>
      <c r="AH6665" s="18"/>
      <c r="AI6665" s="18"/>
      <c r="AJ6665" s="18"/>
      <c r="AK6665" s="18"/>
      <c r="AL6665" s="18"/>
      <c r="AM6665" s="18"/>
      <c r="AN6665" s="18"/>
      <c r="AO6665" s="18"/>
      <c r="AP6665" s="18"/>
      <c r="AQ6665" s="18"/>
      <c r="AR6665" s="18"/>
    </row>
    <row r="6666" hidden="1" spans="1:44">
      <c r="A6666" s="18"/>
      <c r="B6666" s="75">
        <v>1067</v>
      </c>
      <c r="C6666" s="213">
        <v>45822</v>
      </c>
      <c r="D6666" s="18" t="s">
        <v>1550</v>
      </c>
      <c r="E6666" s="18" t="s">
        <v>1551</v>
      </c>
      <c r="F6666" s="18" t="s">
        <v>54</v>
      </c>
      <c r="G6666" s="18"/>
      <c r="H6666" s="75">
        <v>1.2311</v>
      </c>
      <c r="I6666" s="75"/>
      <c r="J6666" s="18" t="s">
        <v>82</v>
      </c>
      <c r="K6666" s="385">
        <v>560</v>
      </c>
      <c r="L6666" s="385">
        <v>51</v>
      </c>
      <c r="M6666" s="385">
        <v>2242</v>
      </c>
      <c r="N6666" s="75" t="s">
        <v>66</v>
      </c>
      <c r="O6666" s="75" t="s">
        <v>84</v>
      </c>
      <c r="P6666" s="385">
        <v>515</v>
      </c>
      <c r="Q6666" s="75"/>
      <c r="R6666" s="75">
        <f t="shared" si="287"/>
        <v>515</v>
      </c>
      <c r="S6666" s="75">
        <v>100</v>
      </c>
      <c r="T6666" s="75" t="s">
        <v>421</v>
      </c>
      <c r="U6666" s="137"/>
      <c r="V6666" s="193"/>
      <c r="W6666" s="18"/>
      <c r="X6666" s="18"/>
      <c r="Y6666" s="114"/>
      <c r="Z6666" s="18"/>
      <c r="AA6666" s="18"/>
      <c r="AB6666" s="18"/>
      <c r="AC6666" s="137"/>
      <c r="AD6666" s="77"/>
      <c r="AE6666" s="18" t="s">
        <v>48</v>
      </c>
      <c r="AF6666" s="18"/>
      <c r="AG6666" s="18"/>
      <c r="AH6666" s="18"/>
      <c r="AI6666" s="18"/>
      <c r="AJ6666" s="18"/>
      <c r="AK6666" s="18"/>
      <c r="AL6666" s="18"/>
      <c r="AM6666" s="18"/>
      <c r="AN6666" s="18"/>
      <c r="AO6666" s="18"/>
      <c r="AP6666" s="18"/>
      <c r="AQ6666" s="18"/>
      <c r="AR6666" s="18"/>
    </row>
    <row r="6667" hidden="1" spans="1:44">
      <c r="A6667" s="18"/>
      <c r="B6667" s="75">
        <v>1067</v>
      </c>
      <c r="C6667" s="213">
        <v>45822</v>
      </c>
      <c r="D6667" s="18" t="s">
        <v>1550</v>
      </c>
      <c r="E6667" s="18" t="s">
        <v>1551</v>
      </c>
      <c r="F6667" s="18" t="s">
        <v>54</v>
      </c>
      <c r="G6667" s="18"/>
      <c r="H6667" s="75">
        <v>1.2311</v>
      </c>
      <c r="I6667" s="75"/>
      <c r="J6667" s="18" t="s">
        <v>82</v>
      </c>
      <c r="K6667" s="385">
        <v>560</v>
      </c>
      <c r="L6667" s="385">
        <v>51</v>
      </c>
      <c r="M6667" s="385">
        <v>2247</v>
      </c>
      <c r="N6667" s="75" t="s">
        <v>66</v>
      </c>
      <c r="O6667" s="75" t="s">
        <v>84</v>
      </c>
      <c r="P6667" s="385">
        <v>516</v>
      </c>
      <c r="Q6667" s="75"/>
      <c r="R6667" s="75">
        <f t="shared" si="287"/>
        <v>516</v>
      </c>
      <c r="S6667" s="75">
        <v>100</v>
      </c>
      <c r="T6667" s="75" t="s">
        <v>421</v>
      </c>
      <c r="U6667" s="137"/>
      <c r="V6667" s="193"/>
      <c r="W6667" s="18"/>
      <c r="X6667" s="18"/>
      <c r="Y6667" s="114"/>
      <c r="Z6667" s="18"/>
      <c r="AA6667" s="18"/>
      <c r="AB6667" s="18"/>
      <c r="AC6667" s="137"/>
      <c r="AD6667" s="77"/>
      <c r="AE6667" s="18" t="s">
        <v>48</v>
      </c>
      <c r="AF6667" s="18"/>
      <c r="AG6667" s="18"/>
      <c r="AH6667" s="18"/>
      <c r="AI6667" s="18"/>
      <c r="AJ6667" s="18"/>
      <c r="AK6667" s="18"/>
      <c r="AL6667" s="18"/>
      <c r="AM6667" s="18"/>
      <c r="AN6667" s="18"/>
      <c r="AO6667" s="18"/>
      <c r="AP6667" s="18"/>
      <c r="AQ6667" s="18"/>
      <c r="AR6667" s="18"/>
    </row>
    <row r="6668" hidden="1" spans="1:44">
      <c r="A6668" s="18"/>
      <c r="B6668" s="75">
        <v>1067</v>
      </c>
      <c r="C6668" s="213">
        <v>45822</v>
      </c>
      <c r="D6668" s="18" t="s">
        <v>1550</v>
      </c>
      <c r="E6668" s="18" t="s">
        <v>1551</v>
      </c>
      <c r="F6668" s="18" t="s">
        <v>54</v>
      </c>
      <c r="G6668" s="18"/>
      <c r="H6668" s="75">
        <v>1.2311</v>
      </c>
      <c r="I6668" s="75"/>
      <c r="J6668" s="18" t="s">
        <v>82</v>
      </c>
      <c r="K6668" s="385">
        <v>560</v>
      </c>
      <c r="L6668" s="385">
        <v>51</v>
      </c>
      <c r="M6668" s="385">
        <v>2243</v>
      </c>
      <c r="N6668" s="75" t="s">
        <v>66</v>
      </c>
      <c r="O6668" s="75" t="s">
        <v>84</v>
      </c>
      <c r="P6668" s="385">
        <v>513</v>
      </c>
      <c r="Q6668" s="75"/>
      <c r="R6668" s="75">
        <f t="shared" si="287"/>
        <v>513</v>
      </c>
      <c r="S6668" s="75">
        <v>100</v>
      </c>
      <c r="T6668" s="75" t="s">
        <v>421</v>
      </c>
      <c r="U6668" s="137"/>
      <c r="V6668" s="193"/>
      <c r="W6668" s="18"/>
      <c r="X6668" s="18"/>
      <c r="Y6668" s="114"/>
      <c r="Z6668" s="18"/>
      <c r="AA6668" s="18"/>
      <c r="AB6668" s="18"/>
      <c r="AC6668" s="137"/>
      <c r="AD6668" s="77"/>
      <c r="AE6668" s="18" t="s">
        <v>48</v>
      </c>
      <c r="AF6668" s="18"/>
      <c r="AG6668" s="18"/>
      <c r="AH6668" s="18"/>
      <c r="AI6668" s="18"/>
      <c r="AJ6668" s="18"/>
      <c r="AK6668" s="18"/>
      <c r="AL6668" s="18"/>
      <c r="AM6668" s="18"/>
      <c r="AN6668" s="18"/>
      <c r="AO6668" s="18"/>
      <c r="AP6668" s="18"/>
      <c r="AQ6668" s="18"/>
      <c r="AR6668" s="18"/>
    </row>
    <row r="6669" hidden="1" spans="1:44">
      <c r="A6669" s="18"/>
      <c r="B6669" s="75">
        <v>1067</v>
      </c>
      <c r="C6669" s="213">
        <v>45822</v>
      </c>
      <c r="D6669" s="18" t="s">
        <v>1550</v>
      </c>
      <c r="E6669" s="18" t="s">
        <v>1551</v>
      </c>
      <c r="F6669" s="18" t="s">
        <v>54</v>
      </c>
      <c r="G6669" s="18"/>
      <c r="H6669" s="75">
        <v>1.2311</v>
      </c>
      <c r="I6669" s="75"/>
      <c r="J6669" s="18" t="s">
        <v>82</v>
      </c>
      <c r="K6669" s="385">
        <v>560</v>
      </c>
      <c r="L6669" s="385">
        <v>51</v>
      </c>
      <c r="M6669" s="385">
        <v>2240</v>
      </c>
      <c r="N6669" s="75" t="s">
        <v>66</v>
      </c>
      <c r="O6669" s="75" t="s">
        <v>84</v>
      </c>
      <c r="P6669" s="385">
        <v>513</v>
      </c>
      <c r="Q6669" s="75"/>
      <c r="R6669" s="75">
        <f t="shared" si="287"/>
        <v>513</v>
      </c>
      <c r="S6669" s="75">
        <v>100</v>
      </c>
      <c r="T6669" s="75" t="s">
        <v>421</v>
      </c>
      <c r="U6669" s="137"/>
      <c r="V6669" s="193"/>
      <c r="W6669" s="18"/>
      <c r="X6669" s="18"/>
      <c r="Y6669" s="114"/>
      <c r="Z6669" s="18"/>
      <c r="AA6669" s="18"/>
      <c r="AB6669" s="18"/>
      <c r="AC6669" s="137"/>
      <c r="AD6669" s="77"/>
      <c r="AE6669" s="18" t="s">
        <v>48</v>
      </c>
      <c r="AF6669" s="18"/>
      <c r="AG6669" s="18"/>
      <c r="AH6669" s="18"/>
      <c r="AI6669" s="18"/>
      <c r="AJ6669" s="18"/>
      <c r="AK6669" s="18"/>
      <c r="AL6669" s="18"/>
      <c r="AM6669" s="18"/>
      <c r="AN6669" s="18"/>
      <c r="AO6669" s="18"/>
      <c r="AP6669" s="18"/>
      <c r="AQ6669" s="18"/>
      <c r="AR6669" s="18"/>
    </row>
    <row r="6670" hidden="1" spans="1:44">
      <c r="A6670" s="18"/>
      <c r="B6670" s="75">
        <v>1067</v>
      </c>
      <c r="C6670" s="213">
        <v>45822</v>
      </c>
      <c r="D6670" s="18" t="s">
        <v>1550</v>
      </c>
      <c r="E6670" s="18" t="s">
        <v>1551</v>
      </c>
      <c r="F6670" s="18" t="s">
        <v>54</v>
      </c>
      <c r="G6670" s="18"/>
      <c r="H6670" s="75">
        <v>1.2311</v>
      </c>
      <c r="I6670" s="75"/>
      <c r="J6670" s="18" t="s">
        <v>82</v>
      </c>
      <c r="K6670" s="385">
        <v>560</v>
      </c>
      <c r="L6670" s="385">
        <v>51</v>
      </c>
      <c r="M6670" s="385">
        <v>2228</v>
      </c>
      <c r="N6670" s="75" t="s">
        <v>66</v>
      </c>
      <c r="O6670" s="75" t="s">
        <v>84</v>
      </c>
      <c r="P6670" s="385">
        <v>512</v>
      </c>
      <c r="Q6670" s="75"/>
      <c r="R6670" s="75">
        <f t="shared" si="287"/>
        <v>512</v>
      </c>
      <c r="S6670" s="75">
        <v>100</v>
      </c>
      <c r="T6670" s="75" t="s">
        <v>421</v>
      </c>
      <c r="U6670" s="137"/>
      <c r="V6670" s="193"/>
      <c r="W6670" s="18"/>
      <c r="X6670" s="18"/>
      <c r="Y6670" s="114"/>
      <c r="Z6670" s="18"/>
      <c r="AA6670" s="18"/>
      <c r="AB6670" s="18"/>
      <c r="AC6670" s="137"/>
      <c r="AD6670" s="77"/>
      <c r="AE6670" s="18" t="s">
        <v>48</v>
      </c>
      <c r="AF6670" s="18"/>
      <c r="AG6670" s="18"/>
      <c r="AH6670" s="18"/>
      <c r="AI6670" s="18"/>
      <c r="AJ6670" s="18"/>
      <c r="AK6670" s="18"/>
      <c r="AL6670" s="18"/>
      <c r="AM6670" s="18"/>
      <c r="AN6670" s="18"/>
      <c r="AO6670" s="18"/>
      <c r="AP6670" s="18"/>
      <c r="AQ6670" s="18"/>
      <c r="AR6670" s="18"/>
    </row>
    <row r="6671" hidden="1" spans="1:44">
      <c r="A6671" s="18"/>
      <c r="B6671" s="75">
        <v>1067</v>
      </c>
      <c r="C6671" s="213">
        <v>45822</v>
      </c>
      <c r="D6671" s="18" t="s">
        <v>1550</v>
      </c>
      <c r="E6671" s="18" t="s">
        <v>1551</v>
      </c>
      <c r="F6671" s="18" t="s">
        <v>54</v>
      </c>
      <c r="G6671" s="18"/>
      <c r="H6671" s="75">
        <v>1.2311</v>
      </c>
      <c r="I6671" s="75"/>
      <c r="J6671" s="18" t="s">
        <v>49</v>
      </c>
      <c r="K6671" s="385">
        <v>660</v>
      </c>
      <c r="L6671" s="385">
        <v>51</v>
      </c>
      <c r="M6671" s="385">
        <v>2240</v>
      </c>
      <c r="N6671" s="75" t="s">
        <v>66</v>
      </c>
      <c r="O6671" s="75" t="s">
        <v>84</v>
      </c>
      <c r="P6671" s="385">
        <v>605</v>
      </c>
      <c r="Q6671" s="75"/>
      <c r="R6671" s="75">
        <f t="shared" si="287"/>
        <v>605</v>
      </c>
      <c r="S6671" s="75">
        <v>100</v>
      </c>
      <c r="T6671" s="75" t="s">
        <v>421</v>
      </c>
      <c r="U6671" s="137"/>
      <c r="V6671" s="193"/>
      <c r="W6671" s="18"/>
      <c r="X6671" s="18"/>
      <c r="Y6671" s="114"/>
      <c r="Z6671" s="18"/>
      <c r="AA6671" s="18"/>
      <c r="AB6671" s="18"/>
      <c r="AC6671" s="137"/>
      <c r="AD6671" s="77"/>
      <c r="AE6671" s="18" t="s">
        <v>48</v>
      </c>
      <c r="AF6671" s="18"/>
      <c r="AG6671" s="18"/>
      <c r="AH6671" s="18"/>
      <c r="AI6671" s="18"/>
      <c r="AJ6671" s="18"/>
      <c r="AK6671" s="18"/>
      <c r="AL6671" s="18"/>
      <c r="AM6671" s="18"/>
      <c r="AN6671" s="18"/>
      <c r="AO6671" s="18"/>
      <c r="AP6671" s="18"/>
      <c r="AQ6671" s="18"/>
      <c r="AR6671" s="18"/>
    </row>
    <row r="6672" hidden="1" spans="1:44">
      <c r="A6672" s="18"/>
      <c r="B6672" s="75">
        <v>1067</v>
      </c>
      <c r="C6672" s="213">
        <v>45822</v>
      </c>
      <c r="D6672" s="18" t="s">
        <v>1550</v>
      </c>
      <c r="E6672" s="18" t="s">
        <v>1551</v>
      </c>
      <c r="F6672" s="18" t="s">
        <v>54</v>
      </c>
      <c r="G6672" s="18"/>
      <c r="H6672" s="75">
        <v>1.2311</v>
      </c>
      <c r="I6672" s="75"/>
      <c r="J6672" s="18" t="s">
        <v>49</v>
      </c>
      <c r="K6672" s="385">
        <v>660</v>
      </c>
      <c r="L6672" s="385">
        <v>51</v>
      </c>
      <c r="M6672" s="385">
        <v>2243</v>
      </c>
      <c r="N6672" s="75" t="s">
        <v>66</v>
      </c>
      <c r="O6672" s="75" t="s">
        <v>84</v>
      </c>
      <c r="P6672" s="385">
        <v>605</v>
      </c>
      <c r="Q6672" s="75"/>
      <c r="R6672" s="75">
        <f t="shared" si="287"/>
        <v>605</v>
      </c>
      <c r="S6672" s="75">
        <v>100</v>
      </c>
      <c r="T6672" s="75" t="s">
        <v>421</v>
      </c>
      <c r="U6672" s="137"/>
      <c r="V6672" s="193"/>
      <c r="W6672" s="18"/>
      <c r="X6672" s="18"/>
      <c r="Y6672" s="114"/>
      <c r="Z6672" s="18"/>
      <c r="AA6672" s="18"/>
      <c r="AB6672" s="18"/>
      <c r="AC6672" s="137"/>
      <c r="AD6672" s="77"/>
      <c r="AE6672" s="18" t="s">
        <v>48</v>
      </c>
      <c r="AF6672" s="18"/>
      <c r="AG6672" s="18"/>
      <c r="AH6672" s="18"/>
      <c r="AI6672" s="18"/>
      <c r="AJ6672" s="18"/>
      <c r="AK6672" s="18"/>
      <c r="AL6672" s="18"/>
      <c r="AM6672" s="18"/>
      <c r="AN6672" s="18"/>
      <c r="AO6672" s="18"/>
      <c r="AP6672" s="18"/>
      <c r="AQ6672" s="18"/>
      <c r="AR6672" s="18"/>
    </row>
    <row r="6673" hidden="1" spans="1:44">
      <c r="A6673" s="18"/>
      <c r="B6673" s="75">
        <v>1067</v>
      </c>
      <c r="C6673" s="213">
        <v>45822</v>
      </c>
      <c r="D6673" s="18" t="s">
        <v>1550</v>
      </c>
      <c r="E6673" s="18" t="s">
        <v>1551</v>
      </c>
      <c r="F6673" s="18" t="s">
        <v>54</v>
      </c>
      <c r="G6673" s="18"/>
      <c r="H6673" s="75">
        <v>1.2311</v>
      </c>
      <c r="I6673" s="75"/>
      <c r="J6673" s="18" t="s">
        <v>49</v>
      </c>
      <c r="K6673" s="385">
        <v>660</v>
      </c>
      <c r="L6673" s="385">
        <v>65</v>
      </c>
      <c r="M6673" s="385">
        <v>2200</v>
      </c>
      <c r="N6673" s="75" t="s">
        <v>66</v>
      </c>
      <c r="O6673" s="75" t="s">
        <v>84</v>
      </c>
      <c r="P6673" s="385">
        <v>768</v>
      </c>
      <c r="Q6673" s="75"/>
      <c r="R6673" s="75">
        <f t="shared" si="287"/>
        <v>768</v>
      </c>
      <c r="S6673" s="75">
        <v>100</v>
      </c>
      <c r="T6673" s="75" t="s">
        <v>421</v>
      </c>
      <c r="U6673" s="137"/>
      <c r="V6673" s="193"/>
      <c r="W6673" s="18"/>
      <c r="X6673" s="18"/>
      <c r="Y6673" s="114"/>
      <c r="Z6673" s="18"/>
      <c r="AA6673" s="18"/>
      <c r="AB6673" s="18"/>
      <c r="AC6673" s="137"/>
      <c r="AD6673" s="77"/>
      <c r="AE6673" s="18" t="s">
        <v>48</v>
      </c>
      <c r="AF6673" s="18"/>
      <c r="AG6673" s="18"/>
      <c r="AH6673" s="18"/>
      <c r="AI6673" s="18"/>
      <c r="AJ6673" s="18"/>
      <c r="AK6673" s="18"/>
      <c r="AL6673" s="18"/>
      <c r="AM6673" s="18"/>
      <c r="AN6673" s="18"/>
      <c r="AO6673" s="18"/>
      <c r="AP6673" s="18"/>
      <c r="AQ6673" s="18"/>
      <c r="AR6673" s="18"/>
    </row>
    <row r="6674" hidden="1" spans="1:44">
      <c r="A6674" s="18"/>
      <c r="B6674" s="75">
        <v>1067</v>
      </c>
      <c r="C6674" s="213">
        <v>45822</v>
      </c>
      <c r="D6674" s="18" t="s">
        <v>1550</v>
      </c>
      <c r="E6674" s="18" t="s">
        <v>1551</v>
      </c>
      <c r="F6674" s="18" t="s">
        <v>54</v>
      </c>
      <c r="G6674" s="18"/>
      <c r="H6674" s="75">
        <v>1.2311</v>
      </c>
      <c r="I6674" s="75"/>
      <c r="J6674" s="18" t="s">
        <v>49</v>
      </c>
      <c r="K6674" s="385">
        <v>660</v>
      </c>
      <c r="L6674" s="385">
        <v>65</v>
      </c>
      <c r="M6674" s="385">
        <v>2200</v>
      </c>
      <c r="N6674" s="75" t="s">
        <v>66</v>
      </c>
      <c r="O6674" s="75" t="s">
        <v>84</v>
      </c>
      <c r="P6674" s="385">
        <v>769</v>
      </c>
      <c r="Q6674" s="75"/>
      <c r="R6674" s="75">
        <f t="shared" si="287"/>
        <v>769</v>
      </c>
      <c r="S6674" s="75">
        <v>100</v>
      </c>
      <c r="T6674" s="75" t="s">
        <v>421</v>
      </c>
      <c r="U6674" s="137"/>
      <c r="V6674" s="193"/>
      <c r="W6674" s="18"/>
      <c r="X6674" s="18"/>
      <c r="Y6674" s="114"/>
      <c r="Z6674" s="18"/>
      <c r="AA6674" s="18"/>
      <c r="AB6674" s="18"/>
      <c r="AC6674" s="137"/>
      <c r="AD6674" s="77"/>
      <c r="AE6674" s="18" t="s">
        <v>48</v>
      </c>
      <c r="AF6674" s="18"/>
      <c r="AG6674" s="18"/>
      <c r="AH6674" s="18"/>
      <c r="AI6674" s="18"/>
      <c r="AJ6674" s="18"/>
      <c r="AK6674" s="18"/>
      <c r="AL6674" s="18"/>
      <c r="AM6674" s="18"/>
      <c r="AN6674" s="18"/>
      <c r="AO6674" s="18"/>
      <c r="AP6674" s="18"/>
      <c r="AQ6674" s="18"/>
      <c r="AR6674" s="18"/>
    </row>
    <row r="6675" hidden="1" spans="1:44">
      <c r="A6675" s="18"/>
      <c r="B6675" s="75">
        <v>1067</v>
      </c>
      <c r="C6675" s="213">
        <v>45822</v>
      </c>
      <c r="D6675" s="18" t="s">
        <v>1550</v>
      </c>
      <c r="E6675" s="18" t="s">
        <v>1551</v>
      </c>
      <c r="F6675" s="18" t="s">
        <v>54</v>
      </c>
      <c r="G6675" s="18"/>
      <c r="H6675" s="75">
        <v>1.2311</v>
      </c>
      <c r="I6675" s="75"/>
      <c r="J6675" s="18" t="s">
        <v>49</v>
      </c>
      <c r="K6675" s="385">
        <v>660</v>
      </c>
      <c r="L6675" s="385">
        <v>65</v>
      </c>
      <c r="M6675" s="385">
        <v>2198</v>
      </c>
      <c r="N6675" s="75" t="s">
        <v>66</v>
      </c>
      <c r="O6675" s="75" t="s">
        <v>84</v>
      </c>
      <c r="P6675" s="385">
        <v>765</v>
      </c>
      <c r="Q6675" s="75"/>
      <c r="R6675" s="75">
        <f t="shared" si="287"/>
        <v>765</v>
      </c>
      <c r="S6675" s="75">
        <v>100</v>
      </c>
      <c r="T6675" s="75" t="s">
        <v>421</v>
      </c>
      <c r="U6675" s="137"/>
      <c r="V6675" s="193"/>
      <c r="W6675" s="18"/>
      <c r="X6675" s="18"/>
      <c r="Y6675" s="114"/>
      <c r="Z6675" s="18"/>
      <c r="AA6675" s="18"/>
      <c r="AB6675" s="18"/>
      <c r="AC6675" s="137"/>
      <c r="AD6675" s="77"/>
      <c r="AE6675" s="18" t="s">
        <v>48</v>
      </c>
      <c r="AF6675" s="18"/>
      <c r="AG6675" s="18"/>
      <c r="AH6675" s="18"/>
      <c r="AI6675" s="18"/>
      <c r="AJ6675" s="18"/>
      <c r="AK6675" s="18"/>
      <c r="AL6675" s="18"/>
      <c r="AM6675" s="18"/>
      <c r="AN6675" s="18"/>
      <c r="AO6675" s="18"/>
      <c r="AP6675" s="18"/>
      <c r="AQ6675" s="18"/>
      <c r="AR6675" s="18"/>
    </row>
    <row r="6676" hidden="1" spans="1:44">
      <c r="A6676" s="18"/>
      <c r="B6676" s="75">
        <v>1067</v>
      </c>
      <c r="C6676" s="213">
        <v>45822</v>
      </c>
      <c r="D6676" s="18" t="s">
        <v>1550</v>
      </c>
      <c r="E6676" s="18" t="s">
        <v>1551</v>
      </c>
      <c r="F6676" s="18" t="s">
        <v>54</v>
      </c>
      <c r="G6676" s="18"/>
      <c r="H6676" s="75">
        <v>1.2311</v>
      </c>
      <c r="I6676" s="75"/>
      <c r="J6676" s="18" t="s">
        <v>49</v>
      </c>
      <c r="K6676" s="385">
        <v>660</v>
      </c>
      <c r="L6676" s="385">
        <v>65</v>
      </c>
      <c r="M6676" s="385">
        <v>2190</v>
      </c>
      <c r="N6676" s="75" t="s">
        <v>66</v>
      </c>
      <c r="O6676" s="75" t="s">
        <v>84</v>
      </c>
      <c r="P6676" s="385">
        <v>763</v>
      </c>
      <c r="Q6676" s="75"/>
      <c r="R6676" s="75">
        <f t="shared" si="287"/>
        <v>763</v>
      </c>
      <c r="S6676" s="75">
        <v>100</v>
      </c>
      <c r="T6676" s="75" t="s">
        <v>421</v>
      </c>
      <c r="U6676" s="137"/>
      <c r="V6676" s="193"/>
      <c r="W6676" s="18"/>
      <c r="X6676" s="18"/>
      <c r="Y6676" s="114"/>
      <c r="Z6676" s="18"/>
      <c r="AA6676" s="18"/>
      <c r="AB6676" s="18"/>
      <c r="AC6676" s="137"/>
      <c r="AD6676" s="77"/>
      <c r="AE6676" s="18" t="s">
        <v>48</v>
      </c>
      <c r="AF6676" s="18"/>
      <c r="AG6676" s="18"/>
      <c r="AH6676" s="18"/>
      <c r="AI6676" s="18"/>
      <c r="AJ6676" s="18"/>
      <c r="AK6676" s="18"/>
      <c r="AL6676" s="18"/>
      <c r="AM6676" s="18"/>
      <c r="AN6676" s="18"/>
      <c r="AO6676" s="18"/>
      <c r="AP6676" s="18"/>
      <c r="AQ6676" s="18"/>
      <c r="AR6676" s="18"/>
    </row>
    <row r="6677" hidden="1" spans="1:44">
      <c r="A6677" s="18"/>
      <c r="B6677" s="75">
        <v>1067</v>
      </c>
      <c r="C6677" s="213">
        <v>45822</v>
      </c>
      <c r="D6677" s="18" t="s">
        <v>1550</v>
      </c>
      <c r="E6677" s="18" t="s">
        <v>1551</v>
      </c>
      <c r="F6677" s="18" t="s">
        <v>54</v>
      </c>
      <c r="G6677" s="18"/>
      <c r="H6677" s="75">
        <v>1.2311</v>
      </c>
      <c r="I6677" s="75"/>
      <c r="J6677" s="18" t="s">
        <v>49</v>
      </c>
      <c r="K6677" s="385">
        <v>610</v>
      </c>
      <c r="L6677" s="385">
        <v>71</v>
      </c>
      <c r="M6677" s="385">
        <v>2198</v>
      </c>
      <c r="N6677" s="75" t="s">
        <v>66</v>
      </c>
      <c r="O6677" s="75" t="s">
        <v>84</v>
      </c>
      <c r="P6677" s="385">
        <v>760</v>
      </c>
      <c r="Q6677" s="75"/>
      <c r="R6677" s="75">
        <f t="shared" si="287"/>
        <v>760</v>
      </c>
      <c r="S6677" s="75">
        <v>100</v>
      </c>
      <c r="T6677" s="75" t="s">
        <v>421</v>
      </c>
      <c r="U6677" s="137"/>
      <c r="V6677" s="193"/>
      <c r="W6677" s="18"/>
      <c r="X6677" s="18"/>
      <c r="Y6677" s="114"/>
      <c r="Z6677" s="18"/>
      <c r="AA6677" s="18"/>
      <c r="AB6677" s="18"/>
      <c r="AC6677" s="137"/>
      <c r="AD6677" s="77"/>
      <c r="AE6677" s="18" t="s">
        <v>48</v>
      </c>
      <c r="AF6677" s="18"/>
      <c r="AG6677" s="18"/>
      <c r="AH6677" s="18"/>
      <c r="AI6677" s="18"/>
      <c r="AJ6677" s="18"/>
      <c r="AK6677" s="18"/>
      <c r="AL6677" s="18"/>
      <c r="AM6677" s="18"/>
      <c r="AN6677" s="18"/>
      <c r="AO6677" s="18"/>
      <c r="AP6677" s="18"/>
      <c r="AQ6677" s="18"/>
      <c r="AR6677" s="18"/>
    </row>
    <row r="6678" hidden="1" spans="1:44">
      <c r="A6678" s="18"/>
      <c r="B6678" s="75">
        <v>1067</v>
      </c>
      <c r="C6678" s="213">
        <v>45822</v>
      </c>
      <c r="D6678" s="18" t="s">
        <v>1550</v>
      </c>
      <c r="E6678" s="18" t="s">
        <v>1551</v>
      </c>
      <c r="F6678" s="18" t="s">
        <v>54</v>
      </c>
      <c r="G6678" s="18"/>
      <c r="H6678" s="75">
        <v>1.2311</v>
      </c>
      <c r="I6678" s="75"/>
      <c r="J6678" s="18" t="s">
        <v>49</v>
      </c>
      <c r="K6678" s="385">
        <v>610</v>
      </c>
      <c r="L6678" s="385">
        <v>71</v>
      </c>
      <c r="M6678" s="385">
        <v>2195</v>
      </c>
      <c r="N6678" s="75" t="s">
        <v>66</v>
      </c>
      <c r="O6678" s="75" t="s">
        <v>84</v>
      </c>
      <c r="P6678" s="385">
        <v>758</v>
      </c>
      <c r="Q6678" s="75"/>
      <c r="R6678" s="75">
        <f t="shared" si="287"/>
        <v>758</v>
      </c>
      <c r="S6678" s="75">
        <v>100</v>
      </c>
      <c r="T6678" s="75" t="s">
        <v>421</v>
      </c>
      <c r="U6678" s="137"/>
      <c r="V6678" s="193"/>
      <c r="W6678" s="18"/>
      <c r="X6678" s="18"/>
      <c r="Y6678" s="114"/>
      <c r="Z6678" s="18"/>
      <c r="AA6678" s="18"/>
      <c r="AB6678" s="18"/>
      <c r="AC6678" s="137"/>
      <c r="AD6678" s="77"/>
      <c r="AE6678" s="18" t="s">
        <v>48</v>
      </c>
      <c r="AF6678" s="18"/>
      <c r="AG6678" s="18"/>
      <c r="AH6678" s="18"/>
      <c r="AI6678" s="18"/>
      <c r="AJ6678" s="18"/>
      <c r="AK6678" s="18"/>
      <c r="AL6678" s="18"/>
      <c r="AM6678" s="18"/>
      <c r="AN6678" s="18"/>
      <c r="AO6678" s="18"/>
      <c r="AP6678" s="18"/>
      <c r="AQ6678" s="18"/>
      <c r="AR6678" s="18"/>
    </row>
    <row r="6679" hidden="1" spans="1:44">
      <c r="A6679" s="18"/>
      <c r="B6679" s="75">
        <v>1067</v>
      </c>
      <c r="C6679" s="213">
        <v>45822</v>
      </c>
      <c r="D6679" s="18" t="s">
        <v>1550</v>
      </c>
      <c r="E6679" s="18" t="s">
        <v>1551</v>
      </c>
      <c r="F6679" s="18" t="s">
        <v>54</v>
      </c>
      <c r="G6679" s="18"/>
      <c r="H6679" s="75">
        <v>1.2311</v>
      </c>
      <c r="I6679" s="75"/>
      <c r="J6679" s="18" t="s">
        <v>49</v>
      </c>
      <c r="K6679" s="385">
        <v>610</v>
      </c>
      <c r="L6679" s="385">
        <v>71</v>
      </c>
      <c r="M6679" s="385">
        <v>2198</v>
      </c>
      <c r="N6679" s="75" t="s">
        <v>66</v>
      </c>
      <c r="O6679" s="75" t="s">
        <v>84</v>
      </c>
      <c r="P6679" s="385">
        <v>759</v>
      </c>
      <c r="Q6679" s="75"/>
      <c r="R6679" s="75">
        <f t="shared" si="287"/>
        <v>759</v>
      </c>
      <c r="S6679" s="75">
        <v>100</v>
      </c>
      <c r="T6679" s="75" t="s">
        <v>421</v>
      </c>
      <c r="U6679" s="137"/>
      <c r="V6679" s="193"/>
      <c r="W6679" s="18"/>
      <c r="X6679" s="18"/>
      <c r="Y6679" s="114"/>
      <c r="Z6679" s="18"/>
      <c r="AA6679" s="18"/>
      <c r="AB6679" s="18"/>
      <c r="AC6679" s="137"/>
      <c r="AD6679" s="77"/>
      <c r="AE6679" s="18" t="s">
        <v>48</v>
      </c>
      <c r="AF6679" s="18"/>
      <c r="AG6679" s="18"/>
      <c r="AH6679" s="18"/>
      <c r="AI6679" s="18"/>
      <c r="AJ6679" s="18"/>
      <c r="AK6679" s="18"/>
      <c r="AL6679" s="18"/>
      <c r="AM6679" s="18"/>
      <c r="AN6679" s="18"/>
      <c r="AO6679" s="18"/>
      <c r="AP6679" s="18"/>
      <c r="AQ6679" s="18"/>
      <c r="AR6679" s="18"/>
    </row>
    <row r="6680" hidden="1" spans="1:44">
      <c r="A6680" s="18"/>
      <c r="B6680" s="75">
        <v>1067</v>
      </c>
      <c r="C6680" s="213">
        <v>45822</v>
      </c>
      <c r="D6680" s="18" t="s">
        <v>1550</v>
      </c>
      <c r="E6680" s="18" t="s">
        <v>1551</v>
      </c>
      <c r="F6680" s="18" t="s">
        <v>54</v>
      </c>
      <c r="G6680" s="18"/>
      <c r="H6680" s="75">
        <v>1.2311</v>
      </c>
      <c r="I6680" s="75"/>
      <c r="J6680" s="18" t="s">
        <v>49</v>
      </c>
      <c r="K6680" s="385">
        <v>660</v>
      </c>
      <c r="L6680" s="385">
        <v>71</v>
      </c>
      <c r="M6680" s="385">
        <v>2205</v>
      </c>
      <c r="N6680" s="75" t="s">
        <v>66</v>
      </c>
      <c r="O6680" s="75" t="s">
        <v>84</v>
      </c>
      <c r="P6680" s="385">
        <v>822</v>
      </c>
      <c r="Q6680" s="75"/>
      <c r="R6680" s="75">
        <f t="shared" si="287"/>
        <v>822</v>
      </c>
      <c r="S6680" s="75">
        <v>100</v>
      </c>
      <c r="T6680" s="75" t="s">
        <v>421</v>
      </c>
      <c r="U6680" s="137"/>
      <c r="V6680" s="193"/>
      <c r="W6680" s="18"/>
      <c r="X6680" s="18"/>
      <c r="Y6680" s="114"/>
      <c r="Z6680" s="18"/>
      <c r="AA6680" s="18"/>
      <c r="AB6680" s="18"/>
      <c r="AC6680" s="137"/>
      <c r="AD6680" s="77"/>
      <c r="AE6680" s="18" t="s">
        <v>48</v>
      </c>
      <c r="AF6680" s="18"/>
      <c r="AG6680" s="18"/>
      <c r="AH6680" s="18"/>
      <c r="AI6680" s="18"/>
      <c r="AJ6680" s="18"/>
      <c r="AK6680" s="18"/>
      <c r="AL6680" s="18"/>
      <c r="AM6680" s="18"/>
      <c r="AN6680" s="18"/>
      <c r="AO6680" s="18"/>
      <c r="AP6680" s="18"/>
      <c r="AQ6680" s="18"/>
      <c r="AR6680" s="18"/>
    </row>
    <row r="6681" hidden="1" spans="1:44">
      <c r="A6681" s="18"/>
      <c r="B6681" s="75">
        <v>1067</v>
      </c>
      <c r="C6681" s="213">
        <v>45822</v>
      </c>
      <c r="D6681" s="18" t="s">
        <v>1550</v>
      </c>
      <c r="E6681" s="18" t="s">
        <v>1551</v>
      </c>
      <c r="F6681" s="18" t="s">
        <v>54</v>
      </c>
      <c r="G6681" s="18"/>
      <c r="H6681" s="75">
        <v>1.2311</v>
      </c>
      <c r="I6681" s="75"/>
      <c r="J6681" s="18" t="s">
        <v>82</v>
      </c>
      <c r="K6681" s="385">
        <v>360</v>
      </c>
      <c r="L6681" s="385">
        <v>32</v>
      </c>
      <c r="M6681" s="385">
        <v>2236</v>
      </c>
      <c r="N6681" s="75" t="s">
        <v>66</v>
      </c>
      <c r="O6681" s="75" t="s">
        <v>84</v>
      </c>
      <c r="P6681" s="385">
        <v>202</v>
      </c>
      <c r="Q6681" s="75"/>
      <c r="R6681" s="75">
        <f t="shared" si="287"/>
        <v>202</v>
      </c>
      <c r="S6681" s="75">
        <v>100</v>
      </c>
      <c r="T6681" s="75" t="s">
        <v>421</v>
      </c>
      <c r="U6681" s="137"/>
      <c r="V6681" s="193"/>
      <c r="W6681" s="18"/>
      <c r="X6681" s="18"/>
      <c r="Y6681" s="114"/>
      <c r="Z6681" s="18"/>
      <c r="AA6681" s="18"/>
      <c r="AB6681" s="18"/>
      <c r="AC6681" s="137"/>
      <c r="AD6681" s="77"/>
      <c r="AE6681" s="18" t="s">
        <v>48</v>
      </c>
      <c r="AF6681" s="18"/>
      <c r="AG6681" s="18"/>
      <c r="AH6681" s="18"/>
      <c r="AI6681" s="18"/>
      <c r="AJ6681" s="18"/>
      <c r="AK6681" s="18"/>
      <c r="AL6681" s="18"/>
      <c r="AM6681" s="18"/>
      <c r="AN6681" s="18"/>
      <c r="AO6681" s="18"/>
      <c r="AP6681" s="18"/>
      <c r="AQ6681" s="18"/>
      <c r="AR6681" s="18"/>
    </row>
    <row r="6682" hidden="1" spans="1:44">
      <c r="A6682" s="18"/>
      <c r="B6682" s="75">
        <v>1067</v>
      </c>
      <c r="C6682" s="213">
        <v>45822</v>
      </c>
      <c r="D6682" s="18" t="s">
        <v>1550</v>
      </c>
      <c r="E6682" s="18" t="s">
        <v>1551</v>
      </c>
      <c r="F6682" s="18" t="s">
        <v>54</v>
      </c>
      <c r="G6682" s="18"/>
      <c r="H6682" s="75">
        <v>1.2311</v>
      </c>
      <c r="I6682" s="75"/>
      <c r="J6682" s="18" t="s">
        <v>82</v>
      </c>
      <c r="K6682" s="385">
        <v>360</v>
      </c>
      <c r="L6682" s="385">
        <v>32</v>
      </c>
      <c r="M6682" s="385">
        <v>2228</v>
      </c>
      <c r="N6682" s="75" t="s">
        <v>66</v>
      </c>
      <c r="O6682" s="75" t="s">
        <v>84</v>
      </c>
      <c r="P6682" s="385">
        <v>200</v>
      </c>
      <c r="Q6682" s="75"/>
      <c r="R6682" s="75">
        <f t="shared" si="287"/>
        <v>200</v>
      </c>
      <c r="S6682" s="75">
        <v>100</v>
      </c>
      <c r="T6682" s="75" t="s">
        <v>421</v>
      </c>
      <c r="U6682" s="137"/>
      <c r="V6682" s="193"/>
      <c r="W6682" s="18"/>
      <c r="X6682" s="18"/>
      <c r="Y6682" s="114"/>
      <c r="Z6682" s="18"/>
      <c r="AA6682" s="18"/>
      <c r="AB6682" s="18"/>
      <c r="AC6682" s="137"/>
      <c r="AD6682" s="77"/>
      <c r="AE6682" s="18" t="s">
        <v>48</v>
      </c>
      <c r="AF6682" s="18"/>
      <c r="AG6682" s="18"/>
      <c r="AH6682" s="18"/>
      <c r="AI6682" s="18"/>
      <c r="AJ6682" s="18"/>
      <c r="AK6682" s="18"/>
      <c r="AL6682" s="18"/>
      <c r="AM6682" s="18"/>
      <c r="AN6682" s="18"/>
      <c r="AO6682" s="18"/>
      <c r="AP6682" s="18"/>
      <c r="AQ6682" s="18"/>
      <c r="AR6682" s="18"/>
    </row>
    <row r="6683" hidden="1" spans="1:44">
      <c r="A6683" s="18"/>
      <c r="B6683" s="75">
        <v>1067</v>
      </c>
      <c r="C6683" s="213">
        <v>45822</v>
      </c>
      <c r="D6683" s="18" t="s">
        <v>1550</v>
      </c>
      <c r="E6683" s="18" t="s">
        <v>1551</v>
      </c>
      <c r="F6683" s="18" t="s">
        <v>54</v>
      </c>
      <c r="G6683" s="18"/>
      <c r="H6683" s="75">
        <v>1.2311</v>
      </c>
      <c r="I6683" s="75"/>
      <c r="J6683" s="18" t="s">
        <v>82</v>
      </c>
      <c r="K6683" s="385">
        <v>360</v>
      </c>
      <c r="L6683" s="385">
        <v>32</v>
      </c>
      <c r="M6683" s="385">
        <v>2240</v>
      </c>
      <c r="N6683" s="75" t="s">
        <v>66</v>
      </c>
      <c r="O6683" s="75" t="s">
        <v>84</v>
      </c>
      <c r="P6683" s="385">
        <v>202</v>
      </c>
      <c r="Q6683" s="75"/>
      <c r="R6683" s="75">
        <f t="shared" si="287"/>
        <v>202</v>
      </c>
      <c r="S6683" s="75">
        <v>100</v>
      </c>
      <c r="T6683" s="75" t="s">
        <v>421</v>
      </c>
      <c r="U6683" s="137"/>
      <c r="V6683" s="193"/>
      <c r="W6683" s="18"/>
      <c r="X6683" s="18"/>
      <c r="Y6683" s="114"/>
      <c r="Z6683" s="18"/>
      <c r="AA6683" s="18"/>
      <c r="AB6683" s="18"/>
      <c r="AC6683" s="137"/>
      <c r="AD6683" s="77"/>
      <c r="AE6683" s="18" t="s">
        <v>48</v>
      </c>
      <c r="AF6683" s="18"/>
      <c r="AG6683" s="18"/>
      <c r="AH6683" s="18"/>
      <c r="AI6683" s="18"/>
      <c r="AJ6683" s="18"/>
      <c r="AK6683" s="18"/>
      <c r="AL6683" s="18"/>
      <c r="AM6683" s="18"/>
      <c r="AN6683" s="18"/>
      <c r="AO6683" s="18"/>
      <c r="AP6683" s="18"/>
      <c r="AQ6683" s="18"/>
      <c r="AR6683" s="18"/>
    </row>
    <row r="6684" hidden="1" spans="1:44">
      <c r="A6684" s="18"/>
      <c r="B6684" s="75">
        <v>1067</v>
      </c>
      <c r="C6684" s="213">
        <v>45822</v>
      </c>
      <c r="D6684" s="18" t="s">
        <v>1550</v>
      </c>
      <c r="E6684" s="18" t="s">
        <v>1551</v>
      </c>
      <c r="F6684" s="18" t="s">
        <v>54</v>
      </c>
      <c r="G6684" s="18"/>
      <c r="H6684" s="75">
        <v>1.2311</v>
      </c>
      <c r="I6684" s="75"/>
      <c r="J6684" s="18" t="s">
        <v>82</v>
      </c>
      <c r="K6684" s="385">
        <v>410</v>
      </c>
      <c r="L6684" s="385">
        <v>32</v>
      </c>
      <c r="M6684" s="385">
        <v>2240</v>
      </c>
      <c r="N6684" s="75" t="s">
        <v>66</v>
      </c>
      <c r="O6684" s="75" t="s">
        <v>84</v>
      </c>
      <c r="P6684" s="385">
        <v>230</v>
      </c>
      <c r="Q6684" s="75"/>
      <c r="R6684" s="75">
        <f t="shared" si="287"/>
        <v>230</v>
      </c>
      <c r="S6684" s="75">
        <v>100</v>
      </c>
      <c r="T6684" s="75" t="s">
        <v>421</v>
      </c>
      <c r="U6684" s="137"/>
      <c r="V6684" s="193"/>
      <c r="W6684" s="18"/>
      <c r="X6684" s="18"/>
      <c r="Y6684" s="114"/>
      <c r="Z6684" s="18"/>
      <c r="AA6684" s="18"/>
      <c r="AB6684" s="18"/>
      <c r="AC6684" s="137"/>
      <c r="AD6684" s="77"/>
      <c r="AE6684" s="18" t="s">
        <v>48</v>
      </c>
      <c r="AF6684" s="18"/>
      <c r="AG6684" s="18"/>
      <c r="AH6684" s="18"/>
      <c r="AI6684" s="18"/>
      <c r="AJ6684" s="18"/>
      <c r="AK6684" s="18"/>
      <c r="AL6684" s="18"/>
      <c r="AM6684" s="18"/>
      <c r="AN6684" s="18"/>
      <c r="AO6684" s="18"/>
      <c r="AP6684" s="18"/>
      <c r="AQ6684" s="18"/>
      <c r="AR6684" s="18"/>
    </row>
    <row r="6685" hidden="1" spans="1:44">
      <c r="A6685" s="18"/>
      <c r="B6685" s="75">
        <v>1067</v>
      </c>
      <c r="C6685" s="213">
        <v>45822</v>
      </c>
      <c r="D6685" s="18" t="s">
        <v>1550</v>
      </c>
      <c r="E6685" s="18" t="s">
        <v>1551</v>
      </c>
      <c r="F6685" s="18" t="s">
        <v>54</v>
      </c>
      <c r="G6685" s="18"/>
      <c r="H6685" s="75">
        <v>1.2311</v>
      </c>
      <c r="I6685" s="75"/>
      <c r="J6685" s="18" t="s">
        <v>82</v>
      </c>
      <c r="K6685" s="385">
        <v>410</v>
      </c>
      <c r="L6685" s="385">
        <v>32</v>
      </c>
      <c r="M6685" s="385">
        <v>2240</v>
      </c>
      <c r="N6685" s="75" t="s">
        <v>66</v>
      </c>
      <c r="O6685" s="75" t="s">
        <v>84</v>
      </c>
      <c r="P6685" s="385">
        <v>231</v>
      </c>
      <c r="Q6685" s="75"/>
      <c r="R6685" s="75">
        <f t="shared" si="287"/>
        <v>231</v>
      </c>
      <c r="S6685" s="75">
        <v>100</v>
      </c>
      <c r="T6685" s="75" t="s">
        <v>421</v>
      </c>
      <c r="U6685" s="137"/>
      <c r="V6685" s="193"/>
      <c r="W6685" s="18"/>
      <c r="X6685" s="18"/>
      <c r="Y6685" s="114"/>
      <c r="Z6685" s="18"/>
      <c r="AA6685" s="18"/>
      <c r="AB6685" s="18"/>
      <c r="AC6685" s="137"/>
      <c r="AD6685" s="77"/>
      <c r="AE6685" s="18" t="s">
        <v>48</v>
      </c>
      <c r="AF6685" s="18"/>
      <c r="AG6685" s="18"/>
      <c r="AH6685" s="18"/>
      <c r="AI6685" s="18"/>
      <c r="AJ6685" s="18"/>
      <c r="AK6685" s="18"/>
      <c r="AL6685" s="18"/>
      <c r="AM6685" s="18"/>
      <c r="AN6685" s="18"/>
      <c r="AO6685" s="18"/>
      <c r="AP6685" s="18"/>
      <c r="AQ6685" s="18"/>
      <c r="AR6685" s="18"/>
    </row>
    <row r="6686" hidden="1" spans="1:44">
      <c r="A6686" s="18"/>
      <c r="B6686" s="75">
        <v>1067</v>
      </c>
      <c r="C6686" s="213">
        <v>45822</v>
      </c>
      <c r="D6686" s="18" t="s">
        <v>1550</v>
      </c>
      <c r="E6686" s="18" t="s">
        <v>1551</v>
      </c>
      <c r="F6686" s="18" t="s">
        <v>54</v>
      </c>
      <c r="G6686" s="18"/>
      <c r="H6686" s="75">
        <v>1.2311</v>
      </c>
      <c r="I6686" s="75"/>
      <c r="J6686" s="18" t="s">
        <v>82</v>
      </c>
      <c r="K6686" s="385">
        <v>460</v>
      </c>
      <c r="L6686" s="385">
        <v>32</v>
      </c>
      <c r="M6686" s="385">
        <v>2235</v>
      </c>
      <c r="N6686" s="75" t="s">
        <v>66</v>
      </c>
      <c r="O6686" s="75" t="s">
        <v>84</v>
      </c>
      <c r="P6686" s="385">
        <v>256</v>
      </c>
      <c r="Q6686" s="75"/>
      <c r="R6686" s="75">
        <f t="shared" si="287"/>
        <v>256</v>
      </c>
      <c r="S6686" s="75">
        <v>100</v>
      </c>
      <c r="T6686" s="75" t="s">
        <v>421</v>
      </c>
      <c r="U6686" s="137"/>
      <c r="V6686" s="193"/>
      <c r="W6686" s="18"/>
      <c r="X6686" s="18"/>
      <c r="Y6686" s="114"/>
      <c r="Z6686" s="18"/>
      <c r="AA6686" s="18"/>
      <c r="AB6686" s="18"/>
      <c r="AC6686" s="137"/>
      <c r="AD6686" s="77"/>
      <c r="AE6686" s="18" t="s">
        <v>48</v>
      </c>
      <c r="AF6686" s="18"/>
      <c r="AG6686" s="18"/>
      <c r="AH6686" s="18"/>
      <c r="AI6686" s="18"/>
      <c r="AJ6686" s="18"/>
      <c r="AK6686" s="18"/>
      <c r="AL6686" s="18"/>
      <c r="AM6686" s="18"/>
      <c r="AN6686" s="18"/>
      <c r="AO6686" s="18"/>
      <c r="AP6686" s="18"/>
      <c r="AQ6686" s="18"/>
      <c r="AR6686" s="18"/>
    </row>
    <row r="6687" hidden="1" spans="1:44">
      <c r="A6687" s="18"/>
      <c r="B6687" s="75">
        <v>1067</v>
      </c>
      <c r="C6687" s="213">
        <v>45822</v>
      </c>
      <c r="D6687" s="18" t="s">
        <v>1550</v>
      </c>
      <c r="E6687" s="18" t="s">
        <v>1551</v>
      </c>
      <c r="F6687" s="18" t="s">
        <v>54</v>
      </c>
      <c r="G6687" s="18"/>
      <c r="H6687" s="75">
        <v>1.2311</v>
      </c>
      <c r="I6687" s="75"/>
      <c r="J6687" s="18" t="s">
        <v>82</v>
      </c>
      <c r="K6687" s="385">
        <v>460</v>
      </c>
      <c r="L6687" s="385">
        <v>32</v>
      </c>
      <c r="M6687" s="385">
        <v>2235</v>
      </c>
      <c r="N6687" s="75" t="s">
        <v>66</v>
      </c>
      <c r="O6687" s="75" t="s">
        <v>84</v>
      </c>
      <c r="P6687" s="385">
        <v>256</v>
      </c>
      <c r="Q6687" s="75"/>
      <c r="R6687" s="75">
        <f t="shared" si="287"/>
        <v>256</v>
      </c>
      <c r="S6687" s="75">
        <v>100</v>
      </c>
      <c r="T6687" s="75" t="s">
        <v>421</v>
      </c>
      <c r="U6687" s="137"/>
      <c r="V6687" s="193"/>
      <c r="W6687" s="18"/>
      <c r="X6687" s="18"/>
      <c r="Y6687" s="114"/>
      <c r="Z6687" s="18"/>
      <c r="AA6687" s="18"/>
      <c r="AB6687" s="18"/>
      <c r="AC6687" s="137"/>
      <c r="AD6687" s="77"/>
      <c r="AE6687" s="18" t="s">
        <v>48</v>
      </c>
      <c r="AF6687" s="18"/>
      <c r="AG6687" s="18"/>
      <c r="AH6687" s="18"/>
      <c r="AI6687" s="18"/>
      <c r="AJ6687" s="18"/>
      <c r="AK6687" s="18"/>
      <c r="AL6687" s="18"/>
      <c r="AM6687" s="18"/>
      <c r="AN6687" s="18"/>
      <c r="AO6687" s="18"/>
      <c r="AP6687" s="18"/>
      <c r="AQ6687" s="18"/>
      <c r="AR6687" s="18"/>
    </row>
    <row r="6688" hidden="1" spans="1:44">
      <c r="A6688" s="18"/>
      <c r="B6688" s="75">
        <v>1067</v>
      </c>
      <c r="C6688" s="213">
        <v>45822</v>
      </c>
      <c r="D6688" s="18" t="s">
        <v>1550</v>
      </c>
      <c r="E6688" s="18" t="s">
        <v>1551</v>
      </c>
      <c r="F6688" s="18" t="s">
        <v>54</v>
      </c>
      <c r="G6688" s="18"/>
      <c r="H6688" s="75">
        <v>1.2311</v>
      </c>
      <c r="I6688" s="75"/>
      <c r="J6688" s="18" t="s">
        <v>82</v>
      </c>
      <c r="K6688" s="385">
        <v>460</v>
      </c>
      <c r="L6688" s="385">
        <v>32</v>
      </c>
      <c r="M6688" s="385">
        <v>2233</v>
      </c>
      <c r="N6688" s="75" t="s">
        <v>66</v>
      </c>
      <c r="O6688" s="75" t="s">
        <v>84</v>
      </c>
      <c r="P6688" s="385">
        <v>257</v>
      </c>
      <c r="Q6688" s="75"/>
      <c r="R6688" s="75">
        <f t="shared" si="287"/>
        <v>257</v>
      </c>
      <c r="S6688" s="75">
        <v>100</v>
      </c>
      <c r="T6688" s="75" t="s">
        <v>421</v>
      </c>
      <c r="U6688" s="137"/>
      <c r="V6688" s="193"/>
      <c r="W6688" s="18"/>
      <c r="X6688" s="18"/>
      <c r="Y6688" s="114"/>
      <c r="Z6688" s="18"/>
      <c r="AA6688" s="18"/>
      <c r="AB6688" s="18"/>
      <c r="AC6688" s="137"/>
      <c r="AD6688" s="77"/>
      <c r="AE6688" s="18" t="s">
        <v>48</v>
      </c>
      <c r="AF6688" s="18"/>
      <c r="AG6688" s="18"/>
      <c r="AH6688" s="18"/>
      <c r="AI6688" s="18"/>
      <c r="AJ6688" s="18"/>
      <c r="AK6688" s="18"/>
      <c r="AL6688" s="18"/>
      <c r="AM6688" s="18"/>
      <c r="AN6688" s="18"/>
      <c r="AO6688" s="18"/>
      <c r="AP6688" s="18"/>
      <c r="AQ6688" s="18"/>
      <c r="AR6688" s="18"/>
    </row>
    <row r="6689" hidden="1" spans="1:44">
      <c r="A6689" s="18"/>
      <c r="B6689" s="75">
        <v>1067</v>
      </c>
      <c r="C6689" s="213">
        <v>45822</v>
      </c>
      <c r="D6689" s="18" t="s">
        <v>1550</v>
      </c>
      <c r="E6689" s="18" t="s">
        <v>1551</v>
      </c>
      <c r="F6689" s="18" t="s">
        <v>54</v>
      </c>
      <c r="G6689" s="18"/>
      <c r="H6689" s="75">
        <v>1.2311</v>
      </c>
      <c r="I6689" s="75"/>
      <c r="J6689" s="18" t="s">
        <v>82</v>
      </c>
      <c r="K6689" s="385">
        <v>510</v>
      </c>
      <c r="L6689" s="385">
        <v>32</v>
      </c>
      <c r="M6689" s="385">
        <v>2240</v>
      </c>
      <c r="N6689" s="75" t="s">
        <v>66</v>
      </c>
      <c r="O6689" s="75" t="s">
        <v>84</v>
      </c>
      <c r="P6689" s="385">
        <v>285</v>
      </c>
      <c r="Q6689" s="75"/>
      <c r="R6689" s="75">
        <f t="shared" si="287"/>
        <v>285</v>
      </c>
      <c r="S6689" s="75">
        <v>100</v>
      </c>
      <c r="T6689" s="75" t="s">
        <v>421</v>
      </c>
      <c r="U6689" s="137"/>
      <c r="V6689" s="193"/>
      <c r="W6689" s="18"/>
      <c r="X6689" s="18"/>
      <c r="Y6689" s="114"/>
      <c r="Z6689" s="18"/>
      <c r="AA6689" s="18"/>
      <c r="AB6689" s="18"/>
      <c r="AC6689" s="137"/>
      <c r="AD6689" s="77"/>
      <c r="AE6689" s="18" t="s">
        <v>48</v>
      </c>
      <c r="AF6689" s="18"/>
      <c r="AG6689" s="18"/>
      <c r="AH6689" s="18"/>
      <c r="AI6689" s="18"/>
      <c r="AJ6689" s="18"/>
      <c r="AK6689" s="18"/>
      <c r="AL6689" s="18"/>
      <c r="AM6689" s="18"/>
      <c r="AN6689" s="18"/>
      <c r="AO6689" s="18"/>
      <c r="AP6689" s="18"/>
      <c r="AQ6689" s="18"/>
      <c r="AR6689" s="18"/>
    </row>
    <row r="6690" hidden="1" spans="1:44">
      <c r="A6690" s="18"/>
      <c r="B6690" s="75">
        <v>1067</v>
      </c>
      <c r="C6690" s="213">
        <v>45822</v>
      </c>
      <c r="D6690" s="18" t="s">
        <v>1550</v>
      </c>
      <c r="E6690" s="18" t="s">
        <v>1551</v>
      </c>
      <c r="F6690" s="18" t="s">
        <v>54</v>
      </c>
      <c r="G6690" s="18"/>
      <c r="H6690" s="75">
        <v>1.2311</v>
      </c>
      <c r="I6690" s="75"/>
      <c r="J6690" s="18" t="s">
        <v>82</v>
      </c>
      <c r="K6690" s="385">
        <v>510</v>
      </c>
      <c r="L6690" s="385">
        <v>32</v>
      </c>
      <c r="M6690" s="385">
        <v>2232</v>
      </c>
      <c r="N6690" s="75" t="s">
        <v>66</v>
      </c>
      <c r="O6690" s="75" t="s">
        <v>84</v>
      </c>
      <c r="P6690" s="385">
        <v>284</v>
      </c>
      <c r="Q6690" s="75"/>
      <c r="R6690" s="75">
        <f t="shared" si="287"/>
        <v>284</v>
      </c>
      <c r="S6690" s="75">
        <v>100</v>
      </c>
      <c r="T6690" s="75" t="s">
        <v>421</v>
      </c>
      <c r="U6690" s="137"/>
      <c r="V6690" s="193"/>
      <c r="W6690" s="18"/>
      <c r="X6690" s="18"/>
      <c r="Y6690" s="114"/>
      <c r="Z6690" s="18"/>
      <c r="AA6690" s="18"/>
      <c r="AB6690" s="18"/>
      <c r="AC6690" s="137"/>
      <c r="AD6690" s="77"/>
      <c r="AE6690" s="18" t="s">
        <v>48</v>
      </c>
      <c r="AF6690" s="18"/>
      <c r="AG6690" s="18"/>
      <c r="AH6690" s="18"/>
      <c r="AI6690" s="18"/>
      <c r="AJ6690" s="18"/>
      <c r="AK6690" s="18"/>
      <c r="AL6690" s="18"/>
      <c r="AM6690" s="18"/>
      <c r="AN6690" s="18"/>
      <c r="AO6690" s="18"/>
      <c r="AP6690" s="18"/>
      <c r="AQ6690" s="18"/>
      <c r="AR6690" s="18"/>
    </row>
    <row r="6691" hidden="1" spans="1:44">
      <c r="A6691" s="18"/>
      <c r="B6691" s="75">
        <v>1067</v>
      </c>
      <c r="C6691" s="213">
        <v>45822</v>
      </c>
      <c r="D6691" s="18" t="s">
        <v>1550</v>
      </c>
      <c r="E6691" s="18" t="s">
        <v>1551</v>
      </c>
      <c r="F6691" s="18" t="s">
        <v>54</v>
      </c>
      <c r="G6691" s="18"/>
      <c r="H6691" s="75">
        <v>1.2311</v>
      </c>
      <c r="I6691" s="75"/>
      <c r="J6691" s="18" t="s">
        <v>82</v>
      </c>
      <c r="K6691" s="385">
        <v>510</v>
      </c>
      <c r="L6691" s="385">
        <v>32</v>
      </c>
      <c r="M6691" s="385">
        <v>2235</v>
      </c>
      <c r="N6691" s="75" t="s">
        <v>66</v>
      </c>
      <c r="O6691" s="75" t="s">
        <v>84</v>
      </c>
      <c r="P6691" s="385">
        <v>284</v>
      </c>
      <c r="Q6691" s="75"/>
      <c r="R6691" s="75">
        <f t="shared" si="287"/>
        <v>284</v>
      </c>
      <c r="S6691" s="75">
        <v>100</v>
      </c>
      <c r="T6691" s="75" t="s">
        <v>421</v>
      </c>
      <c r="U6691" s="137"/>
      <c r="V6691" s="193"/>
      <c r="W6691" s="18"/>
      <c r="X6691" s="18"/>
      <c r="Y6691" s="114"/>
      <c r="Z6691" s="18"/>
      <c r="AA6691" s="18"/>
      <c r="AB6691" s="18"/>
      <c r="AC6691" s="137"/>
      <c r="AD6691" s="77"/>
      <c r="AE6691" s="18" t="s">
        <v>48</v>
      </c>
      <c r="AF6691" s="18"/>
      <c r="AG6691" s="18"/>
      <c r="AH6691" s="18"/>
      <c r="AI6691" s="18"/>
      <c r="AJ6691" s="18"/>
      <c r="AK6691" s="18"/>
      <c r="AL6691" s="18"/>
      <c r="AM6691" s="18"/>
      <c r="AN6691" s="18"/>
      <c r="AO6691" s="18"/>
      <c r="AP6691" s="18"/>
      <c r="AQ6691" s="18"/>
      <c r="AR6691" s="18"/>
    </row>
    <row r="6692" hidden="1" spans="1:44">
      <c r="A6692" s="18"/>
      <c r="B6692" s="75">
        <v>1067</v>
      </c>
      <c r="C6692" s="213">
        <v>45822</v>
      </c>
      <c r="D6692" s="18" t="s">
        <v>1550</v>
      </c>
      <c r="E6692" s="18" t="s">
        <v>1551</v>
      </c>
      <c r="F6692" s="18" t="s">
        <v>54</v>
      </c>
      <c r="G6692" s="18"/>
      <c r="H6692" s="75">
        <v>1.2311</v>
      </c>
      <c r="I6692" s="75"/>
      <c r="J6692" s="18" t="s">
        <v>82</v>
      </c>
      <c r="K6692" s="385">
        <v>560</v>
      </c>
      <c r="L6692" s="385">
        <v>32</v>
      </c>
      <c r="M6692" s="385">
        <v>2237</v>
      </c>
      <c r="N6692" s="75" t="s">
        <v>66</v>
      </c>
      <c r="O6692" s="75" t="s">
        <v>84</v>
      </c>
      <c r="P6692" s="385">
        <v>313</v>
      </c>
      <c r="Q6692" s="75"/>
      <c r="R6692" s="75">
        <f t="shared" si="287"/>
        <v>313</v>
      </c>
      <c r="S6692" s="75">
        <v>100</v>
      </c>
      <c r="T6692" s="75" t="s">
        <v>421</v>
      </c>
      <c r="U6692" s="137"/>
      <c r="V6692" s="193"/>
      <c r="W6692" s="18"/>
      <c r="X6692" s="18"/>
      <c r="Y6692" s="114"/>
      <c r="Z6692" s="18"/>
      <c r="AA6692" s="18"/>
      <c r="AB6692" s="18"/>
      <c r="AC6692" s="137"/>
      <c r="AD6692" s="77"/>
      <c r="AE6692" s="18" t="s">
        <v>48</v>
      </c>
      <c r="AF6692" s="18"/>
      <c r="AG6692" s="18"/>
      <c r="AH6692" s="18"/>
      <c r="AI6692" s="18"/>
      <c r="AJ6692" s="18"/>
      <c r="AK6692" s="18"/>
      <c r="AL6692" s="18"/>
      <c r="AM6692" s="18"/>
      <c r="AN6692" s="18"/>
      <c r="AO6692" s="18"/>
      <c r="AP6692" s="18"/>
      <c r="AQ6692" s="18"/>
      <c r="AR6692" s="18"/>
    </row>
    <row r="6693" hidden="1" spans="1:44">
      <c r="A6693" s="18"/>
      <c r="B6693" s="75">
        <v>1067</v>
      </c>
      <c r="C6693" s="213">
        <v>45822</v>
      </c>
      <c r="D6693" s="18" t="s">
        <v>1550</v>
      </c>
      <c r="E6693" s="18" t="s">
        <v>1551</v>
      </c>
      <c r="F6693" s="18" t="s">
        <v>54</v>
      </c>
      <c r="G6693" s="18"/>
      <c r="H6693" s="75">
        <v>1.2311</v>
      </c>
      <c r="I6693" s="75"/>
      <c r="J6693" s="18" t="s">
        <v>82</v>
      </c>
      <c r="K6693" s="385">
        <v>560</v>
      </c>
      <c r="L6693" s="385">
        <v>32</v>
      </c>
      <c r="M6693" s="385">
        <v>2230</v>
      </c>
      <c r="N6693" s="75" t="s">
        <v>66</v>
      </c>
      <c r="O6693" s="75" t="s">
        <v>84</v>
      </c>
      <c r="P6693" s="385">
        <v>311</v>
      </c>
      <c r="Q6693" s="75"/>
      <c r="R6693" s="75">
        <f t="shared" si="287"/>
        <v>311</v>
      </c>
      <c r="S6693" s="75">
        <v>100</v>
      </c>
      <c r="T6693" s="75" t="s">
        <v>421</v>
      </c>
      <c r="U6693" s="137"/>
      <c r="V6693" s="193"/>
      <c r="W6693" s="18"/>
      <c r="X6693" s="18"/>
      <c r="Y6693" s="114"/>
      <c r="Z6693" s="18"/>
      <c r="AA6693" s="18"/>
      <c r="AB6693" s="18"/>
      <c r="AC6693" s="137"/>
      <c r="AD6693" s="77"/>
      <c r="AE6693" s="18" t="s">
        <v>48</v>
      </c>
      <c r="AF6693" s="18"/>
      <c r="AG6693" s="18"/>
      <c r="AH6693" s="18"/>
      <c r="AI6693" s="18"/>
      <c r="AJ6693" s="18"/>
      <c r="AK6693" s="18"/>
      <c r="AL6693" s="18"/>
      <c r="AM6693" s="18"/>
      <c r="AN6693" s="18"/>
      <c r="AO6693" s="18"/>
      <c r="AP6693" s="18"/>
      <c r="AQ6693" s="18"/>
      <c r="AR6693" s="18"/>
    </row>
    <row r="6694" hidden="1" spans="1:44">
      <c r="A6694" s="18"/>
      <c r="B6694" s="75">
        <v>1067</v>
      </c>
      <c r="C6694" s="213">
        <v>45822</v>
      </c>
      <c r="D6694" s="18" t="s">
        <v>1550</v>
      </c>
      <c r="E6694" s="18" t="s">
        <v>1551</v>
      </c>
      <c r="F6694" s="18" t="s">
        <v>54</v>
      </c>
      <c r="G6694" s="18"/>
      <c r="H6694" s="75">
        <v>1.2311</v>
      </c>
      <c r="I6694" s="75"/>
      <c r="J6694" s="18" t="s">
        <v>49</v>
      </c>
      <c r="K6694" s="385">
        <v>710</v>
      </c>
      <c r="L6694" s="385">
        <v>25</v>
      </c>
      <c r="M6694" s="385">
        <v>2225</v>
      </c>
      <c r="N6694" s="75" t="s">
        <v>66</v>
      </c>
      <c r="O6694" s="75" t="s">
        <v>84</v>
      </c>
      <c r="P6694" s="385">
        <v>333</v>
      </c>
      <c r="Q6694" s="75"/>
      <c r="R6694" s="75">
        <f t="shared" si="287"/>
        <v>333</v>
      </c>
      <c r="S6694" s="75">
        <v>100</v>
      </c>
      <c r="T6694" s="75" t="s">
        <v>421</v>
      </c>
      <c r="U6694" s="137"/>
      <c r="V6694" s="193"/>
      <c r="W6694" s="18"/>
      <c r="X6694" s="18"/>
      <c r="Y6694" s="114"/>
      <c r="Z6694" s="18"/>
      <c r="AA6694" s="18"/>
      <c r="AB6694" s="18"/>
      <c r="AC6694" s="137"/>
      <c r="AD6694" s="77"/>
      <c r="AE6694" s="18" t="s">
        <v>48</v>
      </c>
      <c r="AF6694" s="18"/>
      <c r="AG6694" s="18"/>
      <c r="AH6694" s="18"/>
      <c r="AI6694" s="18"/>
      <c r="AJ6694" s="18"/>
      <c r="AK6694" s="18"/>
      <c r="AL6694" s="18"/>
      <c r="AM6694" s="18"/>
      <c r="AN6694" s="18"/>
      <c r="AO6694" s="18"/>
      <c r="AP6694" s="18"/>
      <c r="AQ6694" s="18"/>
      <c r="AR6694" s="18"/>
    </row>
    <row r="6695" hidden="1" spans="1:44">
      <c r="A6695" s="18"/>
      <c r="B6695" s="75">
        <v>1067</v>
      </c>
      <c r="C6695" s="213">
        <v>45822</v>
      </c>
      <c r="D6695" s="18" t="s">
        <v>1550</v>
      </c>
      <c r="E6695" s="18" t="s">
        <v>1551</v>
      </c>
      <c r="F6695" s="18" t="s">
        <v>54</v>
      </c>
      <c r="G6695" s="18"/>
      <c r="H6695" s="75">
        <v>1.2311</v>
      </c>
      <c r="I6695" s="75"/>
      <c r="J6695" s="18" t="s">
        <v>49</v>
      </c>
      <c r="K6695" s="385">
        <v>710</v>
      </c>
      <c r="L6695" s="385">
        <v>25</v>
      </c>
      <c r="M6695" s="385">
        <v>2225</v>
      </c>
      <c r="N6695" s="75" t="s">
        <v>66</v>
      </c>
      <c r="O6695" s="75" t="s">
        <v>84</v>
      </c>
      <c r="P6695" s="385">
        <v>334</v>
      </c>
      <c r="Q6695" s="75"/>
      <c r="R6695" s="75">
        <f t="shared" si="287"/>
        <v>334</v>
      </c>
      <c r="S6695" s="75">
        <v>100</v>
      </c>
      <c r="T6695" s="75" t="s">
        <v>421</v>
      </c>
      <c r="U6695" s="137"/>
      <c r="V6695" s="193"/>
      <c r="W6695" s="18"/>
      <c r="X6695" s="18"/>
      <c r="Y6695" s="114"/>
      <c r="Z6695" s="18"/>
      <c r="AA6695" s="18"/>
      <c r="AB6695" s="18"/>
      <c r="AC6695" s="137"/>
      <c r="AD6695" s="77"/>
      <c r="AE6695" s="18" t="s">
        <v>48</v>
      </c>
      <c r="AF6695" s="18"/>
      <c r="AG6695" s="18"/>
      <c r="AH6695" s="18"/>
      <c r="AI6695" s="18"/>
      <c r="AJ6695" s="18"/>
      <c r="AK6695" s="18"/>
      <c r="AL6695" s="18"/>
      <c r="AM6695" s="18"/>
      <c r="AN6695" s="18"/>
      <c r="AO6695" s="18"/>
      <c r="AP6695" s="18"/>
      <c r="AQ6695" s="18"/>
      <c r="AR6695" s="18"/>
    </row>
    <row r="6696" hidden="1" spans="1:44">
      <c r="A6696" s="18"/>
      <c r="B6696" s="75">
        <v>1067</v>
      </c>
      <c r="C6696" s="213">
        <v>45822</v>
      </c>
      <c r="D6696" s="18" t="s">
        <v>1550</v>
      </c>
      <c r="E6696" s="18" t="s">
        <v>1551</v>
      </c>
      <c r="F6696" s="18" t="s">
        <v>54</v>
      </c>
      <c r="G6696" s="18"/>
      <c r="H6696" s="75">
        <v>1.2311</v>
      </c>
      <c r="I6696" s="75"/>
      <c r="J6696" s="18" t="s">
        <v>49</v>
      </c>
      <c r="K6696" s="385">
        <v>710</v>
      </c>
      <c r="L6696" s="385">
        <v>25</v>
      </c>
      <c r="M6696" s="385">
        <v>2230</v>
      </c>
      <c r="N6696" s="75" t="s">
        <v>66</v>
      </c>
      <c r="O6696" s="75" t="s">
        <v>84</v>
      </c>
      <c r="P6696" s="385">
        <v>334</v>
      </c>
      <c r="Q6696" s="75"/>
      <c r="R6696" s="75">
        <f t="shared" si="287"/>
        <v>334</v>
      </c>
      <c r="S6696" s="75">
        <v>100</v>
      </c>
      <c r="T6696" s="75" t="s">
        <v>421</v>
      </c>
      <c r="U6696" s="137"/>
      <c r="V6696" s="193"/>
      <c r="W6696" s="18"/>
      <c r="X6696" s="18"/>
      <c r="Y6696" s="114"/>
      <c r="Z6696" s="18"/>
      <c r="AA6696" s="18"/>
      <c r="AB6696" s="18"/>
      <c r="AC6696" s="137"/>
      <c r="AD6696" s="77"/>
      <c r="AE6696" s="18" t="s">
        <v>48</v>
      </c>
      <c r="AF6696" s="18"/>
      <c r="AG6696" s="18"/>
      <c r="AH6696" s="18"/>
      <c r="AI6696" s="18"/>
      <c r="AJ6696" s="18"/>
      <c r="AK6696" s="18"/>
      <c r="AL6696" s="18"/>
      <c r="AM6696" s="18"/>
      <c r="AN6696" s="18"/>
      <c r="AO6696" s="18"/>
      <c r="AP6696" s="18"/>
      <c r="AQ6696" s="18"/>
      <c r="AR6696" s="18"/>
    </row>
    <row r="6697" hidden="1" spans="1:44">
      <c r="A6697" s="18"/>
      <c r="B6697" s="75">
        <v>1067</v>
      </c>
      <c r="C6697" s="213">
        <v>45822</v>
      </c>
      <c r="D6697" s="18" t="s">
        <v>1550</v>
      </c>
      <c r="E6697" s="18" t="s">
        <v>1551</v>
      </c>
      <c r="F6697" s="18" t="s">
        <v>54</v>
      </c>
      <c r="G6697" s="18"/>
      <c r="H6697" s="75">
        <v>1.2311</v>
      </c>
      <c r="I6697" s="75"/>
      <c r="J6697" s="18" t="s">
        <v>49</v>
      </c>
      <c r="K6697" s="385">
        <v>710</v>
      </c>
      <c r="L6697" s="385">
        <v>25</v>
      </c>
      <c r="M6697" s="385">
        <v>2223</v>
      </c>
      <c r="N6697" s="75" t="s">
        <v>66</v>
      </c>
      <c r="O6697" s="75" t="s">
        <v>84</v>
      </c>
      <c r="P6697" s="385">
        <v>333</v>
      </c>
      <c r="Q6697" s="75"/>
      <c r="R6697" s="75">
        <f t="shared" si="287"/>
        <v>333</v>
      </c>
      <c r="S6697" s="75">
        <v>100</v>
      </c>
      <c r="T6697" s="75" t="s">
        <v>421</v>
      </c>
      <c r="U6697" s="137"/>
      <c r="V6697" s="193"/>
      <c r="W6697" s="18"/>
      <c r="X6697" s="18"/>
      <c r="Y6697" s="114"/>
      <c r="Z6697" s="18"/>
      <c r="AA6697" s="18"/>
      <c r="AB6697" s="18"/>
      <c r="AC6697" s="137"/>
      <c r="AD6697" s="77"/>
      <c r="AE6697" s="18" t="s">
        <v>48</v>
      </c>
      <c r="AF6697" s="18"/>
      <c r="AG6697" s="18"/>
      <c r="AH6697" s="18"/>
      <c r="AI6697" s="18"/>
      <c r="AJ6697" s="18"/>
      <c r="AK6697" s="18"/>
      <c r="AL6697" s="18"/>
      <c r="AM6697" s="18"/>
      <c r="AN6697" s="18"/>
      <c r="AO6697" s="18"/>
      <c r="AP6697" s="18"/>
      <c r="AQ6697" s="18"/>
      <c r="AR6697" s="18"/>
    </row>
    <row r="6698" hidden="1" spans="1:44">
      <c r="A6698" s="18"/>
      <c r="B6698" s="75">
        <v>1067</v>
      </c>
      <c r="C6698" s="213">
        <v>45822</v>
      </c>
      <c r="D6698" s="18" t="s">
        <v>1550</v>
      </c>
      <c r="E6698" s="18" t="s">
        <v>1551</v>
      </c>
      <c r="F6698" s="18" t="s">
        <v>54</v>
      </c>
      <c r="G6698" s="18"/>
      <c r="H6698" s="75">
        <v>1.2311</v>
      </c>
      <c r="I6698" s="75"/>
      <c r="J6698" s="18" t="s">
        <v>49</v>
      </c>
      <c r="K6698" s="385">
        <v>710</v>
      </c>
      <c r="L6698" s="385">
        <v>81</v>
      </c>
      <c r="M6698" s="385">
        <v>2210</v>
      </c>
      <c r="N6698" s="75" t="s">
        <v>66</v>
      </c>
      <c r="O6698" s="75" t="s">
        <v>84</v>
      </c>
      <c r="P6698" s="385">
        <v>1014</v>
      </c>
      <c r="Q6698" s="75"/>
      <c r="R6698" s="75">
        <f t="shared" si="287"/>
        <v>1014</v>
      </c>
      <c r="S6698" s="75">
        <v>100</v>
      </c>
      <c r="T6698" s="75" t="s">
        <v>421</v>
      </c>
      <c r="U6698" s="137"/>
      <c r="V6698" s="193"/>
      <c r="W6698" s="18"/>
      <c r="X6698" s="18"/>
      <c r="Y6698" s="114"/>
      <c r="Z6698" s="18"/>
      <c r="AA6698" s="18"/>
      <c r="AB6698" s="18"/>
      <c r="AC6698" s="137"/>
      <c r="AD6698" s="77"/>
      <c r="AE6698" s="18" t="s">
        <v>48</v>
      </c>
      <c r="AF6698" s="18"/>
      <c r="AG6698" s="18"/>
      <c r="AH6698" s="18"/>
      <c r="AI6698" s="18"/>
      <c r="AJ6698" s="18"/>
      <c r="AK6698" s="18"/>
      <c r="AL6698" s="18"/>
      <c r="AM6698" s="18"/>
      <c r="AN6698" s="18"/>
      <c r="AO6698" s="18"/>
      <c r="AP6698" s="18"/>
      <c r="AQ6698" s="18"/>
      <c r="AR6698" s="18"/>
    </row>
    <row r="6699" hidden="1" spans="1:44">
      <c r="A6699" s="18"/>
      <c r="B6699" s="75">
        <v>1067</v>
      </c>
      <c r="C6699" s="213">
        <v>45822</v>
      </c>
      <c r="D6699" s="18" t="s">
        <v>1550</v>
      </c>
      <c r="E6699" s="18" t="s">
        <v>1551</v>
      </c>
      <c r="F6699" s="18" t="s">
        <v>54</v>
      </c>
      <c r="G6699" s="18"/>
      <c r="H6699" s="75">
        <v>1.2311</v>
      </c>
      <c r="I6699" s="75"/>
      <c r="J6699" s="18" t="s">
        <v>49</v>
      </c>
      <c r="K6699" s="386">
        <v>710</v>
      </c>
      <c r="L6699" s="385">
        <v>91</v>
      </c>
      <c r="M6699" s="385">
        <v>2195</v>
      </c>
      <c r="N6699" s="75" t="s">
        <v>66</v>
      </c>
      <c r="O6699" s="75" t="s">
        <v>84</v>
      </c>
      <c r="P6699" s="385">
        <v>1126</v>
      </c>
      <c r="Q6699" s="75"/>
      <c r="R6699" s="75">
        <f t="shared" si="287"/>
        <v>1126</v>
      </c>
      <c r="S6699" s="75">
        <v>100</v>
      </c>
      <c r="T6699" s="75" t="s">
        <v>421</v>
      </c>
      <c r="U6699" s="137"/>
      <c r="V6699" s="193"/>
      <c r="W6699" s="18"/>
      <c r="X6699" s="18"/>
      <c r="Y6699" s="114"/>
      <c r="Z6699" s="18"/>
      <c r="AA6699" s="18"/>
      <c r="AB6699" s="18"/>
      <c r="AC6699" s="137"/>
      <c r="AD6699" s="77"/>
      <c r="AE6699" s="18" t="s">
        <v>48</v>
      </c>
      <c r="AF6699" s="18"/>
      <c r="AG6699" s="18"/>
      <c r="AH6699" s="18"/>
      <c r="AI6699" s="18"/>
      <c r="AJ6699" s="18"/>
      <c r="AK6699" s="18"/>
      <c r="AL6699" s="18"/>
      <c r="AM6699" s="18"/>
      <c r="AN6699" s="18"/>
      <c r="AO6699" s="18"/>
      <c r="AP6699" s="18"/>
      <c r="AQ6699" s="18"/>
      <c r="AR6699" s="18"/>
    </row>
    <row r="6700" s="25" customFormat="1" hidden="1" spans="1:44">
      <c r="A6700" s="17" t="s">
        <v>34</v>
      </c>
      <c r="B6700" s="19">
        <v>1068</v>
      </c>
      <c r="C6700" s="183">
        <v>45829</v>
      </c>
      <c r="D6700" s="17" t="s">
        <v>52</v>
      </c>
      <c r="E6700" s="17" t="s">
        <v>1113</v>
      </c>
      <c r="F6700" s="17" t="s">
        <v>54</v>
      </c>
      <c r="G6700" s="17"/>
      <c r="H6700" s="19">
        <v>1.2738</v>
      </c>
      <c r="I6700" s="19"/>
      <c r="J6700" s="17" t="s">
        <v>49</v>
      </c>
      <c r="K6700" s="184">
        <v>2200</v>
      </c>
      <c r="L6700" s="19">
        <v>32</v>
      </c>
      <c r="M6700" s="19">
        <v>5000</v>
      </c>
      <c r="N6700" s="19" t="s">
        <v>66</v>
      </c>
      <c r="O6700" s="19"/>
      <c r="P6700" s="369">
        <v>2763</v>
      </c>
      <c r="Q6700" s="19">
        <v>2821</v>
      </c>
      <c r="S6700" s="19">
        <f t="shared" ref="S6700:S6707" si="288">1075-50</f>
        <v>1025</v>
      </c>
      <c r="T6700" s="19" t="s">
        <v>42</v>
      </c>
      <c r="U6700" s="102" t="s">
        <v>1587</v>
      </c>
      <c r="V6700" s="186">
        <v>45856</v>
      </c>
      <c r="W6700" s="17" t="s">
        <v>44</v>
      </c>
      <c r="X6700" s="17"/>
      <c r="Y6700" s="68"/>
      <c r="Z6700" s="17" t="s">
        <v>207</v>
      </c>
      <c r="AA6700" s="17" t="s">
        <v>46</v>
      </c>
      <c r="AB6700" s="17" t="s">
        <v>1576</v>
      </c>
      <c r="AC6700" s="217">
        <v>45863</v>
      </c>
      <c r="AD6700" s="65">
        <v>1710</v>
      </c>
      <c r="AE6700" s="17" t="s">
        <v>48</v>
      </c>
      <c r="AF6700" s="17" t="s">
        <v>1577</v>
      </c>
      <c r="AG6700" s="17" t="s">
        <v>1464</v>
      </c>
      <c r="AI6700" s="17"/>
      <c r="AJ6700" s="17"/>
      <c r="AK6700" s="17"/>
      <c r="AL6700" s="17"/>
      <c r="AM6700" s="17"/>
      <c r="AN6700" s="17"/>
      <c r="AO6700" s="17"/>
      <c r="AP6700" s="17"/>
      <c r="AQ6700" s="17"/>
      <c r="AR6700" s="17"/>
    </row>
    <row r="6701" s="25" customFormat="1" hidden="1" spans="1:44">
      <c r="A6701" s="17" t="s">
        <v>34</v>
      </c>
      <c r="B6701" s="19">
        <v>1068</v>
      </c>
      <c r="C6701" s="183">
        <v>45829</v>
      </c>
      <c r="D6701" s="17" t="s">
        <v>52</v>
      </c>
      <c r="E6701" s="17" t="s">
        <v>1555</v>
      </c>
      <c r="F6701" s="17" t="s">
        <v>54</v>
      </c>
      <c r="G6701" s="17"/>
      <c r="H6701" s="19">
        <v>1.2738</v>
      </c>
      <c r="I6701" s="19"/>
      <c r="J6701" s="17" t="s">
        <v>49</v>
      </c>
      <c r="K6701" s="184">
        <v>2200</v>
      </c>
      <c r="L6701" s="19">
        <v>32</v>
      </c>
      <c r="M6701" s="19">
        <v>5000</v>
      </c>
      <c r="N6701" s="19" t="s">
        <v>66</v>
      </c>
      <c r="O6701" s="19" t="s">
        <v>141</v>
      </c>
      <c r="P6701" s="369"/>
      <c r="Q6701" s="19">
        <v>2830</v>
      </c>
      <c r="R6701" s="99">
        <f>+P6700-Q6700-Q6701</f>
        <v>-2888</v>
      </c>
      <c r="S6701" s="19">
        <f t="shared" si="288"/>
        <v>1025</v>
      </c>
      <c r="T6701" s="19" t="s">
        <v>42</v>
      </c>
      <c r="U6701" s="102" t="s">
        <v>1587</v>
      </c>
      <c r="V6701" s="186">
        <v>45856</v>
      </c>
      <c r="W6701" s="17" t="s">
        <v>44</v>
      </c>
      <c r="X6701" s="17"/>
      <c r="Y6701" s="68">
        <v>45870</v>
      </c>
      <c r="Z6701" s="17" t="s">
        <v>1588</v>
      </c>
      <c r="AA6701" s="17" t="s">
        <v>46</v>
      </c>
      <c r="AB6701" s="17" t="s">
        <v>1589</v>
      </c>
      <c r="AC6701" s="217">
        <v>45882</v>
      </c>
      <c r="AD6701" s="65">
        <v>1712</v>
      </c>
      <c r="AE6701" s="17" t="s">
        <v>48</v>
      </c>
      <c r="AF6701" s="17" t="s">
        <v>1577</v>
      </c>
      <c r="AG6701" s="17" t="s">
        <v>1456</v>
      </c>
      <c r="AH6701" s="17"/>
      <c r="AI6701" s="17"/>
      <c r="AJ6701" s="17"/>
      <c r="AK6701" s="17"/>
      <c r="AL6701" s="17"/>
      <c r="AM6701" s="17"/>
      <c r="AN6701" s="17"/>
      <c r="AO6701" s="17"/>
      <c r="AP6701" s="17"/>
      <c r="AQ6701" s="17"/>
      <c r="AR6701" s="17"/>
    </row>
    <row r="6702" s="25" customFormat="1" hidden="1" spans="1:44">
      <c r="A6702" s="17" t="s">
        <v>34</v>
      </c>
      <c r="B6702" s="19">
        <v>1068</v>
      </c>
      <c r="C6702" s="183">
        <v>45829</v>
      </c>
      <c r="D6702" s="17" t="s">
        <v>52</v>
      </c>
      <c r="E6702" s="17" t="s">
        <v>1555</v>
      </c>
      <c r="F6702" s="17" t="s">
        <v>54</v>
      </c>
      <c r="G6702" s="17"/>
      <c r="H6702" s="19">
        <v>1.2738</v>
      </c>
      <c r="I6702" s="19"/>
      <c r="J6702" s="17" t="s">
        <v>49</v>
      </c>
      <c r="K6702" s="184">
        <v>2200</v>
      </c>
      <c r="L6702" s="19">
        <v>40</v>
      </c>
      <c r="M6702" s="19">
        <v>5000</v>
      </c>
      <c r="N6702" s="19" t="s">
        <v>66</v>
      </c>
      <c r="O6702" s="19" t="s">
        <v>141</v>
      </c>
      <c r="P6702" s="369">
        <v>3454</v>
      </c>
      <c r="Q6702" s="19">
        <v>4044</v>
      </c>
      <c r="R6702" s="19">
        <f t="shared" ref="R6702:R6714" si="289">+P6702-Q6702</f>
        <v>-590</v>
      </c>
      <c r="S6702" s="19">
        <f t="shared" si="288"/>
        <v>1025</v>
      </c>
      <c r="T6702" s="19" t="s">
        <v>42</v>
      </c>
      <c r="U6702" s="102" t="s">
        <v>1587</v>
      </c>
      <c r="V6702" s="186">
        <v>45856</v>
      </c>
      <c r="W6702" s="17" t="s">
        <v>44</v>
      </c>
      <c r="X6702" s="17"/>
      <c r="Y6702" s="68">
        <v>45870</v>
      </c>
      <c r="Z6702" s="17" t="s">
        <v>1588</v>
      </c>
      <c r="AA6702" s="17" t="s">
        <v>46</v>
      </c>
      <c r="AB6702" s="17" t="s">
        <v>1589</v>
      </c>
      <c r="AC6702" s="217">
        <v>45882</v>
      </c>
      <c r="AD6702" s="65">
        <v>1712</v>
      </c>
      <c r="AE6702" s="17" t="s">
        <v>48</v>
      </c>
      <c r="AF6702" s="17" t="s">
        <v>1577</v>
      </c>
      <c r="AG6702" s="17" t="s">
        <v>1456</v>
      </c>
      <c r="AH6702" s="17"/>
      <c r="AI6702" s="17"/>
      <c r="AJ6702" s="17"/>
      <c r="AK6702" s="17"/>
      <c r="AL6702" s="17"/>
      <c r="AM6702" s="17"/>
      <c r="AN6702" s="17"/>
      <c r="AO6702" s="17"/>
      <c r="AP6702" s="17"/>
      <c r="AQ6702" s="17"/>
      <c r="AR6702" s="17"/>
    </row>
    <row r="6703" s="25" customFormat="1" hidden="1" spans="1:44">
      <c r="A6703" s="17" t="s">
        <v>34</v>
      </c>
      <c r="B6703" s="19">
        <v>1068</v>
      </c>
      <c r="C6703" s="183">
        <v>45829</v>
      </c>
      <c r="D6703" s="17" t="s">
        <v>52</v>
      </c>
      <c r="E6703" s="17" t="s">
        <v>1555</v>
      </c>
      <c r="F6703" s="17" t="s">
        <v>54</v>
      </c>
      <c r="G6703" s="17"/>
      <c r="H6703" s="19">
        <v>1.2738</v>
      </c>
      <c r="I6703" s="19"/>
      <c r="J6703" s="17" t="s">
        <v>49</v>
      </c>
      <c r="K6703" s="184">
        <v>2200</v>
      </c>
      <c r="L6703" s="19">
        <v>50</v>
      </c>
      <c r="M6703" s="19">
        <v>5000</v>
      </c>
      <c r="N6703" s="19" t="s">
        <v>66</v>
      </c>
      <c r="O6703" s="19" t="s">
        <v>141</v>
      </c>
      <c r="P6703" s="369">
        <v>4318</v>
      </c>
      <c r="Q6703" s="19">
        <v>4510</v>
      </c>
      <c r="R6703" s="19">
        <f t="shared" si="289"/>
        <v>-192</v>
      </c>
      <c r="S6703" s="19">
        <f t="shared" si="288"/>
        <v>1025</v>
      </c>
      <c r="T6703" s="19" t="s">
        <v>42</v>
      </c>
      <c r="U6703" s="102" t="s">
        <v>1587</v>
      </c>
      <c r="V6703" s="186">
        <v>45856</v>
      </c>
      <c r="W6703" s="17" t="s">
        <v>44</v>
      </c>
      <c r="X6703" s="17"/>
      <c r="Y6703" s="68">
        <v>45870</v>
      </c>
      <c r="Z6703" s="17" t="s">
        <v>1588</v>
      </c>
      <c r="AA6703" s="17" t="s">
        <v>46</v>
      </c>
      <c r="AB6703" s="17" t="s">
        <v>1589</v>
      </c>
      <c r="AC6703" s="217">
        <v>45882</v>
      </c>
      <c r="AD6703" s="65">
        <v>1712</v>
      </c>
      <c r="AE6703" s="17" t="s">
        <v>48</v>
      </c>
      <c r="AF6703" s="17" t="s">
        <v>1577</v>
      </c>
      <c r="AG6703" s="17" t="s">
        <v>1456</v>
      </c>
      <c r="AH6703" s="17"/>
      <c r="AI6703" s="17"/>
      <c r="AJ6703" s="17"/>
      <c r="AK6703" s="17"/>
      <c r="AL6703" s="17"/>
      <c r="AM6703" s="17"/>
      <c r="AN6703" s="17"/>
      <c r="AO6703" s="17"/>
      <c r="AP6703" s="17"/>
      <c r="AQ6703" s="17"/>
      <c r="AR6703" s="17"/>
    </row>
    <row r="6704" s="25" customFormat="1" hidden="1" spans="1:44">
      <c r="A6704" s="17" t="s">
        <v>34</v>
      </c>
      <c r="B6704" s="19">
        <v>1068</v>
      </c>
      <c r="C6704" s="183">
        <v>45829</v>
      </c>
      <c r="D6704" s="17" t="s">
        <v>52</v>
      </c>
      <c r="E6704" s="17" t="s">
        <v>1555</v>
      </c>
      <c r="F6704" s="17" t="s">
        <v>54</v>
      </c>
      <c r="G6704" s="17"/>
      <c r="H6704" s="19">
        <v>1.2738</v>
      </c>
      <c r="I6704" s="19"/>
      <c r="J6704" s="17" t="s">
        <v>49</v>
      </c>
      <c r="K6704" s="184">
        <v>2200</v>
      </c>
      <c r="L6704" s="19">
        <v>60</v>
      </c>
      <c r="M6704" s="19">
        <v>5000</v>
      </c>
      <c r="N6704" s="19" t="s">
        <v>66</v>
      </c>
      <c r="O6704" s="19" t="s">
        <v>141</v>
      </c>
      <c r="P6704" s="369">
        <v>5181</v>
      </c>
      <c r="Q6704" s="19">
        <v>5190</v>
      </c>
      <c r="R6704" s="19">
        <f t="shared" si="289"/>
        <v>-9</v>
      </c>
      <c r="S6704" s="19">
        <f t="shared" si="288"/>
        <v>1025</v>
      </c>
      <c r="T6704" s="19" t="s">
        <v>42</v>
      </c>
      <c r="U6704" s="102" t="s">
        <v>1587</v>
      </c>
      <c r="V6704" s="186">
        <v>45856</v>
      </c>
      <c r="W6704" s="17" t="s">
        <v>44</v>
      </c>
      <c r="X6704" s="17"/>
      <c r="Y6704" s="68">
        <v>45870</v>
      </c>
      <c r="Z6704" s="17" t="s">
        <v>1588</v>
      </c>
      <c r="AA6704" s="17" t="s">
        <v>46</v>
      </c>
      <c r="AB6704" s="17" t="s">
        <v>1589</v>
      </c>
      <c r="AC6704" s="217">
        <v>45882</v>
      </c>
      <c r="AD6704" s="65">
        <v>1712</v>
      </c>
      <c r="AE6704" s="17" t="s">
        <v>48</v>
      </c>
      <c r="AF6704" s="17" t="s">
        <v>1577</v>
      </c>
      <c r="AG6704" s="17" t="s">
        <v>1456</v>
      </c>
      <c r="AH6704" s="17"/>
      <c r="AI6704" s="17"/>
      <c r="AJ6704" s="17"/>
      <c r="AK6704" s="17"/>
      <c r="AL6704" s="17"/>
      <c r="AM6704" s="17"/>
      <c r="AN6704" s="17"/>
      <c r="AO6704" s="17"/>
      <c r="AP6704" s="17"/>
      <c r="AQ6704" s="17"/>
      <c r="AR6704" s="17"/>
    </row>
    <row r="6705" s="25" customFormat="1" hidden="1" spans="1:44">
      <c r="A6705" s="17" t="s">
        <v>34</v>
      </c>
      <c r="B6705" s="19">
        <v>1068</v>
      </c>
      <c r="C6705" s="183">
        <v>45829</v>
      </c>
      <c r="D6705" s="17" t="s">
        <v>52</v>
      </c>
      <c r="E6705" s="17" t="s">
        <v>1555</v>
      </c>
      <c r="F6705" s="17" t="s">
        <v>54</v>
      </c>
      <c r="G6705" s="17"/>
      <c r="H6705" s="19">
        <v>1.2738</v>
      </c>
      <c r="I6705" s="19"/>
      <c r="J6705" s="17" t="s">
        <v>49</v>
      </c>
      <c r="K6705" s="184">
        <v>2200</v>
      </c>
      <c r="L6705" s="19">
        <v>70</v>
      </c>
      <c r="M6705" s="19">
        <v>5000</v>
      </c>
      <c r="N6705" s="19" t="s">
        <v>66</v>
      </c>
      <c r="O6705" s="19" t="s">
        <v>141</v>
      </c>
      <c r="P6705" s="369">
        <v>6045</v>
      </c>
      <c r="Q6705" s="19">
        <v>6240</v>
      </c>
      <c r="R6705" s="19">
        <f t="shared" si="289"/>
        <v>-195</v>
      </c>
      <c r="S6705" s="19">
        <f t="shared" si="288"/>
        <v>1025</v>
      </c>
      <c r="T6705" s="19" t="s">
        <v>42</v>
      </c>
      <c r="U6705" s="102" t="s">
        <v>1587</v>
      </c>
      <c r="V6705" s="186">
        <v>45856</v>
      </c>
      <c r="W6705" s="17" t="s">
        <v>44</v>
      </c>
      <c r="X6705" s="17"/>
      <c r="Y6705" s="68">
        <v>45870</v>
      </c>
      <c r="Z6705" s="17" t="s">
        <v>1588</v>
      </c>
      <c r="AA6705" s="17" t="s">
        <v>46</v>
      </c>
      <c r="AB6705" s="17" t="s">
        <v>1589</v>
      </c>
      <c r="AC6705" s="217">
        <v>45882</v>
      </c>
      <c r="AD6705" s="65">
        <v>1712</v>
      </c>
      <c r="AE6705" s="17" t="s">
        <v>48</v>
      </c>
      <c r="AF6705" s="17" t="s">
        <v>1577</v>
      </c>
      <c r="AG6705" s="17" t="s">
        <v>1456</v>
      </c>
      <c r="AH6705" s="17"/>
      <c r="AI6705" s="17"/>
      <c r="AJ6705" s="17"/>
      <c r="AK6705" s="17"/>
      <c r="AL6705" s="17"/>
      <c r="AM6705" s="17"/>
      <c r="AN6705" s="17"/>
      <c r="AO6705" s="17"/>
      <c r="AP6705" s="17"/>
      <c r="AQ6705" s="17"/>
      <c r="AR6705" s="17"/>
    </row>
    <row r="6706" s="25" customFormat="1" hidden="1" spans="1:44">
      <c r="A6706" s="17" t="s">
        <v>34</v>
      </c>
      <c r="B6706" s="19">
        <v>1068</v>
      </c>
      <c r="C6706" s="183">
        <v>45829</v>
      </c>
      <c r="D6706" s="17" t="s">
        <v>52</v>
      </c>
      <c r="E6706" s="17" t="s">
        <v>1555</v>
      </c>
      <c r="F6706" s="17" t="s">
        <v>54</v>
      </c>
      <c r="G6706" s="17"/>
      <c r="H6706" s="19">
        <v>1.2738</v>
      </c>
      <c r="I6706" s="19"/>
      <c r="J6706" s="17" t="s">
        <v>49</v>
      </c>
      <c r="K6706" s="184">
        <v>2200</v>
      </c>
      <c r="L6706" s="19">
        <v>80</v>
      </c>
      <c r="M6706" s="19">
        <v>5000</v>
      </c>
      <c r="N6706" s="19" t="s">
        <v>66</v>
      </c>
      <c r="O6706" s="19" t="s">
        <v>141</v>
      </c>
      <c r="P6706" s="369">
        <v>6908</v>
      </c>
      <c r="Q6706" s="19">
        <v>7410</v>
      </c>
      <c r="R6706" s="19">
        <f t="shared" si="289"/>
        <v>-502</v>
      </c>
      <c r="S6706" s="19">
        <f t="shared" si="288"/>
        <v>1025</v>
      </c>
      <c r="T6706" s="19" t="s">
        <v>42</v>
      </c>
      <c r="U6706" s="102" t="s">
        <v>1587</v>
      </c>
      <c r="V6706" s="186">
        <v>45856</v>
      </c>
      <c r="W6706" s="17" t="s">
        <v>44</v>
      </c>
      <c r="X6706" s="17"/>
      <c r="Y6706" s="68">
        <v>45870</v>
      </c>
      <c r="Z6706" s="17" t="s">
        <v>1588</v>
      </c>
      <c r="AA6706" s="17" t="s">
        <v>46</v>
      </c>
      <c r="AB6706" s="17" t="s">
        <v>1589</v>
      </c>
      <c r="AC6706" s="217">
        <v>45882</v>
      </c>
      <c r="AD6706" s="65">
        <v>1712</v>
      </c>
      <c r="AE6706" s="17" t="s">
        <v>48</v>
      </c>
      <c r="AF6706" s="17" t="s">
        <v>1577</v>
      </c>
      <c r="AG6706" s="17" t="s">
        <v>1456</v>
      </c>
      <c r="AH6706" s="17"/>
      <c r="AI6706" s="17"/>
      <c r="AJ6706" s="17"/>
      <c r="AK6706" s="17"/>
      <c r="AL6706" s="17"/>
      <c r="AM6706" s="17"/>
      <c r="AN6706" s="17"/>
      <c r="AO6706" s="17"/>
      <c r="AP6706" s="17"/>
      <c r="AQ6706" s="17"/>
      <c r="AR6706" s="17"/>
    </row>
    <row r="6707" s="25" customFormat="1" hidden="1" spans="1:44">
      <c r="A6707" s="17" t="s">
        <v>34</v>
      </c>
      <c r="B6707" s="19">
        <v>1068</v>
      </c>
      <c r="C6707" s="183">
        <v>45829</v>
      </c>
      <c r="D6707" s="17" t="s">
        <v>52</v>
      </c>
      <c r="E6707" s="17" t="s">
        <v>1555</v>
      </c>
      <c r="F6707" s="17" t="s">
        <v>54</v>
      </c>
      <c r="G6707" s="17"/>
      <c r="H6707" s="19">
        <v>1.2738</v>
      </c>
      <c r="I6707" s="19"/>
      <c r="J6707" s="17" t="s">
        <v>49</v>
      </c>
      <c r="K6707" s="184">
        <v>2200</v>
      </c>
      <c r="L6707" s="19">
        <v>90</v>
      </c>
      <c r="M6707" s="19">
        <v>5000</v>
      </c>
      <c r="N6707" s="19" t="s">
        <v>66</v>
      </c>
      <c r="O6707" s="19" t="s">
        <v>141</v>
      </c>
      <c r="P6707" s="369">
        <v>7772</v>
      </c>
      <c r="Q6707" s="19">
        <v>7400</v>
      </c>
      <c r="R6707" s="19">
        <f t="shared" si="289"/>
        <v>372</v>
      </c>
      <c r="S6707" s="19">
        <f t="shared" si="288"/>
        <v>1025</v>
      </c>
      <c r="T6707" s="19" t="s">
        <v>42</v>
      </c>
      <c r="U6707" s="102" t="s">
        <v>1587</v>
      </c>
      <c r="V6707" s="186">
        <v>45856</v>
      </c>
      <c r="W6707" s="17" t="s">
        <v>44</v>
      </c>
      <c r="X6707" s="17"/>
      <c r="Y6707" s="68">
        <v>45870</v>
      </c>
      <c r="Z6707" s="17" t="s">
        <v>1588</v>
      </c>
      <c r="AA6707" s="17" t="s">
        <v>46</v>
      </c>
      <c r="AB6707" s="17" t="s">
        <v>1589</v>
      </c>
      <c r="AC6707" s="217">
        <v>45882</v>
      </c>
      <c r="AD6707" s="65">
        <v>1712</v>
      </c>
      <c r="AE6707" s="17" t="s">
        <v>48</v>
      </c>
      <c r="AF6707" s="17" t="s">
        <v>1577</v>
      </c>
      <c r="AG6707" s="17" t="s">
        <v>1456</v>
      </c>
      <c r="AH6707" s="17"/>
      <c r="AI6707" s="17"/>
      <c r="AJ6707" s="17"/>
      <c r="AK6707" s="17"/>
      <c r="AL6707" s="17"/>
      <c r="AM6707" s="17"/>
      <c r="AN6707" s="17"/>
      <c r="AO6707" s="17"/>
      <c r="AP6707" s="17"/>
      <c r="AQ6707" s="17"/>
      <c r="AR6707" s="17"/>
    </row>
    <row r="6708" s="25" customFormat="1" hidden="1" spans="1:44">
      <c r="A6708" s="17" t="s">
        <v>34</v>
      </c>
      <c r="B6708" s="19">
        <v>1069</v>
      </c>
      <c r="C6708" s="183">
        <v>45829</v>
      </c>
      <c r="D6708" s="17" t="s">
        <v>52</v>
      </c>
      <c r="E6708" s="17" t="s">
        <v>53</v>
      </c>
      <c r="F6708" s="17" t="s">
        <v>54</v>
      </c>
      <c r="G6708" s="17"/>
      <c r="H6708" s="19">
        <v>1.2311</v>
      </c>
      <c r="I6708" s="19"/>
      <c r="J6708" s="17" t="s">
        <v>49</v>
      </c>
      <c r="K6708" s="19">
        <v>1100</v>
      </c>
      <c r="L6708" s="19">
        <v>32</v>
      </c>
      <c r="M6708" s="19">
        <v>2250</v>
      </c>
      <c r="N6708" s="19" t="s">
        <v>66</v>
      </c>
      <c r="O6708" s="19" t="s">
        <v>84</v>
      </c>
      <c r="P6708" s="160">
        <v>1243</v>
      </c>
      <c r="Q6708" s="19">
        <f>580+582</f>
        <v>1162</v>
      </c>
      <c r="R6708" s="99">
        <f t="shared" si="289"/>
        <v>81</v>
      </c>
      <c r="S6708" s="19">
        <f t="shared" ref="S6708:S6714" si="290">940-50</f>
        <v>890</v>
      </c>
      <c r="T6708" s="19" t="s">
        <v>42</v>
      </c>
      <c r="U6708" s="102" t="s">
        <v>1590</v>
      </c>
      <c r="V6708" s="186">
        <v>45833</v>
      </c>
      <c r="W6708" s="17" t="s">
        <v>44</v>
      </c>
      <c r="X6708" s="17"/>
      <c r="Y6708" s="68">
        <v>45839</v>
      </c>
      <c r="Z6708" s="17" t="s">
        <v>45</v>
      </c>
      <c r="AA6708" s="17" t="s">
        <v>46</v>
      </c>
      <c r="AB6708" s="17" t="s">
        <v>1572</v>
      </c>
      <c r="AC6708" s="217">
        <v>45874</v>
      </c>
      <c r="AD6708" s="65">
        <v>1715</v>
      </c>
      <c r="AE6708" s="17" t="s">
        <v>48</v>
      </c>
      <c r="AF6708" s="17" t="s">
        <v>1573</v>
      </c>
      <c r="AG6708" s="17"/>
      <c r="AH6708" s="17"/>
      <c r="AI6708" s="17"/>
      <c r="AJ6708" s="17"/>
      <c r="AK6708" s="17"/>
      <c r="AL6708" s="17"/>
      <c r="AM6708" s="17"/>
      <c r="AN6708" s="17"/>
      <c r="AO6708" s="17"/>
      <c r="AP6708" s="17"/>
      <c r="AQ6708" s="17"/>
      <c r="AR6708" s="17"/>
    </row>
    <row r="6709" s="25" customFormat="1" hidden="1" spans="1:44">
      <c r="A6709" s="17" t="s">
        <v>34</v>
      </c>
      <c r="B6709" s="19">
        <v>1069</v>
      </c>
      <c r="C6709" s="183">
        <v>45829</v>
      </c>
      <c r="D6709" s="17" t="s">
        <v>52</v>
      </c>
      <c r="E6709" s="17" t="s">
        <v>53</v>
      </c>
      <c r="F6709" s="17" t="s">
        <v>54</v>
      </c>
      <c r="G6709" s="17"/>
      <c r="H6709" s="19">
        <v>1.2311</v>
      </c>
      <c r="I6709" s="19"/>
      <c r="J6709" s="17" t="s">
        <v>49</v>
      </c>
      <c r="K6709" s="19">
        <v>1100</v>
      </c>
      <c r="L6709" s="19">
        <v>41</v>
      </c>
      <c r="M6709" s="19">
        <v>2250</v>
      </c>
      <c r="N6709" s="19" t="s">
        <v>66</v>
      </c>
      <c r="O6709" s="19" t="s">
        <v>84</v>
      </c>
      <c r="P6709" s="160">
        <v>1593</v>
      </c>
      <c r="Q6709" s="19">
        <f>775+776</f>
        <v>1551</v>
      </c>
      <c r="R6709" s="99">
        <f t="shared" si="289"/>
        <v>42</v>
      </c>
      <c r="S6709" s="19">
        <f t="shared" si="290"/>
        <v>890</v>
      </c>
      <c r="T6709" s="19" t="s">
        <v>42</v>
      </c>
      <c r="U6709" s="102" t="s">
        <v>1590</v>
      </c>
      <c r="V6709" s="186">
        <v>45833</v>
      </c>
      <c r="W6709" s="17" t="s">
        <v>44</v>
      </c>
      <c r="X6709" s="17"/>
      <c r="Y6709" s="68">
        <v>45839</v>
      </c>
      <c r="Z6709" s="17" t="s">
        <v>45</v>
      </c>
      <c r="AA6709" s="17" t="s">
        <v>46</v>
      </c>
      <c r="AB6709" s="17" t="s">
        <v>1572</v>
      </c>
      <c r="AC6709" s="217">
        <v>45874</v>
      </c>
      <c r="AD6709" s="65">
        <v>1715</v>
      </c>
      <c r="AE6709" s="17" t="s">
        <v>48</v>
      </c>
      <c r="AF6709" s="17" t="s">
        <v>1573</v>
      </c>
      <c r="AG6709" s="17"/>
      <c r="AH6709" s="17"/>
      <c r="AI6709" s="17"/>
      <c r="AJ6709" s="17"/>
      <c r="AK6709" s="17"/>
      <c r="AL6709" s="17"/>
      <c r="AM6709" s="17"/>
      <c r="AN6709" s="17"/>
      <c r="AO6709" s="17"/>
      <c r="AP6709" s="17"/>
      <c r="AQ6709" s="17"/>
      <c r="AR6709" s="17"/>
    </row>
    <row r="6710" s="25" customFormat="1" hidden="1" spans="1:44">
      <c r="A6710" s="17" t="s">
        <v>34</v>
      </c>
      <c r="B6710" s="19">
        <v>1069</v>
      </c>
      <c r="C6710" s="183">
        <v>45829</v>
      </c>
      <c r="D6710" s="17" t="s">
        <v>52</v>
      </c>
      <c r="E6710" s="17" t="s">
        <v>53</v>
      </c>
      <c r="F6710" s="17" t="s">
        <v>54</v>
      </c>
      <c r="G6710" s="17"/>
      <c r="H6710" s="19">
        <v>1.2311</v>
      </c>
      <c r="I6710" s="19"/>
      <c r="J6710" s="17" t="s">
        <v>49</v>
      </c>
      <c r="K6710" s="19">
        <v>1100</v>
      </c>
      <c r="L6710" s="19">
        <v>51</v>
      </c>
      <c r="M6710" s="19">
        <v>2250</v>
      </c>
      <c r="N6710" s="19" t="s">
        <v>66</v>
      </c>
      <c r="O6710" s="19" t="s">
        <v>84</v>
      </c>
      <c r="P6710" s="160">
        <v>5945</v>
      </c>
      <c r="Q6710" s="19">
        <f>1017+1019+1031+1031+1015+1022</f>
        <v>6135</v>
      </c>
      <c r="R6710" s="99">
        <f t="shared" si="289"/>
        <v>-190</v>
      </c>
      <c r="S6710" s="19">
        <f t="shared" si="290"/>
        <v>890</v>
      </c>
      <c r="T6710" s="19" t="s">
        <v>42</v>
      </c>
      <c r="U6710" s="102" t="s">
        <v>1590</v>
      </c>
      <c r="V6710" s="186">
        <v>45833</v>
      </c>
      <c r="W6710" s="17" t="s">
        <v>44</v>
      </c>
      <c r="X6710" s="17"/>
      <c r="Y6710" s="68">
        <v>45839</v>
      </c>
      <c r="Z6710" s="17" t="s">
        <v>45</v>
      </c>
      <c r="AA6710" s="17" t="s">
        <v>46</v>
      </c>
      <c r="AB6710" s="17" t="s">
        <v>1572</v>
      </c>
      <c r="AC6710" s="217">
        <v>45874</v>
      </c>
      <c r="AD6710" s="65">
        <v>1715</v>
      </c>
      <c r="AE6710" s="17" t="s">
        <v>48</v>
      </c>
      <c r="AF6710" s="17" t="s">
        <v>1573</v>
      </c>
      <c r="AG6710" s="17"/>
      <c r="AH6710" s="17"/>
      <c r="AI6710" s="17"/>
      <c r="AJ6710" s="17"/>
      <c r="AK6710" s="17"/>
      <c r="AL6710" s="17"/>
      <c r="AM6710" s="17"/>
      <c r="AN6710" s="17"/>
      <c r="AO6710" s="17"/>
      <c r="AP6710" s="17"/>
      <c r="AQ6710" s="17"/>
      <c r="AR6710" s="17"/>
    </row>
    <row r="6711" s="25" customFormat="1" hidden="1" spans="1:44">
      <c r="A6711" s="17" t="s">
        <v>34</v>
      </c>
      <c r="B6711" s="19">
        <v>1069</v>
      </c>
      <c r="C6711" s="183">
        <v>45829</v>
      </c>
      <c r="D6711" s="17" t="s">
        <v>52</v>
      </c>
      <c r="E6711" s="17" t="s">
        <v>53</v>
      </c>
      <c r="F6711" s="17" t="s">
        <v>54</v>
      </c>
      <c r="G6711" s="17"/>
      <c r="H6711" s="19">
        <v>1.2311</v>
      </c>
      <c r="I6711" s="19"/>
      <c r="J6711" s="17" t="s">
        <v>49</v>
      </c>
      <c r="K6711" s="19">
        <v>1100</v>
      </c>
      <c r="L6711" s="19">
        <v>56</v>
      </c>
      <c r="M6711" s="19">
        <v>2250</v>
      </c>
      <c r="N6711" s="19" t="s">
        <v>66</v>
      </c>
      <c r="O6711" s="19" t="s">
        <v>84</v>
      </c>
      <c r="P6711" s="145">
        <v>2176</v>
      </c>
      <c r="Q6711" s="19">
        <f>1095+1089</f>
        <v>2184</v>
      </c>
      <c r="R6711" s="99">
        <f t="shared" si="289"/>
        <v>-8</v>
      </c>
      <c r="S6711" s="19">
        <f t="shared" si="290"/>
        <v>890</v>
      </c>
      <c r="T6711" s="19" t="s">
        <v>42</v>
      </c>
      <c r="U6711" s="102" t="s">
        <v>1590</v>
      </c>
      <c r="V6711" s="186">
        <v>45833</v>
      </c>
      <c r="W6711" s="17" t="s">
        <v>44</v>
      </c>
      <c r="X6711" s="17"/>
      <c r="Y6711" s="68">
        <v>45839</v>
      </c>
      <c r="Z6711" s="17" t="s">
        <v>45</v>
      </c>
      <c r="AA6711" s="17" t="s">
        <v>46</v>
      </c>
      <c r="AB6711" s="17" t="s">
        <v>1572</v>
      </c>
      <c r="AC6711" s="217">
        <v>45874</v>
      </c>
      <c r="AD6711" s="65">
        <v>1715</v>
      </c>
      <c r="AE6711" s="17" t="s">
        <v>48</v>
      </c>
      <c r="AF6711" s="17" t="s">
        <v>1573</v>
      </c>
      <c r="AG6711" s="17"/>
      <c r="AH6711" s="17"/>
      <c r="AI6711" s="17"/>
      <c r="AJ6711" s="17"/>
      <c r="AK6711" s="17"/>
      <c r="AL6711" s="17"/>
      <c r="AM6711" s="17"/>
      <c r="AN6711" s="17"/>
      <c r="AO6711" s="17"/>
      <c r="AP6711" s="17"/>
      <c r="AQ6711" s="17"/>
      <c r="AR6711" s="17"/>
    </row>
    <row r="6712" s="25" customFormat="1" hidden="1" spans="1:44">
      <c r="A6712" s="17" t="s">
        <v>34</v>
      </c>
      <c r="B6712" s="19">
        <v>1069</v>
      </c>
      <c r="C6712" s="183">
        <v>45829</v>
      </c>
      <c r="D6712" s="17" t="s">
        <v>52</v>
      </c>
      <c r="E6712" s="17" t="s">
        <v>53</v>
      </c>
      <c r="F6712" s="17" t="s">
        <v>54</v>
      </c>
      <c r="G6712" s="17"/>
      <c r="H6712" s="19">
        <v>1.2311</v>
      </c>
      <c r="I6712" s="19"/>
      <c r="J6712" s="17" t="s">
        <v>49</v>
      </c>
      <c r="K6712" s="19">
        <v>1100</v>
      </c>
      <c r="L6712" s="19">
        <v>61</v>
      </c>
      <c r="M6712" s="19">
        <v>2250</v>
      </c>
      <c r="N6712" s="19" t="s">
        <v>66</v>
      </c>
      <c r="O6712" s="19" t="s">
        <v>84</v>
      </c>
      <c r="P6712" s="160">
        <v>2370</v>
      </c>
      <c r="Q6712" s="19">
        <f>1210+1209</f>
        <v>2419</v>
      </c>
      <c r="R6712" s="99">
        <f t="shared" si="289"/>
        <v>-49</v>
      </c>
      <c r="S6712" s="19">
        <f t="shared" si="290"/>
        <v>890</v>
      </c>
      <c r="T6712" s="19" t="s">
        <v>42</v>
      </c>
      <c r="U6712" s="102" t="s">
        <v>1590</v>
      </c>
      <c r="V6712" s="186">
        <v>45833</v>
      </c>
      <c r="W6712" s="17" t="s">
        <v>44</v>
      </c>
      <c r="X6712" s="17"/>
      <c r="Y6712" s="68">
        <v>45839</v>
      </c>
      <c r="Z6712" s="17" t="s">
        <v>45</v>
      </c>
      <c r="AA6712" s="17" t="s">
        <v>46</v>
      </c>
      <c r="AB6712" s="17" t="s">
        <v>1572</v>
      </c>
      <c r="AC6712" s="217">
        <v>45874</v>
      </c>
      <c r="AD6712" s="65">
        <v>1715</v>
      </c>
      <c r="AE6712" s="17" t="s">
        <v>48</v>
      </c>
      <c r="AF6712" s="17" t="s">
        <v>1573</v>
      </c>
      <c r="AG6712" s="17"/>
      <c r="AH6712" s="17"/>
      <c r="AI6712" s="17"/>
      <c r="AJ6712" s="17"/>
      <c r="AK6712" s="17"/>
      <c r="AL6712" s="17"/>
      <c r="AM6712" s="17"/>
      <c r="AN6712" s="17"/>
      <c r="AO6712" s="17"/>
      <c r="AP6712" s="17"/>
      <c r="AQ6712" s="17"/>
      <c r="AR6712" s="17"/>
    </row>
    <row r="6713" s="25" customFormat="1" hidden="1" spans="1:44">
      <c r="A6713" s="17" t="s">
        <v>34</v>
      </c>
      <c r="B6713" s="19">
        <v>1069</v>
      </c>
      <c r="C6713" s="183">
        <v>45829</v>
      </c>
      <c r="D6713" s="17" t="s">
        <v>52</v>
      </c>
      <c r="E6713" s="17" t="s">
        <v>53</v>
      </c>
      <c r="F6713" s="17" t="s">
        <v>54</v>
      </c>
      <c r="G6713" s="17"/>
      <c r="H6713" s="19">
        <v>1.2311</v>
      </c>
      <c r="I6713" s="19"/>
      <c r="J6713" s="17" t="s">
        <v>49</v>
      </c>
      <c r="K6713" s="19">
        <v>1100</v>
      </c>
      <c r="L6713" s="19">
        <v>65</v>
      </c>
      <c r="M6713" s="19">
        <v>2250</v>
      </c>
      <c r="N6713" s="19" t="s">
        <v>66</v>
      </c>
      <c r="O6713" s="19" t="s">
        <v>84</v>
      </c>
      <c r="P6713" s="160">
        <v>2526</v>
      </c>
      <c r="Q6713" s="19">
        <f>1300+1295</f>
        <v>2595</v>
      </c>
      <c r="R6713" s="99">
        <f t="shared" si="289"/>
        <v>-69</v>
      </c>
      <c r="S6713" s="19">
        <f t="shared" si="290"/>
        <v>890</v>
      </c>
      <c r="T6713" s="19" t="s">
        <v>42</v>
      </c>
      <c r="U6713" s="102" t="s">
        <v>1590</v>
      </c>
      <c r="V6713" s="186">
        <v>45833</v>
      </c>
      <c r="W6713" s="17" t="s">
        <v>44</v>
      </c>
      <c r="X6713" s="17"/>
      <c r="Y6713" s="68">
        <v>45839</v>
      </c>
      <c r="Z6713" s="17" t="s">
        <v>45</v>
      </c>
      <c r="AA6713" s="17" t="s">
        <v>46</v>
      </c>
      <c r="AB6713" s="17" t="s">
        <v>1572</v>
      </c>
      <c r="AC6713" s="217">
        <v>45874</v>
      </c>
      <c r="AD6713" s="65">
        <v>1715</v>
      </c>
      <c r="AE6713" s="17" t="s">
        <v>48</v>
      </c>
      <c r="AF6713" s="17" t="s">
        <v>1573</v>
      </c>
      <c r="AG6713" s="17"/>
      <c r="AH6713" s="17"/>
      <c r="AI6713" s="17"/>
      <c r="AJ6713" s="17"/>
      <c r="AK6713" s="17"/>
      <c r="AL6713" s="17"/>
      <c r="AM6713" s="17"/>
      <c r="AN6713" s="17"/>
      <c r="AO6713" s="17"/>
      <c r="AP6713" s="17"/>
      <c r="AQ6713" s="17"/>
      <c r="AR6713" s="17"/>
    </row>
    <row r="6714" s="25" customFormat="1" hidden="1" spans="1:44">
      <c r="A6714" s="17" t="s">
        <v>34</v>
      </c>
      <c r="B6714" s="19">
        <v>1069</v>
      </c>
      <c r="C6714" s="183">
        <v>45829</v>
      </c>
      <c r="D6714" s="17" t="s">
        <v>52</v>
      </c>
      <c r="E6714" s="17" t="s">
        <v>53</v>
      </c>
      <c r="F6714" s="17" t="s">
        <v>54</v>
      </c>
      <c r="G6714" s="17"/>
      <c r="H6714" s="19">
        <v>1.2311</v>
      </c>
      <c r="I6714" s="19"/>
      <c r="J6714" s="17" t="s">
        <v>49</v>
      </c>
      <c r="K6714" s="19">
        <v>1100</v>
      </c>
      <c r="L6714" s="19">
        <v>81</v>
      </c>
      <c r="M6714" s="19">
        <v>2250</v>
      </c>
      <c r="N6714" s="19" t="s">
        <v>66</v>
      </c>
      <c r="O6714" s="19" t="s">
        <v>84</v>
      </c>
      <c r="P6714" s="145">
        <v>3147</v>
      </c>
      <c r="Q6714" s="19">
        <f>1518+1538</f>
        <v>3056</v>
      </c>
      <c r="R6714" s="99">
        <f t="shared" si="289"/>
        <v>91</v>
      </c>
      <c r="S6714" s="19">
        <f t="shared" si="290"/>
        <v>890</v>
      </c>
      <c r="T6714" s="19" t="s">
        <v>42</v>
      </c>
      <c r="U6714" s="102" t="s">
        <v>1590</v>
      </c>
      <c r="V6714" s="186">
        <v>45833</v>
      </c>
      <c r="W6714" s="17" t="s">
        <v>44</v>
      </c>
      <c r="X6714" s="17"/>
      <c r="Y6714" s="68">
        <v>45839</v>
      </c>
      <c r="Z6714" s="17" t="s">
        <v>45</v>
      </c>
      <c r="AA6714" s="17" t="s">
        <v>46</v>
      </c>
      <c r="AB6714" s="17" t="s">
        <v>1572</v>
      </c>
      <c r="AC6714" s="217">
        <v>45874</v>
      </c>
      <c r="AD6714" s="65">
        <v>1715</v>
      </c>
      <c r="AE6714" s="17" t="s">
        <v>48</v>
      </c>
      <c r="AF6714" s="17" t="s">
        <v>1573</v>
      </c>
      <c r="AG6714" s="17"/>
      <c r="AH6714" s="17"/>
      <c r="AI6714" s="17"/>
      <c r="AJ6714" s="17"/>
      <c r="AK6714" s="17"/>
      <c r="AL6714" s="17"/>
      <c r="AM6714" s="17"/>
      <c r="AN6714" s="17"/>
      <c r="AO6714" s="17"/>
      <c r="AP6714" s="17"/>
      <c r="AQ6714" s="17"/>
      <c r="AR6714" s="17"/>
    </row>
    <row r="6715" s="25" customFormat="1" hidden="1" spans="1:44">
      <c r="A6715" s="17" t="s">
        <v>34</v>
      </c>
      <c r="B6715" s="19">
        <v>1069</v>
      </c>
      <c r="C6715" s="183">
        <v>45829</v>
      </c>
      <c r="D6715" s="17" t="s">
        <v>52</v>
      </c>
      <c r="E6715" s="17" t="s">
        <v>53</v>
      </c>
      <c r="F6715" s="17" t="s">
        <v>54</v>
      </c>
      <c r="G6715" s="17"/>
      <c r="H6715" s="19">
        <v>1.2311</v>
      </c>
      <c r="I6715" s="19"/>
      <c r="J6715" s="17" t="s">
        <v>49</v>
      </c>
      <c r="K6715" s="19">
        <v>2200</v>
      </c>
      <c r="L6715" s="19">
        <v>21</v>
      </c>
      <c r="M6715" s="19">
        <v>4000</v>
      </c>
      <c r="N6715" s="19" t="s">
        <v>66</v>
      </c>
      <c r="O6715" s="19" t="s">
        <v>141</v>
      </c>
      <c r="P6715" s="145"/>
      <c r="Q6715" s="19">
        <f>1474+1458</f>
        <v>2932</v>
      </c>
      <c r="R6715" s="99"/>
      <c r="S6715" s="19">
        <f>820-50</f>
        <v>770</v>
      </c>
      <c r="T6715" s="19" t="s">
        <v>42</v>
      </c>
      <c r="U6715" s="102" t="s">
        <v>1590</v>
      </c>
      <c r="V6715" s="186">
        <v>45833</v>
      </c>
      <c r="W6715" s="17" t="s">
        <v>44</v>
      </c>
      <c r="X6715" s="17"/>
      <c r="Y6715" s="68">
        <v>45839</v>
      </c>
      <c r="Z6715" s="17" t="s">
        <v>45</v>
      </c>
      <c r="AA6715" s="17" t="s">
        <v>46</v>
      </c>
      <c r="AB6715" s="17" t="s">
        <v>1572</v>
      </c>
      <c r="AC6715" s="217">
        <v>45874</v>
      </c>
      <c r="AD6715" s="65">
        <v>1715</v>
      </c>
      <c r="AE6715" s="17" t="s">
        <v>48</v>
      </c>
      <c r="AF6715" s="17" t="s">
        <v>1573</v>
      </c>
      <c r="AG6715" s="17"/>
      <c r="AH6715" s="17"/>
      <c r="AI6715" s="17"/>
      <c r="AJ6715" s="17"/>
      <c r="AK6715" s="17"/>
      <c r="AL6715" s="17"/>
      <c r="AM6715" s="17"/>
      <c r="AN6715" s="17"/>
      <c r="AO6715" s="17"/>
      <c r="AP6715" s="17"/>
      <c r="AQ6715" s="17"/>
      <c r="AR6715" s="17"/>
    </row>
    <row r="6716" s="25" customFormat="1" hidden="1" spans="1:44">
      <c r="A6716" s="17" t="s">
        <v>34</v>
      </c>
      <c r="B6716" s="19">
        <v>1069</v>
      </c>
      <c r="C6716" s="183">
        <v>45829</v>
      </c>
      <c r="D6716" s="17" t="s">
        <v>52</v>
      </c>
      <c r="E6716" s="17" t="s">
        <v>53</v>
      </c>
      <c r="F6716" s="17" t="s">
        <v>54</v>
      </c>
      <c r="G6716" s="17"/>
      <c r="H6716" s="19">
        <v>1.2311</v>
      </c>
      <c r="I6716" s="19"/>
      <c r="J6716" s="17" t="s">
        <v>49</v>
      </c>
      <c r="K6716" s="19">
        <v>2210</v>
      </c>
      <c r="L6716" s="19">
        <v>31</v>
      </c>
      <c r="M6716" s="19">
        <v>4000</v>
      </c>
      <c r="N6716" s="19" t="s">
        <v>66</v>
      </c>
      <c r="O6716" s="19" t="s">
        <v>141</v>
      </c>
      <c r="P6716" s="145"/>
      <c r="Q6716" s="19">
        <f>2224+2094+2218</f>
        <v>6536</v>
      </c>
      <c r="R6716" s="99"/>
      <c r="S6716" s="19">
        <f>820-50</f>
        <v>770</v>
      </c>
      <c r="T6716" s="19" t="s">
        <v>42</v>
      </c>
      <c r="U6716" s="102" t="s">
        <v>1590</v>
      </c>
      <c r="V6716" s="186">
        <v>45833</v>
      </c>
      <c r="W6716" s="17" t="s">
        <v>44</v>
      </c>
      <c r="X6716" s="17"/>
      <c r="Y6716" s="68">
        <v>45839</v>
      </c>
      <c r="Z6716" s="17" t="s">
        <v>45</v>
      </c>
      <c r="AA6716" s="17" t="s">
        <v>46</v>
      </c>
      <c r="AB6716" s="17" t="s">
        <v>1572</v>
      </c>
      <c r="AC6716" s="217">
        <v>45874</v>
      </c>
      <c r="AD6716" s="65">
        <v>1715</v>
      </c>
      <c r="AE6716" s="17" t="s">
        <v>48</v>
      </c>
      <c r="AF6716" s="17" t="s">
        <v>1573</v>
      </c>
      <c r="AG6716" s="17"/>
      <c r="AH6716" s="17"/>
      <c r="AI6716" s="17"/>
      <c r="AJ6716" s="17"/>
      <c r="AK6716" s="17"/>
      <c r="AL6716" s="17"/>
      <c r="AM6716" s="17"/>
      <c r="AN6716" s="17"/>
      <c r="AO6716" s="17"/>
      <c r="AP6716" s="17"/>
      <c r="AQ6716" s="17"/>
      <c r="AR6716" s="17"/>
    </row>
    <row r="6717" s="25" customFormat="1" hidden="1" spans="1:44">
      <c r="A6717" s="17" t="s">
        <v>34</v>
      </c>
      <c r="B6717" s="19">
        <v>1069</v>
      </c>
      <c r="C6717" s="183">
        <v>45829</v>
      </c>
      <c r="D6717" s="17" t="s">
        <v>52</v>
      </c>
      <c r="E6717" s="17" t="s">
        <v>53</v>
      </c>
      <c r="F6717" s="17" t="s">
        <v>54</v>
      </c>
      <c r="G6717" s="17"/>
      <c r="H6717" s="19">
        <v>1.2311</v>
      </c>
      <c r="I6717" s="19"/>
      <c r="J6717" s="17" t="s">
        <v>49</v>
      </c>
      <c r="K6717" s="290">
        <v>2200</v>
      </c>
      <c r="L6717" s="290">
        <v>36</v>
      </c>
      <c r="M6717" s="290">
        <v>4000</v>
      </c>
      <c r="N6717" s="19" t="s">
        <v>66</v>
      </c>
      <c r="O6717" s="19" t="s">
        <v>141</v>
      </c>
      <c r="P6717" s="99">
        <v>2543</v>
      </c>
      <c r="Q6717" s="19">
        <v>2520</v>
      </c>
      <c r="R6717" s="99">
        <f t="shared" ref="R6717:R6729" si="291">+P6717-Q6717</f>
        <v>23</v>
      </c>
      <c r="S6717" s="19">
        <f>820-50</f>
        <v>770</v>
      </c>
      <c r="T6717" s="19" t="s">
        <v>42</v>
      </c>
      <c r="U6717" s="102" t="s">
        <v>1590</v>
      </c>
      <c r="V6717" s="186">
        <v>45833</v>
      </c>
      <c r="W6717" s="17" t="s">
        <v>44</v>
      </c>
      <c r="X6717" s="17"/>
      <c r="Y6717" s="68">
        <v>45839</v>
      </c>
      <c r="Z6717" s="17" t="s">
        <v>45</v>
      </c>
      <c r="AA6717" s="17" t="s">
        <v>46</v>
      </c>
      <c r="AB6717" s="17" t="s">
        <v>1572</v>
      </c>
      <c r="AC6717" s="217">
        <v>45874</v>
      </c>
      <c r="AD6717" s="65">
        <v>1715</v>
      </c>
      <c r="AE6717" s="17" t="s">
        <v>48</v>
      </c>
      <c r="AF6717" s="17" t="s">
        <v>1573</v>
      </c>
      <c r="AG6717" s="17"/>
      <c r="AH6717" s="17"/>
      <c r="AI6717" s="17"/>
      <c r="AJ6717" s="17"/>
      <c r="AK6717" s="17"/>
      <c r="AL6717" s="17"/>
      <c r="AM6717" s="17"/>
      <c r="AN6717" s="17"/>
      <c r="AO6717" s="17"/>
      <c r="AP6717" s="17"/>
      <c r="AQ6717" s="17"/>
      <c r="AR6717" s="17"/>
    </row>
    <row r="6718" s="25" customFormat="1" hidden="1" spans="1:44">
      <c r="A6718" s="17" t="s">
        <v>34</v>
      </c>
      <c r="B6718" s="19">
        <v>1069</v>
      </c>
      <c r="C6718" s="183">
        <v>45829</v>
      </c>
      <c r="D6718" s="17" t="s">
        <v>52</v>
      </c>
      <c r="E6718" s="17" t="s">
        <v>53</v>
      </c>
      <c r="F6718" s="17" t="s">
        <v>54</v>
      </c>
      <c r="G6718" s="17"/>
      <c r="H6718" s="19">
        <v>1.2311</v>
      </c>
      <c r="I6718" s="19"/>
      <c r="J6718" s="17" t="s">
        <v>49</v>
      </c>
      <c r="K6718" s="290">
        <v>2200</v>
      </c>
      <c r="L6718" s="290">
        <v>40</v>
      </c>
      <c r="M6718" s="290">
        <v>4000</v>
      </c>
      <c r="N6718" s="19" t="s">
        <v>66</v>
      </c>
      <c r="O6718" s="19" t="s">
        <v>141</v>
      </c>
      <c r="P6718" s="99">
        <v>5652</v>
      </c>
      <c r="Q6718" s="19">
        <f>2542+2562</f>
        <v>5104</v>
      </c>
      <c r="R6718" s="99">
        <f t="shared" si="291"/>
        <v>548</v>
      </c>
      <c r="S6718" s="19">
        <f>820-50</f>
        <v>770</v>
      </c>
      <c r="T6718" s="19" t="s">
        <v>42</v>
      </c>
      <c r="U6718" s="102" t="s">
        <v>1590</v>
      </c>
      <c r="V6718" s="186">
        <v>45833</v>
      </c>
      <c r="W6718" s="17" t="s">
        <v>44</v>
      </c>
      <c r="X6718" s="17"/>
      <c r="Y6718" s="68">
        <v>45839</v>
      </c>
      <c r="Z6718" s="17" t="s">
        <v>45</v>
      </c>
      <c r="AA6718" s="17" t="s">
        <v>46</v>
      </c>
      <c r="AB6718" s="17" t="s">
        <v>1572</v>
      </c>
      <c r="AC6718" s="217">
        <v>45874</v>
      </c>
      <c r="AD6718" s="65">
        <v>1715</v>
      </c>
      <c r="AE6718" s="17" t="s">
        <v>48</v>
      </c>
      <c r="AF6718" s="17" t="s">
        <v>1573</v>
      </c>
      <c r="AG6718" s="17"/>
      <c r="AH6718" s="17"/>
      <c r="AI6718" s="17"/>
      <c r="AJ6718" s="17"/>
      <c r="AK6718" s="17"/>
      <c r="AL6718" s="17"/>
      <c r="AM6718" s="17"/>
      <c r="AN6718" s="17"/>
      <c r="AO6718" s="17"/>
      <c r="AP6718" s="17"/>
      <c r="AQ6718" s="17"/>
      <c r="AR6718" s="17"/>
    </row>
    <row r="6719" s="25" customFormat="1" hidden="1" spans="1:44">
      <c r="A6719" s="17" t="s">
        <v>34</v>
      </c>
      <c r="B6719" s="19">
        <v>1069</v>
      </c>
      <c r="C6719" s="183">
        <v>45829</v>
      </c>
      <c r="D6719" s="17" t="s">
        <v>52</v>
      </c>
      <c r="E6719" s="17" t="s">
        <v>53</v>
      </c>
      <c r="F6719" s="17" t="s">
        <v>54</v>
      </c>
      <c r="G6719" s="17"/>
      <c r="H6719" s="19">
        <v>1.2311</v>
      </c>
      <c r="I6719" s="19"/>
      <c r="J6719" s="17" t="s">
        <v>49</v>
      </c>
      <c r="K6719" s="290">
        <v>2200</v>
      </c>
      <c r="L6719" s="290">
        <v>45</v>
      </c>
      <c r="M6719" s="290">
        <v>4000</v>
      </c>
      <c r="N6719" s="19" t="s">
        <v>66</v>
      </c>
      <c r="O6719" s="19" t="s">
        <v>141</v>
      </c>
      <c r="P6719" s="99">
        <v>3179</v>
      </c>
      <c r="Q6719" s="19">
        <v>3058</v>
      </c>
      <c r="R6719" s="99">
        <f t="shared" si="291"/>
        <v>121</v>
      </c>
      <c r="S6719" s="19">
        <f>820-50</f>
        <v>770</v>
      </c>
      <c r="T6719" s="19" t="s">
        <v>42</v>
      </c>
      <c r="U6719" s="102" t="s">
        <v>1590</v>
      </c>
      <c r="V6719" s="186">
        <v>45833</v>
      </c>
      <c r="W6719" s="17" t="s">
        <v>44</v>
      </c>
      <c r="X6719" s="17"/>
      <c r="Y6719" s="68">
        <v>45839</v>
      </c>
      <c r="Z6719" s="17" t="s">
        <v>45</v>
      </c>
      <c r="AA6719" s="17" t="s">
        <v>46</v>
      </c>
      <c r="AB6719" s="17" t="s">
        <v>1572</v>
      </c>
      <c r="AC6719" s="217">
        <v>45874</v>
      </c>
      <c r="AD6719" s="65">
        <v>1715</v>
      </c>
      <c r="AE6719" s="17" t="s">
        <v>48</v>
      </c>
      <c r="AF6719" s="17" t="s">
        <v>1573</v>
      </c>
      <c r="AG6719" s="17"/>
      <c r="AH6719" s="17"/>
      <c r="AI6719" s="17"/>
      <c r="AJ6719" s="17"/>
      <c r="AK6719" s="17"/>
      <c r="AL6719" s="17"/>
      <c r="AM6719" s="17"/>
      <c r="AN6719" s="17"/>
      <c r="AO6719" s="17"/>
      <c r="AP6719" s="17"/>
      <c r="AQ6719" s="17"/>
      <c r="AR6719" s="17"/>
    </row>
    <row r="6720" hidden="1" spans="1:44">
      <c r="A6720" s="18"/>
      <c r="B6720" s="75">
        <v>1069</v>
      </c>
      <c r="C6720" s="213">
        <v>45829</v>
      </c>
      <c r="D6720" s="18" t="s">
        <v>52</v>
      </c>
      <c r="E6720" s="18" t="s">
        <v>53</v>
      </c>
      <c r="F6720" s="18" t="s">
        <v>54</v>
      </c>
      <c r="G6720" s="18"/>
      <c r="H6720" s="75">
        <v>1.2311</v>
      </c>
      <c r="I6720" s="75"/>
      <c r="J6720" s="18" t="s">
        <v>49</v>
      </c>
      <c r="K6720" s="382">
        <v>2200</v>
      </c>
      <c r="L6720" s="387">
        <v>50</v>
      </c>
      <c r="M6720" s="382">
        <v>4000</v>
      </c>
      <c r="N6720" s="75" t="s">
        <v>66</v>
      </c>
      <c r="O6720" s="75" t="s">
        <v>141</v>
      </c>
      <c r="P6720" s="112">
        <v>3533</v>
      </c>
      <c r="Q6720" s="75"/>
      <c r="R6720" s="112">
        <f t="shared" si="291"/>
        <v>3533</v>
      </c>
      <c r="S6720" s="75">
        <v>820</v>
      </c>
      <c r="T6720" s="75" t="s">
        <v>42</v>
      </c>
      <c r="U6720" s="137" t="s">
        <v>1590</v>
      </c>
      <c r="V6720" s="193">
        <v>45833</v>
      </c>
      <c r="W6720" s="18" t="s">
        <v>44</v>
      </c>
      <c r="X6720" s="18"/>
      <c r="Y6720" s="114">
        <v>45839</v>
      </c>
      <c r="Z6720" s="18" t="s">
        <v>45</v>
      </c>
      <c r="AA6720" s="18" t="s">
        <v>46</v>
      </c>
      <c r="AB6720" s="18"/>
      <c r="AC6720" s="137"/>
      <c r="AD6720" s="77"/>
      <c r="AE6720" s="18" t="s">
        <v>48</v>
      </c>
      <c r="AF6720" s="18" t="s">
        <v>560</v>
      </c>
      <c r="AG6720" s="18"/>
      <c r="AH6720" s="18"/>
      <c r="AI6720" s="18"/>
      <c r="AJ6720" s="18"/>
      <c r="AK6720" s="18"/>
      <c r="AL6720" s="18"/>
      <c r="AM6720" s="18"/>
      <c r="AN6720" s="18"/>
      <c r="AO6720" s="18"/>
      <c r="AP6720" s="18"/>
      <c r="AQ6720" s="18"/>
      <c r="AR6720" s="18"/>
    </row>
    <row r="6721" s="25" customFormat="1" hidden="1" spans="1:44">
      <c r="A6721" s="17" t="s">
        <v>34</v>
      </c>
      <c r="B6721" s="19">
        <v>1069</v>
      </c>
      <c r="C6721" s="183">
        <v>45829</v>
      </c>
      <c r="D6721" s="17" t="s">
        <v>52</v>
      </c>
      <c r="E6721" s="17" t="s">
        <v>53</v>
      </c>
      <c r="F6721" s="17" t="s">
        <v>54</v>
      </c>
      <c r="G6721" s="17"/>
      <c r="H6721" s="19">
        <v>1.2311</v>
      </c>
      <c r="I6721" s="19"/>
      <c r="J6721" s="17" t="s">
        <v>49</v>
      </c>
      <c r="K6721" s="290">
        <v>2200</v>
      </c>
      <c r="L6721" s="290">
        <v>56</v>
      </c>
      <c r="M6721" s="290">
        <v>4000</v>
      </c>
      <c r="N6721" s="19" t="s">
        <v>66</v>
      </c>
      <c r="O6721" s="19" t="s">
        <v>141</v>
      </c>
      <c r="P6721" s="99">
        <v>3956</v>
      </c>
      <c r="Q6721" s="19">
        <v>4000</v>
      </c>
      <c r="R6721" s="99">
        <f t="shared" si="291"/>
        <v>-44</v>
      </c>
      <c r="S6721" s="19">
        <f>820-50</f>
        <v>770</v>
      </c>
      <c r="T6721" s="19" t="s">
        <v>42</v>
      </c>
      <c r="U6721" s="102" t="s">
        <v>1590</v>
      </c>
      <c r="V6721" s="186">
        <v>45833</v>
      </c>
      <c r="W6721" s="17" t="s">
        <v>44</v>
      </c>
      <c r="X6721" s="17"/>
      <c r="Y6721" s="68">
        <v>45839</v>
      </c>
      <c r="Z6721" s="17" t="s">
        <v>45</v>
      </c>
      <c r="AA6721" s="17" t="s">
        <v>46</v>
      </c>
      <c r="AB6721" s="17" t="s">
        <v>1572</v>
      </c>
      <c r="AC6721" s="217">
        <v>45874</v>
      </c>
      <c r="AD6721" s="65">
        <v>1715</v>
      </c>
      <c r="AE6721" s="17" t="s">
        <v>48</v>
      </c>
      <c r="AF6721" s="17" t="s">
        <v>1573</v>
      </c>
      <c r="AG6721" s="17"/>
      <c r="AH6721" s="17"/>
      <c r="AI6721" s="17"/>
      <c r="AJ6721" s="17"/>
      <c r="AK6721" s="17"/>
      <c r="AL6721" s="17"/>
      <c r="AM6721" s="17"/>
      <c r="AN6721" s="17"/>
      <c r="AO6721" s="17"/>
      <c r="AP6721" s="17"/>
      <c r="AQ6721" s="17"/>
      <c r="AR6721" s="17"/>
    </row>
    <row r="6722" s="25" customFormat="1" hidden="1" spans="1:44">
      <c r="A6722" s="17" t="s">
        <v>34</v>
      </c>
      <c r="B6722" s="19">
        <v>1069</v>
      </c>
      <c r="C6722" s="183">
        <v>45829</v>
      </c>
      <c r="D6722" s="17" t="s">
        <v>52</v>
      </c>
      <c r="E6722" s="17" t="s">
        <v>53</v>
      </c>
      <c r="F6722" s="17" t="s">
        <v>54</v>
      </c>
      <c r="G6722" s="17"/>
      <c r="H6722" s="19">
        <v>1.2311</v>
      </c>
      <c r="I6722" s="19"/>
      <c r="J6722" s="17" t="s">
        <v>49</v>
      </c>
      <c r="K6722" s="290">
        <v>2200</v>
      </c>
      <c r="L6722" s="290">
        <v>65</v>
      </c>
      <c r="M6722" s="290">
        <v>4000</v>
      </c>
      <c r="N6722" s="19" t="s">
        <v>66</v>
      </c>
      <c r="O6722" s="19" t="s">
        <v>141</v>
      </c>
      <c r="P6722" s="99">
        <v>4592</v>
      </c>
      <c r="Q6722" s="19">
        <v>5230</v>
      </c>
      <c r="R6722" s="99">
        <f t="shared" si="291"/>
        <v>-638</v>
      </c>
      <c r="S6722" s="19">
        <f>820-50</f>
        <v>770</v>
      </c>
      <c r="T6722" s="19" t="s">
        <v>42</v>
      </c>
      <c r="U6722" s="102" t="s">
        <v>1590</v>
      </c>
      <c r="V6722" s="186">
        <v>45833</v>
      </c>
      <c r="W6722" s="17" t="s">
        <v>44</v>
      </c>
      <c r="X6722" s="17"/>
      <c r="Y6722" s="68">
        <v>45839</v>
      </c>
      <c r="Z6722" s="17" t="s">
        <v>45</v>
      </c>
      <c r="AA6722" s="17" t="s">
        <v>46</v>
      </c>
      <c r="AB6722" s="17" t="s">
        <v>1572</v>
      </c>
      <c r="AC6722" s="217">
        <v>45874</v>
      </c>
      <c r="AD6722" s="65">
        <v>1715</v>
      </c>
      <c r="AE6722" s="17" t="s">
        <v>48</v>
      </c>
      <c r="AF6722" s="17" t="s">
        <v>1573</v>
      </c>
      <c r="AG6722" s="17"/>
      <c r="AH6722" s="17"/>
      <c r="AI6722" s="17"/>
      <c r="AJ6722" s="17"/>
      <c r="AK6722" s="17"/>
      <c r="AL6722" s="17"/>
      <c r="AM6722" s="17"/>
      <c r="AN6722" s="17"/>
      <c r="AO6722" s="17"/>
      <c r="AP6722" s="17"/>
      <c r="AQ6722" s="17"/>
      <c r="AR6722" s="17"/>
    </row>
    <row r="6723" hidden="1" spans="1:44">
      <c r="A6723" s="18"/>
      <c r="B6723" s="75">
        <v>1069</v>
      </c>
      <c r="C6723" s="213">
        <v>45829</v>
      </c>
      <c r="D6723" s="18" t="s">
        <v>52</v>
      </c>
      <c r="E6723" s="18" t="s">
        <v>53</v>
      </c>
      <c r="F6723" s="18" t="s">
        <v>54</v>
      </c>
      <c r="G6723" s="18"/>
      <c r="H6723" s="75">
        <v>1.2311</v>
      </c>
      <c r="I6723" s="75"/>
      <c r="J6723" s="18" t="s">
        <v>49</v>
      </c>
      <c r="K6723" s="382">
        <v>2200</v>
      </c>
      <c r="L6723" s="387">
        <v>75</v>
      </c>
      <c r="M6723" s="382">
        <v>4000</v>
      </c>
      <c r="N6723" s="75" t="s">
        <v>66</v>
      </c>
      <c r="O6723" s="75" t="s">
        <v>141</v>
      </c>
      <c r="P6723" s="112">
        <v>5299</v>
      </c>
      <c r="Q6723" s="75"/>
      <c r="R6723" s="112">
        <f t="shared" si="291"/>
        <v>5299</v>
      </c>
      <c r="S6723" s="75">
        <v>820</v>
      </c>
      <c r="T6723" s="75" t="s">
        <v>42</v>
      </c>
      <c r="U6723" s="137" t="s">
        <v>1590</v>
      </c>
      <c r="V6723" s="193">
        <v>45833</v>
      </c>
      <c r="W6723" s="18" t="s">
        <v>44</v>
      </c>
      <c r="X6723" s="18"/>
      <c r="Y6723" s="114">
        <v>45839</v>
      </c>
      <c r="Z6723" s="18" t="s">
        <v>45</v>
      </c>
      <c r="AA6723" s="18" t="s">
        <v>46</v>
      </c>
      <c r="AB6723" s="18"/>
      <c r="AC6723" s="137"/>
      <c r="AD6723" s="77"/>
      <c r="AE6723" s="18" t="s">
        <v>48</v>
      </c>
      <c r="AF6723" s="18" t="s">
        <v>560</v>
      </c>
      <c r="AG6723" s="18"/>
      <c r="AH6723" s="18"/>
      <c r="AI6723" s="18"/>
      <c r="AJ6723" s="18"/>
      <c r="AK6723" s="18"/>
      <c r="AL6723" s="18"/>
      <c r="AM6723" s="18"/>
      <c r="AN6723" s="18"/>
      <c r="AO6723" s="18"/>
      <c r="AP6723" s="18"/>
      <c r="AQ6723" s="18"/>
      <c r="AR6723" s="18"/>
    </row>
    <row r="6724" s="25" customFormat="1" hidden="1" spans="1:44">
      <c r="A6724" s="17" t="s">
        <v>34</v>
      </c>
      <c r="B6724" s="19">
        <v>1069</v>
      </c>
      <c r="C6724" s="183">
        <v>45829</v>
      </c>
      <c r="D6724" s="17" t="s">
        <v>52</v>
      </c>
      <c r="E6724" s="17" t="s">
        <v>53</v>
      </c>
      <c r="F6724" s="17" t="s">
        <v>54</v>
      </c>
      <c r="G6724" s="17"/>
      <c r="H6724" s="19">
        <v>1.2311</v>
      </c>
      <c r="I6724" s="19"/>
      <c r="J6724" s="17" t="s">
        <v>49</v>
      </c>
      <c r="K6724" s="290">
        <v>2200</v>
      </c>
      <c r="L6724" s="290">
        <v>90</v>
      </c>
      <c r="M6724" s="290">
        <v>4000</v>
      </c>
      <c r="N6724" s="19" t="s">
        <v>66</v>
      </c>
      <c r="O6724" s="19" t="s">
        <v>141</v>
      </c>
      <c r="P6724" s="99">
        <v>6359</v>
      </c>
      <c r="Q6724" s="19">
        <v>6400</v>
      </c>
      <c r="R6724" s="99">
        <f t="shared" si="291"/>
        <v>-41</v>
      </c>
      <c r="S6724" s="19">
        <f>820-50</f>
        <v>770</v>
      </c>
      <c r="T6724" s="19" t="s">
        <v>42</v>
      </c>
      <c r="U6724" s="102" t="s">
        <v>1590</v>
      </c>
      <c r="V6724" s="186">
        <v>45833</v>
      </c>
      <c r="W6724" s="17" t="s">
        <v>44</v>
      </c>
      <c r="X6724" s="17"/>
      <c r="Y6724" s="68">
        <v>45839</v>
      </c>
      <c r="Z6724" s="17" t="s">
        <v>45</v>
      </c>
      <c r="AA6724" s="17" t="s">
        <v>46</v>
      </c>
      <c r="AB6724" s="17" t="s">
        <v>1572</v>
      </c>
      <c r="AC6724" s="217">
        <v>45874</v>
      </c>
      <c r="AD6724" s="65">
        <v>1715</v>
      </c>
      <c r="AE6724" s="17" t="s">
        <v>48</v>
      </c>
      <c r="AF6724" s="17" t="s">
        <v>1573</v>
      </c>
      <c r="AG6724" s="17"/>
      <c r="AH6724" s="17"/>
      <c r="AI6724" s="17"/>
      <c r="AJ6724" s="17"/>
      <c r="AK6724" s="17"/>
      <c r="AL6724" s="17"/>
      <c r="AM6724" s="17"/>
      <c r="AN6724" s="17"/>
      <c r="AO6724" s="17"/>
      <c r="AP6724" s="17"/>
      <c r="AQ6724" s="17"/>
      <c r="AR6724" s="17"/>
    </row>
    <row r="6725" s="25" customFormat="1" hidden="1" spans="1:44">
      <c r="A6725" s="17" t="s">
        <v>34</v>
      </c>
      <c r="B6725" s="19">
        <v>1070</v>
      </c>
      <c r="C6725" s="183">
        <v>45833</v>
      </c>
      <c r="D6725" s="17" t="s">
        <v>1550</v>
      </c>
      <c r="E6725" s="17" t="s">
        <v>1581</v>
      </c>
      <c r="F6725" s="17" t="s">
        <v>54</v>
      </c>
      <c r="G6725" s="17"/>
      <c r="H6725" s="19">
        <v>1.2311</v>
      </c>
      <c r="I6725" s="19"/>
      <c r="J6725" s="17" t="s">
        <v>49</v>
      </c>
      <c r="K6725" s="19">
        <v>2200</v>
      </c>
      <c r="L6725" s="19">
        <v>26</v>
      </c>
      <c r="M6725" s="19">
        <v>5000</v>
      </c>
      <c r="N6725" s="19" t="s">
        <v>66</v>
      </c>
      <c r="O6725" s="19" t="s">
        <v>141</v>
      </c>
      <c r="P6725" s="99">
        <v>6735.3</v>
      </c>
      <c r="Q6725" s="19">
        <f>2127+2525+2525</f>
        <v>7177</v>
      </c>
      <c r="R6725" s="99">
        <f t="shared" si="291"/>
        <v>-441.700000000001</v>
      </c>
      <c r="S6725" s="19">
        <v>101</v>
      </c>
      <c r="T6725" s="19" t="s">
        <v>421</v>
      </c>
      <c r="U6725" s="102"/>
      <c r="V6725" s="186"/>
      <c r="W6725" s="17"/>
      <c r="X6725" s="17"/>
      <c r="Y6725" s="68"/>
      <c r="Z6725" s="17"/>
      <c r="AA6725" s="17"/>
      <c r="AB6725" s="17" t="s">
        <v>1591</v>
      </c>
      <c r="AC6725" s="217">
        <v>45894</v>
      </c>
      <c r="AD6725" s="65"/>
      <c r="AE6725" s="17" t="s">
        <v>204</v>
      </c>
      <c r="AF6725" s="17"/>
      <c r="AG6725" s="17"/>
      <c r="AH6725" s="17"/>
      <c r="AI6725" s="17"/>
      <c r="AJ6725" s="17"/>
      <c r="AK6725" s="17"/>
      <c r="AL6725" s="17"/>
      <c r="AM6725" s="17"/>
      <c r="AN6725" s="17"/>
      <c r="AO6725" s="17"/>
      <c r="AP6725" s="17"/>
      <c r="AQ6725" s="17"/>
      <c r="AR6725" s="17"/>
    </row>
    <row r="6726" s="25" customFormat="1" hidden="1" spans="1:44">
      <c r="A6726" s="17" t="s">
        <v>34</v>
      </c>
      <c r="B6726" s="19">
        <v>1070</v>
      </c>
      <c r="C6726" s="183">
        <v>45833</v>
      </c>
      <c r="D6726" s="17" t="s">
        <v>1550</v>
      </c>
      <c r="E6726" s="17" t="s">
        <v>1581</v>
      </c>
      <c r="F6726" s="17" t="s">
        <v>54</v>
      </c>
      <c r="G6726" s="17"/>
      <c r="H6726" s="19">
        <v>1.2311</v>
      </c>
      <c r="I6726" s="19"/>
      <c r="J6726" s="17" t="s">
        <v>49</v>
      </c>
      <c r="K6726" s="19">
        <v>2200</v>
      </c>
      <c r="L6726" s="19">
        <v>32</v>
      </c>
      <c r="M6726" s="19">
        <v>5000</v>
      </c>
      <c r="N6726" s="19" t="s">
        <v>66</v>
      </c>
      <c r="O6726" s="19" t="s">
        <v>141</v>
      </c>
      <c r="P6726" s="99">
        <v>5526.4</v>
      </c>
      <c r="Q6726" s="19">
        <f>3050+2915</f>
        <v>5965</v>
      </c>
      <c r="R6726" s="99">
        <f t="shared" si="291"/>
        <v>-438.6</v>
      </c>
      <c r="S6726" s="19">
        <v>101</v>
      </c>
      <c r="T6726" s="19" t="s">
        <v>421</v>
      </c>
      <c r="U6726" s="102"/>
      <c r="V6726" s="186"/>
      <c r="W6726" s="17"/>
      <c r="X6726" s="17"/>
      <c r="Y6726" s="68"/>
      <c r="Z6726" s="17"/>
      <c r="AA6726" s="17"/>
      <c r="AB6726" s="17" t="s">
        <v>1591</v>
      </c>
      <c r="AC6726" s="217">
        <v>45894</v>
      </c>
      <c r="AD6726" s="65"/>
      <c r="AE6726" s="17" t="s">
        <v>390</v>
      </c>
      <c r="AF6726" s="17"/>
      <c r="AG6726" s="17"/>
      <c r="AH6726" s="17"/>
      <c r="AI6726" s="17"/>
      <c r="AJ6726" s="17"/>
      <c r="AK6726" s="17"/>
      <c r="AL6726" s="17"/>
      <c r="AM6726" s="17"/>
      <c r="AN6726" s="17"/>
      <c r="AO6726" s="17"/>
      <c r="AP6726" s="17"/>
      <c r="AQ6726" s="17"/>
      <c r="AR6726" s="17"/>
    </row>
    <row r="6727" s="25" customFormat="1" hidden="1" spans="1:44">
      <c r="A6727" s="17" t="s">
        <v>34</v>
      </c>
      <c r="B6727" s="19">
        <v>1070</v>
      </c>
      <c r="C6727" s="183">
        <v>45833</v>
      </c>
      <c r="D6727" s="17" t="s">
        <v>1550</v>
      </c>
      <c r="E6727" s="17" t="s">
        <v>1581</v>
      </c>
      <c r="F6727" s="17" t="s">
        <v>54</v>
      </c>
      <c r="G6727" s="17"/>
      <c r="H6727" s="19">
        <v>1.2311</v>
      </c>
      <c r="I6727" s="19"/>
      <c r="J6727" s="17" t="s">
        <v>49</v>
      </c>
      <c r="K6727" s="19">
        <v>2200</v>
      </c>
      <c r="L6727" s="19">
        <v>36</v>
      </c>
      <c r="M6727" s="19">
        <v>5000</v>
      </c>
      <c r="N6727" s="19" t="s">
        <v>66</v>
      </c>
      <c r="O6727" s="19" t="s">
        <v>141</v>
      </c>
      <c r="P6727" s="99">
        <v>3108.6</v>
      </c>
      <c r="Q6727" s="19">
        <v>3140</v>
      </c>
      <c r="R6727" s="99">
        <f t="shared" si="291"/>
        <v>-31.4000000000005</v>
      </c>
      <c r="S6727" s="19">
        <v>101</v>
      </c>
      <c r="T6727" s="19" t="s">
        <v>421</v>
      </c>
      <c r="U6727" s="102"/>
      <c r="V6727" s="186"/>
      <c r="W6727" s="17"/>
      <c r="X6727" s="17"/>
      <c r="Y6727" s="68"/>
      <c r="Z6727" s="17"/>
      <c r="AA6727" s="17"/>
      <c r="AB6727" s="17" t="s">
        <v>1591</v>
      </c>
      <c r="AC6727" s="217">
        <v>45894</v>
      </c>
      <c r="AD6727" s="65"/>
      <c r="AE6727" s="17" t="s">
        <v>1592</v>
      </c>
      <c r="AF6727" s="17"/>
      <c r="AG6727" s="17"/>
      <c r="AH6727" s="17"/>
      <c r="AI6727" s="17"/>
      <c r="AJ6727" s="17"/>
      <c r="AK6727" s="17"/>
      <c r="AL6727" s="17"/>
      <c r="AM6727" s="17"/>
      <c r="AN6727" s="17"/>
      <c r="AO6727" s="17"/>
      <c r="AP6727" s="17"/>
      <c r="AQ6727" s="17"/>
      <c r="AR6727" s="17"/>
    </row>
    <row r="6728" s="25" customFormat="1" hidden="1" spans="1:44">
      <c r="A6728" s="17" t="s">
        <v>34</v>
      </c>
      <c r="B6728" s="19">
        <v>1070</v>
      </c>
      <c r="C6728" s="183">
        <v>45833</v>
      </c>
      <c r="D6728" s="17" t="s">
        <v>1550</v>
      </c>
      <c r="E6728" s="17" t="s">
        <v>1581</v>
      </c>
      <c r="F6728" s="17" t="s">
        <v>54</v>
      </c>
      <c r="G6728" s="17"/>
      <c r="H6728" s="19">
        <v>1.2311</v>
      </c>
      <c r="I6728" s="19"/>
      <c r="J6728" s="17" t="s">
        <v>49</v>
      </c>
      <c r="K6728" s="19">
        <v>2200</v>
      </c>
      <c r="L6728" s="19">
        <v>40</v>
      </c>
      <c r="M6728" s="19">
        <v>5000</v>
      </c>
      <c r="N6728" s="19" t="s">
        <v>66</v>
      </c>
      <c r="O6728" s="19" t="s">
        <v>141</v>
      </c>
      <c r="P6728" s="145">
        <v>6908</v>
      </c>
      <c r="Q6728" s="19">
        <v>8160</v>
      </c>
      <c r="R6728" s="99">
        <f t="shared" si="291"/>
        <v>-1252</v>
      </c>
      <c r="S6728" s="19">
        <v>101</v>
      </c>
      <c r="T6728" s="19" t="s">
        <v>421</v>
      </c>
      <c r="U6728" s="102"/>
      <c r="V6728" s="186"/>
      <c r="W6728" s="17"/>
      <c r="X6728" s="17"/>
      <c r="Y6728" s="68"/>
      <c r="Z6728" s="17"/>
      <c r="AA6728" s="17"/>
      <c r="AB6728" s="17" t="s">
        <v>1593</v>
      </c>
      <c r="AC6728" s="217">
        <v>45925</v>
      </c>
      <c r="AD6728" s="65"/>
      <c r="AE6728" s="17" t="s">
        <v>390</v>
      </c>
      <c r="AF6728" s="17"/>
      <c r="AG6728" s="17"/>
      <c r="AH6728" s="17"/>
      <c r="AI6728" s="17"/>
      <c r="AJ6728" s="17"/>
      <c r="AK6728" s="17"/>
      <c r="AL6728" s="17"/>
      <c r="AM6728" s="17"/>
      <c r="AN6728" s="17"/>
      <c r="AO6728" s="17"/>
      <c r="AP6728" s="17"/>
      <c r="AQ6728" s="17"/>
      <c r="AR6728" s="17"/>
    </row>
    <row r="6729" s="25" customFormat="1" hidden="1" spans="1:44">
      <c r="A6729" s="17" t="s">
        <v>34</v>
      </c>
      <c r="B6729" s="19">
        <v>1070</v>
      </c>
      <c r="C6729" s="183">
        <v>45833</v>
      </c>
      <c r="D6729" s="17" t="s">
        <v>1550</v>
      </c>
      <c r="E6729" s="17" t="s">
        <v>1581</v>
      </c>
      <c r="F6729" s="17" t="s">
        <v>54</v>
      </c>
      <c r="G6729" s="17"/>
      <c r="H6729" s="19">
        <v>1.2311</v>
      </c>
      <c r="I6729" s="19"/>
      <c r="J6729" s="17" t="s">
        <v>49</v>
      </c>
      <c r="K6729" s="19">
        <v>2200</v>
      </c>
      <c r="L6729" s="19">
        <v>45</v>
      </c>
      <c r="M6729" s="19">
        <v>5000</v>
      </c>
      <c r="N6729" s="19" t="s">
        <v>66</v>
      </c>
      <c r="O6729" s="19" t="s">
        <v>141</v>
      </c>
      <c r="P6729" s="145">
        <v>7771.5</v>
      </c>
      <c r="Q6729" s="19">
        <f>3840+4610</f>
        <v>8450</v>
      </c>
      <c r="R6729" s="99">
        <f t="shared" si="291"/>
        <v>-678.500000000001</v>
      </c>
      <c r="S6729" s="19">
        <v>101</v>
      </c>
      <c r="T6729" s="19" t="s">
        <v>421</v>
      </c>
      <c r="U6729" s="102"/>
      <c r="V6729" s="186"/>
      <c r="W6729" s="17"/>
      <c r="X6729" s="17"/>
      <c r="Y6729" s="68"/>
      <c r="Z6729" s="17"/>
      <c r="AA6729" s="17"/>
      <c r="AB6729" s="17" t="s">
        <v>1591</v>
      </c>
      <c r="AC6729" s="217">
        <v>45894</v>
      </c>
      <c r="AD6729" s="65"/>
      <c r="AE6729" s="17" t="s">
        <v>390</v>
      </c>
      <c r="AF6729" s="17"/>
      <c r="AG6729" s="17"/>
      <c r="AH6729" s="17"/>
      <c r="AI6729" s="17"/>
      <c r="AJ6729" s="17"/>
      <c r="AK6729" s="17"/>
      <c r="AL6729" s="17"/>
      <c r="AM6729" s="17"/>
      <c r="AN6729" s="17"/>
      <c r="AO6729" s="17"/>
      <c r="AP6729" s="17"/>
      <c r="AQ6729" s="17"/>
      <c r="AR6729" s="17"/>
    </row>
    <row r="6730" s="25" customFormat="1" hidden="1" spans="1:44">
      <c r="A6730" s="17" t="s">
        <v>34</v>
      </c>
      <c r="B6730" s="19">
        <v>1070</v>
      </c>
      <c r="C6730" s="183">
        <v>45833</v>
      </c>
      <c r="D6730" s="17" t="s">
        <v>1550</v>
      </c>
      <c r="E6730" s="17" t="s">
        <v>1581</v>
      </c>
      <c r="F6730" s="17" t="s">
        <v>54</v>
      </c>
      <c r="G6730" s="17"/>
      <c r="H6730" s="19">
        <v>1.2311</v>
      </c>
      <c r="I6730" s="19"/>
      <c r="J6730" s="17" t="s">
        <v>49</v>
      </c>
      <c r="K6730" s="19">
        <v>2200</v>
      </c>
      <c r="L6730" s="19">
        <v>50</v>
      </c>
      <c r="M6730" s="19">
        <v>5000</v>
      </c>
      <c r="N6730" s="19" t="s">
        <v>66</v>
      </c>
      <c r="O6730" s="19" t="s">
        <v>141</v>
      </c>
      <c r="P6730" s="145">
        <v>12952.5</v>
      </c>
      <c r="Q6730" s="19">
        <v>4606</v>
      </c>
      <c r="S6730" s="19">
        <v>101</v>
      </c>
      <c r="T6730" s="19" t="s">
        <v>421</v>
      </c>
      <c r="U6730" s="102"/>
      <c r="V6730" s="186"/>
      <c r="W6730" s="17"/>
      <c r="X6730" s="17"/>
      <c r="Y6730" s="68"/>
      <c r="Z6730" s="17"/>
      <c r="AA6730" s="17"/>
      <c r="AB6730" s="17" t="s">
        <v>1594</v>
      </c>
      <c r="AC6730" s="388">
        <v>45894</v>
      </c>
      <c r="AE6730" s="17" t="s">
        <v>204</v>
      </c>
      <c r="AF6730" s="17"/>
      <c r="AG6730" s="17"/>
      <c r="AH6730" s="17"/>
      <c r="AI6730" s="17"/>
      <c r="AJ6730" s="17"/>
      <c r="AK6730" s="17"/>
      <c r="AL6730" s="17"/>
      <c r="AM6730" s="17"/>
      <c r="AN6730" s="17"/>
      <c r="AO6730" s="17"/>
      <c r="AP6730" s="17"/>
      <c r="AQ6730" s="17"/>
      <c r="AR6730" s="17"/>
    </row>
    <row r="6731" s="25" customFormat="1" hidden="1" spans="1:44">
      <c r="A6731" s="17" t="s">
        <v>34</v>
      </c>
      <c r="B6731" s="19">
        <v>1070</v>
      </c>
      <c r="C6731" s="183">
        <v>45833</v>
      </c>
      <c r="D6731" s="17" t="s">
        <v>1550</v>
      </c>
      <c r="E6731" s="17" t="s">
        <v>1581</v>
      </c>
      <c r="F6731" s="17" t="s">
        <v>54</v>
      </c>
      <c r="G6731" s="17"/>
      <c r="H6731" s="19">
        <v>1.2311</v>
      </c>
      <c r="I6731" s="19"/>
      <c r="J6731" s="17" t="s">
        <v>49</v>
      </c>
      <c r="K6731" s="19">
        <v>2200</v>
      </c>
      <c r="L6731" s="19">
        <v>50</v>
      </c>
      <c r="M6731" s="19">
        <v>5000</v>
      </c>
      <c r="N6731" s="19" t="s">
        <v>66</v>
      </c>
      <c r="O6731" s="19" t="s">
        <v>141</v>
      </c>
      <c r="P6731" s="145"/>
      <c r="Q6731" s="19">
        <v>9260</v>
      </c>
      <c r="R6731" s="99">
        <f>+P6730-Q6730-Q6731</f>
        <v>-913.5</v>
      </c>
      <c r="S6731" s="19">
        <v>101</v>
      </c>
      <c r="T6731" s="19" t="s">
        <v>421</v>
      </c>
      <c r="U6731" s="102"/>
      <c r="V6731" s="186"/>
      <c r="W6731" s="17"/>
      <c r="X6731" s="17"/>
      <c r="Y6731" s="68"/>
      <c r="Z6731" s="17"/>
      <c r="AA6731" s="17"/>
      <c r="AB6731" s="17" t="s">
        <v>1593</v>
      </c>
      <c r="AC6731" s="388">
        <v>45925</v>
      </c>
      <c r="AE6731" s="17"/>
      <c r="AF6731" s="17"/>
      <c r="AG6731" s="17"/>
      <c r="AH6731" s="17"/>
      <c r="AI6731" s="17"/>
      <c r="AJ6731" s="17"/>
      <c r="AK6731" s="17"/>
      <c r="AL6731" s="17"/>
      <c r="AM6731" s="17"/>
      <c r="AN6731" s="17"/>
      <c r="AO6731" s="17"/>
      <c r="AP6731" s="17"/>
      <c r="AQ6731" s="17"/>
      <c r="AR6731" s="17"/>
    </row>
    <row r="6732" s="25" customFormat="1" hidden="1" spans="1:44">
      <c r="A6732" s="17" t="s">
        <v>34</v>
      </c>
      <c r="B6732" s="19">
        <v>1070</v>
      </c>
      <c r="C6732" s="183">
        <v>45833</v>
      </c>
      <c r="D6732" s="17" t="s">
        <v>1550</v>
      </c>
      <c r="E6732" s="17" t="s">
        <v>1581</v>
      </c>
      <c r="F6732" s="17" t="s">
        <v>54</v>
      </c>
      <c r="G6732" s="17"/>
      <c r="H6732" s="19">
        <v>1.2311</v>
      </c>
      <c r="I6732" s="19"/>
      <c r="J6732" s="17" t="s">
        <v>49</v>
      </c>
      <c r="K6732" s="19">
        <v>2200</v>
      </c>
      <c r="L6732" s="19">
        <v>56</v>
      </c>
      <c r="M6732" s="19">
        <v>5000</v>
      </c>
      <c r="N6732" s="19" t="s">
        <v>66</v>
      </c>
      <c r="O6732" s="19" t="s">
        <v>141</v>
      </c>
      <c r="P6732" s="145">
        <v>9671.2</v>
      </c>
      <c r="Q6732" s="19">
        <f>4700+4700</f>
        <v>9400</v>
      </c>
      <c r="R6732" s="99">
        <f>+P6732-Q6732</f>
        <v>271.200000000001</v>
      </c>
      <c r="S6732" s="19">
        <v>101</v>
      </c>
      <c r="T6732" s="19" t="s">
        <v>421</v>
      </c>
      <c r="U6732" s="102"/>
      <c r="V6732" s="186"/>
      <c r="W6732" s="17"/>
      <c r="X6732" s="17"/>
      <c r="Y6732" s="68"/>
      <c r="Z6732" s="17"/>
      <c r="AA6732" s="17"/>
      <c r="AB6732" s="17" t="s">
        <v>1594</v>
      </c>
      <c r="AC6732" s="388">
        <v>45894</v>
      </c>
      <c r="AD6732" s="65"/>
      <c r="AE6732" s="17" t="s">
        <v>390</v>
      </c>
      <c r="AF6732" s="17"/>
      <c r="AG6732" s="17"/>
      <c r="AH6732" s="17"/>
      <c r="AI6732" s="17"/>
      <c r="AJ6732" s="17"/>
      <c r="AK6732" s="17"/>
      <c r="AL6732" s="17"/>
      <c r="AM6732" s="17"/>
      <c r="AN6732" s="17"/>
      <c r="AO6732" s="17"/>
      <c r="AP6732" s="17"/>
      <c r="AQ6732" s="17"/>
      <c r="AR6732" s="17"/>
    </row>
    <row r="6733" s="25" customFormat="1" hidden="1" spans="1:44">
      <c r="A6733" s="17" t="s">
        <v>34</v>
      </c>
      <c r="B6733" s="19">
        <v>1070</v>
      </c>
      <c r="C6733" s="183">
        <v>45833</v>
      </c>
      <c r="D6733" s="17" t="s">
        <v>1550</v>
      </c>
      <c r="E6733" s="17" t="s">
        <v>1581</v>
      </c>
      <c r="F6733" s="17" t="s">
        <v>54</v>
      </c>
      <c r="G6733" s="17"/>
      <c r="H6733" s="19">
        <v>1.2311</v>
      </c>
      <c r="I6733" s="19"/>
      <c r="J6733" s="17" t="s">
        <v>49</v>
      </c>
      <c r="K6733" s="19">
        <v>2200</v>
      </c>
      <c r="L6733" s="19">
        <v>61</v>
      </c>
      <c r="M6733" s="19">
        <v>5000</v>
      </c>
      <c r="N6733" s="19" t="s">
        <v>66</v>
      </c>
      <c r="O6733" s="19" t="s">
        <v>141</v>
      </c>
      <c r="P6733" s="145">
        <v>10534.7</v>
      </c>
      <c r="Q6733" s="19">
        <f>5250+5090</f>
        <v>10340</v>
      </c>
      <c r="S6733" s="19">
        <v>101</v>
      </c>
      <c r="T6733" s="19" t="s">
        <v>421</v>
      </c>
      <c r="U6733" s="102"/>
      <c r="V6733" s="186"/>
      <c r="W6733" s="17"/>
      <c r="X6733" s="17"/>
      <c r="Y6733" s="68"/>
      <c r="Z6733" s="17"/>
      <c r="AA6733" s="17"/>
      <c r="AB6733" s="17" t="s">
        <v>1595</v>
      </c>
      <c r="AC6733" s="388">
        <v>45901</v>
      </c>
      <c r="AD6733" s="65"/>
      <c r="AE6733" s="17" t="s">
        <v>390</v>
      </c>
      <c r="AF6733" s="17"/>
      <c r="AG6733" s="17"/>
      <c r="AH6733" s="17"/>
      <c r="AI6733" s="17"/>
      <c r="AJ6733" s="17"/>
      <c r="AK6733" s="17"/>
      <c r="AL6733" s="17"/>
      <c r="AM6733" s="17"/>
      <c r="AN6733" s="17"/>
      <c r="AO6733" s="17"/>
      <c r="AP6733" s="17"/>
      <c r="AQ6733" s="17"/>
      <c r="AR6733" s="17"/>
    </row>
    <row r="6734" s="25" customFormat="1" hidden="1" spans="1:44">
      <c r="A6734" s="17" t="s">
        <v>34</v>
      </c>
      <c r="B6734" s="19">
        <v>1070</v>
      </c>
      <c r="C6734" s="183">
        <v>45833</v>
      </c>
      <c r="D6734" s="17" t="s">
        <v>1550</v>
      </c>
      <c r="E6734" s="17" t="s">
        <v>1581</v>
      </c>
      <c r="F6734" s="17" t="s">
        <v>54</v>
      </c>
      <c r="G6734" s="17"/>
      <c r="H6734" s="19">
        <v>1.2311</v>
      </c>
      <c r="I6734" s="19"/>
      <c r="J6734" s="17" t="s">
        <v>49</v>
      </c>
      <c r="K6734" s="19">
        <v>2200</v>
      </c>
      <c r="L6734" s="19">
        <v>61</v>
      </c>
      <c r="M6734" s="19">
        <v>5000</v>
      </c>
      <c r="N6734" s="19" t="s">
        <v>66</v>
      </c>
      <c r="O6734" s="19" t="s">
        <v>141</v>
      </c>
      <c r="P6734" s="145"/>
      <c r="Q6734" s="19">
        <v>3060</v>
      </c>
      <c r="R6734" s="99">
        <f>+P6733-Q6733-Q6734</f>
        <v>-2865.3</v>
      </c>
      <c r="S6734" s="19">
        <v>101</v>
      </c>
      <c r="T6734" s="19" t="s">
        <v>421</v>
      </c>
      <c r="U6734" s="102"/>
      <c r="V6734" s="186"/>
      <c r="W6734" s="17"/>
      <c r="X6734" s="17"/>
      <c r="Y6734" s="68"/>
      <c r="Z6734" s="17"/>
      <c r="AA6734" s="17"/>
      <c r="AB6734" s="17" t="s">
        <v>1593</v>
      </c>
      <c r="AC6734" s="388">
        <v>45925</v>
      </c>
      <c r="AD6734" s="65"/>
      <c r="AE6734" s="17"/>
      <c r="AF6734" s="17"/>
      <c r="AG6734" s="17"/>
      <c r="AH6734" s="17"/>
      <c r="AI6734" s="17"/>
      <c r="AJ6734" s="17"/>
      <c r="AK6734" s="17"/>
      <c r="AL6734" s="17"/>
      <c r="AM6734" s="17"/>
      <c r="AN6734" s="17"/>
      <c r="AO6734" s="17"/>
      <c r="AP6734" s="17"/>
      <c r="AQ6734" s="17"/>
      <c r="AR6734" s="17"/>
    </row>
    <row r="6735" s="25" customFormat="1" hidden="1" spans="1:44">
      <c r="A6735" s="17" t="s">
        <v>34</v>
      </c>
      <c r="B6735" s="19">
        <v>1070</v>
      </c>
      <c r="C6735" s="183">
        <v>45833</v>
      </c>
      <c r="D6735" s="17" t="s">
        <v>1550</v>
      </c>
      <c r="E6735" s="17" t="s">
        <v>1581</v>
      </c>
      <c r="F6735" s="17" t="s">
        <v>54</v>
      </c>
      <c r="G6735" s="17"/>
      <c r="H6735" s="19">
        <v>1.2311</v>
      </c>
      <c r="I6735" s="19"/>
      <c r="J6735" s="17" t="s">
        <v>49</v>
      </c>
      <c r="K6735" s="19">
        <v>2200</v>
      </c>
      <c r="L6735" s="19">
        <v>65</v>
      </c>
      <c r="M6735" s="19">
        <v>5000</v>
      </c>
      <c r="N6735" s="19" t="s">
        <v>66</v>
      </c>
      <c r="O6735" s="19" t="s">
        <v>141</v>
      </c>
      <c r="P6735" s="145">
        <v>11225.5</v>
      </c>
      <c r="Q6735" s="19">
        <f>5770+4820</f>
        <v>10590</v>
      </c>
      <c r="R6735" s="99">
        <f t="shared" ref="R6735:R6747" si="292">+P6735-Q6735</f>
        <v>635.499999999998</v>
      </c>
      <c r="S6735" s="19">
        <v>101</v>
      </c>
      <c r="T6735" s="19" t="s">
        <v>421</v>
      </c>
      <c r="U6735" s="102"/>
      <c r="V6735" s="186"/>
      <c r="W6735" s="17"/>
      <c r="X6735" s="17"/>
      <c r="Y6735" s="68"/>
      <c r="Z6735" s="17"/>
      <c r="AA6735" s="17"/>
      <c r="AB6735" s="17" t="s">
        <v>1595</v>
      </c>
      <c r="AC6735" s="388">
        <v>45901</v>
      </c>
      <c r="AD6735" s="65"/>
      <c r="AE6735" s="17" t="s">
        <v>390</v>
      </c>
      <c r="AF6735" s="17"/>
      <c r="AG6735" s="17"/>
      <c r="AH6735" s="17"/>
      <c r="AI6735" s="17"/>
      <c r="AJ6735" s="17"/>
      <c r="AK6735" s="17"/>
      <c r="AL6735" s="17"/>
      <c r="AM6735" s="17"/>
      <c r="AN6735" s="17"/>
      <c r="AO6735" s="17"/>
      <c r="AP6735" s="17"/>
      <c r="AQ6735" s="17"/>
      <c r="AR6735" s="17"/>
    </row>
    <row r="6736" s="25" customFormat="1" hidden="1" spans="1:44">
      <c r="A6736" s="17" t="s">
        <v>34</v>
      </c>
      <c r="B6736" s="19">
        <v>1070</v>
      </c>
      <c r="C6736" s="183">
        <v>45833</v>
      </c>
      <c r="D6736" s="17" t="s">
        <v>1550</v>
      </c>
      <c r="E6736" s="17" t="s">
        <v>1581</v>
      </c>
      <c r="F6736" s="17" t="s">
        <v>54</v>
      </c>
      <c r="G6736" s="17"/>
      <c r="H6736" s="19">
        <v>1.2311</v>
      </c>
      <c r="I6736" s="19"/>
      <c r="J6736" s="17" t="s">
        <v>49</v>
      </c>
      <c r="K6736" s="19">
        <v>2200</v>
      </c>
      <c r="L6736" s="19">
        <v>71</v>
      </c>
      <c r="M6736" s="19">
        <v>5000</v>
      </c>
      <c r="N6736" s="19" t="s">
        <v>66</v>
      </c>
      <c r="O6736" s="19" t="s">
        <v>141</v>
      </c>
      <c r="P6736" s="145">
        <v>6130.85</v>
      </c>
      <c r="Q6736" s="19">
        <v>6550</v>
      </c>
      <c r="R6736" s="99">
        <f t="shared" si="292"/>
        <v>-419.150000000001</v>
      </c>
      <c r="S6736" s="19">
        <v>101</v>
      </c>
      <c r="T6736" s="19" t="s">
        <v>421</v>
      </c>
      <c r="U6736" s="102"/>
      <c r="V6736" s="186"/>
      <c r="W6736" s="17"/>
      <c r="X6736" s="17"/>
      <c r="Y6736" s="68"/>
      <c r="Z6736" s="17"/>
      <c r="AA6736" s="17"/>
      <c r="AB6736" s="17" t="s">
        <v>1595</v>
      </c>
      <c r="AC6736" s="388">
        <v>45901</v>
      </c>
      <c r="AD6736" s="65"/>
      <c r="AE6736" s="17" t="s">
        <v>48</v>
      </c>
      <c r="AF6736" s="17"/>
      <c r="AG6736" s="17"/>
      <c r="AH6736" s="17"/>
      <c r="AI6736" s="17"/>
      <c r="AJ6736" s="17"/>
      <c r="AK6736" s="17"/>
      <c r="AL6736" s="17"/>
      <c r="AM6736" s="17"/>
      <c r="AN6736" s="17"/>
      <c r="AO6736" s="17"/>
      <c r="AP6736" s="17"/>
      <c r="AQ6736" s="17"/>
      <c r="AR6736" s="17"/>
    </row>
    <row r="6737" s="25" customFormat="1" hidden="1" spans="1:44">
      <c r="A6737" s="17" t="s">
        <v>34</v>
      </c>
      <c r="B6737" s="19">
        <v>1070</v>
      </c>
      <c r="C6737" s="183">
        <v>45833</v>
      </c>
      <c r="D6737" s="17" t="s">
        <v>1550</v>
      </c>
      <c r="E6737" s="17" t="s">
        <v>1581</v>
      </c>
      <c r="F6737" s="17" t="s">
        <v>54</v>
      </c>
      <c r="G6737" s="17"/>
      <c r="H6737" s="19">
        <v>1.2311</v>
      </c>
      <c r="I6737" s="19"/>
      <c r="J6737" s="17" t="s">
        <v>49</v>
      </c>
      <c r="K6737" s="19">
        <v>2200</v>
      </c>
      <c r="L6737" s="19">
        <v>81</v>
      </c>
      <c r="M6737" s="19">
        <v>5000</v>
      </c>
      <c r="N6737" s="19" t="s">
        <v>66</v>
      </c>
      <c r="O6737" s="19" t="s">
        <v>141</v>
      </c>
      <c r="P6737" s="145">
        <v>6994.35</v>
      </c>
      <c r="Q6737" s="19">
        <v>8090</v>
      </c>
      <c r="R6737" s="99">
        <f t="shared" si="292"/>
        <v>-1095.65</v>
      </c>
      <c r="S6737" s="19">
        <v>101</v>
      </c>
      <c r="T6737" s="19" t="s">
        <v>421</v>
      </c>
      <c r="U6737" s="102"/>
      <c r="V6737" s="186"/>
      <c r="W6737" s="17"/>
      <c r="X6737" s="17"/>
      <c r="Y6737" s="68"/>
      <c r="Z6737" s="17"/>
      <c r="AA6737" s="17"/>
      <c r="AB6737" s="17" t="s">
        <v>1594</v>
      </c>
      <c r="AC6737" s="388">
        <v>45894</v>
      </c>
      <c r="AD6737" s="65"/>
      <c r="AE6737" s="17" t="s">
        <v>1592</v>
      </c>
      <c r="AF6737" s="17"/>
      <c r="AG6737" s="17"/>
      <c r="AH6737" s="17"/>
      <c r="AI6737" s="17"/>
      <c r="AJ6737" s="17"/>
      <c r="AK6737" s="17"/>
      <c r="AL6737" s="17"/>
      <c r="AM6737" s="17"/>
      <c r="AN6737" s="17"/>
      <c r="AO6737" s="17"/>
      <c r="AP6737" s="17"/>
      <c r="AQ6737" s="17"/>
      <c r="AR6737" s="17"/>
    </row>
    <row r="6738" s="25" customFormat="1" hidden="1" spans="1:44">
      <c r="A6738" s="17" t="s">
        <v>34</v>
      </c>
      <c r="B6738" s="19">
        <v>1070</v>
      </c>
      <c r="C6738" s="183">
        <v>45833</v>
      </c>
      <c r="D6738" s="17" t="s">
        <v>1550</v>
      </c>
      <c r="E6738" s="17" t="s">
        <v>1581</v>
      </c>
      <c r="F6738" s="17" t="s">
        <v>54</v>
      </c>
      <c r="G6738" s="17"/>
      <c r="H6738" s="19">
        <v>1.2311</v>
      </c>
      <c r="I6738" s="19"/>
      <c r="J6738" s="17" t="s">
        <v>49</v>
      </c>
      <c r="K6738" s="19">
        <v>2200</v>
      </c>
      <c r="L6738" s="19">
        <v>91</v>
      </c>
      <c r="M6738" s="19">
        <v>5000</v>
      </c>
      <c r="N6738" s="19" t="s">
        <v>66</v>
      </c>
      <c r="O6738" s="19" t="s">
        <v>141</v>
      </c>
      <c r="P6738" s="145">
        <v>7857.85</v>
      </c>
      <c r="Q6738" s="19">
        <v>6970</v>
      </c>
      <c r="R6738" s="99">
        <f t="shared" si="292"/>
        <v>887.849999999999</v>
      </c>
      <c r="S6738" s="19">
        <v>101</v>
      </c>
      <c r="T6738" s="19" t="s">
        <v>421</v>
      </c>
      <c r="U6738" s="102"/>
      <c r="V6738" s="186"/>
      <c r="W6738" s="17"/>
      <c r="X6738" s="17"/>
      <c r="Y6738" s="68"/>
      <c r="Z6738" s="17"/>
      <c r="AA6738" s="17"/>
      <c r="AB6738" s="17" t="s">
        <v>1593</v>
      </c>
      <c r="AC6738" s="217">
        <v>45925</v>
      </c>
      <c r="AD6738" s="65"/>
      <c r="AE6738" s="17" t="s">
        <v>1592</v>
      </c>
      <c r="AF6738" s="17"/>
      <c r="AG6738" s="17"/>
      <c r="AH6738" s="17"/>
      <c r="AI6738" s="17"/>
      <c r="AJ6738" s="17"/>
      <c r="AK6738" s="17"/>
      <c r="AL6738" s="17"/>
      <c r="AM6738" s="17"/>
      <c r="AN6738" s="17"/>
      <c r="AO6738" s="17"/>
      <c r="AP6738" s="17"/>
      <c r="AQ6738" s="17"/>
      <c r="AR6738" s="17"/>
    </row>
    <row r="6739" s="25" customFormat="1" hidden="1" spans="1:44">
      <c r="A6739" s="17" t="s">
        <v>34</v>
      </c>
      <c r="B6739" s="19">
        <v>1070</v>
      </c>
      <c r="C6739" s="183">
        <v>45833</v>
      </c>
      <c r="D6739" s="17" t="s">
        <v>1550</v>
      </c>
      <c r="E6739" s="17" t="s">
        <v>1581</v>
      </c>
      <c r="F6739" s="17" t="s">
        <v>54</v>
      </c>
      <c r="G6739" s="17"/>
      <c r="H6739" s="19">
        <v>1.2311</v>
      </c>
      <c r="I6739" s="19"/>
      <c r="J6739" s="17" t="s">
        <v>49</v>
      </c>
      <c r="K6739" s="19">
        <v>2200</v>
      </c>
      <c r="L6739" s="19">
        <v>105</v>
      </c>
      <c r="M6739" s="19">
        <v>5000</v>
      </c>
      <c r="N6739" s="19" t="s">
        <v>66</v>
      </c>
      <c r="O6739" s="19" t="s">
        <v>141</v>
      </c>
      <c r="P6739" s="145">
        <v>9066.75</v>
      </c>
      <c r="Q6739" s="19">
        <v>9150</v>
      </c>
      <c r="R6739" s="99">
        <f t="shared" si="292"/>
        <v>-83.25</v>
      </c>
      <c r="S6739" s="19">
        <v>101</v>
      </c>
      <c r="T6739" s="19" t="s">
        <v>421</v>
      </c>
      <c r="U6739" s="102"/>
      <c r="V6739" s="186"/>
      <c r="W6739" s="17"/>
      <c r="X6739" s="17"/>
      <c r="Y6739" s="68"/>
      <c r="Z6739" s="17"/>
      <c r="AA6739" s="17"/>
      <c r="AB6739" s="17" t="s">
        <v>1594</v>
      </c>
      <c r="AC6739" s="389">
        <v>45894</v>
      </c>
      <c r="AD6739" s="65"/>
      <c r="AE6739" s="17" t="s">
        <v>48</v>
      </c>
      <c r="AF6739" s="17"/>
      <c r="AG6739" s="17"/>
      <c r="AH6739" s="17"/>
      <c r="AI6739" s="17"/>
      <c r="AJ6739" s="17"/>
      <c r="AK6739" s="17"/>
      <c r="AL6739" s="17"/>
      <c r="AM6739" s="17"/>
      <c r="AN6739" s="17"/>
      <c r="AO6739" s="17"/>
      <c r="AP6739" s="17"/>
      <c r="AQ6739" s="17"/>
      <c r="AR6739" s="17"/>
    </row>
    <row r="6740" s="25" customFormat="1" hidden="1" spans="1:44">
      <c r="A6740" s="17" t="s">
        <v>34</v>
      </c>
      <c r="B6740" s="19">
        <v>1070</v>
      </c>
      <c r="C6740" s="183">
        <v>45833</v>
      </c>
      <c r="D6740" s="17" t="s">
        <v>1550</v>
      </c>
      <c r="E6740" s="17" t="s">
        <v>1581</v>
      </c>
      <c r="F6740" s="17" t="s">
        <v>54</v>
      </c>
      <c r="G6740" s="17"/>
      <c r="H6740" s="19">
        <v>1.2311</v>
      </c>
      <c r="I6740" s="19"/>
      <c r="J6740" s="17" t="s">
        <v>49</v>
      </c>
      <c r="K6740" s="19">
        <v>2200</v>
      </c>
      <c r="L6740" s="19">
        <v>130</v>
      </c>
      <c r="M6740" s="19">
        <v>5000</v>
      </c>
      <c r="N6740" s="19" t="s">
        <v>66</v>
      </c>
      <c r="O6740" s="19" t="s">
        <v>141</v>
      </c>
      <c r="P6740" s="145">
        <v>11225.5</v>
      </c>
      <c r="Q6740" s="19">
        <v>12970</v>
      </c>
      <c r="R6740" s="99">
        <f t="shared" si="292"/>
        <v>-1744.5</v>
      </c>
      <c r="S6740" s="19">
        <v>101</v>
      </c>
      <c r="T6740" s="19" t="s">
        <v>421</v>
      </c>
      <c r="U6740" s="102"/>
      <c r="V6740" s="186"/>
      <c r="W6740" s="17"/>
      <c r="X6740" s="17"/>
      <c r="Y6740" s="68"/>
      <c r="Z6740" s="17"/>
      <c r="AA6740" s="17"/>
      <c r="AB6740" s="17" t="s">
        <v>1596</v>
      </c>
      <c r="AC6740" s="217">
        <v>45920</v>
      </c>
      <c r="AD6740" s="65"/>
      <c r="AE6740" s="17" t="s">
        <v>1592</v>
      </c>
      <c r="AF6740" s="17"/>
      <c r="AG6740" s="17"/>
      <c r="AH6740" s="17"/>
      <c r="AI6740" s="17"/>
      <c r="AJ6740" s="17"/>
      <c r="AK6740" s="17"/>
      <c r="AL6740" s="17"/>
      <c r="AM6740" s="17"/>
      <c r="AN6740" s="17"/>
      <c r="AO6740" s="17"/>
      <c r="AP6740" s="17"/>
      <c r="AQ6740" s="17"/>
      <c r="AR6740" s="17"/>
    </row>
    <row r="6741" s="25" customFormat="1" hidden="1" spans="1:44">
      <c r="A6741" s="17" t="s">
        <v>34</v>
      </c>
      <c r="B6741" s="19">
        <v>1070</v>
      </c>
      <c r="C6741" s="183">
        <v>45833</v>
      </c>
      <c r="D6741" s="17" t="s">
        <v>1550</v>
      </c>
      <c r="E6741" s="17" t="s">
        <v>1581</v>
      </c>
      <c r="F6741" s="17" t="s">
        <v>54</v>
      </c>
      <c r="G6741" s="17"/>
      <c r="H6741" s="19">
        <v>1.2311</v>
      </c>
      <c r="I6741" s="19"/>
      <c r="J6741" s="17" t="s">
        <v>49</v>
      </c>
      <c r="K6741" s="147">
        <v>2200</v>
      </c>
      <c r="L6741" s="147">
        <v>155</v>
      </c>
      <c r="M6741" s="19">
        <v>5000</v>
      </c>
      <c r="N6741" s="19" t="s">
        <v>66</v>
      </c>
      <c r="O6741" s="19" t="s">
        <v>141</v>
      </c>
      <c r="P6741" s="99">
        <v>13384.25</v>
      </c>
      <c r="Q6741" s="19">
        <v>15129</v>
      </c>
      <c r="R6741" s="99">
        <f t="shared" si="292"/>
        <v>-1744.75</v>
      </c>
      <c r="S6741" s="19">
        <v>101</v>
      </c>
      <c r="T6741" s="19" t="s">
        <v>421</v>
      </c>
      <c r="U6741" s="102"/>
      <c r="V6741" s="186"/>
      <c r="W6741" s="17"/>
      <c r="X6741" s="17"/>
      <c r="Y6741" s="68"/>
      <c r="Z6741" s="17"/>
      <c r="AA6741" s="17"/>
      <c r="AB6741" s="17" t="s">
        <v>1596</v>
      </c>
      <c r="AC6741" s="217">
        <v>45920</v>
      </c>
      <c r="AD6741" s="65"/>
      <c r="AE6741" s="17" t="s">
        <v>1592</v>
      </c>
      <c r="AF6741" s="17"/>
      <c r="AG6741" s="17"/>
      <c r="AH6741" s="17"/>
      <c r="AI6741" s="17"/>
      <c r="AJ6741" s="17"/>
      <c r="AK6741" s="17"/>
      <c r="AL6741" s="17"/>
      <c r="AM6741" s="17"/>
      <c r="AN6741" s="17"/>
      <c r="AO6741" s="17"/>
      <c r="AP6741" s="17"/>
      <c r="AQ6741" s="17"/>
      <c r="AR6741" s="17"/>
    </row>
    <row r="6742" s="25" customFormat="1" hidden="1" spans="1:44">
      <c r="A6742" s="17" t="s">
        <v>34</v>
      </c>
      <c r="B6742" s="19">
        <v>1072</v>
      </c>
      <c r="C6742" s="183">
        <v>45854</v>
      </c>
      <c r="D6742" s="17" t="s">
        <v>35</v>
      </c>
      <c r="E6742" s="17" t="s">
        <v>718</v>
      </c>
      <c r="F6742" s="17" t="s">
        <v>96</v>
      </c>
      <c r="G6742" s="17"/>
      <c r="H6742" s="19" t="s">
        <v>97</v>
      </c>
      <c r="I6742" s="19"/>
      <c r="J6742" s="17" t="s">
        <v>82</v>
      </c>
      <c r="K6742" s="232">
        <v>410</v>
      </c>
      <c r="L6742" s="232">
        <v>95</v>
      </c>
      <c r="M6742" s="19"/>
      <c r="N6742" s="19" t="s">
        <v>40</v>
      </c>
      <c r="O6742" s="19" t="s">
        <v>98</v>
      </c>
      <c r="P6742" s="19">
        <v>1029</v>
      </c>
      <c r="Q6742" s="19">
        <v>1061</v>
      </c>
      <c r="R6742" s="19">
        <f t="shared" si="292"/>
        <v>-32</v>
      </c>
      <c r="S6742" s="19">
        <v>435</v>
      </c>
      <c r="T6742" s="19" t="s">
        <v>99</v>
      </c>
      <c r="U6742" s="102" t="s">
        <v>1597</v>
      </c>
      <c r="V6742" s="186">
        <v>45854</v>
      </c>
      <c r="W6742" s="17" t="s">
        <v>44</v>
      </c>
      <c r="X6742" s="17"/>
      <c r="Y6742" s="68">
        <v>45870</v>
      </c>
      <c r="Z6742" s="17" t="s">
        <v>78</v>
      </c>
      <c r="AA6742" s="17" t="s">
        <v>46</v>
      </c>
      <c r="AB6742" s="17" t="s">
        <v>1474</v>
      </c>
      <c r="AC6742" s="217">
        <v>45911</v>
      </c>
      <c r="AD6742" s="65">
        <v>1723</v>
      </c>
      <c r="AE6742" s="17" t="s">
        <v>48</v>
      </c>
      <c r="AF6742" s="17"/>
      <c r="AG6742" s="17"/>
      <c r="AH6742" s="17"/>
      <c r="AI6742" s="17"/>
      <c r="AJ6742" s="17"/>
      <c r="AK6742" s="17"/>
      <c r="AL6742" s="17"/>
      <c r="AM6742" s="17"/>
      <c r="AN6742" s="17"/>
      <c r="AO6742" s="17"/>
      <c r="AP6742" s="17"/>
      <c r="AQ6742" s="17"/>
      <c r="AR6742" s="17"/>
    </row>
    <row r="6743" s="25" customFormat="1" hidden="1" spans="1:44">
      <c r="A6743" s="17" t="s">
        <v>34</v>
      </c>
      <c r="B6743" s="19">
        <v>1072</v>
      </c>
      <c r="C6743" s="183">
        <v>45854</v>
      </c>
      <c r="D6743" s="17" t="s">
        <v>35</v>
      </c>
      <c r="E6743" s="17" t="s">
        <v>718</v>
      </c>
      <c r="F6743" s="17" t="s">
        <v>96</v>
      </c>
      <c r="G6743" s="17"/>
      <c r="H6743" s="19" t="s">
        <v>97</v>
      </c>
      <c r="I6743" s="19"/>
      <c r="J6743" s="17" t="s">
        <v>82</v>
      </c>
      <c r="K6743" s="232">
        <v>410</v>
      </c>
      <c r="L6743" s="232">
        <v>180</v>
      </c>
      <c r="M6743" s="19"/>
      <c r="N6743" s="19" t="s">
        <v>40</v>
      </c>
      <c r="O6743" s="19" t="s">
        <v>98</v>
      </c>
      <c r="P6743" s="19">
        <v>1970</v>
      </c>
      <c r="Q6743" s="19">
        <v>1968</v>
      </c>
      <c r="R6743" s="19">
        <f t="shared" si="292"/>
        <v>2</v>
      </c>
      <c r="S6743" s="19">
        <v>435</v>
      </c>
      <c r="T6743" s="19" t="s">
        <v>99</v>
      </c>
      <c r="U6743" s="102" t="s">
        <v>1597</v>
      </c>
      <c r="V6743" s="186">
        <v>45854</v>
      </c>
      <c r="W6743" s="17" t="s">
        <v>44</v>
      </c>
      <c r="X6743" s="17"/>
      <c r="Y6743" s="68">
        <v>45870</v>
      </c>
      <c r="Z6743" s="17" t="s">
        <v>78</v>
      </c>
      <c r="AA6743" s="17" t="s">
        <v>46</v>
      </c>
      <c r="AB6743" s="17" t="s">
        <v>1474</v>
      </c>
      <c r="AC6743" s="217">
        <v>45911</v>
      </c>
      <c r="AD6743" s="65">
        <v>1723</v>
      </c>
      <c r="AE6743" s="17" t="s">
        <v>48</v>
      </c>
      <c r="AF6743" s="17"/>
      <c r="AG6743" s="17"/>
      <c r="AH6743" s="17"/>
      <c r="AI6743" s="17"/>
      <c r="AJ6743" s="17"/>
      <c r="AK6743" s="17"/>
      <c r="AL6743" s="17"/>
      <c r="AM6743" s="17"/>
      <c r="AN6743" s="17"/>
      <c r="AO6743" s="17"/>
      <c r="AP6743" s="17"/>
      <c r="AQ6743" s="17"/>
      <c r="AR6743" s="17"/>
    </row>
    <row r="6744" s="25" customFormat="1" hidden="1" spans="1:44">
      <c r="A6744" s="17" t="s">
        <v>34</v>
      </c>
      <c r="B6744" s="19">
        <v>1072</v>
      </c>
      <c r="C6744" s="183">
        <v>45854</v>
      </c>
      <c r="D6744" s="17" t="s">
        <v>35</v>
      </c>
      <c r="E6744" s="17" t="s">
        <v>718</v>
      </c>
      <c r="F6744" s="17" t="s">
        <v>96</v>
      </c>
      <c r="G6744" s="17"/>
      <c r="H6744" s="19" t="s">
        <v>97</v>
      </c>
      <c r="I6744" s="19"/>
      <c r="J6744" s="17" t="s">
        <v>82</v>
      </c>
      <c r="K6744" s="232">
        <v>520</v>
      </c>
      <c r="L6744" s="232">
        <v>250</v>
      </c>
      <c r="M6744" s="19"/>
      <c r="N6744" s="19" t="s">
        <v>40</v>
      </c>
      <c r="O6744" s="19" t="s">
        <v>98</v>
      </c>
      <c r="P6744" s="19">
        <v>2463</v>
      </c>
      <c r="Q6744" s="19">
        <v>2464</v>
      </c>
      <c r="R6744" s="19">
        <f t="shared" si="292"/>
        <v>-1</v>
      </c>
      <c r="S6744" s="19">
        <v>435</v>
      </c>
      <c r="T6744" s="19" t="s">
        <v>99</v>
      </c>
      <c r="U6744" s="102" t="s">
        <v>1597</v>
      </c>
      <c r="V6744" s="186">
        <v>45854</v>
      </c>
      <c r="W6744" s="17" t="s">
        <v>44</v>
      </c>
      <c r="X6744" s="17"/>
      <c r="Y6744" s="68">
        <v>45870</v>
      </c>
      <c r="Z6744" s="17" t="s">
        <v>78</v>
      </c>
      <c r="AA6744" s="17" t="s">
        <v>46</v>
      </c>
      <c r="AB6744" s="17" t="s">
        <v>1474</v>
      </c>
      <c r="AC6744" s="217">
        <v>45911</v>
      </c>
      <c r="AD6744" s="65">
        <v>1723</v>
      </c>
      <c r="AE6744" s="17" t="s">
        <v>48</v>
      </c>
      <c r="AF6744" s="17"/>
      <c r="AG6744" s="17"/>
      <c r="AH6744" s="17"/>
      <c r="AI6744" s="17"/>
      <c r="AJ6744" s="17"/>
      <c r="AK6744" s="17"/>
      <c r="AL6744" s="17"/>
      <c r="AM6744" s="17"/>
      <c r="AN6744" s="17"/>
      <c r="AO6744" s="17"/>
      <c r="AP6744" s="17"/>
      <c r="AQ6744" s="17"/>
      <c r="AR6744" s="17"/>
    </row>
    <row r="6745" s="25" customFormat="1" hidden="1" spans="1:44">
      <c r="A6745" s="17" t="s">
        <v>34</v>
      </c>
      <c r="B6745" s="19">
        <v>1072</v>
      </c>
      <c r="C6745" s="183">
        <v>45854</v>
      </c>
      <c r="D6745" s="17" t="s">
        <v>35</v>
      </c>
      <c r="E6745" s="17" t="s">
        <v>718</v>
      </c>
      <c r="F6745" s="17" t="s">
        <v>96</v>
      </c>
      <c r="G6745" s="17"/>
      <c r="H6745" s="19" t="s">
        <v>97</v>
      </c>
      <c r="I6745" s="19"/>
      <c r="J6745" s="17" t="s">
        <v>82</v>
      </c>
      <c r="K6745" s="232">
        <v>610</v>
      </c>
      <c r="L6745" s="232">
        <v>305</v>
      </c>
      <c r="M6745" s="19"/>
      <c r="N6745" s="19" t="s">
        <v>40</v>
      </c>
      <c r="O6745" s="19" t="s">
        <v>98</v>
      </c>
      <c r="P6745" s="19">
        <v>2431</v>
      </c>
      <c r="Q6745" s="19">
        <v>2427</v>
      </c>
      <c r="R6745" s="19">
        <f t="shared" si="292"/>
        <v>4</v>
      </c>
      <c r="S6745" s="19">
        <v>435</v>
      </c>
      <c r="T6745" s="19" t="s">
        <v>99</v>
      </c>
      <c r="U6745" s="102" t="s">
        <v>1597</v>
      </c>
      <c r="V6745" s="186">
        <v>45854</v>
      </c>
      <c r="W6745" s="17" t="s">
        <v>44</v>
      </c>
      <c r="X6745" s="17"/>
      <c r="Y6745" s="68">
        <v>45870</v>
      </c>
      <c r="Z6745" s="17" t="s">
        <v>78</v>
      </c>
      <c r="AA6745" s="17" t="s">
        <v>46</v>
      </c>
      <c r="AB6745" s="17" t="s">
        <v>1474</v>
      </c>
      <c r="AC6745" s="217">
        <v>45911</v>
      </c>
      <c r="AD6745" s="65">
        <v>1723</v>
      </c>
      <c r="AE6745" s="17" t="s">
        <v>48</v>
      </c>
      <c r="AF6745" s="17"/>
      <c r="AG6745" s="17"/>
      <c r="AH6745" s="17"/>
      <c r="AI6745" s="17"/>
      <c r="AJ6745" s="17"/>
      <c r="AK6745" s="17"/>
      <c r="AL6745" s="17"/>
      <c r="AM6745" s="17"/>
      <c r="AN6745" s="17"/>
      <c r="AO6745" s="17"/>
      <c r="AP6745" s="17"/>
      <c r="AQ6745" s="17"/>
      <c r="AR6745" s="17"/>
    </row>
    <row r="6746" s="25" customFormat="1" hidden="1" spans="1:44">
      <c r="A6746" s="17" t="s">
        <v>34</v>
      </c>
      <c r="B6746" s="19">
        <v>1073</v>
      </c>
      <c r="C6746" s="183">
        <v>45856</v>
      </c>
      <c r="D6746" s="17" t="s">
        <v>52</v>
      </c>
      <c r="E6746" s="17" t="s">
        <v>53</v>
      </c>
      <c r="F6746" s="17" t="s">
        <v>54</v>
      </c>
      <c r="G6746" s="17"/>
      <c r="H6746" s="19">
        <v>1.2311</v>
      </c>
      <c r="I6746" s="19"/>
      <c r="J6746" s="17" t="s">
        <v>49</v>
      </c>
      <c r="K6746" s="368">
        <v>2200</v>
      </c>
      <c r="L6746" s="368">
        <v>16</v>
      </c>
      <c r="M6746" s="368">
        <v>5000</v>
      </c>
      <c r="N6746" s="19" t="s">
        <v>66</v>
      </c>
      <c r="O6746" s="19" t="s">
        <v>141</v>
      </c>
      <c r="P6746" s="369">
        <v>1130</v>
      </c>
      <c r="Q6746" s="19">
        <v>1136</v>
      </c>
      <c r="R6746" s="19">
        <f t="shared" si="292"/>
        <v>-6</v>
      </c>
      <c r="S6746" s="19">
        <v>1120</v>
      </c>
      <c r="T6746" s="19" t="s">
        <v>42</v>
      </c>
      <c r="U6746" s="102" t="s">
        <v>1598</v>
      </c>
      <c r="V6746" s="186">
        <v>45857</v>
      </c>
      <c r="W6746" s="17" t="s">
        <v>69</v>
      </c>
      <c r="X6746" s="17"/>
      <c r="Y6746" s="68">
        <v>45870</v>
      </c>
      <c r="Z6746" s="17" t="s">
        <v>1599</v>
      </c>
      <c r="AA6746" s="17" t="s">
        <v>46</v>
      </c>
      <c r="AB6746" s="17" t="s">
        <v>1600</v>
      </c>
      <c r="AC6746" s="217">
        <v>45890</v>
      </c>
      <c r="AD6746" s="65">
        <v>1724</v>
      </c>
      <c r="AE6746" s="17" t="s">
        <v>48</v>
      </c>
      <c r="AF6746" s="17" t="s">
        <v>560</v>
      </c>
      <c r="AG6746" s="17"/>
      <c r="AH6746" s="17"/>
      <c r="AI6746" s="17"/>
      <c r="AJ6746" s="17"/>
      <c r="AK6746" s="17"/>
      <c r="AL6746" s="17"/>
      <c r="AM6746" s="17"/>
      <c r="AN6746" s="17"/>
      <c r="AO6746" s="17"/>
      <c r="AP6746" s="17"/>
      <c r="AQ6746" s="17"/>
      <c r="AR6746" s="17"/>
    </row>
    <row r="6747" s="25" customFormat="1" hidden="1" spans="1:44">
      <c r="A6747" s="17" t="s">
        <v>34</v>
      </c>
      <c r="B6747" s="19">
        <v>1073</v>
      </c>
      <c r="C6747" s="183">
        <v>45856</v>
      </c>
      <c r="D6747" s="17" t="s">
        <v>52</v>
      </c>
      <c r="E6747" s="17" t="s">
        <v>53</v>
      </c>
      <c r="F6747" s="17" t="s">
        <v>54</v>
      </c>
      <c r="G6747" s="17"/>
      <c r="H6747" s="19">
        <v>1.2311</v>
      </c>
      <c r="I6747" s="19"/>
      <c r="J6747" s="17" t="s">
        <v>49</v>
      </c>
      <c r="K6747" s="368">
        <v>2200</v>
      </c>
      <c r="L6747" s="368">
        <v>20</v>
      </c>
      <c r="M6747" s="368">
        <v>5000</v>
      </c>
      <c r="N6747" s="19" t="s">
        <v>66</v>
      </c>
      <c r="O6747" s="19" t="s">
        <v>141</v>
      </c>
      <c r="P6747" s="369">
        <v>2826</v>
      </c>
      <c r="Q6747" s="19">
        <f>1464+1517</f>
        <v>2981</v>
      </c>
      <c r="R6747" s="19">
        <f t="shared" si="292"/>
        <v>-155</v>
      </c>
      <c r="S6747" s="19">
        <v>1070</v>
      </c>
      <c r="T6747" s="19" t="s">
        <v>42</v>
      </c>
      <c r="U6747" s="102" t="s">
        <v>1598</v>
      </c>
      <c r="V6747" s="186">
        <v>45857</v>
      </c>
      <c r="W6747" s="17" t="s">
        <v>69</v>
      </c>
      <c r="X6747" s="17"/>
      <c r="Y6747" s="68">
        <v>45870</v>
      </c>
      <c r="Z6747" s="17" t="s">
        <v>1599</v>
      </c>
      <c r="AA6747" s="17" t="s">
        <v>46</v>
      </c>
      <c r="AB6747" s="17" t="s">
        <v>1600</v>
      </c>
      <c r="AC6747" s="217">
        <v>45890</v>
      </c>
      <c r="AD6747" s="65">
        <v>1724</v>
      </c>
      <c r="AE6747" s="17" t="s">
        <v>48</v>
      </c>
      <c r="AF6747" s="17" t="s">
        <v>560</v>
      </c>
      <c r="AG6747" s="17"/>
      <c r="AH6747" s="17"/>
      <c r="AI6747" s="17"/>
      <c r="AJ6747" s="17"/>
      <c r="AK6747" s="17"/>
      <c r="AL6747" s="17"/>
      <c r="AM6747" s="17"/>
      <c r="AN6747" s="17"/>
      <c r="AO6747" s="17"/>
      <c r="AP6747" s="17"/>
      <c r="AQ6747" s="17"/>
      <c r="AR6747" s="17"/>
    </row>
    <row r="6748" s="25" customFormat="1" hidden="1" spans="1:44">
      <c r="A6748" s="17" t="s">
        <v>34</v>
      </c>
      <c r="B6748" s="19">
        <v>1073</v>
      </c>
      <c r="C6748" s="183">
        <v>45856</v>
      </c>
      <c r="D6748" s="17" t="s">
        <v>52</v>
      </c>
      <c r="E6748" s="17" t="s">
        <v>53</v>
      </c>
      <c r="F6748" s="17" t="s">
        <v>54</v>
      </c>
      <c r="G6748" s="17"/>
      <c r="H6748" s="19">
        <v>1.2311</v>
      </c>
      <c r="I6748" s="19"/>
      <c r="J6748" s="17" t="s">
        <v>49</v>
      </c>
      <c r="K6748" s="368">
        <v>2200</v>
      </c>
      <c r="L6748" s="368">
        <v>26</v>
      </c>
      <c r="M6748" s="368">
        <v>5000</v>
      </c>
      <c r="N6748" s="19" t="s">
        <v>66</v>
      </c>
      <c r="O6748" s="19" t="s">
        <v>141</v>
      </c>
      <c r="P6748" s="369">
        <v>5511</v>
      </c>
      <c r="Q6748" s="19">
        <f>1815+1817</f>
        <v>3632</v>
      </c>
      <c r="S6748" s="19">
        <v>1070</v>
      </c>
      <c r="T6748" s="19" t="s">
        <v>42</v>
      </c>
      <c r="U6748" s="102" t="s">
        <v>1598</v>
      </c>
      <c r="V6748" s="186">
        <v>45857</v>
      </c>
      <c r="W6748" s="17" t="s">
        <v>69</v>
      </c>
      <c r="X6748" s="17"/>
      <c r="Y6748" s="68">
        <v>45870</v>
      </c>
      <c r="Z6748" s="17" t="s">
        <v>1599</v>
      </c>
      <c r="AA6748" s="17" t="s">
        <v>46</v>
      </c>
      <c r="AB6748" s="17" t="s">
        <v>1600</v>
      </c>
      <c r="AC6748" s="217">
        <v>45890</v>
      </c>
      <c r="AD6748" s="65">
        <v>1724</v>
      </c>
      <c r="AE6748" s="17" t="s">
        <v>48</v>
      </c>
      <c r="AF6748" s="17" t="s">
        <v>560</v>
      </c>
      <c r="AG6748" s="17"/>
      <c r="AH6748" s="17"/>
      <c r="AI6748" s="17"/>
      <c r="AJ6748" s="17"/>
      <c r="AK6748" s="17"/>
      <c r="AL6748" s="17"/>
      <c r="AM6748" s="17"/>
      <c r="AN6748" s="17"/>
      <c r="AO6748" s="17"/>
      <c r="AP6748" s="17"/>
      <c r="AQ6748" s="17"/>
      <c r="AR6748" s="17"/>
    </row>
    <row r="6749" s="25" customFormat="1" hidden="1" spans="1:44">
      <c r="A6749" s="17" t="s">
        <v>34</v>
      </c>
      <c r="B6749" s="19">
        <v>1073</v>
      </c>
      <c r="C6749" s="183">
        <v>45856</v>
      </c>
      <c r="D6749" s="17" t="s">
        <v>52</v>
      </c>
      <c r="E6749" s="17" t="s">
        <v>53</v>
      </c>
      <c r="F6749" s="17" t="s">
        <v>54</v>
      </c>
      <c r="G6749" s="17"/>
      <c r="H6749" s="19">
        <v>1.2311</v>
      </c>
      <c r="I6749" s="19"/>
      <c r="J6749" s="17" t="s">
        <v>49</v>
      </c>
      <c r="K6749" s="368">
        <v>2200</v>
      </c>
      <c r="L6749" s="368">
        <v>26</v>
      </c>
      <c r="M6749" s="368">
        <v>5000</v>
      </c>
      <c r="N6749" s="19" t="s">
        <v>66</v>
      </c>
      <c r="O6749" s="19" t="s">
        <v>141</v>
      </c>
      <c r="P6749" s="369"/>
      <c r="Q6749" s="19">
        <v>1816</v>
      </c>
      <c r="R6749" s="99">
        <f>+P6748-Q6748-Q6749</f>
        <v>63</v>
      </c>
      <c r="S6749" s="19">
        <f>1070-50</f>
        <v>1020</v>
      </c>
      <c r="T6749" s="19" t="s">
        <v>42</v>
      </c>
      <c r="U6749" s="102" t="s">
        <v>1598</v>
      </c>
      <c r="V6749" s="186">
        <v>45857</v>
      </c>
      <c r="W6749" s="17" t="s">
        <v>58</v>
      </c>
      <c r="X6749" s="17"/>
      <c r="Y6749" s="68">
        <v>45870</v>
      </c>
      <c r="Z6749" s="17" t="s">
        <v>1601</v>
      </c>
      <c r="AA6749" s="17" t="s">
        <v>46</v>
      </c>
      <c r="AB6749" s="17" t="s">
        <v>1602</v>
      </c>
      <c r="AC6749" s="217">
        <v>45897</v>
      </c>
      <c r="AD6749" s="65">
        <v>1727</v>
      </c>
      <c r="AE6749" s="17" t="s">
        <v>48</v>
      </c>
      <c r="AF6749" s="17" t="s">
        <v>560</v>
      </c>
      <c r="AG6749" s="17"/>
      <c r="AH6749" s="17"/>
      <c r="AI6749" s="17"/>
      <c r="AJ6749" s="17"/>
      <c r="AK6749" s="17"/>
      <c r="AL6749" s="17"/>
      <c r="AM6749" s="17"/>
      <c r="AN6749" s="17"/>
      <c r="AO6749" s="17"/>
      <c r="AP6749" s="17"/>
      <c r="AQ6749" s="17"/>
      <c r="AR6749" s="17"/>
    </row>
    <row r="6750" s="25" customFormat="1" hidden="1" spans="1:44">
      <c r="A6750" s="17" t="s">
        <v>34</v>
      </c>
      <c r="B6750" s="19">
        <v>1073</v>
      </c>
      <c r="C6750" s="183">
        <v>45856</v>
      </c>
      <c r="D6750" s="17" t="s">
        <v>52</v>
      </c>
      <c r="E6750" s="17" t="s">
        <v>53</v>
      </c>
      <c r="F6750" s="17" t="s">
        <v>54</v>
      </c>
      <c r="G6750" s="17"/>
      <c r="H6750" s="19">
        <v>1.2311</v>
      </c>
      <c r="I6750" s="19"/>
      <c r="J6750" s="17" t="s">
        <v>49</v>
      </c>
      <c r="K6750" s="368">
        <v>2200</v>
      </c>
      <c r="L6750" s="368">
        <v>32</v>
      </c>
      <c r="M6750" s="368">
        <v>5000</v>
      </c>
      <c r="N6750" s="19" t="s">
        <v>66</v>
      </c>
      <c r="O6750" s="19" t="s">
        <v>141</v>
      </c>
      <c r="P6750" s="369">
        <v>9043</v>
      </c>
      <c r="Q6750" s="19">
        <f>2170+2279+2280</f>
        <v>6729</v>
      </c>
      <c r="R6750" s="19">
        <f>+P6750-Q6750</f>
        <v>2314</v>
      </c>
      <c r="S6750" s="19">
        <f>1070-50</f>
        <v>1020</v>
      </c>
      <c r="T6750" s="19" t="s">
        <v>42</v>
      </c>
      <c r="U6750" s="102" t="s">
        <v>1598</v>
      </c>
      <c r="V6750" s="186">
        <v>45857</v>
      </c>
      <c r="W6750" s="17" t="s">
        <v>58</v>
      </c>
      <c r="X6750" s="17"/>
      <c r="Y6750" s="68">
        <v>45870</v>
      </c>
      <c r="Z6750" s="17" t="s">
        <v>1601</v>
      </c>
      <c r="AA6750" s="17" t="s">
        <v>46</v>
      </c>
      <c r="AB6750" s="17" t="s">
        <v>1602</v>
      </c>
      <c r="AC6750" s="217">
        <v>45897</v>
      </c>
      <c r="AD6750" s="65">
        <v>1727</v>
      </c>
      <c r="AE6750" s="17" t="s">
        <v>48</v>
      </c>
      <c r="AF6750" s="17" t="s">
        <v>560</v>
      </c>
      <c r="AG6750" s="17"/>
      <c r="AH6750" s="17"/>
      <c r="AI6750" s="17"/>
      <c r="AJ6750" s="17"/>
      <c r="AK6750" s="17"/>
      <c r="AL6750" s="17"/>
      <c r="AM6750" s="17"/>
      <c r="AN6750" s="17"/>
      <c r="AO6750" s="17"/>
      <c r="AP6750" s="17"/>
      <c r="AQ6750" s="17"/>
      <c r="AR6750" s="17"/>
    </row>
    <row r="6751" s="25" customFormat="1" hidden="1" spans="1:44">
      <c r="A6751" s="17" t="s">
        <v>34</v>
      </c>
      <c r="B6751" s="19">
        <v>1073</v>
      </c>
      <c r="C6751" s="183">
        <v>45856</v>
      </c>
      <c r="D6751" s="17" t="s">
        <v>52</v>
      </c>
      <c r="E6751" s="17" t="s">
        <v>53</v>
      </c>
      <c r="F6751" s="17" t="s">
        <v>54</v>
      </c>
      <c r="G6751" s="17"/>
      <c r="H6751" s="19">
        <v>1.2311</v>
      </c>
      <c r="I6751" s="19"/>
      <c r="J6751" s="17" t="s">
        <v>49</v>
      </c>
      <c r="K6751" s="368">
        <v>2200</v>
      </c>
      <c r="L6751" s="368">
        <v>36</v>
      </c>
      <c r="M6751" s="368">
        <v>5000</v>
      </c>
      <c r="N6751" s="19" t="s">
        <v>66</v>
      </c>
      <c r="O6751" s="19" t="s">
        <v>141</v>
      </c>
      <c r="P6751" s="369">
        <v>5087</v>
      </c>
      <c r="Q6751" s="19">
        <f>2566+2560</f>
        <v>5126</v>
      </c>
      <c r="R6751" s="19">
        <f>+P6751-Q6751</f>
        <v>-39</v>
      </c>
      <c r="S6751" s="19">
        <v>1070</v>
      </c>
      <c r="T6751" s="19" t="s">
        <v>42</v>
      </c>
      <c r="U6751" s="102" t="s">
        <v>1598</v>
      </c>
      <c r="V6751" s="186">
        <v>45857</v>
      </c>
      <c r="W6751" s="17" t="s">
        <v>69</v>
      </c>
      <c r="X6751" s="17"/>
      <c r="Y6751" s="68">
        <v>45870</v>
      </c>
      <c r="Z6751" s="17" t="s">
        <v>1599</v>
      </c>
      <c r="AA6751" s="17" t="s">
        <v>46</v>
      </c>
      <c r="AB6751" s="17" t="s">
        <v>1600</v>
      </c>
      <c r="AC6751" s="217">
        <v>45890</v>
      </c>
      <c r="AD6751" s="65">
        <v>1724</v>
      </c>
      <c r="AE6751" s="17" t="s">
        <v>48</v>
      </c>
      <c r="AF6751" s="17" t="s">
        <v>560</v>
      </c>
      <c r="AG6751" s="17"/>
      <c r="AH6751" s="17"/>
      <c r="AI6751" s="17"/>
      <c r="AJ6751" s="17"/>
      <c r="AK6751" s="17"/>
      <c r="AL6751" s="17"/>
      <c r="AM6751" s="17"/>
      <c r="AN6751" s="17"/>
      <c r="AO6751" s="17"/>
      <c r="AP6751" s="17"/>
      <c r="AQ6751" s="17"/>
      <c r="AR6751" s="17"/>
    </row>
    <row r="6752" s="25" customFormat="1" hidden="1" spans="1:44">
      <c r="A6752" s="17" t="s">
        <v>34</v>
      </c>
      <c r="B6752" s="19">
        <v>1073</v>
      </c>
      <c r="C6752" s="183">
        <v>45856</v>
      </c>
      <c r="D6752" s="17" t="s">
        <v>52</v>
      </c>
      <c r="E6752" s="17" t="s">
        <v>53</v>
      </c>
      <c r="F6752" s="17" t="s">
        <v>54</v>
      </c>
      <c r="G6752" s="17"/>
      <c r="H6752" s="19">
        <v>1.2311</v>
      </c>
      <c r="I6752" s="19"/>
      <c r="J6752" s="17" t="s">
        <v>49</v>
      </c>
      <c r="K6752" s="368">
        <v>2200</v>
      </c>
      <c r="L6752" s="368">
        <v>41</v>
      </c>
      <c r="M6752" s="368">
        <v>5000</v>
      </c>
      <c r="N6752" s="19" t="s">
        <v>66</v>
      </c>
      <c r="O6752" s="19" t="s">
        <v>141</v>
      </c>
      <c r="P6752" s="369">
        <v>8690</v>
      </c>
      <c r="Q6752" s="19">
        <f>2870+2882</f>
        <v>5752</v>
      </c>
      <c r="R6752" s="19">
        <f>+P6752-Q6752</f>
        <v>2938</v>
      </c>
      <c r="S6752" s="19">
        <v>1070</v>
      </c>
      <c r="T6752" s="19" t="s">
        <v>42</v>
      </c>
      <c r="U6752" s="102" t="s">
        <v>1598</v>
      </c>
      <c r="V6752" s="186">
        <v>45857</v>
      </c>
      <c r="W6752" s="17" t="s">
        <v>69</v>
      </c>
      <c r="X6752" s="17"/>
      <c r="Y6752" s="68">
        <v>45870</v>
      </c>
      <c r="Z6752" s="17" t="s">
        <v>1599</v>
      </c>
      <c r="AA6752" s="17" t="s">
        <v>46</v>
      </c>
      <c r="AB6752" s="17" t="s">
        <v>1600</v>
      </c>
      <c r="AC6752" s="217">
        <v>45890</v>
      </c>
      <c r="AD6752" s="65">
        <v>1724</v>
      </c>
      <c r="AE6752" s="17" t="s">
        <v>48</v>
      </c>
      <c r="AF6752" s="17" t="s">
        <v>560</v>
      </c>
      <c r="AG6752" s="17"/>
      <c r="AH6752" s="17"/>
      <c r="AI6752" s="17"/>
      <c r="AJ6752" s="17"/>
      <c r="AK6752" s="17"/>
      <c r="AL6752" s="17"/>
      <c r="AM6752" s="17"/>
      <c r="AN6752" s="17"/>
      <c r="AO6752" s="17"/>
      <c r="AP6752" s="17"/>
      <c r="AQ6752" s="17"/>
      <c r="AR6752" s="17"/>
    </row>
    <row r="6753" s="25" customFormat="1" hidden="1" spans="1:44">
      <c r="A6753" s="17" t="s">
        <v>34</v>
      </c>
      <c r="B6753" s="19">
        <v>1073</v>
      </c>
      <c r="C6753" s="183">
        <v>45856</v>
      </c>
      <c r="D6753" s="17" t="s">
        <v>52</v>
      </c>
      <c r="E6753" s="17" t="s">
        <v>53</v>
      </c>
      <c r="F6753" s="17" t="s">
        <v>54</v>
      </c>
      <c r="G6753" s="17"/>
      <c r="H6753" s="19">
        <v>1.2311</v>
      </c>
      <c r="I6753" s="19"/>
      <c r="J6753" s="17" t="s">
        <v>49</v>
      </c>
      <c r="K6753" s="368">
        <v>2200</v>
      </c>
      <c r="L6753" s="368">
        <v>45</v>
      </c>
      <c r="M6753" s="368">
        <v>5000</v>
      </c>
      <c r="N6753" s="19" t="s">
        <v>66</v>
      </c>
      <c r="O6753" s="19" t="s">
        <v>141</v>
      </c>
      <c r="P6753" s="369">
        <v>9538</v>
      </c>
      <c r="Q6753" s="19">
        <f>3234+3192+3188</f>
        <v>9614</v>
      </c>
      <c r="R6753" s="19">
        <f>+P6753-Q6753</f>
        <v>-76</v>
      </c>
      <c r="S6753" s="19">
        <v>1070</v>
      </c>
      <c r="T6753" s="19" t="s">
        <v>42</v>
      </c>
      <c r="U6753" s="102" t="s">
        <v>1598</v>
      </c>
      <c r="V6753" s="186">
        <v>45857</v>
      </c>
      <c r="W6753" s="17" t="s">
        <v>69</v>
      </c>
      <c r="X6753" s="17"/>
      <c r="Y6753" s="68">
        <v>45870</v>
      </c>
      <c r="Z6753" s="17" t="s">
        <v>1599</v>
      </c>
      <c r="AA6753" s="17" t="s">
        <v>46</v>
      </c>
      <c r="AB6753" s="17" t="s">
        <v>1600</v>
      </c>
      <c r="AC6753" s="217">
        <v>45890</v>
      </c>
      <c r="AD6753" s="65">
        <v>1724</v>
      </c>
      <c r="AE6753" s="17" t="s">
        <v>48</v>
      </c>
      <c r="AF6753" s="17" t="s">
        <v>560</v>
      </c>
      <c r="AG6753" s="17"/>
      <c r="AH6753" s="17"/>
      <c r="AI6753" s="17"/>
      <c r="AJ6753" s="17"/>
      <c r="AK6753" s="17"/>
      <c r="AL6753" s="17"/>
      <c r="AM6753" s="17"/>
      <c r="AN6753" s="17"/>
      <c r="AO6753" s="17"/>
      <c r="AP6753" s="17"/>
      <c r="AQ6753" s="17"/>
      <c r="AR6753" s="17"/>
    </row>
    <row r="6754" s="25" customFormat="1" hidden="1" spans="1:44">
      <c r="A6754" s="17" t="s">
        <v>34</v>
      </c>
      <c r="B6754" s="19">
        <v>1073</v>
      </c>
      <c r="C6754" s="183">
        <v>45856</v>
      </c>
      <c r="D6754" s="17" t="s">
        <v>52</v>
      </c>
      <c r="E6754" s="17" t="s">
        <v>53</v>
      </c>
      <c r="F6754" s="17" t="s">
        <v>54</v>
      </c>
      <c r="G6754" s="17"/>
      <c r="H6754" s="19">
        <v>1.2311</v>
      </c>
      <c r="I6754" s="19"/>
      <c r="J6754" s="17" t="s">
        <v>49</v>
      </c>
      <c r="K6754" s="368">
        <v>2200</v>
      </c>
      <c r="L6754" s="368">
        <v>51</v>
      </c>
      <c r="M6754" s="368">
        <v>5000</v>
      </c>
      <c r="N6754" s="19" t="s">
        <v>66</v>
      </c>
      <c r="O6754" s="19" t="s">
        <v>141</v>
      </c>
      <c r="P6754" s="369">
        <v>14413</v>
      </c>
      <c r="Q6754" s="19">
        <f>3542+3614+3642+3594</f>
        <v>14392</v>
      </c>
      <c r="R6754" s="19">
        <f>+P6754-Q6754</f>
        <v>21</v>
      </c>
      <c r="S6754" s="19">
        <v>1070</v>
      </c>
      <c r="T6754" s="19" t="s">
        <v>42</v>
      </c>
      <c r="U6754" s="102" t="s">
        <v>1598</v>
      </c>
      <c r="V6754" s="186">
        <v>45857</v>
      </c>
      <c r="W6754" s="17" t="s">
        <v>69</v>
      </c>
      <c r="X6754" s="17"/>
      <c r="Y6754" s="68">
        <v>45870</v>
      </c>
      <c r="Z6754" s="17" t="s">
        <v>1599</v>
      </c>
      <c r="AA6754" s="17" t="s">
        <v>46</v>
      </c>
      <c r="AB6754" s="17" t="s">
        <v>1600</v>
      </c>
      <c r="AC6754" s="217">
        <v>45890</v>
      </c>
      <c r="AD6754" s="65">
        <v>1724</v>
      </c>
      <c r="AE6754" s="17" t="s">
        <v>48</v>
      </c>
      <c r="AF6754" s="17" t="s">
        <v>560</v>
      </c>
      <c r="AG6754" s="17"/>
      <c r="AH6754" s="17"/>
      <c r="AI6754" s="17"/>
      <c r="AJ6754" s="17"/>
      <c r="AK6754" s="17"/>
      <c r="AL6754" s="17"/>
      <c r="AM6754" s="17"/>
      <c r="AN6754" s="17"/>
      <c r="AO6754" s="17"/>
      <c r="AP6754" s="17"/>
      <c r="AQ6754" s="17"/>
      <c r="AR6754" s="17"/>
    </row>
    <row r="6755" s="25" customFormat="1" hidden="1" spans="1:44">
      <c r="A6755" s="17" t="s">
        <v>34</v>
      </c>
      <c r="B6755" s="19">
        <v>1073</v>
      </c>
      <c r="C6755" s="183">
        <v>45856</v>
      </c>
      <c r="D6755" s="17" t="s">
        <v>52</v>
      </c>
      <c r="E6755" s="17" t="s">
        <v>53</v>
      </c>
      <c r="F6755" s="17" t="s">
        <v>54</v>
      </c>
      <c r="G6755" s="17"/>
      <c r="H6755" s="19">
        <v>1.2311</v>
      </c>
      <c r="I6755" s="19"/>
      <c r="J6755" s="17" t="s">
        <v>49</v>
      </c>
      <c r="K6755" s="368">
        <v>2200</v>
      </c>
      <c r="L6755" s="368">
        <v>56</v>
      </c>
      <c r="M6755" s="368">
        <v>5000</v>
      </c>
      <c r="N6755" s="19" t="s">
        <v>66</v>
      </c>
      <c r="O6755" s="19" t="s">
        <v>141</v>
      </c>
      <c r="P6755" s="369">
        <v>11869</v>
      </c>
      <c r="Q6755" s="19">
        <v>4000</v>
      </c>
      <c r="S6755" s="19">
        <v>1070</v>
      </c>
      <c r="T6755" s="19" t="s">
        <v>42</v>
      </c>
      <c r="U6755" s="102" t="s">
        <v>1598</v>
      </c>
      <c r="V6755" s="186">
        <v>45857</v>
      </c>
      <c r="W6755" s="17" t="s">
        <v>69</v>
      </c>
      <c r="X6755" s="17"/>
      <c r="Y6755" s="68">
        <v>45870</v>
      </c>
      <c r="Z6755" s="17" t="s">
        <v>1599</v>
      </c>
      <c r="AA6755" s="17" t="s">
        <v>46</v>
      </c>
      <c r="AB6755" s="17" t="s">
        <v>1603</v>
      </c>
      <c r="AC6755" s="217">
        <v>45878</v>
      </c>
      <c r="AD6755" s="65">
        <v>1717</v>
      </c>
      <c r="AE6755" s="17" t="s">
        <v>48</v>
      </c>
      <c r="AF6755" s="17" t="s">
        <v>1604</v>
      </c>
      <c r="AG6755" s="17"/>
      <c r="AH6755" s="17"/>
      <c r="AI6755" s="17"/>
      <c r="AJ6755" s="17"/>
      <c r="AK6755" s="17"/>
      <c r="AL6755" s="17"/>
      <c r="AM6755" s="17"/>
      <c r="AN6755" s="17"/>
      <c r="AO6755" s="17"/>
      <c r="AP6755" s="17"/>
      <c r="AQ6755" s="17"/>
      <c r="AR6755" s="17"/>
    </row>
    <row r="6756" s="25" customFormat="1" hidden="1" spans="1:44">
      <c r="A6756" s="17" t="s">
        <v>34</v>
      </c>
      <c r="B6756" s="19">
        <v>1073</v>
      </c>
      <c r="C6756" s="183">
        <v>45856</v>
      </c>
      <c r="D6756" s="17" t="s">
        <v>52</v>
      </c>
      <c r="E6756" s="17" t="s">
        <v>53</v>
      </c>
      <c r="F6756" s="17" t="s">
        <v>54</v>
      </c>
      <c r="G6756" s="17"/>
      <c r="H6756" s="19">
        <v>1.2311</v>
      </c>
      <c r="I6756" s="19"/>
      <c r="J6756" s="17" t="s">
        <v>49</v>
      </c>
      <c r="K6756" s="368">
        <v>2200</v>
      </c>
      <c r="L6756" s="368">
        <v>56</v>
      </c>
      <c r="M6756" s="368">
        <v>5000</v>
      </c>
      <c r="N6756" s="19" t="s">
        <v>66</v>
      </c>
      <c r="O6756" s="19" t="s">
        <v>141</v>
      </c>
      <c r="P6756" s="369"/>
      <c r="Q6756" s="19">
        <v>3732</v>
      </c>
      <c r="R6756" s="99">
        <f>+P6755-Q6755-Q6756</f>
        <v>4137</v>
      </c>
      <c r="S6756" s="19">
        <f>1070-50</f>
        <v>1020</v>
      </c>
      <c r="T6756" s="19" t="s">
        <v>42</v>
      </c>
      <c r="U6756" s="102" t="s">
        <v>1598</v>
      </c>
      <c r="V6756" s="186">
        <v>45857</v>
      </c>
      <c r="W6756" s="17" t="s">
        <v>58</v>
      </c>
      <c r="X6756" s="17"/>
      <c r="Y6756" s="68">
        <v>45870</v>
      </c>
      <c r="Z6756" s="17" t="s">
        <v>1601</v>
      </c>
      <c r="AA6756" s="17" t="s">
        <v>46</v>
      </c>
      <c r="AB6756" s="17" t="s">
        <v>1602</v>
      </c>
      <c r="AC6756" s="217">
        <v>45897</v>
      </c>
      <c r="AD6756" s="65">
        <v>1727</v>
      </c>
      <c r="AE6756" s="17" t="s">
        <v>48</v>
      </c>
      <c r="AF6756" s="17" t="s">
        <v>560</v>
      </c>
      <c r="AG6756" s="17"/>
      <c r="AH6756" s="17"/>
      <c r="AI6756" s="17"/>
      <c r="AJ6756" s="17"/>
      <c r="AK6756" s="17"/>
      <c r="AL6756" s="17"/>
      <c r="AM6756" s="17"/>
      <c r="AN6756" s="17"/>
      <c r="AO6756" s="17"/>
      <c r="AP6756" s="17"/>
      <c r="AQ6756" s="17"/>
      <c r="AR6756" s="17"/>
    </row>
    <row r="6757" s="25" customFormat="1" hidden="1" spans="1:44">
      <c r="A6757" s="17" t="s">
        <v>34</v>
      </c>
      <c r="B6757" s="19">
        <v>1073</v>
      </c>
      <c r="C6757" s="183">
        <v>45856</v>
      </c>
      <c r="D6757" s="17" t="s">
        <v>52</v>
      </c>
      <c r="E6757" s="17" t="s">
        <v>53</v>
      </c>
      <c r="F6757" s="17" t="s">
        <v>54</v>
      </c>
      <c r="G6757" s="17"/>
      <c r="H6757" s="19">
        <v>1.2311</v>
      </c>
      <c r="I6757" s="19"/>
      <c r="J6757" s="17" t="s">
        <v>49</v>
      </c>
      <c r="K6757" s="368">
        <v>2200</v>
      </c>
      <c r="L6757" s="368">
        <v>61</v>
      </c>
      <c r="M6757" s="368">
        <v>5000</v>
      </c>
      <c r="N6757" s="19" t="s">
        <v>66</v>
      </c>
      <c r="O6757" s="19" t="s">
        <v>141</v>
      </c>
      <c r="P6757" s="369">
        <v>7542</v>
      </c>
      <c r="Q6757" s="19">
        <f>3700+3690</f>
        <v>7390</v>
      </c>
      <c r="R6757" s="19">
        <f t="shared" ref="R6757:R6788" si="293">+P6757-Q6757</f>
        <v>152</v>
      </c>
      <c r="S6757" s="19">
        <v>1070</v>
      </c>
      <c r="T6757" s="19" t="s">
        <v>42</v>
      </c>
      <c r="U6757" s="102" t="s">
        <v>1598</v>
      </c>
      <c r="V6757" s="186">
        <v>45857</v>
      </c>
      <c r="W6757" s="17" t="s">
        <v>69</v>
      </c>
      <c r="X6757" s="17"/>
      <c r="Y6757" s="68">
        <v>45870</v>
      </c>
      <c r="Z6757" s="17" t="s">
        <v>1599</v>
      </c>
      <c r="AA6757" s="17" t="s">
        <v>46</v>
      </c>
      <c r="AB6757" s="17" t="s">
        <v>1603</v>
      </c>
      <c r="AC6757" s="217">
        <v>45878</v>
      </c>
      <c r="AD6757" s="65">
        <v>1717</v>
      </c>
      <c r="AE6757" s="17" t="s">
        <v>48</v>
      </c>
      <c r="AF6757" s="17" t="s">
        <v>1604</v>
      </c>
      <c r="AG6757" s="17"/>
      <c r="AH6757" s="17"/>
      <c r="AI6757" s="17"/>
      <c r="AJ6757" s="17"/>
      <c r="AK6757" s="17"/>
      <c r="AL6757" s="17"/>
      <c r="AM6757" s="17"/>
      <c r="AN6757" s="17"/>
      <c r="AO6757" s="17"/>
      <c r="AP6757" s="17"/>
      <c r="AQ6757" s="17"/>
      <c r="AR6757" s="17"/>
    </row>
    <row r="6758" s="25" customFormat="1" hidden="1" spans="1:44">
      <c r="A6758" s="17" t="s">
        <v>34</v>
      </c>
      <c r="B6758" s="19">
        <v>1073</v>
      </c>
      <c r="C6758" s="183">
        <v>45856</v>
      </c>
      <c r="D6758" s="17" t="s">
        <v>52</v>
      </c>
      <c r="E6758" s="17" t="s">
        <v>53</v>
      </c>
      <c r="F6758" s="17" t="s">
        <v>54</v>
      </c>
      <c r="G6758" s="17"/>
      <c r="H6758" s="19">
        <v>1.2311</v>
      </c>
      <c r="I6758" s="19"/>
      <c r="J6758" s="17" t="s">
        <v>49</v>
      </c>
      <c r="K6758" s="368">
        <v>2200</v>
      </c>
      <c r="L6758" s="368">
        <v>65</v>
      </c>
      <c r="M6758" s="368">
        <v>5000</v>
      </c>
      <c r="N6758" s="19" t="s">
        <v>66</v>
      </c>
      <c r="O6758" s="19" t="s">
        <v>141</v>
      </c>
      <c r="P6758" s="369">
        <v>13777</v>
      </c>
      <c r="Q6758" s="19">
        <f>4748+4750+4744</f>
        <v>14242</v>
      </c>
      <c r="R6758" s="19">
        <f t="shared" si="293"/>
        <v>-465</v>
      </c>
      <c r="S6758" s="19">
        <v>1070</v>
      </c>
      <c r="T6758" s="19" t="s">
        <v>42</v>
      </c>
      <c r="U6758" s="102" t="s">
        <v>1598</v>
      </c>
      <c r="V6758" s="186">
        <v>45857</v>
      </c>
      <c r="W6758" s="17" t="s">
        <v>69</v>
      </c>
      <c r="X6758" s="17"/>
      <c r="Y6758" s="68">
        <v>45870</v>
      </c>
      <c r="Z6758" s="17" t="s">
        <v>1599</v>
      </c>
      <c r="AA6758" s="17" t="s">
        <v>46</v>
      </c>
      <c r="AB6758" s="17" t="s">
        <v>1600</v>
      </c>
      <c r="AC6758" s="217">
        <v>45890</v>
      </c>
      <c r="AD6758" s="65">
        <v>1724</v>
      </c>
      <c r="AE6758" s="17" t="s">
        <v>48</v>
      </c>
      <c r="AF6758" s="17" t="s">
        <v>560</v>
      </c>
      <c r="AG6758" s="17"/>
      <c r="AH6758" s="17"/>
      <c r="AI6758" s="17"/>
      <c r="AJ6758" s="17"/>
      <c r="AK6758" s="17"/>
      <c r="AL6758" s="17"/>
      <c r="AM6758" s="17"/>
      <c r="AN6758" s="17"/>
      <c r="AO6758" s="17"/>
      <c r="AP6758" s="17"/>
      <c r="AQ6758" s="17"/>
      <c r="AR6758" s="17"/>
    </row>
    <row r="6759" s="25" customFormat="1" hidden="1" spans="1:44">
      <c r="A6759" s="17" t="s">
        <v>34</v>
      </c>
      <c r="B6759" s="19">
        <v>1073</v>
      </c>
      <c r="C6759" s="183">
        <v>45856</v>
      </c>
      <c r="D6759" s="17" t="s">
        <v>52</v>
      </c>
      <c r="E6759" s="17" t="s">
        <v>53</v>
      </c>
      <c r="F6759" s="17" t="s">
        <v>54</v>
      </c>
      <c r="G6759" s="17"/>
      <c r="H6759" s="19">
        <v>1.2311</v>
      </c>
      <c r="I6759" s="19"/>
      <c r="J6759" s="17" t="s">
        <v>49</v>
      </c>
      <c r="K6759" s="368">
        <v>2200</v>
      </c>
      <c r="L6759" s="368">
        <v>71</v>
      </c>
      <c r="M6759" s="368">
        <v>5000</v>
      </c>
      <c r="N6759" s="19" t="s">
        <v>66</v>
      </c>
      <c r="O6759" s="19" t="s">
        <v>141</v>
      </c>
      <c r="P6759" s="369">
        <v>8778</v>
      </c>
      <c r="Q6759" s="19">
        <f>4300+4310</f>
        <v>8610</v>
      </c>
      <c r="R6759" s="19">
        <f t="shared" si="293"/>
        <v>168</v>
      </c>
      <c r="S6759" s="19">
        <v>1070</v>
      </c>
      <c r="T6759" s="19" t="s">
        <v>42</v>
      </c>
      <c r="U6759" s="102" t="s">
        <v>1598</v>
      </c>
      <c r="V6759" s="186">
        <v>45857</v>
      </c>
      <c r="W6759" s="17" t="s">
        <v>69</v>
      </c>
      <c r="X6759" s="17"/>
      <c r="Y6759" s="68">
        <v>45870</v>
      </c>
      <c r="Z6759" s="17" t="s">
        <v>1599</v>
      </c>
      <c r="AA6759" s="17" t="s">
        <v>46</v>
      </c>
      <c r="AB6759" s="17" t="s">
        <v>1603</v>
      </c>
      <c r="AC6759" s="217">
        <v>45878</v>
      </c>
      <c r="AD6759" s="65">
        <v>1717</v>
      </c>
      <c r="AE6759" s="17" t="s">
        <v>48</v>
      </c>
      <c r="AF6759" s="17" t="s">
        <v>1604</v>
      </c>
      <c r="AG6759" s="17"/>
      <c r="AH6759" s="17"/>
      <c r="AI6759" s="17"/>
      <c r="AJ6759" s="17"/>
      <c r="AK6759" s="17"/>
      <c r="AL6759" s="17"/>
      <c r="AM6759" s="17"/>
      <c r="AN6759" s="17"/>
      <c r="AO6759" s="17"/>
      <c r="AP6759" s="17"/>
      <c r="AQ6759" s="17"/>
      <c r="AR6759" s="17"/>
    </row>
    <row r="6760" s="25" customFormat="1" hidden="1" spans="1:44">
      <c r="A6760" s="17" t="s">
        <v>34</v>
      </c>
      <c r="B6760" s="19">
        <v>1073</v>
      </c>
      <c r="C6760" s="183">
        <v>45856</v>
      </c>
      <c r="D6760" s="17" t="s">
        <v>52</v>
      </c>
      <c r="E6760" s="17" t="s">
        <v>53</v>
      </c>
      <c r="F6760" s="17" t="s">
        <v>54</v>
      </c>
      <c r="G6760" s="17"/>
      <c r="H6760" s="19">
        <v>1.2311</v>
      </c>
      <c r="I6760" s="19"/>
      <c r="J6760" s="17" t="s">
        <v>49</v>
      </c>
      <c r="K6760" s="368">
        <v>2200</v>
      </c>
      <c r="L6760" s="368">
        <v>75</v>
      </c>
      <c r="M6760" s="368">
        <v>5000</v>
      </c>
      <c r="N6760" s="19" t="s">
        <v>66</v>
      </c>
      <c r="O6760" s="19" t="s">
        <v>141</v>
      </c>
      <c r="P6760" s="369">
        <v>9273</v>
      </c>
      <c r="Q6760" s="19">
        <f>4610+4620</f>
        <v>9230</v>
      </c>
      <c r="R6760" s="19">
        <f t="shared" si="293"/>
        <v>43</v>
      </c>
      <c r="S6760" s="19">
        <v>1070</v>
      </c>
      <c r="T6760" s="19" t="s">
        <v>42</v>
      </c>
      <c r="U6760" s="102" t="s">
        <v>1598</v>
      </c>
      <c r="V6760" s="186">
        <v>45857</v>
      </c>
      <c r="W6760" s="17" t="s">
        <v>69</v>
      </c>
      <c r="X6760" s="17"/>
      <c r="Y6760" s="68">
        <v>45870</v>
      </c>
      <c r="Z6760" s="17" t="s">
        <v>1599</v>
      </c>
      <c r="AA6760" s="17" t="s">
        <v>46</v>
      </c>
      <c r="AB6760" s="17" t="s">
        <v>1603</v>
      </c>
      <c r="AC6760" s="217">
        <v>45878</v>
      </c>
      <c r="AD6760" s="65">
        <v>1717</v>
      </c>
      <c r="AE6760" s="17" t="s">
        <v>48</v>
      </c>
      <c r="AF6760" s="17" t="s">
        <v>1604</v>
      </c>
      <c r="AG6760" s="17"/>
      <c r="AH6760" s="17"/>
      <c r="AI6760" s="17"/>
      <c r="AJ6760" s="17"/>
      <c r="AK6760" s="17"/>
      <c r="AL6760" s="17"/>
      <c r="AM6760" s="17"/>
      <c r="AN6760" s="17"/>
      <c r="AO6760" s="17"/>
      <c r="AP6760" s="17"/>
      <c r="AQ6760" s="17"/>
      <c r="AR6760" s="17"/>
    </row>
    <row r="6761" s="25" customFormat="1" hidden="1" spans="1:44">
      <c r="A6761" s="17" t="s">
        <v>34</v>
      </c>
      <c r="B6761" s="19">
        <v>1073</v>
      </c>
      <c r="C6761" s="183">
        <v>45856</v>
      </c>
      <c r="D6761" s="17" t="s">
        <v>52</v>
      </c>
      <c r="E6761" s="17" t="s">
        <v>53</v>
      </c>
      <c r="F6761" s="17" t="s">
        <v>54</v>
      </c>
      <c r="G6761" s="17"/>
      <c r="H6761" s="19">
        <v>1.2311</v>
      </c>
      <c r="I6761" s="19"/>
      <c r="J6761" s="17" t="s">
        <v>49</v>
      </c>
      <c r="K6761" s="368">
        <v>2200</v>
      </c>
      <c r="L6761" s="368">
        <v>85</v>
      </c>
      <c r="M6761" s="368">
        <v>5000</v>
      </c>
      <c r="N6761" s="19" t="s">
        <v>66</v>
      </c>
      <c r="O6761" s="19" t="s">
        <v>141</v>
      </c>
      <c r="P6761" s="369">
        <v>9608</v>
      </c>
      <c r="Q6761" s="19">
        <f>4490+4490</f>
        <v>8980</v>
      </c>
      <c r="R6761" s="19">
        <f t="shared" si="293"/>
        <v>628</v>
      </c>
      <c r="S6761" s="19">
        <v>1070</v>
      </c>
      <c r="T6761" s="19" t="s">
        <v>42</v>
      </c>
      <c r="U6761" s="102" t="s">
        <v>1598</v>
      </c>
      <c r="V6761" s="186">
        <v>45857</v>
      </c>
      <c r="W6761" s="17" t="s">
        <v>69</v>
      </c>
      <c r="X6761" s="17"/>
      <c r="Y6761" s="68">
        <v>45870</v>
      </c>
      <c r="Z6761" s="17" t="s">
        <v>1599</v>
      </c>
      <c r="AA6761" s="17" t="s">
        <v>46</v>
      </c>
      <c r="AB6761" s="17" t="s">
        <v>1603</v>
      </c>
      <c r="AC6761" s="217">
        <v>45878</v>
      </c>
      <c r="AD6761" s="65">
        <v>1717</v>
      </c>
      <c r="AE6761" s="17" t="s">
        <v>48</v>
      </c>
      <c r="AF6761" s="17" t="s">
        <v>1604</v>
      </c>
      <c r="AG6761" s="17"/>
      <c r="AH6761" s="17"/>
      <c r="AI6761" s="17"/>
      <c r="AJ6761" s="17"/>
      <c r="AK6761" s="17"/>
      <c r="AL6761" s="17"/>
      <c r="AM6761" s="17"/>
      <c r="AN6761" s="17"/>
      <c r="AO6761" s="17"/>
      <c r="AP6761" s="17"/>
      <c r="AQ6761" s="17"/>
      <c r="AR6761" s="17"/>
    </row>
    <row r="6762" s="25" customFormat="1" hidden="1" spans="1:44">
      <c r="A6762" s="17" t="s">
        <v>34</v>
      </c>
      <c r="B6762" s="19">
        <v>1073</v>
      </c>
      <c r="C6762" s="183">
        <v>45856</v>
      </c>
      <c r="D6762" s="17" t="s">
        <v>52</v>
      </c>
      <c r="E6762" s="17" t="s">
        <v>53</v>
      </c>
      <c r="F6762" s="17" t="s">
        <v>54</v>
      </c>
      <c r="G6762" s="17"/>
      <c r="H6762" s="19">
        <v>1.2311</v>
      </c>
      <c r="I6762" s="19"/>
      <c r="J6762" s="17" t="s">
        <v>49</v>
      </c>
      <c r="K6762" s="368">
        <v>2200</v>
      </c>
      <c r="L6762" s="368">
        <v>91</v>
      </c>
      <c r="M6762" s="368">
        <v>5000</v>
      </c>
      <c r="N6762" s="19" t="s">
        <v>66</v>
      </c>
      <c r="O6762" s="19" t="s">
        <v>141</v>
      </c>
      <c r="P6762" s="369">
        <v>10287</v>
      </c>
      <c r="Q6762" s="19">
        <f>4720+4710</f>
        <v>9430</v>
      </c>
      <c r="R6762" s="19">
        <f t="shared" si="293"/>
        <v>857</v>
      </c>
      <c r="S6762" s="19">
        <v>1070</v>
      </c>
      <c r="T6762" s="19" t="s">
        <v>42</v>
      </c>
      <c r="U6762" s="102" t="s">
        <v>1598</v>
      </c>
      <c r="V6762" s="186">
        <v>45857</v>
      </c>
      <c r="W6762" s="17" t="s">
        <v>69</v>
      </c>
      <c r="X6762" s="17"/>
      <c r="Y6762" s="68">
        <v>45870</v>
      </c>
      <c r="Z6762" s="17" t="s">
        <v>1599</v>
      </c>
      <c r="AA6762" s="17" t="s">
        <v>46</v>
      </c>
      <c r="AB6762" s="17" t="s">
        <v>1603</v>
      </c>
      <c r="AC6762" s="217">
        <v>45878</v>
      </c>
      <c r="AD6762" s="65">
        <v>1717</v>
      </c>
      <c r="AE6762" s="17" t="s">
        <v>48</v>
      </c>
      <c r="AF6762" s="17" t="s">
        <v>1604</v>
      </c>
      <c r="AG6762" s="17"/>
      <c r="AH6762" s="17"/>
      <c r="AI6762" s="17"/>
      <c r="AJ6762" s="17"/>
      <c r="AK6762" s="17"/>
      <c r="AL6762" s="17"/>
      <c r="AM6762" s="17"/>
      <c r="AN6762" s="17"/>
      <c r="AO6762" s="17"/>
      <c r="AP6762" s="17"/>
      <c r="AQ6762" s="17"/>
      <c r="AR6762" s="17"/>
    </row>
    <row r="6763" s="25" customFormat="1" hidden="1" spans="1:44">
      <c r="A6763" s="17" t="s">
        <v>34</v>
      </c>
      <c r="B6763" s="19">
        <v>1073</v>
      </c>
      <c r="C6763" s="183">
        <v>45856</v>
      </c>
      <c r="D6763" s="17" t="s">
        <v>52</v>
      </c>
      <c r="E6763" s="17" t="s">
        <v>53</v>
      </c>
      <c r="F6763" s="17" t="s">
        <v>54</v>
      </c>
      <c r="G6763" s="17"/>
      <c r="H6763" s="19">
        <v>1.2311</v>
      </c>
      <c r="I6763" s="19"/>
      <c r="J6763" s="17" t="s">
        <v>49</v>
      </c>
      <c r="K6763" s="368">
        <v>2200</v>
      </c>
      <c r="L6763" s="368">
        <v>100</v>
      </c>
      <c r="M6763" s="368">
        <v>5000</v>
      </c>
      <c r="N6763" s="19" t="s">
        <v>66</v>
      </c>
      <c r="O6763" s="19" t="s">
        <v>141</v>
      </c>
      <c r="P6763" s="369">
        <v>6182</v>
      </c>
      <c r="Q6763" s="19">
        <v>5240</v>
      </c>
      <c r="R6763" s="19">
        <f t="shared" si="293"/>
        <v>942</v>
      </c>
      <c r="S6763" s="19">
        <v>1070</v>
      </c>
      <c r="T6763" s="19" t="s">
        <v>42</v>
      </c>
      <c r="U6763" s="102" t="s">
        <v>1598</v>
      </c>
      <c r="V6763" s="186">
        <v>45857</v>
      </c>
      <c r="W6763" s="17" t="s">
        <v>69</v>
      </c>
      <c r="X6763" s="17"/>
      <c r="Y6763" s="68">
        <v>45870</v>
      </c>
      <c r="Z6763" s="17" t="s">
        <v>1599</v>
      </c>
      <c r="AA6763" s="17" t="s">
        <v>46</v>
      </c>
      <c r="AB6763" s="17" t="s">
        <v>1603</v>
      </c>
      <c r="AC6763" s="217">
        <v>45878</v>
      </c>
      <c r="AD6763" s="65">
        <v>1717</v>
      </c>
      <c r="AE6763" s="17" t="s">
        <v>48</v>
      </c>
      <c r="AF6763" s="17" t="s">
        <v>1604</v>
      </c>
      <c r="AG6763" s="17"/>
      <c r="AH6763" s="17"/>
      <c r="AI6763" s="17"/>
      <c r="AJ6763" s="17"/>
      <c r="AK6763" s="17"/>
      <c r="AL6763" s="17"/>
      <c r="AM6763" s="17"/>
      <c r="AN6763" s="17"/>
      <c r="AO6763" s="17"/>
      <c r="AP6763" s="17"/>
      <c r="AQ6763" s="17"/>
      <c r="AR6763" s="17"/>
    </row>
    <row r="6764" s="25" customFormat="1" hidden="1" spans="1:44">
      <c r="A6764" s="17" t="s">
        <v>34</v>
      </c>
      <c r="B6764" s="19">
        <v>1073</v>
      </c>
      <c r="C6764" s="183">
        <v>45856</v>
      </c>
      <c r="D6764" s="17" t="s">
        <v>52</v>
      </c>
      <c r="E6764" s="17" t="s">
        <v>53</v>
      </c>
      <c r="F6764" s="17" t="s">
        <v>54</v>
      </c>
      <c r="G6764" s="17"/>
      <c r="H6764" s="19">
        <v>1.2311</v>
      </c>
      <c r="I6764" s="19"/>
      <c r="J6764" s="17" t="s">
        <v>49</v>
      </c>
      <c r="K6764" s="368">
        <v>2200</v>
      </c>
      <c r="L6764" s="368">
        <v>105</v>
      </c>
      <c r="M6764" s="368">
        <v>5000</v>
      </c>
      <c r="N6764" s="19" t="s">
        <v>66</v>
      </c>
      <c r="O6764" s="19" t="s">
        <v>141</v>
      </c>
      <c r="P6764" s="369">
        <v>7418</v>
      </c>
      <c r="Q6764" s="19">
        <f>3676+3668</f>
        <v>7344</v>
      </c>
      <c r="R6764" s="19">
        <f t="shared" si="293"/>
        <v>74</v>
      </c>
      <c r="S6764" s="19">
        <v>1070</v>
      </c>
      <c r="T6764" s="19" t="s">
        <v>42</v>
      </c>
      <c r="U6764" s="102" t="s">
        <v>1598</v>
      </c>
      <c r="V6764" s="186">
        <v>45857</v>
      </c>
      <c r="W6764" s="17" t="s">
        <v>69</v>
      </c>
      <c r="X6764" s="17"/>
      <c r="Y6764" s="68">
        <v>45870</v>
      </c>
      <c r="Z6764" s="17" t="s">
        <v>1599</v>
      </c>
      <c r="AA6764" s="17" t="s">
        <v>46</v>
      </c>
      <c r="AB6764" s="17" t="s">
        <v>1600</v>
      </c>
      <c r="AC6764" s="217">
        <v>45890</v>
      </c>
      <c r="AD6764" s="65">
        <v>1724</v>
      </c>
      <c r="AE6764" s="17" t="s">
        <v>48</v>
      </c>
      <c r="AF6764" s="17" t="s">
        <v>560</v>
      </c>
      <c r="AG6764" s="17"/>
      <c r="AH6764" s="17"/>
      <c r="AI6764" s="17"/>
      <c r="AJ6764" s="17"/>
      <c r="AK6764" s="17"/>
      <c r="AL6764" s="17"/>
      <c r="AM6764" s="17"/>
      <c r="AN6764" s="17"/>
      <c r="AO6764" s="17"/>
      <c r="AP6764" s="17"/>
      <c r="AQ6764" s="17"/>
      <c r="AR6764" s="17"/>
    </row>
    <row r="6765" s="25" customFormat="1" hidden="1" spans="1:44">
      <c r="A6765" s="17" t="s">
        <v>34</v>
      </c>
      <c r="B6765" s="19">
        <v>1073</v>
      </c>
      <c r="C6765" s="183">
        <v>45856</v>
      </c>
      <c r="D6765" s="17" t="s">
        <v>52</v>
      </c>
      <c r="E6765" s="17" t="s">
        <v>53</v>
      </c>
      <c r="F6765" s="17" t="s">
        <v>54</v>
      </c>
      <c r="G6765" s="17"/>
      <c r="H6765" s="19">
        <v>1.2311</v>
      </c>
      <c r="I6765" s="19"/>
      <c r="J6765" s="17" t="s">
        <v>49</v>
      </c>
      <c r="K6765" s="368">
        <v>2200</v>
      </c>
      <c r="L6765" s="368">
        <v>110</v>
      </c>
      <c r="M6765" s="368">
        <v>5000</v>
      </c>
      <c r="N6765" s="19" t="s">
        <v>66</v>
      </c>
      <c r="O6765" s="19" t="s">
        <v>141</v>
      </c>
      <c r="P6765" s="369">
        <v>7383</v>
      </c>
      <c r="Q6765" s="19">
        <f>3846+3842</f>
        <v>7688</v>
      </c>
      <c r="R6765" s="19">
        <f t="shared" si="293"/>
        <v>-305</v>
      </c>
      <c r="S6765" s="19">
        <v>1070</v>
      </c>
      <c r="T6765" s="19" t="s">
        <v>42</v>
      </c>
      <c r="U6765" s="102" t="s">
        <v>1598</v>
      </c>
      <c r="V6765" s="186">
        <v>45857</v>
      </c>
      <c r="W6765" s="17" t="s">
        <v>69</v>
      </c>
      <c r="X6765" s="17"/>
      <c r="Y6765" s="68">
        <v>45870</v>
      </c>
      <c r="Z6765" s="17" t="s">
        <v>1599</v>
      </c>
      <c r="AA6765" s="17" t="s">
        <v>46</v>
      </c>
      <c r="AB6765" s="17" t="s">
        <v>1600</v>
      </c>
      <c r="AC6765" s="217">
        <v>45890</v>
      </c>
      <c r="AD6765" s="65">
        <v>1724</v>
      </c>
      <c r="AE6765" s="17" t="s">
        <v>48</v>
      </c>
      <c r="AF6765" s="17" t="s">
        <v>560</v>
      </c>
      <c r="AG6765" s="17"/>
      <c r="AH6765" s="17"/>
      <c r="AI6765" s="17"/>
      <c r="AJ6765" s="17"/>
      <c r="AK6765" s="17"/>
      <c r="AL6765" s="17"/>
      <c r="AM6765" s="17"/>
      <c r="AN6765" s="17"/>
      <c r="AO6765" s="17"/>
      <c r="AP6765" s="17"/>
      <c r="AQ6765" s="17"/>
      <c r="AR6765" s="17"/>
    </row>
    <row r="6766" s="25" customFormat="1" hidden="1" spans="1:44">
      <c r="A6766" s="17" t="s">
        <v>34</v>
      </c>
      <c r="B6766" s="19">
        <v>1073</v>
      </c>
      <c r="C6766" s="183">
        <v>45856</v>
      </c>
      <c r="D6766" s="17" t="s">
        <v>52</v>
      </c>
      <c r="E6766" s="17" t="s">
        <v>53</v>
      </c>
      <c r="F6766" s="17" t="s">
        <v>54</v>
      </c>
      <c r="G6766" s="17"/>
      <c r="H6766" s="19">
        <v>1.2311</v>
      </c>
      <c r="I6766" s="19"/>
      <c r="J6766" s="17" t="s">
        <v>49</v>
      </c>
      <c r="K6766" s="368">
        <v>2200</v>
      </c>
      <c r="L6766" s="368">
        <v>120</v>
      </c>
      <c r="M6766" s="368">
        <v>5000</v>
      </c>
      <c r="N6766" s="19" t="s">
        <v>66</v>
      </c>
      <c r="O6766" s="19" t="s">
        <v>141</v>
      </c>
      <c r="P6766" s="369">
        <v>8054</v>
      </c>
      <c r="Q6766" s="19">
        <f>4004+4004</f>
        <v>8008</v>
      </c>
      <c r="R6766" s="19">
        <f t="shared" si="293"/>
        <v>46</v>
      </c>
      <c r="S6766" s="19">
        <v>1070</v>
      </c>
      <c r="T6766" s="19" t="s">
        <v>42</v>
      </c>
      <c r="U6766" s="102" t="s">
        <v>1598</v>
      </c>
      <c r="V6766" s="186">
        <v>45857</v>
      </c>
      <c r="W6766" s="17" t="s">
        <v>69</v>
      </c>
      <c r="X6766" s="17"/>
      <c r="Y6766" s="68">
        <v>45870</v>
      </c>
      <c r="Z6766" s="17" t="s">
        <v>1599</v>
      </c>
      <c r="AA6766" s="17" t="s">
        <v>46</v>
      </c>
      <c r="AB6766" s="17" t="s">
        <v>1600</v>
      </c>
      <c r="AC6766" s="217">
        <v>45890</v>
      </c>
      <c r="AD6766" s="65">
        <v>1724</v>
      </c>
      <c r="AE6766" s="17" t="s">
        <v>48</v>
      </c>
      <c r="AF6766" s="17" t="s">
        <v>560</v>
      </c>
      <c r="AG6766" s="17"/>
      <c r="AH6766" s="17"/>
      <c r="AI6766" s="17"/>
      <c r="AJ6766" s="17"/>
      <c r="AK6766" s="17"/>
      <c r="AL6766" s="17"/>
      <c r="AM6766" s="17"/>
      <c r="AN6766" s="17"/>
      <c r="AO6766" s="17"/>
      <c r="AP6766" s="17"/>
      <c r="AQ6766" s="17"/>
      <c r="AR6766" s="17"/>
    </row>
    <row r="6767" hidden="1" spans="1:44">
      <c r="A6767" s="18"/>
      <c r="B6767" s="75">
        <v>1074</v>
      </c>
      <c r="C6767" s="213">
        <v>45859</v>
      </c>
      <c r="D6767" s="18" t="s">
        <v>1605</v>
      </c>
      <c r="E6767" s="18" t="s">
        <v>1606</v>
      </c>
      <c r="F6767" s="18" t="s">
        <v>1515</v>
      </c>
      <c r="G6767" s="18"/>
      <c r="H6767" s="75" t="s">
        <v>108</v>
      </c>
      <c r="I6767" s="75"/>
      <c r="J6767" s="18" t="s">
        <v>49</v>
      </c>
      <c r="K6767" s="75">
        <v>2045</v>
      </c>
      <c r="L6767" s="111">
        <v>282</v>
      </c>
      <c r="M6767" s="75">
        <v>5265</v>
      </c>
      <c r="N6767" s="75" t="s">
        <v>66</v>
      </c>
      <c r="O6767" s="75" t="s">
        <v>98</v>
      </c>
      <c r="P6767" s="75">
        <v>23835</v>
      </c>
      <c r="Q6767" s="75"/>
      <c r="R6767" s="75">
        <f t="shared" si="293"/>
        <v>23835</v>
      </c>
      <c r="S6767" s="112">
        <f>1920*3%+1920</f>
        <v>1977.6</v>
      </c>
      <c r="T6767" s="75" t="s">
        <v>94</v>
      </c>
      <c r="U6767" s="137"/>
      <c r="V6767" s="193"/>
      <c r="W6767" s="18" t="s">
        <v>44</v>
      </c>
      <c r="X6767" s="18"/>
      <c r="Y6767" s="114"/>
      <c r="Z6767" s="18" t="s">
        <v>1607</v>
      </c>
      <c r="AA6767" s="18" t="s">
        <v>1608</v>
      </c>
      <c r="AB6767" s="18"/>
      <c r="AC6767" s="137"/>
      <c r="AD6767" s="77"/>
      <c r="AE6767" s="18" t="s">
        <v>48</v>
      </c>
      <c r="AF6767" s="18" t="s">
        <v>737</v>
      </c>
      <c r="AG6767" s="18"/>
      <c r="AH6767" s="18"/>
      <c r="AI6767" s="18"/>
      <c r="AJ6767" s="18"/>
      <c r="AK6767" s="18"/>
      <c r="AL6767" s="18"/>
      <c r="AM6767" s="18"/>
      <c r="AN6767" s="18"/>
      <c r="AO6767" s="18"/>
      <c r="AP6767" s="18"/>
      <c r="AQ6767" s="18"/>
      <c r="AR6767" s="18"/>
    </row>
    <row r="6768" s="25" customFormat="1" hidden="1" spans="1:44">
      <c r="A6768" s="17" t="s">
        <v>34</v>
      </c>
      <c r="B6768" s="19">
        <v>1075</v>
      </c>
      <c r="C6768" s="183">
        <v>45859</v>
      </c>
      <c r="D6768" s="17" t="s">
        <v>52</v>
      </c>
      <c r="E6768" s="17" t="s">
        <v>53</v>
      </c>
      <c r="F6768" s="17" t="s">
        <v>54</v>
      </c>
      <c r="G6768" s="17"/>
      <c r="H6768" s="19">
        <v>1.2311</v>
      </c>
      <c r="I6768" s="19"/>
      <c r="J6768" s="17" t="s">
        <v>49</v>
      </c>
      <c r="K6768" s="390">
        <v>2200</v>
      </c>
      <c r="L6768" s="390">
        <v>26</v>
      </c>
      <c r="M6768" s="19">
        <v>4000</v>
      </c>
      <c r="N6768" s="19" t="s">
        <v>66</v>
      </c>
      <c r="O6768" s="19" t="s">
        <v>141</v>
      </c>
      <c r="P6768" s="391">
        <v>1745</v>
      </c>
      <c r="Q6768" s="19">
        <v>1742</v>
      </c>
      <c r="R6768" s="19">
        <f t="shared" si="293"/>
        <v>3</v>
      </c>
      <c r="S6768" s="19">
        <f t="shared" ref="S6768:S6774" si="294">1050-50</f>
        <v>1000</v>
      </c>
      <c r="T6768" s="19" t="s">
        <v>42</v>
      </c>
      <c r="U6768" s="102" t="s">
        <v>1609</v>
      </c>
      <c r="V6768" s="186">
        <v>45857</v>
      </c>
      <c r="W6768" s="17" t="s">
        <v>69</v>
      </c>
      <c r="X6768" s="17"/>
      <c r="Y6768" s="68">
        <v>45870</v>
      </c>
      <c r="Z6768" s="17" t="s">
        <v>1599</v>
      </c>
      <c r="AA6768" s="17" t="s">
        <v>46</v>
      </c>
      <c r="AB6768" s="17" t="s">
        <v>1610</v>
      </c>
      <c r="AC6768" s="217">
        <v>45878</v>
      </c>
      <c r="AD6768" s="65">
        <v>1719</v>
      </c>
      <c r="AE6768" s="17" t="s">
        <v>48</v>
      </c>
      <c r="AF6768" s="17" t="s">
        <v>1611</v>
      </c>
      <c r="AG6768" s="17"/>
      <c r="AH6768" s="17"/>
      <c r="AI6768" s="17"/>
      <c r="AJ6768" s="17"/>
      <c r="AK6768" s="17"/>
      <c r="AL6768" s="17"/>
      <c r="AM6768" s="17"/>
      <c r="AN6768" s="17"/>
      <c r="AO6768" s="17"/>
      <c r="AP6768" s="17"/>
      <c r="AQ6768" s="17"/>
      <c r="AR6768" s="17"/>
    </row>
    <row r="6769" s="25" customFormat="1" hidden="1" spans="1:44">
      <c r="A6769" s="17" t="s">
        <v>34</v>
      </c>
      <c r="B6769" s="19">
        <v>1075</v>
      </c>
      <c r="C6769" s="183">
        <v>45859</v>
      </c>
      <c r="D6769" s="17" t="s">
        <v>52</v>
      </c>
      <c r="E6769" s="17" t="s">
        <v>53</v>
      </c>
      <c r="F6769" s="17" t="s">
        <v>54</v>
      </c>
      <c r="G6769" s="17"/>
      <c r="H6769" s="19">
        <v>1.2311</v>
      </c>
      <c r="I6769" s="19"/>
      <c r="J6769" s="17" t="s">
        <v>49</v>
      </c>
      <c r="K6769" s="390">
        <v>2200</v>
      </c>
      <c r="L6769" s="390">
        <v>32</v>
      </c>
      <c r="M6769" s="19">
        <v>4000</v>
      </c>
      <c r="N6769" s="19" t="s">
        <v>66</v>
      </c>
      <c r="O6769" s="19" t="s">
        <v>141</v>
      </c>
      <c r="P6769" s="391">
        <v>4296</v>
      </c>
      <c r="Q6769" s="19">
        <f>2230+2100</f>
        <v>4330</v>
      </c>
      <c r="R6769" s="19">
        <f t="shared" si="293"/>
        <v>-34</v>
      </c>
      <c r="S6769" s="19">
        <f t="shared" si="294"/>
        <v>1000</v>
      </c>
      <c r="T6769" s="19" t="s">
        <v>42</v>
      </c>
      <c r="U6769" s="102" t="s">
        <v>1609</v>
      </c>
      <c r="V6769" s="186">
        <v>45857</v>
      </c>
      <c r="W6769" s="17" t="s">
        <v>69</v>
      </c>
      <c r="X6769" s="17"/>
      <c r="Y6769" s="68">
        <v>45870</v>
      </c>
      <c r="Z6769" s="17" t="s">
        <v>1599</v>
      </c>
      <c r="AA6769" s="17" t="s">
        <v>46</v>
      </c>
      <c r="AB6769" s="17" t="s">
        <v>1610</v>
      </c>
      <c r="AC6769" s="217">
        <v>45878</v>
      </c>
      <c r="AD6769" s="65">
        <v>1719</v>
      </c>
      <c r="AE6769" s="17" t="s">
        <v>48</v>
      </c>
      <c r="AF6769" s="17" t="s">
        <v>1611</v>
      </c>
      <c r="AG6769" s="17"/>
      <c r="AH6769" s="17"/>
      <c r="AI6769" s="17"/>
      <c r="AJ6769" s="17"/>
      <c r="AK6769" s="17"/>
      <c r="AL6769" s="17"/>
      <c r="AM6769" s="17"/>
      <c r="AN6769" s="17"/>
      <c r="AO6769" s="17"/>
      <c r="AP6769" s="17"/>
      <c r="AQ6769" s="17"/>
      <c r="AR6769" s="17"/>
    </row>
    <row r="6770" s="25" customFormat="1" hidden="1" spans="1:44">
      <c r="A6770" s="17" t="s">
        <v>34</v>
      </c>
      <c r="B6770" s="19">
        <v>1075</v>
      </c>
      <c r="C6770" s="183">
        <v>45859</v>
      </c>
      <c r="D6770" s="17" t="s">
        <v>52</v>
      </c>
      <c r="E6770" s="17" t="s">
        <v>53</v>
      </c>
      <c r="F6770" s="17" t="s">
        <v>54</v>
      </c>
      <c r="G6770" s="17"/>
      <c r="H6770" s="19">
        <v>1.2311</v>
      </c>
      <c r="I6770" s="19"/>
      <c r="J6770" s="17" t="s">
        <v>49</v>
      </c>
      <c r="K6770" s="390">
        <v>2200</v>
      </c>
      <c r="L6770" s="390">
        <v>36</v>
      </c>
      <c r="M6770" s="19">
        <v>4000</v>
      </c>
      <c r="N6770" s="19" t="s">
        <v>66</v>
      </c>
      <c r="O6770" s="19" t="s">
        <v>141</v>
      </c>
      <c r="P6770" s="391">
        <v>4832</v>
      </c>
      <c r="Q6770" s="19">
        <v>4890</v>
      </c>
      <c r="R6770" s="19">
        <f t="shared" si="293"/>
        <v>-58</v>
      </c>
      <c r="S6770" s="19">
        <f t="shared" si="294"/>
        <v>1000</v>
      </c>
      <c r="T6770" s="19" t="s">
        <v>42</v>
      </c>
      <c r="U6770" s="102" t="s">
        <v>1609</v>
      </c>
      <c r="V6770" s="186">
        <v>45857</v>
      </c>
      <c r="W6770" s="17" t="s">
        <v>69</v>
      </c>
      <c r="X6770" s="17"/>
      <c r="Y6770" s="68">
        <v>45870</v>
      </c>
      <c r="Z6770" s="17" t="s">
        <v>1599</v>
      </c>
      <c r="AA6770" s="17" t="s">
        <v>46</v>
      </c>
      <c r="AB6770" s="17" t="s">
        <v>1610</v>
      </c>
      <c r="AC6770" s="217">
        <v>45878</v>
      </c>
      <c r="AD6770" s="65">
        <v>1719</v>
      </c>
      <c r="AE6770" s="17" t="s">
        <v>48</v>
      </c>
      <c r="AF6770" s="17" t="s">
        <v>1611</v>
      </c>
      <c r="AG6770" s="17"/>
      <c r="AH6770" s="17"/>
      <c r="AI6770" s="17"/>
      <c r="AJ6770" s="17"/>
      <c r="AK6770" s="17"/>
      <c r="AL6770" s="17"/>
      <c r="AM6770" s="17"/>
      <c r="AN6770" s="17"/>
      <c r="AO6770" s="17"/>
      <c r="AP6770" s="17"/>
      <c r="AQ6770" s="17"/>
      <c r="AR6770" s="17"/>
    </row>
    <row r="6771" s="25" customFormat="1" hidden="1" spans="1:44">
      <c r="A6771" s="17" t="s">
        <v>34</v>
      </c>
      <c r="B6771" s="19">
        <v>1075</v>
      </c>
      <c r="C6771" s="183">
        <v>45859</v>
      </c>
      <c r="D6771" s="17" t="s">
        <v>52</v>
      </c>
      <c r="E6771" s="17" t="s">
        <v>53</v>
      </c>
      <c r="F6771" s="17" t="s">
        <v>54</v>
      </c>
      <c r="G6771" s="17"/>
      <c r="H6771" s="19">
        <v>1.2311</v>
      </c>
      <c r="I6771" s="19"/>
      <c r="J6771" s="17" t="s">
        <v>49</v>
      </c>
      <c r="K6771" s="390">
        <v>2200</v>
      </c>
      <c r="L6771" s="390">
        <v>41</v>
      </c>
      <c r="M6771" s="19">
        <v>4000</v>
      </c>
      <c r="N6771" s="19" t="s">
        <v>66</v>
      </c>
      <c r="O6771" s="19" t="s">
        <v>141</v>
      </c>
      <c r="P6771" s="391">
        <v>5504</v>
      </c>
      <c r="Q6771" s="19">
        <f>2824+2806</f>
        <v>5630</v>
      </c>
      <c r="R6771" s="19">
        <f t="shared" si="293"/>
        <v>-126</v>
      </c>
      <c r="S6771" s="19">
        <f t="shared" si="294"/>
        <v>1000</v>
      </c>
      <c r="T6771" s="19" t="s">
        <v>42</v>
      </c>
      <c r="U6771" s="102" t="s">
        <v>1609</v>
      </c>
      <c r="V6771" s="186">
        <v>45857</v>
      </c>
      <c r="W6771" s="17" t="s">
        <v>69</v>
      </c>
      <c r="X6771" s="17"/>
      <c r="Y6771" s="68">
        <v>45870</v>
      </c>
      <c r="Z6771" s="17" t="s">
        <v>1599</v>
      </c>
      <c r="AA6771" s="17" t="s">
        <v>46</v>
      </c>
      <c r="AB6771" s="17" t="s">
        <v>1610</v>
      </c>
      <c r="AC6771" s="217">
        <v>45878</v>
      </c>
      <c r="AD6771" s="65">
        <v>1719</v>
      </c>
      <c r="AE6771" s="17" t="s">
        <v>48</v>
      </c>
      <c r="AF6771" s="17" t="s">
        <v>1611</v>
      </c>
      <c r="AG6771" s="17"/>
      <c r="AH6771" s="17"/>
      <c r="AI6771" s="17"/>
      <c r="AJ6771" s="17"/>
      <c r="AK6771" s="17"/>
      <c r="AL6771" s="17"/>
      <c r="AM6771" s="17"/>
      <c r="AN6771" s="17"/>
      <c r="AO6771" s="17"/>
      <c r="AP6771" s="17"/>
      <c r="AQ6771" s="17"/>
      <c r="AR6771" s="17"/>
    </row>
    <row r="6772" s="25" customFormat="1" hidden="1" spans="1:44">
      <c r="A6772" s="17" t="s">
        <v>34</v>
      </c>
      <c r="B6772" s="19">
        <v>1075</v>
      </c>
      <c r="C6772" s="183">
        <v>45859</v>
      </c>
      <c r="D6772" s="17" t="s">
        <v>52</v>
      </c>
      <c r="E6772" s="17" t="s">
        <v>53</v>
      </c>
      <c r="F6772" s="17" t="s">
        <v>54</v>
      </c>
      <c r="G6772" s="17"/>
      <c r="H6772" s="19">
        <v>1.2311</v>
      </c>
      <c r="I6772" s="19"/>
      <c r="J6772" s="17" t="s">
        <v>49</v>
      </c>
      <c r="K6772" s="390">
        <v>2200</v>
      </c>
      <c r="L6772" s="390">
        <v>45</v>
      </c>
      <c r="M6772" s="19">
        <v>4000</v>
      </c>
      <c r="N6772" s="19" t="s">
        <v>66</v>
      </c>
      <c r="O6772" s="19" t="s">
        <v>141</v>
      </c>
      <c r="P6772" s="391">
        <v>3020</v>
      </c>
      <c r="Q6772" s="19">
        <v>3054</v>
      </c>
      <c r="R6772" s="19">
        <f t="shared" si="293"/>
        <v>-34</v>
      </c>
      <c r="S6772" s="19">
        <f t="shared" si="294"/>
        <v>1000</v>
      </c>
      <c r="T6772" s="19" t="s">
        <v>42</v>
      </c>
      <c r="U6772" s="102" t="s">
        <v>1609</v>
      </c>
      <c r="V6772" s="186">
        <v>45857</v>
      </c>
      <c r="W6772" s="17" t="s">
        <v>69</v>
      </c>
      <c r="X6772" s="17"/>
      <c r="Y6772" s="68">
        <v>45870</v>
      </c>
      <c r="Z6772" s="17" t="s">
        <v>1599</v>
      </c>
      <c r="AA6772" s="17" t="s">
        <v>46</v>
      </c>
      <c r="AB6772" s="17" t="s">
        <v>1610</v>
      </c>
      <c r="AC6772" s="217">
        <v>45878</v>
      </c>
      <c r="AD6772" s="65">
        <v>1719</v>
      </c>
      <c r="AE6772" s="17" t="s">
        <v>48</v>
      </c>
      <c r="AF6772" s="17" t="s">
        <v>1611</v>
      </c>
      <c r="AG6772" s="17"/>
      <c r="AH6772" s="17"/>
      <c r="AI6772" s="17"/>
      <c r="AJ6772" s="17"/>
      <c r="AK6772" s="17"/>
      <c r="AL6772" s="17"/>
      <c r="AM6772" s="17"/>
      <c r="AN6772" s="17"/>
      <c r="AO6772" s="17"/>
      <c r="AP6772" s="17"/>
      <c r="AQ6772" s="17"/>
      <c r="AR6772" s="17"/>
    </row>
    <row r="6773" s="25" customFormat="1" hidden="1" spans="1:44">
      <c r="A6773" s="17" t="s">
        <v>34</v>
      </c>
      <c r="B6773" s="19">
        <v>1075</v>
      </c>
      <c r="C6773" s="183">
        <v>45859</v>
      </c>
      <c r="D6773" s="17" t="s">
        <v>52</v>
      </c>
      <c r="E6773" s="17" t="s">
        <v>53</v>
      </c>
      <c r="F6773" s="17" t="s">
        <v>54</v>
      </c>
      <c r="G6773" s="17"/>
      <c r="H6773" s="19">
        <v>1.2311</v>
      </c>
      <c r="I6773" s="19"/>
      <c r="J6773" s="17" t="s">
        <v>49</v>
      </c>
      <c r="K6773" s="390">
        <v>2200</v>
      </c>
      <c r="L6773" s="390">
        <v>51</v>
      </c>
      <c r="M6773" s="19">
        <v>4000</v>
      </c>
      <c r="N6773" s="19" t="s">
        <v>66</v>
      </c>
      <c r="O6773" s="19" t="s">
        <v>141</v>
      </c>
      <c r="P6773" s="391">
        <v>3423</v>
      </c>
      <c r="Q6773" s="19">
        <v>3412</v>
      </c>
      <c r="R6773" s="19">
        <f t="shared" si="293"/>
        <v>11</v>
      </c>
      <c r="S6773" s="19">
        <f t="shared" si="294"/>
        <v>1000</v>
      </c>
      <c r="T6773" s="19" t="s">
        <v>42</v>
      </c>
      <c r="U6773" s="102" t="s">
        <v>1609</v>
      </c>
      <c r="V6773" s="186">
        <v>45857</v>
      </c>
      <c r="W6773" s="17" t="s">
        <v>69</v>
      </c>
      <c r="X6773" s="17"/>
      <c r="Y6773" s="68">
        <v>45870</v>
      </c>
      <c r="Z6773" s="17" t="s">
        <v>1599</v>
      </c>
      <c r="AA6773" s="17" t="s">
        <v>46</v>
      </c>
      <c r="AB6773" s="17" t="s">
        <v>1610</v>
      </c>
      <c r="AC6773" s="217">
        <v>45878</v>
      </c>
      <c r="AD6773" s="65">
        <v>1719</v>
      </c>
      <c r="AE6773" s="17" t="s">
        <v>48</v>
      </c>
      <c r="AF6773" s="17" t="s">
        <v>1611</v>
      </c>
      <c r="AG6773" s="17"/>
      <c r="AH6773" s="17"/>
      <c r="AI6773" s="17"/>
      <c r="AJ6773" s="17"/>
      <c r="AK6773" s="17"/>
      <c r="AL6773" s="17"/>
      <c r="AM6773" s="17"/>
      <c r="AN6773" s="17"/>
      <c r="AO6773" s="17"/>
      <c r="AP6773" s="17"/>
      <c r="AQ6773" s="17"/>
      <c r="AR6773" s="17"/>
    </row>
    <row r="6774" s="25" customFormat="1" hidden="1" spans="1:44">
      <c r="A6774" s="17" t="s">
        <v>34</v>
      </c>
      <c r="B6774" s="19">
        <v>1075</v>
      </c>
      <c r="C6774" s="183">
        <v>45859</v>
      </c>
      <c r="D6774" s="17" t="s">
        <v>52</v>
      </c>
      <c r="E6774" s="17" t="s">
        <v>53</v>
      </c>
      <c r="F6774" s="17" t="s">
        <v>54</v>
      </c>
      <c r="G6774" s="17"/>
      <c r="H6774" s="19">
        <v>1.2311</v>
      </c>
      <c r="I6774" s="19"/>
      <c r="J6774" s="17" t="s">
        <v>49</v>
      </c>
      <c r="K6774" s="390">
        <v>2200</v>
      </c>
      <c r="L6774" s="390">
        <v>56</v>
      </c>
      <c r="M6774" s="19">
        <v>4000</v>
      </c>
      <c r="N6774" s="19" t="s">
        <v>66</v>
      </c>
      <c r="O6774" s="19" t="s">
        <v>141</v>
      </c>
      <c r="P6774" s="391">
        <v>3759</v>
      </c>
      <c r="Q6774" s="19">
        <v>3784</v>
      </c>
      <c r="R6774" s="19">
        <f t="shared" si="293"/>
        <v>-25</v>
      </c>
      <c r="S6774" s="19">
        <f t="shared" si="294"/>
        <v>1000</v>
      </c>
      <c r="T6774" s="19" t="s">
        <v>42</v>
      </c>
      <c r="U6774" s="102" t="s">
        <v>1609</v>
      </c>
      <c r="V6774" s="186">
        <v>45857</v>
      </c>
      <c r="W6774" s="17" t="s">
        <v>69</v>
      </c>
      <c r="X6774" s="17"/>
      <c r="Y6774" s="68">
        <v>45870</v>
      </c>
      <c r="Z6774" s="17" t="s">
        <v>1599</v>
      </c>
      <c r="AA6774" s="17" t="s">
        <v>46</v>
      </c>
      <c r="AB6774" s="17" t="s">
        <v>1610</v>
      </c>
      <c r="AC6774" s="217">
        <v>45878</v>
      </c>
      <c r="AD6774" s="65">
        <v>1719</v>
      </c>
      <c r="AE6774" s="17" t="s">
        <v>48</v>
      </c>
      <c r="AF6774" s="17" t="s">
        <v>1611</v>
      </c>
      <c r="AG6774" s="17"/>
      <c r="AH6774" s="17"/>
      <c r="AI6774" s="17"/>
      <c r="AJ6774" s="17"/>
      <c r="AK6774" s="17"/>
      <c r="AL6774" s="17"/>
      <c r="AM6774" s="17"/>
      <c r="AN6774" s="17"/>
      <c r="AO6774" s="17"/>
      <c r="AP6774" s="17"/>
      <c r="AQ6774" s="17"/>
      <c r="AR6774" s="17"/>
    </row>
    <row r="6775" hidden="1" spans="1:44">
      <c r="A6775" s="18"/>
      <c r="B6775" s="75">
        <v>1076</v>
      </c>
      <c r="C6775" s="213">
        <v>45860</v>
      </c>
      <c r="D6775" s="18" t="s">
        <v>1605</v>
      </c>
      <c r="E6775" s="18" t="s">
        <v>1606</v>
      </c>
      <c r="F6775" s="18" t="s">
        <v>1515</v>
      </c>
      <c r="G6775" s="18"/>
      <c r="H6775" s="75" t="s">
        <v>169</v>
      </c>
      <c r="I6775" s="75"/>
      <c r="J6775" s="18" t="s">
        <v>49</v>
      </c>
      <c r="K6775" s="75">
        <v>2050</v>
      </c>
      <c r="L6775" s="111">
        <v>235</v>
      </c>
      <c r="M6775" s="75">
        <v>3610</v>
      </c>
      <c r="N6775" s="75" t="s">
        <v>66</v>
      </c>
      <c r="O6775" s="75" t="s">
        <v>98</v>
      </c>
      <c r="P6775" s="75">
        <v>13652</v>
      </c>
      <c r="Q6775" s="75"/>
      <c r="R6775" s="75">
        <f t="shared" si="293"/>
        <v>13652</v>
      </c>
      <c r="S6775" s="112">
        <f>1840*3%+1840</f>
        <v>1895.2</v>
      </c>
      <c r="T6775" s="75" t="s">
        <v>94</v>
      </c>
      <c r="U6775" s="137"/>
      <c r="V6775" s="193"/>
      <c r="W6775" s="18" t="s">
        <v>44</v>
      </c>
      <c r="X6775" s="18"/>
      <c r="Y6775" s="114"/>
      <c r="Z6775" s="18" t="s">
        <v>1607</v>
      </c>
      <c r="AA6775" s="18" t="s">
        <v>46</v>
      </c>
      <c r="AB6775" s="18"/>
      <c r="AC6775" s="137"/>
      <c r="AD6775" s="77"/>
      <c r="AE6775" s="18" t="s">
        <v>48</v>
      </c>
      <c r="AF6775" s="18" t="s">
        <v>737</v>
      </c>
      <c r="AG6775" s="18"/>
      <c r="AH6775" s="18"/>
      <c r="AI6775" s="18"/>
      <c r="AJ6775" s="18"/>
      <c r="AK6775" s="18"/>
      <c r="AL6775" s="18"/>
      <c r="AM6775" s="18"/>
      <c r="AN6775" s="18"/>
      <c r="AO6775" s="18"/>
      <c r="AP6775" s="18"/>
      <c r="AQ6775" s="18"/>
      <c r="AR6775" s="18"/>
    </row>
    <row r="6776" hidden="1" spans="1:44">
      <c r="A6776" s="18"/>
      <c r="B6776" s="75">
        <v>1076</v>
      </c>
      <c r="C6776" s="213">
        <v>45860</v>
      </c>
      <c r="D6776" s="18" t="s">
        <v>1605</v>
      </c>
      <c r="E6776" s="18" t="s">
        <v>1606</v>
      </c>
      <c r="F6776" s="18" t="s">
        <v>1515</v>
      </c>
      <c r="G6776" s="18"/>
      <c r="H6776" s="75">
        <v>1.2738</v>
      </c>
      <c r="I6776" s="75"/>
      <c r="J6776" s="18" t="s">
        <v>49</v>
      </c>
      <c r="K6776" s="329">
        <v>2035</v>
      </c>
      <c r="L6776" s="392">
        <v>212</v>
      </c>
      <c r="M6776" s="75">
        <v>3630</v>
      </c>
      <c r="N6776" s="75" t="s">
        <v>66</v>
      </c>
      <c r="O6776" s="75" t="s">
        <v>98</v>
      </c>
      <c r="P6776" s="75">
        <v>12334</v>
      </c>
      <c r="Q6776" s="75"/>
      <c r="R6776" s="112">
        <f t="shared" si="293"/>
        <v>12334</v>
      </c>
      <c r="S6776" s="112">
        <f>1840*3%+1840</f>
        <v>1895.2</v>
      </c>
      <c r="T6776" s="75" t="s">
        <v>94</v>
      </c>
      <c r="U6776" s="137"/>
      <c r="V6776" s="193"/>
      <c r="W6776" s="18" t="s">
        <v>44</v>
      </c>
      <c r="X6776" s="18"/>
      <c r="Y6776" s="114"/>
      <c r="Z6776" s="18" t="s">
        <v>1607</v>
      </c>
      <c r="AA6776" s="18" t="s">
        <v>46</v>
      </c>
      <c r="AB6776" s="18"/>
      <c r="AC6776" s="137"/>
      <c r="AD6776" s="77"/>
      <c r="AE6776" s="18" t="s">
        <v>48</v>
      </c>
      <c r="AF6776" s="18" t="s">
        <v>737</v>
      </c>
      <c r="AG6776" s="18"/>
      <c r="AH6776" s="18"/>
      <c r="AI6776" s="18"/>
      <c r="AJ6776" s="18"/>
      <c r="AK6776" s="18"/>
      <c r="AL6776" s="18"/>
      <c r="AM6776" s="18"/>
      <c r="AN6776" s="18"/>
      <c r="AO6776" s="18"/>
      <c r="AP6776" s="18"/>
      <c r="AQ6776" s="18"/>
      <c r="AR6776" s="18"/>
    </row>
    <row r="6777" hidden="1" spans="1:44">
      <c r="A6777" s="18"/>
      <c r="B6777" s="75">
        <v>1077</v>
      </c>
      <c r="C6777" s="213">
        <v>45860</v>
      </c>
      <c r="D6777" s="18" t="s">
        <v>52</v>
      </c>
      <c r="E6777" s="18" t="s">
        <v>53</v>
      </c>
      <c r="F6777" s="18" t="s">
        <v>54</v>
      </c>
      <c r="G6777" s="18"/>
      <c r="H6777" s="75" t="s">
        <v>55</v>
      </c>
      <c r="I6777" s="75"/>
      <c r="J6777" s="18" t="s">
        <v>49</v>
      </c>
      <c r="K6777" s="393">
        <v>610</v>
      </c>
      <c r="L6777" s="393">
        <v>45</v>
      </c>
      <c r="M6777" s="75">
        <v>5800</v>
      </c>
      <c r="N6777" s="75" t="s">
        <v>40</v>
      </c>
      <c r="O6777" s="75" t="s">
        <v>50</v>
      </c>
      <c r="P6777" s="112">
        <v>754.18875</v>
      </c>
      <c r="Q6777" s="75"/>
      <c r="R6777" s="112">
        <f t="shared" si="293"/>
        <v>754.18875</v>
      </c>
      <c r="S6777" s="75">
        <f t="shared" ref="S6777:S6791" si="295">1950-50</f>
        <v>1900</v>
      </c>
      <c r="T6777" s="75" t="s">
        <v>42</v>
      </c>
      <c r="U6777" s="137" t="s">
        <v>1612</v>
      </c>
      <c r="V6777" s="193">
        <v>45861</v>
      </c>
      <c r="W6777" s="18" t="s">
        <v>58</v>
      </c>
      <c r="X6777" s="18"/>
      <c r="Y6777" s="114">
        <v>45870</v>
      </c>
      <c r="Z6777" s="18" t="s">
        <v>45</v>
      </c>
      <c r="AA6777" s="18" t="s">
        <v>46</v>
      </c>
      <c r="AB6777" s="18"/>
      <c r="AC6777" s="137"/>
      <c r="AD6777" s="77"/>
      <c r="AE6777" s="18" t="s">
        <v>48</v>
      </c>
      <c r="AF6777" s="18"/>
      <c r="AG6777" s="18"/>
      <c r="AH6777" s="18"/>
      <c r="AI6777" s="18"/>
      <c r="AJ6777" s="18"/>
      <c r="AK6777" s="18"/>
      <c r="AL6777" s="18"/>
      <c r="AM6777" s="18"/>
      <c r="AN6777" s="18"/>
      <c r="AO6777" s="18"/>
      <c r="AP6777" s="18"/>
      <c r="AQ6777" s="18"/>
      <c r="AR6777" s="18"/>
    </row>
    <row r="6778" s="25" customFormat="1" hidden="1" spans="1:44">
      <c r="A6778" s="17" t="s">
        <v>34</v>
      </c>
      <c r="B6778" s="19">
        <v>1077</v>
      </c>
      <c r="C6778" s="183">
        <v>45860</v>
      </c>
      <c r="D6778" s="17" t="s">
        <v>52</v>
      </c>
      <c r="E6778" s="17" t="s">
        <v>53</v>
      </c>
      <c r="F6778" s="17" t="s">
        <v>54</v>
      </c>
      <c r="G6778" s="17"/>
      <c r="H6778" s="19" t="s">
        <v>55</v>
      </c>
      <c r="I6778" s="19"/>
      <c r="J6778" s="17" t="s">
        <v>49</v>
      </c>
      <c r="K6778" s="394">
        <v>610</v>
      </c>
      <c r="L6778" s="394">
        <v>50</v>
      </c>
      <c r="M6778" s="19">
        <v>5800</v>
      </c>
      <c r="N6778" s="19" t="s">
        <v>40</v>
      </c>
      <c r="O6778" s="19" t="s">
        <v>50</v>
      </c>
      <c r="P6778" s="99">
        <v>837.9875</v>
      </c>
      <c r="Q6778" s="19">
        <v>795</v>
      </c>
      <c r="R6778" s="99">
        <f t="shared" si="293"/>
        <v>42.9875</v>
      </c>
      <c r="S6778" s="19">
        <f t="shared" si="295"/>
        <v>1900</v>
      </c>
      <c r="T6778" s="19" t="s">
        <v>42</v>
      </c>
      <c r="U6778" s="102" t="s">
        <v>1612</v>
      </c>
      <c r="V6778" s="186">
        <v>45861</v>
      </c>
      <c r="W6778" s="17" t="s">
        <v>58</v>
      </c>
      <c r="X6778" s="17"/>
      <c r="Y6778" s="68">
        <v>45870</v>
      </c>
      <c r="Z6778" s="17" t="s">
        <v>45</v>
      </c>
      <c r="AA6778" s="17" t="s">
        <v>46</v>
      </c>
      <c r="AB6778" s="17" t="s">
        <v>1613</v>
      </c>
      <c r="AC6778" s="217">
        <v>45896</v>
      </c>
      <c r="AD6778" s="65">
        <v>1725</v>
      </c>
      <c r="AE6778" s="17" t="s">
        <v>48</v>
      </c>
      <c r="AF6778" s="17" t="s">
        <v>61</v>
      </c>
      <c r="AG6778" s="17" t="s">
        <v>1614</v>
      </c>
      <c r="AH6778" s="17"/>
      <c r="AI6778" s="17"/>
      <c r="AJ6778" s="17"/>
      <c r="AK6778" s="17"/>
      <c r="AL6778" s="17"/>
      <c r="AM6778" s="17"/>
      <c r="AN6778" s="17"/>
      <c r="AO6778" s="17"/>
      <c r="AP6778" s="17"/>
      <c r="AQ6778" s="17"/>
      <c r="AR6778" s="17"/>
    </row>
    <row r="6779" s="25" customFormat="1" hidden="1" spans="1:44">
      <c r="A6779" s="17" t="s">
        <v>34</v>
      </c>
      <c r="B6779" s="19">
        <v>1077</v>
      </c>
      <c r="C6779" s="183">
        <v>45860</v>
      </c>
      <c r="D6779" s="17" t="s">
        <v>52</v>
      </c>
      <c r="E6779" s="17" t="s">
        <v>53</v>
      </c>
      <c r="F6779" s="17" t="s">
        <v>54</v>
      </c>
      <c r="G6779" s="17"/>
      <c r="H6779" s="19" t="s">
        <v>55</v>
      </c>
      <c r="I6779" s="19"/>
      <c r="J6779" s="17" t="s">
        <v>49</v>
      </c>
      <c r="K6779" s="394">
        <v>610</v>
      </c>
      <c r="L6779" s="394">
        <v>56</v>
      </c>
      <c r="M6779" s="19">
        <v>5800</v>
      </c>
      <c r="N6779" s="19" t="s">
        <v>40</v>
      </c>
      <c r="O6779" s="19" t="s">
        <v>50</v>
      </c>
      <c r="P6779" s="99">
        <v>938.546</v>
      </c>
      <c r="Q6779" s="19">
        <v>1033</v>
      </c>
      <c r="R6779" s="99">
        <f t="shared" si="293"/>
        <v>-94.4540000000002</v>
      </c>
      <c r="S6779" s="19">
        <f t="shared" si="295"/>
        <v>1900</v>
      </c>
      <c r="T6779" s="19" t="s">
        <v>42</v>
      </c>
      <c r="U6779" s="102" t="s">
        <v>1612</v>
      </c>
      <c r="V6779" s="186">
        <v>45861</v>
      </c>
      <c r="W6779" s="17" t="s">
        <v>58</v>
      </c>
      <c r="X6779" s="17"/>
      <c r="Y6779" s="68">
        <v>45870</v>
      </c>
      <c r="Z6779" s="17" t="s">
        <v>45</v>
      </c>
      <c r="AA6779" s="17" t="s">
        <v>46</v>
      </c>
      <c r="AB6779" s="17" t="s">
        <v>1613</v>
      </c>
      <c r="AC6779" s="217">
        <v>45896</v>
      </c>
      <c r="AD6779" s="65">
        <v>1725</v>
      </c>
      <c r="AE6779" s="17" t="s">
        <v>48</v>
      </c>
      <c r="AF6779" s="17" t="s">
        <v>61</v>
      </c>
      <c r="AG6779" s="17" t="s">
        <v>1614</v>
      </c>
      <c r="AH6779" s="17"/>
      <c r="AI6779" s="17"/>
      <c r="AJ6779" s="17"/>
      <c r="AK6779" s="17"/>
      <c r="AL6779" s="17"/>
      <c r="AM6779" s="17"/>
      <c r="AN6779" s="17"/>
      <c r="AO6779" s="17"/>
      <c r="AP6779" s="17"/>
      <c r="AQ6779" s="17"/>
      <c r="AR6779" s="17"/>
    </row>
    <row r="6780" s="25" customFormat="1" hidden="1" spans="1:44">
      <c r="A6780" s="17" t="s">
        <v>34</v>
      </c>
      <c r="B6780" s="19">
        <v>1077</v>
      </c>
      <c r="C6780" s="183">
        <v>45860</v>
      </c>
      <c r="D6780" s="17" t="s">
        <v>52</v>
      </c>
      <c r="E6780" s="17" t="s">
        <v>53</v>
      </c>
      <c r="F6780" s="17" t="s">
        <v>54</v>
      </c>
      <c r="G6780" s="17"/>
      <c r="H6780" s="19" t="s">
        <v>55</v>
      </c>
      <c r="I6780" s="19"/>
      <c r="J6780" s="17" t="s">
        <v>49</v>
      </c>
      <c r="K6780" s="394">
        <v>610</v>
      </c>
      <c r="L6780" s="394">
        <v>61</v>
      </c>
      <c r="M6780" s="19">
        <v>5800</v>
      </c>
      <c r="N6780" s="19" t="s">
        <v>40</v>
      </c>
      <c r="O6780" s="19" t="s">
        <v>50</v>
      </c>
      <c r="P6780" s="99">
        <v>1022.34475</v>
      </c>
      <c r="Q6780" s="19">
        <v>1016</v>
      </c>
      <c r="R6780" s="99">
        <f t="shared" si="293"/>
        <v>6.34474999999998</v>
      </c>
      <c r="S6780" s="19">
        <f t="shared" si="295"/>
        <v>1900</v>
      </c>
      <c r="T6780" s="19" t="s">
        <v>42</v>
      </c>
      <c r="U6780" s="102" t="s">
        <v>1612</v>
      </c>
      <c r="V6780" s="186">
        <v>45861</v>
      </c>
      <c r="W6780" s="17" t="s">
        <v>58</v>
      </c>
      <c r="X6780" s="17"/>
      <c r="Y6780" s="68">
        <v>45870</v>
      </c>
      <c r="Z6780" s="17" t="s">
        <v>45</v>
      </c>
      <c r="AA6780" s="17" t="s">
        <v>46</v>
      </c>
      <c r="AB6780" s="17" t="s">
        <v>1613</v>
      </c>
      <c r="AC6780" s="217">
        <v>45896</v>
      </c>
      <c r="AD6780" s="65">
        <v>1725</v>
      </c>
      <c r="AE6780" s="17" t="s">
        <v>48</v>
      </c>
      <c r="AF6780" s="17" t="s">
        <v>61</v>
      </c>
      <c r="AG6780" s="17" t="s">
        <v>1614</v>
      </c>
      <c r="AH6780" s="17"/>
      <c r="AI6780" s="17"/>
      <c r="AJ6780" s="17"/>
      <c r="AK6780" s="17"/>
      <c r="AL6780" s="17"/>
      <c r="AM6780" s="17"/>
      <c r="AN6780" s="17"/>
      <c r="AO6780" s="17"/>
      <c r="AP6780" s="17"/>
      <c r="AQ6780" s="17"/>
      <c r="AR6780" s="17"/>
    </row>
    <row r="6781" s="25" customFormat="1" hidden="1" spans="1:44">
      <c r="A6781" s="17" t="s">
        <v>34</v>
      </c>
      <c r="B6781" s="19">
        <v>1077</v>
      </c>
      <c r="C6781" s="183">
        <v>45860</v>
      </c>
      <c r="D6781" s="17" t="s">
        <v>52</v>
      </c>
      <c r="E6781" s="17" t="s">
        <v>53</v>
      </c>
      <c r="F6781" s="17" t="s">
        <v>54</v>
      </c>
      <c r="G6781" s="17"/>
      <c r="H6781" s="19" t="s">
        <v>55</v>
      </c>
      <c r="I6781" s="19"/>
      <c r="J6781" s="17" t="s">
        <v>49</v>
      </c>
      <c r="K6781" s="394">
        <v>610</v>
      </c>
      <c r="L6781" s="394">
        <v>65</v>
      </c>
      <c r="M6781" s="19">
        <v>5800</v>
      </c>
      <c r="N6781" s="19" t="s">
        <v>40</v>
      </c>
      <c r="O6781" s="19" t="s">
        <v>50</v>
      </c>
      <c r="P6781" s="99">
        <v>1089.38375</v>
      </c>
      <c r="Q6781" s="19">
        <v>1286</v>
      </c>
      <c r="R6781" s="99">
        <f t="shared" si="293"/>
        <v>-196.61625</v>
      </c>
      <c r="S6781" s="19">
        <f t="shared" si="295"/>
        <v>1900</v>
      </c>
      <c r="T6781" s="19" t="s">
        <v>42</v>
      </c>
      <c r="U6781" s="102" t="s">
        <v>1612</v>
      </c>
      <c r="V6781" s="186">
        <v>45861</v>
      </c>
      <c r="W6781" s="17" t="s">
        <v>58</v>
      </c>
      <c r="X6781" s="17"/>
      <c r="Y6781" s="68">
        <v>45870</v>
      </c>
      <c r="Z6781" s="17" t="s">
        <v>45</v>
      </c>
      <c r="AA6781" s="17" t="s">
        <v>46</v>
      </c>
      <c r="AB6781" s="17" t="s">
        <v>1613</v>
      </c>
      <c r="AC6781" s="217">
        <v>45896</v>
      </c>
      <c r="AD6781" s="65">
        <v>1725</v>
      </c>
      <c r="AE6781" s="17" t="s">
        <v>48</v>
      </c>
      <c r="AF6781" s="17" t="s">
        <v>61</v>
      </c>
      <c r="AG6781" s="17" t="s">
        <v>1614</v>
      </c>
      <c r="AH6781" s="17"/>
      <c r="AI6781" s="17"/>
      <c r="AJ6781" s="17"/>
      <c r="AK6781" s="17"/>
      <c r="AL6781" s="17"/>
      <c r="AM6781" s="17"/>
      <c r="AN6781" s="17"/>
      <c r="AO6781" s="17"/>
      <c r="AP6781" s="17"/>
      <c r="AQ6781" s="17"/>
      <c r="AR6781" s="17"/>
    </row>
    <row r="6782" s="25" customFormat="1" hidden="1" spans="1:44">
      <c r="A6782" s="17" t="s">
        <v>34</v>
      </c>
      <c r="B6782" s="19">
        <v>1077</v>
      </c>
      <c r="C6782" s="183">
        <v>45860</v>
      </c>
      <c r="D6782" s="17" t="s">
        <v>52</v>
      </c>
      <c r="E6782" s="17" t="s">
        <v>53</v>
      </c>
      <c r="F6782" s="17" t="s">
        <v>54</v>
      </c>
      <c r="G6782" s="17"/>
      <c r="H6782" s="19" t="s">
        <v>55</v>
      </c>
      <c r="I6782" s="19"/>
      <c r="J6782" s="17" t="s">
        <v>49</v>
      </c>
      <c r="K6782" s="394">
        <v>610</v>
      </c>
      <c r="L6782" s="394">
        <v>71</v>
      </c>
      <c r="M6782" s="19">
        <v>5800</v>
      </c>
      <c r="N6782" s="19" t="s">
        <v>40</v>
      </c>
      <c r="O6782" s="19" t="s">
        <v>50</v>
      </c>
      <c r="P6782" s="99">
        <v>1189.94225</v>
      </c>
      <c r="Q6782" s="19">
        <v>1389</v>
      </c>
      <c r="R6782" s="99">
        <f t="shared" si="293"/>
        <v>-199.05775</v>
      </c>
      <c r="S6782" s="19">
        <f t="shared" si="295"/>
        <v>1900</v>
      </c>
      <c r="T6782" s="19" t="s">
        <v>42</v>
      </c>
      <c r="U6782" s="102" t="s">
        <v>1612</v>
      </c>
      <c r="V6782" s="186">
        <v>45861</v>
      </c>
      <c r="W6782" s="17" t="s">
        <v>58</v>
      </c>
      <c r="X6782" s="17"/>
      <c r="Y6782" s="68">
        <v>45870</v>
      </c>
      <c r="Z6782" s="17" t="s">
        <v>45</v>
      </c>
      <c r="AA6782" s="17" t="s">
        <v>46</v>
      </c>
      <c r="AB6782" s="17" t="s">
        <v>1613</v>
      </c>
      <c r="AC6782" s="217">
        <v>45896</v>
      </c>
      <c r="AD6782" s="65">
        <v>1725</v>
      </c>
      <c r="AE6782" s="17" t="s">
        <v>48</v>
      </c>
      <c r="AF6782" s="17" t="s">
        <v>61</v>
      </c>
      <c r="AG6782" s="17" t="s">
        <v>1614</v>
      </c>
      <c r="AH6782" s="17"/>
      <c r="AI6782" s="17"/>
      <c r="AJ6782" s="17"/>
      <c r="AK6782" s="17"/>
      <c r="AL6782" s="17"/>
      <c r="AM6782" s="17"/>
      <c r="AN6782" s="17"/>
      <c r="AO6782" s="17"/>
      <c r="AP6782" s="17"/>
      <c r="AQ6782" s="17"/>
      <c r="AR6782" s="17"/>
    </row>
    <row r="6783" s="25" customFormat="1" hidden="1" spans="1:44">
      <c r="A6783" s="17" t="s">
        <v>34</v>
      </c>
      <c r="B6783" s="19">
        <v>1077</v>
      </c>
      <c r="C6783" s="183">
        <v>45860</v>
      </c>
      <c r="D6783" s="17" t="s">
        <v>52</v>
      </c>
      <c r="E6783" s="17" t="s">
        <v>53</v>
      </c>
      <c r="F6783" s="17" t="s">
        <v>54</v>
      </c>
      <c r="G6783" s="17"/>
      <c r="H6783" s="19" t="s">
        <v>55</v>
      </c>
      <c r="I6783" s="19"/>
      <c r="J6783" s="17" t="s">
        <v>49</v>
      </c>
      <c r="K6783" s="394">
        <v>610</v>
      </c>
      <c r="L6783" s="394">
        <v>76</v>
      </c>
      <c r="M6783" s="19">
        <v>5800</v>
      </c>
      <c r="N6783" s="19" t="s">
        <v>40</v>
      </c>
      <c r="O6783" s="19" t="s">
        <v>50</v>
      </c>
      <c r="P6783" s="99">
        <v>1273.741</v>
      </c>
      <c r="Q6783" s="19">
        <v>1457</v>
      </c>
      <c r="R6783" s="99">
        <f t="shared" si="293"/>
        <v>-183.259</v>
      </c>
      <c r="S6783" s="19">
        <f t="shared" si="295"/>
        <v>1900</v>
      </c>
      <c r="T6783" s="19" t="s">
        <v>42</v>
      </c>
      <c r="U6783" s="102" t="s">
        <v>1612</v>
      </c>
      <c r="V6783" s="186">
        <v>45861</v>
      </c>
      <c r="W6783" s="17" t="s">
        <v>58</v>
      </c>
      <c r="X6783" s="17"/>
      <c r="Y6783" s="68">
        <v>45870</v>
      </c>
      <c r="Z6783" s="17" t="s">
        <v>45</v>
      </c>
      <c r="AA6783" s="17" t="s">
        <v>46</v>
      </c>
      <c r="AB6783" s="17" t="s">
        <v>1613</v>
      </c>
      <c r="AC6783" s="217">
        <v>45896</v>
      </c>
      <c r="AD6783" s="65">
        <v>1725</v>
      </c>
      <c r="AE6783" s="17" t="s">
        <v>48</v>
      </c>
      <c r="AF6783" s="17" t="s">
        <v>61</v>
      </c>
      <c r="AG6783" s="17" t="s">
        <v>1614</v>
      </c>
      <c r="AH6783" s="17"/>
      <c r="AI6783" s="17"/>
      <c r="AJ6783" s="17"/>
      <c r="AK6783" s="17"/>
      <c r="AL6783" s="17"/>
      <c r="AM6783" s="17"/>
      <c r="AN6783" s="17"/>
      <c r="AO6783" s="17"/>
      <c r="AP6783" s="17"/>
      <c r="AQ6783" s="17"/>
      <c r="AR6783" s="17"/>
    </row>
    <row r="6784" s="25" customFormat="1" hidden="1" spans="1:44">
      <c r="A6784" s="17" t="s">
        <v>34</v>
      </c>
      <c r="B6784" s="19">
        <v>1077</v>
      </c>
      <c r="C6784" s="183">
        <v>45860</v>
      </c>
      <c r="D6784" s="17" t="s">
        <v>52</v>
      </c>
      <c r="E6784" s="17" t="s">
        <v>53</v>
      </c>
      <c r="F6784" s="17" t="s">
        <v>54</v>
      </c>
      <c r="G6784" s="17"/>
      <c r="H6784" s="19" t="s">
        <v>55</v>
      </c>
      <c r="I6784" s="19"/>
      <c r="J6784" s="17" t="s">
        <v>49</v>
      </c>
      <c r="K6784" s="394">
        <v>610</v>
      </c>
      <c r="L6784" s="394">
        <v>82</v>
      </c>
      <c r="M6784" s="19">
        <v>5800</v>
      </c>
      <c r="N6784" s="19" t="s">
        <v>40</v>
      </c>
      <c r="O6784" s="19" t="s">
        <v>50</v>
      </c>
      <c r="P6784" s="99">
        <v>1374.2995</v>
      </c>
      <c r="Q6784" s="19">
        <v>1270</v>
      </c>
      <c r="R6784" s="99">
        <f t="shared" si="293"/>
        <v>104.2995</v>
      </c>
      <c r="S6784" s="19">
        <f t="shared" si="295"/>
        <v>1900</v>
      </c>
      <c r="T6784" s="19" t="s">
        <v>42</v>
      </c>
      <c r="U6784" s="102" t="s">
        <v>1612</v>
      </c>
      <c r="V6784" s="186">
        <v>45861</v>
      </c>
      <c r="W6784" s="17" t="s">
        <v>58</v>
      </c>
      <c r="X6784" s="17"/>
      <c r="Y6784" s="68">
        <v>45870</v>
      </c>
      <c r="Z6784" s="17" t="s">
        <v>45</v>
      </c>
      <c r="AA6784" s="17" t="s">
        <v>46</v>
      </c>
      <c r="AB6784" s="17" t="s">
        <v>1613</v>
      </c>
      <c r="AC6784" s="217">
        <v>45896</v>
      </c>
      <c r="AD6784" s="65">
        <v>1725</v>
      </c>
      <c r="AE6784" s="17" t="s">
        <v>48</v>
      </c>
      <c r="AF6784" s="17" t="s">
        <v>61</v>
      </c>
      <c r="AG6784" s="17" t="s">
        <v>1614</v>
      </c>
      <c r="AH6784" s="17"/>
      <c r="AI6784" s="17"/>
      <c r="AJ6784" s="17"/>
      <c r="AK6784" s="17"/>
      <c r="AL6784" s="17"/>
      <c r="AM6784" s="17"/>
      <c r="AN6784" s="17"/>
      <c r="AO6784" s="17"/>
      <c r="AP6784" s="17"/>
      <c r="AQ6784" s="17"/>
      <c r="AR6784" s="17"/>
    </row>
    <row r="6785" s="25" customFormat="1" hidden="1" spans="1:44">
      <c r="A6785" s="17" t="s">
        <v>34</v>
      </c>
      <c r="B6785" s="19">
        <v>1077</v>
      </c>
      <c r="C6785" s="183">
        <v>45860</v>
      </c>
      <c r="D6785" s="17" t="s">
        <v>52</v>
      </c>
      <c r="E6785" s="17" t="s">
        <v>53</v>
      </c>
      <c r="F6785" s="17" t="s">
        <v>54</v>
      </c>
      <c r="G6785" s="17"/>
      <c r="H6785" s="19" t="s">
        <v>55</v>
      </c>
      <c r="I6785" s="19"/>
      <c r="J6785" s="17" t="s">
        <v>49</v>
      </c>
      <c r="K6785" s="394">
        <v>810</v>
      </c>
      <c r="L6785" s="394">
        <v>85</v>
      </c>
      <c r="M6785" s="19">
        <v>5800</v>
      </c>
      <c r="N6785" s="19" t="s">
        <v>40</v>
      </c>
      <c r="O6785" s="19" t="s">
        <v>50</v>
      </c>
      <c r="P6785" s="99">
        <v>1891.65375</v>
      </c>
      <c r="Q6785" s="19">
        <v>1847</v>
      </c>
      <c r="R6785" s="99">
        <f t="shared" si="293"/>
        <v>44.6537499999999</v>
      </c>
      <c r="S6785" s="19">
        <f t="shared" si="295"/>
        <v>1900</v>
      </c>
      <c r="T6785" s="19" t="s">
        <v>42</v>
      </c>
      <c r="U6785" s="102" t="s">
        <v>1612</v>
      </c>
      <c r="V6785" s="186">
        <v>45861</v>
      </c>
      <c r="W6785" s="17" t="s">
        <v>58</v>
      </c>
      <c r="X6785" s="17"/>
      <c r="Y6785" s="68">
        <v>45870</v>
      </c>
      <c r="Z6785" s="17" t="s">
        <v>45</v>
      </c>
      <c r="AA6785" s="17" t="s">
        <v>46</v>
      </c>
      <c r="AB6785" s="17" t="s">
        <v>1613</v>
      </c>
      <c r="AC6785" s="217">
        <v>45896</v>
      </c>
      <c r="AD6785" s="65">
        <v>1725</v>
      </c>
      <c r="AE6785" s="17" t="s">
        <v>48</v>
      </c>
      <c r="AF6785" s="17" t="s">
        <v>61</v>
      </c>
      <c r="AG6785" s="17" t="s">
        <v>1614</v>
      </c>
      <c r="AH6785" s="17"/>
      <c r="AI6785" s="17"/>
      <c r="AJ6785" s="17"/>
      <c r="AK6785" s="17"/>
      <c r="AL6785" s="17"/>
      <c r="AM6785" s="17"/>
      <c r="AN6785" s="17"/>
      <c r="AO6785" s="17"/>
      <c r="AP6785" s="17"/>
      <c r="AQ6785" s="17"/>
      <c r="AR6785" s="17"/>
    </row>
    <row r="6786" s="25" customFormat="1" hidden="1" spans="1:44">
      <c r="A6786" s="17" t="s">
        <v>34</v>
      </c>
      <c r="B6786" s="19">
        <v>1077</v>
      </c>
      <c r="C6786" s="183">
        <v>45860</v>
      </c>
      <c r="D6786" s="17" t="s">
        <v>52</v>
      </c>
      <c r="E6786" s="17" t="s">
        <v>53</v>
      </c>
      <c r="F6786" s="17" t="s">
        <v>54</v>
      </c>
      <c r="G6786" s="17"/>
      <c r="H6786" s="19" t="s">
        <v>55</v>
      </c>
      <c r="I6786" s="19"/>
      <c r="J6786" s="17" t="s">
        <v>49</v>
      </c>
      <c r="K6786" s="394">
        <v>810</v>
      </c>
      <c r="L6786" s="394">
        <v>96</v>
      </c>
      <c r="M6786" s="19">
        <v>5800</v>
      </c>
      <c r="N6786" s="19" t="s">
        <v>40</v>
      </c>
      <c r="O6786" s="19" t="s">
        <v>50</v>
      </c>
      <c r="P6786" s="99">
        <v>2136</v>
      </c>
      <c r="Q6786" s="19">
        <v>2175</v>
      </c>
      <c r="R6786" s="99">
        <f t="shared" si="293"/>
        <v>-39</v>
      </c>
      <c r="S6786" s="19">
        <f t="shared" si="295"/>
        <v>1900</v>
      </c>
      <c r="T6786" s="19" t="s">
        <v>42</v>
      </c>
      <c r="U6786" s="102" t="s">
        <v>1612</v>
      </c>
      <c r="V6786" s="186">
        <v>45861</v>
      </c>
      <c r="W6786" s="17" t="s">
        <v>58</v>
      </c>
      <c r="X6786" s="17"/>
      <c r="Y6786" s="68">
        <v>45870</v>
      </c>
      <c r="Z6786" s="17" t="s">
        <v>45</v>
      </c>
      <c r="AA6786" s="17" t="s">
        <v>46</v>
      </c>
      <c r="AB6786" s="17" t="s">
        <v>1613</v>
      </c>
      <c r="AC6786" s="217">
        <v>45896</v>
      </c>
      <c r="AD6786" s="65">
        <v>1725</v>
      </c>
      <c r="AE6786" s="17" t="s">
        <v>48</v>
      </c>
      <c r="AF6786" s="17" t="s">
        <v>61</v>
      </c>
      <c r="AG6786" s="17" t="s">
        <v>1614</v>
      </c>
      <c r="AH6786" s="17"/>
      <c r="AI6786" s="17"/>
      <c r="AJ6786" s="17"/>
      <c r="AK6786" s="17"/>
      <c r="AL6786" s="17"/>
      <c r="AM6786" s="17"/>
      <c r="AN6786" s="17"/>
      <c r="AO6786" s="17"/>
      <c r="AP6786" s="17"/>
      <c r="AQ6786" s="17"/>
      <c r="AR6786" s="17"/>
    </row>
    <row r="6787" s="25" customFormat="1" hidden="1" spans="1:44">
      <c r="A6787" s="17" t="s">
        <v>34</v>
      </c>
      <c r="B6787" s="19">
        <v>1077</v>
      </c>
      <c r="C6787" s="183">
        <v>45860</v>
      </c>
      <c r="D6787" s="17" t="s">
        <v>52</v>
      </c>
      <c r="E6787" s="17" t="s">
        <v>53</v>
      </c>
      <c r="F6787" s="17" t="s">
        <v>54</v>
      </c>
      <c r="G6787" s="17"/>
      <c r="H6787" s="19" t="s">
        <v>55</v>
      </c>
      <c r="I6787" s="19"/>
      <c r="J6787" s="17" t="s">
        <v>49</v>
      </c>
      <c r="K6787" s="394">
        <v>810</v>
      </c>
      <c r="L6787" s="394">
        <v>102</v>
      </c>
      <c r="M6787" s="19">
        <v>5800</v>
      </c>
      <c r="N6787" s="19" t="s">
        <v>40</v>
      </c>
      <c r="O6787" s="19" t="s">
        <v>50</v>
      </c>
      <c r="P6787" s="99">
        <v>2269.9845</v>
      </c>
      <c r="Q6787" s="19">
        <v>2282</v>
      </c>
      <c r="R6787" s="99">
        <f t="shared" si="293"/>
        <v>-12.0155000000004</v>
      </c>
      <c r="S6787" s="19">
        <f t="shared" si="295"/>
        <v>1900</v>
      </c>
      <c r="T6787" s="19" t="s">
        <v>42</v>
      </c>
      <c r="U6787" s="102" t="s">
        <v>1612</v>
      </c>
      <c r="V6787" s="186">
        <v>45861</v>
      </c>
      <c r="W6787" s="17" t="s">
        <v>58</v>
      </c>
      <c r="X6787" s="17"/>
      <c r="Y6787" s="68">
        <v>45870</v>
      </c>
      <c r="Z6787" s="17" t="s">
        <v>45</v>
      </c>
      <c r="AA6787" s="17" t="s">
        <v>46</v>
      </c>
      <c r="AB6787" s="17" t="s">
        <v>1613</v>
      </c>
      <c r="AC6787" s="217">
        <v>45896</v>
      </c>
      <c r="AD6787" s="65">
        <v>1725</v>
      </c>
      <c r="AE6787" s="17" t="s">
        <v>48</v>
      </c>
      <c r="AF6787" s="17" t="s">
        <v>61</v>
      </c>
      <c r="AG6787" s="17" t="s">
        <v>1614</v>
      </c>
      <c r="AH6787" s="17"/>
      <c r="AI6787" s="17"/>
      <c r="AJ6787" s="17"/>
      <c r="AK6787" s="17"/>
      <c r="AL6787" s="17"/>
      <c r="AM6787" s="17"/>
      <c r="AN6787" s="17"/>
      <c r="AO6787" s="17"/>
      <c r="AP6787" s="17"/>
      <c r="AQ6787" s="17"/>
      <c r="AR6787" s="17"/>
    </row>
    <row r="6788" s="25" customFormat="1" hidden="1" spans="1:44">
      <c r="A6788" s="17" t="s">
        <v>34</v>
      </c>
      <c r="B6788" s="19">
        <v>1077</v>
      </c>
      <c r="C6788" s="183">
        <v>45860</v>
      </c>
      <c r="D6788" s="17" t="s">
        <v>52</v>
      </c>
      <c r="E6788" s="17" t="s">
        <v>53</v>
      </c>
      <c r="F6788" s="17" t="s">
        <v>54</v>
      </c>
      <c r="G6788" s="17"/>
      <c r="H6788" s="19" t="s">
        <v>55</v>
      </c>
      <c r="I6788" s="19"/>
      <c r="J6788" s="17" t="s">
        <v>49</v>
      </c>
      <c r="K6788" s="394">
        <v>810</v>
      </c>
      <c r="L6788" s="394">
        <v>111</v>
      </c>
      <c r="M6788" s="19">
        <v>5800</v>
      </c>
      <c r="N6788" s="19" t="s">
        <v>40</v>
      </c>
      <c r="O6788" s="19" t="s">
        <v>50</v>
      </c>
      <c r="P6788" s="99">
        <v>2470.27725</v>
      </c>
      <c r="Q6788" s="19">
        <v>2615</v>
      </c>
      <c r="R6788" s="99">
        <f t="shared" si="293"/>
        <v>-144.72275</v>
      </c>
      <c r="S6788" s="19">
        <f t="shared" si="295"/>
        <v>1900</v>
      </c>
      <c r="T6788" s="19" t="s">
        <v>42</v>
      </c>
      <c r="U6788" s="102" t="s">
        <v>1612</v>
      </c>
      <c r="V6788" s="186">
        <v>45861</v>
      </c>
      <c r="W6788" s="17" t="s">
        <v>58</v>
      </c>
      <c r="X6788" s="17"/>
      <c r="Y6788" s="68">
        <v>45870</v>
      </c>
      <c r="Z6788" s="17" t="s">
        <v>45</v>
      </c>
      <c r="AA6788" s="17" t="s">
        <v>46</v>
      </c>
      <c r="AB6788" s="17" t="s">
        <v>1613</v>
      </c>
      <c r="AC6788" s="217">
        <v>45896</v>
      </c>
      <c r="AD6788" s="65">
        <v>1725</v>
      </c>
      <c r="AE6788" s="17" t="s">
        <v>48</v>
      </c>
      <c r="AF6788" s="17" t="s">
        <v>61</v>
      </c>
      <c r="AG6788" s="17" t="s">
        <v>1614</v>
      </c>
      <c r="AH6788" s="17"/>
      <c r="AI6788" s="17"/>
      <c r="AJ6788" s="17"/>
      <c r="AK6788" s="17"/>
      <c r="AL6788" s="17"/>
      <c r="AM6788" s="17"/>
      <c r="AN6788" s="17"/>
      <c r="AO6788" s="17"/>
      <c r="AP6788" s="17"/>
      <c r="AQ6788" s="17"/>
      <c r="AR6788" s="17"/>
    </row>
    <row r="6789" s="25" customFormat="1" hidden="1" spans="1:44">
      <c r="A6789" s="17" t="s">
        <v>34</v>
      </c>
      <c r="B6789" s="19">
        <v>1077</v>
      </c>
      <c r="C6789" s="183">
        <v>45860</v>
      </c>
      <c r="D6789" s="17" t="s">
        <v>52</v>
      </c>
      <c r="E6789" s="17" t="s">
        <v>53</v>
      </c>
      <c r="F6789" s="17" t="s">
        <v>54</v>
      </c>
      <c r="G6789" s="17"/>
      <c r="H6789" s="19" t="s">
        <v>55</v>
      </c>
      <c r="I6789" s="19"/>
      <c r="J6789" s="17" t="s">
        <v>49</v>
      </c>
      <c r="K6789" s="394">
        <v>810</v>
      </c>
      <c r="L6789" s="394">
        <v>122</v>
      </c>
      <c r="M6789" s="19">
        <v>5800</v>
      </c>
      <c r="N6789" s="19" t="s">
        <v>40</v>
      </c>
      <c r="O6789" s="19" t="s">
        <v>50</v>
      </c>
      <c r="P6789" s="99">
        <v>2715.0795</v>
      </c>
      <c r="Q6789" s="19">
        <v>3010</v>
      </c>
      <c r="R6789" s="99">
        <f t="shared" ref="R6789:R6820" si="296">+P6789-Q6789</f>
        <v>-294.9205</v>
      </c>
      <c r="S6789" s="19">
        <f t="shared" si="295"/>
        <v>1900</v>
      </c>
      <c r="T6789" s="19" t="s">
        <v>42</v>
      </c>
      <c r="U6789" s="102" t="s">
        <v>1612</v>
      </c>
      <c r="V6789" s="186">
        <v>45861</v>
      </c>
      <c r="W6789" s="17" t="s">
        <v>58</v>
      </c>
      <c r="X6789" s="17"/>
      <c r="Y6789" s="68">
        <v>45870</v>
      </c>
      <c r="Z6789" s="17" t="s">
        <v>45</v>
      </c>
      <c r="AA6789" s="17" t="s">
        <v>46</v>
      </c>
      <c r="AB6789" s="17" t="s">
        <v>1613</v>
      </c>
      <c r="AC6789" s="217">
        <v>45896</v>
      </c>
      <c r="AD6789" s="65">
        <v>1725</v>
      </c>
      <c r="AE6789" s="17" t="s">
        <v>48</v>
      </c>
      <c r="AF6789" s="17" t="s">
        <v>61</v>
      </c>
      <c r="AG6789" s="17" t="s">
        <v>1614</v>
      </c>
      <c r="AH6789" s="17"/>
      <c r="AI6789" s="17"/>
      <c r="AJ6789" s="17"/>
      <c r="AK6789" s="17"/>
      <c r="AL6789" s="17"/>
      <c r="AM6789" s="17"/>
      <c r="AN6789" s="17"/>
      <c r="AO6789" s="17"/>
      <c r="AP6789" s="17"/>
      <c r="AQ6789" s="17"/>
      <c r="AR6789" s="17"/>
    </row>
    <row r="6790" s="25" customFormat="1" hidden="1" spans="1:44">
      <c r="A6790" s="17" t="s">
        <v>34</v>
      </c>
      <c r="B6790" s="19">
        <v>1077</v>
      </c>
      <c r="C6790" s="183">
        <v>45860</v>
      </c>
      <c r="D6790" s="17" t="s">
        <v>52</v>
      </c>
      <c r="E6790" s="17" t="s">
        <v>53</v>
      </c>
      <c r="F6790" s="17" t="s">
        <v>54</v>
      </c>
      <c r="G6790" s="17"/>
      <c r="H6790" s="19" t="s">
        <v>55</v>
      </c>
      <c r="I6790" s="19"/>
      <c r="J6790" s="17" t="s">
        <v>49</v>
      </c>
      <c r="K6790" s="394">
        <v>810</v>
      </c>
      <c r="L6790" s="394">
        <v>130</v>
      </c>
      <c r="M6790" s="19">
        <v>5800</v>
      </c>
      <c r="N6790" s="19" t="s">
        <v>40</v>
      </c>
      <c r="O6790" s="19" t="s">
        <v>50</v>
      </c>
      <c r="P6790" s="99">
        <v>2893.1175</v>
      </c>
      <c r="Q6790" s="19">
        <v>3056</v>
      </c>
      <c r="R6790" s="99">
        <f t="shared" si="296"/>
        <v>-162.8825</v>
      </c>
      <c r="S6790" s="19">
        <f t="shared" si="295"/>
        <v>1900</v>
      </c>
      <c r="T6790" s="19" t="s">
        <v>42</v>
      </c>
      <c r="U6790" s="102" t="s">
        <v>1612</v>
      </c>
      <c r="V6790" s="186">
        <v>45861</v>
      </c>
      <c r="W6790" s="17" t="s">
        <v>58</v>
      </c>
      <c r="X6790" s="17"/>
      <c r="Y6790" s="68">
        <v>45870</v>
      </c>
      <c r="Z6790" s="17" t="s">
        <v>45</v>
      </c>
      <c r="AA6790" s="17" t="s">
        <v>46</v>
      </c>
      <c r="AB6790" s="17" t="s">
        <v>1613</v>
      </c>
      <c r="AC6790" s="217">
        <v>45896</v>
      </c>
      <c r="AD6790" s="65">
        <v>1725</v>
      </c>
      <c r="AE6790" s="17" t="s">
        <v>48</v>
      </c>
      <c r="AF6790" s="17" t="s">
        <v>61</v>
      </c>
      <c r="AG6790" s="17" t="s">
        <v>1614</v>
      </c>
      <c r="AH6790" s="17"/>
      <c r="AI6790" s="17"/>
      <c r="AJ6790" s="17"/>
      <c r="AK6790" s="17"/>
      <c r="AL6790" s="17"/>
      <c r="AM6790" s="17"/>
      <c r="AN6790" s="17"/>
      <c r="AO6790" s="17"/>
      <c r="AP6790" s="17"/>
      <c r="AQ6790" s="17"/>
      <c r="AR6790" s="17"/>
    </row>
    <row r="6791" s="25" customFormat="1" hidden="1" spans="1:44">
      <c r="A6791" s="17" t="s">
        <v>34</v>
      </c>
      <c r="B6791" s="19">
        <v>1077</v>
      </c>
      <c r="C6791" s="183">
        <v>45860</v>
      </c>
      <c r="D6791" s="17" t="s">
        <v>52</v>
      </c>
      <c r="E6791" s="17" t="s">
        <v>53</v>
      </c>
      <c r="F6791" s="17" t="s">
        <v>54</v>
      </c>
      <c r="G6791" s="17"/>
      <c r="H6791" s="19" t="s">
        <v>55</v>
      </c>
      <c r="I6791" s="19"/>
      <c r="J6791" s="17" t="s">
        <v>49</v>
      </c>
      <c r="K6791" s="394">
        <v>810</v>
      </c>
      <c r="L6791" s="394">
        <v>155</v>
      </c>
      <c r="M6791" s="19">
        <v>5800</v>
      </c>
      <c r="N6791" s="19" t="s">
        <v>40</v>
      </c>
      <c r="O6791" s="19" t="s">
        <v>50</v>
      </c>
      <c r="P6791" s="99">
        <v>3449.48625</v>
      </c>
      <c r="Q6791" s="19">
        <v>3457</v>
      </c>
      <c r="R6791" s="99">
        <f t="shared" si="296"/>
        <v>-7.51375000000053</v>
      </c>
      <c r="S6791" s="19">
        <f t="shared" si="295"/>
        <v>1900</v>
      </c>
      <c r="T6791" s="19" t="s">
        <v>42</v>
      </c>
      <c r="U6791" s="102" t="s">
        <v>1612</v>
      </c>
      <c r="V6791" s="186">
        <v>45861</v>
      </c>
      <c r="W6791" s="17" t="s">
        <v>58</v>
      </c>
      <c r="X6791" s="17"/>
      <c r="Y6791" s="68">
        <v>45870</v>
      </c>
      <c r="Z6791" s="17" t="s">
        <v>45</v>
      </c>
      <c r="AA6791" s="17" t="s">
        <v>46</v>
      </c>
      <c r="AB6791" s="17" t="s">
        <v>1613</v>
      </c>
      <c r="AC6791" s="217">
        <v>45896</v>
      </c>
      <c r="AD6791" s="65">
        <v>1725</v>
      </c>
      <c r="AE6791" s="17" t="s">
        <v>48</v>
      </c>
      <c r="AF6791" s="17" t="s">
        <v>61</v>
      </c>
      <c r="AG6791" s="17" t="s">
        <v>1614</v>
      </c>
      <c r="AH6791" s="17"/>
      <c r="AI6791" s="17"/>
      <c r="AJ6791" s="17"/>
      <c r="AK6791" s="17"/>
      <c r="AL6791" s="17"/>
      <c r="AM6791" s="17"/>
      <c r="AN6791" s="17"/>
      <c r="AO6791" s="17"/>
      <c r="AP6791" s="17"/>
      <c r="AQ6791" s="17"/>
      <c r="AR6791" s="17"/>
    </row>
    <row r="6792" s="25" customFormat="1" hidden="1" spans="1:44">
      <c r="A6792" s="17" t="s">
        <v>34</v>
      </c>
      <c r="B6792" s="19">
        <v>1077</v>
      </c>
      <c r="C6792" s="183">
        <v>45860</v>
      </c>
      <c r="D6792" s="17" t="s">
        <v>52</v>
      </c>
      <c r="E6792" s="17" t="s">
        <v>53</v>
      </c>
      <c r="F6792" s="17" t="s">
        <v>54</v>
      </c>
      <c r="G6792" s="17"/>
      <c r="H6792" s="19" t="s">
        <v>55</v>
      </c>
      <c r="I6792" s="19"/>
      <c r="J6792" s="17" t="s">
        <v>49</v>
      </c>
      <c r="K6792" s="394">
        <v>810</v>
      </c>
      <c r="L6792" s="394">
        <v>160</v>
      </c>
      <c r="M6792" s="19">
        <v>5800</v>
      </c>
      <c r="N6792" s="19" t="s">
        <v>40</v>
      </c>
      <c r="O6792" s="19" t="s">
        <v>50</v>
      </c>
      <c r="P6792" s="99">
        <v>3560.76</v>
      </c>
      <c r="Q6792" s="19">
        <v>3940</v>
      </c>
      <c r="R6792" s="99">
        <f t="shared" si="296"/>
        <v>-379.24</v>
      </c>
      <c r="S6792" s="19">
        <f>1950</f>
        <v>1950</v>
      </c>
      <c r="T6792" s="19" t="s">
        <v>42</v>
      </c>
      <c r="U6792" s="102" t="s">
        <v>1612</v>
      </c>
      <c r="V6792" s="186">
        <v>45861</v>
      </c>
      <c r="W6792" s="17" t="s">
        <v>58</v>
      </c>
      <c r="X6792" s="17"/>
      <c r="Y6792" s="68">
        <v>45870</v>
      </c>
      <c r="Z6792" s="17" t="s">
        <v>45</v>
      </c>
      <c r="AA6792" s="17" t="s">
        <v>46</v>
      </c>
      <c r="AB6792" s="17" t="s">
        <v>1615</v>
      </c>
      <c r="AC6792" s="217">
        <v>45937</v>
      </c>
      <c r="AD6792" s="65">
        <v>1736</v>
      </c>
      <c r="AE6792" s="17" t="s">
        <v>48</v>
      </c>
      <c r="AF6792" s="17" t="s">
        <v>61</v>
      </c>
      <c r="AG6792" s="17" t="s">
        <v>1614</v>
      </c>
      <c r="AH6792" s="17"/>
      <c r="AI6792" s="17"/>
      <c r="AJ6792" s="17"/>
      <c r="AK6792" s="17"/>
      <c r="AL6792" s="17"/>
      <c r="AM6792" s="17"/>
      <c r="AN6792" s="17"/>
      <c r="AO6792" s="17"/>
      <c r="AP6792" s="17"/>
      <c r="AQ6792" s="17"/>
      <c r="AR6792" s="17"/>
    </row>
    <row r="6793" s="25" customFormat="1" hidden="1" spans="1:44">
      <c r="A6793" s="17" t="s">
        <v>34</v>
      </c>
      <c r="B6793" s="19">
        <v>1080</v>
      </c>
      <c r="C6793" s="183">
        <v>45883</v>
      </c>
      <c r="D6793" s="17" t="s">
        <v>52</v>
      </c>
      <c r="E6793" s="17" t="s">
        <v>53</v>
      </c>
      <c r="F6793" s="17" t="s">
        <v>54</v>
      </c>
      <c r="G6793" s="17"/>
      <c r="H6793" s="19">
        <v>1.2379</v>
      </c>
      <c r="I6793" s="19"/>
      <c r="J6793" s="17" t="s">
        <v>49</v>
      </c>
      <c r="K6793" s="394">
        <v>810</v>
      </c>
      <c r="L6793" s="395">
        <v>155</v>
      </c>
      <c r="M6793" s="19">
        <v>5800</v>
      </c>
      <c r="N6793" s="19" t="s">
        <v>40</v>
      </c>
      <c r="O6793" s="19" t="s">
        <v>50</v>
      </c>
      <c r="P6793" s="19">
        <v>3750</v>
      </c>
      <c r="Q6793" s="19">
        <v>3636</v>
      </c>
      <c r="R6793" s="19">
        <f t="shared" si="296"/>
        <v>114</v>
      </c>
      <c r="S6793" s="19">
        <f>2275-60-50</f>
        <v>2165</v>
      </c>
      <c r="T6793" s="19" t="s">
        <v>42</v>
      </c>
      <c r="U6793" s="102" t="s">
        <v>1616</v>
      </c>
      <c r="V6793" s="186">
        <v>45891</v>
      </c>
      <c r="W6793" s="17" t="s">
        <v>58</v>
      </c>
      <c r="X6793" s="17"/>
      <c r="Y6793" s="68">
        <v>45962</v>
      </c>
      <c r="Z6793" s="17" t="s">
        <v>45</v>
      </c>
      <c r="AA6793" s="17" t="s">
        <v>46</v>
      </c>
      <c r="AB6793" s="17" t="s">
        <v>1617</v>
      </c>
      <c r="AC6793" s="217">
        <v>45967</v>
      </c>
      <c r="AD6793" s="65">
        <v>1741</v>
      </c>
      <c r="AE6793" s="17" t="s">
        <v>48</v>
      </c>
      <c r="AF6793" s="17" t="s">
        <v>61</v>
      </c>
      <c r="AG6793" s="17" t="s">
        <v>1614</v>
      </c>
      <c r="AH6793" s="17"/>
      <c r="AI6793" s="17"/>
      <c r="AJ6793" s="17"/>
      <c r="AK6793" s="17"/>
      <c r="AL6793" s="17"/>
      <c r="AM6793" s="17"/>
      <c r="AN6793" s="17"/>
      <c r="AO6793" s="17"/>
      <c r="AP6793" s="17"/>
      <c r="AQ6793" s="17"/>
      <c r="AR6793" s="17"/>
    </row>
    <row r="6794" s="25" customFormat="1" hidden="1" spans="1:44">
      <c r="A6794" s="17" t="s">
        <v>34</v>
      </c>
      <c r="B6794" s="19">
        <v>1080</v>
      </c>
      <c r="C6794" s="183">
        <v>45883</v>
      </c>
      <c r="D6794" s="17" t="s">
        <v>52</v>
      </c>
      <c r="E6794" s="17" t="s">
        <v>53</v>
      </c>
      <c r="F6794" s="17" t="s">
        <v>54</v>
      </c>
      <c r="G6794" s="17"/>
      <c r="H6794" s="19">
        <v>1.2379</v>
      </c>
      <c r="I6794" s="19"/>
      <c r="J6794" s="17" t="s">
        <v>49</v>
      </c>
      <c r="K6794" s="394">
        <v>810</v>
      </c>
      <c r="L6794" s="395">
        <v>180</v>
      </c>
      <c r="M6794" s="19">
        <v>5800</v>
      </c>
      <c r="N6794" s="19" t="s">
        <v>40</v>
      </c>
      <c r="O6794" s="19" t="s">
        <v>50</v>
      </c>
      <c r="P6794" s="19">
        <v>4500</v>
      </c>
      <c r="Q6794" s="19">
        <v>4459</v>
      </c>
      <c r="R6794" s="19">
        <f t="shared" si="296"/>
        <v>41</v>
      </c>
      <c r="S6794" s="19">
        <f>2275-60-50</f>
        <v>2165</v>
      </c>
      <c r="T6794" s="19" t="s">
        <v>42</v>
      </c>
      <c r="U6794" s="102" t="s">
        <v>1616</v>
      </c>
      <c r="V6794" s="186">
        <v>45891</v>
      </c>
      <c r="W6794" s="17" t="s">
        <v>58</v>
      </c>
      <c r="X6794" s="17"/>
      <c r="Y6794" s="68">
        <v>45962</v>
      </c>
      <c r="Z6794" s="17" t="s">
        <v>45</v>
      </c>
      <c r="AA6794" s="17" t="s">
        <v>46</v>
      </c>
      <c r="AB6794" s="17" t="s">
        <v>1617</v>
      </c>
      <c r="AC6794" s="217">
        <v>45967</v>
      </c>
      <c r="AD6794" s="65">
        <v>1741</v>
      </c>
      <c r="AE6794" s="17" t="s">
        <v>48</v>
      </c>
      <c r="AF6794" s="17" t="s">
        <v>61</v>
      </c>
      <c r="AG6794" s="17" t="s">
        <v>1614</v>
      </c>
      <c r="AH6794" s="17"/>
      <c r="AI6794" s="17"/>
      <c r="AJ6794" s="17"/>
      <c r="AK6794" s="17"/>
      <c r="AL6794" s="17"/>
      <c r="AM6794" s="17"/>
      <c r="AN6794" s="17"/>
      <c r="AO6794" s="17"/>
      <c r="AP6794" s="17"/>
      <c r="AQ6794" s="17"/>
      <c r="AR6794" s="17"/>
    </row>
    <row r="6795" s="25" customFormat="1" hidden="1" spans="1:44">
      <c r="A6795" s="17" t="s">
        <v>34</v>
      </c>
      <c r="B6795" s="19">
        <v>1080</v>
      </c>
      <c r="C6795" s="183">
        <v>45883</v>
      </c>
      <c r="D6795" s="17" t="s">
        <v>52</v>
      </c>
      <c r="E6795" s="17" t="s">
        <v>53</v>
      </c>
      <c r="F6795" s="17" t="s">
        <v>54</v>
      </c>
      <c r="G6795" s="17"/>
      <c r="H6795" s="19">
        <v>1.2379</v>
      </c>
      <c r="I6795" s="19"/>
      <c r="J6795" s="17" t="s">
        <v>49</v>
      </c>
      <c r="K6795" s="394">
        <v>610</v>
      </c>
      <c r="L6795" s="395">
        <v>210</v>
      </c>
      <c r="M6795" s="19">
        <v>5800</v>
      </c>
      <c r="N6795" s="19" t="s">
        <v>40</v>
      </c>
      <c r="O6795" s="19" t="s">
        <v>50</v>
      </c>
      <c r="P6795" s="19">
        <v>4000</v>
      </c>
      <c r="Q6795" s="19">
        <v>3892</v>
      </c>
      <c r="R6795" s="19">
        <f t="shared" si="296"/>
        <v>108</v>
      </c>
      <c r="S6795" s="19">
        <f>2275-60-50</f>
        <v>2165</v>
      </c>
      <c r="T6795" s="19" t="s">
        <v>42</v>
      </c>
      <c r="U6795" s="102" t="s">
        <v>1616</v>
      </c>
      <c r="V6795" s="186">
        <v>45891</v>
      </c>
      <c r="W6795" s="17" t="s">
        <v>58</v>
      </c>
      <c r="X6795" s="17"/>
      <c r="Y6795" s="68">
        <v>45962</v>
      </c>
      <c r="Z6795" s="17" t="s">
        <v>45</v>
      </c>
      <c r="AA6795" s="17" t="s">
        <v>46</v>
      </c>
      <c r="AB6795" s="17" t="s">
        <v>1617</v>
      </c>
      <c r="AC6795" s="217">
        <v>45967</v>
      </c>
      <c r="AD6795" s="65">
        <v>1741</v>
      </c>
      <c r="AE6795" s="17" t="s">
        <v>48</v>
      </c>
      <c r="AF6795" s="17" t="s">
        <v>61</v>
      </c>
      <c r="AG6795" s="17" t="s">
        <v>1614</v>
      </c>
      <c r="AH6795" s="17"/>
      <c r="AI6795" s="17"/>
      <c r="AJ6795" s="17"/>
      <c r="AK6795" s="17"/>
      <c r="AL6795" s="17"/>
      <c r="AM6795" s="17"/>
      <c r="AN6795" s="17"/>
      <c r="AO6795" s="17"/>
      <c r="AP6795" s="17"/>
      <c r="AQ6795" s="17"/>
      <c r="AR6795" s="17"/>
    </row>
    <row r="6796" s="25" customFormat="1" hidden="1" spans="1:44">
      <c r="A6796" s="17" t="s">
        <v>34</v>
      </c>
      <c r="B6796" s="19">
        <v>1080</v>
      </c>
      <c r="C6796" s="183">
        <v>45883</v>
      </c>
      <c r="D6796" s="17" t="s">
        <v>52</v>
      </c>
      <c r="E6796" s="17" t="s">
        <v>53</v>
      </c>
      <c r="F6796" s="17" t="s">
        <v>54</v>
      </c>
      <c r="G6796" s="17"/>
      <c r="H6796" s="19">
        <v>1.2379</v>
      </c>
      <c r="I6796" s="19"/>
      <c r="J6796" s="17" t="s">
        <v>49</v>
      </c>
      <c r="K6796" s="394">
        <v>810</v>
      </c>
      <c r="L6796" s="395">
        <v>210</v>
      </c>
      <c r="M6796" s="19">
        <v>5800</v>
      </c>
      <c r="N6796" s="19" t="s">
        <v>40</v>
      </c>
      <c r="O6796" s="19" t="s">
        <v>50</v>
      </c>
      <c r="P6796" s="19">
        <v>4875</v>
      </c>
      <c r="Q6796" s="19">
        <v>3935</v>
      </c>
      <c r="R6796" s="19">
        <f t="shared" si="296"/>
        <v>940</v>
      </c>
      <c r="S6796" s="19">
        <f>2275-60-50</f>
        <v>2165</v>
      </c>
      <c r="T6796" s="19" t="s">
        <v>42</v>
      </c>
      <c r="U6796" s="102" t="s">
        <v>1616</v>
      </c>
      <c r="V6796" s="186">
        <v>45891</v>
      </c>
      <c r="W6796" s="17" t="s">
        <v>58</v>
      </c>
      <c r="X6796" s="17"/>
      <c r="Y6796" s="68">
        <v>45962</v>
      </c>
      <c r="Z6796" s="17" t="s">
        <v>45</v>
      </c>
      <c r="AA6796" s="17" t="s">
        <v>46</v>
      </c>
      <c r="AB6796" s="17" t="s">
        <v>1617</v>
      </c>
      <c r="AC6796" s="217">
        <v>45967</v>
      </c>
      <c r="AD6796" s="65">
        <v>1741</v>
      </c>
      <c r="AE6796" s="17" t="s">
        <v>48</v>
      </c>
      <c r="AF6796" s="17" t="s">
        <v>61</v>
      </c>
      <c r="AG6796" s="17" t="s">
        <v>1614</v>
      </c>
      <c r="AH6796" s="17"/>
      <c r="AI6796" s="17"/>
      <c r="AJ6796" s="17"/>
      <c r="AK6796" s="17"/>
      <c r="AL6796" s="17"/>
      <c r="AM6796" s="17"/>
      <c r="AN6796" s="17"/>
      <c r="AO6796" s="17"/>
      <c r="AP6796" s="17"/>
      <c r="AQ6796" s="17"/>
      <c r="AR6796" s="17"/>
    </row>
    <row r="6797" s="25" customFormat="1" hidden="1" spans="1:44">
      <c r="A6797" s="17" t="s">
        <v>34</v>
      </c>
      <c r="B6797" s="19">
        <v>1080</v>
      </c>
      <c r="C6797" s="183">
        <v>45883</v>
      </c>
      <c r="D6797" s="17" t="s">
        <v>52</v>
      </c>
      <c r="E6797" s="17" t="s">
        <v>53</v>
      </c>
      <c r="F6797" s="17" t="s">
        <v>54</v>
      </c>
      <c r="G6797" s="17"/>
      <c r="H6797" s="19">
        <v>1.2379</v>
      </c>
      <c r="I6797" s="19"/>
      <c r="J6797" s="17" t="s">
        <v>49</v>
      </c>
      <c r="K6797" s="394">
        <v>610</v>
      </c>
      <c r="L6797" s="395">
        <v>230</v>
      </c>
      <c r="M6797" s="19">
        <v>5800</v>
      </c>
      <c r="N6797" s="19" t="s">
        <v>40</v>
      </c>
      <c r="O6797" s="19" t="s">
        <v>50</v>
      </c>
      <c r="P6797" s="19">
        <v>5265</v>
      </c>
      <c r="Q6797" s="19">
        <v>5130</v>
      </c>
      <c r="R6797" s="19">
        <f t="shared" si="296"/>
        <v>135</v>
      </c>
      <c r="S6797" s="19">
        <f>2315-50</f>
        <v>2265</v>
      </c>
      <c r="T6797" s="19" t="s">
        <v>42</v>
      </c>
      <c r="U6797" s="102" t="s">
        <v>1616</v>
      </c>
      <c r="V6797" s="186">
        <v>45891</v>
      </c>
      <c r="W6797" s="17" t="s">
        <v>58</v>
      </c>
      <c r="X6797" s="17"/>
      <c r="Y6797" s="68">
        <v>45962</v>
      </c>
      <c r="Z6797" s="17" t="s">
        <v>45</v>
      </c>
      <c r="AA6797" s="17" t="s">
        <v>46</v>
      </c>
      <c r="AB6797" s="17" t="s">
        <v>1615</v>
      </c>
      <c r="AC6797" s="217">
        <v>45937</v>
      </c>
      <c r="AD6797" s="65">
        <v>1736</v>
      </c>
      <c r="AE6797" s="17" t="s">
        <v>48</v>
      </c>
      <c r="AF6797" s="17" t="s">
        <v>61</v>
      </c>
      <c r="AG6797" s="17" t="s">
        <v>1618</v>
      </c>
      <c r="AH6797" s="17"/>
      <c r="AI6797" s="17"/>
      <c r="AJ6797" s="17"/>
      <c r="AK6797" s="17"/>
      <c r="AL6797" s="17"/>
      <c r="AM6797" s="17"/>
      <c r="AN6797" s="17"/>
      <c r="AO6797" s="17"/>
      <c r="AP6797" s="17"/>
      <c r="AQ6797" s="17"/>
      <c r="AR6797" s="17"/>
    </row>
    <row r="6798" s="25" customFormat="1" hidden="1" spans="1:44">
      <c r="A6798" s="17" t="s">
        <v>34</v>
      </c>
      <c r="B6798" s="19">
        <v>1080</v>
      </c>
      <c r="C6798" s="183">
        <v>45883</v>
      </c>
      <c r="D6798" s="17" t="s">
        <v>52</v>
      </c>
      <c r="E6798" s="17" t="s">
        <v>53</v>
      </c>
      <c r="F6798" s="17" t="s">
        <v>54</v>
      </c>
      <c r="G6798" s="17"/>
      <c r="H6798" s="19">
        <v>1.2379</v>
      </c>
      <c r="I6798" s="19"/>
      <c r="J6798" s="17" t="s">
        <v>49</v>
      </c>
      <c r="K6798" s="394">
        <v>610</v>
      </c>
      <c r="L6798" s="395">
        <v>255</v>
      </c>
      <c r="M6798" s="19">
        <v>5800</v>
      </c>
      <c r="N6798" s="19" t="s">
        <v>40</v>
      </c>
      <c r="O6798" s="19" t="s">
        <v>50</v>
      </c>
      <c r="P6798" s="19">
        <v>5265</v>
      </c>
      <c r="Q6798" s="19">
        <v>4328</v>
      </c>
      <c r="R6798" s="19">
        <f t="shared" si="296"/>
        <v>937</v>
      </c>
      <c r="S6798" s="19">
        <f>2315-50</f>
        <v>2265</v>
      </c>
      <c r="T6798" s="19" t="s">
        <v>42</v>
      </c>
      <c r="U6798" s="102" t="s">
        <v>1616</v>
      </c>
      <c r="V6798" s="186">
        <v>45891</v>
      </c>
      <c r="W6798" s="17" t="s">
        <v>58</v>
      </c>
      <c r="X6798" s="17"/>
      <c r="Y6798" s="68">
        <v>45962</v>
      </c>
      <c r="Z6798" s="17" t="s">
        <v>45</v>
      </c>
      <c r="AA6798" s="17" t="s">
        <v>46</v>
      </c>
      <c r="AB6798" s="17" t="s">
        <v>1617</v>
      </c>
      <c r="AC6798" s="217">
        <v>45967</v>
      </c>
      <c r="AD6798" s="65">
        <v>1741</v>
      </c>
      <c r="AE6798" s="17" t="s">
        <v>48</v>
      </c>
      <c r="AF6798" s="17" t="s">
        <v>61</v>
      </c>
      <c r="AG6798" s="17" t="s">
        <v>1614</v>
      </c>
      <c r="AH6798" s="17"/>
      <c r="AI6798" s="17"/>
      <c r="AJ6798" s="17"/>
      <c r="AK6798" s="17"/>
      <c r="AL6798" s="17"/>
      <c r="AM6798" s="17"/>
      <c r="AN6798" s="17"/>
      <c r="AO6798" s="17"/>
      <c r="AP6798" s="17"/>
      <c r="AQ6798" s="17"/>
      <c r="AR6798" s="17"/>
    </row>
    <row r="6799" s="25" customFormat="1" hidden="1" spans="1:44">
      <c r="A6799" s="17" t="s">
        <v>34</v>
      </c>
      <c r="B6799" s="19">
        <v>1080</v>
      </c>
      <c r="C6799" s="183">
        <v>45883</v>
      </c>
      <c r="D6799" s="17" t="s">
        <v>52</v>
      </c>
      <c r="E6799" s="17" t="s">
        <v>53</v>
      </c>
      <c r="F6799" s="17" t="s">
        <v>54</v>
      </c>
      <c r="G6799" s="17"/>
      <c r="H6799" s="19">
        <v>1.2379</v>
      </c>
      <c r="I6799" s="19"/>
      <c r="J6799" s="17" t="s">
        <v>49</v>
      </c>
      <c r="K6799" s="394">
        <v>610</v>
      </c>
      <c r="L6799" s="395">
        <v>310</v>
      </c>
      <c r="M6799" s="19">
        <v>5800</v>
      </c>
      <c r="N6799" s="19" t="s">
        <v>40</v>
      </c>
      <c r="O6799" s="19" t="s">
        <v>50</v>
      </c>
      <c r="P6799" s="19">
        <v>6669</v>
      </c>
      <c r="Q6799" s="19">
        <v>5468</v>
      </c>
      <c r="R6799" s="19">
        <f t="shared" si="296"/>
        <v>1201</v>
      </c>
      <c r="S6799" s="19">
        <f>2315-50</f>
        <v>2265</v>
      </c>
      <c r="T6799" s="19" t="s">
        <v>42</v>
      </c>
      <c r="U6799" s="102" t="s">
        <v>1616</v>
      </c>
      <c r="V6799" s="186">
        <v>45891</v>
      </c>
      <c r="W6799" s="17" t="s">
        <v>58</v>
      </c>
      <c r="X6799" s="17"/>
      <c r="Y6799" s="68">
        <v>45962</v>
      </c>
      <c r="Z6799" s="17" t="s">
        <v>45</v>
      </c>
      <c r="AA6799" s="17" t="s">
        <v>46</v>
      </c>
      <c r="AB6799" s="17" t="s">
        <v>1615</v>
      </c>
      <c r="AC6799" s="217">
        <v>45937</v>
      </c>
      <c r="AD6799" s="65">
        <v>1736</v>
      </c>
      <c r="AE6799" s="17" t="s">
        <v>48</v>
      </c>
      <c r="AF6799" s="17" t="s">
        <v>61</v>
      </c>
      <c r="AG6799" s="17" t="s">
        <v>1614</v>
      </c>
      <c r="AH6799" s="17"/>
      <c r="AI6799" s="17"/>
      <c r="AJ6799" s="17"/>
      <c r="AK6799" s="17"/>
      <c r="AL6799" s="17"/>
      <c r="AM6799" s="17"/>
      <c r="AN6799" s="17"/>
      <c r="AO6799" s="17"/>
      <c r="AP6799" s="17"/>
      <c r="AQ6799" s="17"/>
      <c r="AR6799" s="17"/>
    </row>
    <row r="6800" s="25" customFormat="1" hidden="1" spans="1:44">
      <c r="A6800" s="17" t="s">
        <v>34</v>
      </c>
      <c r="B6800" s="19">
        <v>1081</v>
      </c>
      <c r="C6800" s="183">
        <v>45889</v>
      </c>
      <c r="D6800" s="17" t="s">
        <v>52</v>
      </c>
      <c r="E6800" s="17" t="s">
        <v>53</v>
      </c>
      <c r="F6800" s="17" t="s">
        <v>54</v>
      </c>
      <c r="G6800" s="17"/>
      <c r="H6800" s="19" t="s">
        <v>55</v>
      </c>
      <c r="I6800" s="19"/>
      <c r="J6800" s="17" t="s">
        <v>49</v>
      </c>
      <c r="K6800" s="19">
        <v>610</v>
      </c>
      <c r="L6800" s="91">
        <v>42</v>
      </c>
      <c r="M6800" s="19">
        <v>5000</v>
      </c>
      <c r="N6800" s="19" t="s">
        <v>40</v>
      </c>
      <c r="O6800" s="19" t="s">
        <v>141</v>
      </c>
      <c r="P6800" s="19">
        <v>5256</v>
      </c>
      <c r="Q6800" s="19">
        <f>609+609+678+678+646+646+695+695</f>
        <v>5256</v>
      </c>
      <c r="R6800" s="19">
        <f t="shared" si="296"/>
        <v>0</v>
      </c>
      <c r="S6800" s="19">
        <f>2225</f>
        <v>2225</v>
      </c>
      <c r="T6800" s="19" t="s">
        <v>42</v>
      </c>
      <c r="U6800" s="102" t="s">
        <v>1619</v>
      </c>
      <c r="V6800" s="186">
        <v>45895</v>
      </c>
      <c r="W6800" s="17" t="s">
        <v>58</v>
      </c>
      <c r="X6800" s="17"/>
      <c r="Y6800" s="68">
        <v>45901</v>
      </c>
      <c r="Z6800" s="17" t="s">
        <v>1601</v>
      </c>
      <c r="AA6800" s="17" t="s">
        <v>46</v>
      </c>
      <c r="AB6800" s="17" t="s">
        <v>1602</v>
      </c>
      <c r="AC6800" s="217">
        <v>45897</v>
      </c>
      <c r="AD6800" s="65">
        <v>1727</v>
      </c>
      <c r="AE6800" s="17" t="s">
        <v>48</v>
      </c>
      <c r="AF6800" s="17" t="s">
        <v>61</v>
      </c>
      <c r="AG6800" s="17"/>
      <c r="AH6800" s="17"/>
      <c r="AI6800" s="17"/>
      <c r="AJ6800" s="17"/>
      <c r="AK6800" s="17"/>
      <c r="AL6800" s="17"/>
      <c r="AM6800" s="17"/>
      <c r="AN6800" s="17"/>
      <c r="AO6800" s="17"/>
      <c r="AP6800" s="17"/>
      <c r="AQ6800" s="17"/>
      <c r="AR6800" s="17"/>
    </row>
    <row r="6801" s="25" customFormat="1" hidden="1" spans="1:44">
      <c r="A6801" s="17" t="s">
        <v>34</v>
      </c>
      <c r="B6801" s="19">
        <v>1081</v>
      </c>
      <c r="C6801" s="183">
        <v>45889</v>
      </c>
      <c r="D6801" s="17" t="s">
        <v>52</v>
      </c>
      <c r="E6801" s="17" t="s">
        <v>53</v>
      </c>
      <c r="F6801" s="17" t="s">
        <v>54</v>
      </c>
      <c r="G6801" s="17"/>
      <c r="H6801" s="19" t="s">
        <v>55</v>
      </c>
      <c r="I6801" s="19"/>
      <c r="J6801" s="17" t="s">
        <v>49</v>
      </c>
      <c r="K6801" s="19">
        <v>610</v>
      </c>
      <c r="L6801" s="91">
        <v>45</v>
      </c>
      <c r="M6801" s="19">
        <v>5000</v>
      </c>
      <c r="N6801" s="19" t="s">
        <v>40</v>
      </c>
      <c r="O6801" s="19" t="s">
        <v>141</v>
      </c>
      <c r="P6801" s="19">
        <v>1088</v>
      </c>
      <c r="Q6801" s="19">
        <v>1088</v>
      </c>
      <c r="R6801" s="19">
        <f t="shared" si="296"/>
        <v>0</v>
      </c>
      <c r="S6801" s="19">
        <v>2225</v>
      </c>
      <c r="T6801" s="19" t="s">
        <v>42</v>
      </c>
      <c r="U6801" s="102" t="s">
        <v>1619</v>
      </c>
      <c r="V6801" s="186">
        <v>45895</v>
      </c>
      <c r="W6801" s="17" t="s">
        <v>58</v>
      </c>
      <c r="X6801" s="17"/>
      <c r="Y6801" s="68">
        <v>45901</v>
      </c>
      <c r="Z6801" s="17" t="s">
        <v>1601</v>
      </c>
      <c r="AA6801" s="17" t="s">
        <v>46</v>
      </c>
      <c r="AB6801" s="17" t="s">
        <v>1602</v>
      </c>
      <c r="AC6801" s="217">
        <v>45897</v>
      </c>
      <c r="AD6801" s="65">
        <v>1727</v>
      </c>
      <c r="AE6801" s="17" t="s">
        <v>48</v>
      </c>
      <c r="AF6801" s="17" t="s">
        <v>61</v>
      </c>
      <c r="AG6801" s="17"/>
      <c r="AH6801" s="17"/>
      <c r="AI6801" s="17"/>
      <c r="AJ6801" s="17"/>
      <c r="AK6801" s="17"/>
      <c r="AL6801" s="17"/>
      <c r="AM6801" s="17"/>
      <c r="AN6801" s="17"/>
      <c r="AO6801" s="17"/>
      <c r="AP6801" s="17"/>
      <c r="AQ6801" s="17"/>
      <c r="AR6801" s="17"/>
    </row>
    <row r="6802" s="25" customFormat="1" hidden="1" spans="1:44">
      <c r="A6802" s="17" t="s">
        <v>34</v>
      </c>
      <c r="B6802" s="19">
        <v>1081</v>
      </c>
      <c r="C6802" s="183">
        <v>45889</v>
      </c>
      <c r="D6802" s="17" t="s">
        <v>52</v>
      </c>
      <c r="E6802" s="17" t="s">
        <v>53</v>
      </c>
      <c r="F6802" s="17" t="s">
        <v>54</v>
      </c>
      <c r="G6802" s="17"/>
      <c r="H6802" s="19" t="s">
        <v>55</v>
      </c>
      <c r="I6802" s="19"/>
      <c r="J6802" s="17" t="s">
        <v>49</v>
      </c>
      <c r="K6802" s="19">
        <v>610</v>
      </c>
      <c r="L6802" s="91">
        <v>55</v>
      </c>
      <c r="M6802" s="19">
        <v>5000</v>
      </c>
      <c r="N6802" s="19" t="s">
        <v>40</v>
      </c>
      <c r="O6802" s="19" t="s">
        <v>141</v>
      </c>
      <c r="P6802" s="19">
        <v>2560</v>
      </c>
      <c r="Q6802" s="19">
        <f>1375+1185</f>
        <v>2560</v>
      </c>
      <c r="R6802" s="19">
        <f t="shared" si="296"/>
        <v>0</v>
      </c>
      <c r="S6802" s="19">
        <v>2225</v>
      </c>
      <c r="T6802" s="19" t="s">
        <v>42</v>
      </c>
      <c r="U6802" s="102" t="s">
        <v>1619</v>
      </c>
      <c r="V6802" s="186">
        <v>45895</v>
      </c>
      <c r="W6802" s="17" t="s">
        <v>58</v>
      </c>
      <c r="X6802" s="17"/>
      <c r="Y6802" s="68">
        <v>45901</v>
      </c>
      <c r="Z6802" s="17" t="s">
        <v>1601</v>
      </c>
      <c r="AA6802" s="17" t="s">
        <v>46</v>
      </c>
      <c r="AB6802" s="17" t="s">
        <v>1602</v>
      </c>
      <c r="AC6802" s="217">
        <v>45897</v>
      </c>
      <c r="AD6802" s="65">
        <v>1727</v>
      </c>
      <c r="AE6802" s="17" t="s">
        <v>48</v>
      </c>
      <c r="AF6802" s="17" t="s">
        <v>61</v>
      </c>
      <c r="AG6802" s="17"/>
      <c r="AH6802" s="17"/>
      <c r="AI6802" s="17"/>
      <c r="AJ6802" s="17"/>
      <c r="AK6802" s="17"/>
      <c r="AL6802" s="17"/>
      <c r="AM6802" s="17"/>
      <c r="AN6802" s="17"/>
      <c r="AO6802" s="17"/>
      <c r="AP6802" s="17"/>
      <c r="AQ6802" s="17"/>
      <c r="AR6802" s="17"/>
    </row>
    <row r="6803" s="25" customFormat="1" hidden="1" spans="1:44">
      <c r="A6803" s="17" t="s">
        <v>34</v>
      </c>
      <c r="B6803" s="19">
        <v>1081</v>
      </c>
      <c r="C6803" s="183">
        <v>45889</v>
      </c>
      <c r="D6803" s="17" t="s">
        <v>52</v>
      </c>
      <c r="E6803" s="17" t="s">
        <v>53</v>
      </c>
      <c r="F6803" s="17" t="s">
        <v>54</v>
      </c>
      <c r="G6803" s="17"/>
      <c r="H6803" s="19" t="s">
        <v>55</v>
      </c>
      <c r="I6803" s="19"/>
      <c r="J6803" s="17" t="s">
        <v>49</v>
      </c>
      <c r="K6803" s="19">
        <v>610</v>
      </c>
      <c r="L6803" s="91">
        <v>60</v>
      </c>
      <c r="M6803" s="19">
        <v>5000</v>
      </c>
      <c r="N6803" s="19" t="s">
        <v>40</v>
      </c>
      <c r="O6803" s="19" t="s">
        <v>141</v>
      </c>
      <c r="P6803" s="19">
        <v>2526</v>
      </c>
      <c r="Q6803" s="19">
        <f>1360+1166</f>
        <v>2526</v>
      </c>
      <c r="R6803" s="19">
        <f t="shared" si="296"/>
        <v>0</v>
      </c>
      <c r="S6803" s="19">
        <v>2225</v>
      </c>
      <c r="T6803" s="19" t="s">
        <v>42</v>
      </c>
      <c r="U6803" s="102" t="s">
        <v>1619</v>
      </c>
      <c r="V6803" s="186">
        <v>45895</v>
      </c>
      <c r="W6803" s="17" t="s">
        <v>58</v>
      </c>
      <c r="X6803" s="17"/>
      <c r="Y6803" s="68">
        <v>45901</v>
      </c>
      <c r="Z6803" s="17" t="s">
        <v>1601</v>
      </c>
      <c r="AA6803" s="17" t="s">
        <v>46</v>
      </c>
      <c r="AB6803" s="17" t="s">
        <v>1602</v>
      </c>
      <c r="AC6803" s="217">
        <v>45897</v>
      </c>
      <c r="AD6803" s="65">
        <v>1727</v>
      </c>
      <c r="AE6803" s="17" t="s">
        <v>48</v>
      </c>
      <c r="AF6803" s="17" t="s">
        <v>61</v>
      </c>
      <c r="AG6803" s="17"/>
      <c r="AH6803" s="17"/>
      <c r="AI6803" s="17"/>
      <c r="AJ6803" s="17"/>
      <c r="AK6803" s="17"/>
      <c r="AL6803" s="17"/>
      <c r="AM6803" s="17"/>
      <c r="AN6803" s="17"/>
      <c r="AO6803" s="17"/>
      <c r="AP6803" s="17"/>
      <c r="AQ6803" s="17"/>
      <c r="AR6803" s="17"/>
    </row>
    <row r="6804" s="25" customFormat="1" hidden="1" spans="1:44">
      <c r="A6804" s="17" t="s">
        <v>34</v>
      </c>
      <c r="B6804" s="19">
        <v>1081</v>
      </c>
      <c r="C6804" s="183">
        <v>45889</v>
      </c>
      <c r="D6804" s="17" t="s">
        <v>52</v>
      </c>
      <c r="E6804" s="17" t="s">
        <v>53</v>
      </c>
      <c r="F6804" s="17" t="s">
        <v>54</v>
      </c>
      <c r="G6804" s="17"/>
      <c r="H6804" s="19" t="s">
        <v>55</v>
      </c>
      <c r="I6804" s="19"/>
      <c r="J6804" s="17" t="s">
        <v>49</v>
      </c>
      <c r="K6804" s="19">
        <v>610</v>
      </c>
      <c r="L6804" s="91">
        <v>65</v>
      </c>
      <c r="M6804" s="19">
        <v>5000</v>
      </c>
      <c r="N6804" s="19" t="s">
        <v>40</v>
      </c>
      <c r="O6804" s="19" t="s">
        <v>141</v>
      </c>
      <c r="P6804" s="19">
        <v>1312</v>
      </c>
      <c r="Q6804" s="19">
        <v>1312</v>
      </c>
      <c r="R6804" s="19">
        <f t="shared" si="296"/>
        <v>0</v>
      </c>
      <c r="S6804" s="19">
        <v>2225</v>
      </c>
      <c r="T6804" s="19" t="s">
        <v>42</v>
      </c>
      <c r="U6804" s="102" t="s">
        <v>1619</v>
      </c>
      <c r="V6804" s="186">
        <v>45895</v>
      </c>
      <c r="W6804" s="17" t="s">
        <v>58</v>
      </c>
      <c r="X6804" s="17"/>
      <c r="Y6804" s="68">
        <v>45901</v>
      </c>
      <c r="Z6804" s="17" t="s">
        <v>1601</v>
      </c>
      <c r="AA6804" s="17" t="s">
        <v>46</v>
      </c>
      <c r="AB6804" s="17" t="s">
        <v>1602</v>
      </c>
      <c r="AC6804" s="217">
        <v>45897</v>
      </c>
      <c r="AD6804" s="65">
        <v>1727</v>
      </c>
      <c r="AE6804" s="17" t="s">
        <v>48</v>
      </c>
      <c r="AF6804" s="17" t="s">
        <v>61</v>
      </c>
      <c r="AG6804" s="17"/>
      <c r="AH6804" s="17"/>
      <c r="AI6804" s="17"/>
      <c r="AJ6804" s="17"/>
      <c r="AK6804" s="17"/>
      <c r="AL6804" s="17"/>
      <c r="AM6804" s="17"/>
      <c r="AN6804" s="17"/>
      <c r="AO6804" s="17"/>
      <c r="AP6804" s="17"/>
      <c r="AQ6804" s="17"/>
      <c r="AR6804" s="17"/>
    </row>
    <row r="6805" s="25" customFormat="1" hidden="1" spans="1:44">
      <c r="A6805" s="17" t="s">
        <v>34</v>
      </c>
      <c r="B6805" s="19">
        <v>1081</v>
      </c>
      <c r="C6805" s="183">
        <v>45889</v>
      </c>
      <c r="D6805" s="17" t="s">
        <v>52</v>
      </c>
      <c r="E6805" s="17" t="s">
        <v>53</v>
      </c>
      <c r="F6805" s="17" t="s">
        <v>54</v>
      </c>
      <c r="G6805" s="17"/>
      <c r="H6805" s="19" t="s">
        <v>55</v>
      </c>
      <c r="I6805" s="19"/>
      <c r="J6805" s="17" t="s">
        <v>49</v>
      </c>
      <c r="K6805" s="19">
        <v>610</v>
      </c>
      <c r="L6805" s="91">
        <v>70</v>
      </c>
      <c r="M6805" s="19">
        <v>5000</v>
      </c>
      <c r="N6805" s="19" t="s">
        <v>40</v>
      </c>
      <c r="O6805" s="19" t="s">
        <v>141</v>
      </c>
      <c r="P6805" s="19">
        <v>1320</v>
      </c>
      <c r="Q6805" s="19">
        <v>1320</v>
      </c>
      <c r="R6805" s="19">
        <f t="shared" si="296"/>
        <v>0</v>
      </c>
      <c r="S6805" s="19">
        <v>2225</v>
      </c>
      <c r="T6805" s="19" t="s">
        <v>42</v>
      </c>
      <c r="U6805" s="102" t="s">
        <v>1619</v>
      </c>
      <c r="V6805" s="186">
        <v>45895</v>
      </c>
      <c r="W6805" s="17" t="s">
        <v>58</v>
      </c>
      <c r="X6805" s="17"/>
      <c r="Y6805" s="68">
        <v>45901</v>
      </c>
      <c r="Z6805" s="17" t="s">
        <v>1601</v>
      </c>
      <c r="AA6805" s="17" t="s">
        <v>46</v>
      </c>
      <c r="AB6805" s="17" t="s">
        <v>1602</v>
      </c>
      <c r="AC6805" s="217">
        <v>45897</v>
      </c>
      <c r="AD6805" s="65">
        <v>1727</v>
      </c>
      <c r="AE6805" s="17" t="s">
        <v>48</v>
      </c>
      <c r="AF6805" s="17" t="s">
        <v>61</v>
      </c>
      <c r="AG6805" s="17"/>
      <c r="AH6805" s="17"/>
      <c r="AI6805" s="17"/>
      <c r="AJ6805" s="17"/>
      <c r="AK6805" s="17"/>
      <c r="AL6805" s="17"/>
      <c r="AM6805" s="17"/>
      <c r="AN6805" s="17"/>
      <c r="AO6805" s="17"/>
      <c r="AP6805" s="17"/>
      <c r="AQ6805" s="17"/>
      <c r="AR6805" s="17"/>
    </row>
    <row r="6806" s="25" customFormat="1" hidden="1" spans="1:44">
      <c r="A6806" s="17" t="s">
        <v>34</v>
      </c>
      <c r="B6806" s="19">
        <v>1087</v>
      </c>
      <c r="C6806" s="183">
        <v>45918</v>
      </c>
      <c r="D6806" s="17" t="s">
        <v>52</v>
      </c>
      <c r="E6806" s="17" t="s">
        <v>53</v>
      </c>
      <c r="F6806" s="17" t="s">
        <v>54</v>
      </c>
      <c r="G6806" s="17"/>
      <c r="H6806" s="19" t="s">
        <v>106</v>
      </c>
      <c r="I6806" s="19"/>
      <c r="J6806" s="17" t="s">
        <v>82</v>
      </c>
      <c r="K6806" s="394">
        <v>560</v>
      </c>
      <c r="L6806" s="394">
        <v>37</v>
      </c>
      <c r="M6806" s="19">
        <v>5800</v>
      </c>
      <c r="N6806" s="19" t="s">
        <v>66</v>
      </c>
      <c r="O6806" s="19" t="s">
        <v>67</v>
      </c>
      <c r="P6806" s="19">
        <v>651</v>
      </c>
      <c r="Q6806" s="19">
        <v>713</v>
      </c>
      <c r="R6806" s="19">
        <f t="shared" si="296"/>
        <v>-62</v>
      </c>
      <c r="S6806" s="19">
        <f t="shared" ref="S6806:S6815" si="297">1595-50</f>
        <v>1545</v>
      </c>
      <c r="T6806" s="19" t="s">
        <v>42</v>
      </c>
      <c r="U6806" s="102" t="s">
        <v>1620</v>
      </c>
      <c r="V6806" s="186">
        <v>45919</v>
      </c>
      <c r="W6806" s="17" t="s">
        <v>58</v>
      </c>
      <c r="X6806" s="17"/>
      <c r="Y6806" s="68">
        <v>45931</v>
      </c>
      <c r="Z6806" s="17" t="s">
        <v>1621</v>
      </c>
      <c r="AA6806" s="17" t="s">
        <v>46</v>
      </c>
      <c r="AB6806" s="17" t="s">
        <v>1622</v>
      </c>
      <c r="AC6806" s="217">
        <v>45926</v>
      </c>
      <c r="AD6806" s="65">
        <v>1734</v>
      </c>
      <c r="AE6806" s="17" t="s">
        <v>48</v>
      </c>
      <c r="AF6806" s="17" t="s">
        <v>61</v>
      </c>
      <c r="AG6806" s="17" t="s">
        <v>1614</v>
      </c>
      <c r="AH6806" s="17"/>
      <c r="AI6806" s="17"/>
      <c r="AJ6806" s="17"/>
      <c r="AK6806" s="17"/>
      <c r="AL6806" s="17"/>
      <c r="AM6806" s="17"/>
      <c r="AN6806" s="17"/>
      <c r="AO6806" s="17"/>
      <c r="AP6806" s="17"/>
      <c r="AQ6806" s="17"/>
      <c r="AR6806" s="17"/>
    </row>
    <row r="6807" s="25" customFormat="1" hidden="1" spans="1:44">
      <c r="A6807" s="17" t="s">
        <v>34</v>
      </c>
      <c r="B6807" s="19">
        <v>1087</v>
      </c>
      <c r="C6807" s="183">
        <v>45918</v>
      </c>
      <c r="D6807" s="17" t="s">
        <v>52</v>
      </c>
      <c r="E6807" s="17" t="s">
        <v>53</v>
      </c>
      <c r="F6807" s="17" t="s">
        <v>54</v>
      </c>
      <c r="G6807" s="17"/>
      <c r="H6807" s="19" t="s">
        <v>106</v>
      </c>
      <c r="I6807" s="19"/>
      <c r="J6807" s="17" t="s">
        <v>82</v>
      </c>
      <c r="K6807" s="394">
        <v>610</v>
      </c>
      <c r="L6807" s="394">
        <v>47</v>
      </c>
      <c r="M6807" s="19">
        <v>5800</v>
      </c>
      <c r="N6807" s="19" t="s">
        <v>66</v>
      </c>
      <c r="O6807" s="19" t="s">
        <v>67</v>
      </c>
      <c r="P6807" s="19">
        <v>900</v>
      </c>
      <c r="Q6807" s="19">
        <v>917</v>
      </c>
      <c r="R6807" s="19">
        <f t="shared" si="296"/>
        <v>-17</v>
      </c>
      <c r="S6807" s="19">
        <f t="shared" si="297"/>
        <v>1545</v>
      </c>
      <c r="T6807" s="19" t="s">
        <v>42</v>
      </c>
      <c r="U6807" s="102" t="s">
        <v>1620</v>
      </c>
      <c r="V6807" s="186">
        <v>45919</v>
      </c>
      <c r="W6807" s="17" t="s">
        <v>58</v>
      </c>
      <c r="X6807" s="17"/>
      <c r="Y6807" s="68">
        <v>45931</v>
      </c>
      <c r="Z6807" s="17" t="s">
        <v>1621</v>
      </c>
      <c r="AA6807" s="17" t="s">
        <v>46</v>
      </c>
      <c r="AB6807" s="17" t="s">
        <v>1622</v>
      </c>
      <c r="AC6807" s="217">
        <v>45926</v>
      </c>
      <c r="AD6807" s="65">
        <v>1734</v>
      </c>
      <c r="AE6807" s="17" t="s">
        <v>48</v>
      </c>
      <c r="AF6807" s="17" t="s">
        <v>61</v>
      </c>
      <c r="AG6807" s="17" t="s">
        <v>1614</v>
      </c>
      <c r="AH6807" s="17"/>
      <c r="AI6807" s="17"/>
      <c r="AJ6807" s="17"/>
      <c r="AK6807" s="17"/>
      <c r="AL6807" s="17"/>
      <c r="AM6807" s="17"/>
      <c r="AN6807" s="17"/>
      <c r="AO6807" s="17"/>
      <c r="AP6807" s="17"/>
      <c r="AQ6807" s="17"/>
      <c r="AR6807" s="17"/>
    </row>
    <row r="6808" s="25" customFormat="1" hidden="1" spans="1:44">
      <c r="A6808" s="17" t="s">
        <v>34</v>
      </c>
      <c r="B6808" s="19">
        <v>1087</v>
      </c>
      <c r="C6808" s="183">
        <v>45918</v>
      </c>
      <c r="D6808" s="17" t="s">
        <v>52</v>
      </c>
      <c r="E6808" s="17" t="s">
        <v>53</v>
      </c>
      <c r="F6808" s="17" t="s">
        <v>54</v>
      </c>
      <c r="G6808" s="17"/>
      <c r="H6808" s="19" t="s">
        <v>106</v>
      </c>
      <c r="I6808" s="19"/>
      <c r="J6808" s="17" t="s">
        <v>82</v>
      </c>
      <c r="K6808" s="394">
        <v>510</v>
      </c>
      <c r="L6808" s="394">
        <v>52</v>
      </c>
      <c r="M6808" s="19">
        <v>5800</v>
      </c>
      <c r="N6808" s="19" t="s">
        <v>66</v>
      </c>
      <c r="O6808" s="19" t="s">
        <v>67</v>
      </c>
      <c r="P6808" s="19">
        <v>833</v>
      </c>
      <c r="Q6808" s="19">
        <v>770</v>
      </c>
      <c r="R6808" s="19">
        <f t="shared" si="296"/>
        <v>63</v>
      </c>
      <c r="S6808" s="19">
        <f t="shared" si="297"/>
        <v>1545</v>
      </c>
      <c r="T6808" s="19" t="s">
        <v>42</v>
      </c>
      <c r="U6808" s="102" t="s">
        <v>1620</v>
      </c>
      <c r="V6808" s="186">
        <v>45919</v>
      </c>
      <c r="W6808" s="17" t="s">
        <v>58</v>
      </c>
      <c r="X6808" s="17"/>
      <c r="Y6808" s="68">
        <v>45931</v>
      </c>
      <c r="Z6808" s="17" t="s">
        <v>1621</v>
      </c>
      <c r="AA6808" s="17" t="s">
        <v>46</v>
      </c>
      <c r="AB6808" s="17" t="s">
        <v>1622</v>
      </c>
      <c r="AC6808" s="217">
        <v>45926</v>
      </c>
      <c r="AD6808" s="65">
        <v>1734</v>
      </c>
      <c r="AE6808" s="17" t="s">
        <v>48</v>
      </c>
      <c r="AF6808" s="17" t="s">
        <v>61</v>
      </c>
      <c r="AG6808" s="17" t="s">
        <v>1614</v>
      </c>
      <c r="AH6808" s="17"/>
      <c r="AI6808" s="17"/>
      <c r="AJ6808" s="17"/>
      <c r="AK6808" s="17"/>
      <c r="AL6808" s="17"/>
      <c r="AM6808" s="17"/>
      <c r="AN6808" s="17"/>
      <c r="AO6808" s="17"/>
      <c r="AP6808" s="17"/>
      <c r="AQ6808" s="17"/>
      <c r="AR6808" s="17"/>
    </row>
    <row r="6809" s="25" customFormat="1" hidden="1" spans="1:44">
      <c r="A6809" s="17" t="s">
        <v>34</v>
      </c>
      <c r="B6809" s="19">
        <v>1087</v>
      </c>
      <c r="C6809" s="183">
        <v>45918</v>
      </c>
      <c r="D6809" s="17" t="s">
        <v>52</v>
      </c>
      <c r="E6809" s="17" t="s">
        <v>53</v>
      </c>
      <c r="F6809" s="17" t="s">
        <v>54</v>
      </c>
      <c r="G6809" s="17"/>
      <c r="H6809" s="19" t="s">
        <v>106</v>
      </c>
      <c r="I6809" s="19"/>
      <c r="J6809" s="17" t="s">
        <v>82</v>
      </c>
      <c r="K6809" s="394">
        <v>610</v>
      </c>
      <c r="L6809" s="394">
        <v>57</v>
      </c>
      <c r="M6809" s="19">
        <v>5800</v>
      </c>
      <c r="N6809" s="19" t="s">
        <v>66</v>
      </c>
      <c r="O6809" s="19" t="s">
        <v>67</v>
      </c>
      <c r="P6809" s="19">
        <v>1092</v>
      </c>
      <c r="Q6809" s="19">
        <v>986</v>
      </c>
      <c r="R6809" s="19">
        <f t="shared" si="296"/>
        <v>106</v>
      </c>
      <c r="S6809" s="19">
        <f t="shared" si="297"/>
        <v>1545</v>
      </c>
      <c r="T6809" s="19" t="s">
        <v>42</v>
      </c>
      <c r="U6809" s="102" t="s">
        <v>1620</v>
      </c>
      <c r="V6809" s="186">
        <v>45919</v>
      </c>
      <c r="W6809" s="17" t="s">
        <v>58</v>
      </c>
      <c r="X6809" s="17"/>
      <c r="Y6809" s="68">
        <v>45931</v>
      </c>
      <c r="Z6809" s="17" t="s">
        <v>1621</v>
      </c>
      <c r="AA6809" s="17" t="s">
        <v>46</v>
      </c>
      <c r="AB6809" s="17" t="s">
        <v>1622</v>
      </c>
      <c r="AC6809" s="217">
        <v>45926</v>
      </c>
      <c r="AD6809" s="65">
        <v>1734</v>
      </c>
      <c r="AE6809" s="17" t="s">
        <v>48</v>
      </c>
      <c r="AF6809" s="17" t="s">
        <v>61</v>
      </c>
      <c r="AG6809" s="17" t="s">
        <v>1614</v>
      </c>
      <c r="AH6809" s="17"/>
      <c r="AI6809" s="17"/>
      <c r="AJ6809" s="17"/>
      <c r="AK6809" s="17"/>
      <c r="AL6809" s="17"/>
      <c r="AM6809" s="17"/>
      <c r="AN6809" s="17"/>
      <c r="AO6809" s="17"/>
      <c r="AP6809" s="17"/>
      <c r="AQ6809" s="17"/>
      <c r="AR6809" s="17"/>
    </row>
    <row r="6810" s="25" customFormat="1" hidden="1" spans="1:44">
      <c r="A6810" s="17" t="s">
        <v>34</v>
      </c>
      <c r="B6810" s="19">
        <v>1087</v>
      </c>
      <c r="C6810" s="183">
        <v>45918</v>
      </c>
      <c r="D6810" s="17" t="s">
        <v>52</v>
      </c>
      <c r="E6810" s="17" t="s">
        <v>53</v>
      </c>
      <c r="F6810" s="17" t="s">
        <v>54</v>
      </c>
      <c r="G6810" s="17"/>
      <c r="H6810" s="19" t="s">
        <v>106</v>
      </c>
      <c r="I6810" s="19"/>
      <c r="J6810" s="17" t="s">
        <v>82</v>
      </c>
      <c r="K6810" s="394">
        <v>610</v>
      </c>
      <c r="L6810" s="394">
        <v>62</v>
      </c>
      <c r="M6810" s="19">
        <v>5800</v>
      </c>
      <c r="N6810" s="19" t="s">
        <v>66</v>
      </c>
      <c r="O6810" s="19" t="s">
        <v>67</v>
      </c>
      <c r="P6810" s="19">
        <v>1188</v>
      </c>
      <c r="Q6810" s="19">
        <v>853</v>
      </c>
      <c r="R6810" s="19">
        <f t="shared" si="296"/>
        <v>335</v>
      </c>
      <c r="S6810" s="19">
        <f t="shared" si="297"/>
        <v>1545</v>
      </c>
      <c r="T6810" s="19" t="s">
        <v>42</v>
      </c>
      <c r="U6810" s="102" t="s">
        <v>1620</v>
      </c>
      <c r="V6810" s="186">
        <v>45919</v>
      </c>
      <c r="W6810" s="17" t="s">
        <v>58</v>
      </c>
      <c r="X6810" s="17"/>
      <c r="Y6810" s="68">
        <v>45931</v>
      </c>
      <c r="Z6810" s="17" t="s">
        <v>1621</v>
      </c>
      <c r="AA6810" s="17" t="s">
        <v>46</v>
      </c>
      <c r="AB6810" s="17" t="s">
        <v>1622</v>
      </c>
      <c r="AC6810" s="217">
        <v>45926</v>
      </c>
      <c r="AD6810" s="65">
        <v>1734</v>
      </c>
      <c r="AE6810" s="17" t="s">
        <v>48</v>
      </c>
      <c r="AF6810" s="17" t="s">
        <v>61</v>
      </c>
      <c r="AG6810" s="17" t="s">
        <v>1614</v>
      </c>
      <c r="AH6810" s="17"/>
      <c r="AI6810" s="17"/>
      <c r="AJ6810" s="17"/>
      <c r="AK6810" s="17"/>
      <c r="AL6810" s="17"/>
      <c r="AM6810" s="17"/>
      <c r="AN6810" s="17"/>
      <c r="AO6810" s="17"/>
      <c r="AP6810" s="17"/>
      <c r="AQ6810" s="17"/>
      <c r="AR6810" s="17"/>
    </row>
    <row r="6811" s="25" customFormat="1" hidden="1" spans="1:44">
      <c r="A6811" s="17" t="s">
        <v>34</v>
      </c>
      <c r="B6811" s="19">
        <v>1087</v>
      </c>
      <c r="C6811" s="183">
        <v>45918</v>
      </c>
      <c r="D6811" s="17" t="s">
        <v>52</v>
      </c>
      <c r="E6811" s="17" t="s">
        <v>53</v>
      </c>
      <c r="F6811" s="17" t="s">
        <v>54</v>
      </c>
      <c r="G6811" s="17"/>
      <c r="H6811" s="19" t="s">
        <v>106</v>
      </c>
      <c r="I6811" s="19"/>
      <c r="J6811" s="17" t="s">
        <v>82</v>
      </c>
      <c r="K6811" s="394">
        <v>610</v>
      </c>
      <c r="L6811" s="394">
        <v>72</v>
      </c>
      <c r="M6811" s="19">
        <v>5800</v>
      </c>
      <c r="N6811" s="19" t="s">
        <v>66</v>
      </c>
      <c r="O6811" s="19" t="s">
        <v>67</v>
      </c>
      <c r="P6811" s="19">
        <v>1379</v>
      </c>
      <c r="Q6811" s="19">
        <v>1417</v>
      </c>
      <c r="R6811" s="19">
        <f t="shared" si="296"/>
        <v>-38</v>
      </c>
      <c r="S6811" s="19">
        <f t="shared" si="297"/>
        <v>1545</v>
      </c>
      <c r="T6811" s="19" t="s">
        <v>42</v>
      </c>
      <c r="U6811" s="102" t="s">
        <v>1620</v>
      </c>
      <c r="V6811" s="186">
        <v>45919</v>
      </c>
      <c r="W6811" s="17" t="s">
        <v>58</v>
      </c>
      <c r="X6811" s="17"/>
      <c r="Y6811" s="68">
        <v>45931</v>
      </c>
      <c r="Z6811" s="17" t="s">
        <v>1621</v>
      </c>
      <c r="AA6811" s="17" t="s">
        <v>46</v>
      </c>
      <c r="AB6811" s="17" t="s">
        <v>1622</v>
      </c>
      <c r="AC6811" s="217">
        <v>45926</v>
      </c>
      <c r="AD6811" s="65">
        <v>1734</v>
      </c>
      <c r="AE6811" s="17" t="s">
        <v>48</v>
      </c>
      <c r="AF6811" s="17" t="s">
        <v>61</v>
      </c>
      <c r="AG6811" s="17" t="s">
        <v>1614</v>
      </c>
      <c r="AH6811" s="17"/>
      <c r="AI6811" s="17"/>
      <c r="AJ6811" s="17"/>
      <c r="AK6811" s="17"/>
      <c r="AL6811" s="17"/>
      <c r="AM6811" s="17"/>
      <c r="AN6811" s="17"/>
      <c r="AO6811" s="17"/>
      <c r="AP6811" s="17"/>
      <c r="AQ6811" s="17"/>
      <c r="AR6811" s="17"/>
    </row>
    <row r="6812" s="25" customFormat="1" hidden="1" spans="1:44">
      <c r="A6812" s="17" t="s">
        <v>34</v>
      </c>
      <c r="B6812" s="19">
        <v>1087</v>
      </c>
      <c r="C6812" s="183">
        <v>45918</v>
      </c>
      <c r="D6812" s="17" t="s">
        <v>52</v>
      </c>
      <c r="E6812" s="17" t="s">
        <v>53</v>
      </c>
      <c r="F6812" s="17" t="s">
        <v>54</v>
      </c>
      <c r="G6812" s="17"/>
      <c r="H6812" s="19" t="s">
        <v>106</v>
      </c>
      <c r="I6812" s="19"/>
      <c r="J6812" s="17" t="s">
        <v>82</v>
      </c>
      <c r="K6812" s="394">
        <v>560</v>
      </c>
      <c r="L6812" s="394">
        <v>82</v>
      </c>
      <c r="M6812" s="19">
        <v>5800</v>
      </c>
      <c r="N6812" s="19" t="s">
        <v>66</v>
      </c>
      <c r="O6812" s="19" t="s">
        <v>67</v>
      </c>
      <c r="P6812" s="19">
        <v>1442</v>
      </c>
      <c r="Q6812" s="19">
        <v>1170</v>
      </c>
      <c r="R6812" s="19">
        <f t="shared" si="296"/>
        <v>272</v>
      </c>
      <c r="S6812" s="19">
        <f t="shared" si="297"/>
        <v>1545</v>
      </c>
      <c r="T6812" s="19" t="s">
        <v>42</v>
      </c>
      <c r="U6812" s="102" t="s">
        <v>1620</v>
      </c>
      <c r="V6812" s="186">
        <v>45919</v>
      </c>
      <c r="W6812" s="17" t="s">
        <v>58</v>
      </c>
      <c r="X6812" s="17"/>
      <c r="Y6812" s="68">
        <v>45931</v>
      </c>
      <c r="Z6812" s="17" t="s">
        <v>1621</v>
      </c>
      <c r="AA6812" s="17" t="s">
        <v>46</v>
      </c>
      <c r="AB6812" s="17" t="s">
        <v>1622</v>
      </c>
      <c r="AC6812" s="217">
        <v>45926</v>
      </c>
      <c r="AD6812" s="65">
        <v>1734</v>
      </c>
      <c r="AE6812" s="17" t="s">
        <v>48</v>
      </c>
      <c r="AF6812" s="17" t="s">
        <v>61</v>
      </c>
      <c r="AG6812" s="17" t="s">
        <v>1614</v>
      </c>
      <c r="AH6812" s="17"/>
      <c r="AI6812" s="17"/>
      <c r="AJ6812" s="17"/>
      <c r="AK6812" s="17"/>
      <c r="AL6812" s="17"/>
      <c r="AM6812" s="17"/>
      <c r="AN6812" s="17"/>
      <c r="AO6812" s="17"/>
      <c r="AP6812" s="17"/>
      <c r="AQ6812" s="17"/>
      <c r="AR6812" s="17"/>
    </row>
    <row r="6813" s="25" customFormat="1" hidden="1" spans="1:44">
      <c r="A6813" s="17" t="s">
        <v>34</v>
      </c>
      <c r="B6813" s="19">
        <v>1087</v>
      </c>
      <c r="C6813" s="183">
        <v>45918</v>
      </c>
      <c r="D6813" s="17" t="s">
        <v>52</v>
      </c>
      <c r="E6813" s="17" t="s">
        <v>53</v>
      </c>
      <c r="F6813" s="17" t="s">
        <v>54</v>
      </c>
      <c r="G6813" s="17"/>
      <c r="H6813" s="19" t="s">
        <v>106</v>
      </c>
      <c r="I6813" s="19"/>
      <c r="J6813" s="17" t="s">
        <v>82</v>
      </c>
      <c r="K6813" s="394">
        <v>610</v>
      </c>
      <c r="L6813" s="394">
        <v>82</v>
      </c>
      <c r="M6813" s="19">
        <v>5800</v>
      </c>
      <c r="N6813" s="19" t="s">
        <v>66</v>
      </c>
      <c r="O6813" s="19" t="s">
        <v>67</v>
      </c>
      <c r="P6813" s="19">
        <v>1571</v>
      </c>
      <c r="Q6813" s="19">
        <v>1282</v>
      </c>
      <c r="R6813" s="19">
        <f t="shared" si="296"/>
        <v>289</v>
      </c>
      <c r="S6813" s="19">
        <f t="shared" si="297"/>
        <v>1545</v>
      </c>
      <c r="T6813" s="19" t="s">
        <v>42</v>
      </c>
      <c r="U6813" s="102" t="s">
        <v>1620</v>
      </c>
      <c r="V6813" s="186">
        <v>45919</v>
      </c>
      <c r="W6813" s="17" t="s">
        <v>58</v>
      </c>
      <c r="X6813" s="17"/>
      <c r="Y6813" s="68">
        <v>45931</v>
      </c>
      <c r="Z6813" s="17" t="s">
        <v>1621</v>
      </c>
      <c r="AA6813" s="17" t="s">
        <v>46</v>
      </c>
      <c r="AB6813" s="17" t="s">
        <v>1622</v>
      </c>
      <c r="AC6813" s="217">
        <v>45926</v>
      </c>
      <c r="AD6813" s="65">
        <v>1734</v>
      </c>
      <c r="AE6813" s="17" t="s">
        <v>48</v>
      </c>
      <c r="AF6813" s="17" t="s">
        <v>61</v>
      </c>
      <c r="AG6813" s="17" t="s">
        <v>1614</v>
      </c>
      <c r="AH6813" s="17"/>
      <c r="AI6813" s="17"/>
      <c r="AJ6813" s="17"/>
      <c r="AK6813" s="17"/>
      <c r="AL6813" s="17"/>
      <c r="AM6813" s="17"/>
      <c r="AN6813" s="17"/>
      <c r="AO6813" s="17"/>
      <c r="AP6813" s="17"/>
      <c r="AQ6813" s="17"/>
      <c r="AR6813" s="17"/>
    </row>
    <row r="6814" s="25" customFormat="1" hidden="1" spans="1:44">
      <c r="A6814" s="17" t="s">
        <v>34</v>
      </c>
      <c r="B6814" s="19">
        <v>1087</v>
      </c>
      <c r="C6814" s="183">
        <v>45918</v>
      </c>
      <c r="D6814" s="17" t="s">
        <v>52</v>
      </c>
      <c r="E6814" s="17" t="s">
        <v>53</v>
      </c>
      <c r="F6814" s="17" t="s">
        <v>54</v>
      </c>
      <c r="G6814" s="17"/>
      <c r="H6814" s="19" t="s">
        <v>106</v>
      </c>
      <c r="I6814" s="19"/>
      <c r="J6814" s="17" t="s">
        <v>82</v>
      </c>
      <c r="K6814" s="394">
        <v>610</v>
      </c>
      <c r="L6814" s="394">
        <v>87</v>
      </c>
      <c r="M6814" s="19">
        <v>5800</v>
      </c>
      <c r="N6814" s="19" t="s">
        <v>66</v>
      </c>
      <c r="O6814" s="19" t="s">
        <v>67</v>
      </c>
      <c r="P6814" s="19">
        <v>1666</v>
      </c>
      <c r="Q6814" s="19">
        <v>1630</v>
      </c>
      <c r="R6814" s="19">
        <f t="shared" si="296"/>
        <v>36</v>
      </c>
      <c r="S6814" s="19">
        <f t="shared" si="297"/>
        <v>1545</v>
      </c>
      <c r="T6814" s="19" t="s">
        <v>42</v>
      </c>
      <c r="U6814" s="102" t="s">
        <v>1620</v>
      </c>
      <c r="V6814" s="186">
        <v>45919</v>
      </c>
      <c r="W6814" s="17" t="s">
        <v>58</v>
      </c>
      <c r="X6814" s="17"/>
      <c r="Y6814" s="68">
        <v>45931</v>
      </c>
      <c r="Z6814" s="17" t="s">
        <v>1621</v>
      </c>
      <c r="AA6814" s="17" t="s">
        <v>46</v>
      </c>
      <c r="AB6814" s="17" t="s">
        <v>1622</v>
      </c>
      <c r="AC6814" s="217">
        <v>45926</v>
      </c>
      <c r="AD6814" s="65">
        <v>1734</v>
      </c>
      <c r="AE6814" s="17" t="s">
        <v>48</v>
      </c>
      <c r="AF6814" s="17" t="s">
        <v>61</v>
      </c>
      <c r="AG6814" s="17" t="s">
        <v>1614</v>
      </c>
      <c r="AH6814" s="17"/>
      <c r="AI6814" s="17"/>
      <c r="AJ6814" s="17"/>
      <c r="AK6814" s="17"/>
      <c r="AL6814" s="17"/>
      <c r="AM6814" s="17"/>
      <c r="AN6814" s="17"/>
      <c r="AO6814" s="17"/>
      <c r="AP6814" s="17"/>
      <c r="AQ6814" s="17"/>
      <c r="AR6814" s="17"/>
    </row>
    <row r="6815" s="25" customFormat="1" hidden="1" spans="1:44">
      <c r="A6815" s="17" t="s">
        <v>34</v>
      </c>
      <c r="B6815" s="19">
        <v>1087</v>
      </c>
      <c r="C6815" s="183">
        <v>45918</v>
      </c>
      <c r="D6815" s="17" t="s">
        <v>52</v>
      </c>
      <c r="E6815" s="17" t="s">
        <v>53</v>
      </c>
      <c r="F6815" s="17" t="s">
        <v>54</v>
      </c>
      <c r="G6815" s="17"/>
      <c r="H6815" s="19" t="s">
        <v>106</v>
      </c>
      <c r="I6815" s="19"/>
      <c r="J6815" s="17" t="s">
        <v>82</v>
      </c>
      <c r="K6815" s="394">
        <v>610</v>
      </c>
      <c r="L6815" s="394">
        <v>87</v>
      </c>
      <c r="M6815" s="19">
        <v>5800</v>
      </c>
      <c r="N6815" s="19" t="s">
        <v>66</v>
      </c>
      <c r="O6815" s="19" t="s">
        <v>67</v>
      </c>
      <c r="P6815" s="19">
        <v>1666</v>
      </c>
      <c r="Q6815" s="19">
        <v>1710</v>
      </c>
      <c r="R6815" s="19">
        <f t="shared" si="296"/>
        <v>-44</v>
      </c>
      <c r="S6815" s="19">
        <f t="shared" si="297"/>
        <v>1545</v>
      </c>
      <c r="T6815" s="19" t="s">
        <v>42</v>
      </c>
      <c r="U6815" s="102" t="s">
        <v>1620</v>
      </c>
      <c r="V6815" s="186">
        <v>45919</v>
      </c>
      <c r="W6815" s="17" t="s">
        <v>58</v>
      </c>
      <c r="X6815" s="17"/>
      <c r="Y6815" s="68">
        <v>45931</v>
      </c>
      <c r="Z6815" s="17" t="s">
        <v>1621</v>
      </c>
      <c r="AA6815" s="17" t="s">
        <v>46</v>
      </c>
      <c r="AB6815" s="17" t="s">
        <v>1622</v>
      </c>
      <c r="AC6815" s="217">
        <v>45926</v>
      </c>
      <c r="AD6815" s="65">
        <v>1734</v>
      </c>
      <c r="AE6815" s="17" t="s">
        <v>48</v>
      </c>
      <c r="AF6815" s="17" t="s">
        <v>61</v>
      </c>
      <c r="AG6815" s="17" t="s">
        <v>1614</v>
      </c>
      <c r="AH6815" s="17"/>
      <c r="AI6815" s="17"/>
      <c r="AJ6815" s="17"/>
      <c r="AK6815" s="17"/>
      <c r="AL6815" s="17"/>
      <c r="AM6815" s="17"/>
      <c r="AN6815" s="17"/>
      <c r="AO6815" s="17"/>
      <c r="AP6815" s="17"/>
      <c r="AQ6815" s="17"/>
      <c r="AR6815" s="17"/>
    </row>
    <row r="6816" s="25" customFormat="1" hidden="1" spans="1:44">
      <c r="A6816" s="17" t="s">
        <v>34</v>
      </c>
      <c r="B6816" s="19">
        <v>1087</v>
      </c>
      <c r="C6816" s="183">
        <v>45918</v>
      </c>
      <c r="D6816" s="17" t="s">
        <v>52</v>
      </c>
      <c r="E6816" s="17" t="s">
        <v>53</v>
      </c>
      <c r="F6816" s="17" t="s">
        <v>54</v>
      </c>
      <c r="G6816" s="17"/>
      <c r="H6816" s="19">
        <v>1.2083</v>
      </c>
      <c r="I6816" s="19"/>
      <c r="J6816" s="17" t="s">
        <v>82</v>
      </c>
      <c r="K6816" s="19">
        <v>700</v>
      </c>
      <c r="L6816" s="91">
        <v>81</v>
      </c>
      <c r="M6816" s="19">
        <v>3520</v>
      </c>
      <c r="N6816" s="19" t="s">
        <v>40</v>
      </c>
      <c r="O6816" s="19" t="s">
        <v>50</v>
      </c>
      <c r="P6816" s="19">
        <v>1191</v>
      </c>
      <c r="Q6816" s="19">
        <v>1544</v>
      </c>
      <c r="R6816" s="19">
        <f t="shared" si="296"/>
        <v>-353</v>
      </c>
      <c r="S6816" s="19">
        <f>1560-50</f>
        <v>1510</v>
      </c>
      <c r="T6816" s="19" t="s">
        <v>42</v>
      </c>
      <c r="U6816" s="102" t="s">
        <v>1620</v>
      </c>
      <c r="V6816" s="186">
        <v>45919</v>
      </c>
      <c r="W6816" s="17" t="s">
        <v>58</v>
      </c>
      <c r="X6816" s="17"/>
      <c r="Y6816" s="68">
        <v>45931</v>
      </c>
      <c r="Z6816" s="17" t="s">
        <v>1621</v>
      </c>
      <c r="AA6816" s="17" t="s">
        <v>46</v>
      </c>
      <c r="AB6816" s="17" t="s">
        <v>1622</v>
      </c>
      <c r="AC6816" s="217">
        <v>45926</v>
      </c>
      <c r="AD6816" s="65">
        <v>1734</v>
      </c>
      <c r="AE6816" s="17" t="s">
        <v>48</v>
      </c>
      <c r="AF6816" s="17" t="s">
        <v>61</v>
      </c>
      <c r="AG6816" s="17" t="s">
        <v>1614</v>
      </c>
      <c r="AH6816" s="17"/>
      <c r="AI6816" s="17"/>
      <c r="AJ6816" s="17"/>
      <c r="AK6816" s="17"/>
      <c r="AL6816" s="17"/>
      <c r="AM6816" s="17"/>
      <c r="AN6816" s="17"/>
      <c r="AO6816" s="17"/>
      <c r="AP6816" s="17"/>
      <c r="AQ6816" s="17"/>
      <c r="AR6816" s="17"/>
    </row>
    <row r="6817" s="25" customFormat="1" hidden="1" spans="1:44">
      <c r="A6817" s="17" t="s">
        <v>34</v>
      </c>
      <c r="B6817" s="19">
        <v>1087</v>
      </c>
      <c r="C6817" s="183">
        <v>45918</v>
      </c>
      <c r="D6817" s="17" t="s">
        <v>52</v>
      </c>
      <c r="E6817" s="17" t="s">
        <v>53</v>
      </c>
      <c r="F6817" s="17" t="s">
        <v>54</v>
      </c>
      <c r="G6817" s="17"/>
      <c r="H6817" s="19">
        <v>1.2083</v>
      </c>
      <c r="I6817" s="19"/>
      <c r="J6817" s="17" t="s">
        <v>82</v>
      </c>
      <c r="K6817" s="19">
        <v>695</v>
      </c>
      <c r="L6817" s="91">
        <v>94</v>
      </c>
      <c r="M6817" s="19">
        <v>4190</v>
      </c>
      <c r="N6817" s="19" t="s">
        <v>40</v>
      </c>
      <c r="O6817" s="19" t="s">
        <v>50</v>
      </c>
      <c r="P6817" s="19">
        <v>2148</v>
      </c>
      <c r="Q6817" s="19">
        <v>1982</v>
      </c>
      <c r="R6817" s="19">
        <f t="shared" si="296"/>
        <v>166</v>
      </c>
      <c r="S6817" s="19">
        <f>1560-50</f>
        <v>1510</v>
      </c>
      <c r="T6817" s="19" t="s">
        <v>42</v>
      </c>
      <c r="U6817" s="102" t="s">
        <v>1620</v>
      </c>
      <c r="V6817" s="186">
        <v>45919</v>
      </c>
      <c r="W6817" s="17" t="s">
        <v>58</v>
      </c>
      <c r="X6817" s="17"/>
      <c r="Y6817" s="68">
        <v>45931</v>
      </c>
      <c r="Z6817" s="17" t="s">
        <v>1621</v>
      </c>
      <c r="AA6817" s="17" t="s">
        <v>46</v>
      </c>
      <c r="AB6817" s="17" t="s">
        <v>1622</v>
      </c>
      <c r="AC6817" s="217">
        <v>45926</v>
      </c>
      <c r="AD6817" s="65">
        <v>1734</v>
      </c>
      <c r="AE6817" s="17" t="s">
        <v>48</v>
      </c>
      <c r="AF6817" s="17" t="s">
        <v>61</v>
      </c>
      <c r="AG6817" s="17" t="s">
        <v>1614</v>
      </c>
      <c r="AH6817" s="17"/>
      <c r="AI6817" s="17"/>
      <c r="AJ6817" s="17"/>
      <c r="AK6817" s="17"/>
      <c r="AL6817" s="17"/>
      <c r="AM6817" s="17"/>
      <c r="AN6817" s="17"/>
      <c r="AO6817" s="17"/>
      <c r="AP6817" s="17"/>
      <c r="AQ6817" s="17"/>
      <c r="AR6817" s="17"/>
    </row>
    <row r="6818" s="25" customFormat="1" hidden="1" spans="1:44">
      <c r="A6818" s="17" t="s">
        <v>34</v>
      </c>
      <c r="B6818" s="19">
        <v>1087</v>
      </c>
      <c r="C6818" s="183">
        <v>45918</v>
      </c>
      <c r="D6818" s="17" t="s">
        <v>52</v>
      </c>
      <c r="E6818" s="17" t="s">
        <v>53</v>
      </c>
      <c r="F6818" s="17" t="s">
        <v>54</v>
      </c>
      <c r="G6818" s="17"/>
      <c r="H6818" s="19">
        <v>1.2083</v>
      </c>
      <c r="I6818" s="19"/>
      <c r="J6818" s="17" t="s">
        <v>82</v>
      </c>
      <c r="K6818" s="19">
        <v>1155</v>
      </c>
      <c r="L6818" s="91">
        <v>405</v>
      </c>
      <c r="M6818" s="19">
        <v>2950</v>
      </c>
      <c r="N6818" s="19" t="s">
        <v>40</v>
      </c>
      <c r="O6818" s="19" t="s">
        <v>50</v>
      </c>
      <c r="P6818" s="19">
        <v>11326</v>
      </c>
      <c r="Q6818" s="19">
        <v>10565</v>
      </c>
      <c r="R6818" s="19">
        <f t="shared" si="296"/>
        <v>761</v>
      </c>
      <c r="S6818" s="19">
        <f>1560-50</f>
        <v>1510</v>
      </c>
      <c r="T6818" s="19" t="s">
        <v>42</v>
      </c>
      <c r="U6818" s="102" t="s">
        <v>1620</v>
      </c>
      <c r="V6818" s="186">
        <v>45919</v>
      </c>
      <c r="W6818" s="17" t="s">
        <v>58</v>
      </c>
      <c r="X6818" s="17"/>
      <c r="Y6818" s="68">
        <v>45931</v>
      </c>
      <c r="Z6818" s="17" t="s">
        <v>1621</v>
      </c>
      <c r="AA6818" s="17" t="s">
        <v>46</v>
      </c>
      <c r="AB6818" s="17" t="s">
        <v>1622</v>
      </c>
      <c r="AC6818" s="217">
        <v>45926</v>
      </c>
      <c r="AD6818" s="65">
        <v>1734</v>
      </c>
      <c r="AE6818" s="17" t="s">
        <v>48</v>
      </c>
      <c r="AF6818" s="17" t="s">
        <v>61</v>
      </c>
      <c r="AG6818" s="17" t="s">
        <v>1614</v>
      </c>
      <c r="AH6818" s="17"/>
      <c r="AI6818" s="17"/>
      <c r="AJ6818" s="17"/>
      <c r="AK6818" s="17"/>
      <c r="AL6818" s="17"/>
      <c r="AM6818" s="17"/>
      <c r="AN6818" s="17"/>
      <c r="AO6818" s="17"/>
      <c r="AP6818" s="17"/>
      <c r="AQ6818" s="17"/>
      <c r="AR6818" s="17"/>
    </row>
    <row r="6819" s="25" customFormat="1" hidden="1" spans="1:44">
      <c r="A6819" s="17" t="s">
        <v>34</v>
      </c>
      <c r="B6819" s="19">
        <v>1091</v>
      </c>
      <c r="C6819" s="183">
        <v>45925</v>
      </c>
      <c r="D6819" s="17" t="s">
        <v>52</v>
      </c>
      <c r="E6819" s="17" t="s">
        <v>1555</v>
      </c>
      <c r="F6819" s="17" t="s">
        <v>54</v>
      </c>
      <c r="G6819" s="17"/>
      <c r="H6819" s="19">
        <v>1.2316</v>
      </c>
      <c r="I6819" s="19"/>
      <c r="J6819" s="17" t="s">
        <v>39</v>
      </c>
      <c r="K6819" s="19">
        <v>50</v>
      </c>
      <c r="L6819" s="91"/>
      <c r="M6819" s="19">
        <v>5800</v>
      </c>
      <c r="N6819" s="19" t="s">
        <v>66</v>
      </c>
      <c r="O6819" s="19" t="s">
        <v>84</v>
      </c>
      <c r="P6819" s="19">
        <v>555</v>
      </c>
      <c r="Q6819" s="19">
        <v>786</v>
      </c>
      <c r="R6819" s="19">
        <f t="shared" si="296"/>
        <v>-231</v>
      </c>
      <c r="S6819" s="19">
        <f>3320+50</f>
        <v>3370</v>
      </c>
      <c r="T6819" s="19" t="s">
        <v>42</v>
      </c>
      <c r="U6819" s="102" t="s">
        <v>1623</v>
      </c>
      <c r="V6819" s="186">
        <v>45927</v>
      </c>
      <c r="W6819" s="17" t="s">
        <v>44</v>
      </c>
      <c r="X6819" s="17"/>
      <c r="Y6819" s="68">
        <v>45931</v>
      </c>
      <c r="Z6819" s="17" t="s">
        <v>1624</v>
      </c>
      <c r="AA6819" s="17" t="s">
        <v>46</v>
      </c>
      <c r="AB6819" s="17" t="s">
        <v>1623</v>
      </c>
      <c r="AC6819" s="217">
        <v>45961</v>
      </c>
      <c r="AD6819" s="65">
        <v>1740</v>
      </c>
      <c r="AE6819" s="17" t="s">
        <v>658</v>
      </c>
      <c r="AF6819" s="17" t="s">
        <v>1577</v>
      </c>
      <c r="AG6819" s="17"/>
      <c r="AH6819" s="17"/>
      <c r="AI6819" s="17"/>
      <c r="AJ6819" s="17"/>
      <c r="AK6819" s="17"/>
      <c r="AL6819" s="17"/>
      <c r="AM6819" s="17"/>
      <c r="AN6819" s="17"/>
      <c r="AO6819" s="17"/>
      <c r="AP6819" s="17"/>
      <c r="AQ6819" s="17"/>
      <c r="AR6819" s="17"/>
    </row>
    <row r="6820" s="25" customFormat="1" hidden="1" spans="1:44">
      <c r="A6820" s="17" t="s">
        <v>34</v>
      </c>
      <c r="B6820" s="19">
        <v>1091</v>
      </c>
      <c r="C6820" s="183">
        <v>45925</v>
      </c>
      <c r="D6820" s="17" t="s">
        <v>52</v>
      </c>
      <c r="E6820" s="17" t="s">
        <v>1555</v>
      </c>
      <c r="F6820" s="17" t="s">
        <v>54</v>
      </c>
      <c r="G6820" s="17"/>
      <c r="H6820" s="19">
        <v>1.2316</v>
      </c>
      <c r="I6820" s="19"/>
      <c r="J6820" s="17" t="s">
        <v>39</v>
      </c>
      <c r="K6820" s="19">
        <v>80</v>
      </c>
      <c r="L6820" s="91"/>
      <c r="M6820" s="19">
        <v>5800</v>
      </c>
      <c r="N6820" s="19" t="s">
        <v>66</v>
      </c>
      <c r="O6820" s="19" t="s">
        <v>84</v>
      </c>
      <c r="P6820" s="19">
        <v>1264</v>
      </c>
      <c r="Q6820" s="19">
        <f>523+537+538</f>
        <v>1598</v>
      </c>
      <c r="R6820" s="19">
        <f t="shared" si="296"/>
        <v>-334</v>
      </c>
      <c r="S6820" s="19">
        <f>3320+50</f>
        <v>3370</v>
      </c>
      <c r="T6820" s="19" t="s">
        <v>42</v>
      </c>
      <c r="U6820" s="102" t="s">
        <v>1623</v>
      </c>
      <c r="V6820" s="186">
        <v>45927</v>
      </c>
      <c r="W6820" s="17" t="s">
        <v>44</v>
      </c>
      <c r="X6820" s="17"/>
      <c r="Y6820" s="68">
        <v>45931</v>
      </c>
      <c r="Z6820" s="17" t="s">
        <v>1624</v>
      </c>
      <c r="AA6820" s="17" t="s">
        <v>46</v>
      </c>
      <c r="AB6820" s="17" t="s">
        <v>1623</v>
      </c>
      <c r="AC6820" s="217">
        <v>45961</v>
      </c>
      <c r="AD6820" s="65">
        <v>1740</v>
      </c>
      <c r="AE6820" s="17" t="s">
        <v>658</v>
      </c>
      <c r="AF6820" s="17" t="s">
        <v>1577</v>
      </c>
      <c r="AG6820" s="17"/>
      <c r="AH6820" s="17"/>
      <c r="AI6820" s="17"/>
      <c r="AJ6820" s="17"/>
      <c r="AK6820" s="17"/>
      <c r="AL6820" s="17"/>
      <c r="AM6820" s="17"/>
      <c r="AN6820" s="17"/>
      <c r="AO6820" s="17"/>
      <c r="AP6820" s="17"/>
      <c r="AQ6820" s="17"/>
      <c r="AR6820" s="17"/>
    </row>
    <row r="6821" s="25" customFormat="1" hidden="1" spans="1:44">
      <c r="A6821" s="17" t="s">
        <v>34</v>
      </c>
      <c r="B6821" s="19">
        <v>1091</v>
      </c>
      <c r="C6821" s="183">
        <v>45925</v>
      </c>
      <c r="D6821" s="17" t="s">
        <v>52</v>
      </c>
      <c r="E6821" s="17" t="s">
        <v>1555</v>
      </c>
      <c r="F6821" s="17" t="s">
        <v>54</v>
      </c>
      <c r="G6821" s="17"/>
      <c r="H6821" s="19">
        <v>1.2316</v>
      </c>
      <c r="I6821" s="19"/>
      <c r="J6821" s="17" t="s">
        <v>39</v>
      </c>
      <c r="K6821" s="19">
        <v>91</v>
      </c>
      <c r="L6821" s="91"/>
      <c r="M6821" s="19">
        <v>5800</v>
      </c>
      <c r="N6821" s="19" t="s">
        <v>66</v>
      </c>
      <c r="O6821" s="19" t="s">
        <v>84</v>
      </c>
      <c r="P6821" s="19">
        <v>204</v>
      </c>
      <c r="Q6821" s="19">
        <v>286</v>
      </c>
      <c r="R6821" s="19">
        <f t="shared" ref="R6821:R6852" si="298">+P6821-Q6821</f>
        <v>-82</v>
      </c>
      <c r="S6821" s="19">
        <f>3320+50</f>
        <v>3370</v>
      </c>
      <c r="T6821" s="19" t="s">
        <v>42</v>
      </c>
      <c r="U6821" s="102" t="s">
        <v>1623</v>
      </c>
      <c r="V6821" s="186">
        <v>45927</v>
      </c>
      <c r="W6821" s="17" t="s">
        <v>44</v>
      </c>
      <c r="X6821" s="17"/>
      <c r="Y6821" s="68">
        <v>45931</v>
      </c>
      <c r="Z6821" s="17" t="s">
        <v>1624</v>
      </c>
      <c r="AA6821" s="17" t="s">
        <v>46</v>
      </c>
      <c r="AB6821" s="17" t="s">
        <v>1623</v>
      </c>
      <c r="AC6821" s="217">
        <v>45961</v>
      </c>
      <c r="AD6821" s="65">
        <v>1740</v>
      </c>
      <c r="AE6821" s="17" t="s">
        <v>658</v>
      </c>
      <c r="AF6821" s="17" t="s">
        <v>1577</v>
      </c>
      <c r="AG6821" s="17"/>
      <c r="AH6821" s="17"/>
      <c r="AI6821" s="17"/>
      <c r="AJ6821" s="17"/>
      <c r="AK6821" s="17"/>
      <c r="AL6821" s="17"/>
      <c r="AM6821" s="17"/>
      <c r="AN6821" s="17"/>
      <c r="AO6821" s="17"/>
      <c r="AP6821" s="17"/>
      <c r="AQ6821" s="17"/>
      <c r="AR6821" s="17"/>
    </row>
    <row r="6822" s="25" customFormat="1" hidden="1" spans="1:44">
      <c r="A6822" s="17" t="s">
        <v>34</v>
      </c>
      <c r="B6822" s="19">
        <v>1091</v>
      </c>
      <c r="C6822" s="183">
        <v>45925</v>
      </c>
      <c r="D6822" s="17" t="s">
        <v>52</v>
      </c>
      <c r="E6822" s="17" t="s">
        <v>1555</v>
      </c>
      <c r="F6822" s="17" t="s">
        <v>54</v>
      </c>
      <c r="G6822" s="17"/>
      <c r="H6822" s="19">
        <v>1.2316</v>
      </c>
      <c r="I6822" s="19"/>
      <c r="J6822" s="17" t="s">
        <v>39</v>
      </c>
      <c r="K6822" s="19">
        <v>141</v>
      </c>
      <c r="L6822" s="91"/>
      <c r="M6822" s="19">
        <v>5800</v>
      </c>
      <c r="N6822" s="19" t="s">
        <v>66</v>
      </c>
      <c r="O6822" s="19" t="s">
        <v>141</v>
      </c>
      <c r="P6822" s="19">
        <v>1472</v>
      </c>
      <c r="Q6822" s="19">
        <f>366+607+633</f>
        <v>1606</v>
      </c>
      <c r="R6822" s="19">
        <f t="shared" si="298"/>
        <v>-134</v>
      </c>
      <c r="S6822" s="19">
        <f>3320+50</f>
        <v>3370</v>
      </c>
      <c r="T6822" s="19" t="s">
        <v>42</v>
      </c>
      <c r="U6822" s="102" t="s">
        <v>1623</v>
      </c>
      <c r="V6822" s="186">
        <v>45927</v>
      </c>
      <c r="W6822" s="17" t="s">
        <v>44</v>
      </c>
      <c r="X6822" s="17"/>
      <c r="Y6822" s="68">
        <v>45931</v>
      </c>
      <c r="Z6822" s="17" t="s">
        <v>1624</v>
      </c>
      <c r="AA6822" s="17" t="s">
        <v>46</v>
      </c>
      <c r="AB6822" s="17" t="s">
        <v>1623</v>
      </c>
      <c r="AC6822" s="217">
        <v>45961</v>
      </c>
      <c r="AD6822" s="65">
        <v>1740</v>
      </c>
      <c r="AE6822" s="17" t="s">
        <v>658</v>
      </c>
      <c r="AF6822" s="17" t="s">
        <v>1577</v>
      </c>
      <c r="AG6822" s="17"/>
      <c r="AH6822" s="17"/>
      <c r="AI6822" s="17"/>
      <c r="AJ6822" s="17"/>
      <c r="AK6822" s="17"/>
      <c r="AL6822" s="17"/>
      <c r="AM6822" s="17"/>
      <c r="AN6822" s="17"/>
      <c r="AO6822" s="17"/>
      <c r="AP6822" s="17"/>
      <c r="AQ6822" s="17"/>
      <c r="AR6822" s="17"/>
    </row>
    <row r="6823" s="25" customFormat="1" hidden="1" spans="1:44">
      <c r="A6823" s="17" t="s">
        <v>34</v>
      </c>
      <c r="B6823" s="19">
        <v>1091</v>
      </c>
      <c r="C6823" s="183">
        <v>45925</v>
      </c>
      <c r="D6823" s="17" t="s">
        <v>52</v>
      </c>
      <c r="E6823" s="17" t="s">
        <v>1555</v>
      </c>
      <c r="F6823" s="17" t="s">
        <v>54</v>
      </c>
      <c r="G6823" s="17"/>
      <c r="H6823" s="19">
        <v>1.2316</v>
      </c>
      <c r="I6823" s="19"/>
      <c r="J6823" s="17" t="s">
        <v>39</v>
      </c>
      <c r="K6823" s="19">
        <v>180</v>
      </c>
      <c r="L6823" s="91"/>
      <c r="M6823" s="19">
        <v>5800</v>
      </c>
      <c r="N6823" s="19" t="s">
        <v>66</v>
      </c>
      <c r="O6823" s="19" t="s">
        <v>141</v>
      </c>
      <c r="P6823" s="19">
        <v>1599</v>
      </c>
      <c r="Q6823" s="19">
        <f>968+732</f>
        <v>1700</v>
      </c>
      <c r="R6823" s="19">
        <f t="shared" si="298"/>
        <v>-101</v>
      </c>
      <c r="S6823" s="19">
        <f>3320+50</f>
        <v>3370</v>
      </c>
      <c r="T6823" s="19" t="s">
        <v>42</v>
      </c>
      <c r="U6823" s="102" t="s">
        <v>1623</v>
      </c>
      <c r="V6823" s="186">
        <v>45927</v>
      </c>
      <c r="W6823" s="17" t="s">
        <v>44</v>
      </c>
      <c r="X6823" s="17"/>
      <c r="Y6823" s="68">
        <v>45931</v>
      </c>
      <c r="Z6823" s="17" t="s">
        <v>1624</v>
      </c>
      <c r="AA6823" s="17" t="s">
        <v>46</v>
      </c>
      <c r="AB6823" s="17" t="s">
        <v>1623</v>
      </c>
      <c r="AC6823" s="217">
        <v>45961</v>
      </c>
      <c r="AD6823" s="65">
        <v>1740</v>
      </c>
      <c r="AE6823" s="17" t="s">
        <v>658</v>
      </c>
      <c r="AF6823" s="17" t="s">
        <v>1577</v>
      </c>
      <c r="AG6823" s="17"/>
      <c r="AH6823" s="17"/>
      <c r="AI6823" s="17"/>
      <c r="AJ6823" s="17"/>
      <c r="AK6823" s="17"/>
      <c r="AL6823" s="17"/>
      <c r="AM6823" s="17"/>
      <c r="AN6823" s="17"/>
      <c r="AO6823" s="17"/>
      <c r="AP6823" s="17"/>
      <c r="AQ6823" s="17"/>
      <c r="AR6823" s="17"/>
    </row>
    <row r="6824" s="25" customFormat="1" hidden="1" spans="1:44">
      <c r="A6824" s="17" t="s">
        <v>34</v>
      </c>
      <c r="B6824" s="19">
        <v>1091</v>
      </c>
      <c r="C6824" s="183">
        <v>45925</v>
      </c>
      <c r="D6824" s="17" t="s">
        <v>52</v>
      </c>
      <c r="E6824" s="17" t="s">
        <v>1555</v>
      </c>
      <c r="F6824" s="17" t="s">
        <v>54</v>
      </c>
      <c r="G6824" s="17"/>
      <c r="H6824" s="19">
        <v>1.2085</v>
      </c>
      <c r="I6824" s="19"/>
      <c r="J6824" s="17" t="s">
        <v>82</v>
      </c>
      <c r="K6824" s="19">
        <v>21</v>
      </c>
      <c r="L6824" s="91">
        <v>1005</v>
      </c>
      <c r="M6824" s="19">
        <v>2400</v>
      </c>
      <c r="N6824" s="19" t="s">
        <v>66</v>
      </c>
      <c r="O6824" s="19" t="s">
        <v>141</v>
      </c>
      <c r="P6824" s="19">
        <v>373</v>
      </c>
      <c r="Q6824" s="19">
        <v>360</v>
      </c>
      <c r="R6824" s="19">
        <f t="shared" si="298"/>
        <v>13</v>
      </c>
      <c r="S6824" s="19">
        <f>1955+50</f>
        <v>2005</v>
      </c>
      <c r="T6824" s="19" t="s">
        <v>42</v>
      </c>
      <c r="U6824" s="102" t="s">
        <v>1623</v>
      </c>
      <c r="V6824" s="186">
        <v>45927</v>
      </c>
      <c r="W6824" s="17" t="s">
        <v>44</v>
      </c>
      <c r="X6824" s="17"/>
      <c r="Y6824" s="68">
        <v>45931</v>
      </c>
      <c r="Z6824" s="17" t="s">
        <v>1624</v>
      </c>
      <c r="AA6824" s="17" t="s">
        <v>46</v>
      </c>
      <c r="AB6824" s="17" t="s">
        <v>1623</v>
      </c>
      <c r="AC6824" s="217">
        <v>45961</v>
      </c>
      <c r="AD6824" s="65">
        <v>1740</v>
      </c>
      <c r="AE6824" s="17" t="s">
        <v>658</v>
      </c>
      <c r="AF6824" s="17" t="s">
        <v>1577</v>
      </c>
      <c r="AG6824" s="17"/>
      <c r="AH6824" s="17"/>
      <c r="AI6824" s="17"/>
      <c r="AJ6824" s="17"/>
      <c r="AK6824" s="17"/>
      <c r="AL6824" s="17"/>
      <c r="AM6824" s="17"/>
      <c r="AN6824" s="17"/>
      <c r="AO6824" s="17"/>
      <c r="AP6824" s="17"/>
      <c r="AQ6824" s="17"/>
      <c r="AR6824" s="17"/>
    </row>
    <row r="6825" s="25" customFormat="1" hidden="1" spans="1:44">
      <c r="A6825" s="17" t="s">
        <v>34</v>
      </c>
      <c r="B6825" s="19">
        <v>1091</v>
      </c>
      <c r="C6825" s="183">
        <v>45925</v>
      </c>
      <c r="D6825" s="17" t="s">
        <v>52</v>
      </c>
      <c r="E6825" s="17" t="s">
        <v>1555</v>
      </c>
      <c r="F6825" s="17" t="s">
        <v>54</v>
      </c>
      <c r="G6825" s="17"/>
      <c r="H6825" s="19">
        <v>1.2085</v>
      </c>
      <c r="I6825" s="19"/>
      <c r="J6825" s="17" t="s">
        <v>82</v>
      </c>
      <c r="K6825" s="19">
        <v>30</v>
      </c>
      <c r="L6825" s="91">
        <v>1005</v>
      </c>
      <c r="M6825" s="19">
        <v>2400</v>
      </c>
      <c r="N6825" s="19" t="s">
        <v>66</v>
      </c>
      <c r="O6825" s="19" t="s">
        <v>141</v>
      </c>
      <c r="P6825" s="19">
        <v>533</v>
      </c>
      <c r="Q6825" s="19">
        <v>520</v>
      </c>
      <c r="R6825" s="19">
        <f t="shared" si="298"/>
        <v>13</v>
      </c>
      <c r="S6825" s="19">
        <f>1955+50</f>
        <v>2005</v>
      </c>
      <c r="T6825" s="19" t="s">
        <v>42</v>
      </c>
      <c r="U6825" s="102" t="s">
        <v>1623</v>
      </c>
      <c r="V6825" s="186">
        <v>45927</v>
      </c>
      <c r="W6825" s="17" t="s">
        <v>44</v>
      </c>
      <c r="X6825" s="17"/>
      <c r="Y6825" s="68">
        <v>45931</v>
      </c>
      <c r="Z6825" s="17" t="s">
        <v>1624</v>
      </c>
      <c r="AA6825" s="17" t="s">
        <v>46</v>
      </c>
      <c r="AB6825" s="17" t="s">
        <v>1623</v>
      </c>
      <c r="AC6825" s="217">
        <v>45961</v>
      </c>
      <c r="AD6825" s="65">
        <v>1740</v>
      </c>
      <c r="AE6825" s="17" t="s">
        <v>658</v>
      </c>
      <c r="AF6825" s="17" t="s">
        <v>1577</v>
      </c>
      <c r="AG6825" s="17"/>
      <c r="AH6825" s="17"/>
      <c r="AI6825" s="17"/>
      <c r="AJ6825" s="17"/>
      <c r="AK6825" s="17"/>
      <c r="AL6825" s="17"/>
      <c r="AM6825" s="17"/>
      <c r="AN6825" s="17"/>
      <c r="AO6825" s="17"/>
      <c r="AP6825" s="17"/>
      <c r="AQ6825" s="17"/>
      <c r="AR6825" s="17"/>
    </row>
    <row r="6826" s="25" customFormat="1" hidden="1" spans="1:44">
      <c r="A6826" s="17" t="s">
        <v>34</v>
      </c>
      <c r="B6826" s="19">
        <v>1091</v>
      </c>
      <c r="C6826" s="183">
        <v>45925</v>
      </c>
      <c r="D6826" s="17" t="s">
        <v>52</v>
      </c>
      <c r="E6826" s="17" t="s">
        <v>1555</v>
      </c>
      <c r="F6826" s="17" t="s">
        <v>54</v>
      </c>
      <c r="G6826" s="17"/>
      <c r="H6826" s="19">
        <v>1.2085</v>
      </c>
      <c r="I6826" s="19"/>
      <c r="J6826" s="17" t="s">
        <v>82</v>
      </c>
      <c r="K6826" s="19">
        <v>35</v>
      </c>
      <c r="L6826" s="91">
        <v>1005</v>
      </c>
      <c r="M6826" s="19">
        <v>2400</v>
      </c>
      <c r="N6826" s="19" t="s">
        <v>66</v>
      </c>
      <c r="O6826" s="19" t="s">
        <v>141</v>
      </c>
      <c r="P6826" s="19">
        <v>621</v>
      </c>
      <c r="Q6826" s="19">
        <v>600</v>
      </c>
      <c r="R6826" s="19">
        <f t="shared" si="298"/>
        <v>21</v>
      </c>
      <c r="S6826" s="19">
        <f>1955+50</f>
        <v>2005</v>
      </c>
      <c r="T6826" s="19" t="s">
        <v>42</v>
      </c>
      <c r="U6826" s="102" t="s">
        <v>1623</v>
      </c>
      <c r="V6826" s="186">
        <v>45927</v>
      </c>
      <c r="W6826" s="17" t="s">
        <v>44</v>
      </c>
      <c r="X6826" s="17"/>
      <c r="Y6826" s="68">
        <v>45931</v>
      </c>
      <c r="Z6826" s="17" t="s">
        <v>1624</v>
      </c>
      <c r="AA6826" s="17" t="s">
        <v>46</v>
      </c>
      <c r="AB6826" s="17" t="s">
        <v>1623</v>
      </c>
      <c r="AC6826" s="217">
        <v>45961</v>
      </c>
      <c r="AD6826" s="65">
        <v>1740</v>
      </c>
      <c r="AE6826" s="17" t="s">
        <v>658</v>
      </c>
      <c r="AF6826" s="17" t="s">
        <v>1577</v>
      </c>
      <c r="AG6826" s="17"/>
      <c r="AH6826" s="17"/>
      <c r="AI6826" s="17"/>
      <c r="AJ6826" s="17"/>
      <c r="AK6826" s="17"/>
      <c r="AL6826" s="17"/>
      <c r="AM6826" s="17"/>
      <c r="AN6826" s="17"/>
      <c r="AO6826" s="17"/>
      <c r="AP6826" s="17"/>
      <c r="AQ6826" s="17"/>
      <c r="AR6826" s="17"/>
    </row>
    <row r="6827" s="21" customFormat="1" hidden="1" spans="1:44">
      <c r="A6827" s="17" t="s">
        <v>34</v>
      </c>
      <c r="B6827" s="19">
        <v>924</v>
      </c>
      <c r="C6827" s="183">
        <v>45106</v>
      </c>
      <c r="D6827" s="17" t="s">
        <v>137</v>
      </c>
      <c r="E6827" s="17" t="s">
        <v>138</v>
      </c>
      <c r="F6827" s="17" t="s">
        <v>139</v>
      </c>
      <c r="G6827" s="17"/>
      <c r="H6827" s="19">
        <v>1.2085</v>
      </c>
      <c r="I6827" s="19"/>
      <c r="J6827" s="17" t="s">
        <v>49</v>
      </c>
      <c r="K6827" s="19">
        <v>2000</v>
      </c>
      <c r="L6827" s="261">
        <v>40</v>
      </c>
      <c r="M6827" s="19">
        <v>5000</v>
      </c>
      <c r="N6827" s="19" t="s">
        <v>66</v>
      </c>
      <c r="O6827" s="19" t="s">
        <v>141</v>
      </c>
      <c r="P6827" s="19">
        <v>12560</v>
      </c>
      <c r="Q6827" s="19">
        <v>3611</v>
      </c>
      <c r="R6827" s="19">
        <f t="shared" si="298"/>
        <v>8949</v>
      </c>
      <c r="S6827" s="19">
        <f>2480+220</f>
        <v>2700</v>
      </c>
      <c r="T6827" s="19" t="s">
        <v>94</v>
      </c>
      <c r="U6827" s="102">
        <v>59425</v>
      </c>
      <c r="V6827" s="101">
        <v>45107</v>
      </c>
      <c r="W6827" s="17" t="s">
        <v>44</v>
      </c>
      <c r="X6827" s="17"/>
      <c r="Y6827" s="68">
        <v>45283</v>
      </c>
      <c r="Z6827" s="17" t="s">
        <v>1625</v>
      </c>
      <c r="AA6827" s="17" t="s">
        <v>46</v>
      </c>
      <c r="AB6827" s="17" t="s">
        <v>1626</v>
      </c>
      <c r="AC6827" s="217">
        <v>45938</v>
      </c>
      <c r="AD6827" s="65">
        <v>1709</v>
      </c>
      <c r="AE6827" s="17" t="s">
        <v>1627</v>
      </c>
      <c r="AF6827" s="17"/>
      <c r="AG6827" s="17"/>
      <c r="AH6827" s="17"/>
      <c r="AI6827" s="17"/>
      <c r="AJ6827" s="17"/>
      <c r="AK6827" s="17"/>
      <c r="AL6827" s="17"/>
      <c r="AM6827" s="17"/>
      <c r="AN6827" s="17"/>
      <c r="AO6827" s="17"/>
      <c r="AP6827" s="17"/>
      <c r="AQ6827" s="17"/>
      <c r="AR6827" s="17"/>
    </row>
    <row r="6828" s="20" customFormat="1" hidden="1" spans="1:44">
      <c r="A6828" s="18"/>
      <c r="B6828" s="75">
        <v>924</v>
      </c>
      <c r="C6828" s="293">
        <v>45106</v>
      </c>
      <c r="D6828" s="18" t="s">
        <v>137</v>
      </c>
      <c r="E6828" s="18" t="s">
        <v>138</v>
      </c>
      <c r="F6828" s="18" t="s">
        <v>139</v>
      </c>
      <c r="G6828" s="18"/>
      <c r="H6828" s="75">
        <v>1.2085</v>
      </c>
      <c r="I6828" s="75"/>
      <c r="J6828" s="18" t="s">
        <v>49</v>
      </c>
      <c r="K6828" s="75">
        <v>2000</v>
      </c>
      <c r="L6828" s="396">
        <v>50</v>
      </c>
      <c r="M6828" s="342">
        <v>5000</v>
      </c>
      <c r="N6828" s="75" t="s">
        <v>66</v>
      </c>
      <c r="O6828" s="75" t="s">
        <v>141</v>
      </c>
      <c r="P6828" s="75">
        <v>11775</v>
      </c>
      <c r="Q6828" s="75"/>
      <c r="R6828" s="75">
        <f t="shared" si="298"/>
        <v>11775</v>
      </c>
      <c r="S6828" s="75">
        <v>2480</v>
      </c>
      <c r="T6828" s="75" t="s">
        <v>94</v>
      </c>
      <c r="U6828" s="137">
        <v>59425</v>
      </c>
      <c r="V6828" s="135">
        <v>45107</v>
      </c>
      <c r="W6828" s="18" t="s">
        <v>44</v>
      </c>
      <c r="X6828" s="18"/>
      <c r="Y6828" s="114">
        <v>45283</v>
      </c>
      <c r="Z6828" s="18" t="s">
        <v>1625</v>
      </c>
      <c r="AA6828" s="18"/>
      <c r="AB6828" s="18"/>
      <c r="AC6828" s="137"/>
      <c r="AD6828" s="77"/>
      <c r="AE6828" s="18" t="s">
        <v>1627</v>
      </c>
      <c r="AF6828" s="18" t="s">
        <v>737</v>
      </c>
      <c r="AG6828" s="18"/>
      <c r="AH6828" s="18"/>
      <c r="AI6828" s="18"/>
      <c r="AJ6828" s="18"/>
      <c r="AK6828" s="18"/>
      <c r="AL6828" s="18"/>
      <c r="AM6828" s="18"/>
      <c r="AN6828" s="18"/>
      <c r="AO6828" s="18"/>
      <c r="AP6828" s="18"/>
      <c r="AQ6828" s="18"/>
      <c r="AR6828" s="18"/>
    </row>
    <row r="6829" s="21" customFormat="1" hidden="1" spans="1:44">
      <c r="A6829" s="17"/>
      <c r="B6829" s="19">
        <v>924</v>
      </c>
      <c r="C6829" s="183">
        <v>45106</v>
      </c>
      <c r="D6829" s="17" t="s">
        <v>137</v>
      </c>
      <c r="E6829" s="17" t="s">
        <v>138</v>
      </c>
      <c r="F6829" s="17" t="s">
        <v>139</v>
      </c>
      <c r="G6829" s="17"/>
      <c r="H6829" s="19">
        <v>1.2085</v>
      </c>
      <c r="I6829" s="19"/>
      <c r="J6829" s="17" t="s">
        <v>49</v>
      </c>
      <c r="K6829" s="19">
        <v>2000</v>
      </c>
      <c r="L6829" s="167">
        <v>60</v>
      </c>
      <c r="M6829" s="19">
        <v>5000</v>
      </c>
      <c r="N6829" s="19" t="s">
        <v>66</v>
      </c>
      <c r="O6829" s="19" t="s">
        <v>141</v>
      </c>
      <c r="P6829" s="19">
        <v>14130</v>
      </c>
      <c r="Q6829" s="19">
        <v>5030</v>
      </c>
      <c r="R6829" s="19">
        <f t="shared" si="298"/>
        <v>9100</v>
      </c>
      <c r="S6829" s="19">
        <v>2480</v>
      </c>
      <c r="T6829" s="19" t="s">
        <v>94</v>
      </c>
      <c r="U6829" s="102">
        <v>59425</v>
      </c>
      <c r="V6829" s="101">
        <v>45107</v>
      </c>
      <c r="W6829" s="17" t="s">
        <v>44</v>
      </c>
      <c r="X6829" s="17"/>
      <c r="Y6829" s="68">
        <v>45283</v>
      </c>
      <c r="Z6829" s="17" t="s">
        <v>1625</v>
      </c>
      <c r="AA6829" s="17"/>
      <c r="AB6829" s="17"/>
      <c r="AC6829" s="102"/>
      <c r="AD6829" s="65"/>
      <c r="AE6829" s="17" t="s">
        <v>1627</v>
      </c>
      <c r="AF6829" s="17" t="s">
        <v>737</v>
      </c>
      <c r="AG6829" s="17"/>
      <c r="AH6829" s="17"/>
      <c r="AI6829" s="17"/>
      <c r="AJ6829" s="17"/>
      <c r="AK6829" s="17"/>
      <c r="AL6829" s="17"/>
      <c r="AM6829" s="17"/>
      <c r="AN6829" s="17"/>
      <c r="AO6829" s="17"/>
      <c r="AP6829" s="17"/>
      <c r="AQ6829" s="17"/>
      <c r="AR6829" s="17"/>
    </row>
    <row r="6830" s="21" customFormat="1" hidden="1" spans="1:44">
      <c r="A6830" s="17" t="s">
        <v>34</v>
      </c>
      <c r="B6830" s="19">
        <v>924</v>
      </c>
      <c r="C6830" s="183">
        <v>45106</v>
      </c>
      <c r="D6830" s="17" t="s">
        <v>137</v>
      </c>
      <c r="E6830" s="17" t="s">
        <v>138</v>
      </c>
      <c r="F6830" s="17" t="s">
        <v>139</v>
      </c>
      <c r="G6830" s="17"/>
      <c r="H6830" s="19">
        <v>1.2085</v>
      </c>
      <c r="I6830" s="19"/>
      <c r="J6830" s="17" t="s">
        <v>49</v>
      </c>
      <c r="K6830" s="19">
        <v>2000</v>
      </c>
      <c r="L6830" s="261">
        <v>65</v>
      </c>
      <c r="M6830" s="19">
        <v>5000</v>
      </c>
      <c r="N6830" s="19" t="s">
        <v>66</v>
      </c>
      <c r="O6830" s="19" t="s">
        <v>141</v>
      </c>
      <c r="P6830" s="19">
        <v>15308</v>
      </c>
      <c r="Q6830" s="19">
        <v>5171</v>
      </c>
      <c r="R6830" s="19">
        <f t="shared" si="298"/>
        <v>10137</v>
      </c>
      <c r="S6830" s="19">
        <f>2480+220</f>
        <v>2700</v>
      </c>
      <c r="T6830" s="19" t="s">
        <v>94</v>
      </c>
      <c r="U6830" s="102">
        <v>59425</v>
      </c>
      <c r="V6830" s="101">
        <v>45107</v>
      </c>
      <c r="W6830" s="17" t="s">
        <v>44</v>
      </c>
      <c r="X6830" s="17"/>
      <c r="Y6830" s="68">
        <v>45283</v>
      </c>
      <c r="Z6830" s="17" t="s">
        <v>1625</v>
      </c>
      <c r="AA6830" s="17" t="s">
        <v>46</v>
      </c>
      <c r="AB6830" s="17" t="s">
        <v>1626</v>
      </c>
      <c r="AC6830" s="217">
        <v>45938</v>
      </c>
      <c r="AD6830" s="65">
        <v>1709</v>
      </c>
      <c r="AE6830" s="17" t="s">
        <v>1627</v>
      </c>
      <c r="AF6830" s="17"/>
      <c r="AG6830" s="17"/>
      <c r="AH6830" s="17"/>
      <c r="AI6830" s="17"/>
      <c r="AJ6830" s="17"/>
      <c r="AK6830" s="17"/>
      <c r="AL6830" s="17"/>
      <c r="AM6830" s="17"/>
      <c r="AN6830" s="17"/>
      <c r="AO6830" s="17"/>
      <c r="AP6830" s="17"/>
      <c r="AQ6830" s="17"/>
      <c r="AR6830" s="17"/>
    </row>
    <row r="6831" s="21" customFormat="1" hidden="1" spans="1:44">
      <c r="A6831" s="17" t="s">
        <v>34</v>
      </c>
      <c r="B6831" s="19">
        <v>924</v>
      </c>
      <c r="C6831" s="183">
        <v>45106</v>
      </c>
      <c r="D6831" s="17" t="s">
        <v>137</v>
      </c>
      <c r="E6831" s="17" t="s">
        <v>138</v>
      </c>
      <c r="F6831" s="17" t="s">
        <v>139</v>
      </c>
      <c r="G6831" s="17"/>
      <c r="H6831" s="19">
        <v>1.2085</v>
      </c>
      <c r="I6831" s="19"/>
      <c r="J6831" s="17" t="s">
        <v>49</v>
      </c>
      <c r="K6831" s="19">
        <v>2000</v>
      </c>
      <c r="L6831" s="261">
        <v>70</v>
      </c>
      <c r="M6831" s="19">
        <v>5500</v>
      </c>
      <c r="N6831" s="19" t="s">
        <v>66</v>
      </c>
      <c r="O6831" s="19" t="s">
        <v>141</v>
      </c>
      <c r="P6831" s="19">
        <v>12089</v>
      </c>
      <c r="Q6831" s="19">
        <v>5975</v>
      </c>
      <c r="R6831" s="19">
        <f t="shared" si="298"/>
        <v>6114</v>
      </c>
      <c r="S6831" s="19">
        <f>2480+220</f>
        <v>2700</v>
      </c>
      <c r="T6831" s="19" t="s">
        <v>94</v>
      </c>
      <c r="U6831" s="102">
        <v>59425</v>
      </c>
      <c r="V6831" s="101">
        <v>45107</v>
      </c>
      <c r="W6831" s="17" t="s">
        <v>44</v>
      </c>
      <c r="X6831" s="17"/>
      <c r="Y6831" s="68">
        <v>45283</v>
      </c>
      <c r="Z6831" s="17" t="s">
        <v>1625</v>
      </c>
      <c r="AA6831" s="17" t="s">
        <v>46</v>
      </c>
      <c r="AB6831" s="17" t="s">
        <v>1626</v>
      </c>
      <c r="AC6831" s="217">
        <v>45938</v>
      </c>
      <c r="AD6831" s="65">
        <v>1709</v>
      </c>
      <c r="AE6831" s="17" t="s">
        <v>1627</v>
      </c>
      <c r="AF6831" s="17"/>
      <c r="AG6831" s="17"/>
      <c r="AH6831" s="17"/>
      <c r="AI6831" s="17"/>
      <c r="AJ6831" s="17"/>
      <c r="AK6831" s="17"/>
      <c r="AL6831" s="17"/>
      <c r="AM6831" s="17"/>
      <c r="AN6831" s="17"/>
      <c r="AO6831" s="17"/>
      <c r="AP6831" s="17"/>
      <c r="AQ6831" s="17"/>
      <c r="AR6831" s="17"/>
    </row>
    <row r="6832" s="21" customFormat="1" hidden="1" spans="1:44">
      <c r="A6832" s="17"/>
      <c r="B6832" s="19">
        <v>924</v>
      </c>
      <c r="C6832" s="183">
        <v>45106</v>
      </c>
      <c r="D6832" s="17" t="s">
        <v>137</v>
      </c>
      <c r="E6832" s="17" t="s">
        <v>138</v>
      </c>
      <c r="F6832" s="17" t="s">
        <v>139</v>
      </c>
      <c r="G6832" s="17"/>
      <c r="H6832" s="19">
        <v>1.2085</v>
      </c>
      <c r="I6832" s="19"/>
      <c r="J6832" s="17" t="s">
        <v>49</v>
      </c>
      <c r="K6832" s="19">
        <v>2000</v>
      </c>
      <c r="L6832" s="167">
        <v>80</v>
      </c>
      <c r="M6832" s="19">
        <v>5500</v>
      </c>
      <c r="N6832" s="19" t="s">
        <v>66</v>
      </c>
      <c r="O6832" s="19" t="s">
        <v>141</v>
      </c>
      <c r="P6832" s="19">
        <v>13816</v>
      </c>
      <c r="Q6832" s="19">
        <f>3915+3915</f>
        <v>7830</v>
      </c>
      <c r="R6832" s="19">
        <f t="shared" si="298"/>
        <v>5986</v>
      </c>
      <c r="S6832" s="19">
        <v>2480</v>
      </c>
      <c r="T6832" s="19" t="s">
        <v>94</v>
      </c>
      <c r="U6832" s="102">
        <v>59425</v>
      </c>
      <c r="V6832" s="101">
        <v>45107</v>
      </c>
      <c r="W6832" s="17" t="s">
        <v>44</v>
      </c>
      <c r="X6832" s="17"/>
      <c r="Y6832" s="68">
        <v>45283</v>
      </c>
      <c r="Z6832" s="17" t="s">
        <v>1625</v>
      </c>
      <c r="AA6832" s="17"/>
      <c r="AB6832" s="17"/>
      <c r="AC6832" s="102"/>
      <c r="AD6832" s="65"/>
      <c r="AE6832" s="17" t="s">
        <v>1627</v>
      </c>
      <c r="AF6832" s="17" t="s">
        <v>737</v>
      </c>
      <c r="AG6832" s="17"/>
      <c r="AH6832" s="17"/>
      <c r="AI6832" s="17"/>
      <c r="AJ6832" s="17"/>
      <c r="AK6832" s="17"/>
      <c r="AL6832" s="17"/>
      <c r="AM6832" s="17"/>
      <c r="AN6832" s="17"/>
      <c r="AO6832" s="17"/>
      <c r="AP6832" s="17"/>
      <c r="AQ6832" s="17"/>
      <c r="AR6832" s="17"/>
    </row>
    <row r="6833" s="21" customFormat="1" hidden="1" spans="1:44">
      <c r="A6833" s="17"/>
      <c r="B6833" s="19">
        <v>924</v>
      </c>
      <c r="C6833" s="183">
        <v>45106</v>
      </c>
      <c r="D6833" s="17" t="s">
        <v>137</v>
      </c>
      <c r="E6833" s="17" t="s">
        <v>138</v>
      </c>
      <c r="F6833" s="17" t="s">
        <v>139</v>
      </c>
      <c r="G6833" s="17"/>
      <c r="H6833" s="19">
        <v>1.2085</v>
      </c>
      <c r="I6833" s="19"/>
      <c r="J6833" s="17" t="s">
        <v>49</v>
      </c>
      <c r="K6833" s="19">
        <v>2000</v>
      </c>
      <c r="L6833" s="167">
        <v>90</v>
      </c>
      <c r="M6833" s="19">
        <v>5500</v>
      </c>
      <c r="N6833" s="19" t="s">
        <v>66</v>
      </c>
      <c r="O6833" s="19" t="s">
        <v>141</v>
      </c>
      <c r="P6833" s="19">
        <v>15543</v>
      </c>
      <c r="Q6833" s="19">
        <f>4554+4703</f>
        <v>9257</v>
      </c>
      <c r="R6833" s="19">
        <f t="shared" si="298"/>
        <v>6286</v>
      </c>
      <c r="S6833" s="19">
        <v>2480</v>
      </c>
      <c r="T6833" s="19" t="s">
        <v>94</v>
      </c>
      <c r="U6833" s="102">
        <v>59425</v>
      </c>
      <c r="V6833" s="101">
        <v>45107</v>
      </c>
      <c r="W6833" s="17" t="s">
        <v>44</v>
      </c>
      <c r="X6833" s="17"/>
      <c r="Y6833" s="68">
        <v>45283</v>
      </c>
      <c r="Z6833" s="17" t="s">
        <v>1625</v>
      </c>
      <c r="AA6833" s="17"/>
      <c r="AB6833" s="17"/>
      <c r="AC6833" s="102"/>
      <c r="AD6833" s="65"/>
      <c r="AE6833" s="17" t="s">
        <v>1627</v>
      </c>
      <c r="AF6833" s="17" t="s">
        <v>737</v>
      </c>
      <c r="AG6833" s="17"/>
      <c r="AH6833" s="17"/>
      <c r="AI6833" s="17"/>
      <c r="AJ6833" s="17"/>
      <c r="AK6833" s="17"/>
      <c r="AL6833" s="17"/>
      <c r="AM6833" s="17"/>
      <c r="AN6833" s="17"/>
      <c r="AO6833" s="17"/>
      <c r="AP6833" s="17"/>
      <c r="AQ6833" s="17"/>
      <c r="AR6833" s="17"/>
    </row>
    <row r="6834" s="21" customFormat="1" hidden="1" spans="1:44">
      <c r="A6834" s="17" t="s">
        <v>34</v>
      </c>
      <c r="B6834" s="19">
        <v>924</v>
      </c>
      <c r="C6834" s="183">
        <v>45106</v>
      </c>
      <c r="D6834" s="17" t="s">
        <v>137</v>
      </c>
      <c r="E6834" s="17" t="s">
        <v>138</v>
      </c>
      <c r="F6834" s="17" t="s">
        <v>139</v>
      </c>
      <c r="G6834" s="17"/>
      <c r="H6834" s="19">
        <v>1.2085</v>
      </c>
      <c r="I6834" s="19"/>
      <c r="J6834" s="17" t="s">
        <v>49</v>
      </c>
      <c r="K6834" s="19">
        <v>2000</v>
      </c>
      <c r="L6834" s="261">
        <v>105</v>
      </c>
      <c r="M6834" s="19">
        <v>4700</v>
      </c>
      <c r="N6834" s="19" t="s">
        <v>66</v>
      </c>
      <c r="O6834" s="19" t="s">
        <v>141</v>
      </c>
      <c r="P6834" s="19">
        <v>15496</v>
      </c>
      <c r="Q6834" s="19">
        <v>5843</v>
      </c>
      <c r="R6834" s="19">
        <f t="shared" si="298"/>
        <v>9653</v>
      </c>
      <c r="S6834" s="19">
        <f>2480+220</f>
        <v>2700</v>
      </c>
      <c r="T6834" s="19" t="s">
        <v>94</v>
      </c>
      <c r="U6834" s="102">
        <v>59425</v>
      </c>
      <c r="V6834" s="101">
        <v>45107</v>
      </c>
      <c r="W6834" s="17" t="s">
        <v>44</v>
      </c>
      <c r="X6834" s="17"/>
      <c r="Y6834" s="68">
        <v>45283</v>
      </c>
      <c r="Z6834" s="17" t="s">
        <v>1625</v>
      </c>
      <c r="AA6834" s="17" t="s">
        <v>46</v>
      </c>
      <c r="AB6834" s="17" t="s">
        <v>1626</v>
      </c>
      <c r="AC6834" s="217">
        <v>45938</v>
      </c>
      <c r="AD6834" s="65">
        <v>1709</v>
      </c>
      <c r="AE6834" s="17" t="s">
        <v>1627</v>
      </c>
      <c r="AF6834" s="17"/>
      <c r="AG6834" s="17"/>
      <c r="AH6834" s="17"/>
      <c r="AI6834" s="17"/>
      <c r="AJ6834" s="17"/>
      <c r="AK6834" s="17"/>
      <c r="AL6834" s="17"/>
      <c r="AM6834" s="17"/>
      <c r="AN6834" s="17"/>
      <c r="AO6834" s="17"/>
      <c r="AP6834" s="17"/>
      <c r="AQ6834" s="17"/>
      <c r="AR6834" s="17"/>
    </row>
    <row r="6835" s="25" customFormat="1" hidden="1" spans="1:44">
      <c r="A6835" s="17" t="s">
        <v>34</v>
      </c>
      <c r="B6835" s="19">
        <v>1079</v>
      </c>
      <c r="C6835" s="183">
        <v>45883</v>
      </c>
      <c r="D6835" s="17" t="s">
        <v>52</v>
      </c>
      <c r="E6835" s="17" t="s">
        <v>53</v>
      </c>
      <c r="F6835" s="17" t="s">
        <v>54</v>
      </c>
      <c r="G6835" s="17"/>
      <c r="H6835" s="19" t="s">
        <v>55</v>
      </c>
      <c r="I6835" s="19"/>
      <c r="J6835" s="17" t="s">
        <v>49</v>
      </c>
      <c r="K6835" s="397">
        <v>610</v>
      </c>
      <c r="L6835" s="395">
        <v>45</v>
      </c>
      <c r="M6835" s="19">
        <v>5800</v>
      </c>
      <c r="N6835" s="19" t="s">
        <v>40</v>
      </c>
      <c r="O6835" s="19" t="s">
        <v>50</v>
      </c>
      <c r="P6835" s="19">
        <v>1800</v>
      </c>
      <c r="Q6835" s="19">
        <f>746+806+808</f>
        <v>2360</v>
      </c>
      <c r="R6835" s="19">
        <f t="shared" si="298"/>
        <v>-560</v>
      </c>
      <c r="S6835" s="19">
        <f t="shared" ref="S6835:S6858" si="299">2135-60-50</f>
        <v>2025</v>
      </c>
      <c r="T6835" s="19" t="s">
        <v>42</v>
      </c>
      <c r="U6835" s="102" t="s">
        <v>1628</v>
      </c>
      <c r="V6835" s="186">
        <v>45891</v>
      </c>
      <c r="W6835" s="17" t="s">
        <v>58</v>
      </c>
      <c r="X6835" s="17"/>
      <c r="Y6835" s="68">
        <v>45962</v>
      </c>
      <c r="Z6835" s="17" t="s">
        <v>45</v>
      </c>
      <c r="AA6835" s="17" t="s">
        <v>46</v>
      </c>
      <c r="AB6835" s="17" t="s">
        <v>1615</v>
      </c>
      <c r="AC6835" s="217">
        <v>45937</v>
      </c>
      <c r="AD6835" s="65">
        <v>1736</v>
      </c>
      <c r="AE6835" s="17" t="s">
        <v>48</v>
      </c>
      <c r="AF6835" s="17" t="s">
        <v>61</v>
      </c>
      <c r="AG6835" s="17" t="s">
        <v>1614</v>
      </c>
      <c r="AH6835" s="17"/>
      <c r="AI6835" s="17"/>
      <c r="AJ6835" s="17"/>
      <c r="AK6835" s="17"/>
      <c r="AL6835" s="17"/>
      <c r="AM6835" s="17"/>
      <c r="AN6835" s="17"/>
      <c r="AO6835" s="17"/>
      <c r="AP6835" s="17"/>
      <c r="AQ6835" s="17"/>
      <c r="AR6835" s="17"/>
    </row>
    <row r="6836" s="25" customFormat="1" hidden="1" spans="1:44">
      <c r="A6836" s="17" t="s">
        <v>34</v>
      </c>
      <c r="B6836" s="19">
        <v>1079</v>
      </c>
      <c r="C6836" s="183">
        <v>45883</v>
      </c>
      <c r="D6836" s="17" t="s">
        <v>52</v>
      </c>
      <c r="E6836" s="17" t="s">
        <v>53</v>
      </c>
      <c r="F6836" s="17" t="s">
        <v>54</v>
      </c>
      <c r="G6836" s="17"/>
      <c r="H6836" s="19" t="s">
        <v>55</v>
      </c>
      <c r="I6836" s="19"/>
      <c r="J6836" s="17" t="s">
        <v>49</v>
      </c>
      <c r="K6836" s="394">
        <v>610</v>
      </c>
      <c r="L6836" s="395">
        <v>50</v>
      </c>
      <c r="M6836" s="19">
        <v>5800</v>
      </c>
      <c r="N6836" s="19" t="s">
        <v>40</v>
      </c>
      <c r="O6836" s="19" t="s">
        <v>50</v>
      </c>
      <c r="P6836" s="19">
        <v>1800</v>
      </c>
      <c r="Q6836" s="19">
        <f>822+808</f>
        <v>1630</v>
      </c>
      <c r="R6836" s="19">
        <f t="shared" si="298"/>
        <v>170</v>
      </c>
      <c r="S6836" s="19">
        <f t="shared" si="299"/>
        <v>2025</v>
      </c>
      <c r="T6836" s="19" t="s">
        <v>42</v>
      </c>
      <c r="U6836" s="102" t="s">
        <v>1628</v>
      </c>
      <c r="V6836" s="186">
        <v>45891</v>
      </c>
      <c r="W6836" s="17" t="s">
        <v>58</v>
      </c>
      <c r="X6836" s="17"/>
      <c r="Y6836" s="68">
        <v>45962</v>
      </c>
      <c r="Z6836" s="17" t="s">
        <v>45</v>
      </c>
      <c r="AA6836" s="17" t="s">
        <v>46</v>
      </c>
      <c r="AB6836" s="17" t="s">
        <v>1617</v>
      </c>
      <c r="AC6836" s="217">
        <v>45967</v>
      </c>
      <c r="AD6836" s="65">
        <v>1741</v>
      </c>
      <c r="AE6836" s="17" t="s">
        <v>48</v>
      </c>
      <c r="AF6836" s="17" t="s">
        <v>61</v>
      </c>
      <c r="AG6836" s="17" t="s">
        <v>1614</v>
      </c>
      <c r="AH6836" s="17"/>
      <c r="AI6836" s="17"/>
      <c r="AJ6836" s="17"/>
      <c r="AK6836" s="17"/>
      <c r="AL6836" s="17"/>
      <c r="AM6836" s="17"/>
      <c r="AN6836" s="17"/>
      <c r="AO6836" s="17"/>
      <c r="AP6836" s="17"/>
      <c r="AQ6836" s="17"/>
      <c r="AR6836" s="17"/>
    </row>
    <row r="6837" s="25" customFormat="1" hidden="1" spans="1:44">
      <c r="A6837" s="17" t="s">
        <v>34</v>
      </c>
      <c r="B6837" s="19">
        <v>1079</v>
      </c>
      <c r="C6837" s="183">
        <v>45883</v>
      </c>
      <c r="D6837" s="17" t="s">
        <v>52</v>
      </c>
      <c r="E6837" s="17" t="s">
        <v>53</v>
      </c>
      <c r="F6837" s="17" t="s">
        <v>54</v>
      </c>
      <c r="G6837" s="17"/>
      <c r="H6837" s="19" t="s">
        <v>55</v>
      </c>
      <c r="I6837" s="19"/>
      <c r="J6837" s="17" t="s">
        <v>49</v>
      </c>
      <c r="K6837" s="394">
        <v>610</v>
      </c>
      <c r="L6837" s="395">
        <v>56</v>
      </c>
      <c r="M6837" s="19">
        <v>5800</v>
      </c>
      <c r="N6837" s="19" t="s">
        <v>40</v>
      </c>
      <c r="O6837" s="19" t="s">
        <v>50</v>
      </c>
      <c r="P6837" s="19">
        <v>1125</v>
      </c>
      <c r="Q6837" s="367">
        <v>1020</v>
      </c>
      <c r="R6837" s="19">
        <f t="shared" si="298"/>
        <v>105</v>
      </c>
      <c r="S6837" s="19">
        <f t="shared" si="299"/>
        <v>2025</v>
      </c>
      <c r="T6837" s="19" t="s">
        <v>42</v>
      </c>
      <c r="U6837" s="102" t="s">
        <v>1628</v>
      </c>
      <c r="V6837" s="186">
        <v>45891</v>
      </c>
      <c r="W6837" s="17" t="s">
        <v>58</v>
      </c>
      <c r="X6837" s="17"/>
      <c r="Y6837" s="68">
        <v>45962</v>
      </c>
      <c r="Z6837" s="17" t="s">
        <v>45</v>
      </c>
      <c r="AA6837" s="17" t="s">
        <v>46</v>
      </c>
      <c r="AB6837" s="17" t="s">
        <v>1629</v>
      </c>
      <c r="AC6837" s="217">
        <v>46006</v>
      </c>
      <c r="AD6837" s="65">
        <v>1763</v>
      </c>
      <c r="AE6837" s="17" t="s">
        <v>48</v>
      </c>
      <c r="AF6837" s="17" t="s">
        <v>61</v>
      </c>
      <c r="AG6837" s="17" t="s">
        <v>1614</v>
      </c>
      <c r="AH6837" s="17"/>
      <c r="AI6837" s="17"/>
      <c r="AJ6837" s="17"/>
      <c r="AK6837" s="17"/>
      <c r="AL6837" s="17"/>
      <c r="AM6837" s="17"/>
      <c r="AN6837" s="17"/>
      <c r="AO6837" s="17"/>
      <c r="AP6837" s="17"/>
      <c r="AQ6837" s="17"/>
      <c r="AR6837" s="17"/>
    </row>
    <row r="6838" s="25" customFormat="1" hidden="1" spans="1:44">
      <c r="A6838" s="17" t="s">
        <v>34</v>
      </c>
      <c r="B6838" s="19">
        <v>1079</v>
      </c>
      <c r="C6838" s="183">
        <v>45883</v>
      </c>
      <c r="D6838" s="17" t="s">
        <v>52</v>
      </c>
      <c r="E6838" s="17" t="s">
        <v>53</v>
      </c>
      <c r="F6838" s="17" t="s">
        <v>54</v>
      </c>
      <c r="G6838" s="17"/>
      <c r="H6838" s="19" t="s">
        <v>55</v>
      </c>
      <c r="I6838" s="19"/>
      <c r="J6838" s="17" t="s">
        <v>49</v>
      </c>
      <c r="K6838" s="394">
        <v>610</v>
      </c>
      <c r="L6838" s="395">
        <v>60</v>
      </c>
      <c r="M6838" s="19">
        <v>5800</v>
      </c>
      <c r="N6838" s="19" t="s">
        <v>40</v>
      </c>
      <c r="O6838" s="19" t="s">
        <v>50</v>
      </c>
      <c r="P6838" s="19">
        <v>1125</v>
      </c>
      <c r="Q6838" s="19">
        <v>1068</v>
      </c>
      <c r="R6838" s="19">
        <f t="shared" si="298"/>
        <v>57</v>
      </c>
      <c r="S6838" s="19">
        <f t="shared" si="299"/>
        <v>2025</v>
      </c>
      <c r="T6838" s="19" t="s">
        <v>42</v>
      </c>
      <c r="U6838" s="102" t="s">
        <v>1628</v>
      </c>
      <c r="V6838" s="186">
        <v>45891</v>
      </c>
      <c r="W6838" s="17" t="s">
        <v>58</v>
      </c>
      <c r="X6838" s="17"/>
      <c r="Y6838" s="68">
        <v>45962</v>
      </c>
      <c r="Z6838" s="17" t="s">
        <v>45</v>
      </c>
      <c r="AA6838" s="17" t="s">
        <v>46</v>
      </c>
      <c r="AB6838" s="17" t="s">
        <v>1615</v>
      </c>
      <c r="AC6838" s="217">
        <v>45937</v>
      </c>
      <c r="AD6838" s="65">
        <v>1736</v>
      </c>
      <c r="AE6838" s="17" t="s">
        <v>48</v>
      </c>
      <c r="AF6838" s="17" t="s">
        <v>61</v>
      </c>
      <c r="AG6838" s="17" t="s">
        <v>1614</v>
      </c>
      <c r="AH6838" s="17"/>
      <c r="AI6838" s="17"/>
      <c r="AJ6838" s="17"/>
      <c r="AK6838" s="17"/>
      <c r="AL6838" s="17"/>
      <c r="AM6838" s="17"/>
      <c r="AN6838" s="17"/>
      <c r="AO6838" s="17"/>
      <c r="AP6838" s="17"/>
      <c r="AQ6838" s="17"/>
      <c r="AR6838" s="17"/>
    </row>
    <row r="6839" s="25" customFormat="1" hidden="1" spans="1:44">
      <c r="A6839" s="17" t="s">
        <v>34</v>
      </c>
      <c r="B6839" s="19">
        <v>1079</v>
      </c>
      <c r="C6839" s="183">
        <v>45883</v>
      </c>
      <c r="D6839" s="17" t="s">
        <v>52</v>
      </c>
      <c r="E6839" s="17" t="s">
        <v>53</v>
      </c>
      <c r="F6839" s="17" t="s">
        <v>54</v>
      </c>
      <c r="G6839" s="17"/>
      <c r="H6839" s="19" t="s">
        <v>55</v>
      </c>
      <c r="I6839" s="19"/>
      <c r="J6839" s="17" t="s">
        <v>49</v>
      </c>
      <c r="K6839" s="394">
        <v>610</v>
      </c>
      <c r="L6839" s="395">
        <v>65</v>
      </c>
      <c r="M6839" s="19">
        <v>5800</v>
      </c>
      <c r="N6839" s="19" t="s">
        <v>40</v>
      </c>
      <c r="O6839" s="19" t="s">
        <v>50</v>
      </c>
      <c r="P6839" s="19">
        <v>2700</v>
      </c>
      <c r="Q6839" s="19">
        <v>1332</v>
      </c>
      <c r="R6839" s="19">
        <f t="shared" si="298"/>
        <v>1368</v>
      </c>
      <c r="S6839" s="19">
        <f t="shared" si="299"/>
        <v>2025</v>
      </c>
      <c r="T6839" s="19" t="s">
        <v>42</v>
      </c>
      <c r="U6839" s="102" t="s">
        <v>1628</v>
      </c>
      <c r="V6839" s="186">
        <v>45891</v>
      </c>
      <c r="W6839" s="17" t="s">
        <v>58</v>
      </c>
      <c r="X6839" s="17"/>
      <c r="Y6839" s="68">
        <v>45962</v>
      </c>
      <c r="Z6839" s="17" t="s">
        <v>45</v>
      </c>
      <c r="AA6839" s="17" t="s">
        <v>46</v>
      </c>
      <c r="AB6839" s="17" t="s">
        <v>1615</v>
      </c>
      <c r="AC6839" s="217">
        <v>45937</v>
      </c>
      <c r="AD6839" s="65">
        <v>1736</v>
      </c>
      <c r="AE6839" s="17" t="s">
        <v>48</v>
      </c>
      <c r="AF6839" s="17" t="s">
        <v>61</v>
      </c>
      <c r="AG6839" s="17" t="s">
        <v>1614</v>
      </c>
      <c r="AH6839" s="17"/>
      <c r="AI6839" s="17"/>
      <c r="AJ6839" s="17"/>
      <c r="AK6839" s="17"/>
      <c r="AL6839" s="17"/>
      <c r="AM6839" s="17"/>
      <c r="AN6839" s="17"/>
      <c r="AO6839" s="17"/>
      <c r="AP6839" s="17"/>
      <c r="AQ6839" s="17"/>
      <c r="AR6839" s="17"/>
    </row>
    <row r="6840" s="25" customFormat="1" hidden="1" spans="1:44">
      <c r="A6840" s="17" t="s">
        <v>34</v>
      </c>
      <c r="B6840" s="19">
        <v>1079</v>
      </c>
      <c r="C6840" s="183">
        <v>45883</v>
      </c>
      <c r="D6840" s="17" t="s">
        <v>52</v>
      </c>
      <c r="E6840" s="17" t="s">
        <v>53</v>
      </c>
      <c r="F6840" s="17" t="s">
        <v>54</v>
      </c>
      <c r="G6840" s="17"/>
      <c r="H6840" s="19" t="s">
        <v>55</v>
      </c>
      <c r="I6840" s="19"/>
      <c r="J6840" s="17" t="s">
        <v>49</v>
      </c>
      <c r="K6840" s="394">
        <v>610</v>
      </c>
      <c r="L6840" s="395">
        <v>71</v>
      </c>
      <c r="M6840" s="19">
        <v>5800</v>
      </c>
      <c r="N6840" s="19" t="s">
        <v>40</v>
      </c>
      <c r="O6840" s="19" t="s">
        <v>50</v>
      </c>
      <c r="P6840" s="19">
        <v>1350</v>
      </c>
      <c r="Q6840" s="19">
        <v>1318</v>
      </c>
      <c r="R6840" s="19">
        <f t="shared" si="298"/>
        <v>32</v>
      </c>
      <c r="S6840" s="19">
        <f t="shared" si="299"/>
        <v>2025</v>
      </c>
      <c r="T6840" s="19" t="s">
        <v>42</v>
      </c>
      <c r="U6840" s="102" t="s">
        <v>1628</v>
      </c>
      <c r="V6840" s="186">
        <v>45891</v>
      </c>
      <c r="W6840" s="17" t="s">
        <v>58</v>
      </c>
      <c r="X6840" s="17"/>
      <c r="Y6840" s="68">
        <v>45962</v>
      </c>
      <c r="Z6840" s="17" t="s">
        <v>45</v>
      </c>
      <c r="AA6840" s="17" t="s">
        <v>46</v>
      </c>
      <c r="AB6840" s="17" t="s">
        <v>1615</v>
      </c>
      <c r="AC6840" s="217">
        <v>45937</v>
      </c>
      <c r="AD6840" s="65">
        <v>1736</v>
      </c>
      <c r="AE6840" s="17" t="s">
        <v>48</v>
      </c>
      <c r="AF6840" s="17" t="s">
        <v>61</v>
      </c>
      <c r="AG6840" s="17" t="s">
        <v>1614</v>
      </c>
      <c r="AH6840" s="17"/>
      <c r="AI6840" s="17"/>
      <c r="AJ6840" s="17"/>
      <c r="AK6840" s="17"/>
      <c r="AL6840" s="17"/>
      <c r="AM6840" s="17"/>
      <c r="AN6840" s="17"/>
      <c r="AO6840" s="17"/>
      <c r="AP6840" s="17"/>
      <c r="AQ6840" s="17"/>
      <c r="AR6840" s="17"/>
    </row>
    <row r="6841" s="25" customFormat="1" hidden="1" spans="1:44">
      <c r="A6841" s="17" t="s">
        <v>34</v>
      </c>
      <c r="B6841" s="19">
        <v>1079</v>
      </c>
      <c r="C6841" s="183">
        <v>45883</v>
      </c>
      <c r="D6841" s="17" t="s">
        <v>52</v>
      </c>
      <c r="E6841" s="17" t="s">
        <v>53</v>
      </c>
      <c r="F6841" s="17" t="s">
        <v>54</v>
      </c>
      <c r="G6841" s="17"/>
      <c r="H6841" s="19" t="s">
        <v>55</v>
      </c>
      <c r="I6841" s="19"/>
      <c r="J6841" s="17" t="s">
        <v>49</v>
      </c>
      <c r="K6841" s="394">
        <v>610</v>
      </c>
      <c r="L6841" s="395">
        <v>75</v>
      </c>
      <c r="M6841" s="19">
        <v>5800</v>
      </c>
      <c r="N6841" s="19" t="s">
        <v>40</v>
      </c>
      <c r="O6841" s="19" t="s">
        <v>50</v>
      </c>
      <c r="P6841" s="19">
        <v>1500</v>
      </c>
      <c r="Q6841" s="19">
        <v>1438</v>
      </c>
      <c r="R6841" s="19">
        <f t="shared" si="298"/>
        <v>62</v>
      </c>
      <c r="S6841" s="19">
        <f t="shared" si="299"/>
        <v>2025</v>
      </c>
      <c r="T6841" s="19" t="s">
        <v>42</v>
      </c>
      <c r="U6841" s="102" t="s">
        <v>1628</v>
      </c>
      <c r="V6841" s="186">
        <v>45891</v>
      </c>
      <c r="W6841" s="17" t="s">
        <v>58</v>
      </c>
      <c r="X6841" s="17"/>
      <c r="Y6841" s="68">
        <v>45962</v>
      </c>
      <c r="Z6841" s="17" t="s">
        <v>45</v>
      </c>
      <c r="AA6841" s="17" t="s">
        <v>46</v>
      </c>
      <c r="AB6841" s="17" t="s">
        <v>1617</v>
      </c>
      <c r="AC6841" s="217">
        <v>45967</v>
      </c>
      <c r="AD6841" s="65">
        <v>1741</v>
      </c>
      <c r="AE6841" s="17" t="s">
        <v>48</v>
      </c>
      <c r="AF6841" s="17" t="s">
        <v>61</v>
      </c>
      <c r="AG6841" s="17" t="s">
        <v>1614</v>
      </c>
      <c r="AH6841" s="17"/>
      <c r="AI6841" s="17"/>
      <c r="AJ6841" s="17"/>
      <c r="AK6841" s="17"/>
      <c r="AL6841" s="17"/>
      <c r="AM6841" s="17"/>
      <c r="AN6841" s="17"/>
      <c r="AO6841" s="17"/>
      <c r="AP6841" s="17"/>
      <c r="AQ6841" s="17"/>
      <c r="AR6841" s="17"/>
    </row>
    <row r="6842" s="25" customFormat="1" hidden="1" spans="1:44">
      <c r="A6842" s="17" t="s">
        <v>34</v>
      </c>
      <c r="B6842" s="19">
        <v>1079</v>
      </c>
      <c r="C6842" s="183">
        <v>45883</v>
      </c>
      <c r="D6842" s="17" t="s">
        <v>52</v>
      </c>
      <c r="E6842" s="17" t="s">
        <v>53</v>
      </c>
      <c r="F6842" s="17" t="s">
        <v>54</v>
      </c>
      <c r="G6842" s="17"/>
      <c r="H6842" s="19" t="s">
        <v>55</v>
      </c>
      <c r="I6842" s="19"/>
      <c r="J6842" s="17" t="s">
        <v>49</v>
      </c>
      <c r="K6842" s="394">
        <v>610</v>
      </c>
      <c r="L6842" s="395">
        <v>81</v>
      </c>
      <c r="M6842" s="19">
        <v>5800</v>
      </c>
      <c r="N6842" s="19" t="s">
        <v>40</v>
      </c>
      <c r="O6842" s="19" t="s">
        <v>50</v>
      </c>
      <c r="P6842" s="19">
        <v>1500</v>
      </c>
      <c r="Q6842" s="19">
        <v>1552</v>
      </c>
      <c r="R6842" s="19">
        <f t="shared" si="298"/>
        <v>-52</v>
      </c>
      <c r="S6842" s="19">
        <f t="shared" si="299"/>
        <v>2025</v>
      </c>
      <c r="T6842" s="19" t="s">
        <v>42</v>
      </c>
      <c r="U6842" s="102" t="s">
        <v>1628</v>
      </c>
      <c r="V6842" s="186">
        <v>45891</v>
      </c>
      <c r="W6842" s="17" t="s">
        <v>58</v>
      </c>
      <c r="X6842" s="17"/>
      <c r="Y6842" s="68">
        <v>45962</v>
      </c>
      <c r="Z6842" s="17" t="s">
        <v>45</v>
      </c>
      <c r="AA6842" s="17" t="s">
        <v>46</v>
      </c>
      <c r="AB6842" s="17" t="s">
        <v>1615</v>
      </c>
      <c r="AC6842" s="217">
        <v>45937</v>
      </c>
      <c r="AD6842" s="65">
        <v>1736</v>
      </c>
      <c r="AE6842" s="17" t="s">
        <v>48</v>
      </c>
      <c r="AF6842" s="17" t="s">
        <v>61</v>
      </c>
      <c r="AG6842" s="17" t="s">
        <v>1614</v>
      </c>
      <c r="AH6842" s="17"/>
      <c r="AI6842" s="17"/>
      <c r="AJ6842" s="17"/>
      <c r="AK6842" s="17"/>
      <c r="AL6842" s="17"/>
      <c r="AM6842" s="17"/>
      <c r="AN6842" s="17"/>
      <c r="AO6842" s="17"/>
      <c r="AP6842" s="17"/>
      <c r="AQ6842" s="17"/>
      <c r="AR6842" s="17"/>
    </row>
    <row r="6843" s="25" customFormat="1" hidden="1" spans="1:44">
      <c r="A6843" s="17" t="s">
        <v>34</v>
      </c>
      <c r="B6843" s="19">
        <v>1079</v>
      </c>
      <c r="C6843" s="183">
        <v>45883</v>
      </c>
      <c r="D6843" s="17" t="s">
        <v>52</v>
      </c>
      <c r="E6843" s="17" t="s">
        <v>53</v>
      </c>
      <c r="F6843" s="17" t="s">
        <v>54</v>
      </c>
      <c r="G6843" s="17"/>
      <c r="H6843" s="19" t="s">
        <v>55</v>
      </c>
      <c r="I6843" s="19"/>
      <c r="J6843" s="17" t="s">
        <v>49</v>
      </c>
      <c r="K6843" s="394">
        <v>810</v>
      </c>
      <c r="L6843" s="395">
        <v>85</v>
      </c>
      <c r="M6843" s="19">
        <v>5800</v>
      </c>
      <c r="N6843" s="19" t="s">
        <v>40</v>
      </c>
      <c r="O6843" s="19" t="s">
        <v>50</v>
      </c>
      <c r="P6843" s="19">
        <v>1875</v>
      </c>
      <c r="Q6843" s="19">
        <v>1830</v>
      </c>
      <c r="R6843" s="19">
        <f t="shared" si="298"/>
        <v>45</v>
      </c>
      <c r="S6843" s="19">
        <f t="shared" si="299"/>
        <v>2025</v>
      </c>
      <c r="T6843" s="19" t="s">
        <v>42</v>
      </c>
      <c r="U6843" s="102" t="s">
        <v>1628</v>
      </c>
      <c r="V6843" s="186">
        <v>45891</v>
      </c>
      <c r="W6843" s="17" t="s">
        <v>58</v>
      </c>
      <c r="X6843" s="17"/>
      <c r="Y6843" s="68">
        <v>45962</v>
      </c>
      <c r="Z6843" s="17" t="s">
        <v>45</v>
      </c>
      <c r="AA6843" s="17" t="s">
        <v>46</v>
      </c>
      <c r="AB6843" s="17" t="s">
        <v>1617</v>
      </c>
      <c r="AC6843" s="217">
        <v>45967</v>
      </c>
      <c r="AD6843" s="65">
        <v>1741</v>
      </c>
      <c r="AE6843" s="17" t="s">
        <v>48</v>
      </c>
      <c r="AF6843" s="17" t="s">
        <v>61</v>
      </c>
      <c r="AG6843" s="17" t="s">
        <v>1614</v>
      </c>
      <c r="AH6843" s="17"/>
      <c r="AI6843" s="17"/>
      <c r="AJ6843" s="17"/>
      <c r="AK6843" s="17"/>
      <c r="AL6843" s="17"/>
      <c r="AM6843" s="17"/>
      <c r="AN6843" s="17"/>
      <c r="AO6843" s="17"/>
      <c r="AP6843" s="17"/>
      <c r="AQ6843" s="17"/>
      <c r="AR6843" s="17"/>
    </row>
    <row r="6844" s="25" customFormat="1" hidden="1" spans="1:44">
      <c r="A6844" s="17" t="s">
        <v>34</v>
      </c>
      <c r="B6844" s="19">
        <v>1079</v>
      </c>
      <c r="C6844" s="183">
        <v>45883</v>
      </c>
      <c r="D6844" s="17" t="s">
        <v>52</v>
      </c>
      <c r="E6844" s="17" t="s">
        <v>53</v>
      </c>
      <c r="F6844" s="17" t="s">
        <v>54</v>
      </c>
      <c r="G6844" s="17"/>
      <c r="H6844" s="19" t="s">
        <v>55</v>
      </c>
      <c r="I6844" s="19"/>
      <c r="J6844" s="17" t="s">
        <v>49</v>
      </c>
      <c r="K6844" s="394">
        <v>810</v>
      </c>
      <c r="L6844" s="395">
        <v>91</v>
      </c>
      <c r="M6844" s="19">
        <v>5800</v>
      </c>
      <c r="N6844" s="19" t="s">
        <v>40</v>
      </c>
      <c r="O6844" s="19" t="s">
        <v>50</v>
      </c>
      <c r="P6844" s="19">
        <v>2250</v>
      </c>
      <c r="Q6844" s="19">
        <v>2140</v>
      </c>
      <c r="R6844" s="19">
        <f t="shared" si="298"/>
        <v>110</v>
      </c>
      <c r="S6844" s="19">
        <f t="shared" si="299"/>
        <v>2025</v>
      </c>
      <c r="T6844" s="19" t="s">
        <v>42</v>
      </c>
      <c r="U6844" s="102" t="s">
        <v>1628</v>
      </c>
      <c r="V6844" s="186">
        <v>45891</v>
      </c>
      <c r="W6844" s="17" t="s">
        <v>58</v>
      </c>
      <c r="X6844" s="17"/>
      <c r="Y6844" s="68">
        <v>45962</v>
      </c>
      <c r="Z6844" s="17" t="s">
        <v>45</v>
      </c>
      <c r="AA6844" s="17" t="s">
        <v>46</v>
      </c>
      <c r="AB6844" s="17" t="s">
        <v>1615</v>
      </c>
      <c r="AC6844" s="217">
        <v>45937</v>
      </c>
      <c r="AD6844" s="65">
        <v>1736</v>
      </c>
      <c r="AE6844" s="17" t="s">
        <v>48</v>
      </c>
      <c r="AF6844" s="17" t="s">
        <v>61</v>
      </c>
      <c r="AG6844" s="17" t="s">
        <v>1614</v>
      </c>
      <c r="AH6844" s="17"/>
      <c r="AI6844" s="17"/>
      <c r="AJ6844" s="17"/>
      <c r="AK6844" s="17"/>
      <c r="AL6844" s="17"/>
      <c r="AM6844" s="17"/>
      <c r="AN6844" s="17"/>
      <c r="AO6844" s="17"/>
      <c r="AP6844" s="17"/>
      <c r="AQ6844" s="17"/>
      <c r="AR6844" s="17"/>
    </row>
    <row r="6845" s="25" customFormat="1" hidden="1" spans="1:44">
      <c r="A6845" s="17" t="s">
        <v>34</v>
      </c>
      <c r="B6845" s="19">
        <v>1079</v>
      </c>
      <c r="C6845" s="183">
        <v>45883</v>
      </c>
      <c r="D6845" s="17" t="s">
        <v>52</v>
      </c>
      <c r="E6845" s="17" t="s">
        <v>53</v>
      </c>
      <c r="F6845" s="17" t="s">
        <v>54</v>
      </c>
      <c r="G6845" s="17"/>
      <c r="H6845" s="19" t="s">
        <v>55</v>
      </c>
      <c r="I6845" s="19"/>
      <c r="J6845" s="17" t="s">
        <v>49</v>
      </c>
      <c r="K6845" s="394">
        <v>810</v>
      </c>
      <c r="L6845" s="395">
        <v>100</v>
      </c>
      <c r="M6845" s="19">
        <v>5800</v>
      </c>
      <c r="N6845" s="19" t="s">
        <v>40</v>
      </c>
      <c r="O6845" s="19" t="s">
        <v>50</v>
      </c>
      <c r="P6845" s="19">
        <v>2250</v>
      </c>
      <c r="Q6845" s="19">
        <v>2185</v>
      </c>
      <c r="R6845" s="19">
        <f t="shared" si="298"/>
        <v>65</v>
      </c>
      <c r="S6845" s="19">
        <f t="shared" si="299"/>
        <v>2025</v>
      </c>
      <c r="T6845" s="19" t="s">
        <v>42</v>
      </c>
      <c r="U6845" s="102" t="s">
        <v>1628</v>
      </c>
      <c r="V6845" s="186">
        <v>45891</v>
      </c>
      <c r="W6845" s="17" t="s">
        <v>58</v>
      </c>
      <c r="X6845" s="17"/>
      <c r="Y6845" s="68">
        <v>45962</v>
      </c>
      <c r="Z6845" s="17" t="s">
        <v>45</v>
      </c>
      <c r="AA6845" s="17" t="s">
        <v>46</v>
      </c>
      <c r="AB6845" s="17" t="s">
        <v>1617</v>
      </c>
      <c r="AC6845" s="217">
        <v>45967</v>
      </c>
      <c r="AD6845" s="65">
        <v>1741</v>
      </c>
      <c r="AE6845" s="17" t="s">
        <v>48</v>
      </c>
      <c r="AF6845" s="17" t="s">
        <v>61</v>
      </c>
      <c r="AG6845" s="17" t="s">
        <v>1614</v>
      </c>
      <c r="AH6845" s="17"/>
      <c r="AI6845" s="17"/>
      <c r="AJ6845" s="17"/>
      <c r="AK6845" s="17"/>
      <c r="AL6845" s="17"/>
      <c r="AM6845" s="17"/>
      <c r="AN6845" s="17"/>
      <c r="AO6845" s="17"/>
      <c r="AP6845" s="17"/>
      <c r="AQ6845" s="17"/>
      <c r="AR6845" s="17"/>
    </row>
    <row r="6846" s="25" customFormat="1" hidden="1" spans="1:44">
      <c r="A6846" s="17" t="s">
        <v>34</v>
      </c>
      <c r="B6846" s="19">
        <v>1079</v>
      </c>
      <c r="C6846" s="183">
        <v>45883</v>
      </c>
      <c r="D6846" s="17" t="s">
        <v>52</v>
      </c>
      <c r="E6846" s="17" t="s">
        <v>53</v>
      </c>
      <c r="F6846" s="17" t="s">
        <v>54</v>
      </c>
      <c r="G6846" s="17"/>
      <c r="H6846" s="19" t="s">
        <v>55</v>
      </c>
      <c r="I6846" s="19"/>
      <c r="J6846" s="17" t="s">
        <v>49</v>
      </c>
      <c r="K6846" s="398">
        <v>810</v>
      </c>
      <c r="L6846" s="395">
        <v>105</v>
      </c>
      <c r="M6846" s="19">
        <v>5800</v>
      </c>
      <c r="N6846" s="19" t="s">
        <v>40</v>
      </c>
      <c r="O6846" s="19" t="s">
        <v>50</v>
      </c>
      <c r="P6846" s="19">
        <v>2625</v>
      </c>
      <c r="Q6846" s="19">
        <v>2651</v>
      </c>
      <c r="R6846" s="19">
        <f t="shared" si="298"/>
        <v>-26</v>
      </c>
      <c r="S6846" s="19">
        <f t="shared" si="299"/>
        <v>2025</v>
      </c>
      <c r="T6846" s="19" t="s">
        <v>42</v>
      </c>
      <c r="U6846" s="102" t="s">
        <v>1628</v>
      </c>
      <c r="V6846" s="186">
        <v>45891</v>
      </c>
      <c r="W6846" s="17" t="s">
        <v>58</v>
      </c>
      <c r="X6846" s="17"/>
      <c r="Y6846" s="68">
        <v>45962</v>
      </c>
      <c r="Z6846" s="17" t="s">
        <v>45</v>
      </c>
      <c r="AA6846" s="17" t="s">
        <v>46</v>
      </c>
      <c r="AB6846" s="17" t="s">
        <v>1617</v>
      </c>
      <c r="AC6846" s="217">
        <v>45967</v>
      </c>
      <c r="AD6846" s="65">
        <v>1741</v>
      </c>
      <c r="AE6846" s="17" t="s">
        <v>48</v>
      </c>
      <c r="AF6846" s="17" t="s">
        <v>61</v>
      </c>
      <c r="AG6846" s="17" t="s">
        <v>1614</v>
      </c>
      <c r="AH6846" s="17"/>
      <c r="AI6846" s="17"/>
      <c r="AJ6846" s="17"/>
      <c r="AK6846" s="17"/>
      <c r="AL6846" s="17"/>
      <c r="AM6846" s="17"/>
      <c r="AN6846" s="17"/>
      <c r="AO6846" s="17"/>
      <c r="AP6846" s="17"/>
      <c r="AQ6846" s="17"/>
      <c r="AR6846" s="17"/>
    </row>
    <row r="6847" s="25" customFormat="1" hidden="1" spans="1:44">
      <c r="A6847" s="17" t="s">
        <v>34</v>
      </c>
      <c r="B6847" s="19">
        <v>1079</v>
      </c>
      <c r="C6847" s="183">
        <v>45883</v>
      </c>
      <c r="D6847" s="17" t="s">
        <v>52</v>
      </c>
      <c r="E6847" s="17" t="s">
        <v>53</v>
      </c>
      <c r="F6847" s="17" t="s">
        <v>54</v>
      </c>
      <c r="G6847" s="17"/>
      <c r="H6847" s="19" t="s">
        <v>55</v>
      </c>
      <c r="I6847" s="19"/>
      <c r="J6847" s="17" t="s">
        <v>49</v>
      </c>
      <c r="K6847" s="398">
        <v>810</v>
      </c>
      <c r="L6847" s="395">
        <v>120</v>
      </c>
      <c r="M6847" s="19">
        <v>5800</v>
      </c>
      <c r="N6847" s="19" t="s">
        <v>40</v>
      </c>
      <c r="O6847" s="19" t="s">
        <v>50</v>
      </c>
      <c r="P6847" s="19">
        <v>2625</v>
      </c>
      <c r="Q6847" s="19">
        <v>3142</v>
      </c>
      <c r="R6847" s="19">
        <f t="shared" si="298"/>
        <v>-517</v>
      </c>
      <c r="S6847" s="19">
        <f t="shared" si="299"/>
        <v>2025</v>
      </c>
      <c r="T6847" s="19" t="s">
        <v>42</v>
      </c>
      <c r="U6847" s="102" t="s">
        <v>1628</v>
      </c>
      <c r="V6847" s="186">
        <v>45891</v>
      </c>
      <c r="W6847" s="17" t="s">
        <v>58</v>
      </c>
      <c r="X6847" s="17"/>
      <c r="Y6847" s="68">
        <v>45962</v>
      </c>
      <c r="Z6847" s="17" t="s">
        <v>45</v>
      </c>
      <c r="AA6847" s="17" t="s">
        <v>46</v>
      </c>
      <c r="AB6847" s="17" t="s">
        <v>1617</v>
      </c>
      <c r="AC6847" s="217">
        <v>45967</v>
      </c>
      <c r="AD6847" s="65">
        <v>1741</v>
      </c>
      <c r="AE6847" s="17" t="s">
        <v>48</v>
      </c>
      <c r="AF6847" s="17" t="s">
        <v>61</v>
      </c>
      <c r="AG6847" s="17" t="s">
        <v>1614</v>
      </c>
      <c r="AH6847" s="17"/>
      <c r="AI6847" s="17"/>
      <c r="AJ6847" s="17"/>
      <c r="AK6847" s="17"/>
      <c r="AL6847" s="17"/>
      <c r="AM6847" s="17"/>
      <c r="AN6847" s="17"/>
      <c r="AO6847" s="17"/>
      <c r="AP6847" s="17"/>
      <c r="AQ6847" s="17"/>
      <c r="AR6847" s="17"/>
    </row>
    <row r="6848" s="25" customFormat="1" hidden="1" spans="1:44">
      <c r="A6848" s="17" t="s">
        <v>34</v>
      </c>
      <c r="B6848" s="19">
        <v>1079</v>
      </c>
      <c r="C6848" s="183">
        <v>45883</v>
      </c>
      <c r="D6848" s="17" t="s">
        <v>52</v>
      </c>
      <c r="E6848" s="17" t="s">
        <v>53</v>
      </c>
      <c r="F6848" s="17" t="s">
        <v>54</v>
      </c>
      <c r="G6848" s="17"/>
      <c r="H6848" s="19" t="s">
        <v>55</v>
      </c>
      <c r="I6848" s="19"/>
      <c r="J6848" s="17" t="s">
        <v>49</v>
      </c>
      <c r="K6848" s="398">
        <v>810</v>
      </c>
      <c r="L6848" s="395">
        <v>130</v>
      </c>
      <c r="M6848" s="19">
        <v>5800</v>
      </c>
      <c r="N6848" s="19" t="s">
        <v>40</v>
      </c>
      <c r="O6848" s="19" t="s">
        <v>50</v>
      </c>
      <c r="P6848" s="19">
        <v>3000</v>
      </c>
      <c r="Q6848" s="19">
        <v>3040</v>
      </c>
      <c r="R6848" s="19">
        <f t="shared" si="298"/>
        <v>-40</v>
      </c>
      <c r="S6848" s="19">
        <f t="shared" si="299"/>
        <v>2025</v>
      </c>
      <c r="T6848" s="19" t="s">
        <v>42</v>
      </c>
      <c r="U6848" s="102" t="s">
        <v>1628</v>
      </c>
      <c r="V6848" s="186">
        <v>45891</v>
      </c>
      <c r="W6848" s="17" t="s">
        <v>58</v>
      </c>
      <c r="X6848" s="17"/>
      <c r="Y6848" s="68">
        <v>45962</v>
      </c>
      <c r="Z6848" s="17" t="s">
        <v>45</v>
      </c>
      <c r="AA6848" s="17" t="s">
        <v>46</v>
      </c>
      <c r="AB6848" s="17" t="s">
        <v>1615</v>
      </c>
      <c r="AC6848" s="217">
        <v>45937</v>
      </c>
      <c r="AD6848" s="65">
        <v>1736</v>
      </c>
      <c r="AE6848" s="17" t="s">
        <v>48</v>
      </c>
      <c r="AF6848" s="17" t="s">
        <v>61</v>
      </c>
      <c r="AG6848" s="17" t="s">
        <v>1614</v>
      </c>
      <c r="AH6848" s="17"/>
      <c r="AI6848" s="17"/>
      <c r="AJ6848" s="17"/>
      <c r="AK6848" s="17"/>
      <c r="AL6848" s="17"/>
      <c r="AM6848" s="17"/>
      <c r="AN6848" s="17"/>
      <c r="AO6848" s="17"/>
      <c r="AP6848" s="17"/>
      <c r="AQ6848" s="17"/>
      <c r="AR6848" s="17"/>
    </row>
    <row r="6849" s="25" customFormat="1" hidden="1" spans="1:44">
      <c r="A6849" s="17" t="s">
        <v>34</v>
      </c>
      <c r="B6849" s="19">
        <v>1079</v>
      </c>
      <c r="C6849" s="183">
        <v>45883</v>
      </c>
      <c r="D6849" s="17" t="s">
        <v>52</v>
      </c>
      <c r="E6849" s="17" t="s">
        <v>53</v>
      </c>
      <c r="F6849" s="17" t="s">
        <v>54</v>
      </c>
      <c r="G6849" s="17"/>
      <c r="H6849" s="19" t="s">
        <v>55</v>
      </c>
      <c r="I6849" s="19"/>
      <c r="J6849" s="17" t="s">
        <v>49</v>
      </c>
      <c r="K6849" s="398">
        <v>810</v>
      </c>
      <c r="L6849" s="395">
        <v>140</v>
      </c>
      <c r="M6849" s="19">
        <v>5800</v>
      </c>
      <c r="N6849" s="19" t="s">
        <v>40</v>
      </c>
      <c r="O6849" s="19" t="s">
        <v>50</v>
      </c>
      <c r="P6849" s="19">
        <v>3375</v>
      </c>
      <c r="Q6849" s="19">
        <v>3472</v>
      </c>
      <c r="R6849" s="19">
        <f t="shared" si="298"/>
        <v>-97</v>
      </c>
      <c r="S6849" s="19">
        <f t="shared" si="299"/>
        <v>2025</v>
      </c>
      <c r="T6849" s="19" t="s">
        <v>42</v>
      </c>
      <c r="U6849" s="102" t="s">
        <v>1628</v>
      </c>
      <c r="V6849" s="186">
        <v>45891</v>
      </c>
      <c r="W6849" s="17" t="s">
        <v>58</v>
      </c>
      <c r="X6849" s="17"/>
      <c r="Y6849" s="68">
        <v>45962</v>
      </c>
      <c r="Z6849" s="17" t="s">
        <v>45</v>
      </c>
      <c r="AA6849" s="17" t="s">
        <v>46</v>
      </c>
      <c r="AB6849" s="17" t="s">
        <v>1615</v>
      </c>
      <c r="AC6849" s="217">
        <v>45937</v>
      </c>
      <c r="AD6849" s="65">
        <v>1736</v>
      </c>
      <c r="AE6849" s="17" t="s">
        <v>48</v>
      </c>
      <c r="AF6849" s="17" t="s">
        <v>61</v>
      </c>
      <c r="AG6849" s="17" t="s">
        <v>1614</v>
      </c>
      <c r="AH6849" s="17"/>
      <c r="AI6849" s="17"/>
      <c r="AJ6849" s="17"/>
      <c r="AK6849" s="17"/>
      <c r="AL6849" s="17"/>
      <c r="AM6849" s="17"/>
      <c r="AN6849" s="17"/>
      <c r="AO6849" s="17"/>
      <c r="AP6849" s="17"/>
      <c r="AQ6849" s="17"/>
      <c r="AR6849" s="17"/>
    </row>
    <row r="6850" s="25" customFormat="1" hidden="1" spans="1:44">
      <c r="A6850" s="17" t="s">
        <v>34</v>
      </c>
      <c r="B6850" s="19">
        <v>1079</v>
      </c>
      <c r="C6850" s="183">
        <v>45883</v>
      </c>
      <c r="D6850" s="17" t="s">
        <v>52</v>
      </c>
      <c r="E6850" s="17" t="s">
        <v>53</v>
      </c>
      <c r="F6850" s="17" t="s">
        <v>54</v>
      </c>
      <c r="G6850" s="17"/>
      <c r="H6850" s="19" t="s">
        <v>55</v>
      </c>
      <c r="I6850" s="19"/>
      <c r="J6850" s="17" t="s">
        <v>49</v>
      </c>
      <c r="K6850" s="398">
        <v>810</v>
      </c>
      <c r="L6850" s="395">
        <v>155</v>
      </c>
      <c r="M6850" s="19">
        <v>5800</v>
      </c>
      <c r="N6850" s="19" t="s">
        <v>40</v>
      </c>
      <c r="O6850" s="19" t="s">
        <v>50</v>
      </c>
      <c r="P6850" s="19">
        <v>3750</v>
      </c>
      <c r="Q6850" s="19">
        <v>3938</v>
      </c>
      <c r="R6850" s="19">
        <f t="shared" si="298"/>
        <v>-188</v>
      </c>
      <c r="S6850" s="19">
        <f t="shared" si="299"/>
        <v>2025</v>
      </c>
      <c r="T6850" s="19" t="s">
        <v>42</v>
      </c>
      <c r="U6850" s="102" t="s">
        <v>1628</v>
      </c>
      <c r="V6850" s="186">
        <v>45891</v>
      </c>
      <c r="W6850" s="17" t="s">
        <v>58</v>
      </c>
      <c r="X6850" s="17"/>
      <c r="Y6850" s="68">
        <v>45962</v>
      </c>
      <c r="Z6850" s="17" t="s">
        <v>45</v>
      </c>
      <c r="AA6850" s="17" t="s">
        <v>46</v>
      </c>
      <c r="AB6850" s="17" t="s">
        <v>1615</v>
      </c>
      <c r="AC6850" s="217">
        <v>45937</v>
      </c>
      <c r="AD6850" s="65">
        <v>1736</v>
      </c>
      <c r="AE6850" s="17" t="s">
        <v>48</v>
      </c>
      <c r="AF6850" s="17" t="s">
        <v>61</v>
      </c>
      <c r="AG6850" s="17" t="s">
        <v>1614</v>
      </c>
      <c r="AH6850" s="17"/>
      <c r="AI6850" s="17"/>
      <c r="AJ6850" s="17"/>
      <c r="AK6850" s="17"/>
      <c r="AL6850" s="17"/>
      <c r="AM6850" s="17"/>
      <c r="AN6850" s="17"/>
      <c r="AO6850" s="17"/>
      <c r="AP6850" s="17"/>
      <c r="AQ6850" s="17"/>
      <c r="AR6850" s="17"/>
    </row>
    <row r="6851" s="25" customFormat="1" hidden="1" spans="1:44">
      <c r="A6851" s="17" t="s">
        <v>34</v>
      </c>
      <c r="B6851" s="19">
        <v>1079</v>
      </c>
      <c r="C6851" s="183">
        <v>45883</v>
      </c>
      <c r="D6851" s="17" t="s">
        <v>52</v>
      </c>
      <c r="E6851" s="17" t="s">
        <v>53</v>
      </c>
      <c r="F6851" s="17" t="s">
        <v>54</v>
      </c>
      <c r="G6851" s="17"/>
      <c r="H6851" s="19" t="s">
        <v>55</v>
      </c>
      <c r="I6851" s="19"/>
      <c r="J6851" s="17" t="s">
        <v>49</v>
      </c>
      <c r="K6851" s="398">
        <v>810</v>
      </c>
      <c r="L6851" s="395">
        <v>170</v>
      </c>
      <c r="M6851" s="19">
        <v>5800</v>
      </c>
      <c r="N6851" s="19" t="s">
        <v>40</v>
      </c>
      <c r="O6851" s="19" t="s">
        <v>50</v>
      </c>
      <c r="P6851" s="19">
        <v>4125</v>
      </c>
      <c r="Q6851" s="19">
        <v>3930</v>
      </c>
      <c r="R6851" s="19">
        <f t="shared" si="298"/>
        <v>195</v>
      </c>
      <c r="S6851" s="19">
        <f t="shared" si="299"/>
        <v>2025</v>
      </c>
      <c r="T6851" s="19" t="s">
        <v>42</v>
      </c>
      <c r="U6851" s="102" t="s">
        <v>1628</v>
      </c>
      <c r="V6851" s="186">
        <v>45891</v>
      </c>
      <c r="W6851" s="17" t="s">
        <v>58</v>
      </c>
      <c r="X6851" s="17"/>
      <c r="Y6851" s="68">
        <v>45962</v>
      </c>
      <c r="Z6851" s="17" t="s">
        <v>45</v>
      </c>
      <c r="AA6851" s="17" t="s">
        <v>46</v>
      </c>
      <c r="AB6851" s="17" t="s">
        <v>1617</v>
      </c>
      <c r="AC6851" s="217">
        <v>45967</v>
      </c>
      <c r="AD6851" s="65">
        <v>1741</v>
      </c>
      <c r="AE6851" s="17" t="s">
        <v>48</v>
      </c>
      <c r="AF6851" s="17" t="s">
        <v>61</v>
      </c>
      <c r="AG6851" s="17" t="s">
        <v>1614</v>
      </c>
      <c r="AH6851" s="17"/>
      <c r="AI6851" s="17"/>
      <c r="AJ6851" s="17"/>
      <c r="AK6851" s="17"/>
      <c r="AL6851" s="17"/>
      <c r="AM6851" s="17"/>
      <c r="AN6851" s="17"/>
      <c r="AO6851" s="17"/>
      <c r="AP6851" s="17"/>
      <c r="AQ6851" s="17"/>
      <c r="AR6851" s="17"/>
    </row>
    <row r="6852" s="25" customFormat="1" hidden="1" spans="1:44">
      <c r="A6852" s="17" t="s">
        <v>34</v>
      </c>
      <c r="B6852" s="19">
        <v>1079</v>
      </c>
      <c r="C6852" s="183">
        <v>45883</v>
      </c>
      <c r="D6852" s="17" t="s">
        <v>52</v>
      </c>
      <c r="E6852" s="17" t="s">
        <v>53</v>
      </c>
      <c r="F6852" s="17" t="s">
        <v>54</v>
      </c>
      <c r="G6852" s="17"/>
      <c r="H6852" s="19" t="s">
        <v>55</v>
      </c>
      <c r="I6852" s="19"/>
      <c r="J6852" s="17" t="s">
        <v>49</v>
      </c>
      <c r="K6852" s="398">
        <v>810</v>
      </c>
      <c r="L6852" s="395">
        <v>180</v>
      </c>
      <c r="M6852" s="19">
        <v>5800</v>
      </c>
      <c r="N6852" s="19" t="s">
        <v>40</v>
      </c>
      <c r="O6852" s="19" t="s">
        <v>50</v>
      </c>
      <c r="P6852" s="19">
        <v>4500</v>
      </c>
      <c r="Q6852" s="19">
        <v>3620</v>
      </c>
      <c r="R6852" s="19">
        <f t="shared" si="298"/>
        <v>880</v>
      </c>
      <c r="S6852" s="19">
        <f t="shared" si="299"/>
        <v>2025</v>
      </c>
      <c r="T6852" s="19" t="s">
        <v>42</v>
      </c>
      <c r="U6852" s="102" t="s">
        <v>1628</v>
      </c>
      <c r="V6852" s="186">
        <v>45891</v>
      </c>
      <c r="W6852" s="17" t="s">
        <v>58</v>
      </c>
      <c r="X6852" s="17"/>
      <c r="Y6852" s="68">
        <v>45962</v>
      </c>
      <c r="Z6852" s="17" t="s">
        <v>45</v>
      </c>
      <c r="AA6852" s="17" t="s">
        <v>46</v>
      </c>
      <c r="AB6852" s="17" t="s">
        <v>1617</v>
      </c>
      <c r="AC6852" s="217">
        <v>45967</v>
      </c>
      <c r="AD6852" s="65">
        <v>1741</v>
      </c>
      <c r="AE6852" s="17" t="s">
        <v>48</v>
      </c>
      <c r="AF6852" s="17" t="s">
        <v>61</v>
      </c>
      <c r="AG6852" s="17" t="s">
        <v>1614</v>
      </c>
      <c r="AH6852" s="17"/>
      <c r="AI6852" s="17"/>
      <c r="AJ6852" s="17"/>
      <c r="AK6852" s="17"/>
      <c r="AL6852" s="17"/>
      <c r="AM6852" s="17"/>
      <c r="AN6852" s="17"/>
      <c r="AO6852" s="17"/>
      <c r="AP6852" s="17"/>
      <c r="AQ6852" s="17"/>
      <c r="AR6852" s="17"/>
    </row>
    <row r="6853" s="25" customFormat="1" hidden="1" spans="1:44">
      <c r="A6853" s="17" t="s">
        <v>34</v>
      </c>
      <c r="B6853" s="19">
        <v>1079</v>
      </c>
      <c r="C6853" s="183">
        <v>45883</v>
      </c>
      <c r="D6853" s="17" t="s">
        <v>52</v>
      </c>
      <c r="E6853" s="17" t="s">
        <v>53</v>
      </c>
      <c r="F6853" s="17" t="s">
        <v>54</v>
      </c>
      <c r="G6853" s="17"/>
      <c r="H6853" s="19" t="s">
        <v>55</v>
      </c>
      <c r="I6853" s="19"/>
      <c r="J6853" s="17" t="s">
        <v>49</v>
      </c>
      <c r="K6853" s="398">
        <v>810</v>
      </c>
      <c r="L6853" s="395">
        <v>205</v>
      </c>
      <c r="M6853" s="19">
        <v>5800</v>
      </c>
      <c r="N6853" s="19" t="s">
        <v>40</v>
      </c>
      <c r="O6853" s="19" t="s">
        <v>50</v>
      </c>
      <c r="P6853" s="19">
        <v>4875</v>
      </c>
      <c r="Q6853" s="19">
        <v>4684</v>
      </c>
      <c r="R6853" s="19">
        <f t="shared" ref="R6853:R6854" si="300">+P6853-Q6853</f>
        <v>191</v>
      </c>
      <c r="S6853" s="19">
        <f t="shared" si="299"/>
        <v>2025</v>
      </c>
      <c r="T6853" s="19" t="s">
        <v>42</v>
      </c>
      <c r="U6853" s="102" t="s">
        <v>1628</v>
      </c>
      <c r="V6853" s="186">
        <v>45891</v>
      </c>
      <c r="W6853" s="17" t="s">
        <v>58</v>
      </c>
      <c r="X6853" s="17"/>
      <c r="Y6853" s="68">
        <v>45962</v>
      </c>
      <c r="Z6853" s="17" t="s">
        <v>45</v>
      </c>
      <c r="AA6853" s="17" t="s">
        <v>46</v>
      </c>
      <c r="AB6853" s="17" t="s">
        <v>1617</v>
      </c>
      <c r="AC6853" s="217">
        <v>45967</v>
      </c>
      <c r="AD6853" s="65">
        <v>1741</v>
      </c>
      <c r="AE6853" s="17" t="s">
        <v>48</v>
      </c>
      <c r="AF6853" s="17" t="s">
        <v>61</v>
      </c>
      <c r="AG6853" s="17" t="s">
        <v>1614</v>
      </c>
      <c r="AH6853" s="17"/>
      <c r="AI6853" s="17"/>
      <c r="AJ6853" s="17"/>
      <c r="AK6853" s="17"/>
      <c r="AL6853" s="17"/>
      <c r="AM6853" s="17"/>
      <c r="AN6853" s="17"/>
      <c r="AO6853" s="17"/>
      <c r="AP6853" s="17"/>
      <c r="AQ6853" s="17"/>
      <c r="AR6853" s="17"/>
    </row>
    <row r="6854" s="25" customFormat="1" hidden="1" spans="1:44">
      <c r="A6854" s="17" t="s">
        <v>34</v>
      </c>
      <c r="B6854" s="19">
        <v>1079</v>
      </c>
      <c r="C6854" s="183">
        <v>45883</v>
      </c>
      <c r="D6854" s="17" t="s">
        <v>52</v>
      </c>
      <c r="E6854" s="17" t="s">
        <v>53</v>
      </c>
      <c r="F6854" s="17" t="s">
        <v>54</v>
      </c>
      <c r="G6854" s="17"/>
      <c r="H6854" s="19" t="s">
        <v>55</v>
      </c>
      <c r="I6854" s="19"/>
      <c r="J6854" s="17" t="s">
        <v>49</v>
      </c>
      <c r="K6854" s="398">
        <v>610</v>
      </c>
      <c r="L6854" s="395">
        <v>230</v>
      </c>
      <c r="M6854" s="19">
        <v>5800</v>
      </c>
      <c r="N6854" s="19" t="s">
        <v>40</v>
      </c>
      <c r="O6854" s="19" t="s">
        <v>50</v>
      </c>
      <c r="P6854" s="19">
        <v>4500</v>
      </c>
      <c r="Q6854" s="19">
        <v>4144</v>
      </c>
      <c r="R6854" s="19">
        <f t="shared" si="300"/>
        <v>356</v>
      </c>
      <c r="S6854" s="19">
        <f t="shared" si="299"/>
        <v>2025</v>
      </c>
      <c r="T6854" s="19" t="s">
        <v>42</v>
      </c>
      <c r="U6854" s="102" t="s">
        <v>1628</v>
      </c>
      <c r="V6854" s="186">
        <v>45891</v>
      </c>
      <c r="W6854" s="17" t="s">
        <v>58</v>
      </c>
      <c r="X6854" s="17"/>
      <c r="Y6854" s="68">
        <v>45962</v>
      </c>
      <c r="Z6854" s="17" t="s">
        <v>45</v>
      </c>
      <c r="AA6854" s="17" t="s">
        <v>46</v>
      </c>
      <c r="AB6854" s="17" t="s">
        <v>1617</v>
      </c>
      <c r="AC6854" s="217">
        <v>45967</v>
      </c>
      <c r="AD6854" s="65">
        <v>1741</v>
      </c>
      <c r="AE6854" s="17" t="s">
        <v>48</v>
      </c>
      <c r="AF6854" s="17" t="s">
        <v>61</v>
      </c>
      <c r="AG6854" s="17" t="s">
        <v>1614</v>
      </c>
      <c r="AH6854" s="17"/>
      <c r="AI6854" s="17"/>
      <c r="AJ6854" s="17"/>
      <c r="AK6854" s="17"/>
      <c r="AL6854" s="17"/>
      <c r="AM6854" s="17"/>
      <c r="AN6854" s="17"/>
      <c r="AO6854" s="17"/>
      <c r="AP6854" s="17"/>
      <c r="AQ6854" s="17"/>
      <c r="AR6854" s="17"/>
    </row>
    <row r="6855" s="25" customFormat="1" hidden="1" spans="1:44">
      <c r="A6855" s="17" t="s">
        <v>34</v>
      </c>
      <c r="B6855" s="19">
        <v>1079</v>
      </c>
      <c r="C6855" s="183">
        <v>45883</v>
      </c>
      <c r="D6855" s="17" t="s">
        <v>52</v>
      </c>
      <c r="E6855" s="17" t="s">
        <v>53</v>
      </c>
      <c r="F6855" s="17" t="s">
        <v>54</v>
      </c>
      <c r="G6855" s="17"/>
      <c r="H6855" s="19" t="s">
        <v>55</v>
      </c>
      <c r="I6855" s="19"/>
      <c r="J6855" s="17" t="s">
        <v>49</v>
      </c>
      <c r="K6855" s="398">
        <v>610</v>
      </c>
      <c r="L6855" s="395">
        <v>255</v>
      </c>
      <c r="M6855" s="19">
        <v>5800</v>
      </c>
      <c r="N6855" s="19" t="s">
        <v>40</v>
      </c>
      <c r="O6855" s="19" t="s">
        <v>50</v>
      </c>
      <c r="P6855" s="19">
        <v>10000</v>
      </c>
      <c r="Q6855" s="19">
        <v>4796</v>
      </c>
      <c r="S6855" s="19">
        <f t="shared" si="299"/>
        <v>2025</v>
      </c>
      <c r="T6855" s="19" t="s">
        <v>42</v>
      </c>
      <c r="U6855" s="102" t="s">
        <v>1628</v>
      </c>
      <c r="V6855" s="186">
        <v>45891</v>
      </c>
      <c r="W6855" s="17" t="s">
        <v>58</v>
      </c>
      <c r="X6855" s="17"/>
      <c r="Y6855" s="68">
        <v>45962</v>
      </c>
      <c r="Z6855" s="17" t="s">
        <v>45</v>
      </c>
      <c r="AA6855" s="17" t="s">
        <v>46</v>
      </c>
      <c r="AB6855" s="17" t="s">
        <v>1615</v>
      </c>
      <c r="AC6855" s="217">
        <v>45937</v>
      </c>
      <c r="AD6855" s="65">
        <v>1736</v>
      </c>
      <c r="AE6855" s="17" t="s">
        <v>48</v>
      </c>
      <c r="AF6855" s="17" t="s">
        <v>61</v>
      </c>
      <c r="AG6855" s="17" t="s">
        <v>1614</v>
      </c>
      <c r="AH6855" s="17"/>
      <c r="AI6855" s="17"/>
      <c r="AJ6855" s="17"/>
      <c r="AK6855" s="17"/>
      <c r="AL6855" s="17"/>
      <c r="AM6855" s="17"/>
      <c r="AN6855" s="17"/>
      <c r="AO6855" s="17"/>
      <c r="AP6855" s="17"/>
      <c r="AQ6855" s="17"/>
      <c r="AR6855" s="17"/>
    </row>
    <row r="6856" s="25" customFormat="1" hidden="1" spans="1:44">
      <c r="A6856" s="17" t="s">
        <v>34</v>
      </c>
      <c r="B6856" s="19">
        <v>1079</v>
      </c>
      <c r="C6856" s="183">
        <v>45883</v>
      </c>
      <c r="D6856" s="17" t="s">
        <v>52</v>
      </c>
      <c r="E6856" s="17" t="s">
        <v>53</v>
      </c>
      <c r="F6856" s="17" t="s">
        <v>54</v>
      </c>
      <c r="G6856" s="17"/>
      <c r="H6856" s="19" t="s">
        <v>55</v>
      </c>
      <c r="I6856" s="19"/>
      <c r="J6856" s="17" t="s">
        <v>49</v>
      </c>
      <c r="K6856" s="398">
        <v>610</v>
      </c>
      <c r="L6856" s="395">
        <v>255</v>
      </c>
      <c r="M6856" s="19">
        <v>5800</v>
      </c>
      <c r="N6856" s="19" t="s">
        <v>40</v>
      </c>
      <c r="O6856" s="19" t="s">
        <v>50</v>
      </c>
      <c r="P6856" s="19"/>
      <c r="Q6856" s="19">
        <v>4902</v>
      </c>
      <c r="R6856" s="19">
        <f>+P6855-Q6855-Q6856</f>
        <v>302</v>
      </c>
      <c r="S6856" s="19">
        <f t="shared" si="299"/>
        <v>2025</v>
      </c>
      <c r="T6856" s="19" t="s">
        <v>42</v>
      </c>
      <c r="U6856" s="102" t="s">
        <v>1628</v>
      </c>
      <c r="V6856" s="186">
        <v>45891</v>
      </c>
      <c r="W6856" s="17" t="s">
        <v>58</v>
      </c>
      <c r="X6856" s="17"/>
      <c r="Y6856" s="68">
        <v>45962</v>
      </c>
      <c r="Z6856" s="17" t="s">
        <v>45</v>
      </c>
      <c r="AA6856" s="17" t="s">
        <v>46</v>
      </c>
      <c r="AB6856" s="17" t="s">
        <v>1617</v>
      </c>
      <c r="AC6856" s="217">
        <v>45967</v>
      </c>
      <c r="AD6856" s="65">
        <v>1741</v>
      </c>
      <c r="AE6856" s="17" t="s">
        <v>48</v>
      </c>
      <c r="AF6856" s="17" t="s">
        <v>61</v>
      </c>
      <c r="AG6856" s="17" t="s">
        <v>1614</v>
      </c>
      <c r="AH6856" s="17"/>
      <c r="AI6856" s="17"/>
      <c r="AJ6856" s="17"/>
      <c r="AK6856" s="17"/>
      <c r="AL6856" s="17"/>
      <c r="AM6856" s="17"/>
      <c r="AN6856" s="17"/>
      <c r="AO6856" s="17"/>
      <c r="AP6856" s="17"/>
      <c r="AQ6856" s="17"/>
      <c r="AR6856" s="17"/>
    </row>
    <row r="6857" s="25" customFormat="1" hidden="1" spans="1:44">
      <c r="A6857" s="17" t="s">
        <v>34</v>
      </c>
      <c r="B6857" s="19">
        <v>1079</v>
      </c>
      <c r="C6857" s="183">
        <v>45883</v>
      </c>
      <c r="D6857" s="17" t="s">
        <v>52</v>
      </c>
      <c r="E6857" s="17" t="s">
        <v>53</v>
      </c>
      <c r="F6857" s="17" t="s">
        <v>54</v>
      </c>
      <c r="G6857" s="17"/>
      <c r="H6857" s="19" t="s">
        <v>55</v>
      </c>
      <c r="I6857" s="19"/>
      <c r="J6857" s="17" t="s">
        <v>49</v>
      </c>
      <c r="K6857" s="398">
        <v>610</v>
      </c>
      <c r="L6857" s="395">
        <v>280</v>
      </c>
      <c r="M6857" s="19">
        <v>5800</v>
      </c>
      <c r="N6857" s="19" t="s">
        <v>40</v>
      </c>
      <c r="O6857" s="19" t="s">
        <v>50</v>
      </c>
      <c r="P6857" s="19">
        <v>6704</v>
      </c>
      <c r="Q6857" s="19">
        <v>6794</v>
      </c>
      <c r="R6857" s="19">
        <f t="shared" ref="R6857:R6888" si="301">+P6857-Q6857</f>
        <v>-90</v>
      </c>
      <c r="S6857" s="19">
        <f t="shared" si="299"/>
        <v>2025</v>
      </c>
      <c r="T6857" s="19" t="s">
        <v>42</v>
      </c>
      <c r="U6857" s="102" t="s">
        <v>1628</v>
      </c>
      <c r="V6857" s="186">
        <v>45891</v>
      </c>
      <c r="W6857" s="17" t="s">
        <v>58</v>
      </c>
      <c r="X6857" s="17"/>
      <c r="Y6857" s="68">
        <v>45962</v>
      </c>
      <c r="Z6857" s="17" t="s">
        <v>45</v>
      </c>
      <c r="AA6857" s="17" t="s">
        <v>46</v>
      </c>
      <c r="AB6857" s="17" t="s">
        <v>1615</v>
      </c>
      <c r="AC6857" s="217">
        <v>45937</v>
      </c>
      <c r="AD6857" s="65">
        <v>1736</v>
      </c>
      <c r="AE6857" s="17" t="s">
        <v>48</v>
      </c>
      <c r="AF6857" s="17" t="s">
        <v>61</v>
      </c>
      <c r="AG6857" s="17" t="s">
        <v>1614</v>
      </c>
      <c r="AH6857" s="17"/>
      <c r="AI6857" s="17"/>
      <c r="AJ6857" s="17"/>
      <c r="AK6857" s="17"/>
      <c r="AL6857" s="17"/>
      <c r="AM6857" s="17"/>
      <c r="AN6857" s="17"/>
      <c r="AO6857" s="17"/>
      <c r="AP6857" s="17"/>
      <c r="AQ6857" s="17"/>
      <c r="AR6857" s="17"/>
    </row>
    <row r="6858" s="25" customFormat="1" hidden="1" spans="1:44">
      <c r="A6858" s="17" t="s">
        <v>34</v>
      </c>
      <c r="B6858" s="19">
        <v>1079</v>
      </c>
      <c r="C6858" s="183">
        <v>45883</v>
      </c>
      <c r="D6858" s="17" t="s">
        <v>52</v>
      </c>
      <c r="E6858" s="17" t="s">
        <v>53</v>
      </c>
      <c r="F6858" s="17" t="s">
        <v>54</v>
      </c>
      <c r="G6858" s="17"/>
      <c r="H6858" s="19" t="s">
        <v>55</v>
      </c>
      <c r="I6858" s="19"/>
      <c r="J6858" s="17" t="s">
        <v>49</v>
      </c>
      <c r="K6858" s="399">
        <v>610</v>
      </c>
      <c r="L6858" s="400">
        <v>310</v>
      </c>
      <c r="M6858" s="19">
        <v>5800</v>
      </c>
      <c r="N6858" s="19" t="s">
        <v>40</v>
      </c>
      <c r="O6858" s="19" t="s">
        <v>50</v>
      </c>
      <c r="P6858" s="19">
        <v>6680</v>
      </c>
      <c r="Q6858" s="19">
        <v>7674</v>
      </c>
      <c r="R6858" s="19">
        <f t="shared" si="301"/>
        <v>-994</v>
      </c>
      <c r="S6858" s="19">
        <f t="shared" si="299"/>
        <v>2025</v>
      </c>
      <c r="T6858" s="19" t="s">
        <v>42</v>
      </c>
      <c r="U6858" s="102" t="s">
        <v>1628</v>
      </c>
      <c r="V6858" s="186">
        <v>45891</v>
      </c>
      <c r="W6858" s="17" t="s">
        <v>58</v>
      </c>
      <c r="X6858" s="17"/>
      <c r="Y6858" s="68">
        <v>45962</v>
      </c>
      <c r="Z6858" s="17" t="s">
        <v>45</v>
      </c>
      <c r="AA6858" s="17" t="s">
        <v>46</v>
      </c>
      <c r="AB6858" s="17" t="s">
        <v>1615</v>
      </c>
      <c r="AC6858" s="217">
        <v>45937</v>
      </c>
      <c r="AD6858" s="65">
        <v>1736</v>
      </c>
      <c r="AE6858" s="17" t="s">
        <v>48</v>
      </c>
      <c r="AF6858" s="17" t="s">
        <v>61</v>
      </c>
      <c r="AG6858" s="17" t="s">
        <v>1614</v>
      </c>
      <c r="AH6858" s="17"/>
      <c r="AI6858" s="17"/>
      <c r="AJ6858" s="17"/>
      <c r="AK6858" s="17"/>
      <c r="AL6858" s="17"/>
      <c r="AM6858" s="17"/>
      <c r="AN6858" s="17"/>
      <c r="AO6858" s="17"/>
      <c r="AP6858" s="17"/>
      <c r="AQ6858" s="17"/>
      <c r="AR6858" s="17"/>
    </row>
    <row r="6859" s="25" customFormat="1" hidden="1" spans="1:44">
      <c r="A6859" s="17" t="s">
        <v>34</v>
      </c>
      <c r="B6859" s="19">
        <v>1083</v>
      </c>
      <c r="C6859" s="183">
        <v>45891</v>
      </c>
      <c r="D6859" s="17" t="s">
        <v>91</v>
      </c>
      <c r="E6859" s="17" t="s">
        <v>550</v>
      </c>
      <c r="F6859" s="17" t="s">
        <v>93</v>
      </c>
      <c r="G6859" s="17"/>
      <c r="H6859" s="19">
        <v>1.2085</v>
      </c>
      <c r="I6859" s="19"/>
      <c r="J6859" s="17" t="s">
        <v>49</v>
      </c>
      <c r="K6859" s="19">
        <v>2000</v>
      </c>
      <c r="L6859" s="91">
        <v>25</v>
      </c>
      <c r="M6859" s="19">
        <v>5000</v>
      </c>
      <c r="N6859" s="19" t="s">
        <v>66</v>
      </c>
      <c r="O6859" s="19" t="s">
        <v>141</v>
      </c>
      <c r="P6859" s="19">
        <v>2000</v>
      </c>
      <c r="Q6859" s="19">
        <v>1975</v>
      </c>
      <c r="R6859" s="19">
        <f t="shared" si="301"/>
        <v>25</v>
      </c>
      <c r="S6859" s="19">
        <v>2470</v>
      </c>
      <c r="T6859" s="19" t="s">
        <v>94</v>
      </c>
      <c r="U6859" s="102">
        <v>20049880</v>
      </c>
      <c r="V6859" s="186">
        <v>45891</v>
      </c>
      <c r="W6859" s="17" t="s">
        <v>44</v>
      </c>
      <c r="X6859" s="17"/>
      <c r="Y6859" s="68">
        <v>45931</v>
      </c>
      <c r="Z6859" s="17" t="s">
        <v>1561</v>
      </c>
      <c r="AA6859" s="17" t="s">
        <v>46</v>
      </c>
      <c r="AB6859" s="17">
        <v>25201121517</v>
      </c>
      <c r="AC6859" s="217">
        <v>45988</v>
      </c>
      <c r="AD6859" s="65">
        <v>1753</v>
      </c>
      <c r="AE6859" s="17" t="s">
        <v>48</v>
      </c>
      <c r="AF6859" s="17"/>
      <c r="AG6859" s="17"/>
      <c r="AH6859" s="17"/>
      <c r="AI6859" s="17"/>
      <c r="AJ6859" s="17"/>
      <c r="AK6859" s="17"/>
      <c r="AL6859" s="17"/>
      <c r="AM6859" s="17"/>
      <c r="AN6859" s="17"/>
      <c r="AO6859" s="17"/>
      <c r="AP6859" s="17"/>
      <c r="AQ6859" s="17"/>
      <c r="AR6859" s="17"/>
    </row>
    <row r="6860" s="25" customFormat="1" hidden="1" spans="1:44">
      <c r="A6860" s="17" t="s">
        <v>34</v>
      </c>
      <c r="B6860" s="19">
        <v>1083</v>
      </c>
      <c r="C6860" s="183">
        <v>45891</v>
      </c>
      <c r="D6860" s="17" t="s">
        <v>91</v>
      </c>
      <c r="E6860" s="17" t="s">
        <v>550</v>
      </c>
      <c r="F6860" s="17" t="s">
        <v>93</v>
      </c>
      <c r="G6860" s="17"/>
      <c r="H6860" s="19">
        <v>1.2085</v>
      </c>
      <c r="I6860" s="19"/>
      <c r="J6860" s="17" t="s">
        <v>49</v>
      </c>
      <c r="K6860" s="19">
        <v>2000</v>
      </c>
      <c r="L6860" s="91">
        <v>32</v>
      </c>
      <c r="M6860" s="19">
        <v>5000</v>
      </c>
      <c r="N6860" s="19" t="s">
        <v>66</v>
      </c>
      <c r="O6860" s="19" t="s">
        <v>141</v>
      </c>
      <c r="P6860" s="19">
        <v>2560</v>
      </c>
      <c r="Q6860" s="19">
        <v>2545</v>
      </c>
      <c r="R6860" s="19">
        <f t="shared" si="301"/>
        <v>15</v>
      </c>
      <c r="S6860" s="19">
        <v>2470</v>
      </c>
      <c r="T6860" s="19" t="s">
        <v>94</v>
      </c>
      <c r="U6860" s="102">
        <v>20049880</v>
      </c>
      <c r="V6860" s="186">
        <v>45891</v>
      </c>
      <c r="W6860" s="17" t="s">
        <v>44</v>
      </c>
      <c r="X6860" s="17"/>
      <c r="Y6860" s="68">
        <v>45931</v>
      </c>
      <c r="Z6860" s="17" t="s">
        <v>1561</v>
      </c>
      <c r="AA6860" s="17" t="s">
        <v>46</v>
      </c>
      <c r="AB6860" s="17">
        <v>25201120137</v>
      </c>
      <c r="AC6860" s="217">
        <v>45968</v>
      </c>
      <c r="AD6860" s="65">
        <v>1744</v>
      </c>
      <c r="AE6860" s="17" t="s">
        <v>48</v>
      </c>
      <c r="AF6860" s="17"/>
      <c r="AG6860" s="17"/>
      <c r="AH6860" s="17"/>
      <c r="AI6860" s="17"/>
      <c r="AJ6860" s="17"/>
      <c r="AK6860" s="17"/>
      <c r="AL6860" s="17"/>
      <c r="AM6860" s="17"/>
      <c r="AN6860" s="17"/>
      <c r="AO6860" s="17"/>
      <c r="AP6860" s="17"/>
      <c r="AQ6860" s="17"/>
      <c r="AR6860" s="17"/>
    </row>
    <row r="6861" s="25" customFormat="1" hidden="1" spans="1:44">
      <c r="A6861" s="17" t="s">
        <v>34</v>
      </c>
      <c r="B6861" s="19">
        <v>1083</v>
      </c>
      <c r="C6861" s="183">
        <v>45891</v>
      </c>
      <c r="D6861" s="17" t="s">
        <v>91</v>
      </c>
      <c r="E6861" s="17" t="s">
        <v>550</v>
      </c>
      <c r="F6861" s="17" t="s">
        <v>93</v>
      </c>
      <c r="G6861" s="17"/>
      <c r="H6861" s="19">
        <v>1.2085</v>
      </c>
      <c r="I6861" s="19"/>
      <c r="J6861" s="17" t="s">
        <v>49</v>
      </c>
      <c r="K6861" s="19">
        <v>2000</v>
      </c>
      <c r="L6861" s="91">
        <v>36</v>
      </c>
      <c r="M6861" s="19">
        <v>5000</v>
      </c>
      <c r="N6861" s="19" t="s">
        <v>66</v>
      </c>
      <c r="O6861" s="19" t="s">
        <v>141</v>
      </c>
      <c r="P6861" s="19">
        <v>2880</v>
      </c>
      <c r="Q6861" s="19">
        <v>2865</v>
      </c>
      <c r="R6861" s="19">
        <f t="shared" si="301"/>
        <v>15</v>
      </c>
      <c r="S6861" s="19">
        <v>2470</v>
      </c>
      <c r="T6861" s="19" t="s">
        <v>94</v>
      </c>
      <c r="U6861" s="102">
        <v>20049880</v>
      </c>
      <c r="V6861" s="186">
        <v>45891</v>
      </c>
      <c r="W6861" s="17" t="s">
        <v>44</v>
      </c>
      <c r="X6861" s="17"/>
      <c r="Y6861" s="68">
        <v>45931</v>
      </c>
      <c r="Z6861" s="17" t="s">
        <v>1561</v>
      </c>
      <c r="AA6861" s="17" t="s">
        <v>46</v>
      </c>
      <c r="AB6861" s="17">
        <v>25201120137</v>
      </c>
      <c r="AC6861" s="217">
        <v>45968</v>
      </c>
      <c r="AD6861" s="65">
        <v>1744</v>
      </c>
      <c r="AE6861" s="17" t="s">
        <v>48</v>
      </c>
      <c r="AF6861" s="17"/>
      <c r="AG6861" s="17"/>
      <c r="AH6861" s="17"/>
      <c r="AI6861" s="17"/>
      <c r="AJ6861" s="17"/>
      <c r="AK6861" s="17"/>
      <c r="AL6861" s="17"/>
      <c r="AM6861" s="17"/>
      <c r="AN6861" s="17"/>
      <c r="AO6861" s="17"/>
      <c r="AP6861" s="17"/>
      <c r="AQ6861" s="17"/>
      <c r="AR6861" s="17"/>
    </row>
    <row r="6862" s="25" customFormat="1" hidden="1" spans="1:44">
      <c r="A6862" s="17" t="s">
        <v>34</v>
      </c>
      <c r="B6862" s="19">
        <v>1083</v>
      </c>
      <c r="C6862" s="183">
        <v>45891</v>
      </c>
      <c r="D6862" s="17" t="s">
        <v>91</v>
      </c>
      <c r="E6862" s="17" t="s">
        <v>550</v>
      </c>
      <c r="F6862" s="17" t="s">
        <v>93</v>
      </c>
      <c r="G6862" s="17"/>
      <c r="H6862" s="19">
        <v>1.2085</v>
      </c>
      <c r="I6862" s="19"/>
      <c r="J6862" s="17" t="s">
        <v>49</v>
      </c>
      <c r="K6862" s="19">
        <v>2000</v>
      </c>
      <c r="L6862" s="91">
        <v>40</v>
      </c>
      <c r="M6862" s="19">
        <v>5000</v>
      </c>
      <c r="N6862" s="19" t="s">
        <v>66</v>
      </c>
      <c r="O6862" s="19" t="s">
        <v>141</v>
      </c>
      <c r="P6862" s="19">
        <v>3200</v>
      </c>
      <c r="Q6862" s="19">
        <v>3190</v>
      </c>
      <c r="R6862" s="19">
        <f t="shared" si="301"/>
        <v>10</v>
      </c>
      <c r="S6862" s="19">
        <v>2470</v>
      </c>
      <c r="T6862" s="19" t="s">
        <v>94</v>
      </c>
      <c r="U6862" s="102">
        <v>20049880</v>
      </c>
      <c r="V6862" s="186">
        <v>45891</v>
      </c>
      <c r="W6862" s="17" t="s">
        <v>44</v>
      </c>
      <c r="X6862" s="17"/>
      <c r="Y6862" s="68">
        <v>45931</v>
      </c>
      <c r="Z6862" s="17" t="s">
        <v>1561</v>
      </c>
      <c r="AA6862" s="17" t="s">
        <v>46</v>
      </c>
      <c r="AB6862" s="17">
        <v>25201120137</v>
      </c>
      <c r="AC6862" s="217">
        <v>45968</v>
      </c>
      <c r="AD6862" s="65">
        <v>1744</v>
      </c>
      <c r="AE6862" s="17" t="s">
        <v>48</v>
      </c>
      <c r="AF6862" s="17"/>
      <c r="AG6862" s="17"/>
      <c r="AH6862" s="17"/>
      <c r="AI6862" s="17"/>
      <c r="AJ6862" s="17"/>
      <c r="AK6862" s="17"/>
      <c r="AL6862" s="17"/>
      <c r="AM6862" s="17"/>
      <c r="AN6862" s="17"/>
      <c r="AO6862" s="17"/>
      <c r="AP6862" s="17"/>
      <c r="AQ6862" s="17"/>
      <c r="AR6862" s="17"/>
    </row>
    <row r="6863" s="25" customFormat="1" hidden="1" spans="1:44">
      <c r="A6863" s="17" t="s">
        <v>34</v>
      </c>
      <c r="B6863" s="19">
        <v>1083</v>
      </c>
      <c r="C6863" s="183">
        <v>45891</v>
      </c>
      <c r="D6863" s="17" t="s">
        <v>91</v>
      </c>
      <c r="E6863" s="17" t="s">
        <v>550</v>
      </c>
      <c r="F6863" s="17" t="s">
        <v>93</v>
      </c>
      <c r="G6863" s="17"/>
      <c r="H6863" s="19">
        <v>1.2085</v>
      </c>
      <c r="I6863" s="19"/>
      <c r="J6863" s="17" t="s">
        <v>49</v>
      </c>
      <c r="K6863" s="19">
        <v>2000</v>
      </c>
      <c r="L6863" s="91">
        <v>45</v>
      </c>
      <c r="M6863" s="19">
        <v>5000</v>
      </c>
      <c r="N6863" s="19" t="s">
        <v>66</v>
      </c>
      <c r="O6863" s="19" t="s">
        <v>141</v>
      </c>
      <c r="P6863" s="19">
        <v>3600</v>
      </c>
      <c r="Q6863" s="19">
        <v>3560</v>
      </c>
      <c r="R6863" s="19">
        <f t="shared" si="301"/>
        <v>40</v>
      </c>
      <c r="S6863" s="19">
        <v>2470</v>
      </c>
      <c r="T6863" s="19" t="s">
        <v>94</v>
      </c>
      <c r="U6863" s="102">
        <v>20049880</v>
      </c>
      <c r="V6863" s="186">
        <v>45891</v>
      </c>
      <c r="W6863" s="17" t="s">
        <v>44</v>
      </c>
      <c r="X6863" s="17"/>
      <c r="Y6863" s="68">
        <v>45931</v>
      </c>
      <c r="Z6863" s="17" t="s">
        <v>1561</v>
      </c>
      <c r="AA6863" s="17" t="s">
        <v>46</v>
      </c>
      <c r="AB6863" s="17">
        <v>25201120137</v>
      </c>
      <c r="AC6863" s="217">
        <v>45968</v>
      </c>
      <c r="AD6863" s="65">
        <v>1744</v>
      </c>
      <c r="AE6863" s="17" t="s">
        <v>48</v>
      </c>
      <c r="AF6863" s="17"/>
      <c r="AG6863" s="17"/>
      <c r="AH6863" s="17"/>
      <c r="AI6863" s="17"/>
      <c r="AJ6863" s="17"/>
      <c r="AK6863" s="17"/>
      <c r="AL6863" s="17"/>
      <c r="AM6863" s="17"/>
      <c r="AN6863" s="17"/>
      <c r="AO6863" s="17"/>
      <c r="AP6863" s="17"/>
      <c r="AQ6863" s="17"/>
      <c r="AR6863" s="17"/>
    </row>
    <row r="6864" s="25" customFormat="1" hidden="1" spans="1:44">
      <c r="A6864" s="17" t="s">
        <v>34</v>
      </c>
      <c r="B6864" s="19">
        <v>1083</v>
      </c>
      <c r="C6864" s="183">
        <v>45891</v>
      </c>
      <c r="D6864" s="17" t="s">
        <v>91</v>
      </c>
      <c r="E6864" s="17" t="s">
        <v>550</v>
      </c>
      <c r="F6864" s="17" t="s">
        <v>93</v>
      </c>
      <c r="G6864" s="17"/>
      <c r="H6864" s="19">
        <v>1.2085</v>
      </c>
      <c r="I6864" s="19"/>
      <c r="J6864" s="17" t="s">
        <v>49</v>
      </c>
      <c r="K6864" s="19">
        <v>2000</v>
      </c>
      <c r="L6864" s="91">
        <v>50</v>
      </c>
      <c r="M6864" s="19">
        <v>5000</v>
      </c>
      <c r="N6864" s="19" t="s">
        <v>66</v>
      </c>
      <c r="O6864" s="19" t="s">
        <v>141</v>
      </c>
      <c r="P6864" s="19">
        <v>4000</v>
      </c>
      <c r="Q6864" s="19">
        <v>3955</v>
      </c>
      <c r="R6864" s="19">
        <f t="shared" si="301"/>
        <v>45</v>
      </c>
      <c r="S6864" s="19">
        <v>2470</v>
      </c>
      <c r="T6864" s="19" t="s">
        <v>94</v>
      </c>
      <c r="U6864" s="102">
        <v>20049880</v>
      </c>
      <c r="V6864" s="186">
        <v>45891</v>
      </c>
      <c r="W6864" s="17" t="s">
        <v>44</v>
      </c>
      <c r="X6864" s="17"/>
      <c r="Y6864" s="68">
        <v>45931</v>
      </c>
      <c r="Z6864" s="17" t="s">
        <v>1561</v>
      </c>
      <c r="AA6864" s="17" t="s">
        <v>46</v>
      </c>
      <c r="AB6864" s="17">
        <v>25201120137</v>
      </c>
      <c r="AC6864" s="217">
        <v>45968</v>
      </c>
      <c r="AD6864" s="65">
        <v>1744</v>
      </c>
      <c r="AE6864" s="17" t="s">
        <v>48</v>
      </c>
      <c r="AF6864" s="17"/>
      <c r="AG6864" s="17"/>
      <c r="AH6864" s="17"/>
      <c r="AI6864" s="17"/>
      <c r="AJ6864" s="17"/>
      <c r="AK6864" s="17"/>
      <c r="AL6864" s="17"/>
      <c r="AM6864" s="17"/>
      <c r="AN6864" s="17"/>
      <c r="AO6864" s="17"/>
      <c r="AP6864" s="17"/>
      <c r="AQ6864" s="17"/>
      <c r="AR6864" s="17"/>
    </row>
    <row r="6865" s="25" customFormat="1" hidden="1" spans="1:44">
      <c r="A6865" s="17" t="s">
        <v>34</v>
      </c>
      <c r="B6865" s="19">
        <v>1083</v>
      </c>
      <c r="C6865" s="183">
        <v>45891</v>
      </c>
      <c r="D6865" s="17" t="s">
        <v>91</v>
      </c>
      <c r="E6865" s="17" t="s">
        <v>550</v>
      </c>
      <c r="F6865" s="17" t="s">
        <v>93</v>
      </c>
      <c r="G6865" s="17"/>
      <c r="H6865" s="19">
        <v>1.2085</v>
      </c>
      <c r="I6865" s="19"/>
      <c r="J6865" s="17" t="s">
        <v>49</v>
      </c>
      <c r="K6865" s="19">
        <v>2000</v>
      </c>
      <c r="L6865" s="91">
        <v>56</v>
      </c>
      <c r="M6865" s="19">
        <v>5000</v>
      </c>
      <c r="N6865" s="19" t="s">
        <v>66</v>
      </c>
      <c r="O6865" s="19" t="s">
        <v>141</v>
      </c>
      <c r="P6865" s="19">
        <v>4480</v>
      </c>
      <c r="Q6865" s="19">
        <v>4445</v>
      </c>
      <c r="R6865" s="19">
        <f t="shared" si="301"/>
        <v>35</v>
      </c>
      <c r="S6865" s="19">
        <v>2470</v>
      </c>
      <c r="T6865" s="19" t="s">
        <v>94</v>
      </c>
      <c r="U6865" s="102">
        <v>20049880</v>
      </c>
      <c r="V6865" s="186">
        <v>45891</v>
      </c>
      <c r="W6865" s="17" t="s">
        <v>44</v>
      </c>
      <c r="X6865" s="17"/>
      <c r="Y6865" s="68">
        <v>45931</v>
      </c>
      <c r="Z6865" s="17" t="s">
        <v>1561</v>
      </c>
      <c r="AA6865" s="17" t="s">
        <v>46</v>
      </c>
      <c r="AB6865" s="17">
        <v>25201121517</v>
      </c>
      <c r="AC6865" s="217">
        <v>45988</v>
      </c>
      <c r="AD6865" s="65">
        <v>1753</v>
      </c>
      <c r="AE6865" s="17" t="s">
        <v>48</v>
      </c>
      <c r="AF6865" s="17"/>
      <c r="AG6865" s="17"/>
      <c r="AH6865" s="17"/>
      <c r="AI6865" s="17"/>
      <c r="AJ6865" s="17"/>
      <c r="AK6865" s="17"/>
      <c r="AL6865" s="17"/>
      <c r="AM6865" s="17"/>
      <c r="AN6865" s="17"/>
      <c r="AO6865" s="17"/>
      <c r="AP6865" s="17"/>
      <c r="AQ6865" s="17"/>
      <c r="AR6865" s="17"/>
    </row>
    <row r="6866" s="25" customFormat="1" hidden="1" spans="1:44">
      <c r="A6866" s="17" t="s">
        <v>34</v>
      </c>
      <c r="B6866" s="19">
        <v>1083</v>
      </c>
      <c r="C6866" s="183">
        <v>45891</v>
      </c>
      <c r="D6866" s="17" t="s">
        <v>91</v>
      </c>
      <c r="E6866" s="17" t="s">
        <v>550</v>
      </c>
      <c r="F6866" s="17" t="s">
        <v>93</v>
      </c>
      <c r="G6866" s="17"/>
      <c r="H6866" s="19">
        <v>1.2085</v>
      </c>
      <c r="I6866" s="19"/>
      <c r="J6866" s="17" t="s">
        <v>49</v>
      </c>
      <c r="K6866" s="19">
        <v>2000</v>
      </c>
      <c r="L6866" s="91">
        <v>60</v>
      </c>
      <c r="M6866" s="19">
        <v>5000</v>
      </c>
      <c r="N6866" s="19" t="s">
        <v>66</v>
      </c>
      <c r="O6866" s="19" t="s">
        <v>141</v>
      </c>
      <c r="P6866" s="19">
        <v>4800</v>
      </c>
      <c r="Q6866" s="19">
        <v>4755</v>
      </c>
      <c r="R6866" s="19">
        <f t="shared" si="301"/>
        <v>45</v>
      </c>
      <c r="S6866" s="19">
        <v>2470</v>
      </c>
      <c r="T6866" s="19" t="s">
        <v>94</v>
      </c>
      <c r="U6866" s="102">
        <v>20049880</v>
      </c>
      <c r="V6866" s="186">
        <v>45891</v>
      </c>
      <c r="W6866" s="17" t="s">
        <v>44</v>
      </c>
      <c r="X6866" s="17"/>
      <c r="Y6866" s="68">
        <v>45931</v>
      </c>
      <c r="Z6866" s="17" t="s">
        <v>1561</v>
      </c>
      <c r="AA6866" s="17" t="s">
        <v>46</v>
      </c>
      <c r="AB6866" s="17">
        <v>25201121517</v>
      </c>
      <c r="AC6866" s="217">
        <v>45988</v>
      </c>
      <c r="AD6866" s="65">
        <v>1753</v>
      </c>
      <c r="AE6866" s="17" t="s">
        <v>48</v>
      </c>
      <c r="AF6866" s="17"/>
      <c r="AG6866" s="17"/>
      <c r="AH6866" s="17"/>
      <c r="AI6866" s="17"/>
      <c r="AJ6866" s="17"/>
      <c r="AK6866" s="17"/>
      <c r="AL6866" s="17"/>
      <c r="AM6866" s="17"/>
      <c r="AN6866" s="17"/>
      <c r="AO6866" s="17"/>
      <c r="AP6866" s="17"/>
      <c r="AQ6866" s="17"/>
      <c r="AR6866" s="17"/>
    </row>
    <row r="6867" s="25" customFormat="1" hidden="1" spans="1:44">
      <c r="A6867" s="17" t="s">
        <v>34</v>
      </c>
      <c r="B6867" s="19">
        <v>1083</v>
      </c>
      <c r="C6867" s="183">
        <v>45891</v>
      </c>
      <c r="D6867" s="17" t="s">
        <v>91</v>
      </c>
      <c r="E6867" s="17" t="s">
        <v>550</v>
      </c>
      <c r="F6867" s="17" t="s">
        <v>93</v>
      </c>
      <c r="G6867" s="17"/>
      <c r="H6867" s="19">
        <v>1.2085</v>
      </c>
      <c r="I6867" s="19"/>
      <c r="J6867" s="17" t="s">
        <v>49</v>
      </c>
      <c r="K6867" s="19">
        <v>2000</v>
      </c>
      <c r="L6867" s="91">
        <v>80</v>
      </c>
      <c r="M6867" s="19">
        <v>5000</v>
      </c>
      <c r="N6867" s="19" t="s">
        <v>66</v>
      </c>
      <c r="O6867" s="19" t="s">
        <v>141</v>
      </c>
      <c r="P6867" s="19">
        <v>6400</v>
      </c>
      <c r="Q6867" s="19">
        <v>6325</v>
      </c>
      <c r="R6867" s="19">
        <f t="shared" si="301"/>
        <v>75</v>
      </c>
      <c r="S6867" s="19">
        <v>2470</v>
      </c>
      <c r="T6867" s="19" t="s">
        <v>94</v>
      </c>
      <c r="U6867" s="102">
        <v>20049880</v>
      </c>
      <c r="V6867" s="186">
        <v>45891</v>
      </c>
      <c r="W6867" s="17" t="s">
        <v>44</v>
      </c>
      <c r="X6867" s="17"/>
      <c r="Y6867" s="68">
        <v>45931</v>
      </c>
      <c r="Z6867" s="17" t="s">
        <v>1561</v>
      </c>
      <c r="AA6867" s="17" t="s">
        <v>46</v>
      </c>
      <c r="AB6867" s="17">
        <v>25201121517</v>
      </c>
      <c r="AC6867" s="217">
        <v>45988</v>
      </c>
      <c r="AD6867" s="65">
        <v>1753</v>
      </c>
      <c r="AE6867" s="17" t="s">
        <v>48</v>
      </c>
      <c r="AF6867" s="17"/>
      <c r="AG6867" s="17"/>
      <c r="AH6867" s="17"/>
      <c r="AI6867" s="17"/>
      <c r="AJ6867" s="17"/>
      <c r="AK6867" s="17"/>
      <c r="AL6867" s="17"/>
      <c r="AM6867" s="17"/>
      <c r="AN6867" s="17"/>
      <c r="AO6867" s="17"/>
      <c r="AP6867" s="17"/>
      <c r="AQ6867" s="17"/>
      <c r="AR6867" s="17"/>
    </row>
    <row r="6868" s="25" customFormat="1" hidden="1" spans="1:44">
      <c r="A6868" s="17" t="s">
        <v>34</v>
      </c>
      <c r="B6868" s="19">
        <v>1083</v>
      </c>
      <c r="C6868" s="183">
        <v>45891</v>
      </c>
      <c r="D6868" s="17" t="s">
        <v>91</v>
      </c>
      <c r="E6868" s="17" t="s">
        <v>550</v>
      </c>
      <c r="F6868" s="17" t="s">
        <v>93</v>
      </c>
      <c r="G6868" s="17"/>
      <c r="H6868" s="19">
        <v>1.2085</v>
      </c>
      <c r="I6868" s="19"/>
      <c r="J6868" s="17" t="s">
        <v>49</v>
      </c>
      <c r="K6868" s="19">
        <v>2000</v>
      </c>
      <c r="L6868" s="91">
        <v>90</v>
      </c>
      <c r="M6868" s="19">
        <v>5000</v>
      </c>
      <c r="N6868" s="19" t="s">
        <v>66</v>
      </c>
      <c r="O6868" s="19" t="s">
        <v>141</v>
      </c>
      <c r="P6868" s="19">
        <v>7200</v>
      </c>
      <c r="Q6868" s="19">
        <v>7125</v>
      </c>
      <c r="R6868" s="19">
        <f t="shared" si="301"/>
        <v>75</v>
      </c>
      <c r="S6868" s="19">
        <v>2470</v>
      </c>
      <c r="T6868" s="19" t="s">
        <v>94</v>
      </c>
      <c r="U6868" s="102">
        <v>20049880</v>
      </c>
      <c r="V6868" s="186">
        <v>45891</v>
      </c>
      <c r="W6868" s="17" t="s">
        <v>44</v>
      </c>
      <c r="X6868" s="17"/>
      <c r="Y6868" s="68">
        <v>45931</v>
      </c>
      <c r="Z6868" s="17" t="s">
        <v>1561</v>
      </c>
      <c r="AA6868" s="17" t="s">
        <v>46</v>
      </c>
      <c r="AB6868" s="17">
        <v>25201121517</v>
      </c>
      <c r="AC6868" s="217">
        <v>45988</v>
      </c>
      <c r="AD6868" s="65">
        <v>1753</v>
      </c>
      <c r="AE6868" s="17" t="s">
        <v>48</v>
      </c>
      <c r="AF6868" s="17"/>
      <c r="AG6868" s="17"/>
      <c r="AH6868" s="17"/>
      <c r="AI6868" s="17"/>
      <c r="AJ6868" s="17"/>
      <c r="AK6868" s="17"/>
      <c r="AL6868" s="17"/>
      <c r="AM6868" s="17"/>
      <c r="AN6868" s="17"/>
      <c r="AO6868" s="17"/>
      <c r="AP6868" s="17"/>
      <c r="AQ6868" s="17"/>
      <c r="AR6868" s="17"/>
    </row>
    <row r="6869" s="25" customFormat="1" hidden="1" spans="1:44">
      <c r="A6869" s="17" t="s">
        <v>34</v>
      </c>
      <c r="B6869" s="19">
        <v>1083</v>
      </c>
      <c r="C6869" s="183">
        <v>45891</v>
      </c>
      <c r="D6869" s="17" t="s">
        <v>91</v>
      </c>
      <c r="E6869" s="17" t="s">
        <v>550</v>
      </c>
      <c r="F6869" s="17" t="s">
        <v>93</v>
      </c>
      <c r="G6869" s="17"/>
      <c r="H6869" s="19">
        <v>1.2085</v>
      </c>
      <c r="I6869" s="19"/>
      <c r="J6869" s="17" t="s">
        <v>49</v>
      </c>
      <c r="K6869" s="19">
        <v>2000</v>
      </c>
      <c r="L6869" s="91">
        <v>105</v>
      </c>
      <c r="M6869" s="19">
        <v>5000</v>
      </c>
      <c r="N6869" s="19" t="s">
        <v>66</v>
      </c>
      <c r="O6869" s="19" t="s">
        <v>141</v>
      </c>
      <c r="P6869" s="19">
        <v>8400</v>
      </c>
      <c r="Q6869" s="19">
        <v>8300</v>
      </c>
      <c r="R6869" s="19">
        <f t="shared" si="301"/>
        <v>100</v>
      </c>
      <c r="S6869" s="19">
        <v>2470</v>
      </c>
      <c r="T6869" s="19" t="s">
        <v>94</v>
      </c>
      <c r="U6869" s="102">
        <v>20049880</v>
      </c>
      <c r="V6869" s="186">
        <v>45891</v>
      </c>
      <c r="W6869" s="17" t="s">
        <v>44</v>
      </c>
      <c r="X6869" s="17"/>
      <c r="Y6869" s="68">
        <v>45931</v>
      </c>
      <c r="Z6869" s="17" t="s">
        <v>1561</v>
      </c>
      <c r="AA6869" s="17" t="s">
        <v>46</v>
      </c>
      <c r="AB6869" s="17">
        <v>25201120137</v>
      </c>
      <c r="AC6869" s="217">
        <v>45968</v>
      </c>
      <c r="AD6869" s="65">
        <v>1744</v>
      </c>
      <c r="AE6869" s="17" t="s">
        <v>48</v>
      </c>
      <c r="AF6869" s="17"/>
      <c r="AG6869" s="17"/>
      <c r="AH6869" s="17"/>
      <c r="AI6869" s="17"/>
      <c r="AJ6869" s="17"/>
      <c r="AK6869" s="17"/>
      <c r="AL6869" s="17"/>
      <c r="AM6869" s="17"/>
      <c r="AN6869" s="17"/>
      <c r="AO6869" s="17"/>
      <c r="AP6869" s="17"/>
      <c r="AQ6869" s="17"/>
      <c r="AR6869" s="17"/>
    </row>
    <row r="6870" s="25" customFormat="1" hidden="1" spans="1:44">
      <c r="A6870" s="17" t="s">
        <v>34</v>
      </c>
      <c r="B6870" s="19">
        <v>1086</v>
      </c>
      <c r="C6870" s="183">
        <v>45910</v>
      </c>
      <c r="D6870" s="17" t="s">
        <v>52</v>
      </c>
      <c r="E6870" s="17" t="s">
        <v>53</v>
      </c>
      <c r="F6870" s="17" t="s">
        <v>54</v>
      </c>
      <c r="G6870" s="17"/>
      <c r="H6870" s="19" t="s">
        <v>55</v>
      </c>
      <c r="I6870" s="19"/>
      <c r="J6870" s="17" t="s">
        <v>82</v>
      </c>
      <c r="K6870" s="19">
        <v>605</v>
      </c>
      <c r="L6870" s="395">
        <v>42</v>
      </c>
      <c r="M6870" s="19">
        <v>5800</v>
      </c>
      <c r="N6870" s="19" t="s">
        <v>40</v>
      </c>
      <c r="O6870" s="19" t="s">
        <v>50</v>
      </c>
      <c r="P6870" s="19">
        <v>2700</v>
      </c>
      <c r="Q6870" s="19">
        <f>548+769+841</f>
        <v>2158</v>
      </c>
      <c r="R6870" s="19">
        <f t="shared" si="301"/>
        <v>542</v>
      </c>
      <c r="S6870" s="19">
        <v>2050</v>
      </c>
      <c r="T6870" s="19" t="s">
        <v>42</v>
      </c>
      <c r="U6870" s="102" t="s">
        <v>1630</v>
      </c>
      <c r="V6870" s="186">
        <v>45910</v>
      </c>
      <c r="W6870" s="17" t="s">
        <v>58</v>
      </c>
      <c r="X6870" s="17"/>
      <c r="Y6870" s="68">
        <v>45992</v>
      </c>
      <c r="Z6870" s="17" t="s">
        <v>45</v>
      </c>
      <c r="AA6870" s="17" t="s">
        <v>46</v>
      </c>
      <c r="AB6870" s="17" t="s">
        <v>1629</v>
      </c>
      <c r="AC6870" s="217">
        <v>46006</v>
      </c>
      <c r="AD6870" s="65">
        <v>1763</v>
      </c>
      <c r="AE6870" s="17" t="s">
        <v>48</v>
      </c>
      <c r="AF6870" s="17" t="s">
        <v>61</v>
      </c>
      <c r="AG6870" s="17"/>
      <c r="AH6870" s="17"/>
      <c r="AI6870" s="17"/>
      <c r="AJ6870" s="17"/>
      <c r="AK6870" s="17"/>
      <c r="AL6870" s="17"/>
      <c r="AM6870" s="17"/>
      <c r="AN6870" s="17"/>
      <c r="AO6870" s="17"/>
      <c r="AP6870" s="17"/>
      <c r="AQ6870" s="17"/>
      <c r="AR6870" s="17"/>
    </row>
    <row r="6871" s="25" customFormat="1" hidden="1" spans="1:44">
      <c r="A6871" s="17" t="s">
        <v>34</v>
      </c>
      <c r="B6871" s="19">
        <v>1086</v>
      </c>
      <c r="C6871" s="183">
        <v>45910</v>
      </c>
      <c r="D6871" s="17" t="s">
        <v>52</v>
      </c>
      <c r="E6871" s="17" t="s">
        <v>53</v>
      </c>
      <c r="F6871" s="17" t="s">
        <v>54</v>
      </c>
      <c r="G6871" s="17"/>
      <c r="H6871" s="19" t="s">
        <v>55</v>
      </c>
      <c r="I6871" s="19"/>
      <c r="J6871" s="17" t="s">
        <v>82</v>
      </c>
      <c r="K6871" s="19">
        <v>605</v>
      </c>
      <c r="L6871" s="395">
        <v>45</v>
      </c>
      <c r="M6871" s="19">
        <v>5800</v>
      </c>
      <c r="N6871" s="19" t="s">
        <v>40</v>
      </c>
      <c r="O6871" s="19" t="s">
        <v>50</v>
      </c>
      <c r="P6871" s="19">
        <v>2700</v>
      </c>
      <c r="Q6871" s="19">
        <f>820+831+808</f>
        <v>2459</v>
      </c>
      <c r="R6871" s="19">
        <f t="shared" si="301"/>
        <v>241</v>
      </c>
      <c r="S6871" s="19">
        <v>2050</v>
      </c>
      <c r="T6871" s="19" t="s">
        <v>42</v>
      </c>
      <c r="U6871" s="102" t="s">
        <v>1630</v>
      </c>
      <c r="V6871" s="186">
        <v>45910</v>
      </c>
      <c r="W6871" s="17" t="s">
        <v>58</v>
      </c>
      <c r="X6871" s="17"/>
      <c r="Y6871" s="68">
        <v>45992</v>
      </c>
      <c r="Z6871" s="17" t="s">
        <v>45</v>
      </c>
      <c r="AA6871" s="17" t="s">
        <v>46</v>
      </c>
      <c r="AB6871" s="17" t="s">
        <v>1629</v>
      </c>
      <c r="AC6871" s="217">
        <v>46006</v>
      </c>
      <c r="AD6871" s="65">
        <v>1763</v>
      </c>
      <c r="AE6871" s="17" t="s">
        <v>48</v>
      </c>
      <c r="AF6871" s="17" t="s">
        <v>61</v>
      </c>
      <c r="AG6871" s="17"/>
      <c r="AH6871" s="17"/>
      <c r="AI6871" s="17"/>
      <c r="AJ6871" s="17"/>
      <c r="AK6871" s="17"/>
      <c r="AL6871" s="17"/>
      <c r="AM6871" s="17"/>
      <c r="AN6871" s="17"/>
      <c r="AO6871" s="17"/>
      <c r="AP6871" s="17"/>
      <c r="AQ6871" s="17"/>
      <c r="AR6871" s="17"/>
    </row>
    <row r="6872" s="25" customFormat="1" hidden="1" spans="1:44">
      <c r="A6872" s="17" t="s">
        <v>34</v>
      </c>
      <c r="B6872" s="19">
        <v>1086</v>
      </c>
      <c r="C6872" s="183">
        <v>45910</v>
      </c>
      <c r="D6872" s="17" t="s">
        <v>52</v>
      </c>
      <c r="E6872" s="17" t="s">
        <v>53</v>
      </c>
      <c r="F6872" s="17" t="s">
        <v>54</v>
      </c>
      <c r="G6872" s="17"/>
      <c r="H6872" s="19" t="s">
        <v>55</v>
      </c>
      <c r="I6872" s="19"/>
      <c r="J6872" s="17" t="s">
        <v>82</v>
      </c>
      <c r="K6872" s="19">
        <v>605</v>
      </c>
      <c r="L6872" s="395">
        <v>50</v>
      </c>
      <c r="M6872" s="19">
        <v>5800</v>
      </c>
      <c r="N6872" s="19" t="s">
        <v>40</v>
      </c>
      <c r="O6872" s="19" t="s">
        <v>50</v>
      </c>
      <c r="P6872" s="19">
        <v>2700</v>
      </c>
      <c r="Q6872" s="19">
        <f>848+806+841</f>
        <v>2495</v>
      </c>
      <c r="R6872" s="19">
        <f t="shared" si="301"/>
        <v>205</v>
      </c>
      <c r="S6872" s="19">
        <v>2050</v>
      </c>
      <c r="T6872" s="19" t="s">
        <v>42</v>
      </c>
      <c r="U6872" s="102" t="s">
        <v>1630</v>
      </c>
      <c r="V6872" s="186">
        <v>45910</v>
      </c>
      <c r="W6872" s="17" t="s">
        <v>58</v>
      </c>
      <c r="X6872" s="17"/>
      <c r="Y6872" s="68">
        <v>45992</v>
      </c>
      <c r="Z6872" s="17" t="s">
        <v>45</v>
      </c>
      <c r="AA6872" s="17" t="s">
        <v>46</v>
      </c>
      <c r="AB6872" s="17" t="s">
        <v>1629</v>
      </c>
      <c r="AC6872" s="217">
        <v>46006</v>
      </c>
      <c r="AD6872" s="65">
        <v>1763</v>
      </c>
      <c r="AE6872" s="17" t="s">
        <v>48</v>
      </c>
      <c r="AF6872" s="17" t="s">
        <v>61</v>
      </c>
      <c r="AG6872" s="17"/>
      <c r="AH6872" s="17"/>
      <c r="AI6872" s="17"/>
      <c r="AJ6872" s="17"/>
      <c r="AK6872" s="17"/>
      <c r="AL6872" s="17"/>
      <c r="AM6872" s="17"/>
      <c r="AN6872" s="17"/>
      <c r="AO6872" s="17"/>
      <c r="AP6872" s="17"/>
      <c r="AQ6872" s="17"/>
      <c r="AR6872" s="17"/>
    </row>
    <row r="6873" s="25" customFormat="1" hidden="1" spans="1:44">
      <c r="A6873" s="17" t="s">
        <v>34</v>
      </c>
      <c r="B6873" s="19">
        <v>1086</v>
      </c>
      <c r="C6873" s="183">
        <v>45910</v>
      </c>
      <c r="D6873" s="17" t="s">
        <v>52</v>
      </c>
      <c r="E6873" s="17" t="s">
        <v>53</v>
      </c>
      <c r="F6873" s="17" t="s">
        <v>54</v>
      </c>
      <c r="G6873" s="17"/>
      <c r="H6873" s="19" t="s">
        <v>55</v>
      </c>
      <c r="I6873" s="19"/>
      <c r="J6873" s="17" t="s">
        <v>82</v>
      </c>
      <c r="K6873" s="19">
        <v>605</v>
      </c>
      <c r="L6873" s="395">
        <v>56</v>
      </c>
      <c r="M6873" s="19">
        <v>5800</v>
      </c>
      <c r="N6873" s="19" t="s">
        <v>40</v>
      </c>
      <c r="O6873" s="19" t="s">
        <v>50</v>
      </c>
      <c r="P6873" s="19">
        <v>3375</v>
      </c>
      <c r="Q6873" s="19">
        <f>1026+1043+1017+1010</f>
        <v>4096</v>
      </c>
      <c r="R6873" s="19">
        <f t="shared" si="301"/>
        <v>-721</v>
      </c>
      <c r="S6873" s="19">
        <v>2050</v>
      </c>
      <c r="T6873" s="19" t="s">
        <v>42</v>
      </c>
      <c r="U6873" s="102" t="s">
        <v>1630</v>
      </c>
      <c r="V6873" s="186">
        <v>45910</v>
      </c>
      <c r="W6873" s="17" t="s">
        <v>58</v>
      </c>
      <c r="X6873" s="17"/>
      <c r="Y6873" s="68">
        <v>45992</v>
      </c>
      <c r="Z6873" s="17" t="s">
        <v>45</v>
      </c>
      <c r="AA6873" s="17" t="s">
        <v>46</v>
      </c>
      <c r="AB6873" s="17" t="s">
        <v>1629</v>
      </c>
      <c r="AC6873" s="217">
        <v>46006</v>
      </c>
      <c r="AD6873" s="65">
        <v>1763</v>
      </c>
      <c r="AE6873" s="17" t="s">
        <v>48</v>
      </c>
      <c r="AF6873" s="17" t="s">
        <v>61</v>
      </c>
      <c r="AG6873" s="17"/>
      <c r="AH6873" s="17"/>
      <c r="AI6873" s="17"/>
      <c r="AJ6873" s="17"/>
      <c r="AK6873" s="17"/>
      <c r="AL6873" s="17"/>
      <c r="AM6873" s="17"/>
      <c r="AN6873" s="17"/>
      <c r="AO6873" s="17"/>
      <c r="AP6873" s="17"/>
      <c r="AQ6873" s="17"/>
      <c r="AR6873" s="17"/>
    </row>
    <row r="6874" s="25" customFormat="1" hidden="1" spans="1:44">
      <c r="A6874" s="17" t="s">
        <v>34</v>
      </c>
      <c r="B6874" s="19">
        <v>1086</v>
      </c>
      <c r="C6874" s="183">
        <v>45910</v>
      </c>
      <c r="D6874" s="17" t="s">
        <v>52</v>
      </c>
      <c r="E6874" s="17" t="s">
        <v>53</v>
      </c>
      <c r="F6874" s="17" t="s">
        <v>54</v>
      </c>
      <c r="G6874" s="17"/>
      <c r="H6874" s="19" t="s">
        <v>55</v>
      </c>
      <c r="I6874" s="19"/>
      <c r="J6874" s="17" t="s">
        <v>82</v>
      </c>
      <c r="K6874" s="19">
        <v>605</v>
      </c>
      <c r="L6874" s="395">
        <v>61</v>
      </c>
      <c r="M6874" s="19">
        <v>5800</v>
      </c>
      <c r="N6874" s="19" t="s">
        <v>40</v>
      </c>
      <c r="O6874" s="19" t="s">
        <v>50</v>
      </c>
      <c r="P6874" s="19">
        <v>3375</v>
      </c>
      <c r="Q6874" s="19">
        <f>1063+1146+1245</f>
        <v>3454</v>
      </c>
      <c r="R6874" s="19">
        <f t="shared" si="301"/>
        <v>-79</v>
      </c>
      <c r="S6874" s="19">
        <v>2050</v>
      </c>
      <c r="T6874" s="19" t="s">
        <v>42</v>
      </c>
      <c r="U6874" s="102" t="s">
        <v>1630</v>
      </c>
      <c r="V6874" s="186">
        <v>45910</v>
      </c>
      <c r="W6874" s="17" t="s">
        <v>58</v>
      </c>
      <c r="X6874" s="17"/>
      <c r="Y6874" s="68">
        <v>45992</v>
      </c>
      <c r="Z6874" s="17" t="s">
        <v>45</v>
      </c>
      <c r="AA6874" s="17" t="s">
        <v>46</v>
      </c>
      <c r="AB6874" s="17" t="s">
        <v>1629</v>
      </c>
      <c r="AC6874" s="217">
        <v>46006</v>
      </c>
      <c r="AD6874" s="65">
        <v>1763</v>
      </c>
      <c r="AE6874" s="17" t="s">
        <v>48</v>
      </c>
      <c r="AF6874" s="17" t="s">
        <v>61</v>
      </c>
      <c r="AG6874" s="17"/>
      <c r="AH6874" s="17"/>
      <c r="AI6874" s="17"/>
      <c r="AJ6874" s="17"/>
      <c r="AK6874" s="17"/>
      <c r="AL6874" s="17"/>
      <c r="AM6874" s="17"/>
      <c r="AN6874" s="17"/>
      <c r="AO6874" s="17"/>
      <c r="AP6874" s="17"/>
      <c r="AQ6874" s="17"/>
      <c r="AR6874" s="17"/>
    </row>
    <row r="6875" s="25" customFormat="1" hidden="1" spans="1:44">
      <c r="A6875" s="17" t="s">
        <v>34</v>
      </c>
      <c r="B6875" s="19">
        <v>1086</v>
      </c>
      <c r="C6875" s="183">
        <v>45910</v>
      </c>
      <c r="D6875" s="17" t="s">
        <v>52</v>
      </c>
      <c r="E6875" s="17" t="s">
        <v>53</v>
      </c>
      <c r="F6875" s="17" t="s">
        <v>54</v>
      </c>
      <c r="G6875" s="17"/>
      <c r="H6875" s="19" t="s">
        <v>55</v>
      </c>
      <c r="I6875" s="19"/>
      <c r="J6875" s="17" t="s">
        <v>82</v>
      </c>
      <c r="K6875" s="19">
        <v>605</v>
      </c>
      <c r="L6875" s="395">
        <v>65</v>
      </c>
      <c r="M6875" s="19">
        <v>5800</v>
      </c>
      <c r="N6875" s="19" t="s">
        <v>40</v>
      </c>
      <c r="O6875" s="19" t="s">
        <v>50</v>
      </c>
      <c r="P6875" s="19">
        <v>2700</v>
      </c>
      <c r="Q6875" s="19">
        <f>1294+1250</f>
        <v>2544</v>
      </c>
      <c r="R6875" s="19">
        <f t="shared" si="301"/>
        <v>156</v>
      </c>
      <c r="S6875" s="19">
        <v>2050</v>
      </c>
      <c r="T6875" s="19" t="s">
        <v>42</v>
      </c>
      <c r="U6875" s="102" t="s">
        <v>1630</v>
      </c>
      <c r="V6875" s="186">
        <v>45910</v>
      </c>
      <c r="W6875" s="17" t="s">
        <v>58</v>
      </c>
      <c r="X6875" s="17"/>
      <c r="Y6875" s="68">
        <v>45992</v>
      </c>
      <c r="Z6875" s="17" t="s">
        <v>45</v>
      </c>
      <c r="AA6875" s="17" t="s">
        <v>46</v>
      </c>
      <c r="AB6875" s="17" t="s">
        <v>1629</v>
      </c>
      <c r="AC6875" s="217">
        <v>46006</v>
      </c>
      <c r="AD6875" s="65">
        <v>1763</v>
      </c>
      <c r="AE6875" s="17" t="s">
        <v>48</v>
      </c>
      <c r="AF6875" s="17" t="s">
        <v>61</v>
      </c>
      <c r="AG6875" s="17"/>
      <c r="AH6875" s="17"/>
      <c r="AI6875" s="17"/>
      <c r="AJ6875" s="17"/>
      <c r="AK6875" s="17"/>
      <c r="AL6875" s="17"/>
      <c r="AM6875" s="17"/>
      <c r="AN6875" s="17"/>
      <c r="AO6875" s="17"/>
      <c r="AP6875" s="17"/>
      <c r="AQ6875" s="17"/>
      <c r="AR6875" s="17"/>
    </row>
    <row r="6876" s="25" customFormat="1" hidden="1" spans="1:44">
      <c r="A6876" s="17" t="s">
        <v>34</v>
      </c>
      <c r="B6876" s="19">
        <v>1086</v>
      </c>
      <c r="C6876" s="183">
        <v>45910</v>
      </c>
      <c r="D6876" s="17" t="s">
        <v>52</v>
      </c>
      <c r="E6876" s="17" t="s">
        <v>53</v>
      </c>
      <c r="F6876" s="17" t="s">
        <v>54</v>
      </c>
      <c r="G6876" s="17"/>
      <c r="H6876" s="19" t="s">
        <v>55</v>
      </c>
      <c r="I6876" s="19"/>
      <c r="J6876" s="17" t="s">
        <v>82</v>
      </c>
      <c r="K6876" s="19">
        <v>605</v>
      </c>
      <c r="L6876" s="395">
        <v>71</v>
      </c>
      <c r="M6876" s="19">
        <v>5800</v>
      </c>
      <c r="N6876" s="19" t="s">
        <v>40</v>
      </c>
      <c r="O6876" s="19" t="s">
        <v>50</v>
      </c>
      <c r="P6876" s="19">
        <v>2700</v>
      </c>
      <c r="Q6876" s="19">
        <f>1312+1268</f>
        <v>2580</v>
      </c>
      <c r="R6876" s="19">
        <f t="shared" si="301"/>
        <v>120</v>
      </c>
      <c r="S6876" s="19">
        <v>2050</v>
      </c>
      <c r="T6876" s="19" t="s">
        <v>42</v>
      </c>
      <c r="U6876" s="102" t="s">
        <v>1630</v>
      </c>
      <c r="V6876" s="186">
        <v>45910</v>
      </c>
      <c r="W6876" s="17" t="s">
        <v>58</v>
      </c>
      <c r="X6876" s="17"/>
      <c r="Y6876" s="68">
        <v>45992</v>
      </c>
      <c r="Z6876" s="17" t="s">
        <v>45</v>
      </c>
      <c r="AA6876" s="17" t="s">
        <v>46</v>
      </c>
      <c r="AB6876" s="17" t="s">
        <v>1629</v>
      </c>
      <c r="AC6876" s="217">
        <v>46006</v>
      </c>
      <c r="AD6876" s="65">
        <v>1763</v>
      </c>
      <c r="AE6876" s="17" t="s">
        <v>48</v>
      </c>
      <c r="AF6876" s="17" t="s">
        <v>61</v>
      </c>
      <c r="AG6876" s="17"/>
      <c r="AH6876" s="17"/>
      <c r="AI6876" s="17"/>
      <c r="AJ6876" s="17"/>
      <c r="AK6876" s="17"/>
      <c r="AL6876" s="17"/>
      <c r="AM6876" s="17"/>
      <c r="AN6876" s="17"/>
      <c r="AO6876" s="17"/>
      <c r="AP6876" s="17"/>
      <c r="AQ6876" s="17"/>
      <c r="AR6876" s="17"/>
    </row>
    <row r="6877" s="25" customFormat="1" hidden="1" spans="1:44">
      <c r="A6877" s="17" t="s">
        <v>34</v>
      </c>
      <c r="B6877" s="19">
        <v>1086</v>
      </c>
      <c r="C6877" s="183">
        <v>45910</v>
      </c>
      <c r="D6877" s="17" t="s">
        <v>52</v>
      </c>
      <c r="E6877" s="17" t="s">
        <v>53</v>
      </c>
      <c r="F6877" s="17" t="s">
        <v>54</v>
      </c>
      <c r="G6877" s="17"/>
      <c r="H6877" s="19" t="s">
        <v>55</v>
      </c>
      <c r="I6877" s="19"/>
      <c r="J6877" s="17" t="s">
        <v>82</v>
      </c>
      <c r="K6877" s="19">
        <v>605</v>
      </c>
      <c r="L6877" s="395">
        <v>76</v>
      </c>
      <c r="M6877" s="19">
        <v>5800</v>
      </c>
      <c r="N6877" s="19" t="s">
        <v>40</v>
      </c>
      <c r="O6877" s="19" t="s">
        <v>50</v>
      </c>
      <c r="P6877" s="19">
        <v>3000</v>
      </c>
      <c r="Q6877" s="19">
        <f>1486+1499</f>
        <v>2985</v>
      </c>
      <c r="R6877" s="19">
        <f t="shared" si="301"/>
        <v>15</v>
      </c>
      <c r="S6877" s="19">
        <v>2050</v>
      </c>
      <c r="T6877" s="19" t="s">
        <v>42</v>
      </c>
      <c r="U6877" s="102" t="s">
        <v>1630</v>
      </c>
      <c r="V6877" s="186">
        <v>45910</v>
      </c>
      <c r="W6877" s="17" t="s">
        <v>58</v>
      </c>
      <c r="X6877" s="17"/>
      <c r="Y6877" s="68">
        <v>45992</v>
      </c>
      <c r="Z6877" s="17" t="s">
        <v>45</v>
      </c>
      <c r="AA6877" s="17" t="s">
        <v>46</v>
      </c>
      <c r="AB6877" s="17" t="s">
        <v>1629</v>
      </c>
      <c r="AC6877" s="217">
        <v>46006</v>
      </c>
      <c r="AD6877" s="65">
        <v>1763</v>
      </c>
      <c r="AE6877" s="17" t="s">
        <v>48</v>
      </c>
      <c r="AF6877" s="17" t="s">
        <v>61</v>
      </c>
      <c r="AG6877" s="17"/>
      <c r="AH6877" s="17"/>
      <c r="AI6877" s="17"/>
      <c r="AJ6877" s="17"/>
      <c r="AK6877" s="17"/>
      <c r="AL6877" s="17"/>
      <c r="AM6877" s="17"/>
      <c r="AN6877" s="17"/>
      <c r="AO6877" s="17"/>
      <c r="AP6877" s="17"/>
      <c r="AQ6877" s="17"/>
      <c r="AR6877" s="17"/>
    </row>
    <row r="6878" s="25" customFormat="1" hidden="1" spans="1:44">
      <c r="A6878" s="17" t="s">
        <v>34</v>
      </c>
      <c r="B6878" s="19">
        <v>1086</v>
      </c>
      <c r="C6878" s="183">
        <v>45910</v>
      </c>
      <c r="D6878" s="17" t="s">
        <v>52</v>
      </c>
      <c r="E6878" s="17" t="s">
        <v>53</v>
      </c>
      <c r="F6878" s="17" t="s">
        <v>54</v>
      </c>
      <c r="G6878" s="17"/>
      <c r="H6878" s="19" t="s">
        <v>55</v>
      </c>
      <c r="I6878" s="19"/>
      <c r="J6878" s="17" t="s">
        <v>82</v>
      </c>
      <c r="K6878" s="19">
        <v>605</v>
      </c>
      <c r="L6878" s="395">
        <v>82</v>
      </c>
      <c r="M6878" s="19">
        <v>5800</v>
      </c>
      <c r="N6878" s="19" t="s">
        <v>40</v>
      </c>
      <c r="O6878" s="19" t="s">
        <v>50</v>
      </c>
      <c r="P6878" s="19">
        <v>4500</v>
      </c>
      <c r="Q6878" s="19">
        <f>1514+1281+1275</f>
        <v>4070</v>
      </c>
      <c r="R6878" s="19">
        <f t="shared" si="301"/>
        <v>430</v>
      </c>
      <c r="S6878" s="19">
        <v>2050</v>
      </c>
      <c r="T6878" s="19" t="s">
        <v>42</v>
      </c>
      <c r="U6878" s="102" t="s">
        <v>1630</v>
      </c>
      <c r="V6878" s="186">
        <v>45910</v>
      </c>
      <c r="W6878" s="17" t="s">
        <v>58</v>
      </c>
      <c r="X6878" s="17"/>
      <c r="Y6878" s="68">
        <v>45992</v>
      </c>
      <c r="Z6878" s="17" t="s">
        <v>45</v>
      </c>
      <c r="AA6878" s="17" t="s">
        <v>46</v>
      </c>
      <c r="AB6878" s="17" t="s">
        <v>1629</v>
      </c>
      <c r="AC6878" s="217">
        <v>46006</v>
      </c>
      <c r="AD6878" s="65">
        <v>1763</v>
      </c>
      <c r="AE6878" s="17" t="s">
        <v>48</v>
      </c>
      <c r="AF6878" s="17" t="s">
        <v>61</v>
      </c>
      <c r="AG6878" s="17"/>
      <c r="AH6878" s="17"/>
      <c r="AI6878" s="17"/>
      <c r="AJ6878" s="17"/>
      <c r="AK6878" s="17"/>
      <c r="AL6878" s="17"/>
      <c r="AM6878" s="17"/>
      <c r="AN6878" s="17"/>
      <c r="AO6878" s="17"/>
      <c r="AP6878" s="17"/>
      <c r="AQ6878" s="17"/>
      <c r="AR6878" s="17"/>
    </row>
    <row r="6879" s="25" customFormat="1" hidden="1" spans="1:44">
      <c r="A6879" s="17" t="s">
        <v>34</v>
      </c>
      <c r="B6879" s="19">
        <v>1086</v>
      </c>
      <c r="C6879" s="183">
        <v>45910</v>
      </c>
      <c r="D6879" s="17" t="s">
        <v>52</v>
      </c>
      <c r="E6879" s="17" t="s">
        <v>53</v>
      </c>
      <c r="F6879" s="17" t="s">
        <v>54</v>
      </c>
      <c r="G6879" s="17"/>
      <c r="H6879" s="19" t="s">
        <v>55</v>
      </c>
      <c r="I6879" s="19"/>
      <c r="J6879" s="17" t="s">
        <v>82</v>
      </c>
      <c r="K6879" s="19">
        <v>605</v>
      </c>
      <c r="L6879" s="395">
        <v>155</v>
      </c>
      <c r="M6879" s="19">
        <v>5800</v>
      </c>
      <c r="N6879" s="19" t="s">
        <v>40</v>
      </c>
      <c r="O6879" s="19" t="s">
        <v>50</v>
      </c>
      <c r="P6879" s="19">
        <v>7500</v>
      </c>
      <c r="Q6879" s="19">
        <f>3176+3024</f>
        <v>6200</v>
      </c>
      <c r="R6879" s="19">
        <f t="shared" si="301"/>
        <v>1300</v>
      </c>
      <c r="S6879" s="19">
        <v>2050</v>
      </c>
      <c r="T6879" s="19" t="s">
        <v>42</v>
      </c>
      <c r="U6879" s="102" t="s">
        <v>1630</v>
      </c>
      <c r="V6879" s="186">
        <v>45910</v>
      </c>
      <c r="W6879" s="17" t="s">
        <v>58</v>
      </c>
      <c r="X6879" s="17"/>
      <c r="Y6879" s="68">
        <v>45992</v>
      </c>
      <c r="Z6879" s="17" t="s">
        <v>45</v>
      </c>
      <c r="AA6879" s="17" t="s">
        <v>46</v>
      </c>
      <c r="AB6879" s="17" t="s">
        <v>1629</v>
      </c>
      <c r="AC6879" s="217">
        <v>46006</v>
      </c>
      <c r="AD6879" s="65">
        <v>1763</v>
      </c>
      <c r="AE6879" s="17" t="s">
        <v>48</v>
      </c>
      <c r="AF6879" s="17" t="s">
        <v>61</v>
      </c>
      <c r="AG6879" s="17"/>
      <c r="AH6879" s="17"/>
      <c r="AI6879" s="17"/>
      <c r="AJ6879" s="17"/>
      <c r="AK6879" s="17"/>
      <c r="AL6879" s="17"/>
      <c r="AM6879" s="17"/>
      <c r="AN6879" s="17"/>
      <c r="AO6879" s="17"/>
      <c r="AP6879" s="17"/>
      <c r="AQ6879" s="17"/>
      <c r="AR6879" s="17"/>
    </row>
    <row r="6880" s="25" customFormat="1" hidden="1" spans="1:44">
      <c r="A6880" s="17" t="s">
        <v>34</v>
      </c>
      <c r="B6880" s="19">
        <v>1086</v>
      </c>
      <c r="C6880" s="183">
        <v>45910</v>
      </c>
      <c r="D6880" s="17" t="s">
        <v>52</v>
      </c>
      <c r="E6880" s="17" t="s">
        <v>53</v>
      </c>
      <c r="F6880" s="17" t="s">
        <v>54</v>
      </c>
      <c r="G6880" s="17"/>
      <c r="H6880" s="19" t="s">
        <v>55</v>
      </c>
      <c r="I6880" s="19"/>
      <c r="J6880" s="17" t="s">
        <v>82</v>
      </c>
      <c r="K6880" s="19">
        <v>605</v>
      </c>
      <c r="L6880" s="395">
        <v>230</v>
      </c>
      <c r="M6880" s="19">
        <v>5800</v>
      </c>
      <c r="N6880" s="19" t="s">
        <v>40</v>
      </c>
      <c r="O6880" s="19" t="s">
        <v>50</v>
      </c>
      <c r="P6880" s="19">
        <v>9000</v>
      </c>
      <c r="Q6880" s="19">
        <f>4619+4523</f>
        <v>9142</v>
      </c>
      <c r="R6880" s="19">
        <f t="shared" si="301"/>
        <v>-142</v>
      </c>
      <c r="S6880" s="19">
        <v>2050</v>
      </c>
      <c r="T6880" s="19" t="s">
        <v>42</v>
      </c>
      <c r="U6880" s="102" t="s">
        <v>1630</v>
      </c>
      <c r="V6880" s="186">
        <v>45910</v>
      </c>
      <c r="W6880" s="17" t="s">
        <v>58</v>
      </c>
      <c r="X6880" s="17"/>
      <c r="Y6880" s="68">
        <v>45992</v>
      </c>
      <c r="Z6880" s="17" t="s">
        <v>45</v>
      </c>
      <c r="AA6880" s="17" t="s">
        <v>46</v>
      </c>
      <c r="AB6880" s="17" t="s">
        <v>1629</v>
      </c>
      <c r="AC6880" s="217">
        <v>46006</v>
      </c>
      <c r="AD6880" s="65">
        <v>1763</v>
      </c>
      <c r="AE6880" s="17" t="s">
        <v>48</v>
      </c>
      <c r="AF6880" s="17" t="s">
        <v>61</v>
      </c>
      <c r="AG6880" s="17"/>
      <c r="AH6880" s="17"/>
      <c r="AI6880" s="17"/>
      <c r="AJ6880" s="17"/>
      <c r="AK6880" s="17"/>
      <c r="AL6880" s="17"/>
      <c r="AM6880" s="17"/>
      <c r="AN6880" s="17"/>
      <c r="AO6880" s="17"/>
      <c r="AP6880" s="17"/>
      <c r="AQ6880" s="17"/>
      <c r="AR6880" s="17"/>
    </row>
    <row r="6881" s="25" customFormat="1" hidden="1" spans="1:44">
      <c r="A6881" s="17" t="s">
        <v>34</v>
      </c>
      <c r="B6881" s="19">
        <v>1086</v>
      </c>
      <c r="C6881" s="183">
        <v>45910</v>
      </c>
      <c r="D6881" s="17" t="s">
        <v>52</v>
      </c>
      <c r="E6881" s="17" t="s">
        <v>53</v>
      </c>
      <c r="F6881" s="17" t="s">
        <v>54</v>
      </c>
      <c r="G6881" s="17"/>
      <c r="H6881" s="19" t="s">
        <v>55</v>
      </c>
      <c r="I6881" s="19"/>
      <c r="J6881" s="17" t="s">
        <v>82</v>
      </c>
      <c r="K6881" s="147">
        <v>605</v>
      </c>
      <c r="L6881" s="400">
        <v>255</v>
      </c>
      <c r="M6881" s="19">
        <v>5800</v>
      </c>
      <c r="N6881" s="19" t="s">
        <v>40</v>
      </c>
      <c r="O6881" s="19" t="s">
        <v>50</v>
      </c>
      <c r="P6881" s="19">
        <v>9750</v>
      </c>
      <c r="Q6881" s="19">
        <f>4996+3160</f>
        <v>8156</v>
      </c>
      <c r="R6881" s="19">
        <f t="shared" si="301"/>
        <v>1594</v>
      </c>
      <c r="S6881" s="19">
        <v>2050</v>
      </c>
      <c r="T6881" s="19" t="s">
        <v>42</v>
      </c>
      <c r="U6881" s="102" t="s">
        <v>1630</v>
      </c>
      <c r="V6881" s="186">
        <v>45910</v>
      </c>
      <c r="W6881" s="17" t="s">
        <v>58</v>
      </c>
      <c r="X6881" s="17"/>
      <c r="Y6881" s="68">
        <v>45992</v>
      </c>
      <c r="Z6881" s="17" t="s">
        <v>45</v>
      </c>
      <c r="AA6881" s="17" t="s">
        <v>46</v>
      </c>
      <c r="AB6881" s="17" t="s">
        <v>1629</v>
      </c>
      <c r="AC6881" s="217">
        <v>46006</v>
      </c>
      <c r="AD6881" s="65">
        <v>1763</v>
      </c>
      <c r="AE6881" s="17" t="s">
        <v>48</v>
      </c>
      <c r="AF6881" s="17" t="s">
        <v>61</v>
      </c>
      <c r="AG6881" s="17"/>
      <c r="AH6881" s="17"/>
      <c r="AI6881" s="17"/>
      <c r="AJ6881" s="17"/>
      <c r="AK6881" s="17"/>
      <c r="AL6881" s="17"/>
      <c r="AM6881" s="17"/>
      <c r="AN6881" s="17"/>
      <c r="AO6881" s="17"/>
      <c r="AP6881" s="17"/>
      <c r="AQ6881" s="17"/>
      <c r="AR6881" s="17"/>
    </row>
    <row r="6882" s="25" customFormat="1" hidden="1" spans="1:44">
      <c r="A6882" s="17" t="s">
        <v>34</v>
      </c>
      <c r="B6882" s="19">
        <v>1090</v>
      </c>
      <c r="C6882" s="183">
        <v>45925</v>
      </c>
      <c r="D6882" s="17" t="s">
        <v>52</v>
      </c>
      <c r="E6882" s="17" t="s">
        <v>53</v>
      </c>
      <c r="F6882" s="17" t="s">
        <v>54</v>
      </c>
      <c r="G6882" s="17"/>
      <c r="H6882" s="19" t="s">
        <v>55</v>
      </c>
      <c r="I6882" s="19"/>
      <c r="J6882" s="17" t="s">
        <v>49</v>
      </c>
      <c r="K6882" s="19">
        <v>610</v>
      </c>
      <c r="L6882" s="91">
        <v>105</v>
      </c>
      <c r="M6882" s="19">
        <v>5800</v>
      </c>
      <c r="N6882" s="19" t="s">
        <v>40</v>
      </c>
      <c r="O6882" s="19" t="s">
        <v>1631</v>
      </c>
      <c r="P6882" s="19">
        <v>3500</v>
      </c>
      <c r="Q6882" s="19">
        <f>1898+1740</f>
        <v>3638</v>
      </c>
      <c r="R6882" s="19">
        <f t="shared" si="301"/>
        <v>-138</v>
      </c>
      <c r="S6882" s="19">
        <f t="shared" ref="S6882:S6888" si="302">2050-50+40</f>
        <v>2040</v>
      </c>
      <c r="T6882" s="19" t="s">
        <v>42</v>
      </c>
      <c r="U6882" s="102" t="s">
        <v>1632</v>
      </c>
      <c r="V6882" s="186">
        <v>45946</v>
      </c>
      <c r="W6882" s="17" t="s">
        <v>58</v>
      </c>
      <c r="X6882" s="17"/>
      <c r="Y6882" s="68">
        <v>46023</v>
      </c>
      <c r="Z6882" s="17" t="s">
        <v>45</v>
      </c>
      <c r="AA6882" s="17" t="s">
        <v>46</v>
      </c>
      <c r="AB6882" s="17" t="s">
        <v>1633</v>
      </c>
      <c r="AC6882" s="217">
        <v>45994</v>
      </c>
      <c r="AD6882" s="65">
        <v>1755</v>
      </c>
      <c r="AE6882" s="17" t="s">
        <v>48</v>
      </c>
      <c r="AF6882" s="17" t="s">
        <v>61</v>
      </c>
      <c r="AG6882" s="17" t="s">
        <v>1464</v>
      </c>
      <c r="AH6882" s="17"/>
      <c r="AI6882" s="17"/>
      <c r="AJ6882" s="17"/>
      <c r="AK6882" s="17"/>
      <c r="AL6882" s="17"/>
      <c r="AM6882" s="17"/>
      <c r="AN6882" s="17"/>
      <c r="AO6882" s="17"/>
      <c r="AP6882" s="17"/>
      <c r="AQ6882" s="17"/>
      <c r="AR6882" s="17"/>
    </row>
    <row r="6883" s="25" customFormat="1" hidden="1" spans="1:44">
      <c r="A6883" s="17" t="s">
        <v>34</v>
      </c>
      <c r="B6883" s="19">
        <v>1090</v>
      </c>
      <c r="C6883" s="183">
        <v>45925</v>
      </c>
      <c r="D6883" s="17" t="s">
        <v>52</v>
      </c>
      <c r="E6883" s="17" t="s">
        <v>53</v>
      </c>
      <c r="F6883" s="17" t="s">
        <v>54</v>
      </c>
      <c r="G6883" s="17"/>
      <c r="H6883" s="19" t="s">
        <v>55</v>
      </c>
      <c r="I6883" s="19"/>
      <c r="J6883" s="17" t="s">
        <v>49</v>
      </c>
      <c r="K6883" s="19">
        <v>610</v>
      </c>
      <c r="L6883" s="91">
        <v>140</v>
      </c>
      <c r="M6883" s="19">
        <v>5800</v>
      </c>
      <c r="N6883" s="19" t="s">
        <v>40</v>
      </c>
      <c r="O6883" s="19" t="s">
        <v>1631</v>
      </c>
      <c r="P6883" s="19">
        <v>5000</v>
      </c>
      <c r="Q6883" s="19">
        <f>2368+2494</f>
        <v>4862</v>
      </c>
      <c r="R6883" s="19">
        <f t="shared" si="301"/>
        <v>138</v>
      </c>
      <c r="S6883" s="19">
        <f t="shared" si="302"/>
        <v>2040</v>
      </c>
      <c r="T6883" s="19" t="s">
        <v>42</v>
      </c>
      <c r="U6883" s="102" t="s">
        <v>1632</v>
      </c>
      <c r="V6883" s="186">
        <v>45946</v>
      </c>
      <c r="W6883" s="17" t="s">
        <v>58</v>
      </c>
      <c r="X6883" s="17"/>
      <c r="Y6883" s="68">
        <v>46023</v>
      </c>
      <c r="Z6883" s="17" t="s">
        <v>45</v>
      </c>
      <c r="AA6883" s="17" t="s">
        <v>46</v>
      </c>
      <c r="AB6883" s="17" t="s">
        <v>1633</v>
      </c>
      <c r="AC6883" s="217">
        <v>45994</v>
      </c>
      <c r="AD6883" s="65">
        <v>1755</v>
      </c>
      <c r="AE6883" s="17" t="s">
        <v>48</v>
      </c>
      <c r="AF6883" s="17" t="s">
        <v>61</v>
      </c>
      <c r="AG6883" s="17" t="s">
        <v>1464</v>
      </c>
      <c r="AH6883" s="17"/>
      <c r="AI6883" s="17"/>
      <c r="AJ6883" s="17"/>
      <c r="AK6883" s="17"/>
      <c r="AL6883" s="17"/>
      <c r="AM6883" s="17"/>
      <c r="AN6883" s="17"/>
      <c r="AO6883" s="17"/>
      <c r="AP6883" s="17"/>
      <c r="AQ6883" s="17"/>
      <c r="AR6883" s="17"/>
    </row>
    <row r="6884" s="25" customFormat="1" hidden="1" spans="1:44">
      <c r="A6884" s="17" t="s">
        <v>34</v>
      </c>
      <c r="B6884" s="19">
        <v>1090</v>
      </c>
      <c r="C6884" s="183">
        <v>45925</v>
      </c>
      <c r="D6884" s="17" t="s">
        <v>52</v>
      </c>
      <c r="E6884" s="17" t="s">
        <v>53</v>
      </c>
      <c r="F6884" s="17" t="s">
        <v>54</v>
      </c>
      <c r="G6884" s="17"/>
      <c r="H6884" s="19" t="s">
        <v>55</v>
      </c>
      <c r="I6884" s="19"/>
      <c r="J6884" s="17" t="s">
        <v>49</v>
      </c>
      <c r="K6884" s="19">
        <v>610</v>
      </c>
      <c r="L6884" s="91">
        <v>155</v>
      </c>
      <c r="M6884" s="19">
        <v>5800</v>
      </c>
      <c r="N6884" s="19" t="s">
        <v>40</v>
      </c>
      <c r="O6884" s="19" t="s">
        <v>1631</v>
      </c>
      <c r="P6884" s="19">
        <v>5200</v>
      </c>
      <c r="Q6884" s="19">
        <f>2840+3050</f>
        <v>5890</v>
      </c>
      <c r="R6884" s="19">
        <f t="shared" si="301"/>
        <v>-690</v>
      </c>
      <c r="S6884" s="19">
        <f t="shared" si="302"/>
        <v>2040</v>
      </c>
      <c r="T6884" s="19" t="s">
        <v>42</v>
      </c>
      <c r="U6884" s="102" t="s">
        <v>1632</v>
      </c>
      <c r="V6884" s="186">
        <v>45946</v>
      </c>
      <c r="W6884" s="17" t="s">
        <v>58</v>
      </c>
      <c r="X6884" s="17"/>
      <c r="Y6884" s="68">
        <v>46023</v>
      </c>
      <c r="Z6884" s="17" t="s">
        <v>45</v>
      </c>
      <c r="AA6884" s="17" t="s">
        <v>46</v>
      </c>
      <c r="AB6884" s="17" t="s">
        <v>1633</v>
      </c>
      <c r="AC6884" s="217">
        <v>45994</v>
      </c>
      <c r="AD6884" s="65">
        <v>1755</v>
      </c>
      <c r="AE6884" s="17" t="s">
        <v>48</v>
      </c>
      <c r="AF6884" s="17" t="s">
        <v>61</v>
      </c>
      <c r="AG6884" s="17" t="s">
        <v>1464</v>
      </c>
      <c r="AH6884" s="17"/>
      <c r="AI6884" s="17"/>
      <c r="AJ6884" s="17"/>
      <c r="AK6884" s="17"/>
      <c r="AL6884" s="17"/>
      <c r="AM6884" s="17"/>
      <c r="AN6884" s="17"/>
      <c r="AO6884" s="17"/>
      <c r="AP6884" s="17"/>
      <c r="AQ6884" s="17"/>
      <c r="AR6884" s="17"/>
    </row>
    <row r="6885" s="25" customFormat="1" hidden="1" spans="1:44">
      <c r="A6885" s="17" t="s">
        <v>34</v>
      </c>
      <c r="B6885" s="19">
        <v>1090</v>
      </c>
      <c r="C6885" s="183">
        <v>45925</v>
      </c>
      <c r="D6885" s="17" t="s">
        <v>52</v>
      </c>
      <c r="E6885" s="17" t="s">
        <v>53</v>
      </c>
      <c r="F6885" s="17" t="s">
        <v>54</v>
      </c>
      <c r="G6885" s="17"/>
      <c r="H6885" s="19" t="s">
        <v>55</v>
      </c>
      <c r="I6885" s="19"/>
      <c r="J6885" s="17" t="s">
        <v>49</v>
      </c>
      <c r="K6885" s="19">
        <v>610</v>
      </c>
      <c r="L6885" s="91">
        <v>205</v>
      </c>
      <c r="M6885" s="19">
        <v>5800</v>
      </c>
      <c r="N6885" s="19" t="s">
        <v>40</v>
      </c>
      <c r="O6885" s="19" t="s">
        <v>1631</v>
      </c>
      <c r="P6885" s="19">
        <v>7000</v>
      </c>
      <c r="Q6885" s="19">
        <f>3662+3524</f>
        <v>7186</v>
      </c>
      <c r="R6885" s="19">
        <f t="shared" si="301"/>
        <v>-186</v>
      </c>
      <c r="S6885" s="19">
        <f t="shared" si="302"/>
        <v>2040</v>
      </c>
      <c r="T6885" s="19" t="s">
        <v>42</v>
      </c>
      <c r="U6885" s="102" t="s">
        <v>1632</v>
      </c>
      <c r="V6885" s="186">
        <v>45946</v>
      </c>
      <c r="W6885" s="17" t="s">
        <v>58</v>
      </c>
      <c r="X6885" s="17"/>
      <c r="Y6885" s="68">
        <v>46023</v>
      </c>
      <c r="Z6885" s="17" t="s">
        <v>45</v>
      </c>
      <c r="AA6885" s="17" t="s">
        <v>46</v>
      </c>
      <c r="AB6885" s="17" t="s">
        <v>1633</v>
      </c>
      <c r="AC6885" s="217">
        <v>45994</v>
      </c>
      <c r="AD6885" s="65">
        <v>1755</v>
      </c>
      <c r="AE6885" s="17" t="s">
        <v>48</v>
      </c>
      <c r="AF6885" s="17" t="s">
        <v>61</v>
      </c>
      <c r="AG6885" s="17" t="s">
        <v>1464</v>
      </c>
      <c r="AH6885" s="17"/>
      <c r="AI6885" s="17"/>
      <c r="AJ6885" s="17"/>
      <c r="AK6885" s="17"/>
      <c r="AL6885" s="17"/>
      <c r="AM6885" s="17"/>
      <c r="AN6885" s="17"/>
      <c r="AO6885" s="17"/>
      <c r="AP6885" s="17"/>
      <c r="AQ6885" s="17"/>
      <c r="AR6885" s="17"/>
    </row>
    <row r="6886" s="25" customFormat="1" hidden="1" spans="1:44">
      <c r="A6886" s="17" t="s">
        <v>34</v>
      </c>
      <c r="B6886" s="19">
        <v>1090</v>
      </c>
      <c r="C6886" s="183">
        <v>45925</v>
      </c>
      <c r="D6886" s="17" t="s">
        <v>52</v>
      </c>
      <c r="E6886" s="17" t="s">
        <v>53</v>
      </c>
      <c r="F6886" s="17" t="s">
        <v>54</v>
      </c>
      <c r="G6886" s="17"/>
      <c r="H6886" s="19" t="s">
        <v>55</v>
      </c>
      <c r="I6886" s="19"/>
      <c r="J6886" s="17" t="s">
        <v>49</v>
      </c>
      <c r="K6886" s="19">
        <v>610</v>
      </c>
      <c r="L6886" s="91">
        <v>255</v>
      </c>
      <c r="M6886" s="19">
        <v>5800</v>
      </c>
      <c r="N6886" s="19" t="s">
        <v>40</v>
      </c>
      <c r="O6886" s="19" t="s">
        <v>1631</v>
      </c>
      <c r="P6886" s="19">
        <v>8400</v>
      </c>
      <c r="Q6886" s="19">
        <f>4076+3980</f>
        <v>8056</v>
      </c>
      <c r="R6886" s="19">
        <f t="shared" si="301"/>
        <v>344</v>
      </c>
      <c r="S6886" s="19">
        <f t="shared" si="302"/>
        <v>2040</v>
      </c>
      <c r="T6886" s="19" t="s">
        <v>42</v>
      </c>
      <c r="U6886" s="102" t="s">
        <v>1632</v>
      </c>
      <c r="V6886" s="186">
        <v>45946</v>
      </c>
      <c r="W6886" s="17" t="s">
        <v>58</v>
      </c>
      <c r="X6886" s="17"/>
      <c r="Y6886" s="68">
        <v>46023</v>
      </c>
      <c r="Z6886" s="17" t="s">
        <v>45</v>
      </c>
      <c r="AA6886" s="17" t="s">
        <v>46</v>
      </c>
      <c r="AB6886" s="17" t="s">
        <v>1633</v>
      </c>
      <c r="AC6886" s="217">
        <v>45994</v>
      </c>
      <c r="AD6886" s="65">
        <v>1755</v>
      </c>
      <c r="AE6886" s="17" t="s">
        <v>48</v>
      </c>
      <c r="AF6886" s="17" t="s">
        <v>61</v>
      </c>
      <c r="AG6886" s="17" t="s">
        <v>1464</v>
      </c>
      <c r="AH6886" s="17"/>
      <c r="AI6886" s="17"/>
      <c r="AJ6886" s="17"/>
      <c r="AK6886" s="17"/>
      <c r="AL6886" s="17"/>
      <c r="AM6886" s="17"/>
      <c r="AN6886" s="17"/>
      <c r="AO6886" s="17"/>
      <c r="AP6886" s="17"/>
      <c r="AQ6886" s="17"/>
      <c r="AR6886" s="17"/>
    </row>
    <row r="6887" s="25" customFormat="1" hidden="1" spans="1:44">
      <c r="A6887" s="17" t="s">
        <v>34</v>
      </c>
      <c r="B6887" s="19">
        <v>1090</v>
      </c>
      <c r="C6887" s="183">
        <v>45925</v>
      </c>
      <c r="D6887" s="17" t="s">
        <v>52</v>
      </c>
      <c r="E6887" s="17" t="s">
        <v>53</v>
      </c>
      <c r="F6887" s="17" t="s">
        <v>54</v>
      </c>
      <c r="G6887" s="17"/>
      <c r="H6887" s="19" t="s">
        <v>55</v>
      </c>
      <c r="I6887" s="19"/>
      <c r="J6887" s="17" t="s">
        <v>49</v>
      </c>
      <c r="K6887" s="19">
        <v>610</v>
      </c>
      <c r="L6887" s="91">
        <v>280</v>
      </c>
      <c r="M6887" s="19">
        <v>5800</v>
      </c>
      <c r="N6887" s="19" t="s">
        <v>40</v>
      </c>
      <c r="O6887" s="19" t="s">
        <v>1631</v>
      </c>
      <c r="P6887" s="19">
        <v>13000</v>
      </c>
      <c r="Q6887" s="19">
        <f>4386+3332+3102+2852</f>
        <v>13672</v>
      </c>
      <c r="R6887" s="19">
        <f t="shared" si="301"/>
        <v>-672</v>
      </c>
      <c r="S6887" s="19">
        <f t="shared" si="302"/>
        <v>2040</v>
      </c>
      <c r="T6887" s="19" t="s">
        <v>42</v>
      </c>
      <c r="U6887" s="102" t="s">
        <v>1632</v>
      </c>
      <c r="V6887" s="186">
        <v>45946</v>
      </c>
      <c r="W6887" s="17" t="s">
        <v>58</v>
      </c>
      <c r="X6887" s="17"/>
      <c r="Y6887" s="68">
        <v>46023</v>
      </c>
      <c r="Z6887" s="17" t="s">
        <v>45</v>
      </c>
      <c r="AA6887" s="17" t="s">
        <v>46</v>
      </c>
      <c r="AB6887" s="17" t="s">
        <v>1633</v>
      </c>
      <c r="AC6887" s="217">
        <v>45994</v>
      </c>
      <c r="AD6887" s="65">
        <v>1755</v>
      </c>
      <c r="AE6887" s="17" t="s">
        <v>48</v>
      </c>
      <c r="AF6887" s="17" t="s">
        <v>61</v>
      </c>
      <c r="AG6887" s="17" t="s">
        <v>1464</v>
      </c>
      <c r="AH6887" s="17"/>
      <c r="AI6887" s="17"/>
      <c r="AJ6887" s="17"/>
      <c r="AK6887" s="17"/>
      <c r="AL6887" s="17"/>
      <c r="AM6887" s="17"/>
      <c r="AN6887" s="17"/>
      <c r="AO6887" s="17"/>
      <c r="AP6887" s="17"/>
      <c r="AQ6887" s="17"/>
      <c r="AR6887" s="17"/>
    </row>
    <row r="6888" s="25" customFormat="1" hidden="1" spans="1:44">
      <c r="A6888" s="17" t="s">
        <v>34</v>
      </c>
      <c r="B6888" s="19">
        <v>1090</v>
      </c>
      <c r="C6888" s="183">
        <v>45925</v>
      </c>
      <c r="D6888" s="17" t="s">
        <v>52</v>
      </c>
      <c r="E6888" s="17" t="s">
        <v>53</v>
      </c>
      <c r="F6888" s="17" t="s">
        <v>54</v>
      </c>
      <c r="G6888" s="17"/>
      <c r="H6888" s="19" t="s">
        <v>55</v>
      </c>
      <c r="I6888" s="19"/>
      <c r="J6888" s="17" t="s">
        <v>49</v>
      </c>
      <c r="K6888" s="19">
        <v>610</v>
      </c>
      <c r="L6888" s="91">
        <v>310</v>
      </c>
      <c r="M6888" s="19">
        <v>5800</v>
      </c>
      <c r="N6888" s="19" t="s">
        <v>40</v>
      </c>
      <c r="O6888" s="19" t="s">
        <v>1631</v>
      </c>
      <c r="P6888" s="19">
        <v>13000</v>
      </c>
      <c r="Q6888" s="19">
        <f>3856+3746</f>
        <v>7602</v>
      </c>
      <c r="R6888" s="19">
        <f t="shared" si="301"/>
        <v>5398</v>
      </c>
      <c r="S6888" s="19">
        <f t="shared" si="302"/>
        <v>2040</v>
      </c>
      <c r="T6888" s="19" t="s">
        <v>42</v>
      </c>
      <c r="U6888" s="102" t="s">
        <v>1632</v>
      </c>
      <c r="V6888" s="186">
        <v>45946</v>
      </c>
      <c r="W6888" s="17" t="s">
        <v>58</v>
      </c>
      <c r="X6888" s="17"/>
      <c r="Y6888" s="68">
        <v>46023</v>
      </c>
      <c r="Z6888" s="17" t="s">
        <v>45</v>
      </c>
      <c r="AA6888" s="17" t="s">
        <v>46</v>
      </c>
      <c r="AB6888" s="17" t="s">
        <v>1633</v>
      </c>
      <c r="AC6888" s="217">
        <v>45994</v>
      </c>
      <c r="AD6888" s="65">
        <v>1755</v>
      </c>
      <c r="AE6888" s="17" t="s">
        <v>48</v>
      </c>
      <c r="AF6888" s="17" t="s">
        <v>61</v>
      </c>
      <c r="AG6888" s="17" t="s">
        <v>1464</v>
      </c>
      <c r="AH6888" s="17"/>
      <c r="AI6888" s="17"/>
      <c r="AJ6888" s="17"/>
      <c r="AK6888" s="17"/>
      <c r="AL6888" s="17"/>
      <c r="AM6888" s="17"/>
      <c r="AN6888" s="17"/>
      <c r="AO6888" s="17"/>
      <c r="AP6888" s="17"/>
      <c r="AQ6888" s="17"/>
      <c r="AR6888" s="17"/>
    </row>
    <row r="6889" s="17" customFormat="1" hidden="1" spans="1:44">
      <c r="A6889" s="17" t="s">
        <v>34</v>
      </c>
      <c r="B6889" s="19">
        <v>1046</v>
      </c>
      <c r="C6889" s="183">
        <v>45678</v>
      </c>
      <c r="D6889" s="17" t="s">
        <v>35</v>
      </c>
      <c r="E6889" s="17" t="s">
        <v>718</v>
      </c>
      <c r="F6889" s="17" t="s">
        <v>96</v>
      </c>
      <c r="H6889" s="19" t="s">
        <v>97</v>
      </c>
      <c r="I6889" s="19"/>
      <c r="J6889" s="17" t="s">
        <v>82</v>
      </c>
      <c r="K6889" s="232">
        <v>520</v>
      </c>
      <c r="L6889" s="232">
        <v>65</v>
      </c>
      <c r="M6889" s="19"/>
      <c r="N6889" s="19" t="s">
        <v>40</v>
      </c>
      <c r="O6889" s="19" t="s">
        <v>98</v>
      </c>
      <c r="P6889" s="97">
        <v>1000</v>
      </c>
      <c r="Q6889" s="97">
        <v>950</v>
      </c>
      <c r="R6889" s="19">
        <f t="shared" ref="R6889:R6919" si="303">+P6889-Q6889</f>
        <v>50</v>
      </c>
      <c r="S6889" s="277">
        <v>435</v>
      </c>
      <c r="T6889" s="19" t="s">
        <v>99</v>
      </c>
      <c r="U6889" s="102" t="s">
        <v>1634</v>
      </c>
      <c r="V6889" s="186">
        <v>45681</v>
      </c>
      <c r="W6889" s="17" t="s">
        <v>44</v>
      </c>
      <c r="Y6889" s="68">
        <v>45870</v>
      </c>
      <c r="Z6889" s="17" t="s">
        <v>78</v>
      </c>
      <c r="AA6889" s="17" t="s">
        <v>46</v>
      </c>
      <c r="AB6889" s="17" t="s">
        <v>1635</v>
      </c>
      <c r="AC6889" s="217">
        <v>46019</v>
      </c>
      <c r="AD6889" s="65">
        <v>1739</v>
      </c>
      <c r="AE6889" s="17" t="s">
        <v>48</v>
      </c>
    </row>
    <row r="6890" s="17" customFormat="1" hidden="1" spans="1:44">
      <c r="A6890" s="17" t="s">
        <v>34</v>
      </c>
      <c r="B6890" s="19">
        <v>1046</v>
      </c>
      <c r="C6890" s="183">
        <v>45678</v>
      </c>
      <c r="D6890" s="17" t="s">
        <v>35</v>
      </c>
      <c r="E6890" s="17" t="s">
        <v>718</v>
      </c>
      <c r="F6890" s="17" t="s">
        <v>96</v>
      </c>
      <c r="H6890" s="19" t="s">
        <v>97</v>
      </c>
      <c r="I6890" s="19"/>
      <c r="J6890" s="17" t="s">
        <v>82</v>
      </c>
      <c r="K6890" s="232">
        <v>520</v>
      </c>
      <c r="L6890" s="232">
        <v>75</v>
      </c>
      <c r="M6890" s="19"/>
      <c r="N6890" s="19" t="s">
        <v>40</v>
      </c>
      <c r="O6890" s="19" t="s">
        <v>98</v>
      </c>
      <c r="P6890" s="97">
        <v>1000</v>
      </c>
      <c r="Q6890" s="97">
        <v>1086</v>
      </c>
      <c r="R6890" s="19">
        <f t="shared" si="303"/>
        <v>-86</v>
      </c>
      <c r="S6890" s="277">
        <v>435</v>
      </c>
      <c r="T6890" s="19" t="s">
        <v>99</v>
      </c>
      <c r="U6890" s="102" t="s">
        <v>1634</v>
      </c>
      <c r="V6890" s="186">
        <v>45681</v>
      </c>
      <c r="W6890" s="17" t="s">
        <v>44</v>
      </c>
      <c r="Y6890" s="68">
        <v>45870</v>
      </c>
      <c r="Z6890" s="17" t="s">
        <v>78</v>
      </c>
      <c r="AA6890" s="17" t="s">
        <v>46</v>
      </c>
      <c r="AB6890" s="17" t="s">
        <v>1472</v>
      </c>
      <c r="AC6890" s="217">
        <v>45812</v>
      </c>
      <c r="AD6890" s="65">
        <v>1684</v>
      </c>
      <c r="AE6890" s="17" t="s">
        <v>48</v>
      </c>
    </row>
    <row r="6891" s="17" customFormat="1" hidden="1" spans="1:44">
      <c r="A6891" s="17" t="s">
        <v>34</v>
      </c>
      <c r="B6891" s="19">
        <v>1046</v>
      </c>
      <c r="C6891" s="183">
        <v>45678</v>
      </c>
      <c r="D6891" s="17" t="s">
        <v>35</v>
      </c>
      <c r="E6891" s="17" t="s">
        <v>718</v>
      </c>
      <c r="F6891" s="17" t="s">
        <v>96</v>
      </c>
      <c r="H6891" s="19" t="s">
        <v>97</v>
      </c>
      <c r="I6891" s="19"/>
      <c r="J6891" s="17" t="s">
        <v>82</v>
      </c>
      <c r="K6891" s="232">
        <v>520</v>
      </c>
      <c r="L6891" s="232">
        <v>80</v>
      </c>
      <c r="M6891" s="19"/>
      <c r="N6891" s="19" t="s">
        <v>40</v>
      </c>
      <c r="O6891" s="19" t="s">
        <v>98</v>
      </c>
      <c r="P6891" s="97">
        <v>1000</v>
      </c>
      <c r="Q6891" s="97">
        <v>1193</v>
      </c>
      <c r="R6891" s="19">
        <f t="shared" si="303"/>
        <v>-193</v>
      </c>
      <c r="S6891" s="277">
        <v>435</v>
      </c>
      <c r="T6891" s="19" t="s">
        <v>99</v>
      </c>
      <c r="U6891" s="102" t="s">
        <v>1634</v>
      </c>
      <c r="V6891" s="186">
        <v>45681</v>
      </c>
      <c r="W6891" s="17" t="s">
        <v>44</v>
      </c>
      <c r="Y6891" s="68">
        <v>45870</v>
      </c>
      <c r="Z6891" s="17" t="s">
        <v>78</v>
      </c>
      <c r="AA6891" s="17" t="s">
        <v>46</v>
      </c>
      <c r="AB6891" s="17" t="s">
        <v>1635</v>
      </c>
      <c r="AC6891" s="217">
        <v>46019</v>
      </c>
      <c r="AD6891" s="65">
        <v>1739</v>
      </c>
      <c r="AE6891" s="17" t="s">
        <v>48</v>
      </c>
    </row>
    <row r="6892" s="17" customFormat="1" hidden="1" spans="1:44">
      <c r="A6892" s="17" t="s">
        <v>34</v>
      </c>
      <c r="B6892" s="19">
        <v>1046</v>
      </c>
      <c r="C6892" s="183">
        <v>45678</v>
      </c>
      <c r="D6892" s="17" t="s">
        <v>35</v>
      </c>
      <c r="E6892" s="17" t="s">
        <v>718</v>
      </c>
      <c r="F6892" s="17" t="s">
        <v>96</v>
      </c>
      <c r="H6892" s="19" t="s">
        <v>97</v>
      </c>
      <c r="I6892" s="19"/>
      <c r="J6892" s="17" t="s">
        <v>82</v>
      </c>
      <c r="K6892" s="232">
        <v>520</v>
      </c>
      <c r="L6892" s="232">
        <v>85</v>
      </c>
      <c r="M6892" s="19"/>
      <c r="N6892" s="19" t="s">
        <v>40</v>
      </c>
      <c r="O6892" s="19" t="s">
        <v>98</v>
      </c>
      <c r="P6892" s="97">
        <v>1000</v>
      </c>
      <c r="Q6892" s="97">
        <v>1168</v>
      </c>
      <c r="R6892" s="19">
        <f t="shared" si="303"/>
        <v>-168</v>
      </c>
      <c r="S6892" s="277">
        <v>435</v>
      </c>
      <c r="T6892" s="19" t="s">
        <v>99</v>
      </c>
      <c r="U6892" s="102" t="s">
        <v>1634</v>
      </c>
      <c r="V6892" s="186">
        <v>45681</v>
      </c>
      <c r="W6892" s="17" t="s">
        <v>44</v>
      </c>
      <c r="Y6892" s="68">
        <v>45870</v>
      </c>
      <c r="Z6892" s="17" t="s">
        <v>78</v>
      </c>
      <c r="AA6892" s="17" t="s">
        <v>46</v>
      </c>
      <c r="AB6892" s="17" t="s">
        <v>1635</v>
      </c>
      <c r="AC6892" s="217">
        <v>46019</v>
      </c>
      <c r="AD6892" s="65">
        <v>1739</v>
      </c>
      <c r="AE6892" s="17" t="s">
        <v>48</v>
      </c>
    </row>
    <row r="6893" s="17" customFormat="1" hidden="1" spans="1:44">
      <c r="A6893" s="17" t="s">
        <v>34</v>
      </c>
      <c r="B6893" s="19">
        <v>1046</v>
      </c>
      <c r="C6893" s="183">
        <v>45678</v>
      </c>
      <c r="D6893" s="17" t="s">
        <v>35</v>
      </c>
      <c r="E6893" s="17" t="s">
        <v>718</v>
      </c>
      <c r="F6893" s="17" t="s">
        <v>96</v>
      </c>
      <c r="H6893" s="19" t="s">
        <v>97</v>
      </c>
      <c r="I6893" s="19"/>
      <c r="J6893" s="17" t="s">
        <v>82</v>
      </c>
      <c r="K6893" s="232">
        <v>520</v>
      </c>
      <c r="L6893" s="232">
        <v>90</v>
      </c>
      <c r="M6893" s="19"/>
      <c r="N6893" s="19" t="s">
        <v>40</v>
      </c>
      <c r="O6893" s="19" t="s">
        <v>98</v>
      </c>
      <c r="P6893" s="97">
        <v>1000</v>
      </c>
      <c r="Q6893" s="97">
        <v>1299</v>
      </c>
      <c r="R6893" s="19">
        <f t="shared" si="303"/>
        <v>-299</v>
      </c>
      <c r="S6893" s="277">
        <v>435</v>
      </c>
      <c r="T6893" s="19" t="s">
        <v>99</v>
      </c>
      <c r="U6893" s="102" t="s">
        <v>1634</v>
      </c>
      <c r="V6893" s="186">
        <v>45681</v>
      </c>
      <c r="W6893" s="17" t="s">
        <v>44</v>
      </c>
      <c r="Y6893" s="68">
        <v>45870</v>
      </c>
      <c r="Z6893" s="17" t="s">
        <v>78</v>
      </c>
      <c r="AA6893" s="17" t="s">
        <v>46</v>
      </c>
      <c r="AB6893" s="17" t="s">
        <v>1635</v>
      </c>
      <c r="AC6893" s="217">
        <v>46019</v>
      </c>
      <c r="AD6893" s="65">
        <v>1739</v>
      </c>
      <c r="AE6893" s="17" t="s">
        <v>48</v>
      </c>
    </row>
    <row r="6894" s="17" customFormat="1" hidden="1" spans="1:44">
      <c r="A6894" s="17" t="s">
        <v>34</v>
      </c>
      <c r="B6894" s="19">
        <v>1046</v>
      </c>
      <c r="C6894" s="183">
        <v>45678</v>
      </c>
      <c r="D6894" s="17" t="s">
        <v>35</v>
      </c>
      <c r="E6894" s="17" t="s">
        <v>718</v>
      </c>
      <c r="F6894" s="17" t="s">
        <v>96</v>
      </c>
      <c r="H6894" s="19" t="s">
        <v>97</v>
      </c>
      <c r="I6894" s="19"/>
      <c r="J6894" s="17" t="s">
        <v>82</v>
      </c>
      <c r="K6894" s="232">
        <v>520</v>
      </c>
      <c r="L6894" s="232">
        <v>95</v>
      </c>
      <c r="M6894" s="19"/>
      <c r="N6894" s="19" t="s">
        <v>40</v>
      </c>
      <c r="O6894" s="19" t="s">
        <v>98</v>
      </c>
      <c r="P6894" s="97">
        <v>1000</v>
      </c>
      <c r="Q6894" s="97">
        <v>1358</v>
      </c>
      <c r="R6894" s="19">
        <f t="shared" si="303"/>
        <v>-358</v>
      </c>
      <c r="S6894" s="277">
        <v>435</v>
      </c>
      <c r="T6894" s="19" t="s">
        <v>99</v>
      </c>
      <c r="U6894" s="102" t="s">
        <v>1634</v>
      </c>
      <c r="V6894" s="186">
        <v>45681</v>
      </c>
      <c r="W6894" s="17" t="s">
        <v>44</v>
      </c>
      <c r="Y6894" s="68">
        <v>45870</v>
      </c>
      <c r="Z6894" s="17" t="s">
        <v>78</v>
      </c>
      <c r="AA6894" s="17" t="s">
        <v>46</v>
      </c>
      <c r="AB6894" s="17" t="s">
        <v>1635</v>
      </c>
      <c r="AC6894" s="217">
        <v>46019</v>
      </c>
      <c r="AD6894" s="65">
        <v>1739</v>
      </c>
      <c r="AE6894" s="17" t="s">
        <v>48</v>
      </c>
    </row>
    <row r="6895" s="17" customFormat="1" hidden="1" spans="1:44">
      <c r="A6895" s="17" t="s">
        <v>34</v>
      </c>
      <c r="B6895" s="19">
        <v>1046</v>
      </c>
      <c r="C6895" s="183">
        <v>45678</v>
      </c>
      <c r="D6895" s="17" t="s">
        <v>35</v>
      </c>
      <c r="E6895" s="17" t="s">
        <v>718</v>
      </c>
      <c r="F6895" s="17" t="s">
        <v>96</v>
      </c>
      <c r="H6895" s="19" t="s">
        <v>97</v>
      </c>
      <c r="I6895" s="19"/>
      <c r="J6895" s="17" t="s">
        <v>82</v>
      </c>
      <c r="K6895" s="232">
        <v>520</v>
      </c>
      <c r="L6895" s="232">
        <v>105</v>
      </c>
      <c r="M6895" s="19"/>
      <c r="N6895" s="19" t="s">
        <v>40</v>
      </c>
      <c r="O6895" s="19" t="s">
        <v>98</v>
      </c>
      <c r="P6895" s="97">
        <v>1000</v>
      </c>
      <c r="Q6895" s="97">
        <v>1524</v>
      </c>
      <c r="R6895" s="19">
        <f t="shared" si="303"/>
        <v>-524</v>
      </c>
      <c r="S6895" s="277">
        <v>435</v>
      </c>
      <c r="T6895" s="19" t="s">
        <v>99</v>
      </c>
      <c r="U6895" s="102" t="s">
        <v>1634</v>
      </c>
      <c r="V6895" s="186">
        <v>45681</v>
      </c>
      <c r="W6895" s="17" t="s">
        <v>44</v>
      </c>
      <c r="Y6895" s="68">
        <v>45870</v>
      </c>
      <c r="Z6895" s="17" t="s">
        <v>78</v>
      </c>
      <c r="AA6895" s="17" t="s">
        <v>46</v>
      </c>
      <c r="AB6895" s="17" t="s">
        <v>1472</v>
      </c>
      <c r="AC6895" s="217">
        <v>45812</v>
      </c>
      <c r="AD6895" s="65">
        <v>1684</v>
      </c>
      <c r="AE6895" s="17" t="s">
        <v>48</v>
      </c>
    </row>
    <row r="6896" s="17" customFormat="1" hidden="1" spans="1:44">
      <c r="A6896" s="17" t="s">
        <v>34</v>
      </c>
      <c r="B6896" s="19">
        <v>1046</v>
      </c>
      <c r="C6896" s="183">
        <v>45678</v>
      </c>
      <c r="D6896" s="17" t="s">
        <v>35</v>
      </c>
      <c r="E6896" s="17" t="s">
        <v>718</v>
      </c>
      <c r="F6896" s="17" t="s">
        <v>96</v>
      </c>
      <c r="H6896" s="19" t="s">
        <v>97</v>
      </c>
      <c r="I6896" s="19"/>
      <c r="J6896" s="17" t="s">
        <v>82</v>
      </c>
      <c r="K6896" s="232">
        <v>520</v>
      </c>
      <c r="L6896" s="232">
        <v>120</v>
      </c>
      <c r="M6896" s="19"/>
      <c r="N6896" s="19" t="s">
        <v>40</v>
      </c>
      <c r="O6896" s="19" t="s">
        <v>98</v>
      </c>
      <c r="P6896" s="97">
        <v>1000</v>
      </c>
      <c r="Q6896" s="97">
        <v>1678</v>
      </c>
      <c r="R6896" s="19">
        <f t="shared" si="303"/>
        <v>-678</v>
      </c>
      <c r="S6896" s="277">
        <v>435</v>
      </c>
      <c r="T6896" s="19" t="s">
        <v>99</v>
      </c>
      <c r="U6896" s="102" t="s">
        <v>1634</v>
      </c>
      <c r="V6896" s="186">
        <v>45681</v>
      </c>
      <c r="W6896" s="17" t="s">
        <v>44</v>
      </c>
      <c r="Y6896" s="68">
        <v>45870</v>
      </c>
      <c r="Z6896" s="17" t="s">
        <v>78</v>
      </c>
      <c r="AA6896" s="17" t="s">
        <v>46</v>
      </c>
      <c r="AB6896" s="17" t="s">
        <v>1472</v>
      </c>
      <c r="AC6896" s="217">
        <v>45812</v>
      </c>
      <c r="AD6896" s="65">
        <v>1684</v>
      </c>
      <c r="AE6896" s="17" t="s">
        <v>48</v>
      </c>
    </row>
    <row r="6897" s="17" customFormat="1" hidden="1" spans="1:44">
      <c r="A6897" s="17" t="s">
        <v>34</v>
      </c>
      <c r="B6897" s="19">
        <v>1046</v>
      </c>
      <c r="C6897" s="183">
        <v>45678</v>
      </c>
      <c r="D6897" s="17" t="s">
        <v>35</v>
      </c>
      <c r="E6897" s="17" t="s">
        <v>718</v>
      </c>
      <c r="F6897" s="17" t="s">
        <v>96</v>
      </c>
      <c r="H6897" s="19" t="s">
        <v>97</v>
      </c>
      <c r="I6897" s="19"/>
      <c r="J6897" s="17" t="s">
        <v>82</v>
      </c>
      <c r="K6897" s="232">
        <v>610</v>
      </c>
      <c r="L6897" s="232">
        <v>160</v>
      </c>
      <c r="M6897" s="19"/>
      <c r="N6897" s="19" t="s">
        <v>40</v>
      </c>
      <c r="O6897" s="19" t="s">
        <v>98</v>
      </c>
      <c r="P6897" s="97">
        <v>2000</v>
      </c>
      <c r="Q6897" s="97">
        <v>2579</v>
      </c>
      <c r="R6897" s="19">
        <f t="shared" si="303"/>
        <v>-579</v>
      </c>
      <c r="S6897" s="277">
        <v>435</v>
      </c>
      <c r="T6897" s="19" t="s">
        <v>99</v>
      </c>
      <c r="U6897" s="102" t="s">
        <v>1634</v>
      </c>
      <c r="V6897" s="186">
        <v>45681</v>
      </c>
      <c r="W6897" s="17" t="s">
        <v>44</v>
      </c>
      <c r="Y6897" s="68">
        <v>45870</v>
      </c>
      <c r="Z6897" s="17" t="s">
        <v>78</v>
      </c>
      <c r="AA6897" s="17" t="s">
        <v>46</v>
      </c>
      <c r="AB6897" s="17" t="s">
        <v>1635</v>
      </c>
      <c r="AC6897" s="217">
        <v>46019</v>
      </c>
      <c r="AD6897" s="65">
        <v>1739</v>
      </c>
      <c r="AE6897" s="17" t="s">
        <v>48</v>
      </c>
    </row>
    <row r="6898" s="17" customFormat="1" hidden="1" spans="1:44">
      <c r="A6898" s="17" t="s">
        <v>34</v>
      </c>
      <c r="B6898" s="19">
        <v>1046</v>
      </c>
      <c r="C6898" s="183">
        <v>45678</v>
      </c>
      <c r="D6898" s="17" t="s">
        <v>35</v>
      </c>
      <c r="E6898" s="17" t="s">
        <v>718</v>
      </c>
      <c r="F6898" s="17" t="s">
        <v>96</v>
      </c>
      <c r="H6898" s="19" t="s">
        <v>97</v>
      </c>
      <c r="I6898" s="19"/>
      <c r="J6898" s="17" t="s">
        <v>82</v>
      </c>
      <c r="K6898" s="232">
        <v>610</v>
      </c>
      <c r="L6898" s="232">
        <v>180</v>
      </c>
      <c r="M6898" s="19"/>
      <c r="N6898" s="19" t="s">
        <v>40</v>
      </c>
      <c r="O6898" s="19" t="s">
        <v>98</v>
      </c>
      <c r="P6898" s="97">
        <v>2000</v>
      </c>
      <c r="Q6898" s="97">
        <v>2451</v>
      </c>
      <c r="R6898" s="19">
        <f t="shared" si="303"/>
        <v>-451</v>
      </c>
      <c r="S6898" s="277">
        <v>435</v>
      </c>
      <c r="T6898" s="19" t="s">
        <v>99</v>
      </c>
      <c r="U6898" s="102" t="s">
        <v>1634</v>
      </c>
      <c r="V6898" s="186">
        <v>45681</v>
      </c>
      <c r="W6898" s="17" t="s">
        <v>44</v>
      </c>
      <c r="Y6898" s="68">
        <v>45870</v>
      </c>
      <c r="Z6898" s="17" t="s">
        <v>78</v>
      </c>
      <c r="AA6898" s="17" t="s">
        <v>46</v>
      </c>
      <c r="AB6898" s="17" t="s">
        <v>1635</v>
      </c>
      <c r="AC6898" s="217">
        <v>46019</v>
      </c>
      <c r="AD6898" s="65">
        <v>1739</v>
      </c>
      <c r="AE6898" s="17" t="s">
        <v>48</v>
      </c>
    </row>
    <row r="6899" s="17" customFormat="1" hidden="1" spans="1:44">
      <c r="A6899" s="17" t="s">
        <v>34</v>
      </c>
      <c r="B6899" s="19">
        <v>1046</v>
      </c>
      <c r="C6899" s="183">
        <v>45678</v>
      </c>
      <c r="D6899" s="17" t="s">
        <v>35</v>
      </c>
      <c r="E6899" s="17" t="s">
        <v>718</v>
      </c>
      <c r="F6899" s="17" t="s">
        <v>96</v>
      </c>
      <c r="H6899" s="19" t="s">
        <v>97</v>
      </c>
      <c r="I6899" s="19"/>
      <c r="J6899" s="17" t="s">
        <v>82</v>
      </c>
      <c r="K6899" s="232">
        <v>610</v>
      </c>
      <c r="L6899" s="232">
        <v>210</v>
      </c>
      <c r="M6899" s="19"/>
      <c r="N6899" s="19" t="s">
        <v>40</v>
      </c>
      <c r="O6899" s="19" t="s">
        <v>98</v>
      </c>
      <c r="P6899" s="97">
        <v>2000</v>
      </c>
      <c r="Q6899" s="97">
        <v>2588</v>
      </c>
      <c r="R6899" s="19">
        <f t="shared" si="303"/>
        <v>-588</v>
      </c>
      <c r="S6899" s="277">
        <v>435</v>
      </c>
      <c r="T6899" s="19" t="s">
        <v>99</v>
      </c>
      <c r="U6899" s="102" t="s">
        <v>1634</v>
      </c>
      <c r="V6899" s="186">
        <v>45681</v>
      </c>
      <c r="W6899" s="17" t="s">
        <v>44</v>
      </c>
      <c r="Y6899" s="68">
        <v>45870</v>
      </c>
      <c r="Z6899" s="17" t="s">
        <v>78</v>
      </c>
      <c r="AA6899" s="17" t="s">
        <v>46</v>
      </c>
      <c r="AB6899" s="17" t="s">
        <v>1635</v>
      </c>
      <c r="AC6899" s="217">
        <v>46019</v>
      </c>
      <c r="AD6899" s="65">
        <v>1739</v>
      </c>
      <c r="AE6899" s="17" t="s">
        <v>48</v>
      </c>
    </row>
    <row r="6900" s="17" customFormat="1" hidden="1" spans="1:44">
      <c r="A6900" s="17" t="s">
        <v>34</v>
      </c>
      <c r="B6900" s="19">
        <v>1046</v>
      </c>
      <c r="C6900" s="183">
        <v>45678</v>
      </c>
      <c r="D6900" s="17" t="s">
        <v>35</v>
      </c>
      <c r="E6900" s="17" t="s">
        <v>718</v>
      </c>
      <c r="F6900" s="17" t="s">
        <v>96</v>
      </c>
      <c r="H6900" s="19" t="s">
        <v>97</v>
      </c>
      <c r="I6900" s="19"/>
      <c r="J6900" s="17" t="s">
        <v>82</v>
      </c>
      <c r="K6900" s="232">
        <v>610</v>
      </c>
      <c r="L6900" s="232">
        <v>260</v>
      </c>
      <c r="M6900" s="19"/>
      <c r="N6900" s="19" t="s">
        <v>40</v>
      </c>
      <c r="O6900" s="19" t="s">
        <v>98</v>
      </c>
      <c r="P6900" s="97">
        <v>3000</v>
      </c>
      <c r="Q6900" s="97">
        <v>4733</v>
      </c>
      <c r="R6900" s="19">
        <f t="shared" si="303"/>
        <v>-1733</v>
      </c>
      <c r="S6900" s="277">
        <v>435</v>
      </c>
      <c r="T6900" s="19" t="s">
        <v>99</v>
      </c>
      <c r="U6900" s="102" t="s">
        <v>1634</v>
      </c>
      <c r="V6900" s="186">
        <v>45681</v>
      </c>
      <c r="W6900" s="17" t="s">
        <v>44</v>
      </c>
      <c r="Y6900" s="68">
        <v>45870</v>
      </c>
      <c r="Z6900" s="17" t="s">
        <v>78</v>
      </c>
      <c r="AA6900" s="17" t="s">
        <v>46</v>
      </c>
      <c r="AB6900" s="17" t="s">
        <v>1635</v>
      </c>
      <c r="AC6900" s="217">
        <v>46019</v>
      </c>
      <c r="AD6900" s="65">
        <v>1739</v>
      </c>
      <c r="AE6900" s="17" t="s">
        <v>48</v>
      </c>
    </row>
    <row r="6901" s="17" customFormat="1" hidden="1" spans="1:44">
      <c r="A6901" s="17" t="s">
        <v>34</v>
      </c>
      <c r="B6901" s="19">
        <v>1046</v>
      </c>
      <c r="C6901" s="183">
        <v>45678</v>
      </c>
      <c r="D6901" s="17" t="s">
        <v>35</v>
      </c>
      <c r="E6901" s="17" t="s">
        <v>718</v>
      </c>
      <c r="F6901" s="17" t="s">
        <v>96</v>
      </c>
      <c r="H6901" s="19" t="s">
        <v>97</v>
      </c>
      <c r="I6901" s="19"/>
      <c r="J6901" s="17" t="s">
        <v>82</v>
      </c>
      <c r="K6901" s="232">
        <v>610</v>
      </c>
      <c r="L6901" s="232">
        <v>305</v>
      </c>
      <c r="M6901" s="19"/>
      <c r="N6901" s="19" t="s">
        <v>40</v>
      </c>
      <c r="O6901" s="19" t="s">
        <v>98</v>
      </c>
      <c r="P6901" s="97">
        <v>3000</v>
      </c>
      <c r="Q6901" s="97">
        <v>2433</v>
      </c>
      <c r="R6901" s="19">
        <f t="shared" si="303"/>
        <v>567</v>
      </c>
      <c r="S6901" s="277">
        <v>435</v>
      </c>
      <c r="T6901" s="19" t="s">
        <v>99</v>
      </c>
      <c r="U6901" s="102" t="s">
        <v>1634</v>
      </c>
      <c r="V6901" s="186">
        <v>45681</v>
      </c>
      <c r="W6901" s="17" t="s">
        <v>44</v>
      </c>
      <c r="Y6901" s="68">
        <v>45870</v>
      </c>
      <c r="Z6901" s="17" t="s">
        <v>78</v>
      </c>
      <c r="AA6901" s="17" t="s">
        <v>46</v>
      </c>
      <c r="AB6901" s="17" t="s">
        <v>1472</v>
      </c>
      <c r="AC6901" s="217">
        <v>45812</v>
      </c>
      <c r="AD6901" s="65">
        <v>1684</v>
      </c>
      <c r="AE6901" s="17" t="s">
        <v>48</v>
      </c>
    </row>
    <row r="6902" s="17" customFormat="1" hidden="1" spans="1:44">
      <c r="A6902" s="17" t="s">
        <v>34</v>
      </c>
      <c r="B6902" s="19">
        <v>1046</v>
      </c>
      <c r="C6902" s="183">
        <v>45678</v>
      </c>
      <c r="D6902" s="17" t="s">
        <v>35</v>
      </c>
      <c r="E6902" s="17" t="s">
        <v>36</v>
      </c>
      <c r="F6902" s="17" t="s">
        <v>96</v>
      </c>
      <c r="H6902" s="19" t="s">
        <v>1548</v>
      </c>
      <c r="I6902" s="19"/>
      <c r="J6902" s="17" t="s">
        <v>82</v>
      </c>
      <c r="K6902" s="232">
        <v>560</v>
      </c>
      <c r="L6902" s="232">
        <v>200</v>
      </c>
      <c r="M6902" s="19"/>
      <c r="N6902" s="19" t="s">
        <v>40</v>
      </c>
      <c r="O6902" s="19" t="s">
        <v>98</v>
      </c>
      <c r="P6902" s="97">
        <v>2000</v>
      </c>
      <c r="Q6902" s="97">
        <v>2532</v>
      </c>
      <c r="R6902" s="19">
        <f t="shared" si="303"/>
        <v>-532</v>
      </c>
      <c r="S6902" s="277">
        <v>670</v>
      </c>
      <c r="T6902" s="19" t="s">
        <v>99</v>
      </c>
      <c r="U6902" s="102" t="s">
        <v>1634</v>
      </c>
      <c r="V6902" s="186">
        <v>45681</v>
      </c>
      <c r="W6902" s="17" t="s">
        <v>44</v>
      </c>
      <c r="Y6902" s="68">
        <v>45870</v>
      </c>
      <c r="Z6902" s="17" t="s">
        <v>78</v>
      </c>
      <c r="AA6902" s="17" t="s">
        <v>46</v>
      </c>
      <c r="AB6902" s="17" t="s">
        <v>1474</v>
      </c>
      <c r="AC6902" s="217">
        <v>45911</v>
      </c>
      <c r="AD6902" s="65">
        <v>1723</v>
      </c>
      <c r="AE6902" s="17" t="s">
        <v>48</v>
      </c>
    </row>
    <row r="6903" s="17" customFormat="1" hidden="1" spans="1:44">
      <c r="A6903" s="17" t="s">
        <v>34</v>
      </c>
      <c r="B6903" s="19">
        <v>1046</v>
      </c>
      <c r="C6903" s="183">
        <v>45678</v>
      </c>
      <c r="D6903" s="17" t="s">
        <v>35</v>
      </c>
      <c r="E6903" s="17" t="s">
        <v>36</v>
      </c>
      <c r="F6903" s="17" t="s">
        <v>96</v>
      </c>
      <c r="H6903" s="19" t="s">
        <v>1548</v>
      </c>
      <c r="I6903" s="19"/>
      <c r="J6903" s="17" t="s">
        <v>82</v>
      </c>
      <c r="K6903" s="232">
        <v>510</v>
      </c>
      <c r="L6903" s="232">
        <v>230</v>
      </c>
      <c r="M6903" s="19"/>
      <c r="N6903" s="19" t="s">
        <v>40</v>
      </c>
      <c r="O6903" s="19" t="s">
        <v>98</v>
      </c>
      <c r="P6903" s="97">
        <v>2000</v>
      </c>
      <c r="Q6903" s="97">
        <v>2499</v>
      </c>
      <c r="R6903" s="19">
        <f t="shared" si="303"/>
        <v>-499</v>
      </c>
      <c r="S6903" s="277">
        <v>670</v>
      </c>
      <c r="T6903" s="19" t="s">
        <v>99</v>
      </c>
      <c r="U6903" s="102" t="s">
        <v>1634</v>
      </c>
      <c r="V6903" s="186">
        <v>45681</v>
      </c>
      <c r="W6903" s="17" t="s">
        <v>44</v>
      </c>
      <c r="Y6903" s="68">
        <v>45870</v>
      </c>
      <c r="Z6903" s="17" t="s">
        <v>78</v>
      </c>
      <c r="AA6903" s="17" t="s">
        <v>46</v>
      </c>
      <c r="AB6903" s="17" t="s">
        <v>1474</v>
      </c>
      <c r="AC6903" s="217">
        <v>45911</v>
      </c>
      <c r="AD6903" s="65">
        <v>1723</v>
      </c>
      <c r="AE6903" s="17" t="s">
        <v>48</v>
      </c>
    </row>
    <row r="6904" s="17" customFormat="1" hidden="1" spans="1:44">
      <c r="A6904" s="17" t="s">
        <v>34</v>
      </c>
      <c r="B6904" s="19">
        <v>1046</v>
      </c>
      <c r="C6904" s="183">
        <v>45678</v>
      </c>
      <c r="D6904" s="17" t="s">
        <v>35</v>
      </c>
      <c r="E6904" s="17" t="s">
        <v>36</v>
      </c>
      <c r="F6904" s="17" t="s">
        <v>96</v>
      </c>
      <c r="H6904" s="19" t="s">
        <v>1548</v>
      </c>
      <c r="I6904" s="19"/>
      <c r="J6904" s="17" t="s">
        <v>82</v>
      </c>
      <c r="K6904" s="232">
        <v>460</v>
      </c>
      <c r="L6904" s="232">
        <v>250</v>
      </c>
      <c r="M6904" s="19"/>
      <c r="N6904" s="19" t="s">
        <v>40</v>
      </c>
      <c r="O6904" s="19" t="s">
        <v>98</v>
      </c>
      <c r="P6904" s="97">
        <v>2000</v>
      </c>
      <c r="Q6904" s="97">
        <v>2480</v>
      </c>
      <c r="R6904" s="19">
        <f t="shared" si="303"/>
        <v>-480</v>
      </c>
      <c r="S6904" s="277">
        <v>670</v>
      </c>
      <c r="T6904" s="19" t="s">
        <v>99</v>
      </c>
      <c r="U6904" s="102" t="s">
        <v>1634</v>
      </c>
      <c r="V6904" s="186">
        <v>45681</v>
      </c>
      <c r="W6904" s="17" t="s">
        <v>44</v>
      </c>
      <c r="Y6904" s="68">
        <v>45870</v>
      </c>
      <c r="Z6904" s="17" t="s">
        <v>78</v>
      </c>
      <c r="AA6904" s="17" t="s">
        <v>46</v>
      </c>
      <c r="AB6904" s="17" t="s">
        <v>1474</v>
      </c>
      <c r="AC6904" s="217">
        <v>45911</v>
      </c>
      <c r="AD6904" s="65">
        <v>1723</v>
      </c>
      <c r="AE6904" s="17" t="s">
        <v>48</v>
      </c>
    </row>
    <row r="6905" s="25" customFormat="1" hidden="1" spans="1:44">
      <c r="A6905" s="17" t="s">
        <v>34</v>
      </c>
      <c r="B6905" s="19">
        <v>1088</v>
      </c>
      <c r="C6905" s="183">
        <v>45920</v>
      </c>
      <c r="D6905" s="17" t="s">
        <v>35</v>
      </c>
      <c r="E6905" s="17" t="s">
        <v>718</v>
      </c>
      <c r="F6905" s="17" t="s">
        <v>236</v>
      </c>
      <c r="G6905" s="17"/>
      <c r="H6905" s="19" t="s">
        <v>1548</v>
      </c>
      <c r="I6905" s="19"/>
      <c r="J6905" s="17" t="s">
        <v>82</v>
      </c>
      <c r="K6905" s="19">
        <v>455</v>
      </c>
      <c r="L6905" s="91">
        <v>200</v>
      </c>
      <c r="M6905" s="19"/>
      <c r="N6905" s="19" t="s">
        <v>40</v>
      </c>
      <c r="O6905" s="19" t="s">
        <v>98</v>
      </c>
      <c r="P6905" s="19">
        <v>2445</v>
      </c>
      <c r="Q6905" s="19">
        <v>2443</v>
      </c>
      <c r="R6905" s="19">
        <f t="shared" si="303"/>
        <v>2</v>
      </c>
      <c r="S6905" s="19">
        <v>670</v>
      </c>
      <c r="T6905" s="19" t="s">
        <v>99</v>
      </c>
      <c r="U6905" s="102" t="s">
        <v>1636</v>
      </c>
      <c r="V6905" s="186">
        <v>45919</v>
      </c>
      <c r="W6905" s="17" t="s">
        <v>44</v>
      </c>
      <c r="X6905" s="17"/>
      <c r="Y6905" s="68">
        <v>45931</v>
      </c>
      <c r="Z6905" s="17" t="s">
        <v>78</v>
      </c>
      <c r="AA6905" s="17" t="s">
        <v>46</v>
      </c>
      <c r="AB6905" s="17" t="s">
        <v>1635</v>
      </c>
      <c r="AC6905" s="217">
        <v>46019</v>
      </c>
      <c r="AD6905" s="65">
        <v>1739</v>
      </c>
      <c r="AE6905" s="17" t="s">
        <v>48</v>
      </c>
      <c r="AF6905" s="17"/>
      <c r="AG6905" s="17"/>
      <c r="AH6905" s="17"/>
      <c r="AI6905" s="17"/>
      <c r="AJ6905" s="17"/>
      <c r="AK6905" s="17"/>
      <c r="AL6905" s="17"/>
      <c r="AM6905" s="17"/>
      <c r="AN6905" s="17"/>
      <c r="AO6905" s="17"/>
      <c r="AP6905" s="17"/>
      <c r="AQ6905" s="17"/>
      <c r="AR6905" s="17"/>
    </row>
    <row r="6906" s="17" customFormat="1" hidden="1" spans="1:44">
      <c r="A6906" s="17" t="s">
        <v>34</v>
      </c>
      <c r="B6906" s="19">
        <v>1039</v>
      </c>
      <c r="C6906" s="183">
        <v>45629</v>
      </c>
      <c r="D6906" s="17" t="s">
        <v>1637</v>
      </c>
      <c r="E6906" s="17" t="s">
        <v>301</v>
      </c>
      <c r="F6906" s="17" t="s">
        <v>300</v>
      </c>
      <c r="H6906" s="19">
        <v>1.2344</v>
      </c>
      <c r="I6906" s="19"/>
      <c r="J6906" s="17" t="s">
        <v>39</v>
      </c>
      <c r="K6906" s="19">
        <v>85</v>
      </c>
      <c r="L6906" s="91"/>
      <c r="M6906" s="19"/>
      <c r="N6906" s="19" t="s">
        <v>40</v>
      </c>
      <c r="O6906" s="19" t="s">
        <v>84</v>
      </c>
      <c r="P6906" s="98">
        <v>1000</v>
      </c>
      <c r="Q6906" s="98">
        <v>1143</v>
      </c>
      <c r="R6906" s="19">
        <f t="shared" si="303"/>
        <v>-143</v>
      </c>
      <c r="S6906" s="99">
        <v>2925</v>
      </c>
      <c r="T6906" s="401" t="s">
        <v>42</v>
      </c>
      <c r="U6906" s="102"/>
      <c r="V6906" s="186">
        <v>45624</v>
      </c>
      <c r="W6906" s="17" t="s">
        <v>69</v>
      </c>
      <c r="Y6906" s="68">
        <v>45778</v>
      </c>
      <c r="Z6906" s="17" t="s">
        <v>1638</v>
      </c>
      <c r="AA6906" s="17" t="s">
        <v>46</v>
      </c>
      <c r="AB6906" s="17" t="s">
        <v>1639</v>
      </c>
      <c r="AC6906" s="217">
        <v>45779</v>
      </c>
      <c r="AD6906" s="65">
        <v>1681</v>
      </c>
      <c r="AE6906" s="17" t="s">
        <v>751</v>
      </c>
      <c r="AF6906" s="17" t="s">
        <v>1349</v>
      </c>
      <c r="AJ6906" s="17" t="s">
        <v>1640</v>
      </c>
    </row>
    <row r="6907" s="17" customFormat="1" hidden="1" spans="1:44">
      <c r="A6907" s="17" t="s">
        <v>34</v>
      </c>
      <c r="B6907" s="19">
        <v>1039</v>
      </c>
      <c r="C6907" s="183">
        <v>45629</v>
      </c>
      <c r="D6907" s="17" t="s">
        <v>1637</v>
      </c>
      <c r="E6907" s="17" t="s">
        <v>301</v>
      </c>
      <c r="F6907" s="17" t="s">
        <v>300</v>
      </c>
      <c r="H6907" s="19">
        <v>1.2344</v>
      </c>
      <c r="I6907" s="19"/>
      <c r="J6907" s="17" t="s">
        <v>39</v>
      </c>
      <c r="K6907" s="19">
        <v>101</v>
      </c>
      <c r="L6907" s="91"/>
      <c r="M6907" s="19"/>
      <c r="N6907" s="19" t="s">
        <v>40</v>
      </c>
      <c r="O6907" s="19" t="s">
        <v>84</v>
      </c>
      <c r="P6907" s="98">
        <v>1000</v>
      </c>
      <c r="Q6907" s="98">
        <v>1013</v>
      </c>
      <c r="R6907" s="19">
        <f t="shared" si="303"/>
        <v>-13</v>
      </c>
      <c r="S6907" s="99">
        <v>2925</v>
      </c>
      <c r="T6907" s="401" t="s">
        <v>42</v>
      </c>
      <c r="U6907" s="102"/>
      <c r="V6907" s="186">
        <v>45624</v>
      </c>
      <c r="W6907" s="17" t="s">
        <v>69</v>
      </c>
      <c r="Y6907" s="68">
        <v>45778</v>
      </c>
      <c r="Z6907" s="17" t="s">
        <v>1638</v>
      </c>
      <c r="AA6907" s="17" t="s">
        <v>46</v>
      </c>
      <c r="AB6907" s="17" t="s">
        <v>1641</v>
      </c>
      <c r="AC6907" s="217">
        <v>45859</v>
      </c>
      <c r="AD6907" s="65">
        <v>1703</v>
      </c>
      <c r="AE6907" s="17" t="s">
        <v>48</v>
      </c>
      <c r="AF6907" s="17" t="s">
        <v>1349</v>
      </c>
      <c r="AJ6907" s="17" t="s">
        <v>1640</v>
      </c>
    </row>
    <row r="6908" s="17" customFormat="1" hidden="1" spans="1:44">
      <c r="A6908" s="17" t="s">
        <v>34</v>
      </c>
      <c r="B6908" s="19">
        <v>1039</v>
      </c>
      <c r="C6908" s="183">
        <v>45629</v>
      </c>
      <c r="D6908" s="17" t="s">
        <v>1637</v>
      </c>
      <c r="E6908" s="17" t="s">
        <v>301</v>
      </c>
      <c r="F6908" s="17" t="s">
        <v>300</v>
      </c>
      <c r="H6908" s="19">
        <v>1.2344</v>
      </c>
      <c r="I6908" s="19"/>
      <c r="J6908" s="17" t="s">
        <v>39</v>
      </c>
      <c r="K6908" s="19">
        <v>122</v>
      </c>
      <c r="L6908" s="91"/>
      <c r="M6908" s="19"/>
      <c r="N6908" s="19" t="s">
        <v>40</v>
      </c>
      <c r="O6908" s="19" t="s">
        <v>50</v>
      </c>
      <c r="P6908" s="98">
        <v>2000</v>
      </c>
      <c r="Q6908" s="98">
        <v>2104</v>
      </c>
      <c r="R6908" s="19">
        <f t="shared" si="303"/>
        <v>-104</v>
      </c>
      <c r="S6908" s="99">
        <v>2925</v>
      </c>
      <c r="T6908" s="401" t="s">
        <v>42</v>
      </c>
      <c r="U6908" s="102"/>
      <c r="V6908" s="186">
        <v>45624</v>
      </c>
      <c r="W6908" s="17" t="s">
        <v>69</v>
      </c>
      <c r="Y6908" s="68">
        <v>45778</v>
      </c>
      <c r="Z6908" s="17" t="s">
        <v>1638</v>
      </c>
      <c r="AA6908" s="17" t="s">
        <v>46</v>
      </c>
      <c r="AB6908" s="17" t="s">
        <v>1641</v>
      </c>
      <c r="AC6908" s="217">
        <v>45859</v>
      </c>
      <c r="AD6908" s="65">
        <v>1703</v>
      </c>
      <c r="AE6908" s="17" t="s">
        <v>48</v>
      </c>
      <c r="AF6908" s="17" t="s">
        <v>1349</v>
      </c>
      <c r="AJ6908" s="17" t="s">
        <v>1640</v>
      </c>
    </row>
    <row r="6909" s="17" customFormat="1" hidden="1" spans="1:44">
      <c r="A6909" s="17" t="s">
        <v>34</v>
      </c>
      <c r="B6909" s="19">
        <v>1039</v>
      </c>
      <c r="C6909" s="183">
        <v>45629</v>
      </c>
      <c r="D6909" s="17" t="s">
        <v>1637</v>
      </c>
      <c r="E6909" s="17" t="s">
        <v>301</v>
      </c>
      <c r="F6909" s="17" t="s">
        <v>300</v>
      </c>
      <c r="H6909" s="19">
        <v>1.2344</v>
      </c>
      <c r="I6909" s="19"/>
      <c r="J6909" s="17" t="s">
        <v>39</v>
      </c>
      <c r="K6909" s="19">
        <v>132</v>
      </c>
      <c r="L6909" s="91"/>
      <c r="M6909" s="19"/>
      <c r="N6909" s="19" t="s">
        <v>40</v>
      </c>
      <c r="O6909" s="19" t="s">
        <v>50</v>
      </c>
      <c r="P6909" s="98">
        <f>2000+1000+1000</f>
        <v>4000</v>
      </c>
      <c r="Q6909" s="290">
        <v>2939</v>
      </c>
      <c r="R6909" s="19">
        <f t="shared" si="303"/>
        <v>1061</v>
      </c>
      <c r="S6909" s="99">
        <v>2925</v>
      </c>
      <c r="T6909" s="401" t="s">
        <v>42</v>
      </c>
      <c r="U6909" s="102"/>
      <c r="V6909" s="186">
        <v>45624</v>
      </c>
      <c r="W6909" s="17" t="s">
        <v>69</v>
      </c>
      <c r="Y6909" s="68">
        <v>45778</v>
      </c>
      <c r="Z6909" s="17" t="s">
        <v>1638</v>
      </c>
      <c r="AA6909" s="17" t="s">
        <v>46</v>
      </c>
      <c r="AB6909" s="17" t="s">
        <v>1641</v>
      </c>
      <c r="AC6909" s="217">
        <v>45859</v>
      </c>
      <c r="AD6909" s="65">
        <v>1703</v>
      </c>
      <c r="AE6909" s="17" t="s">
        <v>751</v>
      </c>
      <c r="AF6909" s="17" t="s">
        <v>1349</v>
      </c>
      <c r="AJ6909" s="17" t="s">
        <v>1640</v>
      </c>
    </row>
    <row r="6910" s="17" customFormat="1" hidden="1" spans="1:44">
      <c r="A6910" s="17" t="s">
        <v>34</v>
      </c>
      <c r="B6910" s="19">
        <v>1039</v>
      </c>
      <c r="C6910" s="183">
        <v>45629</v>
      </c>
      <c r="D6910" s="17" t="s">
        <v>1637</v>
      </c>
      <c r="E6910" s="17" t="s">
        <v>301</v>
      </c>
      <c r="F6910" s="17" t="s">
        <v>300</v>
      </c>
      <c r="H6910" s="19">
        <v>1.2344</v>
      </c>
      <c r="I6910" s="19"/>
      <c r="J6910" s="17" t="s">
        <v>39</v>
      </c>
      <c r="K6910" s="290">
        <v>142</v>
      </c>
      <c r="L6910" s="91"/>
      <c r="M6910" s="19"/>
      <c r="N6910" s="19" t="s">
        <v>40</v>
      </c>
      <c r="O6910" s="19" t="s">
        <v>50</v>
      </c>
      <c r="P6910" s="98">
        <v>2000</v>
      </c>
      <c r="Q6910" s="290">
        <v>2228</v>
      </c>
      <c r="R6910" s="19">
        <f t="shared" si="303"/>
        <v>-228</v>
      </c>
      <c r="S6910" s="99">
        <v>2925</v>
      </c>
      <c r="T6910" s="401" t="s">
        <v>42</v>
      </c>
      <c r="U6910" s="102"/>
      <c r="V6910" s="186">
        <v>45624</v>
      </c>
      <c r="W6910" s="17" t="s">
        <v>69</v>
      </c>
      <c r="Y6910" s="68">
        <v>45778</v>
      </c>
      <c r="Z6910" s="17" t="s">
        <v>1638</v>
      </c>
      <c r="AA6910" s="17" t="s">
        <v>46</v>
      </c>
      <c r="AB6910" s="17" t="s">
        <v>1642</v>
      </c>
      <c r="AC6910" s="217">
        <v>45810</v>
      </c>
      <c r="AD6910" s="65">
        <v>1689</v>
      </c>
      <c r="AE6910" s="17" t="s">
        <v>48</v>
      </c>
      <c r="AF6910" s="17" t="s">
        <v>1349</v>
      </c>
      <c r="AJ6910" s="17" t="s">
        <v>1640</v>
      </c>
    </row>
    <row r="6911" s="17" customFormat="1" hidden="1" spans="1:44">
      <c r="A6911" s="17" t="s">
        <v>34</v>
      </c>
      <c r="B6911" s="19">
        <v>1039</v>
      </c>
      <c r="C6911" s="183">
        <v>45629</v>
      </c>
      <c r="D6911" s="17" t="s">
        <v>1637</v>
      </c>
      <c r="E6911" s="17" t="s">
        <v>301</v>
      </c>
      <c r="F6911" s="17" t="s">
        <v>300</v>
      </c>
      <c r="H6911" s="19">
        <v>1.2344</v>
      </c>
      <c r="I6911" s="19"/>
      <c r="J6911" s="17" t="s">
        <v>39</v>
      </c>
      <c r="K6911" s="19">
        <v>152</v>
      </c>
      <c r="L6911" s="91"/>
      <c r="M6911" s="19"/>
      <c r="N6911" s="19" t="s">
        <v>40</v>
      </c>
      <c r="O6911" s="19" t="s">
        <v>50</v>
      </c>
      <c r="P6911" s="98">
        <v>2000</v>
      </c>
      <c r="Q6911" s="290">
        <v>2024</v>
      </c>
      <c r="R6911" s="19">
        <f t="shared" si="303"/>
        <v>-24</v>
      </c>
      <c r="S6911" s="99">
        <v>2925</v>
      </c>
      <c r="T6911" s="401" t="s">
        <v>42</v>
      </c>
      <c r="U6911" s="102"/>
      <c r="V6911" s="186">
        <v>45624</v>
      </c>
      <c r="W6911" s="17" t="s">
        <v>69</v>
      </c>
      <c r="Y6911" s="68">
        <v>45778</v>
      </c>
      <c r="Z6911" s="17" t="s">
        <v>1638</v>
      </c>
      <c r="AA6911" s="17" t="s">
        <v>46</v>
      </c>
      <c r="AB6911" s="17" t="s">
        <v>1641</v>
      </c>
      <c r="AC6911" s="217">
        <v>45859</v>
      </c>
      <c r="AD6911" s="65">
        <v>1703</v>
      </c>
      <c r="AE6911" s="17" t="s">
        <v>48</v>
      </c>
      <c r="AF6911" s="17" t="s">
        <v>1349</v>
      </c>
      <c r="AJ6911" s="17" t="s">
        <v>1640</v>
      </c>
    </row>
    <row r="6912" s="24" customFormat="1" hidden="1" spans="1:44">
      <c r="B6912" s="342">
        <v>1039</v>
      </c>
      <c r="C6912" s="343">
        <v>45629</v>
      </c>
      <c r="D6912" s="24" t="s">
        <v>1637</v>
      </c>
      <c r="E6912" s="24" t="s">
        <v>301</v>
      </c>
      <c r="F6912" s="24" t="s">
        <v>300</v>
      </c>
      <c r="H6912" s="342">
        <v>1.2344</v>
      </c>
      <c r="I6912" s="342"/>
      <c r="J6912" s="24" t="s">
        <v>39</v>
      </c>
      <c r="K6912" s="342">
        <v>162</v>
      </c>
      <c r="L6912" s="344"/>
      <c r="M6912" s="342"/>
      <c r="N6912" s="342" t="s">
        <v>40</v>
      </c>
      <c r="O6912" s="342" t="s">
        <v>50</v>
      </c>
      <c r="P6912" s="364">
        <v>1000</v>
      </c>
      <c r="Q6912" s="364"/>
      <c r="R6912" s="342">
        <f t="shared" si="303"/>
        <v>1000</v>
      </c>
      <c r="S6912" s="402">
        <v>2925</v>
      </c>
      <c r="T6912" s="403" t="s">
        <v>42</v>
      </c>
      <c r="U6912" s="345"/>
      <c r="V6912" s="346">
        <v>45624</v>
      </c>
      <c r="W6912" s="24" t="s">
        <v>69</v>
      </c>
      <c r="Y6912" s="347">
        <v>45778</v>
      </c>
      <c r="Z6912" s="24" t="s">
        <v>1638</v>
      </c>
      <c r="AA6912" s="24" t="s">
        <v>46</v>
      </c>
      <c r="AC6912" s="363"/>
      <c r="AD6912" s="348"/>
      <c r="AE6912" s="24" t="s">
        <v>751</v>
      </c>
      <c r="AF6912" s="24" t="s">
        <v>1643</v>
      </c>
      <c r="AJ6912" s="24" t="s">
        <v>1640</v>
      </c>
    </row>
    <row r="6913" s="26" customFormat="1" hidden="1" spans="1:36">
      <c r="A6913" s="26" t="s">
        <v>34</v>
      </c>
      <c r="B6913" s="290">
        <v>1039</v>
      </c>
      <c r="C6913" s="404">
        <v>45629</v>
      </c>
      <c r="D6913" s="26" t="s">
        <v>1637</v>
      </c>
      <c r="E6913" s="26" t="s">
        <v>301</v>
      </c>
      <c r="F6913" s="26" t="s">
        <v>300</v>
      </c>
      <c r="H6913" s="290">
        <v>1.2344</v>
      </c>
      <c r="I6913" s="290"/>
      <c r="J6913" s="26" t="s">
        <v>39</v>
      </c>
      <c r="K6913" s="290">
        <v>182</v>
      </c>
      <c r="L6913" s="167"/>
      <c r="M6913" s="290"/>
      <c r="N6913" s="290" t="s">
        <v>40</v>
      </c>
      <c r="O6913" s="290" t="s">
        <v>50</v>
      </c>
      <c r="P6913" s="98">
        <v>1800</v>
      </c>
      <c r="Q6913" s="98">
        <v>1734</v>
      </c>
      <c r="R6913" s="290">
        <f t="shared" si="303"/>
        <v>66</v>
      </c>
      <c r="S6913" s="405">
        <v>2675</v>
      </c>
      <c r="T6913" s="406" t="s">
        <v>42</v>
      </c>
      <c r="U6913" s="407"/>
      <c r="V6913" s="408">
        <v>45624</v>
      </c>
      <c r="W6913" s="26" t="s">
        <v>69</v>
      </c>
      <c r="Y6913" s="409">
        <v>45778</v>
      </c>
      <c r="Z6913" s="26" t="s">
        <v>1638</v>
      </c>
      <c r="AA6913" s="26" t="s">
        <v>46</v>
      </c>
      <c r="AB6913" s="17" t="s">
        <v>1639</v>
      </c>
      <c r="AC6913" s="217">
        <v>45779</v>
      </c>
      <c r="AD6913" s="410">
        <v>1681</v>
      </c>
      <c r="AE6913" s="26" t="s">
        <v>48</v>
      </c>
      <c r="AF6913" s="26" t="s">
        <v>1349</v>
      </c>
      <c r="AJ6913" s="26" t="s">
        <v>1640</v>
      </c>
    </row>
    <row r="6914" s="17" customFormat="1" hidden="1" spans="1:36">
      <c r="A6914" s="17" t="s">
        <v>34</v>
      </c>
      <c r="B6914" s="19">
        <v>1039</v>
      </c>
      <c r="C6914" s="183">
        <v>45629</v>
      </c>
      <c r="D6914" s="17" t="s">
        <v>1637</v>
      </c>
      <c r="E6914" s="26" t="s">
        <v>301</v>
      </c>
      <c r="F6914" s="17" t="s">
        <v>300</v>
      </c>
      <c r="H6914" s="19">
        <v>1.2344</v>
      </c>
      <c r="I6914" s="19"/>
      <c r="J6914" s="17" t="s">
        <v>39</v>
      </c>
      <c r="K6914" s="19">
        <v>192</v>
      </c>
      <c r="L6914" s="91"/>
      <c r="M6914" s="19"/>
      <c r="N6914" s="19" t="s">
        <v>40</v>
      </c>
      <c r="O6914" s="19" t="s">
        <v>50</v>
      </c>
      <c r="P6914" s="98">
        <v>1800</v>
      </c>
      <c r="Q6914" s="98">
        <v>1784</v>
      </c>
      <c r="R6914" s="19">
        <f t="shared" si="303"/>
        <v>16</v>
      </c>
      <c r="S6914" s="99">
        <v>2675</v>
      </c>
      <c r="T6914" s="401" t="s">
        <v>42</v>
      </c>
      <c r="U6914" s="102"/>
      <c r="V6914" s="186">
        <v>45624</v>
      </c>
      <c r="W6914" s="17" t="s">
        <v>69</v>
      </c>
      <c r="Y6914" s="68">
        <v>45778</v>
      </c>
      <c r="Z6914" s="17" t="s">
        <v>1638</v>
      </c>
      <c r="AA6914" s="17" t="s">
        <v>46</v>
      </c>
      <c r="AB6914" s="17" t="s">
        <v>1639</v>
      </c>
      <c r="AC6914" s="217">
        <v>45779</v>
      </c>
      <c r="AD6914" s="410">
        <v>1681</v>
      </c>
      <c r="AE6914" s="17" t="s">
        <v>48</v>
      </c>
      <c r="AF6914" s="26" t="s">
        <v>1349</v>
      </c>
      <c r="AJ6914" s="17" t="s">
        <v>1640</v>
      </c>
    </row>
    <row r="6915" s="17" customFormat="1" hidden="1" spans="1:36">
      <c r="A6915" s="17" t="s">
        <v>34</v>
      </c>
      <c r="B6915" s="19">
        <v>1039</v>
      </c>
      <c r="C6915" s="183">
        <v>45629</v>
      </c>
      <c r="D6915" s="17" t="s">
        <v>1637</v>
      </c>
      <c r="E6915" s="26" t="s">
        <v>301</v>
      </c>
      <c r="F6915" s="17" t="s">
        <v>300</v>
      </c>
      <c r="H6915" s="19">
        <v>1.2344</v>
      </c>
      <c r="I6915" s="19"/>
      <c r="J6915" s="17" t="s">
        <v>39</v>
      </c>
      <c r="K6915" s="19">
        <v>202</v>
      </c>
      <c r="L6915" s="91"/>
      <c r="M6915" s="19"/>
      <c r="N6915" s="19" t="s">
        <v>40</v>
      </c>
      <c r="O6915" s="19" t="s">
        <v>50</v>
      </c>
      <c r="P6915" s="98">
        <v>1800</v>
      </c>
      <c r="Q6915" s="98">
        <v>1906</v>
      </c>
      <c r="R6915" s="19">
        <f t="shared" si="303"/>
        <v>-106</v>
      </c>
      <c r="S6915" s="99">
        <v>2675</v>
      </c>
      <c r="T6915" s="401" t="s">
        <v>42</v>
      </c>
      <c r="U6915" s="102"/>
      <c r="V6915" s="186">
        <v>45624</v>
      </c>
      <c r="W6915" s="17" t="s">
        <v>69</v>
      </c>
      <c r="Y6915" s="68">
        <v>45778</v>
      </c>
      <c r="Z6915" s="17" t="s">
        <v>1638</v>
      </c>
      <c r="AA6915" s="17" t="s">
        <v>46</v>
      </c>
      <c r="AB6915" s="17" t="s">
        <v>1644</v>
      </c>
      <c r="AC6915" s="217">
        <v>45887</v>
      </c>
      <c r="AD6915" s="65"/>
      <c r="AE6915" s="17" t="s">
        <v>48</v>
      </c>
      <c r="AF6915" s="26" t="s">
        <v>1349</v>
      </c>
      <c r="AJ6915" s="17" t="s">
        <v>1640</v>
      </c>
    </row>
    <row r="6916" s="17" customFormat="1" hidden="1" spans="1:36">
      <c r="A6916" s="17" t="s">
        <v>34</v>
      </c>
      <c r="B6916" s="19">
        <v>1039</v>
      </c>
      <c r="C6916" s="183">
        <v>45629</v>
      </c>
      <c r="D6916" s="17" t="s">
        <v>1637</v>
      </c>
      <c r="E6916" s="26" t="s">
        <v>301</v>
      </c>
      <c r="F6916" s="17" t="s">
        <v>300</v>
      </c>
      <c r="H6916" s="19">
        <v>1.2344</v>
      </c>
      <c r="I6916" s="19"/>
      <c r="J6916" s="17" t="s">
        <v>39</v>
      </c>
      <c r="K6916" s="290">
        <v>212</v>
      </c>
      <c r="L6916" s="91"/>
      <c r="M6916" s="19"/>
      <c r="N6916" s="19" t="s">
        <v>40</v>
      </c>
      <c r="O6916" s="19" t="s">
        <v>50</v>
      </c>
      <c r="P6916" s="98">
        <v>1800</v>
      </c>
      <c r="Q6916" s="98">
        <v>3433</v>
      </c>
      <c r="R6916" s="19">
        <f t="shared" si="303"/>
        <v>-1633</v>
      </c>
      <c r="S6916" s="99">
        <v>2675</v>
      </c>
      <c r="T6916" s="401" t="s">
        <v>42</v>
      </c>
      <c r="U6916" s="102"/>
      <c r="V6916" s="186">
        <v>45624</v>
      </c>
      <c r="W6916" s="17" t="s">
        <v>69</v>
      </c>
      <c r="Y6916" s="68">
        <v>45778</v>
      </c>
      <c r="Z6916" s="17" t="s">
        <v>1638</v>
      </c>
      <c r="AA6916" s="17" t="s">
        <v>46</v>
      </c>
      <c r="AB6916" s="17" t="s">
        <v>1645</v>
      </c>
      <c r="AC6916" s="217">
        <v>45808</v>
      </c>
      <c r="AD6916" s="65">
        <v>1689</v>
      </c>
      <c r="AE6916" s="17" t="s">
        <v>48</v>
      </c>
      <c r="AF6916" s="26" t="s">
        <v>1349</v>
      </c>
      <c r="AJ6916" s="17" t="s">
        <v>1640</v>
      </c>
    </row>
    <row r="6917" s="17" customFormat="1" hidden="1" spans="1:36">
      <c r="A6917" s="17" t="s">
        <v>34</v>
      </c>
      <c r="B6917" s="19">
        <v>1039</v>
      </c>
      <c r="C6917" s="183">
        <v>45629</v>
      </c>
      <c r="D6917" s="17" t="s">
        <v>1637</v>
      </c>
      <c r="E6917" s="26" t="s">
        <v>301</v>
      </c>
      <c r="F6917" s="17" t="s">
        <v>300</v>
      </c>
      <c r="H6917" s="19">
        <v>1.2344</v>
      </c>
      <c r="I6917" s="19"/>
      <c r="J6917" s="17" t="s">
        <v>39</v>
      </c>
      <c r="K6917" s="19">
        <v>222</v>
      </c>
      <c r="L6917" s="91"/>
      <c r="M6917" s="19"/>
      <c r="N6917" s="19" t="s">
        <v>40</v>
      </c>
      <c r="O6917" s="19" t="s">
        <v>50</v>
      </c>
      <c r="P6917" s="98">
        <v>3200</v>
      </c>
      <c r="Q6917" s="98">
        <v>3049</v>
      </c>
      <c r="R6917" s="19">
        <f t="shared" si="303"/>
        <v>151</v>
      </c>
      <c r="S6917" s="99">
        <v>2675</v>
      </c>
      <c r="T6917" s="401" t="s">
        <v>42</v>
      </c>
      <c r="U6917" s="102"/>
      <c r="V6917" s="186">
        <v>45624</v>
      </c>
      <c r="W6917" s="17" t="s">
        <v>69</v>
      </c>
      <c r="Y6917" s="68">
        <v>45778</v>
      </c>
      <c r="Z6917" s="17" t="s">
        <v>1638</v>
      </c>
      <c r="AA6917" s="17" t="s">
        <v>46</v>
      </c>
      <c r="AB6917" s="17" t="s">
        <v>1639</v>
      </c>
      <c r="AC6917" s="217">
        <v>45779</v>
      </c>
      <c r="AD6917" s="410">
        <v>1681</v>
      </c>
      <c r="AE6917" s="17" t="s">
        <v>48</v>
      </c>
      <c r="AF6917" s="26" t="s">
        <v>1349</v>
      </c>
      <c r="AJ6917" s="17" t="s">
        <v>1640</v>
      </c>
    </row>
    <row r="6918" s="17" customFormat="1" hidden="1" spans="1:36">
      <c r="A6918" s="17" t="s">
        <v>34</v>
      </c>
      <c r="B6918" s="19">
        <v>1039</v>
      </c>
      <c r="C6918" s="183">
        <v>45629</v>
      </c>
      <c r="D6918" s="17" t="s">
        <v>1637</v>
      </c>
      <c r="E6918" s="26" t="s">
        <v>301</v>
      </c>
      <c r="F6918" s="17" t="s">
        <v>300</v>
      </c>
      <c r="H6918" s="19">
        <v>1.2344</v>
      </c>
      <c r="I6918" s="19"/>
      <c r="J6918" s="17" t="s">
        <v>39</v>
      </c>
      <c r="K6918" s="290">
        <v>282</v>
      </c>
      <c r="L6918" s="91"/>
      <c r="M6918" s="19"/>
      <c r="N6918" s="19" t="s">
        <v>40</v>
      </c>
      <c r="O6918" s="19" t="s">
        <v>50</v>
      </c>
      <c r="P6918" s="98">
        <v>4200</v>
      </c>
      <c r="Q6918" s="98">
        <v>4425</v>
      </c>
      <c r="R6918" s="19">
        <f t="shared" si="303"/>
        <v>-225</v>
      </c>
      <c r="S6918" s="99">
        <v>2675</v>
      </c>
      <c r="T6918" s="401" t="s">
        <v>42</v>
      </c>
      <c r="U6918" s="102"/>
      <c r="V6918" s="186">
        <v>45624</v>
      </c>
      <c r="W6918" s="17" t="s">
        <v>69</v>
      </c>
      <c r="Y6918" s="68">
        <v>45778</v>
      </c>
      <c r="Z6918" s="17" t="s">
        <v>1638</v>
      </c>
      <c r="AA6918" s="17" t="s">
        <v>46</v>
      </c>
      <c r="AB6918" s="17" t="s">
        <v>1646</v>
      </c>
      <c r="AC6918" s="217">
        <v>45807</v>
      </c>
      <c r="AD6918" s="65">
        <v>1689</v>
      </c>
      <c r="AE6918" s="17" t="s">
        <v>48</v>
      </c>
      <c r="AF6918" s="26" t="s">
        <v>1349</v>
      </c>
      <c r="AJ6918" s="17" t="s">
        <v>1640</v>
      </c>
    </row>
    <row r="6919" s="17" customFormat="1" hidden="1" spans="1:36">
      <c r="A6919" s="17" t="s">
        <v>34</v>
      </c>
      <c r="B6919" s="19">
        <v>1039</v>
      </c>
      <c r="C6919" s="183">
        <v>45629</v>
      </c>
      <c r="D6919" s="17" t="s">
        <v>1637</v>
      </c>
      <c r="E6919" s="26" t="s">
        <v>301</v>
      </c>
      <c r="F6919" s="17" t="s">
        <v>300</v>
      </c>
      <c r="H6919" s="19">
        <v>1.2344</v>
      </c>
      <c r="I6919" s="19"/>
      <c r="J6919" s="17" t="s">
        <v>39</v>
      </c>
      <c r="K6919" s="290">
        <v>302</v>
      </c>
      <c r="L6919" s="91"/>
      <c r="M6919" s="19"/>
      <c r="N6919" s="19" t="s">
        <v>40</v>
      </c>
      <c r="O6919" s="19" t="s">
        <v>50</v>
      </c>
      <c r="P6919" s="98">
        <v>4200</v>
      </c>
      <c r="Q6919" s="98">
        <v>4133</v>
      </c>
      <c r="R6919" s="19">
        <f t="shared" si="303"/>
        <v>67</v>
      </c>
      <c r="S6919" s="99">
        <v>2675</v>
      </c>
      <c r="T6919" s="401" t="s">
        <v>42</v>
      </c>
      <c r="U6919" s="102"/>
      <c r="V6919" s="186">
        <v>45624</v>
      </c>
      <c r="W6919" s="17" t="s">
        <v>69</v>
      </c>
      <c r="Y6919" s="68">
        <v>45778</v>
      </c>
      <c r="Z6919" s="17" t="s">
        <v>1638</v>
      </c>
      <c r="AA6919" s="17" t="s">
        <v>46</v>
      </c>
      <c r="AB6919" s="17" t="s">
        <v>1646</v>
      </c>
      <c r="AC6919" s="217">
        <v>45807</v>
      </c>
      <c r="AD6919" s="65">
        <v>1689</v>
      </c>
      <c r="AE6919" s="17" t="s">
        <v>48</v>
      </c>
      <c r="AF6919" s="26" t="s">
        <v>1349</v>
      </c>
      <c r="AJ6919" s="17" t="s">
        <v>1640</v>
      </c>
    </row>
    <row r="6920" s="17" customFormat="1" hidden="1" spans="1:36">
      <c r="A6920" s="17" t="s">
        <v>34</v>
      </c>
      <c r="B6920" s="19">
        <v>1039</v>
      </c>
      <c r="C6920" s="183">
        <v>45629</v>
      </c>
      <c r="D6920" s="17" t="s">
        <v>1637</v>
      </c>
      <c r="E6920" s="26" t="s">
        <v>301</v>
      </c>
      <c r="F6920" s="17" t="s">
        <v>300</v>
      </c>
      <c r="H6920" s="124">
        <v>1.208</v>
      </c>
      <c r="I6920" s="124"/>
      <c r="J6920" s="17" t="s">
        <v>39</v>
      </c>
      <c r="K6920" s="290">
        <v>26</v>
      </c>
      <c r="L6920" s="91"/>
      <c r="M6920" s="19"/>
      <c r="N6920" s="19" t="s">
        <v>40</v>
      </c>
      <c r="O6920" s="19" t="s">
        <v>84</v>
      </c>
      <c r="P6920" s="19">
        <v>4000</v>
      </c>
      <c r="Q6920" s="19">
        <v>1543</v>
      </c>
      <c r="S6920" s="91">
        <v>2075</v>
      </c>
      <c r="T6920" s="401" t="s">
        <v>42</v>
      </c>
      <c r="U6920" s="102"/>
      <c r="V6920" s="186">
        <v>45624</v>
      </c>
      <c r="W6920" s="17" t="s">
        <v>69</v>
      </c>
      <c r="Y6920" s="68">
        <v>45778</v>
      </c>
      <c r="Z6920" s="17" t="s">
        <v>1638</v>
      </c>
      <c r="AA6920" s="17" t="s">
        <v>46</v>
      </c>
      <c r="AB6920" s="17" t="s">
        <v>1647</v>
      </c>
      <c r="AC6920" s="217">
        <v>45859</v>
      </c>
      <c r="AD6920" s="65">
        <v>1703</v>
      </c>
      <c r="AE6920" s="17" t="s">
        <v>74</v>
      </c>
      <c r="AF6920" s="26" t="s">
        <v>1349</v>
      </c>
      <c r="AJ6920" s="17" t="s">
        <v>1640</v>
      </c>
    </row>
    <row r="6921" s="17" customFormat="1" hidden="1" spans="1:36">
      <c r="A6921" s="17" t="s">
        <v>34</v>
      </c>
      <c r="B6921" s="19">
        <v>1039</v>
      </c>
      <c r="C6921" s="183">
        <v>45629</v>
      </c>
      <c r="D6921" s="17" t="s">
        <v>1637</v>
      </c>
      <c r="E6921" s="26" t="s">
        <v>301</v>
      </c>
      <c r="F6921" s="17" t="s">
        <v>300</v>
      </c>
      <c r="H6921" s="124">
        <v>1.208</v>
      </c>
      <c r="I6921" s="124"/>
      <c r="J6921" s="17" t="s">
        <v>39</v>
      </c>
      <c r="K6921" s="290">
        <v>26</v>
      </c>
      <c r="L6921" s="91"/>
      <c r="M6921" s="19"/>
      <c r="N6921" s="19" t="s">
        <v>40</v>
      </c>
      <c r="O6921" s="19" t="s">
        <v>84</v>
      </c>
      <c r="P6921" s="19"/>
      <c r="Q6921" s="19">
        <v>739</v>
      </c>
      <c r="R6921" s="19">
        <f>+P6920-Q6920-Q6921</f>
        <v>1718</v>
      </c>
      <c r="S6921" s="91">
        <v>2075</v>
      </c>
      <c r="T6921" s="401" t="s">
        <v>42</v>
      </c>
      <c r="U6921" s="102"/>
      <c r="V6921" s="186">
        <v>45624</v>
      </c>
      <c r="W6921" s="17" t="s">
        <v>69</v>
      </c>
      <c r="Y6921" s="68">
        <v>45778</v>
      </c>
      <c r="Z6921" s="17" t="s">
        <v>1638</v>
      </c>
      <c r="AA6921" s="17" t="s">
        <v>46</v>
      </c>
      <c r="AB6921" s="17" t="s">
        <v>1644</v>
      </c>
      <c r="AC6921" s="217">
        <v>45887</v>
      </c>
      <c r="AD6921" s="65"/>
      <c r="AE6921" s="17" t="s">
        <v>74</v>
      </c>
      <c r="AF6921" s="17" t="s">
        <v>1648</v>
      </c>
      <c r="AJ6921" s="17" t="s">
        <v>1640</v>
      </c>
    </row>
    <row r="6922" s="24" customFormat="1" hidden="1" spans="1:36">
      <c r="B6922" s="342">
        <v>1039</v>
      </c>
      <c r="C6922" s="343">
        <v>45629</v>
      </c>
      <c r="D6922" s="24" t="s">
        <v>1637</v>
      </c>
      <c r="E6922" s="24" t="s">
        <v>301</v>
      </c>
      <c r="F6922" s="24" t="s">
        <v>300</v>
      </c>
      <c r="H6922" s="411">
        <v>1.208</v>
      </c>
      <c r="I6922" s="411"/>
      <c r="J6922" s="24" t="s">
        <v>39</v>
      </c>
      <c r="K6922" s="342">
        <v>28</v>
      </c>
      <c r="L6922" s="344"/>
      <c r="M6922" s="342"/>
      <c r="N6922" s="342" t="s">
        <v>40</v>
      </c>
      <c r="O6922" s="342" t="s">
        <v>84</v>
      </c>
      <c r="P6922" s="342">
        <v>2000</v>
      </c>
      <c r="Q6922" s="342"/>
      <c r="R6922" s="342">
        <f t="shared" ref="R6922:R6939" si="304">+P6922-Q6922</f>
        <v>2000</v>
      </c>
      <c r="S6922" s="344">
        <v>2075</v>
      </c>
      <c r="T6922" s="403" t="s">
        <v>42</v>
      </c>
      <c r="U6922" s="345"/>
      <c r="V6922" s="346">
        <v>45624</v>
      </c>
      <c r="W6922" s="24" t="s">
        <v>69</v>
      </c>
      <c r="Y6922" s="347">
        <v>45778</v>
      </c>
      <c r="Z6922" s="24" t="s">
        <v>1638</v>
      </c>
      <c r="AA6922" s="24" t="s">
        <v>46</v>
      </c>
      <c r="AC6922" s="363"/>
      <c r="AD6922" s="348"/>
      <c r="AE6922" s="24" t="s">
        <v>74</v>
      </c>
      <c r="AF6922" s="24" t="s">
        <v>571</v>
      </c>
      <c r="AJ6922" s="24" t="s">
        <v>1640</v>
      </c>
    </row>
    <row r="6923" s="24" customFormat="1" hidden="1" spans="1:36">
      <c r="B6923" s="342">
        <v>1039</v>
      </c>
      <c r="C6923" s="343">
        <v>45629</v>
      </c>
      <c r="D6923" s="24" t="s">
        <v>1637</v>
      </c>
      <c r="E6923" s="24" t="s">
        <v>301</v>
      </c>
      <c r="F6923" s="24" t="s">
        <v>300</v>
      </c>
      <c r="H6923" s="411">
        <v>1.208</v>
      </c>
      <c r="I6923" s="411"/>
      <c r="J6923" s="24" t="s">
        <v>39</v>
      </c>
      <c r="K6923" s="342">
        <v>32</v>
      </c>
      <c r="L6923" s="344"/>
      <c r="M6923" s="342"/>
      <c r="N6923" s="342" t="s">
        <v>40</v>
      </c>
      <c r="O6923" s="342" t="s">
        <v>84</v>
      </c>
      <c r="P6923" s="342">
        <v>5000</v>
      </c>
      <c r="Q6923" s="342"/>
      <c r="R6923" s="342">
        <f t="shared" si="304"/>
        <v>5000</v>
      </c>
      <c r="S6923" s="344">
        <v>2075</v>
      </c>
      <c r="T6923" s="403" t="s">
        <v>42</v>
      </c>
      <c r="U6923" s="345"/>
      <c r="V6923" s="346">
        <v>45624</v>
      </c>
      <c r="W6923" s="24" t="s">
        <v>69</v>
      </c>
      <c r="Y6923" s="347">
        <v>45778</v>
      </c>
      <c r="Z6923" s="24" t="s">
        <v>1638</v>
      </c>
      <c r="AA6923" s="24" t="s">
        <v>46</v>
      </c>
      <c r="AC6923" s="363"/>
      <c r="AD6923" s="348"/>
      <c r="AE6923" s="24" t="s">
        <v>74</v>
      </c>
      <c r="AF6923" s="24" t="s">
        <v>571</v>
      </c>
      <c r="AJ6923" s="24" t="s">
        <v>1640</v>
      </c>
    </row>
    <row r="6924" s="24" customFormat="1" hidden="1" spans="1:36">
      <c r="B6924" s="342">
        <v>1039</v>
      </c>
      <c r="C6924" s="343">
        <v>45629</v>
      </c>
      <c r="D6924" s="24" t="s">
        <v>1637</v>
      </c>
      <c r="E6924" s="24" t="s">
        <v>301</v>
      </c>
      <c r="F6924" s="24" t="s">
        <v>300</v>
      </c>
      <c r="H6924" s="411">
        <v>1.208</v>
      </c>
      <c r="I6924" s="411"/>
      <c r="J6924" s="24" t="s">
        <v>39</v>
      </c>
      <c r="K6924" s="342">
        <v>36</v>
      </c>
      <c r="L6924" s="344"/>
      <c r="M6924" s="342"/>
      <c r="N6924" s="342" t="s">
        <v>40</v>
      </c>
      <c r="O6924" s="342" t="s">
        <v>84</v>
      </c>
      <c r="P6924" s="342">
        <v>3000</v>
      </c>
      <c r="Q6924" s="342"/>
      <c r="R6924" s="342">
        <f t="shared" si="304"/>
        <v>3000</v>
      </c>
      <c r="S6924" s="344">
        <v>2075</v>
      </c>
      <c r="T6924" s="403" t="s">
        <v>42</v>
      </c>
      <c r="U6924" s="345"/>
      <c r="V6924" s="346">
        <v>45624</v>
      </c>
      <c r="W6924" s="24" t="s">
        <v>69</v>
      </c>
      <c r="Y6924" s="347">
        <v>45778</v>
      </c>
      <c r="Z6924" s="24" t="s">
        <v>1638</v>
      </c>
      <c r="AA6924" s="24" t="s">
        <v>46</v>
      </c>
      <c r="AC6924" s="363"/>
      <c r="AD6924" s="348"/>
      <c r="AE6924" s="24" t="s">
        <v>74</v>
      </c>
      <c r="AF6924" s="24" t="s">
        <v>571</v>
      </c>
      <c r="AJ6924" s="24" t="s">
        <v>1640</v>
      </c>
    </row>
    <row r="6925" s="24" customFormat="1" hidden="1" spans="1:36">
      <c r="B6925" s="342">
        <v>1039</v>
      </c>
      <c r="C6925" s="343">
        <v>45629</v>
      </c>
      <c r="D6925" s="24" t="s">
        <v>1637</v>
      </c>
      <c r="E6925" s="24" t="s">
        <v>301</v>
      </c>
      <c r="F6925" s="24" t="s">
        <v>300</v>
      </c>
      <c r="H6925" s="411">
        <v>1.208</v>
      </c>
      <c r="I6925" s="411"/>
      <c r="J6925" s="24" t="s">
        <v>39</v>
      </c>
      <c r="K6925" s="342">
        <v>40</v>
      </c>
      <c r="L6925" s="344"/>
      <c r="M6925" s="342"/>
      <c r="N6925" s="342" t="s">
        <v>40</v>
      </c>
      <c r="O6925" s="342" t="s">
        <v>84</v>
      </c>
      <c r="P6925" s="342">
        <v>4000</v>
      </c>
      <c r="Q6925" s="342"/>
      <c r="R6925" s="342">
        <f t="shared" si="304"/>
        <v>4000</v>
      </c>
      <c r="S6925" s="344">
        <v>2075</v>
      </c>
      <c r="T6925" s="403" t="s">
        <v>42</v>
      </c>
      <c r="U6925" s="345"/>
      <c r="V6925" s="346">
        <v>45624</v>
      </c>
      <c r="W6925" s="24" t="s">
        <v>69</v>
      </c>
      <c r="Y6925" s="347">
        <v>45778</v>
      </c>
      <c r="Z6925" s="24" t="s">
        <v>1638</v>
      </c>
      <c r="AA6925" s="24" t="s">
        <v>46</v>
      </c>
      <c r="AC6925" s="363"/>
      <c r="AD6925" s="348"/>
      <c r="AE6925" s="24" t="s">
        <v>74</v>
      </c>
      <c r="AF6925" s="24" t="s">
        <v>571</v>
      </c>
      <c r="AJ6925" s="24" t="s">
        <v>1640</v>
      </c>
    </row>
    <row r="6926" s="17" customFormat="1" hidden="1" spans="1:36">
      <c r="A6926" s="17" t="s">
        <v>34</v>
      </c>
      <c r="B6926" s="19">
        <v>1039</v>
      </c>
      <c r="C6926" s="183">
        <v>45629</v>
      </c>
      <c r="D6926" s="17" t="s">
        <v>1637</v>
      </c>
      <c r="E6926" s="17" t="s">
        <v>301</v>
      </c>
      <c r="F6926" s="17" t="s">
        <v>300</v>
      </c>
      <c r="H6926" s="124">
        <v>1.208</v>
      </c>
      <c r="I6926" s="124"/>
      <c r="J6926" s="17" t="s">
        <v>39</v>
      </c>
      <c r="K6926" s="290">
        <v>65</v>
      </c>
      <c r="L6926" s="91"/>
      <c r="M6926" s="19"/>
      <c r="N6926" s="19" t="s">
        <v>40</v>
      </c>
      <c r="O6926" s="19" t="s">
        <v>84</v>
      </c>
      <c r="P6926" s="19">
        <v>1000</v>
      </c>
      <c r="Q6926" s="290">
        <v>806</v>
      </c>
      <c r="R6926" s="19">
        <f t="shared" si="304"/>
        <v>194</v>
      </c>
      <c r="S6926" s="91">
        <v>2075</v>
      </c>
      <c r="T6926" s="401" t="s">
        <v>42</v>
      </c>
      <c r="U6926" s="102"/>
      <c r="V6926" s="186">
        <v>45624</v>
      </c>
      <c r="W6926" s="17" t="s">
        <v>69</v>
      </c>
      <c r="Y6926" s="68">
        <v>45778</v>
      </c>
      <c r="Z6926" s="17" t="s">
        <v>1638</v>
      </c>
      <c r="AA6926" s="17" t="s">
        <v>46</v>
      </c>
      <c r="AB6926" s="17" t="s">
        <v>1647</v>
      </c>
      <c r="AC6926" s="217">
        <v>45859</v>
      </c>
      <c r="AD6926" s="65">
        <v>1703</v>
      </c>
      <c r="AE6926" s="17" t="s">
        <v>1649</v>
      </c>
      <c r="AF6926" s="17" t="s">
        <v>1349</v>
      </c>
      <c r="AJ6926" s="17" t="s">
        <v>1640</v>
      </c>
    </row>
    <row r="6927" s="17" customFormat="1" hidden="1" spans="1:36">
      <c r="A6927" s="17" t="s">
        <v>34</v>
      </c>
      <c r="B6927" s="19">
        <v>1039</v>
      </c>
      <c r="C6927" s="183">
        <v>45629</v>
      </c>
      <c r="D6927" s="17" t="s">
        <v>1637</v>
      </c>
      <c r="E6927" s="17" t="s">
        <v>301</v>
      </c>
      <c r="F6927" s="17" t="s">
        <v>300</v>
      </c>
      <c r="H6927" s="124">
        <v>1.208</v>
      </c>
      <c r="I6927" s="124"/>
      <c r="J6927" s="17" t="s">
        <v>39</v>
      </c>
      <c r="K6927" s="290">
        <v>70</v>
      </c>
      <c r="L6927" s="91"/>
      <c r="M6927" s="19"/>
      <c r="N6927" s="19" t="s">
        <v>40</v>
      </c>
      <c r="O6927" s="19" t="s">
        <v>84</v>
      </c>
      <c r="P6927" s="19">
        <v>1000</v>
      </c>
      <c r="Q6927" s="290">
        <v>820</v>
      </c>
      <c r="R6927" s="19">
        <f t="shared" si="304"/>
        <v>180</v>
      </c>
      <c r="S6927" s="91">
        <v>2075</v>
      </c>
      <c r="T6927" s="401" t="s">
        <v>42</v>
      </c>
      <c r="U6927" s="102"/>
      <c r="V6927" s="186">
        <v>45624</v>
      </c>
      <c r="W6927" s="17" t="s">
        <v>69</v>
      </c>
      <c r="Y6927" s="68">
        <v>45778</v>
      </c>
      <c r="Z6927" s="17" t="s">
        <v>1638</v>
      </c>
      <c r="AA6927" s="17" t="s">
        <v>46</v>
      </c>
      <c r="AB6927" s="17" t="s">
        <v>1642</v>
      </c>
      <c r="AC6927" s="217">
        <v>45810</v>
      </c>
      <c r="AD6927" s="65">
        <v>1689</v>
      </c>
      <c r="AE6927" s="17" t="s">
        <v>1649</v>
      </c>
      <c r="AF6927" s="17" t="s">
        <v>1349</v>
      </c>
      <c r="AJ6927" s="17" t="s">
        <v>1640</v>
      </c>
    </row>
    <row r="6928" s="17" customFormat="1" hidden="1" spans="1:36">
      <c r="A6928" s="17" t="s">
        <v>34</v>
      </c>
      <c r="B6928" s="19">
        <v>1039</v>
      </c>
      <c r="C6928" s="183">
        <v>45629</v>
      </c>
      <c r="D6928" s="17" t="s">
        <v>1637</v>
      </c>
      <c r="E6928" s="17" t="s">
        <v>301</v>
      </c>
      <c r="F6928" s="17" t="s">
        <v>300</v>
      </c>
      <c r="H6928" s="124">
        <v>1.208</v>
      </c>
      <c r="I6928" s="124"/>
      <c r="J6928" s="17" t="s">
        <v>39</v>
      </c>
      <c r="K6928" s="290">
        <v>75</v>
      </c>
      <c r="L6928" s="91"/>
      <c r="M6928" s="19"/>
      <c r="N6928" s="19" t="s">
        <v>40</v>
      </c>
      <c r="O6928" s="19" t="s">
        <v>84</v>
      </c>
      <c r="P6928" s="19">
        <v>1000</v>
      </c>
      <c r="Q6928" s="290">
        <v>720</v>
      </c>
      <c r="R6928" s="19">
        <f t="shared" si="304"/>
        <v>280</v>
      </c>
      <c r="S6928" s="91">
        <v>2075</v>
      </c>
      <c r="T6928" s="401" t="s">
        <v>42</v>
      </c>
      <c r="U6928" s="102"/>
      <c r="V6928" s="186">
        <v>45624</v>
      </c>
      <c r="W6928" s="17" t="s">
        <v>69</v>
      </c>
      <c r="Y6928" s="68">
        <v>45778</v>
      </c>
      <c r="Z6928" s="17" t="s">
        <v>1638</v>
      </c>
      <c r="AA6928" s="17" t="s">
        <v>46</v>
      </c>
      <c r="AB6928" s="17" t="s">
        <v>1647</v>
      </c>
      <c r="AC6928" s="217">
        <v>45859</v>
      </c>
      <c r="AD6928" s="65">
        <v>1703</v>
      </c>
      <c r="AE6928" s="17" t="s">
        <v>1649</v>
      </c>
      <c r="AF6928" s="17" t="s">
        <v>1349</v>
      </c>
      <c r="AJ6928" s="17" t="s">
        <v>1640</v>
      </c>
    </row>
    <row r="6929" s="17" customFormat="1" hidden="1" spans="1:36">
      <c r="A6929" s="17" t="s">
        <v>34</v>
      </c>
      <c r="B6929" s="19">
        <v>1039</v>
      </c>
      <c r="C6929" s="183">
        <v>45629</v>
      </c>
      <c r="D6929" s="17" t="s">
        <v>1637</v>
      </c>
      <c r="E6929" s="17" t="s">
        <v>301</v>
      </c>
      <c r="F6929" s="17" t="s">
        <v>300</v>
      </c>
      <c r="H6929" s="124">
        <v>1.208</v>
      </c>
      <c r="I6929" s="124"/>
      <c r="J6929" s="17" t="s">
        <v>39</v>
      </c>
      <c r="K6929" s="19">
        <v>105</v>
      </c>
      <c r="L6929" s="91"/>
      <c r="M6929" s="19"/>
      <c r="N6929" s="19" t="s">
        <v>40</v>
      </c>
      <c r="O6929" s="19" t="s">
        <v>84</v>
      </c>
      <c r="P6929" s="19">
        <v>2000</v>
      </c>
      <c r="Q6929" s="290">
        <v>1487</v>
      </c>
      <c r="R6929" s="19">
        <f t="shared" si="304"/>
        <v>513</v>
      </c>
      <c r="S6929" s="91">
        <v>2075</v>
      </c>
      <c r="T6929" s="401" t="s">
        <v>42</v>
      </c>
      <c r="U6929" s="102"/>
      <c r="V6929" s="186">
        <v>45624</v>
      </c>
      <c r="W6929" s="17" t="s">
        <v>69</v>
      </c>
      <c r="Y6929" s="68">
        <v>45778</v>
      </c>
      <c r="Z6929" s="17" t="s">
        <v>1638</v>
      </c>
      <c r="AA6929" s="17" t="s">
        <v>46</v>
      </c>
      <c r="AB6929" s="17" t="s">
        <v>1650</v>
      </c>
      <c r="AC6929" s="217">
        <v>45783</v>
      </c>
      <c r="AD6929" s="65">
        <v>1676</v>
      </c>
      <c r="AE6929" s="17" t="s">
        <v>1651</v>
      </c>
      <c r="AF6929" s="17" t="s">
        <v>1349</v>
      </c>
      <c r="AJ6929" s="17" t="s">
        <v>1640</v>
      </c>
    </row>
    <row r="6930" s="17" customFormat="1" hidden="1" spans="1:36">
      <c r="A6930" s="17" t="s">
        <v>34</v>
      </c>
      <c r="B6930" s="19">
        <v>1039</v>
      </c>
      <c r="C6930" s="183">
        <v>45629</v>
      </c>
      <c r="D6930" s="17" t="s">
        <v>1637</v>
      </c>
      <c r="E6930" s="17" t="s">
        <v>301</v>
      </c>
      <c r="F6930" s="17" t="s">
        <v>300</v>
      </c>
      <c r="H6930" s="124">
        <v>1.208</v>
      </c>
      <c r="I6930" s="124"/>
      <c r="J6930" s="17" t="s">
        <v>39</v>
      </c>
      <c r="K6930" s="290">
        <v>152</v>
      </c>
      <c r="L6930" s="91"/>
      <c r="M6930" s="19"/>
      <c r="N6930" s="19" t="s">
        <v>40</v>
      </c>
      <c r="O6930" s="19" t="s">
        <v>50</v>
      </c>
      <c r="P6930" s="19">
        <v>2000</v>
      </c>
      <c r="Q6930" s="290">
        <v>2146</v>
      </c>
      <c r="R6930" s="19">
        <f t="shared" si="304"/>
        <v>-146</v>
      </c>
      <c r="S6930" s="91">
        <v>2075</v>
      </c>
      <c r="T6930" s="401" t="s">
        <v>42</v>
      </c>
      <c r="U6930" s="102"/>
      <c r="V6930" s="186">
        <v>45624</v>
      </c>
      <c r="W6930" s="17" t="s">
        <v>69</v>
      </c>
      <c r="Y6930" s="68">
        <v>45778</v>
      </c>
      <c r="Z6930" s="17" t="s">
        <v>1638</v>
      </c>
      <c r="AA6930" s="17" t="s">
        <v>46</v>
      </c>
      <c r="AB6930" s="17" t="s">
        <v>1646</v>
      </c>
      <c r="AC6930" s="217">
        <v>45807</v>
      </c>
      <c r="AD6930" s="65">
        <v>1689</v>
      </c>
      <c r="AE6930" s="17" t="s">
        <v>1652</v>
      </c>
      <c r="AF6930" s="17" t="s">
        <v>1349</v>
      </c>
      <c r="AJ6930" s="17" t="s">
        <v>1640</v>
      </c>
    </row>
    <row r="6931" s="17" customFormat="1" hidden="1" spans="1:36">
      <c r="A6931" s="17" t="s">
        <v>34</v>
      </c>
      <c r="B6931" s="19">
        <v>1039</v>
      </c>
      <c r="C6931" s="183">
        <v>45629</v>
      </c>
      <c r="D6931" s="17" t="s">
        <v>1637</v>
      </c>
      <c r="E6931" s="17" t="s">
        <v>301</v>
      </c>
      <c r="F6931" s="17" t="s">
        <v>300</v>
      </c>
      <c r="H6931" s="124">
        <v>1.208</v>
      </c>
      <c r="I6931" s="124"/>
      <c r="J6931" s="17" t="s">
        <v>39</v>
      </c>
      <c r="K6931" s="290">
        <v>162</v>
      </c>
      <c r="L6931" s="91"/>
      <c r="M6931" s="19"/>
      <c r="N6931" s="19" t="s">
        <v>40</v>
      </c>
      <c r="O6931" s="19" t="s">
        <v>50</v>
      </c>
      <c r="P6931" s="19">
        <v>2000</v>
      </c>
      <c r="Q6931" s="290">
        <v>1634</v>
      </c>
      <c r="R6931" s="19">
        <f t="shared" si="304"/>
        <v>366</v>
      </c>
      <c r="S6931" s="91">
        <v>2075</v>
      </c>
      <c r="T6931" s="401" t="s">
        <v>42</v>
      </c>
      <c r="U6931" s="102"/>
      <c r="V6931" s="186">
        <v>45624</v>
      </c>
      <c r="W6931" s="17" t="s">
        <v>69</v>
      </c>
      <c r="Y6931" s="68">
        <v>45778</v>
      </c>
      <c r="Z6931" s="17" t="s">
        <v>1638</v>
      </c>
      <c r="AA6931" s="17" t="s">
        <v>46</v>
      </c>
      <c r="AB6931" s="17" t="s">
        <v>1647</v>
      </c>
      <c r="AC6931" s="217">
        <v>45859</v>
      </c>
      <c r="AD6931" s="65">
        <v>1703</v>
      </c>
      <c r="AE6931" s="17" t="s">
        <v>1652</v>
      </c>
      <c r="AF6931" s="17" t="s">
        <v>1349</v>
      </c>
      <c r="AJ6931" s="17" t="s">
        <v>1640</v>
      </c>
    </row>
    <row r="6932" s="17" customFormat="1" hidden="1" spans="1:36">
      <c r="A6932" s="17" t="s">
        <v>34</v>
      </c>
      <c r="B6932" s="19">
        <v>1039</v>
      </c>
      <c r="C6932" s="183">
        <v>45629</v>
      </c>
      <c r="D6932" s="17" t="s">
        <v>1637</v>
      </c>
      <c r="E6932" s="17" t="s">
        <v>301</v>
      </c>
      <c r="F6932" s="17" t="s">
        <v>300</v>
      </c>
      <c r="H6932" s="124">
        <v>1.208</v>
      </c>
      <c r="I6932" s="124"/>
      <c r="J6932" s="17" t="s">
        <v>39</v>
      </c>
      <c r="K6932" s="290">
        <v>172</v>
      </c>
      <c r="L6932" s="91"/>
      <c r="M6932" s="19"/>
      <c r="N6932" s="19" t="s">
        <v>40</v>
      </c>
      <c r="O6932" s="19" t="s">
        <v>50</v>
      </c>
      <c r="P6932" s="19">
        <v>4000</v>
      </c>
      <c r="Q6932" s="290">
        <v>3988</v>
      </c>
      <c r="R6932" s="19">
        <f t="shared" si="304"/>
        <v>12</v>
      </c>
      <c r="S6932" s="91">
        <v>2075</v>
      </c>
      <c r="T6932" s="401" t="s">
        <v>42</v>
      </c>
      <c r="U6932" s="102"/>
      <c r="V6932" s="186">
        <v>45624</v>
      </c>
      <c r="W6932" s="17" t="s">
        <v>69</v>
      </c>
      <c r="Y6932" s="68">
        <v>45778</v>
      </c>
      <c r="Z6932" s="17" t="s">
        <v>1638</v>
      </c>
      <c r="AA6932" s="17" t="s">
        <v>46</v>
      </c>
      <c r="AB6932" s="17" t="s">
        <v>1647</v>
      </c>
      <c r="AC6932" s="217">
        <v>45859</v>
      </c>
      <c r="AD6932" s="65">
        <v>1703</v>
      </c>
      <c r="AE6932" s="17" t="s">
        <v>1652</v>
      </c>
      <c r="AF6932" s="17" t="s">
        <v>1349</v>
      </c>
      <c r="AJ6932" s="17" t="s">
        <v>1640</v>
      </c>
    </row>
    <row r="6933" s="17" customFormat="1" hidden="1" spans="1:36">
      <c r="A6933" s="17" t="s">
        <v>34</v>
      </c>
      <c r="B6933" s="19">
        <v>1039</v>
      </c>
      <c r="C6933" s="183">
        <v>45629</v>
      </c>
      <c r="D6933" s="17" t="s">
        <v>1637</v>
      </c>
      <c r="E6933" s="17" t="s">
        <v>301</v>
      </c>
      <c r="F6933" s="17" t="s">
        <v>300</v>
      </c>
      <c r="H6933" s="19">
        <v>1.2379</v>
      </c>
      <c r="I6933" s="19"/>
      <c r="J6933" s="17" t="s">
        <v>39</v>
      </c>
      <c r="K6933" s="19">
        <v>26</v>
      </c>
      <c r="L6933" s="91"/>
      <c r="M6933" s="19"/>
      <c r="N6933" s="19" t="s">
        <v>40</v>
      </c>
      <c r="O6933" s="19" t="s">
        <v>84</v>
      </c>
      <c r="P6933" s="19">
        <v>1000</v>
      </c>
      <c r="Q6933" s="290">
        <v>862</v>
      </c>
      <c r="R6933" s="19">
        <f t="shared" si="304"/>
        <v>138</v>
      </c>
      <c r="S6933" s="99">
        <v>2925</v>
      </c>
      <c r="T6933" s="401" t="s">
        <v>42</v>
      </c>
      <c r="U6933" s="102"/>
      <c r="V6933" s="186">
        <v>45624</v>
      </c>
      <c r="W6933" s="17" t="s">
        <v>69</v>
      </c>
      <c r="Y6933" s="68">
        <v>45778</v>
      </c>
      <c r="Z6933" s="17" t="s">
        <v>1638</v>
      </c>
      <c r="AA6933" s="17" t="s">
        <v>46</v>
      </c>
      <c r="AB6933" s="17" t="s">
        <v>1641</v>
      </c>
      <c r="AC6933" s="217">
        <v>45859</v>
      </c>
      <c r="AD6933" s="65">
        <v>1703</v>
      </c>
      <c r="AE6933" s="17" t="s">
        <v>129</v>
      </c>
      <c r="AF6933" s="17" t="s">
        <v>1349</v>
      </c>
      <c r="AJ6933" s="17" t="s">
        <v>1640</v>
      </c>
    </row>
    <row r="6934" s="17" customFormat="1" hidden="1" spans="1:36">
      <c r="A6934" s="17" t="s">
        <v>34</v>
      </c>
      <c r="B6934" s="19">
        <v>1039</v>
      </c>
      <c r="C6934" s="183">
        <v>45629</v>
      </c>
      <c r="D6934" s="17" t="s">
        <v>1637</v>
      </c>
      <c r="E6934" s="17" t="s">
        <v>301</v>
      </c>
      <c r="F6934" s="17" t="s">
        <v>300</v>
      </c>
      <c r="H6934" s="19">
        <v>1.2379</v>
      </c>
      <c r="I6934" s="19"/>
      <c r="J6934" s="17" t="s">
        <v>39</v>
      </c>
      <c r="K6934" s="290">
        <v>28</v>
      </c>
      <c r="L6934" s="91"/>
      <c r="M6934" s="19"/>
      <c r="N6934" s="19" t="s">
        <v>40</v>
      </c>
      <c r="O6934" s="19" t="s">
        <v>84</v>
      </c>
      <c r="P6934" s="19">
        <v>1000</v>
      </c>
      <c r="Q6934" s="290">
        <v>1013</v>
      </c>
      <c r="R6934" s="19">
        <f t="shared" si="304"/>
        <v>-13</v>
      </c>
      <c r="S6934" s="99">
        <v>2925</v>
      </c>
      <c r="T6934" s="401" t="s">
        <v>42</v>
      </c>
      <c r="U6934" s="102"/>
      <c r="V6934" s="186">
        <v>45624</v>
      </c>
      <c r="W6934" s="17" t="s">
        <v>69</v>
      </c>
      <c r="Y6934" s="68">
        <v>45778</v>
      </c>
      <c r="Z6934" s="17" t="s">
        <v>1638</v>
      </c>
      <c r="AA6934" s="17" t="s">
        <v>46</v>
      </c>
      <c r="AB6934" s="17" t="s">
        <v>1653</v>
      </c>
      <c r="AC6934" s="217">
        <v>45808</v>
      </c>
      <c r="AD6934" s="65">
        <v>1689</v>
      </c>
      <c r="AE6934" s="17" t="s">
        <v>129</v>
      </c>
      <c r="AF6934" s="17" t="s">
        <v>1349</v>
      </c>
      <c r="AJ6934" s="17" t="s">
        <v>1640</v>
      </c>
    </row>
    <row r="6935" s="17" customFormat="1" hidden="1" spans="1:36">
      <c r="A6935" s="17" t="s">
        <v>34</v>
      </c>
      <c r="B6935" s="19">
        <v>1039</v>
      </c>
      <c r="C6935" s="183">
        <v>45629</v>
      </c>
      <c r="D6935" s="17" t="s">
        <v>1637</v>
      </c>
      <c r="E6935" s="17" t="s">
        <v>301</v>
      </c>
      <c r="F6935" s="17" t="s">
        <v>300</v>
      </c>
      <c r="H6935" s="19">
        <v>1.2379</v>
      </c>
      <c r="I6935" s="19"/>
      <c r="J6935" s="17" t="s">
        <v>39</v>
      </c>
      <c r="K6935" s="19">
        <v>32</v>
      </c>
      <c r="L6935" s="91"/>
      <c r="M6935" s="19"/>
      <c r="N6935" s="19" t="s">
        <v>40</v>
      </c>
      <c r="O6935" s="19" t="s">
        <v>84</v>
      </c>
      <c r="P6935" s="19">
        <v>1000</v>
      </c>
      <c r="Q6935" s="290">
        <v>2029</v>
      </c>
      <c r="R6935" s="19">
        <f t="shared" si="304"/>
        <v>-1029</v>
      </c>
      <c r="S6935" s="99">
        <v>2925</v>
      </c>
      <c r="T6935" s="401" t="s">
        <v>42</v>
      </c>
      <c r="U6935" s="102"/>
      <c r="V6935" s="186">
        <v>45624</v>
      </c>
      <c r="W6935" s="17" t="s">
        <v>69</v>
      </c>
      <c r="Y6935" s="68">
        <v>45778</v>
      </c>
      <c r="Z6935" s="17" t="s">
        <v>1638</v>
      </c>
      <c r="AA6935" s="17" t="s">
        <v>46</v>
      </c>
      <c r="AB6935" s="17" t="s">
        <v>1639</v>
      </c>
      <c r="AC6935" s="217">
        <v>45779</v>
      </c>
      <c r="AD6935" s="410">
        <v>1681</v>
      </c>
      <c r="AE6935" s="17" t="s">
        <v>129</v>
      </c>
      <c r="AF6935" s="17" t="s">
        <v>1349</v>
      </c>
      <c r="AJ6935" s="17" t="s">
        <v>1640</v>
      </c>
    </row>
    <row r="6936" s="17" customFormat="1" hidden="1" spans="1:36">
      <c r="A6936" s="17" t="s">
        <v>34</v>
      </c>
      <c r="B6936" s="19">
        <v>1039</v>
      </c>
      <c r="C6936" s="183">
        <v>45629</v>
      </c>
      <c r="D6936" s="17" t="s">
        <v>1637</v>
      </c>
      <c r="E6936" s="17" t="s">
        <v>301</v>
      </c>
      <c r="F6936" s="17" t="s">
        <v>300</v>
      </c>
      <c r="H6936" s="19">
        <v>1.2379</v>
      </c>
      <c r="I6936" s="19"/>
      <c r="J6936" s="17" t="s">
        <v>39</v>
      </c>
      <c r="K6936" s="19">
        <v>46</v>
      </c>
      <c r="L6936" s="91"/>
      <c r="M6936" s="19"/>
      <c r="N6936" s="19" t="s">
        <v>40</v>
      </c>
      <c r="O6936" s="19" t="s">
        <v>84</v>
      </c>
      <c r="P6936" s="19">
        <v>1000</v>
      </c>
      <c r="Q6936" s="290">
        <v>886</v>
      </c>
      <c r="R6936" s="19">
        <f t="shared" si="304"/>
        <v>114</v>
      </c>
      <c r="S6936" s="99">
        <v>2925</v>
      </c>
      <c r="T6936" s="401" t="s">
        <v>42</v>
      </c>
      <c r="U6936" s="102"/>
      <c r="V6936" s="186">
        <v>45624</v>
      </c>
      <c r="W6936" s="17" t="s">
        <v>69</v>
      </c>
      <c r="Y6936" s="68">
        <v>45778</v>
      </c>
      <c r="Z6936" s="17" t="s">
        <v>1638</v>
      </c>
      <c r="AA6936" s="17" t="s">
        <v>46</v>
      </c>
      <c r="AB6936" s="17" t="s">
        <v>1650</v>
      </c>
      <c r="AC6936" s="217">
        <v>45783</v>
      </c>
      <c r="AD6936" s="65">
        <v>1676</v>
      </c>
      <c r="AE6936" s="17" t="s">
        <v>1651</v>
      </c>
      <c r="AF6936" s="17" t="s">
        <v>1349</v>
      </c>
      <c r="AJ6936" s="17" t="s">
        <v>1640</v>
      </c>
    </row>
    <row r="6937" s="17" customFormat="1" hidden="1" spans="1:36">
      <c r="A6937" s="17" t="s">
        <v>34</v>
      </c>
      <c r="B6937" s="19">
        <v>1039</v>
      </c>
      <c r="C6937" s="183">
        <v>45629</v>
      </c>
      <c r="D6937" s="17" t="s">
        <v>1637</v>
      </c>
      <c r="E6937" s="17" t="s">
        <v>301</v>
      </c>
      <c r="F6937" s="17" t="s">
        <v>300</v>
      </c>
      <c r="H6937" s="19">
        <v>1.2379</v>
      </c>
      <c r="I6937" s="19"/>
      <c r="J6937" s="17" t="s">
        <v>39</v>
      </c>
      <c r="K6937" s="19">
        <v>51</v>
      </c>
      <c r="L6937" s="91"/>
      <c r="M6937" s="19"/>
      <c r="N6937" s="19" t="s">
        <v>40</v>
      </c>
      <c r="O6937" s="19" t="s">
        <v>84</v>
      </c>
      <c r="P6937" s="19">
        <v>1000</v>
      </c>
      <c r="Q6937" s="290">
        <v>830</v>
      </c>
      <c r="R6937" s="19">
        <f t="shared" si="304"/>
        <v>170</v>
      </c>
      <c r="S6937" s="99">
        <v>2925</v>
      </c>
      <c r="T6937" s="401" t="s">
        <v>42</v>
      </c>
      <c r="U6937" s="102"/>
      <c r="V6937" s="186">
        <v>45624</v>
      </c>
      <c r="W6937" s="17" t="s">
        <v>69</v>
      </c>
      <c r="Y6937" s="68">
        <v>45778</v>
      </c>
      <c r="Z6937" s="17" t="s">
        <v>1638</v>
      </c>
      <c r="AA6937" s="17" t="s">
        <v>46</v>
      </c>
      <c r="AB6937" s="17" t="s">
        <v>1639</v>
      </c>
      <c r="AC6937" s="217">
        <v>45779</v>
      </c>
      <c r="AD6937" s="410">
        <v>1681</v>
      </c>
      <c r="AE6937" s="17" t="s">
        <v>1651</v>
      </c>
      <c r="AF6937" s="17" t="s">
        <v>1349</v>
      </c>
      <c r="AJ6937" s="17" t="s">
        <v>1640</v>
      </c>
    </row>
    <row r="6938" s="17" customFormat="1" hidden="1" spans="1:36">
      <c r="A6938" s="17" t="s">
        <v>34</v>
      </c>
      <c r="B6938" s="19">
        <v>1039</v>
      </c>
      <c r="C6938" s="183">
        <v>45629</v>
      </c>
      <c r="D6938" s="17" t="s">
        <v>1637</v>
      </c>
      <c r="E6938" s="17" t="s">
        <v>301</v>
      </c>
      <c r="F6938" s="17" t="s">
        <v>300</v>
      </c>
      <c r="H6938" s="19">
        <v>1.2379</v>
      </c>
      <c r="I6938" s="19"/>
      <c r="J6938" s="17" t="s">
        <v>39</v>
      </c>
      <c r="K6938" s="19">
        <v>56</v>
      </c>
      <c r="L6938" s="91"/>
      <c r="M6938" s="19"/>
      <c r="N6938" s="19" t="s">
        <v>40</v>
      </c>
      <c r="O6938" s="19" t="s">
        <v>84</v>
      </c>
      <c r="P6938" s="19">
        <v>1000</v>
      </c>
      <c r="Q6938" s="290">
        <v>1053</v>
      </c>
      <c r="R6938" s="19">
        <f t="shared" si="304"/>
        <v>-53</v>
      </c>
      <c r="S6938" s="99">
        <v>2925</v>
      </c>
      <c r="T6938" s="401" t="s">
        <v>42</v>
      </c>
      <c r="U6938" s="102"/>
      <c r="V6938" s="186">
        <v>45624</v>
      </c>
      <c r="W6938" s="17" t="s">
        <v>69</v>
      </c>
      <c r="Y6938" s="68">
        <v>45778</v>
      </c>
      <c r="Z6938" s="17" t="s">
        <v>1638</v>
      </c>
      <c r="AA6938" s="17" t="s">
        <v>46</v>
      </c>
      <c r="AB6938" s="17" t="s">
        <v>1639</v>
      </c>
      <c r="AC6938" s="217">
        <v>45779</v>
      </c>
      <c r="AD6938" s="410">
        <v>1681</v>
      </c>
      <c r="AE6938" s="17" t="s">
        <v>129</v>
      </c>
      <c r="AF6938" s="17" t="s">
        <v>1349</v>
      </c>
      <c r="AJ6938" s="17" t="s">
        <v>1640</v>
      </c>
    </row>
    <row r="6939" s="17" customFormat="1" hidden="1" spans="1:36">
      <c r="A6939" s="17" t="s">
        <v>34</v>
      </c>
      <c r="B6939" s="19">
        <v>1039</v>
      </c>
      <c r="C6939" s="183">
        <v>45629</v>
      </c>
      <c r="D6939" s="17" t="s">
        <v>1637</v>
      </c>
      <c r="E6939" s="17" t="s">
        <v>301</v>
      </c>
      <c r="F6939" s="17" t="s">
        <v>300</v>
      </c>
      <c r="H6939" s="19">
        <v>1.2379</v>
      </c>
      <c r="I6939" s="19"/>
      <c r="J6939" s="17" t="s">
        <v>39</v>
      </c>
      <c r="K6939" s="19">
        <v>61</v>
      </c>
      <c r="L6939" s="91"/>
      <c r="M6939" s="19"/>
      <c r="N6939" s="19" t="s">
        <v>40</v>
      </c>
      <c r="O6939" s="19" t="s">
        <v>84</v>
      </c>
      <c r="P6939" s="19">
        <v>1000</v>
      </c>
      <c r="Q6939" s="290">
        <v>645</v>
      </c>
      <c r="R6939" s="19">
        <f t="shared" si="304"/>
        <v>355</v>
      </c>
      <c r="S6939" s="99">
        <v>2925</v>
      </c>
      <c r="T6939" s="401" t="s">
        <v>42</v>
      </c>
      <c r="U6939" s="102"/>
      <c r="V6939" s="186">
        <v>45624</v>
      </c>
      <c r="W6939" s="17" t="s">
        <v>69</v>
      </c>
      <c r="Y6939" s="68">
        <v>45778</v>
      </c>
      <c r="Z6939" s="17" t="s">
        <v>1638</v>
      </c>
      <c r="AA6939" s="17" t="s">
        <v>46</v>
      </c>
      <c r="AB6939" s="17" t="s">
        <v>1641</v>
      </c>
      <c r="AC6939" s="217">
        <v>45859</v>
      </c>
      <c r="AD6939" s="65">
        <v>1703</v>
      </c>
      <c r="AE6939" s="17" t="s">
        <v>129</v>
      </c>
      <c r="AF6939" s="17" t="s">
        <v>1349</v>
      </c>
      <c r="AJ6939" s="17" t="s">
        <v>1640</v>
      </c>
    </row>
    <row r="6940" s="17" customFormat="1" hidden="1" spans="1:36">
      <c r="A6940" s="17" t="s">
        <v>34</v>
      </c>
      <c r="B6940" s="19">
        <v>1039</v>
      </c>
      <c r="C6940" s="183">
        <v>45629</v>
      </c>
      <c r="D6940" s="17" t="s">
        <v>1637</v>
      </c>
      <c r="E6940" s="17" t="s">
        <v>301</v>
      </c>
      <c r="F6940" s="17" t="s">
        <v>300</v>
      </c>
      <c r="H6940" s="19">
        <v>1.2379</v>
      </c>
      <c r="I6940" s="19"/>
      <c r="J6940" s="17" t="s">
        <v>39</v>
      </c>
      <c r="K6940" s="19">
        <v>66</v>
      </c>
      <c r="L6940" s="91"/>
      <c r="M6940" s="19"/>
      <c r="N6940" s="19" t="s">
        <v>40</v>
      </c>
      <c r="O6940" s="19" t="s">
        <v>84</v>
      </c>
      <c r="P6940" s="19">
        <v>1000</v>
      </c>
      <c r="Q6940" s="290">
        <f>407</f>
        <v>407</v>
      </c>
      <c r="S6940" s="99">
        <v>2925</v>
      </c>
      <c r="T6940" s="401" t="s">
        <v>42</v>
      </c>
      <c r="U6940" s="102"/>
      <c r="V6940" s="186">
        <v>45624</v>
      </c>
      <c r="W6940" s="17" t="s">
        <v>69</v>
      </c>
      <c r="Y6940" s="68">
        <v>45778</v>
      </c>
      <c r="Z6940" s="17" t="s">
        <v>1638</v>
      </c>
      <c r="AA6940" s="17" t="s">
        <v>46</v>
      </c>
      <c r="AB6940" s="17" t="s">
        <v>1639</v>
      </c>
      <c r="AC6940" s="217">
        <v>45779</v>
      </c>
      <c r="AD6940" s="410">
        <v>1681</v>
      </c>
      <c r="AE6940" s="17" t="s">
        <v>129</v>
      </c>
      <c r="AF6940" s="17" t="s">
        <v>1349</v>
      </c>
      <c r="AJ6940" s="17" t="s">
        <v>1640</v>
      </c>
    </row>
    <row r="6941" s="17" customFormat="1" hidden="1" spans="1:36">
      <c r="A6941" s="17" t="s">
        <v>34</v>
      </c>
      <c r="B6941" s="19">
        <v>1039</v>
      </c>
      <c r="C6941" s="183">
        <v>45629</v>
      </c>
      <c r="D6941" s="17" t="s">
        <v>1637</v>
      </c>
      <c r="E6941" s="17" t="s">
        <v>301</v>
      </c>
      <c r="F6941" s="17" t="s">
        <v>300</v>
      </c>
      <c r="H6941" s="19">
        <v>1.2379</v>
      </c>
      <c r="I6941" s="19"/>
      <c r="J6941" s="17" t="s">
        <v>39</v>
      </c>
      <c r="K6941" s="290">
        <v>66</v>
      </c>
      <c r="L6941" s="19"/>
      <c r="M6941" s="19"/>
      <c r="N6941" s="19" t="s">
        <v>40</v>
      </c>
      <c r="O6941" s="19" t="s">
        <v>84</v>
      </c>
      <c r="P6941" s="19"/>
      <c r="Q6941" s="290">
        <v>1016</v>
      </c>
      <c r="R6941" s="19">
        <f>+P6940-Q6940-Q6941</f>
        <v>-423</v>
      </c>
      <c r="S6941" s="99">
        <v>2925</v>
      </c>
      <c r="T6941" s="401" t="s">
        <v>42</v>
      </c>
      <c r="U6941" s="102"/>
      <c r="V6941" s="186">
        <v>45624</v>
      </c>
      <c r="W6941" s="17" t="s">
        <v>69</v>
      </c>
      <c r="Y6941" s="68">
        <v>45778</v>
      </c>
      <c r="Z6941" s="17" t="s">
        <v>1638</v>
      </c>
      <c r="AA6941" s="17" t="s">
        <v>46</v>
      </c>
      <c r="AB6941" s="17" t="s">
        <v>1653</v>
      </c>
      <c r="AC6941" s="217">
        <v>45808</v>
      </c>
      <c r="AD6941" s="410">
        <v>1689</v>
      </c>
      <c r="AE6941" s="17" t="s">
        <v>129</v>
      </c>
      <c r="AF6941" s="17" t="s">
        <v>1349</v>
      </c>
      <c r="AJ6941" s="17" t="s">
        <v>1640</v>
      </c>
    </row>
    <row r="6942" s="17" customFormat="1" hidden="1" spans="1:36">
      <c r="A6942" s="17" t="s">
        <v>34</v>
      </c>
      <c r="B6942" s="19">
        <v>1039</v>
      </c>
      <c r="C6942" s="183">
        <v>45629</v>
      </c>
      <c r="D6942" s="17" t="s">
        <v>1637</v>
      </c>
      <c r="E6942" s="17" t="s">
        <v>301</v>
      </c>
      <c r="F6942" s="17" t="s">
        <v>300</v>
      </c>
      <c r="H6942" s="19">
        <v>1.2379</v>
      </c>
      <c r="I6942" s="19"/>
      <c r="J6942" s="17" t="s">
        <v>39</v>
      </c>
      <c r="K6942" s="19">
        <v>71</v>
      </c>
      <c r="L6942" s="91"/>
      <c r="M6942" s="19"/>
      <c r="N6942" s="19" t="s">
        <v>40</v>
      </c>
      <c r="O6942" s="19" t="s">
        <v>84</v>
      </c>
      <c r="P6942" s="19">
        <v>1000</v>
      </c>
      <c r="Q6942" s="19">
        <f>546</f>
        <v>546</v>
      </c>
      <c r="S6942" s="99">
        <v>2925</v>
      </c>
      <c r="T6942" s="401" t="s">
        <v>42</v>
      </c>
      <c r="U6942" s="102"/>
      <c r="V6942" s="186">
        <v>45624</v>
      </c>
      <c r="W6942" s="17" t="s">
        <v>69</v>
      </c>
      <c r="Y6942" s="68">
        <v>45778</v>
      </c>
      <c r="Z6942" s="17" t="s">
        <v>1638</v>
      </c>
      <c r="AA6942" s="17" t="s">
        <v>46</v>
      </c>
      <c r="AB6942" s="17" t="s">
        <v>1639</v>
      </c>
      <c r="AC6942" s="217">
        <v>45779</v>
      </c>
      <c r="AD6942" s="410">
        <v>1681</v>
      </c>
      <c r="AE6942" s="17" t="s">
        <v>129</v>
      </c>
      <c r="AF6942" s="17" t="s">
        <v>1349</v>
      </c>
      <c r="AJ6942" s="17" t="s">
        <v>1640</v>
      </c>
    </row>
    <row r="6943" s="17" customFormat="1" hidden="1" spans="1:36">
      <c r="A6943" s="17" t="s">
        <v>34</v>
      </c>
      <c r="B6943" s="19">
        <v>1039</v>
      </c>
      <c r="C6943" s="183">
        <v>45629</v>
      </c>
      <c r="D6943" s="17" t="s">
        <v>1637</v>
      </c>
      <c r="E6943" s="17" t="s">
        <v>301</v>
      </c>
      <c r="F6943" s="17" t="s">
        <v>300</v>
      </c>
      <c r="H6943" s="19">
        <v>1.2379</v>
      </c>
      <c r="I6943" s="19"/>
      <c r="J6943" s="17" t="s">
        <v>39</v>
      </c>
      <c r="K6943" s="290">
        <v>71</v>
      </c>
      <c r="L6943" s="19"/>
      <c r="M6943" s="19"/>
      <c r="N6943" s="19" t="s">
        <v>40</v>
      </c>
      <c r="O6943" s="19" t="s">
        <v>84</v>
      </c>
      <c r="P6943" s="19"/>
      <c r="Q6943" s="19">
        <v>449</v>
      </c>
      <c r="R6943" s="19">
        <f>+P6942-Q6942-Q6943</f>
        <v>5</v>
      </c>
      <c r="S6943" s="99">
        <v>2925</v>
      </c>
      <c r="T6943" s="401" t="s">
        <v>42</v>
      </c>
      <c r="U6943" s="102"/>
      <c r="V6943" s="186">
        <v>45624</v>
      </c>
      <c r="W6943" s="17" t="s">
        <v>69</v>
      </c>
      <c r="Y6943" s="68">
        <v>45778</v>
      </c>
      <c r="Z6943" s="17" t="s">
        <v>1638</v>
      </c>
      <c r="AA6943" s="17" t="s">
        <v>46</v>
      </c>
      <c r="AB6943" s="17" t="s">
        <v>1642</v>
      </c>
      <c r="AC6943" s="217">
        <v>45810</v>
      </c>
      <c r="AD6943" s="410">
        <v>1689</v>
      </c>
      <c r="AE6943" s="17" t="s">
        <v>129</v>
      </c>
      <c r="AF6943" s="17" t="s">
        <v>1349</v>
      </c>
      <c r="AJ6943" s="17" t="s">
        <v>1640</v>
      </c>
    </row>
    <row r="6944" s="17" customFormat="1" hidden="1" spans="1:36">
      <c r="A6944" s="17" t="s">
        <v>34</v>
      </c>
      <c r="B6944" s="19">
        <v>1039</v>
      </c>
      <c r="C6944" s="183">
        <v>45629</v>
      </c>
      <c r="D6944" s="17" t="s">
        <v>1637</v>
      </c>
      <c r="E6944" s="17" t="s">
        <v>301</v>
      </c>
      <c r="F6944" s="17" t="s">
        <v>300</v>
      </c>
      <c r="H6944" s="19">
        <v>1.2379</v>
      </c>
      <c r="I6944" s="19"/>
      <c r="J6944" s="17" t="s">
        <v>39</v>
      </c>
      <c r="K6944" s="19">
        <v>81</v>
      </c>
      <c r="L6944" s="91"/>
      <c r="M6944" s="19"/>
      <c r="N6944" s="19" t="s">
        <v>40</v>
      </c>
      <c r="O6944" s="19" t="s">
        <v>84</v>
      </c>
      <c r="P6944" s="19">
        <v>1000</v>
      </c>
      <c r="Q6944" s="19">
        <v>1520</v>
      </c>
      <c r="R6944" s="19">
        <f>+P6944-Q6944</f>
        <v>-520</v>
      </c>
      <c r="S6944" s="99">
        <v>2925</v>
      </c>
      <c r="T6944" s="401" t="s">
        <v>42</v>
      </c>
      <c r="U6944" s="102"/>
      <c r="V6944" s="186">
        <v>45624</v>
      </c>
      <c r="W6944" s="17" t="s">
        <v>69</v>
      </c>
      <c r="Y6944" s="68">
        <v>45778</v>
      </c>
      <c r="Z6944" s="17" t="s">
        <v>1638</v>
      </c>
      <c r="AA6944" s="17" t="s">
        <v>46</v>
      </c>
      <c r="AB6944" s="17" t="s">
        <v>1639</v>
      </c>
      <c r="AC6944" s="217">
        <v>45779</v>
      </c>
      <c r="AD6944" s="410">
        <v>1681</v>
      </c>
      <c r="AE6944" s="17" t="s">
        <v>129</v>
      </c>
      <c r="AF6944" s="17" t="s">
        <v>1349</v>
      </c>
      <c r="AJ6944" s="17" t="s">
        <v>1640</v>
      </c>
    </row>
    <row r="6945" s="17" customFormat="1" hidden="1" spans="1:44">
      <c r="A6945" s="17" t="s">
        <v>34</v>
      </c>
      <c r="B6945" s="19">
        <v>1039</v>
      </c>
      <c r="C6945" s="183">
        <v>45629</v>
      </c>
      <c r="D6945" s="17" t="s">
        <v>1637</v>
      </c>
      <c r="E6945" s="17" t="s">
        <v>301</v>
      </c>
      <c r="F6945" s="17" t="s">
        <v>300</v>
      </c>
      <c r="H6945" s="19">
        <v>1.2379</v>
      </c>
      <c r="I6945" s="19"/>
      <c r="J6945" s="17" t="s">
        <v>39</v>
      </c>
      <c r="K6945" s="19">
        <v>83</v>
      </c>
      <c r="L6945" s="91"/>
      <c r="M6945" s="19"/>
      <c r="N6945" s="19" t="s">
        <v>40</v>
      </c>
      <c r="O6945" s="19" t="s">
        <v>84</v>
      </c>
      <c r="P6945" s="19">
        <v>2000</v>
      </c>
      <c r="Q6945" s="98">
        <v>1889</v>
      </c>
      <c r="R6945" s="19">
        <f>+P6945-Q6945</f>
        <v>111</v>
      </c>
      <c r="S6945" s="99">
        <v>2925</v>
      </c>
      <c r="T6945" s="401" t="s">
        <v>42</v>
      </c>
      <c r="U6945" s="102"/>
      <c r="V6945" s="186">
        <v>45624</v>
      </c>
      <c r="W6945" s="17" t="s">
        <v>69</v>
      </c>
      <c r="Y6945" s="68">
        <v>45778</v>
      </c>
      <c r="Z6945" s="17" t="s">
        <v>1638</v>
      </c>
      <c r="AA6945" s="17" t="s">
        <v>46</v>
      </c>
      <c r="AB6945" s="17" t="s">
        <v>1650</v>
      </c>
      <c r="AC6945" s="217">
        <v>45783</v>
      </c>
      <c r="AD6945" s="65">
        <v>1676</v>
      </c>
      <c r="AE6945" s="17" t="s">
        <v>129</v>
      </c>
      <c r="AF6945" s="17" t="s">
        <v>1349</v>
      </c>
      <c r="AJ6945" s="17" t="s">
        <v>1640</v>
      </c>
    </row>
    <row r="6946" s="17" customFormat="1" hidden="1" spans="1:44">
      <c r="A6946" s="17" t="s">
        <v>34</v>
      </c>
      <c r="B6946" s="19">
        <v>1039</v>
      </c>
      <c r="C6946" s="183">
        <v>45629</v>
      </c>
      <c r="D6946" s="17" t="s">
        <v>1637</v>
      </c>
      <c r="E6946" s="17" t="s">
        <v>301</v>
      </c>
      <c r="F6946" s="17" t="s">
        <v>300</v>
      </c>
      <c r="H6946" s="19">
        <v>1.2379</v>
      </c>
      <c r="I6946" s="19"/>
      <c r="J6946" s="17" t="s">
        <v>39</v>
      </c>
      <c r="K6946" s="19">
        <v>91</v>
      </c>
      <c r="L6946" s="91"/>
      <c r="M6946" s="19"/>
      <c r="N6946" s="19" t="s">
        <v>40</v>
      </c>
      <c r="O6946" s="19" t="s">
        <v>84</v>
      </c>
      <c r="P6946" s="19">
        <v>1000</v>
      </c>
      <c r="Q6946" s="98">
        <v>1112</v>
      </c>
      <c r="R6946" s="19">
        <f>+P6946-Q6946</f>
        <v>-112</v>
      </c>
      <c r="S6946" s="99">
        <v>2925</v>
      </c>
      <c r="T6946" s="401" t="s">
        <v>42</v>
      </c>
      <c r="U6946" s="102"/>
      <c r="V6946" s="186">
        <v>45624</v>
      </c>
      <c r="W6946" s="17" t="s">
        <v>69</v>
      </c>
      <c r="Y6946" s="68">
        <v>45778</v>
      </c>
      <c r="Z6946" s="17" t="s">
        <v>1638</v>
      </c>
      <c r="AA6946" s="17" t="s">
        <v>46</v>
      </c>
      <c r="AB6946" s="17" t="s">
        <v>1650</v>
      </c>
      <c r="AC6946" s="217">
        <v>45783</v>
      </c>
      <c r="AD6946" s="65">
        <v>1676</v>
      </c>
      <c r="AE6946" s="17" t="s">
        <v>129</v>
      </c>
      <c r="AF6946" s="17" t="s">
        <v>1349</v>
      </c>
      <c r="AJ6946" s="17" t="s">
        <v>1640</v>
      </c>
    </row>
    <row r="6947" s="17" customFormat="1" hidden="1" spans="1:44">
      <c r="A6947" s="17" t="s">
        <v>34</v>
      </c>
      <c r="B6947" s="19">
        <v>1039</v>
      </c>
      <c r="C6947" s="183">
        <v>45629</v>
      </c>
      <c r="D6947" s="17" t="s">
        <v>1637</v>
      </c>
      <c r="E6947" s="17" t="s">
        <v>301</v>
      </c>
      <c r="F6947" s="17" t="s">
        <v>300</v>
      </c>
      <c r="H6947" s="19">
        <v>1.2379</v>
      </c>
      <c r="I6947" s="19"/>
      <c r="J6947" s="17" t="s">
        <v>39</v>
      </c>
      <c r="K6947" s="19">
        <v>102</v>
      </c>
      <c r="L6947" s="91"/>
      <c r="M6947" s="19"/>
      <c r="N6947" s="19" t="s">
        <v>40</v>
      </c>
      <c r="O6947" s="19" t="s">
        <v>84</v>
      </c>
      <c r="P6947" s="19">
        <v>2000</v>
      </c>
      <c r="Q6947" s="98">
        <v>1974</v>
      </c>
      <c r="R6947" s="19">
        <f>+P6947-Q6947</f>
        <v>26</v>
      </c>
      <c r="S6947" s="99">
        <v>2925</v>
      </c>
      <c r="T6947" s="401" t="s">
        <v>42</v>
      </c>
      <c r="U6947" s="102"/>
      <c r="V6947" s="186">
        <v>45624</v>
      </c>
      <c r="W6947" s="17" t="s">
        <v>69</v>
      </c>
      <c r="Y6947" s="68">
        <v>45778</v>
      </c>
      <c r="Z6947" s="17" t="s">
        <v>1638</v>
      </c>
      <c r="AA6947" s="17" t="s">
        <v>46</v>
      </c>
      <c r="AB6947" s="17" t="s">
        <v>1650</v>
      </c>
      <c r="AC6947" s="217">
        <v>45783</v>
      </c>
      <c r="AD6947" s="65">
        <v>1676</v>
      </c>
      <c r="AE6947" s="17" t="s">
        <v>129</v>
      </c>
      <c r="AF6947" s="17" t="s">
        <v>1349</v>
      </c>
      <c r="AJ6947" s="17" t="s">
        <v>1640</v>
      </c>
    </row>
    <row r="6948" s="17" customFormat="1" hidden="1" spans="1:44">
      <c r="A6948" s="17" t="s">
        <v>34</v>
      </c>
      <c r="B6948" s="19">
        <v>1039</v>
      </c>
      <c r="C6948" s="183">
        <v>45629</v>
      </c>
      <c r="D6948" s="17" t="s">
        <v>1637</v>
      </c>
      <c r="E6948" s="17" t="s">
        <v>301</v>
      </c>
      <c r="F6948" s="17" t="s">
        <v>300</v>
      </c>
      <c r="H6948" s="19">
        <v>1.2379</v>
      </c>
      <c r="I6948" s="19"/>
      <c r="J6948" s="17" t="s">
        <v>39</v>
      </c>
      <c r="K6948" s="290">
        <v>105</v>
      </c>
      <c r="L6948" s="91"/>
      <c r="M6948" s="19"/>
      <c r="N6948" s="19" t="s">
        <v>40</v>
      </c>
      <c r="O6948" s="19" t="s">
        <v>84</v>
      </c>
      <c r="P6948" s="19">
        <v>1000</v>
      </c>
      <c r="Q6948" s="19">
        <v>762</v>
      </c>
      <c r="R6948" s="19">
        <f>+P6948-Q6948</f>
        <v>238</v>
      </c>
      <c r="S6948" s="99">
        <v>2925</v>
      </c>
      <c r="T6948" s="401" t="s">
        <v>42</v>
      </c>
      <c r="U6948" s="102"/>
      <c r="V6948" s="186">
        <v>45624</v>
      </c>
      <c r="W6948" s="17" t="s">
        <v>69</v>
      </c>
      <c r="Y6948" s="68">
        <v>45778</v>
      </c>
      <c r="Z6948" s="17" t="s">
        <v>1638</v>
      </c>
      <c r="AA6948" s="17" t="s">
        <v>46</v>
      </c>
      <c r="AB6948" s="17" t="s">
        <v>1646</v>
      </c>
      <c r="AC6948" s="217">
        <v>45807</v>
      </c>
      <c r="AD6948" s="65">
        <v>1689</v>
      </c>
      <c r="AE6948" s="17" t="s">
        <v>129</v>
      </c>
      <c r="AF6948" s="17" t="s">
        <v>1349</v>
      </c>
      <c r="AJ6948" s="17" t="s">
        <v>1640</v>
      </c>
    </row>
    <row r="6949" s="17" customFormat="1" hidden="1" spans="1:44">
      <c r="A6949" s="17" t="s">
        <v>34</v>
      </c>
      <c r="B6949" s="19">
        <v>1039</v>
      </c>
      <c r="C6949" s="183">
        <v>45629</v>
      </c>
      <c r="D6949" s="17" t="s">
        <v>1637</v>
      </c>
      <c r="E6949" s="17" t="s">
        <v>301</v>
      </c>
      <c r="F6949" s="17" t="s">
        <v>300</v>
      </c>
      <c r="H6949" s="19">
        <v>1.2379</v>
      </c>
      <c r="I6949" s="19"/>
      <c r="J6949" s="17" t="s">
        <v>39</v>
      </c>
      <c r="K6949" s="19">
        <v>111</v>
      </c>
      <c r="L6949" s="91"/>
      <c r="M6949" s="19"/>
      <c r="N6949" s="19" t="s">
        <v>40</v>
      </c>
      <c r="O6949" s="19" t="s">
        <v>50</v>
      </c>
      <c r="P6949" s="19">
        <v>1000</v>
      </c>
      <c r="Q6949" s="98">
        <f>486</f>
        <v>486</v>
      </c>
      <c r="S6949" s="99">
        <v>2925</v>
      </c>
      <c r="T6949" s="401" t="s">
        <v>42</v>
      </c>
      <c r="U6949" s="102"/>
      <c r="V6949" s="186">
        <v>45624</v>
      </c>
      <c r="W6949" s="17" t="s">
        <v>69</v>
      </c>
      <c r="Y6949" s="68">
        <v>45778</v>
      </c>
      <c r="Z6949" s="17" t="s">
        <v>1638</v>
      </c>
      <c r="AA6949" s="17" t="s">
        <v>46</v>
      </c>
      <c r="AB6949" s="17" t="s">
        <v>1650</v>
      </c>
      <c r="AC6949" s="217">
        <v>45783</v>
      </c>
      <c r="AD6949" s="65">
        <v>1676</v>
      </c>
      <c r="AE6949" s="17" t="s">
        <v>129</v>
      </c>
      <c r="AF6949" s="17" t="s">
        <v>1349</v>
      </c>
      <c r="AJ6949" s="17" t="s">
        <v>1640</v>
      </c>
    </row>
    <row r="6950" s="17" customFormat="1" hidden="1" spans="1:44">
      <c r="A6950" s="17" t="s">
        <v>34</v>
      </c>
      <c r="B6950" s="19">
        <v>1039</v>
      </c>
      <c r="C6950" s="183">
        <v>45629</v>
      </c>
      <c r="D6950" s="17" t="s">
        <v>1637</v>
      </c>
      <c r="E6950" s="17" t="s">
        <v>301</v>
      </c>
      <c r="F6950" s="17" t="s">
        <v>300</v>
      </c>
      <c r="H6950" s="19">
        <v>1.2379</v>
      </c>
      <c r="I6950" s="19"/>
      <c r="J6950" s="17" t="s">
        <v>39</v>
      </c>
      <c r="K6950" s="290">
        <v>111</v>
      </c>
      <c r="L6950" s="19"/>
      <c r="M6950" s="19"/>
      <c r="N6950" s="19" t="s">
        <v>40</v>
      </c>
      <c r="O6950" s="19" t="s">
        <v>50</v>
      </c>
      <c r="P6950" s="19"/>
      <c r="Q6950" s="98">
        <v>642</v>
      </c>
      <c r="R6950" s="19">
        <f>+P6949-Q6949-Q6950</f>
        <v>-128</v>
      </c>
      <c r="S6950" s="99">
        <v>2925</v>
      </c>
      <c r="T6950" s="401" t="s">
        <v>42</v>
      </c>
      <c r="U6950" s="102"/>
      <c r="V6950" s="186">
        <v>45624</v>
      </c>
      <c r="W6950" s="17" t="s">
        <v>69</v>
      </c>
      <c r="Y6950" s="68">
        <v>45778</v>
      </c>
      <c r="Z6950" s="17" t="s">
        <v>1638</v>
      </c>
      <c r="AA6950" s="17" t="s">
        <v>46</v>
      </c>
      <c r="AB6950" s="17" t="s">
        <v>1653</v>
      </c>
      <c r="AC6950" s="217">
        <v>45808</v>
      </c>
      <c r="AD6950" s="65">
        <v>1689</v>
      </c>
      <c r="AE6950" s="17" t="s">
        <v>129</v>
      </c>
      <c r="AF6950" s="17" t="s">
        <v>1349</v>
      </c>
      <c r="AJ6950" s="17" t="s">
        <v>1640</v>
      </c>
    </row>
    <row r="6951" s="17" customFormat="1" hidden="1" spans="1:44">
      <c r="A6951" s="17" t="s">
        <v>34</v>
      </c>
      <c r="B6951" s="19">
        <v>1039</v>
      </c>
      <c r="C6951" s="183">
        <v>45629</v>
      </c>
      <c r="D6951" s="17" t="s">
        <v>1637</v>
      </c>
      <c r="E6951" s="17" t="s">
        <v>301</v>
      </c>
      <c r="F6951" s="17" t="s">
        <v>300</v>
      </c>
      <c r="H6951" s="19">
        <v>1.2379</v>
      </c>
      <c r="I6951" s="19"/>
      <c r="J6951" s="17" t="s">
        <v>39</v>
      </c>
      <c r="K6951" s="19">
        <v>121</v>
      </c>
      <c r="L6951" s="91"/>
      <c r="M6951" s="19"/>
      <c r="N6951" s="19" t="s">
        <v>40</v>
      </c>
      <c r="O6951" s="19" t="s">
        <v>50</v>
      </c>
      <c r="P6951" s="19">
        <v>1000</v>
      </c>
      <c r="Q6951" s="98">
        <v>1066</v>
      </c>
      <c r="R6951" s="19">
        <f t="shared" ref="R6951:R7014" si="305">+P6951-Q6951</f>
        <v>-66</v>
      </c>
      <c r="S6951" s="99">
        <v>2925</v>
      </c>
      <c r="T6951" s="401" t="s">
        <v>42</v>
      </c>
      <c r="U6951" s="102"/>
      <c r="V6951" s="186">
        <v>45624</v>
      </c>
      <c r="W6951" s="17" t="s">
        <v>69</v>
      </c>
      <c r="Y6951" s="68">
        <v>45778</v>
      </c>
      <c r="Z6951" s="17" t="s">
        <v>1638</v>
      </c>
      <c r="AA6951" s="17" t="s">
        <v>46</v>
      </c>
      <c r="AB6951" s="17" t="s">
        <v>1650</v>
      </c>
      <c r="AC6951" s="217">
        <v>45783</v>
      </c>
      <c r="AD6951" s="65">
        <v>1676</v>
      </c>
      <c r="AE6951" s="17" t="s">
        <v>129</v>
      </c>
      <c r="AF6951" s="17" t="s">
        <v>1349</v>
      </c>
      <c r="AJ6951" s="17" t="s">
        <v>1640</v>
      </c>
    </row>
    <row r="6952" s="17" customFormat="1" hidden="1" spans="1:44">
      <c r="A6952" s="17" t="s">
        <v>34</v>
      </c>
      <c r="B6952" s="19">
        <v>1039</v>
      </c>
      <c r="C6952" s="183">
        <v>45629</v>
      </c>
      <c r="D6952" s="17" t="s">
        <v>1637</v>
      </c>
      <c r="E6952" s="17" t="s">
        <v>301</v>
      </c>
      <c r="F6952" s="17" t="s">
        <v>300</v>
      </c>
      <c r="H6952" s="19">
        <v>1.2379</v>
      </c>
      <c r="I6952" s="19"/>
      <c r="J6952" s="17" t="s">
        <v>39</v>
      </c>
      <c r="K6952" s="19">
        <v>123</v>
      </c>
      <c r="L6952" s="91"/>
      <c r="M6952" s="19"/>
      <c r="N6952" s="19" t="s">
        <v>40</v>
      </c>
      <c r="O6952" s="19" t="s">
        <v>50</v>
      </c>
      <c r="P6952" s="19">
        <v>2000</v>
      </c>
      <c r="Q6952" s="98">
        <v>2085</v>
      </c>
      <c r="R6952" s="19">
        <f t="shared" si="305"/>
        <v>-85</v>
      </c>
      <c r="S6952" s="99">
        <v>2925</v>
      </c>
      <c r="T6952" s="401" t="s">
        <v>42</v>
      </c>
      <c r="U6952" s="102"/>
      <c r="V6952" s="186">
        <v>45624</v>
      </c>
      <c r="W6952" s="17" t="s">
        <v>69</v>
      </c>
      <c r="Y6952" s="68">
        <v>45778</v>
      </c>
      <c r="Z6952" s="17" t="s">
        <v>1638</v>
      </c>
      <c r="AA6952" s="17" t="s">
        <v>46</v>
      </c>
      <c r="AB6952" s="17" t="s">
        <v>1650</v>
      </c>
      <c r="AC6952" s="217">
        <v>45783</v>
      </c>
      <c r="AD6952" s="65">
        <v>1676</v>
      </c>
      <c r="AE6952" s="17" t="s">
        <v>129</v>
      </c>
      <c r="AF6952" s="17" t="s">
        <v>1349</v>
      </c>
      <c r="AJ6952" s="17" t="s">
        <v>1640</v>
      </c>
    </row>
    <row r="6953" s="17" customFormat="1" hidden="1" spans="1:44">
      <c r="A6953" s="17" t="s">
        <v>34</v>
      </c>
      <c r="B6953" s="19">
        <v>1039</v>
      </c>
      <c r="C6953" s="183">
        <v>45629</v>
      </c>
      <c r="D6953" s="17" t="s">
        <v>1637</v>
      </c>
      <c r="E6953" s="17" t="s">
        <v>301</v>
      </c>
      <c r="F6953" s="17" t="s">
        <v>300</v>
      </c>
      <c r="H6953" s="19">
        <v>1.2379</v>
      </c>
      <c r="I6953" s="19"/>
      <c r="J6953" s="17" t="s">
        <v>39</v>
      </c>
      <c r="K6953" s="19">
        <v>152</v>
      </c>
      <c r="L6953" s="91"/>
      <c r="M6953" s="19"/>
      <c r="N6953" s="19" t="s">
        <v>40</v>
      </c>
      <c r="O6953" s="19" t="s">
        <v>50</v>
      </c>
      <c r="P6953" s="19">
        <v>2000</v>
      </c>
      <c r="Q6953" s="98">
        <v>2079</v>
      </c>
      <c r="R6953" s="19">
        <f t="shared" si="305"/>
        <v>-79</v>
      </c>
      <c r="S6953" s="99">
        <v>2675</v>
      </c>
      <c r="T6953" s="401" t="s">
        <v>42</v>
      </c>
      <c r="U6953" s="102"/>
      <c r="V6953" s="186">
        <v>45624</v>
      </c>
      <c r="W6953" s="17" t="s">
        <v>69</v>
      </c>
      <c r="Y6953" s="68">
        <v>45778</v>
      </c>
      <c r="Z6953" s="17" t="s">
        <v>1638</v>
      </c>
      <c r="AA6953" s="17" t="s">
        <v>46</v>
      </c>
      <c r="AB6953" s="17" t="s">
        <v>1650</v>
      </c>
      <c r="AC6953" s="217">
        <v>45783</v>
      </c>
      <c r="AD6953" s="65">
        <v>1676</v>
      </c>
      <c r="AE6953" s="17" t="s">
        <v>129</v>
      </c>
      <c r="AF6953" s="17" t="s">
        <v>1349</v>
      </c>
      <c r="AJ6953" s="17" t="s">
        <v>1640</v>
      </c>
    </row>
    <row r="6954" s="17" customFormat="1" hidden="1" spans="1:44">
      <c r="A6954" s="17" t="s">
        <v>34</v>
      </c>
      <c r="B6954" s="19">
        <v>1039</v>
      </c>
      <c r="C6954" s="183">
        <v>45629</v>
      </c>
      <c r="D6954" s="17" t="s">
        <v>1637</v>
      </c>
      <c r="E6954" s="17" t="s">
        <v>301</v>
      </c>
      <c r="F6954" s="17" t="s">
        <v>300</v>
      </c>
      <c r="H6954" s="19">
        <v>1.2379</v>
      </c>
      <c r="I6954" s="19"/>
      <c r="J6954" s="17" t="s">
        <v>39</v>
      </c>
      <c r="K6954" s="19">
        <v>162</v>
      </c>
      <c r="L6954" s="91"/>
      <c r="M6954" s="19"/>
      <c r="N6954" s="19" t="s">
        <v>40</v>
      </c>
      <c r="O6954" s="19" t="s">
        <v>50</v>
      </c>
      <c r="P6954" s="19">
        <v>2000</v>
      </c>
      <c r="Q6954" s="19">
        <v>2074</v>
      </c>
      <c r="R6954" s="19">
        <f t="shared" si="305"/>
        <v>-74</v>
      </c>
      <c r="S6954" s="99">
        <v>2675</v>
      </c>
      <c r="T6954" s="401" t="s">
        <v>42</v>
      </c>
      <c r="U6954" s="102"/>
      <c r="V6954" s="186">
        <v>45624</v>
      </c>
      <c r="W6954" s="17" t="s">
        <v>69</v>
      </c>
      <c r="Y6954" s="68">
        <v>45778</v>
      </c>
      <c r="Z6954" s="17" t="s">
        <v>1638</v>
      </c>
      <c r="AA6954" s="17" t="s">
        <v>46</v>
      </c>
      <c r="AB6954" s="17" t="s">
        <v>1639</v>
      </c>
      <c r="AC6954" s="217">
        <v>45779</v>
      </c>
      <c r="AD6954" s="410">
        <v>1681</v>
      </c>
      <c r="AE6954" s="17" t="s">
        <v>129</v>
      </c>
      <c r="AF6954" s="17" t="s">
        <v>1349</v>
      </c>
      <c r="AJ6954" s="17" t="s">
        <v>1640</v>
      </c>
    </row>
    <row r="6955" s="17" customFormat="1" hidden="1" spans="1:44">
      <c r="A6955" s="17" t="s">
        <v>34</v>
      </c>
      <c r="B6955" s="19">
        <v>1039</v>
      </c>
      <c r="C6955" s="183">
        <v>45629</v>
      </c>
      <c r="D6955" s="17" t="s">
        <v>1637</v>
      </c>
      <c r="E6955" s="17" t="s">
        <v>301</v>
      </c>
      <c r="F6955" s="17" t="s">
        <v>300</v>
      </c>
      <c r="H6955" s="19">
        <v>1.2379</v>
      </c>
      <c r="I6955" s="19"/>
      <c r="J6955" s="17" t="s">
        <v>39</v>
      </c>
      <c r="K6955" s="19">
        <v>172</v>
      </c>
      <c r="L6955" s="91"/>
      <c r="M6955" s="19"/>
      <c r="N6955" s="19" t="s">
        <v>40</v>
      </c>
      <c r="O6955" s="19" t="s">
        <v>50</v>
      </c>
      <c r="P6955" s="19">
        <v>2000</v>
      </c>
      <c r="Q6955" s="98">
        <v>1971</v>
      </c>
      <c r="R6955" s="19">
        <f t="shared" si="305"/>
        <v>29</v>
      </c>
      <c r="S6955" s="99">
        <v>2675</v>
      </c>
      <c r="T6955" s="401" t="s">
        <v>42</v>
      </c>
      <c r="U6955" s="102"/>
      <c r="V6955" s="186">
        <v>45624</v>
      </c>
      <c r="W6955" s="17" t="s">
        <v>69</v>
      </c>
      <c r="Y6955" s="68">
        <v>45778</v>
      </c>
      <c r="Z6955" s="17" t="s">
        <v>1638</v>
      </c>
      <c r="AA6955" s="17" t="s">
        <v>46</v>
      </c>
      <c r="AB6955" s="17" t="s">
        <v>1650</v>
      </c>
      <c r="AC6955" s="217">
        <v>45783</v>
      </c>
      <c r="AD6955" s="65">
        <v>1676</v>
      </c>
      <c r="AE6955" s="17" t="s">
        <v>129</v>
      </c>
      <c r="AF6955" s="17" t="s">
        <v>1349</v>
      </c>
      <c r="AJ6955" s="17" t="s">
        <v>1640</v>
      </c>
    </row>
    <row r="6956" s="17" customFormat="1" hidden="1" spans="1:44">
      <c r="A6956" s="17" t="s">
        <v>34</v>
      </c>
      <c r="B6956" s="19">
        <v>1039</v>
      </c>
      <c r="C6956" s="183">
        <v>45629</v>
      </c>
      <c r="D6956" s="17" t="s">
        <v>1637</v>
      </c>
      <c r="E6956" s="17" t="s">
        <v>301</v>
      </c>
      <c r="F6956" s="17" t="s">
        <v>300</v>
      </c>
      <c r="H6956" s="19">
        <v>1.2379</v>
      </c>
      <c r="I6956" s="19"/>
      <c r="J6956" s="17" t="s">
        <v>39</v>
      </c>
      <c r="K6956" s="19">
        <v>182</v>
      </c>
      <c r="L6956" s="91"/>
      <c r="M6956" s="19"/>
      <c r="N6956" s="19" t="s">
        <v>40</v>
      </c>
      <c r="O6956" s="19" t="s">
        <v>50</v>
      </c>
      <c r="P6956" s="19">
        <v>2000</v>
      </c>
      <c r="Q6956" s="98">
        <v>1838</v>
      </c>
      <c r="R6956" s="19">
        <f t="shared" si="305"/>
        <v>162</v>
      </c>
      <c r="S6956" s="99">
        <v>2675</v>
      </c>
      <c r="T6956" s="401" t="s">
        <v>42</v>
      </c>
      <c r="U6956" s="102"/>
      <c r="V6956" s="186">
        <v>45624</v>
      </c>
      <c r="W6956" s="17" t="s">
        <v>69</v>
      </c>
      <c r="Y6956" s="68">
        <v>45778</v>
      </c>
      <c r="Z6956" s="17" t="s">
        <v>1638</v>
      </c>
      <c r="AA6956" s="17" t="s">
        <v>46</v>
      </c>
      <c r="AB6956" s="17" t="s">
        <v>1650</v>
      </c>
      <c r="AC6956" s="217">
        <v>45783</v>
      </c>
      <c r="AD6956" s="65">
        <v>1676</v>
      </c>
      <c r="AE6956" s="17" t="s">
        <v>1652</v>
      </c>
      <c r="AF6956" s="17" t="s">
        <v>1349</v>
      </c>
      <c r="AJ6956" s="17" t="s">
        <v>1640</v>
      </c>
    </row>
    <row r="6957" s="17" customFormat="1" hidden="1" spans="1:44">
      <c r="A6957" s="17" t="s">
        <v>34</v>
      </c>
      <c r="B6957" s="19">
        <v>1039</v>
      </c>
      <c r="C6957" s="183">
        <v>45629</v>
      </c>
      <c r="D6957" s="17" t="s">
        <v>1637</v>
      </c>
      <c r="E6957" s="17" t="s">
        <v>301</v>
      </c>
      <c r="F6957" s="17" t="s">
        <v>300</v>
      </c>
      <c r="H6957" s="19">
        <v>1.2379</v>
      </c>
      <c r="I6957" s="19"/>
      <c r="J6957" s="17" t="s">
        <v>39</v>
      </c>
      <c r="K6957" s="19">
        <v>202</v>
      </c>
      <c r="L6957" s="91"/>
      <c r="M6957" s="19"/>
      <c r="N6957" s="19" t="s">
        <v>40</v>
      </c>
      <c r="O6957" s="19" t="s">
        <v>50</v>
      </c>
      <c r="P6957" s="19">
        <v>2000</v>
      </c>
      <c r="Q6957" s="98">
        <v>2075</v>
      </c>
      <c r="R6957" s="19">
        <f t="shared" si="305"/>
        <v>-75</v>
      </c>
      <c r="S6957" s="99">
        <v>2675</v>
      </c>
      <c r="T6957" s="401" t="s">
        <v>42</v>
      </c>
      <c r="U6957" s="102"/>
      <c r="V6957" s="186">
        <v>45624</v>
      </c>
      <c r="W6957" s="17" t="s">
        <v>69</v>
      </c>
      <c r="Y6957" s="68">
        <v>45778</v>
      </c>
      <c r="Z6957" s="17" t="s">
        <v>1638</v>
      </c>
      <c r="AA6957" s="17" t="s">
        <v>46</v>
      </c>
      <c r="AB6957" s="17" t="s">
        <v>1650</v>
      </c>
      <c r="AC6957" s="217">
        <v>45783</v>
      </c>
      <c r="AD6957" s="65">
        <v>1676</v>
      </c>
      <c r="AE6957" s="17" t="s">
        <v>74</v>
      </c>
      <c r="AF6957" s="17" t="s">
        <v>1349</v>
      </c>
      <c r="AJ6957" s="17" t="s">
        <v>1640</v>
      </c>
    </row>
    <row r="6958" s="17" customFormat="1" hidden="1" spans="1:44">
      <c r="A6958" s="17" t="s">
        <v>34</v>
      </c>
      <c r="B6958" s="19">
        <v>1039</v>
      </c>
      <c r="C6958" s="183">
        <v>45629</v>
      </c>
      <c r="D6958" s="17" t="s">
        <v>1637</v>
      </c>
      <c r="E6958" s="17" t="s">
        <v>301</v>
      </c>
      <c r="F6958" s="17" t="s">
        <v>300</v>
      </c>
      <c r="H6958" s="19">
        <v>1.2379</v>
      </c>
      <c r="I6958" s="19"/>
      <c r="J6958" s="17" t="s">
        <v>39</v>
      </c>
      <c r="K6958" s="19">
        <v>212</v>
      </c>
      <c r="L6958" s="91"/>
      <c r="M6958" s="19"/>
      <c r="N6958" s="19" t="s">
        <v>40</v>
      </c>
      <c r="O6958" s="19" t="s">
        <v>50</v>
      </c>
      <c r="P6958" s="19">
        <v>2000</v>
      </c>
      <c r="Q6958" s="98">
        <v>1855</v>
      </c>
      <c r="R6958" s="19">
        <f t="shared" si="305"/>
        <v>145</v>
      </c>
      <c r="S6958" s="99">
        <v>2675</v>
      </c>
      <c r="T6958" s="401" t="s">
        <v>42</v>
      </c>
      <c r="U6958" s="102"/>
      <c r="V6958" s="186">
        <v>45624</v>
      </c>
      <c r="W6958" s="17" t="s">
        <v>69</v>
      </c>
      <c r="Y6958" s="68">
        <v>45778</v>
      </c>
      <c r="Z6958" s="17" t="s">
        <v>1638</v>
      </c>
      <c r="AA6958" s="17" t="s">
        <v>46</v>
      </c>
      <c r="AB6958" s="17" t="s">
        <v>1650</v>
      </c>
      <c r="AC6958" s="217">
        <v>45783</v>
      </c>
      <c r="AD6958" s="65">
        <v>1676</v>
      </c>
      <c r="AE6958" s="17" t="s">
        <v>74</v>
      </c>
      <c r="AF6958" s="17" t="s">
        <v>1349</v>
      </c>
      <c r="AJ6958" s="17" t="s">
        <v>1640</v>
      </c>
    </row>
    <row r="6959" hidden="1" spans="1:44">
      <c r="A6959" s="18"/>
      <c r="B6959" s="75">
        <v>1082</v>
      </c>
      <c r="C6959" s="213">
        <v>45894</v>
      </c>
      <c r="D6959" s="18" t="s">
        <v>1637</v>
      </c>
      <c r="E6959" s="18" t="s">
        <v>301</v>
      </c>
      <c r="F6959" s="18" t="s">
        <v>300</v>
      </c>
      <c r="G6959" s="18"/>
      <c r="H6959" s="75">
        <v>1.2344</v>
      </c>
      <c r="I6959" s="75"/>
      <c r="J6959" s="18" t="s">
        <v>39</v>
      </c>
      <c r="K6959" s="75">
        <v>122</v>
      </c>
      <c r="L6959" s="111"/>
      <c r="M6959" s="75">
        <v>5700</v>
      </c>
      <c r="N6959" s="75" t="s">
        <v>40</v>
      </c>
      <c r="O6959" s="75" t="s">
        <v>50</v>
      </c>
      <c r="P6959" s="75">
        <v>1000</v>
      </c>
      <c r="Q6959" s="75"/>
      <c r="R6959" s="75">
        <f t="shared" si="305"/>
        <v>1000</v>
      </c>
      <c r="S6959" s="75">
        <v>2900</v>
      </c>
      <c r="T6959" s="75" t="s">
        <v>42</v>
      </c>
      <c r="U6959" s="137" t="s">
        <v>1654</v>
      </c>
      <c r="V6959" s="193">
        <v>45947</v>
      </c>
      <c r="W6959" s="18" t="s">
        <v>69</v>
      </c>
      <c r="X6959" s="18"/>
      <c r="Y6959" s="114">
        <v>46174</v>
      </c>
      <c r="Z6959" s="18" t="s">
        <v>45</v>
      </c>
      <c r="AA6959" s="18" t="s">
        <v>46</v>
      </c>
      <c r="AB6959" s="18"/>
      <c r="AC6959" s="137"/>
      <c r="AD6959" s="77"/>
      <c r="AE6959" s="18" t="s">
        <v>74</v>
      </c>
      <c r="AF6959" s="18" t="s">
        <v>571</v>
      </c>
      <c r="AG6959" s="18"/>
      <c r="AH6959" s="18"/>
      <c r="AI6959" s="18"/>
      <c r="AJ6959" s="18"/>
      <c r="AK6959" s="18"/>
      <c r="AL6959" s="18"/>
      <c r="AM6959" s="18"/>
      <c r="AN6959" s="18"/>
      <c r="AO6959" s="18"/>
      <c r="AP6959" s="18"/>
      <c r="AQ6959" s="18"/>
      <c r="AR6959" s="18"/>
    </row>
    <row r="6960" hidden="1" spans="1:44">
      <c r="A6960" s="18"/>
      <c r="B6960" s="75">
        <v>1082</v>
      </c>
      <c r="C6960" s="213">
        <v>45894</v>
      </c>
      <c r="D6960" s="18" t="s">
        <v>1637</v>
      </c>
      <c r="E6960" s="18" t="s">
        <v>301</v>
      </c>
      <c r="F6960" s="18" t="s">
        <v>300</v>
      </c>
      <c r="G6960" s="18"/>
      <c r="H6960" s="75">
        <v>1.2344</v>
      </c>
      <c r="I6960" s="75"/>
      <c r="J6960" s="18" t="s">
        <v>39</v>
      </c>
      <c r="K6960" s="75">
        <v>132</v>
      </c>
      <c r="L6960" s="111"/>
      <c r="M6960" s="75">
        <v>5700</v>
      </c>
      <c r="N6960" s="75" t="s">
        <v>40</v>
      </c>
      <c r="O6960" s="75" t="s">
        <v>50</v>
      </c>
      <c r="P6960" s="75">
        <v>1000</v>
      </c>
      <c r="Q6960" s="75"/>
      <c r="R6960" s="75">
        <f t="shared" si="305"/>
        <v>1000</v>
      </c>
      <c r="S6960" s="75">
        <v>2900</v>
      </c>
      <c r="T6960" s="75" t="s">
        <v>42</v>
      </c>
      <c r="U6960" s="137" t="s">
        <v>1654</v>
      </c>
      <c r="V6960" s="193">
        <v>45947</v>
      </c>
      <c r="W6960" s="18" t="s">
        <v>69</v>
      </c>
      <c r="X6960" s="18"/>
      <c r="Y6960" s="114">
        <v>46174</v>
      </c>
      <c r="Z6960" s="18" t="s">
        <v>45</v>
      </c>
      <c r="AA6960" s="18" t="s">
        <v>46</v>
      </c>
      <c r="AB6960" s="18"/>
      <c r="AC6960" s="137"/>
      <c r="AD6960" s="77"/>
      <c r="AE6960" s="18" t="s">
        <v>74</v>
      </c>
      <c r="AF6960" s="18" t="s">
        <v>571</v>
      </c>
      <c r="AG6960" s="18"/>
      <c r="AH6960" s="18"/>
      <c r="AI6960" s="18"/>
      <c r="AJ6960" s="18"/>
      <c r="AK6960" s="18"/>
      <c r="AL6960" s="18"/>
      <c r="AM6960" s="18"/>
      <c r="AN6960" s="18"/>
      <c r="AO6960" s="18"/>
      <c r="AP6960" s="18"/>
      <c r="AQ6960" s="18"/>
      <c r="AR6960" s="18"/>
    </row>
    <row r="6961" hidden="1" spans="1:44">
      <c r="A6961" s="18"/>
      <c r="B6961" s="75">
        <v>1082</v>
      </c>
      <c r="C6961" s="213">
        <v>45894</v>
      </c>
      <c r="D6961" s="18" t="s">
        <v>1637</v>
      </c>
      <c r="E6961" s="18" t="s">
        <v>301</v>
      </c>
      <c r="F6961" s="18" t="s">
        <v>300</v>
      </c>
      <c r="G6961" s="18"/>
      <c r="H6961" s="75">
        <v>1.2344</v>
      </c>
      <c r="I6961" s="75"/>
      <c r="J6961" s="18" t="s">
        <v>39</v>
      </c>
      <c r="K6961" s="75">
        <v>142</v>
      </c>
      <c r="L6961" s="111"/>
      <c r="M6961" s="75">
        <v>5700</v>
      </c>
      <c r="N6961" s="75" t="s">
        <v>40</v>
      </c>
      <c r="O6961" s="75" t="s">
        <v>50</v>
      </c>
      <c r="P6961" s="75">
        <v>1000</v>
      </c>
      <c r="Q6961" s="75"/>
      <c r="R6961" s="75">
        <f t="shared" si="305"/>
        <v>1000</v>
      </c>
      <c r="S6961" s="75">
        <v>2900</v>
      </c>
      <c r="T6961" s="75" t="s">
        <v>42</v>
      </c>
      <c r="U6961" s="137" t="s">
        <v>1654</v>
      </c>
      <c r="V6961" s="193">
        <v>45947</v>
      </c>
      <c r="W6961" s="18" t="s">
        <v>69</v>
      </c>
      <c r="X6961" s="18"/>
      <c r="Y6961" s="114">
        <v>46174</v>
      </c>
      <c r="Z6961" s="18" t="s">
        <v>45</v>
      </c>
      <c r="AA6961" s="18" t="s">
        <v>46</v>
      </c>
      <c r="AB6961" s="18"/>
      <c r="AC6961" s="137"/>
      <c r="AD6961" s="77"/>
      <c r="AE6961" s="18" t="s">
        <v>74</v>
      </c>
      <c r="AF6961" s="18" t="s">
        <v>571</v>
      </c>
      <c r="AG6961" s="18"/>
      <c r="AH6961" s="18"/>
      <c r="AI6961" s="18"/>
      <c r="AJ6961" s="18"/>
      <c r="AK6961" s="18"/>
      <c r="AL6961" s="18"/>
      <c r="AM6961" s="18"/>
      <c r="AN6961" s="18"/>
      <c r="AO6961" s="18"/>
      <c r="AP6961" s="18"/>
      <c r="AQ6961" s="18"/>
      <c r="AR6961" s="18"/>
    </row>
    <row r="6962" hidden="1" spans="1:44">
      <c r="A6962" s="18"/>
      <c r="B6962" s="75">
        <v>1082</v>
      </c>
      <c r="C6962" s="213">
        <v>45894</v>
      </c>
      <c r="D6962" s="18" t="s">
        <v>1637</v>
      </c>
      <c r="E6962" s="18" t="s">
        <v>301</v>
      </c>
      <c r="F6962" s="18" t="s">
        <v>300</v>
      </c>
      <c r="G6962" s="18"/>
      <c r="H6962" s="75">
        <v>1.2344</v>
      </c>
      <c r="I6962" s="75"/>
      <c r="J6962" s="18" t="s">
        <v>39</v>
      </c>
      <c r="K6962" s="75">
        <v>152</v>
      </c>
      <c r="L6962" s="111"/>
      <c r="M6962" s="75">
        <v>5700</v>
      </c>
      <c r="N6962" s="75" t="s">
        <v>40</v>
      </c>
      <c r="O6962" s="75" t="s">
        <v>50</v>
      </c>
      <c r="P6962" s="75">
        <v>1000</v>
      </c>
      <c r="Q6962" s="75"/>
      <c r="R6962" s="75">
        <f t="shared" si="305"/>
        <v>1000</v>
      </c>
      <c r="S6962" s="75">
        <v>2750</v>
      </c>
      <c r="T6962" s="75" t="s">
        <v>42</v>
      </c>
      <c r="U6962" s="137" t="s">
        <v>1654</v>
      </c>
      <c r="V6962" s="193">
        <v>45947</v>
      </c>
      <c r="W6962" s="18" t="s">
        <v>69</v>
      </c>
      <c r="X6962" s="18"/>
      <c r="Y6962" s="114">
        <v>46174</v>
      </c>
      <c r="Z6962" s="18" t="s">
        <v>45</v>
      </c>
      <c r="AA6962" s="18" t="s">
        <v>46</v>
      </c>
      <c r="AB6962" s="18"/>
      <c r="AC6962" s="137"/>
      <c r="AD6962" s="77"/>
      <c r="AE6962" s="18" t="s">
        <v>74</v>
      </c>
      <c r="AF6962" s="18" t="s">
        <v>571</v>
      </c>
      <c r="AG6962" s="18"/>
      <c r="AH6962" s="18"/>
      <c r="AI6962" s="18"/>
      <c r="AJ6962" s="18"/>
      <c r="AK6962" s="18"/>
      <c r="AL6962" s="18"/>
      <c r="AM6962" s="18"/>
      <c r="AN6962" s="18"/>
      <c r="AO6962" s="18"/>
      <c r="AP6962" s="18"/>
      <c r="AQ6962" s="18"/>
      <c r="AR6962" s="18"/>
    </row>
    <row r="6963" hidden="1" spans="1:44">
      <c r="A6963" s="18"/>
      <c r="B6963" s="75">
        <v>1082</v>
      </c>
      <c r="C6963" s="213">
        <v>45894</v>
      </c>
      <c r="D6963" s="18" t="s">
        <v>1637</v>
      </c>
      <c r="E6963" s="18" t="s">
        <v>301</v>
      </c>
      <c r="F6963" s="18" t="s">
        <v>300</v>
      </c>
      <c r="G6963" s="18"/>
      <c r="H6963" s="294">
        <v>1.208</v>
      </c>
      <c r="I6963" s="294"/>
      <c r="J6963" s="18" t="s">
        <v>39</v>
      </c>
      <c r="K6963" s="75">
        <v>25</v>
      </c>
      <c r="L6963" s="111"/>
      <c r="M6963" s="75">
        <v>5700</v>
      </c>
      <c r="N6963" s="75" t="s">
        <v>40</v>
      </c>
      <c r="O6963" s="75" t="s">
        <v>84</v>
      </c>
      <c r="P6963" s="75">
        <v>1000</v>
      </c>
      <c r="Q6963" s="75"/>
      <c r="R6963" s="75">
        <f t="shared" si="305"/>
        <v>1000</v>
      </c>
      <c r="S6963" s="75">
        <v>2320</v>
      </c>
      <c r="T6963" s="75" t="s">
        <v>42</v>
      </c>
      <c r="U6963" s="137" t="s">
        <v>1654</v>
      </c>
      <c r="V6963" s="193">
        <v>45947</v>
      </c>
      <c r="W6963" s="18" t="s">
        <v>69</v>
      </c>
      <c r="X6963" s="18"/>
      <c r="Y6963" s="114">
        <v>46174</v>
      </c>
      <c r="Z6963" s="18" t="s">
        <v>45</v>
      </c>
      <c r="AA6963" s="18" t="s">
        <v>46</v>
      </c>
      <c r="AB6963" s="18"/>
      <c r="AC6963" s="137"/>
      <c r="AD6963" s="77"/>
      <c r="AE6963" s="18" t="s">
        <v>74</v>
      </c>
      <c r="AF6963" s="18" t="s">
        <v>571</v>
      </c>
      <c r="AG6963" s="18"/>
      <c r="AH6963" s="18"/>
      <c r="AI6963" s="18"/>
      <c r="AJ6963" s="18"/>
      <c r="AK6963" s="18"/>
      <c r="AL6963" s="18"/>
      <c r="AM6963" s="18"/>
      <c r="AN6963" s="18"/>
      <c r="AO6963" s="18"/>
      <c r="AP6963" s="18"/>
      <c r="AQ6963" s="18"/>
      <c r="AR6963" s="18"/>
    </row>
    <row r="6964" hidden="1" spans="1:44">
      <c r="A6964" s="18"/>
      <c r="B6964" s="75">
        <v>1082</v>
      </c>
      <c r="C6964" s="213">
        <v>45894</v>
      </c>
      <c r="D6964" s="18" t="s">
        <v>1637</v>
      </c>
      <c r="E6964" s="18" t="s">
        <v>301</v>
      </c>
      <c r="F6964" s="18" t="s">
        <v>300</v>
      </c>
      <c r="G6964" s="18"/>
      <c r="H6964" s="294">
        <v>1.208</v>
      </c>
      <c r="I6964" s="294"/>
      <c r="J6964" s="18" t="s">
        <v>39</v>
      </c>
      <c r="K6964" s="75">
        <v>32</v>
      </c>
      <c r="L6964" s="111"/>
      <c r="M6964" s="75">
        <v>5700</v>
      </c>
      <c r="N6964" s="75" t="s">
        <v>40</v>
      </c>
      <c r="O6964" s="75" t="s">
        <v>84</v>
      </c>
      <c r="P6964" s="75">
        <v>2000</v>
      </c>
      <c r="Q6964" s="75"/>
      <c r="R6964" s="75">
        <f t="shared" si="305"/>
        <v>2000</v>
      </c>
      <c r="S6964" s="75">
        <v>2320</v>
      </c>
      <c r="T6964" s="75" t="s">
        <v>42</v>
      </c>
      <c r="U6964" s="137" t="s">
        <v>1654</v>
      </c>
      <c r="V6964" s="193">
        <v>45947</v>
      </c>
      <c r="W6964" s="18" t="s">
        <v>69</v>
      </c>
      <c r="X6964" s="18"/>
      <c r="Y6964" s="114">
        <v>46174</v>
      </c>
      <c r="Z6964" s="18" t="s">
        <v>45</v>
      </c>
      <c r="AA6964" s="18" t="s">
        <v>46</v>
      </c>
      <c r="AB6964" s="18"/>
      <c r="AC6964" s="137"/>
      <c r="AD6964" s="77"/>
      <c r="AE6964" s="18" t="s">
        <v>74</v>
      </c>
      <c r="AF6964" s="18" t="s">
        <v>571</v>
      </c>
      <c r="AG6964" s="18"/>
      <c r="AH6964" s="18"/>
      <c r="AI6964" s="18"/>
      <c r="AJ6964" s="18"/>
      <c r="AK6964" s="18"/>
      <c r="AL6964" s="18"/>
      <c r="AM6964" s="18"/>
      <c r="AN6964" s="18"/>
      <c r="AO6964" s="18"/>
      <c r="AP6964" s="18"/>
      <c r="AQ6964" s="18"/>
      <c r="AR6964" s="18"/>
    </row>
    <row r="6965" hidden="1" spans="1:44">
      <c r="A6965" s="18"/>
      <c r="B6965" s="75">
        <v>1082</v>
      </c>
      <c r="C6965" s="213">
        <v>45894</v>
      </c>
      <c r="D6965" s="18" t="s">
        <v>1637</v>
      </c>
      <c r="E6965" s="18" t="s">
        <v>301</v>
      </c>
      <c r="F6965" s="18" t="s">
        <v>300</v>
      </c>
      <c r="G6965" s="18"/>
      <c r="H6965" s="294">
        <v>1.208</v>
      </c>
      <c r="I6965" s="294"/>
      <c r="J6965" s="18" t="s">
        <v>39</v>
      </c>
      <c r="K6965" s="75">
        <v>40</v>
      </c>
      <c r="L6965" s="111"/>
      <c r="M6965" s="75">
        <v>5700</v>
      </c>
      <c r="N6965" s="75" t="s">
        <v>40</v>
      </c>
      <c r="O6965" s="75" t="s">
        <v>84</v>
      </c>
      <c r="P6965" s="75">
        <v>2000</v>
      </c>
      <c r="Q6965" s="75"/>
      <c r="R6965" s="75">
        <f t="shared" si="305"/>
        <v>2000</v>
      </c>
      <c r="S6965" s="75">
        <v>2320</v>
      </c>
      <c r="T6965" s="75" t="s">
        <v>42</v>
      </c>
      <c r="U6965" s="137" t="s">
        <v>1654</v>
      </c>
      <c r="V6965" s="193">
        <v>45947</v>
      </c>
      <c r="W6965" s="18" t="s">
        <v>69</v>
      </c>
      <c r="X6965" s="18"/>
      <c r="Y6965" s="114">
        <v>46174</v>
      </c>
      <c r="Z6965" s="18" t="s">
        <v>45</v>
      </c>
      <c r="AA6965" s="18" t="s">
        <v>46</v>
      </c>
      <c r="AB6965" s="18"/>
      <c r="AC6965" s="137"/>
      <c r="AD6965" s="77"/>
      <c r="AE6965" s="18" t="s">
        <v>74</v>
      </c>
      <c r="AF6965" s="18" t="s">
        <v>571</v>
      </c>
      <c r="AG6965" s="18"/>
      <c r="AH6965" s="18"/>
      <c r="AI6965" s="18"/>
      <c r="AJ6965" s="18"/>
      <c r="AK6965" s="18"/>
      <c r="AL6965" s="18"/>
      <c r="AM6965" s="18"/>
      <c r="AN6965" s="18"/>
      <c r="AO6965" s="18"/>
      <c r="AP6965" s="18"/>
      <c r="AQ6965" s="18"/>
      <c r="AR6965" s="18"/>
    </row>
    <row r="6966" hidden="1" spans="1:44">
      <c r="A6966" s="18"/>
      <c r="B6966" s="75">
        <v>1082</v>
      </c>
      <c r="C6966" s="213">
        <v>45894</v>
      </c>
      <c r="D6966" s="18" t="s">
        <v>1637</v>
      </c>
      <c r="E6966" s="18" t="s">
        <v>301</v>
      </c>
      <c r="F6966" s="18" t="s">
        <v>300</v>
      </c>
      <c r="G6966" s="18"/>
      <c r="H6966" s="294">
        <v>1.208</v>
      </c>
      <c r="I6966" s="294"/>
      <c r="J6966" s="18" t="s">
        <v>39</v>
      </c>
      <c r="K6966" s="75">
        <v>70</v>
      </c>
      <c r="L6966" s="111"/>
      <c r="M6966" s="75">
        <v>5700</v>
      </c>
      <c r="N6966" s="75" t="s">
        <v>40</v>
      </c>
      <c r="O6966" s="75" t="s">
        <v>84</v>
      </c>
      <c r="P6966" s="75">
        <v>500</v>
      </c>
      <c r="Q6966" s="75"/>
      <c r="R6966" s="75">
        <f t="shared" si="305"/>
        <v>500</v>
      </c>
      <c r="S6966" s="75">
        <v>2320</v>
      </c>
      <c r="T6966" s="75" t="s">
        <v>42</v>
      </c>
      <c r="U6966" s="137" t="s">
        <v>1654</v>
      </c>
      <c r="V6966" s="193">
        <v>45947</v>
      </c>
      <c r="W6966" s="18" t="s">
        <v>69</v>
      </c>
      <c r="X6966" s="18"/>
      <c r="Y6966" s="114">
        <v>46174</v>
      </c>
      <c r="Z6966" s="18" t="s">
        <v>45</v>
      </c>
      <c r="AA6966" s="18" t="s">
        <v>46</v>
      </c>
      <c r="AB6966" s="18"/>
      <c r="AC6966" s="137"/>
      <c r="AD6966" s="77"/>
      <c r="AE6966" s="18" t="s">
        <v>48</v>
      </c>
      <c r="AF6966" s="18" t="s">
        <v>571</v>
      </c>
      <c r="AG6966" s="18"/>
      <c r="AH6966" s="18"/>
      <c r="AI6966" s="18"/>
      <c r="AJ6966" s="18"/>
      <c r="AK6966" s="18"/>
      <c r="AL6966" s="18"/>
      <c r="AM6966" s="18"/>
      <c r="AN6966" s="18"/>
      <c r="AO6966" s="18"/>
      <c r="AP6966" s="18"/>
      <c r="AQ6966" s="18"/>
      <c r="AR6966" s="18"/>
    </row>
    <row r="6967" hidden="1" spans="1:44">
      <c r="A6967" s="18"/>
      <c r="B6967" s="75">
        <v>1082</v>
      </c>
      <c r="C6967" s="213">
        <v>45894</v>
      </c>
      <c r="D6967" s="18" t="s">
        <v>1637</v>
      </c>
      <c r="E6967" s="18" t="s">
        <v>301</v>
      </c>
      <c r="F6967" s="18" t="s">
        <v>300</v>
      </c>
      <c r="G6967" s="18"/>
      <c r="H6967" s="294">
        <v>1.208</v>
      </c>
      <c r="I6967" s="294"/>
      <c r="J6967" s="18" t="s">
        <v>39</v>
      </c>
      <c r="K6967" s="75">
        <v>75</v>
      </c>
      <c r="L6967" s="111"/>
      <c r="M6967" s="75">
        <v>5700</v>
      </c>
      <c r="N6967" s="75" t="s">
        <v>40</v>
      </c>
      <c r="O6967" s="75" t="s">
        <v>84</v>
      </c>
      <c r="P6967" s="75">
        <v>500</v>
      </c>
      <c r="Q6967" s="75"/>
      <c r="R6967" s="75">
        <f t="shared" si="305"/>
        <v>500</v>
      </c>
      <c r="S6967" s="75">
        <v>2320</v>
      </c>
      <c r="T6967" s="75" t="s">
        <v>42</v>
      </c>
      <c r="U6967" s="137" t="s">
        <v>1654</v>
      </c>
      <c r="V6967" s="193">
        <v>45947</v>
      </c>
      <c r="W6967" s="18" t="s">
        <v>69</v>
      </c>
      <c r="X6967" s="18"/>
      <c r="Y6967" s="114">
        <v>46174</v>
      </c>
      <c r="Z6967" s="18" t="s">
        <v>45</v>
      </c>
      <c r="AA6967" s="18" t="s">
        <v>46</v>
      </c>
      <c r="AB6967" s="18"/>
      <c r="AC6967" s="137"/>
      <c r="AD6967" s="77"/>
      <c r="AE6967" s="18" t="s">
        <v>48</v>
      </c>
      <c r="AF6967" s="18" t="s">
        <v>571</v>
      </c>
      <c r="AG6967" s="18"/>
      <c r="AH6967" s="18"/>
      <c r="AI6967" s="18"/>
      <c r="AJ6967" s="18"/>
      <c r="AK6967" s="18"/>
      <c r="AL6967" s="18"/>
      <c r="AM6967" s="18"/>
      <c r="AN6967" s="18"/>
      <c r="AO6967" s="18"/>
      <c r="AP6967" s="18"/>
      <c r="AQ6967" s="18"/>
      <c r="AR6967" s="18"/>
    </row>
    <row r="6968" hidden="1" spans="1:44">
      <c r="A6968" s="18"/>
      <c r="B6968" s="75">
        <v>1082</v>
      </c>
      <c r="C6968" s="213">
        <v>45894</v>
      </c>
      <c r="D6968" s="18" t="s">
        <v>1637</v>
      </c>
      <c r="E6968" s="18" t="s">
        <v>301</v>
      </c>
      <c r="F6968" s="18" t="s">
        <v>300</v>
      </c>
      <c r="G6968" s="18"/>
      <c r="H6968" s="294">
        <v>1.208</v>
      </c>
      <c r="I6968" s="294"/>
      <c r="J6968" s="18" t="s">
        <v>39</v>
      </c>
      <c r="K6968" s="75">
        <v>100</v>
      </c>
      <c r="L6968" s="111"/>
      <c r="M6968" s="75">
        <v>5700</v>
      </c>
      <c r="N6968" s="75" t="s">
        <v>40</v>
      </c>
      <c r="O6968" s="75" t="s">
        <v>84</v>
      </c>
      <c r="P6968" s="75">
        <v>500</v>
      </c>
      <c r="Q6968" s="75"/>
      <c r="R6968" s="75">
        <f t="shared" si="305"/>
        <v>500</v>
      </c>
      <c r="S6968" s="75">
        <v>2320</v>
      </c>
      <c r="T6968" s="75" t="s">
        <v>42</v>
      </c>
      <c r="U6968" s="137" t="s">
        <v>1654</v>
      </c>
      <c r="V6968" s="193">
        <v>45947</v>
      </c>
      <c r="W6968" s="18" t="s">
        <v>69</v>
      </c>
      <c r="X6968" s="18"/>
      <c r="Y6968" s="114">
        <v>46174</v>
      </c>
      <c r="Z6968" s="18" t="s">
        <v>45</v>
      </c>
      <c r="AA6968" s="18" t="s">
        <v>46</v>
      </c>
      <c r="AB6968" s="18"/>
      <c r="AC6968" s="137"/>
      <c r="AD6968" s="77"/>
      <c r="AE6968" s="18" t="s">
        <v>48</v>
      </c>
      <c r="AF6968" s="18" t="s">
        <v>571</v>
      </c>
      <c r="AG6968" s="18"/>
      <c r="AH6968" s="18"/>
      <c r="AI6968" s="18"/>
      <c r="AJ6968" s="18"/>
      <c r="AK6968" s="18"/>
      <c r="AL6968" s="18"/>
      <c r="AM6968" s="18"/>
      <c r="AN6968" s="18"/>
      <c r="AO6968" s="18"/>
      <c r="AP6968" s="18"/>
      <c r="AQ6968" s="18"/>
      <c r="AR6968" s="18"/>
    </row>
    <row r="6969" hidden="1" spans="1:44">
      <c r="A6969" s="18"/>
      <c r="B6969" s="75">
        <v>1082</v>
      </c>
      <c r="C6969" s="213">
        <v>45894</v>
      </c>
      <c r="D6969" s="18" t="s">
        <v>1637</v>
      </c>
      <c r="E6969" s="18" t="s">
        <v>301</v>
      </c>
      <c r="F6969" s="18" t="s">
        <v>300</v>
      </c>
      <c r="G6969" s="18"/>
      <c r="H6969" s="294">
        <v>1.208</v>
      </c>
      <c r="I6969" s="294"/>
      <c r="J6969" s="18" t="s">
        <v>39</v>
      </c>
      <c r="K6969" s="75">
        <v>105</v>
      </c>
      <c r="L6969" s="111"/>
      <c r="M6969" s="75">
        <v>5700</v>
      </c>
      <c r="N6969" s="75" t="s">
        <v>40</v>
      </c>
      <c r="O6969" s="75" t="s">
        <v>50</v>
      </c>
      <c r="P6969" s="75">
        <v>2000</v>
      </c>
      <c r="Q6969" s="75"/>
      <c r="R6969" s="75">
        <f t="shared" si="305"/>
        <v>2000</v>
      </c>
      <c r="S6969" s="75">
        <v>2320</v>
      </c>
      <c r="T6969" s="75" t="s">
        <v>42</v>
      </c>
      <c r="U6969" s="137" t="s">
        <v>1654</v>
      </c>
      <c r="V6969" s="193">
        <v>45947</v>
      </c>
      <c r="W6969" s="18" t="s">
        <v>69</v>
      </c>
      <c r="X6969" s="18"/>
      <c r="Y6969" s="114">
        <v>46174</v>
      </c>
      <c r="Z6969" s="18" t="s">
        <v>45</v>
      </c>
      <c r="AA6969" s="18" t="s">
        <v>46</v>
      </c>
      <c r="AB6969" s="18"/>
      <c r="AC6969" s="137"/>
      <c r="AD6969" s="77"/>
      <c r="AE6969" s="18" t="s">
        <v>1651</v>
      </c>
      <c r="AF6969" s="18" t="s">
        <v>571</v>
      </c>
      <c r="AG6969" s="18"/>
      <c r="AH6969" s="18"/>
      <c r="AI6969" s="18"/>
      <c r="AJ6969" s="18"/>
      <c r="AK6969" s="18"/>
      <c r="AL6969" s="18"/>
      <c r="AM6969" s="18"/>
      <c r="AN6969" s="18"/>
      <c r="AO6969" s="18"/>
      <c r="AP6969" s="18"/>
      <c r="AQ6969" s="18"/>
      <c r="AR6969" s="18"/>
    </row>
    <row r="6970" hidden="1" spans="1:44">
      <c r="A6970" s="18"/>
      <c r="B6970" s="75">
        <v>1082</v>
      </c>
      <c r="C6970" s="213">
        <v>45894</v>
      </c>
      <c r="D6970" s="18" t="s">
        <v>1637</v>
      </c>
      <c r="E6970" s="18" t="s">
        <v>301</v>
      </c>
      <c r="F6970" s="18" t="s">
        <v>300</v>
      </c>
      <c r="G6970" s="18"/>
      <c r="H6970" s="75">
        <v>1.2379</v>
      </c>
      <c r="I6970" s="75"/>
      <c r="J6970" s="18" t="s">
        <v>39</v>
      </c>
      <c r="K6970" s="75">
        <v>20.5</v>
      </c>
      <c r="L6970" s="111"/>
      <c r="M6970" s="75">
        <v>5700</v>
      </c>
      <c r="N6970" s="75" t="s">
        <v>40</v>
      </c>
      <c r="O6970" s="75" t="s">
        <v>84</v>
      </c>
      <c r="P6970" s="75">
        <v>500</v>
      </c>
      <c r="Q6970" s="75"/>
      <c r="R6970" s="75">
        <f t="shared" si="305"/>
        <v>500</v>
      </c>
      <c r="S6970" s="75">
        <v>2800</v>
      </c>
      <c r="T6970" s="75" t="s">
        <v>42</v>
      </c>
      <c r="U6970" s="137" t="s">
        <v>1654</v>
      </c>
      <c r="V6970" s="193">
        <v>45947</v>
      </c>
      <c r="W6970" s="18" t="s">
        <v>69</v>
      </c>
      <c r="X6970" s="18"/>
      <c r="Y6970" s="114">
        <v>46174</v>
      </c>
      <c r="Z6970" s="18" t="s">
        <v>45</v>
      </c>
      <c r="AA6970" s="18" t="s">
        <v>46</v>
      </c>
      <c r="AB6970" s="18"/>
      <c r="AC6970" s="137"/>
      <c r="AD6970" s="77"/>
      <c r="AE6970" s="18" t="s">
        <v>1651</v>
      </c>
      <c r="AF6970" s="18" t="s">
        <v>571</v>
      </c>
      <c r="AG6970" s="18"/>
      <c r="AH6970" s="18"/>
      <c r="AI6970" s="18"/>
      <c r="AJ6970" s="18"/>
      <c r="AK6970" s="18"/>
      <c r="AL6970" s="18"/>
      <c r="AM6970" s="18"/>
      <c r="AN6970" s="18"/>
      <c r="AO6970" s="18"/>
      <c r="AP6970" s="18"/>
      <c r="AQ6970" s="18"/>
      <c r="AR6970" s="18"/>
    </row>
    <row r="6971" hidden="1" spans="1:44">
      <c r="A6971" s="18"/>
      <c r="B6971" s="75">
        <v>1082</v>
      </c>
      <c r="C6971" s="213">
        <v>45894</v>
      </c>
      <c r="D6971" s="18" t="s">
        <v>1637</v>
      </c>
      <c r="E6971" s="18" t="s">
        <v>301</v>
      </c>
      <c r="F6971" s="18" t="s">
        <v>300</v>
      </c>
      <c r="G6971" s="18"/>
      <c r="H6971" s="75">
        <v>1.2379</v>
      </c>
      <c r="I6971" s="75"/>
      <c r="J6971" s="18" t="s">
        <v>39</v>
      </c>
      <c r="K6971" s="75">
        <v>22.5</v>
      </c>
      <c r="L6971" s="111"/>
      <c r="M6971" s="75">
        <v>5700</v>
      </c>
      <c r="N6971" s="75" t="s">
        <v>40</v>
      </c>
      <c r="O6971" s="75" t="s">
        <v>84</v>
      </c>
      <c r="P6971" s="75">
        <v>500</v>
      </c>
      <c r="Q6971" s="75"/>
      <c r="R6971" s="75">
        <f t="shared" si="305"/>
        <v>500</v>
      </c>
      <c r="S6971" s="75">
        <v>2800</v>
      </c>
      <c r="T6971" s="75" t="s">
        <v>42</v>
      </c>
      <c r="U6971" s="137" t="s">
        <v>1654</v>
      </c>
      <c r="V6971" s="193">
        <v>45947</v>
      </c>
      <c r="W6971" s="18" t="s">
        <v>69</v>
      </c>
      <c r="X6971" s="18"/>
      <c r="Y6971" s="114">
        <v>46174</v>
      </c>
      <c r="Z6971" s="18" t="s">
        <v>45</v>
      </c>
      <c r="AA6971" s="18" t="s">
        <v>46</v>
      </c>
      <c r="AB6971" s="18"/>
      <c r="AC6971" s="137"/>
      <c r="AD6971" s="77"/>
      <c r="AE6971" s="18" t="s">
        <v>1651</v>
      </c>
      <c r="AF6971" s="18" t="s">
        <v>571</v>
      </c>
      <c r="AG6971" s="18"/>
      <c r="AH6971" s="18"/>
      <c r="AI6971" s="18"/>
      <c r="AJ6971" s="18"/>
      <c r="AK6971" s="18"/>
      <c r="AL6971" s="18"/>
      <c r="AM6971" s="18"/>
      <c r="AN6971" s="18"/>
      <c r="AO6971" s="18"/>
      <c r="AP6971" s="18"/>
      <c r="AQ6971" s="18"/>
      <c r="AR6971" s="18"/>
    </row>
    <row r="6972" hidden="1" spans="1:44">
      <c r="A6972" s="18"/>
      <c r="B6972" s="75">
        <v>1082</v>
      </c>
      <c r="C6972" s="213">
        <v>45894</v>
      </c>
      <c r="D6972" s="18" t="s">
        <v>1637</v>
      </c>
      <c r="E6972" s="18" t="s">
        <v>301</v>
      </c>
      <c r="F6972" s="18" t="s">
        <v>300</v>
      </c>
      <c r="G6972" s="18"/>
      <c r="H6972" s="75">
        <v>1.2379</v>
      </c>
      <c r="I6972" s="75"/>
      <c r="J6972" s="18" t="s">
        <v>39</v>
      </c>
      <c r="K6972" s="75">
        <v>26</v>
      </c>
      <c r="L6972" s="111"/>
      <c r="M6972" s="75">
        <v>5700</v>
      </c>
      <c r="N6972" s="75" t="s">
        <v>40</v>
      </c>
      <c r="O6972" s="75" t="s">
        <v>84</v>
      </c>
      <c r="P6972" s="75">
        <v>1500</v>
      </c>
      <c r="Q6972" s="75"/>
      <c r="R6972" s="75">
        <f t="shared" si="305"/>
        <v>1500</v>
      </c>
      <c r="S6972" s="75">
        <v>2800</v>
      </c>
      <c r="T6972" s="75" t="s">
        <v>42</v>
      </c>
      <c r="U6972" s="137" t="s">
        <v>1654</v>
      </c>
      <c r="V6972" s="193">
        <v>45947</v>
      </c>
      <c r="W6972" s="18" t="s">
        <v>69</v>
      </c>
      <c r="X6972" s="18"/>
      <c r="Y6972" s="114">
        <v>46174</v>
      </c>
      <c r="Z6972" s="18" t="s">
        <v>45</v>
      </c>
      <c r="AA6972" s="18" t="s">
        <v>46</v>
      </c>
      <c r="AB6972" s="18"/>
      <c r="AC6972" s="137"/>
      <c r="AD6972" s="77"/>
      <c r="AE6972" s="18" t="s">
        <v>1655</v>
      </c>
      <c r="AF6972" s="18" t="s">
        <v>571</v>
      </c>
      <c r="AG6972" s="18"/>
      <c r="AH6972" s="18"/>
      <c r="AI6972" s="18"/>
      <c r="AJ6972" s="18"/>
      <c r="AK6972" s="18"/>
      <c r="AL6972" s="18"/>
      <c r="AM6972" s="18"/>
      <c r="AN6972" s="18"/>
      <c r="AO6972" s="18"/>
      <c r="AP6972" s="18"/>
      <c r="AQ6972" s="18"/>
      <c r="AR6972" s="18"/>
    </row>
    <row r="6973" hidden="1" spans="1:44">
      <c r="A6973" s="18"/>
      <c r="B6973" s="75">
        <v>1082</v>
      </c>
      <c r="C6973" s="213">
        <v>45894</v>
      </c>
      <c r="D6973" s="18" t="s">
        <v>1637</v>
      </c>
      <c r="E6973" s="18" t="s">
        <v>301</v>
      </c>
      <c r="F6973" s="18" t="s">
        <v>300</v>
      </c>
      <c r="G6973" s="18"/>
      <c r="H6973" s="75">
        <v>1.2379</v>
      </c>
      <c r="I6973" s="75"/>
      <c r="J6973" s="18" t="s">
        <v>39</v>
      </c>
      <c r="K6973" s="75">
        <v>28</v>
      </c>
      <c r="L6973" s="111"/>
      <c r="M6973" s="75">
        <v>5700</v>
      </c>
      <c r="N6973" s="75" t="s">
        <v>40</v>
      </c>
      <c r="O6973" s="75" t="s">
        <v>84</v>
      </c>
      <c r="P6973" s="75">
        <v>1000</v>
      </c>
      <c r="Q6973" s="75"/>
      <c r="R6973" s="75">
        <f t="shared" si="305"/>
        <v>1000</v>
      </c>
      <c r="S6973" s="75">
        <v>2800</v>
      </c>
      <c r="T6973" s="75" t="s">
        <v>42</v>
      </c>
      <c r="U6973" s="137" t="s">
        <v>1654</v>
      </c>
      <c r="V6973" s="193">
        <v>45947</v>
      </c>
      <c r="W6973" s="18" t="s">
        <v>69</v>
      </c>
      <c r="X6973" s="18"/>
      <c r="Y6973" s="114">
        <v>46174</v>
      </c>
      <c r="Z6973" s="18" t="s">
        <v>45</v>
      </c>
      <c r="AA6973" s="18" t="s">
        <v>46</v>
      </c>
      <c r="AB6973" s="18"/>
      <c r="AC6973" s="137"/>
      <c r="AD6973" s="77"/>
      <c r="AE6973" s="18" t="s">
        <v>74</v>
      </c>
      <c r="AF6973" s="18" t="s">
        <v>571</v>
      </c>
      <c r="AG6973" s="18"/>
      <c r="AH6973" s="18"/>
      <c r="AI6973" s="18"/>
      <c r="AJ6973" s="18"/>
      <c r="AK6973" s="18"/>
      <c r="AL6973" s="18"/>
      <c r="AM6973" s="18"/>
      <c r="AN6973" s="18"/>
      <c r="AO6973" s="18"/>
      <c r="AP6973" s="18"/>
      <c r="AQ6973" s="18"/>
      <c r="AR6973" s="18"/>
    </row>
    <row r="6974" hidden="1" spans="1:44">
      <c r="A6974" s="18"/>
      <c r="B6974" s="75">
        <v>1082</v>
      </c>
      <c r="C6974" s="213">
        <v>45894</v>
      </c>
      <c r="D6974" s="18" t="s">
        <v>1637</v>
      </c>
      <c r="E6974" s="18" t="s">
        <v>301</v>
      </c>
      <c r="F6974" s="18" t="s">
        <v>300</v>
      </c>
      <c r="G6974" s="18"/>
      <c r="H6974" s="75">
        <v>1.2379</v>
      </c>
      <c r="I6974" s="75"/>
      <c r="J6974" s="18" t="s">
        <v>39</v>
      </c>
      <c r="K6974" s="75">
        <v>32</v>
      </c>
      <c r="L6974" s="111"/>
      <c r="M6974" s="75">
        <v>5700</v>
      </c>
      <c r="N6974" s="75" t="s">
        <v>40</v>
      </c>
      <c r="O6974" s="75" t="s">
        <v>84</v>
      </c>
      <c r="P6974" s="75">
        <v>1000</v>
      </c>
      <c r="Q6974" s="75"/>
      <c r="R6974" s="75">
        <f t="shared" si="305"/>
        <v>1000</v>
      </c>
      <c r="S6974" s="75">
        <v>2800</v>
      </c>
      <c r="T6974" s="75" t="s">
        <v>42</v>
      </c>
      <c r="U6974" s="137" t="s">
        <v>1654</v>
      </c>
      <c r="V6974" s="193">
        <v>45947</v>
      </c>
      <c r="W6974" s="18" t="s">
        <v>69</v>
      </c>
      <c r="X6974" s="18"/>
      <c r="Y6974" s="114">
        <v>46174</v>
      </c>
      <c r="Z6974" s="18" t="s">
        <v>45</v>
      </c>
      <c r="AA6974" s="18" t="s">
        <v>46</v>
      </c>
      <c r="AB6974" s="18"/>
      <c r="AC6974" s="137"/>
      <c r="AD6974" s="77"/>
      <c r="AE6974" s="18" t="s">
        <v>74</v>
      </c>
      <c r="AF6974" s="18" t="s">
        <v>571</v>
      </c>
      <c r="AG6974" s="18"/>
      <c r="AH6974" s="18"/>
      <c r="AI6974" s="18"/>
      <c r="AJ6974" s="18"/>
      <c r="AK6974" s="18"/>
      <c r="AL6974" s="18"/>
      <c r="AM6974" s="18"/>
      <c r="AN6974" s="18"/>
      <c r="AO6974" s="18"/>
      <c r="AP6974" s="18"/>
      <c r="AQ6974" s="18"/>
      <c r="AR6974" s="18"/>
    </row>
    <row r="6975" hidden="1" spans="1:44">
      <c r="A6975" s="18"/>
      <c r="B6975" s="75">
        <v>1082</v>
      </c>
      <c r="C6975" s="213">
        <v>45894</v>
      </c>
      <c r="D6975" s="18" t="s">
        <v>1637</v>
      </c>
      <c r="E6975" s="18" t="s">
        <v>301</v>
      </c>
      <c r="F6975" s="18" t="s">
        <v>300</v>
      </c>
      <c r="G6975" s="18"/>
      <c r="H6975" s="75">
        <v>1.2379</v>
      </c>
      <c r="I6975" s="75"/>
      <c r="J6975" s="18" t="s">
        <v>39</v>
      </c>
      <c r="K6975" s="75">
        <v>40</v>
      </c>
      <c r="L6975" s="111"/>
      <c r="M6975" s="75">
        <v>5700</v>
      </c>
      <c r="N6975" s="75" t="s">
        <v>40</v>
      </c>
      <c r="O6975" s="75" t="s">
        <v>84</v>
      </c>
      <c r="P6975" s="75">
        <v>1000</v>
      </c>
      <c r="Q6975" s="75"/>
      <c r="R6975" s="75">
        <f t="shared" si="305"/>
        <v>1000</v>
      </c>
      <c r="S6975" s="75">
        <v>2800</v>
      </c>
      <c r="T6975" s="75" t="s">
        <v>42</v>
      </c>
      <c r="U6975" s="137" t="s">
        <v>1654</v>
      </c>
      <c r="V6975" s="193">
        <v>45947</v>
      </c>
      <c r="W6975" s="18" t="s">
        <v>69</v>
      </c>
      <c r="X6975" s="18"/>
      <c r="Y6975" s="114">
        <v>46174</v>
      </c>
      <c r="Z6975" s="18" t="s">
        <v>45</v>
      </c>
      <c r="AA6975" s="18" t="s">
        <v>46</v>
      </c>
      <c r="AB6975" s="18"/>
      <c r="AC6975" s="137"/>
      <c r="AD6975" s="77"/>
      <c r="AE6975" s="18" t="s">
        <v>74</v>
      </c>
      <c r="AF6975" s="18" t="s">
        <v>571</v>
      </c>
      <c r="AG6975" s="18"/>
      <c r="AH6975" s="18"/>
      <c r="AI6975" s="18"/>
      <c r="AJ6975" s="18"/>
      <c r="AK6975" s="18"/>
      <c r="AL6975" s="18"/>
      <c r="AM6975" s="18"/>
      <c r="AN6975" s="18"/>
      <c r="AO6975" s="18"/>
      <c r="AP6975" s="18"/>
      <c r="AQ6975" s="18"/>
      <c r="AR6975" s="18"/>
    </row>
    <row r="6976" hidden="1" spans="1:44">
      <c r="A6976" s="18"/>
      <c r="B6976" s="75">
        <v>1082</v>
      </c>
      <c r="C6976" s="213">
        <v>45894</v>
      </c>
      <c r="D6976" s="18" t="s">
        <v>1637</v>
      </c>
      <c r="E6976" s="18" t="s">
        <v>301</v>
      </c>
      <c r="F6976" s="18" t="s">
        <v>300</v>
      </c>
      <c r="G6976" s="18"/>
      <c r="H6976" s="75">
        <v>1.2379</v>
      </c>
      <c r="I6976" s="75"/>
      <c r="J6976" s="18" t="s">
        <v>39</v>
      </c>
      <c r="K6976" s="75">
        <v>45</v>
      </c>
      <c r="L6976" s="111"/>
      <c r="M6976" s="75">
        <v>5700</v>
      </c>
      <c r="N6976" s="75" t="s">
        <v>40</v>
      </c>
      <c r="O6976" s="75" t="s">
        <v>84</v>
      </c>
      <c r="P6976" s="75">
        <v>1000</v>
      </c>
      <c r="Q6976" s="75"/>
      <c r="R6976" s="75">
        <f t="shared" si="305"/>
        <v>1000</v>
      </c>
      <c r="S6976" s="75">
        <v>2800</v>
      </c>
      <c r="T6976" s="75" t="s">
        <v>42</v>
      </c>
      <c r="U6976" s="137" t="s">
        <v>1654</v>
      </c>
      <c r="V6976" s="193">
        <v>45947</v>
      </c>
      <c r="W6976" s="18" t="s">
        <v>69</v>
      </c>
      <c r="X6976" s="18"/>
      <c r="Y6976" s="114">
        <v>46174</v>
      </c>
      <c r="Z6976" s="18" t="s">
        <v>45</v>
      </c>
      <c r="AA6976" s="18" t="s">
        <v>46</v>
      </c>
      <c r="AB6976" s="18"/>
      <c r="AC6976" s="137"/>
      <c r="AD6976" s="77"/>
      <c r="AE6976" s="18" t="s">
        <v>74</v>
      </c>
      <c r="AF6976" s="18" t="s">
        <v>571</v>
      </c>
      <c r="AG6976" s="18"/>
      <c r="AH6976" s="18"/>
      <c r="AI6976" s="18"/>
      <c r="AJ6976" s="18"/>
      <c r="AK6976" s="18"/>
      <c r="AL6976" s="18"/>
      <c r="AM6976" s="18"/>
      <c r="AN6976" s="18"/>
      <c r="AO6976" s="18"/>
      <c r="AP6976" s="18"/>
      <c r="AQ6976" s="18"/>
      <c r="AR6976" s="18"/>
    </row>
    <row r="6977" hidden="1" spans="1:44">
      <c r="A6977" s="18"/>
      <c r="B6977" s="75">
        <v>1082</v>
      </c>
      <c r="C6977" s="213">
        <v>45894</v>
      </c>
      <c r="D6977" s="18" t="s">
        <v>1637</v>
      </c>
      <c r="E6977" s="18" t="s">
        <v>301</v>
      </c>
      <c r="F6977" s="18" t="s">
        <v>300</v>
      </c>
      <c r="G6977" s="18"/>
      <c r="H6977" s="75">
        <v>1.2379</v>
      </c>
      <c r="I6977" s="75"/>
      <c r="J6977" s="18" t="s">
        <v>39</v>
      </c>
      <c r="K6977" s="75">
        <v>46</v>
      </c>
      <c r="L6977" s="111"/>
      <c r="M6977" s="75">
        <v>5700</v>
      </c>
      <c r="N6977" s="75" t="s">
        <v>40</v>
      </c>
      <c r="O6977" s="75" t="s">
        <v>84</v>
      </c>
      <c r="P6977" s="75">
        <v>500</v>
      </c>
      <c r="Q6977" s="75"/>
      <c r="R6977" s="75">
        <f t="shared" si="305"/>
        <v>500</v>
      </c>
      <c r="S6977" s="75">
        <v>2800</v>
      </c>
      <c r="T6977" s="75" t="s">
        <v>42</v>
      </c>
      <c r="U6977" s="137" t="s">
        <v>1654</v>
      </c>
      <c r="V6977" s="193">
        <v>45947</v>
      </c>
      <c r="W6977" s="18" t="s">
        <v>69</v>
      </c>
      <c r="X6977" s="18"/>
      <c r="Y6977" s="114">
        <v>46174</v>
      </c>
      <c r="Z6977" s="18" t="s">
        <v>45</v>
      </c>
      <c r="AA6977" s="18" t="s">
        <v>46</v>
      </c>
      <c r="AB6977" s="18"/>
      <c r="AC6977" s="137"/>
      <c r="AD6977" s="77"/>
      <c r="AE6977" s="18" t="s">
        <v>1651</v>
      </c>
      <c r="AF6977" s="18" t="s">
        <v>571</v>
      </c>
      <c r="AG6977" s="18"/>
      <c r="AH6977" s="18"/>
      <c r="AI6977" s="18"/>
      <c r="AJ6977" s="18"/>
      <c r="AK6977" s="18"/>
      <c r="AL6977" s="18"/>
      <c r="AM6977" s="18"/>
      <c r="AN6977" s="18"/>
      <c r="AO6977" s="18"/>
      <c r="AP6977" s="18"/>
      <c r="AQ6977" s="18"/>
      <c r="AR6977" s="18"/>
    </row>
    <row r="6978" hidden="1" spans="1:44">
      <c r="A6978" s="18"/>
      <c r="B6978" s="75">
        <v>1082</v>
      </c>
      <c r="C6978" s="213">
        <v>45894</v>
      </c>
      <c r="D6978" s="18" t="s">
        <v>1637</v>
      </c>
      <c r="E6978" s="18" t="s">
        <v>301</v>
      </c>
      <c r="F6978" s="18" t="s">
        <v>300</v>
      </c>
      <c r="G6978" s="18"/>
      <c r="H6978" s="75">
        <v>1.2379</v>
      </c>
      <c r="I6978" s="75"/>
      <c r="J6978" s="18" t="s">
        <v>39</v>
      </c>
      <c r="K6978" s="75">
        <v>51</v>
      </c>
      <c r="L6978" s="111"/>
      <c r="M6978" s="75">
        <v>5700</v>
      </c>
      <c r="N6978" s="75" t="s">
        <v>40</v>
      </c>
      <c r="O6978" s="75" t="s">
        <v>84</v>
      </c>
      <c r="P6978" s="75">
        <v>1500</v>
      </c>
      <c r="Q6978" s="75"/>
      <c r="R6978" s="75">
        <f t="shared" si="305"/>
        <v>1500</v>
      </c>
      <c r="S6978" s="75">
        <v>2800</v>
      </c>
      <c r="T6978" s="75" t="s">
        <v>42</v>
      </c>
      <c r="U6978" s="137" t="s">
        <v>1654</v>
      </c>
      <c r="V6978" s="193">
        <v>45947</v>
      </c>
      <c r="W6978" s="18" t="s">
        <v>69</v>
      </c>
      <c r="X6978" s="18"/>
      <c r="Y6978" s="114">
        <v>46174</v>
      </c>
      <c r="Z6978" s="18" t="s">
        <v>45</v>
      </c>
      <c r="AA6978" s="18" t="s">
        <v>46</v>
      </c>
      <c r="AB6978" s="18"/>
      <c r="AC6978" s="137"/>
      <c r="AD6978" s="77"/>
      <c r="AE6978" s="18" t="s">
        <v>1655</v>
      </c>
      <c r="AF6978" s="18" t="s">
        <v>571</v>
      </c>
      <c r="AG6978" s="18"/>
      <c r="AH6978" s="18"/>
      <c r="AI6978" s="18"/>
      <c r="AJ6978" s="18"/>
      <c r="AK6978" s="18"/>
      <c r="AL6978" s="18"/>
      <c r="AM6978" s="18"/>
      <c r="AN6978" s="18"/>
      <c r="AO6978" s="18"/>
      <c r="AP6978" s="18"/>
      <c r="AQ6978" s="18"/>
      <c r="AR6978" s="18"/>
    </row>
    <row r="6979" hidden="1" spans="1:44">
      <c r="A6979" s="18"/>
      <c r="B6979" s="75">
        <v>1082</v>
      </c>
      <c r="C6979" s="213">
        <v>45894</v>
      </c>
      <c r="D6979" s="18" t="s">
        <v>1637</v>
      </c>
      <c r="E6979" s="18" t="s">
        <v>301</v>
      </c>
      <c r="F6979" s="18" t="s">
        <v>300</v>
      </c>
      <c r="G6979" s="18"/>
      <c r="H6979" s="75">
        <v>1.2379</v>
      </c>
      <c r="I6979" s="75"/>
      <c r="J6979" s="18" t="s">
        <v>39</v>
      </c>
      <c r="K6979" s="75">
        <v>56</v>
      </c>
      <c r="L6979" s="111"/>
      <c r="M6979" s="75">
        <v>5700</v>
      </c>
      <c r="N6979" s="75" t="s">
        <v>40</v>
      </c>
      <c r="O6979" s="75" t="s">
        <v>84</v>
      </c>
      <c r="P6979" s="75">
        <v>2500</v>
      </c>
      <c r="Q6979" s="75"/>
      <c r="R6979" s="75">
        <f t="shared" si="305"/>
        <v>2500</v>
      </c>
      <c r="S6979" s="75">
        <v>2800</v>
      </c>
      <c r="T6979" s="75" t="s">
        <v>42</v>
      </c>
      <c r="U6979" s="137" t="s">
        <v>1654</v>
      </c>
      <c r="V6979" s="193">
        <v>45947</v>
      </c>
      <c r="W6979" s="18" t="s">
        <v>69</v>
      </c>
      <c r="X6979" s="18"/>
      <c r="Y6979" s="114">
        <v>46174</v>
      </c>
      <c r="Z6979" s="18" t="s">
        <v>45</v>
      </c>
      <c r="AA6979" s="18" t="s">
        <v>46</v>
      </c>
      <c r="AB6979" s="18"/>
      <c r="AC6979" s="137"/>
      <c r="AD6979" s="77"/>
      <c r="AE6979" s="18" t="s">
        <v>1655</v>
      </c>
      <c r="AF6979" s="18" t="s">
        <v>571</v>
      </c>
      <c r="AG6979" s="18"/>
      <c r="AH6979" s="18"/>
      <c r="AI6979" s="18"/>
      <c r="AJ6979" s="18"/>
      <c r="AK6979" s="18"/>
      <c r="AL6979" s="18"/>
      <c r="AM6979" s="18"/>
      <c r="AN6979" s="18"/>
      <c r="AO6979" s="18"/>
      <c r="AP6979" s="18"/>
      <c r="AQ6979" s="18"/>
      <c r="AR6979" s="18"/>
    </row>
    <row r="6980" hidden="1" spans="1:44">
      <c r="A6980" s="18"/>
      <c r="B6980" s="75">
        <v>1082</v>
      </c>
      <c r="C6980" s="213">
        <v>45894</v>
      </c>
      <c r="D6980" s="18" t="s">
        <v>1637</v>
      </c>
      <c r="E6980" s="18" t="s">
        <v>301</v>
      </c>
      <c r="F6980" s="18" t="s">
        <v>300</v>
      </c>
      <c r="G6980" s="18"/>
      <c r="H6980" s="75">
        <v>1.2379</v>
      </c>
      <c r="I6980" s="75"/>
      <c r="J6980" s="18" t="s">
        <v>39</v>
      </c>
      <c r="K6980" s="75">
        <v>61</v>
      </c>
      <c r="L6980" s="111"/>
      <c r="M6980" s="75">
        <v>5700</v>
      </c>
      <c r="N6980" s="75" t="s">
        <v>40</v>
      </c>
      <c r="O6980" s="75" t="s">
        <v>84</v>
      </c>
      <c r="P6980" s="75">
        <v>1500</v>
      </c>
      <c r="Q6980" s="75"/>
      <c r="R6980" s="75">
        <f t="shared" si="305"/>
        <v>1500</v>
      </c>
      <c r="S6980" s="75">
        <v>2800</v>
      </c>
      <c r="T6980" s="75" t="s">
        <v>42</v>
      </c>
      <c r="U6980" s="137" t="s">
        <v>1654</v>
      </c>
      <c r="V6980" s="193">
        <v>45947</v>
      </c>
      <c r="W6980" s="18" t="s">
        <v>69</v>
      </c>
      <c r="X6980" s="18"/>
      <c r="Y6980" s="114">
        <v>46174</v>
      </c>
      <c r="Z6980" s="18" t="s">
        <v>45</v>
      </c>
      <c r="AA6980" s="18" t="s">
        <v>46</v>
      </c>
      <c r="AB6980" s="18"/>
      <c r="AC6980" s="137"/>
      <c r="AD6980" s="77"/>
      <c r="AE6980" s="18" t="s">
        <v>1655</v>
      </c>
      <c r="AF6980" s="18" t="s">
        <v>571</v>
      </c>
      <c r="AG6980" s="18"/>
      <c r="AH6980" s="18"/>
      <c r="AI6980" s="18"/>
      <c r="AJ6980" s="18"/>
      <c r="AK6980" s="18"/>
      <c r="AL6980" s="18"/>
      <c r="AM6980" s="18"/>
      <c r="AN6980" s="18"/>
      <c r="AO6980" s="18"/>
      <c r="AP6980" s="18"/>
      <c r="AQ6980" s="18"/>
      <c r="AR6980" s="18"/>
    </row>
    <row r="6981" hidden="1" spans="1:44">
      <c r="A6981" s="18"/>
      <c r="B6981" s="75">
        <v>1082</v>
      </c>
      <c r="C6981" s="213">
        <v>45894</v>
      </c>
      <c r="D6981" s="18" t="s">
        <v>1637</v>
      </c>
      <c r="E6981" s="18" t="s">
        <v>301</v>
      </c>
      <c r="F6981" s="18" t="s">
        <v>300</v>
      </c>
      <c r="G6981" s="18"/>
      <c r="H6981" s="75">
        <v>1.2379</v>
      </c>
      <c r="I6981" s="75"/>
      <c r="J6981" s="18" t="s">
        <v>39</v>
      </c>
      <c r="K6981" s="75">
        <v>65</v>
      </c>
      <c r="L6981" s="111"/>
      <c r="M6981" s="75">
        <v>5700</v>
      </c>
      <c r="N6981" s="75" t="s">
        <v>40</v>
      </c>
      <c r="O6981" s="75" t="s">
        <v>84</v>
      </c>
      <c r="P6981" s="75">
        <v>500</v>
      </c>
      <c r="Q6981" s="75"/>
      <c r="R6981" s="75">
        <f t="shared" si="305"/>
        <v>500</v>
      </c>
      <c r="S6981" s="75">
        <v>2800</v>
      </c>
      <c r="T6981" s="75" t="s">
        <v>42</v>
      </c>
      <c r="U6981" s="137" t="s">
        <v>1654</v>
      </c>
      <c r="V6981" s="193">
        <v>45947</v>
      </c>
      <c r="W6981" s="18" t="s">
        <v>69</v>
      </c>
      <c r="X6981" s="18"/>
      <c r="Y6981" s="114">
        <v>46174</v>
      </c>
      <c r="Z6981" s="18" t="s">
        <v>45</v>
      </c>
      <c r="AA6981" s="18" t="s">
        <v>46</v>
      </c>
      <c r="AB6981" s="18"/>
      <c r="AC6981" s="137"/>
      <c r="AD6981" s="77"/>
      <c r="AE6981" s="18" t="s">
        <v>74</v>
      </c>
      <c r="AF6981" s="18" t="s">
        <v>571</v>
      </c>
      <c r="AG6981" s="18"/>
      <c r="AH6981" s="18"/>
      <c r="AI6981" s="18"/>
      <c r="AJ6981" s="18"/>
      <c r="AK6981" s="18"/>
      <c r="AL6981" s="18"/>
      <c r="AM6981" s="18"/>
      <c r="AN6981" s="18"/>
      <c r="AO6981" s="18"/>
      <c r="AP6981" s="18"/>
      <c r="AQ6981" s="18"/>
      <c r="AR6981" s="18"/>
    </row>
    <row r="6982" hidden="1" spans="1:44">
      <c r="A6982" s="18"/>
      <c r="B6982" s="75">
        <v>1082</v>
      </c>
      <c r="C6982" s="213">
        <v>45894</v>
      </c>
      <c r="D6982" s="18" t="s">
        <v>1637</v>
      </c>
      <c r="E6982" s="18" t="s">
        <v>301</v>
      </c>
      <c r="F6982" s="18" t="s">
        <v>300</v>
      </c>
      <c r="G6982" s="18"/>
      <c r="H6982" s="75">
        <v>1.2379</v>
      </c>
      <c r="I6982" s="75"/>
      <c r="J6982" s="18" t="s">
        <v>39</v>
      </c>
      <c r="K6982" s="75">
        <v>66</v>
      </c>
      <c r="L6982" s="111"/>
      <c r="M6982" s="75">
        <v>5700</v>
      </c>
      <c r="N6982" s="75" t="s">
        <v>40</v>
      </c>
      <c r="O6982" s="75" t="s">
        <v>84</v>
      </c>
      <c r="P6982" s="75">
        <v>500</v>
      </c>
      <c r="Q6982" s="75"/>
      <c r="R6982" s="75">
        <f t="shared" si="305"/>
        <v>500</v>
      </c>
      <c r="S6982" s="75">
        <v>2800</v>
      </c>
      <c r="T6982" s="75" t="s">
        <v>42</v>
      </c>
      <c r="U6982" s="137" t="s">
        <v>1654</v>
      </c>
      <c r="V6982" s="193">
        <v>45947</v>
      </c>
      <c r="W6982" s="18" t="s">
        <v>69</v>
      </c>
      <c r="X6982" s="18"/>
      <c r="Y6982" s="114">
        <v>46174</v>
      </c>
      <c r="Z6982" s="18" t="s">
        <v>45</v>
      </c>
      <c r="AA6982" s="18" t="s">
        <v>46</v>
      </c>
      <c r="AB6982" s="18"/>
      <c r="AC6982" s="137"/>
      <c r="AD6982" s="77"/>
      <c r="AE6982" s="18" t="s">
        <v>1651</v>
      </c>
      <c r="AF6982" s="18" t="s">
        <v>571</v>
      </c>
      <c r="AG6982" s="18"/>
      <c r="AH6982" s="18"/>
      <c r="AI6982" s="18"/>
      <c r="AJ6982" s="18"/>
      <c r="AK6982" s="18"/>
      <c r="AL6982" s="18"/>
      <c r="AM6982" s="18"/>
      <c r="AN6982" s="18"/>
      <c r="AO6982" s="18"/>
      <c r="AP6982" s="18"/>
      <c r="AQ6982" s="18"/>
      <c r="AR6982" s="18"/>
    </row>
    <row r="6983" hidden="1" spans="1:44">
      <c r="A6983" s="18"/>
      <c r="B6983" s="75">
        <v>1082</v>
      </c>
      <c r="C6983" s="213">
        <v>45894</v>
      </c>
      <c r="D6983" s="18" t="s">
        <v>1637</v>
      </c>
      <c r="E6983" s="18" t="s">
        <v>301</v>
      </c>
      <c r="F6983" s="18" t="s">
        <v>300</v>
      </c>
      <c r="G6983" s="18"/>
      <c r="H6983" s="75">
        <v>1.2379</v>
      </c>
      <c r="I6983" s="75"/>
      <c r="J6983" s="18" t="s">
        <v>39</v>
      </c>
      <c r="K6983" s="75">
        <v>70</v>
      </c>
      <c r="L6983" s="111"/>
      <c r="M6983" s="75">
        <v>5700</v>
      </c>
      <c r="N6983" s="75" t="s">
        <v>40</v>
      </c>
      <c r="O6983" s="75" t="s">
        <v>84</v>
      </c>
      <c r="P6983" s="75">
        <v>1500</v>
      </c>
      <c r="Q6983" s="75"/>
      <c r="R6983" s="75">
        <f t="shared" si="305"/>
        <v>1500</v>
      </c>
      <c r="S6983" s="75">
        <v>2800</v>
      </c>
      <c r="T6983" s="75" t="s">
        <v>42</v>
      </c>
      <c r="U6983" s="137" t="s">
        <v>1654</v>
      </c>
      <c r="V6983" s="193">
        <v>45947</v>
      </c>
      <c r="W6983" s="18" t="s">
        <v>69</v>
      </c>
      <c r="X6983" s="18"/>
      <c r="Y6983" s="114">
        <v>46174</v>
      </c>
      <c r="Z6983" s="18" t="s">
        <v>45</v>
      </c>
      <c r="AA6983" s="18" t="s">
        <v>46</v>
      </c>
      <c r="AB6983" s="18"/>
      <c r="AC6983" s="137"/>
      <c r="AD6983" s="77"/>
      <c r="AE6983" s="18" t="s">
        <v>48</v>
      </c>
      <c r="AF6983" s="18" t="s">
        <v>571</v>
      </c>
      <c r="AG6983" s="18"/>
      <c r="AH6983" s="18"/>
      <c r="AI6983" s="18"/>
      <c r="AJ6983" s="18"/>
      <c r="AK6983" s="18"/>
      <c r="AL6983" s="18"/>
      <c r="AM6983" s="18"/>
      <c r="AN6983" s="18"/>
      <c r="AO6983" s="18"/>
      <c r="AP6983" s="18"/>
      <c r="AQ6983" s="18"/>
      <c r="AR6983" s="18"/>
    </row>
    <row r="6984" hidden="1" spans="1:44">
      <c r="A6984" s="18"/>
      <c r="B6984" s="75">
        <v>1082</v>
      </c>
      <c r="C6984" s="213">
        <v>45894</v>
      </c>
      <c r="D6984" s="18" t="s">
        <v>1637</v>
      </c>
      <c r="E6984" s="18" t="s">
        <v>301</v>
      </c>
      <c r="F6984" s="18" t="s">
        <v>300</v>
      </c>
      <c r="G6984" s="18"/>
      <c r="H6984" s="75">
        <v>1.2379</v>
      </c>
      <c r="I6984" s="75"/>
      <c r="J6984" s="18" t="s">
        <v>39</v>
      </c>
      <c r="K6984" s="75">
        <v>71</v>
      </c>
      <c r="L6984" s="111"/>
      <c r="M6984" s="75">
        <v>5700</v>
      </c>
      <c r="N6984" s="75" t="s">
        <v>40</v>
      </c>
      <c r="O6984" s="75" t="s">
        <v>84</v>
      </c>
      <c r="P6984" s="75">
        <v>500</v>
      </c>
      <c r="Q6984" s="75"/>
      <c r="R6984" s="75">
        <f t="shared" si="305"/>
        <v>500</v>
      </c>
      <c r="S6984" s="75">
        <v>2800</v>
      </c>
      <c r="T6984" s="75" t="s">
        <v>42</v>
      </c>
      <c r="U6984" s="137" t="s">
        <v>1654</v>
      </c>
      <c r="V6984" s="193">
        <v>45947</v>
      </c>
      <c r="W6984" s="18" t="s">
        <v>69</v>
      </c>
      <c r="X6984" s="18"/>
      <c r="Y6984" s="114">
        <v>46174</v>
      </c>
      <c r="Z6984" s="18" t="s">
        <v>45</v>
      </c>
      <c r="AA6984" s="18" t="s">
        <v>46</v>
      </c>
      <c r="AB6984" s="18"/>
      <c r="AC6984" s="137"/>
      <c r="AD6984" s="77"/>
      <c r="AE6984" s="18" t="s">
        <v>1651</v>
      </c>
      <c r="AF6984" s="18" t="s">
        <v>571</v>
      </c>
      <c r="AG6984" s="18"/>
      <c r="AH6984" s="18"/>
      <c r="AI6984" s="18"/>
      <c r="AJ6984" s="18"/>
      <c r="AK6984" s="18"/>
      <c r="AL6984" s="18"/>
      <c r="AM6984" s="18"/>
      <c r="AN6984" s="18"/>
      <c r="AO6984" s="18"/>
      <c r="AP6984" s="18"/>
      <c r="AQ6984" s="18"/>
      <c r="AR6984" s="18"/>
    </row>
    <row r="6985" hidden="1" spans="1:44">
      <c r="A6985" s="18"/>
      <c r="B6985" s="75">
        <v>1082</v>
      </c>
      <c r="C6985" s="213">
        <v>45894</v>
      </c>
      <c r="D6985" s="18" t="s">
        <v>1637</v>
      </c>
      <c r="E6985" s="18" t="s">
        <v>301</v>
      </c>
      <c r="F6985" s="18" t="s">
        <v>300</v>
      </c>
      <c r="G6985" s="18"/>
      <c r="H6985" s="75">
        <v>1.2379</v>
      </c>
      <c r="I6985" s="75"/>
      <c r="J6985" s="18" t="s">
        <v>39</v>
      </c>
      <c r="K6985" s="75">
        <v>76</v>
      </c>
      <c r="L6985" s="111"/>
      <c r="M6985" s="75">
        <v>5700</v>
      </c>
      <c r="N6985" s="75" t="s">
        <v>40</v>
      </c>
      <c r="O6985" s="75" t="s">
        <v>84</v>
      </c>
      <c r="P6985" s="75">
        <v>1000</v>
      </c>
      <c r="Q6985" s="75"/>
      <c r="R6985" s="75">
        <f t="shared" si="305"/>
        <v>1000</v>
      </c>
      <c r="S6985" s="75">
        <v>2800</v>
      </c>
      <c r="T6985" s="75" t="s">
        <v>42</v>
      </c>
      <c r="U6985" s="137" t="s">
        <v>1654</v>
      </c>
      <c r="V6985" s="193">
        <v>45947</v>
      </c>
      <c r="W6985" s="18" t="s">
        <v>69</v>
      </c>
      <c r="X6985" s="18"/>
      <c r="Y6985" s="114">
        <v>46174</v>
      </c>
      <c r="Z6985" s="18" t="s">
        <v>45</v>
      </c>
      <c r="AA6985" s="18" t="s">
        <v>46</v>
      </c>
      <c r="AB6985" s="18"/>
      <c r="AC6985" s="137"/>
      <c r="AD6985" s="77"/>
      <c r="AE6985" s="18" t="s">
        <v>1651</v>
      </c>
      <c r="AF6985" s="18" t="s">
        <v>571</v>
      </c>
      <c r="AG6985" s="18"/>
      <c r="AH6985" s="18"/>
      <c r="AI6985" s="18"/>
      <c r="AJ6985" s="18"/>
      <c r="AK6985" s="18"/>
      <c r="AL6985" s="18"/>
      <c r="AM6985" s="18"/>
      <c r="AN6985" s="18"/>
      <c r="AO6985" s="18"/>
      <c r="AP6985" s="18"/>
      <c r="AQ6985" s="18"/>
      <c r="AR6985" s="18"/>
    </row>
    <row r="6986" hidden="1" spans="1:44">
      <c r="A6986" s="18"/>
      <c r="B6986" s="75">
        <v>1082</v>
      </c>
      <c r="C6986" s="213">
        <v>45894</v>
      </c>
      <c r="D6986" s="18" t="s">
        <v>1637</v>
      </c>
      <c r="E6986" s="18" t="s">
        <v>301</v>
      </c>
      <c r="F6986" s="18" t="s">
        <v>300</v>
      </c>
      <c r="G6986" s="18"/>
      <c r="H6986" s="75">
        <v>1.2379</v>
      </c>
      <c r="I6986" s="75"/>
      <c r="J6986" s="18" t="s">
        <v>39</v>
      </c>
      <c r="K6986" s="75">
        <v>83</v>
      </c>
      <c r="L6986" s="111"/>
      <c r="M6986" s="75">
        <v>5700</v>
      </c>
      <c r="N6986" s="75" t="s">
        <v>40</v>
      </c>
      <c r="O6986" s="75" t="s">
        <v>84</v>
      </c>
      <c r="P6986" s="75">
        <v>3000</v>
      </c>
      <c r="Q6986" s="75"/>
      <c r="R6986" s="75">
        <f t="shared" si="305"/>
        <v>3000</v>
      </c>
      <c r="S6986" s="75">
        <v>2800</v>
      </c>
      <c r="T6986" s="75" t="s">
        <v>42</v>
      </c>
      <c r="U6986" s="137" t="s">
        <v>1654</v>
      </c>
      <c r="V6986" s="193">
        <v>45947</v>
      </c>
      <c r="W6986" s="18" t="s">
        <v>69</v>
      </c>
      <c r="X6986" s="18"/>
      <c r="Y6986" s="114">
        <v>46174</v>
      </c>
      <c r="Z6986" s="18" t="s">
        <v>45</v>
      </c>
      <c r="AA6986" s="18" t="s">
        <v>46</v>
      </c>
      <c r="AB6986" s="18"/>
      <c r="AC6986" s="137"/>
      <c r="AD6986" s="77"/>
      <c r="AE6986" s="18" t="s">
        <v>48</v>
      </c>
      <c r="AF6986" s="18" t="s">
        <v>571</v>
      </c>
      <c r="AG6986" s="18"/>
      <c r="AH6986" s="18"/>
      <c r="AI6986" s="18"/>
      <c r="AJ6986" s="18"/>
      <c r="AK6986" s="18"/>
      <c r="AL6986" s="18"/>
      <c r="AM6986" s="18"/>
      <c r="AN6986" s="18"/>
      <c r="AO6986" s="18"/>
      <c r="AP6986" s="18"/>
      <c r="AQ6986" s="18"/>
      <c r="AR6986" s="18"/>
    </row>
    <row r="6987" hidden="1" spans="1:44">
      <c r="A6987" s="18"/>
      <c r="B6987" s="75">
        <v>1082</v>
      </c>
      <c r="C6987" s="213">
        <v>45894</v>
      </c>
      <c r="D6987" s="18" t="s">
        <v>1637</v>
      </c>
      <c r="E6987" s="18" t="s">
        <v>301</v>
      </c>
      <c r="F6987" s="18" t="s">
        <v>300</v>
      </c>
      <c r="G6987" s="18"/>
      <c r="H6987" s="75">
        <v>1.2379</v>
      </c>
      <c r="I6987" s="75"/>
      <c r="J6987" s="18" t="s">
        <v>39</v>
      </c>
      <c r="K6987" s="75">
        <v>100</v>
      </c>
      <c r="L6987" s="111"/>
      <c r="M6987" s="75">
        <v>5700</v>
      </c>
      <c r="N6987" s="75" t="s">
        <v>40</v>
      </c>
      <c r="O6987" s="75" t="s">
        <v>84</v>
      </c>
      <c r="P6987" s="75">
        <v>1000</v>
      </c>
      <c r="Q6987" s="75"/>
      <c r="R6987" s="75">
        <f t="shared" si="305"/>
        <v>1000</v>
      </c>
      <c r="S6987" s="75">
        <v>2800</v>
      </c>
      <c r="T6987" s="75" t="s">
        <v>42</v>
      </c>
      <c r="U6987" s="137" t="s">
        <v>1654</v>
      </c>
      <c r="V6987" s="193">
        <v>45947</v>
      </c>
      <c r="W6987" s="18" t="s">
        <v>69</v>
      </c>
      <c r="X6987" s="18"/>
      <c r="Y6987" s="114">
        <v>46174</v>
      </c>
      <c r="Z6987" s="18" t="s">
        <v>45</v>
      </c>
      <c r="AA6987" s="18" t="s">
        <v>46</v>
      </c>
      <c r="AB6987" s="18"/>
      <c r="AC6987" s="137"/>
      <c r="AD6987" s="77"/>
      <c r="AE6987" s="18" t="s">
        <v>48</v>
      </c>
      <c r="AF6987" s="18" t="s">
        <v>571</v>
      </c>
      <c r="AG6987" s="18"/>
      <c r="AH6987" s="18"/>
      <c r="AI6987" s="18"/>
      <c r="AJ6987" s="18"/>
      <c r="AK6987" s="18"/>
      <c r="AL6987" s="18"/>
      <c r="AM6987" s="18"/>
      <c r="AN6987" s="18"/>
      <c r="AO6987" s="18"/>
      <c r="AP6987" s="18"/>
      <c r="AQ6987" s="18"/>
      <c r="AR6987" s="18"/>
    </row>
    <row r="6988" hidden="1" spans="1:44">
      <c r="A6988" s="18"/>
      <c r="B6988" s="75">
        <v>1082</v>
      </c>
      <c r="C6988" s="213">
        <v>45894</v>
      </c>
      <c r="D6988" s="18" t="s">
        <v>1637</v>
      </c>
      <c r="E6988" s="18" t="s">
        <v>301</v>
      </c>
      <c r="F6988" s="18" t="s">
        <v>300</v>
      </c>
      <c r="G6988" s="18"/>
      <c r="H6988" s="75">
        <v>1.2379</v>
      </c>
      <c r="I6988" s="75"/>
      <c r="J6988" s="18" t="s">
        <v>39</v>
      </c>
      <c r="K6988" s="75">
        <v>115</v>
      </c>
      <c r="L6988" s="111"/>
      <c r="M6988" s="75">
        <v>5700</v>
      </c>
      <c r="N6988" s="75" t="s">
        <v>40</v>
      </c>
      <c r="O6988" s="75" t="s">
        <v>50</v>
      </c>
      <c r="P6988" s="75">
        <v>500</v>
      </c>
      <c r="Q6988" s="75"/>
      <c r="R6988" s="75">
        <f t="shared" si="305"/>
        <v>500</v>
      </c>
      <c r="S6988" s="75">
        <v>2800</v>
      </c>
      <c r="T6988" s="75" t="s">
        <v>42</v>
      </c>
      <c r="U6988" s="137" t="s">
        <v>1654</v>
      </c>
      <c r="V6988" s="193">
        <v>45947</v>
      </c>
      <c r="W6988" s="18" t="s">
        <v>69</v>
      </c>
      <c r="X6988" s="18"/>
      <c r="Y6988" s="114">
        <v>46174</v>
      </c>
      <c r="Z6988" s="18" t="s">
        <v>45</v>
      </c>
      <c r="AA6988" s="18" t="s">
        <v>46</v>
      </c>
      <c r="AB6988" s="18"/>
      <c r="AC6988" s="137"/>
      <c r="AD6988" s="77"/>
      <c r="AE6988" s="18" t="s">
        <v>48</v>
      </c>
      <c r="AF6988" s="18" t="s">
        <v>571</v>
      </c>
      <c r="AG6988" s="18"/>
      <c r="AH6988" s="18"/>
      <c r="AI6988" s="18"/>
      <c r="AJ6988" s="18"/>
      <c r="AK6988" s="18"/>
      <c r="AL6988" s="18"/>
      <c r="AM6988" s="18"/>
      <c r="AN6988" s="18"/>
      <c r="AO6988" s="18"/>
      <c r="AP6988" s="18"/>
      <c r="AQ6988" s="18"/>
      <c r="AR6988" s="18"/>
    </row>
    <row r="6989" hidden="1" spans="1:44">
      <c r="A6989" s="18"/>
      <c r="B6989" s="75">
        <v>1082</v>
      </c>
      <c r="C6989" s="213">
        <v>45894</v>
      </c>
      <c r="D6989" s="18" t="s">
        <v>1637</v>
      </c>
      <c r="E6989" s="18" t="s">
        <v>301</v>
      </c>
      <c r="F6989" s="18" t="s">
        <v>300</v>
      </c>
      <c r="G6989" s="18"/>
      <c r="H6989" s="75">
        <v>1.2379</v>
      </c>
      <c r="I6989" s="75"/>
      <c r="J6989" s="18" t="s">
        <v>39</v>
      </c>
      <c r="K6989" s="75">
        <v>123</v>
      </c>
      <c r="L6989" s="111"/>
      <c r="M6989" s="75">
        <v>5700</v>
      </c>
      <c r="N6989" s="75" t="s">
        <v>40</v>
      </c>
      <c r="O6989" s="75" t="s">
        <v>50</v>
      </c>
      <c r="P6989" s="75">
        <v>3000</v>
      </c>
      <c r="Q6989" s="75"/>
      <c r="R6989" s="75">
        <f t="shared" si="305"/>
        <v>3000</v>
      </c>
      <c r="S6989" s="75">
        <v>2800</v>
      </c>
      <c r="T6989" s="75" t="s">
        <v>42</v>
      </c>
      <c r="U6989" s="137" t="s">
        <v>1654</v>
      </c>
      <c r="V6989" s="193">
        <v>45947</v>
      </c>
      <c r="W6989" s="18" t="s">
        <v>69</v>
      </c>
      <c r="X6989" s="18"/>
      <c r="Y6989" s="114">
        <v>46174</v>
      </c>
      <c r="Z6989" s="18" t="s">
        <v>45</v>
      </c>
      <c r="AA6989" s="18" t="s">
        <v>46</v>
      </c>
      <c r="AB6989" s="18"/>
      <c r="AC6989" s="137"/>
      <c r="AD6989" s="77"/>
      <c r="AE6989" s="18" t="s">
        <v>48</v>
      </c>
      <c r="AF6989" s="18" t="s">
        <v>571</v>
      </c>
      <c r="AG6989" s="18"/>
      <c r="AH6989" s="18"/>
      <c r="AI6989" s="18"/>
      <c r="AJ6989" s="18"/>
      <c r="AK6989" s="18"/>
      <c r="AL6989" s="18"/>
      <c r="AM6989" s="18"/>
      <c r="AN6989" s="18"/>
      <c r="AO6989" s="18"/>
      <c r="AP6989" s="18"/>
      <c r="AQ6989" s="18"/>
      <c r="AR6989" s="18"/>
    </row>
    <row r="6990" hidden="1" spans="1:44">
      <c r="A6990" s="18"/>
      <c r="B6990" s="75">
        <v>1082</v>
      </c>
      <c r="C6990" s="213">
        <v>45894</v>
      </c>
      <c r="D6990" s="18" t="s">
        <v>1637</v>
      </c>
      <c r="E6990" s="18" t="s">
        <v>301</v>
      </c>
      <c r="F6990" s="18" t="s">
        <v>300</v>
      </c>
      <c r="G6990" s="18"/>
      <c r="H6990" s="75">
        <v>1.2379</v>
      </c>
      <c r="I6990" s="75"/>
      <c r="J6990" s="18" t="s">
        <v>39</v>
      </c>
      <c r="K6990" s="75">
        <v>125</v>
      </c>
      <c r="L6990" s="111"/>
      <c r="M6990" s="75">
        <v>5700</v>
      </c>
      <c r="N6990" s="75" t="s">
        <v>40</v>
      </c>
      <c r="O6990" s="75" t="s">
        <v>50</v>
      </c>
      <c r="P6990" s="75">
        <v>1500</v>
      </c>
      <c r="Q6990" s="75"/>
      <c r="R6990" s="75">
        <f t="shared" si="305"/>
        <v>1500</v>
      </c>
      <c r="S6990" s="75">
        <v>2800</v>
      </c>
      <c r="T6990" s="75" t="s">
        <v>42</v>
      </c>
      <c r="U6990" s="137" t="s">
        <v>1654</v>
      </c>
      <c r="V6990" s="193">
        <v>45947</v>
      </c>
      <c r="W6990" s="18" t="s">
        <v>69</v>
      </c>
      <c r="X6990" s="18"/>
      <c r="Y6990" s="114">
        <v>46174</v>
      </c>
      <c r="Z6990" s="18" t="s">
        <v>45</v>
      </c>
      <c r="AA6990" s="18" t="s">
        <v>46</v>
      </c>
      <c r="AB6990" s="18"/>
      <c r="AC6990" s="137"/>
      <c r="AD6990" s="77"/>
      <c r="AE6990" s="18" t="s">
        <v>48</v>
      </c>
      <c r="AF6990" s="18" t="s">
        <v>571</v>
      </c>
      <c r="AG6990" s="18"/>
      <c r="AH6990" s="18"/>
      <c r="AI6990" s="18"/>
      <c r="AJ6990" s="18"/>
      <c r="AK6990" s="18"/>
      <c r="AL6990" s="18"/>
      <c r="AM6990" s="18"/>
      <c r="AN6990" s="18"/>
      <c r="AO6990" s="18"/>
      <c r="AP6990" s="18"/>
      <c r="AQ6990" s="18"/>
      <c r="AR6990" s="18"/>
    </row>
    <row r="6991" hidden="1" spans="1:44">
      <c r="A6991" s="18"/>
      <c r="B6991" s="75">
        <v>1082</v>
      </c>
      <c r="C6991" s="213">
        <v>45894</v>
      </c>
      <c r="D6991" s="18" t="s">
        <v>1637</v>
      </c>
      <c r="E6991" s="18" t="s">
        <v>301</v>
      </c>
      <c r="F6991" s="18" t="s">
        <v>300</v>
      </c>
      <c r="G6991" s="18"/>
      <c r="H6991" s="75">
        <v>1.2379</v>
      </c>
      <c r="I6991" s="75"/>
      <c r="J6991" s="18" t="s">
        <v>39</v>
      </c>
      <c r="K6991" s="75">
        <v>132</v>
      </c>
      <c r="L6991" s="111"/>
      <c r="M6991" s="75">
        <v>5700</v>
      </c>
      <c r="N6991" s="75" t="s">
        <v>40</v>
      </c>
      <c r="O6991" s="75" t="s">
        <v>50</v>
      </c>
      <c r="P6991" s="75">
        <v>1500</v>
      </c>
      <c r="Q6991" s="75"/>
      <c r="R6991" s="75">
        <f t="shared" si="305"/>
        <v>1500</v>
      </c>
      <c r="S6991" s="75">
        <v>2800</v>
      </c>
      <c r="T6991" s="75" t="s">
        <v>42</v>
      </c>
      <c r="U6991" s="137" t="s">
        <v>1654</v>
      </c>
      <c r="V6991" s="193">
        <v>45947</v>
      </c>
      <c r="W6991" s="18" t="s">
        <v>69</v>
      </c>
      <c r="X6991" s="18"/>
      <c r="Y6991" s="114">
        <v>46174</v>
      </c>
      <c r="Z6991" s="18" t="s">
        <v>45</v>
      </c>
      <c r="AA6991" s="18" t="s">
        <v>46</v>
      </c>
      <c r="AB6991" s="18"/>
      <c r="AC6991" s="137"/>
      <c r="AD6991" s="77"/>
      <c r="AE6991" s="18" t="s">
        <v>74</v>
      </c>
      <c r="AF6991" s="18" t="s">
        <v>571</v>
      </c>
      <c r="AG6991" s="18"/>
      <c r="AH6991" s="18"/>
      <c r="AI6991" s="18"/>
      <c r="AJ6991" s="18"/>
      <c r="AK6991" s="18"/>
      <c r="AL6991" s="18"/>
      <c r="AM6991" s="18"/>
      <c r="AN6991" s="18"/>
      <c r="AO6991" s="18"/>
      <c r="AP6991" s="18"/>
      <c r="AQ6991" s="18"/>
      <c r="AR6991" s="18"/>
    </row>
    <row r="6992" hidden="1" spans="1:44">
      <c r="A6992" s="18"/>
      <c r="B6992" s="75">
        <v>1082</v>
      </c>
      <c r="C6992" s="213">
        <v>45894</v>
      </c>
      <c r="D6992" s="18" t="s">
        <v>1637</v>
      </c>
      <c r="E6992" s="18" t="s">
        <v>301</v>
      </c>
      <c r="F6992" s="18" t="s">
        <v>300</v>
      </c>
      <c r="G6992" s="18"/>
      <c r="H6992" s="75">
        <v>1.2379</v>
      </c>
      <c r="I6992" s="75"/>
      <c r="J6992" s="18" t="s">
        <v>39</v>
      </c>
      <c r="K6992" s="75">
        <v>142</v>
      </c>
      <c r="L6992" s="111"/>
      <c r="M6992" s="75">
        <v>5700</v>
      </c>
      <c r="N6992" s="75" t="s">
        <v>40</v>
      </c>
      <c r="O6992" s="75" t="s">
        <v>50</v>
      </c>
      <c r="P6992" s="75">
        <v>1000</v>
      </c>
      <c r="Q6992" s="75"/>
      <c r="R6992" s="75">
        <f t="shared" si="305"/>
        <v>1000</v>
      </c>
      <c r="S6992" s="75">
        <v>2800</v>
      </c>
      <c r="T6992" s="75" t="s">
        <v>42</v>
      </c>
      <c r="U6992" s="137" t="s">
        <v>1654</v>
      </c>
      <c r="V6992" s="193">
        <v>45947</v>
      </c>
      <c r="W6992" s="18" t="s">
        <v>69</v>
      </c>
      <c r="X6992" s="18"/>
      <c r="Y6992" s="114">
        <v>46174</v>
      </c>
      <c r="Z6992" s="18" t="s">
        <v>45</v>
      </c>
      <c r="AA6992" s="18" t="s">
        <v>46</v>
      </c>
      <c r="AB6992" s="18"/>
      <c r="AC6992" s="137"/>
      <c r="AD6992" s="77"/>
      <c r="AE6992" s="18" t="s">
        <v>74</v>
      </c>
      <c r="AF6992" s="18" t="s">
        <v>571</v>
      </c>
      <c r="AG6992" s="18"/>
      <c r="AH6992" s="18"/>
      <c r="AI6992" s="18"/>
      <c r="AJ6992" s="18"/>
      <c r="AK6992" s="18"/>
      <c r="AL6992" s="18"/>
      <c r="AM6992" s="18"/>
      <c r="AN6992" s="18"/>
      <c r="AO6992" s="18"/>
      <c r="AP6992" s="18"/>
      <c r="AQ6992" s="18"/>
      <c r="AR6992" s="18"/>
    </row>
    <row r="6993" hidden="1" spans="1:44">
      <c r="A6993" s="18"/>
      <c r="B6993" s="75">
        <v>1082</v>
      </c>
      <c r="C6993" s="213">
        <v>45894</v>
      </c>
      <c r="D6993" s="18" t="s">
        <v>1637</v>
      </c>
      <c r="E6993" s="18" t="s">
        <v>301</v>
      </c>
      <c r="F6993" s="18" t="s">
        <v>300</v>
      </c>
      <c r="G6993" s="18"/>
      <c r="H6993" s="75">
        <v>1.2379</v>
      </c>
      <c r="I6993" s="75"/>
      <c r="J6993" s="18" t="s">
        <v>39</v>
      </c>
      <c r="K6993" s="75">
        <v>152</v>
      </c>
      <c r="L6993" s="111"/>
      <c r="M6993" s="75">
        <v>5700</v>
      </c>
      <c r="N6993" s="75" t="s">
        <v>40</v>
      </c>
      <c r="O6993" s="75" t="s">
        <v>50</v>
      </c>
      <c r="P6993" s="75">
        <v>1000</v>
      </c>
      <c r="Q6993" s="75"/>
      <c r="R6993" s="75">
        <f t="shared" si="305"/>
        <v>1000</v>
      </c>
      <c r="S6993" s="75">
        <v>2650</v>
      </c>
      <c r="T6993" s="75" t="s">
        <v>42</v>
      </c>
      <c r="U6993" s="137" t="s">
        <v>1654</v>
      </c>
      <c r="V6993" s="193">
        <v>45947</v>
      </c>
      <c r="W6993" s="18" t="s">
        <v>69</v>
      </c>
      <c r="X6993" s="18"/>
      <c r="Y6993" s="114">
        <v>46174</v>
      </c>
      <c r="Z6993" s="18" t="s">
        <v>45</v>
      </c>
      <c r="AA6993" s="18" t="s">
        <v>46</v>
      </c>
      <c r="AB6993" s="18"/>
      <c r="AC6993" s="137"/>
      <c r="AD6993" s="77"/>
      <c r="AE6993" s="18" t="s">
        <v>74</v>
      </c>
      <c r="AF6993" s="18" t="s">
        <v>571</v>
      </c>
      <c r="AG6993" s="18"/>
      <c r="AH6993" s="18"/>
      <c r="AI6993" s="18"/>
      <c r="AJ6993" s="18"/>
      <c r="AK6993" s="18"/>
      <c r="AL6993" s="18"/>
      <c r="AM6993" s="18"/>
      <c r="AN6993" s="18"/>
      <c r="AO6993" s="18"/>
      <c r="AP6993" s="18"/>
      <c r="AQ6993" s="18"/>
      <c r="AR6993" s="18"/>
    </row>
    <row r="6994" s="25" customFormat="1" hidden="1" spans="1:44">
      <c r="A6994" s="17" t="s">
        <v>34</v>
      </c>
      <c r="B6994" s="19">
        <v>1092</v>
      </c>
      <c r="C6994" s="183">
        <v>45931</v>
      </c>
      <c r="D6994" s="17" t="s">
        <v>52</v>
      </c>
      <c r="E6994" s="17" t="s">
        <v>53</v>
      </c>
      <c r="F6994" s="17" t="s">
        <v>54</v>
      </c>
      <c r="G6994" s="17"/>
      <c r="H6994" s="19" t="s">
        <v>108</v>
      </c>
      <c r="I6994" s="19"/>
      <c r="J6994" s="17" t="s">
        <v>49</v>
      </c>
      <c r="K6994" s="19">
        <v>1100</v>
      </c>
      <c r="L6994" s="91">
        <v>255</v>
      </c>
      <c r="M6994" s="19">
        <v>3000</v>
      </c>
      <c r="N6994" s="19" t="s">
        <v>66</v>
      </c>
      <c r="O6994" s="19" t="s">
        <v>50</v>
      </c>
      <c r="P6994" s="19">
        <f>5430+5510</f>
        <v>10940</v>
      </c>
      <c r="Q6994" s="19">
        <f>5430+5510</f>
        <v>10940</v>
      </c>
      <c r="R6994" s="19">
        <f t="shared" si="305"/>
        <v>0</v>
      </c>
      <c r="S6994" s="19">
        <v>1925</v>
      </c>
      <c r="T6994" s="19" t="s">
        <v>42</v>
      </c>
      <c r="U6994" s="102" t="s">
        <v>1656</v>
      </c>
      <c r="V6994" s="186">
        <v>45937</v>
      </c>
      <c r="W6994" s="17" t="s">
        <v>58</v>
      </c>
      <c r="X6994" s="17"/>
      <c r="Y6994" s="68">
        <v>46054</v>
      </c>
      <c r="Z6994" s="17" t="s">
        <v>45</v>
      </c>
      <c r="AA6994" s="17" t="s">
        <v>46</v>
      </c>
      <c r="AB6994" s="17" t="s">
        <v>1657</v>
      </c>
      <c r="AC6994" s="217">
        <v>46029</v>
      </c>
      <c r="AD6994" s="65">
        <v>1766</v>
      </c>
      <c r="AE6994" s="17" t="s">
        <v>48</v>
      </c>
      <c r="AF6994" s="17" t="s">
        <v>61</v>
      </c>
      <c r="AG6994" s="17"/>
      <c r="AH6994" s="17"/>
      <c r="AI6994" s="17"/>
      <c r="AJ6994" s="17"/>
      <c r="AK6994" s="17"/>
      <c r="AL6994" s="17"/>
      <c r="AM6994" s="17"/>
      <c r="AN6994" s="17"/>
      <c r="AO6994" s="17"/>
      <c r="AP6994" s="17"/>
      <c r="AQ6994" s="17"/>
      <c r="AR6994" s="17"/>
    </row>
    <row r="6995" s="25" customFormat="1" hidden="1" spans="1:44">
      <c r="A6995" s="17" t="s">
        <v>34</v>
      </c>
      <c r="B6995" s="19">
        <v>1092</v>
      </c>
      <c r="C6995" s="183">
        <v>45931</v>
      </c>
      <c r="D6995" s="17" t="s">
        <v>52</v>
      </c>
      <c r="E6995" s="17" t="s">
        <v>53</v>
      </c>
      <c r="F6995" s="17" t="s">
        <v>54</v>
      </c>
      <c r="G6995" s="17"/>
      <c r="H6995" s="19" t="s">
        <v>108</v>
      </c>
      <c r="I6995" s="19"/>
      <c r="J6995" s="17" t="s">
        <v>49</v>
      </c>
      <c r="K6995" s="19">
        <v>1100</v>
      </c>
      <c r="L6995" s="91">
        <v>300</v>
      </c>
      <c r="M6995" s="19">
        <v>3000</v>
      </c>
      <c r="N6995" s="19" t="s">
        <v>66</v>
      </c>
      <c r="O6995" s="19" t="s">
        <v>50</v>
      </c>
      <c r="P6995" s="19">
        <f>6450+6490</f>
        <v>12940</v>
      </c>
      <c r="Q6995" s="19">
        <f>6450+6490</f>
        <v>12940</v>
      </c>
      <c r="R6995" s="19">
        <f t="shared" si="305"/>
        <v>0</v>
      </c>
      <c r="S6995" s="19">
        <v>1925</v>
      </c>
      <c r="T6995" s="19" t="s">
        <v>42</v>
      </c>
      <c r="U6995" s="102" t="s">
        <v>1656</v>
      </c>
      <c r="V6995" s="186">
        <v>45937</v>
      </c>
      <c r="W6995" s="17" t="s">
        <v>58</v>
      </c>
      <c r="X6995" s="17"/>
      <c r="Y6995" s="68">
        <v>46054</v>
      </c>
      <c r="Z6995" s="17" t="s">
        <v>45</v>
      </c>
      <c r="AA6995" s="17" t="s">
        <v>46</v>
      </c>
      <c r="AB6995" s="17" t="s">
        <v>1657</v>
      </c>
      <c r="AC6995" s="217">
        <v>46029</v>
      </c>
      <c r="AD6995" s="65">
        <v>1766</v>
      </c>
      <c r="AE6995" s="17" t="s">
        <v>48</v>
      </c>
      <c r="AF6995" s="17" t="s">
        <v>61</v>
      </c>
      <c r="AG6995" s="17"/>
      <c r="AH6995" s="17"/>
      <c r="AI6995" s="17"/>
      <c r="AJ6995" s="17"/>
      <c r="AK6995" s="17"/>
      <c r="AL6995" s="17"/>
      <c r="AM6995" s="17"/>
      <c r="AN6995" s="17"/>
      <c r="AO6995" s="17"/>
      <c r="AP6995" s="17"/>
      <c r="AQ6995" s="17"/>
      <c r="AR6995" s="17"/>
    </row>
    <row r="6996" s="17" customFormat="1" hidden="1" spans="1:44">
      <c r="A6996" s="17" t="s">
        <v>34</v>
      </c>
      <c r="B6996" s="19">
        <v>1040</v>
      </c>
      <c r="C6996" s="183">
        <v>45617</v>
      </c>
      <c r="D6996" s="17" t="s">
        <v>35</v>
      </c>
      <c r="E6996" s="17" t="s">
        <v>718</v>
      </c>
      <c r="F6996" s="17" t="s">
        <v>37</v>
      </c>
      <c r="H6996" s="19" t="s">
        <v>38</v>
      </c>
      <c r="I6996" s="19"/>
      <c r="J6996" s="17" t="s">
        <v>39</v>
      </c>
      <c r="K6996" s="91">
        <v>71</v>
      </c>
      <c r="L6996" s="91"/>
      <c r="M6996" s="19"/>
      <c r="N6996" s="19" t="s">
        <v>40</v>
      </c>
      <c r="O6996" s="19" t="s">
        <v>84</v>
      </c>
      <c r="P6996" s="19">
        <v>2000</v>
      </c>
      <c r="Q6996" s="19">
        <v>1478</v>
      </c>
      <c r="R6996" s="19">
        <f t="shared" si="305"/>
        <v>522</v>
      </c>
      <c r="S6996" s="91">
        <v>3300</v>
      </c>
      <c r="T6996" s="23" t="s">
        <v>42</v>
      </c>
      <c r="U6996" s="102" t="s">
        <v>1658</v>
      </c>
      <c r="V6996" s="186">
        <v>45621</v>
      </c>
      <c r="W6996" s="17" t="s">
        <v>44</v>
      </c>
      <c r="Y6996" s="68">
        <v>45748</v>
      </c>
      <c r="Z6996" s="17" t="s">
        <v>78</v>
      </c>
      <c r="AA6996" s="17" t="s">
        <v>46</v>
      </c>
      <c r="AB6996" s="17" t="s">
        <v>1659</v>
      </c>
      <c r="AC6996" s="217">
        <v>45755</v>
      </c>
      <c r="AD6996" s="65">
        <v>1668</v>
      </c>
      <c r="AE6996" s="17" t="s">
        <v>48</v>
      </c>
    </row>
    <row r="6997" s="17" customFormat="1" hidden="1" spans="1:44">
      <c r="A6997" s="17" t="s">
        <v>34</v>
      </c>
      <c r="B6997" s="19">
        <v>1040</v>
      </c>
      <c r="C6997" s="183">
        <v>45617</v>
      </c>
      <c r="D6997" s="17" t="s">
        <v>35</v>
      </c>
      <c r="E6997" s="17" t="s">
        <v>718</v>
      </c>
      <c r="F6997" s="17" t="s">
        <v>37</v>
      </c>
      <c r="H6997" s="19" t="s">
        <v>38</v>
      </c>
      <c r="I6997" s="19"/>
      <c r="J6997" s="17" t="s">
        <v>39</v>
      </c>
      <c r="K6997" s="91">
        <v>83</v>
      </c>
      <c r="L6997" s="91"/>
      <c r="M6997" s="19">
        <v>5500</v>
      </c>
      <c r="N6997" s="19" t="s">
        <v>40</v>
      </c>
      <c r="O6997" s="19" t="s">
        <v>84</v>
      </c>
      <c r="P6997" s="19">
        <v>6000</v>
      </c>
      <c r="Q6997" s="19">
        <v>4858</v>
      </c>
      <c r="R6997" s="19">
        <f t="shared" si="305"/>
        <v>1142</v>
      </c>
      <c r="S6997" s="91">
        <v>3300</v>
      </c>
      <c r="T6997" s="23" t="s">
        <v>42</v>
      </c>
      <c r="U6997" s="102" t="s">
        <v>1658</v>
      </c>
      <c r="V6997" s="186">
        <v>45621</v>
      </c>
      <c r="W6997" s="17" t="s">
        <v>44</v>
      </c>
      <c r="Y6997" s="68">
        <v>45748</v>
      </c>
      <c r="Z6997" s="17" t="s">
        <v>78</v>
      </c>
      <c r="AA6997" s="17" t="s">
        <v>46</v>
      </c>
      <c r="AB6997" s="17" t="s">
        <v>1660</v>
      </c>
      <c r="AC6997" s="217">
        <v>45912</v>
      </c>
      <c r="AD6997" s="65">
        <v>1720</v>
      </c>
      <c r="AE6997" s="17" t="s">
        <v>48</v>
      </c>
    </row>
    <row r="6998" s="17" customFormat="1" hidden="1" spans="1:44">
      <c r="A6998" s="17" t="s">
        <v>34</v>
      </c>
      <c r="B6998" s="19">
        <v>1040</v>
      </c>
      <c r="C6998" s="183">
        <v>45617</v>
      </c>
      <c r="D6998" s="17" t="s">
        <v>35</v>
      </c>
      <c r="E6998" s="17" t="s">
        <v>718</v>
      </c>
      <c r="F6998" s="17" t="s">
        <v>37</v>
      </c>
      <c r="H6998" s="19" t="s">
        <v>38</v>
      </c>
      <c r="I6998" s="19"/>
      <c r="J6998" s="17" t="s">
        <v>39</v>
      </c>
      <c r="K6998" s="91">
        <v>100</v>
      </c>
      <c r="L6998" s="91"/>
      <c r="M6998" s="19">
        <v>5500</v>
      </c>
      <c r="N6998" s="19" t="s">
        <v>40</v>
      </c>
      <c r="O6998" s="19" t="s">
        <v>84</v>
      </c>
      <c r="P6998" s="19">
        <v>6000</v>
      </c>
      <c r="Q6998" s="19">
        <v>5484</v>
      </c>
      <c r="R6998" s="19">
        <f t="shared" si="305"/>
        <v>516</v>
      </c>
      <c r="S6998" s="91">
        <v>3000</v>
      </c>
      <c r="T6998" s="23" t="s">
        <v>42</v>
      </c>
      <c r="U6998" s="102" t="s">
        <v>1658</v>
      </c>
      <c r="V6998" s="186">
        <v>45621</v>
      </c>
      <c r="W6998" s="17" t="s">
        <v>44</v>
      </c>
      <c r="Y6998" s="68">
        <v>45748</v>
      </c>
      <c r="Z6998" s="17" t="s">
        <v>78</v>
      </c>
      <c r="AA6998" s="17" t="s">
        <v>46</v>
      </c>
      <c r="AB6998" s="17" t="s">
        <v>1661</v>
      </c>
      <c r="AC6998" s="217">
        <v>45727</v>
      </c>
      <c r="AD6998" s="65">
        <v>1657</v>
      </c>
      <c r="AE6998" s="17" t="s">
        <v>48</v>
      </c>
    </row>
    <row r="6999" s="17" customFormat="1" hidden="1" spans="1:44">
      <c r="A6999" s="17" t="s">
        <v>34</v>
      </c>
      <c r="B6999" s="19">
        <v>1040</v>
      </c>
      <c r="C6999" s="183">
        <v>45617</v>
      </c>
      <c r="D6999" s="17" t="s">
        <v>35</v>
      </c>
      <c r="E6999" s="17" t="s">
        <v>718</v>
      </c>
      <c r="F6999" s="17" t="s">
        <v>37</v>
      </c>
      <c r="H6999" s="19" t="s">
        <v>38</v>
      </c>
      <c r="I6999" s="19"/>
      <c r="J6999" s="17" t="s">
        <v>39</v>
      </c>
      <c r="K6999" s="91">
        <v>111</v>
      </c>
      <c r="L6999" s="91"/>
      <c r="M6999" s="19">
        <v>5500</v>
      </c>
      <c r="N6999" s="19" t="s">
        <v>40</v>
      </c>
      <c r="O6999" s="19" t="s">
        <v>84</v>
      </c>
      <c r="P6999" s="19">
        <v>2000</v>
      </c>
      <c r="Q6999" s="19">
        <v>668</v>
      </c>
      <c r="R6999" s="19">
        <f t="shared" si="305"/>
        <v>1332</v>
      </c>
      <c r="S6999" s="91">
        <v>3000</v>
      </c>
      <c r="T6999" s="23" t="s">
        <v>42</v>
      </c>
      <c r="U6999" s="102" t="s">
        <v>1658</v>
      </c>
      <c r="V6999" s="186">
        <v>45621</v>
      </c>
      <c r="W6999" s="17" t="s">
        <v>44</v>
      </c>
      <c r="Y6999" s="68">
        <v>45748</v>
      </c>
      <c r="Z6999" s="17" t="s">
        <v>78</v>
      </c>
      <c r="AA6999" s="17" t="s">
        <v>46</v>
      </c>
      <c r="AB6999" s="17" t="s">
        <v>1660</v>
      </c>
      <c r="AC6999" s="217">
        <v>45912</v>
      </c>
      <c r="AD6999" s="65">
        <v>1720</v>
      </c>
      <c r="AE6999" s="17" t="s">
        <v>48</v>
      </c>
    </row>
    <row r="7000" s="17" customFormat="1" hidden="1" spans="1:44">
      <c r="A7000" s="17" t="s">
        <v>34</v>
      </c>
      <c r="B7000" s="19">
        <v>1040</v>
      </c>
      <c r="C7000" s="183">
        <v>45617</v>
      </c>
      <c r="D7000" s="17" t="s">
        <v>35</v>
      </c>
      <c r="E7000" s="17" t="s">
        <v>718</v>
      </c>
      <c r="F7000" s="17" t="s">
        <v>37</v>
      </c>
      <c r="H7000" s="19" t="s">
        <v>38</v>
      </c>
      <c r="I7000" s="19"/>
      <c r="J7000" s="17" t="s">
        <v>39</v>
      </c>
      <c r="K7000" s="91">
        <v>121</v>
      </c>
      <c r="L7000" s="91"/>
      <c r="M7000" s="19">
        <v>5500</v>
      </c>
      <c r="N7000" s="19" t="s">
        <v>40</v>
      </c>
      <c r="O7000" s="19" t="s">
        <v>84</v>
      </c>
      <c r="P7000" s="19">
        <v>2000</v>
      </c>
      <c r="Q7000" s="19">
        <v>1750</v>
      </c>
      <c r="R7000" s="19">
        <f t="shared" si="305"/>
        <v>250</v>
      </c>
      <c r="S7000" s="91">
        <v>3000</v>
      </c>
      <c r="T7000" s="23" t="s">
        <v>42</v>
      </c>
      <c r="U7000" s="102" t="s">
        <v>1658</v>
      </c>
      <c r="V7000" s="186">
        <v>45621</v>
      </c>
      <c r="W7000" s="17" t="s">
        <v>44</v>
      </c>
      <c r="Y7000" s="68">
        <v>45748</v>
      </c>
      <c r="Z7000" s="17" t="s">
        <v>78</v>
      </c>
      <c r="AA7000" s="17" t="s">
        <v>46</v>
      </c>
      <c r="AB7000" s="17" t="s">
        <v>1661</v>
      </c>
      <c r="AC7000" s="217">
        <v>45727</v>
      </c>
      <c r="AD7000" s="65">
        <v>1657</v>
      </c>
      <c r="AE7000" s="17" t="s">
        <v>48</v>
      </c>
    </row>
    <row r="7001" s="17" customFormat="1" hidden="1" spans="1:44">
      <c r="A7001" s="17" t="s">
        <v>34</v>
      </c>
      <c r="B7001" s="19">
        <v>1040</v>
      </c>
      <c r="C7001" s="183">
        <v>45617</v>
      </c>
      <c r="D7001" s="17" t="s">
        <v>35</v>
      </c>
      <c r="E7001" s="17" t="s">
        <v>718</v>
      </c>
      <c r="F7001" s="17" t="s">
        <v>37</v>
      </c>
      <c r="H7001" s="19" t="s">
        <v>38</v>
      </c>
      <c r="I7001" s="19"/>
      <c r="J7001" s="17" t="s">
        <v>39</v>
      </c>
      <c r="K7001" s="91">
        <v>123</v>
      </c>
      <c r="L7001" s="91"/>
      <c r="M7001" s="19">
        <v>5500</v>
      </c>
      <c r="N7001" s="19" t="s">
        <v>40</v>
      </c>
      <c r="O7001" s="19" t="s">
        <v>84</v>
      </c>
      <c r="P7001" s="19">
        <v>6000</v>
      </c>
      <c r="Q7001" s="19">
        <v>4176</v>
      </c>
      <c r="R7001" s="19">
        <f t="shared" si="305"/>
        <v>1824</v>
      </c>
      <c r="S7001" s="91">
        <v>3000</v>
      </c>
      <c r="T7001" s="23" t="s">
        <v>42</v>
      </c>
      <c r="U7001" s="102" t="s">
        <v>1658</v>
      </c>
      <c r="V7001" s="186">
        <v>45621</v>
      </c>
      <c r="W7001" s="17" t="s">
        <v>44</v>
      </c>
      <c r="Y7001" s="68">
        <v>45748</v>
      </c>
      <c r="Z7001" s="17" t="s">
        <v>78</v>
      </c>
      <c r="AA7001" s="17" t="s">
        <v>46</v>
      </c>
      <c r="AB7001" s="17" t="s">
        <v>1660</v>
      </c>
      <c r="AC7001" s="217">
        <v>45912</v>
      </c>
      <c r="AD7001" s="65">
        <v>1720</v>
      </c>
      <c r="AE7001" s="17" t="s">
        <v>48</v>
      </c>
    </row>
    <row r="7002" s="17" customFormat="1" hidden="1" spans="1:44">
      <c r="A7002" s="17" t="s">
        <v>34</v>
      </c>
      <c r="B7002" s="19">
        <v>1040</v>
      </c>
      <c r="C7002" s="183">
        <v>45617</v>
      </c>
      <c r="D7002" s="17" t="s">
        <v>35</v>
      </c>
      <c r="E7002" s="17" t="s">
        <v>718</v>
      </c>
      <c r="F7002" s="17" t="s">
        <v>37</v>
      </c>
      <c r="H7002" s="19" t="s">
        <v>38</v>
      </c>
      <c r="I7002" s="19"/>
      <c r="J7002" s="17" t="s">
        <v>39</v>
      </c>
      <c r="K7002" s="91">
        <v>125</v>
      </c>
      <c r="L7002" s="91"/>
      <c r="M7002" s="19">
        <v>5500</v>
      </c>
      <c r="N7002" s="19" t="s">
        <v>40</v>
      </c>
      <c r="O7002" s="19" t="s">
        <v>84</v>
      </c>
      <c r="P7002" s="19">
        <v>2000</v>
      </c>
      <c r="Q7002" s="19">
        <v>1690</v>
      </c>
      <c r="R7002" s="19">
        <f t="shared" si="305"/>
        <v>310</v>
      </c>
      <c r="S7002" s="91">
        <v>3000</v>
      </c>
      <c r="T7002" s="23" t="s">
        <v>42</v>
      </c>
      <c r="U7002" s="102" t="s">
        <v>1658</v>
      </c>
      <c r="V7002" s="186">
        <v>45621</v>
      </c>
      <c r="W7002" s="17" t="s">
        <v>44</v>
      </c>
      <c r="Y7002" s="68">
        <v>45748</v>
      </c>
      <c r="Z7002" s="17" t="s">
        <v>78</v>
      </c>
      <c r="AA7002" s="17" t="s">
        <v>46</v>
      </c>
      <c r="AB7002" s="17" t="s">
        <v>1661</v>
      </c>
      <c r="AC7002" s="217">
        <v>45727</v>
      </c>
      <c r="AD7002" s="65">
        <v>1657</v>
      </c>
      <c r="AE7002" s="17" t="s">
        <v>48</v>
      </c>
    </row>
    <row r="7003" s="17" customFormat="1" hidden="1" spans="1:44">
      <c r="A7003" s="17" t="s">
        <v>34</v>
      </c>
      <c r="B7003" s="19">
        <v>1040</v>
      </c>
      <c r="C7003" s="183">
        <v>45617</v>
      </c>
      <c r="D7003" s="17" t="s">
        <v>35</v>
      </c>
      <c r="E7003" s="17" t="s">
        <v>718</v>
      </c>
      <c r="F7003" s="17" t="s">
        <v>37</v>
      </c>
      <c r="H7003" s="19" t="s">
        <v>38</v>
      </c>
      <c r="I7003" s="19"/>
      <c r="J7003" s="17" t="s">
        <v>39</v>
      </c>
      <c r="K7003" s="91">
        <v>132</v>
      </c>
      <c r="L7003" s="91"/>
      <c r="M7003" s="19">
        <v>5500</v>
      </c>
      <c r="N7003" s="19" t="s">
        <v>40</v>
      </c>
      <c r="O7003" s="19" t="s">
        <v>84</v>
      </c>
      <c r="P7003" s="19">
        <v>2000</v>
      </c>
      <c r="Q7003" s="19">
        <v>1838</v>
      </c>
      <c r="R7003" s="19">
        <f t="shared" si="305"/>
        <v>162</v>
      </c>
      <c r="S7003" s="91">
        <v>3000</v>
      </c>
      <c r="T7003" s="23" t="s">
        <v>42</v>
      </c>
      <c r="U7003" s="102" t="s">
        <v>1658</v>
      </c>
      <c r="V7003" s="186">
        <v>45621</v>
      </c>
      <c r="W7003" s="17" t="s">
        <v>44</v>
      </c>
      <c r="Y7003" s="68">
        <v>45748</v>
      </c>
      <c r="Z7003" s="17" t="s">
        <v>78</v>
      </c>
      <c r="AA7003" s="17" t="s">
        <v>46</v>
      </c>
      <c r="AB7003" s="17" t="s">
        <v>1659</v>
      </c>
      <c r="AC7003" s="217">
        <v>45755</v>
      </c>
      <c r="AD7003" s="65">
        <v>1668</v>
      </c>
      <c r="AE7003" s="17" t="s">
        <v>48</v>
      </c>
    </row>
    <row r="7004" s="17" customFormat="1" hidden="1" spans="1:44">
      <c r="A7004" s="17" t="s">
        <v>34</v>
      </c>
      <c r="B7004" s="19">
        <v>1040</v>
      </c>
      <c r="C7004" s="183">
        <v>45617</v>
      </c>
      <c r="D7004" s="17" t="s">
        <v>35</v>
      </c>
      <c r="E7004" s="17" t="s">
        <v>718</v>
      </c>
      <c r="F7004" s="17" t="s">
        <v>37</v>
      </c>
      <c r="H7004" s="19" t="s">
        <v>38</v>
      </c>
      <c r="I7004" s="19"/>
      <c r="J7004" s="17" t="s">
        <v>39</v>
      </c>
      <c r="K7004" s="91">
        <v>142</v>
      </c>
      <c r="L7004" s="91"/>
      <c r="M7004" s="19">
        <v>5500</v>
      </c>
      <c r="N7004" s="19" t="s">
        <v>40</v>
      </c>
      <c r="O7004" s="19" t="s">
        <v>84</v>
      </c>
      <c r="P7004" s="19">
        <v>2000</v>
      </c>
      <c r="Q7004" s="19">
        <v>1424</v>
      </c>
      <c r="R7004" s="19">
        <f t="shared" si="305"/>
        <v>576</v>
      </c>
      <c r="S7004" s="91">
        <v>3000</v>
      </c>
      <c r="T7004" s="23" t="s">
        <v>42</v>
      </c>
      <c r="U7004" s="102" t="s">
        <v>1658</v>
      </c>
      <c r="V7004" s="186">
        <v>45621</v>
      </c>
      <c r="W7004" s="17" t="s">
        <v>44</v>
      </c>
      <c r="Y7004" s="68">
        <v>45748</v>
      </c>
      <c r="Z7004" s="17" t="s">
        <v>78</v>
      </c>
      <c r="AA7004" s="17" t="s">
        <v>46</v>
      </c>
      <c r="AB7004" s="17" t="s">
        <v>1659</v>
      </c>
      <c r="AC7004" s="217">
        <v>45755</v>
      </c>
      <c r="AD7004" s="65">
        <v>1668</v>
      </c>
      <c r="AE7004" s="17" t="s">
        <v>48</v>
      </c>
    </row>
    <row r="7005" s="17" customFormat="1" hidden="1" spans="1:44">
      <c r="A7005" s="17" t="s">
        <v>34</v>
      </c>
      <c r="B7005" s="19">
        <v>1040</v>
      </c>
      <c r="C7005" s="183">
        <v>45617</v>
      </c>
      <c r="D7005" s="17" t="s">
        <v>35</v>
      </c>
      <c r="E7005" s="17" t="s">
        <v>718</v>
      </c>
      <c r="F7005" s="17" t="s">
        <v>37</v>
      </c>
      <c r="H7005" s="19" t="s">
        <v>38</v>
      </c>
      <c r="I7005" s="19"/>
      <c r="J7005" s="17" t="s">
        <v>39</v>
      </c>
      <c r="K7005" s="91">
        <v>152</v>
      </c>
      <c r="L7005" s="91"/>
      <c r="M7005" s="19">
        <v>5500</v>
      </c>
      <c r="N7005" s="19" t="s">
        <v>40</v>
      </c>
      <c r="O7005" s="19" t="s">
        <v>84</v>
      </c>
      <c r="P7005" s="19">
        <v>2000</v>
      </c>
      <c r="Q7005" s="19">
        <v>1300</v>
      </c>
      <c r="R7005" s="19">
        <f t="shared" si="305"/>
        <v>700</v>
      </c>
      <c r="S7005" s="91">
        <v>3000</v>
      </c>
      <c r="T7005" s="23" t="s">
        <v>42</v>
      </c>
      <c r="U7005" s="102" t="s">
        <v>1658</v>
      </c>
      <c r="V7005" s="186">
        <v>45621</v>
      </c>
      <c r="W7005" s="17" t="s">
        <v>44</v>
      </c>
      <c r="Y7005" s="68">
        <v>45748</v>
      </c>
      <c r="Z7005" s="17" t="s">
        <v>78</v>
      </c>
      <c r="AA7005" s="17" t="s">
        <v>46</v>
      </c>
      <c r="AB7005" s="17" t="s">
        <v>1660</v>
      </c>
      <c r="AC7005" s="217">
        <v>45912</v>
      </c>
      <c r="AD7005" s="65">
        <v>1720</v>
      </c>
      <c r="AE7005" s="17" t="s">
        <v>48</v>
      </c>
    </row>
    <row r="7006" s="17" customFormat="1" hidden="1" spans="1:44">
      <c r="A7006" s="17" t="s">
        <v>34</v>
      </c>
      <c r="B7006" s="19">
        <v>1040</v>
      </c>
      <c r="C7006" s="183">
        <v>45617</v>
      </c>
      <c r="D7006" s="17" t="s">
        <v>35</v>
      </c>
      <c r="E7006" s="17" t="s">
        <v>718</v>
      </c>
      <c r="F7006" s="17" t="s">
        <v>37</v>
      </c>
      <c r="H7006" s="19" t="s">
        <v>38</v>
      </c>
      <c r="I7006" s="19"/>
      <c r="J7006" s="17" t="s">
        <v>39</v>
      </c>
      <c r="K7006" s="91">
        <v>162</v>
      </c>
      <c r="L7006" s="91"/>
      <c r="M7006" s="19">
        <v>5500</v>
      </c>
      <c r="N7006" s="19" t="s">
        <v>40</v>
      </c>
      <c r="O7006" s="19" t="s">
        <v>84</v>
      </c>
      <c r="P7006" s="19">
        <v>2000</v>
      </c>
      <c r="Q7006" s="19">
        <v>1400</v>
      </c>
      <c r="R7006" s="19">
        <f t="shared" si="305"/>
        <v>600</v>
      </c>
      <c r="S7006" s="91">
        <v>3000</v>
      </c>
      <c r="T7006" s="23" t="s">
        <v>42</v>
      </c>
      <c r="U7006" s="102" t="s">
        <v>1658</v>
      </c>
      <c r="V7006" s="186">
        <v>45621</v>
      </c>
      <c r="W7006" s="17" t="s">
        <v>44</v>
      </c>
      <c r="Y7006" s="68">
        <v>45748</v>
      </c>
      <c r="Z7006" s="17" t="s">
        <v>78</v>
      </c>
      <c r="AA7006" s="17" t="s">
        <v>46</v>
      </c>
      <c r="AB7006" s="17" t="s">
        <v>1660</v>
      </c>
      <c r="AC7006" s="217">
        <v>45912</v>
      </c>
      <c r="AD7006" s="65">
        <v>1720</v>
      </c>
      <c r="AE7006" s="17" t="s">
        <v>48</v>
      </c>
    </row>
    <row r="7007" s="17" customFormat="1" hidden="1" spans="1:44">
      <c r="A7007" s="17" t="s">
        <v>34</v>
      </c>
      <c r="B7007" s="19">
        <v>1040</v>
      </c>
      <c r="C7007" s="183">
        <v>45617</v>
      </c>
      <c r="D7007" s="17" t="s">
        <v>35</v>
      </c>
      <c r="E7007" s="17" t="s">
        <v>718</v>
      </c>
      <c r="F7007" s="17" t="s">
        <v>37</v>
      </c>
      <c r="H7007" s="19" t="s">
        <v>38</v>
      </c>
      <c r="I7007" s="19"/>
      <c r="J7007" s="17" t="s">
        <v>39</v>
      </c>
      <c r="K7007" s="91">
        <v>172</v>
      </c>
      <c r="L7007" s="91"/>
      <c r="M7007" s="19">
        <v>5500</v>
      </c>
      <c r="N7007" s="19" t="s">
        <v>40</v>
      </c>
      <c r="O7007" s="19" t="s">
        <v>84</v>
      </c>
      <c r="P7007" s="19">
        <v>2000</v>
      </c>
      <c r="Q7007" s="19">
        <v>1792</v>
      </c>
      <c r="R7007" s="19">
        <f t="shared" si="305"/>
        <v>208</v>
      </c>
      <c r="S7007" s="91">
        <v>3000</v>
      </c>
      <c r="T7007" s="23" t="s">
        <v>42</v>
      </c>
      <c r="U7007" s="102" t="s">
        <v>1658</v>
      </c>
      <c r="V7007" s="186">
        <v>45621</v>
      </c>
      <c r="W7007" s="17" t="s">
        <v>44</v>
      </c>
      <c r="Y7007" s="68">
        <v>45748</v>
      </c>
      <c r="Z7007" s="17" t="s">
        <v>78</v>
      </c>
      <c r="AA7007" s="17" t="s">
        <v>46</v>
      </c>
      <c r="AB7007" s="17" t="s">
        <v>1661</v>
      </c>
      <c r="AC7007" s="217">
        <v>45727</v>
      </c>
      <c r="AD7007" s="65">
        <v>1657</v>
      </c>
      <c r="AE7007" s="17" t="s">
        <v>48</v>
      </c>
    </row>
    <row r="7008" s="17" customFormat="1" hidden="1" spans="1:44">
      <c r="A7008" s="17" t="s">
        <v>34</v>
      </c>
      <c r="B7008" s="19">
        <v>1040</v>
      </c>
      <c r="C7008" s="183">
        <v>45617</v>
      </c>
      <c r="D7008" s="17" t="s">
        <v>35</v>
      </c>
      <c r="E7008" s="17" t="s">
        <v>718</v>
      </c>
      <c r="F7008" s="17" t="s">
        <v>37</v>
      </c>
      <c r="H7008" s="19" t="s">
        <v>38</v>
      </c>
      <c r="I7008" s="19"/>
      <c r="J7008" s="17" t="s">
        <v>39</v>
      </c>
      <c r="K7008" s="91">
        <v>183</v>
      </c>
      <c r="L7008" s="91"/>
      <c r="M7008" s="19">
        <v>5500</v>
      </c>
      <c r="N7008" s="19" t="s">
        <v>40</v>
      </c>
      <c r="O7008" s="19" t="s">
        <v>84</v>
      </c>
      <c r="P7008" s="19">
        <v>2000</v>
      </c>
      <c r="Q7008" s="19">
        <v>1708</v>
      </c>
      <c r="R7008" s="19">
        <f t="shared" si="305"/>
        <v>292</v>
      </c>
      <c r="S7008" s="91">
        <v>3000</v>
      </c>
      <c r="T7008" s="23" t="s">
        <v>42</v>
      </c>
      <c r="U7008" s="102" t="s">
        <v>1658</v>
      </c>
      <c r="V7008" s="186">
        <v>45621</v>
      </c>
      <c r="W7008" s="17" t="s">
        <v>44</v>
      </c>
      <c r="Y7008" s="68">
        <v>45748</v>
      </c>
      <c r="Z7008" s="17" t="s">
        <v>78</v>
      </c>
      <c r="AA7008" s="17" t="s">
        <v>46</v>
      </c>
      <c r="AB7008" s="17" t="s">
        <v>1659</v>
      </c>
      <c r="AC7008" s="217">
        <v>45755</v>
      </c>
      <c r="AD7008" s="65">
        <v>1668</v>
      </c>
      <c r="AE7008" s="17" t="s">
        <v>48</v>
      </c>
    </row>
    <row r="7009" s="17" customFormat="1" hidden="1" spans="1:31">
      <c r="A7009" s="17" t="s">
        <v>34</v>
      </c>
      <c r="B7009" s="19">
        <v>1040</v>
      </c>
      <c r="C7009" s="183">
        <v>45617</v>
      </c>
      <c r="D7009" s="17" t="s">
        <v>35</v>
      </c>
      <c r="E7009" s="17" t="s">
        <v>718</v>
      </c>
      <c r="F7009" s="17" t="s">
        <v>37</v>
      </c>
      <c r="H7009" s="19" t="s">
        <v>38</v>
      </c>
      <c r="I7009" s="19"/>
      <c r="J7009" s="17" t="s">
        <v>39</v>
      </c>
      <c r="K7009" s="91">
        <v>202</v>
      </c>
      <c r="L7009" s="91"/>
      <c r="M7009" s="19">
        <v>5500</v>
      </c>
      <c r="N7009" s="19" t="s">
        <v>40</v>
      </c>
      <c r="O7009" s="19" t="s">
        <v>84</v>
      </c>
      <c r="P7009" s="19">
        <v>2000</v>
      </c>
      <c r="Q7009" s="19">
        <v>1532</v>
      </c>
      <c r="R7009" s="19">
        <f t="shared" si="305"/>
        <v>468</v>
      </c>
      <c r="S7009" s="91">
        <v>3000</v>
      </c>
      <c r="T7009" s="23" t="s">
        <v>42</v>
      </c>
      <c r="U7009" s="102" t="s">
        <v>1658</v>
      </c>
      <c r="V7009" s="186">
        <v>45621</v>
      </c>
      <c r="W7009" s="17" t="s">
        <v>44</v>
      </c>
      <c r="Y7009" s="68">
        <v>45748</v>
      </c>
      <c r="Z7009" s="17" t="s">
        <v>78</v>
      </c>
      <c r="AA7009" s="17" t="s">
        <v>46</v>
      </c>
      <c r="AB7009" s="17" t="s">
        <v>1660</v>
      </c>
      <c r="AC7009" s="217">
        <v>45912</v>
      </c>
      <c r="AD7009" s="65">
        <v>1720</v>
      </c>
      <c r="AE7009" s="17" t="s">
        <v>48</v>
      </c>
    </row>
    <row r="7010" s="17" customFormat="1" hidden="1" spans="1:31">
      <c r="A7010" s="17" t="s">
        <v>34</v>
      </c>
      <c r="B7010" s="19">
        <v>1040</v>
      </c>
      <c r="C7010" s="183">
        <v>45617</v>
      </c>
      <c r="D7010" s="17" t="s">
        <v>35</v>
      </c>
      <c r="E7010" s="17" t="s">
        <v>718</v>
      </c>
      <c r="F7010" s="17" t="s">
        <v>37</v>
      </c>
      <c r="H7010" s="19" t="s">
        <v>38</v>
      </c>
      <c r="I7010" s="19"/>
      <c r="J7010" s="17" t="s">
        <v>39</v>
      </c>
      <c r="K7010" s="91">
        <v>212</v>
      </c>
      <c r="L7010" s="91"/>
      <c r="M7010" s="19">
        <v>5500</v>
      </c>
      <c r="N7010" s="19" t="s">
        <v>40</v>
      </c>
      <c r="O7010" s="19" t="s">
        <v>84</v>
      </c>
      <c r="P7010" s="19">
        <v>2000</v>
      </c>
      <c r="Q7010" s="19">
        <v>818</v>
      </c>
      <c r="R7010" s="19">
        <f t="shared" si="305"/>
        <v>1182</v>
      </c>
      <c r="S7010" s="91">
        <v>3000</v>
      </c>
      <c r="T7010" s="23" t="s">
        <v>42</v>
      </c>
      <c r="U7010" s="102" t="s">
        <v>1658</v>
      </c>
      <c r="V7010" s="186">
        <v>45621</v>
      </c>
      <c r="W7010" s="17" t="s">
        <v>44</v>
      </c>
      <c r="Y7010" s="68">
        <v>45748</v>
      </c>
      <c r="Z7010" s="17" t="s">
        <v>78</v>
      </c>
      <c r="AA7010" s="17" t="s">
        <v>46</v>
      </c>
      <c r="AB7010" s="17" t="s">
        <v>1659</v>
      </c>
      <c r="AC7010" s="217">
        <v>45755</v>
      </c>
      <c r="AD7010" s="65">
        <v>1668</v>
      </c>
      <c r="AE7010" s="17" t="s">
        <v>48</v>
      </c>
    </row>
    <row r="7011" s="17" customFormat="1" hidden="1" spans="1:31">
      <c r="A7011" s="17" t="s">
        <v>34</v>
      </c>
      <c r="B7011" s="19">
        <v>1040</v>
      </c>
      <c r="C7011" s="183">
        <v>45617</v>
      </c>
      <c r="D7011" s="17" t="s">
        <v>35</v>
      </c>
      <c r="E7011" s="17" t="s">
        <v>718</v>
      </c>
      <c r="F7011" s="17" t="s">
        <v>37</v>
      </c>
      <c r="H7011" s="19" t="s">
        <v>38</v>
      </c>
      <c r="I7011" s="19"/>
      <c r="J7011" s="17" t="s">
        <v>39</v>
      </c>
      <c r="K7011" s="91">
        <v>560</v>
      </c>
      <c r="L7011" s="91"/>
      <c r="M7011" s="19">
        <v>5500</v>
      </c>
      <c r="N7011" s="19" t="s">
        <v>40</v>
      </c>
      <c r="O7011" s="19" t="s">
        <v>50</v>
      </c>
      <c r="P7011" s="19">
        <v>6000</v>
      </c>
      <c r="Q7011" s="19">
        <v>5300</v>
      </c>
      <c r="R7011" s="19">
        <f t="shared" si="305"/>
        <v>700</v>
      </c>
      <c r="S7011" s="91">
        <v>2800</v>
      </c>
      <c r="T7011" s="23" t="s">
        <v>42</v>
      </c>
      <c r="U7011" s="102" t="s">
        <v>1658</v>
      </c>
      <c r="V7011" s="186">
        <v>45621</v>
      </c>
      <c r="W7011" s="17" t="s">
        <v>44</v>
      </c>
      <c r="Y7011" s="68">
        <v>45748</v>
      </c>
      <c r="Z7011" s="17" t="s">
        <v>78</v>
      </c>
      <c r="AA7011" s="17" t="s">
        <v>46</v>
      </c>
      <c r="AB7011" s="17" t="s">
        <v>1659</v>
      </c>
      <c r="AC7011" s="217">
        <v>45755</v>
      </c>
      <c r="AD7011" s="65">
        <v>1668</v>
      </c>
      <c r="AE7011" s="17" t="s">
        <v>48</v>
      </c>
    </row>
    <row r="7012" s="17" customFormat="1" hidden="1" spans="1:31">
      <c r="A7012" s="17" t="s">
        <v>34</v>
      </c>
      <c r="B7012" s="19">
        <v>1040</v>
      </c>
      <c r="C7012" s="183">
        <v>45617</v>
      </c>
      <c r="D7012" s="17" t="s">
        <v>35</v>
      </c>
      <c r="E7012" s="17" t="s">
        <v>718</v>
      </c>
      <c r="F7012" s="17" t="s">
        <v>37</v>
      </c>
      <c r="H7012" s="19" t="s">
        <v>38</v>
      </c>
      <c r="I7012" s="19"/>
      <c r="J7012" s="17" t="s">
        <v>39</v>
      </c>
      <c r="K7012" s="91">
        <v>610</v>
      </c>
      <c r="L7012" s="91"/>
      <c r="M7012" s="19">
        <v>5500</v>
      </c>
      <c r="N7012" s="19" t="s">
        <v>40</v>
      </c>
      <c r="O7012" s="19" t="s">
        <v>50</v>
      </c>
      <c r="P7012" s="19">
        <v>10000</v>
      </c>
      <c r="Q7012" s="19">
        <v>7454</v>
      </c>
      <c r="R7012" s="19">
        <f t="shared" si="305"/>
        <v>2546</v>
      </c>
      <c r="S7012" s="91">
        <v>3000</v>
      </c>
      <c r="T7012" s="23" t="s">
        <v>42</v>
      </c>
      <c r="U7012" s="102" t="s">
        <v>1658</v>
      </c>
      <c r="V7012" s="186">
        <v>45621</v>
      </c>
      <c r="W7012" s="17" t="s">
        <v>44</v>
      </c>
      <c r="Y7012" s="68">
        <v>45748</v>
      </c>
      <c r="Z7012" s="17" t="s">
        <v>78</v>
      </c>
      <c r="AA7012" s="17" t="s">
        <v>46</v>
      </c>
      <c r="AB7012" s="17" t="s">
        <v>1659</v>
      </c>
      <c r="AC7012" s="217">
        <v>45755</v>
      </c>
      <c r="AD7012" s="65">
        <v>1668</v>
      </c>
      <c r="AE7012" s="17" t="s">
        <v>48</v>
      </c>
    </row>
    <row r="7013" s="17" customFormat="1" hidden="1" spans="1:31">
      <c r="A7013" s="17" t="s">
        <v>34</v>
      </c>
      <c r="B7013" s="19">
        <v>1040</v>
      </c>
      <c r="C7013" s="183">
        <v>45617</v>
      </c>
      <c r="D7013" s="17" t="s">
        <v>35</v>
      </c>
      <c r="E7013" s="17" t="s">
        <v>718</v>
      </c>
      <c r="F7013" s="17" t="s">
        <v>37</v>
      </c>
      <c r="H7013" s="19" t="s">
        <v>38</v>
      </c>
      <c r="I7013" s="19"/>
      <c r="J7013" s="17" t="s">
        <v>39</v>
      </c>
      <c r="K7013" s="91">
        <v>710</v>
      </c>
      <c r="L7013" s="91"/>
      <c r="M7013" s="19">
        <v>5500</v>
      </c>
      <c r="N7013" s="19" t="s">
        <v>40</v>
      </c>
      <c r="O7013" s="19" t="s">
        <v>50</v>
      </c>
      <c r="P7013" s="19">
        <v>10000</v>
      </c>
      <c r="Q7013" s="19">
        <v>4154</v>
      </c>
      <c r="R7013" s="19">
        <f t="shared" si="305"/>
        <v>5846</v>
      </c>
      <c r="S7013" s="91">
        <v>3000</v>
      </c>
      <c r="T7013" s="23" t="s">
        <v>42</v>
      </c>
      <c r="U7013" s="102" t="s">
        <v>1658</v>
      </c>
      <c r="V7013" s="186">
        <v>45621</v>
      </c>
      <c r="W7013" s="17" t="s">
        <v>44</v>
      </c>
      <c r="Y7013" s="68">
        <v>45748</v>
      </c>
      <c r="Z7013" s="17" t="s">
        <v>78</v>
      </c>
      <c r="AA7013" s="17" t="s">
        <v>46</v>
      </c>
      <c r="AB7013" s="17" t="s">
        <v>1660</v>
      </c>
      <c r="AC7013" s="217">
        <v>45912</v>
      </c>
      <c r="AD7013" s="65">
        <v>1720</v>
      </c>
      <c r="AE7013" s="17" t="s">
        <v>48</v>
      </c>
    </row>
    <row r="7014" s="17" customFormat="1" hidden="1" spans="1:31">
      <c r="A7014" s="17" t="s">
        <v>34</v>
      </c>
      <c r="B7014" s="19">
        <v>1040</v>
      </c>
      <c r="C7014" s="183">
        <v>45617</v>
      </c>
      <c r="D7014" s="17" t="s">
        <v>35</v>
      </c>
      <c r="E7014" s="17" t="s">
        <v>718</v>
      </c>
      <c r="F7014" s="17" t="s">
        <v>37</v>
      </c>
      <c r="H7014" s="19">
        <v>1.2344</v>
      </c>
      <c r="I7014" s="19"/>
      <c r="J7014" s="17" t="s">
        <v>39</v>
      </c>
      <c r="K7014" s="412">
        <v>71</v>
      </c>
      <c r="L7014" s="413"/>
      <c r="M7014" s="19">
        <v>5500</v>
      </c>
      <c r="N7014" s="19" t="s">
        <v>40</v>
      </c>
      <c r="O7014" s="19" t="s">
        <v>84</v>
      </c>
      <c r="P7014" s="19">
        <v>1000</v>
      </c>
      <c r="Q7014" s="19">
        <v>908</v>
      </c>
      <c r="R7014" s="19">
        <f t="shared" si="305"/>
        <v>92</v>
      </c>
      <c r="S7014" s="91">
        <v>3325</v>
      </c>
      <c r="T7014" s="23" t="s">
        <v>42</v>
      </c>
      <c r="U7014" s="102" t="s">
        <v>1658</v>
      </c>
      <c r="V7014" s="186">
        <v>45621</v>
      </c>
      <c r="W7014" s="17" t="s">
        <v>44</v>
      </c>
      <c r="Y7014" s="68">
        <v>45748</v>
      </c>
      <c r="Z7014" s="17" t="s">
        <v>78</v>
      </c>
      <c r="AA7014" s="17" t="s">
        <v>46</v>
      </c>
      <c r="AB7014" s="17" t="s">
        <v>1662</v>
      </c>
      <c r="AC7014" s="217">
        <v>45723</v>
      </c>
      <c r="AD7014" s="65">
        <v>1655</v>
      </c>
      <c r="AE7014" s="17" t="s">
        <v>751</v>
      </c>
    </row>
    <row r="7015" s="17" customFormat="1" hidden="1" spans="1:31">
      <c r="A7015" s="17" t="s">
        <v>34</v>
      </c>
      <c r="B7015" s="19">
        <v>1040</v>
      </c>
      <c r="C7015" s="183">
        <v>45617</v>
      </c>
      <c r="D7015" s="17" t="s">
        <v>35</v>
      </c>
      <c r="E7015" s="17" t="s">
        <v>718</v>
      </c>
      <c r="F7015" s="17" t="s">
        <v>37</v>
      </c>
      <c r="H7015" s="19">
        <v>1.2344</v>
      </c>
      <c r="I7015" s="19"/>
      <c r="J7015" s="17" t="s">
        <v>39</v>
      </c>
      <c r="K7015" s="412">
        <v>86</v>
      </c>
      <c r="L7015" s="413"/>
      <c r="M7015" s="19">
        <v>5500</v>
      </c>
      <c r="N7015" s="19" t="s">
        <v>40</v>
      </c>
      <c r="O7015" s="19" t="s">
        <v>84</v>
      </c>
      <c r="P7015" s="19">
        <v>2000</v>
      </c>
      <c r="Q7015" s="19">
        <v>1738</v>
      </c>
      <c r="R7015" s="19">
        <f t="shared" ref="R7015:R7078" si="306">+P7015-Q7015</f>
        <v>262</v>
      </c>
      <c r="S7015" s="91">
        <v>3325</v>
      </c>
      <c r="T7015" s="23" t="s">
        <v>42</v>
      </c>
      <c r="U7015" s="102" t="s">
        <v>1658</v>
      </c>
      <c r="V7015" s="186">
        <v>45621</v>
      </c>
      <c r="W7015" s="17" t="s">
        <v>44</v>
      </c>
      <c r="Y7015" s="68">
        <v>45748</v>
      </c>
      <c r="Z7015" s="17" t="s">
        <v>78</v>
      </c>
      <c r="AA7015" s="17" t="s">
        <v>46</v>
      </c>
      <c r="AB7015" s="17" t="s">
        <v>1662</v>
      </c>
      <c r="AC7015" s="217">
        <v>45723</v>
      </c>
      <c r="AD7015" s="65">
        <v>1655</v>
      </c>
      <c r="AE7015" s="17" t="s">
        <v>751</v>
      </c>
    </row>
    <row r="7016" s="17" customFormat="1" hidden="1" spans="1:31">
      <c r="A7016" s="17" t="s">
        <v>34</v>
      </c>
      <c r="B7016" s="19">
        <v>1040</v>
      </c>
      <c r="C7016" s="183">
        <v>45617</v>
      </c>
      <c r="D7016" s="17" t="s">
        <v>35</v>
      </c>
      <c r="E7016" s="17" t="s">
        <v>718</v>
      </c>
      <c r="F7016" s="17" t="s">
        <v>37</v>
      </c>
      <c r="H7016" s="19">
        <v>1.2344</v>
      </c>
      <c r="I7016" s="19"/>
      <c r="J7016" s="17" t="s">
        <v>39</v>
      </c>
      <c r="K7016" s="412">
        <v>133</v>
      </c>
      <c r="L7016" s="413"/>
      <c r="M7016" s="19">
        <v>5500</v>
      </c>
      <c r="N7016" s="19" t="s">
        <v>40</v>
      </c>
      <c r="O7016" s="19" t="s">
        <v>84</v>
      </c>
      <c r="P7016" s="19">
        <v>10000</v>
      </c>
      <c r="Q7016" s="19">
        <v>8744</v>
      </c>
      <c r="R7016" s="19">
        <f t="shared" si="306"/>
        <v>1256</v>
      </c>
      <c r="S7016" s="91">
        <v>3025</v>
      </c>
      <c r="T7016" s="23" t="s">
        <v>42</v>
      </c>
      <c r="U7016" s="102" t="s">
        <v>1658</v>
      </c>
      <c r="V7016" s="186">
        <v>45621</v>
      </c>
      <c r="W7016" s="17" t="s">
        <v>44</v>
      </c>
      <c r="Y7016" s="68">
        <v>45748</v>
      </c>
      <c r="Z7016" s="17" t="s">
        <v>78</v>
      </c>
      <c r="AA7016" s="17" t="s">
        <v>46</v>
      </c>
      <c r="AB7016" s="17" t="s">
        <v>1662</v>
      </c>
      <c r="AC7016" s="217">
        <v>45723</v>
      </c>
      <c r="AD7016" s="65">
        <v>1655</v>
      </c>
      <c r="AE7016" s="17" t="s">
        <v>751</v>
      </c>
    </row>
    <row r="7017" s="17" customFormat="1" hidden="1" spans="1:31">
      <c r="A7017" s="17" t="s">
        <v>34</v>
      </c>
      <c r="B7017" s="19">
        <v>1040</v>
      </c>
      <c r="C7017" s="183">
        <v>45617</v>
      </c>
      <c r="D7017" s="17" t="s">
        <v>35</v>
      </c>
      <c r="E7017" s="17" t="s">
        <v>718</v>
      </c>
      <c r="F7017" s="17" t="s">
        <v>37</v>
      </c>
      <c r="H7017" s="19">
        <v>1.2344</v>
      </c>
      <c r="I7017" s="19"/>
      <c r="J7017" s="17" t="s">
        <v>39</v>
      </c>
      <c r="K7017" s="412">
        <v>143</v>
      </c>
      <c r="L7017" s="413"/>
      <c r="M7017" s="19">
        <v>5500</v>
      </c>
      <c r="N7017" s="19" t="s">
        <v>40</v>
      </c>
      <c r="O7017" s="19" t="s">
        <v>84</v>
      </c>
      <c r="P7017" s="19">
        <v>2000</v>
      </c>
      <c r="Q7017" s="19">
        <v>1860</v>
      </c>
      <c r="R7017" s="19">
        <f t="shared" si="306"/>
        <v>140</v>
      </c>
      <c r="S7017" s="91">
        <v>3025</v>
      </c>
      <c r="T7017" s="23" t="s">
        <v>42</v>
      </c>
      <c r="U7017" s="102" t="s">
        <v>1658</v>
      </c>
      <c r="V7017" s="186">
        <v>45621</v>
      </c>
      <c r="W7017" s="17" t="s">
        <v>44</v>
      </c>
      <c r="Y7017" s="68">
        <v>45748</v>
      </c>
      <c r="Z7017" s="17" t="s">
        <v>78</v>
      </c>
      <c r="AA7017" s="17" t="s">
        <v>46</v>
      </c>
      <c r="AB7017" s="17" t="s">
        <v>1660</v>
      </c>
      <c r="AC7017" s="217">
        <v>45912</v>
      </c>
      <c r="AD7017" s="65">
        <v>1720</v>
      </c>
      <c r="AE7017" s="17" t="s">
        <v>48</v>
      </c>
    </row>
    <row r="7018" s="17" customFormat="1" hidden="1" spans="1:31">
      <c r="A7018" s="17" t="s">
        <v>34</v>
      </c>
      <c r="B7018" s="19">
        <v>1040</v>
      </c>
      <c r="C7018" s="183">
        <v>45617</v>
      </c>
      <c r="D7018" s="17" t="s">
        <v>35</v>
      </c>
      <c r="E7018" s="17" t="s">
        <v>718</v>
      </c>
      <c r="F7018" s="17" t="s">
        <v>37</v>
      </c>
      <c r="H7018" s="19">
        <v>1.2344</v>
      </c>
      <c r="I7018" s="19"/>
      <c r="J7018" s="17" t="s">
        <v>39</v>
      </c>
      <c r="K7018" s="412">
        <v>163</v>
      </c>
      <c r="L7018" s="413"/>
      <c r="M7018" s="19">
        <v>5500</v>
      </c>
      <c r="N7018" s="19" t="s">
        <v>40</v>
      </c>
      <c r="O7018" s="19" t="s">
        <v>84</v>
      </c>
      <c r="P7018" s="19">
        <v>6000</v>
      </c>
      <c r="Q7018" s="19">
        <v>5974</v>
      </c>
      <c r="R7018" s="19">
        <f t="shared" si="306"/>
        <v>26</v>
      </c>
      <c r="S7018" s="91">
        <v>3025</v>
      </c>
      <c r="T7018" s="23" t="s">
        <v>42</v>
      </c>
      <c r="U7018" s="102" t="s">
        <v>1658</v>
      </c>
      <c r="V7018" s="186">
        <v>45621</v>
      </c>
      <c r="W7018" s="17" t="s">
        <v>44</v>
      </c>
      <c r="Y7018" s="68">
        <v>45748</v>
      </c>
      <c r="Z7018" s="17" t="s">
        <v>78</v>
      </c>
      <c r="AA7018" s="17" t="s">
        <v>46</v>
      </c>
      <c r="AB7018" s="17" t="s">
        <v>1662</v>
      </c>
      <c r="AC7018" s="217">
        <v>45723</v>
      </c>
      <c r="AD7018" s="65">
        <v>1655</v>
      </c>
      <c r="AE7018" s="17" t="s">
        <v>751</v>
      </c>
    </row>
    <row r="7019" s="17" customFormat="1" hidden="1" spans="1:31">
      <c r="A7019" s="17" t="s">
        <v>34</v>
      </c>
      <c r="B7019" s="19">
        <v>1040</v>
      </c>
      <c r="C7019" s="183">
        <v>45617</v>
      </c>
      <c r="D7019" s="17" t="s">
        <v>35</v>
      </c>
      <c r="E7019" s="17" t="s">
        <v>718</v>
      </c>
      <c r="F7019" s="17" t="s">
        <v>37</v>
      </c>
      <c r="H7019" s="19">
        <v>1.2344</v>
      </c>
      <c r="I7019" s="19"/>
      <c r="J7019" s="17" t="s">
        <v>39</v>
      </c>
      <c r="K7019" s="412">
        <v>183</v>
      </c>
      <c r="L7019" s="413"/>
      <c r="M7019" s="19">
        <v>5500</v>
      </c>
      <c r="N7019" s="19" t="s">
        <v>40</v>
      </c>
      <c r="O7019" s="19" t="s">
        <v>84</v>
      </c>
      <c r="P7019" s="19">
        <v>2000</v>
      </c>
      <c r="Q7019" s="19">
        <v>1724</v>
      </c>
      <c r="R7019" s="19">
        <f t="shared" si="306"/>
        <v>276</v>
      </c>
      <c r="S7019" s="91">
        <v>3125</v>
      </c>
      <c r="T7019" s="23" t="s">
        <v>42</v>
      </c>
      <c r="U7019" s="102" t="s">
        <v>1658</v>
      </c>
      <c r="V7019" s="186">
        <v>45621</v>
      </c>
      <c r="W7019" s="17" t="s">
        <v>44</v>
      </c>
      <c r="Y7019" s="68">
        <v>45748</v>
      </c>
      <c r="Z7019" s="17" t="s">
        <v>78</v>
      </c>
      <c r="AA7019" s="17" t="s">
        <v>46</v>
      </c>
      <c r="AB7019" s="17" t="s">
        <v>1659</v>
      </c>
      <c r="AC7019" s="217">
        <v>45755</v>
      </c>
      <c r="AD7019" s="65">
        <v>1668</v>
      </c>
      <c r="AE7019" s="17" t="s">
        <v>48</v>
      </c>
    </row>
    <row r="7020" s="17" customFormat="1" hidden="1" spans="1:31">
      <c r="A7020" s="17" t="s">
        <v>34</v>
      </c>
      <c r="B7020" s="19">
        <v>1040</v>
      </c>
      <c r="C7020" s="183">
        <v>45617</v>
      </c>
      <c r="D7020" s="17" t="s">
        <v>35</v>
      </c>
      <c r="E7020" s="17" t="s">
        <v>718</v>
      </c>
      <c r="F7020" s="17" t="s">
        <v>37</v>
      </c>
      <c r="H7020" s="19">
        <v>1.2344</v>
      </c>
      <c r="I7020" s="19"/>
      <c r="J7020" s="17" t="s">
        <v>39</v>
      </c>
      <c r="K7020" s="412">
        <v>193</v>
      </c>
      <c r="L7020" s="413"/>
      <c r="M7020" s="19">
        <v>5500</v>
      </c>
      <c r="N7020" s="19" t="s">
        <v>40</v>
      </c>
      <c r="O7020" s="19" t="s">
        <v>84</v>
      </c>
      <c r="P7020" s="19">
        <v>2000</v>
      </c>
      <c r="Q7020" s="19">
        <v>1550</v>
      </c>
      <c r="R7020" s="19">
        <f t="shared" si="306"/>
        <v>450</v>
      </c>
      <c r="S7020" s="91">
        <v>3125</v>
      </c>
      <c r="T7020" s="23" t="s">
        <v>42</v>
      </c>
      <c r="U7020" s="102" t="s">
        <v>1658</v>
      </c>
      <c r="V7020" s="186">
        <v>45621</v>
      </c>
      <c r="W7020" s="17" t="s">
        <v>44</v>
      </c>
      <c r="Y7020" s="68">
        <v>45748</v>
      </c>
      <c r="Z7020" s="17" t="s">
        <v>78</v>
      </c>
      <c r="AA7020" s="17" t="s">
        <v>46</v>
      </c>
      <c r="AB7020" s="17" t="s">
        <v>1659</v>
      </c>
      <c r="AC7020" s="217">
        <v>45755</v>
      </c>
      <c r="AD7020" s="65">
        <v>1668</v>
      </c>
      <c r="AE7020" s="17" t="s">
        <v>48</v>
      </c>
    </row>
    <row r="7021" s="17" customFormat="1" hidden="1" spans="1:31">
      <c r="A7021" s="17" t="s">
        <v>34</v>
      </c>
      <c r="B7021" s="19">
        <v>1040</v>
      </c>
      <c r="C7021" s="183">
        <v>45617</v>
      </c>
      <c r="D7021" s="17" t="s">
        <v>35</v>
      </c>
      <c r="E7021" s="17" t="s">
        <v>718</v>
      </c>
      <c r="F7021" s="17" t="s">
        <v>37</v>
      </c>
      <c r="H7021" s="19">
        <v>1.2344</v>
      </c>
      <c r="I7021" s="19"/>
      <c r="J7021" s="17" t="s">
        <v>39</v>
      </c>
      <c r="K7021" s="412">
        <v>213</v>
      </c>
      <c r="L7021" s="413"/>
      <c r="M7021" s="19">
        <v>5500</v>
      </c>
      <c r="N7021" s="19" t="s">
        <v>40</v>
      </c>
      <c r="O7021" s="19" t="s">
        <v>84</v>
      </c>
      <c r="P7021" s="19">
        <v>2000</v>
      </c>
      <c r="Q7021" s="19">
        <v>1740</v>
      </c>
      <c r="R7021" s="19">
        <f t="shared" si="306"/>
        <v>260</v>
      </c>
      <c r="S7021" s="91">
        <v>3025</v>
      </c>
      <c r="T7021" s="23" t="s">
        <v>42</v>
      </c>
      <c r="U7021" s="102" t="s">
        <v>1658</v>
      </c>
      <c r="V7021" s="186">
        <v>45621</v>
      </c>
      <c r="W7021" s="17" t="s">
        <v>44</v>
      </c>
      <c r="Y7021" s="68">
        <v>45748</v>
      </c>
      <c r="Z7021" s="17" t="s">
        <v>78</v>
      </c>
      <c r="AA7021" s="17" t="s">
        <v>46</v>
      </c>
      <c r="AB7021" s="17" t="s">
        <v>1661</v>
      </c>
      <c r="AC7021" s="217">
        <v>45727</v>
      </c>
      <c r="AD7021" s="65">
        <v>1657</v>
      </c>
      <c r="AE7021" s="17" t="s">
        <v>48</v>
      </c>
    </row>
    <row r="7022" s="17" customFormat="1" hidden="1" spans="1:31">
      <c r="A7022" s="17" t="s">
        <v>34</v>
      </c>
      <c r="B7022" s="19">
        <v>1040</v>
      </c>
      <c r="C7022" s="183">
        <v>45617</v>
      </c>
      <c r="D7022" s="17" t="s">
        <v>35</v>
      </c>
      <c r="E7022" s="17" t="s">
        <v>718</v>
      </c>
      <c r="F7022" s="17" t="s">
        <v>37</v>
      </c>
      <c r="H7022" s="19">
        <v>1.2344</v>
      </c>
      <c r="I7022" s="19"/>
      <c r="J7022" s="17" t="s">
        <v>39</v>
      </c>
      <c r="K7022" s="412">
        <v>315</v>
      </c>
      <c r="L7022" s="413"/>
      <c r="M7022" s="19">
        <v>5500</v>
      </c>
      <c r="N7022" s="19" t="s">
        <v>40</v>
      </c>
      <c r="O7022" s="19" t="s">
        <v>50</v>
      </c>
      <c r="P7022" s="19">
        <v>4000</v>
      </c>
      <c r="Q7022" s="19">
        <v>3814</v>
      </c>
      <c r="R7022" s="19">
        <f t="shared" si="306"/>
        <v>186</v>
      </c>
      <c r="S7022" s="91">
        <v>3025</v>
      </c>
      <c r="T7022" s="23" t="s">
        <v>42</v>
      </c>
      <c r="U7022" s="102" t="s">
        <v>1658</v>
      </c>
      <c r="V7022" s="186">
        <v>45621</v>
      </c>
      <c r="W7022" s="17" t="s">
        <v>44</v>
      </c>
      <c r="Y7022" s="68">
        <v>45748</v>
      </c>
      <c r="Z7022" s="17" t="s">
        <v>78</v>
      </c>
      <c r="AA7022" s="17" t="s">
        <v>46</v>
      </c>
      <c r="AB7022" s="17" t="s">
        <v>1662</v>
      </c>
      <c r="AC7022" s="217">
        <v>45723</v>
      </c>
      <c r="AD7022" s="65">
        <v>1655</v>
      </c>
      <c r="AE7022" s="17" t="s">
        <v>48</v>
      </c>
    </row>
    <row r="7023" s="17" customFormat="1" hidden="1" spans="1:31">
      <c r="A7023" s="17" t="s">
        <v>34</v>
      </c>
      <c r="B7023" s="19">
        <v>1040</v>
      </c>
      <c r="C7023" s="183">
        <v>45617</v>
      </c>
      <c r="D7023" s="17" t="s">
        <v>35</v>
      </c>
      <c r="E7023" s="17" t="s">
        <v>36</v>
      </c>
      <c r="F7023" s="17" t="s">
        <v>37</v>
      </c>
      <c r="H7023" s="19">
        <v>1.2344</v>
      </c>
      <c r="I7023" s="19"/>
      <c r="J7023" s="17" t="s">
        <v>39</v>
      </c>
      <c r="K7023" s="412">
        <v>362</v>
      </c>
      <c r="L7023" s="413"/>
      <c r="M7023" s="19">
        <v>5500</v>
      </c>
      <c r="N7023" s="19" t="s">
        <v>40</v>
      </c>
      <c r="O7023" s="19" t="s">
        <v>50</v>
      </c>
      <c r="P7023" s="19">
        <v>6000</v>
      </c>
      <c r="Q7023" s="19">
        <v>5444</v>
      </c>
      <c r="R7023" s="19">
        <f t="shared" si="306"/>
        <v>556</v>
      </c>
      <c r="S7023" s="91">
        <v>3025</v>
      </c>
      <c r="T7023" s="23" t="s">
        <v>42</v>
      </c>
      <c r="U7023" s="102" t="s">
        <v>1658</v>
      </c>
      <c r="V7023" s="186">
        <v>45621</v>
      </c>
      <c r="W7023" s="17" t="s">
        <v>44</v>
      </c>
      <c r="Y7023" s="68">
        <v>45748</v>
      </c>
      <c r="Z7023" s="17" t="s">
        <v>78</v>
      </c>
      <c r="AA7023" s="17" t="s">
        <v>46</v>
      </c>
      <c r="AB7023" s="17" t="s">
        <v>1663</v>
      </c>
      <c r="AC7023" s="217">
        <v>46061</v>
      </c>
      <c r="AD7023" s="65">
        <v>1759</v>
      </c>
      <c r="AE7023" s="17" t="s">
        <v>48</v>
      </c>
    </row>
    <row r="7024" s="17" customFormat="1" hidden="1" spans="1:31">
      <c r="A7024" s="17" t="s">
        <v>34</v>
      </c>
      <c r="B7024" s="19">
        <v>1040</v>
      </c>
      <c r="C7024" s="183">
        <v>45617</v>
      </c>
      <c r="D7024" s="17" t="s">
        <v>35</v>
      </c>
      <c r="E7024" s="17" t="s">
        <v>718</v>
      </c>
      <c r="F7024" s="17" t="s">
        <v>37</v>
      </c>
      <c r="H7024" s="19">
        <v>1.2344</v>
      </c>
      <c r="I7024" s="19"/>
      <c r="J7024" s="17" t="s">
        <v>39</v>
      </c>
      <c r="K7024" s="412">
        <v>412</v>
      </c>
      <c r="L7024" s="413"/>
      <c r="M7024" s="19">
        <v>5500</v>
      </c>
      <c r="N7024" s="19" t="s">
        <v>40</v>
      </c>
      <c r="O7024" s="19" t="s">
        <v>50</v>
      </c>
      <c r="P7024" s="19">
        <v>6000</v>
      </c>
      <c r="Q7024" s="19">
        <v>6018</v>
      </c>
      <c r="R7024" s="19">
        <f t="shared" si="306"/>
        <v>-18</v>
      </c>
      <c r="S7024" s="91">
        <v>3025</v>
      </c>
      <c r="T7024" s="23" t="s">
        <v>42</v>
      </c>
      <c r="U7024" s="102" t="s">
        <v>1658</v>
      </c>
      <c r="V7024" s="186">
        <v>45621</v>
      </c>
      <c r="W7024" s="17" t="s">
        <v>44</v>
      </c>
      <c r="Y7024" s="68">
        <v>45748</v>
      </c>
      <c r="Z7024" s="17" t="s">
        <v>78</v>
      </c>
      <c r="AA7024" s="17" t="s">
        <v>46</v>
      </c>
      <c r="AB7024" s="17" t="s">
        <v>1661</v>
      </c>
      <c r="AC7024" s="217">
        <v>45727</v>
      </c>
      <c r="AD7024" s="65">
        <v>1657</v>
      </c>
      <c r="AE7024" s="17" t="s">
        <v>48</v>
      </c>
    </row>
    <row r="7025" s="17" customFormat="1" hidden="1" spans="1:44">
      <c r="A7025" s="17" t="s">
        <v>34</v>
      </c>
      <c r="B7025" s="19">
        <v>1040</v>
      </c>
      <c r="C7025" s="183">
        <v>45617</v>
      </c>
      <c r="D7025" s="17" t="s">
        <v>35</v>
      </c>
      <c r="E7025" s="17" t="s">
        <v>718</v>
      </c>
      <c r="F7025" s="17" t="s">
        <v>37</v>
      </c>
      <c r="H7025" s="19">
        <v>1.2344</v>
      </c>
      <c r="I7025" s="19"/>
      <c r="J7025" s="17" t="s">
        <v>39</v>
      </c>
      <c r="K7025" s="412">
        <v>512</v>
      </c>
      <c r="L7025" s="413"/>
      <c r="M7025" s="19">
        <v>5500</v>
      </c>
      <c r="N7025" s="19" t="s">
        <v>40</v>
      </c>
      <c r="O7025" s="19" t="s">
        <v>50</v>
      </c>
      <c r="P7025" s="147">
        <v>6000</v>
      </c>
      <c r="Q7025" s="147">
        <v>5340</v>
      </c>
      <c r="R7025" s="19">
        <f t="shared" si="306"/>
        <v>660</v>
      </c>
      <c r="S7025" s="243">
        <v>3025</v>
      </c>
      <c r="T7025" s="248" t="s">
        <v>42</v>
      </c>
      <c r="U7025" s="102" t="s">
        <v>1658</v>
      </c>
      <c r="V7025" s="186">
        <v>45621</v>
      </c>
      <c r="W7025" s="17" t="s">
        <v>44</v>
      </c>
      <c r="Y7025" s="68">
        <v>45748</v>
      </c>
      <c r="Z7025" s="17" t="s">
        <v>78</v>
      </c>
      <c r="AA7025" s="17" t="s">
        <v>46</v>
      </c>
      <c r="AB7025" s="17" t="s">
        <v>1661</v>
      </c>
      <c r="AC7025" s="217">
        <v>45727</v>
      </c>
      <c r="AD7025" s="65">
        <v>1657</v>
      </c>
      <c r="AE7025" s="17" t="s">
        <v>48</v>
      </c>
    </row>
    <row r="7026" s="24" customFormat="1" hidden="1" spans="1:44">
      <c r="B7026" s="342">
        <v>1041</v>
      </c>
      <c r="C7026" s="343">
        <v>45629</v>
      </c>
      <c r="D7026" s="24" t="s">
        <v>35</v>
      </c>
      <c r="E7026" s="24" t="s">
        <v>718</v>
      </c>
      <c r="F7026" s="24" t="s">
        <v>37</v>
      </c>
      <c r="H7026" s="342" t="s">
        <v>38</v>
      </c>
      <c r="I7026" s="342"/>
      <c r="J7026" s="24" t="s">
        <v>39</v>
      </c>
      <c r="K7026" s="342">
        <v>203</v>
      </c>
      <c r="L7026" s="344"/>
      <c r="M7026" s="342">
        <v>5500</v>
      </c>
      <c r="N7026" s="342" t="s">
        <v>40</v>
      </c>
      <c r="O7026" s="342" t="s">
        <v>50</v>
      </c>
      <c r="P7026" s="414">
        <v>2000</v>
      </c>
      <c r="Q7026" s="415"/>
      <c r="R7026" s="342">
        <f t="shared" si="306"/>
        <v>2000</v>
      </c>
      <c r="S7026" s="416">
        <v>3000</v>
      </c>
      <c r="T7026" s="392" t="s">
        <v>42</v>
      </c>
      <c r="U7026" s="345" t="s">
        <v>1664</v>
      </c>
      <c r="V7026" s="346">
        <v>45631</v>
      </c>
      <c r="W7026" s="24" t="s">
        <v>44</v>
      </c>
      <c r="Y7026" s="347">
        <v>45748</v>
      </c>
      <c r="Z7026" s="24" t="s">
        <v>78</v>
      </c>
      <c r="AA7026" s="24" t="s">
        <v>46</v>
      </c>
      <c r="AC7026" s="363"/>
      <c r="AD7026" s="348"/>
      <c r="AE7026" s="24" t="s">
        <v>48</v>
      </c>
      <c r="AF7026" s="24" t="s">
        <v>1423</v>
      </c>
    </row>
    <row r="7027" s="17" customFormat="1" hidden="1" spans="1:44">
      <c r="A7027" s="17" t="s">
        <v>34</v>
      </c>
      <c r="B7027" s="19">
        <v>1041</v>
      </c>
      <c r="C7027" s="183">
        <v>45629</v>
      </c>
      <c r="D7027" s="17" t="s">
        <v>35</v>
      </c>
      <c r="E7027" s="17" t="s">
        <v>36</v>
      </c>
      <c r="F7027" s="17" t="s">
        <v>37</v>
      </c>
      <c r="H7027" s="19" t="s">
        <v>38</v>
      </c>
      <c r="I7027" s="19"/>
      <c r="J7027" s="17" t="s">
        <v>39</v>
      </c>
      <c r="K7027" s="19">
        <v>264</v>
      </c>
      <c r="L7027" s="91"/>
      <c r="M7027" s="19">
        <v>5500</v>
      </c>
      <c r="N7027" s="19" t="s">
        <v>40</v>
      </c>
      <c r="O7027" s="19" t="s">
        <v>50</v>
      </c>
      <c r="P7027" s="232">
        <v>4000</v>
      </c>
      <c r="Q7027" s="123">
        <v>3532</v>
      </c>
      <c r="R7027" s="19">
        <f t="shared" si="306"/>
        <v>468</v>
      </c>
      <c r="S7027" s="91">
        <v>2800</v>
      </c>
      <c r="T7027" s="248" t="s">
        <v>42</v>
      </c>
      <c r="U7027" s="102" t="s">
        <v>1664</v>
      </c>
      <c r="V7027" s="186">
        <v>45631</v>
      </c>
      <c r="W7027" s="17" t="s">
        <v>44</v>
      </c>
      <c r="Y7027" s="68">
        <v>45748</v>
      </c>
      <c r="Z7027" s="17" t="s">
        <v>78</v>
      </c>
      <c r="AA7027" s="17" t="s">
        <v>46</v>
      </c>
      <c r="AB7027" s="17" t="s">
        <v>1663</v>
      </c>
      <c r="AC7027" s="217">
        <v>46061</v>
      </c>
      <c r="AD7027" s="65">
        <v>1759</v>
      </c>
      <c r="AE7027" s="17" t="s">
        <v>48</v>
      </c>
    </row>
    <row r="7028" s="17" customFormat="1" hidden="1" spans="1:44">
      <c r="A7028" s="17" t="s">
        <v>34</v>
      </c>
      <c r="B7028" s="19">
        <v>1041</v>
      </c>
      <c r="C7028" s="183">
        <v>45629</v>
      </c>
      <c r="D7028" s="17" t="s">
        <v>35</v>
      </c>
      <c r="E7028" s="17" t="s">
        <v>718</v>
      </c>
      <c r="F7028" s="17" t="s">
        <v>37</v>
      </c>
      <c r="H7028" s="19" t="s">
        <v>38</v>
      </c>
      <c r="I7028" s="19"/>
      <c r="J7028" s="17" t="s">
        <v>39</v>
      </c>
      <c r="K7028" s="19">
        <v>284</v>
      </c>
      <c r="L7028" s="91"/>
      <c r="M7028" s="19">
        <v>5500</v>
      </c>
      <c r="N7028" s="19" t="s">
        <v>40</v>
      </c>
      <c r="O7028" s="19" t="s">
        <v>50</v>
      </c>
      <c r="P7028" s="232">
        <v>4000</v>
      </c>
      <c r="Q7028" s="123">
        <v>3474</v>
      </c>
      <c r="R7028" s="19">
        <f t="shared" si="306"/>
        <v>526</v>
      </c>
      <c r="S7028" s="91">
        <v>2800</v>
      </c>
      <c r="T7028" s="248" t="s">
        <v>42</v>
      </c>
      <c r="U7028" s="102" t="s">
        <v>1664</v>
      </c>
      <c r="V7028" s="186">
        <v>45631</v>
      </c>
      <c r="W7028" s="17" t="s">
        <v>44</v>
      </c>
      <c r="Y7028" s="68">
        <v>45748</v>
      </c>
      <c r="Z7028" s="17" t="s">
        <v>78</v>
      </c>
      <c r="AA7028" s="17" t="s">
        <v>46</v>
      </c>
      <c r="AB7028" s="17" t="s">
        <v>1660</v>
      </c>
      <c r="AC7028" s="217">
        <v>45912</v>
      </c>
      <c r="AD7028" s="65">
        <v>1720</v>
      </c>
      <c r="AE7028" s="17" t="s">
        <v>48</v>
      </c>
    </row>
    <row r="7029" s="17" customFormat="1" hidden="1" spans="1:44">
      <c r="A7029" s="17" t="s">
        <v>34</v>
      </c>
      <c r="B7029" s="19">
        <v>1041</v>
      </c>
      <c r="C7029" s="183">
        <v>45629</v>
      </c>
      <c r="D7029" s="17" t="s">
        <v>35</v>
      </c>
      <c r="E7029" s="17" t="s">
        <v>36</v>
      </c>
      <c r="F7029" s="17" t="s">
        <v>37</v>
      </c>
      <c r="H7029" s="19" t="s">
        <v>38</v>
      </c>
      <c r="I7029" s="19"/>
      <c r="J7029" s="17" t="s">
        <v>39</v>
      </c>
      <c r="K7029" s="19">
        <v>412</v>
      </c>
      <c r="L7029" s="91"/>
      <c r="M7029" s="19">
        <v>5500</v>
      </c>
      <c r="N7029" s="19" t="s">
        <v>40</v>
      </c>
      <c r="O7029" s="19" t="s">
        <v>50</v>
      </c>
      <c r="P7029" s="232">
        <v>6000</v>
      </c>
      <c r="Q7029" s="123">
        <v>5166</v>
      </c>
      <c r="R7029" s="19">
        <f t="shared" si="306"/>
        <v>834</v>
      </c>
      <c r="S7029" s="91">
        <v>2800</v>
      </c>
      <c r="T7029" s="248" t="s">
        <v>42</v>
      </c>
      <c r="U7029" s="102" t="s">
        <v>1664</v>
      </c>
      <c r="V7029" s="186">
        <v>45631</v>
      </c>
      <c r="W7029" s="17" t="s">
        <v>44</v>
      </c>
      <c r="Y7029" s="68">
        <v>45748</v>
      </c>
      <c r="Z7029" s="17" t="s">
        <v>78</v>
      </c>
      <c r="AA7029" s="17" t="s">
        <v>46</v>
      </c>
      <c r="AB7029" s="17" t="s">
        <v>1663</v>
      </c>
      <c r="AC7029" s="217">
        <v>46061</v>
      </c>
      <c r="AD7029" s="65">
        <v>1759</v>
      </c>
      <c r="AE7029" s="17" t="s">
        <v>48</v>
      </c>
    </row>
    <row r="7030" s="17" customFormat="1" hidden="1" spans="1:44">
      <c r="A7030" s="17" t="s">
        <v>34</v>
      </c>
      <c r="B7030" s="19">
        <v>1041</v>
      </c>
      <c r="C7030" s="183">
        <v>45629</v>
      </c>
      <c r="D7030" s="17" t="s">
        <v>35</v>
      </c>
      <c r="E7030" s="17" t="s">
        <v>36</v>
      </c>
      <c r="F7030" s="17" t="s">
        <v>37</v>
      </c>
      <c r="H7030" s="19" t="s">
        <v>38</v>
      </c>
      <c r="I7030" s="19"/>
      <c r="J7030" s="17" t="s">
        <v>39</v>
      </c>
      <c r="K7030" s="19">
        <v>462</v>
      </c>
      <c r="L7030" s="91"/>
      <c r="M7030" s="19">
        <v>5500</v>
      </c>
      <c r="N7030" s="19" t="s">
        <v>40</v>
      </c>
      <c r="O7030" s="19" t="s">
        <v>50</v>
      </c>
      <c r="P7030" s="232">
        <v>6000</v>
      </c>
      <c r="Q7030" s="123">
        <v>4594</v>
      </c>
      <c r="R7030" s="19">
        <f t="shared" si="306"/>
        <v>1406</v>
      </c>
      <c r="S7030" s="91">
        <v>2800</v>
      </c>
      <c r="T7030" s="248" t="s">
        <v>42</v>
      </c>
      <c r="U7030" s="102" t="s">
        <v>1664</v>
      </c>
      <c r="V7030" s="186">
        <v>45631</v>
      </c>
      <c r="W7030" s="17" t="s">
        <v>44</v>
      </c>
      <c r="Y7030" s="68">
        <v>45748</v>
      </c>
      <c r="Z7030" s="17" t="s">
        <v>78</v>
      </c>
      <c r="AA7030" s="17" t="s">
        <v>46</v>
      </c>
      <c r="AB7030" s="17" t="s">
        <v>1663</v>
      </c>
      <c r="AC7030" s="217">
        <v>46061</v>
      </c>
      <c r="AD7030" s="65">
        <v>1759</v>
      </c>
      <c r="AE7030" s="17" t="s">
        <v>48</v>
      </c>
    </row>
    <row r="7031" s="25" customFormat="1" hidden="1" spans="1:44">
      <c r="A7031" s="17" t="s">
        <v>34</v>
      </c>
      <c r="B7031" s="19">
        <v>1056</v>
      </c>
      <c r="C7031" s="183">
        <v>45756</v>
      </c>
      <c r="D7031" s="17" t="s">
        <v>35</v>
      </c>
      <c r="E7031" s="17" t="s">
        <v>36</v>
      </c>
      <c r="F7031" s="17" t="s">
        <v>37</v>
      </c>
      <c r="G7031" s="17"/>
      <c r="H7031" s="19" t="s">
        <v>38</v>
      </c>
      <c r="I7031" s="19"/>
      <c r="J7031" s="17" t="s">
        <v>39</v>
      </c>
      <c r="K7031" s="19">
        <v>114</v>
      </c>
      <c r="L7031" s="91"/>
      <c r="M7031" s="19"/>
      <c r="N7031" s="19" t="s">
        <v>40</v>
      </c>
      <c r="O7031" s="19" t="s">
        <v>84</v>
      </c>
      <c r="P7031" s="19">
        <v>1266</v>
      </c>
      <c r="Q7031" s="19">
        <v>1262</v>
      </c>
      <c r="R7031" s="19">
        <f t="shared" si="306"/>
        <v>4</v>
      </c>
      <c r="S7031" s="19">
        <v>3000</v>
      </c>
      <c r="T7031" s="19" t="s">
        <v>42</v>
      </c>
      <c r="U7031" s="102" t="s">
        <v>1665</v>
      </c>
      <c r="V7031" s="186">
        <v>45756</v>
      </c>
      <c r="W7031" s="17" t="s">
        <v>44</v>
      </c>
      <c r="X7031" s="17"/>
      <c r="Y7031" s="68">
        <v>45748</v>
      </c>
      <c r="Z7031" s="17" t="s">
        <v>78</v>
      </c>
      <c r="AA7031" s="17" t="s">
        <v>46</v>
      </c>
      <c r="AB7031" s="17" t="s">
        <v>1663</v>
      </c>
      <c r="AC7031" s="217">
        <v>46061</v>
      </c>
      <c r="AD7031" s="65">
        <v>1759</v>
      </c>
      <c r="AE7031" s="17" t="s">
        <v>48</v>
      </c>
      <c r="AF7031" s="17"/>
      <c r="AG7031" s="17"/>
      <c r="AH7031" s="17"/>
      <c r="AI7031" s="17"/>
      <c r="AJ7031" s="17"/>
      <c r="AK7031" s="17"/>
      <c r="AL7031" s="17"/>
      <c r="AM7031" s="17"/>
      <c r="AN7031" s="17"/>
      <c r="AO7031" s="17"/>
      <c r="AP7031" s="17"/>
      <c r="AQ7031" s="17"/>
      <c r="AR7031" s="17"/>
    </row>
    <row r="7032" s="25" customFormat="1" hidden="1" spans="1:44">
      <c r="A7032" s="17" t="s">
        <v>34</v>
      </c>
      <c r="B7032" s="19">
        <v>1094</v>
      </c>
      <c r="C7032" s="183">
        <v>45936</v>
      </c>
      <c r="D7032" s="17"/>
      <c r="E7032" s="17" t="s">
        <v>433</v>
      </c>
      <c r="F7032" s="17" t="s">
        <v>434</v>
      </c>
      <c r="G7032" s="17"/>
      <c r="H7032" s="19" t="s">
        <v>1666</v>
      </c>
      <c r="I7032" s="19"/>
      <c r="J7032" s="17" t="s">
        <v>82</v>
      </c>
      <c r="K7032" s="189">
        <v>770</v>
      </c>
      <c r="L7032" s="91">
        <v>35</v>
      </c>
      <c r="M7032" s="189">
        <v>1010</v>
      </c>
      <c r="N7032" s="19" t="s">
        <v>66</v>
      </c>
      <c r="O7032" s="19" t="s">
        <v>98</v>
      </c>
      <c r="P7032" s="417">
        <v>240</v>
      </c>
      <c r="Q7032" s="19">
        <v>240</v>
      </c>
      <c r="R7032" s="19">
        <f t="shared" si="306"/>
        <v>0</v>
      </c>
      <c r="S7032" s="418">
        <v>900</v>
      </c>
      <c r="T7032" s="19" t="s">
        <v>94</v>
      </c>
      <c r="U7032" s="102" t="s">
        <v>1667</v>
      </c>
      <c r="V7032" s="186">
        <v>45931</v>
      </c>
      <c r="W7032" s="17" t="s">
        <v>44</v>
      </c>
      <c r="X7032" s="17"/>
      <c r="Y7032" s="68">
        <v>45962</v>
      </c>
      <c r="Z7032" s="17" t="s">
        <v>1668</v>
      </c>
      <c r="AA7032" s="17" t="s">
        <v>46</v>
      </c>
      <c r="AB7032" s="17" t="s">
        <v>1669</v>
      </c>
      <c r="AC7032" s="217">
        <v>45989</v>
      </c>
      <c r="AD7032" s="65">
        <v>1751</v>
      </c>
      <c r="AE7032" s="17" t="s">
        <v>48</v>
      </c>
      <c r="AF7032" s="17"/>
      <c r="AG7032" s="17"/>
      <c r="AH7032" s="17"/>
      <c r="AI7032" s="17"/>
      <c r="AJ7032" s="17"/>
      <c r="AK7032" s="17"/>
      <c r="AL7032" s="17"/>
      <c r="AM7032" s="17"/>
      <c r="AN7032" s="17"/>
      <c r="AO7032" s="17"/>
      <c r="AP7032" s="17"/>
      <c r="AQ7032" s="17"/>
      <c r="AR7032" s="17"/>
    </row>
    <row r="7033" s="25" customFormat="1" hidden="1" spans="1:44">
      <c r="A7033" s="17" t="s">
        <v>34</v>
      </c>
      <c r="B7033" s="19">
        <v>1094</v>
      </c>
      <c r="C7033" s="183">
        <v>45936</v>
      </c>
      <c r="D7033" s="17"/>
      <c r="E7033" s="17" t="s">
        <v>433</v>
      </c>
      <c r="F7033" s="17" t="s">
        <v>434</v>
      </c>
      <c r="G7033" s="17"/>
      <c r="H7033" s="19" t="s">
        <v>1666</v>
      </c>
      <c r="I7033" s="19"/>
      <c r="J7033" s="17" t="s">
        <v>82</v>
      </c>
      <c r="K7033" s="189">
        <v>600</v>
      </c>
      <c r="L7033" s="91">
        <v>38</v>
      </c>
      <c r="M7033" s="189">
        <v>1315</v>
      </c>
      <c r="N7033" s="19" t="s">
        <v>66</v>
      </c>
      <c r="O7033" s="19" t="s">
        <v>98</v>
      </c>
      <c r="P7033" s="417">
        <v>230</v>
      </c>
      <c r="Q7033" s="19">
        <v>230</v>
      </c>
      <c r="R7033" s="19">
        <f t="shared" si="306"/>
        <v>0</v>
      </c>
      <c r="S7033" s="418">
        <v>900</v>
      </c>
      <c r="T7033" s="19" t="s">
        <v>94</v>
      </c>
      <c r="U7033" s="102" t="s">
        <v>1667</v>
      </c>
      <c r="V7033" s="186">
        <v>45931</v>
      </c>
      <c r="W7033" s="17" t="s">
        <v>44</v>
      </c>
      <c r="X7033" s="17"/>
      <c r="Y7033" s="68">
        <v>45962</v>
      </c>
      <c r="Z7033" s="17" t="s">
        <v>1668</v>
      </c>
      <c r="AA7033" s="17" t="s">
        <v>46</v>
      </c>
      <c r="AB7033" s="17" t="s">
        <v>1670</v>
      </c>
      <c r="AC7033" s="217">
        <v>45966</v>
      </c>
      <c r="AD7033" s="65">
        <v>1749</v>
      </c>
      <c r="AE7033" s="17" t="s">
        <v>48</v>
      </c>
      <c r="AF7033" s="17"/>
      <c r="AG7033" s="17"/>
      <c r="AH7033" s="17"/>
      <c r="AI7033" s="17"/>
      <c r="AJ7033" s="17"/>
      <c r="AK7033" s="17"/>
      <c r="AL7033" s="17"/>
      <c r="AM7033" s="17"/>
      <c r="AN7033" s="17"/>
      <c r="AO7033" s="17"/>
      <c r="AP7033" s="17"/>
      <c r="AQ7033" s="17"/>
      <c r="AR7033" s="17"/>
    </row>
    <row r="7034" s="25" customFormat="1" hidden="1" spans="1:44">
      <c r="A7034" s="17" t="s">
        <v>34</v>
      </c>
      <c r="B7034" s="19">
        <v>1094</v>
      </c>
      <c r="C7034" s="183">
        <v>45936</v>
      </c>
      <c r="D7034" s="17"/>
      <c r="E7034" s="17" t="s">
        <v>433</v>
      </c>
      <c r="F7034" s="17" t="s">
        <v>434</v>
      </c>
      <c r="G7034" s="17"/>
      <c r="H7034" s="19" t="s">
        <v>1666</v>
      </c>
      <c r="I7034" s="19"/>
      <c r="J7034" s="17" t="s">
        <v>82</v>
      </c>
      <c r="K7034" s="189" t="s">
        <v>1671</v>
      </c>
      <c r="L7034" s="91">
        <v>40</v>
      </c>
      <c r="M7034" s="189" t="s">
        <v>1672</v>
      </c>
      <c r="N7034" s="19" t="s">
        <v>66</v>
      </c>
      <c r="O7034" s="19" t="s">
        <v>98</v>
      </c>
      <c r="P7034" s="417">
        <v>385</v>
      </c>
      <c r="Q7034" s="19">
        <v>385</v>
      </c>
      <c r="R7034" s="19">
        <f t="shared" si="306"/>
        <v>0</v>
      </c>
      <c r="S7034" s="418">
        <v>900</v>
      </c>
      <c r="T7034" s="19" t="s">
        <v>94</v>
      </c>
      <c r="U7034" s="102" t="s">
        <v>1667</v>
      </c>
      <c r="V7034" s="186">
        <v>45931</v>
      </c>
      <c r="W7034" s="17" t="s">
        <v>44</v>
      </c>
      <c r="X7034" s="17"/>
      <c r="Y7034" s="68">
        <v>45962</v>
      </c>
      <c r="Z7034" s="17" t="s">
        <v>1668</v>
      </c>
      <c r="AA7034" s="17" t="s">
        <v>46</v>
      </c>
      <c r="AB7034" s="17" t="s">
        <v>1673</v>
      </c>
      <c r="AC7034" s="217">
        <v>45960</v>
      </c>
      <c r="AD7034" s="65">
        <v>1747</v>
      </c>
      <c r="AE7034" s="17" t="s">
        <v>147</v>
      </c>
      <c r="AF7034" s="17"/>
      <c r="AG7034" s="17"/>
      <c r="AH7034" s="17"/>
      <c r="AI7034" s="17"/>
      <c r="AJ7034" s="17"/>
      <c r="AK7034" s="17"/>
      <c r="AL7034" s="17"/>
      <c r="AM7034" s="17"/>
      <c r="AN7034" s="17"/>
      <c r="AO7034" s="17"/>
      <c r="AP7034" s="17"/>
      <c r="AQ7034" s="17"/>
      <c r="AR7034" s="17"/>
    </row>
    <row r="7035" s="25" customFormat="1" hidden="1" spans="1:44">
      <c r="A7035" s="17" t="s">
        <v>34</v>
      </c>
      <c r="B7035" s="19">
        <v>1094</v>
      </c>
      <c r="C7035" s="183">
        <v>45936</v>
      </c>
      <c r="D7035" s="17"/>
      <c r="E7035" s="17" t="s">
        <v>433</v>
      </c>
      <c r="F7035" s="17" t="s">
        <v>434</v>
      </c>
      <c r="G7035" s="17"/>
      <c r="H7035" s="19" t="s">
        <v>1666</v>
      </c>
      <c r="I7035" s="19"/>
      <c r="J7035" s="17" t="s">
        <v>82</v>
      </c>
      <c r="K7035" s="189">
        <v>640</v>
      </c>
      <c r="L7035" s="91">
        <v>65</v>
      </c>
      <c r="M7035" s="189">
        <v>1100</v>
      </c>
      <c r="N7035" s="19" t="s">
        <v>66</v>
      </c>
      <c r="O7035" s="19" t="s">
        <v>98</v>
      </c>
      <c r="P7035" s="417">
        <v>408</v>
      </c>
      <c r="Q7035" s="19">
        <v>408</v>
      </c>
      <c r="R7035" s="19">
        <f t="shared" si="306"/>
        <v>0</v>
      </c>
      <c r="S7035" s="418">
        <v>900</v>
      </c>
      <c r="T7035" s="19" t="s">
        <v>94</v>
      </c>
      <c r="U7035" s="102" t="s">
        <v>1667</v>
      </c>
      <c r="V7035" s="186">
        <v>45931</v>
      </c>
      <c r="W7035" s="17" t="s">
        <v>44</v>
      </c>
      <c r="X7035" s="17"/>
      <c r="Y7035" s="68">
        <v>45962</v>
      </c>
      <c r="Z7035" s="17" t="s">
        <v>1668</v>
      </c>
      <c r="AA7035" s="17" t="s">
        <v>46</v>
      </c>
      <c r="AB7035" s="17" t="s">
        <v>1670</v>
      </c>
      <c r="AC7035" s="217">
        <v>45966</v>
      </c>
      <c r="AD7035" s="65">
        <v>1749</v>
      </c>
      <c r="AE7035" s="17" t="s">
        <v>74</v>
      </c>
      <c r="AF7035" s="17"/>
      <c r="AG7035" s="17"/>
      <c r="AH7035" s="17"/>
      <c r="AI7035" s="17"/>
      <c r="AJ7035" s="17"/>
      <c r="AK7035" s="17"/>
      <c r="AL7035" s="17"/>
      <c r="AM7035" s="17"/>
      <c r="AN7035" s="17"/>
      <c r="AO7035" s="17"/>
      <c r="AP7035" s="17"/>
      <c r="AQ7035" s="17"/>
      <c r="AR7035" s="17"/>
    </row>
    <row r="7036" s="25" customFormat="1" hidden="1" spans="1:44">
      <c r="A7036" s="17" t="s">
        <v>34</v>
      </c>
      <c r="B7036" s="19">
        <v>1094</v>
      </c>
      <c r="C7036" s="183">
        <v>45936</v>
      </c>
      <c r="D7036" s="17"/>
      <c r="E7036" s="17" t="s">
        <v>433</v>
      </c>
      <c r="F7036" s="17" t="s">
        <v>434</v>
      </c>
      <c r="G7036" s="17"/>
      <c r="H7036" s="19" t="s">
        <v>1666</v>
      </c>
      <c r="I7036" s="19"/>
      <c r="J7036" s="17" t="s">
        <v>82</v>
      </c>
      <c r="K7036" s="189">
        <v>660</v>
      </c>
      <c r="L7036" s="91">
        <v>70</v>
      </c>
      <c r="M7036" s="189">
        <v>1225</v>
      </c>
      <c r="N7036" s="19" t="s">
        <v>66</v>
      </c>
      <c r="O7036" s="19" t="s">
        <v>98</v>
      </c>
      <c r="P7036" s="417">
        <v>450</v>
      </c>
      <c r="Q7036" s="19">
        <v>450</v>
      </c>
      <c r="R7036" s="19">
        <f t="shared" si="306"/>
        <v>0</v>
      </c>
      <c r="S7036" s="418">
        <v>900</v>
      </c>
      <c r="T7036" s="19" t="s">
        <v>94</v>
      </c>
      <c r="U7036" s="102" t="s">
        <v>1667</v>
      </c>
      <c r="V7036" s="186">
        <v>45931</v>
      </c>
      <c r="W7036" s="17" t="s">
        <v>44</v>
      </c>
      <c r="X7036" s="17"/>
      <c r="Y7036" s="68">
        <v>45962</v>
      </c>
      <c r="Z7036" s="17" t="s">
        <v>1668</v>
      </c>
      <c r="AA7036" s="17" t="s">
        <v>46</v>
      </c>
      <c r="AB7036" s="17" t="s">
        <v>1670</v>
      </c>
      <c r="AC7036" s="217">
        <v>45966</v>
      </c>
      <c r="AD7036" s="65">
        <v>1749</v>
      </c>
      <c r="AE7036" s="17" t="s">
        <v>1674</v>
      </c>
      <c r="AF7036" s="17"/>
      <c r="AG7036" s="17"/>
      <c r="AH7036" s="17"/>
      <c r="AI7036" s="17"/>
      <c r="AJ7036" s="17"/>
      <c r="AK7036" s="17"/>
      <c r="AL7036" s="17"/>
      <c r="AM7036" s="17"/>
      <c r="AN7036" s="17"/>
      <c r="AO7036" s="17"/>
      <c r="AP7036" s="17"/>
      <c r="AQ7036" s="17"/>
      <c r="AR7036" s="17"/>
    </row>
    <row r="7037" s="25" customFormat="1" hidden="1" spans="1:44">
      <c r="A7037" s="17" t="s">
        <v>34</v>
      </c>
      <c r="B7037" s="19">
        <v>1094</v>
      </c>
      <c r="C7037" s="183">
        <v>45936</v>
      </c>
      <c r="D7037" s="17"/>
      <c r="E7037" s="17" t="s">
        <v>433</v>
      </c>
      <c r="F7037" s="17" t="s">
        <v>434</v>
      </c>
      <c r="G7037" s="17"/>
      <c r="H7037" s="19" t="s">
        <v>1666</v>
      </c>
      <c r="I7037" s="19"/>
      <c r="J7037" s="17" t="s">
        <v>82</v>
      </c>
      <c r="K7037" s="189">
        <v>660</v>
      </c>
      <c r="L7037" s="91">
        <v>70</v>
      </c>
      <c r="M7037" s="189">
        <v>955</v>
      </c>
      <c r="N7037" s="19" t="s">
        <v>66</v>
      </c>
      <c r="O7037" s="19" t="s">
        <v>98</v>
      </c>
      <c r="P7037" s="417">
        <v>370</v>
      </c>
      <c r="Q7037" s="19">
        <v>370</v>
      </c>
      <c r="R7037" s="19">
        <f t="shared" si="306"/>
        <v>0</v>
      </c>
      <c r="S7037" s="418">
        <v>900</v>
      </c>
      <c r="T7037" s="19" t="s">
        <v>94</v>
      </c>
      <c r="U7037" s="102" t="s">
        <v>1667</v>
      </c>
      <c r="V7037" s="186">
        <v>45931</v>
      </c>
      <c r="W7037" s="17" t="s">
        <v>44</v>
      </c>
      <c r="X7037" s="17"/>
      <c r="Y7037" s="68">
        <v>45962</v>
      </c>
      <c r="Z7037" s="17" t="s">
        <v>1668</v>
      </c>
      <c r="AA7037" s="17" t="s">
        <v>46</v>
      </c>
      <c r="AB7037" s="17" t="s">
        <v>1673</v>
      </c>
      <c r="AC7037" s="217">
        <v>45960</v>
      </c>
      <c r="AD7037" s="65">
        <v>1747</v>
      </c>
      <c r="AE7037" s="17" t="s">
        <v>147</v>
      </c>
      <c r="AF7037" s="17"/>
      <c r="AG7037" s="17"/>
      <c r="AH7037" s="17"/>
      <c r="AI7037" s="17"/>
      <c r="AJ7037" s="17"/>
      <c r="AK7037" s="17"/>
      <c r="AL7037" s="17"/>
      <c r="AM7037" s="17"/>
      <c r="AN7037" s="17"/>
      <c r="AO7037" s="17"/>
      <c r="AP7037" s="17"/>
      <c r="AQ7037" s="17"/>
      <c r="AR7037" s="17"/>
    </row>
    <row r="7038" s="25" customFormat="1" hidden="1" spans="1:44">
      <c r="A7038" s="17" t="s">
        <v>34</v>
      </c>
      <c r="B7038" s="19">
        <v>1094</v>
      </c>
      <c r="C7038" s="183">
        <v>45936</v>
      </c>
      <c r="D7038" s="17"/>
      <c r="E7038" s="17" t="s">
        <v>433</v>
      </c>
      <c r="F7038" s="17" t="s">
        <v>434</v>
      </c>
      <c r="G7038" s="17"/>
      <c r="H7038" s="19" t="s">
        <v>1666</v>
      </c>
      <c r="I7038" s="19"/>
      <c r="J7038" s="17" t="s">
        <v>82</v>
      </c>
      <c r="K7038" s="189">
        <v>650</v>
      </c>
      <c r="L7038" s="91">
        <v>70</v>
      </c>
      <c r="M7038" s="189">
        <v>660</v>
      </c>
      <c r="N7038" s="19" t="s">
        <v>66</v>
      </c>
      <c r="O7038" s="19" t="s">
        <v>98</v>
      </c>
      <c r="P7038" s="417">
        <v>250</v>
      </c>
      <c r="Q7038" s="19">
        <v>250</v>
      </c>
      <c r="R7038" s="19">
        <f t="shared" si="306"/>
        <v>0</v>
      </c>
      <c r="S7038" s="418">
        <v>900</v>
      </c>
      <c r="T7038" s="19" t="s">
        <v>94</v>
      </c>
      <c r="U7038" s="102" t="s">
        <v>1667</v>
      </c>
      <c r="V7038" s="186">
        <v>45931</v>
      </c>
      <c r="W7038" s="17" t="s">
        <v>44</v>
      </c>
      <c r="X7038" s="17"/>
      <c r="Y7038" s="68">
        <v>45962</v>
      </c>
      <c r="Z7038" s="17" t="s">
        <v>1668</v>
      </c>
      <c r="AA7038" s="17" t="s">
        <v>46</v>
      </c>
      <c r="AB7038" s="17" t="s">
        <v>1670</v>
      </c>
      <c r="AC7038" s="217">
        <v>45966</v>
      </c>
      <c r="AD7038" s="65">
        <v>1749</v>
      </c>
      <c r="AE7038" s="17" t="s">
        <v>48</v>
      </c>
      <c r="AF7038" s="17"/>
      <c r="AG7038" s="17"/>
      <c r="AH7038" s="17"/>
      <c r="AI7038" s="17"/>
      <c r="AJ7038" s="17"/>
      <c r="AK7038" s="17"/>
      <c r="AL7038" s="17"/>
      <c r="AM7038" s="17"/>
      <c r="AN7038" s="17"/>
      <c r="AO7038" s="17"/>
      <c r="AP7038" s="17"/>
      <c r="AQ7038" s="17"/>
      <c r="AR7038" s="17"/>
    </row>
    <row r="7039" s="25" customFormat="1" hidden="1" spans="1:44">
      <c r="A7039" s="17" t="s">
        <v>34</v>
      </c>
      <c r="B7039" s="19">
        <v>1094</v>
      </c>
      <c r="C7039" s="183">
        <v>45936</v>
      </c>
      <c r="D7039" s="17"/>
      <c r="E7039" s="17" t="s">
        <v>433</v>
      </c>
      <c r="F7039" s="17" t="s">
        <v>434</v>
      </c>
      <c r="G7039" s="17"/>
      <c r="H7039" s="19" t="s">
        <v>1666</v>
      </c>
      <c r="I7039" s="19"/>
      <c r="J7039" s="17" t="s">
        <v>82</v>
      </c>
      <c r="K7039" s="189">
        <v>800</v>
      </c>
      <c r="L7039" s="91">
        <v>80</v>
      </c>
      <c r="M7039" s="189">
        <v>950</v>
      </c>
      <c r="N7039" s="19" t="s">
        <v>66</v>
      </c>
      <c r="O7039" s="19" t="s">
        <v>98</v>
      </c>
      <c r="P7039" s="417">
        <v>488</v>
      </c>
      <c r="Q7039" s="19">
        <v>488</v>
      </c>
      <c r="R7039" s="19">
        <f t="shared" si="306"/>
        <v>0</v>
      </c>
      <c r="S7039" s="418">
        <v>900</v>
      </c>
      <c r="T7039" s="19" t="s">
        <v>94</v>
      </c>
      <c r="U7039" s="102" t="s">
        <v>1667</v>
      </c>
      <c r="V7039" s="186">
        <v>45931</v>
      </c>
      <c r="W7039" s="17" t="s">
        <v>44</v>
      </c>
      <c r="X7039" s="17"/>
      <c r="Y7039" s="68">
        <v>45962</v>
      </c>
      <c r="Z7039" s="17" t="s">
        <v>1668</v>
      </c>
      <c r="AA7039" s="17" t="s">
        <v>46</v>
      </c>
      <c r="AB7039" s="17" t="s">
        <v>1669</v>
      </c>
      <c r="AC7039" s="217">
        <v>45989</v>
      </c>
      <c r="AD7039" s="65">
        <v>1751</v>
      </c>
      <c r="AE7039" s="17" t="s">
        <v>48</v>
      </c>
      <c r="AF7039" s="17"/>
      <c r="AG7039" s="17"/>
      <c r="AH7039" s="17"/>
      <c r="AI7039" s="17"/>
      <c r="AJ7039" s="17"/>
      <c r="AK7039" s="17"/>
      <c r="AL7039" s="17"/>
      <c r="AM7039" s="17"/>
      <c r="AN7039" s="17"/>
      <c r="AO7039" s="17"/>
      <c r="AP7039" s="17"/>
      <c r="AQ7039" s="17"/>
      <c r="AR7039" s="17"/>
    </row>
    <row r="7040" s="25" customFormat="1" hidden="1" spans="1:44">
      <c r="A7040" s="17" t="s">
        <v>34</v>
      </c>
      <c r="B7040" s="19">
        <v>1094</v>
      </c>
      <c r="C7040" s="183">
        <v>45936</v>
      </c>
      <c r="D7040" s="17"/>
      <c r="E7040" s="17" t="s">
        <v>433</v>
      </c>
      <c r="F7040" s="17" t="s">
        <v>434</v>
      </c>
      <c r="G7040" s="17"/>
      <c r="H7040" s="19" t="s">
        <v>1666</v>
      </c>
      <c r="I7040" s="19"/>
      <c r="J7040" s="17" t="s">
        <v>82</v>
      </c>
      <c r="K7040" s="189">
        <v>760</v>
      </c>
      <c r="L7040" s="91">
        <v>80</v>
      </c>
      <c r="M7040" s="189">
        <v>860</v>
      </c>
      <c r="N7040" s="19" t="s">
        <v>66</v>
      </c>
      <c r="O7040" s="19" t="s">
        <v>98</v>
      </c>
      <c r="P7040" s="417">
        <v>430</v>
      </c>
      <c r="Q7040" s="19">
        <v>430</v>
      </c>
      <c r="R7040" s="19">
        <f t="shared" si="306"/>
        <v>0</v>
      </c>
      <c r="S7040" s="418">
        <v>900</v>
      </c>
      <c r="T7040" s="19" t="s">
        <v>94</v>
      </c>
      <c r="U7040" s="102" t="s">
        <v>1667</v>
      </c>
      <c r="V7040" s="186">
        <v>45931</v>
      </c>
      <c r="W7040" s="17" t="s">
        <v>44</v>
      </c>
      <c r="X7040" s="17"/>
      <c r="Y7040" s="68">
        <v>45962</v>
      </c>
      <c r="Z7040" s="17" t="s">
        <v>1668</v>
      </c>
      <c r="AA7040" s="17" t="s">
        <v>46</v>
      </c>
      <c r="AB7040" s="17" t="s">
        <v>1669</v>
      </c>
      <c r="AC7040" s="217">
        <v>45989</v>
      </c>
      <c r="AD7040" s="65">
        <v>1751</v>
      </c>
      <c r="AE7040" s="17" t="s">
        <v>48</v>
      </c>
      <c r="AF7040" s="17"/>
      <c r="AG7040" s="17"/>
      <c r="AH7040" s="17"/>
      <c r="AI7040" s="17"/>
      <c r="AJ7040" s="17"/>
      <c r="AK7040" s="17"/>
      <c r="AL7040" s="17"/>
      <c r="AM7040" s="17"/>
      <c r="AN7040" s="17"/>
      <c r="AO7040" s="17"/>
      <c r="AP7040" s="17"/>
      <c r="AQ7040" s="17"/>
      <c r="AR7040" s="17"/>
    </row>
    <row r="7041" s="25" customFormat="1" hidden="1" spans="1:44">
      <c r="A7041" s="17" t="s">
        <v>34</v>
      </c>
      <c r="B7041" s="19">
        <v>1094</v>
      </c>
      <c r="C7041" s="183">
        <v>45936</v>
      </c>
      <c r="D7041" s="17"/>
      <c r="E7041" s="17" t="s">
        <v>433</v>
      </c>
      <c r="F7041" s="17" t="s">
        <v>434</v>
      </c>
      <c r="G7041" s="17"/>
      <c r="H7041" s="19" t="s">
        <v>1666</v>
      </c>
      <c r="I7041" s="19"/>
      <c r="J7041" s="17" t="s">
        <v>82</v>
      </c>
      <c r="K7041" s="189">
        <v>650</v>
      </c>
      <c r="L7041" s="91">
        <v>80</v>
      </c>
      <c r="M7041" s="189">
        <v>850</v>
      </c>
      <c r="N7041" s="19" t="s">
        <v>66</v>
      </c>
      <c r="O7041" s="19" t="s">
        <v>98</v>
      </c>
      <c r="P7041" s="417">
        <v>374</v>
      </c>
      <c r="Q7041" s="19">
        <v>374</v>
      </c>
      <c r="R7041" s="19">
        <f t="shared" si="306"/>
        <v>0</v>
      </c>
      <c r="S7041" s="418">
        <v>900</v>
      </c>
      <c r="T7041" s="19" t="s">
        <v>94</v>
      </c>
      <c r="U7041" s="102" t="s">
        <v>1667</v>
      </c>
      <c r="V7041" s="186">
        <v>45931</v>
      </c>
      <c r="W7041" s="17" t="s">
        <v>44</v>
      </c>
      <c r="X7041" s="17"/>
      <c r="Y7041" s="68">
        <v>45962</v>
      </c>
      <c r="Z7041" s="17" t="s">
        <v>1668</v>
      </c>
      <c r="AA7041" s="17" t="s">
        <v>46</v>
      </c>
      <c r="AB7041" s="17" t="s">
        <v>1669</v>
      </c>
      <c r="AC7041" s="217">
        <v>45989</v>
      </c>
      <c r="AD7041" s="65">
        <v>1751</v>
      </c>
      <c r="AE7041" s="17" t="s">
        <v>48</v>
      </c>
      <c r="AF7041" s="17"/>
      <c r="AG7041" s="17"/>
      <c r="AH7041" s="17"/>
      <c r="AI7041" s="17"/>
      <c r="AJ7041" s="17"/>
      <c r="AK7041" s="17"/>
      <c r="AL7041" s="17"/>
      <c r="AM7041" s="17"/>
      <c r="AN7041" s="17"/>
      <c r="AO7041" s="17"/>
      <c r="AP7041" s="17"/>
      <c r="AQ7041" s="17"/>
      <c r="AR7041" s="17"/>
    </row>
    <row r="7042" s="25" customFormat="1" hidden="1" spans="1:44">
      <c r="A7042" s="17" t="s">
        <v>34</v>
      </c>
      <c r="B7042" s="19">
        <v>1094</v>
      </c>
      <c r="C7042" s="183">
        <v>45936</v>
      </c>
      <c r="D7042" s="17"/>
      <c r="E7042" s="17" t="s">
        <v>433</v>
      </c>
      <c r="F7042" s="17" t="s">
        <v>434</v>
      </c>
      <c r="G7042" s="17"/>
      <c r="H7042" s="19" t="s">
        <v>1666</v>
      </c>
      <c r="I7042" s="19"/>
      <c r="J7042" s="17" t="s">
        <v>82</v>
      </c>
      <c r="K7042" s="189">
        <v>690</v>
      </c>
      <c r="L7042" s="91">
        <v>85</v>
      </c>
      <c r="M7042" s="189">
        <v>810</v>
      </c>
      <c r="N7042" s="19" t="s">
        <v>66</v>
      </c>
      <c r="O7042" s="19" t="s">
        <v>98</v>
      </c>
      <c r="P7042" s="417">
        <v>456</v>
      </c>
      <c r="Q7042" s="19">
        <v>456</v>
      </c>
      <c r="R7042" s="19">
        <f t="shared" si="306"/>
        <v>0</v>
      </c>
      <c r="S7042" s="418">
        <v>900</v>
      </c>
      <c r="T7042" s="19" t="s">
        <v>94</v>
      </c>
      <c r="U7042" s="102" t="s">
        <v>1667</v>
      </c>
      <c r="V7042" s="186">
        <v>45931</v>
      </c>
      <c r="W7042" s="17" t="s">
        <v>44</v>
      </c>
      <c r="X7042" s="17"/>
      <c r="Y7042" s="68">
        <v>45962</v>
      </c>
      <c r="Z7042" s="17" t="s">
        <v>1668</v>
      </c>
      <c r="AA7042" s="17" t="s">
        <v>46</v>
      </c>
      <c r="AB7042" s="17" t="s">
        <v>1673</v>
      </c>
      <c r="AC7042" s="217">
        <v>45960</v>
      </c>
      <c r="AD7042" s="65">
        <v>1747</v>
      </c>
      <c r="AE7042" s="17" t="s">
        <v>147</v>
      </c>
      <c r="AF7042" s="17"/>
      <c r="AG7042" s="17"/>
      <c r="AH7042" s="17"/>
      <c r="AI7042" s="17"/>
      <c r="AJ7042" s="17"/>
      <c r="AK7042" s="17"/>
      <c r="AL7042" s="17"/>
      <c r="AM7042" s="17"/>
      <c r="AN7042" s="17"/>
      <c r="AO7042" s="17"/>
      <c r="AP7042" s="17"/>
      <c r="AQ7042" s="17"/>
      <c r="AR7042" s="17"/>
    </row>
    <row r="7043" s="25" customFormat="1" hidden="1" spans="1:44">
      <c r="A7043" s="17" t="s">
        <v>34</v>
      </c>
      <c r="B7043" s="19">
        <v>1094</v>
      </c>
      <c r="C7043" s="183">
        <v>45936</v>
      </c>
      <c r="D7043" s="17"/>
      <c r="E7043" s="17" t="s">
        <v>433</v>
      </c>
      <c r="F7043" s="17" t="s">
        <v>434</v>
      </c>
      <c r="G7043" s="17"/>
      <c r="H7043" s="19" t="s">
        <v>1666</v>
      </c>
      <c r="I7043" s="19"/>
      <c r="J7043" s="17" t="s">
        <v>82</v>
      </c>
      <c r="K7043" s="189">
        <v>610</v>
      </c>
      <c r="L7043" s="91">
        <v>90</v>
      </c>
      <c r="M7043" s="189">
        <v>1565</v>
      </c>
      <c r="N7043" s="19" t="s">
        <v>66</v>
      </c>
      <c r="O7043" s="19" t="s">
        <v>98</v>
      </c>
      <c r="P7043" s="417">
        <v>705</v>
      </c>
      <c r="Q7043" s="19">
        <v>705</v>
      </c>
      <c r="R7043" s="19">
        <f t="shared" si="306"/>
        <v>0</v>
      </c>
      <c r="S7043" s="418">
        <v>900</v>
      </c>
      <c r="T7043" s="19" t="s">
        <v>94</v>
      </c>
      <c r="U7043" s="102" t="s">
        <v>1667</v>
      </c>
      <c r="V7043" s="186">
        <v>45931</v>
      </c>
      <c r="W7043" s="17" t="s">
        <v>44</v>
      </c>
      <c r="X7043" s="17"/>
      <c r="Y7043" s="68">
        <v>45962</v>
      </c>
      <c r="Z7043" s="17" t="s">
        <v>1668</v>
      </c>
      <c r="AA7043" s="17" t="s">
        <v>46</v>
      </c>
      <c r="AB7043" s="17" t="s">
        <v>1670</v>
      </c>
      <c r="AC7043" s="217">
        <v>45966</v>
      </c>
      <c r="AD7043" s="65">
        <v>1749</v>
      </c>
      <c r="AE7043" s="17" t="s">
        <v>48</v>
      </c>
      <c r="AF7043" s="17"/>
      <c r="AG7043" s="17"/>
      <c r="AH7043" s="17"/>
      <c r="AI7043" s="17"/>
      <c r="AJ7043" s="17"/>
      <c r="AK7043" s="17"/>
      <c r="AL7043" s="17"/>
      <c r="AM7043" s="17"/>
      <c r="AN7043" s="17"/>
      <c r="AO7043" s="17"/>
      <c r="AP7043" s="17"/>
      <c r="AQ7043" s="17"/>
      <c r="AR7043" s="17"/>
    </row>
    <row r="7044" s="25" customFormat="1" hidden="1" spans="1:44">
      <c r="A7044" s="17" t="s">
        <v>34</v>
      </c>
      <c r="B7044" s="19">
        <v>1094</v>
      </c>
      <c r="C7044" s="183">
        <v>45936</v>
      </c>
      <c r="D7044" s="17"/>
      <c r="E7044" s="17" t="s">
        <v>433</v>
      </c>
      <c r="F7044" s="17" t="s">
        <v>434</v>
      </c>
      <c r="G7044" s="17"/>
      <c r="H7044" s="19" t="s">
        <v>1666</v>
      </c>
      <c r="I7044" s="19"/>
      <c r="J7044" s="17" t="s">
        <v>82</v>
      </c>
      <c r="K7044" s="189">
        <v>710</v>
      </c>
      <c r="L7044" s="91">
        <v>90</v>
      </c>
      <c r="M7044" s="189">
        <v>1210</v>
      </c>
      <c r="N7044" s="19" t="s">
        <v>66</v>
      </c>
      <c r="O7044" s="19" t="s">
        <v>98</v>
      </c>
      <c r="P7044" s="417">
        <v>682</v>
      </c>
      <c r="Q7044" s="19">
        <v>682</v>
      </c>
      <c r="R7044" s="19">
        <f t="shared" si="306"/>
        <v>0</v>
      </c>
      <c r="S7044" s="418">
        <v>900</v>
      </c>
      <c r="T7044" s="19" t="s">
        <v>94</v>
      </c>
      <c r="U7044" s="102" t="s">
        <v>1667</v>
      </c>
      <c r="V7044" s="186">
        <v>45931</v>
      </c>
      <c r="W7044" s="17" t="s">
        <v>44</v>
      </c>
      <c r="X7044" s="17"/>
      <c r="Y7044" s="68">
        <v>45962</v>
      </c>
      <c r="Z7044" s="17" t="s">
        <v>1668</v>
      </c>
      <c r="AA7044" s="17" t="s">
        <v>46</v>
      </c>
      <c r="AB7044" s="17" t="s">
        <v>1670</v>
      </c>
      <c r="AC7044" s="217">
        <v>45966</v>
      </c>
      <c r="AD7044" s="65">
        <v>1749</v>
      </c>
      <c r="AE7044" s="17" t="s">
        <v>74</v>
      </c>
      <c r="AF7044" s="17"/>
      <c r="AG7044" s="17"/>
      <c r="AH7044" s="17"/>
      <c r="AI7044" s="17"/>
      <c r="AJ7044" s="17"/>
      <c r="AK7044" s="17"/>
      <c r="AL7044" s="17"/>
      <c r="AM7044" s="17"/>
      <c r="AN7044" s="17"/>
      <c r="AO7044" s="17"/>
      <c r="AP7044" s="17"/>
      <c r="AQ7044" s="17"/>
      <c r="AR7044" s="17"/>
    </row>
    <row r="7045" s="25" customFormat="1" hidden="1" spans="1:44">
      <c r="A7045" s="17" t="s">
        <v>34</v>
      </c>
      <c r="B7045" s="19">
        <v>1094</v>
      </c>
      <c r="C7045" s="183">
        <v>45936</v>
      </c>
      <c r="D7045" s="17"/>
      <c r="E7045" s="17" t="s">
        <v>433</v>
      </c>
      <c r="F7045" s="17" t="s">
        <v>434</v>
      </c>
      <c r="G7045" s="17"/>
      <c r="H7045" s="19" t="s">
        <v>1666</v>
      </c>
      <c r="I7045" s="19"/>
      <c r="J7045" s="17" t="s">
        <v>82</v>
      </c>
      <c r="K7045" s="189">
        <v>760</v>
      </c>
      <c r="L7045" s="91">
        <v>90</v>
      </c>
      <c r="M7045" s="189">
        <v>860</v>
      </c>
      <c r="N7045" s="19" t="s">
        <v>66</v>
      </c>
      <c r="O7045" s="19" t="s">
        <v>98</v>
      </c>
      <c r="P7045" s="417">
        <v>476</v>
      </c>
      <c r="Q7045" s="19">
        <v>476</v>
      </c>
      <c r="R7045" s="19">
        <f t="shared" si="306"/>
        <v>0</v>
      </c>
      <c r="S7045" s="418">
        <v>900</v>
      </c>
      <c r="T7045" s="19" t="s">
        <v>94</v>
      </c>
      <c r="U7045" s="102" t="s">
        <v>1667</v>
      </c>
      <c r="V7045" s="186">
        <v>45931</v>
      </c>
      <c r="W7045" s="17" t="s">
        <v>44</v>
      </c>
      <c r="X7045" s="17"/>
      <c r="Y7045" s="68">
        <v>45962</v>
      </c>
      <c r="Z7045" s="17" t="s">
        <v>1668</v>
      </c>
      <c r="AA7045" s="17" t="s">
        <v>46</v>
      </c>
      <c r="AB7045" s="17" t="s">
        <v>1669</v>
      </c>
      <c r="AC7045" s="217">
        <v>45989</v>
      </c>
      <c r="AD7045" s="65">
        <v>1751</v>
      </c>
      <c r="AE7045" s="17" t="s">
        <v>48</v>
      </c>
      <c r="AF7045" s="17"/>
      <c r="AG7045" s="17"/>
      <c r="AH7045" s="17"/>
      <c r="AI7045" s="17"/>
      <c r="AJ7045" s="17"/>
      <c r="AK7045" s="17"/>
      <c r="AL7045" s="17"/>
      <c r="AM7045" s="17"/>
      <c r="AN7045" s="17"/>
      <c r="AO7045" s="17"/>
      <c r="AP7045" s="17"/>
      <c r="AQ7045" s="17"/>
      <c r="AR7045" s="17"/>
    </row>
    <row r="7046" s="25" customFormat="1" hidden="1" spans="1:44">
      <c r="A7046" s="17" t="s">
        <v>34</v>
      </c>
      <c r="B7046" s="19">
        <v>1094</v>
      </c>
      <c r="C7046" s="183">
        <v>45936</v>
      </c>
      <c r="D7046" s="17"/>
      <c r="E7046" s="17" t="s">
        <v>433</v>
      </c>
      <c r="F7046" s="17" t="s">
        <v>434</v>
      </c>
      <c r="G7046" s="17"/>
      <c r="H7046" s="19" t="s">
        <v>1666</v>
      </c>
      <c r="I7046" s="19"/>
      <c r="J7046" s="17" t="s">
        <v>82</v>
      </c>
      <c r="K7046" s="189">
        <v>770</v>
      </c>
      <c r="L7046" s="91">
        <v>90</v>
      </c>
      <c r="M7046" s="189">
        <v>870</v>
      </c>
      <c r="N7046" s="19" t="s">
        <v>66</v>
      </c>
      <c r="O7046" s="19" t="s">
        <v>98</v>
      </c>
      <c r="P7046" s="417">
        <v>470</v>
      </c>
      <c r="Q7046" s="19">
        <v>470</v>
      </c>
      <c r="R7046" s="19">
        <f t="shared" si="306"/>
        <v>0</v>
      </c>
      <c r="S7046" s="418">
        <v>900</v>
      </c>
      <c r="T7046" s="19" t="s">
        <v>94</v>
      </c>
      <c r="U7046" s="102" t="s">
        <v>1667</v>
      </c>
      <c r="V7046" s="186">
        <v>45931</v>
      </c>
      <c r="W7046" s="17" t="s">
        <v>44</v>
      </c>
      <c r="X7046" s="17"/>
      <c r="Y7046" s="68">
        <v>45962</v>
      </c>
      <c r="Z7046" s="17" t="s">
        <v>1668</v>
      </c>
      <c r="AA7046" s="17" t="s">
        <v>46</v>
      </c>
      <c r="AB7046" s="17" t="s">
        <v>1669</v>
      </c>
      <c r="AC7046" s="217">
        <v>45989</v>
      </c>
      <c r="AD7046" s="65">
        <v>1751</v>
      </c>
      <c r="AE7046" s="17" t="s">
        <v>48</v>
      </c>
      <c r="AF7046" s="17"/>
      <c r="AG7046" s="17"/>
      <c r="AH7046" s="17"/>
      <c r="AI7046" s="17"/>
      <c r="AJ7046" s="17"/>
      <c r="AK7046" s="17"/>
      <c r="AL7046" s="17"/>
      <c r="AM7046" s="17"/>
      <c r="AN7046" s="17"/>
      <c r="AO7046" s="17"/>
      <c r="AP7046" s="17"/>
      <c r="AQ7046" s="17"/>
      <c r="AR7046" s="17"/>
    </row>
    <row r="7047" s="25" customFormat="1" hidden="1" spans="1:44">
      <c r="A7047" s="17" t="s">
        <v>34</v>
      </c>
      <c r="B7047" s="19">
        <v>1094</v>
      </c>
      <c r="C7047" s="183">
        <v>45936</v>
      </c>
      <c r="D7047" s="17"/>
      <c r="E7047" s="17" t="s">
        <v>433</v>
      </c>
      <c r="F7047" s="17" t="s">
        <v>434</v>
      </c>
      <c r="G7047" s="17"/>
      <c r="H7047" s="19" t="s">
        <v>1666</v>
      </c>
      <c r="I7047" s="19"/>
      <c r="J7047" s="17" t="s">
        <v>82</v>
      </c>
      <c r="K7047" s="189">
        <v>410</v>
      </c>
      <c r="L7047" s="91">
        <v>90</v>
      </c>
      <c r="M7047" s="189">
        <v>2270</v>
      </c>
      <c r="N7047" s="19" t="s">
        <v>66</v>
      </c>
      <c r="O7047" s="19" t="s">
        <v>98</v>
      </c>
      <c r="P7047" s="417">
        <v>636</v>
      </c>
      <c r="Q7047" s="19">
        <v>636</v>
      </c>
      <c r="R7047" s="19">
        <f t="shared" si="306"/>
        <v>0</v>
      </c>
      <c r="S7047" s="418">
        <v>900</v>
      </c>
      <c r="T7047" s="19" t="s">
        <v>94</v>
      </c>
      <c r="U7047" s="102" t="s">
        <v>1667</v>
      </c>
      <c r="V7047" s="186">
        <v>45931</v>
      </c>
      <c r="W7047" s="17" t="s">
        <v>44</v>
      </c>
      <c r="X7047" s="17"/>
      <c r="Y7047" s="68">
        <v>45962</v>
      </c>
      <c r="Z7047" s="17" t="s">
        <v>1668</v>
      </c>
      <c r="AA7047" s="17" t="s">
        <v>46</v>
      </c>
      <c r="AB7047" s="17" t="s">
        <v>1669</v>
      </c>
      <c r="AC7047" s="217">
        <v>45989</v>
      </c>
      <c r="AD7047" s="65">
        <v>1751</v>
      </c>
      <c r="AE7047" s="17" t="s">
        <v>48</v>
      </c>
      <c r="AF7047" s="17"/>
      <c r="AG7047" s="17"/>
      <c r="AH7047" s="17"/>
      <c r="AI7047" s="17"/>
      <c r="AJ7047" s="17"/>
      <c r="AK7047" s="17"/>
      <c r="AL7047" s="17"/>
      <c r="AM7047" s="17"/>
      <c r="AN7047" s="17"/>
      <c r="AO7047" s="17"/>
      <c r="AP7047" s="17"/>
      <c r="AQ7047" s="17"/>
      <c r="AR7047" s="17"/>
    </row>
    <row r="7048" s="25" customFormat="1" hidden="1" spans="1:44">
      <c r="A7048" s="17" t="s">
        <v>34</v>
      </c>
      <c r="B7048" s="19">
        <v>1094</v>
      </c>
      <c r="C7048" s="183">
        <v>45936</v>
      </c>
      <c r="D7048" s="17"/>
      <c r="E7048" s="17" t="s">
        <v>433</v>
      </c>
      <c r="F7048" s="17" t="s">
        <v>434</v>
      </c>
      <c r="G7048" s="17"/>
      <c r="H7048" s="19" t="s">
        <v>1666</v>
      </c>
      <c r="I7048" s="19"/>
      <c r="J7048" s="17" t="s">
        <v>82</v>
      </c>
      <c r="K7048" s="189">
        <v>670</v>
      </c>
      <c r="L7048" s="91">
        <v>95</v>
      </c>
      <c r="M7048" s="189">
        <v>770</v>
      </c>
      <c r="N7048" s="19" t="s">
        <v>66</v>
      </c>
      <c r="O7048" s="19" t="s">
        <v>98</v>
      </c>
      <c r="P7048" s="417">
        <v>402</v>
      </c>
      <c r="Q7048" s="19">
        <v>402</v>
      </c>
      <c r="R7048" s="19">
        <f t="shared" si="306"/>
        <v>0</v>
      </c>
      <c r="S7048" s="418">
        <v>900</v>
      </c>
      <c r="T7048" s="19" t="s">
        <v>94</v>
      </c>
      <c r="U7048" s="102" t="s">
        <v>1667</v>
      </c>
      <c r="V7048" s="186">
        <v>45931</v>
      </c>
      <c r="W7048" s="17" t="s">
        <v>44</v>
      </c>
      <c r="X7048" s="17"/>
      <c r="Y7048" s="68">
        <v>45962</v>
      </c>
      <c r="Z7048" s="17" t="s">
        <v>1668</v>
      </c>
      <c r="AA7048" s="17" t="s">
        <v>46</v>
      </c>
      <c r="AB7048" s="17" t="s">
        <v>1669</v>
      </c>
      <c r="AC7048" s="217">
        <v>45989</v>
      </c>
      <c r="AD7048" s="65">
        <v>1751</v>
      </c>
      <c r="AE7048" s="17" t="s">
        <v>48</v>
      </c>
      <c r="AF7048" s="17"/>
      <c r="AG7048" s="17"/>
      <c r="AH7048" s="17"/>
      <c r="AI7048" s="17"/>
      <c r="AJ7048" s="17"/>
      <c r="AK7048" s="17"/>
      <c r="AL7048" s="17"/>
      <c r="AM7048" s="17"/>
      <c r="AN7048" s="17"/>
      <c r="AO7048" s="17"/>
      <c r="AP7048" s="17"/>
      <c r="AQ7048" s="17"/>
      <c r="AR7048" s="17"/>
    </row>
    <row r="7049" s="25" customFormat="1" hidden="1" spans="1:44">
      <c r="A7049" s="17" t="s">
        <v>34</v>
      </c>
      <c r="B7049" s="19">
        <v>1094</v>
      </c>
      <c r="C7049" s="183">
        <v>45936</v>
      </c>
      <c r="D7049" s="17"/>
      <c r="E7049" s="17" t="s">
        <v>433</v>
      </c>
      <c r="F7049" s="17" t="s">
        <v>434</v>
      </c>
      <c r="G7049" s="17"/>
      <c r="H7049" s="19" t="s">
        <v>1666</v>
      </c>
      <c r="I7049" s="19"/>
      <c r="J7049" s="17" t="s">
        <v>82</v>
      </c>
      <c r="K7049" s="189">
        <v>770</v>
      </c>
      <c r="L7049" s="91">
        <v>100</v>
      </c>
      <c r="M7049" s="189">
        <v>1010</v>
      </c>
      <c r="N7049" s="19" t="s">
        <v>66</v>
      </c>
      <c r="O7049" s="19" t="s">
        <v>98</v>
      </c>
      <c r="P7049" s="417">
        <v>746</v>
      </c>
      <c r="Q7049" s="19">
        <v>746</v>
      </c>
      <c r="R7049" s="19">
        <f t="shared" si="306"/>
        <v>0</v>
      </c>
      <c r="S7049" s="418">
        <v>900</v>
      </c>
      <c r="T7049" s="19" t="s">
        <v>94</v>
      </c>
      <c r="U7049" s="102" t="s">
        <v>1667</v>
      </c>
      <c r="V7049" s="186">
        <v>45931</v>
      </c>
      <c r="W7049" s="17" t="s">
        <v>44</v>
      </c>
      <c r="X7049" s="17"/>
      <c r="Y7049" s="68">
        <v>45962</v>
      </c>
      <c r="Z7049" s="17" t="s">
        <v>1668</v>
      </c>
      <c r="AA7049" s="17" t="s">
        <v>46</v>
      </c>
      <c r="AB7049" s="17" t="s">
        <v>1673</v>
      </c>
      <c r="AC7049" s="217">
        <v>45960</v>
      </c>
      <c r="AD7049" s="65">
        <v>1747</v>
      </c>
      <c r="AE7049" s="17" t="s">
        <v>74</v>
      </c>
      <c r="AF7049" s="17"/>
      <c r="AG7049" s="17"/>
      <c r="AH7049" s="17"/>
      <c r="AI7049" s="17"/>
      <c r="AJ7049" s="17"/>
      <c r="AK7049" s="17"/>
      <c r="AL7049" s="17"/>
      <c r="AM7049" s="17"/>
      <c r="AN7049" s="17"/>
      <c r="AO7049" s="17"/>
      <c r="AP7049" s="17"/>
      <c r="AQ7049" s="17"/>
      <c r="AR7049" s="17"/>
    </row>
    <row r="7050" s="25" customFormat="1" hidden="1" spans="1:44">
      <c r="A7050" s="17" t="s">
        <v>34</v>
      </c>
      <c r="B7050" s="19">
        <v>1094</v>
      </c>
      <c r="C7050" s="183">
        <v>45936</v>
      </c>
      <c r="D7050" s="17"/>
      <c r="E7050" s="17" t="s">
        <v>433</v>
      </c>
      <c r="F7050" s="17" t="s">
        <v>434</v>
      </c>
      <c r="G7050" s="17"/>
      <c r="H7050" s="19" t="s">
        <v>1666</v>
      </c>
      <c r="I7050" s="19"/>
      <c r="J7050" s="17" t="s">
        <v>82</v>
      </c>
      <c r="K7050" s="189">
        <v>690</v>
      </c>
      <c r="L7050" s="91">
        <v>100</v>
      </c>
      <c r="M7050" s="189">
        <v>1010</v>
      </c>
      <c r="N7050" s="19" t="s">
        <v>66</v>
      </c>
      <c r="O7050" s="19" t="s">
        <v>98</v>
      </c>
      <c r="P7050" s="417">
        <v>544</v>
      </c>
      <c r="Q7050" s="19">
        <v>544</v>
      </c>
      <c r="R7050" s="19">
        <f t="shared" si="306"/>
        <v>0</v>
      </c>
      <c r="S7050" s="418">
        <v>900</v>
      </c>
      <c r="T7050" s="19" t="s">
        <v>94</v>
      </c>
      <c r="U7050" s="102" t="s">
        <v>1667</v>
      </c>
      <c r="V7050" s="186">
        <v>45931</v>
      </c>
      <c r="W7050" s="17" t="s">
        <v>44</v>
      </c>
      <c r="X7050" s="17"/>
      <c r="Y7050" s="68">
        <v>45962</v>
      </c>
      <c r="Z7050" s="17" t="s">
        <v>1668</v>
      </c>
      <c r="AA7050" s="17" t="s">
        <v>46</v>
      </c>
      <c r="AB7050" s="17" t="s">
        <v>1669</v>
      </c>
      <c r="AC7050" s="217">
        <v>45989</v>
      </c>
      <c r="AD7050" s="65">
        <v>1751</v>
      </c>
      <c r="AE7050" s="17" t="s">
        <v>48</v>
      </c>
      <c r="AF7050" s="17"/>
      <c r="AG7050" s="17"/>
      <c r="AH7050" s="17"/>
      <c r="AI7050" s="17"/>
      <c r="AJ7050" s="17"/>
      <c r="AK7050" s="17"/>
      <c r="AL7050" s="17"/>
      <c r="AM7050" s="17"/>
      <c r="AN7050" s="17"/>
      <c r="AO7050" s="17"/>
      <c r="AP7050" s="17"/>
      <c r="AQ7050" s="17"/>
      <c r="AR7050" s="17"/>
    </row>
    <row r="7051" s="25" customFormat="1" hidden="1" spans="1:44">
      <c r="A7051" s="17" t="s">
        <v>34</v>
      </c>
      <c r="B7051" s="19">
        <v>1094</v>
      </c>
      <c r="C7051" s="183">
        <v>45936</v>
      </c>
      <c r="D7051" s="17"/>
      <c r="E7051" s="17" t="s">
        <v>433</v>
      </c>
      <c r="F7051" s="17" t="s">
        <v>434</v>
      </c>
      <c r="G7051" s="17"/>
      <c r="H7051" s="19" t="s">
        <v>1666</v>
      </c>
      <c r="I7051" s="19"/>
      <c r="J7051" s="17" t="s">
        <v>82</v>
      </c>
      <c r="K7051" s="189">
        <v>630</v>
      </c>
      <c r="L7051" s="91">
        <v>105</v>
      </c>
      <c r="M7051" s="189">
        <v>2405</v>
      </c>
      <c r="N7051" s="19" t="s">
        <v>66</v>
      </c>
      <c r="O7051" s="19" t="s">
        <v>98</v>
      </c>
      <c r="P7051" s="417">
        <v>1325</v>
      </c>
      <c r="Q7051" s="19">
        <v>1325</v>
      </c>
      <c r="R7051" s="19">
        <f t="shared" si="306"/>
        <v>0</v>
      </c>
      <c r="S7051" s="418">
        <v>900</v>
      </c>
      <c r="T7051" s="19" t="s">
        <v>94</v>
      </c>
      <c r="U7051" s="102" t="s">
        <v>1667</v>
      </c>
      <c r="V7051" s="186">
        <v>45931</v>
      </c>
      <c r="W7051" s="17" t="s">
        <v>44</v>
      </c>
      <c r="X7051" s="17"/>
      <c r="Y7051" s="68">
        <v>45962</v>
      </c>
      <c r="Z7051" s="17" t="s">
        <v>1668</v>
      </c>
      <c r="AA7051" s="17" t="s">
        <v>46</v>
      </c>
      <c r="AB7051" s="17" t="s">
        <v>1673</v>
      </c>
      <c r="AC7051" s="217">
        <v>45960</v>
      </c>
      <c r="AD7051" s="65">
        <v>1747</v>
      </c>
      <c r="AE7051" s="17" t="s">
        <v>48</v>
      </c>
      <c r="AF7051" s="17"/>
      <c r="AG7051" s="17"/>
      <c r="AH7051" s="17"/>
      <c r="AI7051" s="17"/>
      <c r="AJ7051" s="17"/>
      <c r="AK7051" s="17"/>
      <c r="AL7051" s="17"/>
      <c r="AM7051" s="17"/>
      <c r="AN7051" s="17"/>
      <c r="AO7051" s="17"/>
      <c r="AP7051" s="17"/>
      <c r="AQ7051" s="17"/>
      <c r="AR7051" s="17"/>
    </row>
    <row r="7052" s="25" customFormat="1" hidden="1" spans="1:44">
      <c r="A7052" s="17" t="s">
        <v>34</v>
      </c>
      <c r="B7052" s="19">
        <v>1094</v>
      </c>
      <c r="C7052" s="183">
        <v>45936</v>
      </c>
      <c r="D7052" s="17"/>
      <c r="E7052" s="17" t="s">
        <v>433</v>
      </c>
      <c r="F7052" s="17" t="s">
        <v>434</v>
      </c>
      <c r="G7052" s="17"/>
      <c r="H7052" s="19" t="s">
        <v>1666</v>
      </c>
      <c r="I7052" s="19"/>
      <c r="J7052" s="17" t="s">
        <v>82</v>
      </c>
      <c r="K7052" s="189">
        <v>680</v>
      </c>
      <c r="L7052" s="91">
        <v>105</v>
      </c>
      <c r="M7052" s="189">
        <v>1910</v>
      </c>
      <c r="N7052" s="19" t="s">
        <v>66</v>
      </c>
      <c r="O7052" s="19" t="s">
        <v>98</v>
      </c>
      <c r="P7052" s="417">
        <v>1095</v>
      </c>
      <c r="Q7052" s="19">
        <v>1095</v>
      </c>
      <c r="R7052" s="19">
        <f t="shared" si="306"/>
        <v>0</v>
      </c>
      <c r="S7052" s="418">
        <v>900</v>
      </c>
      <c r="T7052" s="19" t="s">
        <v>94</v>
      </c>
      <c r="U7052" s="102" t="s">
        <v>1667</v>
      </c>
      <c r="V7052" s="186">
        <v>45931</v>
      </c>
      <c r="W7052" s="17" t="s">
        <v>44</v>
      </c>
      <c r="X7052" s="17"/>
      <c r="Y7052" s="68">
        <v>45962</v>
      </c>
      <c r="Z7052" s="17" t="s">
        <v>1668</v>
      </c>
      <c r="AA7052" s="17" t="s">
        <v>46</v>
      </c>
      <c r="AB7052" s="17" t="s">
        <v>1670</v>
      </c>
      <c r="AC7052" s="217">
        <v>45966</v>
      </c>
      <c r="AD7052" s="65">
        <v>1749</v>
      </c>
      <c r="AE7052" s="17" t="s">
        <v>48</v>
      </c>
      <c r="AF7052" s="17"/>
      <c r="AG7052" s="17"/>
      <c r="AH7052" s="17"/>
      <c r="AI7052" s="17"/>
      <c r="AJ7052" s="17"/>
      <c r="AK7052" s="17"/>
      <c r="AL7052" s="17"/>
      <c r="AM7052" s="17"/>
      <c r="AN7052" s="17"/>
      <c r="AO7052" s="17"/>
      <c r="AP7052" s="17"/>
      <c r="AQ7052" s="17"/>
      <c r="AR7052" s="17"/>
    </row>
    <row r="7053" s="25" customFormat="1" hidden="1" spans="1:44">
      <c r="A7053" s="17" t="s">
        <v>34</v>
      </c>
      <c r="B7053" s="19">
        <v>1094</v>
      </c>
      <c r="C7053" s="183">
        <v>45936</v>
      </c>
      <c r="D7053" s="17"/>
      <c r="E7053" s="17" t="s">
        <v>433</v>
      </c>
      <c r="F7053" s="17" t="s">
        <v>434</v>
      </c>
      <c r="G7053" s="17"/>
      <c r="H7053" s="19" t="s">
        <v>1666</v>
      </c>
      <c r="I7053" s="19"/>
      <c r="J7053" s="17" t="s">
        <v>82</v>
      </c>
      <c r="K7053" s="189">
        <v>560</v>
      </c>
      <c r="L7053" s="91">
        <v>110</v>
      </c>
      <c r="M7053" s="189">
        <v>2020</v>
      </c>
      <c r="N7053" s="19" t="s">
        <v>66</v>
      </c>
      <c r="O7053" s="19" t="s">
        <v>98</v>
      </c>
      <c r="P7053" s="417">
        <v>1070</v>
      </c>
      <c r="Q7053" s="19">
        <v>1070</v>
      </c>
      <c r="R7053" s="19">
        <f t="shared" si="306"/>
        <v>0</v>
      </c>
      <c r="S7053" s="418">
        <v>900</v>
      </c>
      <c r="T7053" s="19" t="s">
        <v>94</v>
      </c>
      <c r="U7053" s="102" t="s">
        <v>1667</v>
      </c>
      <c r="V7053" s="186">
        <v>45931</v>
      </c>
      <c r="W7053" s="17" t="s">
        <v>44</v>
      </c>
      <c r="X7053" s="17"/>
      <c r="Y7053" s="68">
        <v>45962</v>
      </c>
      <c r="Z7053" s="17" t="s">
        <v>1668</v>
      </c>
      <c r="AA7053" s="17" t="s">
        <v>46</v>
      </c>
      <c r="AB7053" s="17" t="s">
        <v>1670</v>
      </c>
      <c r="AC7053" s="217">
        <v>45966</v>
      </c>
      <c r="AD7053" s="65">
        <v>1749</v>
      </c>
      <c r="AE7053" s="17" t="s">
        <v>48</v>
      </c>
      <c r="AF7053" s="17"/>
      <c r="AG7053" s="17"/>
      <c r="AH7053" s="17"/>
      <c r="AI7053" s="17"/>
      <c r="AJ7053" s="17"/>
      <c r="AK7053" s="17"/>
      <c r="AL7053" s="17"/>
      <c r="AM7053" s="17"/>
      <c r="AN7053" s="17"/>
      <c r="AO7053" s="17"/>
      <c r="AP7053" s="17"/>
      <c r="AQ7053" s="17"/>
      <c r="AR7053" s="17"/>
    </row>
    <row r="7054" s="25" customFormat="1" hidden="1" spans="1:44">
      <c r="A7054" s="17" t="s">
        <v>34</v>
      </c>
      <c r="B7054" s="19">
        <v>1094</v>
      </c>
      <c r="C7054" s="183">
        <v>45936</v>
      </c>
      <c r="D7054" s="17"/>
      <c r="E7054" s="17" t="s">
        <v>433</v>
      </c>
      <c r="F7054" s="17" t="s">
        <v>434</v>
      </c>
      <c r="G7054" s="17"/>
      <c r="H7054" s="19" t="s">
        <v>1666</v>
      </c>
      <c r="I7054" s="19"/>
      <c r="J7054" s="17" t="s">
        <v>82</v>
      </c>
      <c r="K7054" s="189">
        <v>595</v>
      </c>
      <c r="L7054" s="91">
        <v>110</v>
      </c>
      <c r="M7054" s="189">
        <v>1480</v>
      </c>
      <c r="N7054" s="19" t="s">
        <v>66</v>
      </c>
      <c r="O7054" s="19" t="s">
        <v>98</v>
      </c>
      <c r="P7054" s="417">
        <v>788</v>
      </c>
      <c r="Q7054" s="19">
        <v>788</v>
      </c>
      <c r="R7054" s="19">
        <f t="shared" si="306"/>
        <v>0</v>
      </c>
      <c r="S7054" s="418">
        <v>900</v>
      </c>
      <c r="T7054" s="19" t="s">
        <v>94</v>
      </c>
      <c r="U7054" s="102" t="s">
        <v>1667</v>
      </c>
      <c r="V7054" s="186">
        <v>45931</v>
      </c>
      <c r="W7054" s="17" t="s">
        <v>44</v>
      </c>
      <c r="X7054" s="17"/>
      <c r="Y7054" s="68">
        <v>45962</v>
      </c>
      <c r="Z7054" s="17" t="s">
        <v>1668</v>
      </c>
      <c r="AA7054" s="17" t="s">
        <v>46</v>
      </c>
      <c r="AB7054" s="17" t="s">
        <v>1670</v>
      </c>
      <c r="AC7054" s="217">
        <v>45966</v>
      </c>
      <c r="AD7054" s="65">
        <v>1749</v>
      </c>
      <c r="AE7054" s="17" t="s">
        <v>48</v>
      </c>
      <c r="AF7054" s="17"/>
      <c r="AG7054" s="17"/>
      <c r="AH7054" s="17"/>
      <c r="AI7054" s="17"/>
      <c r="AJ7054" s="17"/>
      <c r="AK7054" s="17"/>
      <c r="AL7054" s="17"/>
      <c r="AM7054" s="17"/>
      <c r="AN7054" s="17"/>
      <c r="AO7054" s="17"/>
      <c r="AP7054" s="17"/>
      <c r="AQ7054" s="17"/>
      <c r="AR7054" s="17"/>
    </row>
    <row r="7055" s="25" customFormat="1" hidden="1" spans="1:44">
      <c r="A7055" s="17" t="s">
        <v>34</v>
      </c>
      <c r="B7055" s="19">
        <v>1094</v>
      </c>
      <c r="C7055" s="183">
        <v>45936</v>
      </c>
      <c r="D7055" s="17"/>
      <c r="E7055" s="17" t="s">
        <v>433</v>
      </c>
      <c r="F7055" s="17" t="s">
        <v>434</v>
      </c>
      <c r="G7055" s="17"/>
      <c r="H7055" s="19" t="s">
        <v>1666</v>
      </c>
      <c r="I7055" s="19"/>
      <c r="J7055" s="17" t="s">
        <v>82</v>
      </c>
      <c r="K7055" s="189">
        <v>630</v>
      </c>
      <c r="L7055" s="91">
        <v>115</v>
      </c>
      <c r="M7055" s="189">
        <v>1340</v>
      </c>
      <c r="N7055" s="19" t="s">
        <v>66</v>
      </c>
      <c r="O7055" s="19" t="s">
        <v>98</v>
      </c>
      <c r="P7055" s="417">
        <v>810</v>
      </c>
      <c r="Q7055" s="19">
        <v>810</v>
      </c>
      <c r="R7055" s="19">
        <f t="shared" si="306"/>
        <v>0</v>
      </c>
      <c r="S7055" s="418">
        <v>900</v>
      </c>
      <c r="T7055" s="19" t="s">
        <v>94</v>
      </c>
      <c r="U7055" s="102" t="s">
        <v>1667</v>
      </c>
      <c r="V7055" s="186">
        <v>45931</v>
      </c>
      <c r="W7055" s="17" t="s">
        <v>44</v>
      </c>
      <c r="X7055" s="17"/>
      <c r="Y7055" s="68">
        <v>45962</v>
      </c>
      <c r="Z7055" s="17" t="s">
        <v>1668</v>
      </c>
      <c r="AA7055" s="17" t="s">
        <v>46</v>
      </c>
      <c r="AB7055" s="17" t="s">
        <v>1673</v>
      </c>
      <c r="AC7055" s="217">
        <v>45960</v>
      </c>
      <c r="AD7055" s="65">
        <v>1747</v>
      </c>
      <c r="AE7055" s="17" t="s">
        <v>48</v>
      </c>
      <c r="AF7055" s="17"/>
      <c r="AG7055" s="17"/>
      <c r="AH7055" s="17"/>
      <c r="AI7055" s="17"/>
      <c r="AJ7055" s="17"/>
      <c r="AK7055" s="17"/>
      <c r="AL7055" s="17"/>
      <c r="AM7055" s="17"/>
      <c r="AN7055" s="17"/>
      <c r="AO7055" s="17"/>
      <c r="AP7055" s="17"/>
      <c r="AQ7055" s="17"/>
      <c r="AR7055" s="17"/>
    </row>
    <row r="7056" s="25" customFormat="1" hidden="1" spans="1:44">
      <c r="A7056" s="17" t="s">
        <v>34</v>
      </c>
      <c r="B7056" s="19">
        <v>1094</v>
      </c>
      <c r="C7056" s="183">
        <v>45936</v>
      </c>
      <c r="D7056" s="17"/>
      <c r="E7056" s="17" t="s">
        <v>433</v>
      </c>
      <c r="F7056" s="17" t="s">
        <v>434</v>
      </c>
      <c r="G7056" s="17"/>
      <c r="H7056" s="19" t="s">
        <v>1666</v>
      </c>
      <c r="I7056" s="19"/>
      <c r="J7056" s="17" t="s">
        <v>82</v>
      </c>
      <c r="K7056" s="189">
        <v>750</v>
      </c>
      <c r="L7056" s="91">
        <v>130</v>
      </c>
      <c r="M7056" s="189">
        <v>900</v>
      </c>
      <c r="N7056" s="19" t="s">
        <v>66</v>
      </c>
      <c r="O7056" s="19" t="s">
        <v>98</v>
      </c>
      <c r="P7056" s="417">
        <v>885</v>
      </c>
      <c r="Q7056" s="19">
        <v>885</v>
      </c>
      <c r="R7056" s="19">
        <f t="shared" si="306"/>
        <v>0</v>
      </c>
      <c r="S7056" s="418">
        <v>900</v>
      </c>
      <c r="T7056" s="19" t="s">
        <v>94</v>
      </c>
      <c r="U7056" s="102" t="s">
        <v>1667</v>
      </c>
      <c r="V7056" s="186">
        <v>45931</v>
      </c>
      <c r="W7056" s="17" t="s">
        <v>44</v>
      </c>
      <c r="X7056" s="17"/>
      <c r="Y7056" s="68">
        <v>45962</v>
      </c>
      <c r="Z7056" s="17" t="s">
        <v>1668</v>
      </c>
      <c r="AA7056" s="17" t="s">
        <v>46</v>
      </c>
      <c r="AB7056" s="17" t="s">
        <v>1669</v>
      </c>
      <c r="AC7056" s="217">
        <v>45989</v>
      </c>
      <c r="AD7056" s="65">
        <v>1751</v>
      </c>
      <c r="AE7056" s="17" t="s">
        <v>48</v>
      </c>
      <c r="AF7056" s="17"/>
      <c r="AG7056" s="17"/>
      <c r="AH7056" s="17"/>
      <c r="AI7056" s="17"/>
      <c r="AJ7056" s="17"/>
      <c r="AK7056" s="17"/>
      <c r="AL7056" s="17"/>
      <c r="AM7056" s="17"/>
      <c r="AN7056" s="17"/>
      <c r="AO7056" s="17"/>
      <c r="AP7056" s="17"/>
      <c r="AQ7056" s="17"/>
      <c r="AR7056" s="17"/>
    </row>
    <row r="7057" s="25" customFormat="1" hidden="1" spans="1:44">
      <c r="A7057" s="17" t="s">
        <v>34</v>
      </c>
      <c r="B7057" s="19">
        <v>1094</v>
      </c>
      <c r="C7057" s="183">
        <v>45936</v>
      </c>
      <c r="D7057" s="17"/>
      <c r="E7057" s="17" t="s">
        <v>433</v>
      </c>
      <c r="F7057" s="17" t="s">
        <v>434</v>
      </c>
      <c r="G7057" s="17"/>
      <c r="H7057" s="19" t="s">
        <v>1666</v>
      </c>
      <c r="I7057" s="19"/>
      <c r="J7057" s="17" t="s">
        <v>82</v>
      </c>
      <c r="K7057" s="189">
        <v>485</v>
      </c>
      <c r="L7057" s="91">
        <v>130</v>
      </c>
      <c r="M7057" s="189">
        <v>2020</v>
      </c>
      <c r="N7057" s="19" t="s">
        <v>66</v>
      </c>
      <c r="O7057" s="19" t="s">
        <v>98</v>
      </c>
      <c r="P7057" s="417">
        <v>1012</v>
      </c>
      <c r="Q7057" s="19">
        <v>1012</v>
      </c>
      <c r="R7057" s="19">
        <f t="shared" si="306"/>
        <v>0</v>
      </c>
      <c r="S7057" s="418">
        <v>900</v>
      </c>
      <c r="T7057" s="19" t="s">
        <v>94</v>
      </c>
      <c r="U7057" s="102" t="s">
        <v>1667</v>
      </c>
      <c r="V7057" s="186">
        <v>45931</v>
      </c>
      <c r="W7057" s="17" t="s">
        <v>44</v>
      </c>
      <c r="X7057" s="17"/>
      <c r="Y7057" s="68">
        <v>45962</v>
      </c>
      <c r="Z7057" s="17" t="s">
        <v>1668</v>
      </c>
      <c r="AA7057" s="17" t="s">
        <v>46</v>
      </c>
      <c r="AB7057" s="17" t="s">
        <v>1673</v>
      </c>
      <c r="AC7057" s="217">
        <v>45960</v>
      </c>
      <c r="AD7057" s="65">
        <v>1747</v>
      </c>
      <c r="AE7057" s="17" t="s">
        <v>48</v>
      </c>
      <c r="AF7057" s="17"/>
      <c r="AG7057" s="17"/>
      <c r="AH7057" s="17"/>
      <c r="AI7057" s="17"/>
      <c r="AJ7057" s="17"/>
      <c r="AK7057" s="17"/>
      <c r="AL7057" s="17"/>
      <c r="AM7057" s="17"/>
      <c r="AN7057" s="17"/>
      <c r="AO7057" s="17"/>
      <c r="AP7057" s="17"/>
      <c r="AQ7057" s="17"/>
      <c r="AR7057" s="17"/>
    </row>
    <row r="7058" s="25" customFormat="1" hidden="1" spans="1:44">
      <c r="A7058" s="17" t="s">
        <v>34</v>
      </c>
      <c r="B7058" s="19">
        <v>1094</v>
      </c>
      <c r="C7058" s="183">
        <v>45936</v>
      </c>
      <c r="D7058" s="17"/>
      <c r="E7058" s="17" t="s">
        <v>433</v>
      </c>
      <c r="F7058" s="17" t="s">
        <v>434</v>
      </c>
      <c r="G7058" s="17"/>
      <c r="H7058" s="19" t="s">
        <v>1666</v>
      </c>
      <c r="I7058" s="19"/>
      <c r="J7058" s="17" t="s">
        <v>82</v>
      </c>
      <c r="K7058" s="189">
        <v>800</v>
      </c>
      <c r="L7058" s="91">
        <v>135</v>
      </c>
      <c r="M7058" s="189">
        <v>1005</v>
      </c>
      <c r="N7058" s="19" t="s">
        <v>66</v>
      </c>
      <c r="O7058" s="19" t="s">
        <v>98</v>
      </c>
      <c r="P7058" s="417">
        <v>838</v>
      </c>
      <c r="Q7058" s="19">
        <v>838</v>
      </c>
      <c r="R7058" s="19">
        <f t="shared" si="306"/>
        <v>0</v>
      </c>
      <c r="S7058" s="418">
        <v>900</v>
      </c>
      <c r="T7058" s="19" t="s">
        <v>94</v>
      </c>
      <c r="U7058" s="102" t="s">
        <v>1667</v>
      </c>
      <c r="V7058" s="186">
        <v>45931</v>
      </c>
      <c r="W7058" s="17" t="s">
        <v>44</v>
      </c>
      <c r="X7058" s="17"/>
      <c r="Y7058" s="68">
        <v>45962</v>
      </c>
      <c r="Z7058" s="17" t="s">
        <v>1668</v>
      </c>
      <c r="AA7058" s="17" t="s">
        <v>46</v>
      </c>
      <c r="AB7058" s="17" t="s">
        <v>1673</v>
      </c>
      <c r="AC7058" s="217">
        <v>45960</v>
      </c>
      <c r="AD7058" s="65">
        <v>1747</v>
      </c>
      <c r="AE7058" s="17" t="s">
        <v>74</v>
      </c>
      <c r="AF7058" s="17"/>
      <c r="AG7058" s="17"/>
      <c r="AH7058" s="17"/>
      <c r="AI7058" s="17"/>
      <c r="AJ7058" s="17"/>
      <c r="AK7058" s="17"/>
      <c r="AL7058" s="17"/>
      <c r="AM7058" s="17"/>
      <c r="AN7058" s="17"/>
      <c r="AO7058" s="17"/>
      <c r="AP7058" s="17"/>
      <c r="AQ7058" s="17"/>
      <c r="AR7058" s="17"/>
    </row>
    <row r="7059" s="25" customFormat="1" hidden="1" spans="1:44">
      <c r="A7059" s="17" t="s">
        <v>34</v>
      </c>
      <c r="B7059" s="19">
        <v>1094</v>
      </c>
      <c r="C7059" s="183">
        <v>45936</v>
      </c>
      <c r="D7059" s="17"/>
      <c r="E7059" s="17" t="s">
        <v>433</v>
      </c>
      <c r="F7059" s="17" t="s">
        <v>434</v>
      </c>
      <c r="G7059" s="17"/>
      <c r="H7059" s="19" t="s">
        <v>1666</v>
      </c>
      <c r="I7059" s="19"/>
      <c r="J7059" s="17" t="s">
        <v>82</v>
      </c>
      <c r="K7059" s="189">
        <v>310</v>
      </c>
      <c r="L7059" s="91">
        <v>145</v>
      </c>
      <c r="M7059" s="189">
        <v>1980</v>
      </c>
      <c r="N7059" s="19" t="s">
        <v>66</v>
      </c>
      <c r="O7059" s="19" t="s">
        <v>98</v>
      </c>
      <c r="P7059" s="417">
        <v>705</v>
      </c>
      <c r="Q7059" s="19">
        <v>705</v>
      </c>
      <c r="R7059" s="19">
        <f t="shared" si="306"/>
        <v>0</v>
      </c>
      <c r="S7059" s="418">
        <v>900</v>
      </c>
      <c r="T7059" s="19" t="s">
        <v>94</v>
      </c>
      <c r="U7059" s="102" t="s">
        <v>1667</v>
      </c>
      <c r="V7059" s="186">
        <v>45931</v>
      </c>
      <c r="W7059" s="17" t="s">
        <v>44</v>
      </c>
      <c r="X7059" s="17"/>
      <c r="Y7059" s="68">
        <v>45962</v>
      </c>
      <c r="Z7059" s="17" t="s">
        <v>1668</v>
      </c>
      <c r="AA7059" s="17" t="s">
        <v>46</v>
      </c>
      <c r="AB7059" s="17" t="s">
        <v>1673</v>
      </c>
      <c r="AC7059" s="217">
        <v>45960</v>
      </c>
      <c r="AD7059" s="65">
        <v>1747</v>
      </c>
      <c r="AE7059" s="17" t="s">
        <v>48</v>
      </c>
      <c r="AF7059" s="17"/>
      <c r="AG7059" s="17"/>
      <c r="AH7059" s="17"/>
      <c r="AI7059" s="17"/>
      <c r="AJ7059" s="17"/>
      <c r="AK7059" s="17"/>
      <c r="AL7059" s="17"/>
      <c r="AM7059" s="17"/>
      <c r="AN7059" s="17"/>
      <c r="AO7059" s="17"/>
      <c r="AP7059" s="17"/>
      <c r="AQ7059" s="17"/>
      <c r="AR7059" s="17"/>
    </row>
    <row r="7060" s="25" customFormat="1" hidden="1" spans="1:44">
      <c r="A7060" s="17" t="s">
        <v>34</v>
      </c>
      <c r="B7060" s="19">
        <v>1094</v>
      </c>
      <c r="C7060" s="183">
        <v>45936</v>
      </c>
      <c r="D7060" s="17"/>
      <c r="E7060" s="17" t="s">
        <v>433</v>
      </c>
      <c r="F7060" s="17" t="s">
        <v>434</v>
      </c>
      <c r="G7060" s="17"/>
      <c r="H7060" s="19" t="s">
        <v>1666</v>
      </c>
      <c r="I7060" s="19"/>
      <c r="J7060" s="17" t="s">
        <v>82</v>
      </c>
      <c r="K7060" s="189">
        <v>605</v>
      </c>
      <c r="L7060" s="91">
        <v>150</v>
      </c>
      <c r="M7060" s="189">
        <v>1310</v>
      </c>
      <c r="N7060" s="19" t="s">
        <v>66</v>
      </c>
      <c r="O7060" s="19" t="s">
        <v>98</v>
      </c>
      <c r="P7060" s="417">
        <v>975</v>
      </c>
      <c r="Q7060" s="19">
        <v>975</v>
      </c>
      <c r="R7060" s="19">
        <f t="shared" si="306"/>
        <v>0</v>
      </c>
      <c r="S7060" s="418">
        <v>900</v>
      </c>
      <c r="T7060" s="19" t="s">
        <v>94</v>
      </c>
      <c r="U7060" s="102" t="s">
        <v>1667</v>
      </c>
      <c r="V7060" s="186">
        <v>45931</v>
      </c>
      <c r="W7060" s="17" t="s">
        <v>44</v>
      </c>
      <c r="X7060" s="17"/>
      <c r="Y7060" s="68">
        <v>45962</v>
      </c>
      <c r="Z7060" s="17" t="s">
        <v>1668</v>
      </c>
      <c r="AA7060" s="17" t="s">
        <v>46</v>
      </c>
      <c r="AB7060" s="17" t="s">
        <v>1670</v>
      </c>
      <c r="AC7060" s="217">
        <v>45966</v>
      </c>
      <c r="AD7060" s="65">
        <v>1749</v>
      </c>
      <c r="AE7060" s="17" t="s">
        <v>48</v>
      </c>
      <c r="AF7060" s="17"/>
      <c r="AG7060" s="17"/>
      <c r="AH7060" s="17"/>
      <c r="AI7060" s="17"/>
      <c r="AJ7060" s="17"/>
      <c r="AK7060" s="17"/>
      <c r="AL7060" s="17"/>
      <c r="AM7060" s="17"/>
      <c r="AN7060" s="17"/>
      <c r="AO7060" s="17"/>
      <c r="AP7060" s="17"/>
      <c r="AQ7060" s="17"/>
      <c r="AR7060" s="17"/>
    </row>
    <row r="7061" s="25" customFormat="1" hidden="1" spans="1:44">
      <c r="A7061" s="17" t="s">
        <v>34</v>
      </c>
      <c r="B7061" s="19">
        <v>1094</v>
      </c>
      <c r="C7061" s="183">
        <v>45936</v>
      </c>
      <c r="D7061" s="17"/>
      <c r="E7061" s="17" t="s">
        <v>433</v>
      </c>
      <c r="F7061" s="17" t="s">
        <v>434</v>
      </c>
      <c r="G7061" s="17"/>
      <c r="H7061" s="19" t="s">
        <v>1666</v>
      </c>
      <c r="I7061" s="19"/>
      <c r="J7061" s="17" t="s">
        <v>82</v>
      </c>
      <c r="K7061" s="189">
        <v>715</v>
      </c>
      <c r="L7061" s="91">
        <v>150</v>
      </c>
      <c r="M7061" s="189">
        <v>1115</v>
      </c>
      <c r="N7061" s="19" t="s">
        <v>66</v>
      </c>
      <c r="O7061" s="19" t="s">
        <v>98</v>
      </c>
      <c r="P7061" s="417">
        <v>946</v>
      </c>
      <c r="Q7061" s="19">
        <v>946</v>
      </c>
      <c r="R7061" s="19">
        <f t="shared" si="306"/>
        <v>0</v>
      </c>
      <c r="S7061" s="418">
        <v>900</v>
      </c>
      <c r="T7061" s="19" t="s">
        <v>94</v>
      </c>
      <c r="U7061" s="102" t="s">
        <v>1667</v>
      </c>
      <c r="V7061" s="186">
        <v>45931</v>
      </c>
      <c r="W7061" s="17" t="s">
        <v>44</v>
      </c>
      <c r="X7061" s="17"/>
      <c r="Y7061" s="68">
        <v>45962</v>
      </c>
      <c r="Z7061" s="17" t="s">
        <v>1668</v>
      </c>
      <c r="AA7061" s="17" t="s">
        <v>46</v>
      </c>
      <c r="AB7061" s="17" t="s">
        <v>1670</v>
      </c>
      <c r="AC7061" s="217">
        <v>45966</v>
      </c>
      <c r="AD7061" s="65">
        <v>1749</v>
      </c>
      <c r="AE7061" s="17" t="s">
        <v>74</v>
      </c>
      <c r="AF7061" s="17"/>
      <c r="AG7061" s="17"/>
      <c r="AH7061" s="17"/>
      <c r="AI7061" s="17"/>
      <c r="AJ7061" s="17"/>
      <c r="AK7061" s="17"/>
      <c r="AL7061" s="17"/>
      <c r="AM7061" s="17"/>
      <c r="AN7061" s="17"/>
      <c r="AO7061" s="17"/>
      <c r="AP7061" s="17"/>
      <c r="AQ7061" s="17"/>
      <c r="AR7061" s="17"/>
    </row>
    <row r="7062" s="25" customFormat="1" hidden="1" spans="1:44">
      <c r="A7062" s="17" t="s">
        <v>34</v>
      </c>
      <c r="B7062" s="19">
        <v>1094</v>
      </c>
      <c r="C7062" s="183">
        <v>45936</v>
      </c>
      <c r="D7062" s="17"/>
      <c r="E7062" s="17" t="s">
        <v>433</v>
      </c>
      <c r="F7062" s="17" t="s">
        <v>434</v>
      </c>
      <c r="G7062" s="17"/>
      <c r="H7062" s="19" t="s">
        <v>1666</v>
      </c>
      <c r="I7062" s="19"/>
      <c r="J7062" s="17" t="s">
        <v>82</v>
      </c>
      <c r="K7062" s="189">
        <v>695</v>
      </c>
      <c r="L7062" s="91">
        <v>150</v>
      </c>
      <c r="M7062" s="189">
        <v>910</v>
      </c>
      <c r="N7062" s="19" t="s">
        <v>66</v>
      </c>
      <c r="O7062" s="19" t="s">
        <v>98</v>
      </c>
      <c r="P7062" s="417">
        <v>785</v>
      </c>
      <c r="Q7062" s="19">
        <v>785</v>
      </c>
      <c r="R7062" s="19">
        <f t="shared" si="306"/>
        <v>0</v>
      </c>
      <c r="S7062" s="418">
        <v>900</v>
      </c>
      <c r="T7062" s="19" t="s">
        <v>94</v>
      </c>
      <c r="U7062" s="102" t="s">
        <v>1667</v>
      </c>
      <c r="V7062" s="186">
        <v>45931</v>
      </c>
      <c r="W7062" s="17" t="s">
        <v>44</v>
      </c>
      <c r="X7062" s="17"/>
      <c r="Y7062" s="68">
        <v>45962</v>
      </c>
      <c r="Z7062" s="17" t="s">
        <v>1668</v>
      </c>
      <c r="AA7062" s="17" t="s">
        <v>46</v>
      </c>
      <c r="AB7062" s="17" t="s">
        <v>1673</v>
      </c>
      <c r="AC7062" s="217">
        <v>45960</v>
      </c>
      <c r="AD7062" s="65">
        <v>1747</v>
      </c>
      <c r="AE7062" s="17" t="s">
        <v>48</v>
      </c>
      <c r="AF7062" s="17"/>
      <c r="AG7062" s="17"/>
      <c r="AH7062" s="17"/>
      <c r="AI7062" s="17"/>
      <c r="AJ7062" s="17"/>
      <c r="AK7062" s="17"/>
      <c r="AL7062" s="17"/>
      <c r="AM7062" s="17"/>
      <c r="AN7062" s="17"/>
      <c r="AO7062" s="17"/>
      <c r="AP7062" s="17"/>
      <c r="AQ7062" s="17"/>
      <c r="AR7062" s="17"/>
    </row>
    <row r="7063" s="25" customFormat="1" hidden="1" spans="1:44">
      <c r="A7063" s="17" t="s">
        <v>34</v>
      </c>
      <c r="B7063" s="19">
        <v>1094</v>
      </c>
      <c r="C7063" s="183">
        <v>45936</v>
      </c>
      <c r="D7063" s="17"/>
      <c r="E7063" s="17" t="s">
        <v>433</v>
      </c>
      <c r="F7063" s="17" t="s">
        <v>434</v>
      </c>
      <c r="G7063" s="17"/>
      <c r="H7063" s="19" t="s">
        <v>1666</v>
      </c>
      <c r="I7063" s="19"/>
      <c r="J7063" s="17" t="s">
        <v>82</v>
      </c>
      <c r="K7063" s="189">
        <v>450</v>
      </c>
      <c r="L7063" s="91">
        <v>155</v>
      </c>
      <c r="M7063" s="189">
        <v>2915</v>
      </c>
      <c r="N7063" s="19" t="s">
        <v>66</v>
      </c>
      <c r="O7063" s="19" t="s">
        <v>98</v>
      </c>
      <c r="P7063" s="417">
        <v>1625</v>
      </c>
      <c r="Q7063" s="19">
        <v>1625</v>
      </c>
      <c r="R7063" s="19">
        <f t="shared" si="306"/>
        <v>0</v>
      </c>
      <c r="S7063" s="418">
        <v>900</v>
      </c>
      <c r="T7063" s="19" t="s">
        <v>94</v>
      </c>
      <c r="U7063" s="102" t="s">
        <v>1667</v>
      </c>
      <c r="V7063" s="186">
        <v>45931</v>
      </c>
      <c r="W7063" s="17" t="s">
        <v>44</v>
      </c>
      <c r="X7063" s="17"/>
      <c r="Y7063" s="68">
        <v>45962</v>
      </c>
      <c r="Z7063" s="17" t="s">
        <v>1668</v>
      </c>
      <c r="AA7063" s="17" t="s">
        <v>46</v>
      </c>
      <c r="AB7063" s="17" t="s">
        <v>1669</v>
      </c>
      <c r="AC7063" s="217">
        <v>45989</v>
      </c>
      <c r="AD7063" s="65">
        <v>1751</v>
      </c>
      <c r="AE7063" s="17" t="s">
        <v>48</v>
      </c>
      <c r="AF7063" s="17"/>
      <c r="AG7063" s="17"/>
      <c r="AH7063" s="17"/>
      <c r="AI7063" s="17"/>
      <c r="AJ7063" s="17"/>
      <c r="AK7063" s="17"/>
      <c r="AL7063" s="17"/>
      <c r="AM7063" s="17"/>
      <c r="AN7063" s="17"/>
      <c r="AO7063" s="17"/>
      <c r="AP7063" s="17"/>
      <c r="AQ7063" s="17"/>
      <c r="AR7063" s="17"/>
    </row>
    <row r="7064" s="25" customFormat="1" hidden="1" spans="1:44">
      <c r="A7064" s="17" t="s">
        <v>34</v>
      </c>
      <c r="B7064" s="19">
        <v>1094</v>
      </c>
      <c r="C7064" s="183">
        <v>45936</v>
      </c>
      <c r="D7064" s="17"/>
      <c r="E7064" s="17" t="s">
        <v>433</v>
      </c>
      <c r="F7064" s="17" t="s">
        <v>434</v>
      </c>
      <c r="G7064" s="17"/>
      <c r="H7064" s="19" t="s">
        <v>1666</v>
      </c>
      <c r="I7064" s="19"/>
      <c r="J7064" s="17" t="s">
        <v>82</v>
      </c>
      <c r="K7064" s="189">
        <v>720</v>
      </c>
      <c r="L7064" s="91">
        <v>170</v>
      </c>
      <c r="M7064" s="189">
        <v>1030</v>
      </c>
      <c r="N7064" s="19" t="s">
        <v>66</v>
      </c>
      <c r="O7064" s="19" t="s">
        <v>98</v>
      </c>
      <c r="P7064" s="417">
        <v>1046</v>
      </c>
      <c r="Q7064" s="19">
        <v>1046</v>
      </c>
      <c r="R7064" s="19">
        <f t="shared" si="306"/>
        <v>0</v>
      </c>
      <c r="S7064" s="418">
        <v>900</v>
      </c>
      <c r="T7064" s="19" t="s">
        <v>94</v>
      </c>
      <c r="U7064" s="102" t="s">
        <v>1667</v>
      </c>
      <c r="V7064" s="186">
        <v>45931</v>
      </c>
      <c r="W7064" s="17" t="s">
        <v>44</v>
      </c>
      <c r="X7064" s="17"/>
      <c r="Y7064" s="68">
        <v>45962</v>
      </c>
      <c r="Z7064" s="17" t="s">
        <v>1668</v>
      </c>
      <c r="AA7064" s="17" t="s">
        <v>46</v>
      </c>
      <c r="AB7064" s="17" t="s">
        <v>1673</v>
      </c>
      <c r="AC7064" s="217">
        <v>45960</v>
      </c>
      <c r="AD7064" s="65">
        <v>1747</v>
      </c>
      <c r="AE7064" s="17" t="s">
        <v>48</v>
      </c>
      <c r="AF7064" s="17"/>
      <c r="AG7064" s="17"/>
      <c r="AH7064" s="17"/>
      <c r="AI7064" s="17"/>
      <c r="AJ7064" s="17"/>
      <c r="AK7064" s="17"/>
      <c r="AL7064" s="17"/>
      <c r="AM7064" s="17"/>
      <c r="AN7064" s="17"/>
      <c r="AO7064" s="17"/>
      <c r="AP7064" s="17"/>
      <c r="AQ7064" s="17"/>
      <c r="AR7064" s="17"/>
    </row>
    <row r="7065" s="25" customFormat="1" ht="15.6" hidden="1" spans="1:44">
      <c r="A7065" s="17" t="s">
        <v>34</v>
      </c>
      <c r="B7065" s="19">
        <v>1094</v>
      </c>
      <c r="C7065" s="183">
        <v>45936</v>
      </c>
      <c r="D7065" s="17"/>
      <c r="E7065" s="17" t="s">
        <v>433</v>
      </c>
      <c r="F7065" s="17" t="s">
        <v>434</v>
      </c>
      <c r="G7065" s="17"/>
      <c r="H7065" s="19" t="s">
        <v>1666</v>
      </c>
      <c r="I7065" s="19"/>
      <c r="J7065" s="17" t="s">
        <v>82</v>
      </c>
      <c r="K7065" s="419" t="s">
        <v>521</v>
      </c>
      <c r="L7065" s="91" t="s">
        <v>530</v>
      </c>
      <c r="M7065" s="419" t="s">
        <v>1675</v>
      </c>
      <c r="N7065" s="19" t="s">
        <v>66</v>
      </c>
      <c r="O7065" s="19" t="s">
        <v>98</v>
      </c>
      <c r="P7065" s="420">
        <v>908</v>
      </c>
      <c r="Q7065" s="19">
        <v>908</v>
      </c>
      <c r="R7065" s="19">
        <f t="shared" si="306"/>
        <v>0</v>
      </c>
      <c r="S7065" s="418">
        <v>900</v>
      </c>
      <c r="T7065" s="19" t="s">
        <v>94</v>
      </c>
      <c r="U7065" s="102" t="s">
        <v>1667</v>
      </c>
      <c r="V7065" s="186">
        <v>45931</v>
      </c>
      <c r="W7065" s="17" t="s">
        <v>44</v>
      </c>
      <c r="X7065" s="17"/>
      <c r="Y7065" s="68">
        <v>45962</v>
      </c>
      <c r="Z7065" s="17" t="s">
        <v>1668</v>
      </c>
      <c r="AA7065" s="17" t="s">
        <v>46</v>
      </c>
      <c r="AB7065" s="17" t="s">
        <v>1673</v>
      </c>
      <c r="AC7065" s="217">
        <v>45960</v>
      </c>
      <c r="AD7065" s="65">
        <v>1747</v>
      </c>
      <c r="AE7065" s="17" t="s">
        <v>48</v>
      </c>
      <c r="AF7065" s="17"/>
      <c r="AG7065" s="17"/>
      <c r="AH7065" s="17"/>
      <c r="AI7065" s="17"/>
      <c r="AJ7065" s="17"/>
      <c r="AK7065" s="17"/>
      <c r="AL7065" s="17"/>
      <c r="AM7065" s="17"/>
      <c r="AN7065" s="17"/>
      <c r="AO7065" s="17"/>
      <c r="AP7065" s="17"/>
      <c r="AQ7065" s="17"/>
      <c r="AR7065" s="17"/>
    </row>
    <row r="7066" s="25" customFormat="1" hidden="1" spans="1:44">
      <c r="A7066" s="17" t="s">
        <v>34</v>
      </c>
      <c r="B7066" s="19">
        <v>1094</v>
      </c>
      <c r="C7066" s="183">
        <v>45936</v>
      </c>
      <c r="D7066" s="17"/>
      <c r="E7066" s="17" t="s">
        <v>433</v>
      </c>
      <c r="F7066" s="17" t="s">
        <v>434</v>
      </c>
      <c r="G7066" s="17"/>
      <c r="H7066" s="19" t="s">
        <v>1666</v>
      </c>
      <c r="I7066" s="19"/>
      <c r="J7066" s="17" t="s">
        <v>82</v>
      </c>
      <c r="K7066" s="189">
        <v>330</v>
      </c>
      <c r="L7066" s="91">
        <v>170</v>
      </c>
      <c r="M7066" s="189">
        <v>1595</v>
      </c>
      <c r="N7066" s="19" t="s">
        <v>66</v>
      </c>
      <c r="O7066" s="19" t="s">
        <v>98</v>
      </c>
      <c r="P7066" s="417">
        <v>745</v>
      </c>
      <c r="Q7066" s="19">
        <v>745</v>
      </c>
      <c r="R7066" s="19">
        <f t="shared" si="306"/>
        <v>0</v>
      </c>
      <c r="S7066" s="418">
        <v>900</v>
      </c>
      <c r="T7066" s="19" t="s">
        <v>94</v>
      </c>
      <c r="U7066" s="102" t="s">
        <v>1667</v>
      </c>
      <c r="V7066" s="186">
        <v>45931</v>
      </c>
      <c r="W7066" s="17" t="s">
        <v>44</v>
      </c>
      <c r="X7066" s="17"/>
      <c r="Y7066" s="68">
        <v>45962</v>
      </c>
      <c r="Z7066" s="17" t="s">
        <v>1668</v>
      </c>
      <c r="AA7066" s="17" t="s">
        <v>46</v>
      </c>
      <c r="AB7066" s="17" t="s">
        <v>1669</v>
      </c>
      <c r="AC7066" s="217">
        <v>45989</v>
      </c>
      <c r="AD7066" s="65">
        <v>1751</v>
      </c>
      <c r="AE7066" s="17" t="s">
        <v>48</v>
      </c>
      <c r="AF7066" s="17"/>
      <c r="AG7066" s="17"/>
      <c r="AH7066" s="17"/>
      <c r="AI7066" s="17"/>
      <c r="AJ7066" s="17"/>
      <c r="AK7066" s="17"/>
      <c r="AL7066" s="17"/>
      <c r="AM7066" s="17"/>
      <c r="AN7066" s="17"/>
      <c r="AO7066" s="17"/>
      <c r="AP7066" s="17"/>
      <c r="AQ7066" s="17"/>
      <c r="AR7066" s="17"/>
    </row>
    <row r="7067" s="25" customFormat="1" ht="15.6" hidden="1" spans="1:44">
      <c r="A7067" s="17" t="s">
        <v>34</v>
      </c>
      <c r="B7067" s="19">
        <v>1094</v>
      </c>
      <c r="C7067" s="183">
        <v>45936</v>
      </c>
      <c r="D7067" s="17"/>
      <c r="E7067" s="17" t="s">
        <v>433</v>
      </c>
      <c r="F7067" s="17" t="s">
        <v>434</v>
      </c>
      <c r="G7067" s="17"/>
      <c r="H7067" s="19" t="s">
        <v>1666</v>
      </c>
      <c r="I7067" s="19"/>
      <c r="J7067" s="17" t="s">
        <v>82</v>
      </c>
      <c r="K7067" s="419" t="s">
        <v>455</v>
      </c>
      <c r="L7067" s="91">
        <v>180</v>
      </c>
      <c r="M7067" s="419" t="s">
        <v>824</v>
      </c>
      <c r="N7067" s="19" t="s">
        <v>66</v>
      </c>
      <c r="O7067" s="19" t="s">
        <v>98</v>
      </c>
      <c r="P7067" s="420">
        <v>995</v>
      </c>
      <c r="Q7067" s="19">
        <v>995</v>
      </c>
      <c r="R7067" s="19">
        <f t="shared" si="306"/>
        <v>0</v>
      </c>
      <c r="S7067" s="418">
        <v>900</v>
      </c>
      <c r="T7067" s="19" t="s">
        <v>94</v>
      </c>
      <c r="U7067" s="102" t="s">
        <v>1667</v>
      </c>
      <c r="V7067" s="186">
        <v>45931</v>
      </c>
      <c r="W7067" s="17" t="s">
        <v>44</v>
      </c>
      <c r="X7067" s="17"/>
      <c r="Y7067" s="68">
        <v>45962</v>
      </c>
      <c r="Z7067" s="17" t="s">
        <v>1668</v>
      </c>
      <c r="AA7067" s="17" t="s">
        <v>46</v>
      </c>
      <c r="AB7067" s="17" t="s">
        <v>1673</v>
      </c>
      <c r="AC7067" s="217">
        <v>45960</v>
      </c>
      <c r="AD7067" s="65">
        <v>1747</v>
      </c>
      <c r="AE7067" s="17" t="s">
        <v>48</v>
      </c>
      <c r="AF7067" s="17"/>
      <c r="AG7067" s="17"/>
      <c r="AH7067" s="17"/>
      <c r="AI7067" s="17"/>
      <c r="AJ7067" s="17"/>
      <c r="AK7067" s="17"/>
      <c r="AL7067" s="17"/>
      <c r="AM7067" s="17"/>
      <c r="AN7067" s="17"/>
      <c r="AO7067" s="17"/>
      <c r="AP7067" s="17"/>
      <c r="AQ7067" s="17"/>
      <c r="AR7067" s="17"/>
    </row>
    <row r="7068" s="25" customFormat="1" hidden="1" spans="1:44">
      <c r="A7068" s="17" t="s">
        <v>34</v>
      </c>
      <c r="B7068" s="19">
        <v>1094</v>
      </c>
      <c r="C7068" s="183">
        <v>45936</v>
      </c>
      <c r="D7068" s="17"/>
      <c r="E7068" s="17" t="s">
        <v>433</v>
      </c>
      <c r="F7068" s="17" t="s">
        <v>434</v>
      </c>
      <c r="G7068" s="17"/>
      <c r="H7068" s="19" t="s">
        <v>1666</v>
      </c>
      <c r="I7068" s="19"/>
      <c r="J7068" s="17" t="s">
        <v>82</v>
      </c>
      <c r="K7068" s="189">
        <v>620</v>
      </c>
      <c r="L7068" s="91">
        <v>185</v>
      </c>
      <c r="M7068" s="189">
        <v>1600</v>
      </c>
      <c r="N7068" s="19" t="s">
        <v>66</v>
      </c>
      <c r="O7068" s="19" t="s">
        <v>98</v>
      </c>
      <c r="P7068" s="417">
        <v>1480</v>
      </c>
      <c r="Q7068" s="19">
        <v>1480</v>
      </c>
      <c r="R7068" s="19">
        <f t="shared" si="306"/>
        <v>0</v>
      </c>
      <c r="S7068" s="418">
        <v>900</v>
      </c>
      <c r="T7068" s="19" t="s">
        <v>94</v>
      </c>
      <c r="U7068" s="102" t="s">
        <v>1667</v>
      </c>
      <c r="V7068" s="186">
        <v>45931</v>
      </c>
      <c r="W7068" s="17" t="s">
        <v>44</v>
      </c>
      <c r="X7068" s="17"/>
      <c r="Y7068" s="68">
        <v>45962</v>
      </c>
      <c r="Z7068" s="17" t="s">
        <v>1668</v>
      </c>
      <c r="AA7068" s="17" t="s">
        <v>46</v>
      </c>
      <c r="AB7068" s="17" t="s">
        <v>1670</v>
      </c>
      <c r="AC7068" s="217">
        <v>45966</v>
      </c>
      <c r="AD7068" s="65">
        <v>1749</v>
      </c>
      <c r="AE7068" s="17" t="s">
        <v>74</v>
      </c>
      <c r="AF7068" s="17"/>
      <c r="AG7068" s="17"/>
      <c r="AH7068" s="17"/>
      <c r="AI7068" s="17"/>
      <c r="AJ7068" s="17"/>
      <c r="AK7068" s="17"/>
      <c r="AL7068" s="17"/>
      <c r="AM7068" s="17"/>
      <c r="AN7068" s="17"/>
      <c r="AO7068" s="17"/>
      <c r="AP7068" s="17"/>
      <c r="AQ7068" s="17"/>
      <c r="AR7068" s="17"/>
    </row>
    <row r="7069" s="25" customFormat="1" hidden="1" spans="1:44">
      <c r="A7069" s="17" t="s">
        <v>34</v>
      </c>
      <c r="B7069" s="19">
        <v>1094</v>
      </c>
      <c r="C7069" s="183">
        <v>45936</v>
      </c>
      <c r="D7069" s="17"/>
      <c r="E7069" s="17" t="s">
        <v>433</v>
      </c>
      <c r="F7069" s="17" t="s">
        <v>434</v>
      </c>
      <c r="G7069" s="17"/>
      <c r="H7069" s="19" t="s">
        <v>1666</v>
      </c>
      <c r="I7069" s="19"/>
      <c r="J7069" s="17" t="s">
        <v>82</v>
      </c>
      <c r="K7069" s="189">
        <v>725</v>
      </c>
      <c r="L7069" s="91">
        <v>190</v>
      </c>
      <c r="M7069" s="189">
        <v>2100</v>
      </c>
      <c r="N7069" s="19" t="s">
        <v>66</v>
      </c>
      <c r="O7069" s="19" t="s">
        <v>98</v>
      </c>
      <c r="P7069" s="417">
        <v>2285</v>
      </c>
      <c r="Q7069" s="19">
        <v>2285</v>
      </c>
      <c r="R7069" s="19">
        <f t="shared" si="306"/>
        <v>0</v>
      </c>
      <c r="S7069" s="418">
        <v>900</v>
      </c>
      <c r="T7069" s="19" t="s">
        <v>94</v>
      </c>
      <c r="U7069" s="102" t="s">
        <v>1667</v>
      </c>
      <c r="V7069" s="186">
        <v>45931</v>
      </c>
      <c r="W7069" s="17" t="s">
        <v>44</v>
      </c>
      <c r="X7069" s="17"/>
      <c r="Y7069" s="68">
        <v>45962</v>
      </c>
      <c r="Z7069" s="17" t="s">
        <v>1668</v>
      </c>
      <c r="AA7069" s="17" t="s">
        <v>46</v>
      </c>
      <c r="AB7069" s="17" t="s">
        <v>1670</v>
      </c>
      <c r="AC7069" s="217">
        <v>45966</v>
      </c>
      <c r="AD7069" s="65">
        <v>1749</v>
      </c>
      <c r="AE7069" s="17" t="s">
        <v>48</v>
      </c>
      <c r="AF7069" s="17"/>
      <c r="AG7069" s="17"/>
      <c r="AH7069" s="17"/>
      <c r="AI7069" s="17"/>
      <c r="AJ7069" s="17"/>
      <c r="AK7069" s="17"/>
      <c r="AL7069" s="17"/>
      <c r="AM7069" s="17"/>
      <c r="AN7069" s="17"/>
      <c r="AO7069" s="17"/>
      <c r="AP7069" s="17"/>
      <c r="AQ7069" s="17"/>
      <c r="AR7069" s="17"/>
    </row>
    <row r="7070" s="25" customFormat="1" hidden="1" spans="1:44">
      <c r="A7070" s="17" t="s">
        <v>34</v>
      </c>
      <c r="B7070" s="19">
        <v>1094</v>
      </c>
      <c r="C7070" s="183">
        <v>45936</v>
      </c>
      <c r="D7070" s="17"/>
      <c r="E7070" s="17" t="s">
        <v>433</v>
      </c>
      <c r="F7070" s="17" t="s">
        <v>434</v>
      </c>
      <c r="G7070" s="17"/>
      <c r="H7070" s="19" t="s">
        <v>1666</v>
      </c>
      <c r="I7070" s="19"/>
      <c r="J7070" s="17" t="s">
        <v>82</v>
      </c>
      <c r="K7070" s="189">
        <v>410</v>
      </c>
      <c r="L7070" s="91">
        <v>205</v>
      </c>
      <c r="M7070" s="189">
        <v>2035</v>
      </c>
      <c r="N7070" s="19" t="s">
        <v>66</v>
      </c>
      <c r="O7070" s="19" t="s">
        <v>98</v>
      </c>
      <c r="P7070" s="417">
        <v>1370</v>
      </c>
      <c r="Q7070" s="19">
        <v>1370</v>
      </c>
      <c r="R7070" s="19">
        <f t="shared" si="306"/>
        <v>0</v>
      </c>
      <c r="S7070" s="418">
        <v>900</v>
      </c>
      <c r="T7070" s="19" t="s">
        <v>94</v>
      </c>
      <c r="U7070" s="102" t="s">
        <v>1667</v>
      </c>
      <c r="V7070" s="186">
        <v>45931</v>
      </c>
      <c r="W7070" s="17" t="s">
        <v>44</v>
      </c>
      <c r="X7070" s="17"/>
      <c r="Y7070" s="68">
        <v>45962</v>
      </c>
      <c r="Z7070" s="17" t="s">
        <v>1668</v>
      </c>
      <c r="AA7070" s="17" t="s">
        <v>46</v>
      </c>
      <c r="AB7070" s="17" t="s">
        <v>1670</v>
      </c>
      <c r="AC7070" s="217">
        <v>45966</v>
      </c>
      <c r="AD7070" s="65">
        <v>1749</v>
      </c>
      <c r="AE7070" s="17" t="s">
        <v>48</v>
      </c>
      <c r="AF7070" s="17"/>
      <c r="AG7070" s="17"/>
      <c r="AH7070" s="17"/>
      <c r="AI7070" s="17"/>
      <c r="AJ7070" s="17"/>
      <c r="AK7070" s="17"/>
      <c r="AL7070" s="17"/>
      <c r="AM7070" s="17"/>
      <c r="AN7070" s="17"/>
      <c r="AO7070" s="17"/>
      <c r="AP7070" s="17"/>
      <c r="AQ7070" s="17"/>
      <c r="AR7070" s="17"/>
    </row>
    <row r="7071" s="25" customFormat="1" hidden="1" spans="1:44">
      <c r="A7071" s="17" t="s">
        <v>34</v>
      </c>
      <c r="B7071" s="19">
        <v>1094</v>
      </c>
      <c r="C7071" s="183">
        <v>45936</v>
      </c>
      <c r="D7071" s="17"/>
      <c r="E7071" s="17" t="s">
        <v>433</v>
      </c>
      <c r="F7071" s="17" t="s">
        <v>434</v>
      </c>
      <c r="G7071" s="17"/>
      <c r="H7071" s="19" t="s">
        <v>1666</v>
      </c>
      <c r="I7071" s="19"/>
      <c r="J7071" s="17" t="s">
        <v>82</v>
      </c>
      <c r="K7071" s="189">
        <v>610</v>
      </c>
      <c r="L7071" s="91">
        <v>210</v>
      </c>
      <c r="M7071" s="189">
        <v>2760</v>
      </c>
      <c r="N7071" s="19" t="s">
        <v>66</v>
      </c>
      <c r="O7071" s="19" t="s">
        <v>98</v>
      </c>
      <c r="P7071" s="417">
        <v>2835</v>
      </c>
      <c r="Q7071" s="19">
        <v>2835</v>
      </c>
      <c r="R7071" s="19">
        <f t="shared" si="306"/>
        <v>0</v>
      </c>
      <c r="S7071" s="418">
        <v>900</v>
      </c>
      <c r="T7071" s="19" t="s">
        <v>94</v>
      </c>
      <c r="U7071" s="102" t="s">
        <v>1667</v>
      </c>
      <c r="V7071" s="186">
        <v>45931</v>
      </c>
      <c r="W7071" s="17" t="s">
        <v>44</v>
      </c>
      <c r="X7071" s="17"/>
      <c r="Y7071" s="68">
        <v>45962</v>
      </c>
      <c r="Z7071" s="17" t="s">
        <v>1668</v>
      </c>
      <c r="AA7071" s="17" t="s">
        <v>46</v>
      </c>
      <c r="AB7071" s="17" t="s">
        <v>1669</v>
      </c>
      <c r="AC7071" s="217">
        <v>45989</v>
      </c>
      <c r="AD7071" s="65">
        <v>1751</v>
      </c>
      <c r="AE7071" s="17" t="s">
        <v>48</v>
      </c>
      <c r="AF7071" s="17"/>
      <c r="AG7071" s="17"/>
      <c r="AH7071" s="17"/>
      <c r="AI7071" s="17"/>
      <c r="AJ7071" s="17"/>
      <c r="AK7071" s="17"/>
      <c r="AL7071" s="17"/>
      <c r="AM7071" s="17"/>
      <c r="AN7071" s="17"/>
      <c r="AO7071" s="17"/>
      <c r="AP7071" s="17"/>
      <c r="AQ7071" s="17"/>
      <c r="AR7071" s="17"/>
    </row>
    <row r="7072" s="25" customFormat="1" hidden="1" spans="1:44">
      <c r="A7072" s="17" t="s">
        <v>34</v>
      </c>
      <c r="B7072" s="19">
        <v>1094</v>
      </c>
      <c r="C7072" s="183">
        <v>45936</v>
      </c>
      <c r="D7072" s="17"/>
      <c r="E7072" s="17" t="s">
        <v>433</v>
      </c>
      <c r="F7072" s="17" t="s">
        <v>434</v>
      </c>
      <c r="G7072" s="17"/>
      <c r="H7072" s="19" t="s">
        <v>1666</v>
      </c>
      <c r="I7072" s="19"/>
      <c r="J7072" s="17" t="s">
        <v>82</v>
      </c>
      <c r="K7072" s="189">
        <v>485</v>
      </c>
      <c r="L7072" s="91">
        <v>225</v>
      </c>
      <c r="M7072" s="189">
        <v>2045</v>
      </c>
      <c r="N7072" s="19" t="s">
        <v>66</v>
      </c>
      <c r="O7072" s="19" t="s">
        <v>98</v>
      </c>
      <c r="P7072" s="417">
        <v>1778</v>
      </c>
      <c r="Q7072" s="19">
        <v>1778</v>
      </c>
      <c r="R7072" s="19">
        <f t="shared" si="306"/>
        <v>0</v>
      </c>
      <c r="S7072" s="418">
        <v>900</v>
      </c>
      <c r="T7072" s="19" t="s">
        <v>94</v>
      </c>
      <c r="U7072" s="102" t="s">
        <v>1667</v>
      </c>
      <c r="V7072" s="186">
        <v>45931</v>
      </c>
      <c r="W7072" s="17" t="s">
        <v>44</v>
      </c>
      <c r="X7072" s="17"/>
      <c r="Y7072" s="68">
        <v>45962</v>
      </c>
      <c r="Z7072" s="17" t="s">
        <v>1668</v>
      </c>
      <c r="AA7072" s="17" t="s">
        <v>46</v>
      </c>
      <c r="AB7072" s="17" t="s">
        <v>1673</v>
      </c>
      <c r="AC7072" s="217">
        <v>45960</v>
      </c>
      <c r="AD7072" s="65">
        <v>1747</v>
      </c>
      <c r="AE7072" s="17" t="s">
        <v>48</v>
      </c>
      <c r="AF7072" s="17"/>
      <c r="AG7072" s="17"/>
      <c r="AH7072" s="17"/>
      <c r="AI7072" s="17"/>
      <c r="AJ7072" s="17"/>
      <c r="AK7072" s="17"/>
      <c r="AL7072" s="17"/>
      <c r="AM7072" s="17"/>
      <c r="AN7072" s="17"/>
      <c r="AO7072" s="17"/>
      <c r="AP7072" s="17"/>
      <c r="AQ7072" s="17"/>
      <c r="AR7072" s="17"/>
    </row>
    <row r="7073" s="25" customFormat="1" hidden="1" spans="1:44">
      <c r="A7073" s="17" t="s">
        <v>34</v>
      </c>
      <c r="B7073" s="19">
        <v>1094</v>
      </c>
      <c r="C7073" s="183">
        <v>45936</v>
      </c>
      <c r="D7073" s="17"/>
      <c r="E7073" s="17" t="s">
        <v>433</v>
      </c>
      <c r="F7073" s="17" t="s">
        <v>434</v>
      </c>
      <c r="G7073" s="17"/>
      <c r="H7073" s="19" t="s">
        <v>1666</v>
      </c>
      <c r="I7073" s="19"/>
      <c r="J7073" s="17" t="s">
        <v>82</v>
      </c>
      <c r="K7073" s="189">
        <v>740</v>
      </c>
      <c r="L7073" s="91">
        <v>234</v>
      </c>
      <c r="M7073" s="189">
        <v>770</v>
      </c>
      <c r="N7073" s="19" t="s">
        <v>66</v>
      </c>
      <c r="O7073" s="19" t="s">
        <v>98</v>
      </c>
      <c r="P7073" s="417">
        <v>1048</v>
      </c>
      <c r="Q7073" s="19">
        <v>1048</v>
      </c>
      <c r="R7073" s="19">
        <f t="shared" si="306"/>
        <v>0</v>
      </c>
      <c r="S7073" s="418">
        <v>900</v>
      </c>
      <c r="T7073" s="19" t="s">
        <v>94</v>
      </c>
      <c r="U7073" s="102" t="s">
        <v>1667</v>
      </c>
      <c r="V7073" s="186">
        <v>45931</v>
      </c>
      <c r="W7073" s="17" t="s">
        <v>44</v>
      </c>
      <c r="X7073" s="17"/>
      <c r="Y7073" s="68">
        <v>45962</v>
      </c>
      <c r="Z7073" s="17" t="s">
        <v>1668</v>
      </c>
      <c r="AA7073" s="17" t="s">
        <v>46</v>
      </c>
      <c r="AB7073" s="17" t="s">
        <v>1670</v>
      </c>
      <c r="AC7073" s="217">
        <v>45966</v>
      </c>
      <c r="AD7073" s="65">
        <v>1749</v>
      </c>
      <c r="AE7073" s="17" t="s">
        <v>48</v>
      </c>
      <c r="AF7073" s="17"/>
      <c r="AG7073" s="17"/>
      <c r="AH7073" s="17"/>
      <c r="AI7073" s="17"/>
      <c r="AJ7073" s="17"/>
      <c r="AK7073" s="17"/>
      <c r="AL7073" s="17"/>
      <c r="AM7073" s="17"/>
      <c r="AN7073" s="17"/>
      <c r="AO7073" s="17"/>
      <c r="AP7073" s="17"/>
      <c r="AQ7073" s="17"/>
      <c r="AR7073" s="17"/>
    </row>
    <row r="7074" s="25" customFormat="1" hidden="1" spans="1:44">
      <c r="A7074" s="17" t="s">
        <v>34</v>
      </c>
      <c r="B7074" s="19">
        <v>1094</v>
      </c>
      <c r="C7074" s="183">
        <v>45936</v>
      </c>
      <c r="D7074" s="17"/>
      <c r="E7074" s="17" t="s">
        <v>433</v>
      </c>
      <c r="F7074" s="17" t="s">
        <v>434</v>
      </c>
      <c r="G7074" s="17"/>
      <c r="H7074" s="19" t="s">
        <v>1666</v>
      </c>
      <c r="I7074" s="19"/>
      <c r="J7074" s="17" t="s">
        <v>82</v>
      </c>
      <c r="K7074" s="189">
        <v>510</v>
      </c>
      <c r="L7074" s="91">
        <v>260</v>
      </c>
      <c r="M7074" s="189" t="s">
        <v>839</v>
      </c>
      <c r="N7074" s="19" t="s">
        <v>66</v>
      </c>
      <c r="O7074" s="19" t="s">
        <v>98</v>
      </c>
      <c r="P7074" s="417">
        <v>1790</v>
      </c>
      <c r="Q7074" s="19">
        <v>1790</v>
      </c>
      <c r="R7074" s="19">
        <f t="shared" si="306"/>
        <v>0</v>
      </c>
      <c r="S7074" s="418">
        <v>900</v>
      </c>
      <c r="T7074" s="19" t="s">
        <v>94</v>
      </c>
      <c r="U7074" s="102" t="s">
        <v>1667</v>
      </c>
      <c r="V7074" s="186">
        <v>45931</v>
      </c>
      <c r="W7074" s="17" t="s">
        <v>44</v>
      </c>
      <c r="X7074" s="17"/>
      <c r="Y7074" s="68">
        <v>45962</v>
      </c>
      <c r="Z7074" s="17" t="s">
        <v>1668</v>
      </c>
      <c r="AA7074" s="17" t="s">
        <v>46</v>
      </c>
      <c r="AB7074" s="17" t="s">
        <v>1673</v>
      </c>
      <c r="AC7074" s="217">
        <v>45960</v>
      </c>
      <c r="AD7074" s="65">
        <v>1747</v>
      </c>
      <c r="AE7074" s="17" t="s">
        <v>48</v>
      </c>
      <c r="AF7074" s="17"/>
      <c r="AG7074" s="17"/>
      <c r="AH7074" s="17"/>
      <c r="AI7074" s="17"/>
      <c r="AJ7074" s="17"/>
      <c r="AK7074" s="17"/>
      <c r="AL7074" s="17"/>
      <c r="AM7074" s="17"/>
      <c r="AN7074" s="17"/>
      <c r="AO7074" s="17"/>
      <c r="AP7074" s="17"/>
      <c r="AQ7074" s="17"/>
      <c r="AR7074" s="17"/>
    </row>
    <row r="7075" s="25" customFormat="1" hidden="1" spans="1:44">
      <c r="A7075" s="17" t="s">
        <v>34</v>
      </c>
      <c r="B7075" s="19">
        <v>1094</v>
      </c>
      <c r="C7075" s="183">
        <v>45936</v>
      </c>
      <c r="D7075" s="17"/>
      <c r="E7075" s="17" t="s">
        <v>433</v>
      </c>
      <c r="F7075" s="17" t="s">
        <v>434</v>
      </c>
      <c r="G7075" s="17"/>
      <c r="H7075" s="19" t="s">
        <v>1666</v>
      </c>
      <c r="I7075" s="19"/>
      <c r="J7075" s="17" t="s">
        <v>82</v>
      </c>
      <c r="K7075" s="189">
        <v>640</v>
      </c>
      <c r="L7075" s="91">
        <v>260</v>
      </c>
      <c r="M7075" s="189">
        <v>1055</v>
      </c>
      <c r="N7075" s="19" t="s">
        <v>66</v>
      </c>
      <c r="O7075" s="19" t="s">
        <v>98</v>
      </c>
      <c r="P7075" s="417">
        <v>1395</v>
      </c>
      <c r="Q7075" s="19">
        <v>1395</v>
      </c>
      <c r="R7075" s="19">
        <f t="shared" si="306"/>
        <v>0</v>
      </c>
      <c r="S7075" s="418">
        <v>900</v>
      </c>
      <c r="T7075" s="19" t="s">
        <v>94</v>
      </c>
      <c r="U7075" s="102" t="s">
        <v>1667</v>
      </c>
      <c r="V7075" s="186">
        <v>45931</v>
      </c>
      <c r="W7075" s="17" t="s">
        <v>44</v>
      </c>
      <c r="X7075" s="17"/>
      <c r="Y7075" s="68">
        <v>45962</v>
      </c>
      <c r="Z7075" s="17" t="s">
        <v>1668</v>
      </c>
      <c r="AA7075" s="17" t="s">
        <v>46</v>
      </c>
      <c r="AB7075" s="17" t="s">
        <v>1670</v>
      </c>
      <c r="AC7075" s="217">
        <v>45966</v>
      </c>
      <c r="AD7075" s="65">
        <v>1749</v>
      </c>
      <c r="AE7075" s="17" t="s">
        <v>48</v>
      </c>
      <c r="AF7075" s="17"/>
      <c r="AG7075" s="17"/>
      <c r="AH7075" s="17"/>
      <c r="AI7075" s="17"/>
      <c r="AJ7075" s="17"/>
      <c r="AK7075" s="17"/>
      <c r="AL7075" s="17"/>
      <c r="AM7075" s="17"/>
      <c r="AN7075" s="17"/>
      <c r="AO7075" s="17"/>
      <c r="AP7075" s="17"/>
      <c r="AQ7075" s="17"/>
      <c r="AR7075" s="17"/>
    </row>
    <row r="7076" s="25" customFormat="1" hidden="1" spans="1:44">
      <c r="A7076" s="17" t="s">
        <v>34</v>
      </c>
      <c r="B7076" s="19">
        <v>1094</v>
      </c>
      <c r="C7076" s="183">
        <v>45936</v>
      </c>
      <c r="D7076" s="17"/>
      <c r="E7076" s="17" t="s">
        <v>433</v>
      </c>
      <c r="F7076" s="17" t="s">
        <v>434</v>
      </c>
      <c r="G7076" s="17"/>
      <c r="H7076" s="19" t="s">
        <v>1666</v>
      </c>
      <c r="I7076" s="19"/>
      <c r="J7076" s="17" t="s">
        <v>82</v>
      </c>
      <c r="K7076" s="189">
        <v>630</v>
      </c>
      <c r="L7076" s="91">
        <v>280</v>
      </c>
      <c r="M7076" s="189">
        <v>710</v>
      </c>
      <c r="N7076" s="19" t="s">
        <v>66</v>
      </c>
      <c r="O7076" s="19" t="s">
        <v>98</v>
      </c>
      <c r="P7076" s="417">
        <v>1068</v>
      </c>
      <c r="Q7076" s="19">
        <v>1068</v>
      </c>
      <c r="R7076" s="19">
        <f t="shared" si="306"/>
        <v>0</v>
      </c>
      <c r="S7076" s="418">
        <v>900</v>
      </c>
      <c r="T7076" s="19" t="s">
        <v>94</v>
      </c>
      <c r="U7076" s="102" t="s">
        <v>1667</v>
      </c>
      <c r="V7076" s="186">
        <v>45931</v>
      </c>
      <c r="W7076" s="17" t="s">
        <v>44</v>
      </c>
      <c r="X7076" s="17"/>
      <c r="Y7076" s="68">
        <v>45962</v>
      </c>
      <c r="Z7076" s="17" t="s">
        <v>1668</v>
      </c>
      <c r="AA7076" s="17" t="s">
        <v>46</v>
      </c>
      <c r="AB7076" s="17" t="s">
        <v>1670</v>
      </c>
      <c r="AC7076" s="217">
        <v>45966</v>
      </c>
      <c r="AD7076" s="65">
        <v>1749</v>
      </c>
      <c r="AE7076" s="17" t="s">
        <v>48</v>
      </c>
      <c r="AF7076" s="17"/>
      <c r="AG7076" s="17"/>
      <c r="AH7076" s="17"/>
      <c r="AI7076" s="17"/>
      <c r="AJ7076" s="17"/>
      <c r="AK7076" s="17"/>
      <c r="AL7076" s="17"/>
      <c r="AM7076" s="17"/>
      <c r="AN7076" s="17"/>
      <c r="AO7076" s="17"/>
      <c r="AP7076" s="17"/>
      <c r="AQ7076" s="17"/>
      <c r="AR7076" s="17"/>
    </row>
    <row r="7077" s="25" customFormat="1" hidden="1" spans="1:44">
      <c r="A7077" s="17" t="s">
        <v>34</v>
      </c>
      <c r="B7077" s="19">
        <v>1094</v>
      </c>
      <c r="C7077" s="183">
        <v>45936</v>
      </c>
      <c r="D7077" s="17"/>
      <c r="E7077" s="17" t="s">
        <v>433</v>
      </c>
      <c r="F7077" s="17" t="s">
        <v>434</v>
      </c>
      <c r="G7077" s="17"/>
      <c r="H7077" s="19" t="s">
        <v>1666</v>
      </c>
      <c r="I7077" s="19"/>
      <c r="J7077" s="17" t="s">
        <v>82</v>
      </c>
      <c r="K7077" s="189">
        <v>400</v>
      </c>
      <c r="L7077" s="91">
        <v>280</v>
      </c>
      <c r="M7077" s="189">
        <v>2040</v>
      </c>
      <c r="N7077" s="19" t="s">
        <v>66</v>
      </c>
      <c r="O7077" s="19" t="s">
        <v>98</v>
      </c>
      <c r="P7077" s="417">
        <v>1820</v>
      </c>
      <c r="Q7077" s="19">
        <v>1820</v>
      </c>
      <c r="R7077" s="19">
        <f t="shared" si="306"/>
        <v>0</v>
      </c>
      <c r="S7077" s="418">
        <v>900</v>
      </c>
      <c r="T7077" s="19" t="s">
        <v>94</v>
      </c>
      <c r="U7077" s="102" t="s">
        <v>1667</v>
      </c>
      <c r="V7077" s="186">
        <v>45931</v>
      </c>
      <c r="W7077" s="17" t="s">
        <v>44</v>
      </c>
      <c r="X7077" s="17"/>
      <c r="Y7077" s="68">
        <v>45962</v>
      </c>
      <c r="Z7077" s="17" t="s">
        <v>1668</v>
      </c>
      <c r="AA7077" s="17" t="s">
        <v>46</v>
      </c>
      <c r="AB7077" s="17" t="s">
        <v>1670</v>
      </c>
      <c r="AC7077" s="217">
        <v>45966</v>
      </c>
      <c r="AD7077" s="65">
        <v>1749</v>
      </c>
      <c r="AE7077" s="17" t="s">
        <v>48</v>
      </c>
      <c r="AF7077" s="17"/>
      <c r="AG7077" s="17"/>
      <c r="AH7077" s="17"/>
      <c r="AI7077" s="17"/>
      <c r="AJ7077" s="17"/>
      <c r="AK7077" s="17"/>
      <c r="AL7077" s="17"/>
      <c r="AM7077" s="17"/>
      <c r="AN7077" s="17"/>
      <c r="AO7077" s="17"/>
      <c r="AP7077" s="17"/>
      <c r="AQ7077" s="17"/>
      <c r="AR7077" s="17"/>
    </row>
    <row r="7078" s="25" customFormat="1" hidden="1" spans="1:44">
      <c r="A7078" s="17" t="s">
        <v>34</v>
      </c>
      <c r="B7078" s="19">
        <v>1094</v>
      </c>
      <c r="C7078" s="183">
        <v>45936</v>
      </c>
      <c r="D7078" s="17"/>
      <c r="E7078" s="17" t="s">
        <v>433</v>
      </c>
      <c r="F7078" s="17" t="s">
        <v>434</v>
      </c>
      <c r="G7078" s="17"/>
      <c r="H7078" s="19" t="s">
        <v>1666</v>
      </c>
      <c r="I7078" s="19"/>
      <c r="J7078" s="17" t="s">
        <v>82</v>
      </c>
      <c r="K7078" s="189">
        <v>450</v>
      </c>
      <c r="L7078" s="91">
        <v>392</v>
      </c>
      <c r="M7078" s="189">
        <v>2270</v>
      </c>
      <c r="N7078" s="19" t="s">
        <v>66</v>
      </c>
      <c r="O7078" s="19" t="s">
        <v>98</v>
      </c>
      <c r="P7078" s="417">
        <v>3175</v>
      </c>
      <c r="Q7078" s="19">
        <v>3175</v>
      </c>
      <c r="R7078" s="19">
        <f t="shared" si="306"/>
        <v>0</v>
      </c>
      <c r="S7078" s="418">
        <v>900</v>
      </c>
      <c r="T7078" s="19" t="s">
        <v>94</v>
      </c>
      <c r="U7078" s="102" t="s">
        <v>1667</v>
      </c>
      <c r="V7078" s="186">
        <v>45931</v>
      </c>
      <c r="W7078" s="17" t="s">
        <v>44</v>
      </c>
      <c r="X7078" s="17"/>
      <c r="Y7078" s="68">
        <v>45962</v>
      </c>
      <c r="Z7078" s="17" t="s">
        <v>1668</v>
      </c>
      <c r="AA7078" s="17" t="s">
        <v>46</v>
      </c>
      <c r="AB7078" s="17" t="s">
        <v>1670</v>
      </c>
      <c r="AC7078" s="217">
        <v>45966</v>
      </c>
      <c r="AD7078" s="65">
        <v>1749</v>
      </c>
      <c r="AE7078" s="17" t="s">
        <v>48</v>
      </c>
      <c r="AF7078" s="17"/>
      <c r="AG7078" s="17"/>
      <c r="AH7078" s="17"/>
      <c r="AI7078" s="17"/>
      <c r="AJ7078" s="17"/>
      <c r="AK7078" s="17"/>
      <c r="AL7078" s="17"/>
      <c r="AM7078" s="17"/>
      <c r="AN7078" s="17"/>
      <c r="AO7078" s="17"/>
      <c r="AP7078" s="17"/>
      <c r="AQ7078" s="17"/>
      <c r="AR7078" s="17"/>
    </row>
    <row r="7079" s="25" customFormat="1" hidden="1" spans="1:44">
      <c r="A7079" s="17" t="s">
        <v>34</v>
      </c>
      <c r="B7079" s="19">
        <v>1094</v>
      </c>
      <c r="C7079" s="183">
        <v>45936</v>
      </c>
      <c r="D7079" s="17"/>
      <c r="E7079" s="17" t="s">
        <v>433</v>
      </c>
      <c r="F7079" s="17" t="s">
        <v>434</v>
      </c>
      <c r="G7079" s="17"/>
      <c r="H7079" s="19" t="s">
        <v>1666</v>
      </c>
      <c r="I7079" s="19"/>
      <c r="J7079" s="17" t="s">
        <v>82</v>
      </c>
      <c r="K7079" s="189">
        <v>460</v>
      </c>
      <c r="L7079" s="91">
        <v>420</v>
      </c>
      <c r="M7079" s="189">
        <v>1675</v>
      </c>
      <c r="N7079" s="19" t="s">
        <v>66</v>
      </c>
      <c r="O7079" s="19" t="s">
        <v>98</v>
      </c>
      <c r="P7079" s="417">
        <v>2590</v>
      </c>
      <c r="Q7079" s="19">
        <v>2590</v>
      </c>
      <c r="R7079" s="19">
        <f t="shared" ref="R7079:R7142" si="307">+P7079-Q7079</f>
        <v>0</v>
      </c>
      <c r="S7079" s="418">
        <v>900</v>
      </c>
      <c r="T7079" s="19" t="s">
        <v>94</v>
      </c>
      <c r="U7079" s="102" t="s">
        <v>1667</v>
      </c>
      <c r="V7079" s="186">
        <v>45931</v>
      </c>
      <c r="W7079" s="17" t="s">
        <v>44</v>
      </c>
      <c r="X7079" s="17"/>
      <c r="Y7079" s="68">
        <v>45962</v>
      </c>
      <c r="Z7079" s="17" t="s">
        <v>1668</v>
      </c>
      <c r="AA7079" s="17" t="s">
        <v>46</v>
      </c>
      <c r="AB7079" s="17" t="s">
        <v>1673</v>
      </c>
      <c r="AC7079" s="217">
        <v>45960</v>
      </c>
      <c r="AD7079" s="65">
        <v>1747</v>
      </c>
      <c r="AE7079" s="17" t="s">
        <v>147</v>
      </c>
      <c r="AF7079" s="17"/>
      <c r="AG7079" s="17"/>
      <c r="AH7079" s="17"/>
      <c r="AI7079" s="17"/>
      <c r="AJ7079" s="17"/>
      <c r="AK7079" s="17"/>
      <c r="AL7079" s="17"/>
      <c r="AM7079" s="17"/>
      <c r="AN7079" s="17"/>
      <c r="AO7079" s="17"/>
      <c r="AP7079" s="17"/>
      <c r="AQ7079" s="17"/>
      <c r="AR7079" s="17"/>
    </row>
    <row r="7080" s="25" customFormat="1" hidden="1" spans="1:44">
      <c r="A7080" s="17" t="s">
        <v>34</v>
      </c>
      <c r="B7080" s="19">
        <v>1094</v>
      </c>
      <c r="C7080" s="183">
        <v>45936</v>
      </c>
      <c r="D7080" s="17"/>
      <c r="E7080" s="17" t="s">
        <v>433</v>
      </c>
      <c r="F7080" s="17" t="s">
        <v>434</v>
      </c>
      <c r="G7080" s="17"/>
      <c r="H7080" s="19" t="s">
        <v>1666</v>
      </c>
      <c r="I7080" s="19"/>
      <c r="J7080" s="17" t="s">
        <v>82</v>
      </c>
      <c r="K7080" s="189">
        <v>560</v>
      </c>
      <c r="L7080" s="91">
        <v>470</v>
      </c>
      <c r="M7080" s="189">
        <v>1165</v>
      </c>
      <c r="N7080" s="19" t="s">
        <v>66</v>
      </c>
      <c r="O7080" s="19" t="s">
        <v>98</v>
      </c>
      <c r="P7080" s="417">
        <v>2460</v>
      </c>
      <c r="Q7080" s="19">
        <v>2460</v>
      </c>
      <c r="R7080" s="19">
        <f t="shared" si="307"/>
        <v>0</v>
      </c>
      <c r="S7080" s="418">
        <v>900</v>
      </c>
      <c r="T7080" s="19" t="s">
        <v>94</v>
      </c>
      <c r="U7080" s="102" t="s">
        <v>1667</v>
      </c>
      <c r="V7080" s="186">
        <v>45931</v>
      </c>
      <c r="W7080" s="17" t="s">
        <v>44</v>
      </c>
      <c r="X7080" s="17"/>
      <c r="Y7080" s="68">
        <v>45962</v>
      </c>
      <c r="Z7080" s="17" t="s">
        <v>1668</v>
      </c>
      <c r="AA7080" s="17" t="s">
        <v>46</v>
      </c>
      <c r="AB7080" s="17" t="s">
        <v>1673</v>
      </c>
      <c r="AC7080" s="217">
        <v>45960</v>
      </c>
      <c r="AD7080" s="65">
        <v>1747</v>
      </c>
      <c r="AE7080" s="17" t="s">
        <v>1676</v>
      </c>
      <c r="AF7080" s="17"/>
      <c r="AG7080" s="17"/>
      <c r="AH7080" s="17"/>
      <c r="AI7080" s="17"/>
      <c r="AJ7080" s="17"/>
      <c r="AK7080" s="17"/>
      <c r="AL7080" s="17"/>
      <c r="AM7080" s="17"/>
      <c r="AN7080" s="17"/>
      <c r="AO7080" s="17"/>
      <c r="AP7080" s="17"/>
      <c r="AQ7080" s="17"/>
      <c r="AR7080" s="17"/>
    </row>
    <row r="7081" s="25" customFormat="1" hidden="1" spans="1:44">
      <c r="A7081" s="17" t="s">
        <v>34</v>
      </c>
      <c r="B7081" s="19">
        <v>1094</v>
      </c>
      <c r="C7081" s="183">
        <v>45936</v>
      </c>
      <c r="D7081" s="17"/>
      <c r="E7081" s="17" t="s">
        <v>433</v>
      </c>
      <c r="F7081" s="17" t="s">
        <v>434</v>
      </c>
      <c r="G7081" s="17"/>
      <c r="H7081" s="19" t="s">
        <v>1666</v>
      </c>
      <c r="I7081" s="19"/>
      <c r="J7081" s="17" t="s">
        <v>82</v>
      </c>
      <c r="K7081" s="189">
        <v>560</v>
      </c>
      <c r="L7081" s="91">
        <v>475</v>
      </c>
      <c r="M7081" s="189">
        <v>1165</v>
      </c>
      <c r="N7081" s="19" t="s">
        <v>66</v>
      </c>
      <c r="O7081" s="19" t="s">
        <v>98</v>
      </c>
      <c r="P7081" s="417">
        <v>2475</v>
      </c>
      <c r="Q7081" s="19">
        <v>2475</v>
      </c>
      <c r="R7081" s="19">
        <f t="shared" si="307"/>
        <v>0</v>
      </c>
      <c r="S7081" s="418">
        <v>900</v>
      </c>
      <c r="T7081" s="19" t="s">
        <v>94</v>
      </c>
      <c r="U7081" s="102" t="s">
        <v>1667</v>
      </c>
      <c r="V7081" s="186">
        <v>45931</v>
      </c>
      <c r="W7081" s="17" t="s">
        <v>44</v>
      </c>
      <c r="X7081" s="17"/>
      <c r="Y7081" s="68">
        <v>45962</v>
      </c>
      <c r="Z7081" s="17" t="s">
        <v>1668</v>
      </c>
      <c r="AA7081" s="17" t="s">
        <v>46</v>
      </c>
      <c r="AB7081" s="17" t="s">
        <v>1673</v>
      </c>
      <c r="AC7081" s="217">
        <v>45960</v>
      </c>
      <c r="AD7081" s="65">
        <v>1747</v>
      </c>
      <c r="AE7081" s="17" t="s">
        <v>147</v>
      </c>
      <c r="AF7081" s="17"/>
      <c r="AG7081" s="17"/>
      <c r="AH7081" s="17"/>
      <c r="AI7081" s="17"/>
      <c r="AJ7081" s="17"/>
      <c r="AK7081" s="17"/>
      <c r="AL7081" s="17"/>
      <c r="AM7081" s="17"/>
      <c r="AN7081" s="17"/>
      <c r="AO7081" s="17"/>
      <c r="AP7081" s="17"/>
      <c r="AQ7081" s="17"/>
      <c r="AR7081" s="17"/>
    </row>
    <row r="7082" s="25" customFormat="1" hidden="1" spans="1:44">
      <c r="A7082" s="17" t="s">
        <v>34</v>
      </c>
      <c r="B7082" s="19">
        <v>1094</v>
      </c>
      <c r="C7082" s="183">
        <v>45936</v>
      </c>
      <c r="D7082" s="17"/>
      <c r="E7082" s="17" t="s">
        <v>433</v>
      </c>
      <c r="F7082" s="17" t="s">
        <v>434</v>
      </c>
      <c r="G7082" s="17"/>
      <c r="H7082" s="19" t="s">
        <v>1666</v>
      </c>
      <c r="I7082" s="19"/>
      <c r="J7082" s="17" t="s">
        <v>82</v>
      </c>
      <c r="K7082" s="189">
        <v>600</v>
      </c>
      <c r="L7082" s="91">
        <v>485</v>
      </c>
      <c r="M7082" s="189">
        <v>640</v>
      </c>
      <c r="N7082" s="19" t="s">
        <v>66</v>
      </c>
      <c r="O7082" s="19" t="s">
        <v>98</v>
      </c>
      <c r="P7082" s="417">
        <v>1500</v>
      </c>
      <c r="Q7082" s="19">
        <v>1500</v>
      </c>
      <c r="R7082" s="19">
        <f t="shared" si="307"/>
        <v>0</v>
      </c>
      <c r="S7082" s="418">
        <v>900</v>
      </c>
      <c r="T7082" s="19" t="s">
        <v>94</v>
      </c>
      <c r="U7082" s="102" t="s">
        <v>1667</v>
      </c>
      <c r="V7082" s="186">
        <v>45931</v>
      </c>
      <c r="W7082" s="17" t="s">
        <v>44</v>
      </c>
      <c r="X7082" s="17"/>
      <c r="Y7082" s="68">
        <v>45962</v>
      </c>
      <c r="Z7082" s="17" t="s">
        <v>1668</v>
      </c>
      <c r="AA7082" s="17" t="s">
        <v>46</v>
      </c>
      <c r="AB7082" s="17" t="s">
        <v>1670</v>
      </c>
      <c r="AC7082" s="217">
        <v>45966</v>
      </c>
      <c r="AD7082" s="65">
        <v>1749</v>
      </c>
      <c r="AE7082" s="17" t="s">
        <v>48</v>
      </c>
      <c r="AF7082" s="17"/>
      <c r="AG7082" s="17"/>
      <c r="AH7082" s="17"/>
      <c r="AI7082" s="17"/>
      <c r="AJ7082" s="17"/>
      <c r="AK7082" s="17"/>
      <c r="AL7082" s="17"/>
      <c r="AM7082" s="17"/>
      <c r="AN7082" s="17"/>
      <c r="AO7082" s="17"/>
      <c r="AP7082" s="17"/>
      <c r="AQ7082" s="17"/>
      <c r="AR7082" s="17"/>
    </row>
    <row r="7083" s="25" customFormat="1" hidden="1" spans="1:44">
      <c r="A7083" s="17" t="s">
        <v>34</v>
      </c>
      <c r="B7083" s="19">
        <v>1094</v>
      </c>
      <c r="C7083" s="183">
        <v>45936</v>
      </c>
      <c r="D7083" s="17"/>
      <c r="E7083" s="17" t="s">
        <v>433</v>
      </c>
      <c r="F7083" s="17" t="s">
        <v>434</v>
      </c>
      <c r="G7083" s="17"/>
      <c r="H7083" s="19" t="s">
        <v>1666</v>
      </c>
      <c r="I7083" s="19"/>
      <c r="J7083" s="17" t="s">
        <v>82</v>
      </c>
      <c r="K7083" s="189">
        <v>555</v>
      </c>
      <c r="L7083" s="91">
        <v>520</v>
      </c>
      <c r="M7083" s="189">
        <v>575</v>
      </c>
      <c r="N7083" s="19" t="s">
        <v>66</v>
      </c>
      <c r="O7083" s="19" t="s">
        <v>98</v>
      </c>
      <c r="P7083" s="417">
        <v>1330</v>
      </c>
      <c r="Q7083" s="19">
        <v>1330</v>
      </c>
      <c r="R7083" s="19">
        <f t="shared" si="307"/>
        <v>0</v>
      </c>
      <c r="S7083" s="418">
        <v>900</v>
      </c>
      <c r="T7083" s="19" t="s">
        <v>94</v>
      </c>
      <c r="U7083" s="102" t="s">
        <v>1667</v>
      </c>
      <c r="V7083" s="186">
        <v>45931</v>
      </c>
      <c r="W7083" s="17" t="s">
        <v>44</v>
      </c>
      <c r="X7083" s="17"/>
      <c r="Y7083" s="68">
        <v>45962</v>
      </c>
      <c r="Z7083" s="17" t="s">
        <v>1668</v>
      </c>
      <c r="AA7083" s="17" t="s">
        <v>46</v>
      </c>
      <c r="AB7083" s="17" t="s">
        <v>1670</v>
      </c>
      <c r="AC7083" s="217">
        <v>45966</v>
      </c>
      <c r="AD7083" s="65">
        <v>1749</v>
      </c>
      <c r="AE7083" s="17" t="s">
        <v>48</v>
      </c>
      <c r="AF7083" s="17"/>
      <c r="AG7083" s="17"/>
      <c r="AH7083" s="17"/>
      <c r="AI7083" s="17"/>
      <c r="AJ7083" s="17"/>
      <c r="AK7083" s="17"/>
      <c r="AL7083" s="17"/>
      <c r="AM7083" s="17"/>
      <c r="AN7083" s="17"/>
      <c r="AO7083" s="17"/>
      <c r="AP7083" s="17"/>
      <c r="AQ7083" s="17"/>
      <c r="AR7083" s="17"/>
    </row>
    <row r="7084" s="25" customFormat="1" hidden="1" spans="1:44">
      <c r="A7084" s="17" t="s">
        <v>34</v>
      </c>
      <c r="B7084" s="19">
        <v>1094</v>
      </c>
      <c r="C7084" s="183">
        <v>45936</v>
      </c>
      <c r="D7084" s="17"/>
      <c r="E7084" s="17" t="s">
        <v>433</v>
      </c>
      <c r="F7084" s="17" t="s">
        <v>434</v>
      </c>
      <c r="G7084" s="17"/>
      <c r="H7084" s="19" t="s">
        <v>1666</v>
      </c>
      <c r="I7084" s="19"/>
      <c r="J7084" s="17" t="s">
        <v>82</v>
      </c>
      <c r="K7084" s="189">
        <v>550</v>
      </c>
      <c r="L7084" s="91">
        <v>530</v>
      </c>
      <c r="M7084" s="189">
        <v>1170</v>
      </c>
      <c r="N7084" s="19" t="s">
        <v>66</v>
      </c>
      <c r="O7084" s="19" t="s">
        <v>98</v>
      </c>
      <c r="P7084" s="417">
        <v>2720</v>
      </c>
      <c r="Q7084" s="19">
        <v>2720</v>
      </c>
      <c r="R7084" s="19">
        <f t="shared" si="307"/>
        <v>0</v>
      </c>
      <c r="S7084" s="418">
        <v>900</v>
      </c>
      <c r="T7084" s="19" t="s">
        <v>94</v>
      </c>
      <c r="U7084" s="102" t="s">
        <v>1667</v>
      </c>
      <c r="V7084" s="186">
        <v>45931</v>
      </c>
      <c r="W7084" s="17" t="s">
        <v>44</v>
      </c>
      <c r="X7084" s="17"/>
      <c r="Y7084" s="68">
        <v>45962</v>
      </c>
      <c r="Z7084" s="17" t="s">
        <v>1668</v>
      </c>
      <c r="AA7084" s="17" t="s">
        <v>46</v>
      </c>
      <c r="AB7084" s="17" t="s">
        <v>1673</v>
      </c>
      <c r="AC7084" s="217">
        <v>45960</v>
      </c>
      <c r="AD7084" s="65">
        <v>1747</v>
      </c>
      <c r="AE7084" s="17" t="s">
        <v>147</v>
      </c>
      <c r="AF7084" s="17"/>
      <c r="AG7084" s="17"/>
      <c r="AH7084" s="17"/>
      <c r="AI7084" s="17"/>
      <c r="AJ7084" s="17"/>
      <c r="AK7084" s="17"/>
      <c r="AL7084" s="17"/>
      <c r="AM7084" s="17"/>
      <c r="AN7084" s="17"/>
      <c r="AO7084" s="17"/>
      <c r="AP7084" s="17"/>
      <c r="AQ7084" s="17"/>
      <c r="AR7084" s="17"/>
    </row>
    <row r="7085" s="25" customFormat="1" hidden="1" spans="1:44">
      <c r="A7085" s="17" t="s">
        <v>34</v>
      </c>
      <c r="B7085" s="19">
        <v>1095</v>
      </c>
      <c r="C7085" s="183">
        <v>45936</v>
      </c>
      <c r="D7085" s="17"/>
      <c r="E7085" s="17" t="s">
        <v>433</v>
      </c>
      <c r="F7085" s="17" t="s">
        <v>434</v>
      </c>
      <c r="G7085" s="17"/>
      <c r="H7085" s="19">
        <v>1.2738</v>
      </c>
      <c r="I7085" s="19"/>
      <c r="J7085" s="17" t="s">
        <v>82</v>
      </c>
      <c r="K7085" s="189">
        <v>685</v>
      </c>
      <c r="L7085" s="421">
        <v>34</v>
      </c>
      <c r="M7085" s="189">
        <v>1080</v>
      </c>
      <c r="N7085" s="19" t="s">
        <v>66</v>
      </c>
      <c r="O7085" s="19" t="s">
        <v>98</v>
      </c>
      <c r="P7085" s="417">
        <v>196</v>
      </c>
      <c r="Q7085" s="290">
        <v>196</v>
      </c>
      <c r="R7085" s="19">
        <f t="shared" si="307"/>
        <v>0</v>
      </c>
      <c r="S7085" s="418">
        <v>900</v>
      </c>
      <c r="T7085" s="19" t="s">
        <v>94</v>
      </c>
      <c r="U7085" s="102" t="s">
        <v>1667</v>
      </c>
      <c r="V7085" s="186">
        <v>45931</v>
      </c>
      <c r="W7085" s="17" t="s">
        <v>44</v>
      </c>
      <c r="X7085" s="17"/>
      <c r="Y7085" s="68">
        <v>45962</v>
      </c>
      <c r="Z7085" s="17" t="s">
        <v>1668</v>
      </c>
      <c r="AA7085" s="17" t="s">
        <v>46</v>
      </c>
      <c r="AB7085" s="17" t="s">
        <v>1677</v>
      </c>
      <c r="AC7085" s="217">
        <v>45978</v>
      </c>
      <c r="AD7085" s="65">
        <v>1750</v>
      </c>
      <c r="AE7085" s="17" t="s">
        <v>48</v>
      </c>
      <c r="AF7085" s="17"/>
      <c r="AG7085" s="17"/>
      <c r="AH7085" s="17"/>
      <c r="AI7085" s="17"/>
      <c r="AJ7085" s="17"/>
      <c r="AK7085" s="17"/>
      <c r="AL7085" s="17"/>
      <c r="AM7085" s="17"/>
      <c r="AN7085" s="17"/>
      <c r="AO7085" s="17"/>
      <c r="AP7085" s="17"/>
      <c r="AQ7085" s="17"/>
      <c r="AR7085" s="17"/>
    </row>
    <row r="7086" s="25" customFormat="1" hidden="1" spans="1:44">
      <c r="A7086" s="17" t="s">
        <v>34</v>
      </c>
      <c r="B7086" s="19">
        <v>1095</v>
      </c>
      <c r="C7086" s="183">
        <v>45936</v>
      </c>
      <c r="D7086" s="17"/>
      <c r="E7086" s="17" t="s">
        <v>433</v>
      </c>
      <c r="F7086" s="17" t="s">
        <v>434</v>
      </c>
      <c r="G7086" s="17"/>
      <c r="H7086" s="19">
        <v>1.2738</v>
      </c>
      <c r="I7086" s="19"/>
      <c r="J7086" s="17" t="s">
        <v>82</v>
      </c>
      <c r="K7086" s="189">
        <v>751</v>
      </c>
      <c r="L7086" s="421">
        <v>35</v>
      </c>
      <c r="M7086" s="189">
        <v>2480</v>
      </c>
      <c r="N7086" s="19" t="s">
        <v>66</v>
      </c>
      <c r="O7086" s="19" t="s">
        <v>98</v>
      </c>
      <c r="P7086" s="417">
        <v>650</v>
      </c>
      <c r="Q7086" s="19">
        <v>650</v>
      </c>
      <c r="R7086" s="19">
        <f t="shared" si="307"/>
        <v>0</v>
      </c>
      <c r="S7086" s="418">
        <v>900</v>
      </c>
      <c r="T7086" s="19" t="s">
        <v>94</v>
      </c>
      <c r="U7086" s="102" t="s">
        <v>1667</v>
      </c>
      <c r="V7086" s="186">
        <v>45931</v>
      </c>
      <c r="W7086" s="17" t="s">
        <v>44</v>
      </c>
      <c r="X7086" s="17"/>
      <c r="Y7086" s="68">
        <v>45962</v>
      </c>
      <c r="Z7086" s="17" t="s">
        <v>1668</v>
      </c>
      <c r="AA7086" s="17" t="s">
        <v>46</v>
      </c>
      <c r="AB7086" s="17" t="s">
        <v>1669</v>
      </c>
      <c r="AC7086" s="217">
        <v>45989</v>
      </c>
      <c r="AD7086" s="65">
        <v>1751</v>
      </c>
      <c r="AE7086" s="17" t="s">
        <v>48</v>
      </c>
      <c r="AF7086" s="17"/>
      <c r="AG7086" s="17"/>
      <c r="AH7086" s="17"/>
      <c r="AI7086" s="17"/>
      <c r="AJ7086" s="17"/>
      <c r="AK7086" s="17"/>
      <c r="AL7086" s="17"/>
      <c r="AM7086" s="17"/>
      <c r="AN7086" s="17"/>
      <c r="AO7086" s="17"/>
      <c r="AP7086" s="17"/>
      <c r="AQ7086" s="17"/>
      <c r="AR7086" s="17"/>
    </row>
    <row r="7087" s="25" customFormat="1" hidden="1" spans="1:44">
      <c r="A7087" s="17" t="s">
        <v>34</v>
      </c>
      <c r="B7087" s="19">
        <v>1095</v>
      </c>
      <c r="C7087" s="183">
        <v>45936</v>
      </c>
      <c r="D7087" s="17"/>
      <c r="E7087" s="17" t="s">
        <v>433</v>
      </c>
      <c r="F7087" s="17" t="s">
        <v>434</v>
      </c>
      <c r="G7087" s="17"/>
      <c r="H7087" s="19">
        <v>1.2738</v>
      </c>
      <c r="I7087" s="19"/>
      <c r="J7087" s="17" t="s">
        <v>82</v>
      </c>
      <c r="K7087" s="189">
        <v>760</v>
      </c>
      <c r="L7087" s="421">
        <v>40</v>
      </c>
      <c r="M7087" s="189">
        <v>760</v>
      </c>
      <c r="N7087" s="19" t="s">
        <v>66</v>
      </c>
      <c r="O7087" s="19" t="s">
        <v>98</v>
      </c>
      <c r="P7087" s="417">
        <v>202</v>
      </c>
      <c r="Q7087" s="290">
        <v>202</v>
      </c>
      <c r="R7087" s="19">
        <f t="shared" si="307"/>
        <v>0</v>
      </c>
      <c r="S7087" s="418">
        <v>900</v>
      </c>
      <c r="T7087" s="19" t="s">
        <v>94</v>
      </c>
      <c r="U7087" s="102" t="s">
        <v>1667</v>
      </c>
      <c r="V7087" s="186">
        <v>45931</v>
      </c>
      <c r="W7087" s="17" t="s">
        <v>44</v>
      </c>
      <c r="X7087" s="17"/>
      <c r="Y7087" s="68">
        <v>45962</v>
      </c>
      <c r="Z7087" s="17" t="s">
        <v>1668</v>
      </c>
      <c r="AA7087" s="17" t="s">
        <v>46</v>
      </c>
      <c r="AB7087" s="17" t="s">
        <v>1677</v>
      </c>
      <c r="AC7087" s="217">
        <v>45978</v>
      </c>
      <c r="AD7087" s="65">
        <v>1750</v>
      </c>
      <c r="AE7087" s="17" t="s">
        <v>48</v>
      </c>
      <c r="AF7087" s="17"/>
      <c r="AG7087" s="17"/>
      <c r="AH7087" s="17"/>
      <c r="AI7087" s="17"/>
      <c r="AJ7087" s="17"/>
      <c r="AK7087" s="17"/>
      <c r="AL7087" s="17"/>
      <c r="AM7087" s="17"/>
      <c r="AN7087" s="17"/>
      <c r="AO7087" s="17"/>
      <c r="AP7087" s="17"/>
      <c r="AQ7087" s="17"/>
      <c r="AR7087" s="17"/>
    </row>
    <row r="7088" s="25" customFormat="1" hidden="1" spans="1:44">
      <c r="A7088" s="17" t="s">
        <v>34</v>
      </c>
      <c r="B7088" s="19">
        <v>1095</v>
      </c>
      <c r="C7088" s="183">
        <v>45936</v>
      </c>
      <c r="D7088" s="17"/>
      <c r="E7088" s="17" t="s">
        <v>433</v>
      </c>
      <c r="F7088" s="17" t="s">
        <v>434</v>
      </c>
      <c r="G7088" s="17"/>
      <c r="H7088" s="19">
        <v>1.2738</v>
      </c>
      <c r="I7088" s="19"/>
      <c r="J7088" s="17" t="s">
        <v>82</v>
      </c>
      <c r="K7088" s="189">
        <v>670</v>
      </c>
      <c r="L7088" s="421">
        <v>45</v>
      </c>
      <c r="M7088" s="189">
        <v>1570</v>
      </c>
      <c r="N7088" s="19" t="s">
        <v>66</v>
      </c>
      <c r="O7088" s="19" t="s">
        <v>98</v>
      </c>
      <c r="P7088" s="417">
        <v>445</v>
      </c>
      <c r="Q7088" s="19">
        <v>445</v>
      </c>
      <c r="R7088" s="19">
        <f t="shared" si="307"/>
        <v>0</v>
      </c>
      <c r="S7088" s="418">
        <v>900</v>
      </c>
      <c r="T7088" s="19" t="s">
        <v>94</v>
      </c>
      <c r="U7088" s="102" t="s">
        <v>1667</v>
      </c>
      <c r="V7088" s="186">
        <v>45931</v>
      </c>
      <c r="W7088" s="17" t="s">
        <v>44</v>
      </c>
      <c r="X7088" s="17"/>
      <c r="Y7088" s="68">
        <v>45962</v>
      </c>
      <c r="Z7088" s="17" t="s">
        <v>1668</v>
      </c>
      <c r="AA7088" s="17" t="s">
        <v>46</v>
      </c>
      <c r="AB7088" s="17" t="s">
        <v>1670</v>
      </c>
      <c r="AC7088" s="217">
        <v>45966</v>
      </c>
      <c r="AD7088" s="65">
        <v>1749</v>
      </c>
      <c r="AE7088" s="17" t="s">
        <v>74</v>
      </c>
      <c r="AF7088" s="17"/>
      <c r="AG7088" s="17"/>
      <c r="AH7088" s="17"/>
      <c r="AI7088" s="17"/>
      <c r="AJ7088" s="17"/>
      <c r="AK7088" s="17"/>
      <c r="AL7088" s="17"/>
      <c r="AM7088" s="17"/>
      <c r="AN7088" s="17"/>
      <c r="AO7088" s="17"/>
      <c r="AP7088" s="17"/>
      <c r="AQ7088" s="17"/>
      <c r="AR7088" s="17"/>
    </row>
    <row r="7089" s="25" customFormat="1" hidden="1" spans="1:44">
      <c r="A7089" s="17" t="s">
        <v>34</v>
      </c>
      <c r="B7089" s="19">
        <v>1095</v>
      </c>
      <c r="C7089" s="183">
        <v>45936</v>
      </c>
      <c r="D7089" s="17"/>
      <c r="E7089" s="17" t="s">
        <v>433</v>
      </c>
      <c r="F7089" s="17" t="s">
        <v>434</v>
      </c>
      <c r="G7089" s="17"/>
      <c r="H7089" s="19">
        <v>1.2738</v>
      </c>
      <c r="I7089" s="19"/>
      <c r="J7089" s="17" t="s">
        <v>82</v>
      </c>
      <c r="K7089" s="189">
        <v>750</v>
      </c>
      <c r="L7089" s="421">
        <v>45</v>
      </c>
      <c r="M7089" s="189">
        <v>845</v>
      </c>
      <c r="N7089" s="19" t="s">
        <v>66</v>
      </c>
      <c r="O7089" s="19" t="s">
        <v>98</v>
      </c>
      <c r="P7089" s="417">
        <v>238</v>
      </c>
      <c r="Q7089" s="290">
        <v>238</v>
      </c>
      <c r="R7089" s="19">
        <f t="shared" si="307"/>
        <v>0</v>
      </c>
      <c r="S7089" s="418">
        <v>900</v>
      </c>
      <c r="T7089" s="19" t="s">
        <v>94</v>
      </c>
      <c r="U7089" s="102" t="s">
        <v>1667</v>
      </c>
      <c r="V7089" s="186">
        <v>45931</v>
      </c>
      <c r="W7089" s="17" t="s">
        <v>44</v>
      </c>
      <c r="X7089" s="17"/>
      <c r="Y7089" s="68">
        <v>45962</v>
      </c>
      <c r="Z7089" s="17" t="s">
        <v>1668</v>
      </c>
      <c r="AA7089" s="17" t="s">
        <v>46</v>
      </c>
      <c r="AB7089" s="17" t="s">
        <v>1677</v>
      </c>
      <c r="AC7089" s="217">
        <v>45978</v>
      </c>
      <c r="AD7089" s="65">
        <v>1750</v>
      </c>
      <c r="AE7089" s="17" t="s">
        <v>48</v>
      </c>
      <c r="AF7089" s="17"/>
      <c r="AG7089" s="17"/>
      <c r="AH7089" s="17"/>
      <c r="AI7089" s="17"/>
      <c r="AJ7089" s="17"/>
      <c r="AK7089" s="17"/>
      <c r="AL7089" s="17"/>
      <c r="AM7089" s="17"/>
      <c r="AN7089" s="17"/>
      <c r="AO7089" s="17"/>
      <c r="AP7089" s="17"/>
      <c r="AQ7089" s="17"/>
      <c r="AR7089" s="17"/>
    </row>
    <row r="7090" s="25" customFormat="1" hidden="1" spans="1:44">
      <c r="A7090" s="17" t="s">
        <v>34</v>
      </c>
      <c r="B7090" s="19">
        <v>1095</v>
      </c>
      <c r="C7090" s="183">
        <v>45936</v>
      </c>
      <c r="D7090" s="17"/>
      <c r="E7090" s="17" t="s">
        <v>433</v>
      </c>
      <c r="F7090" s="17" t="s">
        <v>434</v>
      </c>
      <c r="G7090" s="17"/>
      <c r="H7090" s="19">
        <v>1.2738</v>
      </c>
      <c r="I7090" s="19"/>
      <c r="J7090" s="17" t="s">
        <v>82</v>
      </c>
      <c r="K7090" s="189">
        <v>715</v>
      </c>
      <c r="L7090" s="421">
        <v>45</v>
      </c>
      <c r="M7090" s="189">
        <v>765</v>
      </c>
      <c r="N7090" s="19" t="s">
        <v>66</v>
      </c>
      <c r="O7090" s="19" t="s">
        <v>98</v>
      </c>
      <c r="P7090" s="417">
        <v>200</v>
      </c>
      <c r="Q7090" s="19">
        <v>200</v>
      </c>
      <c r="R7090" s="19">
        <f t="shared" si="307"/>
        <v>0</v>
      </c>
      <c r="S7090" s="418">
        <v>900</v>
      </c>
      <c r="T7090" s="19" t="s">
        <v>94</v>
      </c>
      <c r="U7090" s="102" t="s">
        <v>1667</v>
      </c>
      <c r="V7090" s="186">
        <v>45931</v>
      </c>
      <c r="W7090" s="17" t="s">
        <v>44</v>
      </c>
      <c r="X7090" s="17"/>
      <c r="Y7090" s="68">
        <v>45962</v>
      </c>
      <c r="Z7090" s="17" t="s">
        <v>1668</v>
      </c>
      <c r="AA7090" s="17" t="s">
        <v>46</v>
      </c>
      <c r="AB7090" s="17" t="s">
        <v>1669</v>
      </c>
      <c r="AC7090" s="217">
        <v>45989</v>
      </c>
      <c r="AD7090" s="65">
        <v>1751</v>
      </c>
      <c r="AE7090" s="17" t="s">
        <v>48</v>
      </c>
      <c r="AF7090" s="17"/>
      <c r="AG7090" s="17"/>
      <c r="AH7090" s="17"/>
      <c r="AI7090" s="17"/>
      <c r="AJ7090" s="17"/>
      <c r="AK7090" s="17"/>
      <c r="AL7090" s="17"/>
      <c r="AM7090" s="17"/>
      <c r="AN7090" s="17"/>
      <c r="AO7090" s="17"/>
      <c r="AP7090" s="17"/>
      <c r="AQ7090" s="17"/>
      <c r="AR7090" s="17"/>
    </row>
    <row r="7091" s="25" customFormat="1" hidden="1" spans="1:44">
      <c r="A7091" s="17" t="s">
        <v>34</v>
      </c>
      <c r="B7091" s="19">
        <v>1095</v>
      </c>
      <c r="C7091" s="183">
        <v>45936</v>
      </c>
      <c r="D7091" s="17"/>
      <c r="E7091" s="17" t="s">
        <v>433</v>
      </c>
      <c r="F7091" s="17" t="s">
        <v>434</v>
      </c>
      <c r="G7091" s="17"/>
      <c r="H7091" s="19">
        <v>1.2738</v>
      </c>
      <c r="I7091" s="19"/>
      <c r="J7091" s="17" t="s">
        <v>82</v>
      </c>
      <c r="K7091" s="189">
        <v>710</v>
      </c>
      <c r="L7091" s="421">
        <v>50</v>
      </c>
      <c r="M7091" s="189">
        <v>1580</v>
      </c>
      <c r="N7091" s="19" t="s">
        <v>66</v>
      </c>
      <c r="O7091" s="19" t="s">
        <v>98</v>
      </c>
      <c r="P7091" s="417">
        <v>475</v>
      </c>
      <c r="Q7091" s="19">
        <v>475</v>
      </c>
      <c r="R7091" s="19">
        <f t="shared" si="307"/>
        <v>0</v>
      </c>
      <c r="S7091" s="418">
        <v>900</v>
      </c>
      <c r="T7091" s="19" t="s">
        <v>94</v>
      </c>
      <c r="U7091" s="102" t="s">
        <v>1667</v>
      </c>
      <c r="V7091" s="186">
        <v>45931</v>
      </c>
      <c r="W7091" s="17" t="s">
        <v>44</v>
      </c>
      <c r="X7091" s="17"/>
      <c r="Y7091" s="68">
        <v>45962</v>
      </c>
      <c r="Z7091" s="17" t="s">
        <v>1668</v>
      </c>
      <c r="AA7091" s="17" t="s">
        <v>46</v>
      </c>
      <c r="AB7091" s="17" t="s">
        <v>1669</v>
      </c>
      <c r="AC7091" s="217">
        <v>45989</v>
      </c>
      <c r="AD7091" s="65">
        <v>1751</v>
      </c>
      <c r="AE7091" s="17" t="s">
        <v>74</v>
      </c>
      <c r="AF7091" s="17"/>
      <c r="AG7091" s="17"/>
      <c r="AH7091" s="17"/>
      <c r="AI7091" s="17"/>
      <c r="AJ7091" s="17"/>
      <c r="AK7091" s="17"/>
      <c r="AL7091" s="17"/>
      <c r="AM7091" s="17"/>
      <c r="AN7091" s="17"/>
      <c r="AO7091" s="17"/>
      <c r="AP7091" s="17"/>
      <c r="AQ7091" s="17"/>
      <c r="AR7091" s="17"/>
    </row>
    <row r="7092" hidden="1" spans="1:44">
      <c r="A7092" s="17" t="s">
        <v>34</v>
      </c>
      <c r="B7092" s="75">
        <v>1095</v>
      </c>
      <c r="C7092" s="213">
        <v>45936</v>
      </c>
      <c r="D7092" s="18"/>
      <c r="E7092" s="18" t="s">
        <v>433</v>
      </c>
      <c r="F7092" s="18" t="s">
        <v>434</v>
      </c>
      <c r="G7092" s="18"/>
      <c r="H7092" s="75">
        <v>1.2738</v>
      </c>
      <c r="I7092" s="75"/>
      <c r="J7092" s="18" t="s">
        <v>82</v>
      </c>
      <c r="K7092" s="422">
        <v>780</v>
      </c>
      <c r="L7092" s="423">
        <v>60</v>
      </c>
      <c r="M7092" s="422">
        <v>2715</v>
      </c>
      <c r="N7092" s="75" t="s">
        <v>66</v>
      </c>
      <c r="O7092" s="342" t="s">
        <v>98</v>
      </c>
      <c r="P7092" s="424">
        <v>1230</v>
      </c>
      <c r="Q7092" s="75"/>
      <c r="R7092" s="75">
        <f t="shared" si="307"/>
        <v>1230</v>
      </c>
      <c r="S7092" s="425">
        <v>900</v>
      </c>
      <c r="T7092" s="75" t="s">
        <v>94</v>
      </c>
      <c r="U7092" s="137" t="s">
        <v>1667</v>
      </c>
      <c r="V7092" s="193">
        <v>45931</v>
      </c>
      <c r="W7092" s="18" t="s">
        <v>44</v>
      </c>
      <c r="X7092" s="18"/>
      <c r="Y7092" s="114">
        <v>45962</v>
      </c>
      <c r="Z7092" s="18" t="s">
        <v>1668</v>
      </c>
      <c r="AA7092" s="18" t="s">
        <v>46</v>
      </c>
      <c r="AB7092" s="18"/>
      <c r="AC7092" s="137"/>
      <c r="AD7092" s="77"/>
      <c r="AE7092" s="18" t="s">
        <v>48</v>
      </c>
      <c r="AF7092" s="18"/>
      <c r="AG7092" s="18"/>
      <c r="AH7092" s="18"/>
      <c r="AI7092" s="18"/>
      <c r="AJ7092" s="18"/>
      <c r="AK7092" s="18"/>
      <c r="AL7092" s="18"/>
      <c r="AM7092" s="18"/>
      <c r="AN7092" s="18"/>
      <c r="AO7092" s="18"/>
      <c r="AP7092" s="18"/>
      <c r="AQ7092" s="18"/>
      <c r="AR7092" s="18"/>
    </row>
    <row r="7093" s="25" customFormat="1" hidden="1" spans="1:44">
      <c r="A7093" s="17" t="s">
        <v>34</v>
      </c>
      <c r="B7093" s="19">
        <v>1095</v>
      </c>
      <c r="C7093" s="183">
        <v>45936</v>
      </c>
      <c r="D7093" s="17"/>
      <c r="E7093" s="17" t="s">
        <v>433</v>
      </c>
      <c r="F7093" s="17" t="s">
        <v>434</v>
      </c>
      <c r="G7093" s="17"/>
      <c r="H7093" s="19">
        <v>1.2738</v>
      </c>
      <c r="I7093" s="19"/>
      <c r="J7093" s="17" t="s">
        <v>82</v>
      </c>
      <c r="K7093" s="189">
        <v>700</v>
      </c>
      <c r="L7093" s="421">
        <v>65</v>
      </c>
      <c r="M7093" s="189">
        <v>1870</v>
      </c>
      <c r="N7093" s="19" t="s">
        <v>66</v>
      </c>
      <c r="O7093" s="19" t="s">
        <v>98</v>
      </c>
      <c r="P7093" s="417">
        <v>680</v>
      </c>
      <c r="Q7093" s="290">
        <v>680</v>
      </c>
      <c r="R7093" s="19">
        <f t="shared" si="307"/>
        <v>0</v>
      </c>
      <c r="S7093" s="418">
        <v>900</v>
      </c>
      <c r="T7093" s="19" t="s">
        <v>94</v>
      </c>
      <c r="U7093" s="102" t="s">
        <v>1667</v>
      </c>
      <c r="V7093" s="186">
        <v>45931</v>
      </c>
      <c r="W7093" s="17" t="s">
        <v>44</v>
      </c>
      <c r="X7093" s="17"/>
      <c r="Y7093" s="68">
        <v>45962</v>
      </c>
      <c r="Z7093" s="17" t="s">
        <v>1668</v>
      </c>
      <c r="AA7093" s="17" t="s">
        <v>46</v>
      </c>
      <c r="AB7093" s="17" t="s">
        <v>1677</v>
      </c>
      <c r="AC7093" s="217">
        <v>45978</v>
      </c>
      <c r="AD7093" s="65">
        <v>1750</v>
      </c>
      <c r="AE7093" s="17" t="s">
        <v>48</v>
      </c>
      <c r="AF7093" s="17"/>
      <c r="AG7093" s="17"/>
      <c r="AH7093" s="17"/>
      <c r="AI7093" s="17"/>
      <c r="AJ7093" s="17"/>
      <c r="AK7093" s="17"/>
      <c r="AL7093" s="17"/>
      <c r="AM7093" s="17"/>
      <c r="AN7093" s="17"/>
      <c r="AO7093" s="17"/>
      <c r="AP7093" s="17"/>
      <c r="AQ7093" s="17"/>
      <c r="AR7093" s="17"/>
    </row>
    <row r="7094" s="25" customFormat="1" hidden="1" spans="1:44">
      <c r="A7094" s="17" t="s">
        <v>34</v>
      </c>
      <c r="B7094" s="19">
        <v>1095</v>
      </c>
      <c r="C7094" s="183">
        <v>45936</v>
      </c>
      <c r="D7094" s="17"/>
      <c r="E7094" s="17" t="s">
        <v>433</v>
      </c>
      <c r="F7094" s="17" t="s">
        <v>434</v>
      </c>
      <c r="G7094" s="17"/>
      <c r="H7094" s="19">
        <v>1.2738</v>
      </c>
      <c r="I7094" s="19"/>
      <c r="J7094" s="17" t="s">
        <v>82</v>
      </c>
      <c r="K7094" s="189">
        <v>760</v>
      </c>
      <c r="L7094" s="421">
        <v>65</v>
      </c>
      <c r="M7094" s="189">
        <v>1320</v>
      </c>
      <c r="N7094" s="19" t="s">
        <v>66</v>
      </c>
      <c r="O7094" s="19" t="s">
        <v>98</v>
      </c>
      <c r="P7094" s="417">
        <v>555</v>
      </c>
      <c r="Q7094" s="290">
        <v>555</v>
      </c>
      <c r="R7094" s="19">
        <f t="shared" si="307"/>
        <v>0</v>
      </c>
      <c r="S7094" s="418">
        <v>900</v>
      </c>
      <c r="T7094" s="19" t="s">
        <v>94</v>
      </c>
      <c r="U7094" s="102" t="s">
        <v>1667</v>
      </c>
      <c r="V7094" s="186">
        <v>45931</v>
      </c>
      <c r="W7094" s="17" t="s">
        <v>44</v>
      </c>
      <c r="X7094" s="17"/>
      <c r="Y7094" s="68">
        <v>45962</v>
      </c>
      <c r="Z7094" s="17" t="s">
        <v>1668</v>
      </c>
      <c r="AA7094" s="17" t="s">
        <v>46</v>
      </c>
      <c r="AB7094" s="17" t="s">
        <v>1677</v>
      </c>
      <c r="AC7094" s="217">
        <v>45978</v>
      </c>
      <c r="AD7094" s="65">
        <v>1750</v>
      </c>
      <c r="AE7094" s="17" t="s">
        <v>48</v>
      </c>
      <c r="AF7094" s="17"/>
      <c r="AG7094" s="17"/>
      <c r="AH7094" s="17"/>
      <c r="AI7094" s="17"/>
      <c r="AJ7094" s="17"/>
      <c r="AK7094" s="17"/>
      <c r="AL7094" s="17"/>
      <c r="AM7094" s="17"/>
      <c r="AN7094" s="17"/>
      <c r="AO7094" s="17"/>
      <c r="AP7094" s="17"/>
      <c r="AQ7094" s="17"/>
      <c r="AR7094" s="17"/>
    </row>
    <row r="7095" s="25" customFormat="1" hidden="1" spans="1:44">
      <c r="A7095" s="17" t="s">
        <v>34</v>
      </c>
      <c r="B7095" s="19">
        <v>1095</v>
      </c>
      <c r="C7095" s="183">
        <v>45936</v>
      </c>
      <c r="D7095" s="17"/>
      <c r="E7095" s="17" t="s">
        <v>433</v>
      </c>
      <c r="F7095" s="17" t="s">
        <v>434</v>
      </c>
      <c r="G7095" s="17"/>
      <c r="H7095" s="19">
        <v>1.2738</v>
      </c>
      <c r="I7095" s="19"/>
      <c r="J7095" s="17" t="s">
        <v>82</v>
      </c>
      <c r="K7095" s="189">
        <v>790</v>
      </c>
      <c r="L7095" s="421">
        <v>65</v>
      </c>
      <c r="M7095" s="189">
        <v>1270</v>
      </c>
      <c r="N7095" s="19" t="s">
        <v>66</v>
      </c>
      <c r="O7095" s="19" t="s">
        <v>98</v>
      </c>
      <c r="P7095" s="417">
        <v>504</v>
      </c>
      <c r="Q7095" s="19">
        <v>504</v>
      </c>
      <c r="R7095" s="19">
        <f t="shared" si="307"/>
        <v>0</v>
      </c>
      <c r="S7095" s="418">
        <v>900</v>
      </c>
      <c r="T7095" s="19" t="s">
        <v>94</v>
      </c>
      <c r="U7095" s="102" t="s">
        <v>1667</v>
      </c>
      <c r="V7095" s="186">
        <v>45931</v>
      </c>
      <c r="W7095" s="17" t="s">
        <v>44</v>
      </c>
      <c r="X7095" s="17"/>
      <c r="Y7095" s="68">
        <v>45962</v>
      </c>
      <c r="Z7095" s="17" t="s">
        <v>1668</v>
      </c>
      <c r="AA7095" s="17" t="s">
        <v>46</v>
      </c>
      <c r="AB7095" s="17" t="s">
        <v>1670</v>
      </c>
      <c r="AC7095" s="217">
        <v>45966</v>
      </c>
      <c r="AD7095" s="65">
        <v>1749</v>
      </c>
      <c r="AE7095" s="17" t="s">
        <v>74</v>
      </c>
      <c r="AF7095" s="17"/>
      <c r="AG7095" s="17"/>
      <c r="AH7095" s="17"/>
      <c r="AI7095" s="17"/>
      <c r="AJ7095" s="17"/>
      <c r="AK7095" s="17"/>
      <c r="AL7095" s="17"/>
      <c r="AM7095" s="17"/>
      <c r="AN7095" s="17"/>
      <c r="AO7095" s="17"/>
      <c r="AP7095" s="17"/>
      <c r="AQ7095" s="17"/>
      <c r="AR7095" s="17"/>
    </row>
    <row r="7096" hidden="1" spans="1:44">
      <c r="A7096" s="17" t="s">
        <v>34</v>
      </c>
      <c r="B7096" s="75">
        <v>1095</v>
      </c>
      <c r="C7096" s="213">
        <v>45936</v>
      </c>
      <c r="D7096" s="18"/>
      <c r="E7096" s="18" t="s">
        <v>433</v>
      </c>
      <c r="F7096" s="18" t="s">
        <v>434</v>
      </c>
      <c r="G7096" s="18"/>
      <c r="H7096" s="75">
        <v>1.2738</v>
      </c>
      <c r="I7096" s="75"/>
      <c r="J7096" s="18" t="s">
        <v>82</v>
      </c>
      <c r="K7096" s="422">
        <v>605</v>
      </c>
      <c r="L7096" s="423">
        <v>65</v>
      </c>
      <c r="M7096" s="422">
        <v>1210</v>
      </c>
      <c r="N7096" s="75" t="s">
        <v>66</v>
      </c>
      <c r="O7096" s="342" t="s">
        <v>98</v>
      </c>
      <c r="P7096" s="424">
        <v>392</v>
      </c>
      <c r="Q7096" s="75"/>
      <c r="R7096" s="75">
        <f t="shared" si="307"/>
        <v>392</v>
      </c>
      <c r="S7096" s="425">
        <v>900</v>
      </c>
      <c r="T7096" s="75" t="s">
        <v>94</v>
      </c>
      <c r="U7096" s="137" t="s">
        <v>1667</v>
      </c>
      <c r="V7096" s="193">
        <v>45931</v>
      </c>
      <c r="W7096" s="18" t="s">
        <v>44</v>
      </c>
      <c r="X7096" s="18"/>
      <c r="Y7096" s="114">
        <v>45962</v>
      </c>
      <c r="Z7096" s="18" t="s">
        <v>1668</v>
      </c>
      <c r="AA7096" s="18" t="s">
        <v>46</v>
      </c>
      <c r="AB7096" s="18"/>
      <c r="AC7096" s="137"/>
      <c r="AD7096" s="77"/>
      <c r="AE7096" s="18" t="s">
        <v>48</v>
      </c>
      <c r="AF7096" s="18"/>
      <c r="AG7096" s="18"/>
      <c r="AH7096" s="18"/>
      <c r="AI7096" s="18"/>
      <c r="AJ7096" s="18"/>
      <c r="AK7096" s="18"/>
      <c r="AL7096" s="18"/>
      <c r="AM7096" s="18"/>
      <c r="AN7096" s="18"/>
      <c r="AO7096" s="18"/>
      <c r="AP7096" s="18"/>
      <c r="AQ7096" s="18"/>
      <c r="AR7096" s="18"/>
    </row>
    <row r="7097" s="25" customFormat="1" hidden="1" spans="1:44">
      <c r="A7097" s="17" t="s">
        <v>34</v>
      </c>
      <c r="B7097" s="19">
        <v>1095</v>
      </c>
      <c r="C7097" s="183">
        <v>45936</v>
      </c>
      <c r="D7097" s="17"/>
      <c r="E7097" s="17" t="s">
        <v>433</v>
      </c>
      <c r="F7097" s="17" t="s">
        <v>434</v>
      </c>
      <c r="G7097" s="17"/>
      <c r="H7097" s="19">
        <v>1.2738</v>
      </c>
      <c r="I7097" s="19"/>
      <c r="J7097" s="17" t="s">
        <v>82</v>
      </c>
      <c r="K7097" s="189">
        <v>635</v>
      </c>
      <c r="L7097" s="421">
        <v>65</v>
      </c>
      <c r="M7097" s="189">
        <v>840</v>
      </c>
      <c r="N7097" s="19" t="s">
        <v>66</v>
      </c>
      <c r="O7097" s="19" t="s">
        <v>98</v>
      </c>
      <c r="P7097" s="417">
        <v>316</v>
      </c>
      <c r="Q7097" s="290">
        <v>316</v>
      </c>
      <c r="R7097" s="19">
        <f t="shared" si="307"/>
        <v>0</v>
      </c>
      <c r="S7097" s="418">
        <v>900</v>
      </c>
      <c r="T7097" s="19" t="s">
        <v>94</v>
      </c>
      <c r="U7097" s="102" t="s">
        <v>1667</v>
      </c>
      <c r="V7097" s="186">
        <v>45931</v>
      </c>
      <c r="W7097" s="17" t="s">
        <v>44</v>
      </c>
      <c r="X7097" s="17"/>
      <c r="Y7097" s="68">
        <v>45962</v>
      </c>
      <c r="Z7097" s="17" t="s">
        <v>1668</v>
      </c>
      <c r="AA7097" s="17" t="s">
        <v>46</v>
      </c>
      <c r="AB7097" s="17" t="s">
        <v>1677</v>
      </c>
      <c r="AC7097" s="217">
        <v>45978</v>
      </c>
      <c r="AD7097" s="65">
        <v>1750</v>
      </c>
      <c r="AE7097" s="17" t="s">
        <v>48</v>
      </c>
      <c r="AF7097" s="17"/>
      <c r="AG7097" s="17"/>
      <c r="AH7097" s="17"/>
      <c r="AI7097" s="17"/>
      <c r="AJ7097" s="17"/>
      <c r="AK7097" s="17"/>
      <c r="AL7097" s="17"/>
      <c r="AM7097" s="17"/>
      <c r="AN7097" s="17"/>
      <c r="AO7097" s="17"/>
      <c r="AP7097" s="17"/>
      <c r="AQ7097" s="17"/>
      <c r="AR7097" s="17"/>
    </row>
    <row r="7098" s="25" customFormat="1" hidden="1" spans="1:44">
      <c r="A7098" s="17" t="s">
        <v>34</v>
      </c>
      <c r="B7098" s="19">
        <v>1095</v>
      </c>
      <c r="C7098" s="183">
        <v>45936</v>
      </c>
      <c r="D7098" s="17"/>
      <c r="E7098" s="17" t="s">
        <v>433</v>
      </c>
      <c r="F7098" s="17" t="s">
        <v>434</v>
      </c>
      <c r="G7098" s="17"/>
      <c r="H7098" s="19">
        <v>1.2738</v>
      </c>
      <c r="I7098" s="19"/>
      <c r="J7098" s="17" t="s">
        <v>82</v>
      </c>
      <c r="K7098" s="189" t="s">
        <v>877</v>
      </c>
      <c r="L7098" s="421" t="s">
        <v>1678</v>
      </c>
      <c r="M7098" s="189" t="s">
        <v>1405</v>
      </c>
      <c r="N7098" s="19" t="s">
        <v>66</v>
      </c>
      <c r="O7098" s="19" t="s">
        <v>98</v>
      </c>
      <c r="P7098" s="417"/>
      <c r="Q7098" s="19">
        <v>476</v>
      </c>
      <c r="R7098" s="19">
        <f t="shared" si="307"/>
        <v>-476</v>
      </c>
      <c r="S7098" s="418">
        <v>900</v>
      </c>
      <c r="T7098" s="19" t="s">
        <v>94</v>
      </c>
      <c r="U7098" s="102" t="s">
        <v>1667</v>
      </c>
      <c r="V7098" s="186">
        <v>45931</v>
      </c>
      <c r="W7098" s="17" t="s">
        <v>44</v>
      </c>
      <c r="X7098" s="17"/>
      <c r="Y7098" s="68">
        <v>45962</v>
      </c>
      <c r="Z7098" s="17" t="s">
        <v>1668</v>
      </c>
      <c r="AA7098" s="17" t="s">
        <v>46</v>
      </c>
      <c r="AB7098" s="17" t="s">
        <v>1670</v>
      </c>
      <c r="AC7098" s="217">
        <v>45966</v>
      </c>
      <c r="AD7098" s="65">
        <v>1749</v>
      </c>
      <c r="AE7098" s="17" t="s">
        <v>74</v>
      </c>
      <c r="AF7098" s="17"/>
      <c r="AG7098" s="17"/>
      <c r="AH7098" s="17"/>
      <c r="AI7098" s="17"/>
      <c r="AJ7098" s="17"/>
      <c r="AK7098" s="17"/>
      <c r="AL7098" s="17"/>
      <c r="AM7098" s="17"/>
      <c r="AN7098" s="17"/>
      <c r="AO7098" s="17"/>
      <c r="AP7098" s="17"/>
      <c r="AQ7098" s="17"/>
      <c r="AR7098" s="17"/>
    </row>
    <row r="7099" s="25" customFormat="1" hidden="1" spans="1:44">
      <c r="A7099" s="17" t="s">
        <v>34</v>
      </c>
      <c r="B7099" s="19">
        <v>1095</v>
      </c>
      <c r="C7099" s="183">
        <v>45936</v>
      </c>
      <c r="D7099" s="17"/>
      <c r="E7099" s="17" t="s">
        <v>433</v>
      </c>
      <c r="F7099" s="17" t="s">
        <v>434</v>
      </c>
      <c r="G7099" s="17"/>
      <c r="H7099" s="19">
        <v>1.2738</v>
      </c>
      <c r="I7099" s="19"/>
      <c r="J7099" s="17" t="s">
        <v>82</v>
      </c>
      <c r="K7099" s="189">
        <v>700</v>
      </c>
      <c r="L7099" s="421">
        <v>70</v>
      </c>
      <c r="M7099" s="189">
        <v>1055</v>
      </c>
      <c r="N7099" s="19" t="s">
        <v>66</v>
      </c>
      <c r="O7099" s="19" t="s">
        <v>98</v>
      </c>
      <c r="P7099" s="417">
        <v>420</v>
      </c>
      <c r="Q7099" s="19">
        <v>420</v>
      </c>
      <c r="R7099" s="19">
        <f t="shared" si="307"/>
        <v>0</v>
      </c>
      <c r="S7099" s="418">
        <v>900</v>
      </c>
      <c r="T7099" s="19" t="s">
        <v>94</v>
      </c>
      <c r="U7099" s="102" t="s">
        <v>1667</v>
      </c>
      <c r="V7099" s="186">
        <v>45931</v>
      </c>
      <c r="W7099" s="17" t="s">
        <v>44</v>
      </c>
      <c r="X7099" s="17"/>
      <c r="Y7099" s="68">
        <v>45962</v>
      </c>
      <c r="Z7099" s="17" t="s">
        <v>1668</v>
      </c>
      <c r="AA7099" s="17" t="s">
        <v>46</v>
      </c>
      <c r="AB7099" s="17" t="s">
        <v>1670</v>
      </c>
      <c r="AC7099" s="217">
        <v>45966</v>
      </c>
      <c r="AD7099" s="65">
        <v>1749</v>
      </c>
      <c r="AE7099" s="17" t="s">
        <v>74</v>
      </c>
      <c r="AF7099" s="17"/>
      <c r="AG7099" s="17"/>
      <c r="AH7099" s="17"/>
      <c r="AI7099" s="17"/>
      <c r="AJ7099" s="17"/>
      <c r="AK7099" s="17"/>
      <c r="AL7099" s="17"/>
      <c r="AM7099" s="17"/>
      <c r="AN7099" s="17"/>
      <c r="AO7099" s="17"/>
      <c r="AP7099" s="17"/>
      <c r="AQ7099" s="17"/>
      <c r="AR7099" s="17"/>
    </row>
    <row r="7100" s="25" customFormat="1" hidden="1" spans="1:44">
      <c r="A7100" s="17" t="s">
        <v>34</v>
      </c>
      <c r="B7100" s="19">
        <v>1095</v>
      </c>
      <c r="C7100" s="183">
        <v>45936</v>
      </c>
      <c r="D7100" s="17"/>
      <c r="E7100" s="17" t="s">
        <v>433</v>
      </c>
      <c r="F7100" s="17" t="s">
        <v>434</v>
      </c>
      <c r="G7100" s="17"/>
      <c r="H7100" s="19">
        <v>1.2738</v>
      </c>
      <c r="I7100" s="19"/>
      <c r="J7100" s="17" t="s">
        <v>82</v>
      </c>
      <c r="K7100" s="189">
        <v>610</v>
      </c>
      <c r="L7100" s="421">
        <v>75</v>
      </c>
      <c r="M7100" s="189">
        <v>1410</v>
      </c>
      <c r="N7100" s="19" t="s">
        <v>66</v>
      </c>
      <c r="O7100" s="19" t="s">
        <v>98</v>
      </c>
      <c r="P7100" s="417">
        <v>584</v>
      </c>
      <c r="Q7100" s="19">
        <v>584</v>
      </c>
      <c r="R7100" s="19">
        <f t="shared" si="307"/>
        <v>0</v>
      </c>
      <c r="S7100" s="418">
        <v>900</v>
      </c>
      <c r="T7100" s="19" t="s">
        <v>94</v>
      </c>
      <c r="U7100" s="102" t="s">
        <v>1667</v>
      </c>
      <c r="V7100" s="186">
        <v>45931</v>
      </c>
      <c r="W7100" s="17" t="s">
        <v>44</v>
      </c>
      <c r="X7100" s="17"/>
      <c r="Y7100" s="68">
        <v>45962</v>
      </c>
      <c r="Z7100" s="17" t="s">
        <v>1668</v>
      </c>
      <c r="AA7100" s="17" t="s">
        <v>46</v>
      </c>
      <c r="AB7100" s="17" t="s">
        <v>1670</v>
      </c>
      <c r="AC7100" s="217">
        <v>45966</v>
      </c>
      <c r="AD7100" s="65">
        <v>1749</v>
      </c>
      <c r="AE7100" s="17" t="s">
        <v>74</v>
      </c>
      <c r="AF7100" s="17"/>
      <c r="AG7100" s="17"/>
      <c r="AH7100" s="17"/>
      <c r="AI7100" s="17"/>
      <c r="AJ7100" s="17"/>
      <c r="AK7100" s="17"/>
      <c r="AL7100" s="17"/>
      <c r="AM7100" s="17"/>
      <c r="AN7100" s="17"/>
      <c r="AO7100" s="17"/>
      <c r="AP7100" s="17"/>
      <c r="AQ7100" s="17"/>
      <c r="AR7100" s="17"/>
    </row>
    <row r="7101" s="25" customFormat="1" hidden="1" spans="1:44">
      <c r="A7101" s="17" t="s">
        <v>34</v>
      </c>
      <c r="B7101" s="19">
        <v>1095</v>
      </c>
      <c r="C7101" s="183">
        <v>45936</v>
      </c>
      <c r="D7101" s="17"/>
      <c r="E7101" s="17" t="s">
        <v>433</v>
      </c>
      <c r="F7101" s="17" t="s">
        <v>434</v>
      </c>
      <c r="G7101" s="17"/>
      <c r="H7101" s="19">
        <v>1.2738</v>
      </c>
      <c r="I7101" s="19"/>
      <c r="J7101" s="17" t="s">
        <v>82</v>
      </c>
      <c r="K7101" s="189">
        <v>625</v>
      </c>
      <c r="L7101" s="421">
        <v>75</v>
      </c>
      <c r="M7101" s="189">
        <v>970</v>
      </c>
      <c r="N7101" s="19" t="s">
        <v>66</v>
      </c>
      <c r="O7101" s="19" t="s">
        <v>98</v>
      </c>
      <c r="P7101" s="417">
        <v>380</v>
      </c>
      <c r="Q7101" s="19">
        <v>380</v>
      </c>
      <c r="R7101" s="19">
        <f t="shared" si="307"/>
        <v>0</v>
      </c>
      <c r="S7101" s="418">
        <v>900</v>
      </c>
      <c r="T7101" s="19" t="s">
        <v>94</v>
      </c>
      <c r="U7101" s="102" t="s">
        <v>1667</v>
      </c>
      <c r="V7101" s="186">
        <v>45931</v>
      </c>
      <c r="W7101" s="17" t="s">
        <v>44</v>
      </c>
      <c r="X7101" s="17"/>
      <c r="Y7101" s="68">
        <v>45962</v>
      </c>
      <c r="Z7101" s="17" t="s">
        <v>1668</v>
      </c>
      <c r="AA7101" s="17" t="s">
        <v>46</v>
      </c>
      <c r="AB7101" s="17" t="s">
        <v>1670</v>
      </c>
      <c r="AC7101" s="217">
        <v>45966</v>
      </c>
      <c r="AD7101" s="65">
        <v>1749</v>
      </c>
      <c r="AE7101" s="17" t="s">
        <v>147</v>
      </c>
      <c r="AF7101" s="17"/>
      <c r="AG7101" s="17"/>
      <c r="AH7101" s="17"/>
      <c r="AI7101" s="17"/>
      <c r="AJ7101" s="17"/>
      <c r="AK7101" s="17"/>
      <c r="AL7101" s="17"/>
      <c r="AM7101" s="17"/>
      <c r="AN7101" s="17"/>
      <c r="AO7101" s="17"/>
      <c r="AP7101" s="17"/>
      <c r="AQ7101" s="17"/>
      <c r="AR7101" s="17"/>
    </row>
    <row r="7102" s="25" customFormat="1" hidden="1" spans="1:44">
      <c r="A7102" s="17" t="s">
        <v>34</v>
      </c>
      <c r="B7102" s="19">
        <v>1095</v>
      </c>
      <c r="C7102" s="183">
        <v>45936</v>
      </c>
      <c r="D7102" s="17"/>
      <c r="E7102" s="17" t="s">
        <v>433</v>
      </c>
      <c r="F7102" s="17" t="s">
        <v>434</v>
      </c>
      <c r="G7102" s="17"/>
      <c r="H7102" s="19">
        <v>1.2738</v>
      </c>
      <c r="I7102" s="19"/>
      <c r="J7102" s="17" t="s">
        <v>82</v>
      </c>
      <c r="K7102" s="189" t="s">
        <v>1679</v>
      </c>
      <c r="L7102" s="421">
        <v>75</v>
      </c>
      <c r="M7102" s="189" t="s">
        <v>1680</v>
      </c>
      <c r="N7102" s="19" t="s">
        <v>66</v>
      </c>
      <c r="O7102" s="19" t="s">
        <v>98</v>
      </c>
      <c r="P7102" s="417">
        <v>264</v>
      </c>
      <c r="Q7102" s="290">
        <v>264</v>
      </c>
      <c r="R7102" s="19">
        <f t="shared" si="307"/>
        <v>0</v>
      </c>
      <c r="S7102" s="418">
        <v>900</v>
      </c>
      <c r="T7102" s="19" t="s">
        <v>94</v>
      </c>
      <c r="U7102" s="102" t="s">
        <v>1667</v>
      </c>
      <c r="V7102" s="186">
        <v>45931</v>
      </c>
      <c r="W7102" s="17" t="s">
        <v>44</v>
      </c>
      <c r="X7102" s="17"/>
      <c r="Y7102" s="68">
        <v>45962</v>
      </c>
      <c r="Z7102" s="17" t="s">
        <v>1668</v>
      </c>
      <c r="AA7102" s="17" t="s">
        <v>46</v>
      </c>
      <c r="AB7102" s="17" t="s">
        <v>1677</v>
      </c>
      <c r="AC7102" s="217">
        <v>45978</v>
      </c>
      <c r="AD7102" s="65">
        <v>1750</v>
      </c>
      <c r="AE7102" s="17" t="s">
        <v>48</v>
      </c>
      <c r="AF7102" s="17"/>
      <c r="AG7102" s="17"/>
      <c r="AH7102" s="17"/>
      <c r="AI7102" s="17"/>
      <c r="AJ7102" s="17"/>
      <c r="AK7102" s="17"/>
      <c r="AL7102" s="17"/>
      <c r="AM7102" s="17"/>
      <c r="AN7102" s="17"/>
      <c r="AO7102" s="17"/>
      <c r="AP7102" s="17"/>
      <c r="AQ7102" s="17"/>
      <c r="AR7102" s="17"/>
    </row>
    <row r="7103" s="25" customFormat="1" hidden="1" spans="1:44">
      <c r="A7103" s="17" t="s">
        <v>34</v>
      </c>
      <c r="B7103" s="19">
        <v>1095</v>
      </c>
      <c r="C7103" s="183">
        <v>45936</v>
      </c>
      <c r="D7103" s="17"/>
      <c r="E7103" s="17" t="s">
        <v>433</v>
      </c>
      <c r="F7103" s="17" t="s">
        <v>434</v>
      </c>
      <c r="G7103" s="17"/>
      <c r="H7103" s="19">
        <v>1.2738</v>
      </c>
      <c r="I7103" s="19"/>
      <c r="J7103" s="17" t="s">
        <v>82</v>
      </c>
      <c r="K7103" s="189" t="s">
        <v>797</v>
      </c>
      <c r="L7103" s="421">
        <v>85</v>
      </c>
      <c r="M7103" s="189" t="s">
        <v>1681</v>
      </c>
      <c r="N7103" s="19" t="s">
        <v>66</v>
      </c>
      <c r="O7103" s="19" t="s">
        <v>98</v>
      </c>
      <c r="P7103" s="417">
        <v>680</v>
      </c>
      <c r="Q7103" s="290">
        <v>680</v>
      </c>
      <c r="R7103" s="19">
        <f t="shared" si="307"/>
        <v>0</v>
      </c>
      <c r="S7103" s="418">
        <v>900</v>
      </c>
      <c r="T7103" s="19" t="s">
        <v>94</v>
      </c>
      <c r="U7103" s="102" t="s">
        <v>1667</v>
      </c>
      <c r="V7103" s="186">
        <v>45931</v>
      </c>
      <c r="W7103" s="17" t="s">
        <v>44</v>
      </c>
      <c r="X7103" s="17"/>
      <c r="Y7103" s="68">
        <v>45962</v>
      </c>
      <c r="Z7103" s="17" t="s">
        <v>1668</v>
      </c>
      <c r="AA7103" s="17" t="s">
        <v>46</v>
      </c>
      <c r="AB7103" s="17" t="s">
        <v>1677</v>
      </c>
      <c r="AC7103" s="217">
        <v>45978</v>
      </c>
      <c r="AD7103" s="65">
        <v>1750</v>
      </c>
      <c r="AE7103" s="17" t="s">
        <v>48</v>
      </c>
      <c r="AF7103" s="17"/>
      <c r="AG7103" s="17"/>
      <c r="AH7103" s="17"/>
      <c r="AI7103" s="17"/>
      <c r="AJ7103" s="17"/>
      <c r="AK7103" s="17"/>
      <c r="AL7103" s="17"/>
      <c r="AM7103" s="17"/>
      <c r="AN7103" s="17"/>
      <c r="AO7103" s="17"/>
      <c r="AP7103" s="17"/>
      <c r="AQ7103" s="17"/>
      <c r="AR7103" s="17"/>
    </row>
    <row r="7104" s="25" customFormat="1" hidden="1" spans="1:44">
      <c r="A7104" s="17" t="s">
        <v>34</v>
      </c>
      <c r="B7104" s="19">
        <v>1095</v>
      </c>
      <c r="C7104" s="183">
        <v>45936</v>
      </c>
      <c r="D7104" s="17"/>
      <c r="E7104" s="17" t="s">
        <v>433</v>
      </c>
      <c r="F7104" s="17" t="s">
        <v>434</v>
      </c>
      <c r="G7104" s="17"/>
      <c r="H7104" s="19">
        <v>1.2738</v>
      </c>
      <c r="I7104" s="19"/>
      <c r="J7104" s="17" t="s">
        <v>82</v>
      </c>
      <c r="K7104" s="189">
        <v>610</v>
      </c>
      <c r="L7104" s="421">
        <v>85</v>
      </c>
      <c r="M7104" s="189">
        <v>1770</v>
      </c>
      <c r="N7104" s="19" t="s">
        <v>66</v>
      </c>
      <c r="O7104" s="19" t="s">
        <v>98</v>
      </c>
      <c r="P7104" s="417">
        <v>730</v>
      </c>
      <c r="Q7104" s="19">
        <v>730</v>
      </c>
      <c r="R7104" s="19">
        <f t="shared" si="307"/>
        <v>0</v>
      </c>
      <c r="S7104" s="418">
        <v>900</v>
      </c>
      <c r="T7104" s="19" t="s">
        <v>94</v>
      </c>
      <c r="U7104" s="102" t="s">
        <v>1667</v>
      </c>
      <c r="V7104" s="186">
        <v>45931</v>
      </c>
      <c r="W7104" s="17" t="s">
        <v>44</v>
      </c>
      <c r="X7104" s="17"/>
      <c r="Y7104" s="68">
        <v>45962</v>
      </c>
      <c r="Z7104" s="17" t="s">
        <v>1668</v>
      </c>
      <c r="AA7104" s="17" t="s">
        <v>46</v>
      </c>
      <c r="AB7104" s="17" t="s">
        <v>1670</v>
      </c>
      <c r="AC7104" s="217">
        <v>45966</v>
      </c>
      <c r="AD7104" s="65">
        <v>1749</v>
      </c>
      <c r="AE7104" s="17" t="s">
        <v>74</v>
      </c>
      <c r="AF7104" s="17"/>
      <c r="AG7104" s="17"/>
      <c r="AH7104" s="17"/>
      <c r="AI7104" s="17"/>
      <c r="AJ7104" s="17"/>
      <c r="AK7104" s="17"/>
      <c r="AL7104" s="17"/>
      <c r="AM7104" s="17"/>
      <c r="AN7104" s="17"/>
      <c r="AO7104" s="17"/>
      <c r="AP7104" s="17"/>
      <c r="AQ7104" s="17"/>
      <c r="AR7104" s="17"/>
    </row>
    <row r="7105" s="25" customFormat="1" hidden="1" spans="1:44">
      <c r="A7105" s="17" t="s">
        <v>34</v>
      </c>
      <c r="B7105" s="19">
        <v>1095</v>
      </c>
      <c r="C7105" s="183">
        <v>45936</v>
      </c>
      <c r="D7105" s="17"/>
      <c r="E7105" s="17" t="s">
        <v>433</v>
      </c>
      <c r="F7105" s="17" t="s">
        <v>434</v>
      </c>
      <c r="G7105" s="17"/>
      <c r="H7105" s="19">
        <v>1.2738</v>
      </c>
      <c r="I7105" s="19"/>
      <c r="J7105" s="17" t="s">
        <v>82</v>
      </c>
      <c r="K7105" s="189">
        <v>680</v>
      </c>
      <c r="L7105" s="421">
        <v>85</v>
      </c>
      <c r="M7105" s="189">
        <v>1220</v>
      </c>
      <c r="N7105" s="19" t="s">
        <v>66</v>
      </c>
      <c r="O7105" s="19" t="s">
        <v>98</v>
      </c>
      <c r="P7105" s="417">
        <v>640</v>
      </c>
      <c r="Q7105" s="290">
        <v>640</v>
      </c>
      <c r="R7105" s="19">
        <f t="shared" si="307"/>
        <v>0</v>
      </c>
      <c r="S7105" s="418">
        <v>900</v>
      </c>
      <c r="T7105" s="19" t="s">
        <v>94</v>
      </c>
      <c r="U7105" s="102" t="s">
        <v>1667</v>
      </c>
      <c r="V7105" s="186">
        <v>45931</v>
      </c>
      <c r="W7105" s="17" t="s">
        <v>44</v>
      </c>
      <c r="X7105" s="17"/>
      <c r="Y7105" s="68">
        <v>45962</v>
      </c>
      <c r="Z7105" s="17" t="s">
        <v>1668</v>
      </c>
      <c r="AA7105" s="17" t="s">
        <v>46</v>
      </c>
      <c r="AB7105" s="17" t="s">
        <v>1677</v>
      </c>
      <c r="AC7105" s="217">
        <v>45978</v>
      </c>
      <c r="AD7105" s="65">
        <v>1750</v>
      </c>
      <c r="AE7105" s="17" t="s">
        <v>48</v>
      </c>
      <c r="AF7105" s="17"/>
      <c r="AG7105" s="17"/>
      <c r="AH7105" s="17"/>
      <c r="AI7105" s="17"/>
      <c r="AJ7105" s="17"/>
      <c r="AK7105" s="17"/>
      <c r="AL7105" s="17"/>
      <c r="AM7105" s="17"/>
      <c r="AN7105" s="17"/>
      <c r="AO7105" s="17"/>
      <c r="AP7105" s="17"/>
      <c r="AQ7105" s="17"/>
      <c r="AR7105" s="17"/>
    </row>
    <row r="7106" s="25" customFormat="1" hidden="1" spans="1:44">
      <c r="A7106" s="17" t="s">
        <v>34</v>
      </c>
      <c r="B7106" s="19">
        <v>1095</v>
      </c>
      <c r="C7106" s="183">
        <v>45936</v>
      </c>
      <c r="D7106" s="17"/>
      <c r="E7106" s="17" t="s">
        <v>433</v>
      </c>
      <c r="F7106" s="17" t="s">
        <v>434</v>
      </c>
      <c r="G7106" s="17"/>
      <c r="H7106" s="19">
        <v>1.2738</v>
      </c>
      <c r="I7106" s="19"/>
      <c r="J7106" s="17" t="s">
        <v>82</v>
      </c>
      <c r="K7106" s="189">
        <v>775</v>
      </c>
      <c r="L7106" s="421">
        <v>90</v>
      </c>
      <c r="M7106" s="189">
        <v>1350</v>
      </c>
      <c r="N7106" s="19" t="s">
        <v>66</v>
      </c>
      <c r="O7106" s="19" t="s">
        <v>98</v>
      </c>
      <c r="P7106" s="417">
        <v>795</v>
      </c>
      <c r="Q7106" s="19">
        <v>795</v>
      </c>
      <c r="R7106" s="19">
        <f t="shared" si="307"/>
        <v>0</v>
      </c>
      <c r="S7106" s="418">
        <v>900</v>
      </c>
      <c r="T7106" s="19" t="s">
        <v>94</v>
      </c>
      <c r="U7106" s="102" t="s">
        <v>1667</v>
      </c>
      <c r="V7106" s="186">
        <v>45931</v>
      </c>
      <c r="W7106" s="17" t="s">
        <v>44</v>
      </c>
      <c r="X7106" s="17"/>
      <c r="Y7106" s="68">
        <v>45962</v>
      </c>
      <c r="Z7106" s="17" t="s">
        <v>1668</v>
      </c>
      <c r="AA7106" s="17" t="s">
        <v>46</v>
      </c>
      <c r="AB7106" s="17" t="s">
        <v>1670</v>
      </c>
      <c r="AC7106" s="217">
        <v>45966</v>
      </c>
      <c r="AD7106" s="65">
        <v>1749</v>
      </c>
      <c r="AE7106" s="17" t="s">
        <v>74</v>
      </c>
      <c r="AF7106" s="17"/>
      <c r="AG7106" s="17"/>
      <c r="AH7106" s="17"/>
      <c r="AI7106" s="17"/>
      <c r="AJ7106" s="17"/>
      <c r="AK7106" s="17"/>
      <c r="AL7106" s="17"/>
      <c r="AM7106" s="17"/>
      <c r="AN7106" s="17"/>
      <c r="AO7106" s="17"/>
      <c r="AP7106" s="17"/>
      <c r="AQ7106" s="17"/>
      <c r="AR7106" s="17"/>
    </row>
    <row r="7107" s="25" customFormat="1" hidden="1" spans="1:44">
      <c r="A7107" s="17" t="s">
        <v>34</v>
      </c>
      <c r="B7107" s="19">
        <v>1095</v>
      </c>
      <c r="C7107" s="183">
        <v>45936</v>
      </c>
      <c r="D7107" s="17"/>
      <c r="E7107" s="17" t="s">
        <v>433</v>
      </c>
      <c r="F7107" s="17" t="s">
        <v>434</v>
      </c>
      <c r="G7107" s="17"/>
      <c r="H7107" s="19">
        <v>1.2738</v>
      </c>
      <c r="I7107" s="19"/>
      <c r="J7107" s="17" t="s">
        <v>82</v>
      </c>
      <c r="K7107" s="189">
        <v>760</v>
      </c>
      <c r="L7107" s="421">
        <v>90</v>
      </c>
      <c r="M7107" s="189">
        <v>1035</v>
      </c>
      <c r="N7107" s="19" t="s">
        <v>66</v>
      </c>
      <c r="O7107" s="19" t="s">
        <v>98</v>
      </c>
      <c r="P7107" s="417">
        <v>600</v>
      </c>
      <c r="Q7107" s="19">
        <v>600</v>
      </c>
      <c r="R7107" s="19">
        <f t="shared" si="307"/>
        <v>0</v>
      </c>
      <c r="S7107" s="418">
        <v>900</v>
      </c>
      <c r="T7107" s="19" t="s">
        <v>94</v>
      </c>
      <c r="U7107" s="102" t="s">
        <v>1667</v>
      </c>
      <c r="V7107" s="186">
        <v>45931</v>
      </c>
      <c r="W7107" s="17" t="s">
        <v>44</v>
      </c>
      <c r="X7107" s="17"/>
      <c r="Y7107" s="68">
        <v>45962</v>
      </c>
      <c r="Z7107" s="17" t="s">
        <v>1668</v>
      </c>
      <c r="AA7107" s="17" t="s">
        <v>46</v>
      </c>
      <c r="AB7107" s="17" t="s">
        <v>1670</v>
      </c>
      <c r="AC7107" s="217">
        <v>45966</v>
      </c>
      <c r="AD7107" s="65">
        <v>1749</v>
      </c>
      <c r="AE7107" s="17" t="s">
        <v>147</v>
      </c>
      <c r="AF7107" s="17"/>
      <c r="AG7107" s="17"/>
      <c r="AH7107" s="17"/>
      <c r="AI7107" s="17"/>
      <c r="AJ7107" s="17"/>
      <c r="AK7107" s="17"/>
      <c r="AL7107" s="17"/>
      <c r="AM7107" s="17"/>
      <c r="AN7107" s="17"/>
      <c r="AO7107" s="17"/>
      <c r="AP7107" s="17"/>
      <c r="AQ7107" s="17"/>
      <c r="AR7107" s="17"/>
    </row>
    <row r="7108" s="25" customFormat="1" hidden="1" spans="1:44">
      <c r="A7108" s="17" t="s">
        <v>34</v>
      </c>
      <c r="B7108" s="19">
        <v>1095</v>
      </c>
      <c r="C7108" s="183">
        <v>45936</v>
      </c>
      <c r="D7108" s="17"/>
      <c r="E7108" s="17" t="s">
        <v>433</v>
      </c>
      <c r="F7108" s="17" t="s">
        <v>434</v>
      </c>
      <c r="G7108" s="17"/>
      <c r="H7108" s="19">
        <v>1.2738</v>
      </c>
      <c r="I7108" s="19"/>
      <c r="J7108" s="17" t="s">
        <v>82</v>
      </c>
      <c r="K7108" s="189">
        <v>715</v>
      </c>
      <c r="L7108" s="421">
        <v>95</v>
      </c>
      <c r="M7108" s="189">
        <v>2440</v>
      </c>
      <c r="N7108" s="19" t="s">
        <v>66</v>
      </c>
      <c r="O7108" s="19" t="s">
        <v>98</v>
      </c>
      <c r="P7108" s="417">
        <v>1475</v>
      </c>
      <c r="Q7108" s="19">
        <v>1475</v>
      </c>
      <c r="R7108" s="19">
        <f t="shared" si="307"/>
        <v>0</v>
      </c>
      <c r="S7108" s="418">
        <v>900</v>
      </c>
      <c r="T7108" s="19" t="s">
        <v>94</v>
      </c>
      <c r="U7108" s="102" t="s">
        <v>1667</v>
      </c>
      <c r="V7108" s="186">
        <v>45931</v>
      </c>
      <c r="W7108" s="17" t="s">
        <v>44</v>
      </c>
      <c r="X7108" s="17"/>
      <c r="Y7108" s="68">
        <v>45962</v>
      </c>
      <c r="Z7108" s="17" t="s">
        <v>1668</v>
      </c>
      <c r="AA7108" s="17" t="s">
        <v>46</v>
      </c>
      <c r="AB7108" s="17" t="s">
        <v>1669</v>
      </c>
      <c r="AC7108" s="217">
        <v>45989</v>
      </c>
      <c r="AD7108" s="65">
        <v>1751</v>
      </c>
      <c r="AE7108" s="17" t="s">
        <v>48</v>
      </c>
      <c r="AF7108" s="17"/>
      <c r="AG7108" s="17"/>
      <c r="AH7108" s="17"/>
      <c r="AI7108" s="17"/>
      <c r="AJ7108" s="17"/>
      <c r="AK7108" s="17"/>
      <c r="AL7108" s="17"/>
      <c r="AM7108" s="17"/>
      <c r="AN7108" s="17"/>
      <c r="AO7108" s="17"/>
      <c r="AP7108" s="17"/>
      <c r="AQ7108" s="17"/>
      <c r="AR7108" s="17"/>
    </row>
    <row r="7109" s="25" customFormat="1" hidden="1" spans="1:44">
      <c r="A7109" s="17" t="s">
        <v>34</v>
      </c>
      <c r="B7109" s="19">
        <v>1095</v>
      </c>
      <c r="C7109" s="183">
        <v>45936</v>
      </c>
      <c r="D7109" s="17"/>
      <c r="E7109" s="17" t="s">
        <v>433</v>
      </c>
      <c r="F7109" s="17" t="s">
        <v>434</v>
      </c>
      <c r="G7109" s="17"/>
      <c r="H7109" s="19">
        <v>1.2738</v>
      </c>
      <c r="I7109" s="19"/>
      <c r="J7109" s="17" t="s">
        <v>82</v>
      </c>
      <c r="K7109" s="189">
        <v>795</v>
      </c>
      <c r="L7109" s="421">
        <v>95</v>
      </c>
      <c r="M7109" s="189">
        <v>1115</v>
      </c>
      <c r="N7109" s="19" t="s">
        <v>66</v>
      </c>
      <c r="O7109" s="19" t="s">
        <v>98</v>
      </c>
      <c r="P7109" s="417">
        <v>730</v>
      </c>
      <c r="Q7109" s="19">
        <v>730</v>
      </c>
      <c r="R7109" s="19">
        <f t="shared" si="307"/>
        <v>0</v>
      </c>
      <c r="S7109" s="418">
        <v>900</v>
      </c>
      <c r="T7109" s="19" t="s">
        <v>94</v>
      </c>
      <c r="U7109" s="102" t="s">
        <v>1667</v>
      </c>
      <c r="V7109" s="186">
        <v>45931</v>
      </c>
      <c r="W7109" s="17" t="s">
        <v>44</v>
      </c>
      <c r="X7109" s="17"/>
      <c r="Y7109" s="68">
        <v>45962</v>
      </c>
      <c r="Z7109" s="17" t="s">
        <v>1668</v>
      </c>
      <c r="AA7109" s="17" t="s">
        <v>46</v>
      </c>
      <c r="AB7109" s="17" t="s">
        <v>1670</v>
      </c>
      <c r="AC7109" s="217">
        <v>45966</v>
      </c>
      <c r="AD7109" s="65">
        <v>1749</v>
      </c>
      <c r="AE7109" s="17" t="s">
        <v>147</v>
      </c>
      <c r="AF7109" s="17"/>
      <c r="AG7109" s="17"/>
      <c r="AH7109" s="17"/>
      <c r="AI7109" s="17"/>
      <c r="AJ7109" s="17"/>
      <c r="AK7109" s="17"/>
      <c r="AL7109" s="17"/>
      <c r="AM7109" s="17"/>
      <c r="AN7109" s="17"/>
      <c r="AO7109" s="17"/>
      <c r="AP7109" s="17"/>
      <c r="AQ7109" s="17"/>
      <c r="AR7109" s="17"/>
    </row>
    <row r="7110" s="25" customFormat="1" hidden="1" spans="1:44">
      <c r="A7110" s="17" t="s">
        <v>34</v>
      </c>
      <c r="B7110" s="19">
        <v>1095</v>
      </c>
      <c r="C7110" s="183">
        <v>45936</v>
      </c>
      <c r="D7110" s="17"/>
      <c r="E7110" s="17" t="s">
        <v>433</v>
      </c>
      <c r="F7110" s="17" t="s">
        <v>434</v>
      </c>
      <c r="G7110" s="17"/>
      <c r="H7110" s="19">
        <v>1.2738</v>
      </c>
      <c r="I7110" s="19"/>
      <c r="J7110" s="17" t="s">
        <v>82</v>
      </c>
      <c r="K7110" s="189">
        <v>720</v>
      </c>
      <c r="L7110" s="421">
        <v>95</v>
      </c>
      <c r="M7110" s="189">
        <v>1085</v>
      </c>
      <c r="N7110" s="19" t="s">
        <v>66</v>
      </c>
      <c r="O7110" s="19" t="s">
        <v>98</v>
      </c>
      <c r="P7110" s="417">
        <v>705</v>
      </c>
      <c r="Q7110" s="19">
        <v>705</v>
      </c>
      <c r="R7110" s="19">
        <f t="shared" si="307"/>
        <v>0</v>
      </c>
      <c r="S7110" s="418">
        <v>900</v>
      </c>
      <c r="T7110" s="19" t="s">
        <v>94</v>
      </c>
      <c r="U7110" s="102" t="s">
        <v>1667</v>
      </c>
      <c r="V7110" s="186">
        <v>45931</v>
      </c>
      <c r="W7110" s="17" t="s">
        <v>44</v>
      </c>
      <c r="X7110" s="17"/>
      <c r="Y7110" s="68">
        <v>45962</v>
      </c>
      <c r="Z7110" s="17" t="s">
        <v>1668</v>
      </c>
      <c r="AA7110" s="17" t="s">
        <v>46</v>
      </c>
      <c r="AB7110" s="17" t="s">
        <v>1670</v>
      </c>
      <c r="AC7110" s="217">
        <v>45966</v>
      </c>
      <c r="AD7110" s="65">
        <v>1749</v>
      </c>
      <c r="AE7110" s="17" t="s">
        <v>48</v>
      </c>
      <c r="AF7110" s="17"/>
      <c r="AG7110" s="17"/>
      <c r="AH7110" s="17"/>
      <c r="AI7110" s="17"/>
      <c r="AJ7110" s="17"/>
      <c r="AK7110" s="17"/>
      <c r="AL7110" s="17"/>
      <c r="AM7110" s="17"/>
      <c r="AN7110" s="17"/>
      <c r="AO7110" s="17"/>
      <c r="AP7110" s="17"/>
      <c r="AQ7110" s="17"/>
      <c r="AR7110" s="17"/>
    </row>
    <row r="7111" s="25" customFormat="1" hidden="1" spans="1:44">
      <c r="A7111" s="17" t="s">
        <v>34</v>
      </c>
      <c r="B7111" s="19">
        <v>1095</v>
      </c>
      <c r="C7111" s="183">
        <v>45936</v>
      </c>
      <c r="D7111" s="17"/>
      <c r="E7111" s="17" t="s">
        <v>433</v>
      </c>
      <c r="F7111" s="17" t="s">
        <v>434</v>
      </c>
      <c r="G7111" s="17"/>
      <c r="H7111" s="19">
        <v>1.2738</v>
      </c>
      <c r="I7111" s="19"/>
      <c r="J7111" s="17" t="s">
        <v>82</v>
      </c>
      <c r="K7111" s="189">
        <v>610</v>
      </c>
      <c r="L7111" s="421">
        <v>95</v>
      </c>
      <c r="M7111" s="189">
        <v>1035</v>
      </c>
      <c r="N7111" s="19" t="s">
        <v>66</v>
      </c>
      <c r="O7111" s="19" t="s">
        <v>98</v>
      </c>
      <c r="P7111" s="417">
        <v>495</v>
      </c>
      <c r="Q7111" s="290">
        <v>495</v>
      </c>
      <c r="R7111" s="19">
        <f t="shared" si="307"/>
        <v>0</v>
      </c>
      <c r="S7111" s="418">
        <v>900</v>
      </c>
      <c r="T7111" s="19" t="s">
        <v>94</v>
      </c>
      <c r="U7111" s="102" t="s">
        <v>1667</v>
      </c>
      <c r="V7111" s="186">
        <v>45931</v>
      </c>
      <c r="W7111" s="17" t="s">
        <v>44</v>
      </c>
      <c r="X7111" s="17"/>
      <c r="Y7111" s="68">
        <v>45962</v>
      </c>
      <c r="Z7111" s="17" t="s">
        <v>1668</v>
      </c>
      <c r="AA7111" s="17" t="s">
        <v>46</v>
      </c>
      <c r="AB7111" s="17" t="s">
        <v>1677</v>
      </c>
      <c r="AC7111" s="217">
        <v>45978</v>
      </c>
      <c r="AD7111" s="65">
        <v>1750</v>
      </c>
      <c r="AE7111" s="17" t="s">
        <v>1674</v>
      </c>
      <c r="AF7111" s="17"/>
      <c r="AG7111" s="17"/>
      <c r="AH7111" s="17"/>
      <c r="AI7111" s="17"/>
      <c r="AJ7111" s="17"/>
      <c r="AK7111" s="17"/>
      <c r="AL7111" s="17"/>
      <c r="AM7111" s="17"/>
      <c r="AN7111" s="17"/>
      <c r="AO7111" s="17"/>
      <c r="AP7111" s="17"/>
      <c r="AQ7111" s="17"/>
      <c r="AR7111" s="17"/>
    </row>
    <row r="7112" s="25" customFormat="1" hidden="1" spans="1:44">
      <c r="A7112" s="17" t="s">
        <v>34</v>
      </c>
      <c r="B7112" s="19">
        <v>1095</v>
      </c>
      <c r="C7112" s="183">
        <v>45936</v>
      </c>
      <c r="D7112" s="17"/>
      <c r="E7112" s="17" t="s">
        <v>433</v>
      </c>
      <c r="F7112" s="17" t="s">
        <v>434</v>
      </c>
      <c r="G7112" s="17"/>
      <c r="H7112" s="19">
        <v>1.2738</v>
      </c>
      <c r="I7112" s="19"/>
      <c r="J7112" s="17" t="s">
        <v>82</v>
      </c>
      <c r="K7112" s="189">
        <v>680</v>
      </c>
      <c r="L7112" s="421">
        <v>100</v>
      </c>
      <c r="M7112" s="189">
        <v>1120</v>
      </c>
      <c r="N7112" s="19" t="s">
        <v>66</v>
      </c>
      <c r="O7112" s="19" t="s">
        <v>98</v>
      </c>
      <c r="P7112" s="417">
        <v>618</v>
      </c>
      <c r="Q7112" s="19">
        <v>618</v>
      </c>
      <c r="R7112" s="19">
        <f t="shared" si="307"/>
        <v>0</v>
      </c>
      <c r="S7112" s="418">
        <v>900</v>
      </c>
      <c r="T7112" s="19" t="s">
        <v>94</v>
      </c>
      <c r="U7112" s="102" t="s">
        <v>1667</v>
      </c>
      <c r="V7112" s="186">
        <v>45931</v>
      </c>
      <c r="W7112" s="17" t="s">
        <v>44</v>
      </c>
      <c r="X7112" s="17"/>
      <c r="Y7112" s="68">
        <v>45962</v>
      </c>
      <c r="Z7112" s="17" t="s">
        <v>1668</v>
      </c>
      <c r="AA7112" s="17" t="s">
        <v>46</v>
      </c>
      <c r="AB7112" s="17" t="s">
        <v>1670</v>
      </c>
      <c r="AC7112" s="217">
        <v>45966</v>
      </c>
      <c r="AD7112" s="65">
        <v>1749</v>
      </c>
      <c r="AE7112" s="17" t="s">
        <v>147</v>
      </c>
      <c r="AF7112" s="17"/>
      <c r="AG7112" s="17"/>
      <c r="AH7112" s="17"/>
      <c r="AI7112" s="17"/>
      <c r="AJ7112" s="17"/>
      <c r="AK7112" s="17"/>
      <c r="AL7112" s="17"/>
      <c r="AM7112" s="17"/>
      <c r="AN7112" s="17"/>
      <c r="AO7112" s="17"/>
      <c r="AP7112" s="17"/>
      <c r="AQ7112" s="17"/>
      <c r="AR7112" s="17"/>
    </row>
    <row r="7113" s="25" customFormat="1" hidden="1" spans="1:44">
      <c r="A7113" s="17" t="s">
        <v>34</v>
      </c>
      <c r="B7113" s="19">
        <v>1095</v>
      </c>
      <c r="C7113" s="183">
        <v>45936</v>
      </c>
      <c r="D7113" s="17"/>
      <c r="E7113" s="17" t="s">
        <v>433</v>
      </c>
      <c r="F7113" s="17" t="s">
        <v>434</v>
      </c>
      <c r="G7113" s="17"/>
      <c r="H7113" s="19">
        <v>1.2738</v>
      </c>
      <c r="I7113" s="19"/>
      <c r="J7113" s="17" t="s">
        <v>82</v>
      </c>
      <c r="K7113" s="189">
        <v>655</v>
      </c>
      <c r="L7113" s="421">
        <v>100</v>
      </c>
      <c r="M7113" s="189">
        <v>1160</v>
      </c>
      <c r="N7113" s="19" t="s">
        <v>66</v>
      </c>
      <c r="O7113" s="19" t="s">
        <v>98</v>
      </c>
      <c r="P7113" s="417">
        <v>602</v>
      </c>
      <c r="Q7113" s="19">
        <v>602</v>
      </c>
      <c r="R7113" s="19">
        <f t="shared" si="307"/>
        <v>0</v>
      </c>
      <c r="S7113" s="418">
        <v>900</v>
      </c>
      <c r="T7113" s="19" t="s">
        <v>94</v>
      </c>
      <c r="U7113" s="102" t="s">
        <v>1667</v>
      </c>
      <c r="V7113" s="186">
        <v>45931</v>
      </c>
      <c r="W7113" s="17" t="s">
        <v>44</v>
      </c>
      <c r="X7113" s="17"/>
      <c r="Y7113" s="68">
        <v>45962</v>
      </c>
      <c r="Z7113" s="17" t="s">
        <v>1668</v>
      </c>
      <c r="AA7113" s="17" t="s">
        <v>46</v>
      </c>
      <c r="AB7113" s="17" t="s">
        <v>1670</v>
      </c>
      <c r="AC7113" s="217">
        <v>45966</v>
      </c>
      <c r="AD7113" s="65">
        <v>1749</v>
      </c>
      <c r="AE7113" s="17" t="s">
        <v>48</v>
      </c>
      <c r="AF7113" s="17"/>
      <c r="AG7113" s="17"/>
      <c r="AH7113" s="17"/>
      <c r="AI7113" s="17"/>
      <c r="AJ7113" s="17"/>
      <c r="AK7113" s="17"/>
      <c r="AL7113" s="17"/>
      <c r="AM7113" s="17"/>
      <c r="AN7113" s="17"/>
      <c r="AO7113" s="17"/>
      <c r="AP7113" s="17"/>
      <c r="AQ7113" s="17"/>
      <c r="AR7113" s="17"/>
    </row>
    <row r="7114" s="25" customFormat="1" hidden="1" spans="1:44">
      <c r="A7114" s="17" t="s">
        <v>34</v>
      </c>
      <c r="B7114" s="19">
        <v>1095</v>
      </c>
      <c r="C7114" s="183">
        <v>45936</v>
      </c>
      <c r="D7114" s="17"/>
      <c r="E7114" s="17" t="s">
        <v>433</v>
      </c>
      <c r="F7114" s="17" t="s">
        <v>434</v>
      </c>
      <c r="G7114" s="17"/>
      <c r="H7114" s="19">
        <v>1.2738</v>
      </c>
      <c r="I7114" s="19"/>
      <c r="J7114" s="17" t="s">
        <v>82</v>
      </c>
      <c r="K7114" s="189">
        <v>560</v>
      </c>
      <c r="L7114" s="421">
        <v>105</v>
      </c>
      <c r="M7114" s="189">
        <v>1235</v>
      </c>
      <c r="N7114" s="19" t="s">
        <v>66</v>
      </c>
      <c r="O7114" s="19" t="s">
        <v>98</v>
      </c>
      <c r="P7114" s="417">
        <v>658</v>
      </c>
      <c r="Q7114" s="290">
        <v>658</v>
      </c>
      <c r="R7114" s="19">
        <f t="shared" si="307"/>
        <v>0</v>
      </c>
      <c r="S7114" s="418">
        <v>900</v>
      </c>
      <c r="T7114" s="19" t="s">
        <v>94</v>
      </c>
      <c r="U7114" s="102" t="s">
        <v>1667</v>
      </c>
      <c r="V7114" s="186">
        <v>45931</v>
      </c>
      <c r="W7114" s="17" t="s">
        <v>44</v>
      </c>
      <c r="X7114" s="17"/>
      <c r="Y7114" s="68">
        <v>45962</v>
      </c>
      <c r="Z7114" s="17" t="s">
        <v>1668</v>
      </c>
      <c r="AA7114" s="17" t="s">
        <v>46</v>
      </c>
      <c r="AB7114" s="17" t="s">
        <v>1677</v>
      </c>
      <c r="AC7114" s="217">
        <v>45978</v>
      </c>
      <c r="AD7114" s="65">
        <v>1750</v>
      </c>
      <c r="AE7114" s="17" t="s">
        <v>48</v>
      </c>
      <c r="AF7114" s="17"/>
      <c r="AG7114" s="17"/>
      <c r="AH7114" s="17"/>
      <c r="AI7114" s="17"/>
      <c r="AJ7114" s="17"/>
      <c r="AK7114" s="17"/>
      <c r="AL7114" s="17"/>
      <c r="AM7114" s="17"/>
      <c r="AN7114" s="17"/>
      <c r="AO7114" s="17"/>
      <c r="AP7114" s="17"/>
      <c r="AQ7114" s="17"/>
      <c r="AR7114" s="17"/>
    </row>
    <row r="7115" s="25" customFormat="1" hidden="1" spans="1:44">
      <c r="A7115" s="17" t="s">
        <v>34</v>
      </c>
      <c r="B7115" s="19">
        <v>1095</v>
      </c>
      <c r="C7115" s="183">
        <v>45936</v>
      </c>
      <c r="D7115" s="17"/>
      <c r="E7115" s="17" t="s">
        <v>433</v>
      </c>
      <c r="F7115" s="17" t="s">
        <v>434</v>
      </c>
      <c r="G7115" s="17"/>
      <c r="H7115" s="19">
        <v>1.2738</v>
      </c>
      <c r="I7115" s="19"/>
      <c r="J7115" s="17" t="s">
        <v>82</v>
      </c>
      <c r="K7115" s="189">
        <v>580</v>
      </c>
      <c r="L7115" s="421">
        <v>105</v>
      </c>
      <c r="M7115" s="189">
        <v>1140</v>
      </c>
      <c r="N7115" s="19" t="s">
        <v>66</v>
      </c>
      <c r="O7115" s="19" t="s">
        <v>98</v>
      </c>
      <c r="P7115" s="417">
        <v>620</v>
      </c>
      <c r="Q7115" s="290">
        <v>620</v>
      </c>
      <c r="R7115" s="19">
        <f t="shared" si="307"/>
        <v>0</v>
      </c>
      <c r="S7115" s="418">
        <v>900</v>
      </c>
      <c r="T7115" s="19" t="s">
        <v>94</v>
      </c>
      <c r="U7115" s="102" t="s">
        <v>1667</v>
      </c>
      <c r="V7115" s="186">
        <v>45931</v>
      </c>
      <c r="W7115" s="17" t="s">
        <v>44</v>
      </c>
      <c r="X7115" s="17"/>
      <c r="Y7115" s="68">
        <v>45962</v>
      </c>
      <c r="Z7115" s="17" t="s">
        <v>1668</v>
      </c>
      <c r="AA7115" s="17" t="s">
        <v>46</v>
      </c>
      <c r="AB7115" s="17" t="s">
        <v>1677</v>
      </c>
      <c r="AC7115" s="217">
        <v>45978</v>
      </c>
      <c r="AD7115" s="65">
        <v>1750</v>
      </c>
      <c r="AE7115" s="17" t="s">
        <v>48</v>
      </c>
      <c r="AF7115" s="17"/>
      <c r="AG7115" s="17"/>
      <c r="AH7115" s="17"/>
      <c r="AI7115" s="17"/>
      <c r="AJ7115" s="17"/>
      <c r="AK7115" s="17"/>
      <c r="AL7115" s="17"/>
      <c r="AM7115" s="17"/>
      <c r="AN7115" s="17"/>
      <c r="AO7115" s="17"/>
      <c r="AP7115" s="17"/>
      <c r="AQ7115" s="17"/>
      <c r="AR7115" s="17"/>
    </row>
    <row r="7116" s="25" customFormat="1" hidden="1" spans="1:44">
      <c r="A7116" s="17" t="s">
        <v>34</v>
      </c>
      <c r="B7116" s="19">
        <v>1095</v>
      </c>
      <c r="C7116" s="183">
        <v>45936</v>
      </c>
      <c r="D7116" s="17"/>
      <c r="E7116" s="17" t="s">
        <v>433</v>
      </c>
      <c r="F7116" s="17" t="s">
        <v>434</v>
      </c>
      <c r="G7116" s="17"/>
      <c r="H7116" s="19">
        <v>1.2738</v>
      </c>
      <c r="I7116" s="19"/>
      <c r="J7116" s="17" t="s">
        <v>82</v>
      </c>
      <c r="K7116" s="189">
        <v>695</v>
      </c>
      <c r="L7116" s="421">
        <v>105</v>
      </c>
      <c r="M7116" s="189">
        <v>1030</v>
      </c>
      <c r="N7116" s="19" t="s">
        <v>66</v>
      </c>
      <c r="O7116" s="19" t="s">
        <v>98</v>
      </c>
      <c r="P7116" s="417">
        <v>580</v>
      </c>
      <c r="Q7116" s="19">
        <v>580</v>
      </c>
      <c r="R7116" s="19">
        <f t="shared" si="307"/>
        <v>0</v>
      </c>
      <c r="S7116" s="418">
        <v>900</v>
      </c>
      <c r="T7116" s="19" t="s">
        <v>94</v>
      </c>
      <c r="U7116" s="102" t="s">
        <v>1667</v>
      </c>
      <c r="V7116" s="186">
        <v>45931</v>
      </c>
      <c r="W7116" s="17" t="s">
        <v>44</v>
      </c>
      <c r="X7116" s="17"/>
      <c r="Y7116" s="68">
        <v>45962</v>
      </c>
      <c r="Z7116" s="17" t="s">
        <v>1668</v>
      </c>
      <c r="AA7116" s="17" t="s">
        <v>46</v>
      </c>
      <c r="AB7116" s="17" t="s">
        <v>1670</v>
      </c>
      <c r="AC7116" s="217">
        <v>45966</v>
      </c>
      <c r="AD7116" s="65">
        <v>1749</v>
      </c>
      <c r="AE7116" s="17" t="s">
        <v>74</v>
      </c>
      <c r="AF7116" s="17"/>
      <c r="AG7116" s="17"/>
      <c r="AH7116" s="17"/>
      <c r="AI7116" s="17"/>
      <c r="AJ7116" s="17"/>
      <c r="AK7116" s="17"/>
      <c r="AL7116" s="17"/>
      <c r="AM7116" s="17"/>
      <c r="AN7116" s="17"/>
      <c r="AO7116" s="17"/>
      <c r="AP7116" s="17"/>
      <c r="AQ7116" s="17"/>
      <c r="AR7116" s="17"/>
    </row>
    <row r="7117" s="25" customFormat="1" hidden="1" spans="1:44">
      <c r="A7117" s="17" t="s">
        <v>34</v>
      </c>
      <c r="B7117" s="19">
        <v>1095</v>
      </c>
      <c r="C7117" s="183">
        <v>45936</v>
      </c>
      <c r="D7117" s="17"/>
      <c r="E7117" s="17" t="s">
        <v>433</v>
      </c>
      <c r="F7117" s="17" t="s">
        <v>434</v>
      </c>
      <c r="G7117" s="17"/>
      <c r="H7117" s="19">
        <v>1.2738</v>
      </c>
      <c r="I7117" s="19"/>
      <c r="J7117" s="17" t="s">
        <v>82</v>
      </c>
      <c r="K7117" s="189">
        <v>620</v>
      </c>
      <c r="L7117" s="421">
        <v>110</v>
      </c>
      <c r="M7117" s="189">
        <v>1700</v>
      </c>
      <c r="N7117" s="19" t="s">
        <v>66</v>
      </c>
      <c r="O7117" s="19" t="s">
        <v>98</v>
      </c>
      <c r="P7117" s="417">
        <v>965</v>
      </c>
      <c r="Q7117" s="19">
        <v>965</v>
      </c>
      <c r="R7117" s="19">
        <f t="shared" si="307"/>
        <v>0</v>
      </c>
      <c r="S7117" s="418">
        <v>900</v>
      </c>
      <c r="T7117" s="19" t="s">
        <v>94</v>
      </c>
      <c r="U7117" s="102" t="s">
        <v>1667</v>
      </c>
      <c r="V7117" s="186">
        <v>45931</v>
      </c>
      <c r="W7117" s="17" t="s">
        <v>44</v>
      </c>
      <c r="X7117" s="17"/>
      <c r="Y7117" s="68">
        <v>45962</v>
      </c>
      <c r="Z7117" s="17" t="s">
        <v>1668</v>
      </c>
      <c r="AA7117" s="17" t="s">
        <v>46</v>
      </c>
      <c r="AB7117" s="17" t="s">
        <v>1669</v>
      </c>
      <c r="AC7117" s="217">
        <v>45989</v>
      </c>
      <c r="AD7117" s="65">
        <v>1751</v>
      </c>
      <c r="AE7117" s="17" t="s">
        <v>48</v>
      </c>
      <c r="AF7117" s="17"/>
      <c r="AG7117" s="17"/>
      <c r="AH7117" s="17"/>
      <c r="AI7117" s="17"/>
      <c r="AJ7117" s="17"/>
      <c r="AK7117" s="17"/>
      <c r="AL7117" s="17"/>
      <c r="AM7117" s="17"/>
      <c r="AN7117" s="17"/>
      <c r="AO7117" s="17"/>
      <c r="AP7117" s="17"/>
      <c r="AQ7117" s="17"/>
      <c r="AR7117" s="17"/>
    </row>
    <row r="7118" s="25" customFormat="1" hidden="1" spans="1:44">
      <c r="A7118" s="17" t="s">
        <v>34</v>
      </c>
      <c r="B7118" s="19">
        <v>1095</v>
      </c>
      <c r="C7118" s="183">
        <v>45936</v>
      </c>
      <c r="D7118" s="17"/>
      <c r="E7118" s="17" t="s">
        <v>433</v>
      </c>
      <c r="F7118" s="17" t="s">
        <v>434</v>
      </c>
      <c r="G7118" s="17"/>
      <c r="H7118" s="19">
        <v>1.2738</v>
      </c>
      <c r="I7118" s="19"/>
      <c r="J7118" s="17" t="s">
        <v>82</v>
      </c>
      <c r="K7118" s="189">
        <v>750</v>
      </c>
      <c r="L7118" s="421">
        <v>110</v>
      </c>
      <c r="M7118" s="189">
        <v>750</v>
      </c>
      <c r="N7118" s="19" t="s">
        <v>66</v>
      </c>
      <c r="O7118" s="19" t="s">
        <v>98</v>
      </c>
      <c r="P7118" s="417">
        <v>560</v>
      </c>
      <c r="Q7118" s="19">
        <v>560</v>
      </c>
      <c r="R7118" s="19">
        <f t="shared" si="307"/>
        <v>0</v>
      </c>
      <c r="S7118" s="418">
        <v>900</v>
      </c>
      <c r="T7118" s="19" t="s">
        <v>94</v>
      </c>
      <c r="U7118" s="102" t="s">
        <v>1667</v>
      </c>
      <c r="V7118" s="186">
        <v>45931</v>
      </c>
      <c r="W7118" s="17" t="s">
        <v>44</v>
      </c>
      <c r="X7118" s="17"/>
      <c r="Y7118" s="68">
        <v>45962</v>
      </c>
      <c r="Z7118" s="17" t="s">
        <v>1668</v>
      </c>
      <c r="AA7118" s="17" t="s">
        <v>46</v>
      </c>
      <c r="AB7118" s="17" t="s">
        <v>1669</v>
      </c>
      <c r="AC7118" s="217">
        <v>45989</v>
      </c>
      <c r="AD7118" s="65">
        <v>1751</v>
      </c>
      <c r="AE7118" s="17" t="s">
        <v>48</v>
      </c>
      <c r="AF7118" s="17"/>
      <c r="AG7118" s="17"/>
      <c r="AH7118" s="17"/>
      <c r="AI7118" s="17"/>
      <c r="AJ7118" s="17"/>
      <c r="AK7118" s="17"/>
      <c r="AL7118" s="17"/>
      <c r="AM7118" s="17"/>
      <c r="AN7118" s="17"/>
      <c r="AO7118" s="17"/>
      <c r="AP7118" s="17"/>
      <c r="AQ7118" s="17"/>
      <c r="AR7118" s="17"/>
    </row>
    <row r="7119" s="25" customFormat="1" hidden="1" spans="1:44">
      <c r="A7119" s="17" t="s">
        <v>34</v>
      </c>
      <c r="B7119" s="19">
        <v>1095</v>
      </c>
      <c r="C7119" s="183">
        <v>45936</v>
      </c>
      <c r="D7119" s="17"/>
      <c r="E7119" s="17" t="s">
        <v>433</v>
      </c>
      <c r="F7119" s="17" t="s">
        <v>434</v>
      </c>
      <c r="G7119" s="17"/>
      <c r="H7119" s="19">
        <v>1.2738</v>
      </c>
      <c r="I7119" s="19"/>
      <c r="J7119" s="17" t="s">
        <v>82</v>
      </c>
      <c r="K7119" s="189">
        <v>795</v>
      </c>
      <c r="L7119" s="421">
        <v>115</v>
      </c>
      <c r="M7119" s="189">
        <v>1350</v>
      </c>
      <c r="N7119" s="19" t="s">
        <v>66</v>
      </c>
      <c r="O7119" s="19" t="s">
        <v>98</v>
      </c>
      <c r="P7119" s="417">
        <v>980</v>
      </c>
      <c r="Q7119" s="19">
        <v>980</v>
      </c>
      <c r="R7119" s="19">
        <f t="shared" si="307"/>
        <v>0</v>
      </c>
      <c r="S7119" s="418">
        <v>900</v>
      </c>
      <c r="T7119" s="19" t="s">
        <v>94</v>
      </c>
      <c r="U7119" s="102" t="s">
        <v>1667</v>
      </c>
      <c r="V7119" s="186">
        <v>45931</v>
      </c>
      <c r="W7119" s="17" t="s">
        <v>44</v>
      </c>
      <c r="X7119" s="17"/>
      <c r="Y7119" s="68">
        <v>45962</v>
      </c>
      <c r="Z7119" s="17" t="s">
        <v>1668</v>
      </c>
      <c r="AA7119" s="17" t="s">
        <v>46</v>
      </c>
      <c r="AB7119" s="17" t="s">
        <v>1669</v>
      </c>
      <c r="AC7119" s="217">
        <v>45989</v>
      </c>
      <c r="AD7119" s="65">
        <v>1751</v>
      </c>
      <c r="AE7119" s="17" t="s">
        <v>48</v>
      </c>
      <c r="AF7119" s="17"/>
      <c r="AG7119" s="17"/>
      <c r="AH7119" s="17"/>
      <c r="AI7119" s="17"/>
      <c r="AJ7119" s="17"/>
      <c r="AK7119" s="17"/>
      <c r="AL7119" s="17"/>
      <c r="AM7119" s="17"/>
      <c r="AN7119" s="17"/>
      <c r="AO7119" s="17"/>
      <c r="AP7119" s="17"/>
      <c r="AQ7119" s="17"/>
      <c r="AR7119" s="17"/>
    </row>
    <row r="7120" s="25" customFormat="1" hidden="1" spans="1:44">
      <c r="A7120" s="17" t="s">
        <v>34</v>
      </c>
      <c r="B7120" s="19">
        <v>1095</v>
      </c>
      <c r="C7120" s="183">
        <v>45936</v>
      </c>
      <c r="D7120" s="17"/>
      <c r="E7120" s="17" t="s">
        <v>433</v>
      </c>
      <c r="F7120" s="17" t="s">
        <v>434</v>
      </c>
      <c r="G7120" s="17"/>
      <c r="H7120" s="19">
        <v>1.2738</v>
      </c>
      <c r="I7120" s="19"/>
      <c r="J7120" s="17" t="s">
        <v>82</v>
      </c>
      <c r="K7120" s="189">
        <v>785</v>
      </c>
      <c r="L7120" s="421">
        <v>115</v>
      </c>
      <c r="M7120" s="189">
        <v>1265</v>
      </c>
      <c r="N7120" s="19" t="s">
        <v>66</v>
      </c>
      <c r="O7120" s="19" t="s">
        <v>98</v>
      </c>
      <c r="P7120" s="417">
        <v>975</v>
      </c>
      <c r="Q7120" s="19">
        <v>975</v>
      </c>
      <c r="R7120" s="19">
        <f t="shared" si="307"/>
        <v>0</v>
      </c>
      <c r="S7120" s="418">
        <v>900</v>
      </c>
      <c r="T7120" s="19" t="s">
        <v>94</v>
      </c>
      <c r="U7120" s="102" t="s">
        <v>1667</v>
      </c>
      <c r="V7120" s="186">
        <v>45931</v>
      </c>
      <c r="W7120" s="17" t="s">
        <v>44</v>
      </c>
      <c r="X7120" s="17"/>
      <c r="Y7120" s="68">
        <v>45962</v>
      </c>
      <c r="Z7120" s="17" t="s">
        <v>1668</v>
      </c>
      <c r="AA7120" s="17" t="s">
        <v>46</v>
      </c>
      <c r="AB7120" s="17" t="s">
        <v>1669</v>
      </c>
      <c r="AC7120" s="217">
        <v>45989</v>
      </c>
      <c r="AD7120" s="65">
        <v>1751</v>
      </c>
      <c r="AE7120" s="17" t="s">
        <v>48</v>
      </c>
      <c r="AF7120" s="17"/>
      <c r="AG7120" s="17"/>
      <c r="AH7120" s="17"/>
      <c r="AI7120" s="17"/>
      <c r="AJ7120" s="17"/>
      <c r="AK7120" s="17"/>
      <c r="AL7120" s="17"/>
      <c r="AM7120" s="17"/>
      <c r="AN7120" s="17"/>
      <c r="AO7120" s="17"/>
      <c r="AP7120" s="17"/>
      <c r="AQ7120" s="17"/>
      <c r="AR7120" s="17"/>
    </row>
    <row r="7121" s="25" customFormat="1" hidden="1" spans="1:44">
      <c r="A7121" s="17" t="s">
        <v>34</v>
      </c>
      <c r="B7121" s="19">
        <v>1095</v>
      </c>
      <c r="C7121" s="183">
        <v>45936</v>
      </c>
      <c r="D7121" s="17"/>
      <c r="E7121" s="17" t="s">
        <v>433</v>
      </c>
      <c r="F7121" s="17" t="s">
        <v>434</v>
      </c>
      <c r="G7121" s="17"/>
      <c r="H7121" s="19">
        <v>1.2738</v>
      </c>
      <c r="I7121" s="19"/>
      <c r="J7121" s="17" t="s">
        <v>82</v>
      </c>
      <c r="K7121" s="189">
        <v>620</v>
      </c>
      <c r="L7121" s="421">
        <v>115</v>
      </c>
      <c r="M7121" s="189">
        <v>1150</v>
      </c>
      <c r="N7121" s="19" t="s">
        <v>66</v>
      </c>
      <c r="O7121" s="19" t="s">
        <v>98</v>
      </c>
      <c r="P7121" s="417">
        <v>662</v>
      </c>
      <c r="Q7121" s="290">
        <v>662</v>
      </c>
      <c r="R7121" s="19">
        <f t="shared" si="307"/>
        <v>0</v>
      </c>
      <c r="S7121" s="418">
        <v>900</v>
      </c>
      <c r="T7121" s="19" t="s">
        <v>94</v>
      </c>
      <c r="U7121" s="102" t="s">
        <v>1667</v>
      </c>
      <c r="V7121" s="186">
        <v>45931</v>
      </c>
      <c r="W7121" s="17" t="s">
        <v>44</v>
      </c>
      <c r="X7121" s="17"/>
      <c r="Y7121" s="68">
        <v>45962</v>
      </c>
      <c r="Z7121" s="17" t="s">
        <v>1668</v>
      </c>
      <c r="AA7121" s="17" t="s">
        <v>46</v>
      </c>
      <c r="AB7121" s="17" t="s">
        <v>1677</v>
      </c>
      <c r="AC7121" s="217">
        <v>45978</v>
      </c>
      <c r="AD7121" s="65">
        <v>1750</v>
      </c>
      <c r="AE7121" s="17" t="s">
        <v>1674</v>
      </c>
      <c r="AF7121" s="17"/>
      <c r="AG7121" s="17"/>
      <c r="AH7121" s="17"/>
      <c r="AI7121" s="17"/>
      <c r="AJ7121" s="17"/>
      <c r="AK7121" s="17"/>
      <c r="AL7121" s="17"/>
      <c r="AM7121" s="17"/>
      <c r="AN7121" s="17"/>
      <c r="AO7121" s="17"/>
      <c r="AP7121" s="17"/>
      <c r="AQ7121" s="17"/>
      <c r="AR7121" s="17"/>
    </row>
    <row r="7122" s="25" customFormat="1" hidden="1" spans="1:44">
      <c r="A7122" s="17" t="s">
        <v>34</v>
      </c>
      <c r="B7122" s="19">
        <v>1095</v>
      </c>
      <c r="C7122" s="183">
        <v>45936</v>
      </c>
      <c r="D7122" s="17"/>
      <c r="E7122" s="17" t="s">
        <v>433</v>
      </c>
      <c r="F7122" s="17" t="s">
        <v>434</v>
      </c>
      <c r="G7122" s="17"/>
      <c r="H7122" s="19">
        <v>1.2738</v>
      </c>
      <c r="I7122" s="19"/>
      <c r="J7122" s="17" t="s">
        <v>82</v>
      </c>
      <c r="K7122" s="189">
        <v>785</v>
      </c>
      <c r="L7122" s="421">
        <v>115</v>
      </c>
      <c r="M7122" s="189">
        <v>840</v>
      </c>
      <c r="N7122" s="19" t="s">
        <v>66</v>
      </c>
      <c r="O7122" s="19" t="s">
        <v>98</v>
      </c>
      <c r="P7122" s="417">
        <v>594</v>
      </c>
      <c r="Q7122" s="19">
        <v>594</v>
      </c>
      <c r="R7122" s="19">
        <f t="shared" si="307"/>
        <v>0</v>
      </c>
      <c r="S7122" s="418">
        <v>900</v>
      </c>
      <c r="T7122" s="19" t="s">
        <v>94</v>
      </c>
      <c r="U7122" s="102" t="s">
        <v>1667</v>
      </c>
      <c r="V7122" s="186">
        <v>45931</v>
      </c>
      <c r="W7122" s="17" t="s">
        <v>44</v>
      </c>
      <c r="X7122" s="17"/>
      <c r="Y7122" s="68">
        <v>45962</v>
      </c>
      <c r="Z7122" s="17" t="s">
        <v>1668</v>
      </c>
      <c r="AA7122" s="17" t="s">
        <v>46</v>
      </c>
      <c r="AB7122" s="17" t="s">
        <v>1670</v>
      </c>
      <c r="AC7122" s="217">
        <v>45966</v>
      </c>
      <c r="AD7122" s="65">
        <v>1749</v>
      </c>
      <c r="AE7122" s="17" t="s">
        <v>147</v>
      </c>
      <c r="AF7122" s="17"/>
      <c r="AG7122" s="17"/>
      <c r="AH7122" s="17"/>
      <c r="AI7122" s="17"/>
      <c r="AJ7122" s="17"/>
      <c r="AK7122" s="17"/>
      <c r="AL7122" s="17"/>
      <c r="AM7122" s="17"/>
      <c r="AN7122" s="17"/>
      <c r="AO7122" s="17"/>
      <c r="AP7122" s="17"/>
      <c r="AQ7122" s="17"/>
      <c r="AR7122" s="17"/>
    </row>
    <row r="7123" s="25" customFormat="1" hidden="1" spans="1:44">
      <c r="A7123" s="17" t="s">
        <v>34</v>
      </c>
      <c r="B7123" s="19">
        <v>1095</v>
      </c>
      <c r="C7123" s="183">
        <v>45936</v>
      </c>
      <c r="D7123" s="17"/>
      <c r="E7123" s="17" t="s">
        <v>433</v>
      </c>
      <c r="F7123" s="17" t="s">
        <v>434</v>
      </c>
      <c r="G7123" s="17"/>
      <c r="H7123" s="19">
        <v>1.2738</v>
      </c>
      <c r="I7123" s="19"/>
      <c r="J7123" s="17" t="s">
        <v>82</v>
      </c>
      <c r="K7123" s="189">
        <v>630</v>
      </c>
      <c r="L7123" s="421">
        <v>115</v>
      </c>
      <c r="M7123" s="189">
        <v>925</v>
      </c>
      <c r="N7123" s="19" t="s">
        <v>66</v>
      </c>
      <c r="O7123" s="19" t="s">
        <v>98</v>
      </c>
      <c r="P7123" s="417">
        <v>548</v>
      </c>
      <c r="Q7123" s="290">
        <v>548</v>
      </c>
      <c r="R7123" s="19">
        <f t="shared" si="307"/>
        <v>0</v>
      </c>
      <c r="S7123" s="418">
        <v>900</v>
      </c>
      <c r="T7123" s="19" t="s">
        <v>94</v>
      </c>
      <c r="U7123" s="102" t="s">
        <v>1667</v>
      </c>
      <c r="V7123" s="186">
        <v>45931</v>
      </c>
      <c r="W7123" s="17" t="s">
        <v>44</v>
      </c>
      <c r="X7123" s="17"/>
      <c r="Y7123" s="68">
        <v>45962</v>
      </c>
      <c r="Z7123" s="17" t="s">
        <v>1668</v>
      </c>
      <c r="AA7123" s="17" t="s">
        <v>46</v>
      </c>
      <c r="AB7123" s="17" t="s">
        <v>1677</v>
      </c>
      <c r="AC7123" s="217">
        <v>45978</v>
      </c>
      <c r="AD7123" s="65">
        <v>1750</v>
      </c>
      <c r="AE7123" s="17" t="s">
        <v>48</v>
      </c>
      <c r="AF7123" s="17"/>
      <c r="AG7123" s="17"/>
      <c r="AH7123" s="17"/>
      <c r="AI7123" s="17"/>
      <c r="AJ7123" s="17"/>
      <c r="AK7123" s="17"/>
      <c r="AL7123" s="17"/>
      <c r="AM7123" s="17"/>
      <c r="AN7123" s="17"/>
      <c r="AO7123" s="17"/>
      <c r="AP7123" s="17"/>
      <c r="AQ7123" s="17"/>
      <c r="AR7123" s="17"/>
    </row>
    <row r="7124" s="25" customFormat="1" hidden="1" spans="1:44">
      <c r="A7124" s="17" t="s">
        <v>34</v>
      </c>
      <c r="B7124" s="19">
        <v>1095</v>
      </c>
      <c r="C7124" s="183">
        <v>45936</v>
      </c>
      <c r="D7124" s="17"/>
      <c r="E7124" s="17" t="s">
        <v>433</v>
      </c>
      <c r="F7124" s="17" t="s">
        <v>434</v>
      </c>
      <c r="G7124" s="17"/>
      <c r="H7124" s="19">
        <v>1.2738</v>
      </c>
      <c r="I7124" s="19"/>
      <c r="J7124" s="17" t="s">
        <v>82</v>
      </c>
      <c r="K7124" s="189">
        <v>610</v>
      </c>
      <c r="L7124" s="421">
        <v>120</v>
      </c>
      <c r="M7124" s="189">
        <v>2020</v>
      </c>
      <c r="N7124" s="19" t="s">
        <v>66</v>
      </c>
      <c r="O7124" s="19" t="s">
        <v>98</v>
      </c>
      <c r="P7124" s="417">
        <v>1205</v>
      </c>
      <c r="Q7124" s="19">
        <v>1205</v>
      </c>
      <c r="R7124" s="19">
        <f t="shared" si="307"/>
        <v>0</v>
      </c>
      <c r="S7124" s="418">
        <v>900</v>
      </c>
      <c r="T7124" s="19" t="s">
        <v>94</v>
      </c>
      <c r="U7124" s="102" t="s">
        <v>1667</v>
      </c>
      <c r="V7124" s="186">
        <v>45931</v>
      </c>
      <c r="W7124" s="17" t="s">
        <v>44</v>
      </c>
      <c r="X7124" s="17"/>
      <c r="Y7124" s="68">
        <v>45962</v>
      </c>
      <c r="Z7124" s="17" t="s">
        <v>1668</v>
      </c>
      <c r="AA7124" s="17" t="s">
        <v>46</v>
      </c>
      <c r="AB7124" s="17" t="s">
        <v>1669</v>
      </c>
      <c r="AC7124" s="217">
        <v>45989</v>
      </c>
      <c r="AD7124" s="65">
        <v>1751</v>
      </c>
      <c r="AE7124" s="17" t="s">
        <v>48</v>
      </c>
      <c r="AF7124" s="17"/>
      <c r="AG7124" s="17"/>
      <c r="AH7124" s="17"/>
      <c r="AI7124" s="17"/>
      <c r="AJ7124" s="17"/>
      <c r="AK7124" s="17"/>
      <c r="AL7124" s="17"/>
      <c r="AM7124" s="17"/>
      <c r="AN7124" s="17"/>
      <c r="AO7124" s="17"/>
      <c r="AP7124" s="17"/>
      <c r="AQ7124" s="17"/>
      <c r="AR7124" s="17"/>
    </row>
    <row r="7125" s="25" customFormat="1" hidden="1" spans="1:44">
      <c r="A7125" s="17" t="s">
        <v>34</v>
      </c>
      <c r="B7125" s="19">
        <v>1095</v>
      </c>
      <c r="C7125" s="183">
        <v>45936</v>
      </c>
      <c r="D7125" s="17"/>
      <c r="E7125" s="17" t="s">
        <v>433</v>
      </c>
      <c r="F7125" s="17" t="s">
        <v>434</v>
      </c>
      <c r="G7125" s="17"/>
      <c r="H7125" s="19">
        <v>1.2738</v>
      </c>
      <c r="I7125" s="19"/>
      <c r="J7125" s="17" t="s">
        <v>82</v>
      </c>
      <c r="K7125" s="189">
        <v>700</v>
      </c>
      <c r="L7125" s="421">
        <v>120</v>
      </c>
      <c r="M7125" s="189">
        <v>1165</v>
      </c>
      <c r="N7125" s="19" t="s">
        <v>66</v>
      </c>
      <c r="O7125" s="19" t="s">
        <v>98</v>
      </c>
      <c r="P7125" s="417">
        <v>766</v>
      </c>
      <c r="Q7125" s="290">
        <v>766</v>
      </c>
      <c r="R7125" s="19">
        <f t="shared" si="307"/>
        <v>0</v>
      </c>
      <c r="S7125" s="418">
        <v>900</v>
      </c>
      <c r="T7125" s="19" t="s">
        <v>94</v>
      </c>
      <c r="U7125" s="102" t="s">
        <v>1667</v>
      </c>
      <c r="V7125" s="186">
        <v>45931</v>
      </c>
      <c r="W7125" s="17" t="s">
        <v>44</v>
      </c>
      <c r="X7125" s="17"/>
      <c r="Y7125" s="68">
        <v>45962</v>
      </c>
      <c r="Z7125" s="17" t="s">
        <v>1668</v>
      </c>
      <c r="AA7125" s="17" t="s">
        <v>46</v>
      </c>
      <c r="AB7125" s="17" t="s">
        <v>1677</v>
      </c>
      <c r="AC7125" s="217">
        <v>45978</v>
      </c>
      <c r="AD7125" s="65">
        <v>1750</v>
      </c>
      <c r="AE7125" s="17" t="s">
        <v>48</v>
      </c>
      <c r="AF7125" s="17"/>
      <c r="AG7125" s="17"/>
      <c r="AH7125" s="17"/>
      <c r="AI7125" s="17"/>
      <c r="AJ7125" s="17"/>
      <c r="AK7125" s="17"/>
      <c r="AL7125" s="17"/>
      <c r="AM7125" s="17"/>
      <c r="AN7125" s="17"/>
      <c r="AO7125" s="17"/>
      <c r="AP7125" s="17"/>
      <c r="AQ7125" s="17"/>
      <c r="AR7125" s="17"/>
    </row>
    <row r="7126" s="25" customFormat="1" hidden="1" spans="1:44">
      <c r="A7126" s="17" t="s">
        <v>34</v>
      </c>
      <c r="B7126" s="19">
        <v>1095</v>
      </c>
      <c r="C7126" s="183">
        <v>45936</v>
      </c>
      <c r="D7126" s="17"/>
      <c r="E7126" s="17" t="s">
        <v>433</v>
      </c>
      <c r="F7126" s="17" t="s">
        <v>434</v>
      </c>
      <c r="G7126" s="17"/>
      <c r="H7126" s="19">
        <v>1.2738</v>
      </c>
      <c r="I7126" s="19"/>
      <c r="J7126" s="17" t="s">
        <v>82</v>
      </c>
      <c r="K7126" s="189">
        <v>800</v>
      </c>
      <c r="L7126" s="421">
        <v>120</v>
      </c>
      <c r="M7126" s="189">
        <v>890</v>
      </c>
      <c r="N7126" s="19" t="s">
        <v>66</v>
      </c>
      <c r="O7126" s="19" t="s">
        <v>98</v>
      </c>
      <c r="P7126" s="417">
        <v>692</v>
      </c>
      <c r="Q7126" s="19">
        <v>692</v>
      </c>
      <c r="R7126" s="19">
        <f t="shared" si="307"/>
        <v>0</v>
      </c>
      <c r="S7126" s="418">
        <v>900</v>
      </c>
      <c r="T7126" s="19" t="s">
        <v>94</v>
      </c>
      <c r="U7126" s="102" t="s">
        <v>1667</v>
      </c>
      <c r="V7126" s="186">
        <v>45931</v>
      </c>
      <c r="W7126" s="17" t="s">
        <v>44</v>
      </c>
      <c r="X7126" s="17"/>
      <c r="Y7126" s="68">
        <v>45962</v>
      </c>
      <c r="Z7126" s="17" t="s">
        <v>1668</v>
      </c>
      <c r="AA7126" s="17" t="s">
        <v>46</v>
      </c>
      <c r="AB7126" s="17" t="s">
        <v>1670</v>
      </c>
      <c r="AC7126" s="217">
        <v>45966</v>
      </c>
      <c r="AD7126" s="65">
        <v>1749</v>
      </c>
      <c r="AE7126" s="17" t="s">
        <v>74</v>
      </c>
      <c r="AF7126" s="17"/>
      <c r="AG7126" s="17"/>
      <c r="AH7126" s="17"/>
      <c r="AI7126" s="17"/>
      <c r="AJ7126" s="17"/>
      <c r="AK7126" s="17"/>
      <c r="AL7126" s="17"/>
      <c r="AM7126" s="17"/>
      <c r="AN7126" s="17"/>
      <c r="AO7126" s="17"/>
      <c r="AP7126" s="17"/>
      <c r="AQ7126" s="17"/>
      <c r="AR7126" s="17"/>
    </row>
    <row r="7127" s="25" customFormat="1" hidden="1" spans="1:44">
      <c r="A7127" s="17" t="s">
        <v>34</v>
      </c>
      <c r="B7127" s="19">
        <v>1095</v>
      </c>
      <c r="C7127" s="183">
        <v>45936</v>
      </c>
      <c r="D7127" s="17"/>
      <c r="E7127" s="17" t="s">
        <v>433</v>
      </c>
      <c r="F7127" s="17" t="s">
        <v>434</v>
      </c>
      <c r="G7127" s="17"/>
      <c r="H7127" s="19">
        <v>1.2738</v>
      </c>
      <c r="I7127" s="19"/>
      <c r="J7127" s="17" t="s">
        <v>82</v>
      </c>
      <c r="K7127" s="189">
        <v>740</v>
      </c>
      <c r="L7127" s="421">
        <v>120</v>
      </c>
      <c r="M7127" s="189">
        <v>935</v>
      </c>
      <c r="N7127" s="19" t="s">
        <v>66</v>
      </c>
      <c r="O7127" s="19" t="s">
        <v>98</v>
      </c>
      <c r="P7127" s="417">
        <v>650</v>
      </c>
      <c r="Q7127" s="19">
        <v>650</v>
      </c>
      <c r="R7127" s="19">
        <f t="shared" si="307"/>
        <v>0</v>
      </c>
      <c r="S7127" s="418">
        <v>900</v>
      </c>
      <c r="T7127" s="19" t="s">
        <v>94</v>
      </c>
      <c r="U7127" s="102" t="s">
        <v>1667</v>
      </c>
      <c r="V7127" s="186">
        <v>45931</v>
      </c>
      <c r="W7127" s="17" t="s">
        <v>44</v>
      </c>
      <c r="X7127" s="17"/>
      <c r="Y7127" s="68">
        <v>45962</v>
      </c>
      <c r="Z7127" s="17" t="s">
        <v>1668</v>
      </c>
      <c r="AA7127" s="17" t="s">
        <v>46</v>
      </c>
      <c r="AB7127" s="17" t="s">
        <v>1670</v>
      </c>
      <c r="AC7127" s="217">
        <v>45966</v>
      </c>
      <c r="AD7127" s="65">
        <v>1749</v>
      </c>
      <c r="AE7127" s="17" t="s">
        <v>147</v>
      </c>
      <c r="AF7127" s="17"/>
      <c r="AG7127" s="17"/>
      <c r="AH7127" s="17"/>
      <c r="AI7127" s="17"/>
      <c r="AJ7127" s="17"/>
      <c r="AK7127" s="17"/>
      <c r="AL7127" s="17"/>
      <c r="AM7127" s="17"/>
      <c r="AN7127" s="17"/>
      <c r="AO7127" s="17"/>
      <c r="AP7127" s="17"/>
      <c r="AQ7127" s="17"/>
      <c r="AR7127" s="17"/>
    </row>
    <row r="7128" s="25" customFormat="1" hidden="1" spans="1:44">
      <c r="A7128" s="17" t="s">
        <v>34</v>
      </c>
      <c r="B7128" s="19">
        <v>1095</v>
      </c>
      <c r="C7128" s="183">
        <v>45936</v>
      </c>
      <c r="D7128" s="17"/>
      <c r="E7128" s="17" t="s">
        <v>433</v>
      </c>
      <c r="F7128" s="17" t="s">
        <v>434</v>
      </c>
      <c r="G7128" s="17"/>
      <c r="H7128" s="19">
        <v>1.2738</v>
      </c>
      <c r="I7128" s="19"/>
      <c r="J7128" s="17" t="s">
        <v>82</v>
      </c>
      <c r="K7128" s="189">
        <v>610</v>
      </c>
      <c r="L7128" s="421">
        <v>125</v>
      </c>
      <c r="M7128" s="189">
        <v>740</v>
      </c>
      <c r="N7128" s="19" t="s">
        <v>66</v>
      </c>
      <c r="O7128" s="19" t="s">
        <v>98</v>
      </c>
      <c r="P7128" s="417">
        <v>466</v>
      </c>
      <c r="Q7128" s="19">
        <v>466</v>
      </c>
      <c r="R7128" s="19">
        <f t="shared" si="307"/>
        <v>0</v>
      </c>
      <c r="S7128" s="418">
        <v>900</v>
      </c>
      <c r="T7128" s="19" t="s">
        <v>94</v>
      </c>
      <c r="U7128" s="102" t="s">
        <v>1667</v>
      </c>
      <c r="V7128" s="186">
        <v>45931</v>
      </c>
      <c r="W7128" s="17" t="s">
        <v>44</v>
      </c>
      <c r="X7128" s="17"/>
      <c r="Y7128" s="68">
        <v>45962</v>
      </c>
      <c r="Z7128" s="17" t="s">
        <v>1668</v>
      </c>
      <c r="AA7128" s="17" t="s">
        <v>46</v>
      </c>
      <c r="AB7128" s="17" t="s">
        <v>1669</v>
      </c>
      <c r="AC7128" s="217">
        <v>45989</v>
      </c>
      <c r="AD7128" s="65">
        <v>1751</v>
      </c>
      <c r="AE7128" s="17" t="s">
        <v>48</v>
      </c>
      <c r="AF7128" s="17"/>
      <c r="AG7128" s="17"/>
      <c r="AH7128" s="17"/>
      <c r="AI7128" s="17"/>
      <c r="AJ7128" s="17"/>
      <c r="AK7128" s="17"/>
      <c r="AL7128" s="17"/>
      <c r="AM7128" s="17"/>
      <c r="AN7128" s="17"/>
      <c r="AO7128" s="17"/>
      <c r="AP7128" s="17"/>
      <c r="AQ7128" s="17"/>
      <c r="AR7128" s="17"/>
    </row>
    <row r="7129" s="25" customFormat="1" hidden="1" spans="1:44">
      <c r="A7129" s="17" t="s">
        <v>34</v>
      </c>
      <c r="B7129" s="19">
        <v>1095</v>
      </c>
      <c r="C7129" s="183">
        <v>45936</v>
      </c>
      <c r="D7129" s="17"/>
      <c r="E7129" s="17" t="s">
        <v>433</v>
      </c>
      <c r="F7129" s="17" t="s">
        <v>434</v>
      </c>
      <c r="G7129" s="17"/>
      <c r="H7129" s="19">
        <v>1.2738</v>
      </c>
      <c r="I7129" s="19"/>
      <c r="J7129" s="17" t="s">
        <v>82</v>
      </c>
      <c r="K7129" s="189">
        <v>740</v>
      </c>
      <c r="L7129" s="421">
        <v>130</v>
      </c>
      <c r="M7129" s="189">
        <v>1470</v>
      </c>
      <c r="N7129" s="19" t="s">
        <v>66</v>
      </c>
      <c r="O7129" s="19" t="s">
        <v>98</v>
      </c>
      <c r="P7129" s="417">
        <v>1268</v>
      </c>
      <c r="Q7129" s="290">
        <v>1268</v>
      </c>
      <c r="R7129" s="19">
        <f t="shared" si="307"/>
        <v>0</v>
      </c>
      <c r="S7129" s="418">
        <v>900</v>
      </c>
      <c r="T7129" s="19" t="s">
        <v>94</v>
      </c>
      <c r="U7129" s="102" t="s">
        <v>1667</v>
      </c>
      <c r="V7129" s="186">
        <v>45931</v>
      </c>
      <c r="W7129" s="17" t="s">
        <v>44</v>
      </c>
      <c r="X7129" s="17"/>
      <c r="Y7129" s="68">
        <v>45962</v>
      </c>
      <c r="Z7129" s="17" t="s">
        <v>1668</v>
      </c>
      <c r="AA7129" s="17" t="s">
        <v>46</v>
      </c>
      <c r="AB7129" s="17" t="s">
        <v>1677</v>
      </c>
      <c r="AC7129" s="217">
        <v>45978</v>
      </c>
      <c r="AD7129" s="65">
        <v>1750</v>
      </c>
      <c r="AE7129" s="17" t="s">
        <v>48</v>
      </c>
      <c r="AF7129" s="17"/>
      <c r="AG7129" s="17"/>
      <c r="AH7129" s="17"/>
      <c r="AI7129" s="17"/>
      <c r="AJ7129" s="17"/>
      <c r="AK7129" s="17"/>
      <c r="AL7129" s="17"/>
      <c r="AM7129" s="17"/>
      <c r="AN7129" s="17"/>
      <c r="AO7129" s="17"/>
      <c r="AP7129" s="17"/>
      <c r="AQ7129" s="17"/>
      <c r="AR7129" s="17"/>
    </row>
    <row r="7130" s="25" customFormat="1" hidden="1" spans="1:44">
      <c r="A7130" s="17" t="s">
        <v>34</v>
      </c>
      <c r="B7130" s="19">
        <v>1095</v>
      </c>
      <c r="C7130" s="183">
        <v>45936</v>
      </c>
      <c r="D7130" s="17"/>
      <c r="E7130" s="17" t="s">
        <v>433</v>
      </c>
      <c r="F7130" s="17" t="s">
        <v>434</v>
      </c>
      <c r="G7130" s="17"/>
      <c r="H7130" s="19">
        <v>1.2738</v>
      </c>
      <c r="I7130" s="19"/>
      <c r="J7130" s="17" t="s">
        <v>82</v>
      </c>
      <c r="K7130" s="189">
        <v>645</v>
      </c>
      <c r="L7130" s="421">
        <v>130</v>
      </c>
      <c r="M7130" s="189">
        <v>1620</v>
      </c>
      <c r="N7130" s="19" t="s">
        <v>66</v>
      </c>
      <c r="O7130" s="19" t="s">
        <v>98</v>
      </c>
      <c r="P7130" s="417">
        <v>1140</v>
      </c>
      <c r="Q7130" s="290">
        <v>1140</v>
      </c>
      <c r="R7130" s="19">
        <f t="shared" si="307"/>
        <v>0</v>
      </c>
      <c r="S7130" s="418">
        <v>900</v>
      </c>
      <c r="T7130" s="19" t="s">
        <v>94</v>
      </c>
      <c r="U7130" s="102" t="s">
        <v>1667</v>
      </c>
      <c r="V7130" s="186">
        <v>45931</v>
      </c>
      <c r="W7130" s="17" t="s">
        <v>44</v>
      </c>
      <c r="X7130" s="17"/>
      <c r="Y7130" s="68">
        <v>45962</v>
      </c>
      <c r="Z7130" s="17" t="s">
        <v>1668</v>
      </c>
      <c r="AA7130" s="17" t="s">
        <v>46</v>
      </c>
      <c r="AB7130" s="17" t="s">
        <v>1677</v>
      </c>
      <c r="AC7130" s="217">
        <v>45978</v>
      </c>
      <c r="AD7130" s="65">
        <v>1750</v>
      </c>
      <c r="AE7130" s="17" t="s">
        <v>48</v>
      </c>
      <c r="AF7130" s="17"/>
      <c r="AG7130" s="17"/>
      <c r="AH7130" s="17"/>
      <c r="AI7130" s="17"/>
      <c r="AJ7130" s="17"/>
      <c r="AK7130" s="17"/>
      <c r="AL7130" s="17"/>
      <c r="AM7130" s="17"/>
      <c r="AN7130" s="17"/>
      <c r="AO7130" s="17"/>
      <c r="AP7130" s="17"/>
      <c r="AQ7130" s="17"/>
      <c r="AR7130" s="17"/>
    </row>
    <row r="7131" s="25" customFormat="1" hidden="1" spans="1:44">
      <c r="A7131" s="17" t="s">
        <v>34</v>
      </c>
      <c r="B7131" s="19">
        <v>1095</v>
      </c>
      <c r="C7131" s="183">
        <v>45936</v>
      </c>
      <c r="D7131" s="17"/>
      <c r="E7131" s="17" t="s">
        <v>433</v>
      </c>
      <c r="F7131" s="17" t="s">
        <v>434</v>
      </c>
      <c r="G7131" s="17"/>
      <c r="H7131" s="19">
        <v>1.2738</v>
      </c>
      <c r="I7131" s="19"/>
      <c r="J7131" s="17" t="s">
        <v>82</v>
      </c>
      <c r="K7131" s="189">
        <v>610</v>
      </c>
      <c r="L7131" s="421">
        <v>130</v>
      </c>
      <c r="M7131" s="189">
        <v>1200</v>
      </c>
      <c r="N7131" s="19" t="s">
        <v>66</v>
      </c>
      <c r="O7131" s="19" t="s">
        <v>98</v>
      </c>
      <c r="P7131" s="417">
        <v>775</v>
      </c>
      <c r="Q7131" s="19">
        <v>775</v>
      </c>
      <c r="R7131" s="19">
        <f t="shared" si="307"/>
        <v>0</v>
      </c>
      <c r="S7131" s="418">
        <v>900</v>
      </c>
      <c r="T7131" s="19" t="s">
        <v>94</v>
      </c>
      <c r="U7131" s="102" t="s">
        <v>1667</v>
      </c>
      <c r="V7131" s="186">
        <v>45931</v>
      </c>
      <c r="W7131" s="17" t="s">
        <v>44</v>
      </c>
      <c r="X7131" s="17"/>
      <c r="Y7131" s="68">
        <v>45962</v>
      </c>
      <c r="Z7131" s="17" t="s">
        <v>1668</v>
      </c>
      <c r="AA7131" s="17" t="s">
        <v>46</v>
      </c>
      <c r="AB7131" s="17" t="s">
        <v>1670</v>
      </c>
      <c r="AC7131" s="217">
        <v>45966</v>
      </c>
      <c r="AD7131" s="65">
        <v>1749</v>
      </c>
      <c r="AE7131" s="17" t="s">
        <v>147</v>
      </c>
      <c r="AF7131" s="17"/>
      <c r="AG7131" s="17"/>
      <c r="AH7131" s="17"/>
      <c r="AI7131" s="17"/>
      <c r="AJ7131" s="17"/>
      <c r="AK7131" s="17"/>
      <c r="AL7131" s="17"/>
      <c r="AM7131" s="17"/>
      <c r="AN7131" s="17"/>
      <c r="AO7131" s="17"/>
      <c r="AP7131" s="17"/>
      <c r="AQ7131" s="17"/>
      <c r="AR7131" s="17"/>
    </row>
    <row r="7132" s="25" customFormat="1" hidden="1" spans="1:44">
      <c r="A7132" s="17" t="s">
        <v>34</v>
      </c>
      <c r="B7132" s="19">
        <v>1095</v>
      </c>
      <c r="C7132" s="183">
        <v>45936</v>
      </c>
      <c r="D7132" s="17"/>
      <c r="E7132" s="17" t="s">
        <v>433</v>
      </c>
      <c r="F7132" s="17" t="s">
        <v>434</v>
      </c>
      <c r="G7132" s="17"/>
      <c r="H7132" s="19">
        <v>1.2738</v>
      </c>
      <c r="I7132" s="19"/>
      <c r="J7132" s="17" t="s">
        <v>82</v>
      </c>
      <c r="K7132" s="189">
        <v>735</v>
      </c>
      <c r="L7132" s="421">
        <v>130</v>
      </c>
      <c r="M7132" s="189">
        <v>960</v>
      </c>
      <c r="N7132" s="19" t="s">
        <v>66</v>
      </c>
      <c r="O7132" s="19" t="s">
        <v>98</v>
      </c>
      <c r="P7132" s="417">
        <v>738</v>
      </c>
      <c r="Q7132" s="19">
        <v>738</v>
      </c>
      <c r="R7132" s="19">
        <f t="shared" si="307"/>
        <v>0</v>
      </c>
      <c r="S7132" s="418">
        <v>900</v>
      </c>
      <c r="T7132" s="19" t="s">
        <v>94</v>
      </c>
      <c r="U7132" s="102" t="s">
        <v>1667</v>
      </c>
      <c r="V7132" s="186">
        <v>45931</v>
      </c>
      <c r="W7132" s="17" t="s">
        <v>44</v>
      </c>
      <c r="X7132" s="17"/>
      <c r="Y7132" s="68">
        <v>45962</v>
      </c>
      <c r="Z7132" s="17" t="s">
        <v>1668</v>
      </c>
      <c r="AA7132" s="17" t="s">
        <v>46</v>
      </c>
      <c r="AB7132" s="17" t="s">
        <v>1670</v>
      </c>
      <c r="AC7132" s="217">
        <v>45966</v>
      </c>
      <c r="AD7132" s="65">
        <v>1749</v>
      </c>
      <c r="AE7132" s="17" t="s">
        <v>74</v>
      </c>
      <c r="AF7132" s="17"/>
      <c r="AG7132" s="17"/>
      <c r="AH7132" s="17"/>
      <c r="AI7132" s="17"/>
      <c r="AJ7132" s="17"/>
      <c r="AK7132" s="17"/>
      <c r="AL7132" s="17"/>
      <c r="AM7132" s="17"/>
      <c r="AN7132" s="17"/>
      <c r="AO7132" s="17"/>
      <c r="AP7132" s="17"/>
      <c r="AQ7132" s="17"/>
      <c r="AR7132" s="17"/>
    </row>
    <row r="7133" s="25" customFormat="1" hidden="1" spans="1:44">
      <c r="A7133" s="17" t="s">
        <v>34</v>
      </c>
      <c r="B7133" s="19">
        <v>1095</v>
      </c>
      <c r="C7133" s="183">
        <v>45936</v>
      </c>
      <c r="D7133" s="17"/>
      <c r="E7133" s="17" t="s">
        <v>433</v>
      </c>
      <c r="F7133" s="17" t="s">
        <v>434</v>
      </c>
      <c r="G7133" s="17"/>
      <c r="H7133" s="19">
        <v>1.2738</v>
      </c>
      <c r="I7133" s="19"/>
      <c r="J7133" s="17" t="s">
        <v>82</v>
      </c>
      <c r="K7133" s="189">
        <v>610</v>
      </c>
      <c r="L7133" s="421">
        <v>130</v>
      </c>
      <c r="M7133" s="189">
        <v>1005</v>
      </c>
      <c r="N7133" s="19" t="s">
        <v>66</v>
      </c>
      <c r="O7133" s="19" t="s">
        <v>98</v>
      </c>
      <c r="P7133" s="417">
        <v>625</v>
      </c>
      <c r="Q7133" s="290">
        <v>625</v>
      </c>
      <c r="R7133" s="19">
        <f t="shared" si="307"/>
        <v>0</v>
      </c>
      <c r="S7133" s="418">
        <v>900</v>
      </c>
      <c r="T7133" s="19" t="s">
        <v>94</v>
      </c>
      <c r="U7133" s="102" t="s">
        <v>1667</v>
      </c>
      <c r="V7133" s="186">
        <v>45931</v>
      </c>
      <c r="W7133" s="17" t="s">
        <v>44</v>
      </c>
      <c r="X7133" s="17"/>
      <c r="Y7133" s="68">
        <v>45962</v>
      </c>
      <c r="Z7133" s="17" t="s">
        <v>1668</v>
      </c>
      <c r="AA7133" s="17" t="s">
        <v>46</v>
      </c>
      <c r="AB7133" s="17" t="s">
        <v>1677</v>
      </c>
      <c r="AC7133" s="217">
        <v>45978</v>
      </c>
      <c r="AD7133" s="65">
        <v>1750</v>
      </c>
      <c r="AE7133" s="17" t="s">
        <v>48</v>
      </c>
      <c r="AF7133" s="17"/>
      <c r="AG7133" s="17"/>
      <c r="AH7133" s="17"/>
      <c r="AI7133" s="17"/>
      <c r="AJ7133" s="17"/>
      <c r="AK7133" s="17"/>
      <c r="AL7133" s="17"/>
      <c r="AM7133" s="17"/>
      <c r="AN7133" s="17"/>
      <c r="AO7133" s="17"/>
      <c r="AP7133" s="17"/>
      <c r="AQ7133" s="17"/>
      <c r="AR7133" s="17"/>
    </row>
    <row r="7134" s="25" customFormat="1" hidden="1" spans="1:44">
      <c r="A7134" s="17" t="s">
        <v>34</v>
      </c>
      <c r="B7134" s="19">
        <v>1095</v>
      </c>
      <c r="C7134" s="183">
        <v>45936</v>
      </c>
      <c r="D7134" s="17"/>
      <c r="E7134" s="17" t="s">
        <v>433</v>
      </c>
      <c r="F7134" s="17" t="s">
        <v>434</v>
      </c>
      <c r="G7134" s="17"/>
      <c r="H7134" s="19">
        <v>1.2738</v>
      </c>
      <c r="I7134" s="19"/>
      <c r="J7134" s="17" t="s">
        <v>82</v>
      </c>
      <c r="K7134" s="189">
        <v>655</v>
      </c>
      <c r="L7134" s="421">
        <v>130</v>
      </c>
      <c r="M7134" s="189">
        <v>660</v>
      </c>
      <c r="N7134" s="19" t="s">
        <v>66</v>
      </c>
      <c r="O7134" s="19" t="s">
        <v>98</v>
      </c>
      <c r="P7134" s="417">
        <v>444</v>
      </c>
      <c r="Q7134" s="19">
        <v>444</v>
      </c>
      <c r="R7134" s="19">
        <f t="shared" si="307"/>
        <v>0</v>
      </c>
      <c r="S7134" s="418">
        <v>900</v>
      </c>
      <c r="T7134" s="19" t="s">
        <v>94</v>
      </c>
      <c r="U7134" s="102" t="s">
        <v>1667</v>
      </c>
      <c r="V7134" s="186">
        <v>45931</v>
      </c>
      <c r="W7134" s="17" t="s">
        <v>44</v>
      </c>
      <c r="X7134" s="17"/>
      <c r="Y7134" s="68">
        <v>45962</v>
      </c>
      <c r="Z7134" s="17" t="s">
        <v>1668</v>
      </c>
      <c r="AA7134" s="17" t="s">
        <v>46</v>
      </c>
      <c r="AB7134" s="17" t="s">
        <v>1670</v>
      </c>
      <c r="AC7134" s="217">
        <v>45966</v>
      </c>
      <c r="AD7134" s="65">
        <v>1749</v>
      </c>
      <c r="AE7134" s="17" t="s">
        <v>48</v>
      </c>
      <c r="AF7134" s="17"/>
      <c r="AG7134" s="17"/>
      <c r="AH7134" s="17"/>
      <c r="AI7134" s="17"/>
      <c r="AJ7134" s="17"/>
      <c r="AK7134" s="17"/>
      <c r="AL7134" s="17"/>
      <c r="AM7134" s="17"/>
      <c r="AN7134" s="17"/>
      <c r="AO7134" s="17"/>
      <c r="AP7134" s="17"/>
      <c r="AQ7134" s="17"/>
      <c r="AR7134" s="17"/>
    </row>
    <row r="7135" s="25" customFormat="1" hidden="1" spans="1:44">
      <c r="A7135" s="17" t="s">
        <v>34</v>
      </c>
      <c r="B7135" s="19">
        <v>1095</v>
      </c>
      <c r="C7135" s="183">
        <v>45936</v>
      </c>
      <c r="D7135" s="17"/>
      <c r="E7135" s="17" t="s">
        <v>433</v>
      </c>
      <c r="F7135" s="17" t="s">
        <v>434</v>
      </c>
      <c r="G7135" s="17"/>
      <c r="H7135" s="19">
        <v>1.2738</v>
      </c>
      <c r="I7135" s="19"/>
      <c r="J7135" s="17" t="s">
        <v>82</v>
      </c>
      <c r="K7135" s="189">
        <v>630</v>
      </c>
      <c r="L7135" s="421">
        <v>140</v>
      </c>
      <c r="M7135" s="189">
        <v>1810</v>
      </c>
      <c r="N7135" s="19" t="s">
        <v>66</v>
      </c>
      <c r="O7135" s="19" t="s">
        <v>98</v>
      </c>
      <c r="P7135" s="417">
        <v>1318</v>
      </c>
      <c r="Q7135" s="19">
        <v>1318</v>
      </c>
      <c r="R7135" s="19">
        <f t="shared" si="307"/>
        <v>0</v>
      </c>
      <c r="S7135" s="418">
        <v>900</v>
      </c>
      <c r="T7135" s="19" t="s">
        <v>94</v>
      </c>
      <c r="U7135" s="102" t="s">
        <v>1667</v>
      </c>
      <c r="V7135" s="186">
        <v>45931</v>
      </c>
      <c r="W7135" s="17" t="s">
        <v>44</v>
      </c>
      <c r="X7135" s="17"/>
      <c r="Y7135" s="68">
        <v>45962</v>
      </c>
      <c r="Z7135" s="17" t="s">
        <v>1668</v>
      </c>
      <c r="AA7135" s="17" t="s">
        <v>46</v>
      </c>
      <c r="AB7135" s="17" t="s">
        <v>1669</v>
      </c>
      <c r="AC7135" s="217">
        <v>45989</v>
      </c>
      <c r="AD7135" s="65">
        <v>1751</v>
      </c>
      <c r="AE7135" s="17" t="s">
        <v>48</v>
      </c>
      <c r="AF7135" s="17"/>
      <c r="AG7135" s="17"/>
      <c r="AH7135" s="17"/>
      <c r="AI7135" s="17"/>
      <c r="AJ7135" s="17"/>
      <c r="AK7135" s="17"/>
      <c r="AL7135" s="17"/>
      <c r="AM7135" s="17"/>
      <c r="AN7135" s="17"/>
      <c r="AO7135" s="17"/>
      <c r="AP7135" s="17"/>
      <c r="AQ7135" s="17"/>
      <c r="AR7135" s="17"/>
    </row>
    <row r="7136" s="25" customFormat="1" hidden="1" spans="1:44">
      <c r="A7136" s="17" t="s">
        <v>34</v>
      </c>
      <c r="B7136" s="19">
        <v>1095</v>
      </c>
      <c r="C7136" s="183">
        <v>45936</v>
      </c>
      <c r="D7136" s="17"/>
      <c r="E7136" s="17" t="s">
        <v>433</v>
      </c>
      <c r="F7136" s="17" t="s">
        <v>434</v>
      </c>
      <c r="G7136" s="17"/>
      <c r="H7136" s="19">
        <v>1.2738</v>
      </c>
      <c r="I7136" s="19"/>
      <c r="J7136" s="17" t="s">
        <v>82</v>
      </c>
      <c r="K7136" s="189">
        <v>610</v>
      </c>
      <c r="L7136" s="421">
        <v>140</v>
      </c>
      <c r="M7136" s="189">
        <v>1615</v>
      </c>
      <c r="N7136" s="19" t="s">
        <v>66</v>
      </c>
      <c r="O7136" s="19" t="s">
        <v>98</v>
      </c>
      <c r="P7136" s="417">
        <v>1130</v>
      </c>
      <c r="Q7136" s="290">
        <v>1130</v>
      </c>
      <c r="R7136" s="19">
        <f t="shared" si="307"/>
        <v>0</v>
      </c>
      <c r="S7136" s="418">
        <v>900</v>
      </c>
      <c r="T7136" s="19" t="s">
        <v>94</v>
      </c>
      <c r="U7136" s="102" t="s">
        <v>1667</v>
      </c>
      <c r="V7136" s="186">
        <v>45931</v>
      </c>
      <c r="W7136" s="17" t="s">
        <v>44</v>
      </c>
      <c r="X7136" s="17"/>
      <c r="Y7136" s="68">
        <v>45962</v>
      </c>
      <c r="Z7136" s="17" t="s">
        <v>1668</v>
      </c>
      <c r="AA7136" s="17" t="s">
        <v>46</v>
      </c>
      <c r="AB7136" s="17" t="s">
        <v>1677</v>
      </c>
      <c r="AC7136" s="217">
        <v>45978</v>
      </c>
      <c r="AD7136" s="65">
        <v>1750</v>
      </c>
      <c r="AE7136" s="17" t="s">
        <v>48</v>
      </c>
      <c r="AF7136" s="17"/>
      <c r="AG7136" s="17"/>
      <c r="AH7136" s="17"/>
      <c r="AI7136" s="17"/>
      <c r="AJ7136" s="17"/>
      <c r="AK7136" s="17"/>
      <c r="AL7136" s="17"/>
      <c r="AM7136" s="17"/>
      <c r="AN7136" s="17"/>
      <c r="AO7136" s="17"/>
      <c r="AP7136" s="17"/>
      <c r="AQ7136" s="17"/>
      <c r="AR7136" s="17"/>
    </row>
    <row r="7137" s="25" customFormat="1" hidden="1" spans="1:44">
      <c r="A7137" s="17" t="s">
        <v>34</v>
      </c>
      <c r="B7137" s="19">
        <v>1095</v>
      </c>
      <c r="C7137" s="183">
        <v>45936</v>
      </c>
      <c r="D7137" s="17"/>
      <c r="E7137" s="17" t="s">
        <v>433</v>
      </c>
      <c r="F7137" s="17" t="s">
        <v>434</v>
      </c>
      <c r="G7137" s="17"/>
      <c r="H7137" s="19">
        <v>1.2738</v>
      </c>
      <c r="I7137" s="19"/>
      <c r="J7137" s="17" t="s">
        <v>82</v>
      </c>
      <c r="K7137" s="189">
        <v>710</v>
      </c>
      <c r="L7137" s="421">
        <v>140</v>
      </c>
      <c r="M7137" s="189">
        <v>1320</v>
      </c>
      <c r="N7137" s="19" t="s">
        <v>66</v>
      </c>
      <c r="O7137" s="19" t="s">
        <v>98</v>
      </c>
      <c r="P7137" s="417">
        <v>1110</v>
      </c>
      <c r="Q7137" s="19">
        <v>1110</v>
      </c>
      <c r="R7137" s="19">
        <f t="shared" si="307"/>
        <v>0</v>
      </c>
      <c r="S7137" s="418">
        <v>900</v>
      </c>
      <c r="T7137" s="19" t="s">
        <v>94</v>
      </c>
      <c r="U7137" s="102" t="s">
        <v>1667</v>
      </c>
      <c r="V7137" s="186">
        <v>45931</v>
      </c>
      <c r="W7137" s="17" t="s">
        <v>44</v>
      </c>
      <c r="X7137" s="17"/>
      <c r="Y7137" s="68">
        <v>45962</v>
      </c>
      <c r="Z7137" s="17" t="s">
        <v>1668</v>
      </c>
      <c r="AA7137" s="17" t="s">
        <v>46</v>
      </c>
      <c r="AB7137" s="17" t="s">
        <v>1670</v>
      </c>
      <c r="AC7137" s="217">
        <v>45966</v>
      </c>
      <c r="AD7137" s="65">
        <v>1749</v>
      </c>
      <c r="AE7137" s="17" t="s">
        <v>147</v>
      </c>
      <c r="AF7137" s="17"/>
      <c r="AG7137" s="17"/>
      <c r="AH7137" s="17"/>
      <c r="AI7137" s="17"/>
      <c r="AJ7137" s="17"/>
      <c r="AK7137" s="17"/>
      <c r="AL7137" s="17"/>
      <c r="AM7137" s="17"/>
      <c r="AN7137" s="17"/>
      <c r="AO7137" s="17"/>
      <c r="AP7137" s="17"/>
      <c r="AQ7137" s="17"/>
      <c r="AR7137" s="17"/>
    </row>
    <row r="7138" s="25" customFormat="1" hidden="1" spans="1:44">
      <c r="A7138" s="17" t="s">
        <v>34</v>
      </c>
      <c r="B7138" s="19">
        <v>1095</v>
      </c>
      <c r="C7138" s="183">
        <v>45936</v>
      </c>
      <c r="D7138" s="17"/>
      <c r="E7138" s="17" t="s">
        <v>433</v>
      </c>
      <c r="F7138" s="17" t="s">
        <v>434</v>
      </c>
      <c r="G7138" s="17"/>
      <c r="H7138" s="19">
        <v>1.2738</v>
      </c>
      <c r="I7138" s="19"/>
      <c r="J7138" s="17" t="s">
        <v>82</v>
      </c>
      <c r="K7138" s="189">
        <v>610</v>
      </c>
      <c r="L7138" s="421">
        <v>140</v>
      </c>
      <c r="M7138" s="189">
        <v>1630</v>
      </c>
      <c r="N7138" s="19" t="s">
        <v>66</v>
      </c>
      <c r="O7138" s="19" t="s">
        <v>98</v>
      </c>
      <c r="P7138" s="417">
        <v>1075</v>
      </c>
      <c r="Q7138" s="290">
        <v>1075</v>
      </c>
      <c r="R7138" s="19">
        <f t="shared" si="307"/>
        <v>0</v>
      </c>
      <c r="S7138" s="418">
        <v>900</v>
      </c>
      <c r="T7138" s="19" t="s">
        <v>94</v>
      </c>
      <c r="U7138" s="102" t="s">
        <v>1667</v>
      </c>
      <c r="V7138" s="186">
        <v>45931</v>
      </c>
      <c r="W7138" s="17" t="s">
        <v>44</v>
      </c>
      <c r="X7138" s="17"/>
      <c r="Y7138" s="68">
        <v>45962</v>
      </c>
      <c r="Z7138" s="17" t="s">
        <v>1668</v>
      </c>
      <c r="AA7138" s="17" t="s">
        <v>46</v>
      </c>
      <c r="AB7138" s="17" t="s">
        <v>1677</v>
      </c>
      <c r="AC7138" s="217">
        <v>45978</v>
      </c>
      <c r="AD7138" s="65">
        <v>1750</v>
      </c>
      <c r="AE7138" s="17" t="s">
        <v>1674</v>
      </c>
      <c r="AF7138" s="17"/>
      <c r="AG7138" s="17"/>
      <c r="AH7138" s="17"/>
      <c r="AI7138" s="17"/>
      <c r="AJ7138" s="17"/>
      <c r="AK7138" s="17"/>
      <c r="AL7138" s="17"/>
      <c r="AM7138" s="17"/>
      <c r="AN7138" s="17"/>
      <c r="AO7138" s="17"/>
      <c r="AP7138" s="17"/>
      <c r="AQ7138" s="17"/>
      <c r="AR7138" s="17"/>
    </row>
    <row r="7139" s="25" customFormat="1" hidden="1" spans="1:44">
      <c r="A7139" s="17" t="s">
        <v>34</v>
      </c>
      <c r="B7139" s="19">
        <v>1095</v>
      </c>
      <c r="C7139" s="183">
        <v>45936</v>
      </c>
      <c r="D7139" s="17"/>
      <c r="E7139" s="17" t="s">
        <v>433</v>
      </c>
      <c r="F7139" s="17" t="s">
        <v>434</v>
      </c>
      <c r="G7139" s="17"/>
      <c r="H7139" s="19">
        <v>1.2738</v>
      </c>
      <c r="I7139" s="19"/>
      <c r="J7139" s="17" t="s">
        <v>82</v>
      </c>
      <c r="K7139" s="189">
        <v>700</v>
      </c>
      <c r="L7139" s="421">
        <v>140</v>
      </c>
      <c r="M7139" s="189">
        <v>1110</v>
      </c>
      <c r="N7139" s="19" t="s">
        <v>66</v>
      </c>
      <c r="O7139" s="19" t="s">
        <v>98</v>
      </c>
      <c r="P7139" s="417">
        <v>880</v>
      </c>
      <c r="Q7139" s="19">
        <v>880</v>
      </c>
      <c r="R7139" s="19">
        <f t="shared" si="307"/>
        <v>0</v>
      </c>
      <c r="S7139" s="418">
        <v>900</v>
      </c>
      <c r="T7139" s="19" t="s">
        <v>94</v>
      </c>
      <c r="U7139" s="102" t="s">
        <v>1667</v>
      </c>
      <c r="V7139" s="186">
        <v>45931</v>
      </c>
      <c r="W7139" s="17" t="s">
        <v>44</v>
      </c>
      <c r="X7139" s="17"/>
      <c r="Y7139" s="68">
        <v>45962</v>
      </c>
      <c r="Z7139" s="17" t="s">
        <v>1668</v>
      </c>
      <c r="AA7139" s="17" t="s">
        <v>46</v>
      </c>
      <c r="AB7139" s="17" t="s">
        <v>1669</v>
      </c>
      <c r="AC7139" s="217">
        <v>45989</v>
      </c>
      <c r="AD7139" s="65">
        <v>1751</v>
      </c>
      <c r="AE7139" s="17" t="s">
        <v>48</v>
      </c>
      <c r="AF7139" s="17"/>
      <c r="AG7139" s="17"/>
      <c r="AH7139" s="17"/>
      <c r="AI7139" s="17"/>
      <c r="AJ7139" s="17"/>
      <c r="AK7139" s="17"/>
      <c r="AL7139" s="17"/>
      <c r="AM7139" s="17"/>
      <c r="AN7139" s="17"/>
      <c r="AO7139" s="17"/>
      <c r="AP7139" s="17"/>
      <c r="AQ7139" s="17"/>
      <c r="AR7139" s="17"/>
    </row>
    <row r="7140" s="25" customFormat="1" hidden="1" spans="1:44">
      <c r="A7140" s="17" t="s">
        <v>34</v>
      </c>
      <c r="B7140" s="19">
        <v>1095</v>
      </c>
      <c r="C7140" s="183">
        <v>45936</v>
      </c>
      <c r="D7140" s="17"/>
      <c r="E7140" s="17" t="s">
        <v>433</v>
      </c>
      <c r="F7140" s="17" t="s">
        <v>434</v>
      </c>
      <c r="G7140" s="17"/>
      <c r="H7140" s="19">
        <v>1.2738</v>
      </c>
      <c r="I7140" s="19"/>
      <c r="J7140" s="17" t="s">
        <v>82</v>
      </c>
      <c r="K7140" s="189">
        <v>630</v>
      </c>
      <c r="L7140" s="421">
        <v>140</v>
      </c>
      <c r="M7140" s="189">
        <v>1140</v>
      </c>
      <c r="N7140" s="19" t="s">
        <v>66</v>
      </c>
      <c r="O7140" s="19" t="s">
        <v>98</v>
      </c>
      <c r="P7140" s="417">
        <v>870</v>
      </c>
      <c r="Q7140" s="290">
        <v>870</v>
      </c>
      <c r="R7140" s="19">
        <f t="shared" si="307"/>
        <v>0</v>
      </c>
      <c r="S7140" s="418">
        <v>900</v>
      </c>
      <c r="T7140" s="19" t="s">
        <v>94</v>
      </c>
      <c r="U7140" s="102" t="s">
        <v>1667</v>
      </c>
      <c r="V7140" s="186">
        <v>45931</v>
      </c>
      <c r="W7140" s="17" t="s">
        <v>44</v>
      </c>
      <c r="X7140" s="17"/>
      <c r="Y7140" s="68">
        <v>45962</v>
      </c>
      <c r="Z7140" s="17" t="s">
        <v>1668</v>
      </c>
      <c r="AA7140" s="17" t="s">
        <v>46</v>
      </c>
      <c r="AB7140" s="17" t="s">
        <v>1677</v>
      </c>
      <c r="AC7140" s="217">
        <v>45978</v>
      </c>
      <c r="AD7140" s="65">
        <v>1750</v>
      </c>
      <c r="AE7140" s="17" t="s">
        <v>48</v>
      </c>
      <c r="AF7140" s="17"/>
      <c r="AG7140" s="17"/>
      <c r="AH7140" s="17"/>
      <c r="AI7140" s="17"/>
      <c r="AJ7140" s="17"/>
      <c r="AK7140" s="17"/>
      <c r="AL7140" s="17"/>
      <c r="AM7140" s="17"/>
      <c r="AN7140" s="17"/>
      <c r="AO7140" s="17"/>
      <c r="AP7140" s="17"/>
      <c r="AQ7140" s="17"/>
      <c r="AR7140" s="17"/>
    </row>
    <row r="7141" s="25" customFormat="1" hidden="1" spans="1:44">
      <c r="A7141" s="17" t="s">
        <v>34</v>
      </c>
      <c r="B7141" s="19">
        <v>1095</v>
      </c>
      <c r="C7141" s="183">
        <v>45936</v>
      </c>
      <c r="D7141" s="17"/>
      <c r="E7141" s="17" t="s">
        <v>433</v>
      </c>
      <c r="F7141" s="17" t="s">
        <v>434</v>
      </c>
      <c r="G7141" s="17"/>
      <c r="H7141" s="19">
        <v>1.2738</v>
      </c>
      <c r="I7141" s="19"/>
      <c r="J7141" s="17" t="s">
        <v>82</v>
      </c>
      <c r="K7141" s="189">
        <v>780</v>
      </c>
      <c r="L7141" s="421">
        <v>140</v>
      </c>
      <c r="M7141" s="189">
        <v>930</v>
      </c>
      <c r="N7141" s="19" t="s">
        <v>66</v>
      </c>
      <c r="O7141" s="19" t="s">
        <v>98</v>
      </c>
      <c r="P7141" s="417">
        <v>855</v>
      </c>
      <c r="Q7141" s="19">
        <v>855</v>
      </c>
      <c r="R7141" s="19">
        <f t="shared" si="307"/>
        <v>0</v>
      </c>
      <c r="S7141" s="418">
        <v>900</v>
      </c>
      <c r="T7141" s="19" t="s">
        <v>94</v>
      </c>
      <c r="U7141" s="102" t="s">
        <v>1667</v>
      </c>
      <c r="V7141" s="186">
        <v>45931</v>
      </c>
      <c r="W7141" s="17" t="s">
        <v>44</v>
      </c>
      <c r="X7141" s="17"/>
      <c r="Y7141" s="68">
        <v>45962</v>
      </c>
      <c r="Z7141" s="17" t="s">
        <v>1668</v>
      </c>
      <c r="AA7141" s="17" t="s">
        <v>46</v>
      </c>
      <c r="AB7141" s="17" t="s">
        <v>1670</v>
      </c>
      <c r="AC7141" s="217">
        <v>45966</v>
      </c>
      <c r="AD7141" s="65">
        <v>1749</v>
      </c>
      <c r="AE7141" s="17" t="s">
        <v>74</v>
      </c>
      <c r="AF7141" s="17"/>
      <c r="AG7141" s="17"/>
      <c r="AH7141" s="17"/>
      <c r="AI7141" s="17"/>
      <c r="AJ7141" s="17"/>
      <c r="AK7141" s="17"/>
      <c r="AL7141" s="17"/>
      <c r="AM7141" s="17"/>
      <c r="AN7141" s="17"/>
      <c r="AO7141" s="17"/>
      <c r="AP7141" s="17"/>
      <c r="AQ7141" s="17"/>
      <c r="AR7141" s="17"/>
    </row>
    <row r="7142" s="25" customFormat="1" hidden="1" spans="1:44">
      <c r="A7142" s="17" t="s">
        <v>34</v>
      </c>
      <c r="B7142" s="19">
        <v>1095</v>
      </c>
      <c r="C7142" s="183">
        <v>45936</v>
      </c>
      <c r="D7142" s="17"/>
      <c r="E7142" s="17" t="s">
        <v>433</v>
      </c>
      <c r="F7142" s="17" t="s">
        <v>434</v>
      </c>
      <c r="G7142" s="17"/>
      <c r="H7142" s="19">
        <v>1.2738</v>
      </c>
      <c r="I7142" s="19"/>
      <c r="J7142" s="17" t="s">
        <v>82</v>
      </c>
      <c r="K7142" s="189">
        <v>630</v>
      </c>
      <c r="L7142" s="421">
        <v>140</v>
      </c>
      <c r="M7142" s="189">
        <v>1140</v>
      </c>
      <c r="N7142" s="19" t="s">
        <v>66</v>
      </c>
      <c r="O7142" s="19" t="s">
        <v>98</v>
      </c>
      <c r="P7142" s="417">
        <v>830</v>
      </c>
      <c r="Q7142" s="290">
        <v>830</v>
      </c>
      <c r="R7142" s="19">
        <f t="shared" si="307"/>
        <v>0</v>
      </c>
      <c r="S7142" s="418">
        <v>900</v>
      </c>
      <c r="T7142" s="19" t="s">
        <v>94</v>
      </c>
      <c r="U7142" s="102" t="s">
        <v>1667</v>
      </c>
      <c r="V7142" s="186">
        <v>45931</v>
      </c>
      <c r="W7142" s="17" t="s">
        <v>44</v>
      </c>
      <c r="X7142" s="17"/>
      <c r="Y7142" s="68">
        <v>45962</v>
      </c>
      <c r="Z7142" s="17" t="s">
        <v>1668</v>
      </c>
      <c r="AA7142" s="17" t="s">
        <v>46</v>
      </c>
      <c r="AB7142" s="17" t="s">
        <v>1677</v>
      </c>
      <c r="AC7142" s="217">
        <v>45978</v>
      </c>
      <c r="AD7142" s="65">
        <v>1750</v>
      </c>
      <c r="AE7142" s="17" t="s">
        <v>48</v>
      </c>
      <c r="AF7142" s="17"/>
      <c r="AG7142" s="17"/>
      <c r="AH7142" s="17"/>
      <c r="AI7142" s="17"/>
      <c r="AJ7142" s="17"/>
      <c r="AK7142" s="17"/>
      <c r="AL7142" s="17"/>
      <c r="AM7142" s="17"/>
      <c r="AN7142" s="17"/>
      <c r="AO7142" s="17"/>
      <c r="AP7142" s="17"/>
      <c r="AQ7142" s="17"/>
      <c r="AR7142" s="17"/>
    </row>
    <row r="7143" s="25" customFormat="1" hidden="1" spans="1:44">
      <c r="A7143" s="17" t="s">
        <v>34</v>
      </c>
      <c r="B7143" s="19">
        <v>1095</v>
      </c>
      <c r="C7143" s="183">
        <v>45936</v>
      </c>
      <c r="D7143" s="17"/>
      <c r="E7143" s="17" t="s">
        <v>433</v>
      </c>
      <c r="F7143" s="17" t="s">
        <v>434</v>
      </c>
      <c r="G7143" s="17"/>
      <c r="H7143" s="19">
        <v>1.2738</v>
      </c>
      <c r="I7143" s="19"/>
      <c r="J7143" s="17" t="s">
        <v>82</v>
      </c>
      <c r="K7143" s="189">
        <v>620</v>
      </c>
      <c r="L7143" s="421">
        <v>145</v>
      </c>
      <c r="M7143" s="189">
        <v>1060</v>
      </c>
      <c r="N7143" s="19" t="s">
        <v>66</v>
      </c>
      <c r="O7143" s="19" t="s">
        <v>98</v>
      </c>
      <c r="P7143" s="417">
        <v>766</v>
      </c>
      <c r="Q7143" s="19">
        <v>766</v>
      </c>
      <c r="R7143" s="19">
        <f t="shared" ref="R7143:R7156" si="308">+P7143-Q7143</f>
        <v>0</v>
      </c>
      <c r="S7143" s="418">
        <v>900</v>
      </c>
      <c r="T7143" s="19" t="s">
        <v>94</v>
      </c>
      <c r="U7143" s="102" t="s">
        <v>1667</v>
      </c>
      <c r="V7143" s="186">
        <v>45931</v>
      </c>
      <c r="W7143" s="17" t="s">
        <v>44</v>
      </c>
      <c r="X7143" s="17"/>
      <c r="Y7143" s="68">
        <v>45962</v>
      </c>
      <c r="Z7143" s="17" t="s">
        <v>1668</v>
      </c>
      <c r="AA7143" s="17" t="s">
        <v>46</v>
      </c>
      <c r="AB7143" s="17" t="s">
        <v>1670</v>
      </c>
      <c r="AC7143" s="217">
        <v>45966</v>
      </c>
      <c r="AD7143" s="65">
        <v>1749</v>
      </c>
      <c r="AE7143" s="17" t="s">
        <v>48</v>
      </c>
      <c r="AF7143" s="17"/>
      <c r="AG7143" s="17"/>
      <c r="AH7143" s="17"/>
      <c r="AI7143" s="17"/>
      <c r="AJ7143" s="17"/>
      <c r="AK7143" s="17"/>
      <c r="AL7143" s="17"/>
      <c r="AM7143" s="17"/>
      <c r="AN7143" s="17"/>
      <c r="AO7143" s="17"/>
      <c r="AP7143" s="17"/>
      <c r="AQ7143" s="17"/>
      <c r="AR7143" s="17"/>
    </row>
    <row r="7144" s="25" customFormat="1" hidden="1" spans="1:44">
      <c r="A7144" s="17" t="s">
        <v>34</v>
      </c>
      <c r="B7144" s="19">
        <v>1095</v>
      </c>
      <c r="C7144" s="183">
        <v>45936</v>
      </c>
      <c r="D7144" s="17"/>
      <c r="E7144" s="17" t="s">
        <v>433</v>
      </c>
      <c r="F7144" s="17" t="s">
        <v>434</v>
      </c>
      <c r="G7144" s="17"/>
      <c r="H7144" s="19">
        <v>1.2738</v>
      </c>
      <c r="I7144" s="19"/>
      <c r="J7144" s="17" t="s">
        <v>82</v>
      </c>
      <c r="K7144" s="189">
        <v>800</v>
      </c>
      <c r="L7144" s="421">
        <v>150</v>
      </c>
      <c r="M7144" s="189">
        <v>1215</v>
      </c>
      <c r="N7144" s="19" t="s">
        <v>66</v>
      </c>
      <c r="O7144" s="19" t="s">
        <v>98</v>
      </c>
      <c r="P7144" s="417">
        <v>1310</v>
      </c>
      <c r="Q7144" s="19">
        <v>1310</v>
      </c>
      <c r="R7144" s="19">
        <f t="shared" si="308"/>
        <v>0</v>
      </c>
      <c r="S7144" s="418">
        <v>900</v>
      </c>
      <c r="T7144" s="19" t="s">
        <v>94</v>
      </c>
      <c r="U7144" s="102" t="s">
        <v>1667</v>
      </c>
      <c r="V7144" s="186">
        <v>45931</v>
      </c>
      <c r="W7144" s="17" t="s">
        <v>44</v>
      </c>
      <c r="X7144" s="17"/>
      <c r="Y7144" s="68">
        <v>45962</v>
      </c>
      <c r="Z7144" s="17" t="s">
        <v>1668</v>
      </c>
      <c r="AA7144" s="17" t="s">
        <v>46</v>
      </c>
      <c r="AB7144" s="17" t="s">
        <v>1669</v>
      </c>
      <c r="AC7144" s="217">
        <v>45989</v>
      </c>
      <c r="AD7144" s="65">
        <v>1751</v>
      </c>
      <c r="AE7144" s="17" t="s">
        <v>48</v>
      </c>
      <c r="AF7144" s="17"/>
      <c r="AG7144" s="17"/>
      <c r="AH7144" s="17"/>
      <c r="AI7144" s="17"/>
      <c r="AJ7144" s="17"/>
      <c r="AK7144" s="17"/>
      <c r="AL7144" s="17"/>
      <c r="AM7144" s="17"/>
      <c r="AN7144" s="17"/>
      <c r="AO7144" s="17"/>
      <c r="AP7144" s="17"/>
      <c r="AQ7144" s="17"/>
      <c r="AR7144" s="17"/>
    </row>
    <row r="7145" s="25" customFormat="1" hidden="1" spans="1:44">
      <c r="A7145" s="17" t="s">
        <v>34</v>
      </c>
      <c r="B7145" s="19">
        <v>1095</v>
      </c>
      <c r="C7145" s="183">
        <v>45936</v>
      </c>
      <c r="D7145" s="17"/>
      <c r="E7145" s="17" t="s">
        <v>433</v>
      </c>
      <c r="F7145" s="17" t="s">
        <v>434</v>
      </c>
      <c r="G7145" s="17"/>
      <c r="H7145" s="19">
        <v>1.2738</v>
      </c>
      <c r="I7145" s="19"/>
      <c r="J7145" s="17" t="s">
        <v>82</v>
      </c>
      <c r="K7145" s="189">
        <v>800</v>
      </c>
      <c r="L7145" s="421">
        <v>155</v>
      </c>
      <c r="M7145" s="189">
        <v>1180</v>
      </c>
      <c r="N7145" s="19" t="s">
        <v>66</v>
      </c>
      <c r="O7145" s="19" t="s">
        <v>98</v>
      </c>
      <c r="P7145" s="417">
        <v>1408</v>
      </c>
      <c r="Q7145" s="290">
        <v>1408</v>
      </c>
      <c r="R7145" s="19">
        <f t="shared" si="308"/>
        <v>0</v>
      </c>
      <c r="S7145" s="418">
        <v>900</v>
      </c>
      <c r="T7145" s="19" t="s">
        <v>94</v>
      </c>
      <c r="U7145" s="102" t="s">
        <v>1667</v>
      </c>
      <c r="V7145" s="186">
        <v>45931</v>
      </c>
      <c r="W7145" s="17" t="s">
        <v>44</v>
      </c>
      <c r="X7145" s="17"/>
      <c r="Y7145" s="68">
        <v>45962</v>
      </c>
      <c r="Z7145" s="17" t="s">
        <v>1668</v>
      </c>
      <c r="AA7145" s="17" t="s">
        <v>46</v>
      </c>
      <c r="AB7145" s="17" t="s">
        <v>1677</v>
      </c>
      <c r="AC7145" s="217">
        <v>45978</v>
      </c>
      <c r="AD7145" s="65">
        <v>1750</v>
      </c>
      <c r="AE7145" s="17" t="s">
        <v>48</v>
      </c>
      <c r="AF7145" s="17"/>
      <c r="AG7145" s="17"/>
      <c r="AH7145" s="17"/>
      <c r="AI7145" s="17"/>
      <c r="AJ7145" s="17"/>
      <c r="AK7145" s="17"/>
      <c r="AL7145" s="17"/>
      <c r="AM7145" s="17"/>
      <c r="AN7145" s="17"/>
      <c r="AO7145" s="17"/>
      <c r="AP7145" s="17"/>
      <c r="AQ7145" s="17"/>
      <c r="AR7145" s="17"/>
    </row>
    <row r="7146" s="25" customFormat="1" hidden="1" spans="1:44">
      <c r="A7146" s="17" t="s">
        <v>34</v>
      </c>
      <c r="B7146" s="19">
        <v>1095</v>
      </c>
      <c r="C7146" s="183">
        <v>45936</v>
      </c>
      <c r="D7146" s="17"/>
      <c r="E7146" s="17" t="s">
        <v>433</v>
      </c>
      <c r="F7146" s="17" t="s">
        <v>434</v>
      </c>
      <c r="G7146" s="17"/>
      <c r="H7146" s="19">
        <v>1.2738</v>
      </c>
      <c r="I7146" s="19"/>
      <c r="J7146" s="17" t="s">
        <v>82</v>
      </c>
      <c r="K7146" s="189">
        <v>660</v>
      </c>
      <c r="L7146" s="421">
        <v>155</v>
      </c>
      <c r="M7146" s="189">
        <v>1170</v>
      </c>
      <c r="N7146" s="19" t="s">
        <v>66</v>
      </c>
      <c r="O7146" s="19" t="s">
        <v>98</v>
      </c>
      <c r="P7146" s="417">
        <v>1000</v>
      </c>
      <c r="Q7146" s="19">
        <v>1000</v>
      </c>
      <c r="R7146" s="19">
        <f t="shared" si="308"/>
        <v>0</v>
      </c>
      <c r="S7146" s="418">
        <v>900</v>
      </c>
      <c r="T7146" s="19" t="s">
        <v>94</v>
      </c>
      <c r="U7146" s="102" t="s">
        <v>1667</v>
      </c>
      <c r="V7146" s="186">
        <v>45931</v>
      </c>
      <c r="W7146" s="17" t="s">
        <v>44</v>
      </c>
      <c r="X7146" s="17"/>
      <c r="Y7146" s="68">
        <v>45962</v>
      </c>
      <c r="Z7146" s="17" t="s">
        <v>1668</v>
      </c>
      <c r="AA7146" s="17" t="s">
        <v>46</v>
      </c>
      <c r="AB7146" s="17" t="s">
        <v>1670</v>
      </c>
      <c r="AC7146" s="217">
        <v>45966</v>
      </c>
      <c r="AD7146" s="65">
        <v>1749</v>
      </c>
      <c r="AE7146" s="17" t="s">
        <v>74</v>
      </c>
      <c r="AF7146" s="17"/>
      <c r="AG7146" s="17"/>
      <c r="AH7146" s="17"/>
      <c r="AI7146" s="17"/>
      <c r="AJ7146" s="17"/>
      <c r="AK7146" s="17"/>
      <c r="AL7146" s="17"/>
      <c r="AM7146" s="17"/>
      <c r="AN7146" s="17"/>
      <c r="AO7146" s="17"/>
      <c r="AP7146" s="17"/>
      <c r="AQ7146" s="17"/>
      <c r="AR7146" s="17"/>
    </row>
    <row r="7147" s="25" customFormat="1" hidden="1" spans="1:44">
      <c r="A7147" s="17" t="s">
        <v>34</v>
      </c>
      <c r="B7147" s="19">
        <v>1095</v>
      </c>
      <c r="C7147" s="183">
        <v>45936</v>
      </c>
      <c r="D7147" s="17"/>
      <c r="E7147" s="17" t="s">
        <v>433</v>
      </c>
      <c r="F7147" s="17" t="s">
        <v>434</v>
      </c>
      <c r="G7147" s="17"/>
      <c r="H7147" s="19">
        <v>1.2738</v>
      </c>
      <c r="I7147" s="19"/>
      <c r="J7147" s="17" t="s">
        <v>82</v>
      </c>
      <c r="K7147" s="189">
        <v>660</v>
      </c>
      <c r="L7147" s="421">
        <v>155</v>
      </c>
      <c r="M7147" s="189">
        <v>1165</v>
      </c>
      <c r="N7147" s="19" t="s">
        <v>66</v>
      </c>
      <c r="O7147" s="19" t="s">
        <v>98</v>
      </c>
      <c r="P7147" s="417">
        <v>980</v>
      </c>
      <c r="Q7147" s="19">
        <v>980</v>
      </c>
      <c r="R7147" s="19">
        <f t="shared" si="308"/>
        <v>0</v>
      </c>
      <c r="S7147" s="418">
        <v>900</v>
      </c>
      <c r="T7147" s="19" t="s">
        <v>94</v>
      </c>
      <c r="U7147" s="102" t="s">
        <v>1667</v>
      </c>
      <c r="V7147" s="186">
        <v>45931</v>
      </c>
      <c r="W7147" s="17" t="s">
        <v>44</v>
      </c>
      <c r="X7147" s="17"/>
      <c r="Y7147" s="68">
        <v>45962</v>
      </c>
      <c r="Z7147" s="17" t="s">
        <v>1668</v>
      </c>
      <c r="AA7147" s="17" t="s">
        <v>46</v>
      </c>
      <c r="AB7147" s="17" t="s">
        <v>1670</v>
      </c>
      <c r="AC7147" s="217">
        <v>45966</v>
      </c>
      <c r="AD7147" s="65">
        <v>1749</v>
      </c>
      <c r="AE7147" s="17" t="s">
        <v>48</v>
      </c>
      <c r="AF7147" s="17"/>
      <c r="AG7147" s="17"/>
      <c r="AH7147" s="17"/>
      <c r="AI7147" s="17"/>
      <c r="AJ7147" s="17"/>
      <c r="AK7147" s="17"/>
      <c r="AL7147" s="17"/>
      <c r="AM7147" s="17"/>
      <c r="AN7147" s="17"/>
      <c r="AO7147" s="17"/>
      <c r="AP7147" s="17"/>
      <c r="AQ7147" s="17"/>
      <c r="AR7147" s="17"/>
    </row>
    <row r="7148" s="25" customFormat="1" hidden="1" spans="1:44">
      <c r="A7148" s="17" t="s">
        <v>34</v>
      </c>
      <c r="B7148" s="19">
        <v>1095</v>
      </c>
      <c r="C7148" s="183">
        <v>45936</v>
      </c>
      <c r="D7148" s="17"/>
      <c r="E7148" s="17" t="s">
        <v>433</v>
      </c>
      <c r="F7148" s="17" t="s">
        <v>434</v>
      </c>
      <c r="G7148" s="17"/>
      <c r="H7148" s="19">
        <v>1.2738</v>
      </c>
      <c r="I7148" s="19"/>
      <c r="J7148" s="17" t="s">
        <v>82</v>
      </c>
      <c r="K7148" s="189" t="s">
        <v>445</v>
      </c>
      <c r="L7148" s="421">
        <v>155</v>
      </c>
      <c r="M7148" s="189" t="s">
        <v>1682</v>
      </c>
      <c r="N7148" s="19" t="s">
        <v>66</v>
      </c>
      <c r="O7148" s="19" t="s">
        <v>98</v>
      </c>
      <c r="P7148" s="417">
        <v>830</v>
      </c>
      <c r="Q7148" s="290">
        <v>830</v>
      </c>
      <c r="R7148" s="19">
        <f t="shared" si="308"/>
        <v>0</v>
      </c>
      <c r="S7148" s="418">
        <v>900</v>
      </c>
      <c r="T7148" s="19" t="s">
        <v>94</v>
      </c>
      <c r="U7148" s="102" t="s">
        <v>1667</v>
      </c>
      <c r="V7148" s="186">
        <v>45931</v>
      </c>
      <c r="W7148" s="17" t="s">
        <v>44</v>
      </c>
      <c r="X7148" s="17"/>
      <c r="Y7148" s="68">
        <v>45962</v>
      </c>
      <c r="Z7148" s="17" t="s">
        <v>1668</v>
      </c>
      <c r="AA7148" s="17" t="s">
        <v>46</v>
      </c>
      <c r="AB7148" s="17" t="s">
        <v>1677</v>
      </c>
      <c r="AC7148" s="217">
        <v>45978</v>
      </c>
      <c r="AD7148" s="65">
        <v>1750</v>
      </c>
      <c r="AE7148" s="17" t="s">
        <v>48</v>
      </c>
      <c r="AF7148" s="17"/>
      <c r="AG7148" s="17"/>
      <c r="AH7148" s="17"/>
      <c r="AI7148" s="17"/>
      <c r="AJ7148" s="17"/>
      <c r="AK7148" s="17"/>
      <c r="AL7148" s="17"/>
      <c r="AM7148" s="17"/>
      <c r="AN7148" s="17"/>
      <c r="AO7148" s="17"/>
      <c r="AP7148" s="17"/>
      <c r="AQ7148" s="17"/>
      <c r="AR7148" s="17"/>
    </row>
    <row r="7149" s="25" customFormat="1" hidden="1" spans="1:44">
      <c r="A7149" s="17" t="s">
        <v>34</v>
      </c>
      <c r="B7149" s="19">
        <v>1095</v>
      </c>
      <c r="C7149" s="183">
        <v>45936</v>
      </c>
      <c r="D7149" s="17"/>
      <c r="E7149" s="17" t="s">
        <v>433</v>
      </c>
      <c r="F7149" s="17" t="s">
        <v>434</v>
      </c>
      <c r="G7149" s="17"/>
      <c r="H7149" s="19">
        <v>1.2738</v>
      </c>
      <c r="I7149" s="19"/>
      <c r="J7149" s="17" t="s">
        <v>82</v>
      </c>
      <c r="K7149" s="189">
        <v>710</v>
      </c>
      <c r="L7149" s="421">
        <v>160</v>
      </c>
      <c r="M7149" s="189">
        <v>1505</v>
      </c>
      <c r="N7149" s="19" t="s">
        <v>66</v>
      </c>
      <c r="O7149" s="19" t="s">
        <v>98</v>
      </c>
      <c r="P7149" s="417">
        <v>1385</v>
      </c>
      <c r="Q7149" s="19">
        <v>1385</v>
      </c>
      <c r="R7149" s="19">
        <f t="shared" si="308"/>
        <v>0</v>
      </c>
      <c r="S7149" s="418">
        <v>900</v>
      </c>
      <c r="T7149" s="19" t="s">
        <v>94</v>
      </c>
      <c r="U7149" s="102" t="s">
        <v>1667</v>
      </c>
      <c r="V7149" s="186">
        <v>45931</v>
      </c>
      <c r="W7149" s="17" t="s">
        <v>44</v>
      </c>
      <c r="X7149" s="17"/>
      <c r="Y7149" s="68">
        <v>45962</v>
      </c>
      <c r="Z7149" s="17" t="s">
        <v>1668</v>
      </c>
      <c r="AA7149" s="17" t="s">
        <v>46</v>
      </c>
      <c r="AB7149" s="17" t="s">
        <v>1670</v>
      </c>
      <c r="AC7149" s="217">
        <v>45966</v>
      </c>
      <c r="AD7149" s="65">
        <v>1749</v>
      </c>
      <c r="AE7149" s="17" t="s">
        <v>147</v>
      </c>
      <c r="AF7149" s="17"/>
      <c r="AG7149" s="17"/>
      <c r="AH7149" s="17"/>
      <c r="AI7149" s="17"/>
      <c r="AJ7149" s="17"/>
      <c r="AK7149" s="17"/>
      <c r="AL7149" s="17"/>
      <c r="AM7149" s="17"/>
      <c r="AN7149" s="17"/>
      <c r="AO7149" s="17"/>
      <c r="AP7149" s="17"/>
      <c r="AQ7149" s="17"/>
      <c r="AR7149" s="17"/>
    </row>
    <row r="7150" s="25" customFormat="1" hidden="1" spans="1:44">
      <c r="A7150" s="17" t="s">
        <v>34</v>
      </c>
      <c r="B7150" s="19">
        <v>1095</v>
      </c>
      <c r="C7150" s="183">
        <v>45936</v>
      </c>
      <c r="D7150" s="17"/>
      <c r="E7150" s="17" t="s">
        <v>433</v>
      </c>
      <c r="F7150" s="17" t="s">
        <v>434</v>
      </c>
      <c r="G7150" s="17"/>
      <c r="H7150" s="19">
        <v>1.2738</v>
      </c>
      <c r="I7150" s="19"/>
      <c r="J7150" s="17" t="s">
        <v>82</v>
      </c>
      <c r="K7150" s="189">
        <v>630</v>
      </c>
      <c r="L7150" s="421">
        <v>160</v>
      </c>
      <c r="M7150" s="189">
        <v>1410</v>
      </c>
      <c r="N7150" s="19" t="s">
        <v>66</v>
      </c>
      <c r="O7150" s="19" t="s">
        <v>98</v>
      </c>
      <c r="P7150" s="417">
        <v>1195</v>
      </c>
      <c r="Q7150" s="290">
        <v>1195</v>
      </c>
      <c r="R7150" s="19">
        <f t="shared" si="308"/>
        <v>0</v>
      </c>
      <c r="S7150" s="418">
        <v>900</v>
      </c>
      <c r="T7150" s="19" t="s">
        <v>94</v>
      </c>
      <c r="U7150" s="102" t="s">
        <v>1667</v>
      </c>
      <c r="V7150" s="186">
        <v>45931</v>
      </c>
      <c r="W7150" s="17" t="s">
        <v>44</v>
      </c>
      <c r="X7150" s="17"/>
      <c r="Y7150" s="68">
        <v>45962</v>
      </c>
      <c r="Z7150" s="17" t="s">
        <v>1668</v>
      </c>
      <c r="AA7150" s="17" t="s">
        <v>46</v>
      </c>
      <c r="AB7150" s="17" t="s">
        <v>1677</v>
      </c>
      <c r="AC7150" s="217">
        <v>45978</v>
      </c>
      <c r="AD7150" s="65">
        <v>1750</v>
      </c>
      <c r="AE7150" s="17" t="s">
        <v>48</v>
      </c>
      <c r="AF7150" s="17"/>
      <c r="AG7150" s="17"/>
      <c r="AH7150" s="17"/>
      <c r="AI7150" s="17"/>
      <c r="AJ7150" s="17"/>
      <c r="AK7150" s="17"/>
      <c r="AL7150" s="17"/>
      <c r="AM7150" s="17"/>
      <c r="AN7150" s="17"/>
      <c r="AO7150" s="17"/>
      <c r="AP7150" s="17"/>
      <c r="AQ7150" s="17"/>
      <c r="AR7150" s="17"/>
    </row>
    <row r="7151" s="25" customFormat="1" hidden="1" spans="1:44">
      <c r="A7151" s="17" t="s">
        <v>34</v>
      </c>
      <c r="B7151" s="19">
        <v>1095</v>
      </c>
      <c r="C7151" s="183">
        <v>45936</v>
      </c>
      <c r="D7151" s="17"/>
      <c r="E7151" s="17" t="s">
        <v>433</v>
      </c>
      <c r="F7151" s="17" t="s">
        <v>434</v>
      </c>
      <c r="G7151" s="17"/>
      <c r="H7151" s="19">
        <v>1.2738</v>
      </c>
      <c r="I7151" s="19"/>
      <c r="J7151" s="17" t="s">
        <v>82</v>
      </c>
      <c r="K7151" s="189">
        <v>480</v>
      </c>
      <c r="L7151" s="421">
        <v>160</v>
      </c>
      <c r="M7151" s="189">
        <v>1395</v>
      </c>
      <c r="N7151" s="19" t="s">
        <v>66</v>
      </c>
      <c r="O7151" s="19" t="s">
        <v>98</v>
      </c>
      <c r="P7151" s="417">
        <v>880</v>
      </c>
      <c r="Q7151" s="19">
        <v>880</v>
      </c>
      <c r="R7151" s="19">
        <f t="shared" si="308"/>
        <v>0</v>
      </c>
      <c r="S7151" s="418">
        <v>900</v>
      </c>
      <c r="T7151" s="19" t="s">
        <v>94</v>
      </c>
      <c r="U7151" s="102" t="s">
        <v>1667</v>
      </c>
      <c r="V7151" s="186">
        <v>45931</v>
      </c>
      <c r="W7151" s="17" t="s">
        <v>44</v>
      </c>
      <c r="X7151" s="17"/>
      <c r="Y7151" s="68">
        <v>45962</v>
      </c>
      <c r="Z7151" s="17" t="s">
        <v>1668</v>
      </c>
      <c r="AA7151" s="17" t="s">
        <v>46</v>
      </c>
      <c r="AB7151" s="17" t="s">
        <v>1670</v>
      </c>
      <c r="AC7151" s="217">
        <v>45966</v>
      </c>
      <c r="AD7151" s="65">
        <v>1749</v>
      </c>
      <c r="AE7151" s="17" t="s">
        <v>48</v>
      </c>
      <c r="AF7151" s="17"/>
      <c r="AG7151" s="17"/>
      <c r="AH7151" s="17"/>
      <c r="AI7151" s="17"/>
      <c r="AJ7151" s="17"/>
      <c r="AK7151" s="17"/>
      <c r="AL7151" s="17"/>
      <c r="AM7151" s="17"/>
      <c r="AN7151" s="17"/>
      <c r="AO7151" s="17"/>
      <c r="AP7151" s="17"/>
      <c r="AQ7151" s="17"/>
      <c r="AR7151" s="17"/>
    </row>
    <row r="7152" s="25" customFormat="1" hidden="1" spans="1:44">
      <c r="A7152" s="17" t="s">
        <v>34</v>
      </c>
      <c r="B7152" s="19">
        <v>1095</v>
      </c>
      <c r="C7152" s="183">
        <v>45936</v>
      </c>
      <c r="D7152" s="17"/>
      <c r="E7152" s="17" t="s">
        <v>433</v>
      </c>
      <c r="F7152" s="17" t="s">
        <v>434</v>
      </c>
      <c r="G7152" s="17"/>
      <c r="H7152" s="19">
        <v>1.2738</v>
      </c>
      <c r="I7152" s="19"/>
      <c r="J7152" s="17" t="s">
        <v>82</v>
      </c>
      <c r="K7152" s="189">
        <v>480</v>
      </c>
      <c r="L7152" s="421">
        <v>160</v>
      </c>
      <c r="M7152" s="189">
        <v>1400</v>
      </c>
      <c r="N7152" s="19" t="s">
        <v>66</v>
      </c>
      <c r="O7152" s="19" t="s">
        <v>98</v>
      </c>
      <c r="P7152" s="417">
        <v>870</v>
      </c>
      <c r="Q7152" s="19">
        <v>870</v>
      </c>
      <c r="R7152" s="19">
        <f t="shared" si="308"/>
        <v>0</v>
      </c>
      <c r="S7152" s="418">
        <v>900</v>
      </c>
      <c r="T7152" s="19" t="s">
        <v>94</v>
      </c>
      <c r="U7152" s="102" t="s">
        <v>1667</v>
      </c>
      <c r="V7152" s="186">
        <v>45931</v>
      </c>
      <c r="W7152" s="17" t="s">
        <v>44</v>
      </c>
      <c r="X7152" s="17"/>
      <c r="Y7152" s="68">
        <v>45962</v>
      </c>
      <c r="Z7152" s="17" t="s">
        <v>1668</v>
      </c>
      <c r="AA7152" s="17" t="s">
        <v>46</v>
      </c>
      <c r="AB7152" s="17" t="s">
        <v>1669</v>
      </c>
      <c r="AC7152" s="217">
        <v>45989</v>
      </c>
      <c r="AD7152" s="65">
        <v>1751</v>
      </c>
      <c r="AE7152" s="17" t="s">
        <v>48</v>
      </c>
      <c r="AF7152" s="17"/>
      <c r="AG7152" s="17"/>
      <c r="AH7152" s="17"/>
      <c r="AI7152" s="17"/>
      <c r="AJ7152" s="17"/>
      <c r="AK7152" s="17"/>
      <c r="AL7152" s="17"/>
      <c r="AM7152" s="17"/>
      <c r="AN7152" s="17"/>
      <c r="AO7152" s="17"/>
      <c r="AP7152" s="17"/>
      <c r="AQ7152" s="17"/>
      <c r="AR7152" s="17"/>
    </row>
    <row r="7153" s="25" customFormat="1" hidden="1" spans="1:44">
      <c r="A7153" s="17" t="s">
        <v>34</v>
      </c>
      <c r="B7153" s="19">
        <v>1095</v>
      </c>
      <c r="C7153" s="183">
        <v>45936</v>
      </c>
      <c r="D7153" s="17"/>
      <c r="E7153" s="17" t="s">
        <v>433</v>
      </c>
      <c r="F7153" s="17" t="s">
        <v>434</v>
      </c>
      <c r="G7153" s="17"/>
      <c r="H7153" s="19">
        <v>1.2738</v>
      </c>
      <c r="I7153" s="19"/>
      <c r="J7153" s="17" t="s">
        <v>82</v>
      </c>
      <c r="K7153" s="189">
        <v>600</v>
      </c>
      <c r="L7153" s="421">
        <v>165</v>
      </c>
      <c r="M7153" s="189">
        <v>880</v>
      </c>
      <c r="N7153" s="19" t="s">
        <v>66</v>
      </c>
      <c r="O7153" s="19" t="s">
        <v>98</v>
      </c>
      <c r="P7153" s="417">
        <v>710</v>
      </c>
      <c r="Q7153" s="19">
        <v>710</v>
      </c>
      <c r="R7153" s="19">
        <f t="shared" si="308"/>
        <v>0</v>
      </c>
      <c r="S7153" s="418">
        <v>900</v>
      </c>
      <c r="T7153" s="19" t="s">
        <v>94</v>
      </c>
      <c r="U7153" s="102" t="s">
        <v>1667</v>
      </c>
      <c r="V7153" s="186">
        <v>45931</v>
      </c>
      <c r="W7153" s="17" t="s">
        <v>44</v>
      </c>
      <c r="X7153" s="17"/>
      <c r="Y7153" s="68">
        <v>45962</v>
      </c>
      <c r="Z7153" s="17" t="s">
        <v>1668</v>
      </c>
      <c r="AA7153" s="17" t="s">
        <v>46</v>
      </c>
      <c r="AB7153" s="17" t="s">
        <v>1670</v>
      </c>
      <c r="AC7153" s="217">
        <v>45966</v>
      </c>
      <c r="AD7153" s="65">
        <v>1749</v>
      </c>
      <c r="AE7153" s="17" t="s">
        <v>48</v>
      </c>
      <c r="AF7153" s="17"/>
      <c r="AG7153" s="17"/>
      <c r="AH7153" s="17"/>
      <c r="AI7153" s="17"/>
      <c r="AJ7153" s="17"/>
      <c r="AK7153" s="17"/>
      <c r="AL7153" s="17"/>
      <c r="AM7153" s="17"/>
      <c r="AN7153" s="17"/>
      <c r="AO7153" s="17"/>
      <c r="AP7153" s="17"/>
      <c r="AQ7153" s="17"/>
      <c r="AR7153" s="17"/>
    </row>
    <row r="7154" s="25" customFormat="1" hidden="1" spans="1:44">
      <c r="A7154" s="17" t="s">
        <v>34</v>
      </c>
      <c r="B7154" s="19">
        <v>1095</v>
      </c>
      <c r="C7154" s="183">
        <v>45936</v>
      </c>
      <c r="D7154" s="17"/>
      <c r="E7154" s="17" t="s">
        <v>433</v>
      </c>
      <c r="F7154" s="17" t="s">
        <v>434</v>
      </c>
      <c r="G7154" s="17"/>
      <c r="H7154" s="19">
        <v>1.2738</v>
      </c>
      <c r="I7154" s="19"/>
      <c r="J7154" s="17" t="s">
        <v>82</v>
      </c>
      <c r="K7154" s="189">
        <v>790</v>
      </c>
      <c r="L7154" s="421">
        <v>180</v>
      </c>
      <c r="M7154" s="189">
        <v>1350</v>
      </c>
      <c r="N7154" s="19" t="s">
        <v>66</v>
      </c>
      <c r="O7154" s="19" t="s">
        <v>98</v>
      </c>
      <c r="P7154" s="417">
        <v>1635</v>
      </c>
      <c r="Q7154" s="19">
        <v>1635</v>
      </c>
      <c r="R7154" s="19">
        <f t="shared" si="308"/>
        <v>0</v>
      </c>
      <c r="S7154" s="418">
        <v>900</v>
      </c>
      <c r="T7154" s="19" t="s">
        <v>94</v>
      </c>
      <c r="U7154" s="102" t="s">
        <v>1667</v>
      </c>
      <c r="V7154" s="186">
        <v>45931</v>
      </c>
      <c r="W7154" s="17" t="s">
        <v>44</v>
      </c>
      <c r="X7154" s="17"/>
      <c r="Y7154" s="68">
        <v>45962</v>
      </c>
      <c r="Z7154" s="17" t="s">
        <v>1668</v>
      </c>
      <c r="AA7154" s="17" t="s">
        <v>46</v>
      </c>
      <c r="AB7154" s="17" t="s">
        <v>1669</v>
      </c>
      <c r="AC7154" s="217">
        <v>45989</v>
      </c>
      <c r="AD7154" s="65">
        <v>1751</v>
      </c>
      <c r="AE7154" s="17" t="s">
        <v>48</v>
      </c>
      <c r="AF7154" s="17"/>
      <c r="AG7154" s="17"/>
      <c r="AH7154" s="17"/>
      <c r="AI7154" s="17"/>
      <c r="AJ7154" s="17"/>
      <c r="AK7154" s="17"/>
      <c r="AL7154" s="17"/>
      <c r="AM7154" s="17"/>
      <c r="AN7154" s="17"/>
      <c r="AO7154" s="17"/>
      <c r="AP7154" s="17"/>
      <c r="AQ7154" s="17"/>
      <c r="AR7154" s="17"/>
    </row>
    <row r="7155" s="25" customFormat="1" hidden="1" spans="1:44">
      <c r="A7155" s="17" t="s">
        <v>34</v>
      </c>
      <c r="B7155" s="19">
        <v>1095</v>
      </c>
      <c r="C7155" s="183">
        <v>45936</v>
      </c>
      <c r="D7155" s="17"/>
      <c r="E7155" s="17" t="s">
        <v>433</v>
      </c>
      <c r="F7155" s="17" t="s">
        <v>434</v>
      </c>
      <c r="G7155" s="17"/>
      <c r="H7155" s="19">
        <v>1.2738</v>
      </c>
      <c r="I7155" s="19"/>
      <c r="J7155" s="17" t="s">
        <v>82</v>
      </c>
      <c r="K7155" s="189">
        <v>520</v>
      </c>
      <c r="L7155" s="421">
        <v>180</v>
      </c>
      <c r="M7155" s="189">
        <v>1740</v>
      </c>
      <c r="N7155" s="19" t="s">
        <v>66</v>
      </c>
      <c r="O7155" s="19" t="s">
        <v>98</v>
      </c>
      <c r="P7155" s="417">
        <v>1295</v>
      </c>
      <c r="Q7155" s="19">
        <v>1295</v>
      </c>
      <c r="R7155" s="19">
        <f t="shared" si="308"/>
        <v>0</v>
      </c>
      <c r="S7155" s="418">
        <v>900</v>
      </c>
      <c r="T7155" s="19" t="s">
        <v>94</v>
      </c>
      <c r="U7155" s="102" t="s">
        <v>1667</v>
      </c>
      <c r="V7155" s="186">
        <v>45931</v>
      </c>
      <c r="W7155" s="17" t="s">
        <v>44</v>
      </c>
      <c r="X7155" s="17"/>
      <c r="Y7155" s="68">
        <v>45962</v>
      </c>
      <c r="Z7155" s="17" t="s">
        <v>1668</v>
      </c>
      <c r="AA7155" s="17" t="s">
        <v>46</v>
      </c>
      <c r="AB7155" s="17" t="s">
        <v>1669</v>
      </c>
      <c r="AC7155" s="217">
        <v>45989</v>
      </c>
      <c r="AD7155" s="65">
        <v>1751</v>
      </c>
      <c r="AE7155" s="17" t="s">
        <v>48</v>
      </c>
      <c r="AF7155" s="17"/>
      <c r="AG7155" s="17"/>
      <c r="AH7155" s="17"/>
      <c r="AI7155" s="17"/>
      <c r="AJ7155" s="17"/>
      <c r="AK7155" s="17"/>
      <c r="AL7155" s="17"/>
      <c r="AM7155" s="17"/>
      <c r="AN7155" s="17"/>
      <c r="AO7155" s="17"/>
      <c r="AP7155" s="17"/>
      <c r="AQ7155" s="17"/>
      <c r="AR7155" s="17"/>
    </row>
    <row r="7156" hidden="1" spans="1:44">
      <c r="A7156" s="17" t="s">
        <v>34</v>
      </c>
      <c r="B7156" s="75">
        <v>1095</v>
      </c>
      <c r="C7156" s="213">
        <v>45936</v>
      </c>
      <c r="D7156" s="18"/>
      <c r="E7156" s="18" t="s">
        <v>433</v>
      </c>
      <c r="F7156" s="18" t="s">
        <v>434</v>
      </c>
      <c r="G7156" s="18"/>
      <c r="H7156" s="75">
        <v>1.2738</v>
      </c>
      <c r="I7156" s="75"/>
      <c r="J7156" s="18" t="s">
        <v>82</v>
      </c>
      <c r="K7156" s="422" t="s">
        <v>912</v>
      </c>
      <c r="L7156" s="423">
        <v>180</v>
      </c>
      <c r="M7156" s="422" t="s">
        <v>1683</v>
      </c>
      <c r="N7156" s="75" t="s">
        <v>66</v>
      </c>
      <c r="O7156" s="342" t="s">
        <v>98</v>
      </c>
      <c r="P7156" s="424">
        <v>880</v>
      </c>
      <c r="Q7156" s="75"/>
      <c r="R7156" s="75">
        <f t="shared" si="308"/>
        <v>880</v>
      </c>
      <c r="S7156" s="425">
        <v>900</v>
      </c>
      <c r="T7156" s="75" t="s">
        <v>94</v>
      </c>
      <c r="U7156" s="137" t="s">
        <v>1667</v>
      </c>
      <c r="V7156" s="193">
        <v>45931</v>
      </c>
      <c r="W7156" s="18" t="s">
        <v>44</v>
      </c>
      <c r="X7156" s="18"/>
      <c r="Y7156" s="114">
        <v>45962</v>
      </c>
      <c r="Z7156" s="18" t="s">
        <v>1668</v>
      </c>
      <c r="AA7156" s="18" t="s">
        <v>46</v>
      </c>
      <c r="AB7156" s="18"/>
      <c r="AC7156" s="137"/>
      <c r="AD7156" s="77"/>
      <c r="AE7156" s="18" t="s">
        <v>48</v>
      </c>
      <c r="AF7156" s="18"/>
      <c r="AG7156" s="18"/>
      <c r="AH7156" s="18"/>
      <c r="AI7156" s="18"/>
      <c r="AJ7156" s="18"/>
      <c r="AK7156" s="18"/>
      <c r="AL7156" s="18"/>
      <c r="AM7156" s="18"/>
      <c r="AN7156" s="18"/>
      <c r="AO7156" s="18"/>
      <c r="AP7156" s="18"/>
      <c r="AQ7156" s="18"/>
      <c r="AR7156" s="18"/>
    </row>
    <row r="7157" s="25" customFormat="1" hidden="1" spans="1:44">
      <c r="A7157" s="17" t="s">
        <v>34</v>
      </c>
      <c r="B7157" s="19">
        <v>1095</v>
      </c>
      <c r="C7157" s="183">
        <v>45936</v>
      </c>
      <c r="D7157" s="17"/>
      <c r="E7157" s="17" t="s">
        <v>433</v>
      </c>
      <c r="F7157" s="17" t="s">
        <v>434</v>
      </c>
      <c r="G7157" s="17"/>
      <c r="H7157" s="19">
        <v>1.2738</v>
      </c>
      <c r="I7157" s="19"/>
      <c r="J7157" s="17" t="s">
        <v>82</v>
      </c>
      <c r="K7157" s="189" t="s">
        <v>459</v>
      </c>
      <c r="L7157" s="421">
        <v>180</v>
      </c>
      <c r="M7157" s="189" t="s">
        <v>899</v>
      </c>
      <c r="N7157" s="19" t="s">
        <v>66</v>
      </c>
      <c r="O7157" s="19" t="s">
        <v>98</v>
      </c>
      <c r="P7157" s="417"/>
      <c r="Q7157" s="290">
        <v>1365</v>
      </c>
      <c r="R7157" s="19"/>
      <c r="S7157" s="418">
        <v>900</v>
      </c>
      <c r="T7157" s="19" t="s">
        <v>94</v>
      </c>
      <c r="U7157" s="102" t="s">
        <v>1667</v>
      </c>
      <c r="V7157" s="186">
        <v>45931</v>
      </c>
      <c r="W7157" s="17" t="s">
        <v>44</v>
      </c>
      <c r="X7157" s="17"/>
      <c r="Y7157" s="68">
        <v>45962</v>
      </c>
      <c r="Z7157" s="17" t="s">
        <v>1668</v>
      </c>
      <c r="AA7157" s="17" t="s">
        <v>46</v>
      </c>
      <c r="AB7157" s="17" t="s">
        <v>1677</v>
      </c>
      <c r="AC7157" s="217">
        <v>45978</v>
      </c>
      <c r="AD7157" s="65">
        <v>1750</v>
      </c>
      <c r="AE7157" s="17" t="s">
        <v>74</v>
      </c>
      <c r="AF7157" s="17"/>
      <c r="AG7157" s="17"/>
      <c r="AH7157" s="17"/>
      <c r="AI7157" s="17"/>
      <c r="AJ7157" s="17"/>
      <c r="AK7157" s="17"/>
      <c r="AL7157" s="17"/>
      <c r="AM7157" s="17"/>
      <c r="AN7157" s="17"/>
      <c r="AO7157" s="17"/>
      <c r="AP7157" s="17"/>
      <c r="AQ7157" s="17"/>
      <c r="AR7157" s="17"/>
    </row>
    <row r="7158" s="25" customFormat="1" hidden="1" spans="1:44">
      <c r="A7158" s="17" t="s">
        <v>34</v>
      </c>
      <c r="B7158" s="19">
        <v>1095</v>
      </c>
      <c r="C7158" s="183">
        <v>45936</v>
      </c>
      <c r="D7158" s="17"/>
      <c r="E7158" s="17" t="s">
        <v>433</v>
      </c>
      <c r="F7158" s="17" t="s">
        <v>434</v>
      </c>
      <c r="G7158" s="17"/>
      <c r="H7158" s="19">
        <v>1.2738</v>
      </c>
      <c r="I7158" s="19"/>
      <c r="J7158" s="17" t="s">
        <v>82</v>
      </c>
      <c r="K7158" s="189">
        <v>510</v>
      </c>
      <c r="L7158" s="426">
        <v>185</v>
      </c>
      <c r="M7158" s="189">
        <v>1575</v>
      </c>
      <c r="N7158" s="19" t="s">
        <v>66</v>
      </c>
      <c r="O7158" s="19" t="s">
        <v>98</v>
      </c>
      <c r="P7158" s="417">
        <v>1230</v>
      </c>
      <c r="Q7158" s="19">
        <v>1230</v>
      </c>
      <c r="R7158" s="19">
        <f t="shared" ref="R7158:R7189" si="309">+P7158-Q7158</f>
        <v>0</v>
      </c>
      <c r="S7158" s="418">
        <v>900</v>
      </c>
      <c r="T7158" s="19" t="s">
        <v>94</v>
      </c>
      <c r="U7158" s="102" t="s">
        <v>1667</v>
      </c>
      <c r="V7158" s="186">
        <v>45931</v>
      </c>
      <c r="W7158" s="17" t="s">
        <v>44</v>
      </c>
      <c r="X7158" s="17"/>
      <c r="Y7158" s="68">
        <v>45962</v>
      </c>
      <c r="Z7158" s="17" t="s">
        <v>1668</v>
      </c>
      <c r="AA7158" s="17" t="s">
        <v>46</v>
      </c>
      <c r="AB7158" s="17" t="s">
        <v>1669</v>
      </c>
      <c r="AC7158" s="217">
        <v>45989</v>
      </c>
      <c r="AD7158" s="65">
        <v>1751</v>
      </c>
      <c r="AE7158" s="17" t="s">
        <v>1674</v>
      </c>
      <c r="AF7158" s="17"/>
      <c r="AG7158" s="17"/>
      <c r="AH7158" s="17"/>
      <c r="AI7158" s="17"/>
      <c r="AJ7158" s="17"/>
      <c r="AK7158" s="17"/>
      <c r="AL7158" s="17"/>
      <c r="AM7158" s="17"/>
      <c r="AN7158" s="17"/>
      <c r="AO7158" s="17"/>
      <c r="AP7158" s="17"/>
      <c r="AQ7158" s="17"/>
      <c r="AR7158" s="17"/>
    </row>
    <row r="7159" s="25" customFormat="1" hidden="1" spans="1:44">
      <c r="A7159" s="17" t="s">
        <v>34</v>
      </c>
      <c r="B7159" s="19">
        <v>1095</v>
      </c>
      <c r="C7159" s="183">
        <v>45936</v>
      </c>
      <c r="D7159" s="17"/>
      <c r="E7159" s="17" t="s">
        <v>433</v>
      </c>
      <c r="F7159" s="17" t="s">
        <v>434</v>
      </c>
      <c r="G7159" s="17"/>
      <c r="H7159" s="19">
        <v>1.2738</v>
      </c>
      <c r="I7159" s="19"/>
      <c r="J7159" s="17" t="s">
        <v>82</v>
      </c>
      <c r="K7159" s="189">
        <v>750</v>
      </c>
      <c r="L7159" s="421">
        <v>190</v>
      </c>
      <c r="M7159" s="189">
        <v>2470</v>
      </c>
      <c r="N7159" s="19" t="s">
        <v>66</v>
      </c>
      <c r="O7159" s="19" t="s">
        <v>98</v>
      </c>
      <c r="P7159" s="417">
        <v>2860</v>
      </c>
      <c r="Q7159" s="19">
        <v>2860</v>
      </c>
      <c r="R7159" s="19">
        <f t="shared" si="309"/>
        <v>0</v>
      </c>
      <c r="S7159" s="418">
        <v>900</v>
      </c>
      <c r="T7159" s="19" t="s">
        <v>94</v>
      </c>
      <c r="U7159" s="102" t="s">
        <v>1667</v>
      </c>
      <c r="V7159" s="186">
        <v>45931</v>
      </c>
      <c r="W7159" s="17" t="s">
        <v>44</v>
      </c>
      <c r="X7159" s="17"/>
      <c r="Y7159" s="68">
        <v>45962</v>
      </c>
      <c r="Z7159" s="17" t="s">
        <v>1668</v>
      </c>
      <c r="AA7159" s="17" t="s">
        <v>46</v>
      </c>
      <c r="AB7159" s="17" t="s">
        <v>1669</v>
      </c>
      <c r="AC7159" s="217">
        <v>45989</v>
      </c>
      <c r="AD7159" s="65">
        <v>1751</v>
      </c>
      <c r="AE7159" s="17" t="s">
        <v>48</v>
      </c>
      <c r="AF7159" s="17"/>
      <c r="AG7159" s="17"/>
      <c r="AH7159" s="17"/>
      <c r="AI7159" s="17"/>
      <c r="AJ7159" s="17"/>
      <c r="AK7159" s="17"/>
      <c r="AL7159" s="17"/>
      <c r="AM7159" s="17"/>
      <c r="AN7159" s="17"/>
      <c r="AO7159" s="17"/>
      <c r="AP7159" s="17"/>
      <c r="AQ7159" s="17"/>
      <c r="AR7159" s="17"/>
    </row>
    <row r="7160" s="25" customFormat="1" hidden="1" spans="1:44">
      <c r="A7160" s="17" t="s">
        <v>34</v>
      </c>
      <c r="B7160" s="19">
        <v>1095</v>
      </c>
      <c r="C7160" s="183">
        <v>45936</v>
      </c>
      <c r="D7160" s="17"/>
      <c r="E7160" s="17" t="s">
        <v>433</v>
      </c>
      <c r="F7160" s="17" t="s">
        <v>434</v>
      </c>
      <c r="G7160" s="17"/>
      <c r="H7160" s="19">
        <v>1.2738</v>
      </c>
      <c r="I7160" s="19"/>
      <c r="J7160" s="17" t="s">
        <v>82</v>
      </c>
      <c r="K7160" s="189">
        <v>630</v>
      </c>
      <c r="L7160" s="427">
        <v>205</v>
      </c>
      <c r="M7160" s="189">
        <v>1075</v>
      </c>
      <c r="N7160" s="19" t="s">
        <v>66</v>
      </c>
      <c r="O7160" s="19" t="s">
        <v>98</v>
      </c>
      <c r="P7160" s="417">
        <v>1125</v>
      </c>
      <c r="Q7160" s="19">
        <v>1125</v>
      </c>
      <c r="R7160" s="19">
        <f t="shared" si="309"/>
        <v>0</v>
      </c>
      <c r="S7160" s="418">
        <v>900</v>
      </c>
      <c r="T7160" s="19" t="s">
        <v>94</v>
      </c>
      <c r="U7160" s="102" t="s">
        <v>1667</v>
      </c>
      <c r="V7160" s="186">
        <v>45931</v>
      </c>
      <c r="W7160" s="17" t="s">
        <v>44</v>
      </c>
      <c r="X7160" s="17"/>
      <c r="Y7160" s="68">
        <v>45962</v>
      </c>
      <c r="Z7160" s="17" t="s">
        <v>1668</v>
      </c>
      <c r="AA7160" s="17" t="s">
        <v>46</v>
      </c>
      <c r="AB7160" s="17" t="s">
        <v>1670</v>
      </c>
      <c r="AC7160" s="217">
        <v>45966</v>
      </c>
      <c r="AD7160" s="65">
        <v>1749</v>
      </c>
      <c r="AE7160" s="17" t="s">
        <v>147</v>
      </c>
      <c r="AF7160" s="17"/>
      <c r="AG7160" s="17"/>
      <c r="AH7160" s="17"/>
      <c r="AI7160" s="17"/>
      <c r="AJ7160" s="17"/>
      <c r="AK7160" s="17"/>
      <c r="AL7160" s="17"/>
      <c r="AM7160" s="17"/>
      <c r="AN7160" s="17"/>
      <c r="AO7160" s="17"/>
      <c r="AP7160" s="17"/>
      <c r="AQ7160" s="17"/>
      <c r="AR7160" s="17"/>
    </row>
    <row r="7161" s="25" customFormat="1" hidden="1" spans="1:44">
      <c r="A7161" s="17" t="s">
        <v>34</v>
      </c>
      <c r="B7161" s="19">
        <v>1095</v>
      </c>
      <c r="C7161" s="183">
        <v>45936</v>
      </c>
      <c r="D7161" s="17"/>
      <c r="E7161" s="17" t="s">
        <v>433</v>
      </c>
      <c r="F7161" s="17" t="s">
        <v>434</v>
      </c>
      <c r="G7161" s="17"/>
      <c r="H7161" s="19">
        <v>1.2738</v>
      </c>
      <c r="I7161" s="19"/>
      <c r="J7161" s="17" t="s">
        <v>82</v>
      </c>
      <c r="K7161" s="189">
        <v>500</v>
      </c>
      <c r="L7161" s="421">
        <v>215</v>
      </c>
      <c r="M7161" s="189">
        <v>1820</v>
      </c>
      <c r="N7161" s="19" t="s">
        <v>66</v>
      </c>
      <c r="O7161" s="19" t="s">
        <v>98</v>
      </c>
      <c r="P7161" s="417">
        <v>1530</v>
      </c>
      <c r="Q7161" s="19">
        <v>1530</v>
      </c>
      <c r="R7161" s="19">
        <f t="shared" si="309"/>
        <v>0</v>
      </c>
      <c r="S7161" s="418">
        <v>900</v>
      </c>
      <c r="T7161" s="19" t="s">
        <v>94</v>
      </c>
      <c r="U7161" s="102" t="s">
        <v>1667</v>
      </c>
      <c r="V7161" s="186">
        <v>45931</v>
      </c>
      <c r="W7161" s="17" t="s">
        <v>44</v>
      </c>
      <c r="X7161" s="17"/>
      <c r="Y7161" s="68">
        <v>45962</v>
      </c>
      <c r="Z7161" s="17" t="s">
        <v>1668</v>
      </c>
      <c r="AA7161" s="17" t="s">
        <v>46</v>
      </c>
      <c r="AB7161" s="17" t="s">
        <v>1669</v>
      </c>
      <c r="AC7161" s="217">
        <v>45989</v>
      </c>
      <c r="AD7161" s="65">
        <v>1751</v>
      </c>
      <c r="AE7161" s="17" t="s">
        <v>48</v>
      </c>
      <c r="AF7161" s="17"/>
      <c r="AG7161" s="17"/>
      <c r="AH7161" s="17"/>
      <c r="AI7161" s="17"/>
      <c r="AJ7161" s="17"/>
      <c r="AK7161" s="17"/>
      <c r="AL7161" s="17"/>
      <c r="AM7161" s="17"/>
      <c r="AN7161" s="17"/>
      <c r="AO7161" s="17"/>
      <c r="AP7161" s="17"/>
      <c r="AQ7161" s="17"/>
      <c r="AR7161" s="17"/>
    </row>
    <row r="7162" s="25" customFormat="1" hidden="1" spans="1:44">
      <c r="A7162" s="17" t="s">
        <v>34</v>
      </c>
      <c r="B7162" s="19">
        <v>1095</v>
      </c>
      <c r="C7162" s="183">
        <v>45936</v>
      </c>
      <c r="D7162" s="17"/>
      <c r="E7162" s="17" t="s">
        <v>433</v>
      </c>
      <c r="F7162" s="17" t="s">
        <v>434</v>
      </c>
      <c r="G7162" s="17"/>
      <c r="H7162" s="19">
        <v>1.2738</v>
      </c>
      <c r="I7162" s="19"/>
      <c r="J7162" s="17" t="s">
        <v>82</v>
      </c>
      <c r="K7162" s="189">
        <v>600</v>
      </c>
      <c r="L7162" s="421">
        <v>280</v>
      </c>
      <c r="M7162" s="189">
        <v>1070</v>
      </c>
      <c r="N7162" s="19" t="s">
        <v>66</v>
      </c>
      <c r="O7162" s="19" t="s">
        <v>98</v>
      </c>
      <c r="P7162" s="417">
        <v>1505</v>
      </c>
      <c r="Q7162" s="19">
        <v>1505</v>
      </c>
      <c r="R7162" s="19">
        <f t="shared" si="309"/>
        <v>0</v>
      </c>
      <c r="S7162" s="418">
        <v>900</v>
      </c>
      <c r="T7162" s="19" t="s">
        <v>94</v>
      </c>
      <c r="U7162" s="102" t="s">
        <v>1667</v>
      </c>
      <c r="V7162" s="186">
        <v>45931</v>
      </c>
      <c r="W7162" s="17" t="s">
        <v>44</v>
      </c>
      <c r="X7162" s="17"/>
      <c r="Y7162" s="68">
        <v>45962</v>
      </c>
      <c r="Z7162" s="17" t="s">
        <v>1668</v>
      </c>
      <c r="AA7162" s="17" t="s">
        <v>46</v>
      </c>
      <c r="AB7162" s="17" t="s">
        <v>1669</v>
      </c>
      <c r="AC7162" s="217">
        <v>45989</v>
      </c>
      <c r="AD7162" s="65">
        <v>1751</v>
      </c>
      <c r="AE7162" s="17" t="s">
        <v>48</v>
      </c>
      <c r="AF7162" s="17"/>
      <c r="AG7162" s="17"/>
      <c r="AH7162" s="17"/>
      <c r="AI7162" s="17"/>
      <c r="AJ7162" s="17"/>
      <c r="AK7162" s="17"/>
      <c r="AL7162" s="17"/>
      <c r="AM7162" s="17"/>
      <c r="AN7162" s="17"/>
      <c r="AO7162" s="17"/>
      <c r="AP7162" s="17"/>
      <c r="AQ7162" s="17"/>
      <c r="AR7162" s="17"/>
    </row>
    <row r="7163" s="25" customFormat="1" hidden="1" spans="1:44">
      <c r="A7163" s="17" t="s">
        <v>34</v>
      </c>
      <c r="B7163" s="19">
        <v>1095</v>
      </c>
      <c r="C7163" s="183">
        <v>45936</v>
      </c>
      <c r="D7163" s="17"/>
      <c r="E7163" s="17" t="s">
        <v>433</v>
      </c>
      <c r="F7163" s="17" t="s">
        <v>434</v>
      </c>
      <c r="G7163" s="17"/>
      <c r="H7163" s="19">
        <v>1.2738</v>
      </c>
      <c r="I7163" s="19"/>
      <c r="J7163" s="17" t="s">
        <v>82</v>
      </c>
      <c r="K7163" s="189">
        <v>640</v>
      </c>
      <c r="L7163" s="421">
        <v>300</v>
      </c>
      <c r="M7163" s="189">
        <v>1895</v>
      </c>
      <c r="N7163" s="19" t="s">
        <v>66</v>
      </c>
      <c r="O7163" s="19" t="s">
        <v>98</v>
      </c>
      <c r="P7163" s="417">
        <v>2945</v>
      </c>
      <c r="Q7163" s="19">
        <v>2945</v>
      </c>
      <c r="R7163" s="19">
        <f t="shared" si="309"/>
        <v>0</v>
      </c>
      <c r="S7163" s="418">
        <v>900</v>
      </c>
      <c r="T7163" s="19" t="s">
        <v>94</v>
      </c>
      <c r="U7163" s="102" t="s">
        <v>1667</v>
      </c>
      <c r="V7163" s="186">
        <v>45931</v>
      </c>
      <c r="W7163" s="17" t="s">
        <v>44</v>
      </c>
      <c r="X7163" s="17"/>
      <c r="Y7163" s="68">
        <v>45962</v>
      </c>
      <c r="Z7163" s="17" t="s">
        <v>1668</v>
      </c>
      <c r="AA7163" s="17" t="s">
        <v>46</v>
      </c>
      <c r="AB7163" s="17" t="s">
        <v>1669</v>
      </c>
      <c r="AC7163" s="217">
        <v>45989</v>
      </c>
      <c r="AD7163" s="65">
        <v>1751</v>
      </c>
      <c r="AE7163" s="17" t="s">
        <v>1674</v>
      </c>
      <c r="AF7163" s="17"/>
      <c r="AG7163" s="17"/>
      <c r="AH7163" s="17"/>
      <c r="AI7163" s="17"/>
      <c r="AJ7163" s="17"/>
      <c r="AK7163" s="17"/>
      <c r="AL7163" s="17"/>
      <c r="AM7163" s="17"/>
      <c r="AN7163" s="17"/>
      <c r="AO7163" s="17"/>
      <c r="AP7163" s="17"/>
      <c r="AQ7163" s="17"/>
      <c r="AR7163" s="17"/>
    </row>
    <row r="7164" s="25" customFormat="1" hidden="1" spans="1:44">
      <c r="A7164" s="17" t="s">
        <v>34</v>
      </c>
      <c r="B7164" s="19">
        <v>1095</v>
      </c>
      <c r="C7164" s="183">
        <v>45936</v>
      </c>
      <c r="D7164" s="17"/>
      <c r="E7164" s="17" t="s">
        <v>433</v>
      </c>
      <c r="F7164" s="17" t="s">
        <v>434</v>
      </c>
      <c r="G7164" s="17"/>
      <c r="H7164" s="19">
        <v>1.2738</v>
      </c>
      <c r="I7164" s="19"/>
      <c r="J7164" s="17" t="s">
        <v>82</v>
      </c>
      <c r="K7164" s="189">
        <v>710</v>
      </c>
      <c r="L7164" s="421">
        <v>310</v>
      </c>
      <c r="M7164" s="189">
        <v>1110</v>
      </c>
      <c r="N7164" s="19" t="s">
        <v>66</v>
      </c>
      <c r="O7164" s="19" t="s">
        <v>98</v>
      </c>
      <c r="P7164" s="417">
        <v>2100</v>
      </c>
      <c r="Q7164" s="19">
        <v>2100</v>
      </c>
      <c r="R7164" s="19">
        <f t="shared" si="309"/>
        <v>0</v>
      </c>
      <c r="S7164" s="418">
        <v>900</v>
      </c>
      <c r="T7164" s="19" t="s">
        <v>94</v>
      </c>
      <c r="U7164" s="102" t="s">
        <v>1667</v>
      </c>
      <c r="V7164" s="186">
        <v>45931</v>
      </c>
      <c r="W7164" s="17" t="s">
        <v>44</v>
      </c>
      <c r="X7164" s="17"/>
      <c r="Y7164" s="68">
        <v>45962</v>
      </c>
      <c r="Z7164" s="17" t="s">
        <v>1668</v>
      </c>
      <c r="AA7164" s="17" t="s">
        <v>46</v>
      </c>
      <c r="AB7164" s="17" t="s">
        <v>1669</v>
      </c>
      <c r="AC7164" s="217">
        <v>45989</v>
      </c>
      <c r="AD7164" s="65">
        <v>1751</v>
      </c>
      <c r="AE7164" s="17" t="s">
        <v>48</v>
      </c>
      <c r="AF7164" s="17"/>
      <c r="AG7164" s="17"/>
      <c r="AH7164" s="17"/>
      <c r="AI7164" s="17"/>
      <c r="AJ7164" s="17"/>
      <c r="AK7164" s="17"/>
      <c r="AL7164" s="17"/>
      <c r="AM7164" s="17"/>
      <c r="AN7164" s="17"/>
      <c r="AO7164" s="17"/>
      <c r="AP7164" s="17"/>
      <c r="AQ7164" s="17"/>
      <c r="AR7164" s="17"/>
    </row>
    <row r="7165" s="25" customFormat="1" hidden="1" spans="1:44">
      <c r="A7165" s="17" t="s">
        <v>34</v>
      </c>
      <c r="B7165" s="19">
        <v>1095</v>
      </c>
      <c r="C7165" s="183">
        <v>45936</v>
      </c>
      <c r="D7165" s="17"/>
      <c r="E7165" s="17" t="s">
        <v>433</v>
      </c>
      <c r="F7165" s="17" t="s">
        <v>434</v>
      </c>
      <c r="G7165" s="17"/>
      <c r="H7165" s="19">
        <v>1.2738</v>
      </c>
      <c r="I7165" s="19"/>
      <c r="J7165" s="17" t="s">
        <v>82</v>
      </c>
      <c r="K7165" s="189">
        <v>480</v>
      </c>
      <c r="L7165" s="421">
        <v>325</v>
      </c>
      <c r="M7165" s="189">
        <v>1110</v>
      </c>
      <c r="N7165" s="19" t="s">
        <v>66</v>
      </c>
      <c r="O7165" s="19" t="s">
        <v>98</v>
      </c>
      <c r="P7165" s="417">
        <v>1370</v>
      </c>
      <c r="Q7165" s="290">
        <v>1370</v>
      </c>
      <c r="R7165" s="19">
        <f t="shared" si="309"/>
        <v>0</v>
      </c>
      <c r="S7165" s="418">
        <v>900</v>
      </c>
      <c r="T7165" s="19" t="s">
        <v>94</v>
      </c>
      <c r="U7165" s="102" t="s">
        <v>1667</v>
      </c>
      <c r="V7165" s="186">
        <v>45931</v>
      </c>
      <c r="W7165" s="17" t="s">
        <v>44</v>
      </c>
      <c r="X7165" s="17"/>
      <c r="Y7165" s="68">
        <v>45962</v>
      </c>
      <c r="Z7165" s="17" t="s">
        <v>1668</v>
      </c>
      <c r="AA7165" s="17" t="s">
        <v>46</v>
      </c>
      <c r="AB7165" s="17" t="s">
        <v>1677</v>
      </c>
      <c r="AC7165" s="217">
        <v>45978</v>
      </c>
      <c r="AD7165" s="65">
        <v>1750</v>
      </c>
      <c r="AE7165" s="17" t="s">
        <v>1674</v>
      </c>
      <c r="AF7165" s="17"/>
      <c r="AG7165" s="17"/>
      <c r="AH7165" s="17"/>
      <c r="AI7165" s="17"/>
      <c r="AJ7165" s="17"/>
      <c r="AK7165" s="17"/>
      <c r="AL7165" s="17"/>
      <c r="AM7165" s="17"/>
      <c r="AN7165" s="17"/>
      <c r="AO7165" s="17"/>
      <c r="AP7165" s="17"/>
      <c r="AQ7165" s="17"/>
      <c r="AR7165" s="17"/>
    </row>
    <row r="7166" s="25" customFormat="1" hidden="1" spans="1:44">
      <c r="A7166" s="17" t="s">
        <v>34</v>
      </c>
      <c r="B7166" s="19">
        <v>1095</v>
      </c>
      <c r="C7166" s="183">
        <v>45936</v>
      </c>
      <c r="D7166" s="17"/>
      <c r="E7166" s="17" t="s">
        <v>433</v>
      </c>
      <c r="F7166" s="17" t="s">
        <v>434</v>
      </c>
      <c r="G7166" s="17"/>
      <c r="H7166" s="19">
        <v>1.2738</v>
      </c>
      <c r="I7166" s="19"/>
      <c r="J7166" s="17" t="s">
        <v>82</v>
      </c>
      <c r="K7166" s="189">
        <v>450</v>
      </c>
      <c r="L7166" s="421">
        <v>330</v>
      </c>
      <c r="M7166" s="189">
        <v>1750</v>
      </c>
      <c r="N7166" s="19" t="s">
        <v>66</v>
      </c>
      <c r="O7166" s="19" t="s">
        <v>98</v>
      </c>
      <c r="P7166" s="417">
        <v>2154</v>
      </c>
      <c r="Q7166" s="19">
        <v>2154</v>
      </c>
      <c r="R7166" s="19">
        <f t="shared" si="309"/>
        <v>0</v>
      </c>
      <c r="S7166" s="418">
        <v>900</v>
      </c>
      <c r="T7166" s="19" t="s">
        <v>94</v>
      </c>
      <c r="U7166" s="102" t="s">
        <v>1667</v>
      </c>
      <c r="V7166" s="186">
        <v>45931</v>
      </c>
      <c r="W7166" s="17" t="s">
        <v>44</v>
      </c>
      <c r="X7166" s="17"/>
      <c r="Y7166" s="68">
        <v>45962</v>
      </c>
      <c r="Z7166" s="17" t="s">
        <v>1668</v>
      </c>
      <c r="AA7166" s="17" t="s">
        <v>46</v>
      </c>
      <c r="AB7166" s="17" t="s">
        <v>1669</v>
      </c>
      <c r="AC7166" s="217">
        <v>45989</v>
      </c>
      <c r="AD7166" s="65">
        <v>1751</v>
      </c>
      <c r="AE7166" s="17" t="s">
        <v>48</v>
      </c>
      <c r="AF7166" s="17"/>
      <c r="AG7166" s="17"/>
      <c r="AH7166" s="17"/>
      <c r="AI7166" s="17"/>
      <c r="AJ7166" s="17"/>
      <c r="AK7166" s="17"/>
      <c r="AL7166" s="17"/>
      <c r="AM7166" s="17"/>
      <c r="AN7166" s="17"/>
      <c r="AO7166" s="17"/>
      <c r="AP7166" s="17"/>
      <c r="AQ7166" s="17"/>
      <c r="AR7166" s="17"/>
    </row>
    <row r="7167" s="25" customFormat="1" hidden="1" spans="1:44">
      <c r="A7167" s="17" t="s">
        <v>34</v>
      </c>
      <c r="B7167" s="19">
        <v>1095</v>
      </c>
      <c r="C7167" s="183">
        <v>45936</v>
      </c>
      <c r="D7167" s="17"/>
      <c r="E7167" s="17" t="s">
        <v>433</v>
      </c>
      <c r="F7167" s="17" t="s">
        <v>434</v>
      </c>
      <c r="G7167" s="17"/>
      <c r="H7167" s="19">
        <v>1.2738</v>
      </c>
      <c r="I7167" s="19"/>
      <c r="J7167" s="17" t="s">
        <v>82</v>
      </c>
      <c r="K7167" s="189">
        <v>535</v>
      </c>
      <c r="L7167" s="421">
        <v>345</v>
      </c>
      <c r="M7167" s="189">
        <v>1940</v>
      </c>
      <c r="N7167" s="19" t="s">
        <v>66</v>
      </c>
      <c r="O7167" s="19" t="s">
        <v>98</v>
      </c>
      <c r="P7167" s="417">
        <v>2830</v>
      </c>
      <c r="Q7167" s="19">
        <v>2830</v>
      </c>
      <c r="R7167" s="19">
        <f t="shared" si="309"/>
        <v>0</v>
      </c>
      <c r="S7167" s="418">
        <v>900</v>
      </c>
      <c r="T7167" s="19" t="s">
        <v>94</v>
      </c>
      <c r="U7167" s="102" t="s">
        <v>1667</v>
      </c>
      <c r="V7167" s="186">
        <v>45931</v>
      </c>
      <c r="W7167" s="17" t="s">
        <v>44</v>
      </c>
      <c r="X7167" s="17"/>
      <c r="Y7167" s="68">
        <v>45962</v>
      </c>
      <c r="Z7167" s="17" t="s">
        <v>1668</v>
      </c>
      <c r="AA7167" s="17" t="s">
        <v>46</v>
      </c>
      <c r="AB7167" s="17" t="s">
        <v>1669</v>
      </c>
      <c r="AC7167" s="217">
        <v>45989</v>
      </c>
      <c r="AD7167" s="65">
        <v>1751</v>
      </c>
      <c r="AE7167" s="17" t="s">
        <v>48</v>
      </c>
      <c r="AF7167" s="17"/>
      <c r="AG7167" s="17"/>
      <c r="AH7167" s="17"/>
      <c r="AI7167" s="17"/>
      <c r="AJ7167" s="17"/>
      <c r="AK7167" s="17"/>
      <c r="AL7167" s="17"/>
      <c r="AM7167" s="17"/>
      <c r="AN7167" s="17"/>
      <c r="AO7167" s="17"/>
      <c r="AP7167" s="17"/>
      <c r="AQ7167" s="17"/>
      <c r="AR7167" s="17"/>
    </row>
    <row r="7168" s="25" customFormat="1" hidden="1" spans="1:44">
      <c r="A7168" s="17" t="s">
        <v>34</v>
      </c>
      <c r="B7168" s="19">
        <v>1095</v>
      </c>
      <c r="C7168" s="183">
        <v>45936</v>
      </c>
      <c r="D7168" s="17"/>
      <c r="E7168" s="17" t="s">
        <v>433</v>
      </c>
      <c r="F7168" s="17" t="s">
        <v>434</v>
      </c>
      <c r="G7168" s="17"/>
      <c r="H7168" s="19">
        <v>1.2738</v>
      </c>
      <c r="I7168" s="19"/>
      <c r="J7168" s="17" t="s">
        <v>82</v>
      </c>
      <c r="K7168" s="189">
        <v>555</v>
      </c>
      <c r="L7168" s="421">
        <v>365</v>
      </c>
      <c r="M7168" s="189">
        <v>1550</v>
      </c>
      <c r="N7168" s="19" t="s">
        <v>66</v>
      </c>
      <c r="O7168" s="19" t="s">
        <v>98</v>
      </c>
      <c r="P7168" s="417">
        <v>2655</v>
      </c>
      <c r="Q7168" s="290">
        <v>2655</v>
      </c>
      <c r="R7168" s="19">
        <f t="shared" si="309"/>
        <v>0</v>
      </c>
      <c r="S7168" s="418">
        <v>900</v>
      </c>
      <c r="T7168" s="19" t="s">
        <v>94</v>
      </c>
      <c r="U7168" s="102" t="s">
        <v>1667</v>
      </c>
      <c r="V7168" s="186">
        <v>45931</v>
      </c>
      <c r="W7168" s="17" t="s">
        <v>44</v>
      </c>
      <c r="X7168" s="17"/>
      <c r="Y7168" s="68">
        <v>45962</v>
      </c>
      <c r="Z7168" s="17" t="s">
        <v>1668</v>
      </c>
      <c r="AA7168" s="17" t="s">
        <v>46</v>
      </c>
      <c r="AB7168" s="17" t="s">
        <v>1677</v>
      </c>
      <c r="AC7168" s="217">
        <v>45978</v>
      </c>
      <c r="AD7168" s="65">
        <v>1750</v>
      </c>
      <c r="AE7168" s="17" t="s">
        <v>1674</v>
      </c>
      <c r="AF7168" s="17"/>
      <c r="AG7168" s="17"/>
      <c r="AH7168" s="17"/>
      <c r="AI7168" s="17"/>
      <c r="AJ7168" s="17"/>
      <c r="AK7168" s="17"/>
      <c r="AL7168" s="17"/>
      <c r="AM7168" s="17"/>
      <c r="AN7168" s="17"/>
      <c r="AO7168" s="17"/>
      <c r="AP7168" s="17"/>
      <c r="AQ7168" s="17"/>
      <c r="AR7168" s="17"/>
    </row>
    <row r="7169" s="25" customFormat="1" hidden="1" spans="1:44">
      <c r="A7169" s="17" t="s">
        <v>34</v>
      </c>
      <c r="B7169" s="19">
        <v>1095</v>
      </c>
      <c r="C7169" s="183">
        <v>45936</v>
      </c>
      <c r="D7169" s="17"/>
      <c r="E7169" s="17" t="s">
        <v>433</v>
      </c>
      <c r="F7169" s="17" t="s">
        <v>434</v>
      </c>
      <c r="G7169" s="17"/>
      <c r="H7169" s="19">
        <v>1.2738</v>
      </c>
      <c r="I7169" s="19"/>
      <c r="J7169" s="17" t="s">
        <v>82</v>
      </c>
      <c r="K7169" s="189">
        <v>720</v>
      </c>
      <c r="L7169" s="421">
        <v>500</v>
      </c>
      <c r="M7169" s="189">
        <v>1050</v>
      </c>
      <c r="N7169" s="19" t="s">
        <v>66</v>
      </c>
      <c r="O7169" s="19" t="s">
        <v>98</v>
      </c>
      <c r="P7169" s="417">
        <v>3115</v>
      </c>
      <c r="Q7169" s="19">
        <v>3115</v>
      </c>
      <c r="R7169" s="19">
        <f t="shared" si="309"/>
        <v>0</v>
      </c>
      <c r="S7169" s="418">
        <v>900</v>
      </c>
      <c r="T7169" s="19" t="s">
        <v>94</v>
      </c>
      <c r="U7169" s="102" t="s">
        <v>1667</v>
      </c>
      <c r="V7169" s="186">
        <v>45931</v>
      </c>
      <c r="W7169" s="17" t="s">
        <v>44</v>
      </c>
      <c r="X7169" s="17"/>
      <c r="Y7169" s="68">
        <v>45962</v>
      </c>
      <c r="Z7169" s="17" t="s">
        <v>1668</v>
      </c>
      <c r="AA7169" s="17" t="s">
        <v>46</v>
      </c>
      <c r="AB7169" s="17" t="s">
        <v>1670</v>
      </c>
      <c r="AC7169" s="217">
        <v>45966</v>
      </c>
      <c r="AD7169" s="65">
        <v>1749</v>
      </c>
      <c r="AE7169" s="17" t="s">
        <v>48</v>
      </c>
      <c r="AF7169" s="17"/>
      <c r="AG7169" s="17"/>
      <c r="AH7169" s="17"/>
      <c r="AI7169" s="17"/>
      <c r="AJ7169" s="17"/>
      <c r="AK7169" s="17"/>
      <c r="AL7169" s="17"/>
      <c r="AM7169" s="17"/>
      <c r="AN7169" s="17"/>
      <c r="AO7169" s="17"/>
      <c r="AP7169" s="17"/>
      <c r="AQ7169" s="17"/>
      <c r="AR7169" s="17"/>
    </row>
    <row r="7170" s="25" customFormat="1" hidden="1" spans="1:44">
      <c r="A7170" s="17" t="s">
        <v>34</v>
      </c>
      <c r="B7170" s="19">
        <v>1095</v>
      </c>
      <c r="C7170" s="183">
        <v>45936</v>
      </c>
      <c r="D7170" s="17"/>
      <c r="E7170" s="17" t="s">
        <v>433</v>
      </c>
      <c r="F7170" s="17" t="s">
        <v>434</v>
      </c>
      <c r="G7170" s="17"/>
      <c r="H7170" s="19">
        <v>1.2738</v>
      </c>
      <c r="I7170" s="19"/>
      <c r="J7170" s="17" t="s">
        <v>82</v>
      </c>
      <c r="K7170" s="189" t="s">
        <v>872</v>
      </c>
      <c r="L7170" s="421" t="s">
        <v>908</v>
      </c>
      <c r="M7170" s="189" t="s">
        <v>820</v>
      </c>
      <c r="N7170" s="19" t="s">
        <v>66</v>
      </c>
      <c r="O7170" s="19" t="s">
        <v>98</v>
      </c>
      <c r="P7170" s="417">
        <v>1235</v>
      </c>
      <c r="Q7170" s="290">
        <v>1235</v>
      </c>
      <c r="R7170" s="19">
        <f t="shared" si="309"/>
        <v>0</v>
      </c>
      <c r="S7170" s="418">
        <v>900</v>
      </c>
      <c r="T7170" s="19" t="s">
        <v>94</v>
      </c>
      <c r="U7170" s="102" t="s">
        <v>1667</v>
      </c>
      <c r="V7170" s="186">
        <v>45931</v>
      </c>
      <c r="W7170" s="17" t="s">
        <v>44</v>
      </c>
      <c r="X7170" s="17"/>
      <c r="Y7170" s="68">
        <v>45962</v>
      </c>
      <c r="Z7170" s="17" t="s">
        <v>1668</v>
      </c>
      <c r="AA7170" s="17" t="s">
        <v>46</v>
      </c>
      <c r="AB7170" s="17" t="s">
        <v>1677</v>
      </c>
      <c r="AC7170" s="217">
        <v>45978</v>
      </c>
      <c r="AD7170" s="65">
        <v>1750</v>
      </c>
      <c r="AE7170" s="17" t="s">
        <v>74</v>
      </c>
      <c r="AF7170" s="17"/>
      <c r="AG7170" s="17"/>
      <c r="AH7170" s="17"/>
      <c r="AI7170" s="17"/>
      <c r="AJ7170" s="17"/>
      <c r="AK7170" s="17"/>
      <c r="AL7170" s="17"/>
      <c r="AM7170" s="17"/>
      <c r="AN7170" s="17"/>
      <c r="AO7170" s="17"/>
      <c r="AP7170" s="17"/>
      <c r="AQ7170" s="17"/>
      <c r="AR7170" s="17"/>
    </row>
    <row r="7171" s="25" customFormat="1" hidden="1" spans="1:44">
      <c r="A7171" s="17" t="s">
        <v>34</v>
      </c>
      <c r="B7171" s="19">
        <v>1095</v>
      </c>
      <c r="C7171" s="183">
        <v>45936</v>
      </c>
      <c r="D7171" s="17"/>
      <c r="E7171" s="17" t="s">
        <v>433</v>
      </c>
      <c r="F7171" s="17" t="s">
        <v>434</v>
      </c>
      <c r="G7171" s="17"/>
      <c r="H7171" s="19">
        <v>1.2738</v>
      </c>
      <c r="I7171" s="19"/>
      <c r="J7171" s="17" t="s">
        <v>82</v>
      </c>
      <c r="K7171" s="189" t="s">
        <v>1684</v>
      </c>
      <c r="L7171" s="421" t="s">
        <v>1685</v>
      </c>
      <c r="M7171" s="189" t="s">
        <v>1686</v>
      </c>
      <c r="N7171" s="19" t="s">
        <v>66</v>
      </c>
      <c r="O7171" s="19" t="s">
        <v>98</v>
      </c>
      <c r="P7171" s="417">
        <v>1200</v>
      </c>
      <c r="Q7171" s="19">
        <v>1200</v>
      </c>
      <c r="R7171" s="19">
        <f t="shared" si="309"/>
        <v>0</v>
      </c>
      <c r="S7171" s="418">
        <v>900</v>
      </c>
      <c r="T7171" s="19" t="s">
        <v>94</v>
      </c>
      <c r="U7171" s="102" t="s">
        <v>1667</v>
      </c>
      <c r="V7171" s="186">
        <v>45931</v>
      </c>
      <c r="W7171" s="17" t="s">
        <v>44</v>
      </c>
      <c r="X7171" s="17"/>
      <c r="Y7171" s="68">
        <v>45962</v>
      </c>
      <c r="Z7171" s="17" t="s">
        <v>1668</v>
      </c>
      <c r="AA7171" s="17" t="s">
        <v>46</v>
      </c>
      <c r="AB7171" s="17" t="s">
        <v>1670</v>
      </c>
      <c r="AC7171" s="217">
        <v>45966</v>
      </c>
      <c r="AD7171" s="65">
        <v>1749</v>
      </c>
      <c r="AE7171" s="17" t="s">
        <v>147</v>
      </c>
      <c r="AF7171" s="17"/>
      <c r="AG7171" s="17"/>
      <c r="AH7171" s="17"/>
      <c r="AI7171" s="17"/>
      <c r="AJ7171" s="17"/>
      <c r="AK7171" s="17"/>
      <c r="AL7171" s="17"/>
      <c r="AM7171" s="17"/>
      <c r="AN7171" s="17"/>
      <c r="AO7171" s="17"/>
      <c r="AP7171" s="17"/>
      <c r="AQ7171" s="17"/>
      <c r="AR7171" s="17"/>
    </row>
    <row r="7172" s="25" customFormat="1" hidden="1" spans="1:44">
      <c r="A7172" s="17" t="s">
        <v>34</v>
      </c>
      <c r="B7172" s="19">
        <v>1095</v>
      </c>
      <c r="C7172" s="183">
        <v>45936</v>
      </c>
      <c r="D7172" s="17"/>
      <c r="E7172" s="17" t="s">
        <v>433</v>
      </c>
      <c r="F7172" s="17" t="s">
        <v>434</v>
      </c>
      <c r="G7172" s="17"/>
      <c r="H7172" s="19">
        <v>1.2738</v>
      </c>
      <c r="I7172" s="19"/>
      <c r="J7172" s="17" t="s">
        <v>82</v>
      </c>
      <c r="K7172" s="428" t="s">
        <v>1687</v>
      </c>
      <c r="L7172" s="426" t="s">
        <v>794</v>
      </c>
      <c r="M7172" s="428" t="s">
        <v>1688</v>
      </c>
      <c r="N7172" s="19" t="s">
        <v>66</v>
      </c>
      <c r="O7172" s="19" t="s">
        <v>98</v>
      </c>
      <c r="P7172" s="417">
        <v>2680</v>
      </c>
      <c r="Q7172" s="19">
        <v>2680</v>
      </c>
      <c r="R7172" s="19">
        <f t="shared" si="309"/>
        <v>0</v>
      </c>
      <c r="S7172" s="418">
        <v>900</v>
      </c>
      <c r="T7172" s="19" t="s">
        <v>94</v>
      </c>
      <c r="U7172" s="102" t="s">
        <v>1667</v>
      </c>
      <c r="V7172" s="186">
        <v>45931</v>
      </c>
      <c r="W7172" s="17" t="s">
        <v>44</v>
      </c>
      <c r="X7172" s="17"/>
      <c r="Y7172" s="68">
        <v>45962</v>
      </c>
      <c r="Z7172" s="17" t="s">
        <v>1668</v>
      </c>
      <c r="AA7172" s="17" t="s">
        <v>46</v>
      </c>
      <c r="AB7172" s="17" t="s">
        <v>1669</v>
      </c>
      <c r="AC7172" s="217">
        <v>45989</v>
      </c>
      <c r="AD7172" s="65">
        <v>1751</v>
      </c>
      <c r="AE7172" s="17" t="s">
        <v>48</v>
      </c>
      <c r="AF7172" s="17"/>
      <c r="AG7172" s="17"/>
      <c r="AH7172" s="17"/>
      <c r="AI7172" s="17"/>
      <c r="AJ7172" s="17"/>
      <c r="AK7172" s="17"/>
      <c r="AL7172" s="17"/>
      <c r="AM7172" s="17"/>
      <c r="AN7172" s="17"/>
      <c r="AO7172" s="17"/>
      <c r="AP7172" s="17"/>
      <c r="AQ7172" s="17"/>
      <c r="AR7172" s="17"/>
    </row>
    <row r="7173" s="25" customFormat="1" hidden="1" spans="1:44">
      <c r="A7173" s="17" t="s">
        <v>34</v>
      </c>
      <c r="B7173" s="19">
        <v>1096</v>
      </c>
      <c r="C7173" s="183">
        <v>45936</v>
      </c>
      <c r="D7173" s="17"/>
      <c r="E7173" s="17" t="s">
        <v>433</v>
      </c>
      <c r="F7173" s="17" t="s">
        <v>434</v>
      </c>
      <c r="G7173" s="17"/>
      <c r="H7173" s="19">
        <v>1.2311</v>
      </c>
      <c r="I7173" s="19"/>
      <c r="J7173" s="17" t="s">
        <v>82</v>
      </c>
      <c r="K7173" s="188">
        <v>770</v>
      </c>
      <c r="L7173" s="188">
        <v>35</v>
      </c>
      <c r="M7173" s="188">
        <v>2115</v>
      </c>
      <c r="N7173" s="19" t="s">
        <v>66</v>
      </c>
      <c r="O7173" s="19" t="s">
        <v>98</v>
      </c>
      <c r="P7173" s="429">
        <v>520</v>
      </c>
      <c r="Q7173" s="290">
        <v>520</v>
      </c>
      <c r="R7173" s="19">
        <f t="shared" si="309"/>
        <v>0</v>
      </c>
      <c r="S7173" s="93">
        <v>800</v>
      </c>
      <c r="T7173" s="19" t="s">
        <v>94</v>
      </c>
      <c r="U7173" s="102" t="s">
        <v>1667</v>
      </c>
      <c r="V7173" s="186">
        <v>45931</v>
      </c>
      <c r="W7173" s="17" t="s">
        <v>44</v>
      </c>
      <c r="X7173" s="17"/>
      <c r="Y7173" s="68">
        <v>45962</v>
      </c>
      <c r="Z7173" s="17" t="s">
        <v>1668</v>
      </c>
      <c r="AA7173" s="17" t="s">
        <v>46</v>
      </c>
      <c r="AB7173" s="17" t="s">
        <v>1677</v>
      </c>
      <c r="AC7173" s="217">
        <v>45978</v>
      </c>
      <c r="AD7173" s="65">
        <v>1750</v>
      </c>
      <c r="AE7173" s="17" t="s">
        <v>48</v>
      </c>
      <c r="AF7173" s="17"/>
      <c r="AG7173" s="17"/>
      <c r="AH7173" s="17"/>
      <c r="AI7173" s="17"/>
      <c r="AJ7173" s="17"/>
      <c r="AK7173" s="17"/>
      <c r="AL7173" s="17"/>
      <c r="AM7173" s="17"/>
      <c r="AN7173" s="17"/>
      <c r="AO7173" s="17"/>
      <c r="AP7173" s="17"/>
      <c r="AQ7173" s="17"/>
      <c r="AR7173" s="17"/>
    </row>
    <row r="7174" s="25" customFormat="1" hidden="1" spans="1:44">
      <c r="A7174" s="17" t="s">
        <v>34</v>
      </c>
      <c r="B7174" s="19">
        <v>1096</v>
      </c>
      <c r="C7174" s="183">
        <v>45936</v>
      </c>
      <c r="D7174" s="17"/>
      <c r="E7174" s="17" t="s">
        <v>433</v>
      </c>
      <c r="F7174" s="17" t="s">
        <v>434</v>
      </c>
      <c r="G7174" s="17"/>
      <c r="H7174" s="19">
        <v>1.2311</v>
      </c>
      <c r="I7174" s="19"/>
      <c r="J7174" s="17" t="s">
        <v>82</v>
      </c>
      <c r="K7174" s="188">
        <v>680</v>
      </c>
      <c r="L7174" s="188">
        <v>40</v>
      </c>
      <c r="M7174" s="188">
        <v>2430</v>
      </c>
      <c r="N7174" s="19" t="s">
        <v>66</v>
      </c>
      <c r="O7174" s="19" t="s">
        <v>98</v>
      </c>
      <c r="P7174" s="430">
        <v>595</v>
      </c>
      <c r="Q7174" s="290">
        <v>595</v>
      </c>
      <c r="R7174" s="19">
        <f t="shared" si="309"/>
        <v>0</v>
      </c>
      <c r="S7174" s="19">
        <v>800</v>
      </c>
      <c r="T7174" s="19" t="s">
        <v>94</v>
      </c>
      <c r="U7174" s="102" t="s">
        <v>1667</v>
      </c>
      <c r="V7174" s="186">
        <v>45931</v>
      </c>
      <c r="W7174" s="17" t="s">
        <v>44</v>
      </c>
      <c r="X7174" s="17"/>
      <c r="Y7174" s="68">
        <v>45962</v>
      </c>
      <c r="Z7174" s="17" t="s">
        <v>1668</v>
      </c>
      <c r="AA7174" s="17" t="s">
        <v>46</v>
      </c>
      <c r="AB7174" s="17" t="s">
        <v>1677</v>
      </c>
      <c r="AC7174" s="217">
        <v>45978</v>
      </c>
      <c r="AD7174" s="65">
        <v>1750</v>
      </c>
      <c r="AE7174" s="17" t="s">
        <v>48</v>
      </c>
      <c r="AF7174" s="17"/>
      <c r="AG7174" s="17"/>
      <c r="AH7174" s="17"/>
      <c r="AI7174" s="17"/>
      <c r="AJ7174" s="17"/>
      <c r="AK7174" s="17"/>
      <c r="AL7174" s="17"/>
      <c r="AM7174" s="17"/>
      <c r="AN7174" s="17"/>
      <c r="AO7174" s="17"/>
      <c r="AP7174" s="17"/>
      <c r="AQ7174" s="17"/>
      <c r="AR7174" s="17"/>
    </row>
    <row r="7175" s="25" customFormat="1" hidden="1" spans="1:44">
      <c r="A7175" s="17" t="s">
        <v>34</v>
      </c>
      <c r="B7175" s="19">
        <v>1096</v>
      </c>
      <c r="C7175" s="183">
        <v>45936</v>
      </c>
      <c r="D7175" s="17"/>
      <c r="E7175" s="17" t="s">
        <v>433</v>
      </c>
      <c r="F7175" s="17" t="s">
        <v>434</v>
      </c>
      <c r="G7175" s="17"/>
      <c r="H7175" s="19">
        <v>1.2311</v>
      </c>
      <c r="I7175" s="19"/>
      <c r="J7175" s="17" t="s">
        <v>82</v>
      </c>
      <c r="K7175" s="188">
        <v>610</v>
      </c>
      <c r="L7175" s="188">
        <v>40</v>
      </c>
      <c r="M7175" s="188">
        <v>2110</v>
      </c>
      <c r="N7175" s="19" t="s">
        <v>66</v>
      </c>
      <c r="O7175" s="19" t="s">
        <v>98</v>
      </c>
      <c r="P7175" s="430">
        <v>570</v>
      </c>
      <c r="Q7175" s="19">
        <v>570</v>
      </c>
      <c r="R7175" s="19">
        <f t="shared" si="309"/>
        <v>0</v>
      </c>
      <c r="S7175" s="19">
        <v>800</v>
      </c>
      <c r="T7175" s="19" t="s">
        <v>94</v>
      </c>
      <c r="U7175" s="102" t="s">
        <v>1667</v>
      </c>
      <c r="V7175" s="186">
        <v>45931</v>
      </c>
      <c r="W7175" s="17" t="s">
        <v>44</v>
      </c>
      <c r="X7175" s="17"/>
      <c r="Y7175" s="68">
        <v>45962</v>
      </c>
      <c r="Z7175" s="17" t="s">
        <v>1668</v>
      </c>
      <c r="AA7175" s="17" t="s">
        <v>46</v>
      </c>
      <c r="AB7175" s="17" t="s">
        <v>1669</v>
      </c>
      <c r="AC7175" s="217">
        <v>45989</v>
      </c>
      <c r="AD7175" s="65">
        <v>1751</v>
      </c>
      <c r="AE7175" s="17" t="s">
        <v>48</v>
      </c>
      <c r="AF7175" s="17"/>
      <c r="AG7175" s="17"/>
      <c r="AH7175" s="17"/>
      <c r="AI7175" s="17"/>
      <c r="AJ7175" s="17"/>
      <c r="AK7175" s="17"/>
      <c r="AL7175" s="17"/>
      <c r="AM7175" s="17"/>
      <c r="AN7175" s="17"/>
      <c r="AO7175" s="17"/>
      <c r="AP7175" s="17"/>
      <c r="AQ7175" s="17"/>
      <c r="AR7175" s="17"/>
    </row>
    <row r="7176" s="25" customFormat="1" hidden="1" spans="1:44">
      <c r="A7176" s="17" t="s">
        <v>34</v>
      </c>
      <c r="B7176" s="19">
        <v>1096</v>
      </c>
      <c r="C7176" s="183">
        <v>45936</v>
      </c>
      <c r="D7176" s="17"/>
      <c r="E7176" s="17" t="s">
        <v>433</v>
      </c>
      <c r="F7176" s="17" t="s">
        <v>434</v>
      </c>
      <c r="G7176" s="17"/>
      <c r="H7176" s="19">
        <v>1.2311</v>
      </c>
      <c r="I7176" s="19"/>
      <c r="J7176" s="17" t="s">
        <v>82</v>
      </c>
      <c r="K7176" s="188">
        <v>680</v>
      </c>
      <c r="L7176" s="188">
        <v>40</v>
      </c>
      <c r="M7176" s="188">
        <v>2230</v>
      </c>
      <c r="N7176" s="19" t="s">
        <v>66</v>
      </c>
      <c r="O7176" s="19" t="s">
        <v>98</v>
      </c>
      <c r="P7176" s="430">
        <v>510</v>
      </c>
      <c r="Q7176" s="290">
        <v>510</v>
      </c>
      <c r="R7176" s="19">
        <f t="shared" si="309"/>
        <v>0</v>
      </c>
      <c r="S7176" s="19">
        <v>800</v>
      </c>
      <c r="T7176" s="19" t="s">
        <v>94</v>
      </c>
      <c r="U7176" s="102" t="s">
        <v>1667</v>
      </c>
      <c r="V7176" s="186">
        <v>45931</v>
      </c>
      <c r="W7176" s="17" t="s">
        <v>44</v>
      </c>
      <c r="X7176" s="17"/>
      <c r="Y7176" s="68">
        <v>45962</v>
      </c>
      <c r="Z7176" s="17" t="s">
        <v>1668</v>
      </c>
      <c r="AA7176" s="17" t="s">
        <v>46</v>
      </c>
      <c r="AB7176" s="17" t="s">
        <v>1673</v>
      </c>
      <c r="AC7176" s="217">
        <v>45960</v>
      </c>
      <c r="AD7176" s="65">
        <v>1747</v>
      </c>
      <c r="AE7176" s="17" t="s">
        <v>147</v>
      </c>
      <c r="AF7176" s="17"/>
      <c r="AG7176" s="17"/>
      <c r="AH7176" s="17"/>
      <c r="AI7176" s="17"/>
      <c r="AJ7176" s="17"/>
      <c r="AK7176" s="17"/>
      <c r="AL7176" s="17"/>
      <c r="AM7176" s="17"/>
      <c r="AN7176" s="17"/>
      <c r="AO7176" s="17"/>
      <c r="AP7176" s="17"/>
      <c r="AQ7176" s="17"/>
      <c r="AR7176" s="17"/>
    </row>
    <row r="7177" s="25" customFormat="1" hidden="1" spans="1:44">
      <c r="A7177" s="17" t="s">
        <v>34</v>
      </c>
      <c r="B7177" s="19">
        <v>1096</v>
      </c>
      <c r="C7177" s="183">
        <v>45936</v>
      </c>
      <c r="D7177" s="17"/>
      <c r="E7177" s="17" t="s">
        <v>433</v>
      </c>
      <c r="F7177" s="17" t="s">
        <v>434</v>
      </c>
      <c r="G7177" s="17"/>
      <c r="H7177" s="19">
        <v>1.2311</v>
      </c>
      <c r="I7177" s="19"/>
      <c r="J7177" s="17" t="s">
        <v>82</v>
      </c>
      <c r="K7177" s="188">
        <v>785</v>
      </c>
      <c r="L7177" s="188">
        <v>50</v>
      </c>
      <c r="M7177" s="188">
        <v>1590</v>
      </c>
      <c r="N7177" s="19" t="s">
        <v>66</v>
      </c>
      <c r="O7177" s="19" t="s">
        <v>98</v>
      </c>
      <c r="P7177" s="430">
        <v>525</v>
      </c>
      <c r="Q7177" s="290">
        <v>525</v>
      </c>
      <c r="R7177" s="19">
        <f t="shared" si="309"/>
        <v>0</v>
      </c>
      <c r="S7177" s="19">
        <v>800</v>
      </c>
      <c r="T7177" s="19" t="s">
        <v>94</v>
      </c>
      <c r="U7177" s="102" t="s">
        <v>1667</v>
      </c>
      <c r="V7177" s="186">
        <v>45931</v>
      </c>
      <c r="W7177" s="17" t="s">
        <v>44</v>
      </c>
      <c r="X7177" s="17"/>
      <c r="Y7177" s="68">
        <v>45962</v>
      </c>
      <c r="Z7177" s="17" t="s">
        <v>1668</v>
      </c>
      <c r="AA7177" s="17" t="s">
        <v>46</v>
      </c>
      <c r="AB7177" s="17" t="s">
        <v>1677</v>
      </c>
      <c r="AC7177" s="217">
        <v>45978</v>
      </c>
      <c r="AD7177" s="65">
        <v>1750</v>
      </c>
      <c r="AE7177" s="17" t="s">
        <v>74</v>
      </c>
      <c r="AF7177" s="17"/>
      <c r="AG7177" s="17"/>
      <c r="AH7177" s="17"/>
      <c r="AI7177" s="17"/>
      <c r="AJ7177" s="17"/>
      <c r="AK7177" s="17"/>
      <c r="AL7177" s="17"/>
      <c r="AM7177" s="17"/>
      <c r="AN7177" s="17"/>
      <c r="AO7177" s="17"/>
      <c r="AP7177" s="17"/>
      <c r="AQ7177" s="17"/>
      <c r="AR7177" s="17"/>
    </row>
    <row r="7178" s="25" customFormat="1" hidden="1" spans="1:44">
      <c r="A7178" s="17" t="s">
        <v>34</v>
      </c>
      <c r="B7178" s="19">
        <v>1096</v>
      </c>
      <c r="C7178" s="183">
        <v>45936</v>
      </c>
      <c r="D7178" s="17"/>
      <c r="E7178" s="17" t="s">
        <v>433</v>
      </c>
      <c r="F7178" s="17" t="s">
        <v>434</v>
      </c>
      <c r="G7178" s="17"/>
      <c r="H7178" s="19">
        <v>1.2311</v>
      </c>
      <c r="I7178" s="19"/>
      <c r="J7178" s="17" t="s">
        <v>82</v>
      </c>
      <c r="K7178" s="188">
        <v>700</v>
      </c>
      <c r="L7178" s="188">
        <v>50</v>
      </c>
      <c r="M7178" s="188">
        <v>1160</v>
      </c>
      <c r="N7178" s="19" t="s">
        <v>66</v>
      </c>
      <c r="O7178" s="19" t="s">
        <v>98</v>
      </c>
      <c r="P7178" s="430">
        <v>366</v>
      </c>
      <c r="Q7178" s="290">
        <v>366</v>
      </c>
      <c r="R7178" s="19">
        <f t="shared" si="309"/>
        <v>0</v>
      </c>
      <c r="S7178" s="19">
        <v>800</v>
      </c>
      <c r="T7178" s="19" t="s">
        <v>94</v>
      </c>
      <c r="U7178" s="102" t="s">
        <v>1667</v>
      </c>
      <c r="V7178" s="186">
        <v>45931</v>
      </c>
      <c r="W7178" s="17" t="s">
        <v>44</v>
      </c>
      <c r="X7178" s="17"/>
      <c r="Y7178" s="68">
        <v>45962</v>
      </c>
      <c r="Z7178" s="17" t="s">
        <v>1668</v>
      </c>
      <c r="AA7178" s="17" t="s">
        <v>46</v>
      </c>
      <c r="AB7178" s="17" t="s">
        <v>1673</v>
      </c>
      <c r="AC7178" s="217">
        <v>45960</v>
      </c>
      <c r="AD7178" s="65">
        <v>1747</v>
      </c>
      <c r="AE7178" s="17" t="s">
        <v>147</v>
      </c>
      <c r="AF7178" s="17"/>
      <c r="AG7178" s="17"/>
      <c r="AH7178" s="17"/>
      <c r="AI7178" s="17"/>
      <c r="AJ7178" s="17"/>
      <c r="AK7178" s="17"/>
      <c r="AL7178" s="17"/>
      <c r="AM7178" s="17"/>
      <c r="AN7178" s="17"/>
      <c r="AO7178" s="17"/>
      <c r="AP7178" s="17"/>
      <c r="AQ7178" s="17"/>
      <c r="AR7178" s="17"/>
    </row>
    <row r="7179" s="25" customFormat="1" hidden="1" spans="1:44">
      <c r="A7179" s="17" t="s">
        <v>34</v>
      </c>
      <c r="B7179" s="19">
        <v>1096</v>
      </c>
      <c r="C7179" s="183">
        <v>45936</v>
      </c>
      <c r="D7179" s="17"/>
      <c r="E7179" s="17" t="s">
        <v>433</v>
      </c>
      <c r="F7179" s="17" t="s">
        <v>434</v>
      </c>
      <c r="G7179" s="17"/>
      <c r="H7179" s="19">
        <v>1.2311</v>
      </c>
      <c r="I7179" s="19"/>
      <c r="J7179" s="17" t="s">
        <v>82</v>
      </c>
      <c r="K7179" s="188">
        <v>700</v>
      </c>
      <c r="L7179" s="188">
        <v>55</v>
      </c>
      <c r="M7179" s="188">
        <v>1445</v>
      </c>
      <c r="N7179" s="19" t="s">
        <v>66</v>
      </c>
      <c r="O7179" s="19" t="s">
        <v>98</v>
      </c>
      <c r="P7179" s="430">
        <v>450</v>
      </c>
      <c r="Q7179" s="290">
        <v>450</v>
      </c>
      <c r="R7179" s="19">
        <f t="shared" si="309"/>
        <v>0</v>
      </c>
      <c r="S7179" s="19">
        <v>800</v>
      </c>
      <c r="T7179" s="19" t="s">
        <v>94</v>
      </c>
      <c r="U7179" s="102" t="s">
        <v>1667</v>
      </c>
      <c r="V7179" s="186">
        <v>45931</v>
      </c>
      <c r="W7179" s="17" t="s">
        <v>44</v>
      </c>
      <c r="X7179" s="17"/>
      <c r="Y7179" s="68">
        <v>45962</v>
      </c>
      <c r="Z7179" s="17" t="s">
        <v>1668</v>
      </c>
      <c r="AA7179" s="17" t="s">
        <v>46</v>
      </c>
      <c r="AB7179" s="17" t="s">
        <v>1677</v>
      </c>
      <c r="AC7179" s="217">
        <v>45978</v>
      </c>
      <c r="AD7179" s="65">
        <v>1750</v>
      </c>
      <c r="AE7179" s="17" t="s">
        <v>74</v>
      </c>
      <c r="AF7179" s="17"/>
      <c r="AG7179" s="17"/>
      <c r="AH7179" s="17"/>
      <c r="AI7179" s="17"/>
      <c r="AJ7179" s="17"/>
      <c r="AK7179" s="17"/>
      <c r="AL7179" s="17"/>
      <c r="AM7179" s="17"/>
      <c r="AN7179" s="17"/>
      <c r="AO7179" s="17"/>
      <c r="AP7179" s="17"/>
      <c r="AQ7179" s="17"/>
      <c r="AR7179" s="17"/>
    </row>
    <row r="7180" s="25" customFormat="1" hidden="1" spans="1:44">
      <c r="A7180" s="17" t="s">
        <v>34</v>
      </c>
      <c r="B7180" s="19">
        <v>1096</v>
      </c>
      <c r="C7180" s="183">
        <v>45936</v>
      </c>
      <c r="D7180" s="17"/>
      <c r="E7180" s="17" t="s">
        <v>433</v>
      </c>
      <c r="F7180" s="17" t="s">
        <v>434</v>
      </c>
      <c r="G7180" s="17"/>
      <c r="H7180" s="19">
        <v>1.2311</v>
      </c>
      <c r="I7180" s="19"/>
      <c r="J7180" s="17" t="s">
        <v>82</v>
      </c>
      <c r="K7180" s="188">
        <v>615</v>
      </c>
      <c r="L7180" s="188">
        <v>55</v>
      </c>
      <c r="M7180" s="188">
        <v>665</v>
      </c>
      <c r="N7180" s="19" t="s">
        <v>66</v>
      </c>
      <c r="O7180" s="19" t="s">
        <v>98</v>
      </c>
      <c r="P7180" s="430">
        <v>195</v>
      </c>
      <c r="Q7180" s="290">
        <v>195</v>
      </c>
      <c r="R7180" s="19">
        <f t="shared" si="309"/>
        <v>0</v>
      </c>
      <c r="S7180" s="19">
        <v>800</v>
      </c>
      <c r="T7180" s="19" t="s">
        <v>94</v>
      </c>
      <c r="U7180" s="102" t="s">
        <v>1667</v>
      </c>
      <c r="V7180" s="186">
        <v>45931</v>
      </c>
      <c r="W7180" s="17" t="s">
        <v>44</v>
      </c>
      <c r="X7180" s="17"/>
      <c r="Y7180" s="68">
        <v>45962</v>
      </c>
      <c r="Z7180" s="17" t="s">
        <v>1668</v>
      </c>
      <c r="AA7180" s="17" t="s">
        <v>46</v>
      </c>
      <c r="AB7180" s="17" t="s">
        <v>1673</v>
      </c>
      <c r="AC7180" s="217">
        <v>45960</v>
      </c>
      <c r="AD7180" s="65">
        <v>1747</v>
      </c>
      <c r="AE7180" s="17" t="s">
        <v>147</v>
      </c>
      <c r="AF7180" s="17"/>
      <c r="AG7180" s="17"/>
      <c r="AH7180" s="17"/>
      <c r="AI7180" s="17"/>
      <c r="AJ7180" s="17"/>
      <c r="AK7180" s="17"/>
      <c r="AL7180" s="17"/>
      <c r="AM7180" s="17"/>
      <c r="AN7180" s="17"/>
      <c r="AO7180" s="17"/>
      <c r="AP7180" s="17"/>
      <c r="AQ7180" s="17"/>
      <c r="AR7180" s="17"/>
    </row>
    <row r="7181" s="25" customFormat="1" hidden="1" spans="1:44">
      <c r="A7181" s="17" t="s">
        <v>34</v>
      </c>
      <c r="B7181" s="19">
        <v>1096</v>
      </c>
      <c r="C7181" s="183">
        <v>45936</v>
      </c>
      <c r="D7181" s="17"/>
      <c r="E7181" s="17" t="s">
        <v>433</v>
      </c>
      <c r="F7181" s="17" t="s">
        <v>434</v>
      </c>
      <c r="G7181" s="17"/>
      <c r="H7181" s="19">
        <v>1.2311</v>
      </c>
      <c r="I7181" s="19"/>
      <c r="J7181" s="17" t="s">
        <v>82</v>
      </c>
      <c r="K7181" s="188">
        <v>770</v>
      </c>
      <c r="L7181" s="188">
        <v>60</v>
      </c>
      <c r="M7181" s="188">
        <v>1515</v>
      </c>
      <c r="N7181" s="19" t="s">
        <v>66</v>
      </c>
      <c r="O7181" s="19" t="s">
        <v>98</v>
      </c>
      <c r="P7181" s="430">
        <v>595</v>
      </c>
      <c r="Q7181" s="290">
        <v>595</v>
      </c>
      <c r="R7181" s="19">
        <f t="shared" si="309"/>
        <v>0</v>
      </c>
      <c r="S7181" s="19">
        <v>800</v>
      </c>
      <c r="T7181" s="19" t="s">
        <v>94</v>
      </c>
      <c r="U7181" s="102" t="s">
        <v>1667</v>
      </c>
      <c r="V7181" s="186">
        <v>45931</v>
      </c>
      <c r="W7181" s="17" t="s">
        <v>44</v>
      </c>
      <c r="X7181" s="17"/>
      <c r="Y7181" s="68">
        <v>45962</v>
      </c>
      <c r="Z7181" s="17" t="s">
        <v>1668</v>
      </c>
      <c r="AA7181" s="17" t="s">
        <v>46</v>
      </c>
      <c r="AB7181" s="17" t="s">
        <v>1677</v>
      </c>
      <c r="AC7181" s="217">
        <v>45978</v>
      </c>
      <c r="AD7181" s="65">
        <v>1750</v>
      </c>
      <c r="AE7181" s="17" t="s">
        <v>48</v>
      </c>
      <c r="AF7181" s="17"/>
      <c r="AG7181" s="17"/>
      <c r="AH7181" s="17"/>
      <c r="AI7181" s="17"/>
      <c r="AJ7181" s="17"/>
      <c r="AK7181" s="17"/>
      <c r="AL7181" s="17"/>
      <c r="AM7181" s="17"/>
      <c r="AN7181" s="17"/>
      <c r="AO7181" s="17"/>
      <c r="AP7181" s="17"/>
      <c r="AQ7181" s="17"/>
      <c r="AR7181" s="17"/>
    </row>
    <row r="7182" s="25" customFormat="1" hidden="1" spans="1:44">
      <c r="A7182" s="17" t="s">
        <v>34</v>
      </c>
      <c r="B7182" s="19">
        <v>1096</v>
      </c>
      <c r="C7182" s="183">
        <v>45936</v>
      </c>
      <c r="D7182" s="17"/>
      <c r="E7182" s="17" t="s">
        <v>433</v>
      </c>
      <c r="F7182" s="17" t="s">
        <v>434</v>
      </c>
      <c r="G7182" s="17"/>
      <c r="H7182" s="19">
        <v>1.2311</v>
      </c>
      <c r="I7182" s="19"/>
      <c r="J7182" s="17" t="s">
        <v>82</v>
      </c>
      <c r="K7182" s="188">
        <v>660</v>
      </c>
      <c r="L7182" s="188">
        <v>60</v>
      </c>
      <c r="M7182" s="188">
        <v>1070</v>
      </c>
      <c r="N7182" s="19" t="s">
        <v>66</v>
      </c>
      <c r="O7182" s="19" t="s">
        <v>98</v>
      </c>
      <c r="P7182" s="430">
        <v>370</v>
      </c>
      <c r="Q7182" s="290">
        <v>370</v>
      </c>
      <c r="R7182" s="19">
        <f t="shared" si="309"/>
        <v>0</v>
      </c>
      <c r="S7182" s="19">
        <v>800</v>
      </c>
      <c r="T7182" s="19" t="s">
        <v>94</v>
      </c>
      <c r="U7182" s="102" t="s">
        <v>1667</v>
      </c>
      <c r="V7182" s="186">
        <v>45931</v>
      </c>
      <c r="W7182" s="17" t="s">
        <v>44</v>
      </c>
      <c r="X7182" s="17"/>
      <c r="Y7182" s="68">
        <v>45962</v>
      </c>
      <c r="Z7182" s="17" t="s">
        <v>1668</v>
      </c>
      <c r="AA7182" s="17" t="s">
        <v>46</v>
      </c>
      <c r="AB7182" s="17" t="s">
        <v>1673</v>
      </c>
      <c r="AC7182" s="217">
        <v>45960</v>
      </c>
      <c r="AD7182" s="65">
        <v>1747</v>
      </c>
      <c r="AE7182" s="17" t="s">
        <v>147</v>
      </c>
      <c r="AF7182" s="17"/>
      <c r="AG7182" s="17"/>
      <c r="AH7182" s="17"/>
      <c r="AI7182" s="17"/>
      <c r="AJ7182" s="17"/>
      <c r="AK7182" s="17"/>
      <c r="AL7182" s="17"/>
      <c r="AM7182" s="17"/>
      <c r="AN7182" s="17"/>
      <c r="AO7182" s="17"/>
      <c r="AP7182" s="17"/>
      <c r="AQ7182" s="17"/>
      <c r="AR7182" s="17"/>
    </row>
    <row r="7183" s="25" customFormat="1" hidden="1" spans="1:44">
      <c r="A7183" s="17" t="s">
        <v>34</v>
      </c>
      <c r="B7183" s="19">
        <v>1096</v>
      </c>
      <c r="C7183" s="183">
        <v>45936</v>
      </c>
      <c r="D7183" s="17"/>
      <c r="E7183" s="17" t="s">
        <v>433</v>
      </c>
      <c r="F7183" s="17" t="s">
        <v>434</v>
      </c>
      <c r="G7183" s="17"/>
      <c r="H7183" s="19">
        <v>1.2311</v>
      </c>
      <c r="I7183" s="19"/>
      <c r="J7183" s="17" t="s">
        <v>82</v>
      </c>
      <c r="K7183" s="188">
        <v>770</v>
      </c>
      <c r="L7183" s="188">
        <v>65</v>
      </c>
      <c r="M7183" s="188">
        <v>2220</v>
      </c>
      <c r="N7183" s="19" t="s">
        <v>66</v>
      </c>
      <c r="O7183" s="19" t="s">
        <v>98</v>
      </c>
      <c r="P7183" s="430">
        <v>1035</v>
      </c>
      <c r="Q7183" s="290">
        <v>1035</v>
      </c>
      <c r="R7183" s="19">
        <f t="shared" si="309"/>
        <v>0</v>
      </c>
      <c r="S7183" s="19">
        <v>800</v>
      </c>
      <c r="T7183" s="19" t="s">
        <v>94</v>
      </c>
      <c r="U7183" s="102" t="s">
        <v>1667</v>
      </c>
      <c r="V7183" s="186">
        <v>45931</v>
      </c>
      <c r="W7183" s="17" t="s">
        <v>44</v>
      </c>
      <c r="X7183" s="17"/>
      <c r="Y7183" s="68">
        <v>45962</v>
      </c>
      <c r="Z7183" s="17" t="s">
        <v>1668</v>
      </c>
      <c r="AA7183" s="17" t="s">
        <v>46</v>
      </c>
      <c r="AB7183" s="17" t="s">
        <v>1673</v>
      </c>
      <c r="AC7183" s="217">
        <v>45960</v>
      </c>
      <c r="AD7183" s="65">
        <v>1747</v>
      </c>
      <c r="AE7183" s="17" t="s">
        <v>147</v>
      </c>
      <c r="AF7183" s="17"/>
      <c r="AG7183" s="17"/>
      <c r="AH7183" s="17"/>
      <c r="AI7183" s="17"/>
      <c r="AJ7183" s="17"/>
      <c r="AK7183" s="17"/>
      <c r="AL7183" s="17"/>
      <c r="AM7183" s="17"/>
      <c r="AN7183" s="17"/>
      <c r="AO7183" s="17"/>
      <c r="AP7183" s="17"/>
      <c r="AQ7183" s="17"/>
      <c r="AR7183" s="17"/>
    </row>
    <row r="7184" s="25" customFormat="1" hidden="1" spans="1:44">
      <c r="A7184" s="17" t="s">
        <v>34</v>
      </c>
      <c r="B7184" s="19">
        <v>1096</v>
      </c>
      <c r="C7184" s="183">
        <v>45936</v>
      </c>
      <c r="D7184" s="17"/>
      <c r="E7184" s="17" t="s">
        <v>433</v>
      </c>
      <c r="F7184" s="17" t="s">
        <v>434</v>
      </c>
      <c r="G7184" s="17"/>
      <c r="H7184" s="19">
        <v>1.2311</v>
      </c>
      <c r="I7184" s="19"/>
      <c r="J7184" s="17" t="s">
        <v>82</v>
      </c>
      <c r="K7184" s="188">
        <v>660</v>
      </c>
      <c r="L7184" s="188">
        <v>70</v>
      </c>
      <c r="M7184" s="188">
        <v>1660</v>
      </c>
      <c r="N7184" s="19" t="s">
        <v>66</v>
      </c>
      <c r="O7184" s="19" t="s">
        <v>98</v>
      </c>
      <c r="P7184" s="430">
        <v>660</v>
      </c>
      <c r="Q7184" s="290">
        <v>660</v>
      </c>
      <c r="R7184" s="19">
        <f t="shared" si="309"/>
        <v>0</v>
      </c>
      <c r="S7184" s="19">
        <v>800</v>
      </c>
      <c r="T7184" s="19" t="s">
        <v>94</v>
      </c>
      <c r="U7184" s="102" t="s">
        <v>1667</v>
      </c>
      <c r="V7184" s="186">
        <v>45931</v>
      </c>
      <c r="W7184" s="17" t="s">
        <v>44</v>
      </c>
      <c r="X7184" s="17"/>
      <c r="Y7184" s="68">
        <v>45962</v>
      </c>
      <c r="Z7184" s="17" t="s">
        <v>1668</v>
      </c>
      <c r="AA7184" s="17" t="s">
        <v>46</v>
      </c>
      <c r="AB7184" s="17" t="s">
        <v>1677</v>
      </c>
      <c r="AC7184" s="217">
        <v>45978</v>
      </c>
      <c r="AD7184" s="65">
        <v>1750</v>
      </c>
      <c r="AE7184" s="17" t="s">
        <v>48</v>
      </c>
      <c r="AF7184" s="17"/>
      <c r="AG7184" s="17"/>
      <c r="AH7184" s="17"/>
      <c r="AI7184" s="17"/>
      <c r="AJ7184" s="17"/>
      <c r="AK7184" s="17"/>
      <c r="AL7184" s="17"/>
      <c r="AM7184" s="17"/>
      <c r="AN7184" s="17"/>
      <c r="AO7184" s="17"/>
      <c r="AP7184" s="17"/>
      <c r="AQ7184" s="17"/>
      <c r="AR7184" s="17"/>
    </row>
    <row r="7185" s="25" customFormat="1" hidden="1" spans="1:44">
      <c r="A7185" s="17" t="s">
        <v>34</v>
      </c>
      <c r="B7185" s="19">
        <v>1096</v>
      </c>
      <c r="C7185" s="183">
        <v>45936</v>
      </c>
      <c r="D7185" s="17"/>
      <c r="E7185" s="17" t="s">
        <v>433</v>
      </c>
      <c r="F7185" s="17" t="s">
        <v>434</v>
      </c>
      <c r="G7185" s="17"/>
      <c r="H7185" s="19">
        <v>1.2311</v>
      </c>
      <c r="I7185" s="19"/>
      <c r="J7185" s="17" t="s">
        <v>82</v>
      </c>
      <c r="K7185" s="188">
        <v>630</v>
      </c>
      <c r="L7185" s="188">
        <v>70</v>
      </c>
      <c r="M7185" s="188">
        <v>1365</v>
      </c>
      <c r="N7185" s="19" t="s">
        <v>66</v>
      </c>
      <c r="O7185" s="19" t="s">
        <v>98</v>
      </c>
      <c r="P7185" s="430">
        <v>550</v>
      </c>
      <c r="Q7185" s="290">
        <v>550</v>
      </c>
      <c r="R7185" s="19">
        <f t="shared" si="309"/>
        <v>0</v>
      </c>
      <c r="S7185" s="19">
        <v>800</v>
      </c>
      <c r="T7185" s="19" t="s">
        <v>94</v>
      </c>
      <c r="U7185" s="102" t="s">
        <v>1667</v>
      </c>
      <c r="V7185" s="186">
        <v>45931</v>
      </c>
      <c r="W7185" s="17" t="s">
        <v>44</v>
      </c>
      <c r="X7185" s="17"/>
      <c r="Y7185" s="68">
        <v>45962</v>
      </c>
      <c r="Z7185" s="17" t="s">
        <v>1668</v>
      </c>
      <c r="AA7185" s="17" t="s">
        <v>46</v>
      </c>
      <c r="AB7185" s="17" t="s">
        <v>1677</v>
      </c>
      <c r="AC7185" s="217">
        <v>45978</v>
      </c>
      <c r="AD7185" s="65">
        <v>1750</v>
      </c>
      <c r="AE7185" s="17" t="s">
        <v>48</v>
      </c>
      <c r="AF7185" s="17"/>
      <c r="AG7185" s="17"/>
      <c r="AH7185" s="17"/>
      <c r="AI7185" s="17"/>
      <c r="AJ7185" s="17"/>
      <c r="AK7185" s="17"/>
      <c r="AL7185" s="17"/>
      <c r="AM7185" s="17"/>
      <c r="AN7185" s="17"/>
      <c r="AO7185" s="17"/>
      <c r="AP7185" s="17"/>
      <c r="AQ7185" s="17"/>
      <c r="AR7185" s="17"/>
    </row>
    <row r="7186" s="25" customFormat="1" hidden="1" spans="1:44">
      <c r="A7186" s="17" t="s">
        <v>34</v>
      </c>
      <c r="B7186" s="19">
        <v>1096</v>
      </c>
      <c r="C7186" s="183">
        <v>45936</v>
      </c>
      <c r="D7186" s="17"/>
      <c r="E7186" s="17" t="s">
        <v>433</v>
      </c>
      <c r="F7186" s="17" t="s">
        <v>434</v>
      </c>
      <c r="G7186" s="17"/>
      <c r="H7186" s="19">
        <v>1.2311</v>
      </c>
      <c r="I7186" s="19"/>
      <c r="J7186" s="17" t="s">
        <v>82</v>
      </c>
      <c r="K7186" s="188">
        <v>760</v>
      </c>
      <c r="L7186" s="188">
        <v>70</v>
      </c>
      <c r="M7186" s="188">
        <v>1160</v>
      </c>
      <c r="N7186" s="19" t="s">
        <v>66</v>
      </c>
      <c r="O7186" s="19" t="s">
        <v>98</v>
      </c>
      <c r="P7186" s="430">
        <v>508</v>
      </c>
      <c r="Q7186" s="290">
        <v>508</v>
      </c>
      <c r="R7186" s="19">
        <f t="shared" si="309"/>
        <v>0</v>
      </c>
      <c r="S7186" s="19">
        <v>800</v>
      </c>
      <c r="T7186" s="19" t="s">
        <v>94</v>
      </c>
      <c r="U7186" s="102" t="s">
        <v>1667</v>
      </c>
      <c r="V7186" s="186">
        <v>45931</v>
      </c>
      <c r="W7186" s="17" t="s">
        <v>44</v>
      </c>
      <c r="X7186" s="17"/>
      <c r="Y7186" s="68">
        <v>45962</v>
      </c>
      <c r="Z7186" s="17" t="s">
        <v>1668</v>
      </c>
      <c r="AA7186" s="17" t="s">
        <v>46</v>
      </c>
      <c r="AB7186" s="17" t="s">
        <v>1677</v>
      </c>
      <c r="AC7186" s="217">
        <v>45978</v>
      </c>
      <c r="AD7186" s="65">
        <v>1750</v>
      </c>
      <c r="AE7186" s="17" t="s">
        <v>48</v>
      </c>
      <c r="AF7186" s="17"/>
      <c r="AG7186" s="17"/>
      <c r="AH7186" s="17"/>
      <c r="AI7186" s="17"/>
      <c r="AJ7186" s="17"/>
      <c r="AK7186" s="17"/>
      <c r="AL7186" s="17"/>
      <c r="AM7186" s="17"/>
      <c r="AN7186" s="17"/>
      <c r="AO7186" s="17"/>
      <c r="AP7186" s="17"/>
      <c r="AQ7186" s="17"/>
      <c r="AR7186" s="17"/>
    </row>
    <row r="7187" s="25" customFormat="1" hidden="1" spans="1:44">
      <c r="A7187" s="17" t="s">
        <v>34</v>
      </c>
      <c r="B7187" s="19">
        <v>1096</v>
      </c>
      <c r="C7187" s="183">
        <v>45936</v>
      </c>
      <c r="D7187" s="17"/>
      <c r="E7187" s="17" t="s">
        <v>433</v>
      </c>
      <c r="F7187" s="17" t="s">
        <v>434</v>
      </c>
      <c r="G7187" s="17"/>
      <c r="H7187" s="19">
        <v>1.2311</v>
      </c>
      <c r="I7187" s="19"/>
      <c r="J7187" s="17" t="s">
        <v>82</v>
      </c>
      <c r="K7187" s="188">
        <v>640</v>
      </c>
      <c r="L7187" s="188">
        <v>75</v>
      </c>
      <c r="M7187" s="188">
        <v>1430</v>
      </c>
      <c r="N7187" s="19" t="s">
        <v>66</v>
      </c>
      <c r="O7187" s="19" t="s">
        <v>98</v>
      </c>
      <c r="P7187" s="430">
        <v>565</v>
      </c>
      <c r="Q7187" s="290">
        <v>565</v>
      </c>
      <c r="R7187" s="19">
        <f t="shared" si="309"/>
        <v>0</v>
      </c>
      <c r="S7187" s="19">
        <v>800</v>
      </c>
      <c r="T7187" s="19" t="s">
        <v>94</v>
      </c>
      <c r="U7187" s="102" t="s">
        <v>1667</v>
      </c>
      <c r="V7187" s="186">
        <v>45931</v>
      </c>
      <c r="W7187" s="17" t="s">
        <v>44</v>
      </c>
      <c r="X7187" s="17"/>
      <c r="Y7187" s="68">
        <v>45962</v>
      </c>
      <c r="Z7187" s="17" t="s">
        <v>1668</v>
      </c>
      <c r="AA7187" s="17" t="s">
        <v>46</v>
      </c>
      <c r="AB7187" s="17" t="s">
        <v>1673</v>
      </c>
      <c r="AC7187" s="217">
        <v>45960</v>
      </c>
      <c r="AD7187" s="65">
        <v>1747</v>
      </c>
      <c r="AE7187" s="17" t="s">
        <v>147</v>
      </c>
      <c r="AF7187" s="17"/>
      <c r="AG7187" s="17"/>
      <c r="AH7187" s="17"/>
      <c r="AI7187" s="17"/>
      <c r="AJ7187" s="17"/>
      <c r="AK7187" s="17"/>
      <c r="AL7187" s="17"/>
      <c r="AM7187" s="17"/>
      <c r="AN7187" s="17"/>
      <c r="AO7187" s="17"/>
      <c r="AP7187" s="17"/>
      <c r="AQ7187" s="17"/>
      <c r="AR7187" s="17"/>
    </row>
    <row r="7188" s="25" customFormat="1" hidden="1" spans="1:44">
      <c r="A7188" s="17" t="s">
        <v>34</v>
      </c>
      <c r="B7188" s="19">
        <v>1096</v>
      </c>
      <c r="C7188" s="183">
        <v>45936</v>
      </c>
      <c r="D7188" s="17"/>
      <c r="E7188" s="17" t="s">
        <v>433</v>
      </c>
      <c r="F7188" s="17" t="s">
        <v>434</v>
      </c>
      <c r="G7188" s="17"/>
      <c r="H7188" s="19">
        <v>1.2311</v>
      </c>
      <c r="I7188" s="19"/>
      <c r="J7188" s="17" t="s">
        <v>82</v>
      </c>
      <c r="K7188" s="188">
        <v>710</v>
      </c>
      <c r="L7188" s="188">
        <v>75</v>
      </c>
      <c r="M7188" s="188">
        <v>860</v>
      </c>
      <c r="N7188" s="19" t="s">
        <v>66</v>
      </c>
      <c r="O7188" s="19" t="s">
        <v>98</v>
      </c>
      <c r="P7188" s="430">
        <v>375</v>
      </c>
      <c r="Q7188" s="290">
        <v>375</v>
      </c>
      <c r="R7188" s="19">
        <f t="shared" si="309"/>
        <v>0</v>
      </c>
      <c r="S7188" s="19">
        <v>800</v>
      </c>
      <c r="T7188" s="19" t="s">
        <v>94</v>
      </c>
      <c r="U7188" s="102" t="s">
        <v>1667</v>
      </c>
      <c r="V7188" s="186">
        <v>45931</v>
      </c>
      <c r="W7188" s="17" t="s">
        <v>44</v>
      </c>
      <c r="X7188" s="17"/>
      <c r="Y7188" s="68">
        <v>45962</v>
      </c>
      <c r="Z7188" s="17" t="s">
        <v>1668</v>
      </c>
      <c r="AA7188" s="17" t="s">
        <v>46</v>
      </c>
      <c r="AB7188" s="17" t="s">
        <v>1673</v>
      </c>
      <c r="AC7188" s="217">
        <v>45960</v>
      </c>
      <c r="AD7188" s="65">
        <v>1747</v>
      </c>
      <c r="AE7188" s="17" t="s">
        <v>147</v>
      </c>
      <c r="AF7188" s="17"/>
      <c r="AG7188" s="17"/>
      <c r="AH7188" s="17"/>
      <c r="AI7188" s="17"/>
      <c r="AJ7188" s="17"/>
      <c r="AK7188" s="17"/>
      <c r="AL7188" s="17"/>
      <c r="AM7188" s="17"/>
      <c r="AN7188" s="17"/>
      <c r="AO7188" s="17"/>
      <c r="AP7188" s="17"/>
      <c r="AQ7188" s="17"/>
      <c r="AR7188" s="17"/>
    </row>
    <row r="7189" s="25" customFormat="1" hidden="1" spans="1:44">
      <c r="A7189" s="17" t="s">
        <v>34</v>
      </c>
      <c r="B7189" s="19">
        <v>1096</v>
      </c>
      <c r="C7189" s="183">
        <v>45936</v>
      </c>
      <c r="D7189" s="17"/>
      <c r="E7189" s="17" t="s">
        <v>433</v>
      </c>
      <c r="F7189" s="17" t="s">
        <v>434</v>
      </c>
      <c r="G7189" s="17"/>
      <c r="H7189" s="19">
        <v>1.2311</v>
      </c>
      <c r="I7189" s="19"/>
      <c r="J7189" s="17" t="s">
        <v>82</v>
      </c>
      <c r="K7189" s="188">
        <v>610</v>
      </c>
      <c r="L7189" s="188">
        <v>80</v>
      </c>
      <c r="M7189" s="188">
        <v>2455</v>
      </c>
      <c r="N7189" s="19" t="s">
        <v>66</v>
      </c>
      <c r="O7189" s="19" t="s">
        <v>98</v>
      </c>
      <c r="P7189" s="430">
        <v>1150</v>
      </c>
      <c r="Q7189" s="290">
        <v>1150</v>
      </c>
      <c r="R7189" s="19">
        <f t="shared" si="309"/>
        <v>0</v>
      </c>
      <c r="S7189" s="19">
        <v>800</v>
      </c>
      <c r="T7189" s="19" t="s">
        <v>94</v>
      </c>
      <c r="U7189" s="102" t="s">
        <v>1667</v>
      </c>
      <c r="V7189" s="186">
        <v>45931</v>
      </c>
      <c r="W7189" s="17" t="s">
        <v>44</v>
      </c>
      <c r="X7189" s="17"/>
      <c r="Y7189" s="68">
        <v>45962</v>
      </c>
      <c r="Z7189" s="17" t="s">
        <v>1668</v>
      </c>
      <c r="AA7189" s="17" t="s">
        <v>46</v>
      </c>
      <c r="AB7189" s="17" t="s">
        <v>1673</v>
      </c>
      <c r="AC7189" s="217">
        <v>45960</v>
      </c>
      <c r="AD7189" s="65">
        <v>1747</v>
      </c>
      <c r="AE7189" s="17" t="s">
        <v>147</v>
      </c>
      <c r="AF7189" s="17"/>
      <c r="AG7189" s="17"/>
      <c r="AH7189" s="17"/>
      <c r="AI7189" s="17"/>
      <c r="AJ7189" s="17"/>
      <c r="AK7189" s="17"/>
      <c r="AL7189" s="17"/>
      <c r="AM7189" s="17"/>
      <c r="AN7189" s="17"/>
      <c r="AO7189" s="17"/>
      <c r="AP7189" s="17"/>
      <c r="AQ7189" s="17"/>
      <c r="AR7189" s="17"/>
    </row>
    <row r="7190" s="25" customFormat="1" hidden="1" spans="1:44">
      <c r="A7190" s="17" t="s">
        <v>34</v>
      </c>
      <c r="B7190" s="19">
        <v>1096</v>
      </c>
      <c r="C7190" s="183">
        <v>45936</v>
      </c>
      <c r="D7190" s="17"/>
      <c r="E7190" s="17" t="s">
        <v>433</v>
      </c>
      <c r="F7190" s="17" t="s">
        <v>434</v>
      </c>
      <c r="G7190" s="17"/>
      <c r="H7190" s="19">
        <v>1.2311</v>
      </c>
      <c r="I7190" s="19"/>
      <c r="J7190" s="17" t="s">
        <v>82</v>
      </c>
      <c r="K7190" s="188">
        <v>630</v>
      </c>
      <c r="L7190" s="188">
        <v>85</v>
      </c>
      <c r="M7190" s="188">
        <v>1320</v>
      </c>
      <c r="N7190" s="19" t="s">
        <v>66</v>
      </c>
      <c r="O7190" s="19" t="s">
        <v>98</v>
      </c>
      <c r="P7190" s="430">
        <v>585</v>
      </c>
      <c r="Q7190" s="290">
        <v>585</v>
      </c>
      <c r="R7190" s="19">
        <f t="shared" ref="R7190:R7221" si="310">+P7190-Q7190</f>
        <v>0</v>
      </c>
      <c r="S7190" s="19">
        <v>800</v>
      </c>
      <c r="T7190" s="19" t="s">
        <v>94</v>
      </c>
      <c r="U7190" s="102" t="s">
        <v>1667</v>
      </c>
      <c r="V7190" s="186">
        <v>45931</v>
      </c>
      <c r="W7190" s="17" t="s">
        <v>44</v>
      </c>
      <c r="X7190" s="17"/>
      <c r="Y7190" s="68">
        <v>45962</v>
      </c>
      <c r="Z7190" s="17" t="s">
        <v>1668</v>
      </c>
      <c r="AA7190" s="17" t="s">
        <v>46</v>
      </c>
      <c r="AB7190" s="17" t="s">
        <v>1677</v>
      </c>
      <c r="AC7190" s="217">
        <v>45978</v>
      </c>
      <c r="AD7190" s="65">
        <v>1750</v>
      </c>
      <c r="AE7190" s="17" t="s">
        <v>48</v>
      </c>
      <c r="AF7190" s="17"/>
      <c r="AG7190" s="17"/>
      <c r="AH7190" s="17"/>
      <c r="AI7190" s="17"/>
      <c r="AJ7190" s="17"/>
      <c r="AK7190" s="17"/>
      <c r="AL7190" s="17"/>
      <c r="AM7190" s="17"/>
      <c r="AN7190" s="17"/>
      <c r="AO7190" s="17"/>
      <c r="AP7190" s="17"/>
      <c r="AQ7190" s="17"/>
      <c r="AR7190" s="17"/>
    </row>
    <row r="7191" s="25" customFormat="1" hidden="1" spans="1:44">
      <c r="A7191" s="17" t="s">
        <v>34</v>
      </c>
      <c r="B7191" s="19">
        <v>1096</v>
      </c>
      <c r="C7191" s="183">
        <v>45936</v>
      </c>
      <c r="D7191" s="17"/>
      <c r="E7191" s="17" t="s">
        <v>433</v>
      </c>
      <c r="F7191" s="17" t="s">
        <v>434</v>
      </c>
      <c r="G7191" s="17"/>
      <c r="H7191" s="19">
        <v>1.2311</v>
      </c>
      <c r="I7191" s="19"/>
      <c r="J7191" s="17" t="s">
        <v>82</v>
      </c>
      <c r="K7191" s="188">
        <v>770</v>
      </c>
      <c r="L7191" s="188">
        <v>90</v>
      </c>
      <c r="M7191" s="188">
        <v>2175</v>
      </c>
      <c r="N7191" s="19" t="s">
        <v>66</v>
      </c>
      <c r="O7191" s="19" t="s">
        <v>98</v>
      </c>
      <c r="P7191" s="430">
        <v>1440</v>
      </c>
      <c r="Q7191" s="290">
        <v>1440</v>
      </c>
      <c r="R7191" s="19">
        <f t="shared" si="310"/>
        <v>0</v>
      </c>
      <c r="S7191" s="19">
        <v>800</v>
      </c>
      <c r="T7191" s="19" t="s">
        <v>94</v>
      </c>
      <c r="U7191" s="102" t="s">
        <v>1667</v>
      </c>
      <c r="V7191" s="186">
        <v>45931</v>
      </c>
      <c r="W7191" s="17" t="s">
        <v>44</v>
      </c>
      <c r="X7191" s="17"/>
      <c r="Y7191" s="68">
        <v>45962</v>
      </c>
      <c r="Z7191" s="17" t="s">
        <v>1668</v>
      </c>
      <c r="AA7191" s="17" t="s">
        <v>46</v>
      </c>
      <c r="AB7191" s="17" t="s">
        <v>1673</v>
      </c>
      <c r="AC7191" s="217">
        <v>45960</v>
      </c>
      <c r="AD7191" s="65">
        <v>1747</v>
      </c>
      <c r="AE7191" s="17" t="s">
        <v>147</v>
      </c>
      <c r="AF7191" s="17"/>
      <c r="AG7191" s="17"/>
      <c r="AH7191" s="17"/>
      <c r="AI7191" s="17"/>
      <c r="AJ7191" s="17"/>
      <c r="AK7191" s="17"/>
      <c r="AL7191" s="17"/>
      <c r="AM7191" s="17"/>
      <c r="AN7191" s="17"/>
      <c r="AO7191" s="17"/>
      <c r="AP7191" s="17"/>
      <c r="AQ7191" s="17"/>
      <c r="AR7191" s="17"/>
    </row>
    <row r="7192" s="25" customFormat="1" hidden="1" spans="1:44">
      <c r="A7192" s="17" t="s">
        <v>34</v>
      </c>
      <c r="B7192" s="19">
        <v>1096</v>
      </c>
      <c r="C7192" s="183">
        <v>45936</v>
      </c>
      <c r="D7192" s="17"/>
      <c r="E7192" s="17" t="s">
        <v>433</v>
      </c>
      <c r="F7192" s="17" t="s">
        <v>434</v>
      </c>
      <c r="G7192" s="17"/>
      <c r="H7192" s="19">
        <v>1.2311</v>
      </c>
      <c r="I7192" s="19"/>
      <c r="J7192" s="17" t="s">
        <v>82</v>
      </c>
      <c r="K7192" s="188">
        <v>625</v>
      </c>
      <c r="L7192" s="188">
        <v>90</v>
      </c>
      <c r="M7192" s="188">
        <v>1415</v>
      </c>
      <c r="N7192" s="19" t="s">
        <v>66</v>
      </c>
      <c r="O7192" s="19" t="s">
        <v>98</v>
      </c>
      <c r="P7192" s="430">
        <v>635</v>
      </c>
      <c r="Q7192" s="290">
        <v>635</v>
      </c>
      <c r="R7192" s="19">
        <f t="shared" si="310"/>
        <v>0</v>
      </c>
      <c r="S7192" s="19">
        <v>800</v>
      </c>
      <c r="T7192" s="19" t="s">
        <v>94</v>
      </c>
      <c r="U7192" s="102" t="s">
        <v>1667</v>
      </c>
      <c r="V7192" s="186">
        <v>45931</v>
      </c>
      <c r="W7192" s="17" t="s">
        <v>44</v>
      </c>
      <c r="X7192" s="17"/>
      <c r="Y7192" s="68">
        <v>45962</v>
      </c>
      <c r="Z7192" s="17" t="s">
        <v>1668</v>
      </c>
      <c r="AA7192" s="17" t="s">
        <v>46</v>
      </c>
      <c r="AB7192" s="17" t="s">
        <v>1677</v>
      </c>
      <c r="AC7192" s="217">
        <v>45978</v>
      </c>
      <c r="AD7192" s="65">
        <v>1750</v>
      </c>
      <c r="AE7192" s="17" t="s">
        <v>48</v>
      </c>
      <c r="AF7192" s="17"/>
      <c r="AG7192" s="17"/>
      <c r="AH7192" s="17"/>
      <c r="AI7192" s="17"/>
      <c r="AJ7192" s="17"/>
      <c r="AK7192" s="17"/>
      <c r="AL7192" s="17"/>
      <c r="AM7192" s="17"/>
      <c r="AN7192" s="17"/>
      <c r="AO7192" s="17"/>
      <c r="AP7192" s="17"/>
      <c r="AQ7192" s="17"/>
      <c r="AR7192" s="17"/>
    </row>
    <row r="7193" s="25" customFormat="1" hidden="1" spans="1:44">
      <c r="A7193" s="17" t="s">
        <v>34</v>
      </c>
      <c r="B7193" s="19">
        <v>1096</v>
      </c>
      <c r="C7193" s="183">
        <v>45936</v>
      </c>
      <c r="D7193" s="17"/>
      <c r="E7193" s="17" t="s">
        <v>433</v>
      </c>
      <c r="F7193" s="17" t="s">
        <v>434</v>
      </c>
      <c r="G7193" s="17"/>
      <c r="H7193" s="19">
        <v>1.2311</v>
      </c>
      <c r="I7193" s="19"/>
      <c r="J7193" s="17" t="s">
        <v>82</v>
      </c>
      <c r="K7193" s="188">
        <v>770</v>
      </c>
      <c r="L7193" s="188">
        <v>90</v>
      </c>
      <c r="M7193" s="188">
        <v>880</v>
      </c>
      <c r="N7193" s="19" t="s">
        <v>66</v>
      </c>
      <c r="O7193" s="19" t="s">
        <v>98</v>
      </c>
      <c r="P7193" s="430">
        <v>542</v>
      </c>
      <c r="Q7193" s="290">
        <v>542</v>
      </c>
      <c r="R7193" s="19">
        <f t="shared" si="310"/>
        <v>0</v>
      </c>
      <c r="S7193" s="19">
        <v>800</v>
      </c>
      <c r="T7193" s="19" t="s">
        <v>94</v>
      </c>
      <c r="U7193" s="102" t="s">
        <v>1667</v>
      </c>
      <c r="V7193" s="186">
        <v>45931</v>
      </c>
      <c r="W7193" s="17" t="s">
        <v>44</v>
      </c>
      <c r="X7193" s="17"/>
      <c r="Y7193" s="68">
        <v>45962</v>
      </c>
      <c r="Z7193" s="17" t="s">
        <v>1668</v>
      </c>
      <c r="AA7193" s="17" t="s">
        <v>46</v>
      </c>
      <c r="AB7193" s="17" t="s">
        <v>1673</v>
      </c>
      <c r="AC7193" s="217">
        <v>45960</v>
      </c>
      <c r="AD7193" s="65">
        <v>1747</v>
      </c>
      <c r="AE7193" s="17" t="s">
        <v>147</v>
      </c>
      <c r="AF7193" s="17"/>
      <c r="AG7193" s="17"/>
      <c r="AH7193" s="17"/>
      <c r="AI7193" s="17"/>
      <c r="AJ7193" s="17"/>
      <c r="AK7193" s="17"/>
      <c r="AL7193" s="17"/>
      <c r="AM7193" s="17"/>
      <c r="AN7193" s="17"/>
      <c r="AO7193" s="17"/>
      <c r="AP7193" s="17"/>
      <c r="AQ7193" s="17"/>
      <c r="AR7193" s="17"/>
    </row>
    <row r="7194" s="25" customFormat="1" hidden="1" spans="1:44">
      <c r="A7194" s="17" t="s">
        <v>34</v>
      </c>
      <c r="B7194" s="19">
        <v>1096</v>
      </c>
      <c r="C7194" s="183">
        <v>45936</v>
      </c>
      <c r="D7194" s="17"/>
      <c r="E7194" s="17" t="s">
        <v>433</v>
      </c>
      <c r="F7194" s="17" t="s">
        <v>434</v>
      </c>
      <c r="G7194" s="17"/>
      <c r="H7194" s="19">
        <v>1.2311</v>
      </c>
      <c r="I7194" s="19"/>
      <c r="J7194" s="17" t="s">
        <v>82</v>
      </c>
      <c r="K7194" s="188">
        <v>660</v>
      </c>
      <c r="L7194" s="188">
        <v>90</v>
      </c>
      <c r="M7194" s="188">
        <v>855</v>
      </c>
      <c r="N7194" s="19" t="s">
        <v>66</v>
      </c>
      <c r="O7194" s="19" t="s">
        <v>98</v>
      </c>
      <c r="P7194" s="430">
        <v>410</v>
      </c>
      <c r="Q7194" s="290">
        <v>410</v>
      </c>
      <c r="R7194" s="19">
        <f t="shared" si="310"/>
        <v>0</v>
      </c>
      <c r="S7194" s="19">
        <v>800</v>
      </c>
      <c r="T7194" s="19" t="s">
        <v>94</v>
      </c>
      <c r="U7194" s="102" t="s">
        <v>1667</v>
      </c>
      <c r="V7194" s="186">
        <v>45931</v>
      </c>
      <c r="W7194" s="17" t="s">
        <v>44</v>
      </c>
      <c r="X7194" s="17"/>
      <c r="Y7194" s="68">
        <v>45962</v>
      </c>
      <c r="Z7194" s="17" t="s">
        <v>1668</v>
      </c>
      <c r="AA7194" s="17" t="s">
        <v>46</v>
      </c>
      <c r="AB7194" s="17" t="s">
        <v>1673</v>
      </c>
      <c r="AC7194" s="217">
        <v>45960</v>
      </c>
      <c r="AD7194" s="65">
        <v>1747</v>
      </c>
      <c r="AE7194" s="17" t="s">
        <v>147</v>
      </c>
      <c r="AF7194" s="17"/>
      <c r="AG7194" s="17"/>
      <c r="AH7194" s="17"/>
      <c r="AI7194" s="17"/>
      <c r="AJ7194" s="17"/>
      <c r="AK7194" s="17"/>
      <c r="AL7194" s="17"/>
      <c r="AM7194" s="17"/>
      <c r="AN7194" s="17"/>
      <c r="AO7194" s="17"/>
      <c r="AP7194" s="17"/>
      <c r="AQ7194" s="17"/>
      <c r="AR7194" s="17"/>
    </row>
    <row r="7195" s="25" customFormat="1" hidden="1" spans="1:44">
      <c r="A7195" s="17" t="s">
        <v>34</v>
      </c>
      <c r="B7195" s="19">
        <v>1096</v>
      </c>
      <c r="C7195" s="183">
        <v>45936</v>
      </c>
      <c r="D7195" s="17"/>
      <c r="E7195" s="17" t="s">
        <v>433</v>
      </c>
      <c r="F7195" s="17" t="s">
        <v>434</v>
      </c>
      <c r="G7195" s="17"/>
      <c r="H7195" s="19">
        <v>1.2311</v>
      </c>
      <c r="I7195" s="19"/>
      <c r="J7195" s="17" t="s">
        <v>82</v>
      </c>
      <c r="K7195" s="188">
        <v>614</v>
      </c>
      <c r="L7195" s="188">
        <v>95</v>
      </c>
      <c r="M7195" s="188">
        <v>2740</v>
      </c>
      <c r="N7195" s="19" t="s">
        <v>66</v>
      </c>
      <c r="O7195" s="19" t="s">
        <v>98</v>
      </c>
      <c r="P7195" s="430">
        <v>1295</v>
      </c>
      <c r="Q7195" s="290">
        <v>1295</v>
      </c>
      <c r="R7195" s="19">
        <f t="shared" si="310"/>
        <v>0</v>
      </c>
      <c r="S7195" s="19">
        <v>800</v>
      </c>
      <c r="T7195" s="19" t="s">
        <v>94</v>
      </c>
      <c r="U7195" s="102" t="s">
        <v>1667</v>
      </c>
      <c r="V7195" s="186">
        <v>45931</v>
      </c>
      <c r="W7195" s="17" t="s">
        <v>44</v>
      </c>
      <c r="X7195" s="17"/>
      <c r="Y7195" s="68">
        <v>45962</v>
      </c>
      <c r="Z7195" s="17" t="s">
        <v>1668</v>
      </c>
      <c r="AA7195" s="17" t="s">
        <v>46</v>
      </c>
      <c r="AB7195" s="17" t="s">
        <v>1673</v>
      </c>
      <c r="AC7195" s="217">
        <v>45960</v>
      </c>
      <c r="AD7195" s="65">
        <v>1747</v>
      </c>
      <c r="AE7195" s="17" t="s">
        <v>147</v>
      </c>
      <c r="AF7195" s="17"/>
      <c r="AG7195" s="17"/>
      <c r="AH7195" s="17"/>
      <c r="AI7195" s="17"/>
      <c r="AJ7195" s="17"/>
      <c r="AK7195" s="17"/>
      <c r="AL7195" s="17"/>
      <c r="AM7195" s="17"/>
      <c r="AN7195" s="17"/>
      <c r="AO7195" s="17"/>
      <c r="AP7195" s="17"/>
      <c r="AQ7195" s="17"/>
      <c r="AR7195" s="17"/>
    </row>
    <row r="7196" s="25" customFormat="1" hidden="1" spans="1:44">
      <c r="A7196" s="17" t="s">
        <v>34</v>
      </c>
      <c r="B7196" s="19">
        <v>1096</v>
      </c>
      <c r="C7196" s="183">
        <v>45936</v>
      </c>
      <c r="D7196" s="17"/>
      <c r="E7196" s="17" t="s">
        <v>433</v>
      </c>
      <c r="F7196" s="17" t="s">
        <v>434</v>
      </c>
      <c r="G7196" s="17"/>
      <c r="H7196" s="19">
        <v>1.2311</v>
      </c>
      <c r="I7196" s="19"/>
      <c r="J7196" s="17" t="s">
        <v>82</v>
      </c>
      <c r="K7196" s="188">
        <v>655</v>
      </c>
      <c r="L7196" s="188">
        <v>95</v>
      </c>
      <c r="M7196" s="188">
        <v>1385</v>
      </c>
      <c r="N7196" s="19" t="s">
        <v>66</v>
      </c>
      <c r="O7196" s="19" t="s">
        <v>98</v>
      </c>
      <c r="P7196" s="430">
        <v>746</v>
      </c>
      <c r="Q7196" s="290">
        <v>746</v>
      </c>
      <c r="R7196" s="19">
        <f t="shared" si="310"/>
        <v>0</v>
      </c>
      <c r="S7196" s="19">
        <v>800</v>
      </c>
      <c r="T7196" s="19" t="s">
        <v>94</v>
      </c>
      <c r="U7196" s="102" t="s">
        <v>1667</v>
      </c>
      <c r="V7196" s="186">
        <v>45931</v>
      </c>
      <c r="W7196" s="17" t="s">
        <v>44</v>
      </c>
      <c r="X7196" s="17"/>
      <c r="Y7196" s="68">
        <v>45962</v>
      </c>
      <c r="Z7196" s="17" t="s">
        <v>1668</v>
      </c>
      <c r="AA7196" s="17" t="s">
        <v>46</v>
      </c>
      <c r="AB7196" s="17" t="s">
        <v>1677</v>
      </c>
      <c r="AC7196" s="217">
        <v>45978</v>
      </c>
      <c r="AD7196" s="65">
        <v>1750</v>
      </c>
      <c r="AE7196" s="17" t="s">
        <v>48</v>
      </c>
      <c r="AF7196" s="17"/>
      <c r="AG7196" s="17"/>
      <c r="AH7196" s="17"/>
      <c r="AI7196" s="17"/>
      <c r="AJ7196" s="17"/>
      <c r="AK7196" s="17"/>
      <c r="AL7196" s="17"/>
      <c r="AM7196" s="17"/>
      <c r="AN7196" s="17"/>
      <c r="AO7196" s="17"/>
      <c r="AP7196" s="17"/>
      <c r="AQ7196" s="17"/>
      <c r="AR7196" s="17"/>
    </row>
    <row r="7197" s="25" customFormat="1" hidden="1" spans="1:44">
      <c r="A7197" s="17" t="s">
        <v>34</v>
      </c>
      <c r="B7197" s="19">
        <v>1096</v>
      </c>
      <c r="C7197" s="183">
        <v>45936</v>
      </c>
      <c r="D7197" s="17"/>
      <c r="E7197" s="17" t="s">
        <v>433</v>
      </c>
      <c r="F7197" s="17" t="s">
        <v>434</v>
      </c>
      <c r="G7197" s="17"/>
      <c r="H7197" s="19">
        <v>1.2311</v>
      </c>
      <c r="I7197" s="19"/>
      <c r="J7197" s="17" t="s">
        <v>82</v>
      </c>
      <c r="K7197" s="188">
        <v>710</v>
      </c>
      <c r="L7197" s="188">
        <v>95</v>
      </c>
      <c r="M7197" s="188">
        <v>1315</v>
      </c>
      <c r="N7197" s="19" t="s">
        <v>66</v>
      </c>
      <c r="O7197" s="19" t="s">
        <v>98</v>
      </c>
      <c r="P7197" s="430">
        <v>692</v>
      </c>
      <c r="Q7197" s="290">
        <v>692</v>
      </c>
      <c r="R7197" s="19">
        <f t="shared" si="310"/>
        <v>0</v>
      </c>
      <c r="S7197" s="19">
        <v>800</v>
      </c>
      <c r="T7197" s="19" t="s">
        <v>94</v>
      </c>
      <c r="U7197" s="102" t="s">
        <v>1667</v>
      </c>
      <c r="V7197" s="186">
        <v>45931</v>
      </c>
      <c r="W7197" s="17" t="s">
        <v>44</v>
      </c>
      <c r="X7197" s="17"/>
      <c r="Y7197" s="68">
        <v>45962</v>
      </c>
      <c r="Z7197" s="17" t="s">
        <v>1668</v>
      </c>
      <c r="AA7197" s="17" t="s">
        <v>46</v>
      </c>
      <c r="AB7197" s="17" t="s">
        <v>1677</v>
      </c>
      <c r="AC7197" s="217">
        <v>45978</v>
      </c>
      <c r="AD7197" s="65">
        <v>1750</v>
      </c>
      <c r="AE7197" s="17" t="s">
        <v>48</v>
      </c>
      <c r="AF7197" s="17"/>
      <c r="AG7197" s="17"/>
      <c r="AH7197" s="17"/>
      <c r="AI7197" s="17"/>
      <c r="AJ7197" s="17"/>
      <c r="AK7197" s="17"/>
      <c r="AL7197" s="17"/>
      <c r="AM7197" s="17"/>
      <c r="AN7197" s="17"/>
      <c r="AO7197" s="17"/>
      <c r="AP7197" s="17"/>
      <c r="AQ7197" s="17"/>
      <c r="AR7197" s="17"/>
    </row>
    <row r="7198" s="25" customFormat="1" hidden="1" spans="1:44">
      <c r="A7198" s="17" t="s">
        <v>34</v>
      </c>
      <c r="B7198" s="19">
        <v>1096</v>
      </c>
      <c r="C7198" s="183">
        <v>45936</v>
      </c>
      <c r="D7198" s="17"/>
      <c r="E7198" s="17" t="s">
        <v>433</v>
      </c>
      <c r="F7198" s="17" t="s">
        <v>434</v>
      </c>
      <c r="G7198" s="17"/>
      <c r="H7198" s="19">
        <v>1.2311</v>
      </c>
      <c r="I7198" s="19"/>
      <c r="J7198" s="17" t="s">
        <v>82</v>
      </c>
      <c r="K7198" s="188">
        <v>645</v>
      </c>
      <c r="L7198" s="188">
        <v>95</v>
      </c>
      <c r="M7198" s="188">
        <v>960</v>
      </c>
      <c r="N7198" s="19" t="s">
        <v>66</v>
      </c>
      <c r="O7198" s="19" t="s">
        <v>98</v>
      </c>
      <c r="P7198" s="430">
        <v>482</v>
      </c>
      <c r="Q7198" s="290">
        <v>482</v>
      </c>
      <c r="R7198" s="19">
        <f t="shared" si="310"/>
        <v>0</v>
      </c>
      <c r="S7198" s="19">
        <v>800</v>
      </c>
      <c r="T7198" s="19" t="s">
        <v>94</v>
      </c>
      <c r="U7198" s="102" t="s">
        <v>1667</v>
      </c>
      <c r="V7198" s="186">
        <v>45931</v>
      </c>
      <c r="W7198" s="17" t="s">
        <v>44</v>
      </c>
      <c r="X7198" s="17"/>
      <c r="Y7198" s="68">
        <v>45962</v>
      </c>
      <c r="Z7198" s="17" t="s">
        <v>1668</v>
      </c>
      <c r="AA7198" s="17" t="s">
        <v>46</v>
      </c>
      <c r="AB7198" s="17" t="s">
        <v>1673</v>
      </c>
      <c r="AC7198" s="217">
        <v>45960</v>
      </c>
      <c r="AD7198" s="65">
        <v>1747</v>
      </c>
      <c r="AE7198" s="17" t="s">
        <v>147</v>
      </c>
      <c r="AF7198" s="17"/>
      <c r="AG7198" s="17"/>
      <c r="AH7198" s="17"/>
      <c r="AI7198" s="17"/>
      <c r="AJ7198" s="17"/>
      <c r="AK7198" s="17"/>
      <c r="AL7198" s="17"/>
      <c r="AM7198" s="17"/>
      <c r="AN7198" s="17"/>
      <c r="AO7198" s="17"/>
      <c r="AP7198" s="17"/>
      <c r="AQ7198" s="17"/>
      <c r="AR7198" s="17"/>
    </row>
    <row r="7199" s="25" customFormat="1" hidden="1" spans="1:44">
      <c r="A7199" s="17" t="s">
        <v>34</v>
      </c>
      <c r="B7199" s="19">
        <v>1096</v>
      </c>
      <c r="C7199" s="183">
        <v>45936</v>
      </c>
      <c r="D7199" s="17"/>
      <c r="E7199" s="17" t="s">
        <v>433</v>
      </c>
      <c r="F7199" s="17" t="s">
        <v>434</v>
      </c>
      <c r="G7199" s="17"/>
      <c r="H7199" s="19">
        <v>1.2311</v>
      </c>
      <c r="I7199" s="19"/>
      <c r="J7199" s="17" t="s">
        <v>82</v>
      </c>
      <c r="K7199" s="188">
        <v>695</v>
      </c>
      <c r="L7199" s="188">
        <v>100</v>
      </c>
      <c r="M7199" s="188">
        <v>1270</v>
      </c>
      <c r="N7199" s="19" t="s">
        <v>66</v>
      </c>
      <c r="O7199" s="19" t="s">
        <v>98</v>
      </c>
      <c r="P7199" s="430">
        <v>780</v>
      </c>
      <c r="Q7199" s="290">
        <v>780</v>
      </c>
      <c r="R7199" s="19">
        <f t="shared" si="310"/>
        <v>0</v>
      </c>
      <c r="S7199" s="19">
        <v>800</v>
      </c>
      <c r="T7199" s="19" t="s">
        <v>94</v>
      </c>
      <c r="U7199" s="102" t="s">
        <v>1667</v>
      </c>
      <c r="V7199" s="186">
        <v>45931</v>
      </c>
      <c r="W7199" s="17" t="s">
        <v>44</v>
      </c>
      <c r="X7199" s="17"/>
      <c r="Y7199" s="68">
        <v>45962</v>
      </c>
      <c r="Z7199" s="17" t="s">
        <v>1668</v>
      </c>
      <c r="AA7199" s="17" t="s">
        <v>46</v>
      </c>
      <c r="AB7199" s="17" t="s">
        <v>1677</v>
      </c>
      <c r="AC7199" s="217">
        <v>45978</v>
      </c>
      <c r="AD7199" s="65">
        <v>1750</v>
      </c>
      <c r="AE7199" s="17" t="s">
        <v>48</v>
      </c>
      <c r="AF7199" s="17"/>
      <c r="AG7199" s="17"/>
      <c r="AH7199" s="17"/>
      <c r="AI7199" s="17"/>
      <c r="AJ7199" s="17"/>
      <c r="AK7199" s="17"/>
      <c r="AL7199" s="17"/>
      <c r="AM7199" s="17"/>
      <c r="AN7199" s="17"/>
      <c r="AO7199" s="17"/>
      <c r="AP7199" s="17"/>
      <c r="AQ7199" s="17"/>
      <c r="AR7199" s="17"/>
    </row>
    <row r="7200" s="25" customFormat="1" hidden="1" spans="1:44">
      <c r="A7200" s="17" t="s">
        <v>34</v>
      </c>
      <c r="B7200" s="19">
        <v>1096</v>
      </c>
      <c r="C7200" s="183">
        <v>45936</v>
      </c>
      <c r="D7200" s="17"/>
      <c r="E7200" s="17" t="s">
        <v>433</v>
      </c>
      <c r="F7200" s="17" t="s">
        <v>434</v>
      </c>
      <c r="G7200" s="17"/>
      <c r="H7200" s="19">
        <v>1.2311</v>
      </c>
      <c r="I7200" s="19"/>
      <c r="J7200" s="17" t="s">
        <v>82</v>
      </c>
      <c r="K7200" s="188">
        <v>770</v>
      </c>
      <c r="L7200" s="188">
        <v>100</v>
      </c>
      <c r="M7200" s="188">
        <v>1275</v>
      </c>
      <c r="N7200" s="19" t="s">
        <v>66</v>
      </c>
      <c r="O7200" s="19" t="s">
        <v>98</v>
      </c>
      <c r="P7200" s="430">
        <v>755</v>
      </c>
      <c r="Q7200" s="290">
        <v>755</v>
      </c>
      <c r="R7200" s="19">
        <f t="shared" si="310"/>
        <v>0</v>
      </c>
      <c r="S7200" s="19">
        <v>800</v>
      </c>
      <c r="T7200" s="19" t="s">
        <v>94</v>
      </c>
      <c r="U7200" s="102" t="s">
        <v>1667</v>
      </c>
      <c r="V7200" s="186">
        <v>45931</v>
      </c>
      <c r="W7200" s="17" t="s">
        <v>44</v>
      </c>
      <c r="X7200" s="17"/>
      <c r="Y7200" s="68">
        <v>45962</v>
      </c>
      <c r="Z7200" s="17" t="s">
        <v>1668</v>
      </c>
      <c r="AA7200" s="17" t="s">
        <v>46</v>
      </c>
      <c r="AB7200" s="17" t="s">
        <v>1677</v>
      </c>
      <c r="AC7200" s="217">
        <v>45978</v>
      </c>
      <c r="AD7200" s="65">
        <v>1750</v>
      </c>
      <c r="AE7200" s="17" t="s">
        <v>48</v>
      </c>
      <c r="AF7200" s="17"/>
      <c r="AG7200" s="17"/>
      <c r="AH7200" s="17"/>
      <c r="AI7200" s="17"/>
      <c r="AJ7200" s="17"/>
      <c r="AK7200" s="17"/>
      <c r="AL7200" s="17"/>
      <c r="AM7200" s="17"/>
      <c r="AN7200" s="17"/>
      <c r="AO7200" s="17"/>
      <c r="AP7200" s="17"/>
      <c r="AQ7200" s="17"/>
      <c r="AR7200" s="17"/>
    </row>
    <row r="7201" s="25" customFormat="1" hidden="1" spans="1:44">
      <c r="A7201" s="17" t="s">
        <v>34</v>
      </c>
      <c r="B7201" s="19">
        <v>1096</v>
      </c>
      <c r="C7201" s="183">
        <v>45936</v>
      </c>
      <c r="D7201" s="17"/>
      <c r="E7201" s="17" t="s">
        <v>433</v>
      </c>
      <c r="F7201" s="17" t="s">
        <v>434</v>
      </c>
      <c r="G7201" s="17"/>
      <c r="H7201" s="19">
        <v>1.2311</v>
      </c>
      <c r="I7201" s="19"/>
      <c r="J7201" s="17" t="s">
        <v>82</v>
      </c>
      <c r="K7201" s="188">
        <v>630</v>
      </c>
      <c r="L7201" s="188">
        <v>100</v>
      </c>
      <c r="M7201" s="188">
        <v>1310</v>
      </c>
      <c r="N7201" s="19" t="s">
        <v>66</v>
      </c>
      <c r="O7201" s="19" t="s">
        <v>98</v>
      </c>
      <c r="P7201" s="430">
        <v>695</v>
      </c>
      <c r="Q7201" s="290">
        <v>695</v>
      </c>
      <c r="R7201" s="19">
        <f t="shared" si="310"/>
        <v>0</v>
      </c>
      <c r="S7201" s="19">
        <v>800</v>
      </c>
      <c r="T7201" s="19" t="s">
        <v>94</v>
      </c>
      <c r="U7201" s="102" t="s">
        <v>1667</v>
      </c>
      <c r="V7201" s="186">
        <v>45931</v>
      </c>
      <c r="W7201" s="17" t="s">
        <v>44</v>
      </c>
      <c r="X7201" s="17"/>
      <c r="Y7201" s="68">
        <v>45962</v>
      </c>
      <c r="Z7201" s="17" t="s">
        <v>1668</v>
      </c>
      <c r="AA7201" s="17" t="s">
        <v>46</v>
      </c>
      <c r="AB7201" s="17" t="s">
        <v>1677</v>
      </c>
      <c r="AC7201" s="217">
        <v>45978</v>
      </c>
      <c r="AD7201" s="65">
        <v>1750</v>
      </c>
      <c r="AE7201" s="17" t="s">
        <v>48</v>
      </c>
      <c r="AF7201" s="17"/>
      <c r="AG7201" s="17"/>
      <c r="AH7201" s="17"/>
      <c r="AI7201" s="17"/>
      <c r="AJ7201" s="17"/>
      <c r="AK7201" s="17"/>
      <c r="AL7201" s="17"/>
      <c r="AM7201" s="17"/>
      <c r="AN7201" s="17"/>
      <c r="AO7201" s="17"/>
      <c r="AP7201" s="17"/>
      <c r="AQ7201" s="17"/>
      <c r="AR7201" s="17"/>
    </row>
    <row r="7202" s="25" customFormat="1" hidden="1" spans="1:44">
      <c r="A7202" s="17" t="s">
        <v>34</v>
      </c>
      <c r="B7202" s="19">
        <v>1096</v>
      </c>
      <c r="C7202" s="183">
        <v>45936</v>
      </c>
      <c r="D7202" s="17"/>
      <c r="E7202" s="17" t="s">
        <v>433</v>
      </c>
      <c r="F7202" s="17" t="s">
        <v>434</v>
      </c>
      <c r="G7202" s="17"/>
      <c r="H7202" s="19">
        <v>1.2311</v>
      </c>
      <c r="I7202" s="19"/>
      <c r="J7202" s="17" t="s">
        <v>82</v>
      </c>
      <c r="K7202" s="188">
        <v>690</v>
      </c>
      <c r="L7202" s="188">
        <v>105</v>
      </c>
      <c r="M7202" s="188">
        <v>1090</v>
      </c>
      <c r="N7202" s="19" t="s">
        <v>66</v>
      </c>
      <c r="O7202" s="19" t="s">
        <v>98</v>
      </c>
      <c r="P7202" s="430">
        <v>718</v>
      </c>
      <c r="Q7202" s="290">
        <v>718</v>
      </c>
      <c r="R7202" s="19">
        <f t="shared" si="310"/>
        <v>0</v>
      </c>
      <c r="S7202" s="19">
        <v>800</v>
      </c>
      <c r="T7202" s="19" t="s">
        <v>94</v>
      </c>
      <c r="U7202" s="102" t="s">
        <v>1667</v>
      </c>
      <c r="V7202" s="186">
        <v>45931</v>
      </c>
      <c r="W7202" s="17" t="s">
        <v>44</v>
      </c>
      <c r="X7202" s="17"/>
      <c r="Y7202" s="68">
        <v>45962</v>
      </c>
      <c r="Z7202" s="17" t="s">
        <v>1668</v>
      </c>
      <c r="AA7202" s="17" t="s">
        <v>46</v>
      </c>
      <c r="AB7202" s="17" t="s">
        <v>1677</v>
      </c>
      <c r="AC7202" s="217">
        <v>45978</v>
      </c>
      <c r="AD7202" s="65">
        <v>1750</v>
      </c>
      <c r="AE7202" s="17" t="s">
        <v>48</v>
      </c>
      <c r="AF7202" s="17"/>
      <c r="AG7202" s="17"/>
      <c r="AH7202" s="17"/>
      <c r="AI7202" s="17"/>
      <c r="AJ7202" s="17"/>
      <c r="AK7202" s="17"/>
      <c r="AL7202" s="17"/>
      <c r="AM7202" s="17"/>
      <c r="AN7202" s="17"/>
      <c r="AO7202" s="17"/>
      <c r="AP7202" s="17"/>
      <c r="AQ7202" s="17"/>
      <c r="AR7202" s="17"/>
    </row>
    <row r="7203" s="25" customFormat="1" hidden="1" spans="1:44">
      <c r="A7203" s="17" t="s">
        <v>34</v>
      </c>
      <c r="B7203" s="19">
        <v>1096</v>
      </c>
      <c r="C7203" s="183">
        <v>45936</v>
      </c>
      <c r="D7203" s="17"/>
      <c r="E7203" s="17" t="s">
        <v>433</v>
      </c>
      <c r="F7203" s="17" t="s">
        <v>434</v>
      </c>
      <c r="G7203" s="17"/>
      <c r="H7203" s="19">
        <v>1.2311</v>
      </c>
      <c r="I7203" s="19"/>
      <c r="J7203" s="17" t="s">
        <v>82</v>
      </c>
      <c r="K7203" s="188">
        <v>660</v>
      </c>
      <c r="L7203" s="188">
        <v>105</v>
      </c>
      <c r="M7203" s="188">
        <v>1050</v>
      </c>
      <c r="N7203" s="19" t="s">
        <v>66</v>
      </c>
      <c r="O7203" s="19" t="s">
        <v>98</v>
      </c>
      <c r="P7203" s="430">
        <v>574</v>
      </c>
      <c r="Q7203" s="290">
        <v>574</v>
      </c>
      <c r="R7203" s="19">
        <f t="shared" si="310"/>
        <v>0</v>
      </c>
      <c r="S7203" s="19">
        <v>800</v>
      </c>
      <c r="T7203" s="19" t="s">
        <v>94</v>
      </c>
      <c r="U7203" s="102" t="s">
        <v>1667</v>
      </c>
      <c r="V7203" s="186">
        <v>45931</v>
      </c>
      <c r="W7203" s="17" t="s">
        <v>44</v>
      </c>
      <c r="X7203" s="17"/>
      <c r="Y7203" s="68">
        <v>45962</v>
      </c>
      <c r="Z7203" s="17" t="s">
        <v>1668</v>
      </c>
      <c r="AA7203" s="17" t="s">
        <v>46</v>
      </c>
      <c r="AB7203" s="17" t="s">
        <v>1677</v>
      </c>
      <c r="AC7203" s="217">
        <v>45978</v>
      </c>
      <c r="AD7203" s="65">
        <v>1750</v>
      </c>
      <c r="AE7203" s="17" t="s">
        <v>48</v>
      </c>
      <c r="AF7203" s="17"/>
      <c r="AG7203" s="17"/>
      <c r="AH7203" s="17"/>
      <c r="AI7203" s="17"/>
      <c r="AJ7203" s="17"/>
      <c r="AK7203" s="17"/>
      <c r="AL7203" s="17"/>
      <c r="AM7203" s="17"/>
      <c r="AN7203" s="17"/>
      <c r="AO7203" s="17"/>
      <c r="AP7203" s="17"/>
      <c r="AQ7203" s="17"/>
      <c r="AR7203" s="17"/>
    </row>
    <row r="7204" s="25" customFormat="1" hidden="1" spans="1:44">
      <c r="A7204" s="17" t="s">
        <v>34</v>
      </c>
      <c r="B7204" s="19">
        <v>1096</v>
      </c>
      <c r="C7204" s="183">
        <v>45936</v>
      </c>
      <c r="D7204" s="17"/>
      <c r="E7204" s="17" t="s">
        <v>433</v>
      </c>
      <c r="F7204" s="17" t="s">
        <v>434</v>
      </c>
      <c r="G7204" s="17"/>
      <c r="H7204" s="19">
        <v>1.2311</v>
      </c>
      <c r="I7204" s="19"/>
      <c r="J7204" s="17" t="s">
        <v>82</v>
      </c>
      <c r="K7204" s="188">
        <v>710</v>
      </c>
      <c r="L7204" s="188">
        <v>105</v>
      </c>
      <c r="M7204" s="188">
        <v>870</v>
      </c>
      <c r="N7204" s="19" t="s">
        <v>66</v>
      </c>
      <c r="O7204" s="19" t="s">
        <v>98</v>
      </c>
      <c r="P7204" s="430">
        <v>538</v>
      </c>
      <c r="Q7204" s="290">
        <v>538</v>
      </c>
      <c r="R7204" s="19">
        <f t="shared" si="310"/>
        <v>0</v>
      </c>
      <c r="S7204" s="19">
        <v>800</v>
      </c>
      <c r="T7204" s="19" t="s">
        <v>94</v>
      </c>
      <c r="U7204" s="102" t="s">
        <v>1667</v>
      </c>
      <c r="V7204" s="186">
        <v>45931</v>
      </c>
      <c r="W7204" s="17" t="s">
        <v>44</v>
      </c>
      <c r="X7204" s="17"/>
      <c r="Y7204" s="68">
        <v>45962</v>
      </c>
      <c r="Z7204" s="17" t="s">
        <v>1668</v>
      </c>
      <c r="AA7204" s="17" t="s">
        <v>46</v>
      </c>
      <c r="AB7204" s="17" t="s">
        <v>1677</v>
      </c>
      <c r="AC7204" s="217">
        <v>45978</v>
      </c>
      <c r="AD7204" s="65">
        <v>1750</v>
      </c>
      <c r="AE7204" s="17" t="s">
        <v>48</v>
      </c>
      <c r="AF7204" s="17"/>
      <c r="AG7204" s="17"/>
      <c r="AH7204" s="17"/>
      <c r="AI7204" s="17"/>
      <c r="AJ7204" s="17"/>
      <c r="AK7204" s="17"/>
      <c r="AL7204" s="17"/>
      <c r="AM7204" s="17"/>
      <c r="AN7204" s="17"/>
      <c r="AO7204" s="17"/>
      <c r="AP7204" s="17"/>
      <c r="AQ7204" s="17"/>
      <c r="AR7204" s="17"/>
    </row>
    <row r="7205" s="25" customFormat="1" hidden="1" spans="1:44">
      <c r="A7205" s="17" t="s">
        <v>34</v>
      </c>
      <c r="B7205" s="19">
        <v>1096</v>
      </c>
      <c r="C7205" s="183">
        <v>45936</v>
      </c>
      <c r="D7205" s="17"/>
      <c r="E7205" s="17" t="s">
        <v>433</v>
      </c>
      <c r="F7205" s="17" t="s">
        <v>434</v>
      </c>
      <c r="G7205" s="17"/>
      <c r="H7205" s="19">
        <v>1.2311</v>
      </c>
      <c r="I7205" s="19"/>
      <c r="J7205" s="17" t="s">
        <v>82</v>
      </c>
      <c r="K7205" s="188">
        <v>710</v>
      </c>
      <c r="L7205" s="188">
        <v>105</v>
      </c>
      <c r="M7205" s="188">
        <v>860</v>
      </c>
      <c r="N7205" s="19" t="s">
        <v>66</v>
      </c>
      <c r="O7205" s="19" t="s">
        <v>98</v>
      </c>
      <c r="P7205" s="430">
        <v>505</v>
      </c>
      <c r="Q7205" s="290">
        <v>505</v>
      </c>
      <c r="R7205" s="19">
        <f t="shared" si="310"/>
        <v>0</v>
      </c>
      <c r="S7205" s="19">
        <v>800</v>
      </c>
      <c r="T7205" s="19" t="s">
        <v>94</v>
      </c>
      <c r="U7205" s="102" t="s">
        <v>1667</v>
      </c>
      <c r="V7205" s="186">
        <v>45931</v>
      </c>
      <c r="W7205" s="17" t="s">
        <v>44</v>
      </c>
      <c r="X7205" s="17"/>
      <c r="Y7205" s="68">
        <v>45962</v>
      </c>
      <c r="Z7205" s="17" t="s">
        <v>1668</v>
      </c>
      <c r="AA7205" s="17" t="s">
        <v>46</v>
      </c>
      <c r="AB7205" s="17" t="s">
        <v>1673</v>
      </c>
      <c r="AC7205" s="217">
        <v>45960</v>
      </c>
      <c r="AD7205" s="65">
        <v>1747</v>
      </c>
      <c r="AE7205" s="17" t="s">
        <v>74</v>
      </c>
      <c r="AF7205" s="17"/>
      <c r="AG7205" s="17"/>
      <c r="AH7205" s="17"/>
      <c r="AI7205" s="17"/>
      <c r="AJ7205" s="17"/>
      <c r="AK7205" s="17"/>
      <c r="AL7205" s="17"/>
      <c r="AM7205" s="17"/>
      <c r="AN7205" s="17"/>
      <c r="AO7205" s="17"/>
      <c r="AP7205" s="17"/>
      <c r="AQ7205" s="17"/>
      <c r="AR7205" s="17"/>
    </row>
    <row r="7206" s="25" customFormat="1" hidden="1" spans="1:44">
      <c r="A7206" s="17" t="s">
        <v>34</v>
      </c>
      <c r="B7206" s="19">
        <v>1096</v>
      </c>
      <c r="C7206" s="183">
        <v>45936</v>
      </c>
      <c r="D7206" s="17"/>
      <c r="E7206" s="17" t="s">
        <v>433</v>
      </c>
      <c r="F7206" s="17" t="s">
        <v>434</v>
      </c>
      <c r="G7206" s="17"/>
      <c r="H7206" s="19">
        <v>1.2311</v>
      </c>
      <c r="I7206" s="19"/>
      <c r="J7206" s="17" t="s">
        <v>82</v>
      </c>
      <c r="K7206" s="188">
        <v>765</v>
      </c>
      <c r="L7206" s="188">
        <v>110</v>
      </c>
      <c r="M7206" s="188">
        <v>765</v>
      </c>
      <c r="N7206" s="19" t="s">
        <v>66</v>
      </c>
      <c r="O7206" s="19" t="s">
        <v>98</v>
      </c>
      <c r="P7206" s="430">
        <v>530</v>
      </c>
      <c r="Q7206" s="290">
        <v>530</v>
      </c>
      <c r="R7206" s="19">
        <f t="shared" si="310"/>
        <v>0</v>
      </c>
      <c r="S7206" s="19">
        <v>800</v>
      </c>
      <c r="T7206" s="19" t="s">
        <v>94</v>
      </c>
      <c r="U7206" s="102" t="s">
        <v>1667</v>
      </c>
      <c r="V7206" s="186">
        <v>45931</v>
      </c>
      <c r="W7206" s="17" t="s">
        <v>44</v>
      </c>
      <c r="X7206" s="17"/>
      <c r="Y7206" s="68">
        <v>45962</v>
      </c>
      <c r="Z7206" s="17" t="s">
        <v>1668</v>
      </c>
      <c r="AA7206" s="17" t="s">
        <v>46</v>
      </c>
      <c r="AB7206" s="17" t="s">
        <v>1673</v>
      </c>
      <c r="AC7206" s="217">
        <v>45960</v>
      </c>
      <c r="AD7206" s="65">
        <v>1747</v>
      </c>
      <c r="AE7206" s="17" t="s">
        <v>48</v>
      </c>
      <c r="AF7206" s="17"/>
      <c r="AG7206" s="17"/>
      <c r="AH7206" s="17"/>
      <c r="AI7206" s="17"/>
      <c r="AJ7206" s="17"/>
      <c r="AK7206" s="17"/>
      <c r="AL7206" s="17"/>
      <c r="AM7206" s="17"/>
      <c r="AN7206" s="17"/>
      <c r="AO7206" s="17"/>
      <c r="AP7206" s="17"/>
      <c r="AQ7206" s="17"/>
      <c r="AR7206" s="17"/>
    </row>
    <row r="7207" s="25" customFormat="1" hidden="1" spans="1:44">
      <c r="A7207" s="17" t="s">
        <v>34</v>
      </c>
      <c r="B7207" s="19">
        <v>1096</v>
      </c>
      <c r="C7207" s="183">
        <v>45936</v>
      </c>
      <c r="D7207" s="17"/>
      <c r="E7207" s="17" t="s">
        <v>433</v>
      </c>
      <c r="F7207" s="17" t="s">
        <v>434</v>
      </c>
      <c r="G7207" s="17"/>
      <c r="H7207" s="19">
        <v>1.2311</v>
      </c>
      <c r="I7207" s="19"/>
      <c r="J7207" s="17" t="s">
        <v>82</v>
      </c>
      <c r="K7207" s="188">
        <v>494</v>
      </c>
      <c r="L7207" s="188">
        <v>120</v>
      </c>
      <c r="M7207" s="188">
        <v>2225</v>
      </c>
      <c r="N7207" s="19" t="s">
        <v>66</v>
      </c>
      <c r="O7207" s="19" t="s">
        <v>98</v>
      </c>
      <c r="P7207" s="430">
        <v>1050</v>
      </c>
      <c r="Q7207" s="19">
        <v>1050</v>
      </c>
      <c r="R7207" s="19">
        <f t="shared" si="310"/>
        <v>0</v>
      </c>
      <c r="S7207" s="19">
        <v>800</v>
      </c>
      <c r="T7207" s="19" t="s">
        <v>94</v>
      </c>
      <c r="U7207" s="102" t="s">
        <v>1667</v>
      </c>
      <c r="V7207" s="186">
        <v>45931</v>
      </c>
      <c r="W7207" s="17" t="s">
        <v>44</v>
      </c>
      <c r="X7207" s="17"/>
      <c r="Y7207" s="68">
        <v>45962</v>
      </c>
      <c r="Z7207" s="17" t="s">
        <v>1668</v>
      </c>
      <c r="AA7207" s="17" t="s">
        <v>46</v>
      </c>
      <c r="AB7207" s="17" t="s">
        <v>1669</v>
      </c>
      <c r="AC7207" s="217">
        <v>45989</v>
      </c>
      <c r="AD7207" s="65">
        <v>1751</v>
      </c>
      <c r="AE7207" s="17" t="s">
        <v>48</v>
      </c>
      <c r="AF7207" s="17"/>
      <c r="AG7207" s="17"/>
      <c r="AH7207" s="17"/>
      <c r="AI7207" s="17"/>
      <c r="AJ7207" s="17"/>
      <c r="AK7207" s="17"/>
      <c r="AL7207" s="17"/>
      <c r="AM7207" s="17"/>
      <c r="AN7207" s="17"/>
      <c r="AO7207" s="17"/>
      <c r="AP7207" s="17"/>
      <c r="AQ7207" s="17"/>
      <c r="AR7207" s="17"/>
    </row>
    <row r="7208" s="25" customFormat="1" hidden="1" spans="1:44">
      <c r="A7208" s="17" t="s">
        <v>34</v>
      </c>
      <c r="B7208" s="19">
        <v>1096</v>
      </c>
      <c r="C7208" s="183">
        <v>45936</v>
      </c>
      <c r="D7208" s="17"/>
      <c r="E7208" s="17" t="s">
        <v>433</v>
      </c>
      <c r="F7208" s="17" t="s">
        <v>434</v>
      </c>
      <c r="G7208" s="17"/>
      <c r="H7208" s="19">
        <v>1.2311</v>
      </c>
      <c r="I7208" s="19"/>
      <c r="J7208" s="17" t="s">
        <v>82</v>
      </c>
      <c r="K7208" s="188">
        <v>720</v>
      </c>
      <c r="L7208" s="188">
        <v>120</v>
      </c>
      <c r="M7208" s="188">
        <v>1150</v>
      </c>
      <c r="N7208" s="19" t="s">
        <v>66</v>
      </c>
      <c r="O7208" s="19" t="s">
        <v>98</v>
      </c>
      <c r="P7208" s="430">
        <v>782</v>
      </c>
      <c r="Q7208" s="290">
        <v>782</v>
      </c>
      <c r="R7208" s="19">
        <f t="shared" si="310"/>
        <v>0</v>
      </c>
      <c r="S7208" s="19">
        <v>800</v>
      </c>
      <c r="T7208" s="19" t="s">
        <v>94</v>
      </c>
      <c r="U7208" s="102" t="s">
        <v>1667</v>
      </c>
      <c r="V7208" s="186">
        <v>45931</v>
      </c>
      <c r="W7208" s="17" t="s">
        <v>44</v>
      </c>
      <c r="X7208" s="17"/>
      <c r="Y7208" s="68">
        <v>45962</v>
      </c>
      <c r="Z7208" s="17" t="s">
        <v>1668</v>
      </c>
      <c r="AA7208" s="17" t="s">
        <v>46</v>
      </c>
      <c r="AB7208" s="17" t="s">
        <v>1673</v>
      </c>
      <c r="AC7208" s="217">
        <v>45960</v>
      </c>
      <c r="AD7208" s="65">
        <v>1747</v>
      </c>
      <c r="AE7208" s="17" t="s">
        <v>48</v>
      </c>
      <c r="AF7208" s="17"/>
      <c r="AG7208" s="17"/>
      <c r="AH7208" s="17"/>
      <c r="AI7208" s="17"/>
      <c r="AJ7208" s="17"/>
      <c r="AK7208" s="17"/>
      <c r="AL7208" s="17"/>
      <c r="AM7208" s="17"/>
      <c r="AN7208" s="17"/>
      <c r="AO7208" s="17"/>
      <c r="AP7208" s="17"/>
      <c r="AQ7208" s="17"/>
      <c r="AR7208" s="17"/>
    </row>
    <row r="7209" s="25" customFormat="1" hidden="1" spans="1:44">
      <c r="A7209" s="17" t="s">
        <v>34</v>
      </c>
      <c r="B7209" s="19">
        <v>1096</v>
      </c>
      <c r="C7209" s="183">
        <v>45936</v>
      </c>
      <c r="D7209" s="17"/>
      <c r="E7209" s="17" t="s">
        <v>433</v>
      </c>
      <c r="F7209" s="17" t="s">
        <v>434</v>
      </c>
      <c r="G7209" s="17"/>
      <c r="H7209" s="19">
        <v>1.2311</v>
      </c>
      <c r="I7209" s="19"/>
      <c r="J7209" s="17" t="s">
        <v>82</v>
      </c>
      <c r="K7209" s="188">
        <v>460</v>
      </c>
      <c r="L7209" s="188">
        <v>125</v>
      </c>
      <c r="M7209" s="188">
        <v>2610</v>
      </c>
      <c r="N7209" s="19" t="s">
        <v>66</v>
      </c>
      <c r="O7209" s="19" t="s">
        <v>98</v>
      </c>
      <c r="P7209" s="430">
        <v>1280</v>
      </c>
      <c r="Q7209" s="19">
        <v>1280</v>
      </c>
      <c r="R7209" s="19">
        <f t="shared" si="310"/>
        <v>0</v>
      </c>
      <c r="S7209" s="19">
        <v>800</v>
      </c>
      <c r="T7209" s="19" t="s">
        <v>94</v>
      </c>
      <c r="U7209" s="102" t="s">
        <v>1667</v>
      </c>
      <c r="V7209" s="186">
        <v>45931</v>
      </c>
      <c r="W7209" s="17" t="s">
        <v>44</v>
      </c>
      <c r="X7209" s="17"/>
      <c r="Y7209" s="68">
        <v>45962</v>
      </c>
      <c r="Z7209" s="17" t="s">
        <v>1668</v>
      </c>
      <c r="AA7209" s="17" t="s">
        <v>46</v>
      </c>
      <c r="AB7209" s="17" t="s">
        <v>1669</v>
      </c>
      <c r="AC7209" s="217">
        <v>45989</v>
      </c>
      <c r="AD7209" s="65">
        <v>1751</v>
      </c>
      <c r="AE7209" s="17" t="s">
        <v>48</v>
      </c>
      <c r="AF7209" s="17"/>
      <c r="AG7209" s="17"/>
      <c r="AH7209" s="17"/>
      <c r="AI7209" s="17"/>
      <c r="AJ7209" s="17"/>
      <c r="AK7209" s="17"/>
      <c r="AL7209" s="17"/>
      <c r="AM7209" s="17"/>
      <c r="AN7209" s="17"/>
      <c r="AO7209" s="17"/>
      <c r="AP7209" s="17"/>
      <c r="AQ7209" s="17"/>
      <c r="AR7209" s="17"/>
    </row>
    <row r="7210" s="25" customFormat="1" hidden="1" spans="1:44">
      <c r="A7210" s="17" t="s">
        <v>34</v>
      </c>
      <c r="B7210" s="19">
        <v>1096</v>
      </c>
      <c r="C7210" s="183">
        <v>45936</v>
      </c>
      <c r="D7210" s="17"/>
      <c r="E7210" s="17" t="s">
        <v>433</v>
      </c>
      <c r="F7210" s="17" t="s">
        <v>434</v>
      </c>
      <c r="G7210" s="17"/>
      <c r="H7210" s="19">
        <v>1.2311</v>
      </c>
      <c r="I7210" s="19"/>
      <c r="J7210" s="17" t="s">
        <v>82</v>
      </c>
      <c r="K7210" s="188">
        <v>520</v>
      </c>
      <c r="L7210" s="188">
        <v>125</v>
      </c>
      <c r="M7210" s="188">
        <v>2120</v>
      </c>
      <c r="N7210" s="19" t="s">
        <v>66</v>
      </c>
      <c r="O7210" s="19" t="s">
        <v>98</v>
      </c>
      <c r="P7210" s="430">
        <v>1180</v>
      </c>
      <c r="Q7210" s="290">
        <v>1180</v>
      </c>
      <c r="R7210" s="19">
        <f t="shared" si="310"/>
        <v>0</v>
      </c>
      <c r="S7210" s="19">
        <v>800</v>
      </c>
      <c r="T7210" s="19" t="s">
        <v>94</v>
      </c>
      <c r="U7210" s="102" t="s">
        <v>1667</v>
      </c>
      <c r="V7210" s="186">
        <v>45931</v>
      </c>
      <c r="W7210" s="17" t="s">
        <v>44</v>
      </c>
      <c r="X7210" s="17"/>
      <c r="Y7210" s="68">
        <v>45962</v>
      </c>
      <c r="Z7210" s="17" t="s">
        <v>1668</v>
      </c>
      <c r="AA7210" s="17" t="s">
        <v>46</v>
      </c>
      <c r="AB7210" s="17" t="s">
        <v>1677</v>
      </c>
      <c r="AC7210" s="217">
        <v>45978</v>
      </c>
      <c r="AD7210" s="65">
        <v>1750</v>
      </c>
      <c r="AE7210" s="17" t="s">
        <v>48</v>
      </c>
      <c r="AF7210" s="17"/>
      <c r="AG7210" s="17"/>
      <c r="AH7210" s="17"/>
      <c r="AI7210" s="17"/>
      <c r="AJ7210" s="17"/>
      <c r="AK7210" s="17"/>
      <c r="AL7210" s="17"/>
      <c r="AM7210" s="17"/>
      <c r="AN7210" s="17"/>
      <c r="AO7210" s="17"/>
      <c r="AP7210" s="17"/>
      <c r="AQ7210" s="17"/>
      <c r="AR7210" s="17"/>
    </row>
    <row r="7211" s="25" customFormat="1" hidden="1" spans="1:44">
      <c r="A7211" s="17" t="s">
        <v>34</v>
      </c>
      <c r="B7211" s="19">
        <v>1096</v>
      </c>
      <c r="C7211" s="183">
        <v>45936</v>
      </c>
      <c r="D7211" s="17"/>
      <c r="E7211" s="17" t="s">
        <v>433</v>
      </c>
      <c r="F7211" s="17" t="s">
        <v>434</v>
      </c>
      <c r="G7211" s="17"/>
      <c r="H7211" s="19">
        <v>1.2311</v>
      </c>
      <c r="I7211" s="19"/>
      <c r="J7211" s="17" t="s">
        <v>82</v>
      </c>
      <c r="K7211" s="188">
        <v>480</v>
      </c>
      <c r="L7211" s="188">
        <v>130</v>
      </c>
      <c r="M7211" s="188">
        <v>2660</v>
      </c>
      <c r="N7211" s="19" t="s">
        <v>66</v>
      </c>
      <c r="O7211" s="19" t="s">
        <v>98</v>
      </c>
      <c r="P7211" s="430">
        <v>1395</v>
      </c>
      <c r="Q7211" s="290">
        <v>1395</v>
      </c>
      <c r="R7211" s="19">
        <f t="shared" si="310"/>
        <v>0</v>
      </c>
      <c r="S7211" s="19">
        <v>800</v>
      </c>
      <c r="T7211" s="19" t="s">
        <v>94</v>
      </c>
      <c r="U7211" s="102" t="s">
        <v>1667</v>
      </c>
      <c r="V7211" s="186">
        <v>45931</v>
      </c>
      <c r="W7211" s="17" t="s">
        <v>44</v>
      </c>
      <c r="X7211" s="17"/>
      <c r="Y7211" s="68">
        <v>45962</v>
      </c>
      <c r="Z7211" s="17" t="s">
        <v>1668</v>
      </c>
      <c r="AA7211" s="17" t="s">
        <v>46</v>
      </c>
      <c r="AB7211" s="17" t="s">
        <v>1673</v>
      </c>
      <c r="AC7211" s="217">
        <v>45960</v>
      </c>
      <c r="AD7211" s="65">
        <v>1747</v>
      </c>
      <c r="AE7211" s="17" t="s">
        <v>48</v>
      </c>
      <c r="AF7211" s="17"/>
      <c r="AG7211" s="17"/>
      <c r="AH7211" s="17"/>
      <c r="AI7211" s="17"/>
      <c r="AJ7211" s="17"/>
      <c r="AK7211" s="17"/>
      <c r="AL7211" s="17"/>
      <c r="AM7211" s="17"/>
      <c r="AN7211" s="17"/>
      <c r="AO7211" s="17"/>
      <c r="AP7211" s="17"/>
      <c r="AQ7211" s="17"/>
      <c r="AR7211" s="17"/>
    </row>
    <row r="7212" s="25" customFormat="1" hidden="1" spans="1:44">
      <c r="A7212" s="17" t="s">
        <v>34</v>
      </c>
      <c r="B7212" s="19">
        <v>1096</v>
      </c>
      <c r="C7212" s="183">
        <v>45936</v>
      </c>
      <c r="D7212" s="17"/>
      <c r="E7212" s="17" t="s">
        <v>433</v>
      </c>
      <c r="F7212" s="17" t="s">
        <v>434</v>
      </c>
      <c r="G7212" s="17"/>
      <c r="H7212" s="19">
        <v>1.2311</v>
      </c>
      <c r="I7212" s="19"/>
      <c r="J7212" s="17" t="s">
        <v>82</v>
      </c>
      <c r="K7212" s="188">
        <v>430</v>
      </c>
      <c r="L7212" s="188">
        <v>130</v>
      </c>
      <c r="M7212" s="188">
        <v>1270</v>
      </c>
      <c r="N7212" s="19" t="s">
        <v>66</v>
      </c>
      <c r="O7212" s="19" t="s">
        <v>98</v>
      </c>
      <c r="P7212" s="430">
        <v>555</v>
      </c>
      <c r="Q7212" s="290">
        <v>555</v>
      </c>
      <c r="R7212" s="19">
        <f t="shared" si="310"/>
        <v>0</v>
      </c>
      <c r="S7212" s="19">
        <v>800</v>
      </c>
      <c r="T7212" s="19" t="s">
        <v>94</v>
      </c>
      <c r="U7212" s="102" t="s">
        <v>1667</v>
      </c>
      <c r="V7212" s="186">
        <v>45931</v>
      </c>
      <c r="W7212" s="17" t="s">
        <v>44</v>
      </c>
      <c r="X7212" s="17"/>
      <c r="Y7212" s="68">
        <v>45962</v>
      </c>
      <c r="Z7212" s="17" t="s">
        <v>1668</v>
      </c>
      <c r="AA7212" s="17" t="s">
        <v>46</v>
      </c>
      <c r="AB7212" s="17" t="s">
        <v>1673</v>
      </c>
      <c r="AC7212" s="217">
        <v>45960</v>
      </c>
      <c r="AD7212" s="65">
        <v>1747</v>
      </c>
      <c r="AE7212" s="17" t="s">
        <v>48</v>
      </c>
      <c r="AF7212" s="17"/>
      <c r="AG7212" s="17"/>
      <c r="AH7212" s="17"/>
      <c r="AI7212" s="17"/>
      <c r="AJ7212" s="17"/>
      <c r="AK7212" s="17"/>
      <c r="AL7212" s="17"/>
      <c r="AM7212" s="17"/>
      <c r="AN7212" s="17"/>
      <c r="AO7212" s="17"/>
      <c r="AP7212" s="17"/>
      <c r="AQ7212" s="17"/>
      <c r="AR7212" s="17"/>
    </row>
    <row r="7213" s="25" customFormat="1" hidden="1" spans="1:44">
      <c r="A7213" s="17" t="s">
        <v>34</v>
      </c>
      <c r="B7213" s="19">
        <v>1096</v>
      </c>
      <c r="C7213" s="183">
        <v>45936</v>
      </c>
      <c r="D7213" s="17"/>
      <c r="E7213" s="17" t="s">
        <v>433</v>
      </c>
      <c r="F7213" s="17" t="s">
        <v>434</v>
      </c>
      <c r="G7213" s="17"/>
      <c r="H7213" s="19">
        <v>1.2311</v>
      </c>
      <c r="I7213" s="19"/>
      <c r="J7213" s="17" t="s">
        <v>82</v>
      </c>
      <c r="K7213" s="188">
        <v>730</v>
      </c>
      <c r="L7213" s="188">
        <v>135</v>
      </c>
      <c r="M7213" s="188">
        <v>1320</v>
      </c>
      <c r="N7213" s="19" t="s">
        <v>66</v>
      </c>
      <c r="O7213" s="19" t="s">
        <v>98</v>
      </c>
      <c r="P7213" s="430">
        <v>1072</v>
      </c>
      <c r="Q7213" s="290">
        <v>1072</v>
      </c>
      <c r="R7213" s="19">
        <f t="shared" si="310"/>
        <v>0</v>
      </c>
      <c r="S7213" s="19">
        <v>800</v>
      </c>
      <c r="T7213" s="19" t="s">
        <v>94</v>
      </c>
      <c r="U7213" s="102" t="s">
        <v>1667</v>
      </c>
      <c r="V7213" s="186">
        <v>45931</v>
      </c>
      <c r="W7213" s="17" t="s">
        <v>44</v>
      </c>
      <c r="X7213" s="17"/>
      <c r="Y7213" s="68">
        <v>45962</v>
      </c>
      <c r="Z7213" s="17" t="s">
        <v>1668</v>
      </c>
      <c r="AA7213" s="17" t="s">
        <v>46</v>
      </c>
      <c r="AB7213" s="17" t="s">
        <v>1673</v>
      </c>
      <c r="AC7213" s="217">
        <v>45960</v>
      </c>
      <c r="AD7213" s="65">
        <v>1747</v>
      </c>
      <c r="AE7213" s="17" t="s">
        <v>74</v>
      </c>
      <c r="AF7213" s="17"/>
      <c r="AG7213" s="17"/>
      <c r="AH7213" s="17"/>
      <c r="AI7213" s="17"/>
      <c r="AJ7213" s="17"/>
      <c r="AK7213" s="17"/>
      <c r="AL7213" s="17"/>
      <c r="AM7213" s="17"/>
      <c r="AN7213" s="17"/>
      <c r="AO7213" s="17"/>
      <c r="AP7213" s="17"/>
      <c r="AQ7213" s="17"/>
      <c r="AR7213" s="17"/>
    </row>
    <row r="7214" s="25" customFormat="1" hidden="1" spans="1:44">
      <c r="A7214" s="17" t="s">
        <v>34</v>
      </c>
      <c r="B7214" s="19">
        <v>1096</v>
      </c>
      <c r="C7214" s="183">
        <v>45936</v>
      </c>
      <c r="D7214" s="17"/>
      <c r="E7214" s="17" t="s">
        <v>433</v>
      </c>
      <c r="F7214" s="17" t="s">
        <v>434</v>
      </c>
      <c r="G7214" s="17"/>
      <c r="H7214" s="19">
        <v>1.2311</v>
      </c>
      <c r="I7214" s="19"/>
      <c r="J7214" s="17" t="s">
        <v>82</v>
      </c>
      <c r="K7214" s="188">
        <v>495</v>
      </c>
      <c r="L7214" s="188">
        <v>135</v>
      </c>
      <c r="M7214" s="188">
        <v>1685</v>
      </c>
      <c r="N7214" s="19" t="s">
        <v>66</v>
      </c>
      <c r="O7214" s="19" t="s">
        <v>98</v>
      </c>
      <c r="P7214" s="430">
        <v>890</v>
      </c>
      <c r="Q7214" s="290">
        <v>890</v>
      </c>
      <c r="R7214" s="19">
        <f t="shared" si="310"/>
        <v>0</v>
      </c>
      <c r="S7214" s="19">
        <v>800</v>
      </c>
      <c r="T7214" s="19" t="s">
        <v>94</v>
      </c>
      <c r="U7214" s="102" t="s">
        <v>1667</v>
      </c>
      <c r="V7214" s="186">
        <v>45931</v>
      </c>
      <c r="W7214" s="17" t="s">
        <v>44</v>
      </c>
      <c r="X7214" s="17"/>
      <c r="Y7214" s="68">
        <v>45962</v>
      </c>
      <c r="Z7214" s="17" t="s">
        <v>1668</v>
      </c>
      <c r="AA7214" s="17" t="s">
        <v>46</v>
      </c>
      <c r="AB7214" s="17" t="s">
        <v>1677</v>
      </c>
      <c r="AC7214" s="217">
        <v>45978</v>
      </c>
      <c r="AD7214" s="65">
        <v>1750</v>
      </c>
      <c r="AE7214" s="17" t="s">
        <v>48</v>
      </c>
      <c r="AF7214" s="17"/>
      <c r="AG7214" s="17"/>
      <c r="AH7214" s="17"/>
      <c r="AI7214" s="17"/>
      <c r="AJ7214" s="17"/>
      <c r="AK7214" s="17"/>
      <c r="AL7214" s="17"/>
      <c r="AM7214" s="17"/>
      <c r="AN7214" s="17"/>
      <c r="AO7214" s="17"/>
      <c r="AP7214" s="17"/>
      <c r="AQ7214" s="17"/>
      <c r="AR7214" s="17"/>
    </row>
    <row r="7215" s="25" customFormat="1" hidden="1" spans="1:44">
      <c r="A7215" s="17" t="s">
        <v>34</v>
      </c>
      <c r="B7215" s="19">
        <v>1096</v>
      </c>
      <c r="C7215" s="183">
        <v>45936</v>
      </c>
      <c r="D7215" s="17"/>
      <c r="E7215" s="17" t="s">
        <v>433</v>
      </c>
      <c r="F7215" s="17" t="s">
        <v>434</v>
      </c>
      <c r="G7215" s="17"/>
      <c r="H7215" s="19">
        <v>1.2311</v>
      </c>
      <c r="I7215" s="19"/>
      <c r="J7215" s="17" t="s">
        <v>82</v>
      </c>
      <c r="K7215" s="188">
        <v>397</v>
      </c>
      <c r="L7215" s="188">
        <v>135</v>
      </c>
      <c r="M7215" s="188">
        <v>1320</v>
      </c>
      <c r="N7215" s="19" t="s">
        <v>66</v>
      </c>
      <c r="O7215" s="19" t="s">
        <v>98</v>
      </c>
      <c r="P7215" s="430">
        <v>585</v>
      </c>
      <c r="Q7215" s="290">
        <v>585</v>
      </c>
      <c r="R7215" s="19">
        <f t="shared" si="310"/>
        <v>0</v>
      </c>
      <c r="S7215" s="19">
        <v>800</v>
      </c>
      <c r="T7215" s="19" t="s">
        <v>94</v>
      </c>
      <c r="U7215" s="102" t="s">
        <v>1667</v>
      </c>
      <c r="V7215" s="186">
        <v>45931</v>
      </c>
      <c r="W7215" s="17" t="s">
        <v>44</v>
      </c>
      <c r="X7215" s="17"/>
      <c r="Y7215" s="68">
        <v>45962</v>
      </c>
      <c r="Z7215" s="17" t="s">
        <v>1668</v>
      </c>
      <c r="AA7215" s="17" t="s">
        <v>46</v>
      </c>
      <c r="AB7215" s="17" t="s">
        <v>1673</v>
      </c>
      <c r="AC7215" s="217">
        <v>45960</v>
      </c>
      <c r="AD7215" s="65">
        <v>1747</v>
      </c>
      <c r="AE7215" s="17" t="s">
        <v>48</v>
      </c>
      <c r="AF7215" s="17"/>
      <c r="AG7215" s="17"/>
      <c r="AH7215" s="17"/>
      <c r="AI7215" s="17"/>
      <c r="AJ7215" s="17"/>
      <c r="AK7215" s="17"/>
      <c r="AL7215" s="17"/>
      <c r="AM7215" s="17"/>
      <c r="AN7215" s="17"/>
      <c r="AO7215" s="17"/>
      <c r="AP7215" s="17"/>
      <c r="AQ7215" s="17"/>
      <c r="AR7215" s="17"/>
    </row>
    <row r="7216" s="25" customFormat="1" hidden="1" spans="1:44">
      <c r="A7216" s="17" t="s">
        <v>34</v>
      </c>
      <c r="B7216" s="19">
        <v>1096</v>
      </c>
      <c r="C7216" s="183">
        <v>45936</v>
      </c>
      <c r="D7216" s="17"/>
      <c r="E7216" s="17" t="s">
        <v>433</v>
      </c>
      <c r="F7216" s="17" t="s">
        <v>434</v>
      </c>
      <c r="G7216" s="17"/>
      <c r="H7216" s="19">
        <v>1.2311</v>
      </c>
      <c r="I7216" s="19"/>
      <c r="J7216" s="17" t="s">
        <v>82</v>
      </c>
      <c r="K7216" s="188">
        <v>250</v>
      </c>
      <c r="L7216" s="188">
        <v>135</v>
      </c>
      <c r="M7216" s="188">
        <v>1325</v>
      </c>
      <c r="N7216" s="19" t="s">
        <v>66</v>
      </c>
      <c r="O7216" s="19" t="s">
        <v>98</v>
      </c>
      <c r="P7216" s="430">
        <v>348</v>
      </c>
      <c r="Q7216" s="290">
        <v>348</v>
      </c>
      <c r="R7216" s="19">
        <f t="shared" si="310"/>
        <v>0</v>
      </c>
      <c r="S7216" s="19">
        <v>800</v>
      </c>
      <c r="T7216" s="19" t="s">
        <v>94</v>
      </c>
      <c r="U7216" s="102" t="s">
        <v>1667</v>
      </c>
      <c r="V7216" s="186">
        <v>45931</v>
      </c>
      <c r="W7216" s="17" t="s">
        <v>44</v>
      </c>
      <c r="X7216" s="17"/>
      <c r="Y7216" s="68">
        <v>45962</v>
      </c>
      <c r="Z7216" s="17" t="s">
        <v>1668</v>
      </c>
      <c r="AA7216" s="17" t="s">
        <v>46</v>
      </c>
      <c r="AB7216" s="17" t="s">
        <v>1673</v>
      </c>
      <c r="AC7216" s="217">
        <v>45960</v>
      </c>
      <c r="AD7216" s="65">
        <v>1747</v>
      </c>
      <c r="AE7216" s="17" t="s">
        <v>48</v>
      </c>
      <c r="AF7216" s="17"/>
      <c r="AG7216" s="17"/>
      <c r="AH7216" s="17"/>
      <c r="AI7216" s="17"/>
      <c r="AJ7216" s="17"/>
      <c r="AK7216" s="17"/>
      <c r="AL7216" s="17"/>
      <c r="AM7216" s="17"/>
      <c r="AN7216" s="17"/>
      <c r="AO7216" s="17"/>
      <c r="AP7216" s="17"/>
      <c r="AQ7216" s="17"/>
      <c r="AR7216" s="17"/>
    </row>
    <row r="7217" s="25" customFormat="1" hidden="1" spans="1:44">
      <c r="A7217" s="17" t="s">
        <v>34</v>
      </c>
      <c r="B7217" s="19">
        <v>1096</v>
      </c>
      <c r="C7217" s="183">
        <v>45936</v>
      </c>
      <c r="D7217" s="17"/>
      <c r="E7217" s="17" t="s">
        <v>433</v>
      </c>
      <c r="F7217" s="17" t="s">
        <v>434</v>
      </c>
      <c r="G7217" s="17"/>
      <c r="H7217" s="19">
        <v>1.2311</v>
      </c>
      <c r="I7217" s="19"/>
      <c r="J7217" s="17" t="s">
        <v>82</v>
      </c>
      <c r="K7217" s="188">
        <v>220</v>
      </c>
      <c r="L7217" s="188">
        <v>135</v>
      </c>
      <c r="M7217" s="188">
        <v>1335</v>
      </c>
      <c r="N7217" s="19" t="s">
        <v>66</v>
      </c>
      <c r="O7217" s="19" t="s">
        <v>98</v>
      </c>
      <c r="P7217" s="430">
        <v>315</v>
      </c>
      <c r="Q7217" s="290">
        <v>315</v>
      </c>
      <c r="R7217" s="19">
        <f t="shared" si="310"/>
        <v>0</v>
      </c>
      <c r="S7217" s="19">
        <v>800</v>
      </c>
      <c r="T7217" s="19" t="s">
        <v>94</v>
      </c>
      <c r="U7217" s="102" t="s">
        <v>1667</v>
      </c>
      <c r="V7217" s="186">
        <v>45931</v>
      </c>
      <c r="W7217" s="17" t="s">
        <v>44</v>
      </c>
      <c r="X7217" s="17"/>
      <c r="Y7217" s="68">
        <v>45962</v>
      </c>
      <c r="Z7217" s="17" t="s">
        <v>1668</v>
      </c>
      <c r="AA7217" s="17" t="s">
        <v>46</v>
      </c>
      <c r="AB7217" s="17" t="s">
        <v>1673</v>
      </c>
      <c r="AC7217" s="217">
        <v>45960</v>
      </c>
      <c r="AD7217" s="65">
        <v>1747</v>
      </c>
      <c r="AE7217" s="17" t="s">
        <v>48</v>
      </c>
      <c r="AF7217" s="17"/>
      <c r="AG7217" s="17"/>
      <c r="AH7217" s="17"/>
      <c r="AI7217" s="17"/>
      <c r="AJ7217" s="17"/>
      <c r="AK7217" s="17"/>
      <c r="AL7217" s="17"/>
      <c r="AM7217" s="17"/>
      <c r="AN7217" s="17"/>
      <c r="AO7217" s="17"/>
      <c r="AP7217" s="17"/>
      <c r="AQ7217" s="17"/>
      <c r="AR7217" s="17"/>
    </row>
    <row r="7218" s="25" customFormat="1" hidden="1" spans="1:44">
      <c r="A7218" s="17" t="s">
        <v>34</v>
      </c>
      <c r="B7218" s="19">
        <v>1096</v>
      </c>
      <c r="C7218" s="183">
        <v>45936</v>
      </c>
      <c r="D7218" s="17"/>
      <c r="E7218" s="17" t="s">
        <v>433</v>
      </c>
      <c r="F7218" s="17" t="s">
        <v>434</v>
      </c>
      <c r="G7218" s="17"/>
      <c r="H7218" s="19">
        <v>1.2311</v>
      </c>
      <c r="I7218" s="19"/>
      <c r="J7218" s="17" t="s">
        <v>82</v>
      </c>
      <c r="K7218" s="188">
        <v>785</v>
      </c>
      <c r="L7218" s="188">
        <v>140</v>
      </c>
      <c r="M7218" s="188">
        <v>1040</v>
      </c>
      <c r="N7218" s="19" t="s">
        <v>66</v>
      </c>
      <c r="O7218" s="19" t="s">
        <v>98</v>
      </c>
      <c r="P7218" s="430">
        <v>926</v>
      </c>
      <c r="Q7218" s="290">
        <v>926</v>
      </c>
      <c r="R7218" s="19">
        <f t="shared" si="310"/>
        <v>0</v>
      </c>
      <c r="S7218" s="19">
        <v>800</v>
      </c>
      <c r="T7218" s="19" t="s">
        <v>94</v>
      </c>
      <c r="U7218" s="102" t="s">
        <v>1667</v>
      </c>
      <c r="V7218" s="186">
        <v>45931</v>
      </c>
      <c r="W7218" s="17" t="s">
        <v>44</v>
      </c>
      <c r="X7218" s="17"/>
      <c r="Y7218" s="68">
        <v>45962</v>
      </c>
      <c r="Z7218" s="17" t="s">
        <v>1668</v>
      </c>
      <c r="AA7218" s="17" t="s">
        <v>46</v>
      </c>
      <c r="AB7218" s="17" t="s">
        <v>1673</v>
      </c>
      <c r="AC7218" s="217">
        <v>45960</v>
      </c>
      <c r="AD7218" s="65">
        <v>1747</v>
      </c>
      <c r="AE7218" s="17" t="s">
        <v>48</v>
      </c>
      <c r="AF7218" s="17"/>
      <c r="AG7218" s="17"/>
      <c r="AH7218" s="17"/>
      <c r="AI7218" s="17"/>
      <c r="AJ7218" s="17"/>
      <c r="AK7218" s="17"/>
      <c r="AL7218" s="17"/>
      <c r="AM7218" s="17"/>
      <c r="AN7218" s="17"/>
      <c r="AO7218" s="17"/>
      <c r="AP7218" s="17"/>
      <c r="AQ7218" s="17"/>
      <c r="AR7218" s="17"/>
    </row>
    <row r="7219" s="25" customFormat="1" hidden="1" spans="1:44">
      <c r="A7219" s="17" t="s">
        <v>34</v>
      </c>
      <c r="B7219" s="19">
        <v>1096</v>
      </c>
      <c r="C7219" s="183">
        <v>45936</v>
      </c>
      <c r="D7219" s="17"/>
      <c r="E7219" s="17" t="s">
        <v>433</v>
      </c>
      <c r="F7219" s="17" t="s">
        <v>434</v>
      </c>
      <c r="G7219" s="17"/>
      <c r="H7219" s="19">
        <v>1.2311</v>
      </c>
      <c r="I7219" s="19"/>
      <c r="J7219" s="17" t="s">
        <v>82</v>
      </c>
      <c r="K7219" s="188">
        <v>730</v>
      </c>
      <c r="L7219" s="188">
        <v>145</v>
      </c>
      <c r="M7219" s="188">
        <v>760</v>
      </c>
      <c r="N7219" s="19" t="s">
        <v>66</v>
      </c>
      <c r="O7219" s="19" t="s">
        <v>98</v>
      </c>
      <c r="P7219" s="430">
        <v>632</v>
      </c>
      <c r="Q7219" s="290">
        <v>632</v>
      </c>
      <c r="R7219" s="19">
        <f t="shared" si="310"/>
        <v>0</v>
      </c>
      <c r="S7219" s="19">
        <v>800</v>
      </c>
      <c r="T7219" s="19" t="s">
        <v>94</v>
      </c>
      <c r="U7219" s="102" t="s">
        <v>1667</v>
      </c>
      <c r="V7219" s="186">
        <v>45931</v>
      </c>
      <c r="W7219" s="17" t="s">
        <v>44</v>
      </c>
      <c r="X7219" s="17"/>
      <c r="Y7219" s="68">
        <v>45962</v>
      </c>
      <c r="Z7219" s="17" t="s">
        <v>1668</v>
      </c>
      <c r="AA7219" s="17" t="s">
        <v>46</v>
      </c>
      <c r="AB7219" s="17" t="s">
        <v>1677</v>
      </c>
      <c r="AC7219" s="217">
        <v>45978</v>
      </c>
      <c r="AD7219" s="65">
        <v>1750</v>
      </c>
      <c r="AE7219" s="17" t="s">
        <v>48</v>
      </c>
      <c r="AF7219" s="17"/>
      <c r="AG7219" s="17"/>
      <c r="AH7219" s="17"/>
      <c r="AI7219" s="17"/>
      <c r="AJ7219" s="17"/>
      <c r="AK7219" s="17"/>
      <c r="AL7219" s="17"/>
      <c r="AM7219" s="17"/>
      <c r="AN7219" s="17"/>
      <c r="AO7219" s="17"/>
      <c r="AP7219" s="17"/>
      <c r="AQ7219" s="17"/>
      <c r="AR7219" s="17"/>
    </row>
    <row r="7220" s="25" customFormat="1" hidden="1" spans="1:44">
      <c r="A7220" s="17" t="s">
        <v>34</v>
      </c>
      <c r="B7220" s="19">
        <v>1096</v>
      </c>
      <c r="C7220" s="183">
        <v>45936</v>
      </c>
      <c r="D7220" s="17"/>
      <c r="E7220" s="17" t="s">
        <v>433</v>
      </c>
      <c r="F7220" s="17" t="s">
        <v>434</v>
      </c>
      <c r="G7220" s="17"/>
      <c r="H7220" s="19">
        <v>1.2311</v>
      </c>
      <c r="I7220" s="19"/>
      <c r="J7220" s="17" t="s">
        <v>82</v>
      </c>
      <c r="K7220" s="188">
        <v>700</v>
      </c>
      <c r="L7220" s="188">
        <v>145</v>
      </c>
      <c r="M7220" s="188">
        <v>710</v>
      </c>
      <c r="N7220" s="19" t="s">
        <v>66</v>
      </c>
      <c r="O7220" s="19" t="s">
        <v>98</v>
      </c>
      <c r="P7220" s="430">
        <v>575</v>
      </c>
      <c r="Q7220" s="290">
        <v>575</v>
      </c>
      <c r="R7220" s="19">
        <f t="shared" si="310"/>
        <v>0</v>
      </c>
      <c r="S7220" s="19">
        <v>800</v>
      </c>
      <c r="T7220" s="19" t="s">
        <v>94</v>
      </c>
      <c r="U7220" s="102" t="s">
        <v>1667</v>
      </c>
      <c r="V7220" s="186">
        <v>45931</v>
      </c>
      <c r="W7220" s="17" t="s">
        <v>44</v>
      </c>
      <c r="X7220" s="17"/>
      <c r="Y7220" s="68">
        <v>45962</v>
      </c>
      <c r="Z7220" s="17" t="s">
        <v>1668</v>
      </c>
      <c r="AA7220" s="17" t="s">
        <v>46</v>
      </c>
      <c r="AB7220" s="17" t="s">
        <v>1673</v>
      </c>
      <c r="AC7220" s="217">
        <v>45960</v>
      </c>
      <c r="AD7220" s="65">
        <v>1747</v>
      </c>
      <c r="AE7220" s="17" t="s">
        <v>48</v>
      </c>
      <c r="AF7220" s="17"/>
      <c r="AG7220" s="17"/>
      <c r="AH7220" s="17"/>
      <c r="AI7220" s="17"/>
      <c r="AJ7220" s="17"/>
      <c r="AK7220" s="17"/>
      <c r="AL7220" s="17"/>
      <c r="AM7220" s="17"/>
      <c r="AN7220" s="17"/>
      <c r="AO7220" s="17"/>
      <c r="AP7220" s="17"/>
      <c r="AQ7220" s="17"/>
      <c r="AR7220" s="17"/>
    </row>
    <row r="7221" s="25" customFormat="1" hidden="1" spans="1:44">
      <c r="A7221" s="17" t="s">
        <v>34</v>
      </c>
      <c r="B7221" s="19">
        <v>1096</v>
      </c>
      <c r="C7221" s="183">
        <v>45936</v>
      </c>
      <c r="D7221" s="17"/>
      <c r="E7221" s="17" t="s">
        <v>433</v>
      </c>
      <c r="F7221" s="17" t="s">
        <v>434</v>
      </c>
      <c r="G7221" s="17"/>
      <c r="H7221" s="19">
        <v>1.2311</v>
      </c>
      <c r="I7221" s="19"/>
      <c r="J7221" s="17" t="s">
        <v>82</v>
      </c>
      <c r="K7221" s="188">
        <v>790</v>
      </c>
      <c r="L7221" s="188">
        <v>150</v>
      </c>
      <c r="M7221" s="188">
        <v>940</v>
      </c>
      <c r="N7221" s="19" t="s">
        <v>66</v>
      </c>
      <c r="O7221" s="19" t="s">
        <v>98</v>
      </c>
      <c r="P7221" s="430">
        <v>1055</v>
      </c>
      <c r="Q7221" s="290">
        <v>1055</v>
      </c>
      <c r="R7221" s="19">
        <f t="shared" si="310"/>
        <v>0</v>
      </c>
      <c r="S7221" s="19">
        <v>800</v>
      </c>
      <c r="T7221" s="19" t="s">
        <v>94</v>
      </c>
      <c r="U7221" s="102" t="s">
        <v>1667</v>
      </c>
      <c r="V7221" s="186">
        <v>45931</v>
      </c>
      <c r="W7221" s="17" t="s">
        <v>44</v>
      </c>
      <c r="X7221" s="17"/>
      <c r="Y7221" s="68">
        <v>45962</v>
      </c>
      <c r="Z7221" s="17" t="s">
        <v>1668</v>
      </c>
      <c r="AA7221" s="17" t="s">
        <v>46</v>
      </c>
      <c r="AB7221" s="17" t="s">
        <v>1673</v>
      </c>
      <c r="AC7221" s="217">
        <v>45960</v>
      </c>
      <c r="AD7221" s="65">
        <v>1747</v>
      </c>
      <c r="AE7221" s="17" t="s">
        <v>147</v>
      </c>
      <c r="AF7221" s="17"/>
      <c r="AG7221" s="17"/>
      <c r="AH7221" s="17"/>
      <c r="AI7221" s="17"/>
      <c r="AJ7221" s="17"/>
      <c r="AK7221" s="17"/>
      <c r="AL7221" s="17"/>
      <c r="AM7221" s="17"/>
      <c r="AN7221" s="17"/>
      <c r="AO7221" s="17"/>
      <c r="AP7221" s="17"/>
      <c r="AQ7221" s="17"/>
      <c r="AR7221" s="17"/>
    </row>
    <row r="7222" s="25" customFormat="1" hidden="1" spans="1:44">
      <c r="A7222" s="17" t="s">
        <v>34</v>
      </c>
      <c r="B7222" s="19">
        <v>1096</v>
      </c>
      <c r="C7222" s="183">
        <v>45936</v>
      </c>
      <c r="D7222" s="17"/>
      <c r="E7222" s="17" t="s">
        <v>433</v>
      </c>
      <c r="F7222" s="17" t="s">
        <v>434</v>
      </c>
      <c r="G7222" s="17"/>
      <c r="H7222" s="19">
        <v>1.2311</v>
      </c>
      <c r="I7222" s="19"/>
      <c r="J7222" s="17" t="s">
        <v>82</v>
      </c>
      <c r="K7222" s="188">
        <v>670</v>
      </c>
      <c r="L7222" s="188">
        <v>150</v>
      </c>
      <c r="M7222" s="188">
        <v>1255</v>
      </c>
      <c r="N7222" s="19" t="s">
        <v>66</v>
      </c>
      <c r="O7222" s="19" t="s">
        <v>98</v>
      </c>
      <c r="P7222" s="430">
        <v>992</v>
      </c>
      <c r="Q7222" s="290">
        <v>992</v>
      </c>
      <c r="R7222" s="19">
        <f t="shared" ref="R7222:R7253" si="311">+P7222-Q7222</f>
        <v>0</v>
      </c>
      <c r="S7222" s="19">
        <v>800</v>
      </c>
      <c r="T7222" s="19" t="s">
        <v>94</v>
      </c>
      <c r="U7222" s="102" t="s">
        <v>1667</v>
      </c>
      <c r="V7222" s="186">
        <v>45931</v>
      </c>
      <c r="W7222" s="17" t="s">
        <v>44</v>
      </c>
      <c r="X7222" s="17"/>
      <c r="Y7222" s="68">
        <v>45962</v>
      </c>
      <c r="Z7222" s="17" t="s">
        <v>1668</v>
      </c>
      <c r="AA7222" s="17" t="s">
        <v>46</v>
      </c>
      <c r="AB7222" s="17" t="s">
        <v>1677</v>
      </c>
      <c r="AC7222" s="217">
        <v>45978</v>
      </c>
      <c r="AD7222" s="65">
        <v>1750</v>
      </c>
      <c r="AE7222" s="17" t="s">
        <v>48</v>
      </c>
      <c r="AF7222" s="17"/>
      <c r="AG7222" s="17"/>
      <c r="AH7222" s="17"/>
      <c r="AI7222" s="17"/>
      <c r="AJ7222" s="17"/>
      <c r="AK7222" s="17"/>
      <c r="AL7222" s="17"/>
      <c r="AM7222" s="17"/>
      <c r="AN7222" s="17"/>
      <c r="AO7222" s="17"/>
      <c r="AP7222" s="17"/>
      <c r="AQ7222" s="17"/>
      <c r="AR7222" s="17"/>
    </row>
    <row r="7223" s="25" customFormat="1" hidden="1" spans="1:44">
      <c r="A7223" s="17" t="s">
        <v>34</v>
      </c>
      <c r="B7223" s="19">
        <v>1096</v>
      </c>
      <c r="C7223" s="183">
        <v>45936</v>
      </c>
      <c r="D7223" s="17"/>
      <c r="E7223" s="17" t="s">
        <v>433</v>
      </c>
      <c r="F7223" s="17" t="s">
        <v>434</v>
      </c>
      <c r="G7223" s="17"/>
      <c r="H7223" s="19">
        <v>1.2311</v>
      </c>
      <c r="I7223" s="19"/>
      <c r="J7223" s="17" t="s">
        <v>82</v>
      </c>
      <c r="K7223" s="188">
        <v>705</v>
      </c>
      <c r="L7223" s="188">
        <v>160</v>
      </c>
      <c r="M7223" s="188">
        <v>1910</v>
      </c>
      <c r="N7223" s="19" t="s">
        <v>66</v>
      </c>
      <c r="O7223" s="19" t="s">
        <v>98</v>
      </c>
      <c r="P7223" s="430">
        <v>1725</v>
      </c>
      <c r="Q7223" s="290">
        <v>1725</v>
      </c>
      <c r="R7223" s="19">
        <f t="shared" si="311"/>
        <v>0</v>
      </c>
      <c r="S7223" s="19">
        <v>800</v>
      </c>
      <c r="T7223" s="19" t="s">
        <v>94</v>
      </c>
      <c r="U7223" s="102" t="s">
        <v>1667</v>
      </c>
      <c r="V7223" s="186">
        <v>45931</v>
      </c>
      <c r="W7223" s="17" t="s">
        <v>44</v>
      </c>
      <c r="X7223" s="17"/>
      <c r="Y7223" s="68">
        <v>45962</v>
      </c>
      <c r="Z7223" s="17" t="s">
        <v>1668</v>
      </c>
      <c r="AA7223" s="17" t="s">
        <v>46</v>
      </c>
      <c r="AB7223" s="17" t="s">
        <v>1677</v>
      </c>
      <c r="AC7223" s="217">
        <v>45978</v>
      </c>
      <c r="AD7223" s="65">
        <v>1750</v>
      </c>
      <c r="AE7223" s="17" t="s">
        <v>48</v>
      </c>
      <c r="AF7223" s="17"/>
      <c r="AG7223" s="17"/>
      <c r="AH7223" s="17"/>
      <c r="AI7223" s="17"/>
      <c r="AJ7223" s="17"/>
      <c r="AK7223" s="17"/>
      <c r="AL7223" s="17"/>
      <c r="AM7223" s="17"/>
      <c r="AN7223" s="17"/>
      <c r="AO7223" s="17"/>
      <c r="AP7223" s="17"/>
      <c r="AQ7223" s="17"/>
      <c r="AR7223" s="17"/>
    </row>
    <row r="7224" s="25" customFormat="1" hidden="1" spans="1:44">
      <c r="A7224" s="17" t="s">
        <v>34</v>
      </c>
      <c r="B7224" s="19">
        <v>1096</v>
      </c>
      <c r="C7224" s="183">
        <v>45936</v>
      </c>
      <c r="D7224" s="17"/>
      <c r="E7224" s="17" t="s">
        <v>433</v>
      </c>
      <c r="F7224" s="17" t="s">
        <v>434</v>
      </c>
      <c r="G7224" s="17"/>
      <c r="H7224" s="19">
        <v>1.2311</v>
      </c>
      <c r="I7224" s="19"/>
      <c r="J7224" s="17" t="s">
        <v>82</v>
      </c>
      <c r="K7224" s="188">
        <v>670</v>
      </c>
      <c r="L7224" s="188">
        <v>160</v>
      </c>
      <c r="M7224" s="188">
        <v>820</v>
      </c>
      <c r="N7224" s="19" t="s">
        <v>66</v>
      </c>
      <c r="O7224" s="19" t="s">
        <v>98</v>
      </c>
      <c r="P7224" s="430">
        <v>760</v>
      </c>
      <c r="Q7224" s="290">
        <v>760</v>
      </c>
      <c r="R7224" s="19">
        <f t="shared" si="311"/>
        <v>0</v>
      </c>
      <c r="S7224" s="19">
        <v>800</v>
      </c>
      <c r="T7224" s="19" t="s">
        <v>94</v>
      </c>
      <c r="U7224" s="102" t="s">
        <v>1667</v>
      </c>
      <c r="V7224" s="186">
        <v>45931</v>
      </c>
      <c r="W7224" s="17" t="s">
        <v>44</v>
      </c>
      <c r="X7224" s="17"/>
      <c r="Y7224" s="68">
        <v>45962</v>
      </c>
      <c r="Z7224" s="17" t="s">
        <v>1668</v>
      </c>
      <c r="AA7224" s="17" t="s">
        <v>46</v>
      </c>
      <c r="AB7224" s="17" t="s">
        <v>1673</v>
      </c>
      <c r="AC7224" s="217">
        <v>45960</v>
      </c>
      <c r="AD7224" s="65">
        <v>1747</v>
      </c>
      <c r="AE7224" s="17" t="s">
        <v>74</v>
      </c>
      <c r="AF7224" s="17"/>
      <c r="AG7224" s="17"/>
      <c r="AH7224" s="17"/>
      <c r="AI7224" s="17"/>
      <c r="AJ7224" s="17"/>
      <c r="AK7224" s="17"/>
      <c r="AL7224" s="17"/>
      <c r="AM7224" s="17"/>
      <c r="AN7224" s="17"/>
      <c r="AO7224" s="17"/>
      <c r="AP7224" s="17"/>
      <c r="AQ7224" s="17"/>
      <c r="AR7224" s="17"/>
    </row>
    <row r="7225" s="25" customFormat="1" hidden="1" spans="1:44">
      <c r="A7225" s="17" t="s">
        <v>34</v>
      </c>
      <c r="B7225" s="19">
        <v>1096</v>
      </c>
      <c r="C7225" s="183">
        <v>45936</v>
      </c>
      <c r="D7225" s="17"/>
      <c r="E7225" s="17" t="s">
        <v>433</v>
      </c>
      <c r="F7225" s="17" t="s">
        <v>434</v>
      </c>
      <c r="G7225" s="17"/>
      <c r="H7225" s="19">
        <v>1.2311</v>
      </c>
      <c r="I7225" s="19"/>
      <c r="J7225" s="17" t="s">
        <v>82</v>
      </c>
      <c r="K7225" s="188">
        <v>620</v>
      </c>
      <c r="L7225" s="188">
        <v>160</v>
      </c>
      <c r="M7225" s="188">
        <v>830</v>
      </c>
      <c r="N7225" s="19" t="s">
        <v>66</v>
      </c>
      <c r="O7225" s="19" t="s">
        <v>98</v>
      </c>
      <c r="P7225" s="430">
        <v>662</v>
      </c>
      <c r="Q7225" s="290">
        <v>662</v>
      </c>
      <c r="R7225" s="19">
        <f t="shared" si="311"/>
        <v>0</v>
      </c>
      <c r="S7225" s="19">
        <v>800</v>
      </c>
      <c r="T7225" s="19" t="s">
        <v>94</v>
      </c>
      <c r="U7225" s="102" t="s">
        <v>1667</v>
      </c>
      <c r="V7225" s="186">
        <v>45931</v>
      </c>
      <c r="W7225" s="17" t="s">
        <v>44</v>
      </c>
      <c r="X7225" s="17"/>
      <c r="Y7225" s="68">
        <v>45962</v>
      </c>
      <c r="Z7225" s="17" t="s">
        <v>1668</v>
      </c>
      <c r="AA7225" s="17" t="s">
        <v>46</v>
      </c>
      <c r="AB7225" s="17" t="s">
        <v>1673</v>
      </c>
      <c r="AC7225" s="217">
        <v>45960</v>
      </c>
      <c r="AD7225" s="65">
        <v>1747</v>
      </c>
      <c r="AE7225" s="17" t="s">
        <v>147</v>
      </c>
      <c r="AF7225" s="17"/>
      <c r="AG7225" s="17"/>
      <c r="AH7225" s="17"/>
      <c r="AI7225" s="17"/>
      <c r="AJ7225" s="17"/>
      <c r="AK7225" s="17"/>
      <c r="AL7225" s="17"/>
      <c r="AM7225" s="17"/>
      <c r="AN7225" s="17"/>
      <c r="AO7225" s="17"/>
      <c r="AP7225" s="17"/>
      <c r="AQ7225" s="17"/>
      <c r="AR7225" s="17"/>
    </row>
    <row r="7226" s="25" customFormat="1" hidden="1" spans="1:44">
      <c r="A7226" s="17" t="s">
        <v>34</v>
      </c>
      <c r="B7226" s="19">
        <v>1096</v>
      </c>
      <c r="C7226" s="183">
        <v>45936</v>
      </c>
      <c r="D7226" s="17"/>
      <c r="E7226" s="17" t="s">
        <v>433</v>
      </c>
      <c r="F7226" s="17" t="s">
        <v>434</v>
      </c>
      <c r="G7226" s="17"/>
      <c r="H7226" s="19">
        <v>1.2311</v>
      </c>
      <c r="I7226" s="19"/>
      <c r="J7226" s="17" t="s">
        <v>82</v>
      </c>
      <c r="K7226" s="188">
        <v>405</v>
      </c>
      <c r="L7226" s="188">
        <v>180</v>
      </c>
      <c r="M7226" s="188">
        <v>1515</v>
      </c>
      <c r="N7226" s="19" t="s">
        <v>66</v>
      </c>
      <c r="O7226" s="19" t="s">
        <v>98</v>
      </c>
      <c r="P7226" s="430">
        <v>876</v>
      </c>
      <c r="Q7226" s="290">
        <v>876</v>
      </c>
      <c r="R7226" s="19">
        <f t="shared" si="311"/>
        <v>0</v>
      </c>
      <c r="S7226" s="19">
        <v>800</v>
      </c>
      <c r="T7226" s="19" t="s">
        <v>94</v>
      </c>
      <c r="U7226" s="102" t="s">
        <v>1667</v>
      </c>
      <c r="V7226" s="186">
        <v>45931</v>
      </c>
      <c r="W7226" s="17" t="s">
        <v>44</v>
      </c>
      <c r="X7226" s="17"/>
      <c r="Y7226" s="68">
        <v>45962</v>
      </c>
      <c r="Z7226" s="17" t="s">
        <v>1668</v>
      </c>
      <c r="AA7226" s="17" t="s">
        <v>46</v>
      </c>
      <c r="AB7226" s="17" t="s">
        <v>1673</v>
      </c>
      <c r="AC7226" s="217">
        <v>45960</v>
      </c>
      <c r="AD7226" s="65">
        <v>1747</v>
      </c>
      <c r="AE7226" s="17" t="s">
        <v>147</v>
      </c>
      <c r="AF7226" s="17"/>
      <c r="AG7226" s="17"/>
      <c r="AH7226" s="17"/>
      <c r="AI7226" s="17"/>
      <c r="AJ7226" s="17"/>
      <c r="AK7226" s="17"/>
      <c r="AL7226" s="17"/>
      <c r="AM7226" s="17"/>
      <c r="AN7226" s="17"/>
      <c r="AO7226" s="17"/>
      <c r="AP7226" s="17"/>
      <c r="AQ7226" s="17"/>
      <c r="AR7226" s="17"/>
    </row>
    <row r="7227" s="25" customFormat="1" hidden="1" spans="1:44">
      <c r="A7227" s="17" t="s">
        <v>34</v>
      </c>
      <c r="B7227" s="19">
        <v>1096</v>
      </c>
      <c r="C7227" s="183">
        <v>45936</v>
      </c>
      <c r="D7227" s="17"/>
      <c r="E7227" s="17" t="s">
        <v>433</v>
      </c>
      <c r="F7227" s="17" t="s">
        <v>434</v>
      </c>
      <c r="G7227" s="17"/>
      <c r="H7227" s="19">
        <v>1.2311</v>
      </c>
      <c r="I7227" s="19"/>
      <c r="J7227" s="17" t="s">
        <v>82</v>
      </c>
      <c r="K7227" s="188">
        <v>350</v>
      </c>
      <c r="L7227" s="188">
        <v>180</v>
      </c>
      <c r="M7227" s="188">
        <v>1510</v>
      </c>
      <c r="N7227" s="19" t="s">
        <v>66</v>
      </c>
      <c r="O7227" s="19" t="s">
        <v>98</v>
      </c>
      <c r="P7227" s="430">
        <v>720</v>
      </c>
      <c r="Q7227" s="290">
        <v>720</v>
      </c>
      <c r="R7227" s="19">
        <f t="shared" si="311"/>
        <v>0</v>
      </c>
      <c r="S7227" s="19">
        <v>800</v>
      </c>
      <c r="T7227" s="19" t="s">
        <v>94</v>
      </c>
      <c r="U7227" s="102" t="s">
        <v>1667</v>
      </c>
      <c r="V7227" s="186">
        <v>45931</v>
      </c>
      <c r="W7227" s="17" t="s">
        <v>44</v>
      </c>
      <c r="X7227" s="17"/>
      <c r="Y7227" s="68">
        <v>45962</v>
      </c>
      <c r="Z7227" s="17" t="s">
        <v>1668</v>
      </c>
      <c r="AA7227" s="17" t="s">
        <v>46</v>
      </c>
      <c r="AB7227" s="17" t="s">
        <v>1673</v>
      </c>
      <c r="AC7227" s="217">
        <v>45960</v>
      </c>
      <c r="AD7227" s="65">
        <v>1747</v>
      </c>
      <c r="AE7227" s="17" t="s">
        <v>48</v>
      </c>
      <c r="AF7227" s="17"/>
      <c r="AG7227" s="17"/>
      <c r="AH7227" s="17"/>
      <c r="AI7227" s="17"/>
      <c r="AJ7227" s="17"/>
      <c r="AK7227" s="17"/>
      <c r="AL7227" s="17"/>
      <c r="AM7227" s="17"/>
      <c r="AN7227" s="17"/>
      <c r="AO7227" s="17"/>
      <c r="AP7227" s="17"/>
      <c r="AQ7227" s="17"/>
      <c r="AR7227" s="17"/>
    </row>
    <row r="7228" s="25" customFormat="1" hidden="1" spans="1:44">
      <c r="A7228" s="17" t="s">
        <v>34</v>
      </c>
      <c r="B7228" s="19">
        <v>1096</v>
      </c>
      <c r="C7228" s="183">
        <v>45936</v>
      </c>
      <c r="D7228" s="17"/>
      <c r="E7228" s="17" t="s">
        <v>433</v>
      </c>
      <c r="F7228" s="17" t="s">
        <v>434</v>
      </c>
      <c r="G7228" s="17"/>
      <c r="H7228" s="19">
        <v>1.2311</v>
      </c>
      <c r="I7228" s="19"/>
      <c r="J7228" s="17" t="s">
        <v>82</v>
      </c>
      <c r="K7228" s="188">
        <v>630</v>
      </c>
      <c r="L7228" s="188">
        <v>185</v>
      </c>
      <c r="M7228" s="188">
        <v>1360</v>
      </c>
      <c r="N7228" s="19" t="s">
        <v>66</v>
      </c>
      <c r="O7228" s="19" t="s">
        <v>98</v>
      </c>
      <c r="P7228" s="430">
        <v>1354</v>
      </c>
      <c r="Q7228" s="290">
        <v>1354</v>
      </c>
      <c r="R7228" s="19">
        <f t="shared" si="311"/>
        <v>0</v>
      </c>
      <c r="S7228" s="19">
        <v>800</v>
      </c>
      <c r="T7228" s="19" t="s">
        <v>94</v>
      </c>
      <c r="U7228" s="102" t="s">
        <v>1667</v>
      </c>
      <c r="V7228" s="186">
        <v>45931</v>
      </c>
      <c r="W7228" s="17" t="s">
        <v>44</v>
      </c>
      <c r="X7228" s="17"/>
      <c r="Y7228" s="68">
        <v>45962</v>
      </c>
      <c r="Z7228" s="17" t="s">
        <v>1668</v>
      </c>
      <c r="AA7228" s="17" t="s">
        <v>46</v>
      </c>
      <c r="AB7228" s="17" t="s">
        <v>1677</v>
      </c>
      <c r="AC7228" s="217">
        <v>45978</v>
      </c>
      <c r="AD7228" s="65">
        <v>1750</v>
      </c>
      <c r="AE7228" s="17" t="s">
        <v>74</v>
      </c>
      <c r="AF7228" s="17"/>
      <c r="AG7228" s="17"/>
      <c r="AH7228" s="17"/>
      <c r="AI7228" s="17"/>
      <c r="AJ7228" s="17"/>
      <c r="AK7228" s="17"/>
      <c r="AL7228" s="17"/>
      <c r="AM7228" s="17"/>
      <c r="AN7228" s="17"/>
      <c r="AO7228" s="17"/>
      <c r="AP7228" s="17"/>
      <c r="AQ7228" s="17"/>
      <c r="AR7228" s="17"/>
    </row>
    <row r="7229" s="25" customFormat="1" hidden="1" spans="1:44">
      <c r="A7229" s="17" t="s">
        <v>34</v>
      </c>
      <c r="B7229" s="19">
        <v>1096</v>
      </c>
      <c r="C7229" s="183">
        <v>45936</v>
      </c>
      <c r="D7229" s="17"/>
      <c r="E7229" s="17" t="s">
        <v>433</v>
      </c>
      <c r="F7229" s="17" t="s">
        <v>434</v>
      </c>
      <c r="G7229" s="17"/>
      <c r="H7229" s="19">
        <v>1.2311</v>
      </c>
      <c r="I7229" s="19"/>
      <c r="J7229" s="17" t="s">
        <v>82</v>
      </c>
      <c r="K7229" s="188">
        <v>735</v>
      </c>
      <c r="L7229" s="188">
        <v>210</v>
      </c>
      <c r="M7229" s="188">
        <v>1110</v>
      </c>
      <c r="N7229" s="19" t="s">
        <v>66</v>
      </c>
      <c r="O7229" s="19" t="s">
        <v>98</v>
      </c>
      <c r="P7229" s="430">
        <v>1350</v>
      </c>
      <c r="Q7229" s="290">
        <v>1350</v>
      </c>
      <c r="R7229" s="19">
        <f t="shared" si="311"/>
        <v>0</v>
      </c>
      <c r="S7229" s="19">
        <v>800</v>
      </c>
      <c r="T7229" s="19" t="s">
        <v>94</v>
      </c>
      <c r="U7229" s="102" t="s">
        <v>1667</v>
      </c>
      <c r="V7229" s="186">
        <v>45931</v>
      </c>
      <c r="W7229" s="17" t="s">
        <v>44</v>
      </c>
      <c r="X7229" s="17"/>
      <c r="Y7229" s="68">
        <v>45962</v>
      </c>
      <c r="Z7229" s="17" t="s">
        <v>1668</v>
      </c>
      <c r="AA7229" s="17" t="s">
        <v>46</v>
      </c>
      <c r="AB7229" s="17" t="s">
        <v>1677</v>
      </c>
      <c r="AC7229" s="217">
        <v>45978</v>
      </c>
      <c r="AD7229" s="65">
        <v>1750</v>
      </c>
      <c r="AE7229" s="17" t="s">
        <v>48</v>
      </c>
      <c r="AF7229" s="17"/>
      <c r="AG7229" s="17"/>
      <c r="AH7229" s="17"/>
      <c r="AI7229" s="17"/>
      <c r="AJ7229" s="17"/>
      <c r="AK7229" s="17"/>
      <c r="AL7229" s="17"/>
      <c r="AM7229" s="17"/>
      <c r="AN7229" s="17"/>
      <c r="AO7229" s="17"/>
      <c r="AP7229" s="17"/>
      <c r="AQ7229" s="17"/>
      <c r="AR7229" s="17"/>
    </row>
    <row r="7230" s="25" customFormat="1" hidden="1" spans="1:44">
      <c r="A7230" s="17" t="s">
        <v>34</v>
      </c>
      <c r="B7230" s="19">
        <v>1096</v>
      </c>
      <c r="C7230" s="183">
        <v>45936</v>
      </c>
      <c r="D7230" s="17"/>
      <c r="E7230" s="17" t="s">
        <v>433</v>
      </c>
      <c r="F7230" s="17" t="s">
        <v>434</v>
      </c>
      <c r="G7230" s="17"/>
      <c r="H7230" s="19">
        <v>1.2311</v>
      </c>
      <c r="I7230" s="19"/>
      <c r="J7230" s="17" t="s">
        <v>82</v>
      </c>
      <c r="K7230" s="188">
        <v>660</v>
      </c>
      <c r="L7230" s="188">
        <v>220</v>
      </c>
      <c r="M7230" s="188">
        <v>700</v>
      </c>
      <c r="N7230" s="19" t="s">
        <v>66</v>
      </c>
      <c r="O7230" s="19" t="s">
        <v>98</v>
      </c>
      <c r="P7230" s="430">
        <v>804</v>
      </c>
      <c r="Q7230" s="290">
        <v>804</v>
      </c>
      <c r="R7230" s="19">
        <f t="shared" si="311"/>
        <v>0</v>
      </c>
      <c r="S7230" s="19">
        <v>800</v>
      </c>
      <c r="T7230" s="19" t="s">
        <v>94</v>
      </c>
      <c r="U7230" s="102" t="s">
        <v>1667</v>
      </c>
      <c r="V7230" s="186">
        <v>45931</v>
      </c>
      <c r="W7230" s="17" t="s">
        <v>44</v>
      </c>
      <c r="X7230" s="17"/>
      <c r="Y7230" s="68">
        <v>45962</v>
      </c>
      <c r="Z7230" s="17" t="s">
        <v>1668</v>
      </c>
      <c r="AA7230" s="17" t="s">
        <v>46</v>
      </c>
      <c r="AB7230" s="17" t="s">
        <v>1673</v>
      </c>
      <c r="AC7230" s="217">
        <v>45960</v>
      </c>
      <c r="AD7230" s="65">
        <v>1747</v>
      </c>
      <c r="AE7230" s="17" t="s">
        <v>147</v>
      </c>
      <c r="AF7230" s="17"/>
      <c r="AG7230" s="17"/>
      <c r="AH7230" s="17"/>
      <c r="AI7230" s="17"/>
      <c r="AJ7230" s="17"/>
      <c r="AK7230" s="17"/>
      <c r="AL7230" s="17"/>
      <c r="AM7230" s="17"/>
      <c r="AN7230" s="17"/>
      <c r="AO7230" s="17"/>
      <c r="AP7230" s="17"/>
      <c r="AQ7230" s="17"/>
      <c r="AR7230" s="17"/>
    </row>
    <row r="7231" s="25" customFormat="1" hidden="1" spans="1:44">
      <c r="A7231" s="17" t="s">
        <v>34</v>
      </c>
      <c r="B7231" s="19">
        <v>1096</v>
      </c>
      <c r="C7231" s="183">
        <v>45936</v>
      </c>
      <c r="D7231" s="17"/>
      <c r="E7231" s="17" t="s">
        <v>433</v>
      </c>
      <c r="F7231" s="17" t="s">
        <v>434</v>
      </c>
      <c r="G7231" s="17"/>
      <c r="H7231" s="19">
        <v>1.2311</v>
      </c>
      <c r="I7231" s="19"/>
      <c r="J7231" s="17" t="s">
        <v>82</v>
      </c>
      <c r="K7231" s="188">
        <v>680</v>
      </c>
      <c r="L7231" s="188">
        <v>230</v>
      </c>
      <c r="M7231" s="188">
        <v>770</v>
      </c>
      <c r="N7231" s="19" t="s">
        <v>66</v>
      </c>
      <c r="O7231" s="19" t="s">
        <v>98</v>
      </c>
      <c r="P7231" s="430">
        <v>960</v>
      </c>
      <c r="Q7231" s="290">
        <v>960</v>
      </c>
      <c r="R7231" s="19">
        <f t="shared" si="311"/>
        <v>0</v>
      </c>
      <c r="S7231" s="19">
        <v>800</v>
      </c>
      <c r="T7231" s="19" t="s">
        <v>94</v>
      </c>
      <c r="U7231" s="102" t="s">
        <v>1667</v>
      </c>
      <c r="V7231" s="186">
        <v>45931</v>
      </c>
      <c r="W7231" s="17" t="s">
        <v>44</v>
      </c>
      <c r="X7231" s="17"/>
      <c r="Y7231" s="68">
        <v>45962</v>
      </c>
      <c r="Z7231" s="17" t="s">
        <v>1668</v>
      </c>
      <c r="AA7231" s="17" t="s">
        <v>46</v>
      </c>
      <c r="AB7231" s="17" t="s">
        <v>1673</v>
      </c>
      <c r="AC7231" s="217">
        <v>45960</v>
      </c>
      <c r="AD7231" s="65">
        <v>1747</v>
      </c>
      <c r="AE7231" s="17" t="s">
        <v>147</v>
      </c>
      <c r="AF7231" s="17"/>
      <c r="AG7231" s="17"/>
      <c r="AH7231" s="17"/>
      <c r="AI7231" s="17"/>
      <c r="AJ7231" s="17"/>
      <c r="AK7231" s="17"/>
      <c r="AL7231" s="17"/>
      <c r="AM7231" s="17"/>
      <c r="AN7231" s="17"/>
      <c r="AO7231" s="17"/>
      <c r="AP7231" s="17"/>
      <c r="AQ7231" s="17"/>
      <c r="AR7231" s="17"/>
    </row>
    <row r="7232" s="25" customFormat="1" hidden="1" spans="1:44">
      <c r="A7232" s="17" t="s">
        <v>34</v>
      </c>
      <c r="B7232" s="19">
        <v>1096</v>
      </c>
      <c r="C7232" s="183">
        <v>45936</v>
      </c>
      <c r="D7232" s="17"/>
      <c r="E7232" s="17" t="s">
        <v>433</v>
      </c>
      <c r="F7232" s="17" t="s">
        <v>434</v>
      </c>
      <c r="G7232" s="17"/>
      <c r="H7232" s="19">
        <v>1.2311</v>
      </c>
      <c r="I7232" s="19"/>
      <c r="J7232" s="17" t="s">
        <v>82</v>
      </c>
      <c r="K7232" s="188">
        <v>585</v>
      </c>
      <c r="L7232" s="188">
        <v>290</v>
      </c>
      <c r="M7232" s="188">
        <v>1270</v>
      </c>
      <c r="N7232" s="19" t="s">
        <v>66</v>
      </c>
      <c r="O7232" s="19" t="s">
        <v>98</v>
      </c>
      <c r="P7232" s="430">
        <v>1715</v>
      </c>
      <c r="Q7232" s="290">
        <v>1715</v>
      </c>
      <c r="R7232" s="19">
        <f t="shared" si="311"/>
        <v>0</v>
      </c>
      <c r="S7232" s="19">
        <v>800</v>
      </c>
      <c r="T7232" s="19" t="s">
        <v>94</v>
      </c>
      <c r="U7232" s="102" t="s">
        <v>1667</v>
      </c>
      <c r="V7232" s="186">
        <v>45931</v>
      </c>
      <c r="W7232" s="17" t="s">
        <v>44</v>
      </c>
      <c r="X7232" s="17"/>
      <c r="Y7232" s="68">
        <v>45962</v>
      </c>
      <c r="Z7232" s="17" t="s">
        <v>1668</v>
      </c>
      <c r="AA7232" s="17" t="s">
        <v>46</v>
      </c>
      <c r="AB7232" s="17" t="s">
        <v>1677</v>
      </c>
      <c r="AC7232" s="217">
        <v>45978</v>
      </c>
      <c r="AD7232" s="65">
        <v>1750</v>
      </c>
      <c r="AE7232" s="17" t="s">
        <v>48</v>
      </c>
      <c r="AF7232" s="17"/>
      <c r="AG7232" s="17"/>
      <c r="AH7232" s="17"/>
      <c r="AI7232" s="17"/>
      <c r="AJ7232" s="17"/>
      <c r="AK7232" s="17"/>
      <c r="AL7232" s="17"/>
      <c r="AM7232" s="17"/>
      <c r="AN7232" s="17"/>
      <c r="AO7232" s="17"/>
      <c r="AP7232" s="17"/>
      <c r="AQ7232" s="17"/>
      <c r="AR7232" s="17"/>
    </row>
    <row r="7233" s="25" customFormat="1" hidden="1" spans="1:44">
      <c r="A7233" s="17" t="s">
        <v>34</v>
      </c>
      <c r="B7233" s="19">
        <v>1096</v>
      </c>
      <c r="C7233" s="183">
        <v>45936</v>
      </c>
      <c r="D7233" s="17"/>
      <c r="E7233" s="17" t="s">
        <v>433</v>
      </c>
      <c r="F7233" s="17" t="s">
        <v>434</v>
      </c>
      <c r="G7233" s="17"/>
      <c r="H7233" s="19">
        <v>1.2311</v>
      </c>
      <c r="I7233" s="19"/>
      <c r="J7233" s="17" t="s">
        <v>82</v>
      </c>
      <c r="K7233" s="188">
        <v>530</v>
      </c>
      <c r="L7233" s="188">
        <v>290</v>
      </c>
      <c r="M7233" s="188">
        <v>1420</v>
      </c>
      <c r="N7233" s="19" t="s">
        <v>66</v>
      </c>
      <c r="O7233" s="19" t="s">
        <v>98</v>
      </c>
      <c r="P7233" s="430">
        <v>1702</v>
      </c>
      <c r="Q7233" s="19">
        <v>1702</v>
      </c>
      <c r="R7233" s="19">
        <f t="shared" si="311"/>
        <v>0</v>
      </c>
      <c r="S7233" s="19">
        <v>800</v>
      </c>
      <c r="T7233" s="19" t="s">
        <v>94</v>
      </c>
      <c r="U7233" s="102" t="s">
        <v>1667</v>
      </c>
      <c r="V7233" s="186">
        <v>45931</v>
      </c>
      <c r="W7233" s="17" t="s">
        <v>44</v>
      </c>
      <c r="X7233" s="17"/>
      <c r="Y7233" s="68">
        <v>45962</v>
      </c>
      <c r="Z7233" s="17" t="s">
        <v>1668</v>
      </c>
      <c r="AA7233" s="17" t="s">
        <v>46</v>
      </c>
      <c r="AB7233" s="17" t="s">
        <v>1669</v>
      </c>
      <c r="AC7233" s="217">
        <v>45989</v>
      </c>
      <c r="AD7233" s="65">
        <v>1751</v>
      </c>
      <c r="AE7233" s="17" t="s">
        <v>48</v>
      </c>
      <c r="AF7233" s="17"/>
      <c r="AG7233" s="17"/>
      <c r="AH7233" s="17"/>
      <c r="AI7233" s="17"/>
      <c r="AJ7233" s="17"/>
      <c r="AK7233" s="17"/>
      <c r="AL7233" s="17"/>
      <c r="AM7233" s="17"/>
      <c r="AN7233" s="17"/>
      <c r="AO7233" s="17"/>
      <c r="AP7233" s="17"/>
      <c r="AQ7233" s="17"/>
      <c r="AR7233" s="17"/>
    </row>
    <row r="7234" s="25" customFormat="1" hidden="1" spans="1:44">
      <c r="A7234" s="17" t="s">
        <v>34</v>
      </c>
      <c r="B7234" s="19">
        <v>1096</v>
      </c>
      <c r="C7234" s="183">
        <v>45936</v>
      </c>
      <c r="D7234" s="17"/>
      <c r="E7234" s="17" t="s">
        <v>433</v>
      </c>
      <c r="F7234" s="17" t="s">
        <v>434</v>
      </c>
      <c r="G7234" s="17"/>
      <c r="H7234" s="19">
        <v>1.2311</v>
      </c>
      <c r="I7234" s="19"/>
      <c r="J7234" s="17" t="s">
        <v>82</v>
      </c>
      <c r="K7234" s="188">
        <v>390</v>
      </c>
      <c r="L7234" s="188">
        <v>300</v>
      </c>
      <c r="M7234" s="188">
        <v>2975</v>
      </c>
      <c r="N7234" s="19" t="s">
        <v>66</v>
      </c>
      <c r="O7234" s="19" t="s">
        <v>98</v>
      </c>
      <c r="P7234" s="430">
        <v>2765</v>
      </c>
      <c r="Q7234" s="290">
        <v>2765</v>
      </c>
      <c r="R7234" s="19">
        <f t="shared" si="311"/>
        <v>0</v>
      </c>
      <c r="S7234" s="19">
        <v>800</v>
      </c>
      <c r="T7234" s="19" t="s">
        <v>94</v>
      </c>
      <c r="U7234" s="102" t="s">
        <v>1667</v>
      </c>
      <c r="V7234" s="186">
        <v>45931</v>
      </c>
      <c r="W7234" s="17" t="s">
        <v>44</v>
      </c>
      <c r="X7234" s="17"/>
      <c r="Y7234" s="68">
        <v>45962</v>
      </c>
      <c r="Z7234" s="17" t="s">
        <v>1668</v>
      </c>
      <c r="AA7234" s="17" t="s">
        <v>46</v>
      </c>
      <c r="AB7234" s="17" t="s">
        <v>1673</v>
      </c>
      <c r="AC7234" s="217">
        <v>45960</v>
      </c>
      <c r="AD7234" s="65">
        <v>1747</v>
      </c>
      <c r="AE7234" s="17" t="s">
        <v>48</v>
      </c>
      <c r="AF7234" s="17"/>
      <c r="AG7234" s="17"/>
      <c r="AH7234" s="17"/>
      <c r="AI7234" s="17"/>
      <c r="AJ7234" s="17"/>
      <c r="AK7234" s="17"/>
      <c r="AL7234" s="17"/>
      <c r="AM7234" s="17"/>
      <c r="AN7234" s="17"/>
      <c r="AO7234" s="17"/>
      <c r="AP7234" s="17"/>
      <c r="AQ7234" s="17"/>
      <c r="AR7234" s="17"/>
    </row>
    <row r="7235" s="25" customFormat="1" hidden="1" spans="1:44">
      <c r="A7235" s="17" t="s">
        <v>34</v>
      </c>
      <c r="B7235" s="19">
        <v>1096</v>
      </c>
      <c r="C7235" s="183">
        <v>45936</v>
      </c>
      <c r="D7235" s="17"/>
      <c r="E7235" s="17" t="s">
        <v>433</v>
      </c>
      <c r="F7235" s="17" t="s">
        <v>434</v>
      </c>
      <c r="G7235" s="17"/>
      <c r="H7235" s="19">
        <v>1.2311</v>
      </c>
      <c r="I7235" s="19"/>
      <c r="J7235" s="17" t="s">
        <v>82</v>
      </c>
      <c r="K7235" s="188">
        <v>500</v>
      </c>
      <c r="L7235" s="188">
        <v>300</v>
      </c>
      <c r="M7235" s="188">
        <v>2040</v>
      </c>
      <c r="N7235" s="19" t="s">
        <v>66</v>
      </c>
      <c r="O7235" s="19" t="s">
        <v>98</v>
      </c>
      <c r="P7235" s="430">
        <v>2445</v>
      </c>
      <c r="Q7235" s="290">
        <v>2445</v>
      </c>
      <c r="R7235" s="19">
        <f t="shared" si="311"/>
        <v>0</v>
      </c>
      <c r="S7235" s="19">
        <v>800</v>
      </c>
      <c r="T7235" s="19" t="s">
        <v>94</v>
      </c>
      <c r="U7235" s="102" t="s">
        <v>1667</v>
      </c>
      <c r="V7235" s="186">
        <v>45931</v>
      </c>
      <c r="W7235" s="17" t="s">
        <v>44</v>
      </c>
      <c r="X7235" s="17"/>
      <c r="Y7235" s="68">
        <v>45962</v>
      </c>
      <c r="Z7235" s="17" t="s">
        <v>1668</v>
      </c>
      <c r="AA7235" s="17" t="s">
        <v>46</v>
      </c>
      <c r="AB7235" s="17" t="s">
        <v>1677</v>
      </c>
      <c r="AC7235" s="217">
        <v>45978</v>
      </c>
      <c r="AD7235" s="65">
        <v>1750</v>
      </c>
      <c r="AE7235" s="17" t="s">
        <v>48</v>
      </c>
      <c r="AF7235" s="17"/>
      <c r="AG7235" s="17"/>
      <c r="AH7235" s="17"/>
      <c r="AI7235" s="17"/>
      <c r="AJ7235" s="17"/>
      <c r="AK7235" s="17"/>
      <c r="AL7235" s="17"/>
      <c r="AM7235" s="17"/>
      <c r="AN7235" s="17"/>
      <c r="AO7235" s="17"/>
      <c r="AP7235" s="17"/>
      <c r="AQ7235" s="17"/>
      <c r="AR7235" s="17"/>
    </row>
    <row r="7236" s="25" customFormat="1" hidden="1" spans="1:44">
      <c r="A7236" s="17" t="s">
        <v>34</v>
      </c>
      <c r="B7236" s="19">
        <v>1096</v>
      </c>
      <c r="C7236" s="183">
        <v>45936</v>
      </c>
      <c r="D7236" s="17"/>
      <c r="E7236" s="17" t="s">
        <v>433</v>
      </c>
      <c r="F7236" s="17" t="s">
        <v>434</v>
      </c>
      <c r="G7236" s="17"/>
      <c r="H7236" s="19">
        <v>1.2311</v>
      </c>
      <c r="I7236" s="19"/>
      <c r="J7236" s="17" t="s">
        <v>82</v>
      </c>
      <c r="K7236" s="188">
        <v>510</v>
      </c>
      <c r="L7236" s="188">
        <v>300</v>
      </c>
      <c r="M7236" s="188">
        <v>1555</v>
      </c>
      <c r="N7236" s="19" t="s">
        <v>66</v>
      </c>
      <c r="O7236" s="19" t="s">
        <v>98</v>
      </c>
      <c r="P7236" s="430">
        <v>1885</v>
      </c>
      <c r="Q7236" s="290">
        <v>1885</v>
      </c>
      <c r="R7236" s="19">
        <f t="shared" si="311"/>
        <v>0</v>
      </c>
      <c r="S7236" s="19">
        <v>800</v>
      </c>
      <c r="T7236" s="19" t="s">
        <v>94</v>
      </c>
      <c r="U7236" s="102" t="s">
        <v>1667</v>
      </c>
      <c r="V7236" s="186">
        <v>45931</v>
      </c>
      <c r="W7236" s="17" t="s">
        <v>44</v>
      </c>
      <c r="X7236" s="17"/>
      <c r="Y7236" s="68">
        <v>45962</v>
      </c>
      <c r="Z7236" s="17" t="s">
        <v>1668</v>
      </c>
      <c r="AA7236" s="17" t="s">
        <v>46</v>
      </c>
      <c r="AB7236" s="17" t="s">
        <v>1677</v>
      </c>
      <c r="AC7236" s="217">
        <v>45978</v>
      </c>
      <c r="AD7236" s="65">
        <v>1750</v>
      </c>
      <c r="AE7236" s="17" t="s">
        <v>48</v>
      </c>
      <c r="AF7236" s="17"/>
      <c r="AG7236" s="17"/>
      <c r="AH7236" s="17"/>
      <c r="AI7236" s="17"/>
      <c r="AJ7236" s="17"/>
      <c r="AK7236" s="17"/>
      <c r="AL7236" s="17"/>
      <c r="AM7236" s="17"/>
      <c r="AN7236" s="17"/>
      <c r="AO7236" s="17"/>
      <c r="AP7236" s="17"/>
      <c r="AQ7236" s="17"/>
      <c r="AR7236" s="17"/>
    </row>
    <row r="7237" s="25" customFormat="1" hidden="1" spans="1:44">
      <c r="A7237" s="17" t="s">
        <v>34</v>
      </c>
      <c r="B7237" s="19">
        <v>1097</v>
      </c>
      <c r="C7237" s="183">
        <v>45931</v>
      </c>
      <c r="D7237" s="17" t="s">
        <v>35</v>
      </c>
      <c r="E7237" s="17" t="s">
        <v>36</v>
      </c>
      <c r="F7237" s="17" t="s">
        <v>37</v>
      </c>
      <c r="G7237" s="17"/>
      <c r="H7237" s="19" t="s">
        <v>197</v>
      </c>
      <c r="I7237" s="19"/>
      <c r="J7237" s="17" t="s">
        <v>39</v>
      </c>
      <c r="K7237" s="93">
        <v>55</v>
      </c>
      <c r="L7237" s="168"/>
      <c r="M7237" s="93"/>
      <c r="N7237" s="19" t="s">
        <v>40</v>
      </c>
      <c r="O7237" s="19" t="s">
        <v>67</v>
      </c>
      <c r="P7237" s="93">
        <v>215</v>
      </c>
      <c r="Q7237" s="93">
        <v>216</v>
      </c>
      <c r="R7237" s="93">
        <f t="shared" si="311"/>
        <v>-1</v>
      </c>
      <c r="S7237" s="93">
        <v>6015</v>
      </c>
      <c r="T7237" s="19" t="s">
        <v>42</v>
      </c>
      <c r="U7237" s="102" t="s">
        <v>1689</v>
      </c>
      <c r="V7237" s="186">
        <v>45931</v>
      </c>
      <c r="W7237" s="17" t="s">
        <v>44</v>
      </c>
      <c r="X7237" s="17"/>
      <c r="Y7237" s="68">
        <v>45962</v>
      </c>
      <c r="Z7237" s="17" t="s">
        <v>78</v>
      </c>
      <c r="AA7237" s="17" t="s">
        <v>46</v>
      </c>
      <c r="AB7237" s="17" t="s">
        <v>1663</v>
      </c>
      <c r="AC7237" s="217">
        <v>46061</v>
      </c>
      <c r="AD7237" s="65">
        <v>1759</v>
      </c>
      <c r="AE7237" s="17" t="s">
        <v>1690</v>
      </c>
      <c r="AF7237" s="17"/>
      <c r="AG7237" s="17"/>
      <c r="AH7237" s="17"/>
      <c r="AI7237" s="17"/>
      <c r="AJ7237" s="17"/>
      <c r="AK7237" s="17"/>
      <c r="AL7237" s="17"/>
      <c r="AM7237" s="17"/>
      <c r="AN7237" s="17"/>
      <c r="AO7237" s="17"/>
      <c r="AP7237" s="17"/>
      <c r="AQ7237" s="17"/>
      <c r="AR7237" s="17"/>
    </row>
    <row r="7238" s="25" customFormat="1" hidden="1" spans="1:44">
      <c r="A7238" s="17" t="s">
        <v>34</v>
      </c>
      <c r="B7238" s="19">
        <v>1097</v>
      </c>
      <c r="C7238" s="183">
        <v>45931</v>
      </c>
      <c r="D7238" s="17" t="s">
        <v>35</v>
      </c>
      <c r="E7238" s="17" t="s">
        <v>36</v>
      </c>
      <c r="F7238" s="17" t="s">
        <v>37</v>
      </c>
      <c r="G7238" s="17"/>
      <c r="H7238" s="19" t="s">
        <v>197</v>
      </c>
      <c r="I7238" s="19"/>
      <c r="J7238" s="17" t="s">
        <v>39</v>
      </c>
      <c r="K7238" s="19">
        <v>60</v>
      </c>
      <c r="L7238" s="91"/>
      <c r="M7238" s="19"/>
      <c r="N7238" s="19" t="s">
        <v>40</v>
      </c>
      <c r="O7238" s="19" t="s">
        <v>67</v>
      </c>
      <c r="P7238" s="19">
        <v>490</v>
      </c>
      <c r="Q7238" s="19">
        <v>490</v>
      </c>
      <c r="R7238" s="19">
        <f t="shared" si="311"/>
        <v>0</v>
      </c>
      <c r="S7238" s="93">
        <v>6015</v>
      </c>
      <c r="T7238" s="19" t="s">
        <v>42</v>
      </c>
      <c r="U7238" s="102" t="s">
        <v>1689</v>
      </c>
      <c r="V7238" s="186">
        <v>45931</v>
      </c>
      <c r="W7238" s="17" t="s">
        <v>44</v>
      </c>
      <c r="X7238" s="17"/>
      <c r="Y7238" s="68">
        <v>45962</v>
      </c>
      <c r="Z7238" s="17" t="s">
        <v>78</v>
      </c>
      <c r="AA7238" s="17" t="s">
        <v>46</v>
      </c>
      <c r="AB7238" s="17" t="s">
        <v>1663</v>
      </c>
      <c r="AC7238" s="217">
        <v>46061</v>
      </c>
      <c r="AD7238" s="65">
        <v>1759</v>
      </c>
      <c r="AE7238" s="17" t="s">
        <v>1690</v>
      </c>
      <c r="AF7238" s="17"/>
      <c r="AG7238" s="17"/>
      <c r="AH7238" s="17"/>
      <c r="AI7238" s="17"/>
      <c r="AJ7238" s="17"/>
      <c r="AK7238" s="17"/>
      <c r="AL7238" s="17"/>
      <c r="AM7238" s="17"/>
      <c r="AN7238" s="17"/>
      <c r="AO7238" s="17"/>
      <c r="AP7238" s="17"/>
      <c r="AQ7238" s="17"/>
      <c r="AR7238" s="17"/>
    </row>
    <row r="7239" s="25" customFormat="1" hidden="1" spans="1:44">
      <c r="A7239" s="17" t="s">
        <v>34</v>
      </c>
      <c r="B7239" s="19">
        <v>1097</v>
      </c>
      <c r="C7239" s="183">
        <v>45931</v>
      </c>
      <c r="D7239" s="17" t="s">
        <v>35</v>
      </c>
      <c r="E7239" s="17" t="s">
        <v>36</v>
      </c>
      <c r="F7239" s="17" t="s">
        <v>37</v>
      </c>
      <c r="G7239" s="17"/>
      <c r="H7239" s="19" t="s">
        <v>197</v>
      </c>
      <c r="I7239" s="19"/>
      <c r="J7239" s="17" t="s">
        <v>39</v>
      </c>
      <c r="K7239" s="19">
        <v>70</v>
      </c>
      <c r="L7239" s="91"/>
      <c r="M7239" s="19"/>
      <c r="N7239" s="19" t="s">
        <v>40</v>
      </c>
      <c r="O7239" s="19" t="s">
        <v>67</v>
      </c>
      <c r="P7239" s="19">
        <v>320</v>
      </c>
      <c r="Q7239" s="19">
        <v>320</v>
      </c>
      <c r="R7239" s="19">
        <f t="shared" si="311"/>
        <v>0</v>
      </c>
      <c r="S7239" s="93">
        <v>6015</v>
      </c>
      <c r="T7239" s="19" t="s">
        <v>42</v>
      </c>
      <c r="U7239" s="102" t="s">
        <v>1689</v>
      </c>
      <c r="V7239" s="186">
        <v>45931</v>
      </c>
      <c r="W7239" s="17" t="s">
        <v>44</v>
      </c>
      <c r="X7239" s="17"/>
      <c r="Y7239" s="68">
        <v>45962</v>
      </c>
      <c r="Z7239" s="17" t="s">
        <v>78</v>
      </c>
      <c r="AA7239" s="17" t="s">
        <v>46</v>
      </c>
      <c r="AB7239" s="17" t="s">
        <v>1663</v>
      </c>
      <c r="AC7239" s="217">
        <v>46061</v>
      </c>
      <c r="AD7239" s="65">
        <v>1759</v>
      </c>
      <c r="AE7239" s="17" t="s">
        <v>1690</v>
      </c>
      <c r="AF7239" s="17"/>
      <c r="AG7239" s="17"/>
      <c r="AH7239" s="17"/>
      <c r="AI7239" s="17"/>
      <c r="AJ7239" s="17"/>
      <c r="AK7239" s="17"/>
      <c r="AL7239" s="17"/>
      <c r="AM7239" s="17"/>
      <c r="AN7239" s="17"/>
      <c r="AO7239" s="17"/>
      <c r="AP7239" s="17"/>
      <c r="AQ7239" s="17"/>
      <c r="AR7239" s="17"/>
    </row>
    <row r="7240" s="25" customFormat="1" hidden="1" spans="1:44">
      <c r="A7240" s="17" t="s">
        <v>34</v>
      </c>
      <c r="B7240" s="19">
        <v>1097</v>
      </c>
      <c r="C7240" s="183">
        <v>45931</v>
      </c>
      <c r="D7240" s="17" t="s">
        <v>35</v>
      </c>
      <c r="E7240" s="17" t="s">
        <v>36</v>
      </c>
      <c r="F7240" s="17" t="s">
        <v>37</v>
      </c>
      <c r="G7240" s="17"/>
      <c r="H7240" s="19" t="s">
        <v>197</v>
      </c>
      <c r="I7240" s="19"/>
      <c r="J7240" s="17" t="s">
        <v>39</v>
      </c>
      <c r="K7240" s="19">
        <v>70</v>
      </c>
      <c r="L7240" s="91"/>
      <c r="M7240" s="19"/>
      <c r="N7240" s="19" t="s">
        <v>40</v>
      </c>
      <c r="O7240" s="19" t="s">
        <v>67</v>
      </c>
      <c r="P7240" s="19">
        <v>320</v>
      </c>
      <c r="Q7240" s="19">
        <v>320</v>
      </c>
      <c r="R7240" s="19">
        <f t="shared" si="311"/>
        <v>0</v>
      </c>
      <c r="S7240" s="93">
        <v>6015</v>
      </c>
      <c r="T7240" s="19" t="s">
        <v>42</v>
      </c>
      <c r="U7240" s="102" t="s">
        <v>1689</v>
      </c>
      <c r="V7240" s="186">
        <v>45931</v>
      </c>
      <c r="W7240" s="17" t="s">
        <v>44</v>
      </c>
      <c r="X7240" s="17"/>
      <c r="Y7240" s="68">
        <v>45962</v>
      </c>
      <c r="Z7240" s="17" t="s">
        <v>78</v>
      </c>
      <c r="AA7240" s="17" t="s">
        <v>46</v>
      </c>
      <c r="AB7240" s="17" t="s">
        <v>1663</v>
      </c>
      <c r="AC7240" s="217">
        <v>46061</v>
      </c>
      <c r="AD7240" s="65">
        <v>1759</v>
      </c>
      <c r="AE7240" s="17" t="s">
        <v>1690</v>
      </c>
      <c r="AF7240" s="17"/>
      <c r="AG7240" s="17"/>
      <c r="AH7240" s="17"/>
      <c r="AI7240" s="17"/>
      <c r="AJ7240" s="17"/>
      <c r="AK7240" s="17"/>
      <c r="AL7240" s="17"/>
      <c r="AM7240" s="17"/>
      <c r="AN7240" s="17"/>
      <c r="AO7240" s="17"/>
      <c r="AP7240" s="17"/>
      <c r="AQ7240" s="17"/>
      <c r="AR7240" s="17"/>
    </row>
    <row r="7241" s="25" customFormat="1" hidden="1" spans="1:44">
      <c r="A7241" s="17" t="s">
        <v>34</v>
      </c>
      <c r="B7241" s="19">
        <v>1097</v>
      </c>
      <c r="C7241" s="183">
        <v>45931</v>
      </c>
      <c r="D7241" s="17" t="s">
        <v>35</v>
      </c>
      <c r="E7241" s="17" t="s">
        <v>36</v>
      </c>
      <c r="F7241" s="17" t="s">
        <v>37</v>
      </c>
      <c r="G7241" s="17"/>
      <c r="H7241" s="19" t="s">
        <v>197</v>
      </c>
      <c r="I7241" s="19"/>
      <c r="J7241" s="17" t="s">
        <v>39</v>
      </c>
      <c r="K7241" s="19">
        <v>85</v>
      </c>
      <c r="L7241" s="91"/>
      <c r="M7241" s="19"/>
      <c r="N7241" s="19" t="s">
        <v>40</v>
      </c>
      <c r="O7241" s="19" t="s">
        <v>67</v>
      </c>
      <c r="P7241" s="19">
        <v>457</v>
      </c>
      <c r="Q7241" s="19">
        <v>457</v>
      </c>
      <c r="R7241" s="19">
        <f t="shared" si="311"/>
        <v>0</v>
      </c>
      <c r="S7241" s="93">
        <v>6015</v>
      </c>
      <c r="T7241" s="19" t="s">
        <v>42</v>
      </c>
      <c r="U7241" s="102" t="s">
        <v>1689</v>
      </c>
      <c r="V7241" s="186">
        <v>45931</v>
      </c>
      <c r="W7241" s="17" t="s">
        <v>44</v>
      </c>
      <c r="X7241" s="17"/>
      <c r="Y7241" s="68">
        <v>45962</v>
      </c>
      <c r="Z7241" s="17" t="s">
        <v>78</v>
      </c>
      <c r="AA7241" s="17" t="s">
        <v>46</v>
      </c>
      <c r="AB7241" s="17" t="s">
        <v>1663</v>
      </c>
      <c r="AC7241" s="217">
        <v>46061</v>
      </c>
      <c r="AD7241" s="65">
        <v>1759</v>
      </c>
      <c r="AE7241" s="17" t="s">
        <v>1690</v>
      </c>
      <c r="AF7241" s="17"/>
      <c r="AG7241" s="17"/>
      <c r="AH7241" s="17"/>
      <c r="AI7241" s="17"/>
      <c r="AJ7241" s="17"/>
      <c r="AK7241" s="17"/>
      <c r="AL7241" s="17"/>
      <c r="AM7241" s="17"/>
      <c r="AN7241" s="17"/>
      <c r="AO7241" s="17"/>
      <c r="AP7241" s="17"/>
      <c r="AQ7241" s="17"/>
      <c r="AR7241" s="17"/>
    </row>
    <row r="7242" s="25" customFormat="1" hidden="1" spans="1:44">
      <c r="A7242" s="17" t="s">
        <v>34</v>
      </c>
      <c r="B7242" s="19">
        <v>1097</v>
      </c>
      <c r="C7242" s="183">
        <v>45931</v>
      </c>
      <c r="D7242" s="17" t="s">
        <v>35</v>
      </c>
      <c r="E7242" s="17" t="s">
        <v>36</v>
      </c>
      <c r="F7242" s="17" t="s">
        <v>37</v>
      </c>
      <c r="G7242" s="17"/>
      <c r="H7242" s="19" t="s">
        <v>197</v>
      </c>
      <c r="I7242" s="19"/>
      <c r="J7242" s="17" t="s">
        <v>39</v>
      </c>
      <c r="K7242" s="19">
        <v>95</v>
      </c>
      <c r="L7242" s="91"/>
      <c r="M7242" s="19"/>
      <c r="N7242" s="19" t="s">
        <v>40</v>
      </c>
      <c r="O7242" s="19" t="s">
        <v>67</v>
      </c>
      <c r="P7242" s="19">
        <v>628</v>
      </c>
      <c r="Q7242" s="19">
        <f>241+300</f>
        <v>541</v>
      </c>
      <c r="R7242" s="19">
        <f t="shared" si="311"/>
        <v>87</v>
      </c>
      <c r="S7242" s="93">
        <v>6015</v>
      </c>
      <c r="T7242" s="19" t="s">
        <v>42</v>
      </c>
      <c r="U7242" s="102" t="s">
        <v>1689</v>
      </c>
      <c r="V7242" s="186">
        <v>45931</v>
      </c>
      <c r="W7242" s="17" t="s">
        <v>44</v>
      </c>
      <c r="X7242" s="17"/>
      <c r="Y7242" s="68">
        <v>45962</v>
      </c>
      <c r="Z7242" s="17" t="s">
        <v>78</v>
      </c>
      <c r="AA7242" s="17" t="s">
        <v>46</v>
      </c>
      <c r="AB7242" s="17" t="s">
        <v>1663</v>
      </c>
      <c r="AC7242" s="217">
        <v>46061</v>
      </c>
      <c r="AD7242" s="65">
        <v>1759</v>
      </c>
      <c r="AE7242" s="17" t="s">
        <v>1690</v>
      </c>
      <c r="AF7242" s="17"/>
      <c r="AG7242" s="17"/>
      <c r="AH7242" s="17"/>
      <c r="AI7242" s="17"/>
      <c r="AJ7242" s="17"/>
      <c r="AK7242" s="17"/>
      <c r="AL7242" s="17"/>
      <c r="AM7242" s="17"/>
      <c r="AN7242" s="17"/>
      <c r="AO7242" s="17"/>
      <c r="AP7242" s="17"/>
      <c r="AQ7242" s="17"/>
      <c r="AR7242" s="17"/>
    </row>
    <row r="7243" s="25" customFormat="1" hidden="1" spans="1:44">
      <c r="A7243" s="17" t="s">
        <v>34</v>
      </c>
      <c r="B7243" s="19">
        <v>1097</v>
      </c>
      <c r="C7243" s="183">
        <v>45931</v>
      </c>
      <c r="D7243" s="17" t="s">
        <v>35</v>
      </c>
      <c r="E7243" s="17" t="s">
        <v>36</v>
      </c>
      <c r="F7243" s="17" t="s">
        <v>37</v>
      </c>
      <c r="G7243" s="17"/>
      <c r="H7243" s="19" t="s">
        <v>197</v>
      </c>
      <c r="I7243" s="19"/>
      <c r="J7243" s="17" t="s">
        <v>39</v>
      </c>
      <c r="K7243" s="19">
        <v>112</v>
      </c>
      <c r="L7243" s="91"/>
      <c r="M7243" s="19"/>
      <c r="N7243" s="19" t="s">
        <v>40</v>
      </c>
      <c r="O7243" s="19" t="s">
        <v>67</v>
      </c>
      <c r="P7243" s="19">
        <v>800</v>
      </c>
      <c r="Q7243" s="19">
        <v>776</v>
      </c>
      <c r="R7243" s="19">
        <f t="shared" si="311"/>
        <v>24</v>
      </c>
      <c r="S7243" s="93">
        <v>6015</v>
      </c>
      <c r="T7243" s="19" t="s">
        <v>42</v>
      </c>
      <c r="U7243" s="102" t="s">
        <v>1689</v>
      </c>
      <c r="V7243" s="186">
        <v>45931</v>
      </c>
      <c r="W7243" s="17" t="s">
        <v>44</v>
      </c>
      <c r="X7243" s="17"/>
      <c r="Y7243" s="68">
        <v>45962</v>
      </c>
      <c r="Z7243" s="17" t="s">
        <v>78</v>
      </c>
      <c r="AA7243" s="17" t="s">
        <v>46</v>
      </c>
      <c r="AB7243" s="17" t="s">
        <v>1663</v>
      </c>
      <c r="AC7243" s="217">
        <v>46061</v>
      </c>
      <c r="AD7243" s="65">
        <v>1759</v>
      </c>
      <c r="AE7243" s="17" t="s">
        <v>1690</v>
      </c>
      <c r="AF7243" s="17"/>
      <c r="AG7243" s="17"/>
      <c r="AH7243" s="17"/>
      <c r="AI7243" s="17"/>
      <c r="AJ7243" s="17"/>
      <c r="AK7243" s="17"/>
      <c r="AL7243" s="17"/>
      <c r="AM7243" s="17"/>
      <c r="AN7243" s="17"/>
      <c r="AO7243" s="17"/>
      <c r="AP7243" s="17"/>
      <c r="AQ7243" s="17"/>
      <c r="AR7243" s="17"/>
    </row>
    <row r="7244" s="25" customFormat="1" hidden="1" spans="1:44">
      <c r="A7244" s="17" t="s">
        <v>34</v>
      </c>
      <c r="B7244" s="19">
        <v>1097</v>
      </c>
      <c r="C7244" s="183">
        <v>45931</v>
      </c>
      <c r="D7244" s="17" t="s">
        <v>35</v>
      </c>
      <c r="E7244" s="17" t="s">
        <v>36</v>
      </c>
      <c r="F7244" s="17" t="s">
        <v>37</v>
      </c>
      <c r="G7244" s="17"/>
      <c r="H7244" s="19" t="s">
        <v>197</v>
      </c>
      <c r="I7244" s="19"/>
      <c r="J7244" s="17" t="s">
        <v>39</v>
      </c>
      <c r="K7244" s="19">
        <v>122</v>
      </c>
      <c r="L7244" s="91"/>
      <c r="M7244" s="19"/>
      <c r="N7244" s="19" t="s">
        <v>40</v>
      </c>
      <c r="O7244" s="19" t="s">
        <v>67</v>
      </c>
      <c r="P7244" s="19">
        <v>492</v>
      </c>
      <c r="Q7244" s="19">
        <v>492</v>
      </c>
      <c r="R7244" s="19">
        <f t="shared" si="311"/>
        <v>0</v>
      </c>
      <c r="S7244" s="93">
        <v>6015</v>
      </c>
      <c r="T7244" s="19" t="s">
        <v>42</v>
      </c>
      <c r="U7244" s="102" t="s">
        <v>1689</v>
      </c>
      <c r="V7244" s="186">
        <v>45931</v>
      </c>
      <c r="W7244" s="17" t="s">
        <v>44</v>
      </c>
      <c r="X7244" s="17"/>
      <c r="Y7244" s="68">
        <v>45962</v>
      </c>
      <c r="Z7244" s="17" t="s">
        <v>78</v>
      </c>
      <c r="AA7244" s="17" t="s">
        <v>46</v>
      </c>
      <c r="AB7244" s="17" t="s">
        <v>1663</v>
      </c>
      <c r="AC7244" s="217">
        <v>46061</v>
      </c>
      <c r="AD7244" s="65">
        <v>1759</v>
      </c>
      <c r="AE7244" s="17" t="s">
        <v>1690</v>
      </c>
      <c r="AF7244" s="17"/>
      <c r="AG7244" s="17"/>
      <c r="AH7244" s="17"/>
      <c r="AI7244" s="17"/>
      <c r="AJ7244" s="17"/>
      <c r="AK7244" s="17"/>
      <c r="AL7244" s="17"/>
      <c r="AM7244" s="17"/>
      <c r="AN7244" s="17"/>
      <c r="AO7244" s="17"/>
      <c r="AP7244" s="17"/>
      <c r="AQ7244" s="17"/>
      <c r="AR7244" s="17"/>
    </row>
    <row r="7245" s="25" customFormat="1" hidden="1" spans="1:44">
      <c r="A7245" s="17" t="s">
        <v>34</v>
      </c>
      <c r="B7245" s="19">
        <v>1097</v>
      </c>
      <c r="C7245" s="183">
        <v>45931</v>
      </c>
      <c r="D7245" s="17" t="s">
        <v>35</v>
      </c>
      <c r="E7245" s="17" t="s">
        <v>36</v>
      </c>
      <c r="F7245" s="17" t="s">
        <v>37</v>
      </c>
      <c r="G7245" s="17"/>
      <c r="H7245" s="19" t="s">
        <v>197</v>
      </c>
      <c r="I7245" s="19"/>
      <c r="J7245" s="17" t="s">
        <v>39</v>
      </c>
      <c r="K7245" s="19">
        <v>122</v>
      </c>
      <c r="L7245" s="91"/>
      <c r="M7245" s="19"/>
      <c r="N7245" s="19" t="s">
        <v>40</v>
      </c>
      <c r="O7245" s="19" t="s">
        <v>67</v>
      </c>
      <c r="P7245" s="19">
        <v>422</v>
      </c>
      <c r="Q7245" s="19">
        <v>470</v>
      </c>
      <c r="R7245" s="19">
        <f t="shared" si="311"/>
        <v>-48</v>
      </c>
      <c r="S7245" s="93">
        <v>6015</v>
      </c>
      <c r="T7245" s="19" t="s">
        <v>42</v>
      </c>
      <c r="U7245" s="102" t="s">
        <v>1689</v>
      </c>
      <c r="V7245" s="186">
        <v>45931</v>
      </c>
      <c r="W7245" s="17" t="s">
        <v>44</v>
      </c>
      <c r="X7245" s="17"/>
      <c r="Y7245" s="68">
        <v>45962</v>
      </c>
      <c r="Z7245" s="17" t="s">
        <v>78</v>
      </c>
      <c r="AA7245" s="17" t="s">
        <v>46</v>
      </c>
      <c r="AB7245" s="17" t="s">
        <v>1663</v>
      </c>
      <c r="AC7245" s="217">
        <v>46061</v>
      </c>
      <c r="AD7245" s="65">
        <v>1759</v>
      </c>
      <c r="AE7245" s="17" t="s">
        <v>1690</v>
      </c>
      <c r="AF7245" s="17"/>
      <c r="AG7245" s="17"/>
      <c r="AH7245" s="17"/>
      <c r="AI7245" s="17"/>
      <c r="AJ7245" s="17"/>
      <c r="AK7245" s="17"/>
      <c r="AL7245" s="17"/>
      <c r="AM7245" s="17"/>
      <c r="AN7245" s="17"/>
      <c r="AO7245" s="17"/>
      <c r="AP7245" s="17"/>
      <c r="AQ7245" s="17"/>
      <c r="AR7245" s="17"/>
    </row>
    <row r="7246" s="25" customFormat="1" hidden="1" spans="1:44">
      <c r="A7246" s="17" t="s">
        <v>34</v>
      </c>
      <c r="B7246" s="19">
        <v>1097</v>
      </c>
      <c r="C7246" s="183">
        <v>45931</v>
      </c>
      <c r="D7246" s="17" t="s">
        <v>35</v>
      </c>
      <c r="E7246" s="17" t="s">
        <v>36</v>
      </c>
      <c r="F7246" s="17" t="s">
        <v>37</v>
      </c>
      <c r="G7246" s="17"/>
      <c r="H7246" s="19" t="s">
        <v>247</v>
      </c>
      <c r="I7246" s="19"/>
      <c r="J7246" s="17" t="s">
        <v>39</v>
      </c>
      <c r="K7246" s="19">
        <v>50</v>
      </c>
      <c r="L7246" s="91"/>
      <c r="M7246" s="19"/>
      <c r="N7246" s="19" t="s">
        <v>40</v>
      </c>
      <c r="O7246" s="19" t="s">
        <v>67</v>
      </c>
      <c r="P7246" s="19">
        <v>506</v>
      </c>
      <c r="Q7246" s="19">
        <v>506</v>
      </c>
      <c r="R7246" s="19">
        <f t="shared" si="311"/>
        <v>0</v>
      </c>
      <c r="S7246" s="19">
        <v>9450</v>
      </c>
      <c r="T7246" s="19" t="s">
        <v>42</v>
      </c>
      <c r="U7246" s="102" t="s">
        <v>1689</v>
      </c>
      <c r="V7246" s="186">
        <v>45931</v>
      </c>
      <c r="W7246" s="17" t="s">
        <v>44</v>
      </c>
      <c r="X7246" s="17"/>
      <c r="Y7246" s="68">
        <v>46054</v>
      </c>
      <c r="Z7246" s="17" t="s">
        <v>78</v>
      </c>
      <c r="AA7246" s="17" t="s">
        <v>46</v>
      </c>
      <c r="AB7246" s="17" t="s">
        <v>1663</v>
      </c>
      <c r="AC7246" s="217">
        <v>46061</v>
      </c>
      <c r="AD7246" s="65">
        <v>1759</v>
      </c>
      <c r="AE7246" s="17" t="s">
        <v>1691</v>
      </c>
      <c r="AF7246" s="17"/>
      <c r="AG7246" s="17"/>
      <c r="AH7246" s="17"/>
      <c r="AI7246" s="17"/>
      <c r="AJ7246" s="17"/>
      <c r="AK7246" s="17"/>
      <c r="AL7246" s="17"/>
      <c r="AM7246" s="17"/>
      <c r="AN7246" s="17"/>
      <c r="AO7246" s="17"/>
      <c r="AP7246" s="17"/>
      <c r="AQ7246" s="17"/>
      <c r="AR7246" s="17"/>
    </row>
    <row r="7247" s="25" customFormat="1" hidden="1" spans="1:44">
      <c r="A7247" s="17" t="s">
        <v>34</v>
      </c>
      <c r="B7247" s="19">
        <v>1097</v>
      </c>
      <c r="C7247" s="183">
        <v>45931</v>
      </c>
      <c r="D7247" s="17" t="s">
        <v>35</v>
      </c>
      <c r="E7247" s="17" t="s">
        <v>36</v>
      </c>
      <c r="F7247" s="17" t="s">
        <v>37</v>
      </c>
      <c r="G7247" s="17"/>
      <c r="H7247" s="19" t="s">
        <v>247</v>
      </c>
      <c r="I7247" s="19"/>
      <c r="J7247" s="17" t="s">
        <v>39</v>
      </c>
      <c r="K7247" s="19">
        <v>50</v>
      </c>
      <c r="L7247" s="91"/>
      <c r="M7247" s="19"/>
      <c r="N7247" s="19" t="s">
        <v>40</v>
      </c>
      <c r="O7247" s="19" t="s">
        <v>67</v>
      </c>
      <c r="P7247" s="19">
        <v>506</v>
      </c>
      <c r="Q7247" s="19">
        <v>506</v>
      </c>
      <c r="R7247" s="19">
        <f t="shared" si="311"/>
        <v>0</v>
      </c>
      <c r="S7247" s="19">
        <v>9450</v>
      </c>
      <c r="T7247" s="19" t="s">
        <v>42</v>
      </c>
      <c r="U7247" s="102" t="s">
        <v>1689</v>
      </c>
      <c r="V7247" s="186">
        <v>45931</v>
      </c>
      <c r="W7247" s="17" t="s">
        <v>44</v>
      </c>
      <c r="X7247" s="17"/>
      <c r="Y7247" s="68">
        <v>46054</v>
      </c>
      <c r="Z7247" s="17" t="s">
        <v>78</v>
      </c>
      <c r="AA7247" s="17" t="s">
        <v>46</v>
      </c>
      <c r="AB7247" s="17" t="s">
        <v>1663</v>
      </c>
      <c r="AC7247" s="217">
        <v>46061</v>
      </c>
      <c r="AD7247" s="65">
        <v>1759</v>
      </c>
      <c r="AE7247" s="17" t="s">
        <v>1691</v>
      </c>
      <c r="AF7247" s="17"/>
      <c r="AG7247" s="17"/>
      <c r="AH7247" s="17"/>
      <c r="AI7247" s="17"/>
      <c r="AJ7247" s="17"/>
      <c r="AK7247" s="17"/>
      <c r="AL7247" s="17"/>
      <c r="AM7247" s="17"/>
      <c r="AN7247" s="17"/>
      <c r="AO7247" s="17"/>
      <c r="AP7247" s="17"/>
      <c r="AQ7247" s="17"/>
      <c r="AR7247" s="17"/>
    </row>
    <row r="7248" s="25" customFormat="1" hidden="1" spans="1:44">
      <c r="A7248" s="17" t="s">
        <v>34</v>
      </c>
      <c r="B7248" s="19">
        <v>1097</v>
      </c>
      <c r="C7248" s="183">
        <v>45931</v>
      </c>
      <c r="D7248" s="17" t="s">
        <v>35</v>
      </c>
      <c r="E7248" s="17" t="s">
        <v>36</v>
      </c>
      <c r="F7248" s="17" t="s">
        <v>37</v>
      </c>
      <c r="G7248" s="17"/>
      <c r="H7248" s="19" t="s">
        <v>247</v>
      </c>
      <c r="I7248" s="19"/>
      <c r="J7248" s="17" t="s">
        <v>39</v>
      </c>
      <c r="K7248" s="19">
        <v>60</v>
      </c>
      <c r="L7248" s="91"/>
      <c r="M7248" s="19"/>
      <c r="N7248" s="19" t="s">
        <v>40</v>
      </c>
      <c r="O7248" s="19" t="s">
        <v>67</v>
      </c>
      <c r="P7248" s="19">
        <v>380</v>
      </c>
      <c r="Q7248" s="19">
        <v>380</v>
      </c>
      <c r="R7248" s="19">
        <f t="shared" si="311"/>
        <v>0</v>
      </c>
      <c r="S7248" s="19">
        <v>9450</v>
      </c>
      <c r="T7248" s="19" t="s">
        <v>42</v>
      </c>
      <c r="U7248" s="102" t="s">
        <v>1689</v>
      </c>
      <c r="V7248" s="186">
        <v>45931</v>
      </c>
      <c r="W7248" s="17" t="s">
        <v>44</v>
      </c>
      <c r="X7248" s="17"/>
      <c r="Y7248" s="68">
        <v>46054</v>
      </c>
      <c r="Z7248" s="17" t="s">
        <v>78</v>
      </c>
      <c r="AA7248" s="17" t="s">
        <v>46</v>
      </c>
      <c r="AB7248" s="17" t="s">
        <v>1663</v>
      </c>
      <c r="AC7248" s="217">
        <v>46061</v>
      </c>
      <c r="AD7248" s="65">
        <v>1759</v>
      </c>
      <c r="AE7248" s="17" t="s">
        <v>1691</v>
      </c>
      <c r="AF7248" s="17"/>
      <c r="AG7248" s="17"/>
      <c r="AH7248" s="17"/>
      <c r="AI7248" s="17"/>
      <c r="AJ7248" s="17"/>
      <c r="AK7248" s="17"/>
      <c r="AL7248" s="17"/>
      <c r="AM7248" s="17"/>
      <c r="AN7248" s="17"/>
      <c r="AO7248" s="17"/>
      <c r="AP7248" s="17"/>
      <c r="AQ7248" s="17"/>
      <c r="AR7248" s="17"/>
    </row>
    <row r="7249" s="25" customFormat="1" hidden="1" spans="1:44">
      <c r="A7249" s="17" t="s">
        <v>34</v>
      </c>
      <c r="B7249" s="19">
        <v>1097</v>
      </c>
      <c r="C7249" s="183">
        <v>45931</v>
      </c>
      <c r="D7249" s="17" t="s">
        <v>35</v>
      </c>
      <c r="E7249" s="17" t="s">
        <v>36</v>
      </c>
      <c r="F7249" s="17" t="s">
        <v>37</v>
      </c>
      <c r="G7249" s="17"/>
      <c r="H7249" s="19" t="s">
        <v>247</v>
      </c>
      <c r="I7249" s="19"/>
      <c r="J7249" s="17" t="s">
        <v>39</v>
      </c>
      <c r="K7249" s="19">
        <v>60</v>
      </c>
      <c r="L7249" s="91"/>
      <c r="M7249" s="19"/>
      <c r="N7249" s="19" t="s">
        <v>40</v>
      </c>
      <c r="O7249" s="19" t="s">
        <v>67</v>
      </c>
      <c r="P7249" s="19">
        <v>468</v>
      </c>
      <c r="Q7249" s="19">
        <v>468</v>
      </c>
      <c r="R7249" s="19">
        <f t="shared" si="311"/>
        <v>0</v>
      </c>
      <c r="S7249" s="19">
        <v>9450</v>
      </c>
      <c r="T7249" s="19" t="s">
        <v>42</v>
      </c>
      <c r="U7249" s="102" t="s">
        <v>1689</v>
      </c>
      <c r="V7249" s="186">
        <v>45931</v>
      </c>
      <c r="W7249" s="17" t="s">
        <v>44</v>
      </c>
      <c r="X7249" s="17"/>
      <c r="Y7249" s="68">
        <v>46054</v>
      </c>
      <c r="Z7249" s="17" t="s">
        <v>78</v>
      </c>
      <c r="AA7249" s="17" t="s">
        <v>46</v>
      </c>
      <c r="AB7249" s="17" t="s">
        <v>1663</v>
      </c>
      <c r="AC7249" s="217">
        <v>46061</v>
      </c>
      <c r="AD7249" s="65">
        <v>1759</v>
      </c>
      <c r="AE7249" s="17" t="s">
        <v>1691</v>
      </c>
      <c r="AF7249" s="17"/>
      <c r="AG7249" s="17"/>
      <c r="AH7249" s="17"/>
      <c r="AI7249" s="17"/>
      <c r="AJ7249" s="17"/>
      <c r="AK7249" s="17"/>
      <c r="AL7249" s="17"/>
      <c r="AM7249" s="17"/>
      <c r="AN7249" s="17"/>
      <c r="AO7249" s="17"/>
      <c r="AP7249" s="17"/>
      <c r="AQ7249" s="17"/>
      <c r="AR7249" s="17"/>
    </row>
    <row r="7250" s="25" customFormat="1" hidden="1" spans="1:44">
      <c r="A7250" s="17" t="s">
        <v>34</v>
      </c>
      <c r="B7250" s="19">
        <v>1097</v>
      </c>
      <c r="C7250" s="183">
        <v>45931</v>
      </c>
      <c r="D7250" s="17" t="s">
        <v>35</v>
      </c>
      <c r="E7250" s="17" t="s">
        <v>36</v>
      </c>
      <c r="F7250" s="17" t="s">
        <v>37</v>
      </c>
      <c r="G7250" s="17"/>
      <c r="H7250" s="19" t="s">
        <v>247</v>
      </c>
      <c r="I7250" s="19"/>
      <c r="J7250" s="17" t="s">
        <v>39</v>
      </c>
      <c r="K7250" s="19">
        <v>60</v>
      </c>
      <c r="L7250" s="91"/>
      <c r="M7250" s="19"/>
      <c r="N7250" s="19" t="s">
        <v>40</v>
      </c>
      <c r="O7250" s="19" t="s">
        <v>67</v>
      </c>
      <c r="P7250" s="19">
        <v>354</v>
      </c>
      <c r="Q7250" s="19">
        <v>354</v>
      </c>
      <c r="R7250" s="19">
        <f t="shared" si="311"/>
        <v>0</v>
      </c>
      <c r="S7250" s="19">
        <v>9450</v>
      </c>
      <c r="T7250" s="19" t="s">
        <v>42</v>
      </c>
      <c r="U7250" s="102" t="s">
        <v>1689</v>
      </c>
      <c r="V7250" s="186">
        <v>45931</v>
      </c>
      <c r="W7250" s="17" t="s">
        <v>44</v>
      </c>
      <c r="X7250" s="17"/>
      <c r="Y7250" s="68">
        <v>46054</v>
      </c>
      <c r="Z7250" s="17" t="s">
        <v>78</v>
      </c>
      <c r="AA7250" s="17" t="s">
        <v>46</v>
      </c>
      <c r="AB7250" s="17" t="s">
        <v>1663</v>
      </c>
      <c r="AC7250" s="217">
        <v>46061</v>
      </c>
      <c r="AD7250" s="65">
        <v>1759</v>
      </c>
      <c r="AE7250" s="17" t="s">
        <v>1691</v>
      </c>
      <c r="AF7250" s="17"/>
      <c r="AG7250" s="17"/>
      <c r="AH7250" s="17"/>
      <c r="AI7250" s="17"/>
      <c r="AJ7250" s="17"/>
      <c r="AK7250" s="17"/>
      <c r="AL7250" s="17"/>
      <c r="AM7250" s="17"/>
      <c r="AN7250" s="17"/>
      <c r="AO7250" s="17"/>
      <c r="AP7250" s="17"/>
      <c r="AQ7250" s="17"/>
      <c r="AR7250" s="17"/>
    </row>
    <row r="7251" s="25" customFormat="1" hidden="1" spans="1:44">
      <c r="A7251" s="17" t="s">
        <v>34</v>
      </c>
      <c r="B7251" s="19">
        <v>1085</v>
      </c>
      <c r="C7251" s="183">
        <v>45902</v>
      </c>
      <c r="D7251" s="17" t="s">
        <v>35</v>
      </c>
      <c r="E7251" s="17" t="s">
        <v>36</v>
      </c>
      <c r="F7251" s="17" t="s">
        <v>37</v>
      </c>
      <c r="G7251" s="17"/>
      <c r="H7251" s="19">
        <v>1.2344</v>
      </c>
      <c r="I7251" s="19"/>
      <c r="J7251" s="17" t="s">
        <v>39</v>
      </c>
      <c r="K7251" s="19">
        <v>262</v>
      </c>
      <c r="L7251" s="91"/>
      <c r="M7251" s="19"/>
      <c r="N7251" s="19" t="s">
        <v>40</v>
      </c>
      <c r="O7251" s="19" t="s">
        <v>50</v>
      </c>
      <c r="P7251" s="19">
        <v>16000</v>
      </c>
      <c r="Q7251" s="19">
        <v>13662</v>
      </c>
      <c r="R7251" s="19">
        <f t="shared" si="311"/>
        <v>2338</v>
      </c>
      <c r="S7251" s="19">
        <v>3025</v>
      </c>
      <c r="T7251" s="19" t="s">
        <v>42</v>
      </c>
      <c r="U7251" s="102" t="s">
        <v>1692</v>
      </c>
      <c r="V7251" s="186">
        <v>45903</v>
      </c>
      <c r="W7251" s="17" t="s">
        <v>44</v>
      </c>
      <c r="X7251" s="17"/>
      <c r="Y7251" s="68">
        <v>46023</v>
      </c>
      <c r="Z7251" s="17" t="s">
        <v>78</v>
      </c>
      <c r="AA7251" s="17" t="s">
        <v>1693</v>
      </c>
      <c r="AB7251" s="17" t="s">
        <v>1694</v>
      </c>
      <c r="AC7251" s="217">
        <v>46042</v>
      </c>
      <c r="AD7251" s="65">
        <v>1772</v>
      </c>
      <c r="AE7251" s="17" t="s">
        <v>252</v>
      </c>
      <c r="AF7251" s="17" t="s">
        <v>1695</v>
      </c>
      <c r="AG7251" s="17"/>
      <c r="AH7251" s="17"/>
      <c r="AI7251" s="17"/>
      <c r="AJ7251" s="17"/>
      <c r="AK7251" s="17"/>
      <c r="AL7251" s="17"/>
      <c r="AM7251" s="17"/>
      <c r="AN7251" s="17"/>
      <c r="AO7251" s="17"/>
      <c r="AP7251" s="17"/>
      <c r="AQ7251" s="17"/>
      <c r="AR7251" s="17"/>
    </row>
    <row r="7252" s="25" customFormat="1" hidden="1" spans="1:44">
      <c r="A7252" s="17" t="s">
        <v>34</v>
      </c>
      <c r="B7252" s="19">
        <v>1085</v>
      </c>
      <c r="C7252" s="183">
        <v>45902</v>
      </c>
      <c r="D7252" s="17" t="s">
        <v>35</v>
      </c>
      <c r="E7252" s="17" t="s">
        <v>36</v>
      </c>
      <c r="F7252" s="17" t="s">
        <v>37</v>
      </c>
      <c r="G7252" s="17"/>
      <c r="H7252" s="19">
        <v>1.2344</v>
      </c>
      <c r="I7252" s="19"/>
      <c r="J7252" s="17" t="s">
        <v>39</v>
      </c>
      <c r="K7252" s="19">
        <v>282</v>
      </c>
      <c r="L7252" s="91"/>
      <c r="M7252" s="19"/>
      <c r="N7252" s="19" t="s">
        <v>40</v>
      </c>
      <c r="O7252" s="19" t="s">
        <v>50</v>
      </c>
      <c r="P7252" s="19">
        <v>4000</v>
      </c>
      <c r="Q7252" s="19">
        <v>3780</v>
      </c>
      <c r="R7252" s="19">
        <f t="shared" si="311"/>
        <v>220</v>
      </c>
      <c r="S7252" s="19">
        <v>3025</v>
      </c>
      <c r="T7252" s="19" t="s">
        <v>42</v>
      </c>
      <c r="U7252" s="102" t="s">
        <v>1692</v>
      </c>
      <c r="V7252" s="186">
        <v>45903</v>
      </c>
      <c r="W7252" s="17" t="s">
        <v>44</v>
      </c>
      <c r="X7252" s="17"/>
      <c r="Y7252" s="68">
        <v>46023</v>
      </c>
      <c r="Z7252" s="17" t="s">
        <v>78</v>
      </c>
      <c r="AA7252" s="17" t="s">
        <v>1693</v>
      </c>
      <c r="AB7252" s="17" t="s">
        <v>1694</v>
      </c>
      <c r="AC7252" s="217">
        <v>46042</v>
      </c>
      <c r="AD7252" s="65">
        <v>1772</v>
      </c>
      <c r="AE7252" s="17" t="s">
        <v>252</v>
      </c>
      <c r="AF7252" s="17" t="s">
        <v>1695</v>
      </c>
      <c r="AG7252" s="17"/>
      <c r="AH7252" s="17"/>
      <c r="AI7252" s="17"/>
      <c r="AJ7252" s="17"/>
      <c r="AK7252" s="17"/>
      <c r="AL7252" s="17"/>
      <c r="AM7252" s="17"/>
      <c r="AN7252" s="17"/>
      <c r="AO7252" s="17"/>
      <c r="AP7252" s="17"/>
      <c r="AQ7252" s="17"/>
      <c r="AR7252" s="17"/>
    </row>
    <row r="7253" s="25" customFormat="1" hidden="1" spans="1:44">
      <c r="A7253" s="17" t="s">
        <v>34</v>
      </c>
      <c r="B7253" s="19">
        <v>1085</v>
      </c>
      <c r="C7253" s="183">
        <v>45902</v>
      </c>
      <c r="D7253" s="17" t="s">
        <v>35</v>
      </c>
      <c r="E7253" s="17" t="s">
        <v>36</v>
      </c>
      <c r="F7253" s="17" t="s">
        <v>37</v>
      </c>
      <c r="G7253" s="17"/>
      <c r="H7253" s="19">
        <v>1.2344</v>
      </c>
      <c r="I7253" s="19"/>
      <c r="J7253" s="17" t="s">
        <v>39</v>
      </c>
      <c r="K7253" s="19">
        <v>322</v>
      </c>
      <c r="L7253" s="91"/>
      <c r="M7253" s="19"/>
      <c r="N7253" s="19" t="s">
        <v>40</v>
      </c>
      <c r="O7253" s="19" t="s">
        <v>50</v>
      </c>
      <c r="P7253" s="19">
        <v>12000</v>
      </c>
      <c r="Q7253" s="19">
        <v>11358</v>
      </c>
      <c r="R7253" s="19">
        <f t="shared" si="311"/>
        <v>642</v>
      </c>
      <c r="S7253" s="19">
        <v>3025</v>
      </c>
      <c r="T7253" s="19" t="s">
        <v>42</v>
      </c>
      <c r="U7253" s="102" t="s">
        <v>1692</v>
      </c>
      <c r="V7253" s="186">
        <v>45903</v>
      </c>
      <c r="W7253" s="17" t="s">
        <v>44</v>
      </c>
      <c r="X7253" s="17"/>
      <c r="Y7253" s="68">
        <v>46023</v>
      </c>
      <c r="Z7253" s="17" t="s">
        <v>78</v>
      </c>
      <c r="AA7253" s="17" t="s">
        <v>1693</v>
      </c>
      <c r="AB7253" s="17" t="s">
        <v>1694</v>
      </c>
      <c r="AC7253" s="217">
        <v>46042</v>
      </c>
      <c r="AD7253" s="65">
        <v>1772</v>
      </c>
      <c r="AE7253" s="17" t="s">
        <v>252</v>
      </c>
      <c r="AF7253" s="17" t="s">
        <v>1695</v>
      </c>
      <c r="AG7253" s="17"/>
      <c r="AH7253" s="17"/>
      <c r="AI7253" s="17"/>
      <c r="AJ7253" s="17"/>
      <c r="AK7253" s="17"/>
      <c r="AL7253" s="17"/>
      <c r="AM7253" s="17"/>
      <c r="AN7253" s="17"/>
      <c r="AO7253" s="17"/>
      <c r="AP7253" s="17"/>
      <c r="AQ7253" s="17"/>
      <c r="AR7253" s="17"/>
    </row>
    <row r="7254" s="25" customFormat="1" hidden="1" spans="1:44">
      <c r="A7254" s="17" t="s">
        <v>34</v>
      </c>
      <c r="B7254" s="19">
        <v>1085</v>
      </c>
      <c r="C7254" s="183">
        <v>45902</v>
      </c>
      <c r="D7254" s="17" t="s">
        <v>35</v>
      </c>
      <c r="E7254" s="17" t="s">
        <v>36</v>
      </c>
      <c r="F7254" s="17" t="s">
        <v>37</v>
      </c>
      <c r="G7254" s="17"/>
      <c r="H7254" s="19">
        <v>1.2344</v>
      </c>
      <c r="I7254" s="19"/>
      <c r="J7254" s="17" t="s">
        <v>39</v>
      </c>
      <c r="K7254" s="19">
        <v>402</v>
      </c>
      <c r="L7254" s="91"/>
      <c r="M7254" s="19"/>
      <c r="N7254" s="19" t="s">
        <v>40</v>
      </c>
      <c r="O7254" s="19" t="s">
        <v>50</v>
      </c>
      <c r="P7254" s="19">
        <v>18000</v>
      </c>
      <c r="Q7254" s="19">
        <v>17714</v>
      </c>
      <c r="R7254" s="19">
        <f t="shared" ref="R7254:R7285" si="312">+P7254-Q7254</f>
        <v>286</v>
      </c>
      <c r="S7254" s="19">
        <v>3025</v>
      </c>
      <c r="T7254" s="19" t="s">
        <v>42</v>
      </c>
      <c r="U7254" s="102" t="s">
        <v>1692</v>
      </c>
      <c r="V7254" s="186">
        <v>45903</v>
      </c>
      <c r="W7254" s="17" t="s">
        <v>44</v>
      </c>
      <c r="X7254" s="17"/>
      <c r="Y7254" s="68">
        <v>46023</v>
      </c>
      <c r="Z7254" s="17" t="s">
        <v>78</v>
      </c>
      <c r="AA7254" s="17" t="s">
        <v>1693</v>
      </c>
      <c r="AB7254" s="17" t="s">
        <v>1694</v>
      </c>
      <c r="AC7254" s="217">
        <v>46042</v>
      </c>
      <c r="AD7254" s="65">
        <v>1772</v>
      </c>
      <c r="AE7254" s="17" t="s">
        <v>252</v>
      </c>
      <c r="AF7254" s="17" t="s">
        <v>1695</v>
      </c>
      <c r="AG7254" s="17"/>
      <c r="AH7254" s="17"/>
      <c r="AI7254" s="17"/>
      <c r="AJ7254" s="17"/>
      <c r="AK7254" s="17"/>
      <c r="AL7254" s="17"/>
      <c r="AM7254" s="17"/>
      <c r="AN7254" s="17"/>
      <c r="AO7254" s="17"/>
      <c r="AP7254" s="17"/>
      <c r="AQ7254" s="17"/>
      <c r="AR7254" s="17"/>
    </row>
    <row r="7255" s="25" customFormat="1" hidden="1" spans="1:44">
      <c r="A7255" s="17" t="s">
        <v>34</v>
      </c>
      <c r="B7255" s="19">
        <v>1085</v>
      </c>
      <c r="C7255" s="183">
        <v>45902</v>
      </c>
      <c r="D7255" s="17" t="s">
        <v>35</v>
      </c>
      <c r="E7255" s="17" t="s">
        <v>36</v>
      </c>
      <c r="F7255" s="17" t="s">
        <v>37</v>
      </c>
      <c r="G7255" s="17"/>
      <c r="H7255" s="19">
        <v>1.2344</v>
      </c>
      <c r="I7255" s="19"/>
      <c r="J7255" s="17" t="s">
        <v>39</v>
      </c>
      <c r="K7255" s="19">
        <v>502</v>
      </c>
      <c r="L7255" s="91"/>
      <c r="M7255" s="19"/>
      <c r="N7255" s="19" t="s">
        <v>40</v>
      </c>
      <c r="O7255" s="19" t="s">
        <v>50</v>
      </c>
      <c r="P7255" s="19">
        <v>18000</v>
      </c>
      <c r="Q7255" s="19">
        <v>16746</v>
      </c>
      <c r="R7255" s="19">
        <f t="shared" si="312"/>
        <v>1254</v>
      </c>
      <c r="S7255" s="19">
        <v>3025</v>
      </c>
      <c r="T7255" s="19" t="s">
        <v>42</v>
      </c>
      <c r="U7255" s="102" t="s">
        <v>1692</v>
      </c>
      <c r="V7255" s="186">
        <v>45903</v>
      </c>
      <c r="W7255" s="17" t="s">
        <v>44</v>
      </c>
      <c r="X7255" s="17"/>
      <c r="Y7255" s="68">
        <v>46023</v>
      </c>
      <c r="Z7255" s="17" t="s">
        <v>78</v>
      </c>
      <c r="AA7255" s="17" t="s">
        <v>1693</v>
      </c>
      <c r="AB7255" s="17" t="s">
        <v>1694</v>
      </c>
      <c r="AC7255" s="217">
        <v>46042</v>
      </c>
      <c r="AD7255" s="65">
        <v>1772</v>
      </c>
      <c r="AE7255" s="17" t="s">
        <v>252</v>
      </c>
      <c r="AF7255" s="17" t="s">
        <v>1695</v>
      </c>
      <c r="AG7255" s="17"/>
      <c r="AH7255" s="17"/>
      <c r="AI7255" s="17"/>
      <c r="AJ7255" s="17"/>
      <c r="AK7255" s="17"/>
      <c r="AL7255" s="17"/>
      <c r="AM7255" s="17"/>
      <c r="AN7255" s="17"/>
      <c r="AO7255" s="17"/>
      <c r="AP7255" s="17"/>
      <c r="AQ7255" s="17"/>
      <c r="AR7255" s="17"/>
    </row>
    <row r="7256" s="25" customFormat="1" hidden="1" spans="1:44">
      <c r="A7256" s="17" t="s">
        <v>34</v>
      </c>
      <c r="B7256" s="19">
        <v>1103</v>
      </c>
      <c r="C7256" s="183">
        <v>46027</v>
      </c>
      <c r="D7256" s="17" t="s">
        <v>52</v>
      </c>
      <c r="E7256" s="17" t="s">
        <v>1574</v>
      </c>
      <c r="F7256" s="17" t="s">
        <v>54</v>
      </c>
      <c r="G7256" s="17"/>
      <c r="H7256" s="19">
        <v>1.2311</v>
      </c>
      <c r="I7256" s="19"/>
      <c r="J7256" s="17" t="s">
        <v>49</v>
      </c>
      <c r="K7256" s="431">
        <v>2200</v>
      </c>
      <c r="L7256" s="432">
        <v>21</v>
      </c>
      <c r="M7256" s="19">
        <v>5800</v>
      </c>
      <c r="N7256" s="19" t="s">
        <v>66</v>
      </c>
      <c r="O7256" s="19" t="s">
        <v>67</v>
      </c>
      <c r="P7256" s="432">
        <v>1848</v>
      </c>
      <c r="Q7256" s="19">
        <v>1885</v>
      </c>
      <c r="R7256" s="19">
        <f t="shared" si="312"/>
        <v>-37</v>
      </c>
      <c r="S7256" s="168">
        <v>775</v>
      </c>
      <c r="T7256" s="19" t="s">
        <v>42</v>
      </c>
      <c r="U7256" s="102" t="s">
        <v>1696</v>
      </c>
      <c r="V7256" s="186">
        <v>46027</v>
      </c>
      <c r="W7256" s="17" t="s">
        <v>44</v>
      </c>
      <c r="X7256" s="17"/>
      <c r="Y7256" s="68">
        <v>46054</v>
      </c>
      <c r="Z7256" s="17" t="s">
        <v>45</v>
      </c>
      <c r="AA7256" s="17" t="s">
        <v>46</v>
      </c>
      <c r="AB7256" s="17" t="s">
        <v>1697</v>
      </c>
      <c r="AC7256" s="217">
        <v>46048</v>
      </c>
      <c r="AD7256" s="65">
        <v>1773</v>
      </c>
      <c r="AE7256" s="17" t="s">
        <v>74</v>
      </c>
      <c r="AF7256" s="17" t="s">
        <v>560</v>
      </c>
      <c r="AG7256" s="17"/>
      <c r="AH7256" s="17"/>
      <c r="AI7256" s="17"/>
      <c r="AJ7256" s="17"/>
      <c r="AK7256" s="17"/>
      <c r="AL7256" s="17"/>
      <c r="AM7256" s="17"/>
      <c r="AN7256" s="17"/>
      <c r="AO7256" s="17"/>
      <c r="AP7256" s="17"/>
      <c r="AQ7256" s="17"/>
      <c r="AR7256" s="17"/>
    </row>
    <row r="7257" s="25" customFormat="1" hidden="1" spans="1:44">
      <c r="A7257" s="17" t="s">
        <v>34</v>
      </c>
      <c r="B7257" s="19">
        <v>1103</v>
      </c>
      <c r="C7257" s="183">
        <v>46027</v>
      </c>
      <c r="D7257" s="17" t="s">
        <v>52</v>
      </c>
      <c r="E7257" s="17" t="s">
        <v>1574</v>
      </c>
      <c r="F7257" s="17" t="s">
        <v>54</v>
      </c>
      <c r="G7257" s="17"/>
      <c r="H7257" s="19">
        <v>1.2311</v>
      </c>
      <c r="I7257" s="19"/>
      <c r="J7257" s="17" t="s">
        <v>49</v>
      </c>
      <c r="K7257" s="431">
        <v>2200</v>
      </c>
      <c r="L7257" s="432">
        <v>26</v>
      </c>
      <c r="M7257" s="19">
        <v>5800</v>
      </c>
      <c r="N7257" s="19" t="s">
        <v>66</v>
      </c>
      <c r="O7257" s="19" t="s">
        <v>67</v>
      </c>
      <c r="P7257" s="432">
        <v>2288</v>
      </c>
      <c r="Q7257" s="19">
        <v>2590</v>
      </c>
      <c r="R7257" s="19">
        <f t="shared" si="312"/>
        <v>-302</v>
      </c>
      <c r="S7257" s="91">
        <v>775</v>
      </c>
      <c r="T7257" s="19" t="s">
        <v>42</v>
      </c>
      <c r="U7257" s="102" t="s">
        <v>1696</v>
      </c>
      <c r="V7257" s="186">
        <v>46027</v>
      </c>
      <c r="W7257" s="17" t="s">
        <v>44</v>
      </c>
      <c r="X7257" s="17"/>
      <c r="Y7257" s="68">
        <v>46054</v>
      </c>
      <c r="Z7257" s="17" t="s">
        <v>45</v>
      </c>
      <c r="AA7257" s="17" t="s">
        <v>46</v>
      </c>
      <c r="AB7257" s="17" t="s">
        <v>1697</v>
      </c>
      <c r="AC7257" s="217">
        <v>46048</v>
      </c>
      <c r="AD7257" s="65">
        <v>1773</v>
      </c>
      <c r="AE7257" s="17" t="s">
        <v>74</v>
      </c>
      <c r="AF7257" s="17" t="s">
        <v>560</v>
      </c>
      <c r="AG7257" s="17"/>
      <c r="AH7257" s="17"/>
      <c r="AI7257" s="17"/>
      <c r="AJ7257" s="17"/>
      <c r="AK7257" s="17"/>
      <c r="AL7257" s="17"/>
      <c r="AM7257" s="17"/>
      <c r="AN7257" s="17"/>
      <c r="AO7257" s="17"/>
      <c r="AP7257" s="17"/>
      <c r="AQ7257" s="17"/>
      <c r="AR7257" s="17"/>
    </row>
    <row r="7258" s="25" customFormat="1" hidden="1" spans="1:44">
      <c r="A7258" s="17" t="s">
        <v>34</v>
      </c>
      <c r="B7258" s="19">
        <v>1103</v>
      </c>
      <c r="C7258" s="183">
        <v>46027</v>
      </c>
      <c r="D7258" s="17" t="s">
        <v>52</v>
      </c>
      <c r="E7258" s="17" t="s">
        <v>1574</v>
      </c>
      <c r="F7258" s="17" t="s">
        <v>54</v>
      </c>
      <c r="G7258" s="17"/>
      <c r="H7258" s="19">
        <v>1.2311</v>
      </c>
      <c r="I7258" s="19"/>
      <c r="J7258" s="17" t="s">
        <v>49</v>
      </c>
      <c r="K7258" s="431">
        <v>2200</v>
      </c>
      <c r="L7258" s="432">
        <v>32</v>
      </c>
      <c r="M7258" s="19">
        <v>5800</v>
      </c>
      <c r="N7258" s="19" t="s">
        <v>66</v>
      </c>
      <c r="O7258" s="19" t="s">
        <v>67</v>
      </c>
      <c r="P7258" s="432">
        <v>2816</v>
      </c>
      <c r="Q7258" s="19">
        <v>3090</v>
      </c>
      <c r="R7258" s="19">
        <f t="shared" si="312"/>
        <v>-274</v>
      </c>
      <c r="S7258" s="91">
        <v>775</v>
      </c>
      <c r="T7258" s="19" t="s">
        <v>42</v>
      </c>
      <c r="U7258" s="102" t="s">
        <v>1696</v>
      </c>
      <c r="V7258" s="186">
        <v>46027</v>
      </c>
      <c r="W7258" s="17" t="s">
        <v>44</v>
      </c>
      <c r="X7258" s="17"/>
      <c r="Y7258" s="68">
        <v>46054</v>
      </c>
      <c r="Z7258" s="17" t="s">
        <v>45</v>
      </c>
      <c r="AA7258" s="17" t="s">
        <v>46</v>
      </c>
      <c r="AB7258" s="17" t="s">
        <v>1697</v>
      </c>
      <c r="AC7258" s="217">
        <v>46048</v>
      </c>
      <c r="AD7258" s="65">
        <v>1773</v>
      </c>
      <c r="AE7258" s="17" t="s">
        <v>74</v>
      </c>
      <c r="AF7258" s="17" t="s">
        <v>560</v>
      </c>
      <c r="AG7258" s="17"/>
      <c r="AH7258" s="17"/>
      <c r="AI7258" s="17"/>
      <c r="AJ7258" s="17"/>
      <c r="AK7258" s="17"/>
      <c r="AL7258" s="17"/>
      <c r="AM7258" s="17"/>
      <c r="AN7258" s="17"/>
      <c r="AO7258" s="17"/>
      <c r="AP7258" s="17"/>
      <c r="AQ7258" s="17"/>
      <c r="AR7258" s="17"/>
    </row>
    <row r="7259" s="25" customFormat="1" hidden="1" spans="1:44">
      <c r="A7259" s="17" t="s">
        <v>34</v>
      </c>
      <c r="B7259" s="19">
        <v>1103</v>
      </c>
      <c r="C7259" s="183">
        <v>46027</v>
      </c>
      <c r="D7259" s="17" t="s">
        <v>52</v>
      </c>
      <c r="E7259" s="17" t="s">
        <v>1574</v>
      </c>
      <c r="F7259" s="17" t="s">
        <v>54</v>
      </c>
      <c r="G7259" s="17"/>
      <c r="H7259" s="19">
        <v>1.2311</v>
      </c>
      <c r="I7259" s="19"/>
      <c r="J7259" s="17" t="s">
        <v>49</v>
      </c>
      <c r="K7259" s="431">
        <v>2200</v>
      </c>
      <c r="L7259" s="432">
        <v>36</v>
      </c>
      <c r="M7259" s="19">
        <v>5800</v>
      </c>
      <c r="N7259" s="19" t="s">
        <v>66</v>
      </c>
      <c r="O7259" s="19" t="s">
        <v>67</v>
      </c>
      <c r="P7259" s="432">
        <v>3168</v>
      </c>
      <c r="Q7259" s="19">
        <v>3190</v>
      </c>
      <c r="R7259" s="19">
        <f t="shared" si="312"/>
        <v>-22</v>
      </c>
      <c r="S7259" s="91">
        <v>775</v>
      </c>
      <c r="T7259" s="19" t="s">
        <v>42</v>
      </c>
      <c r="U7259" s="102" t="s">
        <v>1696</v>
      </c>
      <c r="V7259" s="186">
        <v>46027</v>
      </c>
      <c r="W7259" s="17" t="s">
        <v>44</v>
      </c>
      <c r="X7259" s="17"/>
      <c r="Y7259" s="68">
        <v>46054</v>
      </c>
      <c r="Z7259" s="17" t="s">
        <v>45</v>
      </c>
      <c r="AA7259" s="17" t="s">
        <v>46</v>
      </c>
      <c r="AB7259" s="17" t="s">
        <v>1697</v>
      </c>
      <c r="AC7259" s="217">
        <v>46048</v>
      </c>
      <c r="AD7259" s="65">
        <v>1773</v>
      </c>
      <c r="AE7259" s="17" t="s">
        <v>74</v>
      </c>
      <c r="AF7259" s="17" t="s">
        <v>560</v>
      </c>
      <c r="AG7259" s="17"/>
      <c r="AH7259" s="17"/>
      <c r="AI7259" s="17"/>
      <c r="AJ7259" s="17"/>
      <c r="AK7259" s="17"/>
      <c r="AL7259" s="17"/>
      <c r="AM7259" s="17"/>
      <c r="AN7259" s="17"/>
      <c r="AO7259" s="17"/>
      <c r="AP7259" s="17"/>
      <c r="AQ7259" s="17"/>
      <c r="AR7259" s="17"/>
    </row>
    <row r="7260" s="25" customFormat="1" hidden="1" spans="1:44">
      <c r="A7260" s="17" t="s">
        <v>34</v>
      </c>
      <c r="B7260" s="19">
        <v>1103</v>
      </c>
      <c r="C7260" s="183">
        <v>46027</v>
      </c>
      <c r="D7260" s="17" t="s">
        <v>52</v>
      </c>
      <c r="E7260" s="17" t="s">
        <v>1574</v>
      </c>
      <c r="F7260" s="17" t="s">
        <v>54</v>
      </c>
      <c r="G7260" s="17"/>
      <c r="H7260" s="19">
        <v>1.2311</v>
      </c>
      <c r="I7260" s="19"/>
      <c r="J7260" s="17" t="s">
        <v>49</v>
      </c>
      <c r="K7260" s="431">
        <v>2200</v>
      </c>
      <c r="L7260" s="432">
        <v>40</v>
      </c>
      <c r="M7260" s="19">
        <v>5800</v>
      </c>
      <c r="N7260" s="19" t="s">
        <v>66</v>
      </c>
      <c r="O7260" s="19" t="s">
        <v>67</v>
      </c>
      <c r="P7260" s="432">
        <v>3520</v>
      </c>
      <c r="Q7260" s="19">
        <v>3730</v>
      </c>
      <c r="R7260" s="19">
        <f t="shared" si="312"/>
        <v>-210</v>
      </c>
      <c r="S7260" s="91">
        <v>775</v>
      </c>
      <c r="T7260" s="19" t="s">
        <v>42</v>
      </c>
      <c r="U7260" s="102" t="s">
        <v>1696</v>
      </c>
      <c r="V7260" s="186">
        <v>46027</v>
      </c>
      <c r="W7260" s="17" t="s">
        <v>44</v>
      </c>
      <c r="X7260" s="17"/>
      <c r="Y7260" s="68">
        <v>46054</v>
      </c>
      <c r="Z7260" s="17" t="s">
        <v>45</v>
      </c>
      <c r="AA7260" s="17" t="s">
        <v>46</v>
      </c>
      <c r="AB7260" s="17" t="s">
        <v>1697</v>
      </c>
      <c r="AC7260" s="217">
        <v>46048</v>
      </c>
      <c r="AD7260" s="65">
        <v>1773</v>
      </c>
      <c r="AE7260" s="17" t="s">
        <v>74</v>
      </c>
      <c r="AF7260" s="17" t="s">
        <v>560</v>
      </c>
      <c r="AG7260" s="17"/>
      <c r="AH7260" s="17"/>
      <c r="AI7260" s="17"/>
      <c r="AJ7260" s="17"/>
      <c r="AK7260" s="17"/>
      <c r="AL7260" s="17"/>
      <c r="AM7260" s="17"/>
      <c r="AN7260" s="17"/>
      <c r="AO7260" s="17"/>
      <c r="AP7260" s="17"/>
      <c r="AQ7260" s="17"/>
      <c r="AR7260" s="17"/>
    </row>
    <row r="7261" s="25" customFormat="1" hidden="1" spans="1:44">
      <c r="A7261" s="17" t="s">
        <v>34</v>
      </c>
      <c r="B7261" s="19">
        <v>1103</v>
      </c>
      <c r="C7261" s="183">
        <v>46027</v>
      </c>
      <c r="D7261" s="17" t="s">
        <v>52</v>
      </c>
      <c r="E7261" s="17" t="s">
        <v>1574</v>
      </c>
      <c r="F7261" s="17" t="s">
        <v>54</v>
      </c>
      <c r="G7261" s="17"/>
      <c r="H7261" s="19">
        <v>1.2311</v>
      </c>
      <c r="I7261" s="19"/>
      <c r="J7261" s="17" t="s">
        <v>49</v>
      </c>
      <c r="K7261" s="431">
        <v>2200</v>
      </c>
      <c r="L7261" s="432">
        <v>45</v>
      </c>
      <c r="M7261" s="19">
        <v>5800</v>
      </c>
      <c r="N7261" s="19" t="s">
        <v>66</v>
      </c>
      <c r="O7261" s="19" t="s">
        <v>67</v>
      </c>
      <c r="P7261" s="432">
        <v>3960</v>
      </c>
      <c r="Q7261" s="19">
        <v>4560</v>
      </c>
      <c r="R7261" s="19">
        <f t="shared" si="312"/>
        <v>-600</v>
      </c>
      <c r="S7261" s="91">
        <v>775</v>
      </c>
      <c r="T7261" s="19" t="s">
        <v>42</v>
      </c>
      <c r="U7261" s="102" t="s">
        <v>1696</v>
      </c>
      <c r="V7261" s="186">
        <v>46027</v>
      </c>
      <c r="W7261" s="17" t="s">
        <v>44</v>
      </c>
      <c r="X7261" s="17"/>
      <c r="Y7261" s="68">
        <v>46054</v>
      </c>
      <c r="Z7261" s="17" t="s">
        <v>45</v>
      </c>
      <c r="AA7261" s="17" t="s">
        <v>46</v>
      </c>
      <c r="AB7261" s="17" t="s">
        <v>1697</v>
      </c>
      <c r="AC7261" s="217">
        <v>46048</v>
      </c>
      <c r="AD7261" s="65">
        <v>1773</v>
      </c>
      <c r="AE7261" s="17" t="s">
        <v>74</v>
      </c>
      <c r="AF7261" s="17" t="s">
        <v>560</v>
      </c>
      <c r="AG7261" s="17"/>
      <c r="AH7261" s="17"/>
      <c r="AI7261" s="17"/>
      <c r="AJ7261" s="17"/>
      <c r="AK7261" s="17"/>
      <c r="AL7261" s="17"/>
      <c r="AM7261" s="17"/>
      <c r="AN7261" s="17"/>
      <c r="AO7261" s="17"/>
      <c r="AP7261" s="17"/>
      <c r="AQ7261" s="17"/>
      <c r="AR7261" s="17"/>
    </row>
    <row r="7262" s="25" customFormat="1" hidden="1" spans="1:44">
      <c r="A7262" s="17" t="s">
        <v>34</v>
      </c>
      <c r="B7262" s="19">
        <v>1103</v>
      </c>
      <c r="C7262" s="183">
        <v>46027</v>
      </c>
      <c r="D7262" s="17" t="s">
        <v>52</v>
      </c>
      <c r="E7262" s="17" t="s">
        <v>1574</v>
      </c>
      <c r="F7262" s="17" t="s">
        <v>54</v>
      </c>
      <c r="G7262" s="17"/>
      <c r="H7262" s="19">
        <v>1.2311</v>
      </c>
      <c r="I7262" s="19"/>
      <c r="J7262" s="17" t="s">
        <v>49</v>
      </c>
      <c r="K7262" s="431">
        <v>2200</v>
      </c>
      <c r="L7262" s="432">
        <v>50</v>
      </c>
      <c r="M7262" s="19">
        <v>5800</v>
      </c>
      <c r="N7262" s="19" t="s">
        <v>66</v>
      </c>
      <c r="O7262" s="19" t="s">
        <v>67</v>
      </c>
      <c r="P7262" s="432">
        <v>4400</v>
      </c>
      <c r="Q7262" s="19">
        <v>5200</v>
      </c>
      <c r="R7262" s="19">
        <f t="shared" si="312"/>
        <v>-800</v>
      </c>
      <c r="S7262" s="91">
        <v>775</v>
      </c>
      <c r="T7262" s="19" t="s">
        <v>42</v>
      </c>
      <c r="U7262" s="102" t="s">
        <v>1696</v>
      </c>
      <c r="V7262" s="186">
        <v>46027</v>
      </c>
      <c r="W7262" s="17" t="s">
        <v>44</v>
      </c>
      <c r="X7262" s="17"/>
      <c r="Y7262" s="68">
        <v>46054</v>
      </c>
      <c r="Z7262" s="17" t="s">
        <v>45</v>
      </c>
      <c r="AA7262" s="17" t="s">
        <v>46</v>
      </c>
      <c r="AB7262" s="17" t="s">
        <v>1697</v>
      </c>
      <c r="AC7262" s="217">
        <v>46048</v>
      </c>
      <c r="AD7262" s="65">
        <v>1773</v>
      </c>
      <c r="AE7262" s="17" t="s">
        <v>74</v>
      </c>
      <c r="AF7262" s="17" t="s">
        <v>560</v>
      </c>
      <c r="AG7262" s="17"/>
      <c r="AH7262" s="17"/>
      <c r="AI7262" s="17"/>
      <c r="AJ7262" s="17"/>
      <c r="AK7262" s="17"/>
      <c r="AL7262" s="17"/>
      <c r="AM7262" s="17"/>
      <c r="AN7262" s="17"/>
      <c r="AO7262" s="17"/>
      <c r="AP7262" s="17"/>
      <c r="AQ7262" s="17"/>
      <c r="AR7262" s="17"/>
    </row>
    <row r="7263" s="25" customFormat="1" hidden="1" spans="1:44">
      <c r="A7263" s="17" t="s">
        <v>34</v>
      </c>
      <c r="B7263" s="19">
        <v>1103</v>
      </c>
      <c r="C7263" s="183">
        <v>46027</v>
      </c>
      <c r="D7263" s="17" t="s">
        <v>52</v>
      </c>
      <c r="E7263" s="17" t="s">
        <v>1574</v>
      </c>
      <c r="F7263" s="17" t="s">
        <v>54</v>
      </c>
      <c r="G7263" s="17"/>
      <c r="H7263" s="19">
        <v>1.2311</v>
      </c>
      <c r="I7263" s="19"/>
      <c r="J7263" s="17" t="s">
        <v>49</v>
      </c>
      <c r="K7263" s="431">
        <v>2200</v>
      </c>
      <c r="L7263" s="432">
        <v>65</v>
      </c>
      <c r="M7263" s="19">
        <v>5800</v>
      </c>
      <c r="N7263" s="19" t="s">
        <v>66</v>
      </c>
      <c r="O7263" s="19" t="s">
        <v>67</v>
      </c>
      <c r="P7263" s="432">
        <v>5720</v>
      </c>
      <c r="Q7263" s="19">
        <v>5000</v>
      </c>
      <c r="R7263" s="19">
        <f t="shared" si="312"/>
        <v>720</v>
      </c>
      <c r="S7263" s="91">
        <v>775</v>
      </c>
      <c r="T7263" s="19" t="s">
        <v>42</v>
      </c>
      <c r="U7263" s="102" t="s">
        <v>1696</v>
      </c>
      <c r="V7263" s="186">
        <v>46027</v>
      </c>
      <c r="W7263" s="17" t="s">
        <v>44</v>
      </c>
      <c r="X7263" s="17"/>
      <c r="Y7263" s="68">
        <v>46054</v>
      </c>
      <c r="Z7263" s="17" t="s">
        <v>45</v>
      </c>
      <c r="AA7263" s="17" t="s">
        <v>46</v>
      </c>
      <c r="AB7263" s="17" t="s">
        <v>1697</v>
      </c>
      <c r="AC7263" s="217">
        <v>46048</v>
      </c>
      <c r="AD7263" s="65">
        <v>1773</v>
      </c>
      <c r="AE7263" s="17" t="s">
        <v>74</v>
      </c>
      <c r="AF7263" s="17" t="s">
        <v>560</v>
      </c>
      <c r="AG7263" s="17"/>
      <c r="AH7263" s="17"/>
      <c r="AI7263" s="17"/>
      <c r="AJ7263" s="17"/>
      <c r="AK7263" s="17"/>
      <c r="AL7263" s="17"/>
      <c r="AM7263" s="17"/>
      <c r="AN7263" s="17"/>
      <c r="AO7263" s="17"/>
      <c r="AP7263" s="17"/>
      <c r="AQ7263" s="17"/>
      <c r="AR7263" s="17"/>
    </row>
    <row r="7264" s="25" customFormat="1" hidden="1" spans="1:44">
      <c r="A7264" s="17" t="s">
        <v>34</v>
      </c>
      <c r="B7264" s="19">
        <v>1103</v>
      </c>
      <c r="C7264" s="183">
        <v>46027</v>
      </c>
      <c r="D7264" s="17" t="s">
        <v>52</v>
      </c>
      <c r="E7264" s="17" t="s">
        <v>1574</v>
      </c>
      <c r="F7264" s="17" t="s">
        <v>54</v>
      </c>
      <c r="G7264" s="17"/>
      <c r="H7264" s="19">
        <v>1.2311</v>
      </c>
      <c r="I7264" s="19"/>
      <c r="J7264" s="17" t="s">
        <v>49</v>
      </c>
      <c r="K7264" s="431">
        <v>2200</v>
      </c>
      <c r="L7264" s="432">
        <v>80</v>
      </c>
      <c r="M7264" s="19">
        <v>5800</v>
      </c>
      <c r="N7264" s="19" t="s">
        <v>66</v>
      </c>
      <c r="O7264" s="19" t="s">
        <v>67</v>
      </c>
      <c r="P7264" s="432">
        <v>7040</v>
      </c>
      <c r="Q7264" s="19">
        <v>8050</v>
      </c>
      <c r="R7264" s="19">
        <f t="shared" si="312"/>
        <v>-1010</v>
      </c>
      <c r="S7264" s="91">
        <v>775</v>
      </c>
      <c r="T7264" s="19" t="s">
        <v>42</v>
      </c>
      <c r="U7264" s="102" t="s">
        <v>1696</v>
      </c>
      <c r="V7264" s="186">
        <v>46027</v>
      </c>
      <c r="W7264" s="17" t="s">
        <v>44</v>
      </c>
      <c r="X7264" s="17"/>
      <c r="Y7264" s="68">
        <v>46054</v>
      </c>
      <c r="Z7264" s="17" t="s">
        <v>45</v>
      </c>
      <c r="AA7264" s="17" t="s">
        <v>46</v>
      </c>
      <c r="AB7264" s="17" t="s">
        <v>1697</v>
      </c>
      <c r="AC7264" s="217">
        <v>46048</v>
      </c>
      <c r="AD7264" s="65">
        <v>1773</v>
      </c>
      <c r="AE7264" s="17" t="s">
        <v>74</v>
      </c>
      <c r="AF7264" s="17" t="s">
        <v>560</v>
      </c>
      <c r="AG7264" s="17"/>
      <c r="AH7264" s="17"/>
      <c r="AI7264" s="17"/>
      <c r="AJ7264" s="17"/>
      <c r="AK7264" s="17"/>
      <c r="AL7264" s="17"/>
      <c r="AM7264" s="17"/>
      <c r="AN7264" s="17"/>
      <c r="AO7264" s="17"/>
      <c r="AP7264" s="17"/>
      <c r="AQ7264" s="17"/>
      <c r="AR7264" s="17"/>
    </row>
    <row r="7265" s="25" customFormat="1" hidden="1" spans="1:44">
      <c r="A7265" s="17" t="s">
        <v>34</v>
      </c>
      <c r="B7265" s="19">
        <v>1103</v>
      </c>
      <c r="C7265" s="183">
        <v>46027</v>
      </c>
      <c r="D7265" s="17" t="s">
        <v>52</v>
      </c>
      <c r="E7265" s="17" t="s">
        <v>1574</v>
      </c>
      <c r="F7265" s="17" t="s">
        <v>54</v>
      </c>
      <c r="G7265" s="17"/>
      <c r="H7265" s="19">
        <v>1.2311</v>
      </c>
      <c r="I7265" s="19"/>
      <c r="J7265" s="17" t="s">
        <v>49</v>
      </c>
      <c r="K7265" s="431">
        <v>2200</v>
      </c>
      <c r="L7265" s="432">
        <v>105</v>
      </c>
      <c r="M7265" s="19">
        <v>5800</v>
      </c>
      <c r="N7265" s="19" t="s">
        <v>66</v>
      </c>
      <c r="O7265" s="19" t="s">
        <v>67</v>
      </c>
      <c r="P7265" s="432">
        <v>9240</v>
      </c>
      <c r="Q7265" s="19">
        <v>8720</v>
      </c>
      <c r="R7265" s="19">
        <f t="shared" si="312"/>
        <v>520</v>
      </c>
      <c r="S7265" s="91">
        <v>775</v>
      </c>
      <c r="T7265" s="19" t="s">
        <v>42</v>
      </c>
      <c r="U7265" s="102" t="s">
        <v>1696</v>
      </c>
      <c r="V7265" s="186">
        <v>46027</v>
      </c>
      <c r="W7265" s="17" t="s">
        <v>44</v>
      </c>
      <c r="X7265" s="17"/>
      <c r="Y7265" s="68">
        <v>46054</v>
      </c>
      <c r="Z7265" s="17" t="s">
        <v>45</v>
      </c>
      <c r="AA7265" s="17" t="s">
        <v>46</v>
      </c>
      <c r="AB7265" s="17" t="s">
        <v>1697</v>
      </c>
      <c r="AC7265" s="217">
        <v>46048</v>
      </c>
      <c r="AD7265" s="65">
        <v>1773</v>
      </c>
      <c r="AE7265" s="17" t="s">
        <v>74</v>
      </c>
      <c r="AF7265" s="17" t="s">
        <v>560</v>
      </c>
      <c r="AG7265" s="17"/>
      <c r="AH7265" s="17"/>
      <c r="AI7265" s="17"/>
      <c r="AJ7265" s="17"/>
      <c r="AK7265" s="17"/>
      <c r="AL7265" s="17"/>
      <c r="AM7265" s="17"/>
      <c r="AN7265" s="17"/>
      <c r="AO7265" s="17"/>
      <c r="AP7265" s="17"/>
      <c r="AQ7265" s="17"/>
      <c r="AR7265" s="17"/>
    </row>
    <row r="7266" s="25" customFormat="1" hidden="1" spans="1:44">
      <c r="A7266" s="17" t="s">
        <v>34</v>
      </c>
      <c r="B7266" s="19">
        <v>1103</v>
      </c>
      <c r="C7266" s="183">
        <v>46027</v>
      </c>
      <c r="D7266" s="17" t="s">
        <v>52</v>
      </c>
      <c r="E7266" s="17" t="s">
        <v>1574</v>
      </c>
      <c r="F7266" s="17" t="s">
        <v>54</v>
      </c>
      <c r="G7266" s="17"/>
      <c r="H7266" s="19">
        <v>1.2311</v>
      </c>
      <c r="I7266" s="19"/>
      <c r="J7266" s="17" t="s">
        <v>49</v>
      </c>
      <c r="K7266" s="431">
        <v>2200</v>
      </c>
      <c r="L7266" s="432">
        <v>130</v>
      </c>
      <c r="M7266" s="19">
        <v>5800</v>
      </c>
      <c r="N7266" s="19" t="s">
        <v>66</v>
      </c>
      <c r="O7266" s="19" t="s">
        <v>67</v>
      </c>
      <c r="P7266" s="432">
        <v>11440</v>
      </c>
      <c r="Q7266" s="19">
        <v>11515</v>
      </c>
      <c r="R7266" s="19">
        <f t="shared" si="312"/>
        <v>-75</v>
      </c>
      <c r="S7266" s="91">
        <v>825</v>
      </c>
      <c r="T7266" s="19" t="s">
        <v>42</v>
      </c>
      <c r="U7266" s="102" t="s">
        <v>1696</v>
      </c>
      <c r="V7266" s="186">
        <v>46027</v>
      </c>
      <c r="W7266" s="17" t="s">
        <v>44</v>
      </c>
      <c r="X7266" s="17"/>
      <c r="Y7266" s="68">
        <v>46054</v>
      </c>
      <c r="Z7266" s="17" t="s">
        <v>45</v>
      </c>
      <c r="AA7266" s="17" t="s">
        <v>46</v>
      </c>
      <c r="AB7266" s="17" t="s">
        <v>1697</v>
      </c>
      <c r="AC7266" s="217">
        <v>46048</v>
      </c>
      <c r="AD7266" s="65">
        <v>1773</v>
      </c>
      <c r="AE7266" s="17" t="s">
        <v>74</v>
      </c>
      <c r="AF7266" s="17" t="s">
        <v>560</v>
      </c>
      <c r="AG7266" s="17"/>
      <c r="AH7266" s="17"/>
      <c r="AI7266" s="17"/>
      <c r="AJ7266" s="17"/>
      <c r="AK7266" s="17"/>
      <c r="AL7266" s="17"/>
      <c r="AM7266" s="17"/>
      <c r="AN7266" s="17"/>
      <c r="AO7266" s="17"/>
      <c r="AP7266" s="17"/>
      <c r="AQ7266" s="17"/>
      <c r="AR7266" s="17"/>
    </row>
    <row r="7267" s="25" customFormat="1" hidden="1" spans="1:44">
      <c r="A7267" s="17" t="s">
        <v>34</v>
      </c>
      <c r="B7267" s="19">
        <v>1103</v>
      </c>
      <c r="C7267" s="183">
        <v>46027</v>
      </c>
      <c r="D7267" s="17" t="s">
        <v>52</v>
      </c>
      <c r="E7267" s="17" t="s">
        <v>1574</v>
      </c>
      <c r="F7267" s="17" t="s">
        <v>54</v>
      </c>
      <c r="G7267" s="17"/>
      <c r="H7267" s="19">
        <v>1.2311</v>
      </c>
      <c r="I7267" s="19"/>
      <c r="J7267" s="17" t="s">
        <v>49</v>
      </c>
      <c r="K7267" s="431">
        <v>2200</v>
      </c>
      <c r="L7267" s="432">
        <v>141</v>
      </c>
      <c r="M7267" s="19">
        <v>5800</v>
      </c>
      <c r="N7267" s="19" t="s">
        <v>66</v>
      </c>
      <c r="O7267" s="19" t="s">
        <v>67</v>
      </c>
      <c r="P7267" s="432">
        <v>12408</v>
      </c>
      <c r="Q7267" s="19">
        <v>13114</v>
      </c>
      <c r="R7267" s="19">
        <f t="shared" si="312"/>
        <v>-706</v>
      </c>
      <c r="S7267" s="91">
        <v>825</v>
      </c>
      <c r="T7267" s="19" t="s">
        <v>42</v>
      </c>
      <c r="U7267" s="102" t="s">
        <v>1696</v>
      </c>
      <c r="V7267" s="186">
        <v>46027</v>
      </c>
      <c r="W7267" s="17" t="s">
        <v>44</v>
      </c>
      <c r="X7267" s="17"/>
      <c r="Y7267" s="68">
        <v>46054</v>
      </c>
      <c r="Z7267" s="17" t="s">
        <v>45</v>
      </c>
      <c r="AA7267" s="17" t="s">
        <v>46</v>
      </c>
      <c r="AB7267" s="17" t="s">
        <v>1697</v>
      </c>
      <c r="AC7267" s="217">
        <v>46048</v>
      </c>
      <c r="AD7267" s="65">
        <v>1773</v>
      </c>
      <c r="AE7267" s="17" t="s">
        <v>74</v>
      </c>
      <c r="AF7267" s="17" t="s">
        <v>560</v>
      </c>
      <c r="AG7267" s="17"/>
      <c r="AH7267" s="17"/>
      <c r="AI7267" s="17"/>
      <c r="AJ7267" s="17"/>
      <c r="AK7267" s="17"/>
      <c r="AL7267" s="17"/>
      <c r="AM7267" s="17"/>
      <c r="AN7267" s="17"/>
      <c r="AO7267" s="17"/>
      <c r="AP7267" s="17"/>
      <c r="AQ7267" s="17"/>
      <c r="AR7267" s="17"/>
    </row>
    <row r="7268" s="25" customFormat="1" hidden="1" spans="1:44">
      <c r="A7268" s="17" t="s">
        <v>34</v>
      </c>
      <c r="B7268" s="19">
        <v>1103</v>
      </c>
      <c r="C7268" s="183">
        <v>46027</v>
      </c>
      <c r="D7268" s="17" t="s">
        <v>52</v>
      </c>
      <c r="E7268" s="17" t="s">
        <v>1574</v>
      </c>
      <c r="F7268" s="17" t="s">
        <v>54</v>
      </c>
      <c r="G7268" s="17"/>
      <c r="H7268" s="19">
        <v>1.2311</v>
      </c>
      <c r="I7268" s="19"/>
      <c r="J7268" s="17" t="s">
        <v>49</v>
      </c>
      <c r="K7268" s="433">
        <v>2200</v>
      </c>
      <c r="L7268" s="434">
        <v>150</v>
      </c>
      <c r="M7268" s="19">
        <v>5800</v>
      </c>
      <c r="N7268" s="19" t="s">
        <v>66</v>
      </c>
      <c r="O7268" s="19" t="s">
        <v>67</v>
      </c>
      <c r="P7268" s="432">
        <v>13200</v>
      </c>
      <c r="Q7268" s="19">
        <v>13936</v>
      </c>
      <c r="R7268" s="19">
        <f t="shared" si="312"/>
        <v>-736</v>
      </c>
      <c r="S7268" s="91">
        <v>825</v>
      </c>
      <c r="T7268" s="19" t="s">
        <v>42</v>
      </c>
      <c r="U7268" s="102" t="s">
        <v>1696</v>
      </c>
      <c r="V7268" s="186">
        <v>46027</v>
      </c>
      <c r="W7268" s="17" t="s">
        <v>44</v>
      </c>
      <c r="X7268" s="17"/>
      <c r="Y7268" s="68">
        <v>46054</v>
      </c>
      <c r="Z7268" s="17" t="s">
        <v>45</v>
      </c>
      <c r="AA7268" s="17" t="s">
        <v>46</v>
      </c>
      <c r="AB7268" s="17" t="s">
        <v>1697</v>
      </c>
      <c r="AC7268" s="217">
        <v>46048</v>
      </c>
      <c r="AD7268" s="65">
        <v>1773</v>
      </c>
      <c r="AE7268" s="17" t="s">
        <v>74</v>
      </c>
      <c r="AF7268" s="17" t="s">
        <v>560</v>
      </c>
      <c r="AG7268" s="17"/>
      <c r="AH7268" s="17"/>
      <c r="AI7268" s="17"/>
      <c r="AJ7268" s="17"/>
      <c r="AK7268" s="17"/>
      <c r="AL7268" s="17"/>
      <c r="AM7268" s="17"/>
      <c r="AN7268" s="17"/>
      <c r="AO7268" s="17"/>
      <c r="AP7268" s="17"/>
      <c r="AQ7268" s="17"/>
      <c r="AR7268" s="17"/>
    </row>
    <row r="7269" s="25" customFormat="1" hidden="1" spans="1:44">
      <c r="A7269" s="17" t="s">
        <v>34</v>
      </c>
      <c r="B7269" s="19">
        <v>1103</v>
      </c>
      <c r="C7269" s="183">
        <v>46027</v>
      </c>
      <c r="D7269" s="17" t="s">
        <v>52</v>
      </c>
      <c r="E7269" s="17" t="s">
        <v>1574</v>
      </c>
      <c r="F7269" s="17" t="s">
        <v>54</v>
      </c>
      <c r="G7269" s="17"/>
      <c r="H7269" s="19">
        <v>1.2738</v>
      </c>
      <c r="I7269" s="19"/>
      <c r="J7269" s="17" t="s">
        <v>49</v>
      </c>
      <c r="K7269" s="432">
        <v>210</v>
      </c>
      <c r="L7269" s="432">
        <v>25</v>
      </c>
      <c r="M7269" s="19">
        <v>2250</v>
      </c>
      <c r="N7269" s="19" t="s">
        <v>66</v>
      </c>
      <c r="O7269" s="19" t="s">
        <v>67</v>
      </c>
      <c r="P7269" s="435">
        <v>464</v>
      </c>
      <c r="Q7269" s="19">
        <v>499</v>
      </c>
      <c r="R7269" s="19">
        <f t="shared" si="312"/>
        <v>-35</v>
      </c>
      <c r="S7269" s="168">
        <v>1050</v>
      </c>
      <c r="T7269" s="19" t="s">
        <v>42</v>
      </c>
      <c r="U7269" s="102" t="s">
        <v>1696</v>
      </c>
      <c r="V7269" s="186">
        <v>46027</v>
      </c>
      <c r="W7269" s="17" t="s">
        <v>44</v>
      </c>
      <c r="X7269" s="17"/>
      <c r="Y7269" s="68">
        <v>46054</v>
      </c>
      <c r="Z7269" s="17" t="s">
        <v>45</v>
      </c>
      <c r="AA7269" s="17" t="s">
        <v>46</v>
      </c>
      <c r="AB7269" s="17" t="s">
        <v>1697</v>
      </c>
      <c r="AC7269" s="217">
        <v>46048</v>
      </c>
      <c r="AD7269" s="65">
        <v>1773</v>
      </c>
      <c r="AE7269" s="17" t="s">
        <v>74</v>
      </c>
      <c r="AF7269" s="17" t="s">
        <v>560</v>
      </c>
      <c r="AG7269" s="17"/>
      <c r="AH7269" s="17"/>
      <c r="AI7269" s="17"/>
      <c r="AJ7269" s="17"/>
      <c r="AK7269" s="17"/>
      <c r="AL7269" s="17"/>
      <c r="AM7269" s="17"/>
      <c r="AN7269" s="17"/>
      <c r="AO7269" s="17"/>
      <c r="AP7269" s="17"/>
      <c r="AQ7269" s="17"/>
      <c r="AR7269" s="17"/>
    </row>
    <row r="7270" s="25" customFormat="1" hidden="1" spans="1:44">
      <c r="A7270" s="17" t="s">
        <v>34</v>
      </c>
      <c r="B7270" s="19">
        <v>1103</v>
      </c>
      <c r="C7270" s="183">
        <v>46027</v>
      </c>
      <c r="D7270" s="17" t="s">
        <v>52</v>
      </c>
      <c r="E7270" s="17" t="s">
        <v>1574</v>
      </c>
      <c r="F7270" s="17" t="s">
        <v>54</v>
      </c>
      <c r="G7270" s="17"/>
      <c r="H7270" s="19">
        <v>1.2738</v>
      </c>
      <c r="I7270" s="19"/>
      <c r="J7270" s="17" t="s">
        <v>49</v>
      </c>
      <c r="K7270" s="432">
        <v>260</v>
      </c>
      <c r="L7270" s="432">
        <v>25</v>
      </c>
      <c r="M7270" s="19">
        <v>2250</v>
      </c>
      <c r="N7270" s="19" t="s">
        <v>66</v>
      </c>
      <c r="O7270" s="19" t="s">
        <v>67</v>
      </c>
      <c r="P7270" s="432">
        <v>459</v>
      </c>
      <c r="Q7270" s="19">
        <v>492</v>
      </c>
      <c r="R7270" s="19">
        <f t="shared" si="312"/>
        <v>-33</v>
      </c>
      <c r="S7270" s="168">
        <v>1050</v>
      </c>
      <c r="T7270" s="19" t="s">
        <v>42</v>
      </c>
      <c r="U7270" s="102" t="s">
        <v>1696</v>
      </c>
      <c r="V7270" s="186">
        <v>46027</v>
      </c>
      <c r="W7270" s="17" t="s">
        <v>44</v>
      </c>
      <c r="X7270" s="17"/>
      <c r="Y7270" s="68">
        <v>46054</v>
      </c>
      <c r="Z7270" s="17" t="s">
        <v>45</v>
      </c>
      <c r="AA7270" s="17" t="s">
        <v>46</v>
      </c>
      <c r="AB7270" s="17" t="s">
        <v>1697</v>
      </c>
      <c r="AC7270" s="217">
        <v>46048</v>
      </c>
      <c r="AD7270" s="65">
        <v>1773</v>
      </c>
      <c r="AE7270" s="17" t="s">
        <v>74</v>
      </c>
      <c r="AF7270" s="17" t="s">
        <v>560</v>
      </c>
      <c r="AG7270" s="17"/>
      <c r="AH7270" s="17"/>
      <c r="AI7270" s="17"/>
      <c r="AJ7270" s="17"/>
      <c r="AK7270" s="17"/>
      <c r="AL7270" s="17"/>
      <c r="AM7270" s="17"/>
      <c r="AN7270" s="17"/>
      <c r="AO7270" s="17"/>
      <c r="AP7270" s="17"/>
      <c r="AQ7270" s="17"/>
      <c r="AR7270" s="17"/>
    </row>
    <row r="7271" s="25" customFormat="1" hidden="1" spans="1:44">
      <c r="A7271" s="17" t="s">
        <v>34</v>
      </c>
      <c r="B7271" s="19">
        <v>1103</v>
      </c>
      <c r="C7271" s="183">
        <v>46027</v>
      </c>
      <c r="D7271" s="17" t="s">
        <v>52</v>
      </c>
      <c r="E7271" s="17" t="s">
        <v>1574</v>
      </c>
      <c r="F7271" s="17" t="s">
        <v>54</v>
      </c>
      <c r="G7271" s="17"/>
      <c r="H7271" s="19">
        <v>1.2738</v>
      </c>
      <c r="I7271" s="19"/>
      <c r="J7271" s="17" t="s">
        <v>49</v>
      </c>
      <c r="K7271" s="432">
        <v>310</v>
      </c>
      <c r="L7271" s="432">
        <v>25</v>
      </c>
      <c r="M7271" s="19">
        <v>2250</v>
      </c>
      <c r="N7271" s="19" t="s">
        <v>66</v>
      </c>
      <c r="O7271" s="19" t="s">
        <v>67</v>
      </c>
      <c r="P7271" s="432">
        <v>548</v>
      </c>
      <c r="Q7271" s="19">
        <v>584</v>
      </c>
      <c r="R7271" s="19">
        <f t="shared" si="312"/>
        <v>-36</v>
      </c>
      <c r="S7271" s="168">
        <v>1020</v>
      </c>
      <c r="T7271" s="19" t="s">
        <v>42</v>
      </c>
      <c r="U7271" s="102" t="s">
        <v>1696</v>
      </c>
      <c r="V7271" s="186">
        <v>46027</v>
      </c>
      <c r="W7271" s="17" t="s">
        <v>44</v>
      </c>
      <c r="X7271" s="17"/>
      <c r="Y7271" s="68">
        <v>46054</v>
      </c>
      <c r="Z7271" s="17" t="s">
        <v>45</v>
      </c>
      <c r="AA7271" s="17" t="s">
        <v>46</v>
      </c>
      <c r="AB7271" s="17" t="s">
        <v>1697</v>
      </c>
      <c r="AC7271" s="217">
        <v>46048</v>
      </c>
      <c r="AD7271" s="65">
        <v>1773</v>
      </c>
      <c r="AE7271" s="17" t="s">
        <v>74</v>
      </c>
      <c r="AF7271" s="17" t="s">
        <v>560</v>
      </c>
      <c r="AG7271" s="17"/>
      <c r="AH7271" s="17"/>
      <c r="AI7271" s="17"/>
      <c r="AJ7271" s="17"/>
      <c r="AK7271" s="17"/>
      <c r="AL7271" s="17"/>
      <c r="AM7271" s="17"/>
      <c r="AN7271" s="17"/>
      <c r="AO7271" s="17"/>
      <c r="AP7271" s="17"/>
      <c r="AQ7271" s="17"/>
      <c r="AR7271" s="17"/>
    </row>
    <row r="7272" s="25" customFormat="1" hidden="1" spans="1:44">
      <c r="A7272" s="17" t="s">
        <v>34</v>
      </c>
      <c r="B7272" s="19">
        <v>1103</v>
      </c>
      <c r="C7272" s="183">
        <v>46027</v>
      </c>
      <c r="D7272" s="17" t="s">
        <v>52</v>
      </c>
      <c r="E7272" s="17" t="s">
        <v>1574</v>
      </c>
      <c r="F7272" s="17" t="s">
        <v>54</v>
      </c>
      <c r="G7272" s="17"/>
      <c r="H7272" s="19">
        <v>1.2738</v>
      </c>
      <c r="I7272" s="19"/>
      <c r="J7272" s="17" t="s">
        <v>49</v>
      </c>
      <c r="K7272" s="432">
        <v>360</v>
      </c>
      <c r="L7272" s="432">
        <v>25</v>
      </c>
      <c r="M7272" s="19">
        <v>2250</v>
      </c>
      <c r="N7272" s="19" t="s">
        <v>66</v>
      </c>
      <c r="O7272" s="19" t="s">
        <v>67</v>
      </c>
      <c r="P7272" s="432">
        <v>477</v>
      </c>
      <c r="Q7272" s="19">
        <v>509</v>
      </c>
      <c r="R7272" s="19">
        <f t="shared" si="312"/>
        <v>-32</v>
      </c>
      <c r="S7272" s="168">
        <v>1020</v>
      </c>
      <c r="T7272" s="19" t="s">
        <v>42</v>
      </c>
      <c r="U7272" s="102" t="s">
        <v>1696</v>
      </c>
      <c r="V7272" s="186">
        <v>46027</v>
      </c>
      <c r="W7272" s="17" t="s">
        <v>44</v>
      </c>
      <c r="X7272" s="17"/>
      <c r="Y7272" s="68">
        <v>46054</v>
      </c>
      <c r="Z7272" s="17" t="s">
        <v>45</v>
      </c>
      <c r="AA7272" s="17" t="s">
        <v>46</v>
      </c>
      <c r="AB7272" s="17" t="s">
        <v>1697</v>
      </c>
      <c r="AC7272" s="217">
        <v>46048</v>
      </c>
      <c r="AD7272" s="65">
        <v>1773</v>
      </c>
      <c r="AE7272" s="17" t="s">
        <v>74</v>
      </c>
      <c r="AF7272" s="17" t="s">
        <v>560</v>
      </c>
      <c r="AG7272" s="17"/>
      <c r="AH7272" s="17"/>
      <c r="AI7272" s="17"/>
      <c r="AJ7272" s="17"/>
      <c r="AK7272" s="17"/>
      <c r="AL7272" s="17"/>
      <c r="AM7272" s="17"/>
      <c r="AN7272" s="17"/>
      <c r="AO7272" s="17"/>
      <c r="AP7272" s="17"/>
      <c r="AQ7272" s="17"/>
      <c r="AR7272" s="17"/>
    </row>
    <row r="7273" s="25" customFormat="1" hidden="1" spans="1:44">
      <c r="A7273" s="17" t="s">
        <v>34</v>
      </c>
      <c r="B7273" s="19">
        <v>1103</v>
      </c>
      <c r="C7273" s="183">
        <v>46027</v>
      </c>
      <c r="D7273" s="17" t="s">
        <v>52</v>
      </c>
      <c r="E7273" s="17" t="s">
        <v>1574</v>
      </c>
      <c r="F7273" s="17" t="s">
        <v>54</v>
      </c>
      <c r="G7273" s="17"/>
      <c r="H7273" s="19">
        <v>1.2738</v>
      </c>
      <c r="I7273" s="19"/>
      <c r="J7273" s="17" t="s">
        <v>49</v>
      </c>
      <c r="K7273" s="432">
        <v>410</v>
      </c>
      <c r="L7273" s="432">
        <v>25</v>
      </c>
      <c r="M7273" s="19">
        <v>2250</v>
      </c>
      <c r="N7273" s="19" t="s">
        <v>66</v>
      </c>
      <c r="O7273" s="19" t="s">
        <v>67</v>
      </c>
      <c r="P7273" s="432">
        <v>543</v>
      </c>
      <c r="Q7273" s="19">
        <v>582</v>
      </c>
      <c r="R7273" s="19">
        <f t="shared" si="312"/>
        <v>-39</v>
      </c>
      <c r="S7273" s="168">
        <v>1020</v>
      </c>
      <c r="T7273" s="19" t="s">
        <v>42</v>
      </c>
      <c r="U7273" s="102" t="s">
        <v>1696</v>
      </c>
      <c r="V7273" s="186">
        <v>46027</v>
      </c>
      <c r="W7273" s="17" t="s">
        <v>44</v>
      </c>
      <c r="X7273" s="17"/>
      <c r="Y7273" s="68">
        <v>46054</v>
      </c>
      <c r="Z7273" s="17" t="s">
        <v>45</v>
      </c>
      <c r="AA7273" s="17" t="s">
        <v>46</v>
      </c>
      <c r="AB7273" s="17" t="s">
        <v>1697</v>
      </c>
      <c r="AC7273" s="217">
        <v>46048</v>
      </c>
      <c r="AD7273" s="65">
        <v>1773</v>
      </c>
      <c r="AE7273" s="17" t="s">
        <v>74</v>
      </c>
      <c r="AF7273" s="17" t="s">
        <v>560</v>
      </c>
      <c r="AG7273" s="17"/>
      <c r="AH7273" s="17"/>
      <c r="AI7273" s="17"/>
      <c r="AJ7273" s="17"/>
      <c r="AK7273" s="17"/>
      <c r="AL7273" s="17"/>
      <c r="AM7273" s="17"/>
      <c r="AN7273" s="17"/>
      <c r="AO7273" s="17"/>
      <c r="AP7273" s="17"/>
      <c r="AQ7273" s="17"/>
      <c r="AR7273" s="17"/>
    </row>
    <row r="7274" s="25" customFormat="1" hidden="1" spans="1:44">
      <c r="A7274" s="17" t="s">
        <v>34</v>
      </c>
      <c r="B7274" s="19">
        <v>1103</v>
      </c>
      <c r="C7274" s="183">
        <v>46027</v>
      </c>
      <c r="D7274" s="17" t="s">
        <v>52</v>
      </c>
      <c r="E7274" s="17" t="s">
        <v>1574</v>
      </c>
      <c r="F7274" s="17" t="s">
        <v>54</v>
      </c>
      <c r="G7274" s="17"/>
      <c r="H7274" s="19">
        <v>1.2738</v>
      </c>
      <c r="I7274" s="19"/>
      <c r="J7274" s="17" t="s">
        <v>49</v>
      </c>
      <c r="K7274" s="432">
        <v>460</v>
      </c>
      <c r="L7274" s="432">
        <v>25</v>
      </c>
      <c r="M7274" s="19">
        <v>2250</v>
      </c>
      <c r="N7274" s="19" t="s">
        <v>66</v>
      </c>
      <c r="O7274" s="19" t="s">
        <v>67</v>
      </c>
      <c r="P7274" s="432">
        <v>406</v>
      </c>
      <c r="Q7274" s="19">
        <v>432</v>
      </c>
      <c r="R7274" s="19">
        <f t="shared" si="312"/>
        <v>-26</v>
      </c>
      <c r="S7274" s="168">
        <v>1020</v>
      </c>
      <c r="T7274" s="19" t="s">
        <v>42</v>
      </c>
      <c r="U7274" s="102" t="s">
        <v>1696</v>
      </c>
      <c r="V7274" s="186">
        <v>46027</v>
      </c>
      <c r="W7274" s="17" t="s">
        <v>44</v>
      </c>
      <c r="X7274" s="17"/>
      <c r="Y7274" s="68">
        <v>46054</v>
      </c>
      <c r="Z7274" s="17" t="s">
        <v>45</v>
      </c>
      <c r="AA7274" s="17" t="s">
        <v>46</v>
      </c>
      <c r="AB7274" s="17" t="s">
        <v>1697</v>
      </c>
      <c r="AC7274" s="217">
        <v>46048</v>
      </c>
      <c r="AD7274" s="65">
        <v>1773</v>
      </c>
      <c r="AE7274" s="17" t="s">
        <v>74</v>
      </c>
      <c r="AF7274" s="17" t="s">
        <v>560</v>
      </c>
      <c r="AG7274" s="17"/>
      <c r="AH7274" s="17"/>
      <c r="AI7274" s="17"/>
      <c r="AJ7274" s="17"/>
      <c r="AK7274" s="17"/>
      <c r="AL7274" s="17"/>
      <c r="AM7274" s="17"/>
      <c r="AN7274" s="17"/>
      <c r="AO7274" s="17"/>
      <c r="AP7274" s="17"/>
      <c r="AQ7274" s="17"/>
      <c r="AR7274" s="17"/>
    </row>
    <row r="7275" s="25" customFormat="1" hidden="1" spans="1:44">
      <c r="A7275" s="17" t="s">
        <v>34</v>
      </c>
      <c r="B7275" s="19">
        <v>1103</v>
      </c>
      <c r="C7275" s="183">
        <v>46027</v>
      </c>
      <c r="D7275" s="17" t="s">
        <v>52</v>
      </c>
      <c r="E7275" s="17" t="s">
        <v>1574</v>
      </c>
      <c r="F7275" s="17" t="s">
        <v>54</v>
      </c>
      <c r="G7275" s="17"/>
      <c r="H7275" s="19">
        <v>1.2738</v>
      </c>
      <c r="I7275" s="19"/>
      <c r="J7275" s="17" t="s">
        <v>49</v>
      </c>
      <c r="K7275" s="432">
        <v>510</v>
      </c>
      <c r="L7275" s="432">
        <v>25</v>
      </c>
      <c r="M7275" s="19">
        <v>2250</v>
      </c>
      <c r="N7275" s="19" t="s">
        <v>66</v>
      </c>
      <c r="O7275" s="19" t="s">
        <v>67</v>
      </c>
      <c r="P7275" s="432">
        <v>450</v>
      </c>
      <c r="Q7275" s="19">
        <v>477</v>
      </c>
      <c r="R7275" s="19">
        <f t="shared" si="312"/>
        <v>-27</v>
      </c>
      <c r="S7275" s="168">
        <v>1020</v>
      </c>
      <c r="T7275" s="19" t="s">
        <v>42</v>
      </c>
      <c r="U7275" s="102" t="s">
        <v>1696</v>
      </c>
      <c r="V7275" s="186">
        <v>46027</v>
      </c>
      <c r="W7275" s="17" t="s">
        <v>44</v>
      </c>
      <c r="X7275" s="17"/>
      <c r="Y7275" s="68">
        <v>46054</v>
      </c>
      <c r="Z7275" s="17" t="s">
        <v>45</v>
      </c>
      <c r="AA7275" s="17" t="s">
        <v>46</v>
      </c>
      <c r="AB7275" s="17" t="s">
        <v>1697</v>
      </c>
      <c r="AC7275" s="217">
        <v>46048</v>
      </c>
      <c r="AD7275" s="65">
        <v>1773</v>
      </c>
      <c r="AE7275" s="17" t="s">
        <v>74</v>
      </c>
      <c r="AF7275" s="17" t="s">
        <v>560</v>
      </c>
      <c r="AG7275" s="17"/>
      <c r="AH7275" s="17"/>
      <c r="AI7275" s="17"/>
      <c r="AJ7275" s="17"/>
      <c r="AK7275" s="17"/>
      <c r="AL7275" s="17"/>
      <c r="AM7275" s="17"/>
      <c r="AN7275" s="17"/>
      <c r="AO7275" s="17"/>
      <c r="AP7275" s="17"/>
      <c r="AQ7275" s="17"/>
      <c r="AR7275" s="17"/>
    </row>
    <row r="7276" s="25" customFormat="1" hidden="1" spans="1:44">
      <c r="A7276" s="17" t="s">
        <v>34</v>
      </c>
      <c r="B7276" s="19">
        <v>1103</v>
      </c>
      <c r="C7276" s="183">
        <v>46027</v>
      </c>
      <c r="D7276" s="17" t="s">
        <v>52</v>
      </c>
      <c r="E7276" s="17" t="s">
        <v>1574</v>
      </c>
      <c r="F7276" s="17" t="s">
        <v>54</v>
      </c>
      <c r="G7276" s="17"/>
      <c r="H7276" s="19">
        <v>1.2738</v>
      </c>
      <c r="I7276" s="19"/>
      <c r="J7276" s="17" t="s">
        <v>49</v>
      </c>
      <c r="K7276" s="432">
        <v>210</v>
      </c>
      <c r="L7276" s="432">
        <v>32</v>
      </c>
      <c r="M7276" s="19">
        <v>2250</v>
      </c>
      <c r="N7276" s="19" t="s">
        <v>66</v>
      </c>
      <c r="O7276" s="19" t="s">
        <v>67</v>
      </c>
      <c r="P7276" s="432">
        <v>475</v>
      </c>
      <c r="Q7276" s="19">
        <v>470</v>
      </c>
      <c r="R7276" s="19">
        <f t="shared" si="312"/>
        <v>5</v>
      </c>
      <c r="S7276" s="168">
        <v>1050</v>
      </c>
      <c r="T7276" s="19" t="s">
        <v>42</v>
      </c>
      <c r="U7276" s="102" t="s">
        <v>1696</v>
      </c>
      <c r="V7276" s="186">
        <v>46027</v>
      </c>
      <c r="W7276" s="17" t="s">
        <v>44</v>
      </c>
      <c r="X7276" s="17"/>
      <c r="Y7276" s="68">
        <v>46054</v>
      </c>
      <c r="Z7276" s="17" t="s">
        <v>45</v>
      </c>
      <c r="AA7276" s="17" t="s">
        <v>46</v>
      </c>
      <c r="AB7276" s="17" t="s">
        <v>1697</v>
      </c>
      <c r="AC7276" s="217">
        <v>46048</v>
      </c>
      <c r="AD7276" s="65">
        <v>1773</v>
      </c>
      <c r="AE7276" s="17" t="s">
        <v>74</v>
      </c>
      <c r="AF7276" s="17" t="s">
        <v>560</v>
      </c>
      <c r="AG7276" s="17"/>
      <c r="AH7276" s="17"/>
      <c r="AI7276" s="17"/>
      <c r="AJ7276" s="17"/>
      <c r="AK7276" s="17"/>
      <c r="AL7276" s="17"/>
      <c r="AM7276" s="17"/>
      <c r="AN7276" s="17"/>
      <c r="AO7276" s="17"/>
      <c r="AP7276" s="17"/>
      <c r="AQ7276" s="17"/>
      <c r="AR7276" s="17"/>
    </row>
    <row r="7277" s="25" customFormat="1" hidden="1" spans="1:44">
      <c r="A7277" s="17" t="s">
        <v>34</v>
      </c>
      <c r="B7277" s="19">
        <v>1103</v>
      </c>
      <c r="C7277" s="183">
        <v>46027</v>
      </c>
      <c r="D7277" s="17" t="s">
        <v>52</v>
      </c>
      <c r="E7277" s="17" t="s">
        <v>1574</v>
      </c>
      <c r="F7277" s="17" t="s">
        <v>54</v>
      </c>
      <c r="G7277" s="17"/>
      <c r="H7277" s="19">
        <v>1.2738</v>
      </c>
      <c r="I7277" s="19"/>
      <c r="J7277" s="17" t="s">
        <v>49</v>
      </c>
      <c r="K7277" s="432">
        <v>260</v>
      </c>
      <c r="L7277" s="432">
        <v>32</v>
      </c>
      <c r="M7277" s="19">
        <v>2250</v>
      </c>
      <c r="N7277" s="19" t="s">
        <v>66</v>
      </c>
      <c r="O7277" s="19" t="s">
        <v>67</v>
      </c>
      <c r="P7277" s="432">
        <v>588</v>
      </c>
      <c r="Q7277" s="19">
        <v>586</v>
      </c>
      <c r="R7277" s="19">
        <f t="shared" si="312"/>
        <v>2</v>
      </c>
      <c r="S7277" s="168">
        <v>1050</v>
      </c>
      <c r="T7277" s="19" t="s">
        <v>42</v>
      </c>
      <c r="U7277" s="102" t="s">
        <v>1696</v>
      </c>
      <c r="V7277" s="186">
        <v>46027</v>
      </c>
      <c r="W7277" s="17" t="s">
        <v>44</v>
      </c>
      <c r="X7277" s="17"/>
      <c r="Y7277" s="68">
        <v>46054</v>
      </c>
      <c r="Z7277" s="17" t="s">
        <v>45</v>
      </c>
      <c r="AA7277" s="17" t="s">
        <v>46</v>
      </c>
      <c r="AB7277" s="17" t="s">
        <v>1697</v>
      </c>
      <c r="AC7277" s="217">
        <v>46048</v>
      </c>
      <c r="AD7277" s="65">
        <v>1773</v>
      </c>
      <c r="AE7277" s="17" t="s">
        <v>74</v>
      </c>
      <c r="AF7277" s="17" t="s">
        <v>560</v>
      </c>
      <c r="AG7277" s="17"/>
      <c r="AH7277" s="17"/>
      <c r="AI7277" s="17"/>
      <c r="AJ7277" s="17"/>
      <c r="AK7277" s="17"/>
      <c r="AL7277" s="17"/>
      <c r="AM7277" s="17"/>
      <c r="AN7277" s="17"/>
      <c r="AO7277" s="17"/>
      <c r="AP7277" s="17"/>
      <c r="AQ7277" s="17"/>
      <c r="AR7277" s="17"/>
    </row>
    <row r="7278" s="25" customFormat="1" hidden="1" spans="1:44">
      <c r="A7278" s="17" t="s">
        <v>34</v>
      </c>
      <c r="B7278" s="19">
        <v>1103</v>
      </c>
      <c r="C7278" s="183">
        <v>46027</v>
      </c>
      <c r="D7278" s="17" t="s">
        <v>52</v>
      </c>
      <c r="E7278" s="17" t="s">
        <v>1574</v>
      </c>
      <c r="F7278" s="17" t="s">
        <v>54</v>
      </c>
      <c r="G7278" s="17"/>
      <c r="H7278" s="19">
        <v>1.2738</v>
      </c>
      <c r="I7278" s="19"/>
      <c r="J7278" s="17" t="s">
        <v>49</v>
      </c>
      <c r="K7278" s="432">
        <v>310</v>
      </c>
      <c r="L7278" s="432">
        <v>32</v>
      </c>
      <c r="M7278" s="19">
        <v>2250</v>
      </c>
      <c r="N7278" s="19" t="s">
        <v>66</v>
      </c>
      <c r="O7278" s="19" t="s">
        <v>67</v>
      </c>
      <c r="P7278" s="432">
        <v>526</v>
      </c>
      <c r="Q7278" s="19">
        <f>174+338</f>
        <v>512</v>
      </c>
      <c r="R7278" s="19">
        <f t="shared" si="312"/>
        <v>14</v>
      </c>
      <c r="S7278" s="91">
        <v>1020</v>
      </c>
      <c r="T7278" s="19" t="s">
        <v>42</v>
      </c>
      <c r="U7278" s="102" t="s">
        <v>1696</v>
      </c>
      <c r="V7278" s="186">
        <v>46027</v>
      </c>
      <c r="W7278" s="17" t="s">
        <v>44</v>
      </c>
      <c r="X7278" s="17"/>
      <c r="Y7278" s="68">
        <v>46054</v>
      </c>
      <c r="Z7278" s="17" t="s">
        <v>45</v>
      </c>
      <c r="AA7278" s="17" t="s">
        <v>46</v>
      </c>
      <c r="AB7278" s="17" t="s">
        <v>1697</v>
      </c>
      <c r="AC7278" s="217">
        <v>46048</v>
      </c>
      <c r="AD7278" s="65">
        <v>1773</v>
      </c>
      <c r="AE7278" s="17" t="s">
        <v>74</v>
      </c>
      <c r="AF7278" s="17" t="s">
        <v>560</v>
      </c>
      <c r="AG7278" s="17"/>
      <c r="AH7278" s="17"/>
      <c r="AI7278" s="17"/>
      <c r="AJ7278" s="17"/>
      <c r="AK7278" s="17"/>
      <c r="AL7278" s="17"/>
      <c r="AM7278" s="17"/>
      <c r="AN7278" s="17"/>
      <c r="AO7278" s="17"/>
      <c r="AP7278" s="17"/>
      <c r="AQ7278" s="17"/>
      <c r="AR7278" s="17"/>
    </row>
    <row r="7279" s="25" customFormat="1" hidden="1" spans="1:44">
      <c r="A7279" s="17" t="s">
        <v>34</v>
      </c>
      <c r="B7279" s="19">
        <v>1103</v>
      </c>
      <c r="C7279" s="183">
        <v>46027</v>
      </c>
      <c r="D7279" s="17" t="s">
        <v>52</v>
      </c>
      <c r="E7279" s="17" t="s">
        <v>1574</v>
      </c>
      <c r="F7279" s="17" t="s">
        <v>54</v>
      </c>
      <c r="G7279" s="17"/>
      <c r="H7279" s="19">
        <v>1.2738</v>
      </c>
      <c r="I7279" s="19"/>
      <c r="J7279" s="17" t="s">
        <v>49</v>
      </c>
      <c r="K7279" s="432">
        <v>360</v>
      </c>
      <c r="L7279" s="432">
        <v>32</v>
      </c>
      <c r="M7279" s="19">
        <v>2250</v>
      </c>
      <c r="N7279" s="19" t="s">
        <v>66</v>
      </c>
      <c r="O7279" s="19" t="s">
        <v>67</v>
      </c>
      <c r="P7279" s="432">
        <v>610</v>
      </c>
      <c r="Q7279" s="19">
        <v>588</v>
      </c>
      <c r="R7279" s="19">
        <f t="shared" si="312"/>
        <v>22</v>
      </c>
      <c r="S7279" s="91">
        <v>1020</v>
      </c>
      <c r="T7279" s="19" t="s">
        <v>42</v>
      </c>
      <c r="U7279" s="102" t="s">
        <v>1696</v>
      </c>
      <c r="V7279" s="186">
        <v>46027</v>
      </c>
      <c r="W7279" s="17" t="s">
        <v>44</v>
      </c>
      <c r="X7279" s="17"/>
      <c r="Y7279" s="68">
        <v>46054</v>
      </c>
      <c r="Z7279" s="17" t="s">
        <v>45</v>
      </c>
      <c r="AA7279" s="17" t="s">
        <v>46</v>
      </c>
      <c r="AB7279" s="17" t="s">
        <v>1697</v>
      </c>
      <c r="AC7279" s="217">
        <v>46048</v>
      </c>
      <c r="AD7279" s="65">
        <v>1773</v>
      </c>
      <c r="AE7279" s="17" t="s">
        <v>74</v>
      </c>
      <c r="AF7279" s="17" t="s">
        <v>560</v>
      </c>
      <c r="AG7279" s="17"/>
      <c r="AH7279" s="17"/>
      <c r="AI7279" s="17"/>
      <c r="AJ7279" s="17"/>
      <c r="AK7279" s="17"/>
      <c r="AL7279" s="17"/>
      <c r="AM7279" s="17"/>
      <c r="AN7279" s="17"/>
      <c r="AO7279" s="17"/>
      <c r="AP7279" s="17"/>
      <c r="AQ7279" s="17"/>
      <c r="AR7279" s="17"/>
    </row>
    <row r="7280" s="25" customFormat="1" hidden="1" spans="1:44">
      <c r="A7280" s="17" t="s">
        <v>34</v>
      </c>
      <c r="B7280" s="19">
        <v>1103</v>
      </c>
      <c r="C7280" s="183">
        <v>46027</v>
      </c>
      <c r="D7280" s="17" t="s">
        <v>52</v>
      </c>
      <c r="E7280" s="17" t="s">
        <v>1574</v>
      </c>
      <c r="F7280" s="17" t="s">
        <v>54</v>
      </c>
      <c r="G7280" s="17"/>
      <c r="H7280" s="19">
        <v>1.2738</v>
      </c>
      <c r="I7280" s="19"/>
      <c r="J7280" s="17" t="s">
        <v>49</v>
      </c>
      <c r="K7280" s="432">
        <v>410</v>
      </c>
      <c r="L7280" s="432">
        <v>32</v>
      </c>
      <c r="M7280" s="19">
        <v>2250</v>
      </c>
      <c r="N7280" s="19" t="s">
        <v>66</v>
      </c>
      <c r="O7280" s="19" t="s">
        <v>67</v>
      </c>
      <c r="P7280" s="432">
        <v>463</v>
      </c>
      <c r="Q7280" s="19">
        <v>444</v>
      </c>
      <c r="R7280" s="19">
        <f t="shared" si="312"/>
        <v>19</v>
      </c>
      <c r="S7280" s="91">
        <v>1020</v>
      </c>
      <c r="T7280" s="19" t="s">
        <v>42</v>
      </c>
      <c r="U7280" s="102" t="s">
        <v>1696</v>
      </c>
      <c r="V7280" s="186">
        <v>46027</v>
      </c>
      <c r="W7280" s="17" t="s">
        <v>44</v>
      </c>
      <c r="X7280" s="17"/>
      <c r="Y7280" s="68">
        <v>46054</v>
      </c>
      <c r="Z7280" s="17" t="s">
        <v>45</v>
      </c>
      <c r="AA7280" s="17" t="s">
        <v>46</v>
      </c>
      <c r="AB7280" s="17" t="s">
        <v>1697</v>
      </c>
      <c r="AC7280" s="217">
        <v>46048</v>
      </c>
      <c r="AD7280" s="65">
        <v>1773</v>
      </c>
      <c r="AE7280" s="17" t="s">
        <v>74</v>
      </c>
      <c r="AF7280" s="17" t="s">
        <v>560</v>
      </c>
      <c r="AG7280" s="17"/>
      <c r="AH7280" s="17"/>
      <c r="AI7280" s="17"/>
      <c r="AJ7280" s="17"/>
      <c r="AK7280" s="17"/>
      <c r="AL7280" s="17"/>
      <c r="AM7280" s="17"/>
      <c r="AN7280" s="17"/>
      <c r="AO7280" s="17"/>
      <c r="AP7280" s="17"/>
      <c r="AQ7280" s="17"/>
      <c r="AR7280" s="17"/>
    </row>
    <row r="7281" s="25" customFormat="1" hidden="1" spans="1:44">
      <c r="A7281" s="17" t="s">
        <v>34</v>
      </c>
      <c r="B7281" s="19">
        <v>1103</v>
      </c>
      <c r="C7281" s="183">
        <v>46027</v>
      </c>
      <c r="D7281" s="17" t="s">
        <v>52</v>
      </c>
      <c r="E7281" s="17" t="s">
        <v>1574</v>
      </c>
      <c r="F7281" s="17" t="s">
        <v>54</v>
      </c>
      <c r="G7281" s="17"/>
      <c r="H7281" s="19">
        <v>1.2738</v>
      </c>
      <c r="I7281" s="19"/>
      <c r="J7281" s="17" t="s">
        <v>49</v>
      </c>
      <c r="K7281" s="432">
        <v>460</v>
      </c>
      <c r="L7281" s="432">
        <v>32</v>
      </c>
      <c r="M7281" s="19">
        <v>2250</v>
      </c>
      <c r="N7281" s="19" t="s">
        <v>66</v>
      </c>
      <c r="O7281" s="19" t="s">
        <v>67</v>
      </c>
      <c r="P7281" s="432">
        <v>520</v>
      </c>
      <c r="Q7281" s="19">
        <v>499</v>
      </c>
      <c r="R7281" s="19">
        <f t="shared" si="312"/>
        <v>21</v>
      </c>
      <c r="S7281" s="91">
        <v>1020</v>
      </c>
      <c r="T7281" s="19" t="s">
        <v>42</v>
      </c>
      <c r="U7281" s="102" t="s">
        <v>1696</v>
      </c>
      <c r="V7281" s="186">
        <v>46027</v>
      </c>
      <c r="W7281" s="17" t="s">
        <v>44</v>
      </c>
      <c r="X7281" s="17"/>
      <c r="Y7281" s="68">
        <v>46054</v>
      </c>
      <c r="Z7281" s="17" t="s">
        <v>45</v>
      </c>
      <c r="AA7281" s="17" t="s">
        <v>46</v>
      </c>
      <c r="AB7281" s="17" t="s">
        <v>1697</v>
      </c>
      <c r="AC7281" s="217">
        <v>46048</v>
      </c>
      <c r="AD7281" s="65">
        <v>1773</v>
      </c>
      <c r="AE7281" s="17" t="s">
        <v>74</v>
      </c>
      <c r="AF7281" s="17" t="s">
        <v>560</v>
      </c>
      <c r="AG7281" s="17"/>
      <c r="AH7281" s="17"/>
      <c r="AI7281" s="17"/>
      <c r="AJ7281" s="17"/>
      <c r="AK7281" s="17"/>
      <c r="AL7281" s="17"/>
      <c r="AM7281" s="17"/>
      <c r="AN7281" s="17"/>
      <c r="AO7281" s="17"/>
      <c r="AP7281" s="17"/>
      <c r="AQ7281" s="17"/>
      <c r="AR7281" s="17"/>
    </row>
    <row r="7282" s="25" customFormat="1" hidden="1" spans="1:44">
      <c r="A7282" s="17" t="s">
        <v>34</v>
      </c>
      <c r="B7282" s="19">
        <v>1103</v>
      </c>
      <c r="C7282" s="183">
        <v>46027</v>
      </c>
      <c r="D7282" s="17" t="s">
        <v>52</v>
      </c>
      <c r="E7282" s="17" t="s">
        <v>1574</v>
      </c>
      <c r="F7282" s="17" t="s">
        <v>54</v>
      </c>
      <c r="G7282" s="17"/>
      <c r="H7282" s="19">
        <v>1.2738</v>
      </c>
      <c r="I7282" s="19"/>
      <c r="J7282" s="17" t="s">
        <v>49</v>
      </c>
      <c r="K7282" s="432">
        <v>510</v>
      </c>
      <c r="L7282" s="432">
        <v>32</v>
      </c>
      <c r="M7282" s="19">
        <v>2250</v>
      </c>
      <c r="N7282" s="19" t="s">
        <v>66</v>
      </c>
      <c r="O7282" s="19" t="s">
        <v>67</v>
      </c>
      <c r="P7282" s="432">
        <v>577</v>
      </c>
      <c r="Q7282" s="19">
        <v>552</v>
      </c>
      <c r="R7282" s="19">
        <f t="shared" si="312"/>
        <v>25</v>
      </c>
      <c r="S7282" s="91">
        <v>1020</v>
      </c>
      <c r="T7282" s="19" t="s">
        <v>42</v>
      </c>
      <c r="U7282" s="102" t="s">
        <v>1696</v>
      </c>
      <c r="V7282" s="186">
        <v>46027</v>
      </c>
      <c r="W7282" s="17" t="s">
        <v>44</v>
      </c>
      <c r="X7282" s="17"/>
      <c r="Y7282" s="68">
        <v>46054</v>
      </c>
      <c r="Z7282" s="17" t="s">
        <v>45</v>
      </c>
      <c r="AA7282" s="17" t="s">
        <v>46</v>
      </c>
      <c r="AB7282" s="17" t="s">
        <v>1697</v>
      </c>
      <c r="AC7282" s="217">
        <v>46048</v>
      </c>
      <c r="AD7282" s="65">
        <v>1773</v>
      </c>
      <c r="AE7282" s="17" t="s">
        <v>74</v>
      </c>
      <c r="AF7282" s="17" t="s">
        <v>560</v>
      </c>
      <c r="AG7282" s="17"/>
      <c r="AH7282" s="17"/>
      <c r="AI7282" s="17"/>
      <c r="AJ7282" s="17"/>
      <c r="AK7282" s="17"/>
      <c r="AL7282" s="17"/>
      <c r="AM7282" s="17"/>
      <c r="AN7282" s="17"/>
      <c r="AO7282" s="17"/>
      <c r="AP7282" s="17"/>
      <c r="AQ7282" s="17"/>
      <c r="AR7282" s="17"/>
    </row>
    <row r="7283" s="25" customFormat="1" hidden="1" spans="1:44">
      <c r="A7283" s="17" t="s">
        <v>34</v>
      </c>
      <c r="B7283" s="19">
        <v>1103</v>
      </c>
      <c r="C7283" s="183">
        <v>46027</v>
      </c>
      <c r="D7283" s="17" t="s">
        <v>52</v>
      </c>
      <c r="E7283" s="17" t="s">
        <v>1574</v>
      </c>
      <c r="F7283" s="17" t="s">
        <v>54</v>
      </c>
      <c r="G7283" s="17"/>
      <c r="H7283" s="19">
        <v>1.2738</v>
      </c>
      <c r="I7283" s="19"/>
      <c r="J7283" s="17" t="s">
        <v>49</v>
      </c>
      <c r="K7283" s="432">
        <v>210</v>
      </c>
      <c r="L7283" s="432">
        <v>36</v>
      </c>
      <c r="M7283" s="19">
        <v>2250</v>
      </c>
      <c r="N7283" s="19" t="s">
        <v>66</v>
      </c>
      <c r="O7283" s="19" t="s">
        <v>67</v>
      </c>
      <c r="P7283" s="432">
        <v>534</v>
      </c>
      <c r="Q7283" s="19">
        <v>553</v>
      </c>
      <c r="R7283" s="19">
        <f t="shared" si="312"/>
        <v>-19</v>
      </c>
      <c r="S7283" s="91">
        <v>1050</v>
      </c>
      <c r="T7283" s="19" t="s">
        <v>42</v>
      </c>
      <c r="U7283" s="102" t="s">
        <v>1696</v>
      </c>
      <c r="V7283" s="186">
        <v>46027</v>
      </c>
      <c r="W7283" s="17" t="s">
        <v>44</v>
      </c>
      <c r="X7283" s="17"/>
      <c r="Y7283" s="68">
        <v>46054</v>
      </c>
      <c r="Z7283" s="17" t="s">
        <v>45</v>
      </c>
      <c r="AA7283" s="17" t="s">
        <v>46</v>
      </c>
      <c r="AB7283" s="17" t="s">
        <v>1697</v>
      </c>
      <c r="AC7283" s="217">
        <v>46048</v>
      </c>
      <c r="AD7283" s="65">
        <v>1773</v>
      </c>
      <c r="AE7283" s="17" t="s">
        <v>74</v>
      </c>
      <c r="AF7283" s="17" t="s">
        <v>560</v>
      </c>
      <c r="AG7283" s="17"/>
      <c r="AH7283" s="17"/>
      <c r="AI7283" s="17"/>
      <c r="AJ7283" s="17"/>
      <c r="AK7283" s="17"/>
      <c r="AL7283" s="17"/>
      <c r="AM7283" s="17"/>
      <c r="AN7283" s="17"/>
      <c r="AO7283" s="17"/>
      <c r="AP7283" s="17"/>
      <c r="AQ7283" s="17"/>
      <c r="AR7283" s="17"/>
    </row>
    <row r="7284" s="25" customFormat="1" hidden="1" spans="1:44">
      <c r="A7284" s="17" t="s">
        <v>34</v>
      </c>
      <c r="B7284" s="19">
        <v>1103</v>
      </c>
      <c r="C7284" s="183">
        <v>46027</v>
      </c>
      <c r="D7284" s="17" t="s">
        <v>52</v>
      </c>
      <c r="E7284" s="17" t="s">
        <v>1574</v>
      </c>
      <c r="F7284" s="17" t="s">
        <v>54</v>
      </c>
      <c r="G7284" s="17"/>
      <c r="H7284" s="19">
        <v>1.2738</v>
      </c>
      <c r="I7284" s="19"/>
      <c r="J7284" s="17" t="s">
        <v>49</v>
      </c>
      <c r="K7284" s="432">
        <v>260</v>
      </c>
      <c r="L7284" s="432">
        <v>36</v>
      </c>
      <c r="M7284" s="19">
        <v>2250</v>
      </c>
      <c r="N7284" s="19" t="s">
        <v>66</v>
      </c>
      <c r="O7284" s="19" t="s">
        <v>67</v>
      </c>
      <c r="P7284" s="432">
        <v>496</v>
      </c>
      <c r="Q7284" s="19">
        <v>515</v>
      </c>
      <c r="R7284" s="19">
        <f t="shared" si="312"/>
        <v>-19</v>
      </c>
      <c r="S7284" s="91">
        <v>1050</v>
      </c>
      <c r="T7284" s="19" t="s">
        <v>42</v>
      </c>
      <c r="U7284" s="102" t="s">
        <v>1696</v>
      </c>
      <c r="V7284" s="186">
        <v>46027</v>
      </c>
      <c r="W7284" s="17" t="s">
        <v>44</v>
      </c>
      <c r="X7284" s="17"/>
      <c r="Y7284" s="68">
        <v>46054</v>
      </c>
      <c r="Z7284" s="17" t="s">
        <v>45</v>
      </c>
      <c r="AA7284" s="17" t="s">
        <v>46</v>
      </c>
      <c r="AB7284" s="17" t="s">
        <v>1697</v>
      </c>
      <c r="AC7284" s="217">
        <v>46048</v>
      </c>
      <c r="AD7284" s="65">
        <v>1773</v>
      </c>
      <c r="AE7284" s="17" t="s">
        <v>74</v>
      </c>
      <c r="AF7284" s="17" t="s">
        <v>560</v>
      </c>
      <c r="AG7284" s="17"/>
      <c r="AH7284" s="17"/>
      <c r="AI7284" s="17"/>
      <c r="AJ7284" s="17"/>
      <c r="AK7284" s="17"/>
      <c r="AL7284" s="17"/>
      <c r="AM7284" s="17"/>
      <c r="AN7284" s="17"/>
      <c r="AO7284" s="17"/>
      <c r="AP7284" s="17"/>
      <c r="AQ7284" s="17"/>
      <c r="AR7284" s="17"/>
    </row>
    <row r="7285" s="25" customFormat="1" hidden="1" spans="1:44">
      <c r="A7285" s="17" t="s">
        <v>34</v>
      </c>
      <c r="B7285" s="19">
        <v>1103</v>
      </c>
      <c r="C7285" s="183">
        <v>46027</v>
      </c>
      <c r="D7285" s="17" t="s">
        <v>52</v>
      </c>
      <c r="E7285" s="17" t="s">
        <v>1574</v>
      </c>
      <c r="F7285" s="17" t="s">
        <v>54</v>
      </c>
      <c r="G7285" s="17"/>
      <c r="H7285" s="19">
        <v>1.2738</v>
      </c>
      <c r="I7285" s="19"/>
      <c r="J7285" s="17" t="s">
        <v>49</v>
      </c>
      <c r="K7285" s="432">
        <v>310</v>
      </c>
      <c r="L7285" s="432">
        <v>36</v>
      </c>
      <c r="M7285" s="19">
        <v>2250</v>
      </c>
      <c r="N7285" s="19" t="s">
        <v>66</v>
      </c>
      <c r="O7285" s="19" t="s">
        <v>67</v>
      </c>
      <c r="P7285" s="432">
        <v>591</v>
      </c>
      <c r="Q7285" s="19">
        <v>590</v>
      </c>
      <c r="R7285" s="19">
        <f t="shared" si="312"/>
        <v>1</v>
      </c>
      <c r="S7285" s="91">
        <v>1020</v>
      </c>
      <c r="T7285" s="19" t="s">
        <v>42</v>
      </c>
      <c r="U7285" s="102" t="s">
        <v>1696</v>
      </c>
      <c r="V7285" s="186">
        <v>46027</v>
      </c>
      <c r="W7285" s="17" t="s">
        <v>44</v>
      </c>
      <c r="X7285" s="17"/>
      <c r="Y7285" s="68">
        <v>46054</v>
      </c>
      <c r="Z7285" s="17" t="s">
        <v>45</v>
      </c>
      <c r="AA7285" s="17" t="s">
        <v>46</v>
      </c>
      <c r="AB7285" s="17" t="s">
        <v>1697</v>
      </c>
      <c r="AC7285" s="217">
        <v>46048</v>
      </c>
      <c r="AD7285" s="65">
        <v>1773</v>
      </c>
      <c r="AE7285" s="17" t="s">
        <v>74</v>
      </c>
      <c r="AF7285" s="17" t="s">
        <v>560</v>
      </c>
      <c r="AG7285" s="17"/>
      <c r="AH7285" s="17"/>
      <c r="AI7285" s="17"/>
      <c r="AJ7285" s="17"/>
      <c r="AK7285" s="17"/>
      <c r="AL7285" s="17"/>
      <c r="AM7285" s="17"/>
      <c r="AN7285" s="17"/>
      <c r="AO7285" s="17"/>
      <c r="AP7285" s="17"/>
      <c r="AQ7285" s="17"/>
      <c r="AR7285" s="17"/>
    </row>
    <row r="7286" s="25" customFormat="1" hidden="1" spans="1:44">
      <c r="A7286" s="17" t="s">
        <v>34</v>
      </c>
      <c r="B7286" s="19">
        <v>1103</v>
      </c>
      <c r="C7286" s="183">
        <v>46027</v>
      </c>
      <c r="D7286" s="17" t="s">
        <v>52</v>
      </c>
      <c r="E7286" s="17" t="s">
        <v>1574</v>
      </c>
      <c r="F7286" s="17" t="s">
        <v>54</v>
      </c>
      <c r="G7286" s="17"/>
      <c r="H7286" s="19">
        <v>1.2738</v>
      </c>
      <c r="I7286" s="19"/>
      <c r="J7286" s="17" t="s">
        <v>49</v>
      </c>
      <c r="K7286" s="432">
        <v>360</v>
      </c>
      <c r="L7286" s="432">
        <v>36</v>
      </c>
      <c r="M7286" s="19">
        <v>2250</v>
      </c>
      <c r="N7286" s="19" t="s">
        <v>66</v>
      </c>
      <c r="O7286" s="19" t="s">
        <v>67</v>
      </c>
      <c r="P7286" s="432">
        <v>458</v>
      </c>
      <c r="Q7286" s="19">
        <v>479</v>
      </c>
      <c r="R7286" s="19">
        <f t="shared" ref="R7286:R7293" si="313">+P7286-Q7286</f>
        <v>-21</v>
      </c>
      <c r="S7286" s="91">
        <v>1020</v>
      </c>
      <c r="T7286" s="19" t="s">
        <v>42</v>
      </c>
      <c r="U7286" s="102" t="s">
        <v>1696</v>
      </c>
      <c r="V7286" s="186">
        <v>46027</v>
      </c>
      <c r="W7286" s="17" t="s">
        <v>44</v>
      </c>
      <c r="X7286" s="17"/>
      <c r="Y7286" s="68">
        <v>46054</v>
      </c>
      <c r="Z7286" s="17" t="s">
        <v>45</v>
      </c>
      <c r="AA7286" s="17" t="s">
        <v>46</v>
      </c>
      <c r="AB7286" s="17" t="s">
        <v>1697</v>
      </c>
      <c r="AC7286" s="217">
        <v>46048</v>
      </c>
      <c r="AD7286" s="65">
        <v>1773</v>
      </c>
      <c r="AE7286" s="17" t="s">
        <v>74</v>
      </c>
      <c r="AF7286" s="17" t="s">
        <v>560</v>
      </c>
      <c r="AG7286" s="17"/>
      <c r="AH7286" s="17"/>
      <c r="AI7286" s="17"/>
      <c r="AJ7286" s="17"/>
      <c r="AK7286" s="17"/>
      <c r="AL7286" s="17"/>
      <c r="AM7286" s="17"/>
      <c r="AN7286" s="17"/>
      <c r="AO7286" s="17"/>
      <c r="AP7286" s="17"/>
      <c r="AQ7286" s="17"/>
      <c r="AR7286" s="17"/>
    </row>
    <row r="7287" s="25" customFormat="1" hidden="1" spans="1:44">
      <c r="A7287" s="17" t="s">
        <v>34</v>
      </c>
      <c r="B7287" s="19">
        <v>1103</v>
      </c>
      <c r="C7287" s="183">
        <v>46027</v>
      </c>
      <c r="D7287" s="17" t="s">
        <v>52</v>
      </c>
      <c r="E7287" s="17" t="s">
        <v>1574</v>
      </c>
      <c r="F7287" s="17" t="s">
        <v>54</v>
      </c>
      <c r="G7287" s="17"/>
      <c r="H7287" s="19">
        <v>1.2738</v>
      </c>
      <c r="I7287" s="19"/>
      <c r="J7287" s="17" t="s">
        <v>49</v>
      </c>
      <c r="K7287" s="432">
        <v>410</v>
      </c>
      <c r="L7287" s="432">
        <v>36</v>
      </c>
      <c r="M7287" s="19">
        <v>2250</v>
      </c>
      <c r="N7287" s="19" t="s">
        <v>66</v>
      </c>
      <c r="O7287" s="19" t="s">
        <v>67</v>
      </c>
      <c r="P7287" s="432">
        <v>521</v>
      </c>
      <c r="Q7287" s="19">
        <f>270+258</f>
        <v>528</v>
      </c>
      <c r="R7287" s="19">
        <f t="shared" si="313"/>
        <v>-7</v>
      </c>
      <c r="S7287" s="91">
        <v>1020</v>
      </c>
      <c r="T7287" s="19" t="s">
        <v>42</v>
      </c>
      <c r="U7287" s="102" t="s">
        <v>1696</v>
      </c>
      <c r="V7287" s="186">
        <v>46027</v>
      </c>
      <c r="W7287" s="17" t="s">
        <v>44</v>
      </c>
      <c r="X7287" s="17"/>
      <c r="Y7287" s="68">
        <v>46054</v>
      </c>
      <c r="Z7287" s="17" t="s">
        <v>45</v>
      </c>
      <c r="AA7287" s="17" t="s">
        <v>46</v>
      </c>
      <c r="AB7287" s="17" t="s">
        <v>1697</v>
      </c>
      <c r="AC7287" s="217">
        <v>46048</v>
      </c>
      <c r="AD7287" s="65">
        <v>1773</v>
      </c>
      <c r="AE7287" s="17" t="s">
        <v>74</v>
      </c>
      <c r="AF7287" s="17" t="s">
        <v>560</v>
      </c>
      <c r="AG7287" s="17"/>
      <c r="AH7287" s="17"/>
      <c r="AI7287" s="17"/>
      <c r="AJ7287" s="17"/>
      <c r="AK7287" s="17"/>
      <c r="AL7287" s="17"/>
      <c r="AM7287" s="17"/>
      <c r="AN7287" s="17"/>
      <c r="AO7287" s="17"/>
      <c r="AP7287" s="17"/>
      <c r="AQ7287" s="17"/>
      <c r="AR7287" s="17"/>
    </row>
    <row r="7288" s="25" customFormat="1" hidden="1" spans="1:44">
      <c r="A7288" s="17" t="s">
        <v>34</v>
      </c>
      <c r="B7288" s="19">
        <v>1103</v>
      </c>
      <c r="C7288" s="183">
        <v>46027</v>
      </c>
      <c r="D7288" s="17" t="s">
        <v>52</v>
      </c>
      <c r="E7288" s="17" t="s">
        <v>1574</v>
      </c>
      <c r="F7288" s="17" t="s">
        <v>54</v>
      </c>
      <c r="G7288" s="17"/>
      <c r="H7288" s="19">
        <v>1.2738</v>
      </c>
      <c r="I7288" s="19"/>
      <c r="J7288" s="17" t="s">
        <v>49</v>
      </c>
      <c r="K7288" s="432">
        <v>460</v>
      </c>
      <c r="L7288" s="432">
        <v>36</v>
      </c>
      <c r="M7288" s="19">
        <v>2250</v>
      </c>
      <c r="N7288" s="19" t="s">
        <v>66</v>
      </c>
      <c r="O7288" s="19" t="s">
        <v>67</v>
      </c>
      <c r="P7288" s="432">
        <v>585</v>
      </c>
      <c r="Q7288" s="19">
        <v>583</v>
      </c>
      <c r="R7288" s="19">
        <f t="shared" si="313"/>
        <v>2</v>
      </c>
      <c r="S7288" s="91">
        <v>1020</v>
      </c>
      <c r="T7288" s="19" t="s">
        <v>42</v>
      </c>
      <c r="U7288" s="102" t="s">
        <v>1696</v>
      </c>
      <c r="V7288" s="186">
        <v>46027</v>
      </c>
      <c r="W7288" s="17" t="s">
        <v>44</v>
      </c>
      <c r="X7288" s="17"/>
      <c r="Y7288" s="68">
        <v>46054</v>
      </c>
      <c r="Z7288" s="17" t="s">
        <v>45</v>
      </c>
      <c r="AA7288" s="17" t="s">
        <v>46</v>
      </c>
      <c r="AB7288" s="17" t="s">
        <v>1697</v>
      </c>
      <c r="AC7288" s="217">
        <v>46048</v>
      </c>
      <c r="AD7288" s="65">
        <v>1773</v>
      </c>
      <c r="AE7288" s="17" t="s">
        <v>74</v>
      </c>
      <c r="AF7288" s="17" t="s">
        <v>560</v>
      </c>
      <c r="AG7288" s="17"/>
      <c r="AH7288" s="17"/>
      <c r="AI7288" s="17"/>
      <c r="AJ7288" s="17"/>
      <c r="AK7288" s="17"/>
      <c r="AL7288" s="17"/>
      <c r="AM7288" s="17"/>
      <c r="AN7288" s="17"/>
      <c r="AO7288" s="17"/>
      <c r="AP7288" s="17"/>
      <c r="AQ7288" s="17"/>
      <c r="AR7288" s="17"/>
    </row>
    <row r="7289" s="25" customFormat="1" hidden="1" spans="1:44">
      <c r="A7289" s="17" t="s">
        <v>34</v>
      </c>
      <c r="B7289" s="19">
        <v>1103</v>
      </c>
      <c r="C7289" s="183">
        <v>46027</v>
      </c>
      <c r="D7289" s="17" t="s">
        <v>52</v>
      </c>
      <c r="E7289" s="17" t="s">
        <v>1574</v>
      </c>
      <c r="F7289" s="17" t="s">
        <v>54</v>
      </c>
      <c r="G7289" s="17"/>
      <c r="H7289" s="19">
        <v>1.2738</v>
      </c>
      <c r="I7289" s="19"/>
      <c r="J7289" s="17" t="s">
        <v>49</v>
      </c>
      <c r="K7289" s="432">
        <v>510</v>
      </c>
      <c r="L7289" s="432">
        <v>36</v>
      </c>
      <c r="M7289" s="19">
        <v>2250</v>
      </c>
      <c r="N7289" s="19" t="s">
        <v>66</v>
      </c>
      <c r="O7289" s="19" t="s">
        <v>67</v>
      </c>
      <c r="P7289" s="432">
        <v>649</v>
      </c>
      <c r="Q7289" s="19">
        <v>643</v>
      </c>
      <c r="R7289" s="19">
        <f t="shared" si="313"/>
        <v>6</v>
      </c>
      <c r="S7289" s="91">
        <v>1020</v>
      </c>
      <c r="T7289" s="19" t="s">
        <v>42</v>
      </c>
      <c r="U7289" s="102" t="s">
        <v>1696</v>
      </c>
      <c r="V7289" s="186">
        <v>46027</v>
      </c>
      <c r="W7289" s="17" t="s">
        <v>44</v>
      </c>
      <c r="X7289" s="17"/>
      <c r="Y7289" s="68">
        <v>46054</v>
      </c>
      <c r="Z7289" s="17" t="s">
        <v>45</v>
      </c>
      <c r="AA7289" s="17" t="s">
        <v>46</v>
      </c>
      <c r="AB7289" s="17" t="s">
        <v>1697</v>
      </c>
      <c r="AC7289" s="217">
        <v>46048</v>
      </c>
      <c r="AD7289" s="65">
        <v>1773</v>
      </c>
      <c r="AE7289" s="17" t="s">
        <v>74</v>
      </c>
      <c r="AF7289" s="17" t="s">
        <v>560</v>
      </c>
      <c r="AG7289" s="17"/>
      <c r="AH7289" s="17"/>
      <c r="AI7289" s="17"/>
      <c r="AJ7289" s="17"/>
      <c r="AK7289" s="17"/>
      <c r="AL7289" s="17"/>
      <c r="AM7289" s="17"/>
      <c r="AN7289" s="17"/>
      <c r="AO7289" s="17"/>
      <c r="AP7289" s="17"/>
      <c r="AQ7289" s="17"/>
      <c r="AR7289" s="17"/>
    </row>
    <row r="7290" s="25" customFormat="1" hidden="1" spans="1:44">
      <c r="A7290" s="17" t="s">
        <v>34</v>
      </c>
      <c r="B7290" s="19">
        <v>1103</v>
      </c>
      <c r="C7290" s="183">
        <v>46027</v>
      </c>
      <c r="D7290" s="17" t="s">
        <v>52</v>
      </c>
      <c r="E7290" s="17" t="s">
        <v>1574</v>
      </c>
      <c r="F7290" s="17" t="s">
        <v>54</v>
      </c>
      <c r="G7290" s="17"/>
      <c r="H7290" s="19">
        <v>1.2738</v>
      </c>
      <c r="I7290" s="19"/>
      <c r="J7290" s="17" t="s">
        <v>49</v>
      </c>
      <c r="K7290" s="432">
        <v>2200</v>
      </c>
      <c r="L7290" s="432">
        <v>40</v>
      </c>
      <c r="M7290" s="19">
        <v>5800</v>
      </c>
      <c r="N7290" s="19" t="s">
        <v>66</v>
      </c>
      <c r="O7290" s="19" t="s">
        <v>67</v>
      </c>
      <c r="P7290" s="432">
        <v>3520</v>
      </c>
      <c r="Q7290" s="19">
        <v>2700</v>
      </c>
      <c r="R7290" s="19">
        <f t="shared" si="313"/>
        <v>820</v>
      </c>
      <c r="S7290" s="91">
        <v>1010</v>
      </c>
      <c r="T7290" s="19" t="s">
        <v>42</v>
      </c>
      <c r="U7290" s="102" t="s">
        <v>1696</v>
      </c>
      <c r="V7290" s="186">
        <v>46027</v>
      </c>
      <c r="W7290" s="17" t="s">
        <v>44</v>
      </c>
      <c r="X7290" s="17"/>
      <c r="Y7290" s="68">
        <v>46054</v>
      </c>
      <c r="Z7290" s="17" t="s">
        <v>45</v>
      </c>
      <c r="AA7290" s="17" t="s">
        <v>46</v>
      </c>
      <c r="AB7290" s="17" t="s">
        <v>1697</v>
      </c>
      <c r="AC7290" s="217">
        <v>46048</v>
      </c>
      <c r="AD7290" s="65">
        <v>1773</v>
      </c>
      <c r="AE7290" s="17" t="s">
        <v>74</v>
      </c>
      <c r="AF7290" s="17" t="s">
        <v>560</v>
      </c>
      <c r="AG7290" s="17"/>
      <c r="AH7290" s="17"/>
      <c r="AI7290" s="17"/>
      <c r="AJ7290" s="17"/>
      <c r="AK7290" s="17"/>
      <c r="AL7290" s="17"/>
      <c r="AM7290" s="17"/>
      <c r="AN7290" s="17"/>
      <c r="AO7290" s="17"/>
      <c r="AP7290" s="17"/>
      <c r="AQ7290" s="17"/>
      <c r="AR7290" s="17"/>
    </row>
    <row r="7291" s="25" customFormat="1" hidden="1" spans="1:44">
      <c r="A7291" s="17" t="s">
        <v>34</v>
      </c>
      <c r="B7291" s="19">
        <v>1103</v>
      </c>
      <c r="C7291" s="183">
        <v>46027</v>
      </c>
      <c r="D7291" s="17" t="s">
        <v>52</v>
      </c>
      <c r="E7291" s="17" t="s">
        <v>1574</v>
      </c>
      <c r="F7291" s="17" t="s">
        <v>54</v>
      </c>
      <c r="G7291" s="17"/>
      <c r="H7291" s="19">
        <v>1.2738</v>
      </c>
      <c r="I7291" s="19"/>
      <c r="J7291" s="17" t="s">
        <v>49</v>
      </c>
      <c r="K7291" s="432">
        <v>2200</v>
      </c>
      <c r="L7291" s="432">
        <v>50</v>
      </c>
      <c r="M7291" s="19">
        <v>5800</v>
      </c>
      <c r="N7291" s="19" t="s">
        <v>66</v>
      </c>
      <c r="O7291" s="19" t="s">
        <v>67</v>
      </c>
      <c r="P7291" s="432">
        <v>4400</v>
      </c>
      <c r="Q7291" s="19">
        <v>4580</v>
      </c>
      <c r="R7291" s="19">
        <f t="shared" si="313"/>
        <v>-180</v>
      </c>
      <c r="S7291" s="91">
        <v>1010</v>
      </c>
      <c r="T7291" s="19" t="s">
        <v>42</v>
      </c>
      <c r="U7291" s="102" t="s">
        <v>1696</v>
      </c>
      <c r="V7291" s="186">
        <v>46027</v>
      </c>
      <c r="W7291" s="17" t="s">
        <v>44</v>
      </c>
      <c r="X7291" s="17"/>
      <c r="Y7291" s="68">
        <v>46054</v>
      </c>
      <c r="Z7291" s="17" t="s">
        <v>45</v>
      </c>
      <c r="AA7291" s="17" t="s">
        <v>46</v>
      </c>
      <c r="AB7291" s="17" t="s">
        <v>1697</v>
      </c>
      <c r="AC7291" s="217">
        <v>46048</v>
      </c>
      <c r="AD7291" s="65">
        <v>1773</v>
      </c>
      <c r="AE7291" s="17" t="s">
        <v>74</v>
      </c>
      <c r="AF7291" s="17" t="s">
        <v>560</v>
      </c>
      <c r="AG7291" s="17"/>
      <c r="AH7291" s="17"/>
      <c r="AI7291" s="17"/>
      <c r="AJ7291" s="17"/>
      <c r="AK7291" s="17"/>
      <c r="AL7291" s="17"/>
      <c r="AM7291" s="17"/>
      <c r="AN7291" s="17"/>
      <c r="AO7291" s="17"/>
      <c r="AP7291" s="17"/>
      <c r="AQ7291" s="17"/>
      <c r="AR7291" s="17"/>
    </row>
    <row r="7292" s="25" customFormat="1" hidden="1" spans="1:44">
      <c r="A7292" s="17" t="s">
        <v>34</v>
      </c>
      <c r="B7292" s="19">
        <v>1103</v>
      </c>
      <c r="C7292" s="183">
        <v>46027</v>
      </c>
      <c r="D7292" s="17" t="s">
        <v>52</v>
      </c>
      <c r="E7292" s="17" t="s">
        <v>1574</v>
      </c>
      <c r="F7292" s="17" t="s">
        <v>54</v>
      </c>
      <c r="G7292" s="17"/>
      <c r="H7292" s="19">
        <v>1.2738</v>
      </c>
      <c r="I7292" s="19"/>
      <c r="J7292" s="17" t="s">
        <v>49</v>
      </c>
      <c r="K7292" s="432">
        <v>2200</v>
      </c>
      <c r="L7292" s="432">
        <v>65</v>
      </c>
      <c r="M7292" s="19">
        <v>5800</v>
      </c>
      <c r="N7292" s="19" t="s">
        <v>66</v>
      </c>
      <c r="O7292" s="19" t="s">
        <v>67</v>
      </c>
      <c r="P7292" s="432">
        <v>5720</v>
      </c>
      <c r="Q7292" s="19">
        <v>5470</v>
      </c>
      <c r="R7292" s="19">
        <f t="shared" si="313"/>
        <v>250</v>
      </c>
      <c r="S7292" s="91">
        <v>1010</v>
      </c>
      <c r="T7292" s="19" t="s">
        <v>42</v>
      </c>
      <c r="U7292" s="102" t="s">
        <v>1696</v>
      </c>
      <c r="V7292" s="186">
        <v>46027</v>
      </c>
      <c r="W7292" s="17" t="s">
        <v>44</v>
      </c>
      <c r="X7292" s="17"/>
      <c r="Y7292" s="68">
        <v>46054</v>
      </c>
      <c r="Z7292" s="17" t="s">
        <v>45</v>
      </c>
      <c r="AA7292" s="17" t="s">
        <v>46</v>
      </c>
      <c r="AB7292" s="17" t="s">
        <v>1697</v>
      </c>
      <c r="AC7292" s="217">
        <v>46048</v>
      </c>
      <c r="AD7292" s="65">
        <v>1773</v>
      </c>
      <c r="AE7292" s="17" t="s">
        <v>74</v>
      </c>
      <c r="AF7292" s="17" t="s">
        <v>560</v>
      </c>
      <c r="AG7292" s="17"/>
      <c r="AH7292" s="17"/>
      <c r="AI7292" s="17"/>
      <c r="AJ7292" s="17"/>
      <c r="AK7292" s="17"/>
      <c r="AL7292" s="17"/>
      <c r="AM7292" s="17"/>
      <c r="AN7292" s="17"/>
      <c r="AO7292" s="17"/>
      <c r="AP7292" s="17"/>
      <c r="AQ7292" s="17"/>
      <c r="AR7292" s="17"/>
    </row>
    <row r="7293" s="25" customFormat="1" hidden="1" spans="1:44">
      <c r="A7293" s="17" t="s">
        <v>34</v>
      </c>
      <c r="B7293" s="19">
        <v>1104</v>
      </c>
      <c r="C7293" s="183">
        <v>46034</v>
      </c>
      <c r="D7293" s="17" t="s">
        <v>52</v>
      </c>
      <c r="E7293" s="17" t="s">
        <v>1509</v>
      </c>
      <c r="F7293" s="17" t="s">
        <v>54</v>
      </c>
      <c r="G7293" s="17"/>
      <c r="H7293" s="19">
        <v>1.2311</v>
      </c>
      <c r="I7293" s="19"/>
      <c r="J7293" s="17" t="s">
        <v>49</v>
      </c>
      <c r="K7293" s="19">
        <v>2200</v>
      </c>
      <c r="L7293" s="432">
        <v>25</v>
      </c>
      <c r="M7293" s="19">
        <v>5800</v>
      </c>
      <c r="N7293" s="19" t="s">
        <v>66</v>
      </c>
      <c r="O7293" s="19" t="s">
        <v>67</v>
      </c>
      <c r="P7293" s="19">
        <v>2208</v>
      </c>
      <c r="Q7293" s="19">
        <v>2306</v>
      </c>
      <c r="R7293" s="19">
        <f t="shared" si="313"/>
        <v>-98</v>
      </c>
      <c r="S7293" s="19">
        <v>775</v>
      </c>
      <c r="T7293" s="19" t="s">
        <v>42</v>
      </c>
      <c r="U7293" s="102" t="s">
        <v>1698</v>
      </c>
      <c r="V7293" s="186">
        <v>46034</v>
      </c>
      <c r="W7293" s="17" t="s">
        <v>44</v>
      </c>
      <c r="X7293" s="17"/>
      <c r="Y7293" s="68">
        <v>46023</v>
      </c>
      <c r="Z7293" s="17" t="s">
        <v>45</v>
      </c>
      <c r="AA7293" s="17" t="s">
        <v>46</v>
      </c>
      <c r="AB7293" s="17" t="s">
        <v>1699</v>
      </c>
      <c r="AC7293" s="217">
        <v>46052</v>
      </c>
      <c r="AD7293" s="65">
        <v>1776</v>
      </c>
      <c r="AE7293" s="17" t="s">
        <v>48</v>
      </c>
      <c r="AF7293" s="17" t="s">
        <v>560</v>
      </c>
      <c r="AG7293" s="17"/>
      <c r="AH7293" s="17"/>
      <c r="AI7293" s="17"/>
      <c r="AJ7293" s="17"/>
      <c r="AK7293" s="17"/>
      <c r="AL7293" s="17"/>
      <c r="AM7293" s="17"/>
      <c r="AN7293" s="17"/>
      <c r="AO7293" s="17"/>
      <c r="AP7293" s="17"/>
      <c r="AQ7293" s="17"/>
      <c r="AR7293" s="17"/>
    </row>
    <row r="7294" s="25" customFormat="1" hidden="1" spans="1:44">
      <c r="A7294" s="17" t="s">
        <v>34</v>
      </c>
      <c r="B7294" s="19">
        <v>1104</v>
      </c>
      <c r="C7294" s="183">
        <v>46034</v>
      </c>
      <c r="D7294" s="17" t="s">
        <v>52</v>
      </c>
      <c r="E7294" s="17" t="s">
        <v>1509</v>
      </c>
      <c r="F7294" s="17" t="s">
        <v>54</v>
      </c>
      <c r="G7294" s="17"/>
      <c r="H7294" s="19">
        <v>1.2311</v>
      </c>
      <c r="I7294" s="19"/>
      <c r="J7294" s="17" t="s">
        <v>49</v>
      </c>
      <c r="K7294" s="19">
        <v>2200</v>
      </c>
      <c r="L7294" s="432">
        <v>32</v>
      </c>
      <c r="M7294" s="19">
        <v>5800</v>
      </c>
      <c r="N7294" s="19" t="s">
        <v>66</v>
      </c>
      <c r="O7294" s="19" t="s">
        <v>67</v>
      </c>
      <c r="P7294" s="19">
        <v>5652</v>
      </c>
      <c r="Q7294" s="19">
        <v>2280</v>
      </c>
      <c r="S7294" s="19">
        <v>775</v>
      </c>
      <c r="T7294" s="19" t="s">
        <v>42</v>
      </c>
      <c r="U7294" s="102" t="s">
        <v>1698</v>
      </c>
      <c r="V7294" s="186">
        <v>46034</v>
      </c>
      <c r="W7294" s="17" t="s">
        <v>44</v>
      </c>
      <c r="X7294" s="17"/>
      <c r="Y7294" s="68">
        <v>46023</v>
      </c>
      <c r="Z7294" s="17" t="s">
        <v>45</v>
      </c>
      <c r="AA7294" s="17" t="s">
        <v>46</v>
      </c>
      <c r="AB7294" s="17" t="s">
        <v>1699</v>
      </c>
      <c r="AC7294" s="217">
        <v>46052</v>
      </c>
      <c r="AD7294" s="65">
        <v>1776</v>
      </c>
      <c r="AE7294" s="17" t="s">
        <v>48</v>
      </c>
      <c r="AF7294" s="17" t="s">
        <v>560</v>
      </c>
      <c r="AG7294" s="17"/>
      <c r="AH7294" s="17"/>
      <c r="AI7294" s="17"/>
      <c r="AJ7294" s="17"/>
      <c r="AK7294" s="17"/>
      <c r="AL7294" s="17"/>
      <c r="AM7294" s="17"/>
      <c r="AN7294" s="17"/>
      <c r="AO7294" s="17"/>
      <c r="AP7294" s="17"/>
      <c r="AQ7294" s="17"/>
      <c r="AR7294" s="17"/>
    </row>
    <row r="7295" s="25" customFormat="1" hidden="1" spans="1:44">
      <c r="A7295" s="17" t="s">
        <v>34</v>
      </c>
      <c r="B7295" s="19">
        <v>1104</v>
      </c>
      <c r="C7295" s="183">
        <v>46034</v>
      </c>
      <c r="D7295" s="17" t="s">
        <v>52</v>
      </c>
      <c r="E7295" s="17" t="s">
        <v>1509</v>
      </c>
      <c r="F7295" s="17" t="s">
        <v>54</v>
      </c>
      <c r="G7295" s="17"/>
      <c r="H7295" s="19">
        <v>1.2311</v>
      </c>
      <c r="I7295" s="19"/>
      <c r="J7295" s="17" t="s">
        <v>49</v>
      </c>
      <c r="K7295" s="19">
        <v>2200</v>
      </c>
      <c r="L7295" s="432">
        <v>32</v>
      </c>
      <c r="M7295" s="19">
        <v>5800</v>
      </c>
      <c r="N7295" s="19" t="s">
        <v>66</v>
      </c>
      <c r="O7295" s="19" t="s">
        <v>67</v>
      </c>
      <c r="P7295" s="19"/>
      <c r="Q7295" s="19">
        <v>2485</v>
      </c>
      <c r="R7295" s="19">
        <f>+P7294-Q7294-Q7295</f>
        <v>887</v>
      </c>
      <c r="S7295" s="19">
        <v>775</v>
      </c>
      <c r="T7295" s="19" t="s">
        <v>42</v>
      </c>
      <c r="U7295" s="102" t="s">
        <v>1698</v>
      </c>
      <c r="V7295" s="186">
        <v>46034</v>
      </c>
      <c r="W7295" s="17" t="s">
        <v>44</v>
      </c>
      <c r="X7295" s="17"/>
      <c r="Y7295" s="68">
        <v>46023</v>
      </c>
      <c r="Z7295" s="17" t="s">
        <v>45</v>
      </c>
      <c r="AA7295" s="17" t="s">
        <v>46</v>
      </c>
      <c r="AB7295" s="17" t="s">
        <v>1700</v>
      </c>
      <c r="AC7295" s="217">
        <v>46052</v>
      </c>
      <c r="AD7295" s="65">
        <v>1777</v>
      </c>
      <c r="AE7295" s="17" t="s">
        <v>48</v>
      </c>
      <c r="AF7295" s="17" t="s">
        <v>560</v>
      </c>
      <c r="AG7295" s="17"/>
      <c r="AH7295" s="17"/>
      <c r="AI7295" s="17"/>
      <c r="AJ7295" s="17"/>
      <c r="AK7295" s="17"/>
      <c r="AL7295" s="17"/>
      <c r="AM7295" s="17"/>
      <c r="AN7295" s="17"/>
      <c r="AO7295" s="17"/>
      <c r="AP7295" s="17"/>
      <c r="AQ7295" s="17"/>
      <c r="AR7295" s="17"/>
    </row>
    <row r="7296" s="25" customFormat="1" hidden="1" spans="1:44">
      <c r="A7296" s="17" t="s">
        <v>34</v>
      </c>
      <c r="B7296" s="19">
        <v>1104</v>
      </c>
      <c r="C7296" s="183">
        <v>46034</v>
      </c>
      <c r="D7296" s="17" t="s">
        <v>52</v>
      </c>
      <c r="E7296" s="17" t="s">
        <v>1509</v>
      </c>
      <c r="F7296" s="17" t="s">
        <v>54</v>
      </c>
      <c r="G7296" s="17"/>
      <c r="H7296" s="19">
        <v>1.2311</v>
      </c>
      <c r="I7296" s="19"/>
      <c r="J7296" s="17" t="s">
        <v>49</v>
      </c>
      <c r="K7296" s="19">
        <v>2200</v>
      </c>
      <c r="L7296" s="432">
        <v>36</v>
      </c>
      <c r="M7296" s="19">
        <v>5800</v>
      </c>
      <c r="N7296" s="19" t="s">
        <v>66</v>
      </c>
      <c r="O7296" s="19" t="s">
        <v>67</v>
      </c>
      <c r="P7296" s="19">
        <v>3179</v>
      </c>
      <c r="Q7296" s="19">
        <v>3164</v>
      </c>
      <c r="R7296" s="19">
        <f>+P7296-Q7296</f>
        <v>15</v>
      </c>
      <c r="S7296" s="19">
        <v>775</v>
      </c>
      <c r="T7296" s="19" t="s">
        <v>42</v>
      </c>
      <c r="U7296" s="102" t="s">
        <v>1698</v>
      </c>
      <c r="V7296" s="186">
        <v>46034</v>
      </c>
      <c r="W7296" s="17" t="s">
        <v>44</v>
      </c>
      <c r="X7296" s="17"/>
      <c r="Y7296" s="68">
        <v>46023</v>
      </c>
      <c r="Z7296" s="17" t="s">
        <v>45</v>
      </c>
      <c r="AA7296" s="17" t="s">
        <v>46</v>
      </c>
      <c r="AB7296" s="17" t="s">
        <v>1699</v>
      </c>
      <c r="AC7296" s="217">
        <v>46052</v>
      </c>
      <c r="AD7296" s="65">
        <v>1776</v>
      </c>
      <c r="AE7296" s="17" t="s">
        <v>48</v>
      </c>
      <c r="AF7296" s="17" t="s">
        <v>560</v>
      </c>
      <c r="AG7296" s="17"/>
      <c r="AH7296" s="17"/>
      <c r="AI7296" s="17"/>
      <c r="AJ7296" s="17"/>
      <c r="AK7296" s="17"/>
      <c r="AL7296" s="17"/>
      <c r="AM7296" s="17"/>
      <c r="AN7296" s="17"/>
      <c r="AO7296" s="17"/>
      <c r="AP7296" s="17"/>
      <c r="AQ7296" s="17"/>
      <c r="AR7296" s="17"/>
    </row>
    <row r="7297" s="25" customFormat="1" hidden="1" spans="1:44">
      <c r="A7297" s="17" t="s">
        <v>34</v>
      </c>
      <c r="B7297" s="19">
        <v>1104</v>
      </c>
      <c r="C7297" s="183">
        <v>46034</v>
      </c>
      <c r="D7297" s="17" t="s">
        <v>52</v>
      </c>
      <c r="E7297" s="17" t="s">
        <v>1509</v>
      </c>
      <c r="F7297" s="17" t="s">
        <v>54</v>
      </c>
      <c r="G7297" s="17"/>
      <c r="H7297" s="19">
        <v>1.2311</v>
      </c>
      <c r="I7297" s="19"/>
      <c r="J7297" s="17" t="s">
        <v>49</v>
      </c>
      <c r="K7297" s="19">
        <v>2200</v>
      </c>
      <c r="L7297" s="432">
        <v>40</v>
      </c>
      <c r="M7297" s="19">
        <v>5800</v>
      </c>
      <c r="N7297" s="19" t="s">
        <v>66</v>
      </c>
      <c r="O7297" s="19" t="s">
        <v>67</v>
      </c>
      <c r="P7297" s="19">
        <v>10598</v>
      </c>
      <c r="Q7297" s="19">
        <f>3182+3682+3714</f>
        <v>10578</v>
      </c>
      <c r="R7297" s="19">
        <f>+P7297-Q7297</f>
        <v>20</v>
      </c>
      <c r="S7297" s="19">
        <v>775</v>
      </c>
      <c r="T7297" s="19" t="s">
        <v>42</v>
      </c>
      <c r="U7297" s="102" t="s">
        <v>1698</v>
      </c>
      <c r="V7297" s="186">
        <v>46034</v>
      </c>
      <c r="W7297" s="17" t="s">
        <v>44</v>
      </c>
      <c r="X7297" s="17"/>
      <c r="Y7297" s="68">
        <v>46023</v>
      </c>
      <c r="Z7297" s="17" t="s">
        <v>45</v>
      </c>
      <c r="AA7297" s="17" t="s">
        <v>46</v>
      </c>
      <c r="AB7297" s="17" t="s">
        <v>1700</v>
      </c>
      <c r="AC7297" s="217">
        <v>46052</v>
      </c>
      <c r="AD7297" s="65">
        <v>1777</v>
      </c>
      <c r="AE7297" s="17" t="s">
        <v>48</v>
      </c>
      <c r="AF7297" s="17" t="s">
        <v>560</v>
      </c>
      <c r="AG7297" s="17"/>
      <c r="AH7297" s="17"/>
      <c r="AI7297" s="17"/>
      <c r="AJ7297" s="17"/>
      <c r="AK7297" s="17"/>
      <c r="AL7297" s="17"/>
      <c r="AM7297" s="17"/>
      <c r="AN7297" s="17"/>
      <c r="AO7297" s="17"/>
      <c r="AP7297" s="17"/>
      <c r="AQ7297" s="17"/>
      <c r="AR7297" s="17"/>
    </row>
    <row r="7298" s="25" customFormat="1" hidden="1" spans="1:44">
      <c r="A7298" s="17" t="s">
        <v>34</v>
      </c>
      <c r="B7298" s="19">
        <v>1104</v>
      </c>
      <c r="C7298" s="183">
        <v>46034</v>
      </c>
      <c r="D7298" s="17" t="s">
        <v>52</v>
      </c>
      <c r="E7298" s="17" t="s">
        <v>1509</v>
      </c>
      <c r="F7298" s="17" t="s">
        <v>54</v>
      </c>
      <c r="G7298" s="17"/>
      <c r="H7298" s="19">
        <v>1.2311</v>
      </c>
      <c r="I7298" s="19"/>
      <c r="J7298" s="17" t="s">
        <v>49</v>
      </c>
      <c r="K7298" s="19">
        <v>2200</v>
      </c>
      <c r="L7298" s="432">
        <v>45</v>
      </c>
      <c r="M7298" s="19">
        <v>5800</v>
      </c>
      <c r="N7298" s="19" t="s">
        <v>66</v>
      </c>
      <c r="O7298" s="19" t="s">
        <v>67</v>
      </c>
      <c r="P7298" s="19">
        <v>7948</v>
      </c>
      <c r="Q7298" s="19">
        <v>3421</v>
      </c>
      <c r="S7298" s="19">
        <v>775</v>
      </c>
      <c r="T7298" s="19" t="s">
        <v>42</v>
      </c>
      <c r="U7298" s="102" t="s">
        <v>1698</v>
      </c>
      <c r="V7298" s="186">
        <v>46034</v>
      </c>
      <c r="W7298" s="17" t="s">
        <v>44</v>
      </c>
      <c r="X7298" s="17"/>
      <c r="Y7298" s="68">
        <v>46023</v>
      </c>
      <c r="Z7298" s="17" t="s">
        <v>45</v>
      </c>
      <c r="AA7298" s="17" t="s">
        <v>46</v>
      </c>
      <c r="AB7298" s="17" t="s">
        <v>1699</v>
      </c>
      <c r="AC7298" s="217">
        <v>46052</v>
      </c>
      <c r="AD7298" s="65">
        <v>1776</v>
      </c>
      <c r="AE7298" s="17" t="s">
        <v>48</v>
      </c>
      <c r="AF7298" s="17" t="s">
        <v>560</v>
      </c>
      <c r="AG7298" s="17"/>
      <c r="AH7298" s="17"/>
      <c r="AI7298" s="17"/>
      <c r="AJ7298" s="17"/>
      <c r="AK7298" s="17"/>
      <c r="AL7298" s="17"/>
      <c r="AM7298" s="17"/>
      <c r="AN7298" s="17"/>
      <c r="AO7298" s="17"/>
      <c r="AP7298" s="17"/>
      <c r="AQ7298" s="17"/>
      <c r="AR7298" s="17"/>
    </row>
    <row r="7299" s="25" customFormat="1" hidden="1" spans="1:44">
      <c r="A7299" s="17" t="s">
        <v>34</v>
      </c>
      <c r="B7299" s="19">
        <v>1104</v>
      </c>
      <c r="C7299" s="183">
        <v>46034</v>
      </c>
      <c r="D7299" s="17" t="s">
        <v>52</v>
      </c>
      <c r="E7299" s="17" t="s">
        <v>1509</v>
      </c>
      <c r="F7299" s="17" t="s">
        <v>54</v>
      </c>
      <c r="G7299" s="17"/>
      <c r="H7299" s="19">
        <v>1.2311</v>
      </c>
      <c r="I7299" s="19"/>
      <c r="J7299" s="17" t="s">
        <v>49</v>
      </c>
      <c r="K7299" s="19">
        <v>2200</v>
      </c>
      <c r="L7299" s="432">
        <v>45</v>
      </c>
      <c r="M7299" s="19">
        <v>5800</v>
      </c>
      <c r="N7299" s="19" t="s">
        <v>66</v>
      </c>
      <c r="O7299" s="19" t="s">
        <v>67</v>
      </c>
      <c r="P7299" s="19"/>
      <c r="Q7299" s="19">
        <v>4260</v>
      </c>
      <c r="R7299" s="19">
        <f>+P7298-Q7298-Q7299</f>
        <v>267</v>
      </c>
      <c r="S7299" s="19">
        <v>775</v>
      </c>
      <c r="T7299" s="19" t="s">
        <v>42</v>
      </c>
      <c r="U7299" s="102" t="s">
        <v>1698</v>
      </c>
      <c r="V7299" s="186">
        <v>46034</v>
      </c>
      <c r="W7299" s="17" t="s">
        <v>44</v>
      </c>
      <c r="X7299" s="17"/>
      <c r="Y7299" s="68">
        <v>46023</v>
      </c>
      <c r="Z7299" s="17" t="s">
        <v>45</v>
      </c>
      <c r="AA7299" s="17" t="s">
        <v>46</v>
      </c>
      <c r="AB7299" s="17" t="s">
        <v>1700</v>
      </c>
      <c r="AC7299" s="217">
        <v>46052</v>
      </c>
      <c r="AD7299" s="65">
        <v>1777</v>
      </c>
      <c r="AE7299" s="17" t="s">
        <v>48</v>
      </c>
      <c r="AF7299" s="17" t="s">
        <v>560</v>
      </c>
      <c r="AG7299" s="17"/>
      <c r="AH7299" s="17"/>
      <c r="AI7299" s="17"/>
      <c r="AJ7299" s="17"/>
      <c r="AK7299" s="17"/>
      <c r="AL7299" s="17"/>
      <c r="AM7299" s="17"/>
      <c r="AN7299" s="17"/>
      <c r="AO7299" s="17"/>
      <c r="AP7299" s="17"/>
      <c r="AQ7299" s="17"/>
      <c r="AR7299" s="17"/>
    </row>
    <row r="7300" s="25" customFormat="1" hidden="1" spans="1:44">
      <c r="A7300" s="17" t="s">
        <v>34</v>
      </c>
      <c r="B7300" s="19">
        <v>1104</v>
      </c>
      <c r="C7300" s="183">
        <v>46034</v>
      </c>
      <c r="D7300" s="17" t="s">
        <v>52</v>
      </c>
      <c r="E7300" s="17" t="s">
        <v>1509</v>
      </c>
      <c r="F7300" s="17" t="s">
        <v>54</v>
      </c>
      <c r="G7300" s="17"/>
      <c r="H7300" s="19">
        <v>1.2311</v>
      </c>
      <c r="I7300" s="19"/>
      <c r="J7300" s="17" t="s">
        <v>49</v>
      </c>
      <c r="K7300" s="19">
        <v>2200</v>
      </c>
      <c r="L7300" s="432">
        <v>50</v>
      </c>
      <c r="M7300" s="19">
        <v>5800</v>
      </c>
      <c r="N7300" s="19" t="s">
        <v>66</v>
      </c>
      <c r="O7300" s="19" t="s">
        <v>67</v>
      </c>
      <c r="P7300" s="19">
        <v>17663</v>
      </c>
      <c r="Q7300" s="19">
        <v>4516</v>
      </c>
      <c r="S7300" s="19">
        <v>775</v>
      </c>
      <c r="T7300" s="19" t="s">
        <v>42</v>
      </c>
      <c r="U7300" s="102" t="s">
        <v>1698</v>
      </c>
      <c r="V7300" s="186">
        <v>46034</v>
      </c>
      <c r="W7300" s="17" t="s">
        <v>44</v>
      </c>
      <c r="X7300" s="17"/>
      <c r="Y7300" s="68">
        <v>46023</v>
      </c>
      <c r="Z7300" s="17" t="s">
        <v>45</v>
      </c>
      <c r="AA7300" s="17" t="s">
        <v>46</v>
      </c>
      <c r="AB7300" s="17" t="s">
        <v>1699</v>
      </c>
      <c r="AC7300" s="217">
        <v>46052</v>
      </c>
      <c r="AD7300" s="65">
        <v>1776</v>
      </c>
      <c r="AE7300" s="17" t="s">
        <v>48</v>
      </c>
      <c r="AF7300" s="17" t="s">
        <v>560</v>
      </c>
      <c r="AG7300" s="17"/>
      <c r="AH7300" s="17"/>
      <c r="AI7300" s="17"/>
      <c r="AJ7300" s="17"/>
      <c r="AK7300" s="17"/>
      <c r="AL7300" s="17"/>
      <c r="AM7300" s="17"/>
      <c r="AN7300" s="17"/>
      <c r="AO7300" s="17"/>
      <c r="AP7300" s="17"/>
      <c r="AQ7300" s="17"/>
      <c r="AR7300" s="17"/>
    </row>
    <row r="7301" s="25" customFormat="1" hidden="1" spans="1:44">
      <c r="A7301" s="17" t="s">
        <v>34</v>
      </c>
      <c r="B7301" s="19">
        <v>1104</v>
      </c>
      <c r="C7301" s="183">
        <v>46034</v>
      </c>
      <c r="D7301" s="17" t="s">
        <v>52</v>
      </c>
      <c r="E7301" s="17" t="s">
        <v>1509</v>
      </c>
      <c r="F7301" s="17" t="s">
        <v>54</v>
      </c>
      <c r="G7301" s="17"/>
      <c r="H7301" s="19">
        <v>1.2311</v>
      </c>
      <c r="I7301" s="19"/>
      <c r="J7301" s="17" t="s">
        <v>49</v>
      </c>
      <c r="K7301" s="19">
        <v>2200</v>
      </c>
      <c r="L7301" s="432">
        <v>50</v>
      </c>
      <c r="M7301" s="19">
        <v>5800</v>
      </c>
      <c r="N7301" s="19" t="s">
        <v>66</v>
      </c>
      <c r="O7301" s="19" t="s">
        <v>67</v>
      </c>
      <c r="P7301" s="19"/>
      <c r="Q7301" s="19">
        <f>4398+4412+4326</f>
        <v>13136</v>
      </c>
      <c r="R7301" s="19">
        <f>+P7300-Q7300-Q7301</f>
        <v>11</v>
      </c>
      <c r="S7301" s="19">
        <v>775</v>
      </c>
      <c r="T7301" s="19" t="s">
        <v>42</v>
      </c>
      <c r="U7301" s="102" t="s">
        <v>1698</v>
      </c>
      <c r="V7301" s="186">
        <v>46034</v>
      </c>
      <c r="W7301" s="17" t="s">
        <v>44</v>
      </c>
      <c r="X7301" s="17"/>
      <c r="Y7301" s="68">
        <v>46023</v>
      </c>
      <c r="Z7301" s="17" t="s">
        <v>45</v>
      </c>
      <c r="AA7301" s="17" t="s">
        <v>46</v>
      </c>
      <c r="AB7301" s="17" t="s">
        <v>1700</v>
      </c>
      <c r="AC7301" s="217">
        <v>46052</v>
      </c>
      <c r="AD7301" s="65">
        <v>1777</v>
      </c>
      <c r="AE7301" s="17" t="s">
        <v>48</v>
      </c>
      <c r="AF7301" s="17" t="s">
        <v>560</v>
      </c>
      <c r="AG7301" s="17"/>
      <c r="AH7301" s="17"/>
      <c r="AI7301" s="17"/>
      <c r="AJ7301" s="17"/>
      <c r="AK7301" s="17"/>
      <c r="AL7301" s="17"/>
      <c r="AM7301" s="17"/>
      <c r="AN7301" s="17"/>
      <c r="AO7301" s="17"/>
      <c r="AP7301" s="17"/>
      <c r="AQ7301" s="17"/>
      <c r="AR7301" s="17"/>
    </row>
    <row r="7302" s="25" customFormat="1" hidden="1" spans="1:44">
      <c r="A7302" s="17" t="s">
        <v>34</v>
      </c>
      <c r="B7302" s="19">
        <v>1104</v>
      </c>
      <c r="C7302" s="183">
        <v>46034</v>
      </c>
      <c r="D7302" s="17" t="s">
        <v>52</v>
      </c>
      <c r="E7302" s="17" t="s">
        <v>1509</v>
      </c>
      <c r="F7302" s="17" t="s">
        <v>54</v>
      </c>
      <c r="G7302" s="17"/>
      <c r="H7302" s="19">
        <v>1.2311</v>
      </c>
      <c r="I7302" s="19"/>
      <c r="J7302" s="17" t="s">
        <v>49</v>
      </c>
      <c r="K7302" s="19">
        <v>2200</v>
      </c>
      <c r="L7302" s="432">
        <v>55</v>
      </c>
      <c r="M7302" s="19">
        <v>5800</v>
      </c>
      <c r="N7302" s="19" t="s">
        <v>66</v>
      </c>
      <c r="O7302" s="19" t="s">
        <v>67</v>
      </c>
      <c r="P7302" s="19">
        <v>9891</v>
      </c>
      <c r="Q7302" s="19">
        <f>4844+4996</f>
        <v>9840</v>
      </c>
      <c r="R7302" s="19">
        <f>+P7302-Q7302</f>
        <v>51</v>
      </c>
      <c r="S7302" s="19">
        <v>775</v>
      </c>
      <c r="T7302" s="19" t="s">
        <v>42</v>
      </c>
      <c r="U7302" s="102" t="s">
        <v>1698</v>
      </c>
      <c r="V7302" s="186">
        <v>46034</v>
      </c>
      <c r="W7302" s="17" t="s">
        <v>44</v>
      </c>
      <c r="X7302" s="17"/>
      <c r="Y7302" s="68">
        <v>46023</v>
      </c>
      <c r="Z7302" s="17" t="s">
        <v>45</v>
      </c>
      <c r="AA7302" s="17" t="s">
        <v>46</v>
      </c>
      <c r="AB7302" s="17" t="s">
        <v>1700</v>
      </c>
      <c r="AC7302" s="217">
        <v>46052</v>
      </c>
      <c r="AD7302" s="65">
        <v>1777</v>
      </c>
      <c r="AE7302" s="17" t="s">
        <v>48</v>
      </c>
      <c r="AF7302" s="17" t="s">
        <v>560</v>
      </c>
      <c r="AG7302" s="17"/>
      <c r="AH7302" s="17"/>
      <c r="AI7302" s="17"/>
      <c r="AJ7302" s="17"/>
      <c r="AK7302" s="17"/>
      <c r="AL7302" s="17"/>
      <c r="AM7302" s="17"/>
      <c r="AN7302" s="17"/>
      <c r="AO7302" s="17"/>
      <c r="AP7302" s="17"/>
      <c r="AQ7302" s="17"/>
      <c r="AR7302" s="17"/>
    </row>
    <row r="7303" s="25" customFormat="1" hidden="1" spans="1:44">
      <c r="A7303" s="17" t="s">
        <v>34</v>
      </c>
      <c r="B7303" s="19">
        <v>1104</v>
      </c>
      <c r="C7303" s="183">
        <v>46034</v>
      </c>
      <c r="D7303" s="17" t="s">
        <v>52</v>
      </c>
      <c r="E7303" s="17" t="s">
        <v>1509</v>
      </c>
      <c r="F7303" s="17" t="s">
        <v>54</v>
      </c>
      <c r="G7303" s="17"/>
      <c r="H7303" s="19">
        <v>1.2311</v>
      </c>
      <c r="I7303" s="19"/>
      <c r="J7303" s="17" t="s">
        <v>49</v>
      </c>
      <c r="K7303" s="19">
        <v>2200</v>
      </c>
      <c r="L7303" s="432">
        <v>60</v>
      </c>
      <c r="M7303" s="19">
        <v>5800</v>
      </c>
      <c r="N7303" s="19" t="s">
        <v>66</v>
      </c>
      <c r="O7303" s="19" t="s">
        <v>67</v>
      </c>
      <c r="P7303" s="19">
        <v>10598</v>
      </c>
      <c r="Q7303" s="19">
        <f>5390+5488</f>
        <v>10878</v>
      </c>
      <c r="R7303" s="19">
        <f>+P7303-Q7303</f>
        <v>-280</v>
      </c>
      <c r="S7303" s="19">
        <v>775</v>
      </c>
      <c r="T7303" s="19" t="s">
        <v>42</v>
      </c>
      <c r="U7303" s="102" t="s">
        <v>1698</v>
      </c>
      <c r="V7303" s="186">
        <v>46034</v>
      </c>
      <c r="W7303" s="17" t="s">
        <v>44</v>
      </c>
      <c r="X7303" s="17"/>
      <c r="Y7303" s="68">
        <v>46023</v>
      </c>
      <c r="Z7303" s="17" t="s">
        <v>45</v>
      </c>
      <c r="AA7303" s="17" t="s">
        <v>46</v>
      </c>
      <c r="AB7303" s="17" t="s">
        <v>1699</v>
      </c>
      <c r="AC7303" s="217">
        <v>46052</v>
      </c>
      <c r="AD7303" s="65">
        <v>1776</v>
      </c>
      <c r="AE7303" s="17" t="s">
        <v>48</v>
      </c>
      <c r="AF7303" s="17" t="s">
        <v>560</v>
      </c>
      <c r="AG7303" s="17"/>
      <c r="AH7303" s="17"/>
      <c r="AI7303" s="17"/>
      <c r="AJ7303" s="17"/>
      <c r="AK7303" s="17"/>
      <c r="AL7303" s="17"/>
      <c r="AM7303" s="17"/>
      <c r="AN7303" s="17"/>
      <c r="AO7303" s="17"/>
      <c r="AP7303" s="17"/>
      <c r="AQ7303" s="17"/>
      <c r="AR7303" s="17"/>
    </row>
    <row r="7304" s="25" customFormat="1" hidden="1" spans="1:44">
      <c r="A7304" s="17" t="s">
        <v>34</v>
      </c>
      <c r="B7304" s="19">
        <v>1104</v>
      </c>
      <c r="C7304" s="183">
        <v>46034</v>
      </c>
      <c r="D7304" s="17" t="s">
        <v>52</v>
      </c>
      <c r="E7304" s="17" t="s">
        <v>1509</v>
      </c>
      <c r="F7304" s="17" t="s">
        <v>54</v>
      </c>
      <c r="G7304" s="17"/>
      <c r="H7304" s="19">
        <v>1.2311</v>
      </c>
      <c r="I7304" s="19"/>
      <c r="J7304" s="17" t="s">
        <v>49</v>
      </c>
      <c r="K7304" s="19">
        <v>2200</v>
      </c>
      <c r="L7304" s="432">
        <v>65</v>
      </c>
      <c r="M7304" s="19">
        <v>5800</v>
      </c>
      <c r="N7304" s="19" t="s">
        <v>66</v>
      </c>
      <c r="O7304" s="19" t="s">
        <v>67</v>
      </c>
      <c r="P7304" s="19">
        <v>11481</v>
      </c>
      <c r="Q7304" s="19">
        <v>5848</v>
      </c>
      <c r="S7304" s="19">
        <v>775</v>
      </c>
      <c r="T7304" s="19" t="s">
        <v>42</v>
      </c>
      <c r="U7304" s="102" t="s">
        <v>1698</v>
      </c>
      <c r="V7304" s="186">
        <v>46034</v>
      </c>
      <c r="W7304" s="17" t="s">
        <v>44</v>
      </c>
      <c r="X7304" s="17"/>
      <c r="Y7304" s="68">
        <v>46023</v>
      </c>
      <c r="Z7304" s="17" t="s">
        <v>45</v>
      </c>
      <c r="AA7304" s="17" t="s">
        <v>46</v>
      </c>
      <c r="AB7304" s="17" t="s">
        <v>1699</v>
      </c>
      <c r="AC7304" s="217">
        <v>46052</v>
      </c>
      <c r="AD7304" s="65">
        <v>1776</v>
      </c>
      <c r="AE7304" s="17" t="s">
        <v>48</v>
      </c>
      <c r="AF7304" s="17" t="s">
        <v>560</v>
      </c>
      <c r="AG7304" s="17"/>
      <c r="AH7304" s="17"/>
      <c r="AI7304" s="17"/>
      <c r="AJ7304" s="17"/>
      <c r="AK7304" s="17"/>
      <c r="AL7304" s="17"/>
      <c r="AM7304" s="17"/>
      <c r="AN7304" s="17"/>
      <c r="AO7304" s="17"/>
      <c r="AP7304" s="17"/>
      <c r="AQ7304" s="17"/>
      <c r="AR7304" s="17"/>
    </row>
    <row r="7305" s="25" customFormat="1" hidden="1" spans="1:44">
      <c r="A7305" s="17" t="s">
        <v>34</v>
      </c>
      <c r="B7305" s="19">
        <v>1104</v>
      </c>
      <c r="C7305" s="183">
        <v>46034</v>
      </c>
      <c r="D7305" s="17" t="s">
        <v>52</v>
      </c>
      <c r="E7305" s="17" t="s">
        <v>1509</v>
      </c>
      <c r="F7305" s="17" t="s">
        <v>54</v>
      </c>
      <c r="G7305" s="17"/>
      <c r="H7305" s="19">
        <v>1.2311</v>
      </c>
      <c r="I7305" s="19"/>
      <c r="J7305" s="17" t="s">
        <v>49</v>
      </c>
      <c r="K7305" s="19">
        <v>2200</v>
      </c>
      <c r="L7305" s="432">
        <v>65</v>
      </c>
      <c r="M7305" s="19">
        <v>5800</v>
      </c>
      <c r="N7305" s="19" t="s">
        <v>66</v>
      </c>
      <c r="O7305" s="19" t="s">
        <v>67</v>
      </c>
      <c r="P7305" s="19"/>
      <c r="Q7305" s="19">
        <v>5742</v>
      </c>
      <c r="R7305" s="19">
        <f>+P7304-Q7304-Q7305</f>
        <v>-109</v>
      </c>
      <c r="S7305" s="19">
        <v>775</v>
      </c>
      <c r="T7305" s="19" t="s">
        <v>42</v>
      </c>
      <c r="U7305" s="102" t="s">
        <v>1698</v>
      </c>
      <c r="V7305" s="186">
        <v>46034</v>
      </c>
      <c r="W7305" s="17" t="s">
        <v>44</v>
      </c>
      <c r="X7305" s="17"/>
      <c r="Y7305" s="68">
        <v>46023</v>
      </c>
      <c r="Z7305" s="17" t="s">
        <v>45</v>
      </c>
      <c r="AA7305" s="17" t="s">
        <v>46</v>
      </c>
      <c r="AB7305" s="17" t="s">
        <v>1700</v>
      </c>
      <c r="AC7305" s="217">
        <v>46052</v>
      </c>
      <c r="AD7305" s="65">
        <v>1777</v>
      </c>
      <c r="AE7305" s="17" t="s">
        <v>48</v>
      </c>
      <c r="AF7305" s="17" t="s">
        <v>560</v>
      </c>
      <c r="AG7305" s="17"/>
      <c r="AH7305" s="17"/>
      <c r="AI7305" s="17"/>
      <c r="AJ7305" s="17"/>
      <c r="AK7305" s="17"/>
      <c r="AL7305" s="17"/>
      <c r="AM7305" s="17"/>
      <c r="AN7305" s="17"/>
      <c r="AO7305" s="17"/>
      <c r="AP7305" s="17"/>
      <c r="AQ7305" s="17"/>
      <c r="AR7305" s="17"/>
    </row>
    <row r="7306" s="25" customFormat="1" hidden="1" spans="1:44">
      <c r="A7306" s="17" t="s">
        <v>34</v>
      </c>
      <c r="B7306" s="19">
        <v>1104</v>
      </c>
      <c r="C7306" s="183">
        <v>46034</v>
      </c>
      <c r="D7306" s="17" t="s">
        <v>52</v>
      </c>
      <c r="E7306" s="17" t="s">
        <v>1509</v>
      </c>
      <c r="F7306" s="17" t="s">
        <v>54</v>
      </c>
      <c r="G7306" s="17"/>
      <c r="H7306" s="19">
        <v>1.2311</v>
      </c>
      <c r="I7306" s="19"/>
      <c r="J7306" s="17" t="s">
        <v>49</v>
      </c>
      <c r="K7306" s="19">
        <v>2200</v>
      </c>
      <c r="L7306" s="432">
        <v>70</v>
      </c>
      <c r="M7306" s="19">
        <v>5800</v>
      </c>
      <c r="N7306" s="19" t="s">
        <v>66</v>
      </c>
      <c r="O7306" s="19" t="s">
        <v>67</v>
      </c>
      <c r="P7306" s="19">
        <v>6182</v>
      </c>
      <c r="Q7306" s="19">
        <v>6014</v>
      </c>
      <c r="R7306" s="19">
        <f t="shared" ref="R7306:R7337" si="314">+P7306-Q7306</f>
        <v>168</v>
      </c>
      <c r="S7306" s="19">
        <v>775</v>
      </c>
      <c r="T7306" s="19" t="s">
        <v>42</v>
      </c>
      <c r="U7306" s="102" t="s">
        <v>1698</v>
      </c>
      <c r="V7306" s="186">
        <v>46034</v>
      </c>
      <c r="W7306" s="17" t="s">
        <v>44</v>
      </c>
      <c r="X7306" s="17"/>
      <c r="Y7306" s="68">
        <v>46023</v>
      </c>
      <c r="Z7306" s="17" t="s">
        <v>45</v>
      </c>
      <c r="AA7306" s="17" t="s">
        <v>46</v>
      </c>
      <c r="AB7306" s="17" t="s">
        <v>1699</v>
      </c>
      <c r="AC7306" s="217">
        <v>46052</v>
      </c>
      <c r="AD7306" s="65">
        <v>1776</v>
      </c>
      <c r="AE7306" s="17" t="s">
        <v>48</v>
      </c>
      <c r="AF7306" s="17" t="s">
        <v>560</v>
      </c>
      <c r="AG7306" s="17"/>
      <c r="AH7306" s="17"/>
      <c r="AI7306" s="17"/>
      <c r="AJ7306" s="17"/>
      <c r="AK7306" s="17"/>
      <c r="AL7306" s="17"/>
      <c r="AM7306" s="17"/>
      <c r="AN7306" s="17"/>
      <c r="AO7306" s="17"/>
      <c r="AP7306" s="17"/>
      <c r="AQ7306" s="17"/>
      <c r="AR7306" s="17"/>
    </row>
    <row r="7307" s="25" customFormat="1" hidden="1" spans="1:44">
      <c r="A7307" s="17" t="s">
        <v>34</v>
      </c>
      <c r="B7307" s="19">
        <v>1104</v>
      </c>
      <c r="C7307" s="183">
        <v>46034</v>
      </c>
      <c r="D7307" s="17" t="s">
        <v>52</v>
      </c>
      <c r="E7307" s="17" t="s">
        <v>1509</v>
      </c>
      <c r="F7307" s="17" t="s">
        <v>54</v>
      </c>
      <c r="G7307" s="17"/>
      <c r="H7307" s="19">
        <v>1.2311</v>
      </c>
      <c r="I7307" s="19"/>
      <c r="J7307" s="17" t="s">
        <v>49</v>
      </c>
      <c r="K7307" s="19">
        <v>2200</v>
      </c>
      <c r="L7307" s="432">
        <v>80</v>
      </c>
      <c r="M7307" s="19">
        <v>5800</v>
      </c>
      <c r="N7307" s="19" t="s">
        <v>66</v>
      </c>
      <c r="O7307" s="19" t="s">
        <v>67</v>
      </c>
      <c r="P7307" s="19">
        <v>7065</v>
      </c>
      <c r="Q7307" s="19">
        <v>7132</v>
      </c>
      <c r="R7307" s="19">
        <f t="shared" si="314"/>
        <v>-67</v>
      </c>
      <c r="S7307" s="19">
        <v>775</v>
      </c>
      <c r="T7307" s="19" t="s">
        <v>42</v>
      </c>
      <c r="U7307" s="102" t="s">
        <v>1698</v>
      </c>
      <c r="V7307" s="186">
        <v>46034</v>
      </c>
      <c r="W7307" s="17" t="s">
        <v>44</v>
      </c>
      <c r="X7307" s="17"/>
      <c r="Y7307" s="68">
        <v>46023</v>
      </c>
      <c r="Z7307" s="17" t="s">
        <v>45</v>
      </c>
      <c r="AA7307" s="17" t="s">
        <v>46</v>
      </c>
      <c r="AB7307" s="17" t="s">
        <v>1699</v>
      </c>
      <c r="AC7307" s="217">
        <v>46052</v>
      </c>
      <c r="AD7307" s="65">
        <v>1776</v>
      </c>
      <c r="AE7307" s="17" t="s">
        <v>48</v>
      </c>
      <c r="AF7307" s="17" t="s">
        <v>560</v>
      </c>
      <c r="AG7307" s="17"/>
      <c r="AH7307" s="17"/>
      <c r="AI7307" s="17"/>
      <c r="AJ7307" s="17"/>
      <c r="AK7307" s="17"/>
      <c r="AL7307" s="17"/>
      <c r="AM7307" s="17"/>
      <c r="AN7307" s="17"/>
      <c r="AO7307" s="17"/>
      <c r="AP7307" s="17"/>
      <c r="AQ7307" s="17"/>
      <c r="AR7307" s="17"/>
    </row>
    <row r="7308" s="25" customFormat="1" hidden="1" spans="1:44">
      <c r="A7308" s="17" t="s">
        <v>34</v>
      </c>
      <c r="B7308" s="19">
        <v>1104</v>
      </c>
      <c r="C7308" s="183">
        <v>46034</v>
      </c>
      <c r="D7308" s="17" t="s">
        <v>52</v>
      </c>
      <c r="E7308" s="17" t="s">
        <v>1509</v>
      </c>
      <c r="F7308" s="17" t="s">
        <v>54</v>
      </c>
      <c r="G7308" s="17"/>
      <c r="H7308" s="19">
        <v>1.2311</v>
      </c>
      <c r="I7308" s="19"/>
      <c r="J7308" s="17" t="s">
        <v>49</v>
      </c>
      <c r="K7308" s="19">
        <v>2200</v>
      </c>
      <c r="L7308" s="432">
        <v>90</v>
      </c>
      <c r="M7308" s="19">
        <v>5800</v>
      </c>
      <c r="N7308" s="19" t="s">
        <v>66</v>
      </c>
      <c r="O7308" s="19" t="s">
        <v>67</v>
      </c>
      <c r="P7308" s="19">
        <v>7948</v>
      </c>
      <c r="Q7308" s="19">
        <v>7842</v>
      </c>
      <c r="R7308" s="19">
        <f t="shared" si="314"/>
        <v>106</v>
      </c>
      <c r="S7308" s="19">
        <v>775</v>
      </c>
      <c r="T7308" s="19" t="s">
        <v>42</v>
      </c>
      <c r="U7308" s="102" t="s">
        <v>1698</v>
      </c>
      <c r="V7308" s="186">
        <v>46034</v>
      </c>
      <c r="W7308" s="17" t="s">
        <v>44</v>
      </c>
      <c r="X7308" s="17"/>
      <c r="Y7308" s="68">
        <v>46023</v>
      </c>
      <c r="Z7308" s="17" t="s">
        <v>45</v>
      </c>
      <c r="AA7308" s="17" t="s">
        <v>46</v>
      </c>
      <c r="AB7308" s="17" t="s">
        <v>1700</v>
      </c>
      <c r="AC7308" s="217">
        <v>46052</v>
      </c>
      <c r="AD7308" s="65">
        <v>1777</v>
      </c>
      <c r="AE7308" s="17" t="s">
        <v>48</v>
      </c>
      <c r="AF7308" s="17" t="s">
        <v>560</v>
      </c>
      <c r="AG7308" s="17"/>
      <c r="AH7308" s="17"/>
      <c r="AI7308" s="17"/>
      <c r="AJ7308" s="17"/>
      <c r="AK7308" s="17"/>
      <c r="AL7308" s="17"/>
      <c r="AM7308" s="17"/>
      <c r="AN7308" s="17"/>
      <c r="AO7308" s="17"/>
      <c r="AP7308" s="17"/>
      <c r="AQ7308" s="17"/>
      <c r="AR7308" s="17"/>
    </row>
    <row r="7309" s="25" customFormat="1" hidden="1" spans="1:44">
      <c r="A7309" s="17" t="s">
        <v>34</v>
      </c>
      <c r="B7309" s="19">
        <v>1104</v>
      </c>
      <c r="C7309" s="183">
        <v>46034</v>
      </c>
      <c r="D7309" s="17" t="s">
        <v>52</v>
      </c>
      <c r="E7309" s="17" t="s">
        <v>1509</v>
      </c>
      <c r="F7309" s="17" t="s">
        <v>54</v>
      </c>
      <c r="G7309" s="17"/>
      <c r="H7309" s="19">
        <v>1.2311</v>
      </c>
      <c r="I7309" s="19"/>
      <c r="J7309" s="17" t="s">
        <v>49</v>
      </c>
      <c r="K7309" s="19">
        <v>2200</v>
      </c>
      <c r="L7309" s="432">
        <v>105</v>
      </c>
      <c r="M7309" s="19">
        <v>5800</v>
      </c>
      <c r="N7309" s="19" t="s">
        <v>66</v>
      </c>
      <c r="O7309" s="19" t="s">
        <v>67</v>
      </c>
      <c r="P7309" s="19">
        <v>9273</v>
      </c>
      <c r="Q7309" s="19">
        <v>9250</v>
      </c>
      <c r="R7309" s="19">
        <f t="shared" si="314"/>
        <v>23</v>
      </c>
      <c r="S7309" s="19">
        <v>775</v>
      </c>
      <c r="T7309" s="19" t="s">
        <v>42</v>
      </c>
      <c r="U7309" s="102" t="s">
        <v>1698</v>
      </c>
      <c r="V7309" s="186">
        <v>46034</v>
      </c>
      <c r="W7309" s="17" t="s">
        <v>44</v>
      </c>
      <c r="X7309" s="17"/>
      <c r="Y7309" s="68">
        <v>46023</v>
      </c>
      <c r="Z7309" s="17" t="s">
        <v>45</v>
      </c>
      <c r="AA7309" s="17" t="s">
        <v>46</v>
      </c>
      <c r="AB7309" s="17" t="s">
        <v>1699</v>
      </c>
      <c r="AC7309" s="217">
        <v>46052</v>
      </c>
      <c r="AD7309" s="65">
        <v>1776</v>
      </c>
      <c r="AE7309" s="17" t="s">
        <v>48</v>
      </c>
      <c r="AF7309" s="17" t="s">
        <v>560</v>
      </c>
      <c r="AG7309" s="17"/>
      <c r="AH7309" s="17"/>
      <c r="AI7309" s="17"/>
      <c r="AJ7309" s="17"/>
      <c r="AK7309" s="17"/>
      <c r="AL7309" s="17"/>
      <c r="AM7309" s="17"/>
      <c r="AN7309" s="17"/>
      <c r="AO7309" s="17"/>
      <c r="AP7309" s="17"/>
      <c r="AQ7309" s="17"/>
      <c r="AR7309" s="17"/>
    </row>
    <row r="7310" s="25" customFormat="1" hidden="1" spans="1:44">
      <c r="A7310" s="17" t="s">
        <v>34</v>
      </c>
      <c r="B7310" s="19">
        <v>1102</v>
      </c>
      <c r="C7310" s="183">
        <v>46014</v>
      </c>
      <c r="D7310" s="17" t="s">
        <v>52</v>
      </c>
      <c r="E7310" s="17" t="s">
        <v>53</v>
      </c>
      <c r="F7310" s="17" t="s">
        <v>54</v>
      </c>
      <c r="G7310" s="17"/>
      <c r="H7310" s="19" t="s">
        <v>55</v>
      </c>
      <c r="I7310" s="19"/>
      <c r="J7310" s="17" t="s">
        <v>49</v>
      </c>
      <c r="K7310" s="19">
        <v>610</v>
      </c>
      <c r="L7310" s="395">
        <v>45</v>
      </c>
      <c r="M7310" s="19">
        <v>5800</v>
      </c>
      <c r="N7310" s="19" t="s">
        <v>40</v>
      </c>
      <c r="O7310" s="19" t="s">
        <v>84</v>
      </c>
      <c r="P7310" s="436">
        <v>2000</v>
      </c>
      <c r="Q7310" s="19">
        <f>786+824+754</f>
        <v>2364</v>
      </c>
      <c r="R7310" s="19">
        <f t="shared" si="314"/>
        <v>-364</v>
      </c>
      <c r="S7310" s="19">
        <v>2040</v>
      </c>
      <c r="T7310" s="19" t="s">
        <v>42</v>
      </c>
      <c r="U7310" s="102" t="s">
        <v>1701</v>
      </c>
      <c r="V7310" s="186">
        <v>46014</v>
      </c>
      <c r="W7310" s="17" t="s">
        <v>58</v>
      </c>
      <c r="X7310" s="17"/>
      <c r="Y7310" s="68">
        <v>46082</v>
      </c>
      <c r="Z7310" s="17" t="s">
        <v>1702</v>
      </c>
      <c r="AA7310" s="17" t="s">
        <v>46</v>
      </c>
      <c r="AB7310" s="17" t="s">
        <v>1703</v>
      </c>
      <c r="AC7310" s="217">
        <v>46096</v>
      </c>
      <c r="AD7310" s="65">
        <v>1788</v>
      </c>
      <c r="AE7310" s="17" t="s">
        <v>48</v>
      </c>
      <c r="AF7310" s="17" t="s">
        <v>61</v>
      </c>
      <c r="AG7310" s="17"/>
      <c r="AH7310" s="17"/>
      <c r="AI7310" s="17"/>
      <c r="AJ7310" s="17"/>
      <c r="AK7310" s="17"/>
      <c r="AL7310" s="17"/>
      <c r="AM7310" s="17"/>
      <c r="AN7310" s="17"/>
      <c r="AO7310" s="17"/>
      <c r="AP7310" s="17"/>
      <c r="AQ7310" s="17"/>
      <c r="AR7310" s="17"/>
    </row>
    <row r="7311" s="25" customFormat="1" hidden="1" spans="1:44">
      <c r="A7311" s="17" t="s">
        <v>34</v>
      </c>
      <c r="B7311" s="19">
        <v>1102</v>
      </c>
      <c r="C7311" s="183">
        <v>46014</v>
      </c>
      <c r="D7311" s="17" t="s">
        <v>52</v>
      </c>
      <c r="E7311" s="17" t="s">
        <v>53</v>
      </c>
      <c r="F7311" s="17" t="s">
        <v>54</v>
      </c>
      <c r="G7311" s="17"/>
      <c r="H7311" s="19" t="s">
        <v>55</v>
      </c>
      <c r="I7311" s="19"/>
      <c r="J7311" s="17" t="s">
        <v>49</v>
      </c>
      <c r="K7311" s="19">
        <v>610</v>
      </c>
      <c r="L7311" s="395">
        <v>50</v>
      </c>
      <c r="M7311" s="19">
        <v>5800</v>
      </c>
      <c r="N7311" s="19" t="s">
        <v>40</v>
      </c>
      <c r="O7311" s="19" t="s">
        <v>84</v>
      </c>
      <c r="P7311" s="437">
        <v>2000</v>
      </c>
      <c r="Q7311" s="19">
        <f>806+984+1014</f>
        <v>2804</v>
      </c>
      <c r="R7311" s="19">
        <f t="shared" si="314"/>
        <v>-804</v>
      </c>
      <c r="S7311" s="19">
        <v>2040</v>
      </c>
      <c r="T7311" s="19" t="s">
        <v>42</v>
      </c>
      <c r="U7311" s="102" t="s">
        <v>1701</v>
      </c>
      <c r="V7311" s="186">
        <v>46014</v>
      </c>
      <c r="W7311" s="17" t="s">
        <v>58</v>
      </c>
      <c r="X7311" s="17"/>
      <c r="Y7311" s="68">
        <v>46082</v>
      </c>
      <c r="Z7311" s="17" t="s">
        <v>1702</v>
      </c>
      <c r="AA7311" s="17" t="s">
        <v>46</v>
      </c>
      <c r="AB7311" s="17" t="s">
        <v>1703</v>
      </c>
      <c r="AC7311" s="217">
        <v>46096</v>
      </c>
      <c r="AD7311" s="65">
        <v>1788</v>
      </c>
      <c r="AE7311" s="17" t="s">
        <v>48</v>
      </c>
      <c r="AF7311" s="17" t="s">
        <v>61</v>
      </c>
      <c r="AG7311" s="17"/>
      <c r="AH7311" s="17"/>
      <c r="AI7311" s="17"/>
      <c r="AJ7311" s="17"/>
      <c r="AK7311" s="17"/>
      <c r="AL7311" s="17"/>
      <c r="AM7311" s="17"/>
      <c r="AN7311" s="17"/>
      <c r="AO7311" s="17"/>
      <c r="AP7311" s="17"/>
      <c r="AQ7311" s="17"/>
      <c r="AR7311" s="17"/>
    </row>
    <row r="7312" s="25" customFormat="1" hidden="1" spans="1:44">
      <c r="A7312" s="17" t="s">
        <v>34</v>
      </c>
      <c r="B7312" s="19">
        <v>1102</v>
      </c>
      <c r="C7312" s="183">
        <v>46014</v>
      </c>
      <c r="D7312" s="17" t="s">
        <v>52</v>
      </c>
      <c r="E7312" s="17" t="s">
        <v>53</v>
      </c>
      <c r="F7312" s="17" t="s">
        <v>54</v>
      </c>
      <c r="G7312" s="17"/>
      <c r="H7312" s="19" t="s">
        <v>55</v>
      </c>
      <c r="I7312" s="19"/>
      <c r="J7312" s="17" t="s">
        <v>49</v>
      </c>
      <c r="K7312" s="19">
        <v>610</v>
      </c>
      <c r="L7312" s="395">
        <v>56</v>
      </c>
      <c r="M7312" s="19">
        <v>5800</v>
      </c>
      <c r="N7312" s="19" t="s">
        <v>40</v>
      </c>
      <c r="O7312" s="19" t="s">
        <v>84</v>
      </c>
      <c r="P7312" s="437">
        <v>1000</v>
      </c>
      <c r="Q7312" s="19">
        <v>1054</v>
      </c>
      <c r="R7312" s="19">
        <f t="shared" si="314"/>
        <v>-54</v>
      </c>
      <c r="S7312" s="19">
        <v>2040</v>
      </c>
      <c r="T7312" s="19" t="s">
        <v>42</v>
      </c>
      <c r="U7312" s="102" t="s">
        <v>1701</v>
      </c>
      <c r="V7312" s="186">
        <v>46014</v>
      </c>
      <c r="W7312" s="17" t="s">
        <v>58</v>
      </c>
      <c r="X7312" s="17"/>
      <c r="Y7312" s="68">
        <v>46082</v>
      </c>
      <c r="Z7312" s="17" t="s">
        <v>1702</v>
      </c>
      <c r="AA7312" s="17" t="s">
        <v>46</v>
      </c>
      <c r="AB7312" s="17" t="s">
        <v>1703</v>
      </c>
      <c r="AC7312" s="217">
        <v>46096</v>
      </c>
      <c r="AD7312" s="65">
        <v>1788</v>
      </c>
      <c r="AE7312" s="17" t="s">
        <v>48</v>
      </c>
      <c r="AF7312" s="17" t="s">
        <v>61</v>
      </c>
      <c r="AG7312" s="17"/>
      <c r="AH7312" s="17"/>
      <c r="AI7312" s="17"/>
      <c r="AJ7312" s="17"/>
      <c r="AK7312" s="17"/>
      <c r="AL7312" s="17"/>
      <c r="AM7312" s="17"/>
      <c r="AN7312" s="17"/>
      <c r="AO7312" s="17"/>
      <c r="AP7312" s="17"/>
      <c r="AQ7312" s="17"/>
      <c r="AR7312" s="17"/>
    </row>
    <row r="7313" s="25" customFormat="1" hidden="1" spans="1:44">
      <c r="A7313" s="17" t="s">
        <v>34</v>
      </c>
      <c r="B7313" s="19">
        <v>1102</v>
      </c>
      <c r="C7313" s="183">
        <v>46014</v>
      </c>
      <c r="D7313" s="17" t="s">
        <v>52</v>
      </c>
      <c r="E7313" s="17" t="s">
        <v>53</v>
      </c>
      <c r="F7313" s="17" t="s">
        <v>54</v>
      </c>
      <c r="G7313" s="17"/>
      <c r="H7313" s="19" t="s">
        <v>55</v>
      </c>
      <c r="I7313" s="19"/>
      <c r="J7313" s="17" t="s">
        <v>49</v>
      </c>
      <c r="K7313" s="19">
        <v>610</v>
      </c>
      <c r="L7313" s="395">
        <v>60</v>
      </c>
      <c r="M7313" s="19">
        <v>5800</v>
      </c>
      <c r="N7313" s="19" t="s">
        <v>40</v>
      </c>
      <c r="O7313" s="19" t="s">
        <v>84</v>
      </c>
      <c r="P7313" s="437">
        <v>1000</v>
      </c>
      <c r="Q7313" s="19">
        <v>1062</v>
      </c>
      <c r="R7313" s="19">
        <f t="shared" si="314"/>
        <v>-62</v>
      </c>
      <c r="S7313" s="19">
        <v>2040</v>
      </c>
      <c r="T7313" s="19" t="s">
        <v>42</v>
      </c>
      <c r="U7313" s="102" t="s">
        <v>1701</v>
      </c>
      <c r="V7313" s="186">
        <v>46014</v>
      </c>
      <c r="W7313" s="17" t="s">
        <v>58</v>
      </c>
      <c r="X7313" s="17"/>
      <c r="Y7313" s="68">
        <v>46082</v>
      </c>
      <c r="Z7313" s="17" t="s">
        <v>1702</v>
      </c>
      <c r="AA7313" s="17" t="s">
        <v>46</v>
      </c>
      <c r="AB7313" s="17" t="s">
        <v>1703</v>
      </c>
      <c r="AC7313" s="217">
        <v>46096</v>
      </c>
      <c r="AD7313" s="65">
        <v>1788</v>
      </c>
      <c r="AE7313" s="17" t="s">
        <v>48</v>
      </c>
      <c r="AF7313" s="17" t="s">
        <v>61</v>
      </c>
      <c r="AG7313" s="17"/>
      <c r="AH7313" s="17"/>
      <c r="AI7313" s="17"/>
      <c r="AJ7313" s="17"/>
      <c r="AK7313" s="17"/>
      <c r="AL7313" s="17"/>
      <c r="AM7313" s="17"/>
      <c r="AN7313" s="17"/>
      <c r="AO7313" s="17"/>
      <c r="AP7313" s="17"/>
      <c r="AQ7313" s="17"/>
      <c r="AR7313" s="17"/>
    </row>
    <row r="7314" s="25" customFormat="1" hidden="1" spans="1:44">
      <c r="A7314" s="17" t="s">
        <v>34</v>
      </c>
      <c r="B7314" s="19">
        <v>1102</v>
      </c>
      <c r="C7314" s="183">
        <v>46014</v>
      </c>
      <c r="D7314" s="17" t="s">
        <v>52</v>
      </c>
      <c r="E7314" s="17" t="s">
        <v>53</v>
      </c>
      <c r="F7314" s="17" t="s">
        <v>54</v>
      </c>
      <c r="G7314" s="17"/>
      <c r="H7314" s="19" t="s">
        <v>55</v>
      </c>
      <c r="I7314" s="19"/>
      <c r="J7314" s="17" t="s">
        <v>49</v>
      </c>
      <c r="K7314" s="19">
        <v>610</v>
      </c>
      <c r="L7314" s="395">
        <v>65</v>
      </c>
      <c r="M7314" s="19">
        <v>5800</v>
      </c>
      <c r="N7314" s="19" t="s">
        <v>40</v>
      </c>
      <c r="O7314" s="19" t="s">
        <v>84</v>
      </c>
      <c r="P7314" s="437">
        <v>2000</v>
      </c>
      <c r="Q7314" s="19">
        <v>1046</v>
      </c>
      <c r="R7314" s="19">
        <f t="shared" si="314"/>
        <v>954</v>
      </c>
      <c r="S7314" s="19">
        <v>2040</v>
      </c>
      <c r="T7314" s="19" t="s">
        <v>42</v>
      </c>
      <c r="U7314" s="102" t="s">
        <v>1701</v>
      </c>
      <c r="V7314" s="186">
        <v>46014</v>
      </c>
      <c r="W7314" s="17" t="s">
        <v>58</v>
      </c>
      <c r="X7314" s="17"/>
      <c r="Y7314" s="68">
        <v>46082</v>
      </c>
      <c r="Z7314" s="17" t="s">
        <v>1702</v>
      </c>
      <c r="AA7314" s="17" t="s">
        <v>46</v>
      </c>
      <c r="AB7314" s="17" t="s">
        <v>1703</v>
      </c>
      <c r="AC7314" s="217">
        <v>46096</v>
      </c>
      <c r="AD7314" s="65">
        <v>1788</v>
      </c>
      <c r="AE7314" s="17" t="s">
        <v>48</v>
      </c>
      <c r="AF7314" s="17" t="s">
        <v>61</v>
      </c>
      <c r="AG7314" s="17"/>
      <c r="AH7314" s="17"/>
      <c r="AI7314" s="17"/>
      <c r="AJ7314" s="17"/>
      <c r="AK7314" s="17"/>
      <c r="AL7314" s="17"/>
      <c r="AM7314" s="17"/>
      <c r="AN7314" s="17"/>
      <c r="AO7314" s="17"/>
      <c r="AP7314" s="17"/>
      <c r="AQ7314" s="17"/>
      <c r="AR7314" s="17"/>
    </row>
    <row r="7315" s="25" customFormat="1" hidden="1" spans="1:44">
      <c r="A7315" s="17" t="s">
        <v>34</v>
      </c>
      <c r="B7315" s="19">
        <v>1102</v>
      </c>
      <c r="C7315" s="183">
        <v>46014</v>
      </c>
      <c r="D7315" s="17" t="s">
        <v>52</v>
      </c>
      <c r="E7315" s="17" t="s">
        <v>53</v>
      </c>
      <c r="F7315" s="17" t="s">
        <v>54</v>
      </c>
      <c r="G7315" s="17"/>
      <c r="H7315" s="19" t="s">
        <v>55</v>
      </c>
      <c r="I7315" s="19"/>
      <c r="J7315" s="17" t="s">
        <v>49</v>
      </c>
      <c r="K7315" s="19">
        <v>610</v>
      </c>
      <c r="L7315" s="395">
        <v>71</v>
      </c>
      <c r="M7315" s="19">
        <v>5800</v>
      </c>
      <c r="N7315" s="19" t="s">
        <v>40</v>
      </c>
      <c r="O7315" s="19" t="s">
        <v>84</v>
      </c>
      <c r="P7315" s="437">
        <v>1000</v>
      </c>
      <c r="Q7315" s="19">
        <v>912</v>
      </c>
      <c r="R7315" s="19">
        <f t="shared" si="314"/>
        <v>88</v>
      </c>
      <c r="S7315" s="19">
        <v>2040</v>
      </c>
      <c r="T7315" s="19" t="s">
        <v>42</v>
      </c>
      <c r="U7315" s="102" t="s">
        <v>1701</v>
      </c>
      <c r="V7315" s="186">
        <v>46014</v>
      </c>
      <c r="W7315" s="17" t="s">
        <v>58</v>
      </c>
      <c r="X7315" s="17"/>
      <c r="Y7315" s="68">
        <v>46082</v>
      </c>
      <c r="Z7315" s="17" t="s">
        <v>1702</v>
      </c>
      <c r="AA7315" s="17" t="s">
        <v>46</v>
      </c>
      <c r="AB7315" s="17" t="s">
        <v>1703</v>
      </c>
      <c r="AC7315" s="217">
        <v>46096</v>
      </c>
      <c r="AD7315" s="65">
        <v>1788</v>
      </c>
      <c r="AE7315" s="17" t="s">
        <v>48</v>
      </c>
      <c r="AF7315" s="17" t="s">
        <v>61</v>
      </c>
      <c r="AG7315" s="17"/>
      <c r="AH7315" s="17"/>
      <c r="AI7315" s="17"/>
      <c r="AJ7315" s="17"/>
      <c r="AK7315" s="17"/>
      <c r="AL7315" s="17"/>
      <c r="AM7315" s="17"/>
      <c r="AN7315" s="17"/>
      <c r="AO7315" s="17"/>
      <c r="AP7315" s="17"/>
      <c r="AQ7315" s="17"/>
      <c r="AR7315" s="17"/>
    </row>
    <row r="7316" s="25" customFormat="1" hidden="1" spans="1:44">
      <c r="A7316" s="17" t="s">
        <v>34</v>
      </c>
      <c r="B7316" s="19">
        <v>1102</v>
      </c>
      <c r="C7316" s="183">
        <v>46014</v>
      </c>
      <c r="D7316" s="17" t="s">
        <v>52</v>
      </c>
      <c r="E7316" s="17" t="s">
        <v>53</v>
      </c>
      <c r="F7316" s="17" t="s">
        <v>54</v>
      </c>
      <c r="G7316" s="17"/>
      <c r="H7316" s="19" t="s">
        <v>55</v>
      </c>
      <c r="I7316" s="19"/>
      <c r="J7316" s="17" t="s">
        <v>49</v>
      </c>
      <c r="K7316" s="19">
        <v>610</v>
      </c>
      <c r="L7316" s="395">
        <v>75</v>
      </c>
      <c r="M7316" s="19">
        <v>5800</v>
      </c>
      <c r="N7316" s="19" t="s">
        <v>40</v>
      </c>
      <c r="O7316" s="19" t="s">
        <v>84</v>
      </c>
      <c r="P7316" s="437">
        <v>1000</v>
      </c>
      <c r="Q7316" s="19">
        <v>1470</v>
      </c>
      <c r="R7316" s="19">
        <f t="shared" si="314"/>
        <v>-470</v>
      </c>
      <c r="S7316" s="19">
        <v>2040</v>
      </c>
      <c r="T7316" s="19" t="s">
        <v>42</v>
      </c>
      <c r="U7316" s="102" t="s">
        <v>1701</v>
      </c>
      <c r="V7316" s="186">
        <v>46014</v>
      </c>
      <c r="W7316" s="17" t="s">
        <v>58</v>
      </c>
      <c r="X7316" s="17"/>
      <c r="Y7316" s="68">
        <v>46082</v>
      </c>
      <c r="Z7316" s="17" t="s">
        <v>1702</v>
      </c>
      <c r="AA7316" s="17" t="s">
        <v>46</v>
      </c>
      <c r="AB7316" s="17" t="s">
        <v>1703</v>
      </c>
      <c r="AC7316" s="217">
        <v>46096</v>
      </c>
      <c r="AD7316" s="65">
        <v>1788</v>
      </c>
      <c r="AE7316" s="17" t="s">
        <v>48</v>
      </c>
      <c r="AF7316" s="17" t="s">
        <v>61</v>
      </c>
      <c r="AG7316" s="17"/>
      <c r="AH7316" s="17"/>
      <c r="AI7316" s="17"/>
      <c r="AJ7316" s="17"/>
      <c r="AK7316" s="17"/>
      <c r="AL7316" s="17"/>
      <c r="AM7316" s="17"/>
      <c r="AN7316" s="17"/>
      <c r="AO7316" s="17"/>
      <c r="AP7316" s="17"/>
      <c r="AQ7316" s="17"/>
      <c r="AR7316" s="17"/>
    </row>
    <row r="7317" s="25" customFormat="1" hidden="1" spans="1:44">
      <c r="A7317" s="17" t="s">
        <v>34</v>
      </c>
      <c r="B7317" s="19">
        <v>1102</v>
      </c>
      <c r="C7317" s="183">
        <v>46014</v>
      </c>
      <c r="D7317" s="17" t="s">
        <v>52</v>
      </c>
      <c r="E7317" s="17" t="s">
        <v>53</v>
      </c>
      <c r="F7317" s="17" t="s">
        <v>54</v>
      </c>
      <c r="G7317" s="17"/>
      <c r="H7317" s="19" t="s">
        <v>55</v>
      </c>
      <c r="I7317" s="19"/>
      <c r="J7317" s="17" t="s">
        <v>49</v>
      </c>
      <c r="K7317" s="19">
        <v>610</v>
      </c>
      <c r="L7317" s="395">
        <v>81</v>
      </c>
      <c r="M7317" s="19">
        <v>5800</v>
      </c>
      <c r="N7317" s="19" t="s">
        <v>40</v>
      </c>
      <c r="O7317" s="19" t="s">
        <v>84</v>
      </c>
      <c r="P7317" s="437">
        <v>2000</v>
      </c>
      <c r="Q7317" s="19">
        <v>1458</v>
      </c>
      <c r="R7317" s="19">
        <f t="shared" si="314"/>
        <v>542</v>
      </c>
      <c r="S7317" s="19">
        <v>2040</v>
      </c>
      <c r="T7317" s="19" t="s">
        <v>42</v>
      </c>
      <c r="U7317" s="102" t="s">
        <v>1701</v>
      </c>
      <c r="V7317" s="186">
        <v>46014</v>
      </c>
      <c r="W7317" s="17" t="s">
        <v>58</v>
      </c>
      <c r="X7317" s="17"/>
      <c r="Y7317" s="68">
        <v>46082</v>
      </c>
      <c r="Z7317" s="17" t="s">
        <v>1702</v>
      </c>
      <c r="AA7317" s="17" t="s">
        <v>46</v>
      </c>
      <c r="AB7317" s="17" t="s">
        <v>1703</v>
      </c>
      <c r="AC7317" s="217">
        <v>46096</v>
      </c>
      <c r="AD7317" s="65">
        <v>1788</v>
      </c>
      <c r="AE7317" s="17" t="s">
        <v>48</v>
      </c>
      <c r="AF7317" s="17" t="s">
        <v>61</v>
      </c>
      <c r="AG7317" s="17"/>
      <c r="AH7317" s="17"/>
      <c r="AI7317" s="17"/>
      <c r="AJ7317" s="17"/>
      <c r="AK7317" s="17"/>
      <c r="AL7317" s="17"/>
      <c r="AM7317" s="17"/>
      <c r="AN7317" s="17"/>
      <c r="AO7317" s="17"/>
      <c r="AP7317" s="17"/>
      <c r="AQ7317" s="17"/>
      <c r="AR7317" s="17"/>
    </row>
    <row r="7318" s="25" customFormat="1" hidden="1" spans="1:44">
      <c r="A7318" s="17" t="s">
        <v>34</v>
      </c>
      <c r="B7318" s="19">
        <v>1102</v>
      </c>
      <c r="C7318" s="183">
        <v>46014</v>
      </c>
      <c r="D7318" s="17" t="s">
        <v>52</v>
      </c>
      <c r="E7318" s="17" t="s">
        <v>53</v>
      </c>
      <c r="F7318" s="17" t="s">
        <v>54</v>
      </c>
      <c r="G7318" s="17"/>
      <c r="H7318" s="19" t="s">
        <v>55</v>
      </c>
      <c r="I7318" s="19"/>
      <c r="J7318" s="17" t="s">
        <v>49</v>
      </c>
      <c r="K7318" s="19">
        <v>610</v>
      </c>
      <c r="L7318" s="395">
        <v>85</v>
      </c>
      <c r="M7318" s="19">
        <v>5800</v>
      </c>
      <c r="N7318" s="19" t="s">
        <v>40</v>
      </c>
      <c r="O7318" s="19" t="s">
        <v>84</v>
      </c>
      <c r="P7318" s="437">
        <v>2000</v>
      </c>
      <c r="Q7318" s="19">
        <v>1544</v>
      </c>
      <c r="R7318" s="19">
        <f t="shared" si="314"/>
        <v>456</v>
      </c>
      <c r="S7318" s="19">
        <v>2040</v>
      </c>
      <c r="T7318" s="19" t="s">
        <v>42</v>
      </c>
      <c r="U7318" s="102" t="s">
        <v>1701</v>
      </c>
      <c r="V7318" s="186">
        <v>46014</v>
      </c>
      <c r="W7318" s="17" t="s">
        <v>58</v>
      </c>
      <c r="X7318" s="17"/>
      <c r="Y7318" s="68">
        <v>46082</v>
      </c>
      <c r="Z7318" s="17" t="s">
        <v>1702</v>
      </c>
      <c r="AA7318" s="17" t="s">
        <v>46</v>
      </c>
      <c r="AB7318" s="17" t="s">
        <v>1703</v>
      </c>
      <c r="AC7318" s="217">
        <v>46096</v>
      </c>
      <c r="AD7318" s="65">
        <v>1788</v>
      </c>
      <c r="AE7318" s="17" t="s">
        <v>48</v>
      </c>
      <c r="AF7318" s="17" t="s">
        <v>61</v>
      </c>
      <c r="AG7318" s="17"/>
      <c r="AH7318" s="17"/>
      <c r="AI7318" s="17"/>
      <c r="AJ7318" s="17"/>
      <c r="AK7318" s="17"/>
      <c r="AL7318" s="17"/>
      <c r="AM7318" s="17"/>
      <c r="AN7318" s="17"/>
      <c r="AO7318" s="17"/>
      <c r="AP7318" s="17"/>
      <c r="AQ7318" s="17"/>
      <c r="AR7318" s="17"/>
    </row>
    <row r="7319" s="25" customFormat="1" hidden="1" spans="1:44">
      <c r="A7319" s="17" t="s">
        <v>34</v>
      </c>
      <c r="B7319" s="19">
        <v>1102</v>
      </c>
      <c r="C7319" s="183">
        <v>46014</v>
      </c>
      <c r="D7319" s="17" t="s">
        <v>52</v>
      </c>
      <c r="E7319" s="17" t="s">
        <v>53</v>
      </c>
      <c r="F7319" s="17" t="s">
        <v>54</v>
      </c>
      <c r="G7319" s="17"/>
      <c r="H7319" s="19" t="s">
        <v>55</v>
      </c>
      <c r="I7319" s="19"/>
      <c r="J7319" s="17" t="s">
        <v>49</v>
      </c>
      <c r="K7319" s="19">
        <v>610</v>
      </c>
      <c r="L7319" s="395">
        <v>91</v>
      </c>
      <c r="M7319" s="19">
        <v>5800</v>
      </c>
      <c r="N7319" s="19" t="s">
        <v>40</v>
      </c>
      <c r="O7319" s="19" t="s">
        <v>84</v>
      </c>
      <c r="P7319" s="437">
        <v>2000</v>
      </c>
      <c r="Q7319" s="19">
        <v>1950</v>
      </c>
      <c r="R7319" s="19">
        <f t="shared" si="314"/>
        <v>50</v>
      </c>
      <c r="S7319" s="19">
        <v>2040</v>
      </c>
      <c r="T7319" s="19" t="s">
        <v>42</v>
      </c>
      <c r="U7319" s="102" t="s">
        <v>1701</v>
      </c>
      <c r="V7319" s="186">
        <v>46014</v>
      </c>
      <c r="W7319" s="17" t="s">
        <v>58</v>
      </c>
      <c r="X7319" s="17"/>
      <c r="Y7319" s="68">
        <v>46082</v>
      </c>
      <c r="Z7319" s="17" t="s">
        <v>1702</v>
      </c>
      <c r="AA7319" s="17" t="s">
        <v>46</v>
      </c>
      <c r="AB7319" s="17" t="s">
        <v>1703</v>
      </c>
      <c r="AC7319" s="217">
        <v>46096</v>
      </c>
      <c r="AD7319" s="65">
        <v>1788</v>
      </c>
      <c r="AE7319" s="17" t="s">
        <v>48</v>
      </c>
      <c r="AF7319" s="17" t="s">
        <v>61</v>
      </c>
      <c r="AG7319" s="17"/>
      <c r="AH7319" s="17"/>
      <c r="AI7319" s="17"/>
      <c r="AJ7319" s="17"/>
      <c r="AK7319" s="17"/>
      <c r="AL7319" s="17"/>
      <c r="AM7319" s="17"/>
      <c r="AN7319" s="17"/>
      <c r="AO7319" s="17"/>
      <c r="AP7319" s="17"/>
      <c r="AQ7319" s="17"/>
      <c r="AR7319" s="17"/>
    </row>
    <row r="7320" hidden="1" spans="1:44">
      <c r="A7320" s="18"/>
      <c r="B7320" s="75">
        <v>1102</v>
      </c>
      <c r="C7320" s="213">
        <v>46014</v>
      </c>
      <c r="D7320" s="18" t="s">
        <v>52</v>
      </c>
      <c r="E7320" s="18" t="s">
        <v>53</v>
      </c>
      <c r="F7320" s="18" t="s">
        <v>54</v>
      </c>
      <c r="G7320" s="18"/>
      <c r="H7320" s="75" t="s">
        <v>55</v>
      </c>
      <c r="I7320" s="75"/>
      <c r="J7320" s="18" t="s">
        <v>49</v>
      </c>
      <c r="K7320" s="75">
        <v>610</v>
      </c>
      <c r="L7320" s="438">
        <v>100</v>
      </c>
      <c r="M7320" s="75">
        <v>5800</v>
      </c>
      <c r="N7320" s="75" t="s">
        <v>40</v>
      </c>
      <c r="O7320" s="75" t="s">
        <v>84</v>
      </c>
      <c r="P7320" s="439">
        <v>2000</v>
      </c>
      <c r="Q7320" s="75"/>
      <c r="R7320" s="75">
        <f t="shared" si="314"/>
        <v>2000</v>
      </c>
      <c r="S7320" s="75">
        <v>2040</v>
      </c>
      <c r="T7320" s="75" t="s">
        <v>42</v>
      </c>
      <c r="U7320" s="137" t="s">
        <v>1701</v>
      </c>
      <c r="V7320" s="193">
        <v>46014</v>
      </c>
      <c r="W7320" s="18" t="s">
        <v>58</v>
      </c>
      <c r="X7320" s="18"/>
      <c r="Y7320" s="114">
        <v>46082</v>
      </c>
      <c r="Z7320" s="18" t="s">
        <v>1702</v>
      </c>
      <c r="AA7320" s="18" t="s">
        <v>46</v>
      </c>
      <c r="AB7320" s="18"/>
      <c r="AC7320" s="137"/>
      <c r="AD7320" s="77"/>
      <c r="AE7320" s="18" t="s">
        <v>48</v>
      </c>
      <c r="AF7320" s="24" t="s">
        <v>61</v>
      </c>
      <c r="AG7320" s="18"/>
      <c r="AH7320" s="18" t="s">
        <v>1704</v>
      </c>
      <c r="AI7320" s="18"/>
      <c r="AJ7320" s="18"/>
      <c r="AK7320" s="18"/>
      <c r="AL7320" s="18"/>
      <c r="AM7320" s="18"/>
      <c r="AN7320" s="18"/>
      <c r="AO7320" s="18"/>
      <c r="AP7320" s="18"/>
      <c r="AQ7320" s="18"/>
      <c r="AR7320" s="18"/>
    </row>
    <row r="7321" s="25" customFormat="1" hidden="1" spans="1:44">
      <c r="A7321" s="17" t="s">
        <v>34</v>
      </c>
      <c r="B7321" s="19">
        <v>1102</v>
      </c>
      <c r="C7321" s="183">
        <v>46014</v>
      </c>
      <c r="D7321" s="17" t="s">
        <v>52</v>
      </c>
      <c r="E7321" s="17" t="s">
        <v>53</v>
      </c>
      <c r="F7321" s="17" t="s">
        <v>54</v>
      </c>
      <c r="G7321" s="17"/>
      <c r="H7321" s="19" t="s">
        <v>55</v>
      </c>
      <c r="I7321" s="19"/>
      <c r="J7321" s="17" t="s">
        <v>49</v>
      </c>
      <c r="K7321" s="19">
        <v>610</v>
      </c>
      <c r="L7321" s="395">
        <v>105</v>
      </c>
      <c r="M7321" s="19">
        <v>5800</v>
      </c>
      <c r="N7321" s="19" t="s">
        <v>40</v>
      </c>
      <c r="O7321" s="19" t="s">
        <v>84</v>
      </c>
      <c r="P7321" s="437">
        <v>2000</v>
      </c>
      <c r="Q7321" s="19">
        <v>2216</v>
      </c>
      <c r="R7321" s="19">
        <f t="shared" si="314"/>
        <v>-216</v>
      </c>
      <c r="S7321" s="19">
        <v>2040</v>
      </c>
      <c r="T7321" s="19" t="s">
        <v>42</v>
      </c>
      <c r="U7321" s="102" t="s">
        <v>1701</v>
      </c>
      <c r="V7321" s="186">
        <v>46014</v>
      </c>
      <c r="W7321" s="17" t="s">
        <v>58</v>
      </c>
      <c r="X7321" s="17"/>
      <c r="Y7321" s="68">
        <v>46082</v>
      </c>
      <c r="Z7321" s="17" t="s">
        <v>1702</v>
      </c>
      <c r="AA7321" s="17" t="s">
        <v>46</v>
      </c>
      <c r="AB7321" s="17" t="s">
        <v>1703</v>
      </c>
      <c r="AC7321" s="217">
        <v>46096</v>
      </c>
      <c r="AD7321" s="65">
        <v>1788</v>
      </c>
      <c r="AE7321" s="17" t="s">
        <v>48</v>
      </c>
      <c r="AF7321" s="17" t="s">
        <v>61</v>
      </c>
      <c r="AG7321" s="17"/>
      <c r="AH7321" s="17"/>
      <c r="AI7321" s="17"/>
      <c r="AJ7321" s="17"/>
      <c r="AK7321" s="17"/>
      <c r="AL7321" s="17"/>
      <c r="AM7321" s="17"/>
      <c r="AN7321" s="17"/>
      <c r="AO7321" s="17"/>
      <c r="AP7321" s="17"/>
      <c r="AQ7321" s="17"/>
      <c r="AR7321" s="17"/>
    </row>
    <row r="7322" s="25" customFormat="1" hidden="1" spans="1:44">
      <c r="A7322" s="17" t="s">
        <v>34</v>
      </c>
      <c r="B7322" s="19">
        <v>1102</v>
      </c>
      <c r="C7322" s="183">
        <v>46014</v>
      </c>
      <c r="D7322" s="17" t="s">
        <v>52</v>
      </c>
      <c r="E7322" s="17" t="s">
        <v>53</v>
      </c>
      <c r="F7322" s="17" t="s">
        <v>54</v>
      </c>
      <c r="G7322" s="17"/>
      <c r="H7322" s="19" t="s">
        <v>55</v>
      </c>
      <c r="I7322" s="19"/>
      <c r="J7322" s="17" t="s">
        <v>49</v>
      </c>
      <c r="K7322" s="19">
        <v>610</v>
      </c>
      <c r="L7322" s="395">
        <v>120</v>
      </c>
      <c r="M7322" s="19">
        <v>5800</v>
      </c>
      <c r="N7322" s="19" t="s">
        <v>40</v>
      </c>
      <c r="O7322" s="19" t="s">
        <v>84</v>
      </c>
      <c r="P7322" s="437">
        <v>2000</v>
      </c>
      <c r="Q7322" s="19">
        <v>2478</v>
      </c>
      <c r="R7322" s="19">
        <f t="shared" si="314"/>
        <v>-478</v>
      </c>
      <c r="S7322" s="19">
        <v>2040</v>
      </c>
      <c r="T7322" s="19" t="s">
        <v>42</v>
      </c>
      <c r="U7322" s="102" t="s">
        <v>1701</v>
      </c>
      <c r="V7322" s="186">
        <v>46014</v>
      </c>
      <c r="W7322" s="17" t="s">
        <v>58</v>
      </c>
      <c r="X7322" s="17"/>
      <c r="Y7322" s="68">
        <v>46082</v>
      </c>
      <c r="Z7322" s="17" t="s">
        <v>1702</v>
      </c>
      <c r="AA7322" s="17" t="s">
        <v>46</v>
      </c>
      <c r="AB7322" s="17" t="s">
        <v>1703</v>
      </c>
      <c r="AC7322" s="217">
        <v>46096</v>
      </c>
      <c r="AD7322" s="65">
        <v>1788</v>
      </c>
      <c r="AE7322" s="17" t="s">
        <v>48</v>
      </c>
      <c r="AF7322" s="17" t="s">
        <v>61</v>
      </c>
      <c r="AG7322" s="17"/>
      <c r="AH7322" s="17"/>
      <c r="AI7322" s="17"/>
      <c r="AJ7322" s="17"/>
      <c r="AK7322" s="17"/>
      <c r="AL7322" s="17"/>
      <c r="AM7322" s="17"/>
      <c r="AN7322" s="17"/>
      <c r="AO7322" s="17"/>
      <c r="AP7322" s="17"/>
      <c r="AQ7322" s="17"/>
      <c r="AR7322" s="17"/>
    </row>
    <row r="7323" hidden="1" spans="1:44">
      <c r="A7323" s="18"/>
      <c r="B7323" s="75">
        <v>1102</v>
      </c>
      <c r="C7323" s="213">
        <v>46014</v>
      </c>
      <c r="D7323" s="18" t="s">
        <v>52</v>
      </c>
      <c r="E7323" s="18" t="s">
        <v>53</v>
      </c>
      <c r="F7323" s="18" t="s">
        <v>54</v>
      </c>
      <c r="G7323" s="18"/>
      <c r="H7323" s="75" t="s">
        <v>55</v>
      </c>
      <c r="I7323" s="75"/>
      <c r="J7323" s="18" t="s">
        <v>49</v>
      </c>
      <c r="K7323" s="75">
        <v>610</v>
      </c>
      <c r="L7323" s="438">
        <v>130</v>
      </c>
      <c r="M7323" s="75">
        <v>5800</v>
      </c>
      <c r="N7323" s="75" t="s">
        <v>40</v>
      </c>
      <c r="O7323" s="75" t="s">
        <v>84</v>
      </c>
      <c r="P7323" s="439">
        <v>2000</v>
      </c>
      <c r="Q7323" s="75"/>
      <c r="R7323" s="75">
        <f t="shared" si="314"/>
        <v>2000</v>
      </c>
      <c r="S7323" s="75">
        <v>2040</v>
      </c>
      <c r="T7323" s="75" t="s">
        <v>42</v>
      </c>
      <c r="U7323" s="137" t="s">
        <v>1701</v>
      </c>
      <c r="V7323" s="193">
        <v>46014</v>
      </c>
      <c r="W7323" s="18" t="s">
        <v>58</v>
      </c>
      <c r="X7323" s="18"/>
      <c r="Y7323" s="114">
        <v>46082</v>
      </c>
      <c r="Z7323" s="24" t="s">
        <v>1702</v>
      </c>
      <c r="AA7323" s="18" t="s">
        <v>46</v>
      </c>
      <c r="AB7323" s="18"/>
      <c r="AC7323" s="137"/>
      <c r="AD7323" s="77"/>
      <c r="AE7323" s="18" t="s">
        <v>48</v>
      </c>
      <c r="AF7323" s="24" t="s">
        <v>61</v>
      </c>
      <c r="AG7323" s="18"/>
      <c r="AH7323" s="18" t="s">
        <v>1704</v>
      </c>
      <c r="AI7323" s="18"/>
      <c r="AJ7323" s="18"/>
      <c r="AK7323" s="18"/>
      <c r="AL7323" s="18"/>
      <c r="AM7323" s="18"/>
      <c r="AN7323" s="18"/>
      <c r="AO7323" s="18"/>
      <c r="AP7323" s="18"/>
      <c r="AQ7323" s="18"/>
      <c r="AR7323" s="18"/>
    </row>
    <row r="7324" s="25" customFormat="1" hidden="1" spans="1:44">
      <c r="A7324" s="17" t="s">
        <v>34</v>
      </c>
      <c r="B7324" s="19">
        <v>1102</v>
      </c>
      <c r="C7324" s="183">
        <v>46014</v>
      </c>
      <c r="D7324" s="17" t="s">
        <v>52</v>
      </c>
      <c r="E7324" s="17" t="s">
        <v>53</v>
      </c>
      <c r="F7324" s="17" t="s">
        <v>54</v>
      </c>
      <c r="G7324" s="17"/>
      <c r="H7324" s="19" t="s">
        <v>55</v>
      </c>
      <c r="I7324" s="19"/>
      <c r="J7324" s="17" t="s">
        <v>49</v>
      </c>
      <c r="K7324" s="19">
        <v>610</v>
      </c>
      <c r="L7324" s="395">
        <v>140</v>
      </c>
      <c r="M7324" s="19">
        <v>5800</v>
      </c>
      <c r="N7324" s="19" t="s">
        <v>40</v>
      </c>
      <c r="O7324" s="19" t="s">
        <v>84</v>
      </c>
      <c r="P7324" s="437">
        <v>2000</v>
      </c>
      <c r="Q7324" s="19">
        <v>2998</v>
      </c>
      <c r="R7324" s="19">
        <f t="shared" si="314"/>
        <v>-998</v>
      </c>
      <c r="S7324" s="19">
        <v>2040</v>
      </c>
      <c r="T7324" s="19" t="s">
        <v>42</v>
      </c>
      <c r="U7324" s="102" t="s">
        <v>1701</v>
      </c>
      <c r="V7324" s="186">
        <v>46014</v>
      </c>
      <c r="W7324" s="17" t="s">
        <v>58</v>
      </c>
      <c r="X7324" s="17"/>
      <c r="Y7324" s="68">
        <v>46082</v>
      </c>
      <c r="Z7324" s="17" t="s">
        <v>1702</v>
      </c>
      <c r="AA7324" s="17" t="s">
        <v>46</v>
      </c>
      <c r="AB7324" s="17" t="s">
        <v>1703</v>
      </c>
      <c r="AC7324" s="217">
        <v>46096</v>
      </c>
      <c r="AD7324" s="65">
        <v>1788</v>
      </c>
      <c r="AE7324" s="17" t="s">
        <v>48</v>
      </c>
      <c r="AF7324" s="17" t="s">
        <v>61</v>
      </c>
      <c r="AG7324" s="17"/>
      <c r="AH7324" s="17"/>
      <c r="AI7324" s="17"/>
      <c r="AJ7324" s="17"/>
      <c r="AK7324" s="17"/>
      <c r="AL7324" s="17"/>
      <c r="AM7324" s="17"/>
      <c r="AN7324" s="17"/>
      <c r="AO7324" s="17"/>
      <c r="AP7324" s="17"/>
      <c r="AQ7324" s="17"/>
      <c r="AR7324" s="17"/>
    </row>
    <row r="7325" s="25" customFormat="1" hidden="1" spans="1:44">
      <c r="A7325" s="17" t="s">
        <v>34</v>
      </c>
      <c r="B7325" s="19">
        <v>1102</v>
      </c>
      <c r="C7325" s="183">
        <v>46014</v>
      </c>
      <c r="D7325" s="17" t="s">
        <v>52</v>
      </c>
      <c r="E7325" s="17" t="s">
        <v>53</v>
      </c>
      <c r="F7325" s="17" t="s">
        <v>54</v>
      </c>
      <c r="G7325" s="17"/>
      <c r="H7325" s="19" t="s">
        <v>55</v>
      </c>
      <c r="I7325" s="19"/>
      <c r="J7325" s="17" t="s">
        <v>49</v>
      </c>
      <c r="K7325" s="19">
        <v>610</v>
      </c>
      <c r="L7325" s="395">
        <v>155</v>
      </c>
      <c r="M7325" s="19">
        <v>5800</v>
      </c>
      <c r="N7325" s="19" t="s">
        <v>40</v>
      </c>
      <c r="O7325" s="19" t="s">
        <v>84</v>
      </c>
      <c r="P7325" s="437">
        <v>3000</v>
      </c>
      <c r="Q7325" s="19">
        <v>2944</v>
      </c>
      <c r="R7325" s="19">
        <f t="shared" si="314"/>
        <v>56</v>
      </c>
      <c r="S7325" s="19">
        <v>2040</v>
      </c>
      <c r="T7325" s="19" t="s">
        <v>42</v>
      </c>
      <c r="U7325" s="102" t="s">
        <v>1701</v>
      </c>
      <c r="V7325" s="186">
        <v>46014</v>
      </c>
      <c r="W7325" s="17" t="s">
        <v>58</v>
      </c>
      <c r="X7325" s="17"/>
      <c r="Y7325" s="68">
        <v>46082</v>
      </c>
      <c r="Z7325" s="17" t="s">
        <v>1702</v>
      </c>
      <c r="AA7325" s="17" t="s">
        <v>46</v>
      </c>
      <c r="AB7325" s="17" t="s">
        <v>1703</v>
      </c>
      <c r="AC7325" s="217">
        <v>46096</v>
      </c>
      <c r="AD7325" s="65">
        <v>1788</v>
      </c>
      <c r="AE7325" s="17" t="s">
        <v>48</v>
      </c>
      <c r="AF7325" s="17" t="s">
        <v>61</v>
      </c>
      <c r="AG7325" s="17"/>
      <c r="AH7325" s="17"/>
      <c r="AI7325" s="17"/>
      <c r="AJ7325" s="17"/>
      <c r="AK7325" s="17"/>
      <c r="AL7325" s="17"/>
      <c r="AM7325" s="17"/>
      <c r="AN7325" s="17"/>
      <c r="AO7325" s="17"/>
      <c r="AP7325" s="17"/>
      <c r="AQ7325" s="17"/>
      <c r="AR7325" s="17"/>
    </row>
    <row r="7326" s="25" customFormat="1" hidden="1" spans="1:44">
      <c r="A7326" s="17" t="s">
        <v>34</v>
      </c>
      <c r="B7326" s="19">
        <v>1102</v>
      </c>
      <c r="C7326" s="183">
        <v>46014</v>
      </c>
      <c r="D7326" s="17" t="s">
        <v>52</v>
      </c>
      <c r="E7326" s="17" t="s">
        <v>53</v>
      </c>
      <c r="F7326" s="17" t="s">
        <v>54</v>
      </c>
      <c r="G7326" s="17"/>
      <c r="H7326" s="19" t="s">
        <v>55</v>
      </c>
      <c r="I7326" s="19"/>
      <c r="J7326" s="17" t="s">
        <v>49</v>
      </c>
      <c r="K7326" s="19">
        <v>610</v>
      </c>
      <c r="L7326" s="395">
        <v>170</v>
      </c>
      <c r="M7326" s="19">
        <v>5800</v>
      </c>
      <c r="N7326" s="19" t="s">
        <v>40</v>
      </c>
      <c r="O7326" s="19" t="s">
        <v>84</v>
      </c>
      <c r="P7326" s="437">
        <v>2000</v>
      </c>
      <c r="Q7326" s="19">
        <v>3330</v>
      </c>
      <c r="R7326" s="19">
        <f t="shared" si="314"/>
        <v>-1330</v>
      </c>
      <c r="S7326" s="19">
        <v>2040</v>
      </c>
      <c r="T7326" s="19" t="s">
        <v>42</v>
      </c>
      <c r="U7326" s="102" t="s">
        <v>1701</v>
      </c>
      <c r="V7326" s="186">
        <v>46014</v>
      </c>
      <c r="W7326" s="17" t="s">
        <v>58</v>
      </c>
      <c r="X7326" s="17"/>
      <c r="Y7326" s="68">
        <v>46082</v>
      </c>
      <c r="Z7326" s="17" t="s">
        <v>1702</v>
      </c>
      <c r="AA7326" s="17" t="s">
        <v>46</v>
      </c>
      <c r="AB7326" s="17" t="s">
        <v>1703</v>
      </c>
      <c r="AC7326" s="217">
        <v>46096</v>
      </c>
      <c r="AD7326" s="65">
        <v>1788</v>
      </c>
      <c r="AE7326" s="17" t="s">
        <v>48</v>
      </c>
      <c r="AF7326" s="17" t="s">
        <v>61</v>
      </c>
      <c r="AG7326" s="17"/>
      <c r="AH7326" s="17"/>
      <c r="AI7326" s="17"/>
      <c r="AJ7326" s="17"/>
      <c r="AK7326" s="17"/>
      <c r="AL7326" s="17"/>
      <c r="AM7326" s="17"/>
      <c r="AN7326" s="17"/>
      <c r="AO7326" s="17"/>
      <c r="AP7326" s="17"/>
      <c r="AQ7326" s="17"/>
      <c r="AR7326" s="17"/>
    </row>
    <row r="7327" s="25" customFormat="1" hidden="1" spans="1:44">
      <c r="A7327" s="17" t="s">
        <v>34</v>
      </c>
      <c r="B7327" s="19">
        <v>1102</v>
      </c>
      <c r="C7327" s="183">
        <v>46014</v>
      </c>
      <c r="D7327" s="17" t="s">
        <v>52</v>
      </c>
      <c r="E7327" s="17" t="s">
        <v>53</v>
      </c>
      <c r="F7327" s="17" t="s">
        <v>54</v>
      </c>
      <c r="G7327" s="17"/>
      <c r="H7327" s="19" t="s">
        <v>55</v>
      </c>
      <c r="I7327" s="19"/>
      <c r="J7327" s="17" t="s">
        <v>49</v>
      </c>
      <c r="K7327" s="19">
        <v>610</v>
      </c>
      <c r="L7327" s="395">
        <v>180</v>
      </c>
      <c r="M7327" s="19">
        <v>5800</v>
      </c>
      <c r="N7327" s="19" t="s">
        <v>40</v>
      </c>
      <c r="O7327" s="19" t="s">
        <v>84</v>
      </c>
      <c r="P7327" s="437">
        <v>3000</v>
      </c>
      <c r="Q7327" s="19">
        <v>3648</v>
      </c>
      <c r="R7327" s="19">
        <f t="shared" si="314"/>
        <v>-648</v>
      </c>
      <c r="S7327" s="19">
        <v>2040</v>
      </c>
      <c r="T7327" s="19" t="s">
        <v>42</v>
      </c>
      <c r="U7327" s="102" t="s">
        <v>1701</v>
      </c>
      <c r="V7327" s="186">
        <v>46014</v>
      </c>
      <c r="W7327" s="17" t="s">
        <v>58</v>
      </c>
      <c r="X7327" s="17"/>
      <c r="Y7327" s="68">
        <v>46082</v>
      </c>
      <c r="Z7327" s="17" t="s">
        <v>1702</v>
      </c>
      <c r="AA7327" s="17" t="s">
        <v>46</v>
      </c>
      <c r="AB7327" s="17" t="s">
        <v>1703</v>
      </c>
      <c r="AC7327" s="217">
        <v>46096</v>
      </c>
      <c r="AD7327" s="65">
        <v>1788</v>
      </c>
      <c r="AE7327" s="17" t="s">
        <v>48</v>
      </c>
      <c r="AF7327" s="17" t="s">
        <v>61</v>
      </c>
      <c r="AG7327" s="17"/>
      <c r="AH7327" s="17"/>
      <c r="AI7327" s="17"/>
      <c r="AJ7327" s="17"/>
      <c r="AK7327" s="17"/>
      <c r="AL7327" s="17"/>
      <c r="AM7327" s="17"/>
      <c r="AN7327" s="17"/>
      <c r="AO7327" s="17"/>
      <c r="AP7327" s="17"/>
      <c r="AQ7327" s="17"/>
      <c r="AR7327" s="17"/>
    </row>
    <row r="7328" s="25" customFormat="1" hidden="1" spans="1:44">
      <c r="A7328" s="17" t="s">
        <v>34</v>
      </c>
      <c r="B7328" s="19">
        <v>1102</v>
      </c>
      <c r="C7328" s="183">
        <v>46014</v>
      </c>
      <c r="D7328" s="17" t="s">
        <v>52</v>
      </c>
      <c r="E7328" s="17" t="s">
        <v>53</v>
      </c>
      <c r="F7328" s="17" t="s">
        <v>54</v>
      </c>
      <c r="G7328" s="17"/>
      <c r="H7328" s="19" t="s">
        <v>55</v>
      </c>
      <c r="I7328" s="19"/>
      <c r="J7328" s="17" t="s">
        <v>49</v>
      </c>
      <c r="K7328" s="19">
        <v>610</v>
      </c>
      <c r="L7328" s="395">
        <v>205</v>
      </c>
      <c r="M7328" s="19">
        <v>5800</v>
      </c>
      <c r="N7328" s="19" t="s">
        <v>40</v>
      </c>
      <c r="O7328" s="19" t="s">
        <v>84</v>
      </c>
      <c r="P7328" s="440">
        <v>3000</v>
      </c>
      <c r="Q7328" s="19">
        <v>3680</v>
      </c>
      <c r="R7328" s="19">
        <f t="shared" si="314"/>
        <v>-680</v>
      </c>
      <c r="S7328" s="19">
        <v>2040</v>
      </c>
      <c r="T7328" s="19" t="s">
        <v>42</v>
      </c>
      <c r="U7328" s="102" t="s">
        <v>1701</v>
      </c>
      <c r="V7328" s="186">
        <v>46014</v>
      </c>
      <c r="W7328" s="17" t="s">
        <v>58</v>
      </c>
      <c r="X7328" s="17"/>
      <c r="Y7328" s="68">
        <v>46082</v>
      </c>
      <c r="Z7328" s="17" t="s">
        <v>1702</v>
      </c>
      <c r="AA7328" s="17" t="s">
        <v>46</v>
      </c>
      <c r="AB7328" s="17" t="s">
        <v>1703</v>
      </c>
      <c r="AC7328" s="217">
        <v>46096</v>
      </c>
      <c r="AD7328" s="65">
        <v>1788</v>
      </c>
      <c r="AE7328" s="17" t="s">
        <v>48</v>
      </c>
      <c r="AF7328" s="17" t="s">
        <v>61</v>
      </c>
      <c r="AG7328" s="17"/>
      <c r="AH7328" s="17"/>
      <c r="AI7328" s="17"/>
      <c r="AJ7328" s="17"/>
      <c r="AK7328" s="17"/>
      <c r="AL7328" s="17"/>
      <c r="AM7328" s="17"/>
      <c r="AN7328" s="17"/>
      <c r="AO7328" s="17"/>
      <c r="AP7328" s="17"/>
      <c r="AQ7328" s="17"/>
      <c r="AR7328" s="17"/>
    </row>
    <row r="7329" s="25" customFormat="1" hidden="1" spans="1:44">
      <c r="A7329" s="17" t="s">
        <v>34</v>
      </c>
      <c r="B7329" s="19">
        <v>1102</v>
      </c>
      <c r="C7329" s="183">
        <v>46014</v>
      </c>
      <c r="D7329" s="17" t="s">
        <v>52</v>
      </c>
      <c r="E7329" s="17" t="s">
        <v>53</v>
      </c>
      <c r="F7329" s="17" t="s">
        <v>54</v>
      </c>
      <c r="G7329" s="17"/>
      <c r="H7329" s="19" t="s">
        <v>55</v>
      </c>
      <c r="I7329" s="19"/>
      <c r="J7329" s="17" t="s">
        <v>49</v>
      </c>
      <c r="K7329" s="19">
        <v>610</v>
      </c>
      <c r="L7329" s="395">
        <v>230</v>
      </c>
      <c r="M7329" s="19">
        <v>5800</v>
      </c>
      <c r="N7329" s="19" t="s">
        <v>40</v>
      </c>
      <c r="O7329" s="19" t="s">
        <v>84</v>
      </c>
      <c r="P7329" s="437">
        <v>3000</v>
      </c>
      <c r="Q7329" s="19">
        <v>4236</v>
      </c>
      <c r="R7329" s="19">
        <f t="shared" si="314"/>
        <v>-1236</v>
      </c>
      <c r="S7329" s="19">
        <v>2040</v>
      </c>
      <c r="T7329" s="19" t="s">
        <v>42</v>
      </c>
      <c r="U7329" s="102" t="s">
        <v>1701</v>
      </c>
      <c r="V7329" s="186">
        <v>46014</v>
      </c>
      <c r="W7329" s="17" t="s">
        <v>58</v>
      </c>
      <c r="X7329" s="17"/>
      <c r="Y7329" s="68">
        <v>46082</v>
      </c>
      <c r="Z7329" s="17" t="s">
        <v>1702</v>
      </c>
      <c r="AA7329" s="17" t="s">
        <v>46</v>
      </c>
      <c r="AB7329" s="17" t="s">
        <v>1703</v>
      </c>
      <c r="AC7329" s="217">
        <v>46096</v>
      </c>
      <c r="AD7329" s="65">
        <v>1788</v>
      </c>
      <c r="AE7329" s="17" t="s">
        <v>48</v>
      </c>
      <c r="AF7329" s="17" t="s">
        <v>61</v>
      </c>
      <c r="AG7329" s="17"/>
      <c r="AH7329" s="17"/>
      <c r="AI7329" s="17"/>
      <c r="AJ7329" s="17"/>
      <c r="AK7329" s="17"/>
      <c r="AL7329" s="17"/>
      <c r="AM7329" s="17"/>
      <c r="AN7329" s="17"/>
      <c r="AO7329" s="17"/>
      <c r="AP7329" s="17"/>
      <c r="AQ7329" s="17"/>
      <c r="AR7329" s="17"/>
    </row>
    <row r="7330" s="25" customFormat="1" hidden="1" spans="1:44">
      <c r="A7330" s="17" t="s">
        <v>34</v>
      </c>
      <c r="B7330" s="19">
        <v>1102</v>
      </c>
      <c r="C7330" s="183">
        <v>46014</v>
      </c>
      <c r="D7330" s="17" t="s">
        <v>52</v>
      </c>
      <c r="E7330" s="17" t="s">
        <v>53</v>
      </c>
      <c r="F7330" s="17" t="s">
        <v>54</v>
      </c>
      <c r="G7330" s="17"/>
      <c r="H7330" s="19" t="s">
        <v>55</v>
      </c>
      <c r="I7330" s="19"/>
      <c r="J7330" s="17" t="s">
        <v>49</v>
      </c>
      <c r="K7330" s="19">
        <v>610</v>
      </c>
      <c r="L7330" s="395">
        <v>255</v>
      </c>
      <c r="M7330" s="19">
        <v>5800</v>
      </c>
      <c r="N7330" s="19" t="s">
        <v>40</v>
      </c>
      <c r="O7330" s="19" t="s">
        <v>84</v>
      </c>
      <c r="P7330" s="437">
        <v>3000</v>
      </c>
      <c r="Q7330" s="19">
        <v>4478</v>
      </c>
      <c r="R7330" s="19">
        <f t="shared" si="314"/>
        <v>-1478</v>
      </c>
      <c r="S7330" s="19">
        <v>2040</v>
      </c>
      <c r="T7330" s="19" t="s">
        <v>42</v>
      </c>
      <c r="U7330" s="102" t="s">
        <v>1701</v>
      </c>
      <c r="V7330" s="186">
        <v>46014</v>
      </c>
      <c r="W7330" s="17" t="s">
        <v>58</v>
      </c>
      <c r="X7330" s="17"/>
      <c r="Y7330" s="68">
        <v>46082</v>
      </c>
      <c r="Z7330" s="17" t="s">
        <v>1702</v>
      </c>
      <c r="AA7330" s="17" t="s">
        <v>46</v>
      </c>
      <c r="AB7330" s="17" t="s">
        <v>1703</v>
      </c>
      <c r="AC7330" s="217">
        <v>46096</v>
      </c>
      <c r="AD7330" s="65">
        <v>1788</v>
      </c>
      <c r="AE7330" s="17" t="s">
        <v>48</v>
      </c>
      <c r="AF7330" s="17" t="s">
        <v>61</v>
      </c>
      <c r="AG7330" s="17"/>
      <c r="AH7330" s="17"/>
      <c r="AI7330" s="17"/>
      <c r="AJ7330" s="17"/>
      <c r="AK7330" s="17"/>
      <c r="AL7330" s="17"/>
      <c r="AM7330" s="17"/>
      <c r="AN7330" s="17"/>
      <c r="AO7330" s="17"/>
      <c r="AP7330" s="17"/>
      <c r="AQ7330" s="17"/>
      <c r="AR7330" s="17"/>
    </row>
    <row r="7331" s="25" customFormat="1" hidden="1" spans="1:44">
      <c r="A7331" s="17" t="s">
        <v>34</v>
      </c>
      <c r="B7331" s="19">
        <v>1102</v>
      </c>
      <c r="C7331" s="183">
        <v>46014</v>
      </c>
      <c r="D7331" s="17" t="s">
        <v>52</v>
      </c>
      <c r="E7331" s="17" t="s">
        <v>53</v>
      </c>
      <c r="F7331" s="17" t="s">
        <v>54</v>
      </c>
      <c r="G7331" s="17"/>
      <c r="H7331" s="19" t="s">
        <v>55</v>
      </c>
      <c r="I7331" s="19"/>
      <c r="J7331" s="17" t="s">
        <v>49</v>
      </c>
      <c r="K7331" s="19">
        <v>610</v>
      </c>
      <c r="L7331" s="395">
        <v>280</v>
      </c>
      <c r="M7331" s="19">
        <v>5800</v>
      </c>
      <c r="N7331" s="19" t="s">
        <v>40</v>
      </c>
      <c r="O7331" s="19" t="s">
        <v>84</v>
      </c>
      <c r="P7331" s="437">
        <v>3000</v>
      </c>
      <c r="Q7331" s="19">
        <v>5036</v>
      </c>
      <c r="R7331" s="19">
        <f t="shared" si="314"/>
        <v>-2036</v>
      </c>
      <c r="S7331" s="19">
        <v>2040</v>
      </c>
      <c r="T7331" s="19" t="s">
        <v>42</v>
      </c>
      <c r="U7331" s="102" t="s">
        <v>1701</v>
      </c>
      <c r="V7331" s="186">
        <v>46014</v>
      </c>
      <c r="W7331" s="17" t="s">
        <v>58</v>
      </c>
      <c r="X7331" s="17"/>
      <c r="Y7331" s="68">
        <v>46082</v>
      </c>
      <c r="Z7331" s="17" t="s">
        <v>1702</v>
      </c>
      <c r="AA7331" s="17" t="s">
        <v>46</v>
      </c>
      <c r="AB7331" s="17" t="s">
        <v>1703</v>
      </c>
      <c r="AC7331" s="217">
        <v>46096</v>
      </c>
      <c r="AD7331" s="65">
        <v>1788</v>
      </c>
      <c r="AE7331" s="17" t="s">
        <v>48</v>
      </c>
      <c r="AF7331" s="17" t="s">
        <v>61</v>
      </c>
      <c r="AG7331" s="17"/>
      <c r="AH7331" s="17"/>
      <c r="AI7331" s="17"/>
      <c r="AJ7331" s="17"/>
      <c r="AK7331" s="17"/>
      <c r="AL7331" s="17"/>
      <c r="AM7331" s="17"/>
      <c r="AN7331" s="17"/>
      <c r="AO7331" s="17"/>
      <c r="AP7331" s="17"/>
      <c r="AQ7331" s="17"/>
      <c r="AR7331" s="17"/>
    </row>
    <row r="7332" s="25" customFormat="1" hidden="1" spans="1:44">
      <c r="A7332" s="17" t="s">
        <v>34</v>
      </c>
      <c r="B7332" s="19">
        <v>1102</v>
      </c>
      <c r="C7332" s="183">
        <v>46014</v>
      </c>
      <c r="D7332" s="17" t="s">
        <v>52</v>
      </c>
      <c r="E7332" s="17" t="s">
        <v>53</v>
      </c>
      <c r="F7332" s="17" t="s">
        <v>54</v>
      </c>
      <c r="G7332" s="17"/>
      <c r="H7332" s="19" t="s">
        <v>55</v>
      </c>
      <c r="I7332" s="19"/>
      <c r="J7332" s="17" t="s">
        <v>49</v>
      </c>
      <c r="K7332" s="441">
        <v>610</v>
      </c>
      <c r="L7332" s="395">
        <v>310</v>
      </c>
      <c r="M7332" s="19">
        <v>5800</v>
      </c>
      <c r="N7332" s="19" t="s">
        <v>40</v>
      </c>
      <c r="O7332" s="19" t="s">
        <v>84</v>
      </c>
      <c r="P7332" s="437">
        <v>4000</v>
      </c>
      <c r="Q7332" s="19">
        <v>4716</v>
      </c>
      <c r="R7332" s="19">
        <f t="shared" si="314"/>
        <v>-716</v>
      </c>
      <c r="S7332" s="19">
        <v>2040</v>
      </c>
      <c r="T7332" s="19" t="s">
        <v>42</v>
      </c>
      <c r="U7332" s="102" t="s">
        <v>1701</v>
      </c>
      <c r="V7332" s="186">
        <v>46014</v>
      </c>
      <c r="W7332" s="17" t="s">
        <v>58</v>
      </c>
      <c r="X7332" s="17"/>
      <c r="Y7332" s="68">
        <v>46082</v>
      </c>
      <c r="Z7332" s="17" t="s">
        <v>1702</v>
      </c>
      <c r="AA7332" s="17" t="s">
        <v>46</v>
      </c>
      <c r="AB7332" s="17" t="s">
        <v>1703</v>
      </c>
      <c r="AC7332" s="217">
        <v>46096</v>
      </c>
      <c r="AD7332" s="65">
        <v>1788</v>
      </c>
      <c r="AE7332" s="17" t="s">
        <v>48</v>
      </c>
      <c r="AF7332" s="17" t="s">
        <v>61</v>
      </c>
      <c r="AG7332" s="17"/>
      <c r="AH7332" s="17"/>
      <c r="AI7332" s="17"/>
      <c r="AJ7332" s="17"/>
      <c r="AK7332" s="17"/>
      <c r="AL7332" s="17"/>
      <c r="AM7332" s="17"/>
      <c r="AN7332" s="17"/>
      <c r="AO7332" s="17"/>
      <c r="AP7332" s="17"/>
      <c r="AQ7332" s="17"/>
      <c r="AR7332" s="17"/>
    </row>
    <row r="7333" s="25" customFormat="1" hidden="1" spans="1:44">
      <c r="A7333" s="17" t="s">
        <v>34</v>
      </c>
      <c r="B7333" s="19">
        <v>1105</v>
      </c>
      <c r="C7333" s="183">
        <v>46039</v>
      </c>
      <c r="D7333" s="17" t="s">
        <v>52</v>
      </c>
      <c r="E7333" s="17" t="s">
        <v>1113</v>
      </c>
      <c r="F7333" s="17" t="s">
        <v>54</v>
      </c>
      <c r="G7333" s="17"/>
      <c r="H7333" s="19">
        <v>1.2738</v>
      </c>
      <c r="I7333" s="19"/>
      <c r="J7333" s="17" t="s">
        <v>49</v>
      </c>
      <c r="K7333" s="19">
        <v>2200</v>
      </c>
      <c r="L7333" s="91">
        <v>32</v>
      </c>
      <c r="M7333" s="19">
        <v>2500</v>
      </c>
      <c r="N7333" s="19" t="s">
        <v>66</v>
      </c>
      <c r="O7333" s="19" t="s">
        <v>67</v>
      </c>
      <c r="P7333" s="19">
        <v>1430</v>
      </c>
      <c r="Q7333" s="19">
        <v>1430</v>
      </c>
      <c r="R7333" s="19">
        <f t="shared" si="314"/>
        <v>0</v>
      </c>
      <c r="S7333" s="19">
        <v>1020</v>
      </c>
      <c r="T7333" s="19" t="s">
        <v>42</v>
      </c>
      <c r="U7333" s="102" t="s">
        <v>1705</v>
      </c>
      <c r="V7333" s="186">
        <v>46038</v>
      </c>
      <c r="W7333" s="17" t="s">
        <v>44</v>
      </c>
      <c r="X7333" s="17"/>
      <c r="Y7333" s="68">
        <v>46054</v>
      </c>
      <c r="Z7333" s="17" t="s">
        <v>45</v>
      </c>
      <c r="AA7333" s="17" t="s">
        <v>46</v>
      </c>
      <c r="AB7333" s="17" t="s">
        <v>1706</v>
      </c>
      <c r="AC7333" s="217">
        <v>46055</v>
      </c>
      <c r="AD7333" s="65">
        <v>1783</v>
      </c>
      <c r="AE7333" s="17" t="s">
        <v>48</v>
      </c>
      <c r="AF7333" s="17" t="s">
        <v>560</v>
      </c>
      <c r="AG7333" s="17"/>
      <c r="AH7333" s="17"/>
      <c r="AI7333" s="17"/>
      <c r="AJ7333" s="17"/>
      <c r="AK7333" s="17"/>
      <c r="AL7333" s="17"/>
      <c r="AM7333" s="17"/>
      <c r="AN7333" s="17"/>
      <c r="AO7333" s="17"/>
      <c r="AP7333" s="17"/>
      <c r="AQ7333" s="17"/>
      <c r="AR7333" s="17"/>
    </row>
    <row r="7334" hidden="1" spans="1:44">
      <c r="A7334" s="18"/>
      <c r="B7334" s="75">
        <v>1105</v>
      </c>
      <c r="C7334" s="213">
        <v>46039</v>
      </c>
      <c r="D7334" s="18" t="s">
        <v>52</v>
      </c>
      <c r="E7334" s="17" t="s">
        <v>1113</v>
      </c>
      <c r="F7334" s="18" t="s">
        <v>54</v>
      </c>
      <c r="G7334" s="18"/>
      <c r="H7334" s="75">
        <v>1.2738</v>
      </c>
      <c r="I7334" s="75"/>
      <c r="J7334" s="18" t="s">
        <v>49</v>
      </c>
      <c r="K7334" s="75">
        <v>2200</v>
      </c>
      <c r="L7334" s="111">
        <v>40</v>
      </c>
      <c r="M7334" s="75">
        <v>2500</v>
      </c>
      <c r="N7334" s="75" t="s">
        <v>66</v>
      </c>
      <c r="O7334" s="75" t="s">
        <v>67</v>
      </c>
      <c r="P7334" s="75">
        <v>1656</v>
      </c>
      <c r="Q7334" s="75"/>
      <c r="R7334" s="75">
        <f t="shared" si="314"/>
        <v>1656</v>
      </c>
      <c r="S7334" s="75">
        <v>1020</v>
      </c>
      <c r="T7334" s="75" t="s">
        <v>42</v>
      </c>
      <c r="U7334" s="137" t="s">
        <v>1705</v>
      </c>
      <c r="V7334" s="193">
        <v>46038</v>
      </c>
      <c r="W7334" s="18" t="s">
        <v>44</v>
      </c>
      <c r="X7334" s="18"/>
      <c r="Y7334" s="114">
        <v>46054</v>
      </c>
      <c r="Z7334" s="18" t="s">
        <v>45</v>
      </c>
      <c r="AA7334" s="18" t="s">
        <v>46</v>
      </c>
      <c r="AB7334" s="18"/>
      <c r="AC7334" s="137"/>
      <c r="AD7334" s="77"/>
      <c r="AE7334" s="18" t="s">
        <v>48</v>
      </c>
      <c r="AF7334" s="18" t="s">
        <v>560</v>
      </c>
      <c r="AG7334" s="18"/>
      <c r="AH7334" s="18" t="s">
        <v>1704</v>
      </c>
      <c r="AI7334" s="18"/>
      <c r="AJ7334" s="18"/>
      <c r="AK7334" s="18"/>
      <c r="AL7334" s="18"/>
      <c r="AM7334" s="18"/>
      <c r="AN7334" s="18"/>
      <c r="AO7334" s="18"/>
      <c r="AP7334" s="18"/>
      <c r="AQ7334" s="18"/>
      <c r="AR7334" s="18"/>
    </row>
    <row r="7335" s="25" customFormat="1" hidden="1" spans="1:44">
      <c r="A7335" s="17" t="s">
        <v>34</v>
      </c>
      <c r="B7335" s="19">
        <v>1105</v>
      </c>
      <c r="C7335" s="183">
        <v>46039</v>
      </c>
      <c r="D7335" s="17" t="s">
        <v>52</v>
      </c>
      <c r="E7335" s="17" t="s">
        <v>1113</v>
      </c>
      <c r="F7335" s="17" t="s">
        <v>54</v>
      </c>
      <c r="G7335" s="17"/>
      <c r="H7335" s="19">
        <v>1.2738</v>
      </c>
      <c r="I7335" s="19"/>
      <c r="J7335" s="17" t="s">
        <v>49</v>
      </c>
      <c r="K7335" s="19">
        <v>2200</v>
      </c>
      <c r="L7335" s="91">
        <v>45</v>
      </c>
      <c r="M7335" s="19">
        <v>2500</v>
      </c>
      <c r="N7335" s="19" t="s">
        <v>66</v>
      </c>
      <c r="O7335" s="19" t="s">
        <v>67</v>
      </c>
      <c r="P7335" s="19">
        <v>2084</v>
      </c>
      <c r="Q7335" s="19">
        <v>2084</v>
      </c>
      <c r="R7335" s="19">
        <f t="shared" si="314"/>
        <v>0</v>
      </c>
      <c r="S7335" s="19">
        <v>1020</v>
      </c>
      <c r="T7335" s="19" t="s">
        <v>42</v>
      </c>
      <c r="U7335" s="102" t="s">
        <v>1705</v>
      </c>
      <c r="V7335" s="186">
        <v>46038</v>
      </c>
      <c r="W7335" s="17" t="s">
        <v>44</v>
      </c>
      <c r="X7335" s="17"/>
      <c r="Y7335" s="68">
        <v>46054</v>
      </c>
      <c r="Z7335" s="17" t="s">
        <v>45</v>
      </c>
      <c r="AA7335" s="17" t="s">
        <v>46</v>
      </c>
      <c r="AB7335" s="17" t="s">
        <v>1706</v>
      </c>
      <c r="AC7335" s="217">
        <v>46055</v>
      </c>
      <c r="AD7335" s="65">
        <v>1783</v>
      </c>
      <c r="AE7335" s="17" t="s">
        <v>48</v>
      </c>
      <c r="AF7335" s="17" t="s">
        <v>560</v>
      </c>
      <c r="AG7335" s="17"/>
      <c r="AH7335" s="17"/>
      <c r="AI7335" s="17"/>
      <c r="AJ7335" s="17"/>
      <c r="AK7335" s="17"/>
      <c r="AL7335" s="17"/>
      <c r="AM7335" s="17"/>
      <c r="AN7335" s="17"/>
      <c r="AO7335" s="17"/>
      <c r="AP7335" s="17"/>
      <c r="AQ7335" s="17"/>
      <c r="AR7335" s="17"/>
    </row>
    <row r="7336" s="25" customFormat="1" hidden="1" spans="1:44">
      <c r="A7336" s="17" t="s">
        <v>34</v>
      </c>
      <c r="B7336" s="19">
        <v>1105</v>
      </c>
      <c r="C7336" s="183">
        <v>46039</v>
      </c>
      <c r="D7336" s="17" t="s">
        <v>52</v>
      </c>
      <c r="E7336" s="17" t="s">
        <v>1113</v>
      </c>
      <c r="F7336" s="17" t="s">
        <v>54</v>
      </c>
      <c r="G7336" s="17"/>
      <c r="H7336" s="19">
        <v>1.2738</v>
      </c>
      <c r="I7336" s="19"/>
      <c r="J7336" s="17" t="s">
        <v>49</v>
      </c>
      <c r="K7336" s="19">
        <v>2200</v>
      </c>
      <c r="L7336" s="91">
        <v>50</v>
      </c>
      <c r="M7336" s="19">
        <v>2500</v>
      </c>
      <c r="N7336" s="19" t="s">
        <v>66</v>
      </c>
      <c r="O7336" s="19" t="s">
        <v>67</v>
      </c>
      <c r="P7336" s="19">
        <v>1890</v>
      </c>
      <c r="Q7336" s="19">
        <v>1890</v>
      </c>
      <c r="R7336" s="19">
        <f t="shared" si="314"/>
        <v>0</v>
      </c>
      <c r="S7336" s="19">
        <v>1020</v>
      </c>
      <c r="T7336" s="19" t="s">
        <v>42</v>
      </c>
      <c r="U7336" s="102" t="s">
        <v>1705</v>
      </c>
      <c r="V7336" s="186">
        <v>46038</v>
      </c>
      <c r="W7336" s="17" t="s">
        <v>44</v>
      </c>
      <c r="X7336" s="17"/>
      <c r="Y7336" s="68">
        <v>46054</v>
      </c>
      <c r="Z7336" s="17" t="s">
        <v>45</v>
      </c>
      <c r="AA7336" s="17" t="s">
        <v>46</v>
      </c>
      <c r="AB7336" s="17" t="s">
        <v>1706</v>
      </c>
      <c r="AC7336" s="217">
        <v>46055</v>
      </c>
      <c r="AD7336" s="65">
        <v>1783</v>
      </c>
      <c r="AE7336" s="17" t="s">
        <v>48</v>
      </c>
      <c r="AF7336" s="17" t="s">
        <v>560</v>
      </c>
      <c r="AG7336" s="17"/>
      <c r="AH7336" s="17"/>
      <c r="AI7336" s="17"/>
      <c r="AJ7336" s="17"/>
      <c r="AK7336" s="17"/>
      <c r="AL7336" s="17"/>
      <c r="AM7336" s="17"/>
      <c r="AN7336" s="17"/>
      <c r="AO7336" s="17"/>
      <c r="AP7336" s="17"/>
      <c r="AQ7336" s="17"/>
      <c r="AR7336" s="17"/>
    </row>
    <row r="7337" s="25" customFormat="1" hidden="1" spans="1:44">
      <c r="A7337" s="17" t="s">
        <v>34</v>
      </c>
      <c r="B7337" s="19">
        <v>1105</v>
      </c>
      <c r="C7337" s="183">
        <v>46039</v>
      </c>
      <c r="D7337" s="17" t="s">
        <v>52</v>
      </c>
      <c r="E7337" s="17" t="s">
        <v>1113</v>
      </c>
      <c r="F7337" s="17" t="s">
        <v>54</v>
      </c>
      <c r="G7337" s="17"/>
      <c r="H7337" s="19">
        <v>1.2738</v>
      </c>
      <c r="I7337" s="19"/>
      <c r="J7337" s="17" t="s">
        <v>49</v>
      </c>
      <c r="K7337" s="19">
        <v>2200</v>
      </c>
      <c r="L7337" s="91">
        <v>56</v>
      </c>
      <c r="M7337" s="19">
        <v>2500</v>
      </c>
      <c r="N7337" s="19" t="s">
        <v>66</v>
      </c>
      <c r="O7337" s="19" t="s">
        <v>67</v>
      </c>
      <c r="P7337" s="19">
        <v>2532</v>
      </c>
      <c r="Q7337" s="19">
        <v>2532</v>
      </c>
      <c r="R7337" s="19">
        <f t="shared" si="314"/>
        <v>0</v>
      </c>
      <c r="S7337" s="19">
        <v>1020</v>
      </c>
      <c r="T7337" s="19" t="s">
        <v>42</v>
      </c>
      <c r="U7337" s="102" t="s">
        <v>1705</v>
      </c>
      <c r="V7337" s="186">
        <v>46038</v>
      </c>
      <c r="W7337" s="17" t="s">
        <v>44</v>
      </c>
      <c r="X7337" s="17"/>
      <c r="Y7337" s="68">
        <v>46054</v>
      </c>
      <c r="Z7337" s="17" t="s">
        <v>45</v>
      </c>
      <c r="AA7337" s="17" t="s">
        <v>46</v>
      </c>
      <c r="AB7337" s="17" t="s">
        <v>1706</v>
      </c>
      <c r="AC7337" s="217">
        <v>46055</v>
      </c>
      <c r="AD7337" s="65">
        <v>1783</v>
      </c>
      <c r="AE7337" s="17" t="s">
        <v>48</v>
      </c>
      <c r="AF7337" s="17" t="s">
        <v>560</v>
      </c>
      <c r="AG7337" s="17"/>
      <c r="AH7337" s="17"/>
      <c r="AI7337" s="17"/>
      <c r="AJ7337" s="17"/>
      <c r="AK7337" s="17"/>
      <c r="AL7337" s="17"/>
      <c r="AM7337" s="17"/>
      <c r="AN7337" s="17"/>
      <c r="AO7337" s="17"/>
      <c r="AP7337" s="17"/>
      <c r="AQ7337" s="17"/>
      <c r="AR7337" s="17"/>
    </row>
    <row r="7338" s="25" customFormat="1" hidden="1" spans="1:44">
      <c r="A7338" s="17" t="s">
        <v>34</v>
      </c>
      <c r="B7338" s="19">
        <v>1105</v>
      </c>
      <c r="C7338" s="183">
        <v>46039</v>
      </c>
      <c r="D7338" s="17" t="s">
        <v>52</v>
      </c>
      <c r="E7338" s="17" t="s">
        <v>1113</v>
      </c>
      <c r="F7338" s="17" t="s">
        <v>54</v>
      </c>
      <c r="G7338" s="17"/>
      <c r="H7338" s="19">
        <v>1.2738</v>
      </c>
      <c r="I7338" s="19"/>
      <c r="J7338" s="17" t="s">
        <v>49</v>
      </c>
      <c r="K7338" s="19">
        <v>2200</v>
      </c>
      <c r="L7338" s="91">
        <v>65</v>
      </c>
      <c r="M7338" s="19">
        <v>2500</v>
      </c>
      <c r="N7338" s="19" t="s">
        <v>66</v>
      </c>
      <c r="O7338" s="19" t="s">
        <v>67</v>
      </c>
      <c r="P7338" s="19">
        <v>3015</v>
      </c>
      <c r="Q7338" s="19">
        <v>3015</v>
      </c>
      <c r="R7338" s="19">
        <f t="shared" ref="R7338:R7369" si="315">+P7338-Q7338</f>
        <v>0</v>
      </c>
      <c r="S7338" s="19">
        <v>1020</v>
      </c>
      <c r="T7338" s="19" t="s">
        <v>42</v>
      </c>
      <c r="U7338" s="102" t="s">
        <v>1705</v>
      </c>
      <c r="V7338" s="186">
        <v>46038</v>
      </c>
      <c r="W7338" s="17" t="s">
        <v>44</v>
      </c>
      <c r="X7338" s="17"/>
      <c r="Y7338" s="68">
        <v>46054</v>
      </c>
      <c r="Z7338" s="17" t="s">
        <v>45</v>
      </c>
      <c r="AA7338" s="17" t="s">
        <v>46</v>
      </c>
      <c r="AB7338" s="17" t="s">
        <v>1706</v>
      </c>
      <c r="AC7338" s="217">
        <v>46055</v>
      </c>
      <c r="AD7338" s="65">
        <v>1783</v>
      </c>
      <c r="AE7338" s="17" t="s">
        <v>48</v>
      </c>
      <c r="AF7338" s="17" t="s">
        <v>560</v>
      </c>
      <c r="AG7338" s="17"/>
      <c r="AH7338" s="17"/>
      <c r="AI7338" s="17"/>
      <c r="AJ7338" s="17"/>
      <c r="AK7338" s="17"/>
      <c r="AL7338" s="17"/>
      <c r="AM7338" s="17"/>
      <c r="AN7338" s="17"/>
      <c r="AO7338" s="17"/>
      <c r="AP7338" s="17"/>
      <c r="AQ7338" s="17"/>
      <c r="AR7338" s="17"/>
    </row>
    <row r="7339" s="25" customFormat="1" hidden="1" spans="1:44">
      <c r="A7339" s="17" t="s">
        <v>34</v>
      </c>
      <c r="B7339" s="19">
        <v>1105</v>
      </c>
      <c r="C7339" s="183">
        <v>46039</v>
      </c>
      <c r="D7339" s="17" t="s">
        <v>52</v>
      </c>
      <c r="E7339" s="17" t="s">
        <v>1113</v>
      </c>
      <c r="F7339" s="17" t="s">
        <v>54</v>
      </c>
      <c r="G7339" s="17"/>
      <c r="H7339" s="19">
        <v>1.2738</v>
      </c>
      <c r="I7339" s="19"/>
      <c r="J7339" s="17" t="s">
        <v>49</v>
      </c>
      <c r="K7339" s="19">
        <v>2200</v>
      </c>
      <c r="L7339" s="91">
        <v>70</v>
      </c>
      <c r="M7339" s="19">
        <v>2500</v>
      </c>
      <c r="N7339" s="19" t="s">
        <v>66</v>
      </c>
      <c r="O7339" s="19" t="s">
        <v>67</v>
      </c>
      <c r="P7339" s="19">
        <v>3310</v>
      </c>
      <c r="Q7339" s="19">
        <v>3310</v>
      </c>
      <c r="R7339" s="19">
        <f t="shared" si="315"/>
        <v>0</v>
      </c>
      <c r="S7339" s="19">
        <v>1020</v>
      </c>
      <c r="T7339" s="19" t="s">
        <v>42</v>
      </c>
      <c r="U7339" s="102" t="s">
        <v>1705</v>
      </c>
      <c r="V7339" s="186">
        <v>46038</v>
      </c>
      <c r="W7339" s="17" t="s">
        <v>44</v>
      </c>
      <c r="X7339" s="17"/>
      <c r="Y7339" s="68">
        <v>46054</v>
      </c>
      <c r="Z7339" s="17" t="s">
        <v>45</v>
      </c>
      <c r="AA7339" s="17" t="s">
        <v>46</v>
      </c>
      <c r="AB7339" s="17" t="s">
        <v>1706</v>
      </c>
      <c r="AC7339" s="217">
        <v>46055</v>
      </c>
      <c r="AD7339" s="65">
        <v>1783</v>
      </c>
      <c r="AE7339" s="17" t="s">
        <v>48</v>
      </c>
      <c r="AF7339" s="17" t="s">
        <v>560</v>
      </c>
      <c r="AG7339" s="17"/>
      <c r="AH7339" s="17"/>
      <c r="AI7339" s="17"/>
      <c r="AJ7339" s="17"/>
      <c r="AK7339" s="17"/>
      <c r="AL7339" s="17"/>
      <c r="AM7339" s="17"/>
      <c r="AN7339" s="17"/>
      <c r="AO7339" s="17"/>
      <c r="AP7339" s="17"/>
      <c r="AQ7339" s="17"/>
      <c r="AR7339" s="17"/>
    </row>
    <row r="7340" s="25" customFormat="1" hidden="1" spans="1:44">
      <c r="A7340" s="17" t="s">
        <v>34</v>
      </c>
      <c r="B7340" s="19">
        <v>1105</v>
      </c>
      <c r="C7340" s="183">
        <v>46039</v>
      </c>
      <c r="D7340" s="17" t="s">
        <v>52</v>
      </c>
      <c r="E7340" s="17" t="s">
        <v>1113</v>
      </c>
      <c r="F7340" s="17" t="s">
        <v>54</v>
      </c>
      <c r="G7340" s="17"/>
      <c r="H7340" s="19">
        <v>1.2738</v>
      </c>
      <c r="I7340" s="19"/>
      <c r="J7340" s="17" t="s">
        <v>49</v>
      </c>
      <c r="K7340" s="19">
        <v>2200</v>
      </c>
      <c r="L7340" s="91">
        <v>80</v>
      </c>
      <c r="M7340" s="19">
        <v>2500</v>
      </c>
      <c r="N7340" s="19" t="s">
        <v>66</v>
      </c>
      <c r="O7340" s="19" t="s">
        <v>67</v>
      </c>
      <c r="P7340" s="19">
        <v>3795</v>
      </c>
      <c r="Q7340" s="19">
        <v>3795</v>
      </c>
      <c r="R7340" s="19">
        <f t="shared" si="315"/>
        <v>0</v>
      </c>
      <c r="S7340" s="19">
        <v>1020</v>
      </c>
      <c r="T7340" s="19" t="s">
        <v>42</v>
      </c>
      <c r="U7340" s="102" t="s">
        <v>1705</v>
      </c>
      <c r="V7340" s="186">
        <v>46038</v>
      </c>
      <c r="W7340" s="17" t="s">
        <v>44</v>
      </c>
      <c r="X7340" s="17"/>
      <c r="Y7340" s="68">
        <v>46054</v>
      </c>
      <c r="Z7340" s="17" t="s">
        <v>45</v>
      </c>
      <c r="AA7340" s="17" t="s">
        <v>46</v>
      </c>
      <c r="AB7340" s="17" t="s">
        <v>1706</v>
      </c>
      <c r="AC7340" s="217">
        <v>46055</v>
      </c>
      <c r="AD7340" s="65">
        <v>1783</v>
      </c>
      <c r="AE7340" s="17" t="s">
        <v>48</v>
      </c>
      <c r="AF7340" s="17" t="s">
        <v>560</v>
      </c>
      <c r="AG7340" s="17"/>
      <c r="AH7340" s="17"/>
      <c r="AI7340" s="17"/>
      <c r="AJ7340" s="17"/>
      <c r="AK7340" s="17"/>
      <c r="AL7340" s="17"/>
      <c r="AM7340" s="17"/>
      <c r="AN7340" s="17"/>
      <c r="AO7340" s="17"/>
      <c r="AP7340" s="17"/>
      <c r="AQ7340" s="17"/>
      <c r="AR7340" s="17"/>
    </row>
    <row r="7341" s="25" customFormat="1" hidden="1" spans="1:44">
      <c r="A7341" s="17" t="s">
        <v>34</v>
      </c>
      <c r="B7341" s="19">
        <v>1105</v>
      </c>
      <c r="C7341" s="183">
        <v>46039</v>
      </c>
      <c r="D7341" s="17" t="s">
        <v>52</v>
      </c>
      <c r="E7341" s="17" t="s">
        <v>1113</v>
      </c>
      <c r="F7341" s="17" t="s">
        <v>54</v>
      </c>
      <c r="G7341" s="17"/>
      <c r="H7341" s="19">
        <v>1.2738</v>
      </c>
      <c r="I7341" s="19"/>
      <c r="J7341" s="17" t="s">
        <v>49</v>
      </c>
      <c r="K7341" s="19">
        <v>2200</v>
      </c>
      <c r="L7341" s="91">
        <v>90</v>
      </c>
      <c r="M7341" s="19">
        <v>2500</v>
      </c>
      <c r="N7341" s="19" t="s">
        <v>66</v>
      </c>
      <c r="O7341" s="19" t="s">
        <v>67</v>
      </c>
      <c r="P7341" s="19">
        <v>3990</v>
      </c>
      <c r="Q7341" s="19">
        <v>3990</v>
      </c>
      <c r="R7341" s="19">
        <f t="shared" si="315"/>
        <v>0</v>
      </c>
      <c r="S7341" s="19">
        <v>1020</v>
      </c>
      <c r="T7341" s="19" t="s">
        <v>42</v>
      </c>
      <c r="U7341" s="102" t="s">
        <v>1705</v>
      </c>
      <c r="V7341" s="186">
        <v>46038</v>
      </c>
      <c r="W7341" s="17" t="s">
        <v>44</v>
      </c>
      <c r="X7341" s="17"/>
      <c r="Y7341" s="68">
        <v>46054</v>
      </c>
      <c r="Z7341" s="17" t="s">
        <v>45</v>
      </c>
      <c r="AA7341" s="17" t="s">
        <v>46</v>
      </c>
      <c r="AB7341" s="17" t="s">
        <v>1706</v>
      </c>
      <c r="AC7341" s="217">
        <v>46055</v>
      </c>
      <c r="AD7341" s="65">
        <v>1783</v>
      </c>
      <c r="AE7341" s="17" t="s">
        <v>48</v>
      </c>
      <c r="AF7341" s="17" t="s">
        <v>560</v>
      </c>
      <c r="AG7341" s="17"/>
      <c r="AH7341" s="17"/>
      <c r="AI7341" s="17"/>
      <c r="AJ7341" s="17"/>
      <c r="AK7341" s="17"/>
      <c r="AL7341" s="17"/>
      <c r="AM7341" s="17"/>
      <c r="AN7341" s="17"/>
      <c r="AO7341" s="17"/>
      <c r="AP7341" s="17"/>
      <c r="AQ7341" s="17"/>
      <c r="AR7341" s="17"/>
    </row>
    <row r="7342" s="25" customFormat="1" hidden="1" spans="1:44">
      <c r="A7342" s="17" t="s">
        <v>34</v>
      </c>
      <c r="B7342" s="19">
        <v>1105</v>
      </c>
      <c r="C7342" s="183">
        <v>46039</v>
      </c>
      <c r="D7342" s="17" t="s">
        <v>52</v>
      </c>
      <c r="E7342" s="17" t="s">
        <v>1113</v>
      </c>
      <c r="F7342" s="17" t="s">
        <v>54</v>
      </c>
      <c r="G7342" s="17"/>
      <c r="H7342" s="19">
        <v>1.2738</v>
      </c>
      <c r="I7342" s="19"/>
      <c r="J7342" s="17" t="s">
        <v>49</v>
      </c>
      <c r="K7342" s="19">
        <v>2200</v>
      </c>
      <c r="L7342" s="91">
        <v>105</v>
      </c>
      <c r="M7342" s="19">
        <v>2500</v>
      </c>
      <c r="N7342" s="19" t="s">
        <v>66</v>
      </c>
      <c r="O7342" s="19" t="s">
        <v>67</v>
      </c>
      <c r="P7342" s="19">
        <v>4500</v>
      </c>
      <c r="Q7342" s="19">
        <v>4500</v>
      </c>
      <c r="R7342" s="19">
        <f t="shared" si="315"/>
        <v>0</v>
      </c>
      <c r="S7342" s="19">
        <v>1020</v>
      </c>
      <c r="T7342" s="19" t="s">
        <v>42</v>
      </c>
      <c r="U7342" s="102" t="s">
        <v>1705</v>
      </c>
      <c r="V7342" s="186">
        <v>46038</v>
      </c>
      <c r="W7342" s="17" t="s">
        <v>44</v>
      </c>
      <c r="X7342" s="17"/>
      <c r="Y7342" s="68">
        <v>46054</v>
      </c>
      <c r="Z7342" s="17" t="s">
        <v>45</v>
      </c>
      <c r="AA7342" s="17" t="s">
        <v>46</v>
      </c>
      <c r="AB7342" s="17" t="s">
        <v>1706</v>
      </c>
      <c r="AC7342" s="217">
        <v>46055</v>
      </c>
      <c r="AD7342" s="65">
        <v>1783</v>
      </c>
      <c r="AE7342" s="17" t="s">
        <v>48</v>
      </c>
      <c r="AF7342" s="17" t="s">
        <v>560</v>
      </c>
      <c r="AG7342" s="17"/>
      <c r="AH7342" s="17"/>
      <c r="AI7342" s="17"/>
      <c r="AJ7342" s="17"/>
      <c r="AK7342" s="17"/>
      <c r="AL7342" s="17"/>
      <c r="AM7342" s="17"/>
      <c r="AN7342" s="17"/>
      <c r="AO7342" s="17"/>
      <c r="AP7342" s="17"/>
      <c r="AQ7342" s="17"/>
      <c r="AR7342" s="17"/>
    </row>
    <row r="7343" s="25" customFormat="1" hidden="1" spans="1:44">
      <c r="A7343" s="17" t="s">
        <v>34</v>
      </c>
      <c r="B7343" s="19">
        <v>1106</v>
      </c>
      <c r="C7343" s="183">
        <v>46052</v>
      </c>
      <c r="D7343" s="17" t="s">
        <v>52</v>
      </c>
      <c r="E7343" s="17" t="s">
        <v>53</v>
      </c>
      <c r="F7343" s="17" t="s">
        <v>54</v>
      </c>
      <c r="G7343" s="17"/>
      <c r="H7343" s="19" t="s">
        <v>108</v>
      </c>
      <c r="I7343" s="19"/>
      <c r="J7343" s="17" t="s">
        <v>49</v>
      </c>
      <c r="K7343" s="19">
        <v>1100</v>
      </c>
      <c r="L7343" s="91">
        <v>205</v>
      </c>
      <c r="M7343" s="19">
        <v>4000</v>
      </c>
      <c r="N7343" s="19" t="s">
        <v>66</v>
      </c>
      <c r="O7343" s="19" t="s">
        <v>50</v>
      </c>
      <c r="P7343" s="19">
        <v>8000</v>
      </c>
      <c r="Q7343" s="19">
        <v>8300</v>
      </c>
      <c r="R7343" s="19">
        <f t="shared" si="315"/>
        <v>-300</v>
      </c>
      <c r="S7343" s="19">
        <v>2050</v>
      </c>
      <c r="T7343" s="19" t="s">
        <v>42</v>
      </c>
      <c r="U7343" s="102" t="s">
        <v>1707</v>
      </c>
      <c r="V7343" s="186">
        <v>46055</v>
      </c>
      <c r="W7343" s="17" t="s">
        <v>58</v>
      </c>
      <c r="X7343" s="17"/>
      <c r="Y7343" s="68">
        <v>46143</v>
      </c>
      <c r="Z7343" s="17" t="s">
        <v>1702</v>
      </c>
      <c r="AA7343" s="17" t="s">
        <v>46</v>
      </c>
      <c r="AB7343" s="17" t="s">
        <v>1708</v>
      </c>
      <c r="AC7343" s="217">
        <v>46129</v>
      </c>
      <c r="AD7343" s="65">
        <v>1799</v>
      </c>
      <c r="AE7343" s="17" t="s">
        <v>48</v>
      </c>
      <c r="AF7343" s="17" t="s">
        <v>61</v>
      </c>
      <c r="AG7343" s="17"/>
      <c r="AH7343" s="17"/>
      <c r="AI7343" s="17"/>
      <c r="AJ7343" s="17"/>
      <c r="AK7343" s="17"/>
      <c r="AL7343" s="17"/>
      <c r="AM7343" s="17"/>
      <c r="AN7343" s="17"/>
      <c r="AO7343" s="17"/>
      <c r="AP7343" s="17"/>
      <c r="AQ7343" s="17"/>
      <c r="AR7343" s="17"/>
    </row>
    <row r="7344" s="25" customFormat="1" hidden="1" spans="1:44">
      <c r="A7344" s="17" t="s">
        <v>34</v>
      </c>
      <c r="B7344" s="19">
        <v>1106</v>
      </c>
      <c r="C7344" s="183">
        <v>46052</v>
      </c>
      <c r="D7344" s="17" t="s">
        <v>52</v>
      </c>
      <c r="E7344" s="17" t="s">
        <v>53</v>
      </c>
      <c r="F7344" s="17" t="s">
        <v>54</v>
      </c>
      <c r="G7344" s="17"/>
      <c r="H7344" s="19" t="s">
        <v>108</v>
      </c>
      <c r="I7344" s="19"/>
      <c r="J7344" s="17" t="s">
        <v>49</v>
      </c>
      <c r="K7344" s="19">
        <v>1100</v>
      </c>
      <c r="L7344" s="91">
        <v>255</v>
      </c>
      <c r="M7344" s="19">
        <v>4000</v>
      </c>
      <c r="N7344" s="19" t="s">
        <v>66</v>
      </c>
      <c r="O7344" s="19" t="s">
        <v>50</v>
      </c>
      <c r="P7344" s="19">
        <v>8500</v>
      </c>
      <c r="Q7344" s="19">
        <v>8100</v>
      </c>
      <c r="R7344" s="19">
        <f t="shared" si="315"/>
        <v>400</v>
      </c>
      <c r="S7344" s="19">
        <v>2050</v>
      </c>
      <c r="T7344" s="19" t="s">
        <v>42</v>
      </c>
      <c r="U7344" s="102" t="s">
        <v>1707</v>
      </c>
      <c r="V7344" s="186">
        <v>46055</v>
      </c>
      <c r="W7344" s="17" t="s">
        <v>58</v>
      </c>
      <c r="X7344" s="17"/>
      <c r="Y7344" s="68">
        <v>46143</v>
      </c>
      <c r="Z7344" s="17" t="s">
        <v>1702</v>
      </c>
      <c r="AA7344" s="17" t="s">
        <v>46</v>
      </c>
      <c r="AB7344" s="17" t="s">
        <v>1708</v>
      </c>
      <c r="AC7344" s="217">
        <v>46129</v>
      </c>
      <c r="AD7344" s="65">
        <v>1799</v>
      </c>
      <c r="AE7344" s="17" t="s">
        <v>48</v>
      </c>
      <c r="AF7344" s="17" t="s">
        <v>61</v>
      </c>
      <c r="AG7344" s="17"/>
      <c r="AH7344" s="17"/>
      <c r="AI7344" s="17"/>
      <c r="AJ7344" s="17"/>
      <c r="AK7344" s="17"/>
      <c r="AL7344" s="17"/>
      <c r="AM7344" s="17"/>
      <c r="AN7344" s="17"/>
      <c r="AO7344" s="17"/>
      <c r="AP7344" s="17"/>
      <c r="AQ7344" s="17"/>
      <c r="AR7344" s="17"/>
    </row>
    <row r="7345" s="25" customFormat="1" hidden="1" spans="1:44">
      <c r="A7345" s="17" t="s">
        <v>34</v>
      </c>
      <c r="B7345" s="19">
        <v>1106</v>
      </c>
      <c r="C7345" s="183">
        <v>46052</v>
      </c>
      <c r="D7345" s="17" t="s">
        <v>52</v>
      </c>
      <c r="E7345" s="17" t="s">
        <v>53</v>
      </c>
      <c r="F7345" s="17" t="s">
        <v>54</v>
      </c>
      <c r="G7345" s="17"/>
      <c r="H7345" s="19" t="s">
        <v>108</v>
      </c>
      <c r="I7345" s="19"/>
      <c r="J7345" s="17" t="s">
        <v>49</v>
      </c>
      <c r="K7345" s="19">
        <v>1100</v>
      </c>
      <c r="L7345" s="91">
        <v>305</v>
      </c>
      <c r="M7345" s="19">
        <v>4000</v>
      </c>
      <c r="N7345" s="19" t="s">
        <v>66</v>
      </c>
      <c r="O7345" s="19" t="s">
        <v>50</v>
      </c>
      <c r="P7345" s="19">
        <v>10000</v>
      </c>
      <c r="Q7345" s="19">
        <v>8150</v>
      </c>
      <c r="R7345" s="19">
        <f t="shared" si="315"/>
        <v>1850</v>
      </c>
      <c r="S7345" s="19">
        <v>2050</v>
      </c>
      <c r="T7345" s="19" t="s">
        <v>42</v>
      </c>
      <c r="U7345" s="102" t="s">
        <v>1707</v>
      </c>
      <c r="V7345" s="186">
        <v>46055</v>
      </c>
      <c r="W7345" s="17" t="s">
        <v>58</v>
      </c>
      <c r="X7345" s="17"/>
      <c r="Y7345" s="68">
        <v>46143</v>
      </c>
      <c r="Z7345" s="17" t="s">
        <v>1702</v>
      </c>
      <c r="AA7345" s="17" t="s">
        <v>46</v>
      </c>
      <c r="AB7345" s="17" t="s">
        <v>1708</v>
      </c>
      <c r="AC7345" s="217">
        <v>46129</v>
      </c>
      <c r="AD7345" s="65">
        <v>1799</v>
      </c>
      <c r="AE7345" s="17" t="s">
        <v>48</v>
      </c>
      <c r="AF7345" s="17" t="s">
        <v>61</v>
      </c>
      <c r="AG7345" s="17"/>
      <c r="AH7345" s="17"/>
      <c r="AI7345" s="17"/>
      <c r="AJ7345" s="17"/>
      <c r="AK7345" s="17"/>
      <c r="AL7345" s="17"/>
      <c r="AM7345" s="17"/>
      <c r="AN7345" s="17"/>
      <c r="AO7345" s="17"/>
      <c r="AP7345" s="17"/>
      <c r="AQ7345" s="17"/>
      <c r="AR7345" s="17"/>
    </row>
    <row r="7346" s="25" customFormat="1" hidden="1" spans="1:44">
      <c r="A7346" s="17" t="s">
        <v>34</v>
      </c>
      <c r="B7346" s="19">
        <v>1107</v>
      </c>
      <c r="C7346" s="183">
        <v>46100</v>
      </c>
      <c r="D7346" s="17" t="s">
        <v>52</v>
      </c>
      <c r="E7346" s="17" t="s">
        <v>1555</v>
      </c>
      <c r="F7346" s="17" t="s">
        <v>54</v>
      </c>
      <c r="G7346" s="17"/>
      <c r="H7346" s="19" t="s">
        <v>1370</v>
      </c>
      <c r="I7346" s="19"/>
      <c r="J7346" s="17" t="s">
        <v>49</v>
      </c>
      <c r="K7346" s="19">
        <v>2200</v>
      </c>
      <c r="L7346" s="91">
        <v>330</v>
      </c>
      <c r="M7346" s="19">
        <v>2000</v>
      </c>
      <c r="N7346" s="19" t="s">
        <v>40</v>
      </c>
      <c r="O7346" s="19" t="s">
        <v>98</v>
      </c>
      <c r="P7346" s="19">
        <v>11657</v>
      </c>
      <c r="Q7346" s="19">
        <v>11615</v>
      </c>
      <c r="R7346" s="19">
        <f t="shared" si="315"/>
        <v>42</v>
      </c>
      <c r="S7346" s="19">
        <v>715</v>
      </c>
      <c r="T7346" s="19" t="s">
        <v>42</v>
      </c>
      <c r="U7346" s="102" t="s">
        <v>1709</v>
      </c>
      <c r="V7346" s="186">
        <v>46100</v>
      </c>
      <c r="W7346" s="17" t="s">
        <v>44</v>
      </c>
      <c r="X7346" s="17"/>
      <c r="Y7346" s="68">
        <v>46082</v>
      </c>
      <c r="Z7346" s="17" t="s">
        <v>45</v>
      </c>
      <c r="AA7346" s="17" t="s">
        <v>46</v>
      </c>
      <c r="AB7346" s="17" t="s">
        <v>1710</v>
      </c>
      <c r="AC7346" s="217">
        <v>46120</v>
      </c>
      <c r="AD7346" s="65">
        <v>1797</v>
      </c>
      <c r="AE7346" s="17" t="s">
        <v>48</v>
      </c>
      <c r="AF7346" s="17" t="s">
        <v>61</v>
      </c>
      <c r="AG7346" s="17"/>
      <c r="AH7346" s="17"/>
      <c r="AI7346" s="17"/>
      <c r="AJ7346" s="17"/>
      <c r="AK7346" s="17"/>
      <c r="AL7346" s="17"/>
      <c r="AM7346" s="17"/>
      <c r="AN7346" s="17"/>
      <c r="AO7346" s="17"/>
      <c r="AP7346" s="17"/>
      <c r="AQ7346" s="17"/>
      <c r="AR7346" s="17"/>
    </row>
    <row r="7347" s="25" customFormat="1" hidden="1" spans="1:44">
      <c r="A7347" s="17" t="s">
        <v>34</v>
      </c>
      <c r="B7347" s="19">
        <v>1107</v>
      </c>
      <c r="C7347" s="183">
        <v>46100</v>
      </c>
      <c r="D7347" s="17" t="s">
        <v>52</v>
      </c>
      <c r="E7347" s="17" t="s">
        <v>1555</v>
      </c>
      <c r="F7347" s="17" t="s">
        <v>54</v>
      </c>
      <c r="G7347" s="17"/>
      <c r="H7347" s="19" t="s">
        <v>1370</v>
      </c>
      <c r="I7347" s="19"/>
      <c r="J7347" s="17" t="s">
        <v>49</v>
      </c>
      <c r="K7347" s="19">
        <v>2200</v>
      </c>
      <c r="L7347" s="91">
        <v>330</v>
      </c>
      <c r="M7347" s="19">
        <v>2500</v>
      </c>
      <c r="N7347" s="19" t="s">
        <v>40</v>
      </c>
      <c r="O7347" s="19" t="s">
        <v>98</v>
      </c>
      <c r="P7347" s="19">
        <v>13114</v>
      </c>
      <c r="Q7347" s="19">
        <v>13145</v>
      </c>
      <c r="R7347" s="19">
        <f t="shared" si="315"/>
        <v>-31</v>
      </c>
      <c r="S7347" s="19">
        <v>715</v>
      </c>
      <c r="T7347" s="19" t="s">
        <v>42</v>
      </c>
      <c r="U7347" s="102" t="s">
        <v>1709</v>
      </c>
      <c r="V7347" s="186">
        <v>46100</v>
      </c>
      <c r="W7347" s="17" t="s">
        <v>44</v>
      </c>
      <c r="X7347" s="17"/>
      <c r="Y7347" s="68">
        <v>46082</v>
      </c>
      <c r="Z7347" s="17" t="s">
        <v>45</v>
      </c>
      <c r="AA7347" s="17" t="s">
        <v>46</v>
      </c>
      <c r="AB7347" s="17" t="s">
        <v>1710</v>
      </c>
      <c r="AC7347" s="217">
        <v>46120</v>
      </c>
      <c r="AD7347" s="65">
        <v>1797</v>
      </c>
      <c r="AE7347" s="17" t="s">
        <v>48</v>
      </c>
      <c r="AF7347" s="17" t="s">
        <v>61</v>
      </c>
      <c r="AG7347" s="17"/>
      <c r="AH7347" s="17"/>
      <c r="AI7347" s="17"/>
      <c r="AJ7347" s="17"/>
      <c r="AK7347" s="17"/>
      <c r="AL7347" s="17"/>
      <c r="AM7347" s="17"/>
      <c r="AN7347" s="17"/>
      <c r="AO7347" s="17"/>
      <c r="AP7347" s="17"/>
      <c r="AQ7347" s="17"/>
      <c r="AR7347" s="17"/>
    </row>
    <row r="7348" s="25" customFormat="1" hidden="1" spans="1:44">
      <c r="A7348" s="17" t="s">
        <v>34</v>
      </c>
      <c r="B7348" s="19">
        <v>1107</v>
      </c>
      <c r="C7348" s="183">
        <v>46100</v>
      </c>
      <c r="D7348" s="17" t="s">
        <v>52</v>
      </c>
      <c r="E7348" s="17" t="s">
        <v>1555</v>
      </c>
      <c r="F7348" s="17" t="s">
        <v>54</v>
      </c>
      <c r="G7348" s="17"/>
      <c r="H7348" s="19" t="s">
        <v>1370</v>
      </c>
      <c r="I7348" s="19"/>
      <c r="J7348" s="17" t="s">
        <v>49</v>
      </c>
      <c r="K7348" s="19">
        <v>2200</v>
      </c>
      <c r="L7348" s="91">
        <v>350</v>
      </c>
      <c r="M7348" s="19">
        <v>2000</v>
      </c>
      <c r="N7348" s="19" t="s">
        <v>40</v>
      </c>
      <c r="O7348" s="19" t="s">
        <v>98</v>
      </c>
      <c r="P7348" s="19">
        <v>12364</v>
      </c>
      <c r="Q7348" s="19">
        <v>13060</v>
      </c>
      <c r="R7348" s="19">
        <f t="shared" si="315"/>
        <v>-696</v>
      </c>
      <c r="S7348" s="19">
        <v>715</v>
      </c>
      <c r="T7348" s="19" t="s">
        <v>42</v>
      </c>
      <c r="U7348" s="102" t="s">
        <v>1709</v>
      </c>
      <c r="V7348" s="186">
        <v>46100</v>
      </c>
      <c r="W7348" s="17" t="s">
        <v>44</v>
      </c>
      <c r="X7348" s="17"/>
      <c r="Y7348" s="68">
        <v>46082</v>
      </c>
      <c r="Z7348" s="17" t="s">
        <v>45</v>
      </c>
      <c r="AA7348" s="17" t="s">
        <v>46</v>
      </c>
      <c r="AB7348" s="17" t="s">
        <v>1710</v>
      </c>
      <c r="AC7348" s="217">
        <v>46120</v>
      </c>
      <c r="AD7348" s="65">
        <v>1797</v>
      </c>
      <c r="AE7348" s="17" t="s">
        <v>48</v>
      </c>
      <c r="AF7348" s="17" t="s">
        <v>61</v>
      </c>
      <c r="AG7348" s="17"/>
      <c r="AH7348" s="17"/>
      <c r="AI7348" s="17"/>
      <c r="AJ7348" s="17"/>
      <c r="AK7348" s="17"/>
      <c r="AL7348" s="17"/>
      <c r="AM7348" s="17"/>
      <c r="AN7348" s="17"/>
      <c r="AO7348" s="17"/>
      <c r="AP7348" s="17"/>
      <c r="AQ7348" s="17"/>
      <c r="AR7348" s="17"/>
    </row>
    <row r="7349" s="25" customFormat="1" hidden="1" spans="1:44">
      <c r="A7349" s="17" t="s">
        <v>34</v>
      </c>
      <c r="B7349" s="19">
        <v>1107</v>
      </c>
      <c r="C7349" s="183">
        <v>46100</v>
      </c>
      <c r="D7349" s="17" t="s">
        <v>52</v>
      </c>
      <c r="E7349" s="17" t="s">
        <v>1555</v>
      </c>
      <c r="F7349" s="17" t="s">
        <v>54</v>
      </c>
      <c r="G7349" s="17"/>
      <c r="H7349" s="19" t="s">
        <v>1370</v>
      </c>
      <c r="I7349" s="19"/>
      <c r="J7349" s="17" t="s">
        <v>49</v>
      </c>
      <c r="K7349" s="19">
        <v>2200</v>
      </c>
      <c r="L7349" s="91">
        <v>390</v>
      </c>
      <c r="M7349" s="19">
        <v>2000</v>
      </c>
      <c r="N7349" s="19" t="s">
        <v>40</v>
      </c>
      <c r="O7349" s="19" t="s">
        <v>98</v>
      </c>
      <c r="P7349" s="19">
        <v>13777</v>
      </c>
      <c r="Q7349" s="19">
        <v>14710</v>
      </c>
      <c r="R7349" s="19">
        <f t="shared" si="315"/>
        <v>-933</v>
      </c>
      <c r="S7349" s="19">
        <v>730</v>
      </c>
      <c r="T7349" s="19" t="s">
        <v>42</v>
      </c>
      <c r="U7349" s="102" t="s">
        <v>1709</v>
      </c>
      <c r="V7349" s="186">
        <v>46100</v>
      </c>
      <c r="W7349" s="17" t="s">
        <v>44</v>
      </c>
      <c r="X7349" s="17"/>
      <c r="Y7349" s="68">
        <v>46082</v>
      </c>
      <c r="Z7349" s="17" t="s">
        <v>45</v>
      </c>
      <c r="AA7349" s="17" t="s">
        <v>46</v>
      </c>
      <c r="AB7349" s="17" t="s">
        <v>1710</v>
      </c>
      <c r="AC7349" s="217">
        <v>46120</v>
      </c>
      <c r="AD7349" s="65">
        <v>1797</v>
      </c>
      <c r="AE7349" s="17" t="s">
        <v>48</v>
      </c>
      <c r="AF7349" s="17" t="s">
        <v>61</v>
      </c>
      <c r="AG7349" s="17"/>
      <c r="AH7349" s="17"/>
      <c r="AI7349" s="17"/>
      <c r="AJ7349" s="17"/>
      <c r="AK7349" s="17"/>
      <c r="AL7349" s="17"/>
      <c r="AM7349" s="17"/>
      <c r="AN7349" s="17"/>
      <c r="AO7349" s="17"/>
      <c r="AP7349" s="17"/>
      <c r="AQ7349" s="17"/>
      <c r="AR7349" s="17"/>
    </row>
    <row r="7350" s="25" customFormat="1" hidden="1" spans="1:44">
      <c r="A7350" s="17" t="s">
        <v>34</v>
      </c>
      <c r="B7350" s="19">
        <v>1107</v>
      </c>
      <c r="C7350" s="183">
        <v>46100</v>
      </c>
      <c r="D7350" s="17" t="s">
        <v>52</v>
      </c>
      <c r="E7350" s="17" t="s">
        <v>1555</v>
      </c>
      <c r="F7350" s="17" t="s">
        <v>54</v>
      </c>
      <c r="G7350" s="17"/>
      <c r="H7350" s="19" t="s">
        <v>1370</v>
      </c>
      <c r="I7350" s="19"/>
      <c r="J7350" s="17" t="s">
        <v>49</v>
      </c>
      <c r="K7350" s="19">
        <v>2200</v>
      </c>
      <c r="L7350" s="91">
        <v>440</v>
      </c>
      <c r="M7350" s="19">
        <v>3090</v>
      </c>
      <c r="N7350" s="19" t="s">
        <v>40</v>
      </c>
      <c r="O7350" s="19" t="s">
        <v>98</v>
      </c>
      <c r="P7350" s="19">
        <v>24014</v>
      </c>
      <c r="Q7350" s="19">
        <v>21400</v>
      </c>
      <c r="R7350" s="19">
        <f t="shared" si="315"/>
        <v>2614</v>
      </c>
      <c r="S7350" s="19">
        <v>730</v>
      </c>
      <c r="T7350" s="19" t="s">
        <v>42</v>
      </c>
      <c r="U7350" s="102" t="s">
        <v>1709</v>
      </c>
      <c r="V7350" s="186">
        <v>46100</v>
      </c>
      <c r="W7350" s="17" t="s">
        <v>44</v>
      </c>
      <c r="X7350" s="17"/>
      <c r="Y7350" s="68">
        <v>46082</v>
      </c>
      <c r="Z7350" s="17" t="s">
        <v>45</v>
      </c>
      <c r="AA7350" s="17" t="s">
        <v>46</v>
      </c>
      <c r="AB7350" s="17" t="s">
        <v>1710</v>
      </c>
      <c r="AC7350" s="217">
        <v>46120</v>
      </c>
      <c r="AD7350" s="65">
        <v>1797</v>
      </c>
      <c r="AE7350" s="17" t="s">
        <v>48</v>
      </c>
      <c r="AF7350" s="17" t="s">
        <v>61</v>
      </c>
      <c r="AG7350" s="17"/>
      <c r="AH7350" s="17"/>
      <c r="AI7350" s="17"/>
      <c r="AJ7350" s="17"/>
      <c r="AK7350" s="17"/>
      <c r="AL7350" s="17"/>
      <c r="AM7350" s="17"/>
      <c r="AN7350" s="17"/>
      <c r="AO7350" s="17"/>
      <c r="AP7350" s="17"/>
      <c r="AQ7350" s="17"/>
      <c r="AR7350" s="17"/>
    </row>
    <row r="7351" s="25" customFormat="1" hidden="1" spans="1:44">
      <c r="A7351" s="17" t="s">
        <v>34</v>
      </c>
      <c r="B7351" s="19">
        <v>1110</v>
      </c>
      <c r="C7351" s="183">
        <v>46132</v>
      </c>
      <c r="D7351" s="17" t="s">
        <v>52</v>
      </c>
      <c r="E7351" s="17" t="s">
        <v>1574</v>
      </c>
      <c r="F7351" s="17" t="s">
        <v>54</v>
      </c>
      <c r="G7351" s="17"/>
      <c r="H7351" s="19">
        <v>1.2311</v>
      </c>
      <c r="I7351" s="19"/>
      <c r="J7351" s="17" t="s">
        <v>49</v>
      </c>
      <c r="K7351" s="19">
        <v>2300</v>
      </c>
      <c r="L7351" s="17">
        <v>155</v>
      </c>
      <c r="M7351" s="19">
        <v>5800</v>
      </c>
      <c r="N7351" s="19" t="s">
        <v>66</v>
      </c>
      <c r="O7351" s="19" t="s">
        <v>67</v>
      </c>
      <c r="P7351" s="19">
        <v>6692</v>
      </c>
      <c r="Q7351" s="19">
        <v>8400</v>
      </c>
      <c r="R7351" s="19">
        <f t="shared" si="315"/>
        <v>-1708</v>
      </c>
      <c r="S7351" s="19">
        <v>845</v>
      </c>
      <c r="T7351" s="19" t="s">
        <v>42</v>
      </c>
      <c r="U7351" s="102" t="s">
        <v>1711</v>
      </c>
      <c r="V7351" s="186">
        <v>46133</v>
      </c>
      <c r="W7351" s="17" t="s">
        <v>44</v>
      </c>
      <c r="X7351" s="17"/>
      <c r="Y7351" s="68">
        <v>46143</v>
      </c>
      <c r="Z7351" s="17" t="s">
        <v>45</v>
      </c>
      <c r="AA7351" s="17" t="s">
        <v>46</v>
      </c>
      <c r="AB7351" s="17" t="s">
        <v>1712</v>
      </c>
      <c r="AC7351" s="217">
        <v>46154</v>
      </c>
      <c r="AD7351" s="65">
        <v>1810</v>
      </c>
      <c r="AE7351" s="17" t="s">
        <v>48</v>
      </c>
      <c r="AF7351" s="17" t="s">
        <v>560</v>
      </c>
      <c r="AG7351" s="17"/>
      <c r="AH7351" s="17"/>
      <c r="AI7351" s="17"/>
      <c r="AJ7351" s="17"/>
      <c r="AK7351" s="17"/>
      <c r="AL7351" s="17"/>
      <c r="AM7351" s="17"/>
      <c r="AN7351" s="17"/>
      <c r="AO7351" s="17"/>
      <c r="AP7351" s="17"/>
      <c r="AQ7351" s="17"/>
      <c r="AR7351" s="17"/>
    </row>
    <row r="7352" s="25" customFormat="1" hidden="1" spans="1:44">
      <c r="A7352" s="17" t="s">
        <v>34</v>
      </c>
      <c r="B7352" s="19">
        <v>1110</v>
      </c>
      <c r="C7352" s="183">
        <v>46132</v>
      </c>
      <c r="D7352" s="17" t="s">
        <v>52</v>
      </c>
      <c r="E7352" s="17" t="s">
        <v>1574</v>
      </c>
      <c r="F7352" s="17" t="s">
        <v>54</v>
      </c>
      <c r="G7352" s="17"/>
      <c r="H7352" s="19">
        <v>1.2311</v>
      </c>
      <c r="I7352" s="19"/>
      <c r="J7352" s="17" t="s">
        <v>49</v>
      </c>
      <c r="K7352" s="19">
        <v>2300</v>
      </c>
      <c r="L7352" s="17">
        <v>180</v>
      </c>
      <c r="M7352" s="19">
        <v>5800</v>
      </c>
      <c r="N7352" s="19" t="s">
        <v>66</v>
      </c>
      <c r="O7352" s="19" t="s">
        <v>67</v>
      </c>
      <c r="P7352" s="19">
        <v>7772</v>
      </c>
      <c r="Q7352" s="19">
        <v>9425</v>
      </c>
      <c r="R7352" s="19">
        <f t="shared" si="315"/>
        <v>-1653</v>
      </c>
      <c r="S7352" s="19">
        <v>890</v>
      </c>
      <c r="T7352" s="19" t="s">
        <v>42</v>
      </c>
      <c r="U7352" s="102" t="s">
        <v>1711</v>
      </c>
      <c r="V7352" s="186">
        <v>46133</v>
      </c>
      <c r="W7352" s="17" t="s">
        <v>44</v>
      </c>
      <c r="X7352" s="17"/>
      <c r="Y7352" s="68">
        <v>46143</v>
      </c>
      <c r="Z7352" s="17" t="s">
        <v>45</v>
      </c>
      <c r="AA7352" s="17" t="s">
        <v>46</v>
      </c>
      <c r="AB7352" s="17" t="s">
        <v>1712</v>
      </c>
      <c r="AC7352" s="217">
        <v>46154</v>
      </c>
      <c r="AD7352" s="65">
        <v>1810</v>
      </c>
      <c r="AE7352" s="17" t="s">
        <v>48</v>
      </c>
      <c r="AF7352" s="17" t="s">
        <v>560</v>
      </c>
      <c r="AG7352" s="17"/>
      <c r="AH7352" s="17"/>
      <c r="AI7352" s="17"/>
      <c r="AJ7352" s="17"/>
      <c r="AK7352" s="17"/>
      <c r="AL7352" s="17"/>
      <c r="AM7352" s="17"/>
      <c r="AN7352" s="17"/>
      <c r="AO7352" s="17"/>
      <c r="AP7352" s="17"/>
      <c r="AQ7352" s="17"/>
      <c r="AR7352" s="17"/>
    </row>
    <row r="7353" s="25" customFormat="1" hidden="1" spans="1:44">
      <c r="A7353" s="17" t="s">
        <v>34</v>
      </c>
      <c r="B7353" s="19">
        <v>1110</v>
      </c>
      <c r="C7353" s="183">
        <v>46132</v>
      </c>
      <c r="D7353" s="17" t="s">
        <v>52</v>
      </c>
      <c r="E7353" s="17" t="s">
        <v>1574</v>
      </c>
      <c r="F7353" s="17" t="s">
        <v>54</v>
      </c>
      <c r="G7353" s="17"/>
      <c r="H7353" s="19">
        <v>1.2311</v>
      </c>
      <c r="I7353" s="19"/>
      <c r="J7353" s="17" t="s">
        <v>49</v>
      </c>
      <c r="K7353" s="19">
        <v>2300</v>
      </c>
      <c r="L7353" s="17">
        <v>190</v>
      </c>
      <c r="M7353" s="19">
        <v>5800</v>
      </c>
      <c r="N7353" s="19" t="s">
        <v>66</v>
      </c>
      <c r="O7353" s="19" t="s">
        <v>67</v>
      </c>
      <c r="P7353" s="19">
        <v>8203</v>
      </c>
      <c r="Q7353" s="19">
        <v>10055</v>
      </c>
      <c r="R7353" s="19">
        <f t="shared" si="315"/>
        <v>-1852</v>
      </c>
      <c r="S7353" s="19">
        <v>890</v>
      </c>
      <c r="T7353" s="19" t="s">
        <v>42</v>
      </c>
      <c r="U7353" s="102" t="s">
        <v>1711</v>
      </c>
      <c r="V7353" s="186">
        <v>46133</v>
      </c>
      <c r="W7353" s="17" t="s">
        <v>44</v>
      </c>
      <c r="X7353" s="17"/>
      <c r="Y7353" s="68">
        <v>46143</v>
      </c>
      <c r="Z7353" s="17" t="s">
        <v>45</v>
      </c>
      <c r="AA7353" s="17" t="s">
        <v>46</v>
      </c>
      <c r="AB7353" s="17" t="s">
        <v>1712</v>
      </c>
      <c r="AC7353" s="217">
        <v>46154</v>
      </c>
      <c r="AD7353" s="65">
        <v>1810</v>
      </c>
      <c r="AE7353" s="17" t="s">
        <v>48</v>
      </c>
      <c r="AF7353" s="17" t="s">
        <v>560</v>
      </c>
      <c r="AG7353" s="17"/>
      <c r="AH7353" s="17"/>
      <c r="AI7353" s="17"/>
      <c r="AJ7353" s="17"/>
      <c r="AK7353" s="17"/>
      <c r="AL7353" s="17"/>
      <c r="AM7353" s="17"/>
      <c r="AN7353" s="17"/>
      <c r="AO7353" s="17"/>
      <c r="AP7353" s="17"/>
      <c r="AQ7353" s="17"/>
      <c r="AR7353" s="17"/>
    </row>
    <row r="7354" s="25" customFormat="1" hidden="1" spans="1:44">
      <c r="A7354" s="17" t="s">
        <v>34</v>
      </c>
      <c r="B7354" s="19">
        <v>1110</v>
      </c>
      <c r="C7354" s="183">
        <v>46132</v>
      </c>
      <c r="D7354" s="17" t="s">
        <v>52</v>
      </c>
      <c r="E7354" s="17" t="s">
        <v>1574</v>
      </c>
      <c r="F7354" s="17" t="s">
        <v>54</v>
      </c>
      <c r="G7354" s="17"/>
      <c r="H7354" s="19">
        <v>1.2311</v>
      </c>
      <c r="I7354" s="19"/>
      <c r="J7354" s="17" t="s">
        <v>49</v>
      </c>
      <c r="K7354" s="19">
        <v>2300</v>
      </c>
      <c r="L7354" s="17">
        <v>210</v>
      </c>
      <c r="M7354" s="19">
        <v>5800</v>
      </c>
      <c r="N7354" s="19" t="s">
        <v>66</v>
      </c>
      <c r="O7354" s="19" t="s">
        <v>67</v>
      </c>
      <c r="P7354" s="19">
        <v>9067</v>
      </c>
      <c r="Q7354" s="19">
        <v>11035</v>
      </c>
      <c r="R7354" s="19">
        <f t="shared" si="315"/>
        <v>-1968</v>
      </c>
      <c r="S7354" s="19">
        <v>920</v>
      </c>
      <c r="T7354" s="19" t="s">
        <v>42</v>
      </c>
      <c r="U7354" s="102" t="s">
        <v>1711</v>
      </c>
      <c r="V7354" s="186">
        <v>46133</v>
      </c>
      <c r="W7354" s="17" t="s">
        <v>44</v>
      </c>
      <c r="X7354" s="17"/>
      <c r="Y7354" s="68">
        <v>46143</v>
      </c>
      <c r="Z7354" s="17" t="s">
        <v>45</v>
      </c>
      <c r="AA7354" s="17" t="s">
        <v>46</v>
      </c>
      <c r="AB7354" s="17" t="s">
        <v>1712</v>
      </c>
      <c r="AC7354" s="217">
        <v>46154</v>
      </c>
      <c r="AD7354" s="65">
        <v>1810</v>
      </c>
      <c r="AE7354" s="17" t="s">
        <v>48</v>
      </c>
      <c r="AF7354" s="17" t="s">
        <v>560</v>
      </c>
      <c r="AG7354" s="17"/>
      <c r="AH7354" s="17"/>
      <c r="AI7354" s="17"/>
      <c r="AJ7354" s="17"/>
      <c r="AK7354" s="17"/>
      <c r="AL7354" s="17"/>
      <c r="AM7354" s="17"/>
      <c r="AN7354" s="17"/>
      <c r="AO7354" s="17"/>
      <c r="AP7354" s="17"/>
      <c r="AQ7354" s="17"/>
      <c r="AR7354" s="17"/>
    </row>
    <row r="7355" s="25" customFormat="1" hidden="1" spans="1:44">
      <c r="A7355" s="17" t="s">
        <v>34</v>
      </c>
      <c r="B7355" s="19">
        <v>1110</v>
      </c>
      <c r="C7355" s="183">
        <v>46132</v>
      </c>
      <c r="D7355" s="17" t="s">
        <v>52</v>
      </c>
      <c r="E7355" s="17" t="s">
        <v>1574</v>
      </c>
      <c r="F7355" s="17" t="s">
        <v>54</v>
      </c>
      <c r="G7355" s="17"/>
      <c r="H7355" s="19" t="s">
        <v>1370</v>
      </c>
      <c r="I7355" s="19"/>
      <c r="J7355" s="17" t="s">
        <v>49</v>
      </c>
      <c r="K7355" s="19">
        <v>2300</v>
      </c>
      <c r="L7355" s="442">
        <v>135</v>
      </c>
      <c r="M7355" s="19">
        <v>5800</v>
      </c>
      <c r="N7355" s="19" t="s">
        <v>40</v>
      </c>
      <c r="O7355" s="19" t="s">
        <v>67</v>
      </c>
      <c r="P7355" s="19">
        <v>11226</v>
      </c>
      <c r="Q7355" s="19">
        <v>10115</v>
      </c>
      <c r="R7355" s="19">
        <f t="shared" si="315"/>
        <v>1111</v>
      </c>
      <c r="S7355" s="19">
        <v>620</v>
      </c>
      <c r="T7355" s="19" t="s">
        <v>42</v>
      </c>
      <c r="U7355" s="102" t="s">
        <v>1711</v>
      </c>
      <c r="V7355" s="186">
        <v>46133</v>
      </c>
      <c r="W7355" s="17" t="s">
        <v>44</v>
      </c>
      <c r="X7355" s="17"/>
      <c r="Y7355" s="68">
        <v>46143</v>
      </c>
      <c r="Z7355" s="17" t="s">
        <v>45</v>
      </c>
      <c r="AA7355" s="17" t="s">
        <v>46</v>
      </c>
      <c r="AB7355" s="17" t="s">
        <v>1713</v>
      </c>
      <c r="AC7355" s="217">
        <v>46154</v>
      </c>
      <c r="AD7355" s="65">
        <v>1811</v>
      </c>
      <c r="AE7355" s="17" t="s">
        <v>48</v>
      </c>
      <c r="AF7355" s="17" t="s">
        <v>560</v>
      </c>
      <c r="AG7355" s="17"/>
      <c r="AH7355" s="17"/>
      <c r="AI7355" s="17"/>
      <c r="AJ7355" s="17"/>
      <c r="AK7355" s="17"/>
      <c r="AL7355" s="17"/>
      <c r="AM7355" s="17"/>
      <c r="AN7355" s="17"/>
      <c r="AO7355" s="17"/>
      <c r="AP7355" s="17"/>
      <c r="AQ7355" s="17"/>
      <c r="AR7355" s="17"/>
    </row>
    <row r="7356" s="25" customFormat="1" hidden="1" spans="1:44">
      <c r="A7356" s="17" t="s">
        <v>34</v>
      </c>
      <c r="B7356" s="19">
        <v>1110</v>
      </c>
      <c r="C7356" s="183">
        <v>46132</v>
      </c>
      <c r="D7356" s="17" t="s">
        <v>52</v>
      </c>
      <c r="E7356" s="17" t="s">
        <v>1574</v>
      </c>
      <c r="F7356" s="17" t="s">
        <v>54</v>
      </c>
      <c r="G7356" s="17"/>
      <c r="H7356" s="19" t="s">
        <v>1370</v>
      </c>
      <c r="I7356" s="19"/>
      <c r="J7356" s="17" t="s">
        <v>49</v>
      </c>
      <c r="K7356" s="19">
        <v>2300</v>
      </c>
      <c r="L7356" s="442">
        <v>155</v>
      </c>
      <c r="M7356" s="19">
        <v>5800</v>
      </c>
      <c r="N7356" s="19" t="s">
        <v>40</v>
      </c>
      <c r="O7356" s="19" t="s">
        <v>67</v>
      </c>
      <c r="P7356" s="19">
        <v>12953</v>
      </c>
      <c r="Q7356" s="19">
        <v>11705</v>
      </c>
      <c r="R7356" s="19">
        <f t="shared" si="315"/>
        <v>1248</v>
      </c>
      <c r="S7356" s="19">
        <v>620</v>
      </c>
      <c r="T7356" s="19" t="s">
        <v>42</v>
      </c>
      <c r="U7356" s="102" t="s">
        <v>1711</v>
      </c>
      <c r="V7356" s="186">
        <v>46133</v>
      </c>
      <c r="W7356" s="17" t="s">
        <v>44</v>
      </c>
      <c r="X7356" s="17"/>
      <c r="Y7356" s="68">
        <v>46143</v>
      </c>
      <c r="Z7356" s="17" t="s">
        <v>45</v>
      </c>
      <c r="AA7356" s="17" t="s">
        <v>46</v>
      </c>
      <c r="AB7356" s="17" t="s">
        <v>1713</v>
      </c>
      <c r="AC7356" s="217">
        <v>46154</v>
      </c>
      <c r="AD7356" s="65">
        <v>1811</v>
      </c>
      <c r="AE7356" s="17" t="s">
        <v>48</v>
      </c>
      <c r="AF7356" s="17" t="s">
        <v>560</v>
      </c>
      <c r="AG7356" s="17"/>
      <c r="AH7356" s="17"/>
      <c r="AI7356" s="17"/>
      <c r="AJ7356" s="17"/>
      <c r="AK7356" s="17"/>
      <c r="AL7356" s="17"/>
      <c r="AM7356" s="17"/>
      <c r="AN7356" s="17"/>
      <c r="AO7356" s="17"/>
      <c r="AP7356" s="17"/>
      <c r="AQ7356" s="17"/>
      <c r="AR7356" s="17"/>
    </row>
    <row r="7357" s="25" customFormat="1" hidden="1" spans="1:44">
      <c r="A7357" s="17" t="s">
        <v>34</v>
      </c>
      <c r="B7357" s="19">
        <v>1110</v>
      </c>
      <c r="C7357" s="183">
        <v>46132</v>
      </c>
      <c r="D7357" s="17" t="s">
        <v>52</v>
      </c>
      <c r="E7357" s="17" t="s">
        <v>1574</v>
      </c>
      <c r="F7357" s="17" t="s">
        <v>54</v>
      </c>
      <c r="G7357" s="17"/>
      <c r="H7357" s="19" t="s">
        <v>1370</v>
      </c>
      <c r="I7357" s="19"/>
      <c r="J7357" s="17" t="s">
        <v>49</v>
      </c>
      <c r="K7357" s="19">
        <v>2300</v>
      </c>
      <c r="L7357" s="442">
        <v>195</v>
      </c>
      <c r="M7357" s="19">
        <v>5800</v>
      </c>
      <c r="N7357" s="19" t="s">
        <v>40</v>
      </c>
      <c r="O7357" s="19" t="s">
        <v>67</v>
      </c>
      <c r="P7357" s="19">
        <v>16407</v>
      </c>
      <c r="Q7357" s="19">
        <v>14825</v>
      </c>
      <c r="R7357" s="19">
        <f t="shared" si="315"/>
        <v>1582</v>
      </c>
      <c r="S7357" s="19">
        <v>620</v>
      </c>
      <c r="T7357" s="19" t="s">
        <v>42</v>
      </c>
      <c r="U7357" s="102" t="s">
        <v>1711</v>
      </c>
      <c r="V7357" s="186">
        <v>46133</v>
      </c>
      <c r="W7357" s="17" t="s">
        <v>44</v>
      </c>
      <c r="X7357" s="17"/>
      <c r="Y7357" s="68">
        <v>46143</v>
      </c>
      <c r="Z7357" s="17" t="s">
        <v>45</v>
      </c>
      <c r="AA7357" s="17" t="s">
        <v>46</v>
      </c>
      <c r="AB7357" s="17" t="s">
        <v>1712</v>
      </c>
      <c r="AC7357" s="217">
        <v>46154</v>
      </c>
      <c r="AD7357" s="65">
        <v>1810</v>
      </c>
      <c r="AE7357" s="17" t="s">
        <v>48</v>
      </c>
      <c r="AF7357" s="17" t="s">
        <v>560</v>
      </c>
      <c r="AG7357" s="17"/>
      <c r="AH7357" s="17"/>
      <c r="AI7357" s="17"/>
      <c r="AJ7357" s="17"/>
      <c r="AK7357" s="17"/>
      <c r="AL7357" s="17"/>
      <c r="AM7357" s="17"/>
      <c r="AN7357" s="17"/>
      <c r="AO7357" s="17"/>
      <c r="AP7357" s="17"/>
      <c r="AQ7357" s="17"/>
      <c r="AR7357" s="17"/>
    </row>
    <row r="7358" s="25" customFormat="1" ht="15.6" hidden="1" spans="1:44">
      <c r="A7358" s="17" t="s">
        <v>34</v>
      </c>
      <c r="B7358" s="19">
        <v>1110</v>
      </c>
      <c r="C7358" s="183">
        <v>46132</v>
      </c>
      <c r="D7358" s="17" t="s">
        <v>52</v>
      </c>
      <c r="E7358" s="17" t="s">
        <v>1574</v>
      </c>
      <c r="F7358" s="17" t="s">
        <v>54</v>
      </c>
      <c r="G7358" s="17"/>
      <c r="H7358" s="19" t="s">
        <v>1370</v>
      </c>
      <c r="I7358" s="19"/>
      <c r="J7358" s="17" t="s">
        <v>49</v>
      </c>
      <c r="K7358" s="19">
        <v>2300</v>
      </c>
      <c r="L7358" s="443">
        <v>200</v>
      </c>
      <c r="M7358" s="19">
        <v>5800</v>
      </c>
      <c r="N7358" s="19" t="s">
        <v>40</v>
      </c>
      <c r="O7358" s="19" t="s">
        <v>67</v>
      </c>
      <c r="P7358" s="19">
        <v>17270</v>
      </c>
      <c r="Q7358" s="19">
        <v>15120</v>
      </c>
      <c r="R7358" s="19">
        <f t="shared" si="315"/>
        <v>2150</v>
      </c>
      <c r="S7358" s="19">
        <v>640</v>
      </c>
      <c r="T7358" s="19" t="s">
        <v>42</v>
      </c>
      <c r="U7358" s="102" t="s">
        <v>1711</v>
      </c>
      <c r="V7358" s="186">
        <v>46133</v>
      </c>
      <c r="W7358" s="17" t="s">
        <v>44</v>
      </c>
      <c r="X7358" s="17"/>
      <c r="Y7358" s="68">
        <v>46143</v>
      </c>
      <c r="Z7358" s="17" t="s">
        <v>45</v>
      </c>
      <c r="AA7358" s="17" t="s">
        <v>46</v>
      </c>
      <c r="AB7358" s="17" t="s">
        <v>1713</v>
      </c>
      <c r="AC7358" s="217">
        <v>46154</v>
      </c>
      <c r="AD7358" s="65">
        <v>1811</v>
      </c>
      <c r="AE7358" s="17" t="s">
        <v>48</v>
      </c>
      <c r="AF7358" s="17" t="s">
        <v>560</v>
      </c>
      <c r="AG7358" s="17"/>
      <c r="AH7358" s="17"/>
      <c r="AI7358" s="17"/>
      <c r="AJ7358" s="17"/>
      <c r="AK7358" s="17"/>
      <c r="AL7358" s="17"/>
      <c r="AM7358" s="17"/>
      <c r="AN7358" s="17"/>
      <c r="AO7358" s="17"/>
      <c r="AP7358" s="17"/>
      <c r="AQ7358" s="17"/>
      <c r="AR7358" s="17"/>
    </row>
    <row r="7359" s="25" customFormat="1" ht="15.6" hidden="1" spans="1:44">
      <c r="A7359" s="17" t="s">
        <v>34</v>
      </c>
      <c r="B7359" s="19">
        <v>1110</v>
      </c>
      <c r="C7359" s="183">
        <v>46132</v>
      </c>
      <c r="D7359" s="17" t="s">
        <v>52</v>
      </c>
      <c r="E7359" s="17" t="s">
        <v>1574</v>
      </c>
      <c r="F7359" s="17" t="s">
        <v>54</v>
      </c>
      <c r="G7359" s="17"/>
      <c r="H7359" s="19" t="s">
        <v>1370</v>
      </c>
      <c r="I7359" s="19"/>
      <c r="J7359" s="17" t="s">
        <v>49</v>
      </c>
      <c r="K7359" s="19">
        <v>2300</v>
      </c>
      <c r="L7359" s="443">
        <v>220</v>
      </c>
      <c r="M7359" s="19">
        <v>5800</v>
      </c>
      <c r="N7359" s="19" t="s">
        <v>40</v>
      </c>
      <c r="O7359" s="19" t="s">
        <v>67</v>
      </c>
      <c r="P7359" s="19">
        <v>18997</v>
      </c>
      <c r="Q7359" s="19">
        <v>16450</v>
      </c>
      <c r="R7359" s="19">
        <f t="shared" si="315"/>
        <v>2547</v>
      </c>
      <c r="S7359" s="19">
        <v>640</v>
      </c>
      <c r="T7359" s="19" t="s">
        <v>42</v>
      </c>
      <c r="U7359" s="102" t="s">
        <v>1711</v>
      </c>
      <c r="V7359" s="186">
        <v>46133</v>
      </c>
      <c r="W7359" s="17" t="s">
        <v>44</v>
      </c>
      <c r="X7359" s="17"/>
      <c r="Y7359" s="68">
        <v>46143</v>
      </c>
      <c r="Z7359" s="17" t="s">
        <v>45</v>
      </c>
      <c r="AA7359" s="17" t="s">
        <v>46</v>
      </c>
      <c r="AB7359" s="17" t="s">
        <v>1713</v>
      </c>
      <c r="AC7359" s="217">
        <v>46154</v>
      </c>
      <c r="AD7359" s="65">
        <v>1811</v>
      </c>
      <c r="AE7359" s="17" t="s">
        <v>48</v>
      </c>
      <c r="AF7359" s="17" t="s">
        <v>560</v>
      </c>
      <c r="AG7359" s="17"/>
      <c r="AH7359" s="17"/>
      <c r="AI7359" s="17"/>
      <c r="AJ7359" s="17"/>
      <c r="AK7359" s="17"/>
      <c r="AL7359" s="17"/>
      <c r="AM7359" s="17"/>
      <c r="AN7359" s="17"/>
      <c r="AO7359" s="17"/>
      <c r="AP7359" s="17"/>
      <c r="AQ7359" s="17"/>
      <c r="AR7359" s="17"/>
    </row>
    <row r="7360" s="25" customFormat="1" hidden="1" spans="1:44">
      <c r="A7360" s="17" t="s">
        <v>34</v>
      </c>
      <c r="B7360" s="19">
        <v>1089</v>
      </c>
      <c r="C7360" s="183">
        <v>45924</v>
      </c>
      <c r="D7360" s="17" t="s">
        <v>35</v>
      </c>
      <c r="E7360" s="17" t="s">
        <v>718</v>
      </c>
      <c r="F7360" s="17" t="s">
        <v>37</v>
      </c>
      <c r="G7360" s="17"/>
      <c r="H7360" s="19" t="s">
        <v>38</v>
      </c>
      <c r="I7360" s="19"/>
      <c r="J7360" s="17" t="s">
        <v>82</v>
      </c>
      <c r="K7360" s="19">
        <v>800</v>
      </c>
      <c r="L7360" s="91">
        <v>210</v>
      </c>
      <c r="M7360" s="19"/>
      <c r="N7360" s="19" t="s">
        <v>40</v>
      </c>
      <c r="O7360" s="19" t="s">
        <v>50</v>
      </c>
      <c r="P7360" s="19">
        <v>10000</v>
      </c>
      <c r="Q7360" s="19">
        <v>7250</v>
      </c>
      <c r="R7360" s="19">
        <f t="shared" si="315"/>
        <v>2750</v>
      </c>
      <c r="S7360" s="19">
        <v>3350</v>
      </c>
      <c r="T7360" s="19" t="s">
        <v>42</v>
      </c>
      <c r="U7360" s="102" t="s">
        <v>1714</v>
      </c>
      <c r="V7360" s="186">
        <v>45925</v>
      </c>
      <c r="W7360" s="17" t="s">
        <v>44</v>
      </c>
      <c r="X7360" s="17"/>
      <c r="Y7360" s="68">
        <v>46054</v>
      </c>
      <c r="Z7360" s="17" t="s">
        <v>45</v>
      </c>
      <c r="AA7360" s="17" t="s">
        <v>46</v>
      </c>
      <c r="AB7360" s="17" t="s">
        <v>1715</v>
      </c>
      <c r="AC7360" s="217">
        <v>46188</v>
      </c>
      <c r="AD7360" s="65">
        <v>1816</v>
      </c>
      <c r="AE7360" s="17" t="s">
        <v>48</v>
      </c>
      <c r="AF7360" s="17"/>
      <c r="AG7360" s="17"/>
      <c r="AH7360" s="17"/>
      <c r="AI7360" s="17"/>
      <c r="AJ7360" s="17"/>
      <c r="AK7360" s="17"/>
      <c r="AL7360" s="17"/>
      <c r="AM7360" s="17"/>
      <c r="AN7360" s="17"/>
      <c r="AO7360" s="17"/>
      <c r="AP7360" s="17"/>
      <c r="AQ7360" s="17"/>
      <c r="AR7360" s="17"/>
    </row>
    <row r="7361" s="25" customFormat="1" hidden="1" spans="1:44">
      <c r="A7361" s="17" t="s">
        <v>34</v>
      </c>
      <c r="B7361" s="19">
        <v>1089</v>
      </c>
      <c r="C7361" s="183">
        <v>45924</v>
      </c>
      <c r="D7361" s="17" t="s">
        <v>35</v>
      </c>
      <c r="E7361" s="17" t="s">
        <v>718</v>
      </c>
      <c r="F7361" s="17" t="s">
        <v>37</v>
      </c>
      <c r="G7361" s="17"/>
      <c r="H7361" s="19" t="s">
        <v>38</v>
      </c>
      <c r="I7361" s="19"/>
      <c r="J7361" s="17" t="s">
        <v>82</v>
      </c>
      <c r="K7361" s="19">
        <v>800</v>
      </c>
      <c r="L7361" s="91">
        <v>310</v>
      </c>
      <c r="M7361" s="19"/>
      <c r="N7361" s="19" t="s">
        <v>40</v>
      </c>
      <c r="O7361" s="19" t="s">
        <v>50</v>
      </c>
      <c r="P7361" s="19">
        <v>10000</v>
      </c>
      <c r="Q7361" s="19">
        <v>6848</v>
      </c>
      <c r="R7361" s="19">
        <f t="shared" si="315"/>
        <v>3152</v>
      </c>
      <c r="S7361" s="19">
        <v>3350</v>
      </c>
      <c r="T7361" s="19" t="s">
        <v>42</v>
      </c>
      <c r="U7361" s="102" t="s">
        <v>1714</v>
      </c>
      <c r="V7361" s="186">
        <v>45925</v>
      </c>
      <c r="W7361" s="17" t="s">
        <v>44</v>
      </c>
      <c r="X7361" s="17"/>
      <c r="Y7361" s="68">
        <v>46054</v>
      </c>
      <c r="Z7361" s="17" t="s">
        <v>45</v>
      </c>
      <c r="AA7361" s="17" t="s">
        <v>46</v>
      </c>
      <c r="AB7361" s="17" t="s">
        <v>1715</v>
      </c>
      <c r="AC7361" s="217">
        <v>46188</v>
      </c>
      <c r="AD7361" s="65">
        <v>1816</v>
      </c>
      <c r="AE7361" s="17" t="s">
        <v>48</v>
      </c>
      <c r="AF7361" s="17"/>
      <c r="AG7361" s="17"/>
      <c r="AH7361" s="17"/>
      <c r="AI7361" s="17"/>
      <c r="AJ7361" s="17"/>
      <c r="AK7361" s="17"/>
      <c r="AL7361" s="17"/>
      <c r="AM7361" s="17"/>
      <c r="AN7361" s="17"/>
      <c r="AO7361" s="17"/>
      <c r="AP7361" s="17"/>
      <c r="AQ7361" s="17"/>
      <c r="AR7361" s="17"/>
    </row>
    <row r="7362" s="25" customFormat="1" ht="17.25" hidden="1" customHeight="1" spans="1:44">
      <c r="A7362" s="17" t="s">
        <v>34</v>
      </c>
      <c r="B7362" s="19">
        <v>1093</v>
      </c>
      <c r="C7362" s="183">
        <v>45934</v>
      </c>
      <c r="D7362" s="17" t="s">
        <v>35</v>
      </c>
      <c r="E7362" s="17" t="s">
        <v>36</v>
      </c>
      <c r="F7362" s="17" t="s">
        <v>37</v>
      </c>
      <c r="G7362" s="17"/>
      <c r="H7362" s="19" t="s">
        <v>38</v>
      </c>
      <c r="I7362" s="19"/>
      <c r="J7362" s="17" t="s">
        <v>39</v>
      </c>
      <c r="K7362" s="19">
        <v>71</v>
      </c>
      <c r="L7362" s="91"/>
      <c r="M7362" s="19"/>
      <c r="N7362" s="19" t="s">
        <v>40</v>
      </c>
      <c r="O7362" s="19" t="s">
        <v>41</v>
      </c>
      <c r="P7362" s="19">
        <v>3000</v>
      </c>
      <c r="Q7362" s="19">
        <v>3026</v>
      </c>
      <c r="R7362" s="19">
        <f t="shared" si="315"/>
        <v>-26</v>
      </c>
      <c r="S7362" s="19">
        <v>3300</v>
      </c>
      <c r="T7362" s="19" t="s">
        <v>42</v>
      </c>
      <c r="U7362" s="102" t="s">
        <v>43</v>
      </c>
      <c r="V7362" s="186">
        <v>45936</v>
      </c>
      <c r="W7362" s="17" t="s">
        <v>44</v>
      </c>
      <c r="X7362" s="17"/>
      <c r="Y7362" s="68">
        <v>46054</v>
      </c>
      <c r="Z7362" s="17" t="s">
        <v>45</v>
      </c>
      <c r="AA7362" s="17" t="s">
        <v>46</v>
      </c>
      <c r="AB7362" s="17" t="s">
        <v>47</v>
      </c>
      <c r="AC7362" s="217">
        <v>46148</v>
      </c>
      <c r="AD7362" s="65">
        <v>1775</v>
      </c>
      <c r="AE7362" s="17" t="s">
        <v>48</v>
      </c>
      <c r="AF7362" s="17"/>
      <c r="AG7362" s="17"/>
      <c r="AH7362" s="17"/>
      <c r="AI7362" s="17"/>
      <c r="AJ7362" s="17"/>
      <c r="AK7362" s="17"/>
      <c r="AL7362" s="17"/>
      <c r="AM7362" s="17"/>
      <c r="AN7362" s="17"/>
      <c r="AO7362" s="17"/>
      <c r="AP7362" s="17"/>
      <c r="AQ7362" s="17"/>
      <c r="AR7362" s="17"/>
    </row>
    <row r="7363" s="25" customFormat="1" hidden="1" spans="1:44">
      <c r="A7363" s="17" t="s">
        <v>34</v>
      </c>
      <c r="B7363" s="19">
        <v>1093</v>
      </c>
      <c r="C7363" s="183">
        <v>45934</v>
      </c>
      <c r="D7363" s="17" t="s">
        <v>35</v>
      </c>
      <c r="E7363" s="17" t="s">
        <v>36</v>
      </c>
      <c r="F7363" s="17" t="s">
        <v>37</v>
      </c>
      <c r="G7363" s="17"/>
      <c r="H7363" s="19" t="s">
        <v>38</v>
      </c>
      <c r="I7363" s="19"/>
      <c r="J7363" s="17" t="s">
        <v>39</v>
      </c>
      <c r="K7363" s="19">
        <v>84</v>
      </c>
      <c r="L7363" s="91"/>
      <c r="M7363" s="19"/>
      <c r="N7363" s="19" t="s">
        <v>40</v>
      </c>
      <c r="O7363" s="19" t="s">
        <v>41</v>
      </c>
      <c r="P7363" s="19">
        <v>6000</v>
      </c>
      <c r="Q7363" s="19">
        <v>4796</v>
      </c>
      <c r="R7363" s="19">
        <f t="shared" si="315"/>
        <v>1204</v>
      </c>
      <c r="S7363" s="19">
        <v>3300</v>
      </c>
      <c r="T7363" s="19" t="s">
        <v>42</v>
      </c>
      <c r="U7363" s="102" t="s">
        <v>43</v>
      </c>
      <c r="V7363" s="186">
        <v>45936</v>
      </c>
      <c r="W7363" s="17" t="s">
        <v>44</v>
      </c>
      <c r="X7363" s="17"/>
      <c r="Y7363" s="68">
        <v>46054</v>
      </c>
      <c r="Z7363" s="17" t="s">
        <v>45</v>
      </c>
      <c r="AA7363" s="17" t="s">
        <v>46</v>
      </c>
      <c r="AB7363" s="17" t="s">
        <v>47</v>
      </c>
      <c r="AC7363" s="217">
        <v>46148</v>
      </c>
      <c r="AD7363" s="65">
        <v>1775</v>
      </c>
      <c r="AE7363" s="17" t="s">
        <v>48</v>
      </c>
      <c r="AF7363" s="17"/>
      <c r="AG7363" s="17"/>
      <c r="AH7363" s="17"/>
      <c r="AI7363" s="17"/>
      <c r="AJ7363" s="17"/>
      <c r="AK7363" s="17"/>
      <c r="AL7363" s="17"/>
      <c r="AM7363" s="17"/>
      <c r="AN7363" s="17"/>
      <c r="AO7363" s="17"/>
      <c r="AP7363" s="17"/>
      <c r="AQ7363" s="17"/>
      <c r="AR7363" s="17"/>
    </row>
    <row r="7364" s="25" customFormat="1" hidden="1" spans="1:44">
      <c r="A7364" s="17" t="s">
        <v>34</v>
      </c>
      <c r="B7364" s="19">
        <v>1093</v>
      </c>
      <c r="C7364" s="183">
        <v>45934</v>
      </c>
      <c r="D7364" s="17" t="s">
        <v>35</v>
      </c>
      <c r="E7364" s="17" t="s">
        <v>36</v>
      </c>
      <c r="F7364" s="17" t="s">
        <v>37</v>
      </c>
      <c r="G7364" s="17"/>
      <c r="H7364" s="19" t="s">
        <v>38</v>
      </c>
      <c r="I7364" s="19"/>
      <c r="J7364" s="17" t="s">
        <v>39</v>
      </c>
      <c r="K7364" s="19">
        <v>101</v>
      </c>
      <c r="L7364" s="91"/>
      <c r="M7364" s="19"/>
      <c r="N7364" s="19" t="s">
        <v>40</v>
      </c>
      <c r="O7364" s="19" t="s">
        <v>41</v>
      </c>
      <c r="P7364" s="19">
        <v>4000</v>
      </c>
      <c r="Q7364" s="19">
        <v>2544</v>
      </c>
      <c r="R7364" s="19">
        <f t="shared" si="315"/>
        <v>1456</v>
      </c>
      <c r="S7364" s="19">
        <v>3000</v>
      </c>
      <c r="T7364" s="19" t="s">
        <v>42</v>
      </c>
      <c r="U7364" s="102" t="s">
        <v>43</v>
      </c>
      <c r="V7364" s="186">
        <v>45936</v>
      </c>
      <c r="W7364" s="17" t="s">
        <v>44</v>
      </c>
      <c r="X7364" s="17"/>
      <c r="Y7364" s="68">
        <v>46054</v>
      </c>
      <c r="Z7364" s="17" t="s">
        <v>45</v>
      </c>
      <c r="AA7364" s="17" t="s">
        <v>46</v>
      </c>
      <c r="AB7364" s="17" t="s">
        <v>47</v>
      </c>
      <c r="AC7364" s="217">
        <v>46148</v>
      </c>
      <c r="AD7364" s="65">
        <v>1775</v>
      </c>
      <c r="AE7364" s="17" t="s">
        <v>48</v>
      </c>
      <c r="AF7364" s="17"/>
      <c r="AG7364" s="17"/>
      <c r="AH7364" s="17"/>
      <c r="AI7364" s="17"/>
      <c r="AJ7364" s="17"/>
      <c r="AK7364" s="17"/>
      <c r="AL7364" s="17"/>
      <c r="AM7364" s="17"/>
      <c r="AN7364" s="17"/>
      <c r="AO7364" s="17"/>
      <c r="AP7364" s="17"/>
      <c r="AQ7364" s="17"/>
      <c r="AR7364" s="17"/>
    </row>
    <row r="7365" s="25" customFormat="1" hidden="1" spans="1:44">
      <c r="A7365" s="17" t="s">
        <v>34</v>
      </c>
      <c r="B7365" s="19">
        <v>1093</v>
      </c>
      <c r="C7365" s="183">
        <v>45934</v>
      </c>
      <c r="D7365" s="17" t="s">
        <v>35</v>
      </c>
      <c r="E7365" s="17" t="s">
        <v>36</v>
      </c>
      <c r="F7365" s="17" t="s">
        <v>37</v>
      </c>
      <c r="G7365" s="17"/>
      <c r="H7365" s="19" t="s">
        <v>38</v>
      </c>
      <c r="I7365" s="19"/>
      <c r="J7365" s="17" t="s">
        <v>39</v>
      </c>
      <c r="K7365" s="19">
        <v>113</v>
      </c>
      <c r="L7365" s="91"/>
      <c r="M7365" s="19"/>
      <c r="N7365" s="19" t="s">
        <v>40</v>
      </c>
      <c r="O7365" s="19" t="s">
        <v>41</v>
      </c>
      <c r="P7365" s="19">
        <v>2000</v>
      </c>
      <c r="Q7365" s="19">
        <v>1702</v>
      </c>
      <c r="R7365" s="19">
        <f t="shared" si="315"/>
        <v>298</v>
      </c>
      <c r="S7365" s="19">
        <v>3000</v>
      </c>
      <c r="T7365" s="19" t="s">
        <v>42</v>
      </c>
      <c r="U7365" s="102" t="s">
        <v>43</v>
      </c>
      <c r="V7365" s="186">
        <v>45936</v>
      </c>
      <c r="W7365" s="17" t="s">
        <v>44</v>
      </c>
      <c r="X7365" s="17"/>
      <c r="Y7365" s="68">
        <v>46054</v>
      </c>
      <c r="Z7365" s="17" t="s">
        <v>45</v>
      </c>
      <c r="AA7365" s="17" t="s">
        <v>46</v>
      </c>
      <c r="AB7365" s="17" t="s">
        <v>47</v>
      </c>
      <c r="AC7365" s="217">
        <v>46148</v>
      </c>
      <c r="AD7365" s="65">
        <v>1775</v>
      </c>
      <c r="AE7365" s="17" t="s">
        <v>48</v>
      </c>
      <c r="AF7365" s="17"/>
      <c r="AG7365" s="17"/>
      <c r="AH7365" s="17"/>
      <c r="AI7365" s="17"/>
      <c r="AJ7365" s="17"/>
      <c r="AK7365" s="17"/>
      <c r="AL7365" s="17"/>
      <c r="AM7365" s="17"/>
      <c r="AN7365" s="17"/>
      <c r="AO7365" s="17"/>
      <c r="AP7365" s="17"/>
      <c r="AQ7365" s="17"/>
      <c r="AR7365" s="17"/>
    </row>
    <row r="7366" s="25" customFormat="1" hidden="1" spans="1:44">
      <c r="A7366" s="17" t="s">
        <v>34</v>
      </c>
      <c r="B7366" s="19">
        <v>1093</v>
      </c>
      <c r="C7366" s="183">
        <v>45934</v>
      </c>
      <c r="D7366" s="17" t="s">
        <v>35</v>
      </c>
      <c r="E7366" s="17" t="s">
        <v>36</v>
      </c>
      <c r="F7366" s="17" t="s">
        <v>37</v>
      </c>
      <c r="G7366" s="17"/>
      <c r="H7366" s="19" t="s">
        <v>38</v>
      </c>
      <c r="I7366" s="19"/>
      <c r="J7366" s="17" t="s">
        <v>39</v>
      </c>
      <c r="K7366" s="19">
        <v>123</v>
      </c>
      <c r="L7366" s="91"/>
      <c r="M7366" s="19"/>
      <c r="N7366" s="19" t="s">
        <v>40</v>
      </c>
      <c r="O7366" s="19" t="s">
        <v>41</v>
      </c>
      <c r="P7366" s="19">
        <v>6000</v>
      </c>
      <c r="Q7366" s="19">
        <v>4452</v>
      </c>
      <c r="R7366" s="19">
        <f t="shared" si="315"/>
        <v>1548</v>
      </c>
      <c r="S7366" s="19">
        <v>3000</v>
      </c>
      <c r="T7366" s="19" t="s">
        <v>42</v>
      </c>
      <c r="U7366" s="102" t="s">
        <v>43</v>
      </c>
      <c r="V7366" s="186">
        <v>45936</v>
      </c>
      <c r="W7366" s="17" t="s">
        <v>44</v>
      </c>
      <c r="X7366" s="17"/>
      <c r="Y7366" s="68">
        <v>46054</v>
      </c>
      <c r="Z7366" s="17" t="s">
        <v>45</v>
      </c>
      <c r="AA7366" s="17" t="s">
        <v>46</v>
      </c>
      <c r="AB7366" s="17" t="s">
        <v>47</v>
      </c>
      <c r="AC7366" s="217">
        <v>46148</v>
      </c>
      <c r="AD7366" s="65">
        <v>1775</v>
      </c>
      <c r="AE7366" s="17" t="s">
        <v>48</v>
      </c>
      <c r="AF7366" s="17"/>
      <c r="AG7366" s="17"/>
      <c r="AH7366" s="17"/>
      <c r="AI7366" s="17"/>
      <c r="AJ7366" s="17"/>
      <c r="AK7366" s="17"/>
      <c r="AL7366" s="17"/>
      <c r="AM7366" s="17"/>
      <c r="AN7366" s="17"/>
      <c r="AO7366" s="17"/>
      <c r="AP7366" s="17"/>
      <c r="AQ7366" s="17"/>
      <c r="AR7366" s="17"/>
    </row>
    <row r="7367" s="25" customFormat="1" hidden="1" spans="1:44">
      <c r="A7367" s="17" t="s">
        <v>34</v>
      </c>
      <c r="B7367" s="19">
        <v>1093</v>
      </c>
      <c r="C7367" s="183">
        <v>45934</v>
      </c>
      <c r="D7367" s="17" t="s">
        <v>35</v>
      </c>
      <c r="E7367" s="17" t="s">
        <v>36</v>
      </c>
      <c r="F7367" s="17" t="s">
        <v>37</v>
      </c>
      <c r="G7367" s="17"/>
      <c r="H7367" s="19" t="s">
        <v>38</v>
      </c>
      <c r="I7367" s="19"/>
      <c r="J7367" s="17" t="s">
        <v>39</v>
      </c>
      <c r="K7367" s="19">
        <v>127</v>
      </c>
      <c r="L7367" s="91"/>
      <c r="M7367" s="19"/>
      <c r="N7367" s="19" t="s">
        <v>40</v>
      </c>
      <c r="O7367" s="19" t="s">
        <v>41</v>
      </c>
      <c r="P7367" s="19">
        <v>2000</v>
      </c>
      <c r="Q7367" s="19">
        <v>1880</v>
      </c>
      <c r="R7367" s="19">
        <f t="shared" si="315"/>
        <v>120</v>
      </c>
      <c r="S7367" s="19">
        <v>3000</v>
      </c>
      <c r="T7367" s="19" t="s">
        <v>42</v>
      </c>
      <c r="U7367" s="102" t="s">
        <v>43</v>
      </c>
      <c r="V7367" s="186">
        <v>45936</v>
      </c>
      <c r="W7367" s="17" t="s">
        <v>44</v>
      </c>
      <c r="X7367" s="17"/>
      <c r="Y7367" s="68">
        <v>46054</v>
      </c>
      <c r="Z7367" s="17" t="s">
        <v>45</v>
      </c>
      <c r="AA7367" s="17" t="s">
        <v>46</v>
      </c>
      <c r="AB7367" s="17" t="s">
        <v>47</v>
      </c>
      <c r="AC7367" s="217">
        <v>46148</v>
      </c>
      <c r="AD7367" s="65">
        <v>1775</v>
      </c>
      <c r="AE7367" s="17" t="s">
        <v>48</v>
      </c>
      <c r="AF7367" s="17"/>
      <c r="AG7367" s="17"/>
      <c r="AH7367" s="17"/>
      <c r="AI7367" s="17"/>
      <c r="AJ7367" s="17"/>
      <c r="AK7367" s="17"/>
      <c r="AL7367" s="17"/>
      <c r="AM7367" s="17"/>
      <c r="AN7367" s="17"/>
      <c r="AO7367" s="17"/>
      <c r="AP7367" s="17"/>
      <c r="AQ7367" s="17"/>
      <c r="AR7367" s="17"/>
    </row>
    <row r="7368" s="25" customFormat="1" hidden="1" spans="1:44">
      <c r="A7368" s="17" t="s">
        <v>34</v>
      </c>
      <c r="B7368" s="19">
        <v>1093</v>
      </c>
      <c r="C7368" s="183">
        <v>45934</v>
      </c>
      <c r="D7368" s="17" t="s">
        <v>35</v>
      </c>
      <c r="E7368" s="17" t="s">
        <v>36</v>
      </c>
      <c r="F7368" s="17" t="s">
        <v>37</v>
      </c>
      <c r="G7368" s="17"/>
      <c r="H7368" s="19" t="s">
        <v>38</v>
      </c>
      <c r="I7368" s="19"/>
      <c r="J7368" s="17" t="s">
        <v>39</v>
      </c>
      <c r="K7368" s="19">
        <v>154</v>
      </c>
      <c r="L7368" s="91"/>
      <c r="M7368" s="19"/>
      <c r="N7368" s="19" t="s">
        <v>40</v>
      </c>
      <c r="O7368" s="19" t="s">
        <v>41</v>
      </c>
      <c r="P7368" s="19">
        <v>2000</v>
      </c>
      <c r="Q7368" s="19">
        <v>1778</v>
      </c>
      <c r="R7368" s="19">
        <f t="shared" si="315"/>
        <v>222</v>
      </c>
      <c r="S7368" s="19">
        <v>3000</v>
      </c>
      <c r="T7368" s="19" t="s">
        <v>42</v>
      </c>
      <c r="U7368" s="102" t="s">
        <v>43</v>
      </c>
      <c r="V7368" s="186">
        <v>45936</v>
      </c>
      <c r="W7368" s="17" t="s">
        <v>44</v>
      </c>
      <c r="X7368" s="17"/>
      <c r="Y7368" s="68">
        <v>46054</v>
      </c>
      <c r="Z7368" s="17" t="s">
        <v>45</v>
      </c>
      <c r="AA7368" s="17" t="s">
        <v>46</v>
      </c>
      <c r="AB7368" s="17" t="s">
        <v>47</v>
      </c>
      <c r="AC7368" s="217">
        <v>46148</v>
      </c>
      <c r="AD7368" s="65">
        <v>1775</v>
      </c>
      <c r="AE7368" s="17" t="s">
        <v>48</v>
      </c>
      <c r="AF7368" s="17"/>
      <c r="AG7368" s="17"/>
      <c r="AH7368" s="17"/>
      <c r="AI7368" s="17"/>
      <c r="AJ7368" s="17"/>
      <c r="AK7368" s="17"/>
      <c r="AL7368" s="17"/>
      <c r="AM7368" s="17"/>
      <c r="AN7368" s="17"/>
      <c r="AO7368" s="17"/>
      <c r="AP7368" s="17"/>
      <c r="AQ7368" s="17"/>
      <c r="AR7368" s="17"/>
    </row>
    <row r="7369" s="25" customFormat="1" hidden="1" spans="1:44">
      <c r="A7369" s="17" t="s">
        <v>34</v>
      </c>
      <c r="B7369" s="19">
        <v>1093</v>
      </c>
      <c r="C7369" s="183">
        <v>45934</v>
      </c>
      <c r="D7369" s="17" t="s">
        <v>35</v>
      </c>
      <c r="E7369" s="17" t="s">
        <v>36</v>
      </c>
      <c r="F7369" s="17" t="s">
        <v>37</v>
      </c>
      <c r="G7369" s="17"/>
      <c r="H7369" s="19" t="s">
        <v>38</v>
      </c>
      <c r="I7369" s="19"/>
      <c r="J7369" s="17" t="s">
        <v>39</v>
      </c>
      <c r="K7369" s="19">
        <v>164</v>
      </c>
      <c r="L7369" s="91"/>
      <c r="M7369" s="19"/>
      <c r="N7369" s="19" t="s">
        <v>40</v>
      </c>
      <c r="O7369" s="19" t="s">
        <v>41</v>
      </c>
      <c r="P7369" s="19">
        <v>2000</v>
      </c>
      <c r="Q7369" s="19">
        <v>1790</v>
      </c>
      <c r="R7369" s="19">
        <f t="shared" si="315"/>
        <v>210</v>
      </c>
      <c r="S7369" s="19">
        <v>3000</v>
      </c>
      <c r="T7369" s="19" t="s">
        <v>42</v>
      </c>
      <c r="U7369" s="102" t="s">
        <v>43</v>
      </c>
      <c r="V7369" s="186">
        <v>45936</v>
      </c>
      <c r="W7369" s="17" t="s">
        <v>44</v>
      </c>
      <c r="X7369" s="17"/>
      <c r="Y7369" s="68">
        <v>46054</v>
      </c>
      <c r="Z7369" s="17" t="s">
        <v>45</v>
      </c>
      <c r="AA7369" s="17" t="s">
        <v>46</v>
      </c>
      <c r="AB7369" s="17" t="s">
        <v>47</v>
      </c>
      <c r="AC7369" s="217">
        <v>46148</v>
      </c>
      <c r="AD7369" s="65">
        <v>1775</v>
      </c>
      <c r="AE7369" s="17" t="s">
        <v>48</v>
      </c>
      <c r="AF7369" s="17"/>
      <c r="AG7369" s="17"/>
      <c r="AH7369" s="17"/>
      <c r="AI7369" s="17"/>
      <c r="AJ7369" s="17"/>
      <c r="AK7369" s="17"/>
      <c r="AL7369" s="17"/>
      <c r="AM7369" s="17"/>
      <c r="AN7369" s="17"/>
      <c r="AO7369" s="17"/>
      <c r="AP7369" s="17"/>
      <c r="AQ7369" s="17"/>
      <c r="AR7369" s="17"/>
    </row>
    <row r="7370" s="25" customFormat="1" hidden="1" spans="1:44">
      <c r="A7370" s="17" t="s">
        <v>34</v>
      </c>
      <c r="B7370" s="19">
        <v>1093</v>
      </c>
      <c r="C7370" s="183">
        <v>45934</v>
      </c>
      <c r="D7370" s="17" t="s">
        <v>35</v>
      </c>
      <c r="E7370" s="17" t="s">
        <v>36</v>
      </c>
      <c r="F7370" s="17" t="s">
        <v>37</v>
      </c>
      <c r="G7370" s="17"/>
      <c r="H7370" s="19" t="s">
        <v>38</v>
      </c>
      <c r="I7370" s="19"/>
      <c r="J7370" s="17" t="s">
        <v>39</v>
      </c>
      <c r="K7370" s="19">
        <v>185</v>
      </c>
      <c r="L7370" s="91"/>
      <c r="M7370" s="19"/>
      <c r="N7370" s="19" t="s">
        <v>40</v>
      </c>
      <c r="O7370" s="19" t="s">
        <v>41</v>
      </c>
      <c r="P7370" s="19">
        <v>2000</v>
      </c>
      <c r="Q7370" s="19">
        <v>748</v>
      </c>
      <c r="R7370" s="19">
        <f t="shared" ref="R7370:R7374" si="316">+P7370-Q7370</f>
        <v>1252</v>
      </c>
      <c r="S7370" s="19">
        <v>3000</v>
      </c>
      <c r="T7370" s="19" t="s">
        <v>42</v>
      </c>
      <c r="U7370" s="102" t="s">
        <v>43</v>
      </c>
      <c r="V7370" s="186">
        <v>45936</v>
      </c>
      <c r="W7370" s="17" t="s">
        <v>44</v>
      </c>
      <c r="X7370" s="17"/>
      <c r="Y7370" s="68">
        <v>46054</v>
      </c>
      <c r="Z7370" s="17" t="s">
        <v>45</v>
      </c>
      <c r="AA7370" s="17" t="s">
        <v>46</v>
      </c>
      <c r="AB7370" s="17" t="s">
        <v>47</v>
      </c>
      <c r="AC7370" s="217">
        <v>46148</v>
      </c>
      <c r="AD7370" s="65">
        <v>1775</v>
      </c>
      <c r="AE7370" s="17" t="s">
        <v>48</v>
      </c>
      <c r="AF7370" s="17"/>
      <c r="AG7370" s="17"/>
      <c r="AH7370" s="17"/>
      <c r="AI7370" s="17"/>
      <c r="AJ7370" s="17"/>
      <c r="AK7370" s="17"/>
      <c r="AL7370" s="17"/>
      <c r="AM7370" s="17"/>
      <c r="AN7370" s="17"/>
      <c r="AO7370" s="17"/>
      <c r="AP7370" s="17"/>
      <c r="AQ7370" s="17"/>
      <c r="AR7370" s="17"/>
    </row>
    <row r="7371" s="25" customFormat="1" hidden="1" spans="1:44">
      <c r="A7371" s="17" t="s">
        <v>34</v>
      </c>
      <c r="B7371" s="19">
        <v>1093</v>
      </c>
      <c r="C7371" s="183">
        <v>45934</v>
      </c>
      <c r="D7371" s="17" t="s">
        <v>35</v>
      </c>
      <c r="E7371" s="17" t="s">
        <v>36</v>
      </c>
      <c r="F7371" s="17" t="s">
        <v>37</v>
      </c>
      <c r="G7371" s="17"/>
      <c r="H7371" s="19" t="s">
        <v>38</v>
      </c>
      <c r="I7371" s="19"/>
      <c r="J7371" s="17" t="s">
        <v>39</v>
      </c>
      <c r="K7371" s="19">
        <v>194</v>
      </c>
      <c r="L7371" s="91"/>
      <c r="M7371" s="19"/>
      <c r="N7371" s="19" t="s">
        <v>40</v>
      </c>
      <c r="O7371" s="19" t="s">
        <v>41</v>
      </c>
      <c r="P7371" s="19">
        <v>2000</v>
      </c>
      <c r="Q7371" s="19">
        <v>1750</v>
      </c>
      <c r="R7371" s="19">
        <f t="shared" si="316"/>
        <v>250</v>
      </c>
      <c r="S7371" s="19">
        <v>3000</v>
      </c>
      <c r="T7371" s="19" t="s">
        <v>42</v>
      </c>
      <c r="U7371" s="102" t="s">
        <v>43</v>
      </c>
      <c r="V7371" s="186">
        <v>45936</v>
      </c>
      <c r="W7371" s="17" t="s">
        <v>44</v>
      </c>
      <c r="X7371" s="17"/>
      <c r="Y7371" s="68">
        <v>46054</v>
      </c>
      <c r="Z7371" s="17" t="s">
        <v>45</v>
      </c>
      <c r="AA7371" s="17" t="s">
        <v>46</v>
      </c>
      <c r="AB7371" s="17" t="s">
        <v>47</v>
      </c>
      <c r="AC7371" s="217">
        <v>46148</v>
      </c>
      <c r="AD7371" s="65">
        <v>1775</v>
      </c>
      <c r="AE7371" s="17" t="s">
        <v>48</v>
      </c>
      <c r="AF7371" s="17"/>
      <c r="AG7371" s="17"/>
      <c r="AH7371" s="17"/>
      <c r="AI7371" s="17"/>
      <c r="AJ7371" s="17"/>
      <c r="AK7371" s="17"/>
      <c r="AL7371" s="17"/>
      <c r="AM7371" s="17"/>
      <c r="AN7371" s="17"/>
      <c r="AO7371" s="17"/>
      <c r="AP7371" s="17"/>
      <c r="AQ7371" s="17"/>
      <c r="AR7371" s="17"/>
    </row>
    <row r="7372" s="25" customFormat="1" hidden="1" spans="1:44">
      <c r="A7372" s="17" t="s">
        <v>34</v>
      </c>
      <c r="B7372" s="19">
        <v>1093</v>
      </c>
      <c r="C7372" s="183">
        <v>45934</v>
      </c>
      <c r="D7372" s="17" t="s">
        <v>35</v>
      </c>
      <c r="E7372" s="17" t="s">
        <v>36</v>
      </c>
      <c r="F7372" s="17" t="s">
        <v>37</v>
      </c>
      <c r="G7372" s="17"/>
      <c r="H7372" s="19" t="s">
        <v>38</v>
      </c>
      <c r="I7372" s="19"/>
      <c r="J7372" s="17" t="s">
        <v>39</v>
      </c>
      <c r="K7372" s="19">
        <v>204</v>
      </c>
      <c r="L7372" s="91"/>
      <c r="M7372" s="19"/>
      <c r="N7372" s="19" t="s">
        <v>40</v>
      </c>
      <c r="O7372" s="19" t="s">
        <v>41</v>
      </c>
      <c r="P7372" s="19">
        <v>4000</v>
      </c>
      <c r="Q7372" s="19">
        <v>3342</v>
      </c>
      <c r="R7372" s="19">
        <f t="shared" si="316"/>
        <v>658</v>
      </c>
      <c r="S7372" s="19">
        <v>3000</v>
      </c>
      <c r="T7372" s="19" t="s">
        <v>42</v>
      </c>
      <c r="U7372" s="102" t="s">
        <v>43</v>
      </c>
      <c r="V7372" s="186">
        <v>45936</v>
      </c>
      <c r="W7372" s="17" t="s">
        <v>44</v>
      </c>
      <c r="X7372" s="17"/>
      <c r="Y7372" s="68">
        <v>46054</v>
      </c>
      <c r="Z7372" s="17" t="s">
        <v>45</v>
      </c>
      <c r="AA7372" s="17" t="s">
        <v>46</v>
      </c>
      <c r="AB7372" s="17" t="s">
        <v>47</v>
      </c>
      <c r="AC7372" s="217">
        <v>46148</v>
      </c>
      <c r="AD7372" s="65">
        <v>1775</v>
      </c>
      <c r="AE7372" s="17" t="s">
        <v>48</v>
      </c>
      <c r="AF7372" s="17"/>
      <c r="AG7372" s="17"/>
      <c r="AH7372" s="17"/>
      <c r="AI7372" s="17"/>
      <c r="AJ7372" s="17"/>
      <c r="AK7372" s="17"/>
      <c r="AL7372" s="17"/>
      <c r="AM7372" s="17"/>
      <c r="AN7372" s="17"/>
      <c r="AO7372" s="17"/>
      <c r="AP7372" s="17"/>
      <c r="AQ7372" s="17"/>
      <c r="AR7372" s="17"/>
    </row>
    <row r="7373" s="25" customFormat="1" hidden="1" spans="1:44">
      <c r="A7373" s="17" t="s">
        <v>34</v>
      </c>
      <c r="B7373" s="19">
        <v>1093</v>
      </c>
      <c r="C7373" s="183">
        <v>45934</v>
      </c>
      <c r="D7373" s="17" t="s">
        <v>35</v>
      </c>
      <c r="E7373" s="17" t="s">
        <v>36</v>
      </c>
      <c r="F7373" s="17" t="s">
        <v>37</v>
      </c>
      <c r="G7373" s="17"/>
      <c r="H7373" s="19" t="s">
        <v>38</v>
      </c>
      <c r="I7373" s="19"/>
      <c r="J7373" s="17" t="s">
        <v>39</v>
      </c>
      <c r="K7373" s="19">
        <v>234</v>
      </c>
      <c r="L7373" s="91"/>
      <c r="M7373" s="19"/>
      <c r="N7373" s="19" t="s">
        <v>40</v>
      </c>
      <c r="O7373" s="19" t="s">
        <v>41</v>
      </c>
      <c r="P7373" s="19">
        <v>2000</v>
      </c>
      <c r="Q7373" s="19">
        <v>1832</v>
      </c>
      <c r="R7373" s="19">
        <f t="shared" si="316"/>
        <v>168</v>
      </c>
      <c r="S7373" s="19">
        <v>3000</v>
      </c>
      <c r="T7373" s="19" t="s">
        <v>42</v>
      </c>
      <c r="U7373" s="102" t="s">
        <v>43</v>
      </c>
      <c r="V7373" s="186">
        <v>45936</v>
      </c>
      <c r="W7373" s="17" t="s">
        <v>44</v>
      </c>
      <c r="X7373" s="17"/>
      <c r="Y7373" s="68">
        <v>46054</v>
      </c>
      <c r="Z7373" s="17" t="s">
        <v>45</v>
      </c>
      <c r="AA7373" s="17" t="s">
        <v>46</v>
      </c>
      <c r="AB7373" s="17" t="s">
        <v>47</v>
      </c>
      <c r="AC7373" s="217">
        <v>46148</v>
      </c>
      <c r="AD7373" s="65">
        <v>1775</v>
      </c>
      <c r="AE7373" s="17" t="s">
        <v>48</v>
      </c>
      <c r="AF7373" s="17"/>
      <c r="AG7373" s="17"/>
      <c r="AH7373" s="17"/>
      <c r="AI7373" s="17"/>
      <c r="AJ7373" s="17"/>
      <c r="AK7373" s="17"/>
      <c r="AL7373" s="17"/>
      <c r="AM7373" s="17"/>
      <c r="AN7373" s="17"/>
      <c r="AO7373" s="17"/>
      <c r="AP7373" s="17"/>
      <c r="AQ7373" s="17"/>
      <c r="AR7373" s="17"/>
    </row>
    <row r="7374" s="25" customFormat="1" hidden="1" spans="1:44">
      <c r="A7374" s="17" t="s">
        <v>34</v>
      </c>
      <c r="B7374" s="19">
        <v>1093</v>
      </c>
      <c r="C7374" s="183">
        <v>45934</v>
      </c>
      <c r="D7374" s="17" t="s">
        <v>35</v>
      </c>
      <c r="E7374" s="17" t="s">
        <v>36</v>
      </c>
      <c r="F7374" s="17" t="s">
        <v>37</v>
      </c>
      <c r="G7374" s="17"/>
      <c r="H7374" s="19" t="s">
        <v>38</v>
      </c>
      <c r="I7374" s="19"/>
      <c r="J7374" s="17" t="s">
        <v>39</v>
      </c>
      <c r="K7374" s="19">
        <v>264</v>
      </c>
      <c r="L7374" s="91"/>
      <c r="M7374" s="19"/>
      <c r="N7374" s="19" t="s">
        <v>40</v>
      </c>
      <c r="O7374" s="19" t="s">
        <v>41</v>
      </c>
      <c r="P7374" s="19">
        <v>2000</v>
      </c>
      <c r="Q7374" s="19">
        <v>1750</v>
      </c>
      <c r="R7374" s="19">
        <f t="shared" si="316"/>
        <v>250</v>
      </c>
      <c r="S7374" s="19">
        <v>2975</v>
      </c>
      <c r="T7374" s="19" t="s">
        <v>42</v>
      </c>
      <c r="U7374" s="102" t="s">
        <v>43</v>
      </c>
      <c r="V7374" s="186">
        <v>45936</v>
      </c>
      <c r="W7374" s="17" t="s">
        <v>44</v>
      </c>
      <c r="X7374" s="17"/>
      <c r="Y7374" s="68">
        <v>46054</v>
      </c>
      <c r="Z7374" s="17" t="s">
        <v>45</v>
      </c>
      <c r="AA7374" s="17" t="s">
        <v>46</v>
      </c>
      <c r="AB7374" s="17" t="s">
        <v>47</v>
      </c>
      <c r="AC7374" s="217">
        <v>46148</v>
      </c>
      <c r="AD7374" s="65">
        <v>1775</v>
      </c>
      <c r="AE7374" s="17" t="s">
        <v>48</v>
      </c>
      <c r="AF7374" s="17"/>
      <c r="AG7374" s="17"/>
      <c r="AH7374" s="17"/>
      <c r="AI7374" s="17"/>
      <c r="AJ7374" s="17"/>
      <c r="AK7374" s="17"/>
      <c r="AL7374" s="17"/>
      <c r="AM7374" s="17"/>
      <c r="AN7374" s="17"/>
      <c r="AO7374" s="17"/>
      <c r="AP7374" s="17"/>
      <c r="AQ7374" s="17"/>
      <c r="AR7374" s="17"/>
    </row>
    <row r="7375" s="25" customFormat="1" hidden="1" spans="1:44">
      <c r="A7375" s="17" t="s">
        <v>34</v>
      </c>
      <c r="B7375" s="19">
        <v>1093</v>
      </c>
      <c r="C7375" s="183">
        <v>45934</v>
      </c>
      <c r="D7375" s="17" t="s">
        <v>35</v>
      </c>
      <c r="E7375" s="17" t="s">
        <v>36</v>
      </c>
      <c r="F7375" s="17" t="s">
        <v>37</v>
      </c>
      <c r="G7375" s="17"/>
      <c r="H7375" s="19" t="s">
        <v>38</v>
      </c>
      <c r="I7375" s="19"/>
      <c r="J7375" s="17" t="s">
        <v>39</v>
      </c>
      <c r="K7375" s="19">
        <v>412</v>
      </c>
      <c r="L7375" s="91"/>
      <c r="M7375" s="19"/>
      <c r="N7375" s="19" t="s">
        <v>40</v>
      </c>
      <c r="O7375" s="19" t="s">
        <v>41</v>
      </c>
      <c r="P7375" s="19">
        <v>6000</v>
      </c>
      <c r="Q7375" s="19">
        <v>5134</v>
      </c>
      <c r="R7375" s="19">
        <f t="shared" ref="R7375:R7381" si="317">+P7375-Q7375</f>
        <v>866</v>
      </c>
      <c r="S7375" s="19">
        <v>2825</v>
      </c>
      <c r="T7375" s="19" t="s">
        <v>42</v>
      </c>
      <c r="U7375" s="102" t="s">
        <v>43</v>
      </c>
      <c r="V7375" s="186">
        <v>45936</v>
      </c>
      <c r="W7375" s="17" t="s">
        <v>44</v>
      </c>
      <c r="X7375" s="17"/>
      <c r="Y7375" s="68">
        <v>46054</v>
      </c>
      <c r="Z7375" s="17" t="s">
        <v>45</v>
      </c>
      <c r="AA7375" s="17" t="s">
        <v>46</v>
      </c>
      <c r="AB7375" s="17" t="s">
        <v>47</v>
      </c>
      <c r="AC7375" s="217">
        <v>46148</v>
      </c>
      <c r="AD7375" s="65">
        <v>1775</v>
      </c>
      <c r="AE7375" s="17" t="s">
        <v>48</v>
      </c>
      <c r="AF7375" s="17"/>
      <c r="AG7375" s="17"/>
      <c r="AH7375" s="17"/>
      <c r="AI7375" s="17"/>
      <c r="AJ7375" s="17"/>
      <c r="AK7375" s="17"/>
      <c r="AL7375" s="17"/>
      <c r="AM7375" s="17"/>
      <c r="AN7375" s="17"/>
      <c r="AO7375" s="17"/>
      <c r="AP7375" s="17"/>
      <c r="AQ7375" s="17"/>
      <c r="AR7375" s="17"/>
    </row>
    <row r="7376" s="25" customFormat="1" hidden="1" spans="1:44">
      <c r="A7376" s="17" t="s">
        <v>34</v>
      </c>
      <c r="B7376" s="19">
        <v>1093</v>
      </c>
      <c r="C7376" s="183">
        <v>45934</v>
      </c>
      <c r="D7376" s="17" t="s">
        <v>35</v>
      </c>
      <c r="E7376" s="17" t="s">
        <v>36</v>
      </c>
      <c r="F7376" s="17" t="s">
        <v>37</v>
      </c>
      <c r="G7376" s="17"/>
      <c r="H7376" s="19">
        <v>1.2344</v>
      </c>
      <c r="I7376" s="19"/>
      <c r="J7376" s="17" t="s">
        <v>39</v>
      </c>
      <c r="K7376" s="19">
        <v>134</v>
      </c>
      <c r="L7376" s="91"/>
      <c r="M7376" s="19"/>
      <c r="N7376" s="19" t="s">
        <v>40</v>
      </c>
      <c r="O7376" s="19" t="s">
        <v>41</v>
      </c>
      <c r="P7376" s="19">
        <v>8000</v>
      </c>
      <c r="Q7376" s="19">
        <v>7664</v>
      </c>
      <c r="R7376" s="19">
        <f t="shared" si="317"/>
        <v>336</v>
      </c>
      <c r="S7376" s="19">
        <v>3000</v>
      </c>
      <c r="T7376" s="19" t="s">
        <v>42</v>
      </c>
      <c r="U7376" s="102" t="s">
        <v>43</v>
      </c>
      <c r="V7376" s="186">
        <v>45936</v>
      </c>
      <c r="W7376" s="17" t="s">
        <v>44</v>
      </c>
      <c r="X7376" s="17"/>
      <c r="Y7376" s="68">
        <v>46054</v>
      </c>
      <c r="Z7376" s="17" t="s">
        <v>45</v>
      </c>
      <c r="AA7376" s="17" t="s">
        <v>46</v>
      </c>
      <c r="AB7376" s="17" t="s">
        <v>1715</v>
      </c>
      <c r="AC7376" s="217">
        <v>46188</v>
      </c>
      <c r="AD7376" s="65">
        <v>1816</v>
      </c>
      <c r="AE7376" s="17" t="s">
        <v>48</v>
      </c>
      <c r="AF7376" s="17"/>
      <c r="AG7376" s="17"/>
      <c r="AH7376" s="17"/>
      <c r="AI7376" s="17"/>
      <c r="AJ7376" s="17"/>
      <c r="AK7376" s="17"/>
      <c r="AL7376" s="17"/>
      <c r="AM7376" s="17"/>
      <c r="AN7376" s="17"/>
      <c r="AO7376" s="17"/>
      <c r="AP7376" s="17"/>
      <c r="AQ7376" s="17"/>
      <c r="AR7376" s="17"/>
    </row>
    <row r="7377" s="25" customFormat="1" hidden="1" spans="1:44">
      <c r="A7377" s="17" t="s">
        <v>34</v>
      </c>
      <c r="B7377" s="19">
        <v>1093</v>
      </c>
      <c r="C7377" s="183">
        <v>45934</v>
      </c>
      <c r="D7377" s="17" t="s">
        <v>35</v>
      </c>
      <c r="E7377" s="17" t="s">
        <v>36</v>
      </c>
      <c r="F7377" s="17" t="s">
        <v>37</v>
      </c>
      <c r="G7377" s="17"/>
      <c r="H7377" s="19">
        <v>1.2344</v>
      </c>
      <c r="I7377" s="19"/>
      <c r="J7377" s="17" t="s">
        <v>39</v>
      </c>
      <c r="K7377" s="19">
        <v>164</v>
      </c>
      <c r="L7377" s="91"/>
      <c r="M7377" s="19"/>
      <c r="N7377" s="19" t="s">
        <v>40</v>
      </c>
      <c r="O7377" s="19" t="s">
        <v>41</v>
      </c>
      <c r="P7377" s="19">
        <v>4000</v>
      </c>
      <c r="Q7377" s="19">
        <v>3990</v>
      </c>
      <c r="R7377" s="19">
        <f t="shared" si="317"/>
        <v>10</v>
      </c>
      <c r="S7377" s="19">
        <v>3000</v>
      </c>
      <c r="T7377" s="19" t="s">
        <v>42</v>
      </c>
      <c r="U7377" s="102" t="s">
        <v>43</v>
      </c>
      <c r="V7377" s="186">
        <v>45936</v>
      </c>
      <c r="W7377" s="17" t="s">
        <v>44</v>
      </c>
      <c r="X7377" s="17"/>
      <c r="Y7377" s="68">
        <v>46054</v>
      </c>
      <c r="Z7377" s="17" t="s">
        <v>45</v>
      </c>
      <c r="AA7377" s="17" t="s">
        <v>46</v>
      </c>
      <c r="AB7377" s="17" t="s">
        <v>1715</v>
      </c>
      <c r="AC7377" s="217">
        <v>46188</v>
      </c>
      <c r="AD7377" s="65">
        <v>1816</v>
      </c>
      <c r="AE7377" s="17" t="s">
        <v>48</v>
      </c>
      <c r="AF7377" s="17"/>
      <c r="AG7377" s="17"/>
      <c r="AH7377" s="17"/>
      <c r="AI7377" s="17"/>
      <c r="AJ7377" s="17"/>
      <c r="AK7377" s="17"/>
      <c r="AL7377" s="17"/>
      <c r="AM7377" s="17"/>
      <c r="AN7377" s="17"/>
      <c r="AO7377" s="17"/>
      <c r="AP7377" s="17"/>
      <c r="AQ7377" s="17"/>
      <c r="AR7377" s="17"/>
    </row>
    <row r="7378" s="25" customFormat="1" hidden="1" spans="1:44">
      <c r="A7378" s="17" t="s">
        <v>34</v>
      </c>
      <c r="B7378" s="19">
        <v>1093</v>
      </c>
      <c r="C7378" s="183">
        <v>45934</v>
      </c>
      <c r="D7378" s="17" t="s">
        <v>35</v>
      </c>
      <c r="E7378" s="17" t="s">
        <v>36</v>
      </c>
      <c r="F7378" s="17" t="s">
        <v>37</v>
      </c>
      <c r="G7378" s="17"/>
      <c r="H7378" s="19">
        <v>1.2344</v>
      </c>
      <c r="I7378" s="19"/>
      <c r="J7378" s="17" t="s">
        <v>39</v>
      </c>
      <c r="K7378" s="19">
        <v>194</v>
      </c>
      <c r="L7378" s="91"/>
      <c r="M7378" s="19"/>
      <c r="N7378" s="19" t="s">
        <v>40</v>
      </c>
      <c r="O7378" s="19" t="s">
        <v>41</v>
      </c>
      <c r="P7378" s="19">
        <v>2000</v>
      </c>
      <c r="Q7378" s="19">
        <v>1820</v>
      </c>
      <c r="R7378" s="19">
        <f t="shared" si="317"/>
        <v>180</v>
      </c>
      <c r="S7378" s="19">
        <v>3200</v>
      </c>
      <c r="T7378" s="19" t="s">
        <v>42</v>
      </c>
      <c r="U7378" s="102" t="s">
        <v>43</v>
      </c>
      <c r="V7378" s="186">
        <v>45936</v>
      </c>
      <c r="W7378" s="17" t="s">
        <v>44</v>
      </c>
      <c r="X7378" s="17"/>
      <c r="Y7378" s="68">
        <v>46054</v>
      </c>
      <c r="Z7378" s="17" t="s">
        <v>45</v>
      </c>
      <c r="AA7378" s="17" t="s">
        <v>46</v>
      </c>
      <c r="AB7378" s="17" t="s">
        <v>47</v>
      </c>
      <c r="AC7378" s="217">
        <v>46148</v>
      </c>
      <c r="AD7378" s="65">
        <v>1775</v>
      </c>
      <c r="AE7378" s="17" t="s">
        <v>48</v>
      </c>
      <c r="AF7378" s="17"/>
      <c r="AG7378" s="17"/>
      <c r="AH7378" s="17"/>
      <c r="AI7378" s="17"/>
      <c r="AJ7378" s="17"/>
      <c r="AK7378" s="17"/>
      <c r="AL7378" s="17"/>
      <c r="AM7378" s="17"/>
      <c r="AN7378" s="17"/>
      <c r="AO7378" s="17"/>
      <c r="AP7378" s="17"/>
      <c r="AQ7378" s="17"/>
      <c r="AR7378" s="17"/>
    </row>
    <row r="7379" s="25" customFormat="1" hidden="1" spans="1:44">
      <c r="A7379" s="17" t="s">
        <v>34</v>
      </c>
      <c r="B7379" s="19">
        <v>1093</v>
      </c>
      <c r="C7379" s="183">
        <v>45934</v>
      </c>
      <c r="D7379" s="17" t="s">
        <v>35</v>
      </c>
      <c r="E7379" s="17" t="s">
        <v>36</v>
      </c>
      <c r="F7379" s="17" t="s">
        <v>37</v>
      </c>
      <c r="G7379" s="17"/>
      <c r="H7379" s="19">
        <v>1.2344</v>
      </c>
      <c r="I7379" s="19"/>
      <c r="J7379" s="17" t="s">
        <v>39</v>
      </c>
      <c r="K7379" s="19">
        <v>204</v>
      </c>
      <c r="L7379" s="91"/>
      <c r="M7379" s="19"/>
      <c r="N7379" s="19" t="s">
        <v>40</v>
      </c>
      <c r="O7379" s="19" t="s">
        <v>41</v>
      </c>
      <c r="P7379" s="19">
        <v>2000</v>
      </c>
      <c r="Q7379" s="19">
        <v>1806</v>
      </c>
      <c r="R7379" s="19">
        <f t="shared" si="317"/>
        <v>194</v>
      </c>
      <c r="S7379" s="19">
        <v>3200</v>
      </c>
      <c r="T7379" s="19" t="s">
        <v>42</v>
      </c>
      <c r="U7379" s="102" t="s">
        <v>43</v>
      </c>
      <c r="V7379" s="186">
        <v>45936</v>
      </c>
      <c r="W7379" s="17" t="s">
        <v>44</v>
      </c>
      <c r="X7379" s="17"/>
      <c r="Y7379" s="68">
        <v>46054</v>
      </c>
      <c r="Z7379" s="17" t="s">
        <v>45</v>
      </c>
      <c r="AA7379" s="17" t="s">
        <v>46</v>
      </c>
      <c r="AB7379" s="17" t="s">
        <v>47</v>
      </c>
      <c r="AC7379" s="217">
        <v>46148</v>
      </c>
      <c r="AD7379" s="65">
        <v>1775</v>
      </c>
      <c r="AE7379" s="17" t="s">
        <v>48</v>
      </c>
      <c r="AF7379" s="17"/>
      <c r="AG7379" s="17"/>
      <c r="AH7379" s="17"/>
      <c r="AI7379" s="17"/>
      <c r="AJ7379" s="17"/>
      <c r="AK7379" s="17"/>
      <c r="AL7379" s="17"/>
      <c r="AM7379" s="17"/>
      <c r="AN7379" s="17"/>
      <c r="AO7379" s="17"/>
      <c r="AP7379" s="17"/>
      <c r="AQ7379" s="17"/>
      <c r="AR7379" s="17"/>
    </row>
    <row r="7380" s="25" customFormat="1" hidden="1" spans="1:44">
      <c r="A7380" s="17" t="s">
        <v>34</v>
      </c>
      <c r="B7380" s="19">
        <v>1093</v>
      </c>
      <c r="C7380" s="183">
        <v>45934</v>
      </c>
      <c r="D7380" s="17" t="s">
        <v>35</v>
      </c>
      <c r="E7380" s="17" t="s">
        <v>36</v>
      </c>
      <c r="F7380" s="17" t="s">
        <v>37</v>
      </c>
      <c r="G7380" s="17"/>
      <c r="H7380" s="19">
        <v>1.2344</v>
      </c>
      <c r="I7380" s="19"/>
      <c r="J7380" s="17" t="s">
        <v>39</v>
      </c>
      <c r="K7380" s="19">
        <v>214</v>
      </c>
      <c r="L7380" s="91"/>
      <c r="M7380" s="19"/>
      <c r="N7380" s="19" t="s">
        <v>40</v>
      </c>
      <c r="O7380" s="19" t="s">
        <v>41</v>
      </c>
      <c r="P7380" s="19">
        <v>2000</v>
      </c>
      <c r="Q7380" s="19">
        <v>1732</v>
      </c>
      <c r="R7380" s="19">
        <f t="shared" si="317"/>
        <v>268</v>
      </c>
      <c r="S7380" s="19">
        <v>3200</v>
      </c>
      <c r="T7380" s="19" t="s">
        <v>42</v>
      </c>
      <c r="U7380" s="102" t="s">
        <v>43</v>
      </c>
      <c r="V7380" s="186">
        <v>45936</v>
      </c>
      <c r="W7380" s="17" t="s">
        <v>44</v>
      </c>
      <c r="X7380" s="17"/>
      <c r="Y7380" s="68">
        <v>46054</v>
      </c>
      <c r="Z7380" s="17" t="s">
        <v>45</v>
      </c>
      <c r="AA7380" s="17" t="s">
        <v>46</v>
      </c>
      <c r="AB7380" s="17" t="s">
        <v>47</v>
      </c>
      <c r="AC7380" s="217">
        <v>46148</v>
      </c>
      <c r="AD7380" s="65">
        <v>1775</v>
      </c>
      <c r="AE7380" s="17" t="s">
        <v>48</v>
      </c>
      <c r="AF7380" s="17"/>
      <c r="AG7380" s="17"/>
      <c r="AH7380" s="17"/>
      <c r="AI7380" s="17"/>
      <c r="AJ7380" s="17"/>
      <c r="AK7380" s="17"/>
      <c r="AL7380" s="17"/>
      <c r="AM7380" s="17"/>
      <c r="AN7380" s="17"/>
      <c r="AO7380" s="17"/>
      <c r="AP7380" s="17"/>
      <c r="AQ7380" s="17"/>
      <c r="AR7380" s="17"/>
    </row>
    <row r="7381" s="25" customFormat="1" hidden="1" spans="1:44">
      <c r="A7381" s="17" t="s">
        <v>34</v>
      </c>
      <c r="B7381" s="19">
        <v>1093</v>
      </c>
      <c r="C7381" s="183">
        <v>45934</v>
      </c>
      <c r="D7381" s="17" t="s">
        <v>35</v>
      </c>
      <c r="E7381" s="17" t="s">
        <v>36</v>
      </c>
      <c r="F7381" s="17" t="s">
        <v>37</v>
      </c>
      <c r="G7381" s="17"/>
      <c r="H7381" s="19">
        <v>1.2344</v>
      </c>
      <c r="I7381" s="19"/>
      <c r="J7381" s="17" t="s">
        <v>39</v>
      </c>
      <c r="K7381" s="19">
        <v>224</v>
      </c>
      <c r="L7381" s="91"/>
      <c r="M7381" s="19"/>
      <c r="N7381" s="19" t="s">
        <v>40</v>
      </c>
      <c r="O7381" s="19" t="s">
        <v>41</v>
      </c>
      <c r="P7381" s="19">
        <v>2000</v>
      </c>
      <c r="Q7381" s="19">
        <v>1806</v>
      </c>
      <c r="R7381" s="19">
        <f t="shared" si="317"/>
        <v>194</v>
      </c>
      <c r="S7381" s="19">
        <v>3200</v>
      </c>
      <c r="T7381" s="19" t="s">
        <v>42</v>
      </c>
      <c r="U7381" s="102" t="s">
        <v>43</v>
      </c>
      <c r="V7381" s="186">
        <v>45936</v>
      </c>
      <c r="W7381" s="17" t="s">
        <v>44</v>
      </c>
      <c r="X7381" s="17"/>
      <c r="Y7381" s="68">
        <v>46054</v>
      </c>
      <c r="Z7381" s="17" t="s">
        <v>45</v>
      </c>
      <c r="AA7381" s="17" t="s">
        <v>46</v>
      </c>
      <c r="AB7381" s="17" t="s">
        <v>47</v>
      </c>
      <c r="AC7381" s="217">
        <v>46148</v>
      </c>
      <c r="AD7381" s="65">
        <v>1775</v>
      </c>
      <c r="AE7381" s="17" t="s">
        <v>48</v>
      </c>
      <c r="AF7381" s="17"/>
      <c r="AG7381" s="17"/>
      <c r="AH7381" s="17"/>
      <c r="AI7381" s="17"/>
      <c r="AJ7381" s="17"/>
      <c r="AK7381" s="17"/>
      <c r="AL7381" s="17"/>
      <c r="AM7381" s="17"/>
      <c r="AN7381" s="17"/>
      <c r="AO7381" s="17"/>
      <c r="AP7381" s="17"/>
      <c r="AQ7381" s="17"/>
      <c r="AR7381" s="17"/>
    </row>
    <row r="7382" s="25" customFormat="1" hidden="1" spans="1:44">
      <c r="A7382" s="17" t="s">
        <v>34</v>
      </c>
      <c r="B7382" s="19">
        <v>1084</v>
      </c>
      <c r="C7382" s="183">
        <v>45898</v>
      </c>
      <c r="D7382" s="17" t="s">
        <v>35</v>
      </c>
      <c r="E7382" s="17" t="s">
        <v>71</v>
      </c>
      <c r="F7382" s="17" t="s">
        <v>72</v>
      </c>
      <c r="G7382" s="17"/>
      <c r="H7382" s="19">
        <v>1.2379</v>
      </c>
      <c r="I7382" s="19"/>
      <c r="J7382" s="17" t="s">
        <v>39</v>
      </c>
      <c r="K7382" s="19">
        <v>13</v>
      </c>
      <c r="L7382" s="91"/>
      <c r="M7382" s="19"/>
      <c r="N7382" s="19" t="s">
        <v>40</v>
      </c>
      <c r="O7382" s="19" t="s">
        <v>84</v>
      </c>
      <c r="P7382" s="19">
        <v>1500</v>
      </c>
      <c r="Q7382" s="19">
        <v>1272</v>
      </c>
      <c r="R7382" s="19">
        <f t="shared" ref="R7382:R7404" si="318">+P7382-Q7382</f>
        <v>228</v>
      </c>
      <c r="S7382" s="19">
        <f>2512</f>
        <v>2512</v>
      </c>
      <c r="T7382" s="19" t="s">
        <v>42</v>
      </c>
      <c r="U7382" s="102" t="s">
        <v>1716</v>
      </c>
      <c r="V7382" s="186">
        <v>45894</v>
      </c>
      <c r="W7382" s="17" t="s">
        <v>44</v>
      </c>
      <c r="X7382" s="17"/>
      <c r="Y7382" s="68">
        <v>46023</v>
      </c>
      <c r="Z7382" s="17" t="s">
        <v>1717</v>
      </c>
      <c r="AA7382" s="17" t="s">
        <v>46</v>
      </c>
      <c r="AB7382" s="17" t="s">
        <v>1718</v>
      </c>
      <c r="AC7382" s="217">
        <v>46140</v>
      </c>
      <c r="AD7382" s="65">
        <v>1796</v>
      </c>
      <c r="AE7382" s="17" t="s">
        <v>48</v>
      </c>
      <c r="AF7382" s="17" t="s">
        <v>1719</v>
      </c>
      <c r="AG7382" s="17"/>
      <c r="AH7382" s="17"/>
      <c r="AI7382" s="17"/>
      <c r="AJ7382" s="17"/>
      <c r="AK7382" s="17"/>
      <c r="AL7382" s="17"/>
      <c r="AM7382" s="17"/>
      <c r="AN7382" s="17"/>
      <c r="AO7382" s="17"/>
      <c r="AP7382" s="17"/>
      <c r="AQ7382" s="17"/>
      <c r="AR7382" s="17"/>
    </row>
    <row r="7383" s="25" customFormat="1" hidden="1" spans="1:44">
      <c r="A7383" s="17" t="s">
        <v>34</v>
      </c>
      <c r="B7383" s="19">
        <v>1084</v>
      </c>
      <c r="C7383" s="183">
        <v>45898</v>
      </c>
      <c r="D7383" s="17" t="s">
        <v>35</v>
      </c>
      <c r="E7383" s="17" t="s">
        <v>71</v>
      </c>
      <c r="F7383" s="17" t="s">
        <v>72</v>
      </c>
      <c r="G7383" s="17"/>
      <c r="H7383" s="19">
        <v>1.2379</v>
      </c>
      <c r="I7383" s="19"/>
      <c r="J7383" s="17" t="s">
        <v>39</v>
      </c>
      <c r="K7383" s="19">
        <v>16</v>
      </c>
      <c r="L7383" s="91"/>
      <c r="M7383" s="19"/>
      <c r="N7383" s="19" t="s">
        <v>40</v>
      </c>
      <c r="O7383" s="19" t="s">
        <v>84</v>
      </c>
      <c r="P7383" s="19">
        <v>1500</v>
      </c>
      <c r="Q7383" s="19">
        <v>1304</v>
      </c>
      <c r="R7383" s="19">
        <f t="shared" si="318"/>
        <v>196</v>
      </c>
      <c r="S7383" s="19">
        <f>2512</f>
        <v>2512</v>
      </c>
      <c r="T7383" s="19" t="s">
        <v>42</v>
      </c>
      <c r="U7383" s="102" t="s">
        <v>1716</v>
      </c>
      <c r="V7383" s="186">
        <v>45894</v>
      </c>
      <c r="W7383" s="17" t="s">
        <v>44</v>
      </c>
      <c r="X7383" s="17"/>
      <c r="Y7383" s="68">
        <v>46023</v>
      </c>
      <c r="Z7383" s="17" t="s">
        <v>1717</v>
      </c>
      <c r="AA7383" s="17" t="s">
        <v>46</v>
      </c>
      <c r="AB7383" s="17" t="s">
        <v>1718</v>
      </c>
      <c r="AC7383" s="217">
        <v>46140</v>
      </c>
      <c r="AD7383" s="65">
        <v>1796</v>
      </c>
      <c r="AE7383" s="17" t="s">
        <v>390</v>
      </c>
      <c r="AF7383" s="17" t="s">
        <v>1719</v>
      </c>
      <c r="AG7383" s="17"/>
      <c r="AH7383" s="17"/>
      <c r="AI7383" s="17"/>
      <c r="AJ7383" s="17"/>
      <c r="AK7383" s="17"/>
      <c r="AL7383" s="17"/>
      <c r="AM7383" s="17"/>
      <c r="AN7383" s="17"/>
      <c r="AO7383" s="17"/>
      <c r="AP7383" s="17"/>
      <c r="AQ7383" s="17"/>
      <c r="AR7383" s="17"/>
    </row>
    <row r="7384" s="25" customFormat="1" hidden="1" spans="1:44">
      <c r="A7384" s="17" t="s">
        <v>34</v>
      </c>
      <c r="B7384" s="19">
        <v>1084</v>
      </c>
      <c r="C7384" s="183">
        <v>45898</v>
      </c>
      <c r="D7384" s="17" t="s">
        <v>35</v>
      </c>
      <c r="E7384" s="17" t="s">
        <v>71</v>
      </c>
      <c r="F7384" s="17" t="s">
        <v>72</v>
      </c>
      <c r="G7384" s="17"/>
      <c r="H7384" s="19">
        <v>1.2379</v>
      </c>
      <c r="I7384" s="19"/>
      <c r="J7384" s="17" t="s">
        <v>39</v>
      </c>
      <c r="K7384" s="19">
        <v>20</v>
      </c>
      <c r="L7384" s="91"/>
      <c r="M7384" s="19"/>
      <c r="N7384" s="19" t="s">
        <v>40</v>
      </c>
      <c r="O7384" s="19" t="s">
        <v>84</v>
      </c>
      <c r="P7384" s="19">
        <v>3000</v>
      </c>
      <c r="Q7384" s="19">
        <f>1232+1290</f>
        <v>2522</v>
      </c>
      <c r="R7384" s="19">
        <f t="shared" si="318"/>
        <v>478</v>
      </c>
      <c r="S7384" s="19">
        <f t="shared" ref="S7384:S7395" si="319">2462</f>
        <v>2462</v>
      </c>
      <c r="T7384" s="19" t="s">
        <v>42</v>
      </c>
      <c r="U7384" s="102" t="s">
        <v>1716</v>
      </c>
      <c r="V7384" s="186">
        <v>45894</v>
      </c>
      <c r="W7384" s="17" t="s">
        <v>44</v>
      </c>
      <c r="X7384" s="17"/>
      <c r="Y7384" s="68">
        <v>46023</v>
      </c>
      <c r="Z7384" s="17" t="s">
        <v>1717</v>
      </c>
      <c r="AA7384" s="17" t="s">
        <v>46</v>
      </c>
      <c r="AB7384" s="17" t="s">
        <v>1718</v>
      </c>
      <c r="AC7384" s="217">
        <v>46140</v>
      </c>
      <c r="AD7384" s="65">
        <v>1796</v>
      </c>
      <c r="AE7384" s="17" t="s">
        <v>390</v>
      </c>
      <c r="AF7384" s="17" t="s">
        <v>1719</v>
      </c>
      <c r="AG7384" s="17"/>
      <c r="AH7384" s="17"/>
      <c r="AI7384" s="17"/>
      <c r="AJ7384" s="17"/>
      <c r="AK7384" s="17"/>
      <c r="AL7384" s="17"/>
      <c r="AM7384" s="17"/>
      <c r="AN7384" s="17"/>
      <c r="AO7384" s="17"/>
      <c r="AP7384" s="17"/>
      <c r="AQ7384" s="17"/>
      <c r="AR7384" s="17"/>
    </row>
    <row r="7385" s="25" customFormat="1" hidden="1" spans="1:44">
      <c r="A7385" s="17" t="s">
        <v>34</v>
      </c>
      <c r="B7385" s="19">
        <v>1084</v>
      </c>
      <c r="C7385" s="183">
        <v>45898</v>
      </c>
      <c r="D7385" s="17" t="s">
        <v>35</v>
      </c>
      <c r="E7385" s="17" t="s">
        <v>71</v>
      </c>
      <c r="F7385" s="17" t="s">
        <v>72</v>
      </c>
      <c r="G7385" s="17"/>
      <c r="H7385" s="19">
        <v>1.2379</v>
      </c>
      <c r="I7385" s="19"/>
      <c r="J7385" s="17" t="s">
        <v>39</v>
      </c>
      <c r="K7385" s="19">
        <v>22</v>
      </c>
      <c r="L7385" s="91"/>
      <c r="M7385" s="19"/>
      <c r="N7385" s="19" t="s">
        <v>40</v>
      </c>
      <c r="O7385" s="19" t="s">
        <v>84</v>
      </c>
      <c r="P7385" s="19">
        <v>3000</v>
      </c>
      <c r="Q7385" s="19">
        <f>1116+1370</f>
        <v>2486</v>
      </c>
      <c r="R7385" s="19">
        <f t="shared" si="318"/>
        <v>514</v>
      </c>
      <c r="S7385" s="19">
        <f t="shared" si="319"/>
        <v>2462</v>
      </c>
      <c r="T7385" s="19" t="s">
        <v>42</v>
      </c>
      <c r="U7385" s="102" t="s">
        <v>1716</v>
      </c>
      <c r="V7385" s="186">
        <v>45894</v>
      </c>
      <c r="W7385" s="17" t="s">
        <v>44</v>
      </c>
      <c r="X7385" s="17"/>
      <c r="Y7385" s="68">
        <v>46023</v>
      </c>
      <c r="Z7385" s="17" t="s">
        <v>1717</v>
      </c>
      <c r="AA7385" s="17" t="s">
        <v>46</v>
      </c>
      <c r="AB7385" s="17" t="s">
        <v>1718</v>
      </c>
      <c r="AC7385" s="217">
        <v>46140</v>
      </c>
      <c r="AD7385" s="65">
        <v>1796</v>
      </c>
      <c r="AE7385" s="17" t="s">
        <v>390</v>
      </c>
      <c r="AF7385" s="17" t="s">
        <v>1719</v>
      </c>
      <c r="AG7385" s="17"/>
      <c r="AH7385" s="17"/>
      <c r="AI7385" s="17"/>
      <c r="AJ7385" s="17"/>
      <c r="AK7385" s="17"/>
      <c r="AL7385" s="17"/>
      <c r="AM7385" s="17"/>
      <c r="AN7385" s="17"/>
      <c r="AO7385" s="17"/>
      <c r="AP7385" s="17"/>
      <c r="AQ7385" s="17"/>
      <c r="AR7385" s="17"/>
    </row>
    <row r="7386" s="25" customFormat="1" hidden="1" spans="1:44">
      <c r="A7386" s="17" t="s">
        <v>34</v>
      </c>
      <c r="B7386" s="19">
        <v>1084</v>
      </c>
      <c r="C7386" s="183">
        <v>45898</v>
      </c>
      <c r="D7386" s="17" t="s">
        <v>35</v>
      </c>
      <c r="E7386" s="17" t="s">
        <v>71</v>
      </c>
      <c r="F7386" s="17" t="s">
        <v>72</v>
      </c>
      <c r="G7386" s="17"/>
      <c r="H7386" s="19">
        <v>1.2379</v>
      </c>
      <c r="I7386" s="19"/>
      <c r="J7386" s="17" t="s">
        <v>39</v>
      </c>
      <c r="K7386" s="19">
        <v>26</v>
      </c>
      <c r="L7386" s="91"/>
      <c r="M7386" s="19"/>
      <c r="N7386" s="19" t="s">
        <v>40</v>
      </c>
      <c r="O7386" s="19" t="s">
        <v>84</v>
      </c>
      <c r="P7386" s="19">
        <v>1500</v>
      </c>
      <c r="Q7386" s="19">
        <v>1360</v>
      </c>
      <c r="R7386" s="19">
        <f t="shared" si="318"/>
        <v>140</v>
      </c>
      <c r="S7386" s="19">
        <f t="shared" si="319"/>
        <v>2462</v>
      </c>
      <c r="T7386" s="19" t="s">
        <v>42</v>
      </c>
      <c r="U7386" s="102" t="s">
        <v>1716</v>
      </c>
      <c r="V7386" s="186">
        <v>45894</v>
      </c>
      <c r="W7386" s="17" t="s">
        <v>44</v>
      </c>
      <c r="X7386" s="17"/>
      <c r="Y7386" s="68">
        <v>46023</v>
      </c>
      <c r="Z7386" s="17" t="s">
        <v>1717</v>
      </c>
      <c r="AA7386" s="17" t="s">
        <v>46</v>
      </c>
      <c r="AB7386" s="17" t="s">
        <v>1718</v>
      </c>
      <c r="AC7386" s="217">
        <v>46140</v>
      </c>
      <c r="AD7386" s="65">
        <v>1796</v>
      </c>
      <c r="AE7386" s="17" t="s">
        <v>48</v>
      </c>
      <c r="AF7386" s="17" t="s">
        <v>1719</v>
      </c>
      <c r="AG7386" s="17"/>
      <c r="AH7386" s="17"/>
      <c r="AI7386" s="17"/>
      <c r="AJ7386" s="17"/>
      <c r="AK7386" s="17"/>
      <c r="AL7386" s="17"/>
      <c r="AM7386" s="17"/>
      <c r="AN7386" s="17"/>
      <c r="AO7386" s="17"/>
      <c r="AP7386" s="17"/>
      <c r="AQ7386" s="17"/>
      <c r="AR7386" s="17"/>
    </row>
    <row r="7387" s="25" customFormat="1" hidden="1" spans="1:44">
      <c r="A7387" s="17" t="s">
        <v>34</v>
      </c>
      <c r="B7387" s="19">
        <v>1084</v>
      </c>
      <c r="C7387" s="183">
        <v>45898</v>
      </c>
      <c r="D7387" s="17" t="s">
        <v>35</v>
      </c>
      <c r="E7387" s="17" t="s">
        <v>71</v>
      </c>
      <c r="F7387" s="17" t="s">
        <v>72</v>
      </c>
      <c r="G7387" s="17"/>
      <c r="H7387" s="19">
        <v>1.2379</v>
      </c>
      <c r="I7387" s="19"/>
      <c r="J7387" s="17" t="s">
        <v>39</v>
      </c>
      <c r="K7387" s="19">
        <v>28</v>
      </c>
      <c r="L7387" s="91"/>
      <c r="M7387" s="19"/>
      <c r="N7387" s="19" t="s">
        <v>40</v>
      </c>
      <c r="O7387" s="19" t="s">
        <v>84</v>
      </c>
      <c r="P7387" s="19">
        <v>1500</v>
      </c>
      <c r="Q7387" s="19">
        <v>1418</v>
      </c>
      <c r="R7387" s="19">
        <f t="shared" si="318"/>
        <v>82</v>
      </c>
      <c r="S7387" s="19">
        <f t="shared" si="319"/>
        <v>2462</v>
      </c>
      <c r="T7387" s="19" t="s">
        <v>42</v>
      </c>
      <c r="U7387" s="102" t="s">
        <v>1716</v>
      </c>
      <c r="V7387" s="186">
        <v>45894</v>
      </c>
      <c r="W7387" s="17" t="s">
        <v>44</v>
      </c>
      <c r="X7387" s="17"/>
      <c r="Y7387" s="68">
        <v>46023</v>
      </c>
      <c r="Z7387" s="17" t="s">
        <v>1717</v>
      </c>
      <c r="AA7387" s="17" t="s">
        <v>46</v>
      </c>
      <c r="AB7387" s="17" t="s">
        <v>1718</v>
      </c>
      <c r="AC7387" s="217">
        <v>46140</v>
      </c>
      <c r="AD7387" s="65">
        <v>1796</v>
      </c>
      <c r="AE7387" s="17" t="s">
        <v>48</v>
      </c>
      <c r="AF7387" s="17" t="s">
        <v>1719</v>
      </c>
      <c r="AG7387" s="17"/>
      <c r="AH7387" s="17"/>
      <c r="AI7387" s="17"/>
      <c r="AJ7387" s="17"/>
      <c r="AK7387" s="17"/>
      <c r="AL7387" s="17"/>
      <c r="AM7387" s="17"/>
      <c r="AN7387" s="17"/>
      <c r="AO7387" s="17"/>
      <c r="AP7387" s="17"/>
      <c r="AQ7387" s="17"/>
      <c r="AR7387" s="17"/>
    </row>
    <row r="7388" s="25" customFormat="1" hidden="1" spans="1:44">
      <c r="A7388" s="17" t="s">
        <v>34</v>
      </c>
      <c r="B7388" s="19">
        <v>1084</v>
      </c>
      <c r="C7388" s="183">
        <v>45898</v>
      </c>
      <c r="D7388" s="17" t="s">
        <v>35</v>
      </c>
      <c r="E7388" s="17" t="s">
        <v>71</v>
      </c>
      <c r="F7388" s="17" t="s">
        <v>72</v>
      </c>
      <c r="G7388" s="17"/>
      <c r="H7388" s="19">
        <v>1.2379</v>
      </c>
      <c r="I7388" s="19"/>
      <c r="J7388" s="17" t="s">
        <v>39</v>
      </c>
      <c r="K7388" s="19">
        <v>32</v>
      </c>
      <c r="L7388" s="91"/>
      <c r="M7388" s="19"/>
      <c r="N7388" s="19" t="s">
        <v>40</v>
      </c>
      <c r="O7388" s="19" t="s">
        <v>84</v>
      </c>
      <c r="P7388" s="19">
        <v>3000</v>
      </c>
      <c r="Q7388" s="19">
        <f>1352+1354</f>
        <v>2706</v>
      </c>
      <c r="R7388" s="19">
        <f t="shared" si="318"/>
        <v>294</v>
      </c>
      <c r="S7388" s="19">
        <f t="shared" si="319"/>
        <v>2462</v>
      </c>
      <c r="T7388" s="19" t="s">
        <v>42</v>
      </c>
      <c r="U7388" s="102" t="s">
        <v>1716</v>
      </c>
      <c r="V7388" s="186">
        <v>45894</v>
      </c>
      <c r="W7388" s="17" t="s">
        <v>44</v>
      </c>
      <c r="X7388" s="17"/>
      <c r="Y7388" s="68">
        <v>46023</v>
      </c>
      <c r="Z7388" s="17" t="s">
        <v>1717</v>
      </c>
      <c r="AA7388" s="17" t="s">
        <v>46</v>
      </c>
      <c r="AB7388" s="17" t="s">
        <v>1718</v>
      </c>
      <c r="AC7388" s="217">
        <v>46140</v>
      </c>
      <c r="AD7388" s="65">
        <v>1796</v>
      </c>
      <c r="AE7388" s="17" t="s">
        <v>390</v>
      </c>
      <c r="AF7388" s="17" t="s">
        <v>1719</v>
      </c>
      <c r="AG7388" s="17"/>
      <c r="AH7388" s="17"/>
      <c r="AI7388" s="17"/>
      <c r="AJ7388" s="17"/>
      <c r="AK7388" s="17"/>
      <c r="AL7388" s="17"/>
      <c r="AM7388" s="17"/>
      <c r="AN7388" s="17"/>
      <c r="AO7388" s="17"/>
      <c r="AP7388" s="17"/>
      <c r="AQ7388" s="17"/>
      <c r="AR7388" s="17"/>
    </row>
    <row r="7389" s="25" customFormat="1" hidden="1" spans="1:44">
      <c r="A7389" s="17" t="s">
        <v>34</v>
      </c>
      <c r="B7389" s="19">
        <v>1084</v>
      </c>
      <c r="C7389" s="183">
        <v>45898</v>
      </c>
      <c r="D7389" s="17" t="s">
        <v>35</v>
      </c>
      <c r="E7389" s="17" t="s">
        <v>71</v>
      </c>
      <c r="F7389" s="17" t="s">
        <v>72</v>
      </c>
      <c r="G7389" s="17"/>
      <c r="H7389" s="19">
        <v>1.2379</v>
      </c>
      <c r="I7389" s="19"/>
      <c r="J7389" s="17" t="s">
        <v>39</v>
      </c>
      <c r="K7389" s="19">
        <v>36</v>
      </c>
      <c r="L7389" s="91"/>
      <c r="M7389" s="19"/>
      <c r="N7389" s="19" t="s">
        <v>40</v>
      </c>
      <c r="O7389" s="19" t="s">
        <v>84</v>
      </c>
      <c r="P7389" s="19">
        <v>1500</v>
      </c>
      <c r="Q7389" s="19">
        <v>1310</v>
      </c>
      <c r="R7389" s="19">
        <f t="shared" si="318"/>
        <v>190</v>
      </c>
      <c r="S7389" s="19">
        <f t="shared" si="319"/>
        <v>2462</v>
      </c>
      <c r="T7389" s="19" t="s">
        <v>42</v>
      </c>
      <c r="U7389" s="102" t="s">
        <v>1716</v>
      </c>
      <c r="V7389" s="186">
        <v>45894</v>
      </c>
      <c r="W7389" s="17" t="s">
        <v>44</v>
      </c>
      <c r="X7389" s="17"/>
      <c r="Y7389" s="68">
        <v>46023</v>
      </c>
      <c r="Z7389" s="17" t="s">
        <v>1717</v>
      </c>
      <c r="AA7389" s="17" t="s">
        <v>46</v>
      </c>
      <c r="AB7389" s="17" t="s">
        <v>1718</v>
      </c>
      <c r="AC7389" s="217">
        <v>46140</v>
      </c>
      <c r="AD7389" s="65">
        <v>1796</v>
      </c>
      <c r="AE7389" s="17" t="s">
        <v>48</v>
      </c>
      <c r="AF7389" s="17" t="s">
        <v>1719</v>
      </c>
      <c r="AG7389" s="17"/>
      <c r="AH7389" s="17"/>
      <c r="AI7389" s="17"/>
      <c r="AJ7389" s="17"/>
      <c r="AK7389" s="17"/>
      <c r="AL7389" s="17"/>
      <c r="AM7389" s="17"/>
      <c r="AN7389" s="17"/>
      <c r="AO7389" s="17"/>
      <c r="AP7389" s="17"/>
      <c r="AQ7389" s="17"/>
      <c r="AR7389" s="17"/>
    </row>
    <row r="7390" s="25" customFormat="1" hidden="1" spans="1:44">
      <c r="A7390" s="17" t="s">
        <v>34</v>
      </c>
      <c r="B7390" s="19">
        <v>1084</v>
      </c>
      <c r="C7390" s="183">
        <v>45898</v>
      </c>
      <c r="D7390" s="17" t="s">
        <v>35</v>
      </c>
      <c r="E7390" s="17" t="s">
        <v>71</v>
      </c>
      <c r="F7390" s="17" t="s">
        <v>72</v>
      </c>
      <c r="G7390" s="17"/>
      <c r="H7390" s="19">
        <v>1.2379</v>
      </c>
      <c r="I7390" s="19"/>
      <c r="J7390" s="17" t="s">
        <v>39</v>
      </c>
      <c r="K7390" s="19">
        <v>41</v>
      </c>
      <c r="L7390" s="91"/>
      <c r="M7390" s="19"/>
      <c r="N7390" s="19" t="s">
        <v>40</v>
      </c>
      <c r="O7390" s="19" t="s">
        <v>84</v>
      </c>
      <c r="P7390" s="19">
        <v>1500</v>
      </c>
      <c r="Q7390" s="19">
        <v>1450</v>
      </c>
      <c r="R7390" s="19">
        <f t="shared" si="318"/>
        <v>50</v>
      </c>
      <c r="S7390" s="19">
        <f t="shared" si="319"/>
        <v>2462</v>
      </c>
      <c r="T7390" s="19" t="s">
        <v>42</v>
      </c>
      <c r="U7390" s="102" t="s">
        <v>1716</v>
      </c>
      <c r="V7390" s="186">
        <v>45894</v>
      </c>
      <c r="W7390" s="17" t="s">
        <v>44</v>
      </c>
      <c r="X7390" s="17"/>
      <c r="Y7390" s="68">
        <v>46023</v>
      </c>
      <c r="Z7390" s="17" t="s">
        <v>1717</v>
      </c>
      <c r="AA7390" s="17" t="s">
        <v>46</v>
      </c>
      <c r="AB7390" s="17" t="s">
        <v>1718</v>
      </c>
      <c r="AC7390" s="217">
        <v>46140</v>
      </c>
      <c r="AD7390" s="65">
        <v>1796</v>
      </c>
      <c r="AE7390" s="17" t="s">
        <v>390</v>
      </c>
      <c r="AF7390" s="17" t="s">
        <v>1719</v>
      </c>
      <c r="AG7390" s="17"/>
      <c r="AH7390" s="17"/>
      <c r="AI7390" s="17"/>
      <c r="AJ7390" s="17"/>
      <c r="AK7390" s="17"/>
      <c r="AL7390" s="17"/>
      <c r="AM7390" s="17"/>
      <c r="AN7390" s="17"/>
      <c r="AO7390" s="17"/>
      <c r="AP7390" s="17"/>
      <c r="AQ7390" s="17"/>
      <c r="AR7390" s="17"/>
    </row>
    <row r="7391" s="25" customFormat="1" hidden="1" spans="1:44">
      <c r="A7391" s="17" t="s">
        <v>34</v>
      </c>
      <c r="B7391" s="19">
        <v>1084</v>
      </c>
      <c r="C7391" s="183">
        <v>45898</v>
      </c>
      <c r="D7391" s="17" t="s">
        <v>35</v>
      </c>
      <c r="E7391" s="17" t="s">
        <v>71</v>
      </c>
      <c r="F7391" s="17" t="s">
        <v>72</v>
      </c>
      <c r="G7391" s="17"/>
      <c r="H7391" s="19">
        <v>1.2379</v>
      </c>
      <c r="I7391" s="19"/>
      <c r="J7391" s="17" t="s">
        <v>39</v>
      </c>
      <c r="K7391" s="19">
        <v>45</v>
      </c>
      <c r="L7391" s="91"/>
      <c r="M7391" s="19"/>
      <c r="N7391" s="19" t="s">
        <v>40</v>
      </c>
      <c r="O7391" s="19" t="s">
        <v>84</v>
      </c>
      <c r="P7391" s="19">
        <v>1500</v>
      </c>
      <c r="Q7391" s="19">
        <v>1412</v>
      </c>
      <c r="R7391" s="19">
        <f t="shared" si="318"/>
        <v>88</v>
      </c>
      <c r="S7391" s="19">
        <f t="shared" si="319"/>
        <v>2462</v>
      </c>
      <c r="T7391" s="19" t="s">
        <v>42</v>
      </c>
      <c r="U7391" s="102" t="s">
        <v>1716</v>
      </c>
      <c r="V7391" s="186">
        <v>45894</v>
      </c>
      <c r="W7391" s="17" t="s">
        <v>44</v>
      </c>
      <c r="X7391" s="17"/>
      <c r="Y7391" s="68">
        <v>46023</v>
      </c>
      <c r="Z7391" s="17" t="s">
        <v>1717</v>
      </c>
      <c r="AA7391" s="17" t="s">
        <v>46</v>
      </c>
      <c r="AB7391" s="17" t="s">
        <v>1718</v>
      </c>
      <c r="AC7391" s="217">
        <v>46140</v>
      </c>
      <c r="AD7391" s="65">
        <v>1796</v>
      </c>
      <c r="AE7391" s="17" t="s">
        <v>74</v>
      </c>
      <c r="AF7391" s="17" t="s">
        <v>1719</v>
      </c>
      <c r="AG7391" s="17"/>
      <c r="AH7391" s="17"/>
      <c r="AI7391" s="17"/>
      <c r="AJ7391" s="17"/>
      <c r="AK7391" s="17"/>
      <c r="AL7391" s="17"/>
      <c r="AM7391" s="17"/>
      <c r="AN7391" s="17"/>
      <c r="AO7391" s="17"/>
      <c r="AP7391" s="17"/>
      <c r="AQ7391" s="17"/>
      <c r="AR7391" s="17"/>
    </row>
    <row r="7392" s="25" customFormat="1" hidden="1" spans="1:44">
      <c r="A7392" s="17" t="s">
        <v>34</v>
      </c>
      <c r="B7392" s="19">
        <v>1084</v>
      </c>
      <c r="C7392" s="183">
        <v>45898</v>
      </c>
      <c r="D7392" s="17" t="s">
        <v>35</v>
      </c>
      <c r="E7392" s="17" t="s">
        <v>71</v>
      </c>
      <c r="F7392" s="17" t="s">
        <v>72</v>
      </c>
      <c r="G7392" s="17"/>
      <c r="H7392" s="19">
        <v>1.2379</v>
      </c>
      <c r="I7392" s="19"/>
      <c r="J7392" s="17" t="s">
        <v>39</v>
      </c>
      <c r="K7392" s="19">
        <v>46</v>
      </c>
      <c r="L7392" s="91"/>
      <c r="M7392" s="19"/>
      <c r="N7392" s="19" t="s">
        <v>40</v>
      </c>
      <c r="O7392" s="19" t="s">
        <v>84</v>
      </c>
      <c r="P7392" s="19">
        <v>1500</v>
      </c>
      <c r="Q7392" s="19">
        <v>1290</v>
      </c>
      <c r="R7392" s="19">
        <f t="shared" si="318"/>
        <v>210</v>
      </c>
      <c r="S7392" s="19">
        <f t="shared" si="319"/>
        <v>2462</v>
      </c>
      <c r="T7392" s="19" t="s">
        <v>42</v>
      </c>
      <c r="U7392" s="102" t="s">
        <v>1716</v>
      </c>
      <c r="V7392" s="186">
        <v>45894</v>
      </c>
      <c r="W7392" s="17" t="s">
        <v>44</v>
      </c>
      <c r="X7392" s="17"/>
      <c r="Y7392" s="68">
        <v>46023</v>
      </c>
      <c r="Z7392" s="17" t="s">
        <v>1717</v>
      </c>
      <c r="AA7392" s="17" t="s">
        <v>46</v>
      </c>
      <c r="AB7392" s="17" t="s">
        <v>1718</v>
      </c>
      <c r="AC7392" s="217">
        <v>46140</v>
      </c>
      <c r="AD7392" s="65">
        <v>1796</v>
      </c>
      <c r="AE7392" s="17" t="s">
        <v>48</v>
      </c>
      <c r="AF7392" s="17" t="s">
        <v>1719</v>
      </c>
      <c r="AG7392" s="17"/>
      <c r="AH7392" s="17"/>
      <c r="AI7392" s="17"/>
      <c r="AJ7392" s="17"/>
      <c r="AK7392" s="17"/>
      <c r="AL7392" s="17"/>
      <c r="AM7392" s="17"/>
      <c r="AN7392" s="17"/>
      <c r="AO7392" s="17"/>
      <c r="AP7392" s="17"/>
      <c r="AQ7392" s="17"/>
      <c r="AR7392" s="17"/>
    </row>
    <row r="7393" s="25" customFormat="1" hidden="1" spans="1:44">
      <c r="A7393" s="17" t="s">
        <v>34</v>
      </c>
      <c r="B7393" s="19">
        <v>1084</v>
      </c>
      <c r="C7393" s="183">
        <v>45898</v>
      </c>
      <c r="D7393" s="17" t="s">
        <v>35</v>
      </c>
      <c r="E7393" s="17" t="s">
        <v>71</v>
      </c>
      <c r="F7393" s="17" t="s">
        <v>72</v>
      </c>
      <c r="G7393" s="17"/>
      <c r="H7393" s="19">
        <v>1.2379</v>
      </c>
      <c r="I7393" s="19"/>
      <c r="J7393" s="17" t="s">
        <v>39</v>
      </c>
      <c r="K7393" s="19">
        <v>51</v>
      </c>
      <c r="L7393" s="91"/>
      <c r="M7393" s="19"/>
      <c r="N7393" s="19" t="s">
        <v>40</v>
      </c>
      <c r="O7393" s="19" t="s">
        <v>84</v>
      </c>
      <c r="P7393" s="19">
        <v>1500</v>
      </c>
      <c r="Q7393" s="19">
        <v>1344</v>
      </c>
      <c r="R7393" s="19">
        <f t="shared" si="318"/>
        <v>156</v>
      </c>
      <c r="S7393" s="19">
        <f t="shared" si="319"/>
        <v>2462</v>
      </c>
      <c r="T7393" s="19" t="s">
        <v>42</v>
      </c>
      <c r="U7393" s="102" t="s">
        <v>1716</v>
      </c>
      <c r="V7393" s="186">
        <v>45894</v>
      </c>
      <c r="W7393" s="17" t="s">
        <v>44</v>
      </c>
      <c r="X7393" s="17"/>
      <c r="Y7393" s="68">
        <v>46023</v>
      </c>
      <c r="Z7393" s="17" t="s">
        <v>1717</v>
      </c>
      <c r="AA7393" s="17" t="s">
        <v>46</v>
      </c>
      <c r="AB7393" s="17" t="s">
        <v>1718</v>
      </c>
      <c r="AC7393" s="217">
        <v>46140</v>
      </c>
      <c r="AD7393" s="65">
        <v>1796</v>
      </c>
      <c r="AE7393" s="17" t="s">
        <v>390</v>
      </c>
      <c r="AF7393" s="17" t="s">
        <v>1719</v>
      </c>
      <c r="AG7393" s="17"/>
      <c r="AH7393" s="17"/>
      <c r="AI7393" s="17"/>
      <c r="AJ7393" s="17"/>
      <c r="AK7393" s="17"/>
      <c r="AL7393" s="17"/>
      <c r="AM7393" s="17"/>
      <c r="AN7393" s="17"/>
      <c r="AO7393" s="17"/>
      <c r="AP7393" s="17"/>
      <c r="AQ7393" s="17"/>
      <c r="AR7393" s="17"/>
    </row>
    <row r="7394" s="25" customFormat="1" hidden="1" spans="1:44">
      <c r="A7394" s="17" t="s">
        <v>34</v>
      </c>
      <c r="B7394" s="19">
        <v>1084</v>
      </c>
      <c r="C7394" s="183">
        <v>45898</v>
      </c>
      <c r="D7394" s="17" t="s">
        <v>35</v>
      </c>
      <c r="E7394" s="17" t="s">
        <v>71</v>
      </c>
      <c r="F7394" s="17" t="s">
        <v>72</v>
      </c>
      <c r="G7394" s="17"/>
      <c r="H7394" s="19">
        <v>1.2379</v>
      </c>
      <c r="I7394" s="19"/>
      <c r="J7394" s="17" t="s">
        <v>39</v>
      </c>
      <c r="K7394" s="19">
        <v>56</v>
      </c>
      <c r="L7394" s="91"/>
      <c r="M7394" s="19"/>
      <c r="N7394" s="19" t="s">
        <v>40</v>
      </c>
      <c r="O7394" s="19" t="s">
        <v>84</v>
      </c>
      <c r="P7394" s="19">
        <v>3000</v>
      </c>
      <c r="Q7394" s="19">
        <f>1138+1232</f>
        <v>2370</v>
      </c>
      <c r="R7394" s="19">
        <f t="shared" si="318"/>
        <v>630</v>
      </c>
      <c r="S7394" s="19">
        <f t="shared" si="319"/>
        <v>2462</v>
      </c>
      <c r="T7394" s="19" t="s">
        <v>42</v>
      </c>
      <c r="U7394" s="102" t="s">
        <v>1716</v>
      </c>
      <c r="V7394" s="186">
        <v>45894</v>
      </c>
      <c r="W7394" s="17" t="s">
        <v>44</v>
      </c>
      <c r="X7394" s="17"/>
      <c r="Y7394" s="68">
        <v>46023</v>
      </c>
      <c r="Z7394" s="17" t="s">
        <v>1717</v>
      </c>
      <c r="AA7394" s="17" t="s">
        <v>46</v>
      </c>
      <c r="AB7394" s="17" t="s">
        <v>1718</v>
      </c>
      <c r="AC7394" s="217">
        <v>46140</v>
      </c>
      <c r="AD7394" s="65">
        <v>1796</v>
      </c>
      <c r="AE7394" s="17" t="s">
        <v>390</v>
      </c>
      <c r="AF7394" s="17" t="s">
        <v>1719</v>
      </c>
      <c r="AG7394" s="17"/>
      <c r="AH7394" s="17"/>
      <c r="AI7394" s="17"/>
      <c r="AJ7394" s="17"/>
      <c r="AK7394" s="17"/>
      <c r="AL7394" s="17"/>
      <c r="AM7394" s="17"/>
      <c r="AN7394" s="17"/>
      <c r="AO7394" s="17"/>
      <c r="AP7394" s="17"/>
      <c r="AQ7394" s="17"/>
      <c r="AR7394" s="17"/>
    </row>
    <row r="7395" s="25" customFormat="1" hidden="1" spans="1:44">
      <c r="A7395" s="17" t="s">
        <v>34</v>
      </c>
      <c r="B7395" s="19">
        <v>1084</v>
      </c>
      <c r="C7395" s="183">
        <v>45898</v>
      </c>
      <c r="D7395" s="17" t="s">
        <v>35</v>
      </c>
      <c r="E7395" s="17" t="s">
        <v>71</v>
      </c>
      <c r="F7395" s="17" t="s">
        <v>72</v>
      </c>
      <c r="G7395" s="17"/>
      <c r="H7395" s="19">
        <v>1.2379</v>
      </c>
      <c r="I7395" s="19"/>
      <c r="J7395" s="17" t="s">
        <v>39</v>
      </c>
      <c r="K7395" s="19">
        <v>61</v>
      </c>
      <c r="L7395" s="91"/>
      <c r="M7395" s="19"/>
      <c r="N7395" s="19" t="s">
        <v>40</v>
      </c>
      <c r="O7395" s="19" t="s">
        <v>84</v>
      </c>
      <c r="P7395" s="19">
        <v>2000</v>
      </c>
      <c r="Q7395" s="19">
        <v>1340</v>
      </c>
      <c r="R7395" s="19">
        <f t="shared" si="318"/>
        <v>660</v>
      </c>
      <c r="S7395" s="19">
        <f t="shared" si="319"/>
        <v>2462</v>
      </c>
      <c r="T7395" s="19" t="s">
        <v>42</v>
      </c>
      <c r="U7395" s="102" t="s">
        <v>1716</v>
      </c>
      <c r="V7395" s="186">
        <v>45894</v>
      </c>
      <c r="W7395" s="17" t="s">
        <v>44</v>
      </c>
      <c r="X7395" s="17"/>
      <c r="Y7395" s="68">
        <v>46023</v>
      </c>
      <c r="Z7395" s="17" t="s">
        <v>1717</v>
      </c>
      <c r="AA7395" s="17" t="s">
        <v>46</v>
      </c>
      <c r="AB7395" s="17" t="s">
        <v>1718</v>
      </c>
      <c r="AC7395" s="217">
        <v>46140</v>
      </c>
      <c r="AD7395" s="65">
        <v>1796</v>
      </c>
      <c r="AE7395" s="17" t="s">
        <v>390</v>
      </c>
      <c r="AF7395" s="17" t="s">
        <v>1719</v>
      </c>
      <c r="AG7395" s="17"/>
      <c r="AH7395" s="17"/>
      <c r="AI7395" s="17"/>
      <c r="AJ7395" s="17"/>
      <c r="AK7395" s="17"/>
      <c r="AL7395" s="17"/>
      <c r="AM7395" s="17"/>
      <c r="AN7395" s="17"/>
      <c r="AO7395" s="17"/>
      <c r="AP7395" s="17"/>
      <c r="AQ7395" s="17"/>
      <c r="AR7395" s="17"/>
    </row>
    <row r="7396" s="25" customFormat="1" hidden="1" spans="1:44">
      <c r="A7396" s="17" t="s">
        <v>34</v>
      </c>
      <c r="B7396" s="19">
        <v>1084</v>
      </c>
      <c r="C7396" s="183">
        <v>45898</v>
      </c>
      <c r="D7396" s="17" t="s">
        <v>35</v>
      </c>
      <c r="E7396" s="17" t="s">
        <v>71</v>
      </c>
      <c r="F7396" s="17" t="s">
        <v>72</v>
      </c>
      <c r="G7396" s="17"/>
      <c r="H7396" s="19">
        <v>1.2379</v>
      </c>
      <c r="I7396" s="19"/>
      <c r="J7396" s="17" t="s">
        <v>39</v>
      </c>
      <c r="K7396" s="19">
        <v>66</v>
      </c>
      <c r="L7396" s="91"/>
      <c r="M7396" s="19"/>
      <c r="N7396" s="19" t="s">
        <v>40</v>
      </c>
      <c r="O7396" s="19" t="s">
        <v>84</v>
      </c>
      <c r="P7396" s="19">
        <v>2000</v>
      </c>
      <c r="Q7396" s="19">
        <v>1076</v>
      </c>
      <c r="R7396" s="19">
        <f t="shared" si="318"/>
        <v>924</v>
      </c>
      <c r="S7396" s="19">
        <f>2322</f>
        <v>2322</v>
      </c>
      <c r="T7396" s="19" t="s">
        <v>42</v>
      </c>
      <c r="U7396" s="102" t="s">
        <v>1716</v>
      </c>
      <c r="V7396" s="186">
        <v>45894</v>
      </c>
      <c r="W7396" s="17" t="s">
        <v>44</v>
      </c>
      <c r="X7396" s="17"/>
      <c r="Y7396" s="68">
        <v>46023</v>
      </c>
      <c r="Z7396" s="17" t="s">
        <v>1717</v>
      </c>
      <c r="AA7396" s="17" t="s">
        <v>46</v>
      </c>
      <c r="AB7396" s="17" t="s">
        <v>1718</v>
      </c>
      <c r="AC7396" s="217">
        <v>46140</v>
      </c>
      <c r="AD7396" s="65">
        <v>1796</v>
      </c>
      <c r="AE7396" s="17" t="s">
        <v>390</v>
      </c>
      <c r="AF7396" s="17" t="s">
        <v>1719</v>
      </c>
      <c r="AG7396" s="17"/>
      <c r="AH7396" s="17"/>
      <c r="AI7396" s="17"/>
      <c r="AJ7396" s="17"/>
      <c r="AK7396" s="17"/>
      <c r="AL7396" s="17"/>
      <c r="AM7396" s="17"/>
      <c r="AN7396" s="17"/>
      <c r="AO7396" s="17"/>
      <c r="AP7396" s="17"/>
      <c r="AQ7396" s="17"/>
      <c r="AR7396" s="17"/>
    </row>
    <row r="7397" s="25" customFormat="1" hidden="1" spans="1:44">
      <c r="A7397" s="17" t="s">
        <v>34</v>
      </c>
      <c r="B7397" s="19">
        <v>1084</v>
      </c>
      <c r="C7397" s="183">
        <v>45898</v>
      </c>
      <c r="D7397" s="17" t="s">
        <v>35</v>
      </c>
      <c r="E7397" s="17" t="s">
        <v>71</v>
      </c>
      <c r="F7397" s="17" t="s">
        <v>72</v>
      </c>
      <c r="G7397" s="17"/>
      <c r="H7397" s="19">
        <v>1.2379</v>
      </c>
      <c r="I7397" s="19"/>
      <c r="J7397" s="17" t="s">
        <v>39</v>
      </c>
      <c r="K7397" s="19">
        <v>70</v>
      </c>
      <c r="L7397" s="91"/>
      <c r="M7397" s="19"/>
      <c r="N7397" s="19" t="s">
        <v>40</v>
      </c>
      <c r="O7397" s="19" t="s">
        <v>84</v>
      </c>
      <c r="P7397" s="19">
        <v>4000</v>
      </c>
      <c r="Q7397" s="19">
        <f>1554+1546</f>
        <v>3100</v>
      </c>
      <c r="R7397" s="19">
        <f t="shared" si="318"/>
        <v>900</v>
      </c>
      <c r="S7397" s="19">
        <v>2322</v>
      </c>
      <c r="T7397" s="19" t="s">
        <v>42</v>
      </c>
      <c r="U7397" s="102" t="s">
        <v>1716</v>
      </c>
      <c r="V7397" s="186">
        <v>45894</v>
      </c>
      <c r="W7397" s="17" t="s">
        <v>1720</v>
      </c>
      <c r="X7397" s="17"/>
      <c r="Y7397" s="68">
        <v>46023</v>
      </c>
      <c r="Z7397" s="17" t="s">
        <v>45</v>
      </c>
      <c r="AA7397" s="17" t="s">
        <v>46</v>
      </c>
      <c r="AB7397" s="17" t="s">
        <v>1721</v>
      </c>
      <c r="AC7397" s="217">
        <v>46195</v>
      </c>
      <c r="AD7397" s="65">
        <v>1822</v>
      </c>
      <c r="AE7397" s="17" t="s">
        <v>48</v>
      </c>
      <c r="AF7397" s="17" t="s">
        <v>1719</v>
      </c>
      <c r="AG7397" s="17"/>
      <c r="AH7397" s="17"/>
      <c r="AI7397" s="17"/>
      <c r="AJ7397" s="17"/>
      <c r="AK7397" s="17"/>
      <c r="AL7397" s="17"/>
      <c r="AM7397" s="17"/>
      <c r="AN7397" s="17"/>
      <c r="AO7397" s="17"/>
      <c r="AP7397" s="17"/>
      <c r="AQ7397" s="17"/>
      <c r="AR7397" s="17"/>
    </row>
    <row r="7398" s="25" customFormat="1" hidden="1" spans="1:44">
      <c r="A7398" s="17" t="s">
        <v>34</v>
      </c>
      <c r="B7398" s="19">
        <v>1084</v>
      </c>
      <c r="C7398" s="183">
        <v>45898</v>
      </c>
      <c r="D7398" s="17" t="s">
        <v>35</v>
      </c>
      <c r="E7398" s="17" t="s">
        <v>71</v>
      </c>
      <c r="F7398" s="17" t="s">
        <v>72</v>
      </c>
      <c r="G7398" s="17"/>
      <c r="H7398" s="19">
        <v>1.2379</v>
      </c>
      <c r="I7398" s="19"/>
      <c r="J7398" s="17" t="s">
        <v>39</v>
      </c>
      <c r="K7398" s="19">
        <v>75</v>
      </c>
      <c r="L7398" s="91"/>
      <c r="M7398" s="19"/>
      <c r="N7398" s="19" t="s">
        <v>40</v>
      </c>
      <c r="O7398" s="19" t="s">
        <v>84</v>
      </c>
      <c r="P7398" s="19">
        <v>2000</v>
      </c>
      <c r="Q7398" s="19">
        <v>1310</v>
      </c>
      <c r="R7398" s="19">
        <f t="shared" si="318"/>
        <v>690</v>
      </c>
      <c r="S7398" s="19">
        <v>2322</v>
      </c>
      <c r="T7398" s="19" t="s">
        <v>42</v>
      </c>
      <c r="U7398" s="102" t="s">
        <v>1716</v>
      </c>
      <c r="V7398" s="186">
        <v>45894</v>
      </c>
      <c r="W7398" s="17" t="s">
        <v>44</v>
      </c>
      <c r="X7398" s="17"/>
      <c r="Y7398" s="68">
        <v>46023</v>
      </c>
      <c r="Z7398" s="17" t="s">
        <v>1717</v>
      </c>
      <c r="AA7398" s="17" t="s">
        <v>46</v>
      </c>
      <c r="AB7398" s="17" t="s">
        <v>1718</v>
      </c>
      <c r="AC7398" s="217">
        <v>46140</v>
      </c>
      <c r="AD7398" s="65">
        <v>1796</v>
      </c>
      <c r="AE7398" s="17" t="s">
        <v>48</v>
      </c>
      <c r="AF7398" s="17" t="s">
        <v>1719</v>
      </c>
      <c r="AG7398" s="17"/>
      <c r="AH7398" s="17"/>
      <c r="AI7398" s="17"/>
      <c r="AJ7398" s="17"/>
      <c r="AK7398" s="17"/>
      <c r="AL7398" s="17"/>
      <c r="AM7398" s="17"/>
      <c r="AN7398" s="17"/>
      <c r="AO7398" s="17"/>
      <c r="AP7398" s="17"/>
      <c r="AQ7398" s="17"/>
      <c r="AR7398" s="17"/>
    </row>
    <row r="7399" s="25" customFormat="1" hidden="1" spans="1:44">
      <c r="A7399" s="17" t="s">
        <v>34</v>
      </c>
      <c r="B7399" s="19">
        <v>1084</v>
      </c>
      <c r="C7399" s="183">
        <v>45898</v>
      </c>
      <c r="D7399" s="17" t="s">
        <v>35</v>
      </c>
      <c r="E7399" s="17" t="s">
        <v>71</v>
      </c>
      <c r="F7399" s="17" t="s">
        <v>72</v>
      </c>
      <c r="G7399" s="17"/>
      <c r="H7399" s="19">
        <v>1.2379</v>
      </c>
      <c r="I7399" s="19"/>
      <c r="J7399" s="17" t="s">
        <v>39</v>
      </c>
      <c r="K7399" s="19">
        <v>81</v>
      </c>
      <c r="L7399" s="91"/>
      <c r="M7399" s="19"/>
      <c r="N7399" s="19" t="s">
        <v>40</v>
      </c>
      <c r="O7399" s="19" t="s">
        <v>84</v>
      </c>
      <c r="P7399" s="19">
        <v>2000</v>
      </c>
      <c r="Q7399" s="19">
        <f>1146+956</f>
        <v>2102</v>
      </c>
      <c r="R7399" s="19">
        <f t="shared" si="318"/>
        <v>-102</v>
      </c>
      <c r="S7399" s="19">
        <v>2322</v>
      </c>
      <c r="T7399" s="19" t="s">
        <v>42</v>
      </c>
      <c r="U7399" s="102" t="s">
        <v>1716</v>
      </c>
      <c r="V7399" s="186">
        <v>45894</v>
      </c>
      <c r="W7399" s="17" t="s">
        <v>44</v>
      </c>
      <c r="X7399" s="17"/>
      <c r="Y7399" s="68">
        <v>46023</v>
      </c>
      <c r="Z7399" s="17" t="s">
        <v>1717</v>
      </c>
      <c r="AA7399" s="17" t="s">
        <v>46</v>
      </c>
      <c r="AB7399" s="17" t="s">
        <v>1718</v>
      </c>
      <c r="AC7399" s="217">
        <v>46140</v>
      </c>
      <c r="AD7399" s="65">
        <v>1796</v>
      </c>
      <c r="AE7399" s="17" t="s">
        <v>48</v>
      </c>
      <c r="AF7399" s="17" t="s">
        <v>1719</v>
      </c>
      <c r="AG7399" s="17"/>
      <c r="AH7399" s="17"/>
      <c r="AI7399" s="17"/>
      <c r="AJ7399" s="17"/>
      <c r="AK7399" s="17"/>
      <c r="AL7399" s="17"/>
      <c r="AM7399" s="17"/>
      <c r="AN7399" s="17"/>
      <c r="AO7399" s="17"/>
      <c r="AP7399" s="17"/>
      <c r="AQ7399" s="17"/>
      <c r="AR7399" s="17"/>
    </row>
    <row r="7400" s="25" customFormat="1" hidden="1" spans="1:44">
      <c r="A7400" s="17" t="s">
        <v>34</v>
      </c>
      <c r="B7400" s="19">
        <v>1084</v>
      </c>
      <c r="C7400" s="183">
        <v>45898</v>
      </c>
      <c r="D7400" s="17" t="s">
        <v>35</v>
      </c>
      <c r="E7400" s="17" t="s">
        <v>71</v>
      </c>
      <c r="F7400" s="17" t="s">
        <v>72</v>
      </c>
      <c r="G7400" s="17"/>
      <c r="H7400" s="19">
        <v>1.2379</v>
      </c>
      <c r="I7400" s="19"/>
      <c r="J7400" s="17" t="s">
        <v>39</v>
      </c>
      <c r="K7400" s="19">
        <v>83</v>
      </c>
      <c r="L7400" s="91"/>
      <c r="M7400" s="19"/>
      <c r="N7400" s="19" t="s">
        <v>40</v>
      </c>
      <c r="O7400" s="19" t="s">
        <v>84</v>
      </c>
      <c r="P7400" s="19">
        <v>16000</v>
      </c>
      <c r="Q7400" s="19">
        <f>1720+1800+1806+1804+1752+1774+1326+1070+1120</f>
        <v>14172</v>
      </c>
      <c r="R7400" s="19">
        <f t="shared" si="318"/>
        <v>1828</v>
      </c>
      <c r="S7400" s="19">
        <v>2322</v>
      </c>
      <c r="T7400" s="19" t="s">
        <v>42</v>
      </c>
      <c r="U7400" s="102" t="s">
        <v>1716</v>
      </c>
      <c r="V7400" s="186">
        <v>45894</v>
      </c>
      <c r="W7400" s="17" t="s">
        <v>44</v>
      </c>
      <c r="X7400" s="17"/>
      <c r="Y7400" s="68">
        <v>46023</v>
      </c>
      <c r="Z7400" s="17" t="s">
        <v>1717</v>
      </c>
      <c r="AA7400" s="17" t="s">
        <v>46</v>
      </c>
      <c r="AB7400" s="17" t="s">
        <v>1718</v>
      </c>
      <c r="AC7400" s="217">
        <v>46140</v>
      </c>
      <c r="AD7400" s="65">
        <v>1796</v>
      </c>
      <c r="AE7400" s="17" t="s">
        <v>48</v>
      </c>
      <c r="AF7400" s="17" t="s">
        <v>1719</v>
      </c>
      <c r="AG7400" s="17"/>
      <c r="AH7400" s="17"/>
      <c r="AI7400" s="17"/>
      <c r="AJ7400" s="17"/>
      <c r="AK7400" s="17"/>
      <c r="AL7400" s="17"/>
      <c r="AM7400" s="17"/>
      <c r="AN7400" s="17"/>
      <c r="AO7400" s="17"/>
      <c r="AP7400" s="17"/>
      <c r="AQ7400" s="17"/>
      <c r="AR7400" s="17"/>
    </row>
    <row r="7401" s="25" customFormat="1" hidden="1" spans="1:44">
      <c r="A7401" s="17" t="s">
        <v>34</v>
      </c>
      <c r="B7401" s="19">
        <v>1084</v>
      </c>
      <c r="C7401" s="183">
        <v>45898</v>
      </c>
      <c r="D7401" s="17" t="s">
        <v>35</v>
      </c>
      <c r="E7401" s="17" t="s">
        <v>71</v>
      </c>
      <c r="F7401" s="17" t="s">
        <v>72</v>
      </c>
      <c r="G7401" s="17"/>
      <c r="H7401" s="19">
        <v>1.2379</v>
      </c>
      <c r="I7401" s="19"/>
      <c r="J7401" s="17" t="s">
        <v>39</v>
      </c>
      <c r="K7401" s="19">
        <v>85</v>
      </c>
      <c r="L7401" s="91"/>
      <c r="M7401" s="19"/>
      <c r="N7401" s="19" t="s">
        <v>40</v>
      </c>
      <c r="O7401" s="19" t="s">
        <v>84</v>
      </c>
      <c r="P7401" s="19">
        <v>2000</v>
      </c>
      <c r="Q7401" s="19">
        <f>1062+418</f>
        <v>1480</v>
      </c>
      <c r="R7401" s="19">
        <f t="shared" si="318"/>
        <v>520</v>
      </c>
      <c r="S7401" s="19">
        <v>2322</v>
      </c>
      <c r="T7401" s="19" t="s">
        <v>42</v>
      </c>
      <c r="U7401" s="102" t="s">
        <v>1716</v>
      </c>
      <c r="V7401" s="186">
        <v>45894</v>
      </c>
      <c r="W7401" s="17" t="s">
        <v>1720</v>
      </c>
      <c r="X7401" s="17"/>
      <c r="Y7401" s="68">
        <v>46023</v>
      </c>
      <c r="Z7401" s="17" t="s">
        <v>45</v>
      </c>
      <c r="AA7401" s="17" t="s">
        <v>46</v>
      </c>
      <c r="AB7401" s="17" t="s">
        <v>1721</v>
      </c>
      <c r="AC7401" s="217">
        <v>46195</v>
      </c>
      <c r="AD7401" s="65">
        <v>1822</v>
      </c>
      <c r="AE7401" s="17" t="s">
        <v>48</v>
      </c>
      <c r="AF7401" s="17" t="s">
        <v>1719</v>
      </c>
      <c r="AG7401" s="17"/>
      <c r="AH7401" s="17"/>
      <c r="AI7401" s="17"/>
      <c r="AJ7401" s="17"/>
      <c r="AK7401" s="17"/>
      <c r="AL7401" s="17"/>
      <c r="AM7401" s="17"/>
      <c r="AN7401" s="17"/>
      <c r="AO7401" s="17"/>
      <c r="AP7401" s="17"/>
      <c r="AQ7401" s="17"/>
      <c r="AR7401" s="17"/>
    </row>
    <row r="7402" s="25" customFormat="1" hidden="1" spans="1:44">
      <c r="A7402" s="17" t="s">
        <v>34</v>
      </c>
      <c r="B7402" s="19">
        <v>1084</v>
      </c>
      <c r="C7402" s="183">
        <v>45898</v>
      </c>
      <c r="D7402" s="17" t="s">
        <v>35</v>
      </c>
      <c r="E7402" s="17" t="s">
        <v>71</v>
      </c>
      <c r="F7402" s="17" t="s">
        <v>72</v>
      </c>
      <c r="G7402" s="17"/>
      <c r="H7402" s="19">
        <v>1.2379</v>
      </c>
      <c r="I7402" s="19"/>
      <c r="J7402" s="17" t="s">
        <v>39</v>
      </c>
      <c r="K7402" s="19">
        <v>100</v>
      </c>
      <c r="L7402" s="91"/>
      <c r="M7402" s="19"/>
      <c r="N7402" s="19" t="s">
        <v>40</v>
      </c>
      <c r="O7402" s="19" t="s">
        <v>84</v>
      </c>
      <c r="P7402" s="19">
        <v>4000</v>
      </c>
      <c r="Q7402" s="19">
        <f>1166+1094+2260</f>
        <v>4520</v>
      </c>
      <c r="R7402" s="19">
        <f t="shared" si="318"/>
        <v>-520</v>
      </c>
      <c r="S7402" s="19">
        <v>2322</v>
      </c>
      <c r="T7402" s="19" t="s">
        <v>42</v>
      </c>
      <c r="U7402" s="102" t="s">
        <v>1716</v>
      </c>
      <c r="V7402" s="186">
        <v>45894</v>
      </c>
      <c r="W7402" s="17" t="s">
        <v>44</v>
      </c>
      <c r="X7402" s="17"/>
      <c r="Y7402" s="68">
        <v>46023</v>
      </c>
      <c r="Z7402" s="17" t="s">
        <v>1717</v>
      </c>
      <c r="AA7402" s="17" t="s">
        <v>46</v>
      </c>
      <c r="AB7402" s="17" t="s">
        <v>1718</v>
      </c>
      <c r="AC7402" s="217">
        <v>46140</v>
      </c>
      <c r="AD7402" s="65">
        <v>1796</v>
      </c>
      <c r="AE7402" s="17" t="s">
        <v>48</v>
      </c>
      <c r="AF7402" s="17" t="s">
        <v>1719</v>
      </c>
      <c r="AG7402" s="17"/>
      <c r="AH7402" s="17"/>
      <c r="AI7402" s="17"/>
      <c r="AJ7402" s="17"/>
      <c r="AK7402" s="17"/>
      <c r="AL7402" s="17"/>
      <c r="AM7402" s="17"/>
      <c r="AN7402" s="17"/>
      <c r="AO7402" s="17"/>
      <c r="AP7402" s="17"/>
      <c r="AQ7402" s="17"/>
      <c r="AR7402" s="17"/>
    </row>
    <row r="7403" s="25" customFormat="1" hidden="1" spans="1:44">
      <c r="A7403" s="17" t="s">
        <v>34</v>
      </c>
      <c r="B7403" s="19">
        <v>1084</v>
      </c>
      <c r="C7403" s="183">
        <v>45898</v>
      </c>
      <c r="D7403" s="17" t="s">
        <v>35</v>
      </c>
      <c r="E7403" s="17" t="s">
        <v>71</v>
      </c>
      <c r="F7403" s="17" t="s">
        <v>72</v>
      </c>
      <c r="G7403" s="17"/>
      <c r="H7403" s="19">
        <v>1.2379</v>
      </c>
      <c r="I7403" s="19"/>
      <c r="J7403" s="17" t="s">
        <v>39</v>
      </c>
      <c r="K7403" s="19">
        <v>102</v>
      </c>
      <c r="L7403" s="91"/>
      <c r="M7403" s="19"/>
      <c r="N7403" s="19" t="s">
        <v>40</v>
      </c>
      <c r="O7403" s="19" t="s">
        <v>84</v>
      </c>
      <c r="P7403" s="19">
        <v>2000</v>
      </c>
      <c r="Q7403" s="19">
        <v>1560</v>
      </c>
      <c r="R7403" s="19">
        <f t="shared" si="318"/>
        <v>440</v>
      </c>
      <c r="S7403" s="19">
        <v>2322</v>
      </c>
      <c r="T7403" s="19" t="s">
        <v>42</v>
      </c>
      <c r="U7403" s="102" t="s">
        <v>1716</v>
      </c>
      <c r="V7403" s="186">
        <v>45894</v>
      </c>
      <c r="W7403" s="17" t="s">
        <v>1720</v>
      </c>
      <c r="X7403" s="17"/>
      <c r="Y7403" s="68">
        <v>46023</v>
      </c>
      <c r="Z7403" s="17" t="s">
        <v>45</v>
      </c>
      <c r="AA7403" s="17" t="s">
        <v>46</v>
      </c>
      <c r="AB7403" s="17" t="s">
        <v>1721</v>
      </c>
      <c r="AC7403" s="217">
        <v>46195</v>
      </c>
      <c r="AD7403" s="65">
        <v>1822</v>
      </c>
      <c r="AE7403" s="17" t="s">
        <v>390</v>
      </c>
      <c r="AF7403" s="17" t="s">
        <v>1719</v>
      </c>
      <c r="AG7403" s="17"/>
      <c r="AH7403" s="17"/>
      <c r="AI7403" s="17"/>
      <c r="AJ7403" s="17"/>
      <c r="AK7403" s="17"/>
      <c r="AL7403" s="17"/>
      <c r="AM7403" s="17"/>
      <c r="AN7403" s="17"/>
      <c r="AO7403" s="17"/>
      <c r="AP7403" s="17"/>
      <c r="AQ7403" s="17"/>
      <c r="AR7403" s="17"/>
    </row>
    <row r="7404" s="25" customFormat="1" hidden="1" spans="1:44">
      <c r="A7404" s="17" t="s">
        <v>34</v>
      </c>
      <c r="B7404" s="19">
        <v>1084</v>
      </c>
      <c r="C7404" s="183">
        <v>45898</v>
      </c>
      <c r="D7404" s="17" t="s">
        <v>35</v>
      </c>
      <c r="E7404" s="17" t="s">
        <v>71</v>
      </c>
      <c r="F7404" s="17" t="s">
        <v>72</v>
      </c>
      <c r="G7404" s="17"/>
      <c r="H7404" s="19">
        <v>1.2379</v>
      </c>
      <c r="I7404" s="19"/>
      <c r="J7404" s="17" t="s">
        <v>39</v>
      </c>
      <c r="K7404" s="19">
        <v>105</v>
      </c>
      <c r="L7404" s="91"/>
      <c r="M7404" s="19"/>
      <c r="N7404" s="19" t="s">
        <v>40</v>
      </c>
      <c r="O7404" s="19" t="s">
        <v>84</v>
      </c>
      <c r="P7404" s="19">
        <v>2000</v>
      </c>
      <c r="Q7404" s="19">
        <f>1060+1000</f>
        <v>2060</v>
      </c>
      <c r="R7404" s="19">
        <f t="shared" si="318"/>
        <v>-60</v>
      </c>
      <c r="S7404" s="19">
        <f>2322</f>
        <v>2322</v>
      </c>
      <c r="T7404" s="19" t="s">
        <v>42</v>
      </c>
      <c r="U7404" s="102" t="s">
        <v>1716</v>
      </c>
      <c r="V7404" s="186">
        <v>45894</v>
      </c>
      <c r="W7404" s="17" t="s">
        <v>44</v>
      </c>
      <c r="X7404" s="17"/>
      <c r="Y7404" s="68">
        <v>46023</v>
      </c>
      <c r="Z7404" s="17" t="s">
        <v>1717</v>
      </c>
      <c r="AA7404" s="17" t="s">
        <v>46</v>
      </c>
      <c r="AB7404" s="17" t="s">
        <v>1718</v>
      </c>
      <c r="AC7404" s="217">
        <v>46140</v>
      </c>
      <c r="AD7404" s="65">
        <v>1796</v>
      </c>
      <c r="AE7404" s="17" t="s">
        <v>48</v>
      </c>
      <c r="AF7404" s="17" t="s">
        <v>1719</v>
      </c>
      <c r="AG7404" s="17"/>
      <c r="AH7404" s="17"/>
      <c r="AI7404" s="17"/>
      <c r="AJ7404" s="17"/>
      <c r="AK7404" s="17"/>
      <c r="AL7404" s="17"/>
      <c r="AM7404" s="17"/>
      <c r="AN7404" s="17"/>
      <c r="AO7404" s="17"/>
      <c r="AP7404" s="17"/>
      <c r="AQ7404" s="17"/>
      <c r="AR7404" s="17"/>
    </row>
    <row r="7405" s="25" customFormat="1" hidden="1" spans="1:44">
      <c r="A7405" s="17" t="s">
        <v>34</v>
      </c>
      <c r="B7405" s="19">
        <v>1084</v>
      </c>
      <c r="C7405" s="183">
        <v>45898</v>
      </c>
      <c r="D7405" s="17" t="s">
        <v>35</v>
      </c>
      <c r="E7405" s="17" t="s">
        <v>71</v>
      </c>
      <c r="F7405" s="17" t="s">
        <v>72</v>
      </c>
      <c r="G7405" s="17"/>
      <c r="H7405" s="19">
        <v>1.2379</v>
      </c>
      <c r="I7405" s="19"/>
      <c r="J7405" s="17" t="s">
        <v>39</v>
      </c>
      <c r="K7405" s="19">
        <v>123</v>
      </c>
      <c r="L7405" s="91"/>
      <c r="M7405" s="19"/>
      <c r="N7405" s="19" t="s">
        <v>40</v>
      </c>
      <c r="O7405" s="19" t="s">
        <v>84</v>
      </c>
      <c r="P7405" s="19">
        <v>16000</v>
      </c>
      <c r="Q7405" s="19">
        <f>775+1540+1425+1200+1355+1435+1570</f>
        <v>9300</v>
      </c>
      <c r="S7405" s="19">
        <f>2237-33</f>
        <v>2204</v>
      </c>
      <c r="T7405" s="19" t="s">
        <v>42</v>
      </c>
      <c r="U7405" s="102" t="s">
        <v>1716</v>
      </c>
      <c r="V7405" s="186">
        <v>45894</v>
      </c>
      <c r="W7405" s="17" t="s">
        <v>44</v>
      </c>
      <c r="X7405" s="17"/>
      <c r="Y7405" s="68">
        <v>46023</v>
      </c>
      <c r="Z7405" s="17" t="s">
        <v>1717</v>
      </c>
      <c r="AA7405" s="17" t="s">
        <v>46</v>
      </c>
      <c r="AB7405" s="17" t="s">
        <v>1722</v>
      </c>
      <c r="AC7405" s="217">
        <v>46140</v>
      </c>
      <c r="AD7405" s="65">
        <v>1796</v>
      </c>
      <c r="AE7405" s="17" t="s">
        <v>48</v>
      </c>
      <c r="AF7405" s="17" t="s">
        <v>1719</v>
      </c>
      <c r="AG7405" s="17"/>
      <c r="AH7405" s="17"/>
      <c r="AI7405" s="17"/>
      <c r="AJ7405" s="17"/>
      <c r="AK7405" s="17"/>
      <c r="AL7405" s="17"/>
      <c r="AM7405" s="17"/>
      <c r="AN7405" s="17"/>
      <c r="AO7405" s="17"/>
      <c r="AP7405" s="17"/>
      <c r="AQ7405" s="17"/>
      <c r="AR7405" s="17"/>
    </row>
    <row r="7406" s="25" customFormat="1" hidden="1" spans="1:44">
      <c r="A7406" s="17" t="s">
        <v>34</v>
      </c>
      <c r="B7406" s="19">
        <v>1084</v>
      </c>
      <c r="C7406" s="183">
        <v>45898</v>
      </c>
      <c r="D7406" s="17" t="s">
        <v>35</v>
      </c>
      <c r="E7406" s="17" t="s">
        <v>71</v>
      </c>
      <c r="F7406" s="17" t="s">
        <v>72</v>
      </c>
      <c r="G7406" s="17"/>
      <c r="H7406" s="19">
        <v>1.2379</v>
      </c>
      <c r="I7406" s="19"/>
      <c r="J7406" s="17" t="s">
        <v>39</v>
      </c>
      <c r="K7406" s="19">
        <v>123</v>
      </c>
      <c r="L7406" s="91"/>
      <c r="M7406" s="19"/>
      <c r="N7406" s="19" t="s">
        <v>40</v>
      </c>
      <c r="O7406" s="19" t="s">
        <v>84</v>
      </c>
      <c r="P7406" s="19"/>
      <c r="Q7406" s="19">
        <f>1415+1365+1495</f>
        <v>4275</v>
      </c>
      <c r="R7406" s="19">
        <f>+P7405-Q7405-Q7406</f>
        <v>2425</v>
      </c>
      <c r="S7406" s="19">
        <f>2237</f>
        <v>2237</v>
      </c>
      <c r="T7406" s="19" t="s">
        <v>42</v>
      </c>
      <c r="U7406" s="102" t="s">
        <v>1716</v>
      </c>
      <c r="V7406" s="186">
        <v>45894</v>
      </c>
      <c r="W7406" s="17" t="s">
        <v>1720</v>
      </c>
      <c r="X7406" s="17"/>
      <c r="Y7406" s="68">
        <v>46023</v>
      </c>
      <c r="Z7406" s="17" t="s">
        <v>45</v>
      </c>
      <c r="AA7406" s="17" t="s">
        <v>46</v>
      </c>
      <c r="AB7406" s="17" t="s">
        <v>1721</v>
      </c>
      <c r="AC7406" s="217">
        <v>46195</v>
      </c>
      <c r="AD7406" s="65">
        <v>1822</v>
      </c>
      <c r="AE7406" s="17" t="s">
        <v>48</v>
      </c>
      <c r="AF7406" s="17" t="s">
        <v>1719</v>
      </c>
      <c r="AG7406" s="17"/>
      <c r="AH7406" s="17"/>
      <c r="AI7406" s="17"/>
      <c r="AJ7406" s="17"/>
      <c r="AK7406" s="17"/>
      <c r="AL7406" s="17"/>
      <c r="AM7406" s="17"/>
      <c r="AN7406" s="17"/>
      <c r="AO7406" s="17"/>
      <c r="AP7406" s="17"/>
      <c r="AQ7406" s="17"/>
      <c r="AR7406" s="17"/>
    </row>
    <row r="7407" s="25" customFormat="1" hidden="1" spans="1:44">
      <c r="A7407" s="17" t="s">
        <v>34</v>
      </c>
      <c r="B7407" s="19">
        <v>1084</v>
      </c>
      <c r="C7407" s="183">
        <v>45898</v>
      </c>
      <c r="D7407" s="17" t="s">
        <v>35</v>
      </c>
      <c r="E7407" s="17" t="s">
        <v>71</v>
      </c>
      <c r="F7407" s="17" t="s">
        <v>72</v>
      </c>
      <c r="G7407" s="17"/>
      <c r="H7407" s="19">
        <v>1.2379</v>
      </c>
      <c r="I7407" s="19"/>
      <c r="J7407" s="17" t="s">
        <v>39</v>
      </c>
      <c r="K7407" s="19">
        <v>125</v>
      </c>
      <c r="L7407" s="91"/>
      <c r="M7407" s="19"/>
      <c r="N7407" s="19" t="s">
        <v>40</v>
      </c>
      <c r="O7407" s="19" t="s">
        <v>84</v>
      </c>
      <c r="P7407" s="19">
        <v>4000</v>
      </c>
      <c r="Q7407" s="19">
        <f>1510+1660</f>
        <v>3170</v>
      </c>
      <c r="R7407" s="19">
        <f>+P7407-Q7407</f>
        <v>830</v>
      </c>
      <c r="S7407" s="19">
        <f>2237-33</f>
        <v>2204</v>
      </c>
      <c r="T7407" s="19" t="s">
        <v>42</v>
      </c>
      <c r="U7407" s="102" t="s">
        <v>1716</v>
      </c>
      <c r="V7407" s="186">
        <v>45894</v>
      </c>
      <c r="W7407" s="17" t="s">
        <v>44</v>
      </c>
      <c r="X7407" s="17"/>
      <c r="Y7407" s="68">
        <v>46023</v>
      </c>
      <c r="Z7407" s="17" t="s">
        <v>1717</v>
      </c>
      <c r="AA7407" s="17" t="s">
        <v>46</v>
      </c>
      <c r="AB7407" s="17" t="s">
        <v>1722</v>
      </c>
      <c r="AC7407" s="217">
        <v>46140</v>
      </c>
      <c r="AD7407" s="65">
        <v>1796</v>
      </c>
      <c r="AE7407" s="17" t="s">
        <v>48</v>
      </c>
      <c r="AF7407" s="17" t="s">
        <v>1719</v>
      </c>
      <c r="AG7407" s="17"/>
      <c r="AH7407" s="17"/>
      <c r="AI7407" s="17"/>
      <c r="AJ7407" s="17"/>
      <c r="AK7407" s="17"/>
      <c r="AL7407" s="17"/>
      <c r="AM7407" s="17"/>
      <c r="AN7407" s="17"/>
      <c r="AO7407" s="17"/>
      <c r="AP7407" s="17"/>
      <c r="AQ7407" s="17"/>
      <c r="AR7407" s="17"/>
    </row>
    <row r="7408" s="25" customFormat="1" hidden="1" spans="1:44">
      <c r="A7408" s="17" t="s">
        <v>34</v>
      </c>
      <c r="B7408" s="19">
        <v>1098</v>
      </c>
      <c r="C7408" s="183">
        <v>45960</v>
      </c>
      <c r="D7408" s="17" t="s">
        <v>35</v>
      </c>
      <c r="E7408" s="17" t="s">
        <v>36</v>
      </c>
      <c r="F7408" s="17" t="s">
        <v>96</v>
      </c>
      <c r="G7408" s="17"/>
      <c r="H7408" s="19" t="s">
        <v>97</v>
      </c>
      <c r="I7408" s="19"/>
      <c r="J7408" s="17" t="s">
        <v>82</v>
      </c>
      <c r="K7408" s="91">
        <v>310</v>
      </c>
      <c r="L7408" s="91">
        <v>45</v>
      </c>
      <c r="M7408" s="19"/>
      <c r="N7408" s="19" t="s">
        <v>40</v>
      </c>
      <c r="O7408" s="19" t="s">
        <v>98</v>
      </c>
      <c r="P7408" s="444">
        <v>727</v>
      </c>
      <c r="Q7408" s="19">
        <v>763</v>
      </c>
      <c r="R7408" s="19">
        <f>+P7408-Q7408</f>
        <v>-36</v>
      </c>
      <c r="S7408" s="19">
        <v>438</v>
      </c>
      <c r="T7408" s="19" t="s">
        <v>99</v>
      </c>
      <c r="U7408" s="102" t="s">
        <v>1723</v>
      </c>
      <c r="V7408" s="186">
        <v>45960</v>
      </c>
      <c r="W7408" s="17" t="s">
        <v>44</v>
      </c>
      <c r="X7408" s="17"/>
      <c r="Y7408" s="68">
        <v>45992</v>
      </c>
      <c r="Z7408" s="17" t="s">
        <v>45</v>
      </c>
      <c r="AA7408" s="17" t="s">
        <v>46</v>
      </c>
      <c r="AB7408" s="17" t="s">
        <v>1724</v>
      </c>
      <c r="AC7408" s="217">
        <v>46080</v>
      </c>
      <c r="AD7408" s="65">
        <v>1774</v>
      </c>
      <c r="AE7408" s="17" t="s">
        <v>48</v>
      </c>
      <c r="AF7408" s="17"/>
      <c r="AG7408" s="17"/>
      <c r="AH7408" s="17"/>
      <c r="AI7408" s="17"/>
      <c r="AJ7408" s="17"/>
      <c r="AK7408" s="17"/>
      <c r="AL7408" s="17"/>
      <c r="AM7408" s="17"/>
      <c r="AN7408" s="17"/>
      <c r="AO7408" s="17"/>
      <c r="AP7408" s="17"/>
      <c r="AQ7408" s="17"/>
      <c r="AR7408" s="17"/>
    </row>
    <row r="7409" s="25" customFormat="1" hidden="1" spans="1:44">
      <c r="A7409" s="17" t="s">
        <v>34</v>
      </c>
      <c r="B7409" s="19">
        <v>1098</v>
      </c>
      <c r="C7409" s="183">
        <v>45960</v>
      </c>
      <c r="D7409" s="17" t="s">
        <v>35</v>
      </c>
      <c r="E7409" s="17" t="s">
        <v>36</v>
      </c>
      <c r="F7409" s="17" t="s">
        <v>96</v>
      </c>
      <c r="G7409" s="17"/>
      <c r="H7409" s="19" t="s">
        <v>97</v>
      </c>
      <c r="I7409" s="19"/>
      <c r="J7409" s="17" t="s">
        <v>82</v>
      </c>
      <c r="K7409" s="91">
        <v>310</v>
      </c>
      <c r="L7409" s="91">
        <v>50</v>
      </c>
      <c r="M7409" s="19"/>
      <c r="N7409" s="19" t="s">
        <v>40</v>
      </c>
      <c r="O7409" s="19" t="s">
        <v>98</v>
      </c>
      <c r="P7409" s="445">
        <v>1264</v>
      </c>
      <c r="Q7409" s="19">
        <v>1323</v>
      </c>
      <c r="R7409" s="19">
        <f>+P7409-Q7409</f>
        <v>-59</v>
      </c>
      <c r="S7409" s="19">
        <v>438</v>
      </c>
      <c r="T7409" s="19" t="s">
        <v>99</v>
      </c>
      <c r="U7409" s="102" t="s">
        <v>1723</v>
      </c>
      <c r="V7409" s="186">
        <v>45960</v>
      </c>
      <c r="W7409" s="17" t="s">
        <v>44</v>
      </c>
      <c r="X7409" s="17"/>
      <c r="Y7409" s="68">
        <v>45992</v>
      </c>
      <c r="Z7409" s="17" t="s">
        <v>45</v>
      </c>
      <c r="AA7409" s="17" t="s">
        <v>46</v>
      </c>
      <c r="AB7409" s="17" t="s">
        <v>1725</v>
      </c>
      <c r="AC7409" s="217">
        <v>46233</v>
      </c>
      <c r="AD7409" s="65">
        <v>1823</v>
      </c>
      <c r="AE7409" s="17" t="s">
        <v>48</v>
      </c>
      <c r="AF7409" s="17"/>
      <c r="AG7409" s="17"/>
      <c r="AH7409" s="17"/>
      <c r="AI7409" s="17"/>
      <c r="AJ7409" s="17"/>
      <c r="AK7409" s="17"/>
      <c r="AL7409" s="17"/>
      <c r="AM7409" s="17"/>
      <c r="AN7409" s="17"/>
      <c r="AO7409" s="17"/>
      <c r="AP7409" s="17"/>
      <c r="AQ7409" s="17"/>
      <c r="AR7409" s="17"/>
    </row>
    <row r="7410" s="25" customFormat="1" hidden="1" spans="1:44">
      <c r="A7410" s="17" t="s">
        <v>34</v>
      </c>
      <c r="B7410" s="19">
        <v>1098</v>
      </c>
      <c r="C7410" s="183">
        <v>45960</v>
      </c>
      <c r="D7410" s="17" t="s">
        <v>35</v>
      </c>
      <c r="E7410" s="17" t="s">
        <v>36</v>
      </c>
      <c r="F7410" s="17" t="s">
        <v>96</v>
      </c>
      <c r="G7410" s="17"/>
      <c r="H7410" s="19" t="s">
        <v>97</v>
      </c>
      <c r="I7410" s="19"/>
      <c r="J7410" s="17" t="s">
        <v>82</v>
      </c>
      <c r="K7410" s="91">
        <v>310</v>
      </c>
      <c r="L7410" s="91">
        <v>55</v>
      </c>
      <c r="M7410" s="19"/>
      <c r="N7410" s="19" t="s">
        <v>40</v>
      </c>
      <c r="O7410" s="19" t="s">
        <v>98</v>
      </c>
      <c r="P7410" s="445">
        <v>1286</v>
      </c>
      <c r="Q7410" s="19">
        <v>1353</v>
      </c>
      <c r="R7410" s="19">
        <f>+P7410-Q7410</f>
        <v>-67</v>
      </c>
      <c r="S7410" s="19">
        <v>438</v>
      </c>
      <c r="T7410" s="19" t="s">
        <v>99</v>
      </c>
      <c r="U7410" s="102" t="s">
        <v>1723</v>
      </c>
      <c r="V7410" s="186">
        <v>45960</v>
      </c>
      <c r="W7410" s="17" t="s">
        <v>44</v>
      </c>
      <c r="X7410" s="17"/>
      <c r="Y7410" s="68">
        <v>45992</v>
      </c>
      <c r="Z7410" s="17" t="s">
        <v>45</v>
      </c>
      <c r="AA7410" s="17" t="s">
        <v>46</v>
      </c>
      <c r="AB7410" s="17" t="s">
        <v>1724</v>
      </c>
      <c r="AC7410" s="217">
        <v>46080</v>
      </c>
      <c r="AD7410" s="65">
        <v>1774</v>
      </c>
      <c r="AE7410" s="17" t="s">
        <v>48</v>
      </c>
      <c r="AF7410" s="17"/>
      <c r="AG7410" s="17"/>
      <c r="AH7410" s="17"/>
      <c r="AI7410" s="17"/>
      <c r="AJ7410" s="17"/>
      <c r="AK7410" s="17"/>
      <c r="AL7410" s="17"/>
      <c r="AM7410" s="17"/>
      <c r="AN7410" s="17"/>
      <c r="AO7410" s="17"/>
      <c r="AP7410" s="17"/>
      <c r="AQ7410" s="17"/>
      <c r="AR7410" s="17"/>
    </row>
    <row r="7411" s="25" customFormat="1" hidden="1" spans="1:44">
      <c r="A7411" s="17" t="s">
        <v>34</v>
      </c>
      <c r="B7411" s="19">
        <v>1098</v>
      </c>
      <c r="C7411" s="183">
        <v>45960</v>
      </c>
      <c r="D7411" s="17" t="s">
        <v>35</v>
      </c>
      <c r="E7411" s="17" t="s">
        <v>36</v>
      </c>
      <c r="F7411" s="17" t="s">
        <v>96</v>
      </c>
      <c r="G7411" s="17"/>
      <c r="H7411" s="19" t="s">
        <v>97</v>
      </c>
      <c r="I7411" s="19"/>
      <c r="J7411" s="17" t="s">
        <v>82</v>
      </c>
      <c r="K7411" s="91">
        <v>360</v>
      </c>
      <c r="L7411" s="91">
        <v>60</v>
      </c>
      <c r="M7411" s="19"/>
      <c r="N7411" s="19" t="s">
        <v>40</v>
      </c>
      <c r="O7411" s="19" t="s">
        <v>98</v>
      </c>
      <c r="P7411" s="445">
        <v>1738</v>
      </c>
      <c r="Q7411" s="19">
        <v>1191</v>
      </c>
      <c r="S7411" s="19">
        <v>438</v>
      </c>
      <c r="T7411" s="19" t="s">
        <v>99</v>
      </c>
      <c r="U7411" s="102" t="s">
        <v>1723</v>
      </c>
      <c r="V7411" s="186">
        <v>45960</v>
      </c>
      <c r="W7411" s="17" t="s">
        <v>44</v>
      </c>
      <c r="X7411" s="17"/>
      <c r="Y7411" s="68">
        <v>45992</v>
      </c>
      <c r="Z7411" s="17" t="s">
        <v>45</v>
      </c>
      <c r="AA7411" s="17" t="s">
        <v>46</v>
      </c>
      <c r="AB7411" s="17" t="s">
        <v>1724</v>
      </c>
      <c r="AC7411" s="217">
        <v>46080</v>
      </c>
      <c r="AD7411" s="65">
        <v>1774</v>
      </c>
      <c r="AE7411" s="17" t="s">
        <v>48</v>
      </c>
      <c r="AF7411" s="17"/>
      <c r="AG7411" s="17"/>
      <c r="AH7411" s="17"/>
      <c r="AI7411" s="17"/>
      <c r="AJ7411" s="17"/>
      <c r="AK7411" s="17"/>
      <c r="AL7411" s="17"/>
      <c r="AM7411" s="17"/>
      <c r="AN7411" s="17"/>
      <c r="AO7411" s="17"/>
      <c r="AP7411" s="17"/>
      <c r="AQ7411" s="17"/>
      <c r="AR7411" s="17"/>
    </row>
    <row r="7412" s="25" customFormat="1" hidden="1" spans="1:44">
      <c r="A7412" s="17" t="s">
        <v>34</v>
      </c>
      <c r="B7412" s="19">
        <v>1098</v>
      </c>
      <c r="C7412" s="183">
        <v>45960</v>
      </c>
      <c r="D7412" s="17" t="s">
        <v>35</v>
      </c>
      <c r="E7412" s="17" t="s">
        <v>36</v>
      </c>
      <c r="F7412" s="17" t="s">
        <v>96</v>
      </c>
      <c r="G7412" s="17"/>
      <c r="H7412" s="19" t="s">
        <v>97</v>
      </c>
      <c r="I7412" s="19"/>
      <c r="J7412" s="17" t="s">
        <v>82</v>
      </c>
      <c r="K7412" s="91">
        <v>360</v>
      </c>
      <c r="L7412" s="91">
        <v>60</v>
      </c>
      <c r="M7412" s="19"/>
      <c r="N7412" s="19" t="s">
        <v>40</v>
      </c>
      <c r="O7412" s="19" t="s">
        <v>98</v>
      </c>
      <c r="P7412" s="445"/>
      <c r="Q7412" s="19">
        <v>613</v>
      </c>
      <c r="R7412" s="19">
        <f>+P7411-Q7411-Q7412</f>
        <v>-66</v>
      </c>
      <c r="S7412" s="19">
        <v>438</v>
      </c>
      <c r="T7412" s="19" t="s">
        <v>99</v>
      </c>
      <c r="U7412" s="102" t="s">
        <v>1723</v>
      </c>
      <c r="V7412" s="186">
        <v>45960</v>
      </c>
      <c r="W7412" s="17" t="s">
        <v>44</v>
      </c>
      <c r="X7412" s="17"/>
      <c r="Y7412" s="68">
        <v>45992</v>
      </c>
      <c r="Z7412" s="17" t="s">
        <v>45</v>
      </c>
      <c r="AA7412" s="17" t="s">
        <v>46</v>
      </c>
      <c r="AB7412" s="17" t="s">
        <v>1725</v>
      </c>
      <c r="AC7412" s="217">
        <v>46233</v>
      </c>
      <c r="AD7412" s="65">
        <v>1823</v>
      </c>
      <c r="AE7412" s="17" t="s">
        <v>48</v>
      </c>
      <c r="AF7412" s="17"/>
      <c r="AG7412" s="17"/>
      <c r="AH7412" s="17"/>
      <c r="AI7412" s="17"/>
      <c r="AJ7412" s="17"/>
      <c r="AK7412" s="17"/>
      <c r="AL7412" s="17"/>
      <c r="AM7412" s="17"/>
      <c r="AN7412" s="17"/>
      <c r="AO7412" s="17"/>
      <c r="AP7412" s="17"/>
      <c r="AQ7412" s="17"/>
      <c r="AR7412" s="17"/>
    </row>
    <row r="7413" s="25" customFormat="1" hidden="1" spans="1:44">
      <c r="A7413" s="17" t="s">
        <v>34</v>
      </c>
      <c r="B7413" s="19">
        <v>1098</v>
      </c>
      <c r="C7413" s="183">
        <v>45960</v>
      </c>
      <c r="D7413" s="17" t="s">
        <v>35</v>
      </c>
      <c r="E7413" s="17" t="s">
        <v>36</v>
      </c>
      <c r="F7413" s="17" t="s">
        <v>96</v>
      </c>
      <c r="G7413" s="17"/>
      <c r="H7413" s="19" t="s">
        <v>97</v>
      </c>
      <c r="I7413" s="19"/>
      <c r="J7413" s="17" t="s">
        <v>82</v>
      </c>
      <c r="K7413" s="91">
        <v>310</v>
      </c>
      <c r="L7413" s="91">
        <v>65</v>
      </c>
      <c r="M7413" s="19"/>
      <c r="N7413" s="19" t="s">
        <v>40</v>
      </c>
      <c r="O7413" s="19" t="s">
        <v>98</v>
      </c>
      <c r="P7413" s="445">
        <v>1458</v>
      </c>
      <c r="Q7413" s="19">
        <v>1440</v>
      </c>
      <c r="R7413" s="19">
        <f t="shared" ref="R7413:R7444" si="320">+P7413-Q7413</f>
        <v>18</v>
      </c>
      <c r="S7413" s="19">
        <v>438</v>
      </c>
      <c r="T7413" s="19" t="s">
        <v>99</v>
      </c>
      <c r="U7413" s="102" t="s">
        <v>1723</v>
      </c>
      <c r="V7413" s="186">
        <v>45960</v>
      </c>
      <c r="W7413" s="17" t="s">
        <v>44</v>
      </c>
      <c r="X7413" s="17"/>
      <c r="Y7413" s="68">
        <v>45992</v>
      </c>
      <c r="Z7413" s="17" t="s">
        <v>45</v>
      </c>
      <c r="AA7413" s="17" t="s">
        <v>46</v>
      </c>
      <c r="AB7413" s="17" t="s">
        <v>1724</v>
      </c>
      <c r="AC7413" s="217">
        <v>46080</v>
      </c>
      <c r="AD7413" s="65">
        <v>1774</v>
      </c>
      <c r="AE7413" s="17" t="s">
        <v>48</v>
      </c>
      <c r="AF7413" s="17"/>
      <c r="AG7413" s="17"/>
      <c r="AH7413" s="17"/>
      <c r="AI7413" s="17"/>
      <c r="AJ7413" s="17"/>
      <c r="AK7413" s="17"/>
      <c r="AL7413" s="17"/>
      <c r="AM7413" s="17"/>
      <c r="AN7413" s="17"/>
      <c r="AO7413" s="17"/>
      <c r="AP7413" s="17"/>
      <c r="AQ7413" s="17"/>
      <c r="AR7413" s="17"/>
    </row>
    <row r="7414" s="25" customFormat="1" hidden="1" spans="1:44">
      <c r="A7414" s="17" t="s">
        <v>34</v>
      </c>
      <c r="B7414" s="19">
        <v>1098</v>
      </c>
      <c r="C7414" s="183">
        <v>45960</v>
      </c>
      <c r="D7414" s="17" t="s">
        <v>35</v>
      </c>
      <c r="E7414" s="17" t="s">
        <v>36</v>
      </c>
      <c r="F7414" s="17" t="s">
        <v>96</v>
      </c>
      <c r="G7414" s="17"/>
      <c r="H7414" s="19" t="s">
        <v>97</v>
      </c>
      <c r="I7414" s="19"/>
      <c r="J7414" s="17" t="s">
        <v>82</v>
      </c>
      <c r="K7414" s="91">
        <v>410</v>
      </c>
      <c r="L7414" s="91">
        <v>65</v>
      </c>
      <c r="M7414" s="19"/>
      <c r="N7414" s="19" t="s">
        <v>40</v>
      </c>
      <c r="O7414" s="19" t="s">
        <v>98</v>
      </c>
      <c r="P7414" s="445">
        <v>1368</v>
      </c>
      <c r="Q7414" s="19">
        <v>1417</v>
      </c>
      <c r="R7414" s="19">
        <f t="shared" si="320"/>
        <v>-49</v>
      </c>
      <c r="S7414" s="19">
        <v>438</v>
      </c>
      <c r="T7414" s="19" t="s">
        <v>99</v>
      </c>
      <c r="U7414" s="102" t="s">
        <v>1723</v>
      </c>
      <c r="V7414" s="186">
        <v>45960</v>
      </c>
      <c r="W7414" s="17" t="s">
        <v>44</v>
      </c>
      <c r="X7414" s="17"/>
      <c r="Y7414" s="68">
        <v>45992</v>
      </c>
      <c r="Z7414" s="17" t="s">
        <v>45</v>
      </c>
      <c r="AA7414" s="17" t="s">
        <v>46</v>
      </c>
      <c r="AB7414" s="17" t="s">
        <v>1725</v>
      </c>
      <c r="AC7414" s="217">
        <v>46233</v>
      </c>
      <c r="AD7414" s="65">
        <v>1823</v>
      </c>
      <c r="AE7414" s="17" t="s">
        <v>48</v>
      </c>
      <c r="AF7414" s="17"/>
      <c r="AG7414" s="17"/>
      <c r="AH7414" s="17"/>
      <c r="AI7414" s="17"/>
      <c r="AJ7414" s="17"/>
      <c r="AK7414" s="17"/>
      <c r="AL7414" s="17"/>
      <c r="AM7414" s="17"/>
      <c r="AN7414" s="17"/>
      <c r="AO7414" s="17"/>
      <c r="AP7414" s="17"/>
      <c r="AQ7414" s="17"/>
      <c r="AR7414" s="17"/>
    </row>
    <row r="7415" s="25" customFormat="1" hidden="1" spans="1:44">
      <c r="A7415" s="17" t="s">
        <v>34</v>
      </c>
      <c r="B7415" s="19">
        <v>1098</v>
      </c>
      <c r="C7415" s="183">
        <v>45960</v>
      </c>
      <c r="D7415" s="17" t="s">
        <v>35</v>
      </c>
      <c r="E7415" s="17" t="s">
        <v>36</v>
      </c>
      <c r="F7415" s="17" t="s">
        <v>96</v>
      </c>
      <c r="G7415" s="17"/>
      <c r="H7415" s="19" t="s">
        <v>97</v>
      </c>
      <c r="I7415" s="19"/>
      <c r="J7415" s="17" t="s">
        <v>82</v>
      </c>
      <c r="K7415" s="91">
        <v>260</v>
      </c>
      <c r="L7415" s="91">
        <v>70</v>
      </c>
      <c r="M7415" s="19"/>
      <c r="N7415" s="19" t="s">
        <v>40</v>
      </c>
      <c r="O7415" s="19" t="s">
        <v>98</v>
      </c>
      <c r="P7415" s="445">
        <v>1167</v>
      </c>
      <c r="Q7415" s="19">
        <v>1148</v>
      </c>
      <c r="R7415" s="19">
        <f t="shared" si="320"/>
        <v>19</v>
      </c>
      <c r="S7415" s="19">
        <v>438</v>
      </c>
      <c r="T7415" s="19" t="s">
        <v>99</v>
      </c>
      <c r="U7415" s="102" t="s">
        <v>1723</v>
      </c>
      <c r="V7415" s="186">
        <v>45960</v>
      </c>
      <c r="W7415" s="17" t="s">
        <v>44</v>
      </c>
      <c r="X7415" s="17"/>
      <c r="Y7415" s="68">
        <v>45992</v>
      </c>
      <c r="Z7415" s="17" t="s">
        <v>45</v>
      </c>
      <c r="AA7415" s="17" t="s">
        <v>46</v>
      </c>
      <c r="AB7415" s="17" t="s">
        <v>1725</v>
      </c>
      <c r="AC7415" s="217">
        <v>46233</v>
      </c>
      <c r="AD7415" s="65">
        <v>1823</v>
      </c>
      <c r="AE7415" s="17" t="s">
        <v>48</v>
      </c>
      <c r="AF7415" s="17"/>
      <c r="AG7415" s="17"/>
      <c r="AH7415" s="17"/>
      <c r="AI7415" s="17"/>
      <c r="AJ7415" s="17"/>
      <c r="AK7415" s="17"/>
      <c r="AL7415" s="17"/>
      <c r="AM7415" s="17"/>
      <c r="AN7415" s="17"/>
      <c r="AO7415" s="17"/>
      <c r="AP7415" s="17"/>
      <c r="AQ7415" s="17"/>
      <c r="AR7415" s="17"/>
    </row>
    <row r="7416" s="25" customFormat="1" hidden="1" spans="1:44">
      <c r="A7416" s="17" t="s">
        <v>34</v>
      </c>
      <c r="B7416" s="19">
        <v>1098</v>
      </c>
      <c r="C7416" s="183">
        <v>45960</v>
      </c>
      <c r="D7416" s="17" t="s">
        <v>35</v>
      </c>
      <c r="E7416" s="17" t="s">
        <v>36</v>
      </c>
      <c r="F7416" s="17" t="s">
        <v>96</v>
      </c>
      <c r="G7416" s="17"/>
      <c r="H7416" s="19" t="s">
        <v>97</v>
      </c>
      <c r="I7416" s="19"/>
      <c r="J7416" s="17" t="s">
        <v>82</v>
      </c>
      <c r="K7416" s="91">
        <v>520</v>
      </c>
      <c r="L7416" s="91">
        <v>75</v>
      </c>
      <c r="M7416" s="19"/>
      <c r="N7416" s="19" t="s">
        <v>40</v>
      </c>
      <c r="O7416" s="19" t="s">
        <v>98</v>
      </c>
      <c r="P7416" s="445">
        <v>2107</v>
      </c>
      <c r="Q7416" s="19">
        <v>2086</v>
      </c>
      <c r="R7416" s="19">
        <f t="shared" si="320"/>
        <v>21</v>
      </c>
      <c r="S7416" s="19">
        <v>438</v>
      </c>
      <c r="T7416" s="19" t="s">
        <v>99</v>
      </c>
      <c r="U7416" s="102" t="s">
        <v>1723</v>
      </c>
      <c r="V7416" s="186">
        <v>45960</v>
      </c>
      <c r="W7416" s="17" t="s">
        <v>44</v>
      </c>
      <c r="X7416" s="17"/>
      <c r="Y7416" s="68">
        <v>45992</v>
      </c>
      <c r="Z7416" s="17" t="s">
        <v>45</v>
      </c>
      <c r="AA7416" s="17" t="s">
        <v>46</v>
      </c>
      <c r="AB7416" s="17" t="s">
        <v>1724</v>
      </c>
      <c r="AC7416" s="217">
        <v>46080</v>
      </c>
      <c r="AD7416" s="65">
        <v>1774</v>
      </c>
      <c r="AE7416" s="17" t="s">
        <v>48</v>
      </c>
      <c r="AF7416" s="17"/>
      <c r="AG7416" s="17"/>
      <c r="AH7416" s="17"/>
      <c r="AI7416" s="17"/>
      <c r="AJ7416" s="17"/>
      <c r="AK7416" s="17"/>
      <c r="AL7416" s="17"/>
      <c r="AM7416" s="17"/>
      <c r="AN7416" s="17"/>
      <c r="AO7416" s="17"/>
      <c r="AP7416" s="17"/>
      <c r="AQ7416" s="17"/>
      <c r="AR7416" s="17"/>
    </row>
    <row r="7417" s="25" customFormat="1" hidden="1" spans="1:44">
      <c r="A7417" s="17" t="s">
        <v>34</v>
      </c>
      <c r="B7417" s="19">
        <v>1098</v>
      </c>
      <c r="C7417" s="183">
        <v>45960</v>
      </c>
      <c r="D7417" s="17" t="s">
        <v>35</v>
      </c>
      <c r="E7417" s="17" t="s">
        <v>36</v>
      </c>
      <c r="F7417" s="17" t="s">
        <v>96</v>
      </c>
      <c r="G7417" s="17"/>
      <c r="H7417" s="19" t="s">
        <v>97</v>
      </c>
      <c r="I7417" s="19"/>
      <c r="J7417" s="17" t="s">
        <v>82</v>
      </c>
      <c r="K7417" s="91">
        <v>310</v>
      </c>
      <c r="L7417" s="91">
        <v>80</v>
      </c>
      <c r="M7417" s="19"/>
      <c r="N7417" s="19" t="s">
        <v>40</v>
      </c>
      <c r="O7417" s="19" t="s">
        <v>98</v>
      </c>
      <c r="P7417" s="445">
        <v>1382</v>
      </c>
      <c r="Q7417" s="19">
        <v>1441</v>
      </c>
      <c r="R7417" s="19">
        <f t="shared" si="320"/>
        <v>-59</v>
      </c>
      <c r="S7417" s="19">
        <v>438</v>
      </c>
      <c r="T7417" s="19" t="s">
        <v>99</v>
      </c>
      <c r="U7417" s="102" t="s">
        <v>1723</v>
      </c>
      <c r="V7417" s="186">
        <v>45960</v>
      </c>
      <c r="W7417" s="17" t="s">
        <v>44</v>
      </c>
      <c r="X7417" s="17"/>
      <c r="Y7417" s="68">
        <v>45992</v>
      </c>
      <c r="Z7417" s="17" t="s">
        <v>45</v>
      </c>
      <c r="AA7417" s="17" t="s">
        <v>46</v>
      </c>
      <c r="AB7417" s="17" t="s">
        <v>1725</v>
      </c>
      <c r="AC7417" s="217">
        <v>46233</v>
      </c>
      <c r="AD7417" s="65">
        <v>1823</v>
      </c>
      <c r="AE7417" s="17" t="s">
        <v>48</v>
      </c>
      <c r="AF7417" s="17"/>
      <c r="AG7417" s="17"/>
      <c r="AH7417" s="17"/>
      <c r="AI7417" s="17"/>
      <c r="AJ7417" s="17"/>
      <c r="AK7417" s="17"/>
      <c r="AL7417" s="17"/>
      <c r="AM7417" s="17"/>
      <c r="AN7417" s="17"/>
      <c r="AO7417" s="17"/>
      <c r="AP7417" s="17"/>
      <c r="AQ7417" s="17"/>
      <c r="AR7417" s="17"/>
    </row>
    <row r="7418" s="25" customFormat="1" hidden="1" spans="1:44">
      <c r="A7418" s="17" t="s">
        <v>34</v>
      </c>
      <c r="B7418" s="19">
        <v>1098</v>
      </c>
      <c r="C7418" s="183">
        <v>45960</v>
      </c>
      <c r="D7418" s="17" t="s">
        <v>35</v>
      </c>
      <c r="E7418" s="17" t="s">
        <v>36</v>
      </c>
      <c r="F7418" s="17" t="s">
        <v>96</v>
      </c>
      <c r="G7418" s="17"/>
      <c r="H7418" s="19" t="s">
        <v>97</v>
      </c>
      <c r="I7418" s="19"/>
      <c r="J7418" s="17" t="s">
        <v>82</v>
      </c>
      <c r="K7418" s="91">
        <v>260</v>
      </c>
      <c r="L7418" s="91">
        <v>85</v>
      </c>
      <c r="M7418" s="19"/>
      <c r="N7418" s="19" t="s">
        <v>40</v>
      </c>
      <c r="O7418" s="19" t="s">
        <v>98</v>
      </c>
      <c r="P7418" s="445">
        <v>1265</v>
      </c>
      <c r="Q7418" s="19">
        <v>1284</v>
      </c>
      <c r="R7418" s="19">
        <f t="shared" si="320"/>
        <v>-19</v>
      </c>
      <c r="S7418" s="19">
        <v>438</v>
      </c>
      <c r="T7418" s="19" t="s">
        <v>99</v>
      </c>
      <c r="U7418" s="102" t="s">
        <v>1723</v>
      </c>
      <c r="V7418" s="186">
        <v>45960</v>
      </c>
      <c r="W7418" s="17" t="s">
        <v>44</v>
      </c>
      <c r="X7418" s="17"/>
      <c r="Y7418" s="68">
        <v>45992</v>
      </c>
      <c r="Z7418" s="17" t="s">
        <v>45</v>
      </c>
      <c r="AA7418" s="17" t="s">
        <v>46</v>
      </c>
      <c r="AB7418" s="17" t="s">
        <v>1724</v>
      </c>
      <c r="AC7418" s="217">
        <v>46080</v>
      </c>
      <c r="AD7418" s="65">
        <v>1774</v>
      </c>
      <c r="AE7418" s="17" t="s">
        <v>48</v>
      </c>
      <c r="AF7418" s="17"/>
      <c r="AG7418" s="17"/>
      <c r="AH7418" s="17"/>
      <c r="AI7418" s="17"/>
      <c r="AJ7418" s="17"/>
      <c r="AK7418" s="17"/>
      <c r="AL7418" s="17"/>
      <c r="AM7418" s="17"/>
      <c r="AN7418" s="17"/>
      <c r="AO7418" s="17"/>
      <c r="AP7418" s="17"/>
      <c r="AQ7418" s="17"/>
      <c r="AR7418" s="17"/>
    </row>
    <row r="7419" s="25" customFormat="1" hidden="1" spans="1:44">
      <c r="A7419" s="17" t="s">
        <v>34</v>
      </c>
      <c r="B7419" s="19">
        <v>1098</v>
      </c>
      <c r="C7419" s="183">
        <v>45960</v>
      </c>
      <c r="D7419" s="17" t="s">
        <v>35</v>
      </c>
      <c r="E7419" s="17" t="s">
        <v>36</v>
      </c>
      <c r="F7419" s="17" t="s">
        <v>96</v>
      </c>
      <c r="G7419" s="17"/>
      <c r="H7419" s="19" t="s">
        <v>97</v>
      </c>
      <c r="I7419" s="19"/>
      <c r="J7419" s="17" t="s">
        <v>82</v>
      </c>
      <c r="K7419" s="91">
        <v>410</v>
      </c>
      <c r="L7419" s="91">
        <v>85</v>
      </c>
      <c r="M7419" s="19"/>
      <c r="N7419" s="19" t="s">
        <v>40</v>
      </c>
      <c r="O7419" s="19" t="s">
        <v>98</v>
      </c>
      <c r="P7419" s="445">
        <v>967</v>
      </c>
      <c r="Q7419" s="19">
        <v>973</v>
      </c>
      <c r="R7419" s="19">
        <f t="shared" si="320"/>
        <v>-6</v>
      </c>
      <c r="S7419" s="19">
        <v>438</v>
      </c>
      <c r="T7419" s="19" t="s">
        <v>99</v>
      </c>
      <c r="U7419" s="102" t="s">
        <v>1723</v>
      </c>
      <c r="V7419" s="186">
        <v>45960</v>
      </c>
      <c r="W7419" s="17" t="s">
        <v>44</v>
      </c>
      <c r="X7419" s="17"/>
      <c r="Y7419" s="68">
        <v>45992</v>
      </c>
      <c r="Z7419" s="17" t="s">
        <v>45</v>
      </c>
      <c r="AA7419" s="17" t="s">
        <v>46</v>
      </c>
      <c r="AB7419" s="17" t="s">
        <v>1725</v>
      </c>
      <c r="AC7419" s="217">
        <v>46233</v>
      </c>
      <c r="AD7419" s="65">
        <v>1823</v>
      </c>
      <c r="AE7419" s="17" t="s">
        <v>48</v>
      </c>
      <c r="AF7419" s="17"/>
      <c r="AG7419" s="17"/>
      <c r="AH7419" s="17"/>
      <c r="AI7419" s="17"/>
      <c r="AJ7419" s="17"/>
      <c r="AK7419" s="17"/>
      <c r="AL7419" s="17"/>
      <c r="AM7419" s="17"/>
      <c r="AN7419" s="17"/>
      <c r="AO7419" s="17"/>
      <c r="AP7419" s="17"/>
      <c r="AQ7419" s="17"/>
      <c r="AR7419" s="17"/>
    </row>
    <row r="7420" s="25" customFormat="1" hidden="1" spans="1:44">
      <c r="A7420" s="17" t="s">
        <v>34</v>
      </c>
      <c r="B7420" s="19">
        <v>1098</v>
      </c>
      <c r="C7420" s="183">
        <v>45960</v>
      </c>
      <c r="D7420" s="17" t="s">
        <v>35</v>
      </c>
      <c r="E7420" s="17" t="s">
        <v>36</v>
      </c>
      <c r="F7420" s="17" t="s">
        <v>96</v>
      </c>
      <c r="G7420" s="17"/>
      <c r="H7420" s="19" t="s">
        <v>97</v>
      </c>
      <c r="I7420" s="19"/>
      <c r="J7420" s="17" t="s">
        <v>82</v>
      </c>
      <c r="K7420" s="91">
        <v>260</v>
      </c>
      <c r="L7420" s="91">
        <v>90</v>
      </c>
      <c r="M7420" s="19"/>
      <c r="N7420" s="19" t="s">
        <v>40</v>
      </c>
      <c r="O7420" s="19" t="s">
        <v>98</v>
      </c>
      <c r="P7420" s="445">
        <v>1227</v>
      </c>
      <c r="Q7420" s="19">
        <f>639+625</f>
        <v>1264</v>
      </c>
      <c r="R7420" s="19">
        <f t="shared" si="320"/>
        <v>-37</v>
      </c>
      <c r="S7420" s="19">
        <v>438</v>
      </c>
      <c r="T7420" s="19" t="s">
        <v>99</v>
      </c>
      <c r="U7420" s="102" t="s">
        <v>1723</v>
      </c>
      <c r="V7420" s="186">
        <v>45960</v>
      </c>
      <c r="W7420" s="17" t="s">
        <v>44</v>
      </c>
      <c r="X7420" s="17"/>
      <c r="Y7420" s="68">
        <v>45992</v>
      </c>
      <c r="Z7420" s="17" t="s">
        <v>45</v>
      </c>
      <c r="AA7420" s="17" t="s">
        <v>46</v>
      </c>
      <c r="AB7420" s="17" t="s">
        <v>1724</v>
      </c>
      <c r="AC7420" s="217">
        <v>46080</v>
      </c>
      <c r="AD7420" s="65">
        <v>1774</v>
      </c>
      <c r="AE7420" s="17" t="s">
        <v>48</v>
      </c>
      <c r="AF7420" s="17"/>
      <c r="AG7420" s="17"/>
      <c r="AH7420" s="17"/>
      <c r="AI7420" s="17"/>
      <c r="AJ7420" s="17"/>
      <c r="AK7420" s="17"/>
      <c r="AL7420" s="17"/>
      <c r="AM7420" s="17"/>
      <c r="AN7420" s="17"/>
      <c r="AO7420" s="17"/>
      <c r="AP7420" s="17"/>
      <c r="AQ7420" s="17"/>
      <c r="AR7420" s="17"/>
    </row>
    <row r="7421" s="25" customFormat="1" hidden="1" spans="1:44">
      <c r="A7421" s="17" t="s">
        <v>34</v>
      </c>
      <c r="B7421" s="19">
        <v>1098</v>
      </c>
      <c r="C7421" s="183">
        <v>45960</v>
      </c>
      <c r="D7421" s="17" t="s">
        <v>35</v>
      </c>
      <c r="E7421" s="17" t="s">
        <v>36</v>
      </c>
      <c r="F7421" s="17" t="s">
        <v>96</v>
      </c>
      <c r="G7421" s="17"/>
      <c r="H7421" s="19" t="s">
        <v>97</v>
      </c>
      <c r="I7421" s="19"/>
      <c r="J7421" s="17" t="s">
        <v>82</v>
      </c>
      <c r="K7421" s="91">
        <v>310</v>
      </c>
      <c r="L7421" s="91">
        <v>90</v>
      </c>
      <c r="M7421" s="19"/>
      <c r="N7421" s="19" t="s">
        <v>40</v>
      </c>
      <c r="O7421" s="19" t="s">
        <v>98</v>
      </c>
      <c r="P7421" s="445">
        <v>1434</v>
      </c>
      <c r="Q7421" s="19">
        <v>1462</v>
      </c>
      <c r="R7421" s="19">
        <f t="shared" si="320"/>
        <v>-28</v>
      </c>
      <c r="S7421" s="19">
        <v>438</v>
      </c>
      <c r="T7421" s="19" t="s">
        <v>99</v>
      </c>
      <c r="U7421" s="102" t="s">
        <v>1723</v>
      </c>
      <c r="V7421" s="186">
        <v>45960</v>
      </c>
      <c r="W7421" s="17" t="s">
        <v>44</v>
      </c>
      <c r="X7421" s="17"/>
      <c r="Y7421" s="68">
        <v>45992</v>
      </c>
      <c r="Z7421" s="17" t="s">
        <v>45</v>
      </c>
      <c r="AA7421" s="17" t="s">
        <v>46</v>
      </c>
      <c r="AB7421" s="17" t="s">
        <v>1725</v>
      </c>
      <c r="AC7421" s="217">
        <v>46233</v>
      </c>
      <c r="AD7421" s="65">
        <v>1823</v>
      </c>
      <c r="AE7421" s="17" t="s">
        <v>48</v>
      </c>
      <c r="AF7421" s="17"/>
      <c r="AG7421" s="17"/>
      <c r="AH7421" s="17"/>
      <c r="AI7421" s="17"/>
      <c r="AJ7421" s="17"/>
      <c r="AK7421" s="17"/>
      <c r="AL7421" s="17"/>
      <c r="AM7421" s="17"/>
      <c r="AN7421" s="17"/>
      <c r="AO7421" s="17"/>
      <c r="AP7421" s="17"/>
      <c r="AQ7421" s="17"/>
      <c r="AR7421" s="17"/>
    </row>
    <row r="7422" s="25" customFormat="1" hidden="1" spans="1:44">
      <c r="A7422" s="17" t="s">
        <v>34</v>
      </c>
      <c r="B7422" s="19">
        <v>1098</v>
      </c>
      <c r="C7422" s="183">
        <v>45960</v>
      </c>
      <c r="D7422" s="17" t="s">
        <v>35</v>
      </c>
      <c r="E7422" s="17" t="s">
        <v>36</v>
      </c>
      <c r="F7422" s="17" t="s">
        <v>96</v>
      </c>
      <c r="G7422" s="17"/>
      <c r="H7422" s="19" t="s">
        <v>97</v>
      </c>
      <c r="I7422" s="19"/>
      <c r="J7422" s="17" t="s">
        <v>82</v>
      </c>
      <c r="K7422" s="91">
        <v>410</v>
      </c>
      <c r="L7422" s="91">
        <v>95</v>
      </c>
      <c r="M7422" s="19"/>
      <c r="N7422" s="19" t="s">
        <v>40</v>
      </c>
      <c r="O7422" s="19" t="s">
        <v>98</v>
      </c>
      <c r="P7422" s="445">
        <v>1085</v>
      </c>
      <c r="Q7422" s="19">
        <v>1105</v>
      </c>
      <c r="R7422" s="19">
        <f t="shared" si="320"/>
        <v>-20</v>
      </c>
      <c r="S7422" s="19">
        <v>438</v>
      </c>
      <c r="T7422" s="19" t="s">
        <v>99</v>
      </c>
      <c r="U7422" s="102" t="s">
        <v>1723</v>
      </c>
      <c r="V7422" s="186">
        <v>45960</v>
      </c>
      <c r="W7422" s="17" t="s">
        <v>44</v>
      </c>
      <c r="X7422" s="17"/>
      <c r="Y7422" s="68">
        <v>45992</v>
      </c>
      <c r="Z7422" s="17" t="s">
        <v>45</v>
      </c>
      <c r="AA7422" s="17" t="s">
        <v>46</v>
      </c>
      <c r="AB7422" s="17" t="s">
        <v>1724</v>
      </c>
      <c r="AC7422" s="217">
        <v>46080</v>
      </c>
      <c r="AD7422" s="65">
        <v>1774</v>
      </c>
      <c r="AE7422" s="17" t="s">
        <v>48</v>
      </c>
      <c r="AF7422" s="17"/>
      <c r="AG7422" s="17"/>
      <c r="AH7422" s="17"/>
      <c r="AI7422" s="17"/>
      <c r="AJ7422" s="17"/>
      <c r="AK7422" s="17"/>
      <c r="AL7422" s="17"/>
      <c r="AM7422" s="17"/>
      <c r="AN7422" s="17"/>
      <c r="AO7422" s="17"/>
      <c r="AP7422" s="17"/>
      <c r="AQ7422" s="17"/>
      <c r="AR7422" s="17"/>
    </row>
    <row r="7423" s="25" customFormat="1" hidden="1" spans="1:44">
      <c r="A7423" s="17" t="s">
        <v>34</v>
      </c>
      <c r="B7423" s="19">
        <v>1098</v>
      </c>
      <c r="C7423" s="183">
        <v>45960</v>
      </c>
      <c r="D7423" s="17" t="s">
        <v>35</v>
      </c>
      <c r="E7423" s="17" t="s">
        <v>36</v>
      </c>
      <c r="F7423" s="17" t="s">
        <v>96</v>
      </c>
      <c r="G7423" s="17"/>
      <c r="H7423" s="19" t="s">
        <v>97</v>
      </c>
      <c r="I7423" s="19"/>
      <c r="J7423" s="17" t="s">
        <v>82</v>
      </c>
      <c r="K7423" s="91">
        <v>510</v>
      </c>
      <c r="L7423" s="91">
        <v>95</v>
      </c>
      <c r="M7423" s="19"/>
      <c r="N7423" s="19" t="s">
        <v>40</v>
      </c>
      <c r="O7423" s="19" t="s">
        <v>98</v>
      </c>
      <c r="P7423" s="445">
        <v>1286</v>
      </c>
      <c r="Q7423" s="19">
        <v>1305</v>
      </c>
      <c r="R7423" s="19">
        <f t="shared" si="320"/>
        <v>-19</v>
      </c>
      <c r="S7423" s="19">
        <v>438</v>
      </c>
      <c r="T7423" s="19" t="s">
        <v>99</v>
      </c>
      <c r="U7423" s="102" t="s">
        <v>1723</v>
      </c>
      <c r="V7423" s="186">
        <v>45960</v>
      </c>
      <c r="W7423" s="17" t="s">
        <v>44</v>
      </c>
      <c r="X7423" s="17"/>
      <c r="Y7423" s="68">
        <v>45992</v>
      </c>
      <c r="Z7423" s="17" t="s">
        <v>45</v>
      </c>
      <c r="AA7423" s="17" t="s">
        <v>46</v>
      </c>
      <c r="AB7423" s="17" t="s">
        <v>1725</v>
      </c>
      <c r="AC7423" s="217">
        <v>46233</v>
      </c>
      <c r="AD7423" s="65">
        <v>1823</v>
      </c>
      <c r="AE7423" s="17" t="s">
        <v>48</v>
      </c>
      <c r="AF7423" s="17"/>
      <c r="AG7423" s="17"/>
      <c r="AH7423" s="17"/>
      <c r="AI7423" s="17"/>
      <c r="AJ7423" s="17"/>
      <c r="AK7423" s="17"/>
      <c r="AL7423" s="17"/>
      <c r="AM7423" s="17"/>
      <c r="AN7423" s="17"/>
      <c r="AO7423" s="17"/>
      <c r="AP7423" s="17"/>
      <c r="AQ7423" s="17"/>
      <c r="AR7423" s="17"/>
    </row>
    <row r="7424" s="25" customFormat="1" hidden="1" spans="1:44">
      <c r="A7424" s="17" t="s">
        <v>34</v>
      </c>
      <c r="B7424" s="19">
        <v>1098</v>
      </c>
      <c r="C7424" s="183">
        <v>45960</v>
      </c>
      <c r="D7424" s="17" t="s">
        <v>35</v>
      </c>
      <c r="E7424" s="17" t="s">
        <v>36</v>
      </c>
      <c r="F7424" s="17" t="s">
        <v>96</v>
      </c>
      <c r="G7424" s="17"/>
      <c r="H7424" s="19" t="s">
        <v>97</v>
      </c>
      <c r="I7424" s="19"/>
      <c r="J7424" s="17" t="s">
        <v>82</v>
      </c>
      <c r="K7424" s="91">
        <v>520</v>
      </c>
      <c r="L7424" s="91">
        <v>95</v>
      </c>
      <c r="M7424" s="19"/>
      <c r="N7424" s="19" t="s">
        <v>40</v>
      </c>
      <c r="O7424" s="19" t="s">
        <v>98</v>
      </c>
      <c r="P7424" s="445">
        <v>1212</v>
      </c>
      <c r="Q7424" s="19">
        <v>1226</v>
      </c>
      <c r="R7424" s="19">
        <f t="shared" si="320"/>
        <v>-14</v>
      </c>
      <c r="S7424" s="19">
        <v>438</v>
      </c>
      <c r="T7424" s="19" t="s">
        <v>99</v>
      </c>
      <c r="U7424" s="102" t="s">
        <v>1723</v>
      </c>
      <c r="V7424" s="186">
        <v>45960</v>
      </c>
      <c r="W7424" s="17" t="s">
        <v>44</v>
      </c>
      <c r="X7424" s="17"/>
      <c r="Y7424" s="68">
        <v>45992</v>
      </c>
      <c r="Z7424" s="17" t="s">
        <v>45</v>
      </c>
      <c r="AA7424" s="17" t="s">
        <v>46</v>
      </c>
      <c r="AB7424" s="17" t="s">
        <v>1725</v>
      </c>
      <c r="AC7424" s="217">
        <v>46233</v>
      </c>
      <c r="AD7424" s="65">
        <v>1823</v>
      </c>
      <c r="AE7424" s="17" t="s">
        <v>48</v>
      </c>
      <c r="AF7424" s="17"/>
      <c r="AG7424" s="17"/>
      <c r="AH7424" s="17"/>
      <c r="AI7424" s="17"/>
      <c r="AJ7424" s="17"/>
      <c r="AK7424" s="17"/>
      <c r="AL7424" s="17"/>
      <c r="AM7424" s="17"/>
      <c r="AN7424" s="17"/>
      <c r="AO7424" s="17"/>
      <c r="AP7424" s="17"/>
      <c r="AQ7424" s="17"/>
      <c r="AR7424" s="17"/>
    </row>
    <row r="7425" s="25" customFormat="1" hidden="1" spans="1:44">
      <c r="A7425" s="17" t="s">
        <v>34</v>
      </c>
      <c r="B7425" s="19">
        <v>1098</v>
      </c>
      <c r="C7425" s="183">
        <v>45960</v>
      </c>
      <c r="D7425" s="17" t="s">
        <v>35</v>
      </c>
      <c r="E7425" s="17" t="s">
        <v>36</v>
      </c>
      <c r="F7425" s="17" t="s">
        <v>96</v>
      </c>
      <c r="G7425" s="17"/>
      <c r="H7425" s="19" t="s">
        <v>97</v>
      </c>
      <c r="I7425" s="19"/>
      <c r="J7425" s="17" t="s">
        <v>82</v>
      </c>
      <c r="K7425" s="91">
        <v>310</v>
      </c>
      <c r="L7425" s="91">
        <v>100</v>
      </c>
      <c r="M7425" s="19"/>
      <c r="N7425" s="19" t="s">
        <v>40</v>
      </c>
      <c r="O7425" s="19" t="s">
        <v>98</v>
      </c>
      <c r="P7425" s="445">
        <v>3146</v>
      </c>
      <c r="Q7425" s="19">
        <f>861+764+780+809</f>
        <v>3214</v>
      </c>
      <c r="R7425" s="19">
        <f t="shared" si="320"/>
        <v>-68</v>
      </c>
      <c r="S7425" s="19">
        <v>438</v>
      </c>
      <c r="T7425" s="19" t="s">
        <v>99</v>
      </c>
      <c r="U7425" s="102" t="s">
        <v>1723</v>
      </c>
      <c r="V7425" s="186">
        <v>45960</v>
      </c>
      <c r="W7425" s="17" t="s">
        <v>44</v>
      </c>
      <c r="X7425" s="17"/>
      <c r="Y7425" s="68">
        <v>45992</v>
      </c>
      <c r="Z7425" s="17" t="s">
        <v>45</v>
      </c>
      <c r="AA7425" s="17" t="s">
        <v>46</v>
      </c>
      <c r="AB7425" s="17" t="s">
        <v>1724</v>
      </c>
      <c r="AC7425" s="217">
        <v>46080</v>
      </c>
      <c r="AD7425" s="65">
        <v>1774</v>
      </c>
      <c r="AE7425" s="17" t="s">
        <v>48</v>
      </c>
      <c r="AF7425" s="17"/>
      <c r="AG7425" s="17"/>
      <c r="AH7425" s="17"/>
      <c r="AI7425" s="17"/>
      <c r="AJ7425" s="17"/>
      <c r="AK7425" s="17"/>
      <c r="AL7425" s="17"/>
      <c r="AM7425" s="17"/>
      <c r="AN7425" s="17"/>
      <c r="AO7425" s="17"/>
      <c r="AP7425" s="17"/>
      <c r="AQ7425" s="17"/>
      <c r="AR7425" s="17"/>
    </row>
    <row r="7426" s="25" customFormat="1" hidden="1" spans="1:44">
      <c r="A7426" s="17" t="s">
        <v>34</v>
      </c>
      <c r="B7426" s="19">
        <v>1098</v>
      </c>
      <c r="C7426" s="183">
        <v>45960</v>
      </c>
      <c r="D7426" s="17" t="s">
        <v>35</v>
      </c>
      <c r="E7426" s="17" t="s">
        <v>36</v>
      </c>
      <c r="F7426" s="17" t="s">
        <v>96</v>
      </c>
      <c r="G7426" s="17"/>
      <c r="H7426" s="19" t="s">
        <v>97</v>
      </c>
      <c r="I7426" s="19"/>
      <c r="J7426" s="17" t="s">
        <v>82</v>
      </c>
      <c r="K7426" s="91">
        <v>410</v>
      </c>
      <c r="L7426" s="91">
        <v>105</v>
      </c>
      <c r="M7426" s="19"/>
      <c r="N7426" s="19" t="s">
        <v>40</v>
      </c>
      <c r="O7426" s="19" t="s">
        <v>98</v>
      </c>
      <c r="P7426" s="445">
        <v>1091</v>
      </c>
      <c r="Q7426" s="19">
        <v>1115</v>
      </c>
      <c r="R7426" s="19">
        <f t="shared" si="320"/>
        <v>-24</v>
      </c>
      <c r="S7426" s="19">
        <v>438</v>
      </c>
      <c r="T7426" s="19" t="s">
        <v>99</v>
      </c>
      <c r="U7426" s="102" t="s">
        <v>1723</v>
      </c>
      <c r="V7426" s="186">
        <v>45960</v>
      </c>
      <c r="W7426" s="17" t="s">
        <v>44</v>
      </c>
      <c r="X7426" s="17"/>
      <c r="Y7426" s="68">
        <v>45992</v>
      </c>
      <c r="Z7426" s="17" t="s">
        <v>45</v>
      </c>
      <c r="AA7426" s="17" t="s">
        <v>46</v>
      </c>
      <c r="AB7426" s="17" t="s">
        <v>1724</v>
      </c>
      <c r="AC7426" s="217">
        <v>46080</v>
      </c>
      <c r="AD7426" s="65">
        <v>1774</v>
      </c>
      <c r="AE7426" s="17" t="s">
        <v>48</v>
      </c>
      <c r="AF7426" s="17"/>
      <c r="AG7426" s="17"/>
      <c r="AH7426" s="17"/>
      <c r="AI7426" s="17"/>
      <c r="AJ7426" s="17"/>
      <c r="AK7426" s="17"/>
      <c r="AL7426" s="17"/>
      <c r="AM7426" s="17"/>
      <c r="AN7426" s="17"/>
      <c r="AO7426" s="17"/>
      <c r="AP7426" s="17"/>
      <c r="AQ7426" s="17"/>
      <c r="AR7426" s="17"/>
    </row>
    <row r="7427" s="25" customFormat="1" hidden="1" spans="1:44">
      <c r="A7427" s="17" t="s">
        <v>34</v>
      </c>
      <c r="B7427" s="19">
        <v>1098</v>
      </c>
      <c r="C7427" s="183">
        <v>45960</v>
      </c>
      <c r="D7427" s="17" t="s">
        <v>35</v>
      </c>
      <c r="E7427" s="17" t="s">
        <v>36</v>
      </c>
      <c r="F7427" s="17" t="s">
        <v>96</v>
      </c>
      <c r="G7427" s="17"/>
      <c r="H7427" s="19" t="s">
        <v>97</v>
      </c>
      <c r="I7427" s="19"/>
      <c r="J7427" s="17" t="s">
        <v>82</v>
      </c>
      <c r="K7427" s="91">
        <v>510</v>
      </c>
      <c r="L7427" s="91">
        <v>105</v>
      </c>
      <c r="M7427" s="19"/>
      <c r="N7427" s="19" t="s">
        <v>40</v>
      </c>
      <c r="O7427" s="19" t="s">
        <v>98</v>
      </c>
      <c r="P7427" s="445">
        <v>1509</v>
      </c>
      <c r="Q7427" s="19">
        <v>1530</v>
      </c>
      <c r="R7427" s="19">
        <f t="shared" si="320"/>
        <v>-21</v>
      </c>
      <c r="S7427" s="19">
        <v>438</v>
      </c>
      <c r="T7427" s="19" t="s">
        <v>99</v>
      </c>
      <c r="U7427" s="102" t="s">
        <v>1723</v>
      </c>
      <c r="V7427" s="186">
        <v>45960</v>
      </c>
      <c r="W7427" s="17" t="s">
        <v>44</v>
      </c>
      <c r="X7427" s="17"/>
      <c r="Y7427" s="68">
        <v>45992</v>
      </c>
      <c r="Z7427" s="17" t="s">
        <v>45</v>
      </c>
      <c r="AA7427" s="17" t="s">
        <v>46</v>
      </c>
      <c r="AB7427" s="17" t="s">
        <v>1724</v>
      </c>
      <c r="AC7427" s="217">
        <v>46080</v>
      </c>
      <c r="AD7427" s="65">
        <v>1774</v>
      </c>
      <c r="AE7427" s="17" t="s">
        <v>48</v>
      </c>
      <c r="AF7427" s="17"/>
      <c r="AG7427" s="17"/>
      <c r="AH7427" s="17"/>
      <c r="AI7427" s="17"/>
      <c r="AJ7427" s="17"/>
      <c r="AK7427" s="17"/>
      <c r="AL7427" s="17"/>
      <c r="AM7427" s="17"/>
      <c r="AN7427" s="17"/>
      <c r="AO7427" s="17"/>
      <c r="AP7427" s="17"/>
      <c r="AQ7427" s="17"/>
      <c r="AR7427" s="17"/>
    </row>
    <row r="7428" s="25" customFormat="1" hidden="1" spans="1:44">
      <c r="A7428" s="17" t="s">
        <v>34</v>
      </c>
      <c r="B7428" s="19">
        <v>1098</v>
      </c>
      <c r="C7428" s="183">
        <v>45960</v>
      </c>
      <c r="D7428" s="17" t="s">
        <v>35</v>
      </c>
      <c r="E7428" s="17" t="s">
        <v>36</v>
      </c>
      <c r="F7428" s="17" t="s">
        <v>96</v>
      </c>
      <c r="G7428" s="17"/>
      <c r="H7428" s="19" t="s">
        <v>97</v>
      </c>
      <c r="I7428" s="19"/>
      <c r="J7428" s="17" t="s">
        <v>82</v>
      </c>
      <c r="K7428" s="91">
        <v>520</v>
      </c>
      <c r="L7428" s="91">
        <v>105</v>
      </c>
      <c r="M7428" s="19"/>
      <c r="N7428" s="19" t="s">
        <v>40</v>
      </c>
      <c r="O7428" s="19" t="s">
        <v>98</v>
      </c>
      <c r="P7428" s="445">
        <v>2811</v>
      </c>
      <c r="Q7428" s="19">
        <v>2896</v>
      </c>
      <c r="R7428" s="19">
        <f t="shared" si="320"/>
        <v>-85</v>
      </c>
      <c r="S7428" s="19">
        <v>438</v>
      </c>
      <c r="T7428" s="19" t="s">
        <v>99</v>
      </c>
      <c r="U7428" s="102" t="s">
        <v>1723</v>
      </c>
      <c r="V7428" s="186">
        <v>45960</v>
      </c>
      <c r="W7428" s="17" t="s">
        <v>44</v>
      </c>
      <c r="X7428" s="17"/>
      <c r="Y7428" s="68">
        <v>45992</v>
      </c>
      <c r="Z7428" s="17" t="s">
        <v>45</v>
      </c>
      <c r="AA7428" s="17" t="s">
        <v>46</v>
      </c>
      <c r="AB7428" s="17" t="s">
        <v>1725</v>
      </c>
      <c r="AC7428" s="217">
        <v>46233</v>
      </c>
      <c r="AD7428" s="65">
        <v>1823</v>
      </c>
      <c r="AE7428" s="17" t="s">
        <v>48</v>
      </c>
      <c r="AF7428" s="17"/>
      <c r="AG7428" s="17"/>
      <c r="AH7428" s="17"/>
      <c r="AI7428" s="17"/>
      <c r="AJ7428" s="17"/>
      <c r="AK7428" s="17"/>
      <c r="AL7428" s="17"/>
      <c r="AM7428" s="17"/>
      <c r="AN7428" s="17"/>
      <c r="AO7428" s="17"/>
      <c r="AP7428" s="17"/>
      <c r="AQ7428" s="17"/>
      <c r="AR7428" s="17"/>
    </row>
    <row r="7429" s="25" customFormat="1" hidden="1" spans="1:44">
      <c r="A7429" s="17" t="s">
        <v>34</v>
      </c>
      <c r="B7429" s="19">
        <v>1098</v>
      </c>
      <c r="C7429" s="183">
        <v>45960</v>
      </c>
      <c r="D7429" s="17" t="s">
        <v>35</v>
      </c>
      <c r="E7429" s="17" t="s">
        <v>36</v>
      </c>
      <c r="F7429" s="17" t="s">
        <v>96</v>
      </c>
      <c r="G7429" s="17"/>
      <c r="H7429" s="19" t="s">
        <v>97</v>
      </c>
      <c r="I7429" s="19"/>
      <c r="J7429" s="17" t="s">
        <v>82</v>
      </c>
      <c r="K7429" s="91">
        <v>310</v>
      </c>
      <c r="L7429" s="91">
        <v>110</v>
      </c>
      <c r="M7429" s="19"/>
      <c r="N7429" s="19" t="s">
        <v>40</v>
      </c>
      <c r="O7429" s="19" t="s">
        <v>98</v>
      </c>
      <c r="P7429" s="445">
        <v>3664</v>
      </c>
      <c r="Q7429" s="19">
        <v>3792</v>
      </c>
      <c r="R7429" s="19">
        <f t="shared" si="320"/>
        <v>-128</v>
      </c>
      <c r="S7429" s="19">
        <v>438</v>
      </c>
      <c r="T7429" s="19" t="s">
        <v>99</v>
      </c>
      <c r="U7429" s="102" t="s">
        <v>1723</v>
      </c>
      <c r="V7429" s="186">
        <v>45960</v>
      </c>
      <c r="W7429" s="17" t="s">
        <v>44</v>
      </c>
      <c r="X7429" s="17"/>
      <c r="Y7429" s="68">
        <v>45992</v>
      </c>
      <c r="Z7429" s="17" t="s">
        <v>45</v>
      </c>
      <c r="AA7429" s="17" t="s">
        <v>46</v>
      </c>
      <c r="AB7429" s="17" t="s">
        <v>1724</v>
      </c>
      <c r="AC7429" s="217">
        <v>46080</v>
      </c>
      <c r="AD7429" s="65">
        <v>1774</v>
      </c>
      <c r="AE7429" s="17" t="s">
        <v>48</v>
      </c>
      <c r="AF7429" s="17"/>
      <c r="AG7429" s="17"/>
      <c r="AH7429" s="17"/>
      <c r="AI7429" s="17"/>
      <c r="AJ7429" s="17"/>
      <c r="AK7429" s="17"/>
      <c r="AL7429" s="17"/>
      <c r="AM7429" s="17"/>
      <c r="AN7429" s="17"/>
      <c r="AO7429" s="17"/>
      <c r="AP7429" s="17"/>
      <c r="AQ7429" s="17"/>
      <c r="AR7429" s="17"/>
    </row>
    <row r="7430" s="25" customFormat="1" hidden="1" spans="1:44">
      <c r="A7430" s="17" t="s">
        <v>34</v>
      </c>
      <c r="B7430" s="19">
        <v>1098</v>
      </c>
      <c r="C7430" s="183">
        <v>45960</v>
      </c>
      <c r="D7430" s="17" t="s">
        <v>35</v>
      </c>
      <c r="E7430" s="17" t="s">
        <v>36</v>
      </c>
      <c r="F7430" s="17" t="s">
        <v>96</v>
      </c>
      <c r="G7430" s="17"/>
      <c r="H7430" s="19" t="s">
        <v>97</v>
      </c>
      <c r="I7430" s="19"/>
      <c r="J7430" s="17" t="s">
        <v>82</v>
      </c>
      <c r="K7430" s="91">
        <v>410</v>
      </c>
      <c r="L7430" s="91">
        <v>120</v>
      </c>
      <c r="M7430" s="19"/>
      <c r="N7430" s="19" t="s">
        <v>40</v>
      </c>
      <c r="O7430" s="19" t="s">
        <v>98</v>
      </c>
      <c r="P7430" s="445">
        <v>1166</v>
      </c>
      <c r="Q7430" s="19">
        <v>1186</v>
      </c>
      <c r="R7430" s="19">
        <f t="shared" si="320"/>
        <v>-20</v>
      </c>
      <c r="S7430" s="19">
        <v>438</v>
      </c>
      <c r="T7430" s="19" t="s">
        <v>99</v>
      </c>
      <c r="U7430" s="102" t="s">
        <v>1723</v>
      </c>
      <c r="V7430" s="186">
        <v>45960</v>
      </c>
      <c r="W7430" s="17" t="s">
        <v>44</v>
      </c>
      <c r="X7430" s="17"/>
      <c r="Y7430" s="68">
        <v>45992</v>
      </c>
      <c r="Z7430" s="17" t="s">
        <v>45</v>
      </c>
      <c r="AA7430" s="17" t="s">
        <v>46</v>
      </c>
      <c r="AB7430" s="17" t="s">
        <v>1726</v>
      </c>
      <c r="AC7430" s="217">
        <v>46110</v>
      </c>
      <c r="AD7430" s="65">
        <v>1786</v>
      </c>
      <c r="AE7430" s="17" t="s">
        <v>48</v>
      </c>
      <c r="AF7430" s="17"/>
      <c r="AG7430" s="17"/>
      <c r="AH7430" s="17"/>
      <c r="AI7430" s="17"/>
      <c r="AJ7430" s="17"/>
      <c r="AK7430" s="17"/>
      <c r="AL7430" s="17"/>
      <c r="AM7430" s="17"/>
      <c r="AN7430" s="17"/>
      <c r="AO7430" s="17"/>
      <c r="AP7430" s="17"/>
      <c r="AQ7430" s="17"/>
      <c r="AR7430" s="17"/>
    </row>
    <row r="7431" s="25" customFormat="1" hidden="1" spans="1:44">
      <c r="A7431" s="17" t="s">
        <v>34</v>
      </c>
      <c r="B7431" s="19">
        <v>1098</v>
      </c>
      <c r="C7431" s="183">
        <v>45960</v>
      </c>
      <c r="D7431" s="17" t="s">
        <v>35</v>
      </c>
      <c r="E7431" s="17" t="s">
        <v>36</v>
      </c>
      <c r="F7431" s="17" t="s">
        <v>96</v>
      </c>
      <c r="G7431" s="17"/>
      <c r="H7431" s="19" t="s">
        <v>97</v>
      </c>
      <c r="I7431" s="19"/>
      <c r="J7431" s="17" t="s">
        <v>82</v>
      </c>
      <c r="K7431" s="91">
        <v>520</v>
      </c>
      <c r="L7431" s="91">
        <v>120</v>
      </c>
      <c r="M7431" s="19"/>
      <c r="N7431" s="19" t="s">
        <v>40</v>
      </c>
      <c r="O7431" s="19" t="s">
        <v>98</v>
      </c>
      <c r="P7431" s="445">
        <v>1607</v>
      </c>
      <c r="Q7431" s="19">
        <v>1637</v>
      </c>
      <c r="R7431" s="19">
        <f t="shared" si="320"/>
        <v>-30</v>
      </c>
      <c r="S7431" s="19">
        <v>438</v>
      </c>
      <c r="T7431" s="19" t="s">
        <v>99</v>
      </c>
      <c r="U7431" s="102" t="s">
        <v>1723</v>
      </c>
      <c r="V7431" s="186">
        <v>45960</v>
      </c>
      <c r="W7431" s="17" t="s">
        <v>44</v>
      </c>
      <c r="X7431" s="17"/>
      <c r="Y7431" s="68">
        <v>45992</v>
      </c>
      <c r="Z7431" s="17" t="s">
        <v>45</v>
      </c>
      <c r="AA7431" s="17" t="s">
        <v>46</v>
      </c>
      <c r="AB7431" s="17" t="s">
        <v>1727</v>
      </c>
      <c r="AC7431" s="217">
        <v>46172</v>
      </c>
      <c r="AD7431" s="65">
        <v>1803</v>
      </c>
      <c r="AE7431" s="17" t="s">
        <v>48</v>
      </c>
      <c r="AF7431" s="17"/>
      <c r="AG7431" s="17"/>
      <c r="AH7431" s="17"/>
      <c r="AI7431" s="17"/>
      <c r="AJ7431" s="17"/>
      <c r="AK7431" s="17"/>
      <c r="AL7431" s="17"/>
      <c r="AM7431" s="17"/>
      <c r="AN7431" s="17"/>
      <c r="AO7431" s="17"/>
      <c r="AP7431" s="17"/>
      <c r="AQ7431" s="17"/>
      <c r="AR7431" s="17"/>
    </row>
    <row r="7432" s="25" customFormat="1" hidden="1" spans="1:44">
      <c r="A7432" s="17" t="s">
        <v>34</v>
      </c>
      <c r="B7432" s="19">
        <v>1098</v>
      </c>
      <c r="C7432" s="183">
        <v>45960</v>
      </c>
      <c r="D7432" s="17" t="s">
        <v>35</v>
      </c>
      <c r="E7432" s="17" t="s">
        <v>36</v>
      </c>
      <c r="F7432" s="17" t="s">
        <v>96</v>
      </c>
      <c r="G7432" s="17"/>
      <c r="H7432" s="19" t="s">
        <v>97</v>
      </c>
      <c r="I7432" s="19"/>
      <c r="J7432" s="17" t="s">
        <v>82</v>
      </c>
      <c r="K7432" s="91">
        <v>310</v>
      </c>
      <c r="L7432" s="91">
        <v>130</v>
      </c>
      <c r="M7432" s="19"/>
      <c r="N7432" s="19" t="s">
        <v>40</v>
      </c>
      <c r="O7432" s="19" t="s">
        <v>98</v>
      </c>
      <c r="P7432" s="445">
        <v>4298</v>
      </c>
      <c r="Q7432" s="19">
        <f>2308+1038+1010</f>
        <v>4356</v>
      </c>
      <c r="R7432" s="19">
        <f t="shared" si="320"/>
        <v>-58</v>
      </c>
      <c r="S7432" s="19">
        <v>438</v>
      </c>
      <c r="T7432" s="19" t="s">
        <v>99</v>
      </c>
      <c r="U7432" s="102" t="s">
        <v>1723</v>
      </c>
      <c r="V7432" s="186">
        <v>45960</v>
      </c>
      <c r="W7432" s="17" t="s">
        <v>44</v>
      </c>
      <c r="X7432" s="17"/>
      <c r="Y7432" s="68">
        <v>45992</v>
      </c>
      <c r="Z7432" s="17" t="s">
        <v>45</v>
      </c>
      <c r="AA7432" s="17" t="s">
        <v>46</v>
      </c>
      <c r="AB7432" s="17" t="s">
        <v>1726</v>
      </c>
      <c r="AC7432" s="217">
        <v>46110</v>
      </c>
      <c r="AD7432" s="65">
        <v>1786</v>
      </c>
      <c r="AE7432" s="17" t="s">
        <v>48</v>
      </c>
      <c r="AF7432" s="17"/>
      <c r="AG7432" s="17"/>
      <c r="AH7432" s="17"/>
      <c r="AI7432" s="17"/>
      <c r="AJ7432" s="17"/>
      <c r="AK7432" s="17"/>
      <c r="AL7432" s="17"/>
      <c r="AM7432" s="17"/>
      <c r="AN7432" s="17"/>
      <c r="AO7432" s="17"/>
      <c r="AP7432" s="17"/>
      <c r="AQ7432" s="17"/>
      <c r="AR7432" s="17"/>
    </row>
    <row r="7433" s="25" customFormat="1" hidden="1" spans="1:44">
      <c r="A7433" s="17" t="s">
        <v>34</v>
      </c>
      <c r="B7433" s="19">
        <v>1098</v>
      </c>
      <c r="C7433" s="183">
        <v>45960</v>
      </c>
      <c r="D7433" s="17" t="s">
        <v>35</v>
      </c>
      <c r="E7433" s="17" t="s">
        <v>36</v>
      </c>
      <c r="F7433" s="17" t="s">
        <v>96</v>
      </c>
      <c r="G7433" s="17"/>
      <c r="H7433" s="19" t="s">
        <v>97</v>
      </c>
      <c r="I7433" s="19"/>
      <c r="J7433" s="17" t="s">
        <v>82</v>
      </c>
      <c r="K7433" s="91">
        <v>310</v>
      </c>
      <c r="L7433" s="91">
        <v>140</v>
      </c>
      <c r="M7433" s="19"/>
      <c r="N7433" s="19" t="s">
        <v>40</v>
      </c>
      <c r="O7433" s="19" t="s">
        <v>98</v>
      </c>
      <c r="P7433" s="445">
        <v>2060</v>
      </c>
      <c r="Q7433" s="19">
        <v>2054</v>
      </c>
      <c r="R7433" s="19">
        <f t="shared" si="320"/>
        <v>6</v>
      </c>
      <c r="S7433" s="19">
        <v>438</v>
      </c>
      <c r="T7433" s="19" t="s">
        <v>99</v>
      </c>
      <c r="U7433" s="102" t="s">
        <v>1723</v>
      </c>
      <c r="V7433" s="186">
        <v>45960</v>
      </c>
      <c r="W7433" s="17" t="s">
        <v>44</v>
      </c>
      <c r="X7433" s="17"/>
      <c r="Y7433" s="68">
        <v>45992</v>
      </c>
      <c r="Z7433" s="17" t="s">
        <v>45</v>
      </c>
      <c r="AA7433" s="17" t="s">
        <v>46</v>
      </c>
      <c r="AB7433" s="17" t="s">
        <v>1725</v>
      </c>
      <c r="AC7433" s="217">
        <v>46233</v>
      </c>
      <c r="AD7433" s="65">
        <v>1823</v>
      </c>
      <c r="AE7433" s="17" t="s">
        <v>48</v>
      </c>
      <c r="AF7433" s="17"/>
      <c r="AG7433" s="17"/>
      <c r="AH7433" s="17"/>
      <c r="AI7433" s="17"/>
      <c r="AJ7433" s="17"/>
      <c r="AK7433" s="17"/>
      <c r="AL7433" s="17"/>
      <c r="AM7433" s="17"/>
      <c r="AN7433" s="17"/>
      <c r="AO7433" s="17"/>
      <c r="AP7433" s="17"/>
      <c r="AQ7433" s="17"/>
      <c r="AR7433" s="17"/>
    </row>
    <row r="7434" s="25" customFormat="1" hidden="1" spans="1:44">
      <c r="A7434" s="17" t="s">
        <v>34</v>
      </c>
      <c r="B7434" s="19">
        <v>1098</v>
      </c>
      <c r="C7434" s="183">
        <v>45960</v>
      </c>
      <c r="D7434" s="17" t="s">
        <v>35</v>
      </c>
      <c r="E7434" s="17" t="s">
        <v>36</v>
      </c>
      <c r="F7434" s="17" t="s">
        <v>96</v>
      </c>
      <c r="G7434" s="17"/>
      <c r="H7434" s="19" t="s">
        <v>97</v>
      </c>
      <c r="I7434" s="19"/>
      <c r="J7434" s="17" t="s">
        <v>82</v>
      </c>
      <c r="K7434" s="91">
        <v>310</v>
      </c>
      <c r="L7434" s="91">
        <v>140</v>
      </c>
      <c r="M7434" s="19"/>
      <c r="N7434" s="19" t="s">
        <v>40</v>
      </c>
      <c r="O7434" s="19" t="s">
        <v>98</v>
      </c>
      <c r="P7434" s="445">
        <v>1129</v>
      </c>
      <c r="Q7434" s="19">
        <v>1125</v>
      </c>
      <c r="R7434" s="19">
        <f t="shared" si="320"/>
        <v>4</v>
      </c>
      <c r="S7434" s="19">
        <v>438</v>
      </c>
      <c r="T7434" s="19" t="s">
        <v>99</v>
      </c>
      <c r="U7434" s="102" t="s">
        <v>1723</v>
      </c>
      <c r="V7434" s="186">
        <v>45960</v>
      </c>
      <c r="W7434" s="17" t="s">
        <v>44</v>
      </c>
      <c r="X7434" s="17"/>
      <c r="Y7434" s="68">
        <v>45992</v>
      </c>
      <c r="Z7434" s="17" t="s">
        <v>45</v>
      </c>
      <c r="AA7434" s="17" t="s">
        <v>46</v>
      </c>
      <c r="AB7434" s="17" t="s">
        <v>1725</v>
      </c>
      <c r="AC7434" s="217">
        <v>46233</v>
      </c>
      <c r="AD7434" s="65">
        <v>1823</v>
      </c>
      <c r="AE7434" s="17" t="s">
        <v>48</v>
      </c>
      <c r="AF7434" s="17"/>
      <c r="AG7434" s="17"/>
      <c r="AH7434" s="17"/>
      <c r="AI7434" s="17"/>
      <c r="AJ7434" s="17"/>
      <c r="AK7434" s="17"/>
      <c r="AL7434" s="17"/>
      <c r="AM7434" s="17"/>
      <c r="AN7434" s="17"/>
      <c r="AO7434" s="17"/>
      <c r="AP7434" s="17"/>
      <c r="AQ7434" s="17"/>
      <c r="AR7434" s="17"/>
    </row>
    <row r="7435" s="25" customFormat="1" hidden="1" spans="1:44">
      <c r="A7435" s="17" t="s">
        <v>34</v>
      </c>
      <c r="B7435" s="19">
        <v>1098</v>
      </c>
      <c r="C7435" s="183">
        <v>45960</v>
      </c>
      <c r="D7435" s="17" t="s">
        <v>35</v>
      </c>
      <c r="E7435" s="17" t="s">
        <v>36</v>
      </c>
      <c r="F7435" s="17" t="s">
        <v>96</v>
      </c>
      <c r="G7435" s="17"/>
      <c r="H7435" s="19" t="s">
        <v>97</v>
      </c>
      <c r="I7435" s="19"/>
      <c r="J7435" s="17" t="s">
        <v>82</v>
      </c>
      <c r="K7435" s="91">
        <v>260</v>
      </c>
      <c r="L7435" s="91">
        <v>150</v>
      </c>
      <c r="M7435" s="19"/>
      <c r="N7435" s="19" t="s">
        <v>40</v>
      </c>
      <c r="O7435" s="19" t="s">
        <v>98</v>
      </c>
      <c r="P7435" s="445">
        <v>660</v>
      </c>
      <c r="Q7435" s="19">
        <v>659</v>
      </c>
      <c r="R7435" s="19">
        <f t="shared" si="320"/>
        <v>1</v>
      </c>
      <c r="S7435" s="19">
        <v>438</v>
      </c>
      <c r="T7435" s="19" t="s">
        <v>99</v>
      </c>
      <c r="U7435" s="102" t="s">
        <v>1723</v>
      </c>
      <c r="V7435" s="186">
        <v>45960</v>
      </c>
      <c r="W7435" s="17" t="s">
        <v>44</v>
      </c>
      <c r="X7435" s="17"/>
      <c r="Y7435" s="68">
        <v>45992</v>
      </c>
      <c r="Z7435" s="17" t="s">
        <v>45</v>
      </c>
      <c r="AA7435" s="17" t="s">
        <v>46</v>
      </c>
      <c r="AB7435" s="17" t="s">
        <v>1725</v>
      </c>
      <c r="AC7435" s="217">
        <v>46233</v>
      </c>
      <c r="AD7435" s="65">
        <v>1823</v>
      </c>
      <c r="AE7435" s="17" t="s">
        <v>48</v>
      </c>
      <c r="AF7435" s="17"/>
      <c r="AG7435" s="17"/>
      <c r="AH7435" s="17"/>
      <c r="AI7435" s="17"/>
      <c r="AJ7435" s="17"/>
      <c r="AK7435" s="17"/>
      <c r="AL7435" s="17"/>
      <c r="AM7435" s="17"/>
      <c r="AN7435" s="17"/>
      <c r="AO7435" s="17"/>
      <c r="AP7435" s="17"/>
      <c r="AQ7435" s="17"/>
      <c r="AR7435" s="17"/>
    </row>
    <row r="7436" s="25" customFormat="1" hidden="1" spans="1:44">
      <c r="A7436" s="17" t="s">
        <v>34</v>
      </c>
      <c r="B7436" s="19">
        <v>1098</v>
      </c>
      <c r="C7436" s="183">
        <v>45960</v>
      </c>
      <c r="D7436" s="17" t="s">
        <v>35</v>
      </c>
      <c r="E7436" s="17" t="s">
        <v>36</v>
      </c>
      <c r="F7436" s="17" t="s">
        <v>96</v>
      </c>
      <c r="G7436" s="17"/>
      <c r="H7436" s="19" t="s">
        <v>97</v>
      </c>
      <c r="I7436" s="19"/>
      <c r="J7436" s="17" t="s">
        <v>82</v>
      </c>
      <c r="K7436" s="91">
        <v>410</v>
      </c>
      <c r="L7436" s="91">
        <v>150</v>
      </c>
      <c r="M7436" s="19"/>
      <c r="N7436" s="19" t="s">
        <v>40</v>
      </c>
      <c r="O7436" s="19" t="s">
        <v>98</v>
      </c>
      <c r="P7436" s="445">
        <v>1284</v>
      </c>
      <c r="Q7436" s="19">
        <v>1276</v>
      </c>
      <c r="R7436" s="19">
        <f t="shared" si="320"/>
        <v>8</v>
      </c>
      <c r="S7436" s="19">
        <v>438</v>
      </c>
      <c r="T7436" s="19" t="s">
        <v>99</v>
      </c>
      <c r="U7436" s="102" t="s">
        <v>1723</v>
      </c>
      <c r="V7436" s="186">
        <v>45960</v>
      </c>
      <c r="W7436" s="17" t="s">
        <v>44</v>
      </c>
      <c r="X7436" s="17"/>
      <c r="Y7436" s="68">
        <v>45992</v>
      </c>
      <c r="Z7436" s="17" t="s">
        <v>45</v>
      </c>
      <c r="AA7436" s="17" t="s">
        <v>46</v>
      </c>
      <c r="AB7436" s="17" t="s">
        <v>1726</v>
      </c>
      <c r="AC7436" s="217">
        <v>46110</v>
      </c>
      <c r="AD7436" s="65">
        <v>1786</v>
      </c>
      <c r="AE7436" s="17" t="s">
        <v>48</v>
      </c>
      <c r="AF7436" s="17"/>
      <c r="AG7436" s="17"/>
      <c r="AH7436" s="17"/>
      <c r="AI7436" s="17"/>
      <c r="AJ7436" s="17"/>
      <c r="AK7436" s="17"/>
      <c r="AL7436" s="17"/>
      <c r="AM7436" s="17"/>
      <c r="AN7436" s="17"/>
      <c r="AO7436" s="17"/>
      <c r="AP7436" s="17"/>
      <c r="AQ7436" s="17"/>
      <c r="AR7436" s="17"/>
    </row>
    <row r="7437" s="25" customFormat="1" hidden="1" spans="1:44">
      <c r="A7437" s="17" t="s">
        <v>34</v>
      </c>
      <c r="B7437" s="19">
        <v>1098</v>
      </c>
      <c r="C7437" s="183">
        <v>45960</v>
      </c>
      <c r="D7437" s="17" t="s">
        <v>35</v>
      </c>
      <c r="E7437" s="17" t="s">
        <v>36</v>
      </c>
      <c r="F7437" s="17" t="s">
        <v>96</v>
      </c>
      <c r="G7437" s="17"/>
      <c r="H7437" s="19" t="s">
        <v>97</v>
      </c>
      <c r="I7437" s="19"/>
      <c r="J7437" s="17" t="s">
        <v>82</v>
      </c>
      <c r="K7437" s="91">
        <v>410</v>
      </c>
      <c r="L7437" s="91">
        <v>160</v>
      </c>
      <c r="M7437" s="19"/>
      <c r="N7437" s="19" t="s">
        <v>40</v>
      </c>
      <c r="O7437" s="19" t="s">
        <v>98</v>
      </c>
      <c r="P7437" s="445">
        <v>2583</v>
      </c>
      <c r="Q7437" s="19">
        <v>2546</v>
      </c>
      <c r="R7437" s="19">
        <f t="shared" si="320"/>
        <v>37</v>
      </c>
      <c r="S7437" s="19">
        <v>438</v>
      </c>
      <c r="T7437" s="19" t="s">
        <v>99</v>
      </c>
      <c r="U7437" s="102" t="s">
        <v>1723</v>
      </c>
      <c r="V7437" s="186">
        <v>45960</v>
      </c>
      <c r="W7437" s="17" t="s">
        <v>44</v>
      </c>
      <c r="X7437" s="17"/>
      <c r="Y7437" s="68">
        <v>45992</v>
      </c>
      <c r="Z7437" s="17" t="s">
        <v>45</v>
      </c>
      <c r="AA7437" s="17" t="s">
        <v>46</v>
      </c>
      <c r="AB7437" s="17" t="s">
        <v>1725</v>
      </c>
      <c r="AC7437" s="217">
        <v>46233</v>
      </c>
      <c r="AD7437" s="65">
        <v>1823</v>
      </c>
      <c r="AE7437" s="17" t="s">
        <v>48</v>
      </c>
      <c r="AF7437" s="17"/>
      <c r="AG7437" s="17"/>
      <c r="AH7437" s="17"/>
      <c r="AI7437" s="17"/>
      <c r="AJ7437" s="17"/>
      <c r="AK7437" s="17"/>
      <c r="AL7437" s="17"/>
      <c r="AM7437" s="17"/>
      <c r="AN7437" s="17"/>
      <c r="AO7437" s="17"/>
      <c r="AP7437" s="17"/>
      <c r="AQ7437" s="17"/>
      <c r="AR7437" s="17"/>
    </row>
    <row r="7438" s="25" customFormat="1" hidden="1" spans="1:44">
      <c r="A7438" s="17" t="s">
        <v>34</v>
      </c>
      <c r="B7438" s="19">
        <v>1098</v>
      </c>
      <c r="C7438" s="183">
        <v>45960</v>
      </c>
      <c r="D7438" s="17" t="s">
        <v>35</v>
      </c>
      <c r="E7438" s="17" t="s">
        <v>36</v>
      </c>
      <c r="F7438" s="17" t="s">
        <v>96</v>
      </c>
      <c r="G7438" s="17"/>
      <c r="H7438" s="19" t="s">
        <v>97</v>
      </c>
      <c r="I7438" s="19"/>
      <c r="J7438" s="17" t="s">
        <v>82</v>
      </c>
      <c r="K7438" s="91">
        <v>410</v>
      </c>
      <c r="L7438" s="91">
        <v>180</v>
      </c>
      <c r="M7438" s="19"/>
      <c r="N7438" s="19" t="s">
        <v>40</v>
      </c>
      <c r="O7438" s="19" t="s">
        <v>98</v>
      </c>
      <c r="P7438" s="445">
        <v>3887</v>
      </c>
      <c r="Q7438" s="19">
        <f>1874+2043</f>
        <v>3917</v>
      </c>
      <c r="R7438" s="19">
        <f t="shared" si="320"/>
        <v>-30</v>
      </c>
      <c r="S7438" s="19">
        <v>438</v>
      </c>
      <c r="T7438" s="19" t="s">
        <v>99</v>
      </c>
      <c r="U7438" s="102" t="s">
        <v>1723</v>
      </c>
      <c r="V7438" s="186">
        <v>45960</v>
      </c>
      <c r="W7438" s="17" t="s">
        <v>44</v>
      </c>
      <c r="X7438" s="17"/>
      <c r="Y7438" s="68">
        <v>45992</v>
      </c>
      <c r="Z7438" s="17" t="s">
        <v>45</v>
      </c>
      <c r="AA7438" s="17" t="s">
        <v>46</v>
      </c>
      <c r="AB7438" s="17" t="s">
        <v>1726</v>
      </c>
      <c r="AC7438" s="217">
        <v>46110</v>
      </c>
      <c r="AD7438" s="65">
        <v>1786</v>
      </c>
      <c r="AE7438" s="17" t="s">
        <v>48</v>
      </c>
      <c r="AF7438" s="17"/>
      <c r="AG7438" s="17"/>
      <c r="AH7438" s="17"/>
      <c r="AI7438" s="17"/>
      <c r="AJ7438" s="17"/>
      <c r="AK7438" s="17"/>
      <c r="AL7438" s="17"/>
      <c r="AM7438" s="17"/>
      <c r="AN7438" s="17"/>
      <c r="AO7438" s="17"/>
      <c r="AP7438" s="17"/>
      <c r="AQ7438" s="17"/>
      <c r="AR7438" s="17"/>
    </row>
    <row r="7439" s="25" customFormat="1" hidden="1" spans="1:44">
      <c r="A7439" s="17" t="s">
        <v>34</v>
      </c>
      <c r="B7439" s="19">
        <v>1098</v>
      </c>
      <c r="C7439" s="183">
        <v>45960</v>
      </c>
      <c r="D7439" s="17" t="s">
        <v>35</v>
      </c>
      <c r="E7439" s="17" t="s">
        <v>36</v>
      </c>
      <c r="F7439" s="17" t="s">
        <v>96</v>
      </c>
      <c r="G7439" s="17"/>
      <c r="H7439" s="19" t="s">
        <v>97</v>
      </c>
      <c r="I7439" s="19"/>
      <c r="J7439" s="17" t="s">
        <v>82</v>
      </c>
      <c r="K7439" s="91">
        <v>310</v>
      </c>
      <c r="L7439" s="91">
        <v>200</v>
      </c>
      <c r="M7439" s="19"/>
      <c r="N7439" s="19" t="s">
        <v>40</v>
      </c>
      <c r="O7439" s="19" t="s">
        <v>98</v>
      </c>
      <c r="P7439" s="445">
        <v>1653</v>
      </c>
      <c r="Q7439" s="19">
        <v>1688</v>
      </c>
      <c r="R7439" s="19">
        <f t="shared" si="320"/>
        <v>-35</v>
      </c>
      <c r="S7439" s="19">
        <v>438</v>
      </c>
      <c r="T7439" s="19" t="s">
        <v>99</v>
      </c>
      <c r="U7439" s="102" t="s">
        <v>1723</v>
      </c>
      <c r="V7439" s="186">
        <v>45960</v>
      </c>
      <c r="W7439" s="17" t="s">
        <v>44</v>
      </c>
      <c r="X7439" s="17"/>
      <c r="Y7439" s="68">
        <v>45992</v>
      </c>
      <c r="Z7439" s="17" t="s">
        <v>45</v>
      </c>
      <c r="AA7439" s="17" t="s">
        <v>46</v>
      </c>
      <c r="AB7439" s="17" t="s">
        <v>1727</v>
      </c>
      <c r="AC7439" s="217">
        <v>46172</v>
      </c>
      <c r="AD7439" s="65">
        <v>1803</v>
      </c>
      <c r="AE7439" s="17" t="s">
        <v>48</v>
      </c>
      <c r="AF7439" s="17"/>
      <c r="AG7439" s="17"/>
      <c r="AH7439" s="17"/>
      <c r="AI7439" s="17"/>
      <c r="AJ7439" s="17"/>
      <c r="AK7439" s="17"/>
      <c r="AL7439" s="17"/>
      <c r="AM7439" s="17"/>
      <c r="AN7439" s="17"/>
      <c r="AO7439" s="17"/>
      <c r="AP7439" s="17"/>
      <c r="AQ7439" s="17"/>
      <c r="AR7439" s="17"/>
    </row>
    <row r="7440" s="25" customFormat="1" hidden="1" spans="1:44">
      <c r="A7440" s="17" t="s">
        <v>34</v>
      </c>
      <c r="B7440" s="19">
        <v>1098</v>
      </c>
      <c r="C7440" s="183">
        <v>45960</v>
      </c>
      <c r="D7440" s="17" t="s">
        <v>35</v>
      </c>
      <c r="E7440" s="17" t="s">
        <v>36</v>
      </c>
      <c r="F7440" s="17" t="s">
        <v>96</v>
      </c>
      <c r="G7440" s="17"/>
      <c r="H7440" s="19" t="s">
        <v>97</v>
      </c>
      <c r="I7440" s="19"/>
      <c r="J7440" s="17" t="s">
        <v>82</v>
      </c>
      <c r="K7440" s="91">
        <v>310</v>
      </c>
      <c r="L7440" s="91">
        <v>210</v>
      </c>
      <c r="M7440" s="19"/>
      <c r="N7440" s="19" t="s">
        <v>40</v>
      </c>
      <c r="O7440" s="19" t="s">
        <v>98</v>
      </c>
      <c r="P7440" s="445">
        <v>1623</v>
      </c>
      <c r="Q7440" s="19">
        <v>1655</v>
      </c>
      <c r="R7440" s="19">
        <f t="shared" si="320"/>
        <v>-32</v>
      </c>
      <c r="S7440" s="19">
        <v>438</v>
      </c>
      <c r="T7440" s="19" t="s">
        <v>99</v>
      </c>
      <c r="U7440" s="102" t="s">
        <v>1723</v>
      </c>
      <c r="V7440" s="186">
        <v>45960</v>
      </c>
      <c r="W7440" s="17" t="s">
        <v>44</v>
      </c>
      <c r="X7440" s="17"/>
      <c r="Y7440" s="68">
        <v>45992</v>
      </c>
      <c r="Z7440" s="17" t="s">
        <v>45</v>
      </c>
      <c r="AA7440" s="17" t="s">
        <v>46</v>
      </c>
      <c r="AB7440" s="17" t="s">
        <v>1725</v>
      </c>
      <c r="AC7440" s="217">
        <v>46233</v>
      </c>
      <c r="AD7440" s="65">
        <v>1823</v>
      </c>
      <c r="AE7440" s="17" t="s">
        <v>48</v>
      </c>
      <c r="AF7440" s="17"/>
      <c r="AG7440" s="17"/>
      <c r="AH7440" s="17"/>
      <c r="AI7440" s="17"/>
      <c r="AJ7440" s="17"/>
      <c r="AK7440" s="17"/>
      <c r="AL7440" s="17"/>
      <c r="AM7440" s="17"/>
      <c r="AN7440" s="17"/>
      <c r="AO7440" s="17"/>
      <c r="AP7440" s="17"/>
      <c r="AQ7440" s="17"/>
      <c r="AR7440" s="17"/>
    </row>
    <row r="7441" s="25" customFormat="1" hidden="1" spans="1:44">
      <c r="A7441" s="17" t="s">
        <v>34</v>
      </c>
      <c r="B7441" s="19">
        <v>1098</v>
      </c>
      <c r="C7441" s="183">
        <v>45960</v>
      </c>
      <c r="D7441" s="17" t="s">
        <v>35</v>
      </c>
      <c r="E7441" s="17" t="s">
        <v>36</v>
      </c>
      <c r="F7441" s="17" t="s">
        <v>96</v>
      </c>
      <c r="G7441" s="17"/>
      <c r="H7441" s="19" t="s">
        <v>97</v>
      </c>
      <c r="I7441" s="19"/>
      <c r="J7441" s="17" t="s">
        <v>82</v>
      </c>
      <c r="K7441" s="91">
        <v>360</v>
      </c>
      <c r="L7441" s="91">
        <v>250</v>
      </c>
      <c r="M7441" s="19"/>
      <c r="N7441" s="19" t="s">
        <v>40</v>
      </c>
      <c r="O7441" s="19" t="s">
        <v>98</v>
      </c>
      <c r="P7441" s="445">
        <v>2437</v>
      </c>
      <c r="Q7441" s="19">
        <v>2473</v>
      </c>
      <c r="R7441" s="19">
        <f t="shared" si="320"/>
        <v>-36</v>
      </c>
      <c r="S7441" s="19">
        <v>438</v>
      </c>
      <c r="T7441" s="19" t="s">
        <v>99</v>
      </c>
      <c r="U7441" s="102" t="s">
        <v>1723</v>
      </c>
      <c r="V7441" s="186">
        <v>45960</v>
      </c>
      <c r="W7441" s="17" t="s">
        <v>44</v>
      </c>
      <c r="X7441" s="17"/>
      <c r="Y7441" s="68">
        <v>45992</v>
      </c>
      <c r="Z7441" s="17" t="s">
        <v>45</v>
      </c>
      <c r="AA7441" s="17" t="s">
        <v>46</v>
      </c>
      <c r="AB7441" s="17" t="s">
        <v>1726</v>
      </c>
      <c r="AC7441" s="217">
        <v>46110</v>
      </c>
      <c r="AD7441" s="65">
        <v>1786</v>
      </c>
      <c r="AE7441" s="17" t="s">
        <v>48</v>
      </c>
      <c r="AF7441" s="17"/>
      <c r="AG7441" s="17"/>
      <c r="AH7441" s="17"/>
      <c r="AI7441" s="17"/>
      <c r="AJ7441" s="17"/>
      <c r="AK7441" s="17"/>
      <c r="AL7441" s="17"/>
      <c r="AM7441" s="17"/>
      <c r="AN7441" s="17"/>
      <c r="AO7441" s="17"/>
      <c r="AP7441" s="17"/>
      <c r="AQ7441" s="17"/>
      <c r="AR7441" s="17"/>
    </row>
    <row r="7442" s="25" customFormat="1" hidden="1" spans="1:44">
      <c r="A7442" s="17" t="s">
        <v>34</v>
      </c>
      <c r="B7442" s="19">
        <v>1098</v>
      </c>
      <c r="C7442" s="183">
        <v>45960</v>
      </c>
      <c r="D7442" s="17" t="s">
        <v>35</v>
      </c>
      <c r="E7442" s="17" t="s">
        <v>36</v>
      </c>
      <c r="F7442" s="17" t="s">
        <v>96</v>
      </c>
      <c r="G7442" s="17"/>
      <c r="H7442" s="19" t="s">
        <v>97</v>
      </c>
      <c r="I7442" s="19"/>
      <c r="J7442" s="17" t="s">
        <v>82</v>
      </c>
      <c r="K7442" s="91">
        <v>520</v>
      </c>
      <c r="L7442" s="91">
        <v>250</v>
      </c>
      <c r="M7442" s="19"/>
      <c r="N7442" s="19" t="s">
        <v>40</v>
      </c>
      <c r="O7442" s="19" t="s">
        <v>98</v>
      </c>
      <c r="P7442" s="445">
        <v>2410</v>
      </c>
      <c r="Q7442" s="19">
        <v>2409</v>
      </c>
      <c r="R7442" s="19">
        <f t="shared" si="320"/>
        <v>1</v>
      </c>
      <c r="S7442" s="19">
        <v>438</v>
      </c>
      <c r="T7442" s="19" t="s">
        <v>99</v>
      </c>
      <c r="U7442" s="102" t="s">
        <v>1723</v>
      </c>
      <c r="V7442" s="186">
        <v>45960</v>
      </c>
      <c r="W7442" s="17" t="s">
        <v>44</v>
      </c>
      <c r="X7442" s="17"/>
      <c r="Y7442" s="68">
        <v>45992</v>
      </c>
      <c r="Z7442" s="17" t="s">
        <v>45</v>
      </c>
      <c r="AA7442" s="17" t="s">
        <v>46</v>
      </c>
      <c r="AB7442" s="17" t="s">
        <v>1727</v>
      </c>
      <c r="AC7442" s="217">
        <v>46172</v>
      </c>
      <c r="AD7442" s="65">
        <v>1803</v>
      </c>
      <c r="AE7442" s="17" t="s">
        <v>48</v>
      </c>
      <c r="AF7442" s="17"/>
      <c r="AG7442" s="17"/>
      <c r="AH7442" s="17"/>
      <c r="AI7442" s="17"/>
      <c r="AJ7442" s="17"/>
      <c r="AK7442" s="17"/>
      <c r="AL7442" s="17"/>
      <c r="AM7442" s="17"/>
      <c r="AN7442" s="17"/>
      <c r="AO7442" s="17"/>
      <c r="AP7442" s="17"/>
      <c r="AQ7442" s="17"/>
      <c r="AR7442" s="17"/>
    </row>
    <row r="7443" s="25" customFormat="1" hidden="1" spans="1:44">
      <c r="A7443" s="17" t="s">
        <v>34</v>
      </c>
      <c r="B7443" s="19">
        <v>1098</v>
      </c>
      <c r="C7443" s="183">
        <v>45960</v>
      </c>
      <c r="D7443" s="17" t="s">
        <v>35</v>
      </c>
      <c r="E7443" s="17" t="s">
        <v>36</v>
      </c>
      <c r="F7443" s="17" t="s">
        <v>96</v>
      </c>
      <c r="G7443" s="17"/>
      <c r="H7443" s="19" t="s">
        <v>97</v>
      </c>
      <c r="I7443" s="19"/>
      <c r="J7443" s="17" t="s">
        <v>82</v>
      </c>
      <c r="K7443" s="91">
        <v>360</v>
      </c>
      <c r="L7443" s="91">
        <v>280</v>
      </c>
      <c r="M7443" s="19"/>
      <c r="N7443" s="19" t="s">
        <v>40</v>
      </c>
      <c r="O7443" s="19" t="s">
        <v>98</v>
      </c>
      <c r="P7443" s="445">
        <v>2424</v>
      </c>
      <c r="Q7443" s="19">
        <v>2456</v>
      </c>
      <c r="R7443" s="19">
        <f t="shared" si="320"/>
        <v>-32</v>
      </c>
      <c r="S7443" s="19">
        <v>438</v>
      </c>
      <c r="T7443" s="19" t="s">
        <v>99</v>
      </c>
      <c r="U7443" s="102" t="s">
        <v>1723</v>
      </c>
      <c r="V7443" s="186">
        <v>45960</v>
      </c>
      <c r="W7443" s="17" t="s">
        <v>44</v>
      </c>
      <c r="X7443" s="17"/>
      <c r="Y7443" s="68">
        <v>45992</v>
      </c>
      <c r="Z7443" s="17" t="s">
        <v>45</v>
      </c>
      <c r="AA7443" s="17" t="s">
        <v>46</v>
      </c>
      <c r="AB7443" s="17" t="s">
        <v>1727</v>
      </c>
      <c r="AC7443" s="217">
        <v>46172</v>
      </c>
      <c r="AD7443" s="65">
        <v>1803</v>
      </c>
      <c r="AE7443" s="17" t="s">
        <v>48</v>
      </c>
      <c r="AF7443" s="17"/>
      <c r="AG7443" s="17"/>
      <c r="AH7443" s="17"/>
      <c r="AI7443" s="17"/>
      <c r="AJ7443" s="17"/>
      <c r="AK7443" s="17"/>
      <c r="AL7443" s="17"/>
      <c r="AM7443" s="17"/>
      <c r="AN7443" s="17"/>
      <c r="AO7443" s="17"/>
      <c r="AP7443" s="17"/>
      <c r="AQ7443" s="17"/>
      <c r="AR7443" s="17"/>
    </row>
    <row r="7444" s="25" customFormat="1" hidden="1" spans="1:44">
      <c r="A7444" s="17" t="s">
        <v>34</v>
      </c>
      <c r="B7444" s="19">
        <v>1098</v>
      </c>
      <c r="C7444" s="183">
        <v>45960</v>
      </c>
      <c r="D7444" s="17" t="s">
        <v>35</v>
      </c>
      <c r="E7444" s="17" t="s">
        <v>36</v>
      </c>
      <c r="F7444" s="17" t="s">
        <v>96</v>
      </c>
      <c r="G7444" s="17"/>
      <c r="H7444" s="19" t="s">
        <v>97</v>
      </c>
      <c r="I7444" s="19"/>
      <c r="J7444" s="17" t="s">
        <v>82</v>
      </c>
      <c r="K7444" s="91">
        <v>410</v>
      </c>
      <c r="L7444" s="91">
        <v>280</v>
      </c>
      <c r="M7444" s="19"/>
      <c r="N7444" s="19" t="s">
        <v>40</v>
      </c>
      <c r="O7444" s="19" t="s">
        <v>98</v>
      </c>
      <c r="P7444" s="445">
        <v>2479</v>
      </c>
      <c r="Q7444" s="19">
        <v>2483</v>
      </c>
      <c r="R7444" s="19">
        <f t="shared" si="320"/>
        <v>-4</v>
      </c>
      <c r="S7444" s="19">
        <v>438</v>
      </c>
      <c r="T7444" s="19" t="s">
        <v>99</v>
      </c>
      <c r="U7444" s="102" t="s">
        <v>1723</v>
      </c>
      <c r="V7444" s="186">
        <v>45960</v>
      </c>
      <c r="W7444" s="17" t="s">
        <v>44</v>
      </c>
      <c r="X7444" s="17"/>
      <c r="Y7444" s="68">
        <v>45992</v>
      </c>
      <c r="Z7444" s="17" t="s">
        <v>45</v>
      </c>
      <c r="AA7444" s="17" t="s">
        <v>46</v>
      </c>
      <c r="AB7444" s="17" t="s">
        <v>1726</v>
      </c>
      <c r="AC7444" s="217">
        <v>46110</v>
      </c>
      <c r="AD7444" s="65">
        <v>1786</v>
      </c>
      <c r="AE7444" s="17" t="s">
        <v>48</v>
      </c>
      <c r="AF7444" s="17"/>
      <c r="AG7444" s="17"/>
      <c r="AH7444" s="17"/>
      <c r="AI7444" s="17"/>
      <c r="AJ7444" s="17"/>
      <c r="AK7444" s="17"/>
      <c r="AL7444" s="17"/>
      <c r="AM7444" s="17"/>
      <c r="AN7444" s="17"/>
      <c r="AO7444" s="17"/>
      <c r="AP7444" s="17"/>
      <c r="AQ7444" s="17"/>
      <c r="AR7444" s="17"/>
    </row>
    <row r="7445" s="25" customFormat="1" hidden="1" spans="1:44">
      <c r="A7445" s="17" t="s">
        <v>34</v>
      </c>
      <c r="B7445" s="19">
        <v>1098</v>
      </c>
      <c r="C7445" s="183">
        <v>45960</v>
      </c>
      <c r="D7445" s="17" t="s">
        <v>35</v>
      </c>
      <c r="E7445" s="17" t="s">
        <v>36</v>
      </c>
      <c r="F7445" s="17" t="s">
        <v>96</v>
      </c>
      <c r="G7445" s="17"/>
      <c r="H7445" s="19" t="s">
        <v>97</v>
      </c>
      <c r="I7445" s="19"/>
      <c r="J7445" s="17" t="s">
        <v>82</v>
      </c>
      <c r="K7445" s="91">
        <v>520</v>
      </c>
      <c r="L7445" s="91">
        <v>300</v>
      </c>
      <c r="M7445" s="19"/>
      <c r="N7445" s="19" t="s">
        <v>40</v>
      </c>
      <c r="O7445" s="19" t="s">
        <v>98</v>
      </c>
      <c r="P7445" s="445">
        <v>2430</v>
      </c>
      <c r="Q7445" s="19">
        <v>2435</v>
      </c>
      <c r="R7445" s="19">
        <f t="shared" ref="R7445:R7463" si="321">+P7445-Q7445</f>
        <v>-5</v>
      </c>
      <c r="S7445" s="19">
        <v>438</v>
      </c>
      <c r="T7445" s="19" t="s">
        <v>99</v>
      </c>
      <c r="U7445" s="102" t="s">
        <v>1723</v>
      </c>
      <c r="V7445" s="186">
        <v>45960</v>
      </c>
      <c r="W7445" s="17" t="s">
        <v>44</v>
      </c>
      <c r="X7445" s="17"/>
      <c r="Y7445" s="68">
        <v>45992</v>
      </c>
      <c r="Z7445" s="17" t="s">
        <v>45</v>
      </c>
      <c r="AA7445" s="17" t="s">
        <v>46</v>
      </c>
      <c r="AB7445" s="17" t="s">
        <v>1727</v>
      </c>
      <c r="AC7445" s="217">
        <v>46172</v>
      </c>
      <c r="AD7445" s="65">
        <v>1803</v>
      </c>
      <c r="AE7445" s="17" t="s">
        <v>48</v>
      </c>
      <c r="AF7445" s="17"/>
      <c r="AG7445" s="17"/>
      <c r="AH7445" s="17"/>
      <c r="AI7445" s="17"/>
      <c r="AJ7445" s="17"/>
      <c r="AK7445" s="17"/>
      <c r="AL7445" s="17"/>
      <c r="AM7445" s="17"/>
      <c r="AN7445" s="17"/>
      <c r="AO7445" s="17"/>
      <c r="AP7445" s="17"/>
      <c r="AQ7445" s="17"/>
      <c r="AR7445" s="17"/>
    </row>
    <row r="7446" s="25" customFormat="1" hidden="1" spans="1:44">
      <c r="A7446" s="17" t="s">
        <v>34</v>
      </c>
      <c r="B7446" s="19">
        <v>1098</v>
      </c>
      <c r="C7446" s="183">
        <v>45960</v>
      </c>
      <c r="D7446" s="17" t="s">
        <v>35</v>
      </c>
      <c r="E7446" s="17" t="s">
        <v>36</v>
      </c>
      <c r="F7446" s="17" t="s">
        <v>96</v>
      </c>
      <c r="G7446" s="17"/>
      <c r="H7446" s="19" t="s">
        <v>97</v>
      </c>
      <c r="I7446" s="19"/>
      <c r="J7446" s="17" t="s">
        <v>82</v>
      </c>
      <c r="K7446" s="91">
        <v>410</v>
      </c>
      <c r="L7446" s="91">
        <v>305</v>
      </c>
      <c r="M7446" s="19"/>
      <c r="N7446" s="19" t="s">
        <v>40</v>
      </c>
      <c r="O7446" s="19" t="s">
        <v>98</v>
      </c>
      <c r="P7446" s="445">
        <v>2335</v>
      </c>
      <c r="Q7446" s="19">
        <v>2362</v>
      </c>
      <c r="R7446" s="19">
        <f t="shared" si="321"/>
        <v>-27</v>
      </c>
      <c r="S7446" s="19">
        <v>438</v>
      </c>
      <c r="T7446" s="19" t="s">
        <v>99</v>
      </c>
      <c r="U7446" s="102" t="s">
        <v>1723</v>
      </c>
      <c r="V7446" s="186">
        <v>45960</v>
      </c>
      <c r="W7446" s="17" t="s">
        <v>44</v>
      </c>
      <c r="X7446" s="17"/>
      <c r="Y7446" s="68">
        <v>45992</v>
      </c>
      <c r="Z7446" s="17" t="s">
        <v>45</v>
      </c>
      <c r="AA7446" s="17" t="s">
        <v>46</v>
      </c>
      <c r="AB7446" s="17" t="s">
        <v>1726</v>
      </c>
      <c r="AC7446" s="217">
        <v>46110</v>
      </c>
      <c r="AD7446" s="65">
        <v>1786</v>
      </c>
      <c r="AE7446" s="17" t="s">
        <v>48</v>
      </c>
      <c r="AF7446" s="17"/>
      <c r="AG7446" s="17"/>
      <c r="AH7446" s="17"/>
      <c r="AI7446" s="17"/>
      <c r="AJ7446" s="17"/>
      <c r="AK7446" s="17"/>
      <c r="AL7446" s="17"/>
      <c r="AM7446" s="17"/>
      <c r="AN7446" s="17"/>
      <c r="AO7446" s="17"/>
      <c r="AP7446" s="17"/>
      <c r="AQ7446" s="17"/>
      <c r="AR7446" s="17"/>
    </row>
    <row r="7447" s="25" customFormat="1" hidden="1" spans="1:44">
      <c r="A7447" s="17" t="s">
        <v>34</v>
      </c>
      <c r="B7447" s="19">
        <v>1098</v>
      </c>
      <c r="C7447" s="183">
        <v>45960</v>
      </c>
      <c r="D7447" s="17" t="s">
        <v>35</v>
      </c>
      <c r="E7447" s="17" t="s">
        <v>36</v>
      </c>
      <c r="F7447" s="17" t="s">
        <v>96</v>
      </c>
      <c r="G7447" s="17"/>
      <c r="H7447" s="19" t="s">
        <v>97</v>
      </c>
      <c r="I7447" s="19"/>
      <c r="J7447" s="17" t="s">
        <v>82</v>
      </c>
      <c r="K7447" s="91">
        <v>610</v>
      </c>
      <c r="L7447" s="91">
        <v>305</v>
      </c>
      <c r="M7447" s="19"/>
      <c r="N7447" s="19" t="s">
        <v>40</v>
      </c>
      <c r="O7447" s="19" t="s">
        <v>98</v>
      </c>
      <c r="P7447" s="445">
        <v>2461</v>
      </c>
      <c r="Q7447" s="19">
        <v>2462</v>
      </c>
      <c r="R7447" s="19">
        <f t="shared" si="321"/>
        <v>-1</v>
      </c>
      <c r="S7447" s="19">
        <v>438</v>
      </c>
      <c r="T7447" s="19" t="s">
        <v>99</v>
      </c>
      <c r="U7447" s="102" t="s">
        <v>1723</v>
      </c>
      <c r="V7447" s="186">
        <v>45960</v>
      </c>
      <c r="W7447" s="17" t="s">
        <v>44</v>
      </c>
      <c r="X7447" s="17"/>
      <c r="Y7447" s="68">
        <v>45992</v>
      </c>
      <c r="Z7447" s="17" t="s">
        <v>45</v>
      </c>
      <c r="AA7447" s="17" t="s">
        <v>46</v>
      </c>
      <c r="AB7447" s="17" t="s">
        <v>1727</v>
      </c>
      <c r="AC7447" s="217">
        <v>46172</v>
      </c>
      <c r="AD7447" s="65">
        <v>1803</v>
      </c>
      <c r="AE7447" s="17" t="s">
        <v>48</v>
      </c>
      <c r="AF7447" s="17"/>
      <c r="AG7447" s="17"/>
      <c r="AH7447" s="17"/>
      <c r="AI7447" s="17"/>
      <c r="AJ7447" s="17"/>
      <c r="AK7447" s="17"/>
      <c r="AL7447" s="17"/>
      <c r="AM7447" s="17"/>
      <c r="AN7447" s="17"/>
      <c r="AO7447" s="17"/>
      <c r="AP7447" s="17"/>
      <c r="AQ7447" s="17"/>
      <c r="AR7447" s="17"/>
    </row>
    <row r="7448" s="25" customFormat="1" hidden="1" spans="1:44">
      <c r="A7448" s="17" t="s">
        <v>34</v>
      </c>
      <c r="B7448" s="19">
        <v>1098</v>
      </c>
      <c r="C7448" s="183">
        <v>45960</v>
      </c>
      <c r="D7448" s="17" t="s">
        <v>35</v>
      </c>
      <c r="E7448" s="17" t="s">
        <v>36</v>
      </c>
      <c r="F7448" s="17" t="s">
        <v>96</v>
      </c>
      <c r="G7448" s="17"/>
      <c r="H7448" s="19" t="s">
        <v>97</v>
      </c>
      <c r="I7448" s="19"/>
      <c r="J7448" s="17" t="s">
        <v>82</v>
      </c>
      <c r="K7448" s="91">
        <v>360</v>
      </c>
      <c r="L7448" s="91">
        <v>310</v>
      </c>
      <c r="M7448" s="19"/>
      <c r="N7448" s="19" t="s">
        <v>40</v>
      </c>
      <c r="O7448" s="19" t="s">
        <v>98</v>
      </c>
      <c r="P7448" s="446">
        <v>2798</v>
      </c>
      <c r="Q7448" s="19">
        <v>2810</v>
      </c>
      <c r="R7448" s="19">
        <f t="shared" si="321"/>
        <v>-12</v>
      </c>
      <c r="S7448" s="19">
        <v>438</v>
      </c>
      <c r="T7448" s="19" t="s">
        <v>99</v>
      </c>
      <c r="U7448" s="102" t="s">
        <v>1723</v>
      </c>
      <c r="V7448" s="186">
        <v>45960</v>
      </c>
      <c r="W7448" s="17" t="s">
        <v>44</v>
      </c>
      <c r="X7448" s="17"/>
      <c r="Y7448" s="68">
        <v>45992</v>
      </c>
      <c r="Z7448" s="17" t="s">
        <v>45</v>
      </c>
      <c r="AA7448" s="17" t="s">
        <v>46</v>
      </c>
      <c r="AB7448" s="17" t="s">
        <v>1727</v>
      </c>
      <c r="AC7448" s="217">
        <v>46172</v>
      </c>
      <c r="AD7448" s="65">
        <v>1803</v>
      </c>
      <c r="AE7448" s="17" t="s">
        <v>48</v>
      </c>
      <c r="AF7448" s="17"/>
      <c r="AG7448" s="17"/>
      <c r="AH7448" s="17"/>
      <c r="AI7448" s="17"/>
      <c r="AJ7448" s="17"/>
      <c r="AK7448" s="17"/>
      <c r="AL7448" s="17"/>
      <c r="AM7448" s="17"/>
      <c r="AN7448" s="17"/>
      <c r="AO7448" s="17"/>
      <c r="AP7448" s="17"/>
      <c r="AQ7448" s="17"/>
      <c r="AR7448" s="17"/>
    </row>
    <row r="7449" s="25" customFormat="1" hidden="1" spans="1:44">
      <c r="A7449" s="17" t="s">
        <v>34</v>
      </c>
      <c r="B7449" s="19">
        <v>1098</v>
      </c>
      <c r="C7449" s="183">
        <v>45960</v>
      </c>
      <c r="D7449" s="17" t="s">
        <v>35</v>
      </c>
      <c r="E7449" s="17" t="s">
        <v>36</v>
      </c>
      <c r="F7449" s="17" t="s">
        <v>96</v>
      </c>
      <c r="G7449" s="17"/>
      <c r="H7449" s="19" t="s">
        <v>97</v>
      </c>
      <c r="I7449" s="19"/>
      <c r="J7449" s="17" t="s">
        <v>82</v>
      </c>
      <c r="K7449" s="91">
        <v>360</v>
      </c>
      <c r="L7449" s="91">
        <v>310</v>
      </c>
      <c r="M7449" s="19"/>
      <c r="N7449" s="19" t="s">
        <v>40</v>
      </c>
      <c r="O7449" s="19" t="s">
        <v>98</v>
      </c>
      <c r="P7449" s="446">
        <v>2375</v>
      </c>
      <c r="Q7449" s="19">
        <v>2385</v>
      </c>
      <c r="R7449" s="19">
        <f t="shared" si="321"/>
        <v>-10</v>
      </c>
      <c r="S7449" s="19">
        <v>438</v>
      </c>
      <c r="T7449" s="19" t="s">
        <v>99</v>
      </c>
      <c r="U7449" s="102" t="s">
        <v>1723</v>
      </c>
      <c r="V7449" s="186">
        <v>45960</v>
      </c>
      <c r="W7449" s="17" t="s">
        <v>44</v>
      </c>
      <c r="X7449" s="17"/>
      <c r="Y7449" s="68">
        <v>45992</v>
      </c>
      <c r="Z7449" s="17" t="s">
        <v>45</v>
      </c>
      <c r="AA7449" s="17" t="s">
        <v>46</v>
      </c>
      <c r="AB7449" s="17" t="s">
        <v>1727</v>
      </c>
      <c r="AC7449" s="217">
        <v>46172</v>
      </c>
      <c r="AD7449" s="65">
        <v>1803</v>
      </c>
      <c r="AE7449" s="17" t="s">
        <v>48</v>
      </c>
      <c r="AF7449" s="17"/>
      <c r="AG7449" s="17"/>
      <c r="AH7449" s="17"/>
      <c r="AI7449" s="17"/>
      <c r="AJ7449" s="17"/>
      <c r="AK7449" s="17"/>
      <c r="AL7449" s="17"/>
      <c r="AM7449" s="17"/>
      <c r="AN7449" s="17"/>
      <c r="AO7449" s="17"/>
      <c r="AP7449" s="17"/>
      <c r="AQ7449" s="17"/>
      <c r="AR7449" s="17"/>
    </row>
    <row r="7450" s="25" customFormat="1" hidden="1" spans="1:44">
      <c r="A7450" s="17" t="s">
        <v>34</v>
      </c>
      <c r="B7450" s="19">
        <v>1098</v>
      </c>
      <c r="C7450" s="183">
        <v>45960</v>
      </c>
      <c r="D7450" s="17" t="s">
        <v>35</v>
      </c>
      <c r="E7450" s="17" t="s">
        <v>36</v>
      </c>
      <c r="F7450" s="17" t="s">
        <v>96</v>
      </c>
      <c r="G7450" s="17"/>
      <c r="H7450" s="19" t="s">
        <v>97</v>
      </c>
      <c r="I7450" s="19"/>
      <c r="J7450" s="17" t="s">
        <v>82</v>
      </c>
      <c r="K7450" s="91">
        <v>410</v>
      </c>
      <c r="L7450" s="91">
        <v>310</v>
      </c>
      <c r="M7450" s="19"/>
      <c r="N7450" s="19" t="s">
        <v>40</v>
      </c>
      <c r="O7450" s="19" t="s">
        <v>98</v>
      </c>
      <c r="P7450" s="446">
        <v>2485</v>
      </c>
      <c r="Q7450" s="19">
        <v>2482</v>
      </c>
      <c r="R7450" s="19">
        <f t="shared" si="321"/>
        <v>3</v>
      </c>
      <c r="S7450" s="19">
        <v>438</v>
      </c>
      <c r="T7450" s="19" t="s">
        <v>99</v>
      </c>
      <c r="U7450" s="102" t="s">
        <v>1723</v>
      </c>
      <c r="V7450" s="186">
        <v>45960</v>
      </c>
      <c r="W7450" s="17" t="s">
        <v>44</v>
      </c>
      <c r="X7450" s="17"/>
      <c r="Y7450" s="68">
        <v>45992</v>
      </c>
      <c r="Z7450" s="17" t="s">
        <v>45</v>
      </c>
      <c r="AA7450" s="17" t="s">
        <v>46</v>
      </c>
      <c r="AB7450" s="17" t="s">
        <v>1726</v>
      </c>
      <c r="AC7450" s="217">
        <v>46110</v>
      </c>
      <c r="AD7450" s="65">
        <v>1786</v>
      </c>
      <c r="AE7450" s="17" t="s">
        <v>48</v>
      </c>
      <c r="AF7450" s="17"/>
      <c r="AG7450" s="17"/>
      <c r="AH7450" s="17"/>
      <c r="AI7450" s="17"/>
      <c r="AJ7450" s="17"/>
      <c r="AK7450" s="17"/>
      <c r="AL7450" s="17"/>
      <c r="AM7450" s="17"/>
      <c r="AN7450" s="17"/>
      <c r="AO7450" s="17"/>
      <c r="AP7450" s="17"/>
      <c r="AQ7450" s="17"/>
      <c r="AR7450" s="17"/>
    </row>
    <row r="7451" s="25" customFormat="1" hidden="1" spans="1:44">
      <c r="A7451" s="17" t="s">
        <v>34</v>
      </c>
      <c r="B7451" s="19">
        <v>1101</v>
      </c>
      <c r="C7451" s="183">
        <v>45992</v>
      </c>
      <c r="D7451" s="17" t="s">
        <v>35</v>
      </c>
      <c r="E7451" s="17" t="s">
        <v>71</v>
      </c>
      <c r="F7451" s="17" t="s">
        <v>72</v>
      </c>
      <c r="G7451" s="17"/>
      <c r="H7451" s="19">
        <v>1.2379</v>
      </c>
      <c r="I7451" s="19"/>
      <c r="J7451" s="17" t="s">
        <v>39</v>
      </c>
      <c r="K7451" s="19">
        <v>26</v>
      </c>
      <c r="L7451" s="91"/>
      <c r="M7451" s="19"/>
      <c r="N7451" s="19" t="s">
        <v>40</v>
      </c>
      <c r="O7451" s="19" t="s">
        <v>84</v>
      </c>
      <c r="P7451" s="19">
        <v>1500</v>
      </c>
      <c r="Q7451" s="19">
        <v>1380</v>
      </c>
      <c r="R7451" s="19">
        <f t="shared" si="321"/>
        <v>120</v>
      </c>
      <c r="S7451" s="19">
        <f t="shared" ref="S7451:S7458" si="322">2462</f>
        <v>2462</v>
      </c>
      <c r="T7451" s="19" t="s">
        <v>42</v>
      </c>
      <c r="U7451" s="102" t="s">
        <v>1728</v>
      </c>
      <c r="V7451" s="186">
        <v>45992</v>
      </c>
      <c r="W7451" s="17" t="s">
        <v>44</v>
      </c>
      <c r="X7451" s="17"/>
      <c r="Y7451" s="68">
        <v>46054</v>
      </c>
      <c r="Z7451" s="17" t="s">
        <v>45</v>
      </c>
      <c r="AA7451" s="17" t="s">
        <v>46</v>
      </c>
      <c r="AB7451" s="17" t="s">
        <v>1718</v>
      </c>
      <c r="AC7451" s="217">
        <v>46140</v>
      </c>
      <c r="AD7451" s="65">
        <v>1796</v>
      </c>
      <c r="AE7451" s="17" t="s">
        <v>48</v>
      </c>
      <c r="AF7451" s="17"/>
      <c r="AG7451" s="17"/>
      <c r="AH7451" s="17"/>
      <c r="AI7451" s="17"/>
      <c r="AJ7451" s="17"/>
      <c r="AK7451" s="17"/>
      <c r="AL7451" s="17"/>
      <c r="AM7451" s="17"/>
      <c r="AN7451" s="17"/>
      <c r="AO7451" s="17"/>
      <c r="AP7451" s="17"/>
      <c r="AQ7451" s="17"/>
      <c r="AR7451" s="17"/>
    </row>
    <row r="7452" s="25" customFormat="1" hidden="1" spans="1:44">
      <c r="A7452" s="17" t="s">
        <v>34</v>
      </c>
      <c r="B7452" s="19">
        <v>1101</v>
      </c>
      <c r="C7452" s="183">
        <v>45992</v>
      </c>
      <c r="D7452" s="17" t="s">
        <v>35</v>
      </c>
      <c r="E7452" s="17" t="s">
        <v>71</v>
      </c>
      <c r="F7452" s="17" t="s">
        <v>72</v>
      </c>
      <c r="G7452" s="17"/>
      <c r="H7452" s="19">
        <v>1.2379</v>
      </c>
      <c r="I7452" s="19"/>
      <c r="J7452" s="17" t="s">
        <v>39</v>
      </c>
      <c r="K7452" s="19">
        <v>32</v>
      </c>
      <c r="L7452" s="91"/>
      <c r="M7452" s="19"/>
      <c r="N7452" s="19" t="s">
        <v>40</v>
      </c>
      <c r="O7452" s="19" t="s">
        <v>84</v>
      </c>
      <c r="P7452" s="19">
        <v>1500</v>
      </c>
      <c r="Q7452" s="19">
        <v>1426</v>
      </c>
      <c r="R7452" s="19">
        <f t="shared" si="321"/>
        <v>74</v>
      </c>
      <c r="S7452" s="19">
        <f t="shared" si="322"/>
        <v>2462</v>
      </c>
      <c r="T7452" s="19" t="s">
        <v>42</v>
      </c>
      <c r="U7452" s="102" t="s">
        <v>1728</v>
      </c>
      <c r="V7452" s="186">
        <v>45992</v>
      </c>
      <c r="W7452" s="17" t="s">
        <v>44</v>
      </c>
      <c r="X7452" s="17"/>
      <c r="Y7452" s="68">
        <v>46054</v>
      </c>
      <c r="Z7452" s="17" t="s">
        <v>45</v>
      </c>
      <c r="AA7452" s="17" t="s">
        <v>46</v>
      </c>
      <c r="AB7452" s="17" t="s">
        <v>1718</v>
      </c>
      <c r="AC7452" s="217">
        <v>46140</v>
      </c>
      <c r="AD7452" s="65">
        <v>1796</v>
      </c>
      <c r="AE7452" s="17" t="s">
        <v>48</v>
      </c>
      <c r="AF7452" s="17"/>
      <c r="AG7452" s="17"/>
      <c r="AH7452" s="17"/>
      <c r="AI7452" s="17"/>
      <c r="AJ7452" s="17"/>
      <c r="AK7452" s="17"/>
      <c r="AL7452" s="17"/>
      <c r="AM7452" s="17"/>
      <c r="AN7452" s="17"/>
      <c r="AO7452" s="17"/>
      <c r="AP7452" s="17"/>
      <c r="AQ7452" s="17"/>
      <c r="AR7452" s="17"/>
    </row>
    <row r="7453" s="25" customFormat="1" hidden="1" spans="1:44">
      <c r="A7453" s="17" t="s">
        <v>34</v>
      </c>
      <c r="B7453" s="19">
        <v>1101</v>
      </c>
      <c r="C7453" s="183">
        <v>45992</v>
      </c>
      <c r="D7453" s="17" t="s">
        <v>35</v>
      </c>
      <c r="E7453" s="17" t="s">
        <v>71</v>
      </c>
      <c r="F7453" s="17" t="s">
        <v>72</v>
      </c>
      <c r="G7453" s="17"/>
      <c r="H7453" s="19">
        <v>1.2379</v>
      </c>
      <c r="I7453" s="19"/>
      <c r="J7453" s="17" t="s">
        <v>39</v>
      </c>
      <c r="K7453" s="19">
        <v>36</v>
      </c>
      <c r="L7453" s="91"/>
      <c r="M7453" s="19"/>
      <c r="N7453" s="19" t="s">
        <v>40</v>
      </c>
      <c r="O7453" s="19" t="s">
        <v>84</v>
      </c>
      <c r="P7453" s="19">
        <v>1500</v>
      </c>
      <c r="Q7453" s="19">
        <v>1418</v>
      </c>
      <c r="R7453" s="19">
        <f t="shared" si="321"/>
        <v>82</v>
      </c>
      <c r="S7453" s="19">
        <f t="shared" si="322"/>
        <v>2462</v>
      </c>
      <c r="T7453" s="19" t="s">
        <v>42</v>
      </c>
      <c r="U7453" s="102" t="s">
        <v>1728</v>
      </c>
      <c r="V7453" s="186">
        <v>45992</v>
      </c>
      <c r="W7453" s="17" t="s">
        <v>44</v>
      </c>
      <c r="X7453" s="17"/>
      <c r="Y7453" s="68">
        <v>46054</v>
      </c>
      <c r="Z7453" s="17" t="s">
        <v>45</v>
      </c>
      <c r="AA7453" s="17" t="s">
        <v>46</v>
      </c>
      <c r="AB7453" s="17" t="s">
        <v>1718</v>
      </c>
      <c r="AC7453" s="217">
        <v>46140</v>
      </c>
      <c r="AD7453" s="65">
        <v>1796</v>
      </c>
      <c r="AE7453" s="17" t="s">
        <v>48</v>
      </c>
      <c r="AF7453" s="17"/>
      <c r="AG7453" s="17"/>
      <c r="AH7453" s="17"/>
      <c r="AI7453" s="17"/>
      <c r="AJ7453" s="17"/>
      <c r="AK7453" s="17"/>
      <c r="AL7453" s="17"/>
      <c r="AM7453" s="17"/>
      <c r="AN7453" s="17"/>
      <c r="AO7453" s="17"/>
      <c r="AP7453" s="17"/>
      <c r="AQ7453" s="17"/>
      <c r="AR7453" s="17"/>
    </row>
    <row r="7454" s="25" customFormat="1" hidden="1" spans="1:44">
      <c r="A7454" s="17" t="s">
        <v>34</v>
      </c>
      <c r="B7454" s="19">
        <v>1101</v>
      </c>
      <c r="C7454" s="183">
        <v>45992</v>
      </c>
      <c r="D7454" s="17" t="s">
        <v>35</v>
      </c>
      <c r="E7454" s="17" t="s">
        <v>71</v>
      </c>
      <c r="F7454" s="17" t="s">
        <v>72</v>
      </c>
      <c r="G7454" s="17"/>
      <c r="H7454" s="19">
        <v>1.2379</v>
      </c>
      <c r="I7454" s="19"/>
      <c r="J7454" s="17" t="s">
        <v>39</v>
      </c>
      <c r="K7454" s="19">
        <v>41</v>
      </c>
      <c r="L7454" s="91"/>
      <c r="M7454" s="19"/>
      <c r="N7454" s="19" t="s">
        <v>40</v>
      </c>
      <c r="O7454" s="19" t="s">
        <v>84</v>
      </c>
      <c r="P7454" s="19">
        <v>1500</v>
      </c>
      <c r="Q7454" s="19">
        <v>1260</v>
      </c>
      <c r="R7454" s="19">
        <f t="shared" si="321"/>
        <v>240</v>
      </c>
      <c r="S7454" s="19">
        <f t="shared" si="322"/>
        <v>2462</v>
      </c>
      <c r="T7454" s="19" t="s">
        <v>42</v>
      </c>
      <c r="U7454" s="102" t="s">
        <v>1728</v>
      </c>
      <c r="V7454" s="186">
        <v>45992</v>
      </c>
      <c r="W7454" s="17" t="s">
        <v>44</v>
      </c>
      <c r="X7454" s="17"/>
      <c r="Y7454" s="68">
        <v>46054</v>
      </c>
      <c r="Z7454" s="17" t="s">
        <v>45</v>
      </c>
      <c r="AA7454" s="17" t="s">
        <v>46</v>
      </c>
      <c r="AB7454" s="17" t="s">
        <v>1718</v>
      </c>
      <c r="AC7454" s="217">
        <v>46140</v>
      </c>
      <c r="AD7454" s="65">
        <v>1796</v>
      </c>
      <c r="AE7454" s="17" t="s">
        <v>48</v>
      </c>
      <c r="AF7454" s="17"/>
      <c r="AG7454" s="17"/>
      <c r="AH7454" s="17"/>
      <c r="AI7454" s="17"/>
      <c r="AJ7454" s="17"/>
      <c r="AK7454" s="17"/>
      <c r="AL7454" s="17"/>
      <c r="AM7454" s="17"/>
      <c r="AN7454" s="17"/>
      <c r="AO7454" s="17"/>
      <c r="AP7454" s="17"/>
      <c r="AQ7454" s="17"/>
      <c r="AR7454" s="17"/>
    </row>
    <row r="7455" s="25" customFormat="1" hidden="1" spans="1:44">
      <c r="A7455" s="17" t="s">
        <v>34</v>
      </c>
      <c r="B7455" s="19">
        <v>1101</v>
      </c>
      <c r="C7455" s="183">
        <v>45992</v>
      </c>
      <c r="D7455" s="17" t="s">
        <v>35</v>
      </c>
      <c r="E7455" s="17" t="s">
        <v>71</v>
      </c>
      <c r="F7455" s="17" t="s">
        <v>72</v>
      </c>
      <c r="G7455" s="17"/>
      <c r="H7455" s="19">
        <v>1.2379</v>
      </c>
      <c r="I7455" s="19"/>
      <c r="J7455" s="17" t="s">
        <v>39</v>
      </c>
      <c r="K7455" s="19">
        <v>46</v>
      </c>
      <c r="L7455" s="91"/>
      <c r="M7455" s="19"/>
      <c r="N7455" s="19" t="s">
        <v>40</v>
      </c>
      <c r="O7455" s="19" t="s">
        <v>84</v>
      </c>
      <c r="P7455" s="19">
        <v>1500</v>
      </c>
      <c r="Q7455" s="19">
        <v>1276</v>
      </c>
      <c r="R7455" s="19">
        <f t="shared" si="321"/>
        <v>224</v>
      </c>
      <c r="S7455" s="19">
        <f t="shared" si="322"/>
        <v>2462</v>
      </c>
      <c r="T7455" s="19" t="s">
        <v>42</v>
      </c>
      <c r="U7455" s="102" t="s">
        <v>1728</v>
      </c>
      <c r="V7455" s="186">
        <v>45992</v>
      </c>
      <c r="W7455" s="17" t="s">
        <v>44</v>
      </c>
      <c r="X7455" s="17"/>
      <c r="Y7455" s="68">
        <v>46054</v>
      </c>
      <c r="Z7455" s="17" t="s">
        <v>45</v>
      </c>
      <c r="AA7455" s="17" t="s">
        <v>46</v>
      </c>
      <c r="AB7455" s="17" t="s">
        <v>1718</v>
      </c>
      <c r="AC7455" s="217">
        <v>46140</v>
      </c>
      <c r="AD7455" s="65">
        <v>1796</v>
      </c>
      <c r="AE7455" s="17" t="s">
        <v>48</v>
      </c>
      <c r="AF7455" s="17"/>
      <c r="AG7455" s="17"/>
      <c r="AH7455" s="17"/>
      <c r="AI7455" s="17"/>
      <c r="AJ7455" s="17"/>
      <c r="AK7455" s="17"/>
      <c r="AL7455" s="17"/>
      <c r="AM7455" s="17"/>
      <c r="AN7455" s="17"/>
      <c r="AO7455" s="17"/>
      <c r="AP7455" s="17"/>
      <c r="AQ7455" s="17"/>
      <c r="AR7455" s="17"/>
    </row>
    <row r="7456" s="25" customFormat="1" hidden="1" spans="1:44">
      <c r="A7456" s="17" t="s">
        <v>34</v>
      </c>
      <c r="B7456" s="19">
        <v>1101</v>
      </c>
      <c r="C7456" s="183">
        <v>45992</v>
      </c>
      <c r="D7456" s="17" t="s">
        <v>35</v>
      </c>
      <c r="E7456" s="17" t="s">
        <v>71</v>
      </c>
      <c r="F7456" s="17" t="s">
        <v>72</v>
      </c>
      <c r="G7456" s="17"/>
      <c r="H7456" s="19">
        <v>1.2379</v>
      </c>
      <c r="I7456" s="19"/>
      <c r="J7456" s="17" t="s">
        <v>39</v>
      </c>
      <c r="K7456" s="19">
        <v>51</v>
      </c>
      <c r="L7456" s="91"/>
      <c r="M7456" s="19"/>
      <c r="N7456" s="19" t="s">
        <v>40</v>
      </c>
      <c r="O7456" s="19" t="s">
        <v>84</v>
      </c>
      <c r="P7456" s="19">
        <v>1500</v>
      </c>
      <c r="Q7456" s="19">
        <v>1256</v>
      </c>
      <c r="R7456" s="19">
        <f t="shared" si="321"/>
        <v>244</v>
      </c>
      <c r="S7456" s="19">
        <f t="shared" si="322"/>
        <v>2462</v>
      </c>
      <c r="T7456" s="19" t="s">
        <v>42</v>
      </c>
      <c r="U7456" s="102" t="s">
        <v>1728</v>
      </c>
      <c r="V7456" s="186">
        <v>45992</v>
      </c>
      <c r="W7456" s="17" t="s">
        <v>44</v>
      </c>
      <c r="X7456" s="17"/>
      <c r="Y7456" s="68">
        <v>46054</v>
      </c>
      <c r="Z7456" s="17" t="s">
        <v>45</v>
      </c>
      <c r="AA7456" s="17" t="s">
        <v>46</v>
      </c>
      <c r="AB7456" s="17" t="s">
        <v>1718</v>
      </c>
      <c r="AC7456" s="217">
        <v>46140</v>
      </c>
      <c r="AD7456" s="65">
        <v>1796</v>
      </c>
      <c r="AE7456" s="17" t="s">
        <v>48</v>
      </c>
      <c r="AF7456" s="17"/>
      <c r="AG7456" s="17"/>
      <c r="AH7456" s="17"/>
      <c r="AI7456" s="17"/>
      <c r="AJ7456" s="17"/>
      <c r="AK7456" s="17"/>
      <c r="AL7456" s="17"/>
      <c r="AM7456" s="17"/>
      <c r="AN7456" s="17"/>
      <c r="AO7456" s="17"/>
      <c r="AP7456" s="17"/>
      <c r="AQ7456" s="17"/>
      <c r="AR7456" s="17"/>
    </row>
    <row r="7457" s="25" customFormat="1" hidden="1" spans="1:44">
      <c r="A7457" s="17" t="s">
        <v>34</v>
      </c>
      <c r="B7457" s="19">
        <v>1101</v>
      </c>
      <c r="C7457" s="183">
        <v>45992</v>
      </c>
      <c r="D7457" s="17" t="s">
        <v>35</v>
      </c>
      <c r="E7457" s="17" t="s">
        <v>71</v>
      </c>
      <c r="F7457" s="17" t="s">
        <v>72</v>
      </c>
      <c r="G7457" s="17"/>
      <c r="H7457" s="19">
        <v>1.2379</v>
      </c>
      <c r="I7457" s="19"/>
      <c r="J7457" s="17" t="s">
        <v>39</v>
      </c>
      <c r="K7457" s="19">
        <v>56</v>
      </c>
      <c r="L7457" s="91"/>
      <c r="M7457" s="19"/>
      <c r="N7457" s="19" t="s">
        <v>40</v>
      </c>
      <c r="O7457" s="19" t="s">
        <v>84</v>
      </c>
      <c r="P7457" s="19">
        <v>1500</v>
      </c>
      <c r="Q7457" s="19">
        <v>1324</v>
      </c>
      <c r="R7457" s="19">
        <f t="shared" si="321"/>
        <v>176</v>
      </c>
      <c r="S7457" s="19">
        <f t="shared" si="322"/>
        <v>2462</v>
      </c>
      <c r="T7457" s="19" t="s">
        <v>42</v>
      </c>
      <c r="U7457" s="102" t="s">
        <v>1728</v>
      </c>
      <c r="V7457" s="186">
        <v>45992</v>
      </c>
      <c r="W7457" s="17" t="s">
        <v>44</v>
      </c>
      <c r="X7457" s="17"/>
      <c r="Y7457" s="68">
        <v>46054</v>
      </c>
      <c r="Z7457" s="17" t="s">
        <v>45</v>
      </c>
      <c r="AA7457" s="17" t="s">
        <v>46</v>
      </c>
      <c r="AB7457" s="17" t="s">
        <v>1718</v>
      </c>
      <c r="AC7457" s="217">
        <v>46140</v>
      </c>
      <c r="AD7457" s="65">
        <v>1796</v>
      </c>
      <c r="AE7457" s="17" t="s">
        <v>48</v>
      </c>
      <c r="AF7457" s="17"/>
      <c r="AG7457" s="17"/>
      <c r="AH7457" s="17"/>
      <c r="AI7457" s="17"/>
      <c r="AJ7457" s="17"/>
      <c r="AK7457" s="17"/>
      <c r="AL7457" s="17"/>
      <c r="AM7457" s="17"/>
      <c r="AN7457" s="17"/>
      <c r="AO7457" s="17"/>
      <c r="AP7457" s="17"/>
      <c r="AQ7457" s="17"/>
      <c r="AR7457" s="17"/>
    </row>
    <row r="7458" s="25" customFormat="1" hidden="1" spans="1:44">
      <c r="A7458" s="17" t="s">
        <v>34</v>
      </c>
      <c r="B7458" s="19">
        <v>1101</v>
      </c>
      <c r="C7458" s="183">
        <v>45992</v>
      </c>
      <c r="D7458" s="17" t="s">
        <v>35</v>
      </c>
      <c r="E7458" s="17" t="s">
        <v>71</v>
      </c>
      <c r="F7458" s="17" t="s">
        <v>72</v>
      </c>
      <c r="G7458" s="17"/>
      <c r="H7458" s="19">
        <v>1.2379</v>
      </c>
      <c r="I7458" s="19"/>
      <c r="J7458" s="17" t="s">
        <v>39</v>
      </c>
      <c r="K7458" s="19">
        <v>61</v>
      </c>
      <c r="L7458" s="91"/>
      <c r="M7458" s="19"/>
      <c r="N7458" s="19" t="s">
        <v>40</v>
      </c>
      <c r="O7458" s="19" t="s">
        <v>84</v>
      </c>
      <c r="P7458" s="19">
        <v>2000</v>
      </c>
      <c r="Q7458" s="19">
        <v>1042</v>
      </c>
      <c r="R7458" s="19">
        <f t="shared" si="321"/>
        <v>958</v>
      </c>
      <c r="S7458" s="19">
        <f t="shared" si="322"/>
        <v>2462</v>
      </c>
      <c r="T7458" s="19" t="s">
        <v>42</v>
      </c>
      <c r="U7458" s="102" t="s">
        <v>1728</v>
      </c>
      <c r="V7458" s="186">
        <v>45992</v>
      </c>
      <c r="W7458" s="17" t="s">
        <v>44</v>
      </c>
      <c r="X7458" s="17"/>
      <c r="Y7458" s="68">
        <v>46054</v>
      </c>
      <c r="Z7458" s="17" t="s">
        <v>45</v>
      </c>
      <c r="AA7458" s="17" t="s">
        <v>46</v>
      </c>
      <c r="AB7458" s="17" t="s">
        <v>1718</v>
      </c>
      <c r="AC7458" s="217">
        <v>46140</v>
      </c>
      <c r="AD7458" s="65">
        <v>1796</v>
      </c>
      <c r="AE7458" s="17" t="s">
        <v>48</v>
      </c>
      <c r="AF7458" s="17"/>
      <c r="AG7458" s="17"/>
      <c r="AH7458" s="17"/>
      <c r="AI7458" s="17"/>
      <c r="AJ7458" s="17"/>
      <c r="AK7458" s="17"/>
      <c r="AL7458" s="17"/>
      <c r="AM7458" s="17"/>
      <c r="AN7458" s="17"/>
      <c r="AO7458" s="17"/>
      <c r="AP7458" s="17"/>
      <c r="AQ7458" s="17"/>
      <c r="AR7458" s="17"/>
    </row>
    <row r="7459" s="25" customFormat="1" hidden="1" spans="1:44">
      <c r="A7459" s="17" t="s">
        <v>34</v>
      </c>
      <c r="B7459" s="19">
        <v>1101</v>
      </c>
      <c r="C7459" s="183">
        <v>45992</v>
      </c>
      <c r="D7459" s="17" t="s">
        <v>35</v>
      </c>
      <c r="E7459" s="17" t="s">
        <v>71</v>
      </c>
      <c r="F7459" s="17" t="s">
        <v>72</v>
      </c>
      <c r="G7459" s="17"/>
      <c r="H7459" s="19">
        <v>1.2379</v>
      </c>
      <c r="I7459" s="19"/>
      <c r="J7459" s="17" t="s">
        <v>39</v>
      </c>
      <c r="K7459" s="19">
        <v>66</v>
      </c>
      <c r="L7459" s="91"/>
      <c r="M7459" s="19"/>
      <c r="N7459" s="19" t="s">
        <v>40</v>
      </c>
      <c r="O7459" s="19" t="s">
        <v>84</v>
      </c>
      <c r="P7459" s="19">
        <v>2000</v>
      </c>
      <c r="Q7459" s="19">
        <v>1074</v>
      </c>
      <c r="R7459" s="19">
        <f t="shared" si="321"/>
        <v>926</v>
      </c>
      <c r="S7459" s="19">
        <v>2322</v>
      </c>
      <c r="T7459" s="19" t="s">
        <v>42</v>
      </c>
      <c r="U7459" s="102" t="s">
        <v>1728</v>
      </c>
      <c r="V7459" s="186">
        <v>45992</v>
      </c>
      <c r="W7459" s="17" t="s">
        <v>1720</v>
      </c>
      <c r="X7459" s="17"/>
      <c r="Y7459" s="68">
        <v>46054</v>
      </c>
      <c r="Z7459" s="17" t="s">
        <v>45</v>
      </c>
      <c r="AA7459" s="17" t="s">
        <v>46</v>
      </c>
      <c r="AB7459" s="17" t="s">
        <v>1721</v>
      </c>
      <c r="AC7459" s="217">
        <v>46195</v>
      </c>
      <c r="AD7459" s="65">
        <v>1822</v>
      </c>
      <c r="AE7459" s="17" t="s">
        <v>48</v>
      </c>
      <c r="AF7459" s="17"/>
      <c r="AG7459" s="17"/>
      <c r="AH7459" s="17"/>
      <c r="AI7459" s="17"/>
      <c r="AJ7459" s="17"/>
      <c r="AK7459" s="17"/>
      <c r="AL7459" s="17"/>
      <c r="AM7459" s="17"/>
      <c r="AN7459" s="17"/>
      <c r="AO7459" s="17"/>
      <c r="AP7459" s="17"/>
      <c r="AQ7459" s="17"/>
      <c r="AR7459" s="17"/>
    </row>
    <row r="7460" s="25" customFormat="1" hidden="1" spans="1:44">
      <c r="A7460" s="17" t="s">
        <v>34</v>
      </c>
      <c r="B7460" s="19">
        <v>1101</v>
      </c>
      <c r="C7460" s="183">
        <v>45992</v>
      </c>
      <c r="D7460" s="17" t="s">
        <v>35</v>
      </c>
      <c r="E7460" s="17" t="s">
        <v>71</v>
      </c>
      <c r="F7460" s="17" t="s">
        <v>72</v>
      </c>
      <c r="G7460" s="17"/>
      <c r="H7460" s="19">
        <v>1.2379</v>
      </c>
      <c r="I7460" s="19"/>
      <c r="J7460" s="17" t="s">
        <v>39</v>
      </c>
      <c r="K7460" s="19">
        <v>70</v>
      </c>
      <c r="L7460" s="91"/>
      <c r="M7460" s="19"/>
      <c r="N7460" s="19" t="s">
        <v>40</v>
      </c>
      <c r="O7460" s="19" t="s">
        <v>84</v>
      </c>
      <c r="P7460" s="19">
        <v>4000</v>
      </c>
      <c r="Q7460" s="19">
        <f>1722+1718</f>
        <v>3440</v>
      </c>
      <c r="R7460" s="19">
        <f t="shared" si="321"/>
        <v>560</v>
      </c>
      <c r="S7460" s="19">
        <v>2322</v>
      </c>
      <c r="T7460" s="19" t="s">
        <v>42</v>
      </c>
      <c r="U7460" s="102" t="s">
        <v>1728</v>
      </c>
      <c r="V7460" s="186">
        <v>45992</v>
      </c>
      <c r="W7460" s="17" t="s">
        <v>1720</v>
      </c>
      <c r="X7460" s="17"/>
      <c r="Y7460" s="68">
        <v>46054</v>
      </c>
      <c r="Z7460" s="17" t="s">
        <v>45</v>
      </c>
      <c r="AA7460" s="17" t="s">
        <v>46</v>
      </c>
      <c r="AB7460" s="17" t="s">
        <v>1721</v>
      </c>
      <c r="AC7460" s="217">
        <v>46195</v>
      </c>
      <c r="AD7460" s="65">
        <v>1822</v>
      </c>
      <c r="AE7460" s="17" t="s">
        <v>48</v>
      </c>
      <c r="AF7460" s="17"/>
      <c r="AG7460" s="17"/>
      <c r="AH7460" s="17"/>
      <c r="AI7460" s="17"/>
      <c r="AJ7460" s="17"/>
      <c r="AK7460" s="17"/>
      <c r="AL7460" s="17"/>
      <c r="AM7460" s="17"/>
      <c r="AN7460" s="17"/>
      <c r="AO7460" s="17"/>
      <c r="AP7460" s="17"/>
      <c r="AQ7460" s="17"/>
      <c r="AR7460" s="17"/>
    </row>
    <row r="7461" s="25" customFormat="1" hidden="1" spans="1:44">
      <c r="A7461" s="17" t="s">
        <v>34</v>
      </c>
      <c r="B7461" s="19">
        <v>1101</v>
      </c>
      <c r="C7461" s="183">
        <v>45992</v>
      </c>
      <c r="D7461" s="17" t="s">
        <v>35</v>
      </c>
      <c r="E7461" s="17" t="s">
        <v>71</v>
      </c>
      <c r="F7461" s="17" t="s">
        <v>72</v>
      </c>
      <c r="G7461" s="17"/>
      <c r="H7461" s="19">
        <v>1.2379</v>
      </c>
      <c r="I7461" s="19"/>
      <c r="J7461" s="17" t="s">
        <v>39</v>
      </c>
      <c r="K7461" s="19">
        <v>76</v>
      </c>
      <c r="L7461" s="91"/>
      <c r="M7461" s="19"/>
      <c r="N7461" s="19" t="s">
        <v>40</v>
      </c>
      <c r="O7461" s="19" t="s">
        <v>84</v>
      </c>
      <c r="P7461" s="19">
        <v>2000</v>
      </c>
      <c r="Q7461" s="19">
        <v>964</v>
      </c>
      <c r="R7461" s="19">
        <f t="shared" si="321"/>
        <v>1036</v>
      </c>
      <c r="S7461" s="19">
        <v>2322</v>
      </c>
      <c r="T7461" s="19" t="s">
        <v>42</v>
      </c>
      <c r="U7461" s="102" t="s">
        <v>1728</v>
      </c>
      <c r="V7461" s="186">
        <v>45992</v>
      </c>
      <c r="W7461" s="17" t="s">
        <v>44</v>
      </c>
      <c r="X7461" s="17"/>
      <c r="Y7461" s="68">
        <v>46054</v>
      </c>
      <c r="Z7461" s="17" t="s">
        <v>45</v>
      </c>
      <c r="AA7461" s="17" t="s">
        <v>46</v>
      </c>
      <c r="AB7461" s="17" t="s">
        <v>1718</v>
      </c>
      <c r="AC7461" s="217">
        <v>46140</v>
      </c>
      <c r="AD7461" s="65">
        <v>1796</v>
      </c>
      <c r="AE7461" s="17" t="s">
        <v>48</v>
      </c>
      <c r="AF7461" s="17"/>
      <c r="AG7461" s="17"/>
      <c r="AH7461" s="17"/>
      <c r="AI7461" s="17"/>
      <c r="AJ7461" s="17"/>
      <c r="AK7461" s="17"/>
      <c r="AL7461" s="17"/>
      <c r="AM7461" s="17"/>
      <c r="AN7461" s="17"/>
      <c r="AO7461" s="17"/>
      <c r="AP7461" s="17"/>
      <c r="AQ7461" s="17"/>
      <c r="AR7461" s="17"/>
    </row>
    <row r="7462" s="25" customFormat="1" hidden="1" spans="1:44">
      <c r="A7462" s="17" t="s">
        <v>34</v>
      </c>
      <c r="B7462" s="19">
        <v>1101</v>
      </c>
      <c r="C7462" s="183">
        <v>45992</v>
      </c>
      <c r="D7462" s="17" t="s">
        <v>35</v>
      </c>
      <c r="E7462" s="17" t="s">
        <v>71</v>
      </c>
      <c r="F7462" s="17" t="s">
        <v>72</v>
      </c>
      <c r="G7462" s="17"/>
      <c r="H7462" s="19">
        <v>1.2379</v>
      </c>
      <c r="I7462" s="19"/>
      <c r="J7462" s="17" t="s">
        <v>39</v>
      </c>
      <c r="K7462" s="19">
        <v>83</v>
      </c>
      <c r="L7462" s="91"/>
      <c r="M7462" s="19"/>
      <c r="N7462" s="19" t="s">
        <v>40</v>
      </c>
      <c r="O7462" s="19" t="s">
        <v>84</v>
      </c>
      <c r="P7462" s="19">
        <v>4000</v>
      </c>
      <c r="Q7462" s="19">
        <f>1708+1628+1574</f>
        <v>4910</v>
      </c>
      <c r="R7462" s="19">
        <f t="shared" si="321"/>
        <v>-910</v>
      </c>
      <c r="S7462" s="19">
        <v>2322</v>
      </c>
      <c r="T7462" s="19" t="s">
        <v>42</v>
      </c>
      <c r="U7462" s="102" t="s">
        <v>1728</v>
      </c>
      <c r="V7462" s="186">
        <v>45992</v>
      </c>
      <c r="W7462" s="17" t="s">
        <v>44</v>
      </c>
      <c r="X7462" s="17"/>
      <c r="Y7462" s="68">
        <v>46054</v>
      </c>
      <c r="Z7462" s="17" t="s">
        <v>45</v>
      </c>
      <c r="AA7462" s="17" t="s">
        <v>46</v>
      </c>
      <c r="AB7462" s="17" t="s">
        <v>1718</v>
      </c>
      <c r="AC7462" s="217">
        <v>46140</v>
      </c>
      <c r="AD7462" s="65">
        <v>1796</v>
      </c>
      <c r="AE7462" s="17" t="s">
        <v>48</v>
      </c>
      <c r="AF7462" s="17"/>
      <c r="AG7462" s="17"/>
      <c r="AH7462" s="17"/>
      <c r="AI7462" s="17"/>
      <c r="AJ7462" s="17"/>
      <c r="AK7462" s="17"/>
      <c r="AL7462" s="17"/>
      <c r="AM7462" s="17"/>
      <c r="AN7462" s="17"/>
      <c r="AO7462" s="17"/>
      <c r="AP7462" s="17"/>
      <c r="AQ7462" s="17"/>
      <c r="AR7462" s="17"/>
    </row>
    <row r="7463" s="25" customFormat="1" hidden="1" spans="1:44">
      <c r="A7463" s="17" t="s">
        <v>34</v>
      </c>
      <c r="B7463" s="19">
        <v>1101</v>
      </c>
      <c r="C7463" s="183">
        <v>45992</v>
      </c>
      <c r="D7463" s="17" t="s">
        <v>35</v>
      </c>
      <c r="E7463" s="17" t="s">
        <v>71</v>
      </c>
      <c r="F7463" s="17" t="s">
        <v>72</v>
      </c>
      <c r="G7463" s="17"/>
      <c r="H7463" s="19">
        <v>1.2379</v>
      </c>
      <c r="I7463" s="19"/>
      <c r="J7463" s="17" t="s">
        <v>39</v>
      </c>
      <c r="K7463" s="19">
        <v>91</v>
      </c>
      <c r="L7463" s="91"/>
      <c r="M7463" s="19"/>
      <c r="N7463" s="19" t="s">
        <v>40</v>
      </c>
      <c r="O7463" s="19" t="s">
        <v>84</v>
      </c>
      <c r="P7463" s="19">
        <v>2000</v>
      </c>
      <c r="Q7463" s="19">
        <v>1720</v>
      </c>
      <c r="R7463" s="19">
        <f t="shared" si="321"/>
        <v>280</v>
      </c>
      <c r="S7463" s="19">
        <v>2322</v>
      </c>
      <c r="T7463" s="19" t="s">
        <v>42</v>
      </c>
      <c r="U7463" s="102" t="s">
        <v>1728</v>
      </c>
      <c r="V7463" s="186">
        <v>45992</v>
      </c>
      <c r="W7463" s="17" t="s">
        <v>44</v>
      </c>
      <c r="X7463" s="17"/>
      <c r="Y7463" s="68">
        <v>46054</v>
      </c>
      <c r="Z7463" s="17" t="s">
        <v>45</v>
      </c>
      <c r="AA7463" s="17" t="s">
        <v>46</v>
      </c>
      <c r="AB7463" s="17" t="s">
        <v>1718</v>
      </c>
      <c r="AC7463" s="217">
        <v>46140</v>
      </c>
      <c r="AD7463" s="65">
        <v>1796</v>
      </c>
      <c r="AE7463" s="17" t="s">
        <v>48</v>
      </c>
      <c r="AF7463" s="17"/>
      <c r="AG7463" s="17"/>
      <c r="AH7463" s="17"/>
      <c r="AI7463" s="17"/>
      <c r="AJ7463" s="17"/>
      <c r="AK7463" s="17"/>
      <c r="AL7463" s="17"/>
      <c r="AM7463" s="17"/>
      <c r="AN7463" s="17"/>
      <c r="AO7463" s="17"/>
      <c r="AP7463" s="17"/>
      <c r="AQ7463" s="17"/>
      <c r="AR7463" s="17"/>
    </row>
    <row r="7464" s="25" customFormat="1" hidden="1" spans="1:44">
      <c r="A7464" s="17" t="s">
        <v>34</v>
      </c>
      <c r="B7464" s="19">
        <v>1101</v>
      </c>
      <c r="C7464" s="183">
        <v>45992</v>
      </c>
      <c r="D7464" s="17" t="s">
        <v>35</v>
      </c>
      <c r="E7464" s="17" t="s">
        <v>71</v>
      </c>
      <c r="F7464" s="17" t="s">
        <v>72</v>
      </c>
      <c r="G7464" s="17"/>
      <c r="H7464" s="19">
        <v>1.2379</v>
      </c>
      <c r="I7464" s="19"/>
      <c r="J7464" s="17" t="s">
        <v>39</v>
      </c>
      <c r="K7464" s="19">
        <v>100</v>
      </c>
      <c r="L7464" s="91"/>
      <c r="M7464" s="19"/>
      <c r="N7464" s="19" t="s">
        <v>40</v>
      </c>
      <c r="O7464" s="19" t="s">
        <v>84</v>
      </c>
      <c r="P7464" s="19">
        <v>4000</v>
      </c>
      <c r="Q7464" s="19">
        <f>1762+1410</f>
        <v>3172</v>
      </c>
      <c r="S7464" s="19">
        <v>2322</v>
      </c>
      <c r="T7464" s="19" t="s">
        <v>42</v>
      </c>
      <c r="U7464" s="102" t="s">
        <v>1728</v>
      </c>
      <c r="V7464" s="186">
        <v>45992</v>
      </c>
      <c r="W7464" s="17" t="s">
        <v>44</v>
      </c>
      <c r="X7464" s="17"/>
      <c r="Y7464" s="68">
        <v>46054</v>
      </c>
      <c r="Z7464" s="17" t="s">
        <v>45</v>
      </c>
      <c r="AA7464" s="17" t="s">
        <v>46</v>
      </c>
      <c r="AB7464" s="17" t="s">
        <v>1718</v>
      </c>
      <c r="AC7464" s="217">
        <v>46140</v>
      </c>
      <c r="AD7464" s="65">
        <v>1796</v>
      </c>
      <c r="AE7464" s="17" t="s">
        <v>48</v>
      </c>
      <c r="AF7464" s="17"/>
      <c r="AG7464" s="17"/>
      <c r="AH7464" s="17"/>
      <c r="AI7464" s="17"/>
      <c r="AJ7464" s="17"/>
      <c r="AK7464" s="17"/>
      <c r="AL7464" s="17"/>
      <c r="AM7464" s="17"/>
      <c r="AN7464" s="17"/>
      <c r="AO7464" s="17"/>
      <c r="AP7464" s="17"/>
      <c r="AQ7464" s="17"/>
      <c r="AR7464" s="17"/>
    </row>
    <row r="7465" s="25" customFormat="1" hidden="1" spans="1:44">
      <c r="A7465" s="17" t="s">
        <v>34</v>
      </c>
      <c r="B7465" s="19">
        <v>1101</v>
      </c>
      <c r="C7465" s="183">
        <v>45992</v>
      </c>
      <c r="D7465" s="17" t="s">
        <v>35</v>
      </c>
      <c r="E7465" s="17" t="s">
        <v>71</v>
      </c>
      <c r="F7465" s="17" t="s">
        <v>72</v>
      </c>
      <c r="G7465" s="17"/>
      <c r="H7465" s="19">
        <v>1.2379</v>
      </c>
      <c r="I7465" s="19"/>
      <c r="J7465" s="17" t="s">
        <v>39</v>
      </c>
      <c r="K7465" s="19">
        <v>100</v>
      </c>
      <c r="L7465" s="91"/>
      <c r="M7465" s="19"/>
      <c r="N7465" s="19" t="s">
        <v>40</v>
      </c>
      <c r="O7465" s="19" t="s">
        <v>84</v>
      </c>
      <c r="P7465" s="19"/>
      <c r="Q7465" s="19">
        <f>230+878</f>
        <v>1108</v>
      </c>
      <c r="R7465" s="19">
        <f>+P7464-Q7464-Q7465</f>
        <v>-280</v>
      </c>
      <c r="S7465" s="19">
        <f>2322</f>
        <v>2322</v>
      </c>
      <c r="T7465" s="19" t="s">
        <v>42</v>
      </c>
      <c r="U7465" s="102" t="s">
        <v>1728</v>
      </c>
      <c r="V7465" s="186">
        <v>45992</v>
      </c>
      <c r="W7465" s="17" t="s">
        <v>1720</v>
      </c>
      <c r="X7465" s="17"/>
      <c r="Y7465" s="68">
        <v>46054</v>
      </c>
      <c r="Z7465" s="17" t="s">
        <v>45</v>
      </c>
      <c r="AA7465" s="17" t="s">
        <v>46</v>
      </c>
      <c r="AB7465" s="17" t="s">
        <v>1721</v>
      </c>
      <c r="AC7465" s="217">
        <v>46195</v>
      </c>
      <c r="AD7465" s="65">
        <v>1822</v>
      </c>
      <c r="AE7465" s="17" t="s">
        <v>48</v>
      </c>
      <c r="AF7465" s="17"/>
      <c r="AG7465" s="17"/>
      <c r="AH7465" s="17"/>
      <c r="AI7465" s="17"/>
      <c r="AJ7465" s="17"/>
      <c r="AK7465" s="17"/>
      <c r="AL7465" s="17"/>
      <c r="AM7465" s="17"/>
      <c r="AN7465" s="17"/>
      <c r="AO7465" s="17"/>
      <c r="AP7465" s="17"/>
      <c r="AQ7465" s="17"/>
      <c r="AR7465" s="17"/>
    </row>
    <row r="7466" s="25" customFormat="1" hidden="1" spans="1:44">
      <c r="A7466" s="17" t="s">
        <v>34</v>
      </c>
      <c r="B7466" s="19">
        <v>1101</v>
      </c>
      <c r="C7466" s="183">
        <v>45992</v>
      </c>
      <c r="D7466" s="17" t="s">
        <v>35</v>
      </c>
      <c r="E7466" s="17" t="s">
        <v>71</v>
      </c>
      <c r="F7466" s="17" t="s">
        <v>72</v>
      </c>
      <c r="G7466" s="17"/>
      <c r="H7466" s="19">
        <v>1.2379</v>
      </c>
      <c r="I7466" s="19"/>
      <c r="J7466" s="17" t="s">
        <v>39</v>
      </c>
      <c r="K7466" s="19">
        <v>123</v>
      </c>
      <c r="L7466" s="91"/>
      <c r="M7466" s="19"/>
      <c r="N7466" s="19" t="s">
        <v>40</v>
      </c>
      <c r="O7466" s="19" t="s">
        <v>84</v>
      </c>
      <c r="P7466" s="19">
        <v>6000</v>
      </c>
      <c r="Q7466" s="19">
        <f>695+1365+1555</f>
        <v>3615</v>
      </c>
      <c r="R7466" s="19">
        <f>+P7466-Q7466</f>
        <v>2385</v>
      </c>
      <c r="S7466" s="19">
        <f>2237-33</f>
        <v>2204</v>
      </c>
      <c r="T7466" s="19" t="s">
        <v>42</v>
      </c>
      <c r="U7466" s="102" t="s">
        <v>1729</v>
      </c>
      <c r="V7466" s="186">
        <v>45992</v>
      </c>
      <c r="W7466" s="17" t="s">
        <v>44</v>
      </c>
      <c r="X7466" s="17"/>
      <c r="Y7466" s="68">
        <v>46113</v>
      </c>
      <c r="Z7466" s="17" t="s">
        <v>45</v>
      </c>
      <c r="AA7466" s="17" t="s">
        <v>46</v>
      </c>
      <c r="AB7466" s="17" t="s">
        <v>1722</v>
      </c>
      <c r="AC7466" s="217">
        <v>46140</v>
      </c>
      <c r="AD7466" s="65">
        <v>1796</v>
      </c>
      <c r="AE7466" s="17" t="s">
        <v>48</v>
      </c>
      <c r="AF7466" s="17"/>
      <c r="AG7466" s="17"/>
      <c r="AH7466" s="17"/>
      <c r="AI7466" s="17"/>
      <c r="AJ7466" s="17"/>
      <c r="AK7466" s="17"/>
      <c r="AL7466" s="17"/>
      <c r="AM7466" s="17"/>
      <c r="AN7466" s="17"/>
      <c r="AO7466" s="17"/>
      <c r="AP7466" s="17"/>
      <c r="AQ7466" s="17"/>
      <c r="AR7466" s="17"/>
    </row>
    <row r="7467" s="25" customFormat="1" hidden="1" spans="1:44">
      <c r="A7467" s="17" t="s">
        <v>34</v>
      </c>
      <c r="B7467" s="19">
        <v>1101</v>
      </c>
      <c r="C7467" s="183">
        <v>45992</v>
      </c>
      <c r="D7467" s="17" t="s">
        <v>35</v>
      </c>
      <c r="E7467" s="17" t="s">
        <v>71</v>
      </c>
      <c r="F7467" s="17" t="s">
        <v>72</v>
      </c>
      <c r="G7467" s="17"/>
      <c r="H7467" s="19">
        <v>1.2379</v>
      </c>
      <c r="I7467" s="19"/>
      <c r="J7467" s="17" t="s">
        <v>39</v>
      </c>
      <c r="K7467" s="19">
        <v>132</v>
      </c>
      <c r="L7467" s="91"/>
      <c r="M7467" s="19"/>
      <c r="N7467" s="19" t="s">
        <v>40</v>
      </c>
      <c r="O7467" s="19" t="s">
        <v>84</v>
      </c>
      <c r="P7467" s="19">
        <v>6000</v>
      </c>
      <c r="Q7467" s="19">
        <f>335+495+505+505+355</f>
        <v>2195</v>
      </c>
      <c r="S7467" s="19">
        <f>2237-33</f>
        <v>2204</v>
      </c>
      <c r="T7467" s="19" t="s">
        <v>42</v>
      </c>
      <c r="U7467" s="102" t="s">
        <v>1729</v>
      </c>
      <c r="V7467" s="186">
        <v>45992</v>
      </c>
      <c r="W7467" s="17" t="s">
        <v>44</v>
      </c>
      <c r="X7467" s="17"/>
      <c r="Y7467" s="68">
        <v>46113</v>
      </c>
      <c r="Z7467" s="17" t="s">
        <v>45</v>
      </c>
      <c r="AA7467" s="17" t="s">
        <v>46</v>
      </c>
      <c r="AB7467" s="17" t="s">
        <v>1722</v>
      </c>
      <c r="AC7467" s="217">
        <v>46140</v>
      </c>
      <c r="AD7467" s="65">
        <v>1796</v>
      </c>
      <c r="AE7467" s="17" t="s">
        <v>48</v>
      </c>
      <c r="AF7467" s="17"/>
      <c r="AG7467" s="17"/>
      <c r="AH7467" s="17"/>
      <c r="AI7467" s="17"/>
      <c r="AJ7467" s="17"/>
      <c r="AK7467" s="17"/>
      <c r="AL7467" s="17"/>
      <c r="AM7467" s="17"/>
      <c r="AN7467" s="17"/>
      <c r="AO7467" s="17"/>
      <c r="AP7467" s="17"/>
      <c r="AQ7467" s="17"/>
      <c r="AR7467" s="17"/>
    </row>
    <row r="7468" s="25" customFormat="1" hidden="1" spans="1:44">
      <c r="A7468" s="17" t="s">
        <v>34</v>
      </c>
      <c r="B7468" s="19">
        <v>1101</v>
      </c>
      <c r="C7468" s="183">
        <v>45992</v>
      </c>
      <c r="D7468" s="17" t="s">
        <v>35</v>
      </c>
      <c r="E7468" s="17" t="s">
        <v>71</v>
      </c>
      <c r="F7468" s="17" t="s">
        <v>72</v>
      </c>
      <c r="G7468" s="17"/>
      <c r="H7468" s="19">
        <v>1.2379</v>
      </c>
      <c r="I7468" s="19"/>
      <c r="J7468" s="17" t="s">
        <v>39</v>
      </c>
      <c r="K7468" s="19">
        <v>132</v>
      </c>
      <c r="L7468" s="91"/>
      <c r="M7468" s="19"/>
      <c r="N7468" s="19" t="s">
        <v>40</v>
      </c>
      <c r="O7468" s="19" t="s">
        <v>84</v>
      </c>
      <c r="P7468" s="19"/>
      <c r="Q7468" s="19">
        <f>330+400+400+420</f>
        <v>1550</v>
      </c>
      <c r="R7468" s="19">
        <f>+P7467-Q7467-Q7468</f>
        <v>2255</v>
      </c>
      <c r="S7468" s="19">
        <f>2237</f>
        <v>2237</v>
      </c>
      <c r="T7468" s="19" t="s">
        <v>42</v>
      </c>
      <c r="U7468" s="102" t="s">
        <v>1729</v>
      </c>
      <c r="V7468" s="186">
        <v>45992</v>
      </c>
      <c r="W7468" s="17" t="s">
        <v>1720</v>
      </c>
      <c r="X7468" s="17"/>
      <c r="Y7468" s="68">
        <v>46113</v>
      </c>
      <c r="Z7468" s="17" t="s">
        <v>45</v>
      </c>
      <c r="AA7468" s="17" t="s">
        <v>46</v>
      </c>
      <c r="AB7468" s="17" t="s">
        <v>1721</v>
      </c>
      <c r="AC7468" s="217">
        <v>46195</v>
      </c>
      <c r="AD7468" s="65">
        <v>1822</v>
      </c>
      <c r="AE7468" s="17" t="s">
        <v>48</v>
      </c>
      <c r="AF7468" s="17"/>
      <c r="AG7468" s="17"/>
      <c r="AH7468" s="17"/>
      <c r="AI7468" s="17"/>
      <c r="AJ7468" s="17"/>
      <c r="AK7468" s="17"/>
      <c r="AL7468" s="17"/>
      <c r="AM7468" s="17"/>
      <c r="AN7468" s="17"/>
      <c r="AO7468" s="17"/>
      <c r="AP7468" s="17"/>
      <c r="AQ7468" s="17"/>
      <c r="AR7468" s="17"/>
    </row>
    <row r="7469" s="25" customFormat="1" hidden="1" spans="1:44">
      <c r="A7469" s="17" t="s">
        <v>34</v>
      </c>
      <c r="B7469" s="19">
        <v>1101</v>
      </c>
      <c r="C7469" s="183">
        <v>45992</v>
      </c>
      <c r="D7469" s="17" t="s">
        <v>35</v>
      </c>
      <c r="E7469" s="17" t="s">
        <v>71</v>
      </c>
      <c r="F7469" s="17" t="s">
        <v>72</v>
      </c>
      <c r="G7469" s="17"/>
      <c r="H7469" s="19">
        <v>1.2379</v>
      </c>
      <c r="I7469" s="19"/>
      <c r="J7469" s="17" t="s">
        <v>39</v>
      </c>
      <c r="K7469" s="19">
        <v>152</v>
      </c>
      <c r="L7469" s="91"/>
      <c r="M7469" s="19"/>
      <c r="N7469" s="19" t="s">
        <v>40</v>
      </c>
      <c r="O7469" s="19" t="s">
        <v>84</v>
      </c>
      <c r="P7469" s="19">
        <v>6000</v>
      </c>
      <c r="Q7469" s="19">
        <f>760+720+745+685+740</f>
        <v>3650</v>
      </c>
      <c r="S7469" s="19">
        <f>2237-33</f>
        <v>2204</v>
      </c>
      <c r="T7469" s="19" t="s">
        <v>42</v>
      </c>
      <c r="U7469" s="102" t="s">
        <v>1729</v>
      </c>
      <c r="V7469" s="186">
        <v>45992</v>
      </c>
      <c r="W7469" s="17" t="s">
        <v>44</v>
      </c>
      <c r="X7469" s="17"/>
      <c r="Y7469" s="68">
        <v>46113</v>
      </c>
      <c r="Z7469" s="17" t="s">
        <v>45</v>
      </c>
      <c r="AA7469" s="17" t="s">
        <v>46</v>
      </c>
      <c r="AB7469" s="17" t="s">
        <v>1722</v>
      </c>
      <c r="AC7469" s="217">
        <v>46140</v>
      </c>
      <c r="AD7469" s="65">
        <v>1796</v>
      </c>
      <c r="AE7469" s="17" t="s">
        <v>48</v>
      </c>
      <c r="AF7469" s="17"/>
      <c r="AG7469" s="17"/>
      <c r="AH7469" s="17"/>
      <c r="AI7469" s="17"/>
      <c r="AJ7469" s="17"/>
      <c r="AK7469" s="17"/>
      <c r="AL7469" s="17"/>
      <c r="AM7469" s="17"/>
      <c r="AN7469" s="17"/>
      <c r="AO7469" s="17"/>
      <c r="AP7469" s="17"/>
      <c r="AQ7469" s="17"/>
      <c r="AR7469" s="17"/>
    </row>
    <row r="7470" s="25" customFormat="1" hidden="1" spans="1:44">
      <c r="A7470" s="17" t="s">
        <v>34</v>
      </c>
      <c r="B7470" s="19">
        <v>1101</v>
      </c>
      <c r="C7470" s="183">
        <v>45992</v>
      </c>
      <c r="D7470" s="17" t="s">
        <v>35</v>
      </c>
      <c r="E7470" s="17" t="s">
        <v>71</v>
      </c>
      <c r="F7470" s="17" t="s">
        <v>72</v>
      </c>
      <c r="G7470" s="17"/>
      <c r="H7470" s="19">
        <v>1.2379</v>
      </c>
      <c r="I7470" s="19"/>
      <c r="J7470" s="17" t="s">
        <v>39</v>
      </c>
      <c r="K7470" s="19">
        <v>152</v>
      </c>
      <c r="L7470" s="91"/>
      <c r="M7470" s="19"/>
      <c r="N7470" s="19" t="s">
        <v>40</v>
      </c>
      <c r="O7470" s="19" t="s">
        <v>84</v>
      </c>
      <c r="P7470" s="19"/>
      <c r="Q7470" s="19">
        <f>775+735+770</f>
        <v>2280</v>
      </c>
      <c r="R7470" s="19">
        <f>+P7469-Q7469-Q7470</f>
        <v>70</v>
      </c>
      <c r="S7470" s="19">
        <f>2237</f>
        <v>2237</v>
      </c>
      <c r="T7470" s="19" t="s">
        <v>42</v>
      </c>
      <c r="U7470" s="102" t="s">
        <v>1729</v>
      </c>
      <c r="V7470" s="186">
        <v>45992</v>
      </c>
      <c r="W7470" s="17" t="s">
        <v>1720</v>
      </c>
      <c r="X7470" s="17"/>
      <c r="Y7470" s="68">
        <v>46113</v>
      </c>
      <c r="Z7470" s="17" t="s">
        <v>45</v>
      </c>
      <c r="AA7470" s="17" t="s">
        <v>46</v>
      </c>
      <c r="AB7470" s="17" t="s">
        <v>1721</v>
      </c>
      <c r="AC7470" s="217">
        <v>46195</v>
      </c>
      <c r="AD7470" s="65">
        <v>1822</v>
      </c>
      <c r="AE7470" s="17" t="s">
        <v>48</v>
      </c>
      <c r="AF7470" s="17"/>
      <c r="AG7470" s="17"/>
      <c r="AH7470" s="17"/>
      <c r="AI7470" s="17"/>
      <c r="AJ7470" s="17"/>
      <c r="AK7470" s="17"/>
      <c r="AL7470" s="17"/>
      <c r="AM7470" s="17"/>
      <c r="AN7470" s="17"/>
      <c r="AO7470" s="17"/>
      <c r="AP7470" s="17"/>
      <c r="AQ7470" s="17"/>
      <c r="AR7470" s="17"/>
    </row>
    <row r="7471" s="25" customFormat="1" hidden="1" spans="1:44">
      <c r="A7471" s="17" t="s">
        <v>34</v>
      </c>
      <c r="B7471" s="19">
        <v>1101</v>
      </c>
      <c r="C7471" s="183">
        <v>45992</v>
      </c>
      <c r="D7471" s="17" t="s">
        <v>35</v>
      </c>
      <c r="E7471" s="17" t="s">
        <v>71</v>
      </c>
      <c r="F7471" s="17" t="s">
        <v>72</v>
      </c>
      <c r="G7471" s="17"/>
      <c r="H7471" s="19">
        <v>1.2379</v>
      </c>
      <c r="I7471" s="19"/>
      <c r="J7471" s="17" t="s">
        <v>39</v>
      </c>
      <c r="K7471" s="19">
        <v>182</v>
      </c>
      <c r="L7471" s="91"/>
      <c r="M7471" s="19"/>
      <c r="N7471" s="19" t="s">
        <v>40</v>
      </c>
      <c r="O7471" s="19" t="s">
        <v>84</v>
      </c>
      <c r="P7471" s="19">
        <v>3000</v>
      </c>
      <c r="Q7471" s="19">
        <f>820+805</f>
        <v>1625</v>
      </c>
      <c r="S7471" s="19">
        <f>2237-33</f>
        <v>2204</v>
      </c>
      <c r="T7471" s="19" t="s">
        <v>42</v>
      </c>
      <c r="U7471" s="102" t="s">
        <v>1729</v>
      </c>
      <c r="V7471" s="186">
        <v>45992</v>
      </c>
      <c r="W7471" s="17" t="s">
        <v>44</v>
      </c>
      <c r="X7471" s="17"/>
      <c r="Y7471" s="68">
        <v>46113</v>
      </c>
      <c r="Z7471" s="17" t="s">
        <v>45</v>
      </c>
      <c r="AA7471" s="17" t="s">
        <v>46</v>
      </c>
      <c r="AB7471" s="17" t="s">
        <v>1722</v>
      </c>
      <c r="AC7471" s="217">
        <v>46140</v>
      </c>
      <c r="AD7471" s="65">
        <v>1796</v>
      </c>
      <c r="AE7471" s="17" t="s">
        <v>48</v>
      </c>
      <c r="AF7471" s="17"/>
      <c r="AG7471" s="17"/>
      <c r="AH7471" s="17"/>
      <c r="AI7471" s="17"/>
      <c r="AJ7471" s="17"/>
      <c r="AK7471" s="17"/>
      <c r="AL7471" s="17"/>
      <c r="AM7471" s="17"/>
      <c r="AN7471" s="17"/>
      <c r="AO7471" s="17"/>
      <c r="AP7471" s="17"/>
      <c r="AQ7471" s="17"/>
      <c r="AR7471" s="17"/>
    </row>
    <row r="7472" s="25" customFormat="1" hidden="1" spans="1:44">
      <c r="A7472" s="17" t="s">
        <v>34</v>
      </c>
      <c r="B7472" s="19">
        <v>1101</v>
      </c>
      <c r="C7472" s="183">
        <v>45992</v>
      </c>
      <c r="D7472" s="17" t="s">
        <v>35</v>
      </c>
      <c r="E7472" s="17" t="s">
        <v>71</v>
      </c>
      <c r="F7472" s="17" t="s">
        <v>72</v>
      </c>
      <c r="G7472" s="17"/>
      <c r="H7472" s="19">
        <v>1.2379</v>
      </c>
      <c r="I7472" s="19"/>
      <c r="J7472" s="17" t="s">
        <v>39</v>
      </c>
      <c r="K7472" s="19">
        <v>182</v>
      </c>
      <c r="L7472" s="91"/>
      <c r="M7472" s="19"/>
      <c r="N7472" s="19" t="s">
        <v>40</v>
      </c>
      <c r="O7472" s="19" t="s">
        <v>84</v>
      </c>
      <c r="P7472" s="19"/>
      <c r="Q7472" s="19">
        <f>630+785</f>
        <v>1415</v>
      </c>
      <c r="R7472" s="19">
        <f>+P7471-Q7471-Q7472</f>
        <v>-40</v>
      </c>
      <c r="S7472" s="19">
        <f>2237</f>
        <v>2237</v>
      </c>
      <c r="T7472" s="19" t="s">
        <v>42</v>
      </c>
      <c r="U7472" s="102" t="s">
        <v>1729</v>
      </c>
      <c r="V7472" s="186">
        <v>45992</v>
      </c>
      <c r="W7472" s="17" t="s">
        <v>1720</v>
      </c>
      <c r="X7472" s="17"/>
      <c r="Y7472" s="68">
        <v>46113</v>
      </c>
      <c r="Z7472" s="17" t="s">
        <v>45</v>
      </c>
      <c r="AA7472" s="17" t="s">
        <v>46</v>
      </c>
      <c r="AB7472" s="17" t="s">
        <v>1721</v>
      </c>
      <c r="AC7472" s="217">
        <v>46195</v>
      </c>
      <c r="AD7472" s="65">
        <v>1822</v>
      </c>
      <c r="AE7472" s="17" t="s">
        <v>48</v>
      </c>
      <c r="AF7472" s="17"/>
      <c r="AG7472" s="17"/>
      <c r="AH7472" s="17"/>
      <c r="AI7472" s="17"/>
      <c r="AJ7472" s="17"/>
      <c r="AK7472" s="17"/>
      <c r="AL7472" s="17"/>
      <c r="AM7472" s="17"/>
      <c r="AN7472" s="17"/>
      <c r="AO7472" s="17"/>
      <c r="AP7472" s="17"/>
      <c r="AQ7472" s="17"/>
      <c r="AR7472" s="17"/>
    </row>
    <row r="7473" s="25" customFormat="1" hidden="1" spans="1:45">
      <c r="A7473" s="17" t="s">
        <v>34</v>
      </c>
      <c r="B7473" s="19">
        <v>1101</v>
      </c>
      <c r="C7473" s="183">
        <v>45992</v>
      </c>
      <c r="D7473" s="17" t="s">
        <v>35</v>
      </c>
      <c r="E7473" s="17" t="s">
        <v>71</v>
      </c>
      <c r="F7473" s="17" t="s">
        <v>72</v>
      </c>
      <c r="G7473" s="17"/>
      <c r="H7473" s="19">
        <v>1.2379</v>
      </c>
      <c r="I7473" s="19"/>
      <c r="J7473" s="17" t="s">
        <v>39</v>
      </c>
      <c r="K7473" s="147">
        <v>232</v>
      </c>
      <c r="L7473" s="243"/>
      <c r="M7473" s="19"/>
      <c r="N7473" s="19" t="s">
        <v>40</v>
      </c>
      <c r="O7473" s="19" t="s">
        <v>84</v>
      </c>
      <c r="P7473" s="19">
        <v>3000</v>
      </c>
      <c r="Q7473" s="19">
        <f>1575+1640</f>
        <v>3215</v>
      </c>
      <c r="R7473" s="19">
        <f t="shared" ref="R7473:R7541" si="323">+P7473-Q7473</f>
        <v>-215</v>
      </c>
      <c r="S7473" s="19">
        <f>2237-33</f>
        <v>2204</v>
      </c>
      <c r="T7473" s="19" t="s">
        <v>42</v>
      </c>
      <c r="U7473" s="102" t="s">
        <v>1729</v>
      </c>
      <c r="V7473" s="186">
        <v>45992</v>
      </c>
      <c r="W7473" s="17" t="s">
        <v>44</v>
      </c>
      <c r="X7473" s="17"/>
      <c r="Y7473" s="68">
        <v>46113</v>
      </c>
      <c r="Z7473" s="17" t="s">
        <v>45</v>
      </c>
      <c r="AA7473" s="17" t="s">
        <v>46</v>
      </c>
      <c r="AB7473" s="17" t="s">
        <v>1718</v>
      </c>
      <c r="AC7473" s="217">
        <v>46140</v>
      </c>
      <c r="AD7473" s="65">
        <v>1796</v>
      </c>
      <c r="AE7473" s="17" t="s">
        <v>48</v>
      </c>
      <c r="AF7473" s="17"/>
      <c r="AG7473" s="17"/>
      <c r="AH7473" s="17"/>
      <c r="AI7473" s="17"/>
      <c r="AJ7473" s="17"/>
      <c r="AK7473" s="17"/>
      <c r="AL7473" s="17"/>
      <c r="AM7473" s="17"/>
      <c r="AN7473" s="17"/>
      <c r="AO7473" s="17"/>
      <c r="AP7473" s="17"/>
      <c r="AQ7473" s="17"/>
      <c r="AR7473" s="17"/>
    </row>
    <row r="7474" s="25" customFormat="1" spans="1:45">
      <c r="A7474" s="17" t="s">
        <v>34</v>
      </c>
      <c r="B7474" s="19">
        <v>1109</v>
      </c>
      <c r="C7474" s="183">
        <v>46132</v>
      </c>
      <c r="D7474" s="17" t="s">
        <v>52</v>
      </c>
      <c r="E7474" s="17" t="s">
        <v>104</v>
      </c>
      <c r="F7474" s="17" t="s">
        <v>54</v>
      </c>
      <c r="G7474" s="17"/>
      <c r="H7474" s="19">
        <v>1.2311</v>
      </c>
      <c r="I7474" s="102" t="s">
        <v>65</v>
      </c>
      <c r="J7474" s="17" t="s">
        <v>49</v>
      </c>
      <c r="K7474" s="19">
        <v>2300</v>
      </c>
      <c r="L7474" s="447">
        <v>25</v>
      </c>
      <c r="M7474" s="19">
        <v>5800</v>
      </c>
      <c r="N7474" s="19" t="s">
        <v>66</v>
      </c>
      <c r="O7474" s="19" t="s">
        <v>67</v>
      </c>
      <c r="P7474" s="19">
        <v>2075</v>
      </c>
      <c r="Q7474" s="19">
        <v>2240</v>
      </c>
      <c r="R7474" s="19">
        <f t="shared" si="323"/>
        <v>-165</v>
      </c>
      <c r="S7474" s="19">
        <f>785-50</f>
        <v>735</v>
      </c>
      <c r="T7474" s="19" t="s">
        <v>42</v>
      </c>
      <c r="U7474" s="102" t="s">
        <v>1730</v>
      </c>
      <c r="V7474" s="186">
        <v>46133</v>
      </c>
      <c r="W7474" s="17" t="s">
        <v>44</v>
      </c>
      <c r="X7474" s="17"/>
      <c r="Y7474" s="68">
        <v>46143</v>
      </c>
      <c r="Z7474" s="17" t="s">
        <v>45</v>
      </c>
      <c r="AA7474" s="17" t="s">
        <v>46</v>
      </c>
      <c r="AB7474" s="17" t="s">
        <v>116</v>
      </c>
      <c r="AC7474" s="217">
        <v>46241</v>
      </c>
      <c r="AD7474" s="65">
        <v>1848</v>
      </c>
      <c r="AE7474" s="17" t="s">
        <v>48</v>
      </c>
      <c r="AF7474" s="17" t="s">
        <v>61</v>
      </c>
      <c r="AG7474" s="17"/>
      <c r="AH7474" s="17"/>
      <c r="AJ7474" s="17"/>
      <c r="AK7474" s="17"/>
      <c r="AL7474" s="17"/>
      <c r="AM7474" s="17"/>
      <c r="AN7474" s="17"/>
      <c r="AO7474" s="17"/>
      <c r="AP7474" s="17"/>
      <c r="AQ7474" s="17"/>
      <c r="AR7474" s="17"/>
      <c r="AS7474" s="17"/>
    </row>
    <row r="7475" s="25" customFormat="1" hidden="1" spans="1:45">
      <c r="A7475" s="17" t="s">
        <v>34</v>
      </c>
      <c r="B7475" s="19">
        <v>1109</v>
      </c>
      <c r="C7475" s="183">
        <v>46132</v>
      </c>
      <c r="D7475" s="17" t="s">
        <v>52</v>
      </c>
      <c r="E7475" s="17" t="s">
        <v>104</v>
      </c>
      <c r="F7475" s="17" t="s">
        <v>54</v>
      </c>
      <c r="G7475" s="17"/>
      <c r="H7475" s="19">
        <v>1.2311</v>
      </c>
      <c r="I7475" s="19" t="s">
        <v>1114</v>
      </c>
      <c r="J7475" s="17" t="s">
        <v>49</v>
      </c>
      <c r="K7475" s="19">
        <v>2300</v>
      </c>
      <c r="L7475" s="448">
        <v>32</v>
      </c>
      <c r="M7475" s="19">
        <v>5800</v>
      </c>
      <c r="N7475" s="19" t="s">
        <v>66</v>
      </c>
      <c r="O7475" s="19" t="s">
        <v>67</v>
      </c>
      <c r="P7475" s="19">
        <v>5313</v>
      </c>
      <c r="Q7475" s="19">
        <v>1756</v>
      </c>
      <c r="S7475" s="19">
        <v>785</v>
      </c>
      <c r="T7475" s="19" t="s">
        <v>42</v>
      </c>
      <c r="U7475" s="102" t="s">
        <v>1730</v>
      </c>
      <c r="V7475" s="186">
        <v>46133</v>
      </c>
      <c r="W7475" s="17" t="s">
        <v>44</v>
      </c>
      <c r="X7475" s="17"/>
      <c r="Y7475" s="68">
        <v>46143</v>
      </c>
      <c r="Z7475" s="17" t="s">
        <v>45</v>
      </c>
      <c r="AA7475" s="17" t="s">
        <v>46</v>
      </c>
      <c r="AB7475" s="17" t="s">
        <v>1731</v>
      </c>
      <c r="AC7475" s="217">
        <v>46153</v>
      </c>
      <c r="AD7475" s="65">
        <v>1804</v>
      </c>
      <c r="AE7475" s="17" t="s">
        <v>48</v>
      </c>
      <c r="AF7475" s="17" t="s">
        <v>560</v>
      </c>
      <c r="AG7475" s="17"/>
      <c r="AH7475" s="17"/>
      <c r="AJ7475" s="17"/>
      <c r="AK7475" s="17"/>
      <c r="AL7475" s="17"/>
      <c r="AM7475" s="17"/>
      <c r="AN7475" s="17"/>
      <c r="AO7475" s="17"/>
      <c r="AP7475" s="17"/>
      <c r="AQ7475" s="17"/>
      <c r="AR7475" s="17"/>
      <c r="AS7475" s="17"/>
    </row>
    <row r="7476" s="25" customFormat="1" hidden="1" spans="1:45">
      <c r="A7476" s="17" t="s">
        <v>34</v>
      </c>
      <c r="B7476" s="19">
        <v>1109</v>
      </c>
      <c r="C7476" s="183">
        <v>46132</v>
      </c>
      <c r="D7476" s="17" t="s">
        <v>52</v>
      </c>
      <c r="E7476" s="17" t="s">
        <v>104</v>
      </c>
      <c r="F7476" s="17" t="s">
        <v>54</v>
      </c>
      <c r="G7476" s="17"/>
      <c r="H7476" s="19">
        <v>1.2311</v>
      </c>
      <c r="I7476" s="19" t="s">
        <v>1114</v>
      </c>
      <c r="J7476" s="17" t="s">
        <v>49</v>
      </c>
      <c r="K7476" s="19">
        <v>2300</v>
      </c>
      <c r="L7476" s="448">
        <v>32</v>
      </c>
      <c r="M7476" s="19">
        <v>5800</v>
      </c>
      <c r="N7476" s="19" t="s">
        <v>66</v>
      </c>
      <c r="O7476" s="19" t="s">
        <v>67</v>
      </c>
      <c r="P7476" s="19"/>
      <c r="Q7476" s="19">
        <v>3230</v>
      </c>
      <c r="R7476" s="19">
        <f>+P7475-Q7475-Q7476</f>
        <v>327</v>
      </c>
      <c r="S7476" s="19">
        <v>785</v>
      </c>
      <c r="T7476" s="19" t="s">
        <v>42</v>
      </c>
      <c r="U7476" s="102" t="s">
        <v>1730</v>
      </c>
      <c r="V7476" s="186">
        <v>46133</v>
      </c>
      <c r="W7476" s="17" t="s">
        <v>44</v>
      </c>
      <c r="X7476" s="17"/>
      <c r="Y7476" s="68">
        <v>46143</v>
      </c>
      <c r="Z7476" s="17" t="s">
        <v>45</v>
      </c>
      <c r="AA7476" s="17" t="s">
        <v>46</v>
      </c>
      <c r="AB7476" s="17" t="s">
        <v>1732</v>
      </c>
      <c r="AC7476" s="217">
        <v>46153</v>
      </c>
      <c r="AD7476" s="65">
        <v>1805</v>
      </c>
      <c r="AE7476" s="17" t="s">
        <v>48</v>
      </c>
      <c r="AF7476" s="17" t="s">
        <v>560</v>
      </c>
      <c r="AG7476" s="17"/>
      <c r="AH7476" s="17"/>
      <c r="AJ7476" s="17"/>
      <c r="AK7476" s="17"/>
      <c r="AL7476" s="17"/>
      <c r="AM7476" s="17"/>
      <c r="AN7476" s="17"/>
      <c r="AO7476" s="17"/>
      <c r="AP7476" s="17"/>
      <c r="AQ7476" s="17"/>
      <c r="AR7476" s="17"/>
      <c r="AS7476" s="17"/>
    </row>
    <row r="7477" s="25" customFormat="1" hidden="1" spans="1:45">
      <c r="A7477" s="17" t="s">
        <v>34</v>
      </c>
      <c r="B7477" s="19">
        <v>1109</v>
      </c>
      <c r="C7477" s="183">
        <v>46132</v>
      </c>
      <c r="D7477" s="17" t="s">
        <v>52</v>
      </c>
      <c r="E7477" s="17" t="s">
        <v>104</v>
      </c>
      <c r="F7477" s="17" t="s">
        <v>54</v>
      </c>
      <c r="G7477" s="17"/>
      <c r="H7477" s="19">
        <v>1.2311</v>
      </c>
      <c r="I7477" s="19" t="s">
        <v>1114</v>
      </c>
      <c r="J7477" s="17" t="s">
        <v>49</v>
      </c>
      <c r="K7477" s="19">
        <v>2300</v>
      </c>
      <c r="L7477" s="448">
        <v>36</v>
      </c>
      <c r="M7477" s="19">
        <v>5800</v>
      </c>
      <c r="N7477" s="19" t="s">
        <v>66</v>
      </c>
      <c r="O7477" s="19" t="s">
        <v>67</v>
      </c>
      <c r="P7477" s="19">
        <v>2988</v>
      </c>
      <c r="Q7477" s="19">
        <v>3610</v>
      </c>
      <c r="R7477" s="19">
        <f>+P7477-Q7477</f>
        <v>-622</v>
      </c>
      <c r="S7477" s="19">
        <v>785</v>
      </c>
      <c r="T7477" s="19" t="s">
        <v>42</v>
      </c>
      <c r="U7477" s="102" t="s">
        <v>1730</v>
      </c>
      <c r="V7477" s="186">
        <v>46133</v>
      </c>
      <c r="W7477" s="17" t="s">
        <v>44</v>
      </c>
      <c r="X7477" s="17"/>
      <c r="Y7477" s="68">
        <v>46143</v>
      </c>
      <c r="Z7477" s="17" t="s">
        <v>45</v>
      </c>
      <c r="AA7477" s="17" t="s">
        <v>46</v>
      </c>
      <c r="AB7477" s="17" t="s">
        <v>1733</v>
      </c>
      <c r="AC7477" s="217">
        <v>46223</v>
      </c>
      <c r="AD7477" s="65">
        <v>1843</v>
      </c>
      <c r="AE7477" s="17" t="s">
        <v>48</v>
      </c>
      <c r="AF7477" s="17" t="s">
        <v>560</v>
      </c>
      <c r="AG7477" s="17"/>
      <c r="AH7477" s="17"/>
      <c r="AJ7477" s="17"/>
      <c r="AK7477" s="17"/>
      <c r="AL7477" s="17"/>
      <c r="AM7477" s="17"/>
      <c r="AN7477" s="17"/>
      <c r="AO7477" s="17"/>
      <c r="AP7477" s="17"/>
      <c r="AQ7477" s="17"/>
      <c r="AR7477" s="17"/>
      <c r="AS7477" s="17"/>
    </row>
    <row r="7478" s="25" customFormat="1" hidden="1" spans="1:45">
      <c r="A7478" s="17" t="s">
        <v>34</v>
      </c>
      <c r="B7478" s="19">
        <v>1109</v>
      </c>
      <c r="C7478" s="183">
        <v>46132</v>
      </c>
      <c r="D7478" s="17" t="s">
        <v>52</v>
      </c>
      <c r="E7478" s="17" t="s">
        <v>104</v>
      </c>
      <c r="F7478" s="17" t="s">
        <v>54</v>
      </c>
      <c r="G7478" s="17"/>
      <c r="H7478" s="19">
        <v>1.2311</v>
      </c>
      <c r="I7478" s="19" t="s">
        <v>1114</v>
      </c>
      <c r="J7478" s="17" t="s">
        <v>49</v>
      </c>
      <c r="K7478" s="19">
        <v>2300</v>
      </c>
      <c r="L7478" s="448">
        <v>41</v>
      </c>
      <c r="M7478" s="19">
        <v>5800</v>
      </c>
      <c r="N7478" s="19" t="s">
        <v>66</v>
      </c>
      <c r="O7478" s="19" t="s">
        <v>67</v>
      </c>
      <c r="P7478" s="19">
        <v>6807</v>
      </c>
      <c r="Q7478" s="19">
        <f>3800+3800</f>
        <v>7600</v>
      </c>
      <c r="R7478" s="19">
        <f>+P7478-Q7478</f>
        <v>-793</v>
      </c>
      <c r="S7478" s="19">
        <v>785</v>
      </c>
      <c r="T7478" s="19" t="s">
        <v>42</v>
      </c>
      <c r="U7478" s="102" t="s">
        <v>1730</v>
      </c>
      <c r="V7478" s="186">
        <v>46133</v>
      </c>
      <c r="W7478" s="17" t="s">
        <v>44</v>
      </c>
      <c r="X7478" s="17"/>
      <c r="Y7478" s="68">
        <v>46143</v>
      </c>
      <c r="Z7478" s="17" t="s">
        <v>45</v>
      </c>
      <c r="AA7478" s="17" t="s">
        <v>46</v>
      </c>
      <c r="AB7478" s="17" t="s">
        <v>1734</v>
      </c>
      <c r="AC7478" s="217">
        <v>46153</v>
      </c>
      <c r="AD7478" s="65">
        <v>1807</v>
      </c>
      <c r="AE7478" s="17" t="s">
        <v>48</v>
      </c>
      <c r="AF7478" s="17" t="s">
        <v>560</v>
      </c>
      <c r="AG7478" s="17"/>
      <c r="AH7478" s="17"/>
      <c r="AJ7478" s="17"/>
      <c r="AK7478" s="17"/>
      <c r="AL7478" s="17"/>
      <c r="AM7478" s="17"/>
      <c r="AN7478" s="17"/>
      <c r="AO7478" s="17"/>
      <c r="AP7478" s="17"/>
      <c r="AQ7478" s="17"/>
      <c r="AR7478" s="17"/>
      <c r="AS7478" s="17"/>
    </row>
    <row r="7479" s="25" customFormat="1" hidden="1" spans="1:45">
      <c r="A7479" s="17" t="s">
        <v>34</v>
      </c>
      <c r="B7479" s="19">
        <v>1109</v>
      </c>
      <c r="C7479" s="183">
        <v>46132</v>
      </c>
      <c r="D7479" s="17" t="s">
        <v>52</v>
      </c>
      <c r="E7479" s="17" t="s">
        <v>104</v>
      </c>
      <c r="F7479" s="17" t="s">
        <v>54</v>
      </c>
      <c r="G7479" s="17"/>
      <c r="H7479" s="19">
        <v>1.2311</v>
      </c>
      <c r="I7479" s="19" t="s">
        <v>1114</v>
      </c>
      <c r="J7479" s="17" t="s">
        <v>49</v>
      </c>
      <c r="K7479" s="19">
        <v>2300</v>
      </c>
      <c r="L7479" s="448">
        <v>45</v>
      </c>
      <c r="M7479" s="19">
        <v>5800</v>
      </c>
      <c r="N7479" s="19" t="s">
        <v>66</v>
      </c>
      <c r="O7479" s="19" t="s">
        <v>67</v>
      </c>
      <c r="P7479" s="19">
        <v>7471</v>
      </c>
      <c r="Q7479" s="19">
        <v>4300</v>
      </c>
      <c r="S7479" s="19">
        <v>785</v>
      </c>
      <c r="T7479" s="19" t="s">
        <v>42</v>
      </c>
      <c r="U7479" s="102" t="s">
        <v>1730</v>
      </c>
      <c r="V7479" s="186">
        <v>46133</v>
      </c>
      <c r="W7479" s="17" t="s">
        <v>44</v>
      </c>
      <c r="X7479" s="17"/>
      <c r="Y7479" s="68">
        <v>46143</v>
      </c>
      <c r="Z7479" s="17" t="s">
        <v>45</v>
      </c>
      <c r="AA7479" s="17" t="s">
        <v>46</v>
      </c>
      <c r="AB7479" s="17" t="s">
        <v>1732</v>
      </c>
      <c r="AC7479" s="217">
        <v>46153</v>
      </c>
      <c r="AD7479" s="65">
        <v>1805</v>
      </c>
      <c r="AE7479" s="17" t="s">
        <v>48</v>
      </c>
      <c r="AF7479" s="17" t="s">
        <v>560</v>
      </c>
      <c r="AG7479" s="17"/>
      <c r="AH7479" s="17"/>
      <c r="AJ7479" s="17"/>
      <c r="AK7479" s="17"/>
      <c r="AL7479" s="17"/>
      <c r="AM7479" s="17"/>
      <c r="AN7479" s="17"/>
      <c r="AO7479" s="17"/>
      <c r="AP7479" s="17"/>
      <c r="AQ7479" s="17"/>
      <c r="AR7479" s="17"/>
      <c r="AS7479" s="17"/>
    </row>
    <row r="7480" s="25" customFormat="1" hidden="1" spans="1:45">
      <c r="A7480" s="17" t="s">
        <v>34</v>
      </c>
      <c r="B7480" s="19">
        <v>1109</v>
      </c>
      <c r="C7480" s="183">
        <v>46132</v>
      </c>
      <c r="D7480" s="17" t="s">
        <v>52</v>
      </c>
      <c r="E7480" s="17" t="s">
        <v>104</v>
      </c>
      <c r="F7480" s="17" t="s">
        <v>54</v>
      </c>
      <c r="G7480" s="17"/>
      <c r="H7480" s="19">
        <v>1.2311</v>
      </c>
      <c r="I7480" s="19" t="s">
        <v>1114</v>
      </c>
      <c r="J7480" s="17" t="s">
        <v>49</v>
      </c>
      <c r="K7480" s="19">
        <v>2300</v>
      </c>
      <c r="L7480" s="448">
        <v>45</v>
      </c>
      <c r="M7480" s="19">
        <v>5800</v>
      </c>
      <c r="N7480" s="19" t="s">
        <v>66</v>
      </c>
      <c r="O7480" s="19" t="s">
        <v>67</v>
      </c>
      <c r="P7480" s="19"/>
      <c r="Q7480" s="19">
        <v>4370</v>
      </c>
      <c r="R7480" s="19">
        <f>+P7479-Q7479-Q7480</f>
        <v>-1199</v>
      </c>
      <c r="S7480" s="19">
        <v>785</v>
      </c>
      <c r="T7480" s="19" t="s">
        <v>42</v>
      </c>
      <c r="U7480" s="102" t="s">
        <v>1730</v>
      </c>
      <c r="V7480" s="186">
        <v>46133</v>
      </c>
      <c r="W7480" s="17" t="s">
        <v>44</v>
      </c>
      <c r="X7480" s="17"/>
      <c r="Y7480" s="68">
        <v>46143</v>
      </c>
      <c r="Z7480" s="17" t="s">
        <v>45</v>
      </c>
      <c r="AA7480" s="17" t="s">
        <v>46</v>
      </c>
      <c r="AB7480" s="17" t="s">
        <v>1734</v>
      </c>
      <c r="AC7480" s="217">
        <v>46153</v>
      </c>
      <c r="AD7480" s="65">
        <v>1807</v>
      </c>
      <c r="AE7480" s="17" t="s">
        <v>48</v>
      </c>
      <c r="AF7480" s="17" t="s">
        <v>560</v>
      </c>
      <c r="AG7480" s="17"/>
      <c r="AH7480" s="17"/>
      <c r="AJ7480" s="17"/>
      <c r="AK7480" s="17"/>
      <c r="AL7480" s="17"/>
      <c r="AM7480" s="17"/>
      <c r="AN7480" s="17"/>
      <c r="AO7480" s="17"/>
      <c r="AP7480" s="17"/>
      <c r="AQ7480" s="17"/>
      <c r="AR7480" s="17"/>
      <c r="AS7480" s="17"/>
    </row>
    <row r="7481" s="25" customFormat="1" hidden="1" spans="1:45">
      <c r="A7481" s="17" t="s">
        <v>34</v>
      </c>
      <c r="B7481" s="19">
        <v>1109</v>
      </c>
      <c r="C7481" s="183">
        <v>46132</v>
      </c>
      <c r="D7481" s="17" t="s">
        <v>52</v>
      </c>
      <c r="E7481" s="17" t="s">
        <v>104</v>
      </c>
      <c r="F7481" s="17" t="s">
        <v>54</v>
      </c>
      <c r="G7481" s="17"/>
      <c r="H7481" s="19">
        <v>1.2311</v>
      </c>
      <c r="I7481" s="19" t="s">
        <v>1114</v>
      </c>
      <c r="J7481" s="17" t="s">
        <v>49</v>
      </c>
      <c r="K7481" s="19">
        <v>2300</v>
      </c>
      <c r="L7481" s="448">
        <v>51</v>
      </c>
      <c r="M7481" s="19">
        <v>5800</v>
      </c>
      <c r="N7481" s="19" t="s">
        <v>66</v>
      </c>
      <c r="O7481" s="19" t="s">
        <v>67</v>
      </c>
      <c r="P7481" s="19">
        <v>16935</v>
      </c>
      <c r="Q7481" s="19">
        <v>3750</v>
      </c>
      <c r="R7481" s="17"/>
      <c r="S7481" s="19">
        <v>785</v>
      </c>
      <c r="T7481" s="19" t="s">
        <v>42</v>
      </c>
      <c r="U7481" s="102" t="s">
        <v>1730</v>
      </c>
      <c r="V7481" s="186">
        <v>46133</v>
      </c>
      <c r="W7481" s="17" t="s">
        <v>44</v>
      </c>
      <c r="X7481" s="17"/>
      <c r="Y7481" s="68">
        <v>46143</v>
      </c>
      <c r="Z7481" s="17" t="s">
        <v>45</v>
      </c>
      <c r="AA7481" s="17" t="s">
        <v>46</v>
      </c>
      <c r="AB7481" s="17" t="s">
        <v>1731</v>
      </c>
      <c r="AC7481" s="217">
        <v>46153</v>
      </c>
      <c r="AD7481" s="65">
        <v>1804</v>
      </c>
      <c r="AE7481" s="17" t="s">
        <v>48</v>
      </c>
      <c r="AF7481" s="17" t="s">
        <v>560</v>
      </c>
      <c r="AG7481" s="17"/>
      <c r="AH7481" s="17"/>
      <c r="AJ7481" s="17"/>
      <c r="AK7481" s="17"/>
      <c r="AL7481" s="17"/>
      <c r="AM7481" s="17"/>
      <c r="AN7481" s="17"/>
      <c r="AO7481" s="17"/>
      <c r="AP7481" s="17"/>
      <c r="AQ7481" s="17"/>
      <c r="AR7481" s="17"/>
      <c r="AS7481" s="17"/>
    </row>
    <row r="7482" s="25" customFormat="1" hidden="1" spans="1:45">
      <c r="A7482" s="17" t="s">
        <v>34</v>
      </c>
      <c r="B7482" s="19">
        <v>1109</v>
      </c>
      <c r="C7482" s="183">
        <v>46132</v>
      </c>
      <c r="D7482" s="17" t="s">
        <v>52</v>
      </c>
      <c r="E7482" s="17" t="s">
        <v>104</v>
      </c>
      <c r="F7482" s="17" t="s">
        <v>54</v>
      </c>
      <c r="G7482" s="17"/>
      <c r="H7482" s="19">
        <v>1.2311</v>
      </c>
      <c r="I7482" s="19" t="s">
        <v>1114</v>
      </c>
      <c r="J7482" s="17" t="s">
        <v>49</v>
      </c>
      <c r="K7482" s="19">
        <v>2300</v>
      </c>
      <c r="L7482" s="448">
        <v>51</v>
      </c>
      <c r="M7482" s="19">
        <v>5800</v>
      </c>
      <c r="N7482" s="19" t="s">
        <v>66</v>
      </c>
      <c r="O7482" s="19" t="s">
        <v>67</v>
      </c>
      <c r="P7482" s="19"/>
      <c r="Q7482" s="19">
        <f>3730+5220+5240</f>
        <v>14190</v>
      </c>
      <c r="R7482" s="19">
        <f>+P7481-Q7481-Q7482</f>
        <v>-1005</v>
      </c>
      <c r="S7482" s="19">
        <v>785</v>
      </c>
      <c r="T7482" s="19" t="s">
        <v>42</v>
      </c>
      <c r="U7482" s="102" t="s">
        <v>1730</v>
      </c>
      <c r="V7482" s="186">
        <v>46133</v>
      </c>
      <c r="W7482" s="17" t="s">
        <v>44</v>
      </c>
      <c r="X7482" s="17"/>
      <c r="Y7482" s="68">
        <v>46143</v>
      </c>
      <c r="Z7482" s="17" t="s">
        <v>45</v>
      </c>
      <c r="AA7482" s="17" t="s">
        <v>46</v>
      </c>
      <c r="AB7482" s="17" t="s">
        <v>1732</v>
      </c>
      <c r="AC7482" s="217">
        <v>46153</v>
      </c>
      <c r="AD7482" s="65">
        <v>1805</v>
      </c>
      <c r="AE7482" s="17" t="s">
        <v>48</v>
      </c>
      <c r="AF7482" s="17" t="s">
        <v>560</v>
      </c>
      <c r="AG7482" s="17"/>
      <c r="AH7482" s="17"/>
      <c r="AJ7482" s="17"/>
      <c r="AK7482" s="17"/>
      <c r="AL7482" s="17"/>
      <c r="AM7482" s="17"/>
      <c r="AN7482" s="17"/>
      <c r="AO7482" s="17"/>
      <c r="AP7482" s="17"/>
      <c r="AQ7482" s="17"/>
      <c r="AR7482" s="17"/>
      <c r="AS7482" s="17"/>
    </row>
    <row r="7483" s="25" customFormat="1" hidden="1" spans="1:45">
      <c r="A7483" s="17" t="s">
        <v>34</v>
      </c>
      <c r="B7483" s="19">
        <v>1109</v>
      </c>
      <c r="C7483" s="183">
        <v>46132</v>
      </c>
      <c r="D7483" s="17" t="s">
        <v>52</v>
      </c>
      <c r="E7483" s="17" t="s">
        <v>104</v>
      </c>
      <c r="F7483" s="17" t="s">
        <v>54</v>
      </c>
      <c r="G7483" s="17"/>
      <c r="H7483" s="19">
        <v>1.2311</v>
      </c>
      <c r="I7483" s="19" t="s">
        <v>1114</v>
      </c>
      <c r="J7483" s="17" t="s">
        <v>49</v>
      </c>
      <c r="K7483" s="19">
        <v>2300</v>
      </c>
      <c r="L7483" s="448">
        <v>56</v>
      </c>
      <c r="M7483" s="19">
        <v>5800</v>
      </c>
      <c r="N7483" s="19" t="s">
        <v>66</v>
      </c>
      <c r="O7483" s="19" t="s">
        <v>67</v>
      </c>
      <c r="P7483" s="19">
        <v>9298</v>
      </c>
      <c r="Q7483" s="19">
        <v>5030</v>
      </c>
      <c r="S7483" s="19">
        <v>785</v>
      </c>
      <c r="T7483" s="19" t="s">
        <v>42</v>
      </c>
      <c r="U7483" s="102" t="s">
        <v>1730</v>
      </c>
      <c r="V7483" s="186">
        <v>46133</v>
      </c>
      <c r="W7483" s="17" t="s">
        <v>44</v>
      </c>
      <c r="X7483" s="17"/>
      <c r="Y7483" s="68">
        <v>46143</v>
      </c>
      <c r="Z7483" s="17" t="s">
        <v>45</v>
      </c>
      <c r="AA7483" s="17" t="s">
        <v>46</v>
      </c>
      <c r="AB7483" s="17" t="s">
        <v>1732</v>
      </c>
      <c r="AC7483" s="217">
        <v>46153</v>
      </c>
      <c r="AD7483" s="65">
        <v>1805</v>
      </c>
      <c r="AE7483" s="17" t="s">
        <v>48</v>
      </c>
      <c r="AF7483" s="17" t="s">
        <v>560</v>
      </c>
      <c r="AG7483" s="17"/>
      <c r="AH7483" s="17"/>
      <c r="AJ7483" s="17"/>
      <c r="AK7483" s="17"/>
      <c r="AL7483" s="17"/>
      <c r="AM7483" s="17"/>
      <c r="AN7483" s="17"/>
      <c r="AO7483" s="17"/>
      <c r="AP7483" s="17"/>
      <c r="AQ7483" s="17"/>
      <c r="AR7483" s="17"/>
      <c r="AS7483" s="17"/>
    </row>
    <row r="7484" s="25" customFormat="1" hidden="1" spans="1:45">
      <c r="A7484" s="17" t="s">
        <v>34</v>
      </c>
      <c r="B7484" s="19">
        <v>1109</v>
      </c>
      <c r="C7484" s="183">
        <v>46132</v>
      </c>
      <c r="D7484" s="17" t="s">
        <v>52</v>
      </c>
      <c r="E7484" s="17" t="s">
        <v>104</v>
      </c>
      <c r="F7484" s="17" t="s">
        <v>54</v>
      </c>
      <c r="G7484" s="17"/>
      <c r="H7484" s="19">
        <v>1.2311</v>
      </c>
      <c r="I7484" s="19" t="s">
        <v>1114</v>
      </c>
      <c r="J7484" s="17" t="s">
        <v>49</v>
      </c>
      <c r="K7484" s="19">
        <v>2300</v>
      </c>
      <c r="L7484" s="448">
        <v>56</v>
      </c>
      <c r="M7484" s="19">
        <v>5800</v>
      </c>
      <c r="N7484" s="19" t="s">
        <v>66</v>
      </c>
      <c r="O7484" s="19" t="s">
        <v>67</v>
      </c>
      <c r="P7484" s="19"/>
      <c r="Q7484" s="19">
        <v>5110</v>
      </c>
      <c r="R7484" s="19">
        <f>+P7483-Q7483-Q7484</f>
        <v>-842</v>
      </c>
      <c r="S7484" s="19">
        <v>785</v>
      </c>
      <c r="T7484" s="19" t="s">
        <v>42</v>
      </c>
      <c r="U7484" s="102" t="s">
        <v>1730</v>
      </c>
      <c r="V7484" s="186">
        <v>46133</v>
      </c>
      <c r="W7484" s="17" t="s">
        <v>44</v>
      </c>
      <c r="X7484" s="17"/>
      <c r="Y7484" s="68">
        <v>46143</v>
      </c>
      <c r="Z7484" s="17" t="s">
        <v>45</v>
      </c>
      <c r="AA7484" s="17" t="s">
        <v>46</v>
      </c>
      <c r="AB7484" s="17" t="s">
        <v>1734</v>
      </c>
      <c r="AC7484" s="217">
        <v>46153</v>
      </c>
      <c r="AD7484" s="65">
        <v>1807</v>
      </c>
      <c r="AE7484" s="17" t="s">
        <v>48</v>
      </c>
      <c r="AF7484" s="17" t="s">
        <v>560</v>
      </c>
      <c r="AG7484" s="17"/>
      <c r="AH7484" s="17"/>
      <c r="AJ7484" s="17"/>
      <c r="AK7484" s="17"/>
      <c r="AL7484" s="17"/>
      <c r="AM7484" s="17"/>
      <c r="AN7484" s="17"/>
      <c r="AO7484" s="17"/>
      <c r="AP7484" s="17"/>
      <c r="AQ7484" s="17"/>
      <c r="AR7484" s="17"/>
      <c r="AS7484" s="17"/>
    </row>
    <row r="7485" s="25" customFormat="1" hidden="1" spans="1:45">
      <c r="A7485" s="17" t="s">
        <v>34</v>
      </c>
      <c r="B7485" s="19">
        <v>1109</v>
      </c>
      <c r="C7485" s="183">
        <v>46132</v>
      </c>
      <c r="D7485" s="17" t="s">
        <v>52</v>
      </c>
      <c r="E7485" s="17" t="s">
        <v>104</v>
      </c>
      <c r="F7485" s="17" t="s">
        <v>54</v>
      </c>
      <c r="G7485" s="17"/>
      <c r="H7485" s="19">
        <v>1.2311</v>
      </c>
      <c r="I7485" s="19" t="s">
        <v>1114</v>
      </c>
      <c r="J7485" s="17" t="s">
        <v>49</v>
      </c>
      <c r="K7485" s="19">
        <v>2300</v>
      </c>
      <c r="L7485" s="448">
        <v>61</v>
      </c>
      <c r="M7485" s="19">
        <v>5800</v>
      </c>
      <c r="N7485" s="19" t="s">
        <v>66</v>
      </c>
      <c r="O7485" s="19" t="s">
        <v>67</v>
      </c>
      <c r="P7485" s="19">
        <v>10128</v>
      </c>
      <c r="Q7485" s="19">
        <v>5410</v>
      </c>
      <c r="S7485" s="19">
        <v>785</v>
      </c>
      <c r="T7485" s="19" t="s">
        <v>42</v>
      </c>
      <c r="U7485" s="102" t="s">
        <v>1730</v>
      </c>
      <c r="V7485" s="186">
        <v>46133</v>
      </c>
      <c r="W7485" s="17" t="s">
        <v>44</v>
      </c>
      <c r="X7485" s="17"/>
      <c r="Y7485" s="68">
        <v>46143</v>
      </c>
      <c r="Z7485" s="17" t="s">
        <v>45</v>
      </c>
      <c r="AA7485" s="17" t="s">
        <v>46</v>
      </c>
      <c r="AB7485" s="17" t="s">
        <v>1731</v>
      </c>
      <c r="AC7485" s="217">
        <v>46153</v>
      </c>
      <c r="AD7485" s="65">
        <v>1804</v>
      </c>
      <c r="AE7485" s="17" t="s">
        <v>48</v>
      </c>
      <c r="AF7485" s="17" t="s">
        <v>560</v>
      </c>
      <c r="AG7485" s="17"/>
      <c r="AH7485" s="17"/>
      <c r="AJ7485" s="17"/>
      <c r="AK7485" s="17"/>
      <c r="AL7485" s="17"/>
      <c r="AM7485" s="17"/>
      <c r="AN7485" s="17"/>
      <c r="AO7485" s="17"/>
      <c r="AP7485" s="17"/>
      <c r="AQ7485" s="17"/>
      <c r="AR7485" s="17"/>
      <c r="AS7485" s="17"/>
    </row>
    <row r="7486" s="25" customFormat="1" hidden="1" spans="1:45">
      <c r="A7486" s="17" t="s">
        <v>34</v>
      </c>
      <c r="B7486" s="19">
        <v>1109</v>
      </c>
      <c r="C7486" s="183">
        <v>46132</v>
      </c>
      <c r="D7486" s="17" t="s">
        <v>52</v>
      </c>
      <c r="E7486" s="17" t="s">
        <v>104</v>
      </c>
      <c r="F7486" s="17" t="s">
        <v>54</v>
      </c>
      <c r="G7486" s="17"/>
      <c r="H7486" s="19">
        <v>1.2311</v>
      </c>
      <c r="I7486" s="19" t="s">
        <v>1114</v>
      </c>
      <c r="J7486" s="17" t="s">
        <v>49</v>
      </c>
      <c r="K7486" s="19">
        <v>2300</v>
      </c>
      <c r="L7486" s="448">
        <v>61</v>
      </c>
      <c r="M7486" s="19">
        <v>5800</v>
      </c>
      <c r="N7486" s="19" t="s">
        <v>66</v>
      </c>
      <c r="O7486" s="19" t="s">
        <v>67</v>
      </c>
      <c r="P7486" s="19"/>
      <c r="Q7486" s="19">
        <v>5410</v>
      </c>
      <c r="R7486" s="19">
        <f>+P7485-Q7485-Q7486</f>
        <v>-692</v>
      </c>
      <c r="S7486" s="19">
        <v>785</v>
      </c>
      <c r="T7486" s="19" t="s">
        <v>42</v>
      </c>
      <c r="U7486" s="102" t="s">
        <v>1730</v>
      </c>
      <c r="V7486" s="186">
        <v>46133</v>
      </c>
      <c r="W7486" s="17" t="s">
        <v>44</v>
      </c>
      <c r="X7486" s="17"/>
      <c r="Y7486" s="68">
        <v>46143</v>
      </c>
      <c r="Z7486" s="17" t="s">
        <v>45</v>
      </c>
      <c r="AA7486" s="17" t="s">
        <v>46</v>
      </c>
      <c r="AB7486" s="17" t="s">
        <v>1732</v>
      </c>
      <c r="AC7486" s="217">
        <v>46153</v>
      </c>
      <c r="AD7486" s="65">
        <v>1805</v>
      </c>
      <c r="AE7486" s="17" t="s">
        <v>48</v>
      </c>
      <c r="AF7486" s="17" t="s">
        <v>560</v>
      </c>
      <c r="AG7486" s="17"/>
      <c r="AH7486" s="17"/>
      <c r="AJ7486" s="17"/>
      <c r="AK7486" s="17"/>
      <c r="AL7486" s="17"/>
      <c r="AM7486" s="17"/>
      <c r="AN7486" s="17"/>
      <c r="AO7486" s="17"/>
      <c r="AP7486" s="17"/>
      <c r="AQ7486" s="17"/>
      <c r="AR7486" s="17"/>
      <c r="AS7486" s="17"/>
    </row>
    <row r="7487" s="25" customFormat="1" hidden="1" spans="1:45">
      <c r="A7487" s="17" t="s">
        <v>34</v>
      </c>
      <c r="B7487" s="19">
        <v>1109</v>
      </c>
      <c r="C7487" s="183">
        <v>46132</v>
      </c>
      <c r="D7487" s="17" t="s">
        <v>52</v>
      </c>
      <c r="E7487" s="17" t="s">
        <v>104</v>
      </c>
      <c r="F7487" s="17" t="s">
        <v>54</v>
      </c>
      <c r="G7487" s="17"/>
      <c r="H7487" s="19">
        <v>1.2311</v>
      </c>
      <c r="I7487" s="19" t="s">
        <v>1114</v>
      </c>
      <c r="J7487" s="17" t="s">
        <v>49</v>
      </c>
      <c r="K7487" s="19">
        <v>2300</v>
      </c>
      <c r="L7487" s="448">
        <v>65</v>
      </c>
      <c r="M7487" s="19">
        <v>5800</v>
      </c>
      <c r="N7487" s="19" t="s">
        <v>66</v>
      </c>
      <c r="O7487" s="19" t="s">
        <v>67</v>
      </c>
      <c r="P7487" s="19">
        <v>5396</v>
      </c>
      <c r="Q7487" s="19">
        <v>6050</v>
      </c>
      <c r="R7487" s="19">
        <f>+P7487-Q7487</f>
        <v>-654</v>
      </c>
      <c r="S7487" s="19">
        <v>785</v>
      </c>
      <c r="T7487" s="19" t="s">
        <v>42</v>
      </c>
      <c r="U7487" s="102" t="s">
        <v>1730</v>
      </c>
      <c r="V7487" s="186">
        <v>46133</v>
      </c>
      <c r="W7487" s="17" t="s">
        <v>44</v>
      </c>
      <c r="X7487" s="17"/>
      <c r="Y7487" s="68">
        <v>46143</v>
      </c>
      <c r="Z7487" s="17" t="s">
        <v>45</v>
      </c>
      <c r="AA7487" s="17" t="s">
        <v>46</v>
      </c>
      <c r="AB7487" s="17" t="s">
        <v>1734</v>
      </c>
      <c r="AC7487" s="217">
        <v>46153</v>
      </c>
      <c r="AD7487" s="65">
        <v>1807</v>
      </c>
      <c r="AE7487" s="17" t="s">
        <v>48</v>
      </c>
      <c r="AF7487" s="17" t="s">
        <v>560</v>
      </c>
      <c r="AG7487" s="17"/>
      <c r="AH7487" s="17"/>
      <c r="AJ7487" s="17"/>
      <c r="AK7487" s="17"/>
      <c r="AL7487" s="17"/>
      <c r="AM7487" s="17"/>
      <c r="AN7487" s="17"/>
      <c r="AO7487" s="17"/>
      <c r="AP7487" s="17"/>
      <c r="AQ7487" s="17"/>
      <c r="AR7487" s="17"/>
      <c r="AS7487" s="17"/>
    </row>
    <row r="7488" s="25" customFormat="1" hidden="1" spans="1:45">
      <c r="A7488" s="17" t="s">
        <v>34</v>
      </c>
      <c r="B7488" s="19">
        <v>1109</v>
      </c>
      <c r="C7488" s="183">
        <v>46132</v>
      </c>
      <c r="D7488" s="17" t="s">
        <v>52</v>
      </c>
      <c r="E7488" s="17" t="s">
        <v>104</v>
      </c>
      <c r="F7488" s="17" t="s">
        <v>54</v>
      </c>
      <c r="G7488" s="17"/>
      <c r="H7488" s="19">
        <v>1.2311</v>
      </c>
      <c r="I7488" s="19" t="s">
        <v>1114</v>
      </c>
      <c r="J7488" s="17" t="s">
        <v>49</v>
      </c>
      <c r="K7488" s="19">
        <v>2300</v>
      </c>
      <c r="L7488" s="448">
        <v>65</v>
      </c>
      <c r="M7488" s="19">
        <v>5800</v>
      </c>
      <c r="N7488" s="19" t="s">
        <v>66</v>
      </c>
      <c r="O7488" s="19" t="s">
        <v>67</v>
      </c>
      <c r="P7488" s="19"/>
      <c r="Q7488" s="19">
        <v>5440</v>
      </c>
      <c r="R7488" s="19"/>
      <c r="S7488" s="19">
        <v>785</v>
      </c>
      <c r="T7488" s="19" t="s">
        <v>42</v>
      </c>
      <c r="U7488" s="102" t="s">
        <v>1730</v>
      </c>
      <c r="V7488" s="186">
        <v>46133</v>
      </c>
      <c r="W7488" s="17" t="s">
        <v>44</v>
      </c>
      <c r="X7488" s="17"/>
      <c r="Y7488" s="68">
        <v>46143</v>
      </c>
      <c r="Z7488" s="17" t="s">
        <v>45</v>
      </c>
      <c r="AA7488" s="17" t="s">
        <v>46</v>
      </c>
      <c r="AB7488" s="17" t="s">
        <v>1733</v>
      </c>
      <c r="AC7488" s="217">
        <v>46223</v>
      </c>
      <c r="AD7488" s="65">
        <v>1843</v>
      </c>
      <c r="AE7488" s="17" t="s">
        <v>48</v>
      </c>
      <c r="AF7488" s="17"/>
      <c r="AG7488" s="17"/>
      <c r="AH7488" s="17"/>
      <c r="AJ7488" s="17"/>
      <c r="AK7488" s="17"/>
      <c r="AL7488" s="17"/>
      <c r="AM7488" s="17"/>
      <c r="AN7488" s="17"/>
      <c r="AO7488" s="17"/>
      <c r="AP7488" s="17"/>
      <c r="AQ7488" s="17"/>
      <c r="AR7488" s="17"/>
      <c r="AS7488" s="17"/>
    </row>
    <row r="7489" s="25" customFormat="1" hidden="1" spans="1:45">
      <c r="A7489" s="17" t="s">
        <v>34</v>
      </c>
      <c r="B7489" s="19">
        <v>1109</v>
      </c>
      <c r="C7489" s="183">
        <v>46132</v>
      </c>
      <c r="D7489" s="17" t="s">
        <v>52</v>
      </c>
      <c r="E7489" s="17" t="s">
        <v>104</v>
      </c>
      <c r="F7489" s="17" t="s">
        <v>54</v>
      </c>
      <c r="G7489" s="17"/>
      <c r="H7489" s="19">
        <v>1.2311</v>
      </c>
      <c r="I7489" s="19" t="s">
        <v>1114</v>
      </c>
      <c r="J7489" s="17" t="s">
        <v>49</v>
      </c>
      <c r="K7489" s="19">
        <v>2300</v>
      </c>
      <c r="L7489" s="448">
        <v>71</v>
      </c>
      <c r="M7489" s="19">
        <v>5800</v>
      </c>
      <c r="N7489" s="19" t="s">
        <v>66</v>
      </c>
      <c r="O7489" s="19" t="s">
        <v>67</v>
      </c>
      <c r="P7489" s="19">
        <v>5894</v>
      </c>
      <c r="Q7489" s="19">
        <v>6580</v>
      </c>
      <c r="R7489" s="19">
        <f t="shared" ref="R7489:R7510" si="324">+P7489-Q7489</f>
        <v>-686</v>
      </c>
      <c r="S7489" s="19">
        <v>785</v>
      </c>
      <c r="T7489" s="19" t="s">
        <v>42</v>
      </c>
      <c r="U7489" s="102" t="s">
        <v>1730</v>
      </c>
      <c r="V7489" s="186">
        <v>46133</v>
      </c>
      <c r="W7489" s="17" t="s">
        <v>44</v>
      </c>
      <c r="X7489" s="17"/>
      <c r="Y7489" s="68">
        <v>46143</v>
      </c>
      <c r="Z7489" s="17" t="s">
        <v>45</v>
      </c>
      <c r="AA7489" s="17" t="s">
        <v>46</v>
      </c>
      <c r="AB7489" s="17" t="s">
        <v>1734</v>
      </c>
      <c r="AC7489" s="217">
        <v>46153</v>
      </c>
      <c r="AD7489" s="65">
        <v>1807</v>
      </c>
      <c r="AE7489" s="17" t="s">
        <v>48</v>
      </c>
      <c r="AF7489" s="17" t="s">
        <v>560</v>
      </c>
      <c r="AG7489" s="17"/>
      <c r="AH7489" s="17"/>
      <c r="AJ7489" s="17"/>
      <c r="AK7489" s="17"/>
      <c r="AL7489" s="17"/>
      <c r="AM7489" s="17"/>
      <c r="AN7489" s="17"/>
      <c r="AO7489" s="17"/>
      <c r="AP7489" s="17"/>
      <c r="AQ7489" s="17"/>
      <c r="AR7489" s="17"/>
      <c r="AS7489" s="17"/>
    </row>
    <row r="7490" s="25" customFormat="1" hidden="1" spans="1:45">
      <c r="A7490" s="17" t="s">
        <v>34</v>
      </c>
      <c r="B7490" s="19">
        <v>1109</v>
      </c>
      <c r="C7490" s="183">
        <v>46132</v>
      </c>
      <c r="D7490" s="17" t="s">
        <v>52</v>
      </c>
      <c r="E7490" s="17" t="s">
        <v>104</v>
      </c>
      <c r="F7490" s="17" t="s">
        <v>54</v>
      </c>
      <c r="G7490" s="17"/>
      <c r="H7490" s="19">
        <v>1.2311</v>
      </c>
      <c r="I7490" s="19" t="s">
        <v>1114</v>
      </c>
      <c r="J7490" s="17" t="s">
        <v>49</v>
      </c>
      <c r="K7490" s="19">
        <v>2300</v>
      </c>
      <c r="L7490" s="448">
        <v>80</v>
      </c>
      <c r="M7490" s="19">
        <v>5800</v>
      </c>
      <c r="N7490" s="19" t="s">
        <v>66</v>
      </c>
      <c r="O7490" s="19" t="s">
        <v>67</v>
      </c>
      <c r="P7490" s="19">
        <v>6641</v>
      </c>
      <c r="Q7490" s="19">
        <v>7340</v>
      </c>
      <c r="R7490" s="19">
        <f t="shared" si="324"/>
        <v>-699</v>
      </c>
      <c r="S7490" s="19">
        <v>785</v>
      </c>
      <c r="T7490" s="19" t="s">
        <v>42</v>
      </c>
      <c r="U7490" s="102" t="s">
        <v>1730</v>
      </c>
      <c r="V7490" s="186">
        <v>46133</v>
      </c>
      <c r="W7490" s="17" t="s">
        <v>44</v>
      </c>
      <c r="X7490" s="17"/>
      <c r="Y7490" s="68">
        <v>46143</v>
      </c>
      <c r="Z7490" s="17" t="s">
        <v>45</v>
      </c>
      <c r="AA7490" s="17" t="s">
        <v>46</v>
      </c>
      <c r="AB7490" s="17" t="s">
        <v>1734</v>
      </c>
      <c r="AC7490" s="217">
        <v>46153</v>
      </c>
      <c r="AD7490" s="65">
        <v>1807</v>
      </c>
      <c r="AE7490" s="17" t="s">
        <v>48</v>
      </c>
      <c r="AF7490" s="17" t="s">
        <v>560</v>
      </c>
      <c r="AG7490" s="17"/>
      <c r="AH7490" s="17"/>
      <c r="AJ7490" s="17"/>
      <c r="AK7490" s="17"/>
      <c r="AL7490" s="17"/>
      <c r="AM7490" s="17"/>
      <c r="AN7490" s="17"/>
      <c r="AO7490" s="17"/>
      <c r="AP7490" s="17"/>
      <c r="AQ7490" s="17"/>
      <c r="AR7490" s="17"/>
      <c r="AS7490" s="17"/>
    </row>
    <row r="7491" s="25" customFormat="1" hidden="1" spans="1:45">
      <c r="A7491" s="17" t="s">
        <v>34</v>
      </c>
      <c r="B7491" s="19">
        <v>1109</v>
      </c>
      <c r="C7491" s="183">
        <v>46132</v>
      </c>
      <c r="D7491" s="17" t="s">
        <v>52</v>
      </c>
      <c r="E7491" s="17" t="s">
        <v>104</v>
      </c>
      <c r="F7491" s="17" t="s">
        <v>54</v>
      </c>
      <c r="G7491" s="17"/>
      <c r="H7491" s="19">
        <v>1.2311</v>
      </c>
      <c r="I7491" s="19" t="s">
        <v>1114</v>
      </c>
      <c r="J7491" s="17" t="s">
        <v>49</v>
      </c>
      <c r="K7491" s="19">
        <v>2300</v>
      </c>
      <c r="L7491" s="448">
        <v>90</v>
      </c>
      <c r="M7491" s="19">
        <v>5800</v>
      </c>
      <c r="N7491" s="19" t="s">
        <v>66</v>
      </c>
      <c r="O7491" s="19" t="s">
        <v>67</v>
      </c>
      <c r="P7491" s="19">
        <v>7471</v>
      </c>
      <c r="Q7491" s="19">
        <v>8370</v>
      </c>
      <c r="R7491" s="19">
        <f t="shared" si="324"/>
        <v>-899</v>
      </c>
      <c r="S7491" s="19">
        <v>785</v>
      </c>
      <c r="T7491" s="19" t="s">
        <v>42</v>
      </c>
      <c r="U7491" s="102" t="s">
        <v>1730</v>
      </c>
      <c r="V7491" s="186">
        <v>46133</v>
      </c>
      <c r="W7491" s="17" t="s">
        <v>44</v>
      </c>
      <c r="X7491" s="17"/>
      <c r="Y7491" s="68">
        <v>46143</v>
      </c>
      <c r="Z7491" s="17" t="s">
        <v>45</v>
      </c>
      <c r="AA7491" s="17" t="s">
        <v>46</v>
      </c>
      <c r="AB7491" s="17" t="s">
        <v>1734</v>
      </c>
      <c r="AC7491" s="217">
        <v>46153</v>
      </c>
      <c r="AD7491" s="65">
        <v>1807</v>
      </c>
      <c r="AE7491" s="17" t="s">
        <v>48</v>
      </c>
      <c r="AF7491" s="17" t="s">
        <v>560</v>
      </c>
      <c r="AG7491" s="17"/>
      <c r="AH7491" s="17"/>
      <c r="AJ7491" s="17"/>
      <c r="AK7491" s="17"/>
      <c r="AL7491" s="17"/>
      <c r="AM7491" s="17"/>
      <c r="AN7491" s="17"/>
      <c r="AO7491" s="17"/>
      <c r="AP7491" s="17"/>
      <c r="AQ7491" s="17"/>
      <c r="AR7491" s="17"/>
      <c r="AS7491" s="17"/>
    </row>
    <row r="7492" s="25" customFormat="1" hidden="1" spans="1:45">
      <c r="A7492" s="17" t="s">
        <v>34</v>
      </c>
      <c r="B7492" s="19">
        <v>1109</v>
      </c>
      <c r="C7492" s="183">
        <v>46132</v>
      </c>
      <c r="D7492" s="17" t="s">
        <v>52</v>
      </c>
      <c r="E7492" s="17" t="s">
        <v>104</v>
      </c>
      <c r="F7492" s="17" t="s">
        <v>54</v>
      </c>
      <c r="G7492" s="17"/>
      <c r="H7492" s="19">
        <v>1.2311</v>
      </c>
      <c r="I7492" s="19" t="s">
        <v>1114</v>
      </c>
      <c r="J7492" s="17" t="s">
        <v>49</v>
      </c>
      <c r="K7492" s="19">
        <v>2300</v>
      </c>
      <c r="L7492" s="448">
        <v>105</v>
      </c>
      <c r="M7492" s="19">
        <v>5800</v>
      </c>
      <c r="N7492" s="19" t="s">
        <v>66</v>
      </c>
      <c r="O7492" s="19" t="s">
        <v>67</v>
      </c>
      <c r="P7492" s="19">
        <v>8716</v>
      </c>
      <c r="Q7492" s="19">
        <v>9610</v>
      </c>
      <c r="R7492" s="19">
        <f t="shared" si="324"/>
        <v>-894</v>
      </c>
      <c r="S7492" s="19">
        <v>785</v>
      </c>
      <c r="T7492" s="19" t="s">
        <v>42</v>
      </c>
      <c r="U7492" s="102" t="s">
        <v>1730</v>
      </c>
      <c r="V7492" s="186">
        <v>46133</v>
      </c>
      <c r="W7492" s="17" t="s">
        <v>44</v>
      </c>
      <c r="X7492" s="17"/>
      <c r="Y7492" s="68">
        <v>46143</v>
      </c>
      <c r="Z7492" s="17" t="s">
        <v>45</v>
      </c>
      <c r="AA7492" s="17" t="s">
        <v>46</v>
      </c>
      <c r="AB7492" s="17" t="s">
        <v>1734</v>
      </c>
      <c r="AC7492" s="217">
        <v>46153</v>
      </c>
      <c r="AD7492" s="65">
        <v>1807</v>
      </c>
      <c r="AE7492" s="17" t="s">
        <v>48</v>
      </c>
      <c r="AF7492" s="17" t="s">
        <v>560</v>
      </c>
      <c r="AG7492" s="17"/>
      <c r="AH7492" s="17"/>
      <c r="AJ7492" s="17"/>
      <c r="AK7492" s="17"/>
      <c r="AL7492" s="17"/>
      <c r="AM7492" s="17"/>
      <c r="AN7492" s="17"/>
      <c r="AO7492" s="17"/>
      <c r="AP7492" s="17"/>
      <c r="AQ7492" s="17"/>
      <c r="AR7492" s="17"/>
      <c r="AS7492" s="17"/>
    </row>
    <row r="7493" s="25" customFormat="1" hidden="1" spans="1:45">
      <c r="A7493" s="17" t="s">
        <v>34</v>
      </c>
      <c r="B7493" s="19">
        <v>1109</v>
      </c>
      <c r="C7493" s="183">
        <v>46132</v>
      </c>
      <c r="D7493" s="17" t="s">
        <v>52</v>
      </c>
      <c r="E7493" s="17" t="s">
        <v>104</v>
      </c>
      <c r="F7493" s="17" t="s">
        <v>54</v>
      </c>
      <c r="G7493" s="17"/>
      <c r="H7493" s="19">
        <v>1.2311</v>
      </c>
      <c r="I7493" s="19" t="s">
        <v>1114</v>
      </c>
      <c r="J7493" s="17" t="s">
        <v>49</v>
      </c>
      <c r="K7493" s="19">
        <v>2300</v>
      </c>
      <c r="L7493" s="448">
        <v>110</v>
      </c>
      <c r="M7493" s="19">
        <v>5800</v>
      </c>
      <c r="N7493" s="19" t="s">
        <v>66</v>
      </c>
      <c r="O7493" s="19" t="s">
        <v>67</v>
      </c>
      <c r="P7493" s="19">
        <v>9132</v>
      </c>
      <c r="Q7493" s="19">
        <v>10160</v>
      </c>
      <c r="R7493" s="19">
        <f t="shared" si="324"/>
        <v>-1028</v>
      </c>
      <c r="S7493" s="19">
        <v>785</v>
      </c>
      <c r="T7493" s="19" t="s">
        <v>42</v>
      </c>
      <c r="U7493" s="102" t="s">
        <v>1730</v>
      </c>
      <c r="V7493" s="186">
        <v>46133</v>
      </c>
      <c r="W7493" s="17" t="s">
        <v>44</v>
      </c>
      <c r="X7493" s="17"/>
      <c r="Y7493" s="68">
        <v>46143</v>
      </c>
      <c r="Z7493" s="17" t="s">
        <v>45</v>
      </c>
      <c r="AA7493" s="17" t="s">
        <v>46</v>
      </c>
      <c r="AB7493" s="17" t="s">
        <v>1732</v>
      </c>
      <c r="AC7493" s="217">
        <v>46153</v>
      </c>
      <c r="AD7493" s="65">
        <v>1805</v>
      </c>
      <c r="AE7493" s="17" t="s">
        <v>48</v>
      </c>
      <c r="AF7493" s="17" t="s">
        <v>560</v>
      </c>
      <c r="AG7493" s="17"/>
      <c r="AH7493" s="17"/>
      <c r="AJ7493" s="17"/>
      <c r="AK7493" s="17"/>
      <c r="AL7493" s="17"/>
      <c r="AM7493" s="17"/>
      <c r="AN7493" s="17"/>
      <c r="AO7493" s="17"/>
      <c r="AP7493" s="17"/>
      <c r="AQ7493" s="17"/>
      <c r="AR7493" s="17"/>
      <c r="AS7493" s="17"/>
    </row>
    <row r="7494" s="25" customFormat="1" hidden="1" spans="1:45">
      <c r="A7494" s="17" t="s">
        <v>34</v>
      </c>
      <c r="B7494" s="19">
        <v>1109</v>
      </c>
      <c r="C7494" s="183">
        <v>46132</v>
      </c>
      <c r="D7494" s="17" t="s">
        <v>52</v>
      </c>
      <c r="E7494" s="17" t="s">
        <v>104</v>
      </c>
      <c r="F7494" s="17" t="s">
        <v>54</v>
      </c>
      <c r="G7494" s="17"/>
      <c r="H7494" s="19">
        <v>1.2311</v>
      </c>
      <c r="I7494" s="19" t="s">
        <v>1114</v>
      </c>
      <c r="J7494" s="17" t="s">
        <v>49</v>
      </c>
      <c r="K7494" s="19">
        <v>2300</v>
      </c>
      <c r="L7494" s="448">
        <v>120</v>
      </c>
      <c r="M7494" s="19">
        <v>5800</v>
      </c>
      <c r="N7494" s="19" t="s">
        <v>66</v>
      </c>
      <c r="O7494" s="19" t="s">
        <v>67</v>
      </c>
      <c r="P7494" s="19">
        <v>9962</v>
      </c>
      <c r="Q7494" s="19">
        <v>11090</v>
      </c>
      <c r="R7494" s="19">
        <f t="shared" si="324"/>
        <v>-1128</v>
      </c>
      <c r="S7494" s="19">
        <v>785</v>
      </c>
      <c r="T7494" s="19" t="s">
        <v>42</v>
      </c>
      <c r="U7494" s="102" t="s">
        <v>1730</v>
      </c>
      <c r="V7494" s="186">
        <v>46133</v>
      </c>
      <c r="W7494" s="17" t="s">
        <v>44</v>
      </c>
      <c r="X7494" s="17"/>
      <c r="Y7494" s="68">
        <v>46143</v>
      </c>
      <c r="Z7494" s="17" t="s">
        <v>45</v>
      </c>
      <c r="AA7494" s="17" t="s">
        <v>46</v>
      </c>
      <c r="AB7494" s="17" t="s">
        <v>1731</v>
      </c>
      <c r="AC7494" s="217">
        <v>46153</v>
      </c>
      <c r="AD7494" s="65">
        <v>1804</v>
      </c>
      <c r="AE7494" s="17" t="s">
        <v>48</v>
      </c>
      <c r="AF7494" s="17" t="s">
        <v>560</v>
      </c>
      <c r="AG7494" s="17"/>
      <c r="AH7494" s="17"/>
      <c r="AJ7494" s="17"/>
      <c r="AK7494" s="17"/>
      <c r="AL7494" s="17"/>
      <c r="AM7494" s="17"/>
      <c r="AN7494" s="17"/>
      <c r="AO7494" s="17"/>
      <c r="AP7494" s="17"/>
      <c r="AQ7494" s="17"/>
      <c r="AR7494" s="17"/>
      <c r="AS7494" s="17"/>
    </row>
    <row r="7495" s="25" customFormat="1" hidden="1" spans="1:45">
      <c r="A7495" s="17" t="s">
        <v>34</v>
      </c>
      <c r="B7495" s="19">
        <v>1109</v>
      </c>
      <c r="C7495" s="183">
        <v>46132</v>
      </c>
      <c r="D7495" s="17" t="s">
        <v>52</v>
      </c>
      <c r="E7495" s="17" t="s">
        <v>104</v>
      </c>
      <c r="F7495" s="17" t="s">
        <v>54</v>
      </c>
      <c r="G7495" s="17"/>
      <c r="H7495" s="19">
        <v>1.2311</v>
      </c>
      <c r="I7495" s="19" t="s">
        <v>1114</v>
      </c>
      <c r="J7495" s="17" t="s">
        <v>49</v>
      </c>
      <c r="K7495" s="19">
        <v>2300</v>
      </c>
      <c r="L7495" s="448">
        <v>130</v>
      </c>
      <c r="M7495" s="19">
        <v>5800</v>
      </c>
      <c r="N7495" s="19" t="s">
        <v>66</v>
      </c>
      <c r="O7495" s="19" t="s">
        <v>67</v>
      </c>
      <c r="P7495" s="19">
        <v>10792</v>
      </c>
      <c r="Q7495" s="19">
        <v>12900</v>
      </c>
      <c r="R7495" s="19">
        <f t="shared" si="324"/>
        <v>-2108</v>
      </c>
      <c r="S7495" s="19">
        <v>835</v>
      </c>
      <c r="T7495" s="19" t="s">
        <v>42</v>
      </c>
      <c r="U7495" s="102" t="s">
        <v>1730</v>
      </c>
      <c r="V7495" s="186">
        <v>46133</v>
      </c>
      <c r="W7495" s="17" t="s">
        <v>44</v>
      </c>
      <c r="X7495" s="17"/>
      <c r="Y7495" s="68">
        <v>46143</v>
      </c>
      <c r="Z7495" s="17" t="s">
        <v>45</v>
      </c>
      <c r="AA7495" s="17" t="s">
        <v>46</v>
      </c>
      <c r="AB7495" s="17" t="s">
        <v>1732</v>
      </c>
      <c r="AC7495" s="217">
        <v>46153</v>
      </c>
      <c r="AD7495" s="65">
        <v>1805</v>
      </c>
      <c r="AE7495" s="17" t="s">
        <v>48</v>
      </c>
      <c r="AF7495" s="17" t="s">
        <v>560</v>
      </c>
      <c r="AG7495" s="17"/>
      <c r="AH7495" s="17"/>
      <c r="AJ7495" s="17"/>
      <c r="AK7495" s="17"/>
      <c r="AL7495" s="17"/>
      <c r="AM7495" s="17"/>
      <c r="AN7495" s="17"/>
      <c r="AO7495" s="17"/>
      <c r="AP7495" s="17"/>
      <c r="AQ7495" s="17"/>
      <c r="AR7495" s="17"/>
      <c r="AS7495" s="17"/>
    </row>
    <row r="7496" s="25" customFormat="1" hidden="1" spans="1:45">
      <c r="A7496" s="17" t="s">
        <v>34</v>
      </c>
      <c r="B7496" s="19">
        <v>1109</v>
      </c>
      <c r="C7496" s="183">
        <v>46132</v>
      </c>
      <c r="D7496" s="17" t="s">
        <v>52</v>
      </c>
      <c r="E7496" s="17" t="s">
        <v>104</v>
      </c>
      <c r="F7496" s="17" t="s">
        <v>54</v>
      </c>
      <c r="G7496" s="17"/>
      <c r="H7496" s="19" t="s">
        <v>1370</v>
      </c>
      <c r="I7496" s="19" t="s">
        <v>1735</v>
      </c>
      <c r="J7496" s="17" t="s">
        <v>49</v>
      </c>
      <c r="K7496" s="19">
        <v>2300</v>
      </c>
      <c r="L7496" s="448">
        <v>23</v>
      </c>
      <c r="M7496" s="19">
        <v>5800</v>
      </c>
      <c r="N7496" s="19" t="s">
        <v>40</v>
      </c>
      <c r="O7496" s="19" t="s">
        <v>67</v>
      </c>
      <c r="P7496" s="19">
        <v>1909</v>
      </c>
      <c r="Q7496" s="19">
        <v>2248</v>
      </c>
      <c r="R7496" s="19">
        <f t="shared" si="324"/>
        <v>-339</v>
      </c>
      <c r="S7496" s="19">
        <v>605</v>
      </c>
      <c r="T7496" s="19" t="s">
        <v>42</v>
      </c>
      <c r="U7496" s="102" t="s">
        <v>1730</v>
      </c>
      <c r="V7496" s="186">
        <v>46133</v>
      </c>
      <c r="W7496" s="17" t="s">
        <v>44</v>
      </c>
      <c r="X7496" s="17"/>
      <c r="Y7496" s="68">
        <v>46143</v>
      </c>
      <c r="Z7496" s="17" t="s">
        <v>45</v>
      </c>
      <c r="AA7496" s="17" t="s">
        <v>46</v>
      </c>
      <c r="AB7496" s="17" t="s">
        <v>1736</v>
      </c>
      <c r="AC7496" s="217">
        <v>46153</v>
      </c>
      <c r="AD7496" s="65">
        <v>1806</v>
      </c>
      <c r="AE7496" s="17" t="s">
        <v>48</v>
      </c>
      <c r="AF7496" s="17" t="s">
        <v>560</v>
      </c>
      <c r="AG7496" s="17"/>
      <c r="AH7496" s="17"/>
      <c r="AJ7496" s="17"/>
      <c r="AK7496" s="17"/>
      <c r="AL7496" s="17"/>
      <c r="AM7496" s="17"/>
      <c r="AN7496" s="17"/>
      <c r="AO7496" s="17"/>
      <c r="AP7496" s="17"/>
      <c r="AQ7496" s="17"/>
      <c r="AR7496" s="17"/>
      <c r="AS7496" s="17"/>
    </row>
    <row r="7497" s="25" customFormat="1" hidden="1" spans="1:45">
      <c r="A7497" s="17" t="s">
        <v>34</v>
      </c>
      <c r="B7497" s="19">
        <v>1109</v>
      </c>
      <c r="C7497" s="183">
        <v>46132</v>
      </c>
      <c r="D7497" s="17" t="s">
        <v>52</v>
      </c>
      <c r="E7497" s="17" t="s">
        <v>104</v>
      </c>
      <c r="F7497" s="17" t="s">
        <v>54</v>
      </c>
      <c r="G7497" s="17"/>
      <c r="H7497" s="19" t="s">
        <v>1370</v>
      </c>
      <c r="I7497" s="19" t="s">
        <v>1735</v>
      </c>
      <c r="J7497" s="17" t="s">
        <v>49</v>
      </c>
      <c r="K7497" s="19">
        <v>2300</v>
      </c>
      <c r="L7497" s="448">
        <v>28</v>
      </c>
      <c r="M7497" s="19">
        <v>5800</v>
      </c>
      <c r="N7497" s="19" t="s">
        <v>40</v>
      </c>
      <c r="O7497" s="19" t="s">
        <v>67</v>
      </c>
      <c r="P7497" s="19">
        <v>2324</v>
      </c>
      <c r="Q7497" s="19">
        <v>2140</v>
      </c>
      <c r="R7497" s="19">
        <f t="shared" si="324"/>
        <v>184</v>
      </c>
      <c r="S7497" s="19">
        <v>605</v>
      </c>
      <c r="T7497" s="19" t="s">
        <v>42</v>
      </c>
      <c r="U7497" s="102" t="s">
        <v>1730</v>
      </c>
      <c r="V7497" s="186">
        <v>46133</v>
      </c>
      <c r="W7497" s="17" t="s">
        <v>44</v>
      </c>
      <c r="X7497" s="17"/>
      <c r="Y7497" s="68">
        <v>46143</v>
      </c>
      <c r="Z7497" s="17" t="s">
        <v>45</v>
      </c>
      <c r="AA7497" s="17" t="s">
        <v>46</v>
      </c>
      <c r="AB7497" s="17" t="s">
        <v>1736</v>
      </c>
      <c r="AC7497" s="217">
        <v>46153</v>
      </c>
      <c r="AD7497" s="65">
        <v>1806</v>
      </c>
      <c r="AE7497" s="17" t="s">
        <v>48</v>
      </c>
      <c r="AF7497" s="17" t="s">
        <v>560</v>
      </c>
      <c r="AG7497" s="17"/>
      <c r="AH7497" s="17"/>
      <c r="AJ7497" s="17"/>
      <c r="AK7497" s="17"/>
      <c r="AL7497" s="17"/>
      <c r="AM7497" s="17"/>
      <c r="AN7497" s="17"/>
      <c r="AO7497" s="17"/>
      <c r="AP7497" s="17"/>
      <c r="AQ7497" s="17"/>
      <c r="AR7497" s="17"/>
      <c r="AS7497" s="17"/>
    </row>
    <row r="7498" s="25" customFormat="1" hidden="1" spans="1:45">
      <c r="A7498" s="17" t="s">
        <v>34</v>
      </c>
      <c r="B7498" s="19">
        <v>1109</v>
      </c>
      <c r="C7498" s="183">
        <v>46132</v>
      </c>
      <c r="D7498" s="17" t="s">
        <v>52</v>
      </c>
      <c r="E7498" s="17" t="s">
        <v>104</v>
      </c>
      <c r="F7498" s="17" t="s">
        <v>54</v>
      </c>
      <c r="G7498" s="17"/>
      <c r="H7498" s="19" t="s">
        <v>1370</v>
      </c>
      <c r="I7498" s="19" t="s">
        <v>1735</v>
      </c>
      <c r="J7498" s="17" t="s">
        <v>49</v>
      </c>
      <c r="K7498" s="19">
        <v>2300</v>
      </c>
      <c r="L7498" s="448">
        <v>33</v>
      </c>
      <c r="M7498" s="19">
        <v>5800</v>
      </c>
      <c r="N7498" s="19" t="s">
        <v>40</v>
      </c>
      <c r="O7498" s="19" t="s">
        <v>67</v>
      </c>
      <c r="P7498" s="19">
        <v>2739</v>
      </c>
      <c r="Q7498" s="19">
        <v>2694</v>
      </c>
      <c r="R7498" s="19">
        <f t="shared" si="324"/>
        <v>45</v>
      </c>
      <c r="S7498" s="19">
        <v>605</v>
      </c>
      <c r="T7498" s="19" t="s">
        <v>42</v>
      </c>
      <c r="U7498" s="102" t="s">
        <v>1730</v>
      </c>
      <c r="V7498" s="186">
        <v>46133</v>
      </c>
      <c r="W7498" s="17" t="s">
        <v>44</v>
      </c>
      <c r="X7498" s="17"/>
      <c r="Y7498" s="68">
        <v>46143</v>
      </c>
      <c r="Z7498" s="17" t="s">
        <v>45</v>
      </c>
      <c r="AA7498" s="17" t="s">
        <v>46</v>
      </c>
      <c r="AB7498" s="17" t="s">
        <v>1736</v>
      </c>
      <c r="AC7498" s="217">
        <v>46153</v>
      </c>
      <c r="AD7498" s="65">
        <v>1806</v>
      </c>
      <c r="AE7498" s="17" t="s">
        <v>48</v>
      </c>
      <c r="AF7498" s="17" t="s">
        <v>560</v>
      </c>
      <c r="AG7498" s="17"/>
      <c r="AH7498" s="17"/>
      <c r="AJ7498" s="17"/>
      <c r="AK7498" s="17"/>
      <c r="AL7498" s="17"/>
      <c r="AM7498" s="17"/>
      <c r="AN7498" s="17"/>
      <c r="AO7498" s="17"/>
      <c r="AP7498" s="17"/>
      <c r="AQ7498" s="17"/>
      <c r="AR7498" s="17"/>
      <c r="AS7498" s="17"/>
    </row>
    <row r="7499" s="25" customFormat="1" hidden="1" spans="1:45">
      <c r="A7499" s="17" t="s">
        <v>34</v>
      </c>
      <c r="B7499" s="19">
        <v>1109</v>
      </c>
      <c r="C7499" s="183">
        <v>46132</v>
      </c>
      <c r="D7499" s="17" t="s">
        <v>52</v>
      </c>
      <c r="E7499" s="17" t="s">
        <v>104</v>
      </c>
      <c r="F7499" s="17" t="s">
        <v>54</v>
      </c>
      <c r="G7499" s="17"/>
      <c r="H7499" s="19" t="s">
        <v>1370</v>
      </c>
      <c r="I7499" s="19" t="s">
        <v>1735</v>
      </c>
      <c r="J7499" s="17" t="s">
        <v>49</v>
      </c>
      <c r="K7499" s="19">
        <v>2300</v>
      </c>
      <c r="L7499" s="448">
        <v>38</v>
      </c>
      <c r="M7499" s="19">
        <v>5800</v>
      </c>
      <c r="N7499" s="19" t="s">
        <v>40</v>
      </c>
      <c r="O7499" s="19" t="s">
        <v>67</v>
      </c>
      <c r="P7499" s="19">
        <v>3155</v>
      </c>
      <c r="Q7499" s="19">
        <v>3099</v>
      </c>
      <c r="R7499" s="19">
        <f t="shared" si="324"/>
        <v>56</v>
      </c>
      <c r="S7499" s="19">
        <v>605</v>
      </c>
      <c r="T7499" s="19" t="s">
        <v>42</v>
      </c>
      <c r="U7499" s="102" t="s">
        <v>1730</v>
      </c>
      <c r="V7499" s="186">
        <v>46133</v>
      </c>
      <c r="W7499" s="17" t="s">
        <v>44</v>
      </c>
      <c r="X7499" s="17"/>
      <c r="Y7499" s="68">
        <v>46143</v>
      </c>
      <c r="Z7499" s="17" t="s">
        <v>45</v>
      </c>
      <c r="AA7499" s="17" t="s">
        <v>46</v>
      </c>
      <c r="AB7499" s="17" t="s">
        <v>1736</v>
      </c>
      <c r="AC7499" s="217">
        <v>46153</v>
      </c>
      <c r="AD7499" s="65">
        <v>1806</v>
      </c>
      <c r="AE7499" s="17" t="s">
        <v>48</v>
      </c>
      <c r="AF7499" s="17" t="s">
        <v>560</v>
      </c>
      <c r="AG7499" s="17"/>
      <c r="AH7499" s="17"/>
      <c r="AJ7499" s="17"/>
      <c r="AK7499" s="17"/>
      <c r="AL7499" s="17"/>
      <c r="AM7499" s="17"/>
      <c r="AN7499" s="17"/>
      <c r="AO7499" s="17"/>
      <c r="AP7499" s="17"/>
      <c r="AQ7499" s="17"/>
      <c r="AR7499" s="17"/>
      <c r="AS7499" s="17"/>
    </row>
    <row r="7500" s="25" customFormat="1" hidden="1" spans="1:45">
      <c r="A7500" s="17" t="s">
        <v>34</v>
      </c>
      <c r="B7500" s="19">
        <v>1109</v>
      </c>
      <c r="C7500" s="183">
        <v>46132</v>
      </c>
      <c r="D7500" s="17" t="s">
        <v>52</v>
      </c>
      <c r="E7500" s="17" t="s">
        <v>104</v>
      </c>
      <c r="F7500" s="17" t="s">
        <v>54</v>
      </c>
      <c r="G7500" s="17"/>
      <c r="H7500" s="19" t="s">
        <v>1370</v>
      </c>
      <c r="I7500" s="19" t="s">
        <v>1735</v>
      </c>
      <c r="J7500" s="17" t="s">
        <v>49</v>
      </c>
      <c r="K7500" s="19">
        <v>2300</v>
      </c>
      <c r="L7500" s="448">
        <v>43</v>
      </c>
      <c r="M7500" s="19">
        <v>5800</v>
      </c>
      <c r="N7500" s="19" t="s">
        <v>40</v>
      </c>
      <c r="O7500" s="19" t="s">
        <v>67</v>
      </c>
      <c r="P7500" s="19">
        <v>3570</v>
      </c>
      <c r="Q7500" s="19">
        <v>3285</v>
      </c>
      <c r="R7500" s="19">
        <f t="shared" si="324"/>
        <v>285</v>
      </c>
      <c r="S7500" s="19">
        <v>605</v>
      </c>
      <c r="T7500" s="19" t="s">
        <v>42</v>
      </c>
      <c r="U7500" s="102" t="s">
        <v>1730</v>
      </c>
      <c r="V7500" s="186">
        <v>46133</v>
      </c>
      <c r="W7500" s="17" t="s">
        <v>44</v>
      </c>
      <c r="X7500" s="17"/>
      <c r="Y7500" s="68">
        <v>46143</v>
      </c>
      <c r="Z7500" s="17" t="s">
        <v>45</v>
      </c>
      <c r="AA7500" s="17" t="s">
        <v>46</v>
      </c>
      <c r="AB7500" s="17" t="s">
        <v>1736</v>
      </c>
      <c r="AC7500" s="217">
        <v>46153</v>
      </c>
      <c r="AD7500" s="65">
        <v>1806</v>
      </c>
      <c r="AE7500" s="17" t="s">
        <v>48</v>
      </c>
      <c r="AF7500" s="17" t="s">
        <v>560</v>
      </c>
      <c r="AG7500" s="17"/>
      <c r="AH7500" s="17"/>
      <c r="AJ7500" s="17"/>
      <c r="AK7500" s="17"/>
      <c r="AL7500" s="17"/>
      <c r="AM7500" s="17"/>
      <c r="AN7500" s="17"/>
      <c r="AO7500" s="17"/>
      <c r="AP7500" s="17"/>
      <c r="AQ7500" s="17"/>
      <c r="AR7500" s="17"/>
      <c r="AS7500" s="17"/>
    </row>
    <row r="7501" s="25" customFormat="1" hidden="1" spans="1:45">
      <c r="A7501" s="17" t="s">
        <v>34</v>
      </c>
      <c r="B7501" s="19">
        <v>1109</v>
      </c>
      <c r="C7501" s="183">
        <v>46132</v>
      </c>
      <c r="D7501" s="17" t="s">
        <v>52</v>
      </c>
      <c r="E7501" s="17" t="s">
        <v>104</v>
      </c>
      <c r="F7501" s="17" t="s">
        <v>54</v>
      </c>
      <c r="G7501" s="17"/>
      <c r="H7501" s="19" t="s">
        <v>1370</v>
      </c>
      <c r="I7501" s="19" t="s">
        <v>1735</v>
      </c>
      <c r="J7501" s="17" t="s">
        <v>49</v>
      </c>
      <c r="K7501" s="19">
        <v>2300</v>
      </c>
      <c r="L7501" s="448">
        <v>48</v>
      </c>
      <c r="M7501" s="19">
        <v>5800</v>
      </c>
      <c r="N7501" s="19" t="s">
        <v>40</v>
      </c>
      <c r="O7501" s="19" t="s">
        <v>67</v>
      </c>
      <c r="P7501" s="19">
        <v>3985</v>
      </c>
      <c r="Q7501" s="19">
        <v>3526</v>
      </c>
      <c r="R7501" s="19">
        <f t="shared" si="324"/>
        <v>459</v>
      </c>
      <c r="S7501" s="19">
        <v>605</v>
      </c>
      <c r="T7501" s="19" t="s">
        <v>42</v>
      </c>
      <c r="U7501" s="102" t="s">
        <v>1730</v>
      </c>
      <c r="V7501" s="186">
        <v>46133</v>
      </c>
      <c r="W7501" s="17" t="s">
        <v>44</v>
      </c>
      <c r="X7501" s="17"/>
      <c r="Y7501" s="68">
        <v>46143</v>
      </c>
      <c r="Z7501" s="17" t="s">
        <v>45</v>
      </c>
      <c r="AA7501" s="17" t="s">
        <v>46</v>
      </c>
      <c r="AB7501" s="17" t="s">
        <v>1736</v>
      </c>
      <c r="AC7501" s="217">
        <v>46153</v>
      </c>
      <c r="AD7501" s="65">
        <v>1806</v>
      </c>
      <c r="AE7501" s="17" t="s">
        <v>48</v>
      </c>
      <c r="AF7501" s="17" t="s">
        <v>560</v>
      </c>
      <c r="AG7501" s="17"/>
      <c r="AH7501" s="17"/>
      <c r="AJ7501" s="17"/>
      <c r="AK7501" s="17"/>
      <c r="AL7501" s="17"/>
      <c r="AM7501" s="17"/>
      <c r="AN7501" s="17"/>
      <c r="AO7501" s="17"/>
      <c r="AP7501" s="17"/>
      <c r="AQ7501" s="17"/>
      <c r="AR7501" s="17"/>
      <c r="AS7501" s="17"/>
    </row>
    <row r="7502" s="25" customFormat="1" hidden="1" spans="1:45">
      <c r="A7502" s="17" t="s">
        <v>34</v>
      </c>
      <c r="B7502" s="19">
        <v>1109</v>
      </c>
      <c r="C7502" s="183">
        <v>46132</v>
      </c>
      <c r="D7502" s="17" t="s">
        <v>52</v>
      </c>
      <c r="E7502" s="17" t="s">
        <v>104</v>
      </c>
      <c r="F7502" s="17" t="s">
        <v>54</v>
      </c>
      <c r="G7502" s="17"/>
      <c r="H7502" s="19" t="s">
        <v>1370</v>
      </c>
      <c r="I7502" s="19" t="s">
        <v>1735</v>
      </c>
      <c r="J7502" s="17" t="s">
        <v>49</v>
      </c>
      <c r="K7502" s="19">
        <v>2300</v>
      </c>
      <c r="L7502" s="448">
        <v>53</v>
      </c>
      <c r="M7502" s="19">
        <v>5800</v>
      </c>
      <c r="N7502" s="19" t="s">
        <v>40</v>
      </c>
      <c r="O7502" s="19" t="s">
        <v>67</v>
      </c>
      <c r="P7502" s="19">
        <v>4400</v>
      </c>
      <c r="Q7502" s="19">
        <v>5710</v>
      </c>
      <c r="R7502" s="19">
        <f t="shared" si="324"/>
        <v>-1310</v>
      </c>
      <c r="S7502" s="19">
        <v>605</v>
      </c>
      <c r="T7502" s="19" t="s">
        <v>42</v>
      </c>
      <c r="U7502" s="102" t="s">
        <v>1730</v>
      </c>
      <c r="V7502" s="186">
        <v>46133</v>
      </c>
      <c r="W7502" s="17" t="s">
        <v>44</v>
      </c>
      <c r="X7502" s="17"/>
      <c r="Y7502" s="68">
        <v>46143</v>
      </c>
      <c r="Z7502" s="17" t="s">
        <v>45</v>
      </c>
      <c r="AA7502" s="17" t="s">
        <v>46</v>
      </c>
      <c r="AB7502" s="17" t="s">
        <v>1736</v>
      </c>
      <c r="AC7502" s="217">
        <v>46153</v>
      </c>
      <c r="AD7502" s="65">
        <v>1806</v>
      </c>
      <c r="AE7502" s="17" t="s">
        <v>48</v>
      </c>
      <c r="AF7502" s="17" t="s">
        <v>560</v>
      </c>
      <c r="AG7502" s="17"/>
      <c r="AH7502" s="17"/>
      <c r="AJ7502" s="17"/>
      <c r="AK7502" s="17"/>
      <c r="AL7502" s="17"/>
      <c r="AM7502" s="17"/>
      <c r="AN7502" s="17"/>
      <c r="AO7502" s="17"/>
      <c r="AP7502" s="17"/>
      <c r="AQ7502" s="17"/>
      <c r="AR7502" s="17"/>
      <c r="AS7502" s="17"/>
    </row>
    <row r="7503" s="25" customFormat="1" hidden="1" spans="1:45">
      <c r="A7503" s="17" t="s">
        <v>34</v>
      </c>
      <c r="B7503" s="19">
        <v>1109</v>
      </c>
      <c r="C7503" s="183">
        <v>46132</v>
      </c>
      <c r="D7503" s="17" t="s">
        <v>52</v>
      </c>
      <c r="E7503" s="17" t="s">
        <v>104</v>
      </c>
      <c r="F7503" s="17" t="s">
        <v>54</v>
      </c>
      <c r="G7503" s="17"/>
      <c r="H7503" s="19" t="s">
        <v>1370</v>
      </c>
      <c r="I7503" s="19" t="s">
        <v>1735</v>
      </c>
      <c r="J7503" s="17" t="s">
        <v>49</v>
      </c>
      <c r="K7503" s="19">
        <v>2300</v>
      </c>
      <c r="L7503" s="448">
        <v>58</v>
      </c>
      <c r="M7503" s="19">
        <v>5800</v>
      </c>
      <c r="N7503" s="19" t="s">
        <v>40</v>
      </c>
      <c r="O7503" s="19" t="s">
        <v>67</v>
      </c>
      <c r="P7503" s="19">
        <v>4815</v>
      </c>
      <c r="Q7503" s="19">
        <v>5225</v>
      </c>
      <c r="R7503" s="19">
        <f t="shared" si="324"/>
        <v>-410</v>
      </c>
      <c r="S7503" s="19">
        <v>605</v>
      </c>
      <c r="T7503" s="19" t="s">
        <v>42</v>
      </c>
      <c r="U7503" s="102" t="s">
        <v>1730</v>
      </c>
      <c r="V7503" s="186">
        <v>46133</v>
      </c>
      <c r="W7503" s="17" t="s">
        <v>44</v>
      </c>
      <c r="X7503" s="17"/>
      <c r="Y7503" s="68">
        <v>46143</v>
      </c>
      <c r="Z7503" s="17" t="s">
        <v>45</v>
      </c>
      <c r="AA7503" s="17" t="s">
        <v>46</v>
      </c>
      <c r="AB7503" s="17" t="s">
        <v>1736</v>
      </c>
      <c r="AC7503" s="217">
        <v>46153</v>
      </c>
      <c r="AD7503" s="65">
        <v>1806</v>
      </c>
      <c r="AE7503" s="17" t="s">
        <v>48</v>
      </c>
      <c r="AF7503" s="17" t="s">
        <v>560</v>
      </c>
      <c r="AG7503" s="17"/>
      <c r="AH7503" s="17"/>
      <c r="AJ7503" s="17"/>
      <c r="AK7503" s="17"/>
      <c r="AL7503" s="17"/>
      <c r="AM7503" s="17"/>
      <c r="AN7503" s="17"/>
      <c r="AO7503" s="17"/>
      <c r="AP7503" s="17"/>
      <c r="AQ7503" s="17"/>
      <c r="AR7503" s="17"/>
      <c r="AS7503" s="17"/>
    </row>
    <row r="7504" s="25" customFormat="1" hidden="1" spans="1:45">
      <c r="A7504" s="17" t="s">
        <v>34</v>
      </c>
      <c r="B7504" s="19">
        <v>1111</v>
      </c>
      <c r="C7504" s="183">
        <v>46135</v>
      </c>
      <c r="D7504" s="17" t="s">
        <v>52</v>
      </c>
      <c r="E7504" s="17" t="s">
        <v>104</v>
      </c>
      <c r="F7504" s="17" t="s">
        <v>54</v>
      </c>
      <c r="G7504" s="17"/>
      <c r="H7504" s="19" t="s">
        <v>1370</v>
      </c>
      <c r="I7504" s="19" t="s">
        <v>1735</v>
      </c>
      <c r="J7504" s="17" t="s">
        <v>49</v>
      </c>
      <c r="K7504" s="19">
        <v>1500</v>
      </c>
      <c r="L7504" s="91">
        <v>265</v>
      </c>
      <c r="M7504" s="19">
        <v>3310</v>
      </c>
      <c r="N7504" s="19" t="s">
        <v>40</v>
      </c>
      <c r="O7504" s="19" t="s">
        <v>50</v>
      </c>
      <c r="P7504" s="19">
        <v>10350</v>
      </c>
      <c r="Q7504" s="19">
        <v>10350</v>
      </c>
      <c r="R7504" s="19">
        <f t="shared" si="324"/>
        <v>0</v>
      </c>
      <c r="S7504" s="19">
        <v>890</v>
      </c>
      <c r="T7504" s="19" t="s">
        <v>42</v>
      </c>
      <c r="U7504" s="102" t="s">
        <v>1737</v>
      </c>
      <c r="V7504" s="186">
        <v>46135</v>
      </c>
      <c r="W7504" s="17" t="s">
        <v>69</v>
      </c>
      <c r="X7504" s="17"/>
      <c r="Y7504" s="68">
        <v>46143</v>
      </c>
      <c r="Z7504" s="17" t="s">
        <v>45</v>
      </c>
      <c r="AA7504" s="17" t="s">
        <v>46</v>
      </c>
      <c r="AB7504" s="17" t="s">
        <v>1731</v>
      </c>
      <c r="AC7504" s="217">
        <v>46153</v>
      </c>
      <c r="AD7504" s="65">
        <v>1804</v>
      </c>
      <c r="AE7504" s="17" t="s">
        <v>48</v>
      </c>
      <c r="AF7504" s="17" t="s">
        <v>61</v>
      </c>
      <c r="AG7504" s="17"/>
      <c r="AH7504" s="17"/>
      <c r="AJ7504" s="17"/>
      <c r="AK7504" s="17"/>
      <c r="AL7504" s="17"/>
      <c r="AM7504" s="17"/>
      <c r="AN7504" s="17"/>
      <c r="AO7504" s="17"/>
      <c r="AP7504" s="17"/>
      <c r="AQ7504" s="17"/>
      <c r="AR7504" s="17"/>
      <c r="AS7504" s="17"/>
    </row>
    <row r="7505" s="25" customFormat="1" hidden="1" spans="1:45">
      <c r="A7505" s="17" t="s">
        <v>34</v>
      </c>
      <c r="B7505" s="19">
        <v>1111</v>
      </c>
      <c r="C7505" s="183">
        <v>46135</v>
      </c>
      <c r="D7505" s="17" t="s">
        <v>52</v>
      </c>
      <c r="E7505" s="17" t="s">
        <v>104</v>
      </c>
      <c r="F7505" s="17" t="s">
        <v>54</v>
      </c>
      <c r="G7505" s="17"/>
      <c r="H7505" s="19" t="s">
        <v>1370</v>
      </c>
      <c r="I7505" s="19" t="s">
        <v>1735</v>
      </c>
      <c r="J7505" s="17" t="s">
        <v>49</v>
      </c>
      <c r="K7505" s="19">
        <v>1500</v>
      </c>
      <c r="L7505" s="91">
        <v>285</v>
      </c>
      <c r="M7505" s="19">
        <v>3030</v>
      </c>
      <c r="N7505" s="19" t="s">
        <v>40</v>
      </c>
      <c r="O7505" s="19" t="s">
        <v>50</v>
      </c>
      <c r="P7505" s="19">
        <v>10170</v>
      </c>
      <c r="Q7505" s="19">
        <v>10170</v>
      </c>
      <c r="R7505" s="19">
        <f t="shared" si="324"/>
        <v>0</v>
      </c>
      <c r="S7505" s="19">
        <f>890</f>
        <v>890</v>
      </c>
      <c r="T7505" s="19" t="s">
        <v>42</v>
      </c>
      <c r="U7505" s="102" t="s">
        <v>1737</v>
      </c>
      <c r="V7505" s="186">
        <v>46135</v>
      </c>
      <c r="W7505" s="17" t="s">
        <v>69</v>
      </c>
      <c r="X7505" s="17"/>
      <c r="Y7505" s="68">
        <v>46143</v>
      </c>
      <c r="Z7505" s="17" t="s">
        <v>45</v>
      </c>
      <c r="AA7505" s="17" t="s">
        <v>46</v>
      </c>
      <c r="AB7505" s="17" t="s">
        <v>1736</v>
      </c>
      <c r="AC7505" s="217">
        <v>46153</v>
      </c>
      <c r="AD7505" s="65">
        <v>1806</v>
      </c>
      <c r="AE7505" s="17" t="s">
        <v>48</v>
      </c>
      <c r="AF7505" s="17" t="s">
        <v>61</v>
      </c>
      <c r="AG7505" s="17"/>
      <c r="AH7505" s="17"/>
      <c r="AJ7505" s="17"/>
      <c r="AK7505" s="17"/>
      <c r="AL7505" s="17"/>
      <c r="AM7505" s="17"/>
      <c r="AN7505" s="17"/>
      <c r="AO7505" s="17"/>
      <c r="AP7505" s="17"/>
      <c r="AQ7505" s="17"/>
      <c r="AR7505" s="17"/>
      <c r="AS7505" s="17"/>
    </row>
    <row r="7506" s="25" customFormat="1" spans="1:45">
      <c r="A7506" s="17" t="s">
        <v>34</v>
      </c>
      <c r="B7506" s="19">
        <v>1111</v>
      </c>
      <c r="C7506" s="183">
        <v>46135</v>
      </c>
      <c r="D7506" s="17" t="s">
        <v>52</v>
      </c>
      <c r="E7506" s="17" t="s">
        <v>104</v>
      </c>
      <c r="F7506" s="17" t="s">
        <v>54</v>
      </c>
      <c r="G7506" s="17"/>
      <c r="H7506" s="19" t="s">
        <v>1370</v>
      </c>
      <c r="I7506" s="19" t="s">
        <v>1735</v>
      </c>
      <c r="J7506" s="17" t="s">
        <v>49</v>
      </c>
      <c r="K7506" s="19">
        <v>1600</v>
      </c>
      <c r="L7506" s="91">
        <v>310</v>
      </c>
      <c r="M7506" s="19">
        <v>5800</v>
      </c>
      <c r="N7506" s="19" t="s">
        <v>40</v>
      </c>
      <c r="O7506" s="19" t="s">
        <v>50</v>
      </c>
      <c r="P7506" s="19">
        <v>13202</v>
      </c>
      <c r="Q7506" s="19">
        <v>13080</v>
      </c>
      <c r="R7506" s="19">
        <f t="shared" si="324"/>
        <v>122</v>
      </c>
      <c r="S7506" s="19">
        <f>890-107</f>
        <v>783</v>
      </c>
      <c r="T7506" s="19" t="s">
        <v>42</v>
      </c>
      <c r="U7506" s="102" t="s">
        <v>1737</v>
      </c>
      <c r="V7506" s="186">
        <v>46135</v>
      </c>
      <c r="W7506" s="17" t="s">
        <v>44</v>
      </c>
      <c r="X7506" s="17"/>
      <c r="Y7506" s="68">
        <v>46143</v>
      </c>
      <c r="Z7506" s="17" t="s">
        <v>45</v>
      </c>
      <c r="AA7506" s="17" t="s">
        <v>46</v>
      </c>
      <c r="AB7506" s="17" t="s">
        <v>116</v>
      </c>
      <c r="AC7506" s="217">
        <v>46241</v>
      </c>
      <c r="AD7506" s="65">
        <v>1848</v>
      </c>
      <c r="AE7506" s="17" t="s">
        <v>48</v>
      </c>
      <c r="AF7506" s="17" t="s">
        <v>61</v>
      </c>
      <c r="AG7506" s="17" t="s">
        <v>1738</v>
      </c>
      <c r="AH7506" s="17"/>
      <c r="AJ7506" s="17"/>
      <c r="AK7506" s="17"/>
      <c r="AL7506" s="17"/>
      <c r="AM7506" s="17"/>
      <c r="AN7506" s="17"/>
      <c r="AO7506" s="17"/>
      <c r="AP7506" s="17"/>
      <c r="AQ7506" s="17"/>
      <c r="AR7506" s="17"/>
      <c r="AS7506" s="17"/>
    </row>
    <row r="7507" s="25" customFormat="1" hidden="1" spans="1:45">
      <c r="A7507" s="17" t="s">
        <v>34</v>
      </c>
      <c r="B7507" s="19">
        <v>1111</v>
      </c>
      <c r="C7507" s="183">
        <v>46135</v>
      </c>
      <c r="D7507" s="17" t="s">
        <v>52</v>
      </c>
      <c r="E7507" s="17" t="s">
        <v>104</v>
      </c>
      <c r="F7507" s="17" t="s">
        <v>54</v>
      </c>
      <c r="G7507" s="17"/>
      <c r="H7507" s="19" t="s">
        <v>1370</v>
      </c>
      <c r="I7507" s="19" t="s">
        <v>1735</v>
      </c>
      <c r="J7507" s="17" t="s">
        <v>49</v>
      </c>
      <c r="K7507" s="19">
        <v>1500</v>
      </c>
      <c r="L7507" s="91">
        <v>358</v>
      </c>
      <c r="M7507" s="19">
        <v>4120</v>
      </c>
      <c r="N7507" s="19" t="s">
        <v>40</v>
      </c>
      <c r="O7507" s="19" t="s">
        <v>50</v>
      </c>
      <c r="P7507" s="19">
        <v>17350</v>
      </c>
      <c r="Q7507" s="19">
        <v>17350</v>
      </c>
      <c r="R7507" s="19">
        <f t="shared" si="324"/>
        <v>0</v>
      </c>
      <c r="S7507" s="19">
        <v>890</v>
      </c>
      <c r="T7507" s="19" t="s">
        <v>42</v>
      </c>
      <c r="U7507" s="102" t="s">
        <v>1737</v>
      </c>
      <c r="V7507" s="186">
        <v>46135</v>
      </c>
      <c r="W7507" s="17" t="s">
        <v>69</v>
      </c>
      <c r="X7507" s="17"/>
      <c r="Y7507" s="68">
        <v>46143</v>
      </c>
      <c r="Z7507" s="17" t="s">
        <v>45</v>
      </c>
      <c r="AA7507" s="17" t="s">
        <v>46</v>
      </c>
      <c r="AB7507" s="17" t="s">
        <v>1736</v>
      </c>
      <c r="AC7507" s="217">
        <v>46153</v>
      </c>
      <c r="AD7507" s="65">
        <v>1806</v>
      </c>
      <c r="AE7507" s="17" t="s">
        <v>48</v>
      </c>
      <c r="AF7507" s="17" t="s">
        <v>61</v>
      </c>
      <c r="AG7507" s="17"/>
      <c r="AH7507" s="17"/>
      <c r="AJ7507" s="17"/>
      <c r="AK7507" s="17"/>
      <c r="AL7507" s="17"/>
      <c r="AM7507" s="17"/>
      <c r="AN7507" s="17"/>
      <c r="AO7507" s="17"/>
      <c r="AP7507" s="17"/>
      <c r="AQ7507" s="17"/>
      <c r="AR7507" s="17"/>
      <c r="AS7507" s="17"/>
    </row>
    <row r="7508" s="25" customFormat="1" hidden="1" spans="1:45">
      <c r="A7508" s="17" t="s">
        <v>34</v>
      </c>
      <c r="B7508" s="19">
        <v>1111</v>
      </c>
      <c r="C7508" s="183">
        <v>46135</v>
      </c>
      <c r="D7508" s="17" t="s">
        <v>52</v>
      </c>
      <c r="E7508" s="17" t="s">
        <v>104</v>
      </c>
      <c r="F7508" s="17" t="s">
        <v>54</v>
      </c>
      <c r="G7508" s="17"/>
      <c r="H7508" s="19" t="s">
        <v>1370</v>
      </c>
      <c r="I7508" s="19" t="s">
        <v>1735</v>
      </c>
      <c r="J7508" s="17" t="s">
        <v>49</v>
      </c>
      <c r="K7508" s="19">
        <v>1600</v>
      </c>
      <c r="L7508" s="91">
        <v>410</v>
      </c>
      <c r="M7508" s="19">
        <v>5800</v>
      </c>
      <c r="N7508" s="19" t="s">
        <v>40</v>
      </c>
      <c r="O7508" s="19" t="s">
        <v>50</v>
      </c>
      <c r="P7508" s="19">
        <v>17460</v>
      </c>
      <c r="Q7508" s="19">
        <v>18320</v>
      </c>
      <c r="R7508" s="19">
        <f t="shared" si="324"/>
        <v>-860</v>
      </c>
      <c r="S7508" s="19">
        <v>890</v>
      </c>
      <c r="T7508" s="19" t="s">
        <v>42</v>
      </c>
      <c r="U7508" s="102" t="s">
        <v>1737</v>
      </c>
      <c r="V7508" s="186">
        <v>46135</v>
      </c>
      <c r="W7508" s="17" t="s">
        <v>69</v>
      </c>
      <c r="X7508" s="17"/>
      <c r="Y7508" s="68">
        <v>46143</v>
      </c>
      <c r="Z7508" s="17" t="s">
        <v>45</v>
      </c>
      <c r="AA7508" s="17" t="s">
        <v>46</v>
      </c>
      <c r="AB7508" s="17" t="s">
        <v>1733</v>
      </c>
      <c r="AC7508" s="217">
        <v>46223</v>
      </c>
      <c r="AD7508" s="65">
        <v>1843</v>
      </c>
      <c r="AE7508" s="17" t="s">
        <v>48</v>
      </c>
      <c r="AF7508" s="17" t="s">
        <v>61</v>
      </c>
      <c r="AG7508" s="17"/>
      <c r="AH7508" s="17"/>
      <c r="AJ7508" s="17"/>
      <c r="AK7508" s="17"/>
      <c r="AL7508" s="17"/>
      <c r="AM7508" s="17"/>
      <c r="AN7508" s="17"/>
      <c r="AO7508" s="17"/>
      <c r="AP7508" s="17"/>
      <c r="AQ7508" s="17"/>
      <c r="AR7508" s="17"/>
      <c r="AS7508" s="17"/>
    </row>
    <row r="7509" s="25" customFormat="1" hidden="1" spans="1:45">
      <c r="A7509" s="17" t="s">
        <v>34</v>
      </c>
      <c r="B7509" s="19">
        <v>1111</v>
      </c>
      <c r="C7509" s="183">
        <v>46135</v>
      </c>
      <c r="D7509" s="17" t="s">
        <v>52</v>
      </c>
      <c r="E7509" s="17" t="s">
        <v>104</v>
      </c>
      <c r="F7509" s="17" t="s">
        <v>54</v>
      </c>
      <c r="G7509" s="17"/>
      <c r="H7509" s="19" t="s">
        <v>1370</v>
      </c>
      <c r="I7509" s="19" t="s">
        <v>1735</v>
      </c>
      <c r="J7509" s="17" t="s">
        <v>49</v>
      </c>
      <c r="K7509" s="19">
        <v>1500</v>
      </c>
      <c r="L7509" s="91">
        <v>457</v>
      </c>
      <c r="M7509" s="19">
        <v>4060</v>
      </c>
      <c r="N7509" s="19" t="s">
        <v>40</v>
      </c>
      <c r="O7509" s="19" t="s">
        <v>50</v>
      </c>
      <c r="P7509" s="19">
        <v>21930</v>
      </c>
      <c r="Q7509" s="19">
        <v>21930</v>
      </c>
      <c r="R7509" s="19">
        <f t="shared" si="324"/>
        <v>0</v>
      </c>
      <c r="S7509" s="19">
        <v>890</v>
      </c>
      <c r="T7509" s="19" t="s">
        <v>42</v>
      </c>
      <c r="U7509" s="102" t="s">
        <v>1737</v>
      </c>
      <c r="V7509" s="186">
        <v>46135</v>
      </c>
      <c r="W7509" s="17" t="s">
        <v>69</v>
      </c>
      <c r="X7509" s="17"/>
      <c r="Y7509" s="68">
        <v>46143</v>
      </c>
      <c r="Z7509" s="17" t="s">
        <v>45</v>
      </c>
      <c r="AA7509" s="17" t="s">
        <v>46</v>
      </c>
      <c r="AB7509" s="17" t="s">
        <v>1731</v>
      </c>
      <c r="AC7509" s="217">
        <v>46153</v>
      </c>
      <c r="AD7509" s="65">
        <v>1804</v>
      </c>
      <c r="AE7509" s="17" t="s">
        <v>48</v>
      </c>
      <c r="AF7509" s="17" t="s">
        <v>61</v>
      </c>
      <c r="AG7509" s="17"/>
      <c r="AH7509" s="17"/>
      <c r="AJ7509" s="17"/>
      <c r="AK7509" s="17"/>
      <c r="AL7509" s="17"/>
      <c r="AM7509" s="17"/>
      <c r="AN7509" s="17"/>
      <c r="AO7509" s="17"/>
      <c r="AP7509" s="17"/>
      <c r="AQ7509" s="17"/>
      <c r="AR7509" s="17"/>
      <c r="AS7509" s="17"/>
    </row>
    <row r="7510" s="25" customFormat="1" hidden="1" spans="1:45">
      <c r="A7510" s="17" t="s">
        <v>34</v>
      </c>
      <c r="B7510" s="19">
        <v>1111</v>
      </c>
      <c r="C7510" s="183">
        <v>46135</v>
      </c>
      <c r="D7510" s="17" t="s">
        <v>52</v>
      </c>
      <c r="E7510" s="17" t="s">
        <v>104</v>
      </c>
      <c r="F7510" s="17" t="s">
        <v>54</v>
      </c>
      <c r="G7510" s="17"/>
      <c r="H7510" s="19" t="s">
        <v>1370</v>
      </c>
      <c r="I7510" s="19" t="s">
        <v>1735</v>
      </c>
      <c r="J7510" s="17" t="s">
        <v>49</v>
      </c>
      <c r="K7510" s="19">
        <v>1600</v>
      </c>
      <c r="L7510" s="91">
        <v>510</v>
      </c>
      <c r="M7510" s="19">
        <v>3500</v>
      </c>
      <c r="N7510" s="19" t="s">
        <v>40</v>
      </c>
      <c r="O7510" s="19" t="s">
        <v>50</v>
      </c>
      <c r="P7510" s="19">
        <v>21719</v>
      </c>
      <c r="Q7510" s="19">
        <v>20540</v>
      </c>
      <c r="R7510" s="19">
        <f t="shared" si="324"/>
        <v>1179</v>
      </c>
      <c r="S7510" s="19">
        <v>890</v>
      </c>
      <c r="T7510" s="19" t="s">
        <v>42</v>
      </c>
      <c r="U7510" s="102" t="s">
        <v>1737</v>
      </c>
      <c r="V7510" s="186">
        <v>46135</v>
      </c>
      <c r="W7510" s="17" t="s">
        <v>69</v>
      </c>
      <c r="X7510" s="17"/>
      <c r="Y7510" s="68">
        <v>46143</v>
      </c>
      <c r="Z7510" s="17" t="s">
        <v>45</v>
      </c>
      <c r="AA7510" s="17" t="s">
        <v>46</v>
      </c>
      <c r="AB7510" s="17" t="s">
        <v>1733</v>
      </c>
      <c r="AC7510" s="217">
        <v>46223</v>
      </c>
      <c r="AD7510" s="65">
        <v>1843</v>
      </c>
      <c r="AE7510" s="17" t="s">
        <v>48</v>
      </c>
      <c r="AF7510" s="17" t="s">
        <v>61</v>
      </c>
      <c r="AG7510" s="17"/>
      <c r="AH7510" s="17"/>
      <c r="AJ7510" s="17"/>
      <c r="AK7510" s="17"/>
      <c r="AL7510" s="17"/>
      <c r="AM7510" s="17"/>
      <c r="AN7510" s="17"/>
      <c r="AO7510" s="17"/>
      <c r="AP7510" s="17"/>
      <c r="AQ7510" s="17"/>
      <c r="AR7510" s="17"/>
      <c r="AS7510" s="17"/>
    </row>
    <row r="7511" s="25" customFormat="1" ht="15.6" hidden="1" spans="1:45">
      <c r="A7511" s="17" t="s">
        <v>34</v>
      </c>
      <c r="B7511" s="19">
        <v>1114</v>
      </c>
      <c r="C7511" s="183">
        <v>46143</v>
      </c>
      <c r="D7511" s="17" t="s">
        <v>63</v>
      </c>
      <c r="E7511" s="17" t="s">
        <v>64</v>
      </c>
      <c r="F7511" s="17" t="s">
        <v>54</v>
      </c>
      <c r="G7511" s="17"/>
      <c r="H7511" s="19">
        <v>1.2311</v>
      </c>
      <c r="I7511" s="19"/>
      <c r="J7511" s="17" t="s">
        <v>82</v>
      </c>
      <c r="K7511" s="19">
        <v>205</v>
      </c>
      <c r="L7511" s="19">
        <v>25</v>
      </c>
      <c r="M7511" s="19">
        <v>2250</v>
      </c>
      <c r="N7511" s="19" t="s">
        <v>66</v>
      </c>
      <c r="O7511" s="19" t="s">
        <v>67</v>
      </c>
      <c r="P7511" s="19">
        <v>272</v>
      </c>
      <c r="Q7511" s="19">
        <f>98+98+98</f>
        <v>294</v>
      </c>
      <c r="R7511" s="99">
        <f t="shared" si="323"/>
        <v>-22</v>
      </c>
      <c r="S7511" s="449">
        <v>800</v>
      </c>
      <c r="T7511" s="19" t="s">
        <v>42</v>
      </c>
      <c r="U7511" s="102" t="s">
        <v>68</v>
      </c>
      <c r="V7511" s="186">
        <v>46148</v>
      </c>
      <c r="W7511" s="17" t="s">
        <v>69</v>
      </c>
      <c r="X7511" s="17"/>
      <c r="Y7511" s="68">
        <v>46174</v>
      </c>
      <c r="Z7511" s="17" t="s">
        <v>70</v>
      </c>
      <c r="AA7511" s="17" t="s">
        <v>46</v>
      </c>
      <c r="AB7511" s="17" t="s">
        <v>68</v>
      </c>
      <c r="AC7511" s="217">
        <v>46223</v>
      </c>
      <c r="AD7511" s="65">
        <v>1845</v>
      </c>
      <c r="AE7511" s="17" t="s">
        <v>74</v>
      </c>
      <c r="AF7511" s="17"/>
      <c r="AG7511" s="17"/>
      <c r="AH7511" s="17"/>
      <c r="AI7511" s="17"/>
      <c r="AJ7511" s="17"/>
      <c r="AK7511" s="17"/>
      <c r="AL7511" s="17"/>
      <c r="AM7511" s="17"/>
      <c r="AN7511" s="17"/>
      <c r="AO7511" s="17"/>
      <c r="AP7511" s="17"/>
      <c r="AQ7511" s="17"/>
      <c r="AR7511" s="17"/>
    </row>
    <row r="7512" s="25" customFormat="1" ht="15.6" hidden="1" spans="1:45">
      <c r="A7512" s="17" t="s">
        <v>34</v>
      </c>
      <c r="B7512" s="19">
        <v>1114</v>
      </c>
      <c r="C7512" s="183">
        <v>46143</v>
      </c>
      <c r="D7512" s="17" t="s">
        <v>63</v>
      </c>
      <c r="E7512" s="17" t="s">
        <v>64</v>
      </c>
      <c r="F7512" s="17" t="s">
        <v>54</v>
      </c>
      <c r="G7512" s="17"/>
      <c r="H7512" s="19">
        <v>1.2311</v>
      </c>
      <c r="I7512" s="19"/>
      <c r="J7512" s="17" t="s">
        <v>82</v>
      </c>
      <c r="K7512" s="19">
        <v>255</v>
      </c>
      <c r="L7512" s="19">
        <v>25</v>
      </c>
      <c r="M7512" s="19">
        <v>2250</v>
      </c>
      <c r="N7512" s="19" t="s">
        <v>66</v>
      </c>
      <c r="O7512" s="19" t="s">
        <v>67</v>
      </c>
      <c r="P7512" s="19">
        <v>338</v>
      </c>
      <c r="Q7512" s="19">
        <f>123+123+124</f>
        <v>370</v>
      </c>
      <c r="R7512" s="99">
        <f t="shared" si="323"/>
        <v>-32</v>
      </c>
      <c r="S7512" s="311">
        <v>800</v>
      </c>
      <c r="T7512" s="19" t="s">
        <v>42</v>
      </c>
      <c r="U7512" s="102" t="s">
        <v>68</v>
      </c>
      <c r="V7512" s="186">
        <v>46148</v>
      </c>
      <c r="W7512" s="17" t="s">
        <v>69</v>
      </c>
      <c r="X7512" s="17"/>
      <c r="Y7512" s="68">
        <v>46174</v>
      </c>
      <c r="Z7512" s="17" t="s">
        <v>70</v>
      </c>
      <c r="AA7512" s="17" t="s">
        <v>46</v>
      </c>
      <c r="AB7512" s="17" t="s">
        <v>68</v>
      </c>
      <c r="AC7512" s="217">
        <v>46223</v>
      </c>
      <c r="AD7512" s="65">
        <v>1845</v>
      </c>
      <c r="AE7512" s="17" t="s">
        <v>74</v>
      </c>
      <c r="AF7512" s="17"/>
      <c r="AG7512" s="17"/>
      <c r="AH7512" s="17"/>
      <c r="AI7512" s="17"/>
      <c r="AJ7512" s="17"/>
      <c r="AK7512" s="17"/>
      <c r="AL7512" s="17"/>
      <c r="AM7512" s="17"/>
      <c r="AN7512" s="17"/>
      <c r="AO7512" s="17"/>
      <c r="AP7512" s="17"/>
      <c r="AQ7512" s="17"/>
      <c r="AR7512" s="17"/>
    </row>
    <row r="7513" s="25" customFormat="1" ht="15.6" hidden="1" spans="1:45">
      <c r="A7513" s="17" t="s">
        <v>34</v>
      </c>
      <c r="B7513" s="19">
        <v>1114</v>
      </c>
      <c r="C7513" s="183">
        <v>46143</v>
      </c>
      <c r="D7513" s="17" t="s">
        <v>63</v>
      </c>
      <c r="E7513" s="17" t="s">
        <v>64</v>
      </c>
      <c r="F7513" s="17" t="s">
        <v>54</v>
      </c>
      <c r="G7513" s="17"/>
      <c r="H7513" s="19">
        <v>1.2311</v>
      </c>
      <c r="I7513" s="19"/>
      <c r="J7513" s="17" t="s">
        <v>82</v>
      </c>
      <c r="K7513" s="19">
        <v>305</v>
      </c>
      <c r="L7513" s="19">
        <v>25</v>
      </c>
      <c r="M7513" s="19">
        <v>2250</v>
      </c>
      <c r="N7513" s="19" t="s">
        <v>66</v>
      </c>
      <c r="O7513" s="19" t="s">
        <v>67</v>
      </c>
      <c r="P7513" s="19">
        <v>269</v>
      </c>
      <c r="Q7513" s="19">
        <f>146+146</f>
        <v>292</v>
      </c>
      <c r="R7513" s="99">
        <f t="shared" si="323"/>
        <v>-23</v>
      </c>
      <c r="S7513" s="311">
        <v>800</v>
      </c>
      <c r="T7513" s="19" t="s">
        <v>42</v>
      </c>
      <c r="U7513" s="102" t="s">
        <v>68</v>
      </c>
      <c r="V7513" s="186">
        <v>46148</v>
      </c>
      <c r="W7513" s="17" t="s">
        <v>69</v>
      </c>
      <c r="X7513" s="17"/>
      <c r="Y7513" s="68">
        <v>46174</v>
      </c>
      <c r="Z7513" s="17" t="s">
        <v>70</v>
      </c>
      <c r="AA7513" s="17" t="s">
        <v>46</v>
      </c>
      <c r="AB7513" s="17" t="s">
        <v>68</v>
      </c>
      <c r="AC7513" s="217">
        <v>46223</v>
      </c>
      <c r="AD7513" s="65">
        <v>1845</v>
      </c>
      <c r="AE7513" s="17" t="s">
        <v>74</v>
      </c>
      <c r="AF7513" s="17"/>
      <c r="AG7513" s="17"/>
      <c r="AH7513" s="17"/>
      <c r="AI7513" s="17"/>
      <c r="AJ7513" s="17"/>
      <c r="AK7513" s="17"/>
      <c r="AL7513" s="17"/>
      <c r="AM7513" s="17"/>
      <c r="AN7513" s="17"/>
      <c r="AO7513" s="17"/>
      <c r="AP7513" s="17"/>
      <c r="AQ7513" s="17"/>
      <c r="AR7513" s="17"/>
    </row>
    <row r="7514" s="25" customFormat="1" ht="15.6" hidden="1" spans="1:45">
      <c r="A7514" s="17" t="s">
        <v>34</v>
      </c>
      <c r="B7514" s="19">
        <v>1114</v>
      </c>
      <c r="C7514" s="183">
        <v>46143</v>
      </c>
      <c r="D7514" s="17" t="s">
        <v>63</v>
      </c>
      <c r="E7514" s="17" t="s">
        <v>64</v>
      </c>
      <c r="F7514" s="17" t="s">
        <v>54</v>
      </c>
      <c r="G7514" s="17"/>
      <c r="H7514" s="19">
        <v>1.2311</v>
      </c>
      <c r="I7514" s="19"/>
      <c r="J7514" s="17" t="s">
        <v>82</v>
      </c>
      <c r="K7514" s="19">
        <v>355</v>
      </c>
      <c r="L7514" s="19">
        <v>25</v>
      </c>
      <c r="M7514" s="19">
        <v>2250</v>
      </c>
      <c r="N7514" s="19" t="s">
        <v>66</v>
      </c>
      <c r="O7514" s="19" t="s">
        <v>67</v>
      </c>
      <c r="P7514" s="19">
        <v>314</v>
      </c>
      <c r="Q7514" s="19">
        <f>170+171</f>
        <v>341</v>
      </c>
      <c r="R7514" s="99">
        <f t="shared" si="323"/>
        <v>-27</v>
      </c>
      <c r="S7514" s="311">
        <v>800</v>
      </c>
      <c r="T7514" s="19" t="s">
        <v>42</v>
      </c>
      <c r="U7514" s="102" t="s">
        <v>68</v>
      </c>
      <c r="V7514" s="186">
        <v>46148</v>
      </c>
      <c r="W7514" s="17" t="s">
        <v>69</v>
      </c>
      <c r="X7514" s="17"/>
      <c r="Y7514" s="68">
        <v>46174</v>
      </c>
      <c r="Z7514" s="17" t="s">
        <v>70</v>
      </c>
      <c r="AA7514" s="17" t="s">
        <v>46</v>
      </c>
      <c r="AB7514" s="17" t="s">
        <v>68</v>
      </c>
      <c r="AC7514" s="217">
        <v>46223</v>
      </c>
      <c r="AD7514" s="65">
        <v>1845</v>
      </c>
      <c r="AE7514" s="17" t="s">
        <v>74</v>
      </c>
      <c r="AF7514" s="17"/>
      <c r="AG7514" s="17"/>
      <c r="AH7514" s="17"/>
      <c r="AI7514" s="17"/>
      <c r="AJ7514" s="17"/>
      <c r="AK7514" s="17"/>
      <c r="AL7514" s="17"/>
      <c r="AM7514" s="17"/>
      <c r="AN7514" s="17"/>
      <c r="AO7514" s="17"/>
      <c r="AP7514" s="17"/>
      <c r="AQ7514" s="17"/>
      <c r="AR7514" s="17"/>
    </row>
    <row r="7515" s="25" customFormat="1" ht="15.6" hidden="1" spans="1:45">
      <c r="A7515" s="17" t="s">
        <v>34</v>
      </c>
      <c r="B7515" s="19">
        <v>1114</v>
      </c>
      <c r="C7515" s="183">
        <v>46143</v>
      </c>
      <c r="D7515" s="17" t="s">
        <v>63</v>
      </c>
      <c r="E7515" s="17" t="s">
        <v>64</v>
      </c>
      <c r="F7515" s="17" t="s">
        <v>54</v>
      </c>
      <c r="G7515" s="17"/>
      <c r="H7515" s="19">
        <v>1.2311</v>
      </c>
      <c r="I7515" s="19"/>
      <c r="J7515" s="17" t="s">
        <v>82</v>
      </c>
      <c r="K7515" s="19">
        <v>405</v>
      </c>
      <c r="L7515" s="19">
        <v>25</v>
      </c>
      <c r="M7515" s="19">
        <v>2250</v>
      </c>
      <c r="N7515" s="19" t="s">
        <v>66</v>
      </c>
      <c r="O7515" s="19" t="s">
        <v>67</v>
      </c>
      <c r="P7515" s="19">
        <v>358</v>
      </c>
      <c r="Q7515" s="19">
        <f>193+192</f>
        <v>385</v>
      </c>
      <c r="R7515" s="99">
        <f t="shared" si="323"/>
        <v>-27</v>
      </c>
      <c r="S7515" s="311">
        <v>800</v>
      </c>
      <c r="T7515" s="19" t="s">
        <v>42</v>
      </c>
      <c r="U7515" s="102" t="s">
        <v>68</v>
      </c>
      <c r="V7515" s="186">
        <v>46148</v>
      </c>
      <c r="W7515" s="17" t="s">
        <v>69</v>
      </c>
      <c r="X7515" s="17"/>
      <c r="Y7515" s="68">
        <v>46174</v>
      </c>
      <c r="Z7515" s="17" t="s">
        <v>70</v>
      </c>
      <c r="AA7515" s="17" t="s">
        <v>46</v>
      </c>
      <c r="AB7515" s="17" t="s">
        <v>68</v>
      </c>
      <c r="AC7515" s="217">
        <v>46223</v>
      </c>
      <c r="AD7515" s="65">
        <v>1845</v>
      </c>
      <c r="AE7515" s="17" t="s">
        <v>74</v>
      </c>
      <c r="AF7515" s="17"/>
      <c r="AG7515" s="17"/>
      <c r="AH7515" s="17"/>
      <c r="AI7515" s="17"/>
      <c r="AJ7515" s="17"/>
      <c r="AK7515" s="17"/>
      <c r="AL7515" s="17"/>
      <c r="AM7515" s="17"/>
      <c r="AN7515" s="17"/>
      <c r="AO7515" s="17"/>
      <c r="AP7515" s="17"/>
      <c r="AQ7515" s="17"/>
      <c r="AR7515" s="17"/>
    </row>
    <row r="7516" s="25" customFormat="1" ht="15.6" hidden="1" spans="1:45">
      <c r="A7516" s="17" t="s">
        <v>34</v>
      </c>
      <c r="B7516" s="19">
        <v>1114</v>
      </c>
      <c r="C7516" s="183">
        <v>46143</v>
      </c>
      <c r="D7516" s="17" t="s">
        <v>63</v>
      </c>
      <c r="E7516" s="17" t="s">
        <v>64</v>
      </c>
      <c r="F7516" s="17" t="s">
        <v>54</v>
      </c>
      <c r="G7516" s="17"/>
      <c r="H7516" s="19">
        <v>1.2311</v>
      </c>
      <c r="I7516" s="19"/>
      <c r="J7516" s="17" t="s">
        <v>82</v>
      </c>
      <c r="K7516" s="19">
        <v>455</v>
      </c>
      <c r="L7516" s="19">
        <v>25</v>
      </c>
      <c r="M7516" s="19">
        <v>2250</v>
      </c>
      <c r="N7516" s="19" t="s">
        <v>66</v>
      </c>
      <c r="O7516" s="19" t="s">
        <v>67</v>
      </c>
      <c r="P7516" s="19">
        <v>201</v>
      </c>
      <c r="Q7516" s="19">
        <v>215</v>
      </c>
      <c r="R7516" s="99">
        <f t="shared" si="323"/>
        <v>-14</v>
      </c>
      <c r="S7516" s="311">
        <v>800</v>
      </c>
      <c r="T7516" s="19" t="s">
        <v>42</v>
      </c>
      <c r="U7516" s="102" t="s">
        <v>68</v>
      </c>
      <c r="V7516" s="186">
        <v>46148</v>
      </c>
      <c r="W7516" s="17" t="s">
        <v>69</v>
      </c>
      <c r="X7516" s="17"/>
      <c r="Y7516" s="68">
        <v>46174</v>
      </c>
      <c r="Z7516" s="17" t="s">
        <v>70</v>
      </c>
      <c r="AA7516" s="17" t="s">
        <v>46</v>
      </c>
      <c r="AB7516" s="17" t="s">
        <v>68</v>
      </c>
      <c r="AC7516" s="217">
        <v>46223</v>
      </c>
      <c r="AD7516" s="65">
        <v>1845</v>
      </c>
      <c r="AE7516" s="17" t="s">
        <v>74</v>
      </c>
      <c r="AF7516" s="17"/>
      <c r="AG7516" s="17"/>
      <c r="AH7516" s="17"/>
      <c r="AI7516" s="17"/>
      <c r="AJ7516" s="17"/>
      <c r="AK7516" s="17"/>
      <c r="AL7516" s="17"/>
      <c r="AM7516" s="17"/>
      <c r="AN7516" s="17"/>
      <c r="AO7516" s="17"/>
      <c r="AP7516" s="17"/>
      <c r="AQ7516" s="17"/>
      <c r="AR7516" s="17"/>
    </row>
    <row r="7517" s="25" customFormat="1" ht="15.6" hidden="1" spans="1:45">
      <c r="A7517" s="17" t="s">
        <v>34</v>
      </c>
      <c r="B7517" s="19">
        <v>1114</v>
      </c>
      <c r="C7517" s="183">
        <v>46143</v>
      </c>
      <c r="D7517" s="17" t="s">
        <v>63</v>
      </c>
      <c r="E7517" s="17" t="s">
        <v>64</v>
      </c>
      <c r="F7517" s="17" t="s">
        <v>54</v>
      </c>
      <c r="G7517" s="17"/>
      <c r="H7517" s="19">
        <v>1.2311</v>
      </c>
      <c r="I7517" s="19"/>
      <c r="J7517" s="17" t="s">
        <v>82</v>
      </c>
      <c r="K7517" s="19">
        <v>505</v>
      </c>
      <c r="L7517" s="19">
        <v>25</v>
      </c>
      <c r="M7517" s="19">
        <v>2250</v>
      </c>
      <c r="N7517" s="19" t="s">
        <v>66</v>
      </c>
      <c r="O7517" s="19" t="s">
        <v>67</v>
      </c>
      <c r="P7517" s="19">
        <v>223</v>
      </c>
      <c r="Q7517" s="19">
        <v>241</v>
      </c>
      <c r="R7517" s="99">
        <f t="shared" si="323"/>
        <v>-18</v>
      </c>
      <c r="S7517" s="311">
        <v>800</v>
      </c>
      <c r="T7517" s="19" t="s">
        <v>42</v>
      </c>
      <c r="U7517" s="102" t="s">
        <v>68</v>
      </c>
      <c r="V7517" s="186">
        <v>46148</v>
      </c>
      <c r="W7517" s="17" t="s">
        <v>69</v>
      </c>
      <c r="X7517" s="17"/>
      <c r="Y7517" s="68">
        <v>46174</v>
      </c>
      <c r="Z7517" s="17" t="s">
        <v>70</v>
      </c>
      <c r="AA7517" s="17" t="s">
        <v>46</v>
      </c>
      <c r="AB7517" s="17" t="s">
        <v>68</v>
      </c>
      <c r="AC7517" s="217">
        <v>46223</v>
      </c>
      <c r="AD7517" s="65">
        <v>1845</v>
      </c>
      <c r="AE7517" s="17" t="s">
        <v>74</v>
      </c>
      <c r="AF7517" s="17"/>
      <c r="AG7517" s="17"/>
      <c r="AH7517" s="17"/>
      <c r="AI7517" s="17"/>
      <c r="AJ7517" s="17"/>
      <c r="AK7517" s="17"/>
      <c r="AL7517" s="17"/>
      <c r="AM7517" s="17"/>
      <c r="AN7517" s="17"/>
      <c r="AO7517" s="17"/>
      <c r="AP7517" s="17"/>
      <c r="AQ7517" s="17"/>
      <c r="AR7517" s="17"/>
    </row>
    <row r="7518" s="25" customFormat="1" ht="15.6" hidden="1" spans="1:45">
      <c r="A7518" s="17" t="s">
        <v>34</v>
      </c>
      <c r="B7518" s="19">
        <v>1114</v>
      </c>
      <c r="C7518" s="183">
        <v>46143</v>
      </c>
      <c r="D7518" s="17" t="s">
        <v>63</v>
      </c>
      <c r="E7518" s="17" t="s">
        <v>64</v>
      </c>
      <c r="F7518" s="17" t="s">
        <v>54</v>
      </c>
      <c r="G7518" s="17"/>
      <c r="H7518" s="19">
        <v>1.2311</v>
      </c>
      <c r="I7518" s="19"/>
      <c r="J7518" s="17" t="s">
        <v>82</v>
      </c>
      <c r="K7518" s="19">
        <v>205</v>
      </c>
      <c r="L7518" s="19">
        <v>32</v>
      </c>
      <c r="M7518" s="19">
        <v>2250</v>
      </c>
      <c r="N7518" s="19" t="s">
        <v>66</v>
      </c>
      <c r="O7518" s="19" t="s">
        <v>67</v>
      </c>
      <c r="P7518" s="19">
        <v>348</v>
      </c>
      <c r="Q7518" s="19">
        <f>117+116+117</f>
        <v>350</v>
      </c>
      <c r="R7518" s="99">
        <f t="shared" si="323"/>
        <v>-2</v>
      </c>
      <c r="S7518" s="311">
        <v>800</v>
      </c>
      <c r="T7518" s="19" t="s">
        <v>42</v>
      </c>
      <c r="U7518" s="102" t="s">
        <v>68</v>
      </c>
      <c r="V7518" s="186">
        <v>46148</v>
      </c>
      <c r="W7518" s="17" t="s">
        <v>69</v>
      </c>
      <c r="X7518" s="17"/>
      <c r="Y7518" s="68">
        <v>46174</v>
      </c>
      <c r="Z7518" s="17" t="s">
        <v>70</v>
      </c>
      <c r="AA7518" s="17" t="s">
        <v>46</v>
      </c>
      <c r="AB7518" s="17" t="s">
        <v>68</v>
      </c>
      <c r="AC7518" s="217">
        <v>46223</v>
      </c>
      <c r="AD7518" s="65">
        <v>1845</v>
      </c>
      <c r="AE7518" s="17" t="s">
        <v>74</v>
      </c>
      <c r="AF7518" s="17"/>
      <c r="AG7518" s="17"/>
      <c r="AH7518" s="17"/>
      <c r="AI7518" s="17"/>
      <c r="AJ7518" s="17"/>
      <c r="AK7518" s="17"/>
      <c r="AL7518" s="17"/>
      <c r="AM7518" s="17"/>
      <c r="AN7518" s="17"/>
      <c r="AO7518" s="17"/>
      <c r="AP7518" s="17"/>
      <c r="AQ7518" s="17"/>
      <c r="AR7518" s="17"/>
    </row>
    <row r="7519" s="25" customFormat="1" ht="15.6" hidden="1" spans="1:45">
      <c r="A7519" s="17" t="s">
        <v>34</v>
      </c>
      <c r="B7519" s="19">
        <v>1114</v>
      </c>
      <c r="C7519" s="183">
        <v>46143</v>
      </c>
      <c r="D7519" s="17" t="s">
        <v>63</v>
      </c>
      <c r="E7519" s="17" t="s">
        <v>64</v>
      </c>
      <c r="F7519" s="17" t="s">
        <v>54</v>
      </c>
      <c r="G7519" s="17"/>
      <c r="H7519" s="19">
        <v>1.2311</v>
      </c>
      <c r="I7519" s="19"/>
      <c r="J7519" s="17" t="s">
        <v>82</v>
      </c>
      <c r="K7519" s="19">
        <v>255</v>
      </c>
      <c r="L7519" s="19">
        <v>32</v>
      </c>
      <c r="M7519" s="19">
        <v>2250</v>
      </c>
      <c r="N7519" s="19" t="s">
        <v>66</v>
      </c>
      <c r="O7519" s="19" t="s">
        <v>67</v>
      </c>
      <c r="P7519" s="19">
        <v>288</v>
      </c>
      <c r="Q7519" s="19">
        <f>144+146</f>
        <v>290</v>
      </c>
      <c r="R7519" s="99">
        <f t="shared" si="323"/>
        <v>-2</v>
      </c>
      <c r="S7519" s="311">
        <v>800</v>
      </c>
      <c r="T7519" s="19" t="s">
        <v>42</v>
      </c>
      <c r="U7519" s="102" t="s">
        <v>68</v>
      </c>
      <c r="V7519" s="186">
        <v>46148</v>
      </c>
      <c r="W7519" s="17" t="s">
        <v>69</v>
      </c>
      <c r="X7519" s="17"/>
      <c r="Y7519" s="68">
        <v>46174</v>
      </c>
      <c r="Z7519" s="17" t="s">
        <v>70</v>
      </c>
      <c r="AA7519" s="17" t="s">
        <v>46</v>
      </c>
      <c r="AB7519" s="17" t="s">
        <v>68</v>
      </c>
      <c r="AC7519" s="217">
        <v>46223</v>
      </c>
      <c r="AD7519" s="65">
        <v>1845</v>
      </c>
      <c r="AE7519" s="17" t="s">
        <v>74</v>
      </c>
      <c r="AF7519" s="17"/>
      <c r="AG7519" s="17"/>
      <c r="AH7519" s="17"/>
      <c r="AI7519" s="17"/>
      <c r="AJ7519" s="17"/>
      <c r="AK7519" s="17"/>
      <c r="AL7519" s="17"/>
      <c r="AM7519" s="17"/>
      <c r="AN7519" s="17"/>
      <c r="AO7519" s="17"/>
      <c r="AP7519" s="17"/>
      <c r="AQ7519" s="17"/>
      <c r="AR7519" s="17"/>
    </row>
    <row r="7520" s="25" customFormat="1" ht="15.6" hidden="1" spans="1:45">
      <c r="A7520" s="17" t="s">
        <v>34</v>
      </c>
      <c r="B7520" s="19">
        <v>1114</v>
      </c>
      <c r="C7520" s="183">
        <v>46143</v>
      </c>
      <c r="D7520" s="17" t="s">
        <v>63</v>
      </c>
      <c r="E7520" s="17" t="s">
        <v>64</v>
      </c>
      <c r="F7520" s="17" t="s">
        <v>54</v>
      </c>
      <c r="G7520" s="17"/>
      <c r="H7520" s="19">
        <v>1.2311</v>
      </c>
      <c r="I7520" s="19"/>
      <c r="J7520" s="17" t="s">
        <v>82</v>
      </c>
      <c r="K7520" s="19">
        <v>305</v>
      </c>
      <c r="L7520" s="19">
        <v>32</v>
      </c>
      <c r="M7520" s="19">
        <v>2250</v>
      </c>
      <c r="N7520" s="19" t="s">
        <v>66</v>
      </c>
      <c r="O7520" s="19" t="s">
        <v>67</v>
      </c>
      <c r="P7520" s="19">
        <v>345</v>
      </c>
      <c r="Q7520" s="19">
        <f>170+171</f>
        <v>341</v>
      </c>
      <c r="R7520" s="99">
        <f t="shared" si="323"/>
        <v>4</v>
      </c>
      <c r="S7520" s="311">
        <v>800</v>
      </c>
      <c r="T7520" s="19" t="s">
        <v>42</v>
      </c>
      <c r="U7520" s="102" t="s">
        <v>68</v>
      </c>
      <c r="V7520" s="186">
        <v>46148</v>
      </c>
      <c r="W7520" s="17" t="s">
        <v>69</v>
      </c>
      <c r="X7520" s="17"/>
      <c r="Y7520" s="68">
        <v>46174</v>
      </c>
      <c r="Z7520" s="17" t="s">
        <v>70</v>
      </c>
      <c r="AA7520" s="17" t="s">
        <v>46</v>
      </c>
      <c r="AB7520" s="17" t="s">
        <v>68</v>
      </c>
      <c r="AC7520" s="217">
        <v>46223</v>
      </c>
      <c r="AD7520" s="65">
        <v>1845</v>
      </c>
      <c r="AE7520" s="17" t="s">
        <v>74</v>
      </c>
      <c r="AF7520" s="17"/>
      <c r="AG7520" s="17"/>
      <c r="AH7520" s="17"/>
      <c r="AI7520" s="17"/>
      <c r="AJ7520" s="17"/>
      <c r="AK7520" s="17"/>
      <c r="AL7520" s="17"/>
      <c r="AM7520" s="17"/>
      <c r="AN7520" s="17"/>
      <c r="AO7520" s="17"/>
      <c r="AP7520" s="17"/>
      <c r="AQ7520" s="17"/>
      <c r="AR7520" s="17"/>
    </row>
    <row r="7521" s="25" customFormat="1" ht="15.6" hidden="1" spans="1:44">
      <c r="A7521" s="17" t="s">
        <v>34</v>
      </c>
      <c r="B7521" s="19">
        <v>1114</v>
      </c>
      <c r="C7521" s="183">
        <v>46143</v>
      </c>
      <c r="D7521" s="17" t="s">
        <v>63</v>
      </c>
      <c r="E7521" s="17" t="s">
        <v>64</v>
      </c>
      <c r="F7521" s="17" t="s">
        <v>54</v>
      </c>
      <c r="G7521" s="17"/>
      <c r="H7521" s="19">
        <v>1.2311</v>
      </c>
      <c r="I7521" s="19"/>
      <c r="J7521" s="17" t="s">
        <v>82</v>
      </c>
      <c r="K7521" s="19">
        <v>355</v>
      </c>
      <c r="L7521" s="19">
        <v>32</v>
      </c>
      <c r="M7521" s="19">
        <v>2250</v>
      </c>
      <c r="N7521" s="19" t="s">
        <v>66</v>
      </c>
      <c r="O7521" s="19" t="s">
        <v>67</v>
      </c>
      <c r="P7521" s="19">
        <v>201</v>
      </c>
      <c r="Q7521" s="19">
        <v>198</v>
      </c>
      <c r="R7521" s="99">
        <f t="shared" si="323"/>
        <v>3</v>
      </c>
      <c r="S7521" s="311">
        <v>800</v>
      </c>
      <c r="T7521" s="19" t="s">
        <v>42</v>
      </c>
      <c r="U7521" s="102" t="s">
        <v>68</v>
      </c>
      <c r="V7521" s="186">
        <v>46148</v>
      </c>
      <c r="W7521" s="17" t="s">
        <v>69</v>
      </c>
      <c r="X7521" s="17"/>
      <c r="Y7521" s="68">
        <v>46174</v>
      </c>
      <c r="Z7521" s="17" t="s">
        <v>70</v>
      </c>
      <c r="AA7521" s="17" t="s">
        <v>46</v>
      </c>
      <c r="AB7521" s="17" t="s">
        <v>68</v>
      </c>
      <c r="AC7521" s="217">
        <v>46223</v>
      </c>
      <c r="AD7521" s="65">
        <v>1845</v>
      </c>
      <c r="AE7521" s="17" t="s">
        <v>74</v>
      </c>
      <c r="AF7521" s="17"/>
      <c r="AG7521" s="17"/>
      <c r="AH7521" s="17"/>
      <c r="AI7521" s="17"/>
      <c r="AJ7521" s="17"/>
      <c r="AK7521" s="17"/>
      <c r="AL7521" s="17"/>
      <c r="AM7521" s="17"/>
      <c r="AN7521" s="17"/>
      <c r="AO7521" s="17"/>
      <c r="AP7521" s="17"/>
      <c r="AQ7521" s="17"/>
      <c r="AR7521" s="17"/>
    </row>
    <row r="7522" s="25" customFormat="1" ht="15.6" hidden="1" spans="1:44">
      <c r="A7522" s="17" t="s">
        <v>34</v>
      </c>
      <c r="B7522" s="19">
        <v>1114</v>
      </c>
      <c r="C7522" s="183">
        <v>46143</v>
      </c>
      <c r="D7522" s="17" t="s">
        <v>63</v>
      </c>
      <c r="E7522" s="17" t="s">
        <v>64</v>
      </c>
      <c r="F7522" s="17" t="s">
        <v>54</v>
      </c>
      <c r="G7522" s="17"/>
      <c r="H7522" s="19">
        <v>1.2311</v>
      </c>
      <c r="I7522" s="19"/>
      <c r="J7522" s="17" t="s">
        <v>82</v>
      </c>
      <c r="K7522" s="19">
        <v>405</v>
      </c>
      <c r="L7522" s="19">
        <v>32</v>
      </c>
      <c r="M7522" s="19">
        <v>2250</v>
      </c>
      <c r="N7522" s="19" t="s">
        <v>66</v>
      </c>
      <c r="O7522" s="19" t="s">
        <v>67</v>
      </c>
      <c r="P7522" s="19">
        <v>229</v>
      </c>
      <c r="Q7522" s="19">
        <v>231</v>
      </c>
      <c r="R7522" s="99">
        <f t="shared" si="323"/>
        <v>-2</v>
      </c>
      <c r="S7522" s="311">
        <v>800</v>
      </c>
      <c r="T7522" s="19" t="s">
        <v>42</v>
      </c>
      <c r="U7522" s="102" t="s">
        <v>68</v>
      </c>
      <c r="V7522" s="186">
        <v>46148</v>
      </c>
      <c r="W7522" s="17" t="s">
        <v>69</v>
      </c>
      <c r="X7522" s="17"/>
      <c r="Y7522" s="68">
        <v>46174</v>
      </c>
      <c r="Z7522" s="17" t="s">
        <v>70</v>
      </c>
      <c r="AA7522" s="17" t="s">
        <v>46</v>
      </c>
      <c r="AB7522" s="17" t="s">
        <v>68</v>
      </c>
      <c r="AC7522" s="217">
        <v>46223</v>
      </c>
      <c r="AD7522" s="65">
        <v>1845</v>
      </c>
      <c r="AE7522" s="17" t="s">
        <v>74</v>
      </c>
      <c r="AF7522" s="17"/>
      <c r="AG7522" s="17"/>
      <c r="AH7522" s="17"/>
      <c r="AI7522" s="17"/>
      <c r="AJ7522" s="17"/>
      <c r="AK7522" s="17"/>
      <c r="AL7522" s="17"/>
      <c r="AM7522" s="17"/>
      <c r="AN7522" s="17"/>
      <c r="AO7522" s="17"/>
      <c r="AP7522" s="17"/>
      <c r="AQ7522" s="17"/>
      <c r="AR7522" s="17"/>
    </row>
    <row r="7523" s="25" customFormat="1" ht="15.6" hidden="1" spans="1:44">
      <c r="A7523" s="17" t="s">
        <v>34</v>
      </c>
      <c r="B7523" s="19">
        <v>1114</v>
      </c>
      <c r="C7523" s="183">
        <v>46143</v>
      </c>
      <c r="D7523" s="17" t="s">
        <v>63</v>
      </c>
      <c r="E7523" s="17" t="s">
        <v>64</v>
      </c>
      <c r="F7523" s="17" t="s">
        <v>54</v>
      </c>
      <c r="G7523" s="17"/>
      <c r="H7523" s="19">
        <v>1.2311</v>
      </c>
      <c r="I7523" s="19"/>
      <c r="J7523" s="17" t="s">
        <v>82</v>
      </c>
      <c r="K7523" s="19">
        <v>455</v>
      </c>
      <c r="L7523" s="19">
        <v>32</v>
      </c>
      <c r="M7523" s="19">
        <v>2250</v>
      </c>
      <c r="N7523" s="19" t="s">
        <v>66</v>
      </c>
      <c r="O7523" s="19" t="s">
        <v>67</v>
      </c>
      <c r="P7523" s="19">
        <v>257</v>
      </c>
      <c r="Q7523" s="19">
        <v>254</v>
      </c>
      <c r="R7523" s="99">
        <f t="shared" si="323"/>
        <v>3</v>
      </c>
      <c r="S7523" s="311">
        <v>800</v>
      </c>
      <c r="T7523" s="19" t="s">
        <v>42</v>
      </c>
      <c r="U7523" s="102" t="s">
        <v>68</v>
      </c>
      <c r="V7523" s="186">
        <v>46148</v>
      </c>
      <c r="W7523" s="17" t="s">
        <v>69</v>
      </c>
      <c r="X7523" s="17"/>
      <c r="Y7523" s="68">
        <v>46174</v>
      </c>
      <c r="Z7523" s="17" t="s">
        <v>70</v>
      </c>
      <c r="AA7523" s="17" t="s">
        <v>46</v>
      </c>
      <c r="AB7523" s="17" t="s">
        <v>68</v>
      </c>
      <c r="AC7523" s="217">
        <v>46223</v>
      </c>
      <c r="AD7523" s="65">
        <v>1845</v>
      </c>
      <c r="AE7523" s="17" t="s">
        <v>74</v>
      </c>
      <c r="AF7523" s="17"/>
      <c r="AG7523" s="17"/>
      <c r="AH7523" s="17"/>
      <c r="AI7523" s="17"/>
      <c r="AJ7523" s="17"/>
      <c r="AK7523" s="17"/>
      <c r="AL7523" s="17"/>
      <c r="AM7523" s="17"/>
      <c r="AN7523" s="17"/>
      <c r="AO7523" s="17"/>
      <c r="AP7523" s="17"/>
      <c r="AQ7523" s="17"/>
      <c r="AR7523" s="17"/>
    </row>
    <row r="7524" s="25" customFormat="1" ht="15.6" hidden="1" spans="1:44">
      <c r="A7524" s="17" t="s">
        <v>34</v>
      </c>
      <c r="B7524" s="19">
        <v>1114</v>
      </c>
      <c r="C7524" s="183">
        <v>46143</v>
      </c>
      <c r="D7524" s="17" t="s">
        <v>63</v>
      </c>
      <c r="E7524" s="17" t="s">
        <v>64</v>
      </c>
      <c r="F7524" s="17" t="s">
        <v>54</v>
      </c>
      <c r="G7524" s="17"/>
      <c r="H7524" s="19">
        <v>1.2311</v>
      </c>
      <c r="I7524" s="19"/>
      <c r="J7524" s="17" t="s">
        <v>82</v>
      </c>
      <c r="K7524" s="19">
        <v>505</v>
      </c>
      <c r="L7524" s="19">
        <v>32</v>
      </c>
      <c r="M7524" s="19">
        <v>2250</v>
      </c>
      <c r="N7524" s="19" t="s">
        <v>66</v>
      </c>
      <c r="O7524" s="19" t="s">
        <v>67</v>
      </c>
      <c r="P7524" s="19">
        <v>285</v>
      </c>
      <c r="Q7524" s="19">
        <v>284</v>
      </c>
      <c r="R7524" s="99">
        <f t="shared" si="323"/>
        <v>1</v>
      </c>
      <c r="S7524" s="311">
        <v>800</v>
      </c>
      <c r="T7524" s="19" t="s">
        <v>42</v>
      </c>
      <c r="U7524" s="102" t="s">
        <v>68</v>
      </c>
      <c r="V7524" s="186">
        <v>46148</v>
      </c>
      <c r="W7524" s="17" t="s">
        <v>69</v>
      </c>
      <c r="X7524" s="17"/>
      <c r="Y7524" s="68">
        <v>46174</v>
      </c>
      <c r="Z7524" s="17" t="s">
        <v>70</v>
      </c>
      <c r="AA7524" s="17" t="s">
        <v>46</v>
      </c>
      <c r="AB7524" s="17" t="s">
        <v>68</v>
      </c>
      <c r="AC7524" s="217">
        <v>46223</v>
      </c>
      <c r="AD7524" s="65">
        <v>1845</v>
      </c>
      <c r="AE7524" s="17" t="s">
        <v>74</v>
      </c>
      <c r="AF7524" s="17"/>
      <c r="AG7524" s="17"/>
      <c r="AH7524" s="17"/>
      <c r="AI7524" s="17"/>
      <c r="AJ7524" s="17"/>
      <c r="AK7524" s="17"/>
      <c r="AL7524" s="17"/>
      <c r="AM7524" s="17"/>
      <c r="AN7524" s="17"/>
      <c r="AO7524" s="17"/>
      <c r="AP7524" s="17"/>
      <c r="AQ7524" s="17"/>
      <c r="AR7524" s="17"/>
    </row>
    <row r="7525" s="25" customFormat="1" ht="15.6" hidden="1" spans="1:44">
      <c r="A7525" s="17" t="s">
        <v>34</v>
      </c>
      <c r="B7525" s="19">
        <v>1114</v>
      </c>
      <c r="C7525" s="183">
        <v>46143</v>
      </c>
      <c r="D7525" s="17" t="s">
        <v>63</v>
      </c>
      <c r="E7525" s="17" t="s">
        <v>64</v>
      </c>
      <c r="F7525" s="17" t="s">
        <v>54</v>
      </c>
      <c r="G7525" s="17"/>
      <c r="H7525" s="19">
        <v>1.2311</v>
      </c>
      <c r="I7525" s="19"/>
      <c r="J7525" s="17" t="s">
        <v>82</v>
      </c>
      <c r="K7525" s="19">
        <v>205</v>
      </c>
      <c r="L7525" s="19">
        <v>36</v>
      </c>
      <c r="M7525" s="19">
        <v>2250</v>
      </c>
      <c r="N7525" s="19" t="s">
        <v>66</v>
      </c>
      <c r="O7525" s="19" t="s">
        <v>67</v>
      </c>
      <c r="P7525" s="19">
        <v>261</v>
      </c>
      <c r="Q7525" s="19">
        <f>136+135</f>
        <v>271</v>
      </c>
      <c r="R7525" s="99">
        <f t="shared" si="323"/>
        <v>-10</v>
      </c>
      <c r="S7525" s="311">
        <v>800</v>
      </c>
      <c r="T7525" s="19" t="s">
        <v>42</v>
      </c>
      <c r="U7525" s="102" t="s">
        <v>68</v>
      </c>
      <c r="V7525" s="186">
        <v>46148</v>
      </c>
      <c r="W7525" s="17" t="s">
        <v>69</v>
      </c>
      <c r="X7525" s="17"/>
      <c r="Y7525" s="68">
        <v>46174</v>
      </c>
      <c r="Z7525" s="17" t="s">
        <v>70</v>
      </c>
      <c r="AA7525" s="17" t="s">
        <v>46</v>
      </c>
      <c r="AB7525" s="17" t="s">
        <v>68</v>
      </c>
      <c r="AC7525" s="217">
        <v>46223</v>
      </c>
      <c r="AD7525" s="65">
        <v>1845</v>
      </c>
      <c r="AE7525" s="17" t="s">
        <v>74</v>
      </c>
      <c r="AF7525" s="17"/>
      <c r="AG7525" s="17"/>
      <c r="AH7525" s="17"/>
      <c r="AI7525" s="17"/>
      <c r="AJ7525" s="17"/>
      <c r="AK7525" s="17"/>
      <c r="AL7525" s="17"/>
      <c r="AM7525" s="17"/>
      <c r="AN7525" s="17"/>
      <c r="AO7525" s="17"/>
      <c r="AP7525" s="17"/>
      <c r="AQ7525" s="17"/>
      <c r="AR7525" s="17"/>
    </row>
    <row r="7526" s="25" customFormat="1" ht="15.6" hidden="1" spans="1:44">
      <c r="A7526" s="17" t="s">
        <v>34</v>
      </c>
      <c r="B7526" s="19">
        <v>1114</v>
      </c>
      <c r="C7526" s="183">
        <v>46143</v>
      </c>
      <c r="D7526" s="17" t="s">
        <v>63</v>
      </c>
      <c r="E7526" s="17" t="s">
        <v>64</v>
      </c>
      <c r="F7526" s="17" t="s">
        <v>54</v>
      </c>
      <c r="G7526" s="17"/>
      <c r="H7526" s="19">
        <v>1.2311</v>
      </c>
      <c r="I7526" s="19"/>
      <c r="J7526" s="17" t="s">
        <v>82</v>
      </c>
      <c r="K7526" s="19">
        <v>255</v>
      </c>
      <c r="L7526" s="19">
        <v>36</v>
      </c>
      <c r="M7526" s="19">
        <v>2250</v>
      </c>
      <c r="N7526" s="19" t="s">
        <v>66</v>
      </c>
      <c r="O7526" s="19" t="s">
        <v>67</v>
      </c>
      <c r="P7526" s="19">
        <v>324</v>
      </c>
      <c r="Q7526" s="19">
        <f>169+169</f>
        <v>338</v>
      </c>
      <c r="R7526" s="99">
        <f t="shared" si="323"/>
        <v>-14</v>
      </c>
      <c r="S7526" s="311">
        <v>800</v>
      </c>
      <c r="T7526" s="19" t="s">
        <v>42</v>
      </c>
      <c r="U7526" s="102" t="s">
        <v>68</v>
      </c>
      <c r="V7526" s="186">
        <v>46148</v>
      </c>
      <c r="W7526" s="17" t="s">
        <v>69</v>
      </c>
      <c r="X7526" s="17"/>
      <c r="Y7526" s="68">
        <v>46174</v>
      </c>
      <c r="Z7526" s="17" t="s">
        <v>70</v>
      </c>
      <c r="AA7526" s="17" t="s">
        <v>46</v>
      </c>
      <c r="AB7526" s="17" t="s">
        <v>68</v>
      </c>
      <c r="AC7526" s="217">
        <v>46223</v>
      </c>
      <c r="AD7526" s="65">
        <v>1845</v>
      </c>
      <c r="AE7526" s="17" t="s">
        <v>74</v>
      </c>
      <c r="AF7526" s="17"/>
      <c r="AG7526" s="17"/>
      <c r="AH7526" s="17"/>
      <c r="AI7526" s="17"/>
      <c r="AJ7526" s="17"/>
      <c r="AK7526" s="17"/>
      <c r="AL7526" s="17"/>
      <c r="AM7526" s="17"/>
      <c r="AN7526" s="17"/>
      <c r="AO7526" s="17"/>
      <c r="AP7526" s="17"/>
      <c r="AQ7526" s="17"/>
      <c r="AR7526" s="17"/>
    </row>
    <row r="7527" s="25" customFormat="1" ht="15.6" hidden="1" spans="1:44">
      <c r="A7527" s="17" t="s">
        <v>34</v>
      </c>
      <c r="B7527" s="19">
        <v>1114</v>
      </c>
      <c r="C7527" s="183">
        <v>46143</v>
      </c>
      <c r="D7527" s="17" t="s">
        <v>63</v>
      </c>
      <c r="E7527" s="17" t="s">
        <v>64</v>
      </c>
      <c r="F7527" s="17" t="s">
        <v>54</v>
      </c>
      <c r="G7527" s="17"/>
      <c r="H7527" s="19">
        <v>1.2311</v>
      </c>
      <c r="I7527" s="19"/>
      <c r="J7527" s="17" t="s">
        <v>82</v>
      </c>
      <c r="K7527" s="19">
        <v>305</v>
      </c>
      <c r="L7527" s="19">
        <v>36</v>
      </c>
      <c r="M7527" s="19">
        <v>2250</v>
      </c>
      <c r="N7527" s="19" t="s">
        <v>66</v>
      </c>
      <c r="O7527" s="19" t="s">
        <v>67</v>
      </c>
      <c r="P7527" s="19">
        <v>388</v>
      </c>
      <c r="Q7527" s="19">
        <f>199+199</f>
        <v>398</v>
      </c>
      <c r="R7527" s="99">
        <f t="shared" si="323"/>
        <v>-10</v>
      </c>
      <c r="S7527" s="311">
        <v>800</v>
      </c>
      <c r="T7527" s="19" t="s">
        <v>42</v>
      </c>
      <c r="U7527" s="102" t="s">
        <v>68</v>
      </c>
      <c r="V7527" s="186">
        <v>46148</v>
      </c>
      <c r="W7527" s="17" t="s">
        <v>69</v>
      </c>
      <c r="X7527" s="17"/>
      <c r="Y7527" s="68">
        <v>46174</v>
      </c>
      <c r="Z7527" s="17" t="s">
        <v>70</v>
      </c>
      <c r="AA7527" s="17" t="s">
        <v>46</v>
      </c>
      <c r="AB7527" s="17" t="s">
        <v>68</v>
      </c>
      <c r="AC7527" s="217">
        <v>46223</v>
      </c>
      <c r="AD7527" s="65">
        <v>1845</v>
      </c>
      <c r="AE7527" s="17" t="s">
        <v>74</v>
      </c>
      <c r="AF7527" s="17"/>
      <c r="AG7527" s="17"/>
      <c r="AH7527" s="17"/>
      <c r="AI7527" s="17"/>
      <c r="AJ7527" s="17"/>
      <c r="AK7527" s="17"/>
      <c r="AL7527" s="17"/>
      <c r="AM7527" s="17"/>
      <c r="AN7527" s="17"/>
      <c r="AO7527" s="17"/>
      <c r="AP7527" s="17"/>
      <c r="AQ7527" s="17"/>
      <c r="AR7527" s="17"/>
    </row>
    <row r="7528" s="25" customFormat="1" ht="15.6" hidden="1" spans="1:44">
      <c r="A7528" s="17" t="s">
        <v>34</v>
      </c>
      <c r="B7528" s="19">
        <v>1114</v>
      </c>
      <c r="C7528" s="183">
        <v>46143</v>
      </c>
      <c r="D7528" s="17" t="s">
        <v>63</v>
      </c>
      <c r="E7528" s="17" t="s">
        <v>64</v>
      </c>
      <c r="F7528" s="17" t="s">
        <v>54</v>
      </c>
      <c r="G7528" s="17"/>
      <c r="H7528" s="19">
        <v>1.2311</v>
      </c>
      <c r="I7528" s="19"/>
      <c r="J7528" s="17" t="s">
        <v>82</v>
      </c>
      <c r="K7528" s="19">
        <v>355</v>
      </c>
      <c r="L7528" s="19">
        <v>36</v>
      </c>
      <c r="M7528" s="19">
        <v>2250</v>
      </c>
      <c r="N7528" s="19" t="s">
        <v>66</v>
      </c>
      <c r="O7528" s="19" t="s">
        <v>67</v>
      </c>
      <c r="P7528" s="19">
        <v>226</v>
      </c>
      <c r="Q7528" s="19">
        <v>230</v>
      </c>
      <c r="R7528" s="99">
        <f t="shared" si="323"/>
        <v>-4</v>
      </c>
      <c r="S7528" s="311">
        <v>800</v>
      </c>
      <c r="T7528" s="19" t="s">
        <v>42</v>
      </c>
      <c r="U7528" s="102" t="s">
        <v>68</v>
      </c>
      <c r="V7528" s="186">
        <v>46148</v>
      </c>
      <c r="W7528" s="17" t="s">
        <v>69</v>
      </c>
      <c r="X7528" s="17"/>
      <c r="Y7528" s="68">
        <v>46174</v>
      </c>
      <c r="Z7528" s="17" t="s">
        <v>70</v>
      </c>
      <c r="AA7528" s="17" t="s">
        <v>46</v>
      </c>
      <c r="AB7528" s="17" t="s">
        <v>68</v>
      </c>
      <c r="AC7528" s="217">
        <v>46223</v>
      </c>
      <c r="AD7528" s="65">
        <v>1845</v>
      </c>
      <c r="AE7528" s="17" t="s">
        <v>74</v>
      </c>
      <c r="AF7528" s="17"/>
      <c r="AG7528" s="17"/>
      <c r="AH7528" s="17"/>
      <c r="AI7528" s="17"/>
      <c r="AJ7528" s="17"/>
      <c r="AK7528" s="17"/>
      <c r="AL7528" s="17"/>
      <c r="AM7528" s="17"/>
      <c r="AN7528" s="17"/>
      <c r="AO7528" s="17"/>
      <c r="AP7528" s="17"/>
      <c r="AQ7528" s="17"/>
      <c r="AR7528" s="17"/>
    </row>
    <row r="7529" s="25" customFormat="1" ht="15.6" hidden="1" spans="1:44">
      <c r="A7529" s="17" t="s">
        <v>34</v>
      </c>
      <c r="B7529" s="19">
        <v>1114</v>
      </c>
      <c r="C7529" s="183">
        <v>46143</v>
      </c>
      <c r="D7529" s="17" t="s">
        <v>63</v>
      </c>
      <c r="E7529" s="17" t="s">
        <v>64</v>
      </c>
      <c r="F7529" s="17" t="s">
        <v>54</v>
      </c>
      <c r="G7529" s="17"/>
      <c r="H7529" s="19">
        <v>1.2311</v>
      </c>
      <c r="I7529" s="19"/>
      <c r="J7529" s="17" t="s">
        <v>82</v>
      </c>
      <c r="K7529" s="19">
        <v>405</v>
      </c>
      <c r="L7529" s="19">
        <v>36</v>
      </c>
      <c r="M7529" s="19">
        <v>2250</v>
      </c>
      <c r="N7529" s="19" t="s">
        <v>66</v>
      </c>
      <c r="O7529" s="19" t="s">
        <v>67</v>
      </c>
      <c r="P7529" s="19">
        <v>258</v>
      </c>
      <c r="Q7529" s="19">
        <v>268</v>
      </c>
      <c r="R7529" s="99">
        <f t="shared" si="323"/>
        <v>-10</v>
      </c>
      <c r="S7529" s="311">
        <v>800</v>
      </c>
      <c r="T7529" s="19" t="s">
        <v>42</v>
      </c>
      <c r="U7529" s="102" t="s">
        <v>68</v>
      </c>
      <c r="V7529" s="186">
        <v>46148</v>
      </c>
      <c r="W7529" s="17" t="s">
        <v>69</v>
      </c>
      <c r="X7529" s="17"/>
      <c r="Y7529" s="68">
        <v>46174</v>
      </c>
      <c r="Z7529" s="17" t="s">
        <v>70</v>
      </c>
      <c r="AA7529" s="17" t="s">
        <v>46</v>
      </c>
      <c r="AB7529" s="17" t="s">
        <v>68</v>
      </c>
      <c r="AC7529" s="217">
        <v>46223</v>
      </c>
      <c r="AD7529" s="65">
        <v>1845</v>
      </c>
      <c r="AE7529" s="17" t="s">
        <v>74</v>
      </c>
      <c r="AF7529" s="17"/>
      <c r="AG7529" s="17"/>
      <c r="AH7529" s="17"/>
      <c r="AI7529" s="17"/>
      <c r="AJ7529" s="17"/>
      <c r="AK7529" s="17"/>
      <c r="AL7529" s="17"/>
      <c r="AM7529" s="17"/>
      <c r="AN7529" s="17"/>
      <c r="AO7529" s="17"/>
      <c r="AP7529" s="17"/>
      <c r="AQ7529" s="17"/>
      <c r="AR7529" s="17"/>
    </row>
    <row r="7530" s="25" customFormat="1" ht="15.6" hidden="1" spans="1:44">
      <c r="A7530" s="17" t="s">
        <v>34</v>
      </c>
      <c r="B7530" s="19">
        <v>1114</v>
      </c>
      <c r="C7530" s="183">
        <v>46143</v>
      </c>
      <c r="D7530" s="17" t="s">
        <v>63</v>
      </c>
      <c r="E7530" s="17" t="s">
        <v>64</v>
      </c>
      <c r="F7530" s="17" t="s">
        <v>54</v>
      </c>
      <c r="G7530" s="17"/>
      <c r="H7530" s="19">
        <v>1.2311</v>
      </c>
      <c r="I7530" s="19"/>
      <c r="J7530" s="17" t="s">
        <v>82</v>
      </c>
      <c r="K7530" s="19">
        <v>455</v>
      </c>
      <c r="L7530" s="19">
        <v>36</v>
      </c>
      <c r="M7530" s="19">
        <v>2250</v>
      </c>
      <c r="N7530" s="19" t="s">
        <v>66</v>
      </c>
      <c r="O7530" s="19" t="s">
        <v>67</v>
      </c>
      <c r="P7530" s="19">
        <v>289</v>
      </c>
      <c r="Q7530" s="19">
        <v>303</v>
      </c>
      <c r="R7530" s="99">
        <f t="shared" si="323"/>
        <v>-14</v>
      </c>
      <c r="S7530" s="311">
        <v>800</v>
      </c>
      <c r="T7530" s="19" t="s">
        <v>42</v>
      </c>
      <c r="U7530" s="102" t="s">
        <v>68</v>
      </c>
      <c r="V7530" s="186">
        <v>46148</v>
      </c>
      <c r="W7530" s="17" t="s">
        <v>69</v>
      </c>
      <c r="X7530" s="17"/>
      <c r="Y7530" s="68">
        <v>46174</v>
      </c>
      <c r="Z7530" s="17" t="s">
        <v>70</v>
      </c>
      <c r="AA7530" s="17" t="s">
        <v>46</v>
      </c>
      <c r="AB7530" s="17" t="s">
        <v>68</v>
      </c>
      <c r="AC7530" s="217">
        <v>46223</v>
      </c>
      <c r="AD7530" s="65">
        <v>1845</v>
      </c>
      <c r="AE7530" s="17" t="s">
        <v>74</v>
      </c>
      <c r="AF7530" s="17"/>
      <c r="AG7530" s="17"/>
      <c r="AH7530" s="17"/>
      <c r="AI7530" s="17"/>
      <c r="AJ7530" s="17"/>
      <c r="AK7530" s="17"/>
      <c r="AL7530" s="17"/>
      <c r="AM7530" s="17"/>
      <c r="AN7530" s="17"/>
      <c r="AO7530" s="17"/>
      <c r="AP7530" s="17"/>
      <c r="AQ7530" s="17"/>
      <c r="AR7530" s="17"/>
    </row>
    <row r="7531" s="25" customFormat="1" ht="15.6" hidden="1" spans="1:44">
      <c r="A7531" s="17" t="s">
        <v>34</v>
      </c>
      <c r="B7531" s="19">
        <v>1114</v>
      </c>
      <c r="C7531" s="183">
        <v>46143</v>
      </c>
      <c r="D7531" s="17" t="s">
        <v>63</v>
      </c>
      <c r="E7531" s="17" t="s">
        <v>64</v>
      </c>
      <c r="F7531" s="17" t="s">
        <v>54</v>
      </c>
      <c r="G7531" s="17"/>
      <c r="H7531" s="19">
        <v>1.2311</v>
      </c>
      <c r="I7531" s="19"/>
      <c r="J7531" s="17" t="s">
        <v>82</v>
      </c>
      <c r="K7531" s="19">
        <v>505</v>
      </c>
      <c r="L7531" s="19">
        <v>36</v>
      </c>
      <c r="M7531" s="19">
        <v>2250</v>
      </c>
      <c r="N7531" s="19" t="s">
        <v>66</v>
      </c>
      <c r="O7531" s="19" t="s">
        <v>67</v>
      </c>
      <c r="P7531" s="19">
        <v>321</v>
      </c>
      <c r="Q7531" s="19">
        <v>329</v>
      </c>
      <c r="R7531" s="99">
        <f t="shared" si="323"/>
        <v>-8</v>
      </c>
      <c r="S7531" s="311">
        <v>800</v>
      </c>
      <c r="T7531" s="19" t="s">
        <v>42</v>
      </c>
      <c r="U7531" s="102" t="s">
        <v>68</v>
      </c>
      <c r="V7531" s="186">
        <v>46148</v>
      </c>
      <c r="W7531" s="17" t="s">
        <v>69</v>
      </c>
      <c r="X7531" s="17"/>
      <c r="Y7531" s="68">
        <v>46174</v>
      </c>
      <c r="Z7531" s="17" t="s">
        <v>70</v>
      </c>
      <c r="AA7531" s="17" t="s">
        <v>46</v>
      </c>
      <c r="AB7531" s="17" t="s">
        <v>68</v>
      </c>
      <c r="AC7531" s="217">
        <v>46223</v>
      </c>
      <c r="AD7531" s="65">
        <v>1845</v>
      </c>
      <c r="AE7531" s="17" t="s">
        <v>74</v>
      </c>
      <c r="AF7531" s="17"/>
      <c r="AG7531" s="17"/>
      <c r="AH7531" s="17"/>
      <c r="AI7531" s="17"/>
      <c r="AJ7531" s="17"/>
      <c r="AK7531" s="17"/>
      <c r="AL7531" s="17"/>
      <c r="AM7531" s="17"/>
      <c r="AN7531" s="17"/>
      <c r="AO7531" s="17"/>
      <c r="AP7531" s="17"/>
      <c r="AQ7531" s="17"/>
      <c r="AR7531" s="17"/>
    </row>
    <row r="7532" s="25" customFormat="1" ht="15.6" hidden="1" spans="1:44">
      <c r="A7532" s="17" t="s">
        <v>34</v>
      </c>
      <c r="B7532" s="19">
        <v>1114</v>
      </c>
      <c r="C7532" s="183">
        <v>46143</v>
      </c>
      <c r="D7532" s="17" t="s">
        <v>63</v>
      </c>
      <c r="E7532" s="17" t="s">
        <v>64</v>
      </c>
      <c r="F7532" s="17" t="s">
        <v>54</v>
      </c>
      <c r="G7532" s="17"/>
      <c r="H7532" s="19">
        <v>1.2311</v>
      </c>
      <c r="I7532" s="19"/>
      <c r="J7532" s="17" t="s">
        <v>82</v>
      </c>
      <c r="K7532" s="19">
        <v>205</v>
      </c>
      <c r="L7532" s="19">
        <v>40</v>
      </c>
      <c r="M7532" s="19">
        <v>2250</v>
      </c>
      <c r="N7532" s="19" t="s">
        <v>66</v>
      </c>
      <c r="O7532" s="19" t="s">
        <v>67</v>
      </c>
      <c r="P7532" s="19">
        <v>1014</v>
      </c>
      <c r="Q7532" s="19">
        <f>154+155+155+156+156+154+154</f>
        <v>1084</v>
      </c>
      <c r="R7532" s="99">
        <f t="shared" si="323"/>
        <v>-70</v>
      </c>
      <c r="S7532" s="311">
        <v>800</v>
      </c>
      <c r="T7532" s="19" t="s">
        <v>42</v>
      </c>
      <c r="U7532" s="102" t="s">
        <v>68</v>
      </c>
      <c r="V7532" s="186">
        <v>46148</v>
      </c>
      <c r="W7532" s="17" t="s">
        <v>69</v>
      </c>
      <c r="X7532" s="17"/>
      <c r="Y7532" s="68">
        <v>46174</v>
      </c>
      <c r="Z7532" s="17" t="s">
        <v>70</v>
      </c>
      <c r="AA7532" s="17" t="s">
        <v>46</v>
      </c>
      <c r="AB7532" s="17" t="s">
        <v>68</v>
      </c>
      <c r="AC7532" s="217">
        <v>46223</v>
      </c>
      <c r="AD7532" s="65">
        <v>1845</v>
      </c>
      <c r="AE7532" s="17" t="s">
        <v>74</v>
      </c>
      <c r="AF7532" s="17"/>
      <c r="AG7532" s="17"/>
      <c r="AH7532" s="17"/>
      <c r="AI7532" s="17"/>
      <c r="AJ7532" s="17"/>
      <c r="AK7532" s="17"/>
      <c r="AL7532" s="17"/>
      <c r="AM7532" s="17"/>
      <c r="AN7532" s="17"/>
      <c r="AO7532" s="17"/>
      <c r="AP7532" s="17"/>
      <c r="AQ7532" s="17"/>
      <c r="AR7532" s="17"/>
    </row>
    <row r="7533" s="25" customFormat="1" ht="15.6" hidden="1" spans="1:44">
      <c r="A7533" s="17" t="s">
        <v>34</v>
      </c>
      <c r="B7533" s="19">
        <v>1114</v>
      </c>
      <c r="C7533" s="183">
        <v>46143</v>
      </c>
      <c r="D7533" s="17" t="s">
        <v>63</v>
      </c>
      <c r="E7533" s="17" t="s">
        <v>64</v>
      </c>
      <c r="F7533" s="17" t="s">
        <v>54</v>
      </c>
      <c r="G7533" s="17"/>
      <c r="H7533" s="19">
        <v>1.2311</v>
      </c>
      <c r="I7533" s="19"/>
      <c r="J7533" s="17" t="s">
        <v>82</v>
      </c>
      <c r="K7533" s="19">
        <v>255</v>
      </c>
      <c r="L7533" s="19">
        <v>40</v>
      </c>
      <c r="M7533" s="19">
        <v>2250</v>
      </c>
      <c r="N7533" s="19" t="s">
        <v>66</v>
      </c>
      <c r="O7533" s="19" t="s">
        <v>67</v>
      </c>
      <c r="P7533" s="19">
        <v>1081</v>
      </c>
      <c r="Q7533" s="19">
        <f>193+194+193+193+191+191</f>
        <v>1155</v>
      </c>
      <c r="R7533" s="99">
        <f t="shared" si="323"/>
        <v>-74</v>
      </c>
      <c r="S7533" s="311">
        <v>800</v>
      </c>
      <c r="T7533" s="19" t="s">
        <v>42</v>
      </c>
      <c r="U7533" s="102" t="s">
        <v>68</v>
      </c>
      <c r="V7533" s="186">
        <v>46148</v>
      </c>
      <c r="W7533" s="17" t="s">
        <v>69</v>
      </c>
      <c r="X7533" s="17"/>
      <c r="Y7533" s="68">
        <v>46174</v>
      </c>
      <c r="Z7533" s="17" t="s">
        <v>70</v>
      </c>
      <c r="AA7533" s="17" t="s">
        <v>46</v>
      </c>
      <c r="AB7533" s="17" t="s">
        <v>68</v>
      </c>
      <c r="AC7533" s="217">
        <v>46223</v>
      </c>
      <c r="AD7533" s="65">
        <v>1845</v>
      </c>
      <c r="AE7533" s="17" t="s">
        <v>74</v>
      </c>
      <c r="AF7533" s="17"/>
      <c r="AG7533" s="17"/>
      <c r="AH7533" s="17"/>
      <c r="AI7533" s="17"/>
      <c r="AJ7533" s="17"/>
      <c r="AK7533" s="17"/>
      <c r="AL7533" s="17"/>
      <c r="AM7533" s="17"/>
      <c r="AN7533" s="17"/>
      <c r="AO7533" s="17"/>
      <c r="AP7533" s="17"/>
      <c r="AQ7533" s="17"/>
      <c r="AR7533" s="17"/>
    </row>
    <row r="7534" s="25" customFormat="1" ht="15.6" hidden="1" spans="1:44">
      <c r="A7534" s="17" t="s">
        <v>34</v>
      </c>
      <c r="B7534" s="19">
        <v>1114</v>
      </c>
      <c r="C7534" s="183">
        <v>46143</v>
      </c>
      <c r="D7534" s="17" t="s">
        <v>63</v>
      </c>
      <c r="E7534" s="17" t="s">
        <v>64</v>
      </c>
      <c r="F7534" s="17" t="s">
        <v>54</v>
      </c>
      <c r="G7534" s="17"/>
      <c r="H7534" s="19">
        <v>1.2311</v>
      </c>
      <c r="I7534" s="19"/>
      <c r="J7534" s="17" t="s">
        <v>82</v>
      </c>
      <c r="K7534" s="19">
        <v>305</v>
      </c>
      <c r="L7534" s="19">
        <v>40</v>
      </c>
      <c r="M7534" s="19">
        <v>2250</v>
      </c>
      <c r="N7534" s="19" t="s">
        <v>66</v>
      </c>
      <c r="O7534" s="19" t="s">
        <v>67</v>
      </c>
      <c r="P7534" s="19">
        <v>1077</v>
      </c>
      <c r="Q7534" s="19">
        <f>229+229+226+232+232</f>
        <v>1148</v>
      </c>
      <c r="R7534" s="99">
        <f t="shared" si="323"/>
        <v>-71</v>
      </c>
      <c r="S7534" s="311">
        <v>800</v>
      </c>
      <c r="T7534" s="19" t="s">
        <v>42</v>
      </c>
      <c r="U7534" s="102" t="s">
        <v>68</v>
      </c>
      <c r="V7534" s="186">
        <v>46148</v>
      </c>
      <c r="W7534" s="17" t="s">
        <v>69</v>
      </c>
      <c r="X7534" s="17"/>
      <c r="Y7534" s="68">
        <v>46174</v>
      </c>
      <c r="Z7534" s="17" t="s">
        <v>70</v>
      </c>
      <c r="AA7534" s="17" t="s">
        <v>46</v>
      </c>
      <c r="AB7534" s="17" t="s">
        <v>68</v>
      </c>
      <c r="AC7534" s="217">
        <v>46223</v>
      </c>
      <c r="AD7534" s="65">
        <v>1845</v>
      </c>
      <c r="AE7534" s="17" t="s">
        <v>74</v>
      </c>
      <c r="AF7534" s="17"/>
      <c r="AG7534" s="17"/>
      <c r="AH7534" s="17"/>
      <c r="AI7534" s="17"/>
      <c r="AJ7534" s="17"/>
      <c r="AK7534" s="17"/>
      <c r="AL7534" s="17"/>
      <c r="AM7534" s="17"/>
      <c r="AN7534" s="17"/>
      <c r="AO7534" s="17"/>
      <c r="AP7534" s="17"/>
      <c r="AQ7534" s="17"/>
      <c r="AR7534" s="17"/>
    </row>
    <row r="7535" s="25" customFormat="1" ht="15.6" hidden="1" spans="1:44">
      <c r="A7535" s="17" t="s">
        <v>34</v>
      </c>
      <c r="B7535" s="19">
        <v>1114</v>
      </c>
      <c r="C7535" s="183">
        <v>46143</v>
      </c>
      <c r="D7535" s="17" t="s">
        <v>63</v>
      </c>
      <c r="E7535" s="17" t="s">
        <v>64</v>
      </c>
      <c r="F7535" s="17" t="s">
        <v>54</v>
      </c>
      <c r="G7535" s="17"/>
      <c r="H7535" s="19">
        <v>1.2311</v>
      </c>
      <c r="I7535" s="19"/>
      <c r="J7535" s="17" t="s">
        <v>82</v>
      </c>
      <c r="K7535" s="19">
        <v>355</v>
      </c>
      <c r="L7535" s="19">
        <v>40</v>
      </c>
      <c r="M7535" s="19">
        <v>2250</v>
      </c>
      <c r="N7535" s="19" t="s">
        <v>66</v>
      </c>
      <c r="O7535" s="19" t="s">
        <v>67</v>
      </c>
      <c r="P7535" s="19">
        <v>1003</v>
      </c>
      <c r="Q7535" s="19">
        <f>266+266+265+265</f>
        <v>1062</v>
      </c>
      <c r="R7535" s="99">
        <f t="shared" si="323"/>
        <v>-59</v>
      </c>
      <c r="S7535" s="311">
        <v>800</v>
      </c>
      <c r="T7535" s="19" t="s">
        <v>42</v>
      </c>
      <c r="U7535" s="102" t="s">
        <v>68</v>
      </c>
      <c r="V7535" s="186">
        <v>46148</v>
      </c>
      <c r="W7535" s="17" t="s">
        <v>69</v>
      </c>
      <c r="X7535" s="17"/>
      <c r="Y7535" s="68">
        <v>46174</v>
      </c>
      <c r="Z7535" s="17" t="s">
        <v>70</v>
      </c>
      <c r="AA7535" s="17" t="s">
        <v>46</v>
      </c>
      <c r="AB7535" s="17" t="s">
        <v>68</v>
      </c>
      <c r="AC7535" s="217">
        <v>46223</v>
      </c>
      <c r="AD7535" s="65">
        <v>1845</v>
      </c>
      <c r="AE7535" s="17" t="s">
        <v>74</v>
      </c>
      <c r="AF7535" s="17"/>
      <c r="AG7535" s="17"/>
      <c r="AH7535" s="17"/>
      <c r="AI7535" s="17"/>
      <c r="AJ7535" s="17"/>
      <c r="AK7535" s="17"/>
      <c r="AL7535" s="17"/>
      <c r="AM7535" s="17"/>
      <c r="AN7535" s="17"/>
      <c r="AO7535" s="17"/>
      <c r="AP7535" s="17"/>
      <c r="AQ7535" s="17"/>
      <c r="AR7535" s="17"/>
    </row>
    <row r="7536" s="25" customFormat="1" ht="15.6" hidden="1" spans="1:44">
      <c r="A7536" s="17" t="s">
        <v>34</v>
      </c>
      <c r="B7536" s="19">
        <v>1114</v>
      </c>
      <c r="C7536" s="183">
        <v>46143</v>
      </c>
      <c r="D7536" s="17" t="s">
        <v>63</v>
      </c>
      <c r="E7536" s="17" t="s">
        <v>64</v>
      </c>
      <c r="F7536" s="17" t="s">
        <v>54</v>
      </c>
      <c r="G7536" s="17"/>
      <c r="H7536" s="19">
        <v>1.2311</v>
      </c>
      <c r="I7536" s="19"/>
      <c r="J7536" s="17" t="s">
        <v>82</v>
      </c>
      <c r="K7536" s="19">
        <v>405</v>
      </c>
      <c r="L7536" s="19">
        <v>40</v>
      </c>
      <c r="M7536" s="19">
        <v>2250</v>
      </c>
      <c r="N7536" s="19" t="s">
        <v>66</v>
      </c>
      <c r="O7536" s="19" t="s">
        <v>67</v>
      </c>
      <c r="P7536" s="19">
        <v>858</v>
      </c>
      <c r="Q7536" s="19">
        <f>302+305+303</f>
        <v>910</v>
      </c>
      <c r="R7536" s="99">
        <f t="shared" si="323"/>
        <v>-52</v>
      </c>
      <c r="S7536" s="311">
        <v>800</v>
      </c>
      <c r="T7536" s="19" t="s">
        <v>42</v>
      </c>
      <c r="U7536" s="102" t="s">
        <v>68</v>
      </c>
      <c r="V7536" s="186">
        <v>46148</v>
      </c>
      <c r="W7536" s="17" t="s">
        <v>69</v>
      </c>
      <c r="X7536" s="17"/>
      <c r="Y7536" s="68">
        <v>46174</v>
      </c>
      <c r="Z7536" s="17" t="s">
        <v>70</v>
      </c>
      <c r="AA7536" s="17" t="s">
        <v>46</v>
      </c>
      <c r="AB7536" s="17" t="s">
        <v>68</v>
      </c>
      <c r="AC7536" s="217">
        <v>46223</v>
      </c>
      <c r="AD7536" s="65">
        <v>1845</v>
      </c>
      <c r="AE7536" s="17" t="s">
        <v>74</v>
      </c>
      <c r="AF7536" s="17"/>
      <c r="AG7536" s="17"/>
      <c r="AH7536" s="17"/>
      <c r="AI7536" s="17"/>
      <c r="AJ7536" s="17"/>
      <c r="AK7536" s="17"/>
      <c r="AL7536" s="17"/>
      <c r="AM7536" s="17"/>
      <c r="AN7536" s="17"/>
      <c r="AO7536" s="17"/>
      <c r="AP7536" s="17"/>
      <c r="AQ7536" s="17"/>
      <c r="AR7536" s="17"/>
    </row>
    <row r="7537" s="25" customFormat="1" ht="15.6" hidden="1" spans="1:44">
      <c r="A7537" s="17" t="s">
        <v>34</v>
      </c>
      <c r="B7537" s="19">
        <v>1114</v>
      </c>
      <c r="C7537" s="183">
        <v>46143</v>
      </c>
      <c r="D7537" s="17" t="s">
        <v>63</v>
      </c>
      <c r="E7537" s="17" t="s">
        <v>64</v>
      </c>
      <c r="F7537" s="17" t="s">
        <v>54</v>
      </c>
      <c r="G7537" s="17"/>
      <c r="H7537" s="19">
        <v>1.2311</v>
      </c>
      <c r="I7537" s="19"/>
      <c r="J7537" s="17" t="s">
        <v>82</v>
      </c>
      <c r="K7537" s="19">
        <v>455</v>
      </c>
      <c r="L7537" s="19">
        <v>40</v>
      </c>
      <c r="M7537" s="19">
        <v>2250</v>
      </c>
      <c r="N7537" s="19" t="s">
        <v>66</v>
      </c>
      <c r="O7537" s="19" t="s">
        <v>67</v>
      </c>
      <c r="P7537" s="19">
        <v>964</v>
      </c>
      <c r="Q7537" s="19">
        <f>339+339+339</f>
        <v>1017</v>
      </c>
      <c r="R7537" s="99">
        <f t="shared" si="323"/>
        <v>-53</v>
      </c>
      <c r="S7537" s="311">
        <v>800</v>
      </c>
      <c r="T7537" s="19" t="s">
        <v>42</v>
      </c>
      <c r="U7537" s="102" t="s">
        <v>68</v>
      </c>
      <c r="V7537" s="186">
        <v>46148</v>
      </c>
      <c r="W7537" s="17" t="s">
        <v>69</v>
      </c>
      <c r="X7537" s="17"/>
      <c r="Y7537" s="68">
        <v>46174</v>
      </c>
      <c r="Z7537" s="17" t="s">
        <v>70</v>
      </c>
      <c r="AA7537" s="17" t="s">
        <v>46</v>
      </c>
      <c r="AB7537" s="17" t="s">
        <v>68</v>
      </c>
      <c r="AC7537" s="217">
        <v>46223</v>
      </c>
      <c r="AD7537" s="65">
        <v>1845</v>
      </c>
      <c r="AE7537" s="17" t="s">
        <v>74</v>
      </c>
      <c r="AF7537" s="17"/>
      <c r="AG7537" s="17"/>
      <c r="AH7537" s="17"/>
      <c r="AI7537" s="17"/>
      <c r="AJ7537" s="17"/>
      <c r="AK7537" s="17"/>
      <c r="AL7537" s="17"/>
      <c r="AM7537" s="17"/>
      <c r="AN7537" s="17"/>
      <c r="AO7537" s="17"/>
      <c r="AP7537" s="17"/>
      <c r="AQ7537" s="17"/>
      <c r="AR7537" s="17"/>
    </row>
    <row r="7538" s="25" customFormat="1" ht="15.6" hidden="1" spans="1:44">
      <c r="A7538" s="17" t="s">
        <v>34</v>
      </c>
      <c r="B7538" s="19">
        <v>1114</v>
      </c>
      <c r="C7538" s="183">
        <v>46143</v>
      </c>
      <c r="D7538" s="17" t="s">
        <v>63</v>
      </c>
      <c r="E7538" s="17" t="s">
        <v>64</v>
      </c>
      <c r="F7538" s="17" t="s">
        <v>54</v>
      </c>
      <c r="G7538" s="17"/>
      <c r="H7538" s="19">
        <v>1.2311</v>
      </c>
      <c r="I7538" s="19"/>
      <c r="J7538" s="17" t="s">
        <v>82</v>
      </c>
      <c r="K7538" s="19">
        <v>505</v>
      </c>
      <c r="L7538" s="19">
        <v>40</v>
      </c>
      <c r="M7538" s="19">
        <v>2250</v>
      </c>
      <c r="N7538" s="19" t="s">
        <v>66</v>
      </c>
      <c r="O7538" s="19" t="s">
        <v>67</v>
      </c>
      <c r="P7538" s="19">
        <v>1070</v>
      </c>
      <c r="Q7538" s="19">
        <f>376+377+376</f>
        <v>1129</v>
      </c>
      <c r="R7538" s="99">
        <f t="shared" si="323"/>
        <v>-59</v>
      </c>
      <c r="S7538" s="311">
        <v>800</v>
      </c>
      <c r="T7538" s="19" t="s">
        <v>42</v>
      </c>
      <c r="U7538" s="102" t="s">
        <v>68</v>
      </c>
      <c r="V7538" s="186">
        <v>46148</v>
      </c>
      <c r="W7538" s="17" t="s">
        <v>69</v>
      </c>
      <c r="X7538" s="17"/>
      <c r="Y7538" s="68">
        <v>46174</v>
      </c>
      <c r="Z7538" s="17" t="s">
        <v>70</v>
      </c>
      <c r="AA7538" s="17" t="s">
        <v>46</v>
      </c>
      <c r="AB7538" s="17" t="s">
        <v>68</v>
      </c>
      <c r="AC7538" s="217">
        <v>46223</v>
      </c>
      <c r="AD7538" s="65">
        <v>1845</v>
      </c>
      <c r="AE7538" s="17" t="s">
        <v>74</v>
      </c>
      <c r="AF7538" s="17"/>
      <c r="AG7538" s="17"/>
      <c r="AH7538" s="17"/>
      <c r="AI7538" s="17"/>
      <c r="AJ7538" s="17"/>
      <c r="AK7538" s="17"/>
      <c r="AL7538" s="17"/>
      <c r="AM7538" s="17"/>
      <c r="AN7538" s="17"/>
      <c r="AO7538" s="17"/>
      <c r="AP7538" s="17"/>
      <c r="AQ7538" s="17"/>
      <c r="AR7538" s="17"/>
    </row>
    <row r="7539" s="25" customFormat="1" ht="15.6" hidden="1" spans="1:44">
      <c r="A7539" s="17" t="s">
        <v>34</v>
      </c>
      <c r="B7539" s="19">
        <v>1114</v>
      </c>
      <c r="C7539" s="183">
        <v>46143</v>
      </c>
      <c r="D7539" s="17" t="s">
        <v>63</v>
      </c>
      <c r="E7539" s="17" t="s">
        <v>64</v>
      </c>
      <c r="F7539" s="17" t="s">
        <v>54</v>
      </c>
      <c r="G7539" s="17"/>
      <c r="H7539" s="19">
        <v>1.2311</v>
      </c>
      <c r="I7539" s="19"/>
      <c r="J7539" s="17" t="s">
        <v>82</v>
      </c>
      <c r="K7539" s="19">
        <v>205</v>
      </c>
      <c r="L7539" s="19">
        <v>50</v>
      </c>
      <c r="M7539" s="19">
        <v>2250</v>
      </c>
      <c r="N7539" s="19" t="s">
        <v>66</v>
      </c>
      <c r="O7539" s="19" t="s">
        <v>67</v>
      </c>
      <c r="P7539" s="19">
        <v>1086</v>
      </c>
      <c r="Q7539" s="19">
        <f>191+191+193+194+193+193</f>
        <v>1155</v>
      </c>
      <c r="R7539" s="99">
        <f t="shared" si="323"/>
        <v>-69</v>
      </c>
      <c r="S7539" s="311">
        <v>800</v>
      </c>
      <c r="T7539" s="19" t="s">
        <v>42</v>
      </c>
      <c r="U7539" s="102" t="s">
        <v>68</v>
      </c>
      <c r="V7539" s="186">
        <v>46148</v>
      </c>
      <c r="W7539" s="17" t="s">
        <v>69</v>
      </c>
      <c r="X7539" s="17"/>
      <c r="Y7539" s="68">
        <v>46174</v>
      </c>
      <c r="Z7539" s="17" t="s">
        <v>70</v>
      </c>
      <c r="AA7539" s="17" t="s">
        <v>46</v>
      </c>
      <c r="AB7539" s="17" t="s">
        <v>68</v>
      </c>
      <c r="AC7539" s="217">
        <v>46223</v>
      </c>
      <c r="AD7539" s="65">
        <v>1845</v>
      </c>
      <c r="AE7539" s="17" t="s">
        <v>74</v>
      </c>
      <c r="AF7539" s="17"/>
      <c r="AG7539" s="17"/>
      <c r="AH7539" s="17"/>
      <c r="AI7539" s="17"/>
      <c r="AJ7539" s="17"/>
      <c r="AK7539" s="17"/>
      <c r="AL7539" s="17"/>
      <c r="AM7539" s="17"/>
      <c r="AN7539" s="17"/>
      <c r="AO7539" s="17"/>
      <c r="AP7539" s="17"/>
      <c r="AQ7539" s="17"/>
      <c r="AR7539" s="17"/>
    </row>
    <row r="7540" s="25" customFormat="1" ht="15.6" hidden="1" spans="1:44">
      <c r="A7540" s="17" t="s">
        <v>34</v>
      </c>
      <c r="B7540" s="19">
        <v>1114</v>
      </c>
      <c r="C7540" s="183">
        <v>46143</v>
      </c>
      <c r="D7540" s="17" t="s">
        <v>63</v>
      </c>
      <c r="E7540" s="17" t="s">
        <v>64</v>
      </c>
      <c r="F7540" s="17" t="s">
        <v>54</v>
      </c>
      <c r="G7540" s="17"/>
      <c r="H7540" s="19">
        <v>1.2311</v>
      </c>
      <c r="I7540" s="19"/>
      <c r="J7540" s="17" t="s">
        <v>82</v>
      </c>
      <c r="K7540" s="19">
        <v>255</v>
      </c>
      <c r="L7540" s="19">
        <v>50</v>
      </c>
      <c r="M7540" s="19">
        <v>2250</v>
      </c>
      <c r="N7540" s="19" t="s">
        <v>66</v>
      </c>
      <c r="O7540" s="19" t="s">
        <v>67</v>
      </c>
      <c r="P7540" s="19">
        <v>901</v>
      </c>
      <c r="Q7540" s="19">
        <f>240+241+239+239</f>
        <v>959</v>
      </c>
      <c r="R7540" s="99">
        <f t="shared" si="323"/>
        <v>-58</v>
      </c>
      <c r="S7540" s="311">
        <v>800</v>
      </c>
      <c r="T7540" s="19" t="s">
        <v>42</v>
      </c>
      <c r="U7540" s="102" t="s">
        <v>68</v>
      </c>
      <c r="V7540" s="186">
        <v>46148</v>
      </c>
      <c r="W7540" s="17" t="s">
        <v>69</v>
      </c>
      <c r="X7540" s="17"/>
      <c r="Y7540" s="68">
        <v>46174</v>
      </c>
      <c r="Z7540" s="17" t="s">
        <v>70</v>
      </c>
      <c r="AA7540" s="17" t="s">
        <v>46</v>
      </c>
      <c r="AB7540" s="17" t="s">
        <v>68</v>
      </c>
      <c r="AC7540" s="217">
        <v>46223</v>
      </c>
      <c r="AD7540" s="65">
        <v>1845</v>
      </c>
      <c r="AE7540" s="17" t="s">
        <v>74</v>
      </c>
      <c r="AF7540" s="17"/>
      <c r="AG7540" s="17"/>
      <c r="AH7540" s="17"/>
      <c r="AI7540" s="17"/>
      <c r="AJ7540" s="17"/>
      <c r="AK7540" s="17"/>
      <c r="AL7540" s="17"/>
      <c r="AM7540" s="17"/>
      <c r="AN7540" s="17"/>
      <c r="AO7540" s="17"/>
      <c r="AP7540" s="17"/>
      <c r="AQ7540" s="17"/>
      <c r="AR7540" s="17"/>
    </row>
    <row r="7541" s="25" customFormat="1" ht="15.6" hidden="1" spans="1:44">
      <c r="A7541" s="17" t="s">
        <v>34</v>
      </c>
      <c r="B7541" s="19">
        <v>1114</v>
      </c>
      <c r="C7541" s="183">
        <v>46143</v>
      </c>
      <c r="D7541" s="17" t="s">
        <v>63</v>
      </c>
      <c r="E7541" s="17" t="s">
        <v>64</v>
      </c>
      <c r="F7541" s="17" t="s">
        <v>54</v>
      </c>
      <c r="G7541" s="17"/>
      <c r="H7541" s="19">
        <v>1.2311</v>
      </c>
      <c r="I7541" s="19"/>
      <c r="J7541" s="17" t="s">
        <v>82</v>
      </c>
      <c r="K7541" s="19">
        <v>305</v>
      </c>
      <c r="L7541" s="19">
        <v>50</v>
      </c>
      <c r="M7541" s="19">
        <v>2250</v>
      </c>
      <c r="N7541" s="19" t="s">
        <v>66</v>
      </c>
      <c r="O7541" s="19" t="s">
        <v>67</v>
      </c>
      <c r="P7541" s="19">
        <v>1077</v>
      </c>
      <c r="Q7541" s="19">
        <f>284+282+288+288</f>
        <v>1142</v>
      </c>
      <c r="R7541" s="99">
        <f t="shared" si="323"/>
        <v>-65</v>
      </c>
      <c r="S7541" s="311">
        <v>800</v>
      </c>
      <c r="T7541" s="19" t="s">
        <v>42</v>
      </c>
      <c r="U7541" s="102" t="s">
        <v>68</v>
      </c>
      <c r="V7541" s="186">
        <v>46148</v>
      </c>
      <c r="W7541" s="17" t="s">
        <v>69</v>
      </c>
      <c r="X7541" s="17"/>
      <c r="Y7541" s="68">
        <v>46174</v>
      </c>
      <c r="Z7541" s="17" t="s">
        <v>70</v>
      </c>
      <c r="AA7541" s="17" t="s">
        <v>46</v>
      </c>
      <c r="AB7541" s="17" t="s">
        <v>68</v>
      </c>
      <c r="AC7541" s="217">
        <v>46223</v>
      </c>
      <c r="AD7541" s="65">
        <v>1845</v>
      </c>
      <c r="AE7541" s="17" t="s">
        <v>74</v>
      </c>
      <c r="AF7541" s="17"/>
      <c r="AG7541" s="17"/>
      <c r="AH7541" s="17"/>
      <c r="AI7541" s="17"/>
      <c r="AJ7541" s="17"/>
      <c r="AK7541" s="17"/>
      <c r="AL7541" s="17"/>
      <c r="AM7541" s="17"/>
      <c r="AN7541" s="17"/>
      <c r="AO7541" s="17"/>
      <c r="AP7541" s="17"/>
      <c r="AQ7541" s="17"/>
      <c r="AR7541" s="17"/>
    </row>
    <row r="7542" s="25" customFormat="1" ht="15.6" hidden="1" spans="1:44">
      <c r="A7542" s="17" t="s">
        <v>34</v>
      </c>
      <c r="B7542" s="19">
        <v>1114</v>
      </c>
      <c r="C7542" s="183">
        <v>46143</v>
      </c>
      <c r="D7542" s="17" t="s">
        <v>63</v>
      </c>
      <c r="E7542" s="17" t="s">
        <v>64</v>
      </c>
      <c r="F7542" s="17" t="s">
        <v>54</v>
      </c>
      <c r="G7542" s="17"/>
      <c r="H7542" s="19">
        <v>1.2311</v>
      </c>
      <c r="I7542" s="19"/>
      <c r="J7542" s="17" t="s">
        <v>82</v>
      </c>
      <c r="K7542" s="19">
        <v>355</v>
      </c>
      <c r="L7542" s="19">
        <v>50</v>
      </c>
      <c r="M7542" s="19">
        <v>2250</v>
      </c>
      <c r="N7542" s="19" t="s">
        <v>66</v>
      </c>
      <c r="O7542" s="19" t="s">
        <v>67</v>
      </c>
      <c r="P7542" s="19">
        <v>941</v>
      </c>
      <c r="Q7542" s="19">
        <f>331+331+335</f>
        <v>997</v>
      </c>
      <c r="R7542" s="99">
        <f t="shared" ref="R7542:R7573" si="325">+P7542-Q7542</f>
        <v>-56</v>
      </c>
      <c r="S7542" s="311">
        <v>800</v>
      </c>
      <c r="T7542" s="19" t="s">
        <v>42</v>
      </c>
      <c r="U7542" s="102" t="s">
        <v>68</v>
      </c>
      <c r="V7542" s="186">
        <v>46148</v>
      </c>
      <c r="W7542" s="17" t="s">
        <v>69</v>
      </c>
      <c r="X7542" s="17"/>
      <c r="Y7542" s="68">
        <v>46174</v>
      </c>
      <c r="Z7542" s="17" t="s">
        <v>70</v>
      </c>
      <c r="AA7542" s="17" t="s">
        <v>46</v>
      </c>
      <c r="AB7542" s="17" t="s">
        <v>68</v>
      </c>
      <c r="AC7542" s="217">
        <v>46223</v>
      </c>
      <c r="AD7542" s="65">
        <v>1845</v>
      </c>
      <c r="AE7542" s="17" t="s">
        <v>74</v>
      </c>
      <c r="AF7542" s="17"/>
      <c r="AG7542" s="17"/>
      <c r="AH7542" s="17"/>
      <c r="AI7542" s="17"/>
      <c r="AJ7542" s="17"/>
      <c r="AK7542" s="17"/>
      <c r="AL7542" s="17"/>
      <c r="AM7542" s="17"/>
      <c r="AN7542" s="17"/>
      <c r="AO7542" s="17"/>
      <c r="AP7542" s="17"/>
      <c r="AQ7542" s="17"/>
      <c r="AR7542" s="17"/>
    </row>
    <row r="7543" s="25" customFormat="1" ht="15.6" hidden="1" spans="1:44">
      <c r="A7543" s="17" t="s">
        <v>34</v>
      </c>
      <c r="B7543" s="19">
        <v>1114</v>
      </c>
      <c r="C7543" s="183">
        <v>46143</v>
      </c>
      <c r="D7543" s="17" t="s">
        <v>63</v>
      </c>
      <c r="E7543" s="17" t="s">
        <v>64</v>
      </c>
      <c r="F7543" s="17" t="s">
        <v>54</v>
      </c>
      <c r="G7543" s="17"/>
      <c r="H7543" s="19">
        <v>1.2311</v>
      </c>
      <c r="I7543" s="19"/>
      <c r="J7543" s="17" t="s">
        <v>82</v>
      </c>
      <c r="K7543" s="19">
        <v>405</v>
      </c>
      <c r="L7543" s="19">
        <v>50</v>
      </c>
      <c r="M7543" s="19">
        <v>2250</v>
      </c>
      <c r="N7543" s="19" t="s">
        <v>66</v>
      </c>
      <c r="O7543" s="19" t="s">
        <v>67</v>
      </c>
      <c r="P7543" s="19">
        <v>1073</v>
      </c>
      <c r="Q7543" s="19">
        <f>382+380+370</f>
        <v>1132</v>
      </c>
      <c r="R7543" s="99">
        <f t="shared" si="325"/>
        <v>-59</v>
      </c>
      <c r="S7543" s="311">
        <v>800</v>
      </c>
      <c r="T7543" s="19" t="s">
        <v>42</v>
      </c>
      <c r="U7543" s="102" t="s">
        <v>68</v>
      </c>
      <c r="V7543" s="186">
        <v>46148</v>
      </c>
      <c r="W7543" s="17" t="s">
        <v>69</v>
      </c>
      <c r="X7543" s="17"/>
      <c r="Y7543" s="68">
        <v>46174</v>
      </c>
      <c r="Z7543" s="17" t="s">
        <v>70</v>
      </c>
      <c r="AA7543" s="17" t="s">
        <v>46</v>
      </c>
      <c r="AB7543" s="17" t="s">
        <v>68</v>
      </c>
      <c r="AC7543" s="217">
        <v>46223</v>
      </c>
      <c r="AD7543" s="65">
        <v>1845</v>
      </c>
      <c r="AE7543" s="17" t="s">
        <v>74</v>
      </c>
      <c r="AF7543" s="17"/>
      <c r="AG7543" s="17"/>
      <c r="AH7543" s="17"/>
      <c r="AI7543" s="17"/>
      <c r="AJ7543" s="17"/>
      <c r="AK7543" s="17"/>
      <c r="AL7543" s="17"/>
      <c r="AM7543" s="17"/>
      <c r="AN7543" s="17"/>
      <c r="AO7543" s="17"/>
      <c r="AP7543" s="17"/>
      <c r="AQ7543" s="17"/>
      <c r="AR7543" s="17"/>
    </row>
    <row r="7544" s="25" customFormat="1" ht="15.6" hidden="1" spans="1:44">
      <c r="A7544" s="17" t="s">
        <v>34</v>
      </c>
      <c r="B7544" s="19">
        <v>1114</v>
      </c>
      <c r="C7544" s="183">
        <v>46143</v>
      </c>
      <c r="D7544" s="17" t="s">
        <v>63</v>
      </c>
      <c r="E7544" s="17" t="s">
        <v>64</v>
      </c>
      <c r="F7544" s="17" t="s">
        <v>54</v>
      </c>
      <c r="G7544" s="17"/>
      <c r="H7544" s="19">
        <v>1.2311</v>
      </c>
      <c r="I7544" s="19"/>
      <c r="J7544" s="17" t="s">
        <v>82</v>
      </c>
      <c r="K7544" s="19">
        <v>455</v>
      </c>
      <c r="L7544" s="19">
        <v>50</v>
      </c>
      <c r="M7544" s="19">
        <v>2250</v>
      </c>
      <c r="N7544" s="19" t="s">
        <v>66</v>
      </c>
      <c r="O7544" s="19" t="s">
        <v>67</v>
      </c>
      <c r="P7544" s="19">
        <v>804</v>
      </c>
      <c r="Q7544" s="19">
        <f>429+427</f>
        <v>856</v>
      </c>
      <c r="R7544" s="99">
        <f t="shared" si="325"/>
        <v>-52</v>
      </c>
      <c r="S7544" s="311">
        <v>800</v>
      </c>
      <c r="T7544" s="19" t="s">
        <v>42</v>
      </c>
      <c r="U7544" s="102" t="s">
        <v>68</v>
      </c>
      <c r="V7544" s="186">
        <v>46148</v>
      </c>
      <c r="W7544" s="17" t="s">
        <v>69</v>
      </c>
      <c r="X7544" s="17"/>
      <c r="Y7544" s="68">
        <v>46174</v>
      </c>
      <c r="Z7544" s="17" t="s">
        <v>70</v>
      </c>
      <c r="AA7544" s="17" t="s">
        <v>46</v>
      </c>
      <c r="AB7544" s="17" t="s">
        <v>68</v>
      </c>
      <c r="AC7544" s="217">
        <v>46223</v>
      </c>
      <c r="AD7544" s="65">
        <v>1845</v>
      </c>
      <c r="AE7544" s="17" t="s">
        <v>74</v>
      </c>
      <c r="AF7544" s="17"/>
      <c r="AG7544" s="17"/>
      <c r="AH7544" s="17"/>
      <c r="AI7544" s="17"/>
      <c r="AJ7544" s="17"/>
      <c r="AK7544" s="17"/>
      <c r="AL7544" s="17"/>
      <c r="AM7544" s="17"/>
      <c r="AN7544" s="17"/>
      <c r="AO7544" s="17"/>
      <c r="AP7544" s="17"/>
      <c r="AQ7544" s="17"/>
      <c r="AR7544" s="17"/>
    </row>
    <row r="7545" s="25" customFormat="1" ht="15.6" hidden="1" spans="1:44">
      <c r="A7545" s="17" t="s">
        <v>34</v>
      </c>
      <c r="B7545" s="19">
        <v>1114</v>
      </c>
      <c r="C7545" s="183">
        <v>46143</v>
      </c>
      <c r="D7545" s="17" t="s">
        <v>63</v>
      </c>
      <c r="E7545" s="17" t="s">
        <v>64</v>
      </c>
      <c r="F7545" s="17" t="s">
        <v>54</v>
      </c>
      <c r="G7545" s="17"/>
      <c r="H7545" s="19">
        <v>1.2311</v>
      </c>
      <c r="I7545" s="19"/>
      <c r="J7545" s="17" t="s">
        <v>82</v>
      </c>
      <c r="K7545" s="19">
        <v>505</v>
      </c>
      <c r="L7545" s="19">
        <v>50</v>
      </c>
      <c r="M7545" s="19">
        <v>2250</v>
      </c>
      <c r="N7545" s="19" t="s">
        <v>66</v>
      </c>
      <c r="O7545" s="19" t="s">
        <v>67</v>
      </c>
      <c r="P7545" s="19">
        <v>892</v>
      </c>
      <c r="Q7545" s="19">
        <f>472+474</f>
        <v>946</v>
      </c>
      <c r="R7545" s="99">
        <f t="shared" si="325"/>
        <v>-54</v>
      </c>
      <c r="S7545" s="311">
        <v>800</v>
      </c>
      <c r="T7545" s="19" t="s">
        <v>42</v>
      </c>
      <c r="U7545" s="102" t="s">
        <v>68</v>
      </c>
      <c r="V7545" s="186">
        <v>46148</v>
      </c>
      <c r="W7545" s="17" t="s">
        <v>69</v>
      </c>
      <c r="X7545" s="17"/>
      <c r="Y7545" s="68">
        <v>46174</v>
      </c>
      <c r="Z7545" s="17" t="s">
        <v>70</v>
      </c>
      <c r="AA7545" s="17" t="s">
        <v>46</v>
      </c>
      <c r="AB7545" s="17" t="s">
        <v>68</v>
      </c>
      <c r="AC7545" s="217">
        <v>46223</v>
      </c>
      <c r="AD7545" s="65">
        <v>1845</v>
      </c>
      <c r="AE7545" s="17" t="s">
        <v>74</v>
      </c>
      <c r="AF7545" s="17"/>
      <c r="AG7545" s="17"/>
      <c r="AH7545" s="17"/>
      <c r="AI7545" s="17"/>
      <c r="AJ7545" s="17"/>
      <c r="AK7545" s="17"/>
      <c r="AL7545" s="17"/>
      <c r="AM7545" s="17"/>
      <c r="AN7545" s="17"/>
      <c r="AO7545" s="17"/>
      <c r="AP7545" s="17"/>
      <c r="AQ7545" s="17"/>
      <c r="AR7545" s="17"/>
    </row>
    <row r="7546" s="25" customFormat="1" ht="15.6" hidden="1" spans="1:44">
      <c r="A7546" s="17" t="s">
        <v>34</v>
      </c>
      <c r="B7546" s="19">
        <v>1114</v>
      </c>
      <c r="C7546" s="183">
        <v>46143</v>
      </c>
      <c r="D7546" s="17" t="s">
        <v>63</v>
      </c>
      <c r="E7546" s="17" t="s">
        <v>64</v>
      </c>
      <c r="F7546" s="17" t="s">
        <v>54</v>
      </c>
      <c r="G7546" s="17"/>
      <c r="H7546" s="19">
        <v>1.2311</v>
      </c>
      <c r="I7546" s="19"/>
      <c r="J7546" s="17" t="s">
        <v>82</v>
      </c>
      <c r="K7546" s="19">
        <v>510</v>
      </c>
      <c r="L7546" s="19">
        <v>50</v>
      </c>
      <c r="M7546" s="19">
        <v>2250</v>
      </c>
      <c r="N7546" s="19" t="s">
        <v>66</v>
      </c>
      <c r="O7546" s="19" t="s">
        <v>67</v>
      </c>
      <c r="P7546" s="19">
        <v>4954</v>
      </c>
      <c r="Q7546" s="19">
        <f>470+476+476+475+475+475+474+473+473+473+473</f>
        <v>5213</v>
      </c>
      <c r="R7546" s="99">
        <f t="shared" si="325"/>
        <v>-259</v>
      </c>
      <c r="S7546" s="311">
        <v>800</v>
      </c>
      <c r="T7546" s="19" t="s">
        <v>42</v>
      </c>
      <c r="U7546" s="102" t="s">
        <v>68</v>
      </c>
      <c r="V7546" s="186">
        <v>46148</v>
      </c>
      <c r="W7546" s="17" t="s">
        <v>69</v>
      </c>
      <c r="X7546" s="17"/>
      <c r="Y7546" s="68">
        <v>46174</v>
      </c>
      <c r="Z7546" s="17" t="s">
        <v>70</v>
      </c>
      <c r="AA7546" s="17" t="s">
        <v>46</v>
      </c>
      <c r="AB7546" s="17" t="s">
        <v>68</v>
      </c>
      <c r="AC7546" s="217">
        <v>46223</v>
      </c>
      <c r="AD7546" s="65">
        <v>1845</v>
      </c>
      <c r="AE7546" s="17" t="s">
        <v>48</v>
      </c>
      <c r="AF7546" s="17"/>
      <c r="AG7546" s="17"/>
      <c r="AH7546" s="17"/>
      <c r="AI7546" s="17"/>
      <c r="AJ7546" s="17"/>
      <c r="AK7546" s="17"/>
      <c r="AL7546" s="17"/>
      <c r="AM7546" s="17"/>
      <c r="AN7546" s="17"/>
      <c r="AO7546" s="17"/>
      <c r="AP7546" s="17"/>
      <c r="AQ7546" s="17"/>
      <c r="AR7546" s="17"/>
    </row>
    <row r="7547" s="25" customFormat="1" ht="15.6" hidden="1" spans="1:44">
      <c r="A7547" s="17" t="s">
        <v>34</v>
      </c>
      <c r="B7547" s="19">
        <v>1114</v>
      </c>
      <c r="C7547" s="183">
        <v>46143</v>
      </c>
      <c r="D7547" s="17" t="s">
        <v>63</v>
      </c>
      <c r="E7547" s="17" t="s">
        <v>64</v>
      </c>
      <c r="F7547" s="17" t="s">
        <v>54</v>
      </c>
      <c r="G7547" s="17"/>
      <c r="H7547" s="19">
        <v>1.2311</v>
      </c>
      <c r="I7547" s="19"/>
      <c r="J7547" s="17" t="s">
        <v>82</v>
      </c>
      <c r="K7547" s="19">
        <v>710</v>
      </c>
      <c r="L7547" s="19">
        <v>50</v>
      </c>
      <c r="M7547" s="19">
        <v>2250</v>
      </c>
      <c r="N7547" s="19" t="s">
        <v>66</v>
      </c>
      <c r="O7547" s="19" t="s">
        <v>67</v>
      </c>
      <c r="P7547" s="19">
        <v>1881</v>
      </c>
      <c r="Q7547" s="19">
        <f>661+660+652</f>
        <v>1973</v>
      </c>
      <c r="R7547" s="99">
        <f t="shared" si="325"/>
        <v>-92</v>
      </c>
      <c r="S7547" s="311">
        <v>800</v>
      </c>
      <c r="T7547" s="19" t="s">
        <v>42</v>
      </c>
      <c r="U7547" s="102" t="s">
        <v>68</v>
      </c>
      <c r="V7547" s="186">
        <v>46148</v>
      </c>
      <c r="W7547" s="17" t="s">
        <v>69</v>
      </c>
      <c r="X7547" s="17"/>
      <c r="Y7547" s="68">
        <v>46174</v>
      </c>
      <c r="Z7547" s="17" t="s">
        <v>70</v>
      </c>
      <c r="AA7547" s="17" t="s">
        <v>46</v>
      </c>
      <c r="AB7547" s="17" t="s">
        <v>68</v>
      </c>
      <c r="AC7547" s="217">
        <v>46223</v>
      </c>
      <c r="AD7547" s="65">
        <v>1845</v>
      </c>
      <c r="AE7547" s="17" t="s">
        <v>48</v>
      </c>
      <c r="AF7547" s="17"/>
      <c r="AG7547" s="17"/>
      <c r="AH7547" s="17"/>
      <c r="AI7547" s="17"/>
      <c r="AJ7547" s="17"/>
      <c r="AK7547" s="17"/>
      <c r="AL7547" s="17"/>
      <c r="AM7547" s="17"/>
      <c r="AN7547" s="17"/>
      <c r="AO7547" s="17"/>
      <c r="AP7547" s="17"/>
      <c r="AQ7547" s="17"/>
      <c r="AR7547" s="17"/>
    </row>
    <row r="7548" s="25" customFormat="1" ht="15.6" hidden="1" spans="1:44">
      <c r="A7548" s="17" t="s">
        <v>34</v>
      </c>
      <c r="B7548" s="19">
        <v>1114</v>
      </c>
      <c r="C7548" s="183">
        <v>46143</v>
      </c>
      <c r="D7548" s="17" t="s">
        <v>63</v>
      </c>
      <c r="E7548" s="17" t="s">
        <v>64</v>
      </c>
      <c r="F7548" s="17" t="s">
        <v>54</v>
      </c>
      <c r="G7548" s="17"/>
      <c r="H7548" s="19">
        <v>1.2311</v>
      </c>
      <c r="I7548" s="19"/>
      <c r="J7548" s="17" t="s">
        <v>82</v>
      </c>
      <c r="K7548" s="19">
        <v>205</v>
      </c>
      <c r="L7548" s="19">
        <v>65</v>
      </c>
      <c r="M7548" s="19">
        <v>2250</v>
      </c>
      <c r="N7548" s="19" t="s">
        <v>66</v>
      </c>
      <c r="O7548" s="19" t="s">
        <v>67</v>
      </c>
      <c r="P7548" s="19">
        <v>941</v>
      </c>
      <c r="Q7548" s="19">
        <f>248+248+248+248</f>
        <v>992</v>
      </c>
      <c r="R7548" s="99">
        <f t="shared" si="325"/>
        <v>-51</v>
      </c>
      <c r="S7548" s="311">
        <v>800</v>
      </c>
      <c r="T7548" s="19" t="s">
        <v>42</v>
      </c>
      <c r="U7548" s="102" t="s">
        <v>68</v>
      </c>
      <c r="V7548" s="186">
        <v>46148</v>
      </c>
      <c r="W7548" s="17" t="s">
        <v>69</v>
      </c>
      <c r="X7548" s="17"/>
      <c r="Y7548" s="68">
        <v>46174</v>
      </c>
      <c r="Z7548" s="17" t="s">
        <v>70</v>
      </c>
      <c r="AA7548" s="17" t="s">
        <v>46</v>
      </c>
      <c r="AB7548" s="17" t="s">
        <v>68</v>
      </c>
      <c r="AC7548" s="217">
        <v>46223</v>
      </c>
      <c r="AD7548" s="65">
        <v>1845</v>
      </c>
      <c r="AE7548" s="17" t="s">
        <v>74</v>
      </c>
      <c r="AF7548" s="17"/>
      <c r="AG7548" s="17"/>
      <c r="AH7548" s="17"/>
      <c r="AI7548" s="17"/>
      <c r="AJ7548" s="17"/>
      <c r="AK7548" s="17"/>
      <c r="AL7548" s="17"/>
      <c r="AM7548" s="17"/>
      <c r="AN7548" s="17"/>
      <c r="AO7548" s="17"/>
      <c r="AP7548" s="17"/>
      <c r="AQ7548" s="17"/>
      <c r="AR7548" s="17"/>
    </row>
    <row r="7549" s="25" customFormat="1" ht="15.6" hidden="1" spans="1:44">
      <c r="A7549" s="17" t="s">
        <v>34</v>
      </c>
      <c r="B7549" s="19">
        <v>1114</v>
      </c>
      <c r="C7549" s="183">
        <v>46143</v>
      </c>
      <c r="D7549" s="17" t="s">
        <v>63</v>
      </c>
      <c r="E7549" s="17" t="s">
        <v>64</v>
      </c>
      <c r="F7549" s="17" t="s">
        <v>54</v>
      </c>
      <c r="G7549" s="17"/>
      <c r="H7549" s="19">
        <v>1.2311</v>
      </c>
      <c r="I7549" s="19"/>
      <c r="J7549" s="17" t="s">
        <v>82</v>
      </c>
      <c r="K7549" s="19">
        <v>255</v>
      </c>
      <c r="L7549" s="19">
        <v>65</v>
      </c>
      <c r="M7549" s="19">
        <v>2250</v>
      </c>
      <c r="N7549" s="19" t="s">
        <v>66</v>
      </c>
      <c r="O7549" s="19" t="s">
        <v>67</v>
      </c>
      <c r="P7549" s="19">
        <v>878</v>
      </c>
      <c r="Q7549" s="19">
        <f>308+308+308</f>
        <v>924</v>
      </c>
      <c r="R7549" s="99">
        <f t="shared" si="325"/>
        <v>-46</v>
      </c>
      <c r="S7549" s="311">
        <v>800</v>
      </c>
      <c r="T7549" s="19" t="s">
        <v>42</v>
      </c>
      <c r="U7549" s="102" t="s">
        <v>68</v>
      </c>
      <c r="V7549" s="186">
        <v>46148</v>
      </c>
      <c r="W7549" s="17" t="s">
        <v>69</v>
      </c>
      <c r="X7549" s="17"/>
      <c r="Y7549" s="68">
        <v>46174</v>
      </c>
      <c r="Z7549" s="17" t="s">
        <v>70</v>
      </c>
      <c r="AA7549" s="17" t="s">
        <v>46</v>
      </c>
      <c r="AB7549" s="17" t="s">
        <v>68</v>
      </c>
      <c r="AC7549" s="217">
        <v>46223</v>
      </c>
      <c r="AD7549" s="65">
        <v>1845</v>
      </c>
      <c r="AE7549" s="17" t="s">
        <v>74</v>
      </c>
      <c r="AF7549" s="17"/>
      <c r="AG7549" s="17"/>
      <c r="AH7549" s="17"/>
      <c r="AI7549" s="17"/>
      <c r="AJ7549" s="17"/>
      <c r="AK7549" s="17"/>
      <c r="AL7549" s="17"/>
      <c r="AM7549" s="17"/>
      <c r="AN7549" s="17"/>
      <c r="AO7549" s="17"/>
      <c r="AP7549" s="17"/>
      <c r="AQ7549" s="17"/>
      <c r="AR7549" s="17"/>
    </row>
    <row r="7550" s="25" customFormat="1" ht="15.6" hidden="1" spans="1:44">
      <c r="A7550" s="17" t="s">
        <v>34</v>
      </c>
      <c r="B7550" s="19">
        <v>1114</v>
      </c>
      <c r="C7550" s="183">
        <v>46143</v>
      </c>
      <c r="D7550" s="17" t="s">
        <v>63</v>
      </c>
      <c r="E7550" s="17" t="s">
        <v>64</v>
      </c>
      <c r="F7550" s="17" t="s">
        <v>54</v>
      </c>
      <c r="G7550" s="17"/>
      <c r="H7550" s="19">
        <v>1.2311</v>
      </c>
      <c r="I7550" s="19"/>
      <c r="J7550" s="17" t="s">
        <v>82</v>
      </c>
      <c r="K7550" s="19">
        <v>305</v>
      </c>
      <c r="L7550" s="19">
        <v>65</v>
      </c>
      <c r="M7550" s="19">
        <v>2250</v>
      </c>
      <c r="N7550" s="19" t="s">
        <v>66</v>
      </c>
      <c r="O7550" s="19" t="s">
        <v>67</v>
      </c>
      <c r="P7550" s="19">
        <v>1050</v>
      </c>
      <c r="Q7550" s="19">
        <f>370+367+368</f>
        <v>1105</v>
      </c>
      <c r="R7550" s="99">
        <f t="shared" si="325"/>
        <v>-55</v>
      </c>
      <c r="S7550" s="311">
        <v>800</v>
      </c>
      <c r="T7550" s="19" t="s">
        <v>42</v>
      </c>
      <c r="U7550" s="102" t="s">
        <v>68</v>
      </c>
      <c r="V7550" s="186">
        <v>46148</v>
      </c>
      <c r="W7550" s="17" t="s">
        <v>69</v>
      </c>
      <c r="X7550" s="17"/>
      <c r="Y7550" s="68">
        <v>46174</v>
      </c>
      <c r="Z7550" s="17" t="s">
        <v>70</v>
      </c>
      <c r="AA7550" s="17" t="s">
        <v>46</v>
      </c>
      <c r="AB7550" s="17" t="s">
        <v>68</v>
      </c>
      <c r="AC7550" s="217">
        <v>46223</v>
      </c>
      <c r="AD7550" s="65">
        <v>1845</v>
      </c>
      <c r="AE7550" s="17" t="s">
        <v>74</v>
      </c>
      <c r="AF7550" s="17"/>
      <c r="AG7550" s="17"/>
      <c r="AH7550" s="17"/>
      <c r="AI7550" s="17"/>
      <c r="AJ7550" s="17"/>
      <c r="AK7550" s="17"/>
      <c r="AL7550" s="17"/>
      <c r="AM7550" s="17"/>
      <c r="AN7550" s="17"/>
      <c r="AO7550" s="17"/>
      <c r="AP7550" s="17"/>
      <c r="AQ7550" s="17"/>
      <c r="AR7550" s="17"/>
    </row>
    <row r="7551" s="25" customFormat="1" ht="15.6" hidden="1" spans="1:44">
      <c r="A7551" s="17" t="s">
        <v>34</v>
      </c>
      <c r="B7551" s="19">
        <v>1114</v>
      </c>
      <c r="C7551" s="183">
        <v>46143</v>
      </c>
      <c r="D7551" s="17" t="s">
        <v>63</v>
      </c>
      <c r="E7551" s="17" t="s">
        <v>64</v>
      </c>
      <c r="F7551" s="17" t="s">
        <v>54</v>
      </c>
      <c r="G7551" s="17"/>
      <c r="H7551" s="19">
        <v>1.2311</v>
      </c>
      <c r="I7551" s="19"/>
      <c r="J7551" s="17" t="s">
        <v>82</v>
      </c>
      <c r="K7551" s="19">
        <v>355</v>
      </c>
      <c r="L7551" s="19">
        <v>65</v>
      </c>
      <c r="M7551" s="19">
        <v>2250</v>
      </c>
      <c r="N7551" s="19" t="s">
        <v>66</v>
      </c>
      <c r="O7551" s="19" t="s">
        <v>67</v>
      </c>
      <c r="P7551" s="19">
        <v>815</v>
      </c>
      <c r="Q7551" s="19">
        <f>430+431</f>
        <v>861</v>
      </c>
      <c r="R7551" s="99">
        <f t="shared" si="325"/>
        <v>-46</v>
      </c>
      <c r="S7551" s="311">
        <v>800</v>
      </c>
      <c r="T7551" s="19" t="s">
        <v>42</v>
      </c>
      <c r="U7551" s="102" t="s">
        <v>68</v>
      </c>
      <c r="V7551" s="186">
        <v>46148</v>
      </c>
      <c r="W7551" s="17" t="s">
        <v>69</v>
      </c>
      <c r="X7551" s="17"/>
      <c r="Y7551" s="68">
        <v>46174</v>
      </c>
      <c r="Z7551" s="17" t="s">
        <v>70</v>
      </c>
      <c r="AA7551" s="17" t="s">
        <v>46</v>
      </c>
      <c r="AB7551" s="17" t="s">
        <v>68</v>
      </c>
      <c r="AC7551" s="217">
        <v>46223</v>
      </c>
      <c r="AD7551" s="65">
        <v>1845</v>
      </c>
      <c r="AE7551" s="17" t="s">
        <v>74</v>
      </c>
      <c r="AF7551" s="17"/>
      <c r="AG7551" s="17"/>
      <c r="AH7551" s="17"/>
      <c r="AI7551" s="17"/>
      <c r="AJ7551" s="17"/>
      <c r="AK7551" s="17"/>
      <c r="AL7551" s="17"/>
      <c r="AM7551" s="17"/>
      <c r="AN7551" s="17"/>
      <c r="AO7551" s="17"/>
      <c r="AP7551" s="17"/>
      <c r="AQ7551" s="17"/>
      <c r="AR7551" s="17"/>
    </row>
    <row r="7552" s="25" customFormat="1" ht="15.6" hidden="1" spans="1:44">
      <c r="A7552" s="17" t="s">
        <v>34</v>
      </c>
      <c r="B7552" s="19">
        <v>1114</v>
      </c>
      <c r="C7552" s="183">
        <v>46143</v>
      </c>
      <c r="D7552" s="17" t="s">
        <v>63</v>
      </c>
      <c r="E7552" s="17" t="s">
        <v>64</v>
      </c>
      <c r="F7552" s="17" t="s">
        <v>54</v>
      </c>
      <c r="G7552" s="17"/>
      <c r="H7552" s="19">
        <v>1.2311</v>
      </c>
      <c r="I7552" s="19"/>
      <c r="J7552" s="17" t="s">
        <v>82</v>
      </c>
      <c r="K7552" s="19">
        <v>405</v>
      </c>
      <c r="L7552" s="19">
        <v>65</v>
      </c>
      <c r="M7552" s="19">
        <v>2250</v>
      </c>
      <c r="N7552" s="19" t="s">
        <v>66</v>
      </c>
      <c r="O7552" s="19" t="s">
        <v>67</v>
      </c>
      <c r="P7552" s="19">
        <v>930</v>
      </c>
      <c r="Q7552" s="19">
        <f>487+487</f>
        <v>974</v>
      </c>
      <c r="R7552" s="99">
        <f t="shared" si="325"/>
        <v>-44</v>
      </c>
      <c r="S7552" s="311">
        <v>800</v>
      </c>
      <c r="T7552" s="19" t="s">
        <v>42</v>
      </c>
      <c r="U7552" s="102" t="s">
        <v>68</v>
      </c>
      <c r="V7552" s="186">
        <v>46148</v>
      </c>
      <c r="W7552" s="17" t="s">
        <v>69</v>
      </c>
      <c r="X7552" s="17"/>
      <c r="Y7552" s="68">
        <v>46174</v>
      </c>
      <c r="Z7552" s="17" t="s">
        <v>70</v>
      </c>
      <c r="AA7552" s="17" t="s">
        <v>46</v>
      </c>
      <c r="AB7552" s="17" t="s">
        <v>68</v>
      </c>
      <c r="AC7552" s="217">
        <v>46223</v>
      </c>
      <c r="AD7552" s="65">
        <v>1845</v>
      </c>
      <c r="AE7552" s="17" t="s">
        <v>74</v>
      </c>
      <c r="AF7552" s="17"/>
      <c r="AG7552" s="17"/>
      <c r="AH7552" s="17"/>
      <c r="AI7552" s="17"/>
      <c r="AJ7552" s="17"/>
      <c r="AK7552" s="17"/>
      <c r="AL7552" s="17"/>
      <c r="AM7552" s="17"/>
      <c r="AN7552" s="17"/>
      <c r="AO7552" s="17"/>
      <c r="AP7552" s="17"/>
      <c r="AQ7552" s="17"/>
      <c r="AR7552" s="17"/>
    </row>
    <row r="7553" s="25" customFormat="1" ht="15.6" hidden="1" spans="1:44">
      <c r="A7553" s="17" t="s">
        <v>34</v>
      </c>
      <c r="B7553" s="19">
        <v>1114</v>
      </c>
      <c r="C7553" s="183">
        <v>46143</v>
      </c>
      <c r="D7553" s="17" t="s">
        <v>63</v>
      </c>
      <c r="E7553" s="17" t="s">
        <v>64</v>
      </c>
      <c r="F7553" s="17" t="s">
        <v>54</v>
      </c>
      <c r="G7553" s="17"/>
      <c r="H7553" s="19">
        <v>1.2311</v>
      </c>
      <c r="I7553" s="19"/>
      <c r="J7553" s="17" t="s">
        <v>82</v>
      </c>
      <c r="K7553" s="19">
        <v>455</v>
      </c>
      <c r="L7553" s="19">
        <v>65</v>
      </c>
      <c r="M7553" s="19">
        <v>2250</v>
      </c>
      <c r="N7553" s="19" t="s">
        <v>66</v>
      </c>
      <c r="O7553" s="19" t="s">
        <v>67</v>
      </c>
      <c r="P7553" s="19">
        <v>1045</v>
      </c>
      <c r="Q7553" s="19">
        <f>549+549</f>
        <v>1098</v>
      </c>
      <c r="R7553" s="99">
        <f t="shared" si="325"/>
        <v>-53</v>
      </c>
      <c r="S7553" s="311">
        <v>800</v>
      </c>
      <c r="T7553" s="19" t="s">
        <v>42</v>
      </c>
      <c r="U7553" s="102" t="s">
        <v>68</v>
      </c>
      <c r="V7553" s="186">
        <v>46148</v>
      </c>
      <c r="W7553" s="17" t="s">
        <v>69</v>
      </c>
      <c r="X7553" s="17"/>
      <c r="Y7553" s="68">
        <v>46174</v>
      </c>
      <c r="Z7553" s="17" t="s">
        <v>70</v>
      </c>
      <c r="AA7553" s="17" t="s">
        <v>46</v>
      </c>
      <c r="AB7553" s="17" t="s">
        <v>68</v>
      </c>
      <c r="AC7553" s="217">
        <v>46223</v>
      </c>
      <c r="AD7553" s="65">
        <v>1845</v>
      </c>
      <c r="AE7553" s="17" t="s">
        <v>74</v>
      </c>
      <c r="AF7553" s="17"/>
      <c r="AG7553" s="17"/>
      <c r="AH7553" s="17"/>
      <c r="AI7553" s="17"/>
      <c r="AJ7553" s="17"/>
      <c r="AK7553" s="17"/>
      <c r="AL7553" s="17"/>
      <c r="AM7553" s="17"/>
      <c r="AN7553" s="17"/>
      <c r="AO7553" s="17"/>
      <c r="AP7553" s="17"/>
      <c r="AQ7553" s="17"/>
      <c r="AR7553" s="17"/>
    </row>
    <row r="7554" s="25" customFormat="1" ht="15.6" hidden="1" spans="1:44">
      <c r="A7554" s="17" t="s">
        <v>34</v>
      </c>
      <c r="B7554" s="19">
        <v>1114</v>
      </c>
      <c r="C7554" s="183">
        <v>46143</v>
      </c>
      <c r="D7554" s="17" t="s">
        <v>63</v>
      </c>
      <c r="E7554" s="17" t="s">
        <v>64</v>
      </c>
      <c r="F7554" s="17" t="s">
        <v>54</v>
      </c>
      <c r="G7554" s="17"/>
      <c r="H7554" s="19">
        <v>1.2311</v>
      </c>
      <c r="I7554" s="19"/>
      <c r="J7554" s="17" t="s">
        <v>82</v>
      </c>
      <c r="K7554" s="19">
        <v>505</v>
      </c>
      <c r="L7554" s="19">
        <v>65</v>
      </c>
      <c r="M7554" s="19">
        <v>2250</v>
      </c>
      <c r="N7554" s="19" t="s">
        <v>66</v>
      </c>
      <c r="O7554" s="19" t="s">
        <v>67</v>
      </c>
      <c r="P7554" s="19">
        <v>1160</v>
      </c>
      <c r="Q7554" s="19">
        <f>605+605</f>
        <v>1210</v>
      </c>
      <c r="R7554" s="99">
        <f t="shared" si="325"/>
        <v>-50</v>
      </c>
      <c r="S7554" s="311">
        <v>800</v>
      </c>
      <c r="T7554" s="19" t="s">
        <v>42</v>
      </c>
      <c r="U7554" s="102" t="s">
        <v>68</v>
      </c>
      <c r="V7554" s="186">
        <v>46148</v>
      </c>
      <c r="W7554" s="17" t="s">
        <v>69</v>
      </c>
      <c r="X7554" s="17"/>
      <c r="Y7554" s="68">
        <v>46174</v>
      </c>
      <c r="Z7554" s="17" t="s">
        <v>70</v>
      </c>
      <c r="AA7554" s="17" t="s">
        <v>46</v>
      </c>
      <c r="AB7554" s="17" t="s">
        <v>68</v>
      </c>
      <c r="AC7554" s="217">
        <v>46223</v>
      </c>
      <c r="AD7554" s="65">
        <v>1845</v>
      </c>
      <c r="AE7554" s="17" t="s">
        <v>74</v>
      </c>
      <c r="AF7554" s="17"/>
      <c r="AG7554" s="17"/>
      <c r="AH7554" s="17"/>
      <c r="AI7554" s="17"/>
      <c r="AJ7554" s="17"/>
      <c r="AK7554" s="17"/>
      <c r="AL7554" s="17"/>
      <c r="AM7554" s="17"/>
      <c r="AN7554" s="17"/>
      <c r="AO7554" s="17"/>
      <c r="AP7554" s="17"/>
      <c r="AQ7554" s="17"/>
      <c r="AR7554" s="17"/>
    </row>
    <row r="7555" s="25" customFormat="1" ht="15.6" hidden="1" spans="1:44">
      <c r="A7555" s="17" t="s">
        <v>34</v>
      </c>
      <c r="B7555" s="19">
        <v>1114</v>
      </c>
      <c r="C7555" s="183">
        <v>46143</v>
      </c>
      <c r="D7555" s="17" t="s">
        <v>63</v>
      </c>
      <c r="E7555" s="17" t="s">
        <v>64</v>
      </c>
      <c r="F7555" s="17" t="s">
        <v>54</v>
      </c>
      <c r="G7555" s="17"/>
      <c r="H7555" s="19">
        <v>1.2311</v>
      </c>
      <c r="I7555" s="19"/>
      <c r="J7555" s="17" t="s">
        <v>82</v>
      </c>
      <c r="K7555" s="19">
        <v>205</v>
      </c>
      <c r="L7555" s="19">
        <v>80</v>
      </c>
      <c r="M7555" s="19">
        <v>2250</v>
      </c>
      <c r="N7555" s="19" t="s">
        <v>66</v>
      </c>
      <c r="O7555" s="19" t="s">
        <v>67</v>
      </c>
      <c r="P7555" s="19">
        <v>869</v>
      </c>
      <c r="Q7555" s="19">
        <f>302+304+303</f>
        <v>909</v>
      </c>
      <c r="R7555" s="99">
        <f t="shared" si="325"/>
        <v>-40</v>
      </c>
      <c r="S7555" s="311">
        <v>800</v>
      </c>
      <c r="T7555" s="19" t="s">
        <v>42</v>
      </c>
      <c r="U7555" s="102" t="s">
        <v>68</v>
      </c>
      <c r="V7555" s="186">
        <v>46148</v>
      </c>
      <c r="W7555" s="17" t="s">
        <v>69</v>
      </c>
      <c r="X7555" s="17"/>
      <c r="Y7555" s="68">
        <v>46174</v>
      </c>
      <c r="Z7555" s="17" t="s">
        <v>70</v>
      </c>
      <c r="AA7555" s="17" t="s">
        <v>46</v>
      </c>
      <c r="AB7555" s="17" t="s">
        <v>68</v>
      </c>
      <c r="AC7555" s="217">
        <v>46223</v>
      </c>
      <c r="AD7555" s="65">
        <v>1845</v>
      </c>
      <c r="AE7555" s="17" t="s">
        <v>74</v>
      </c>
      <c r="AF7555" s="17"/>
      <c r="AG7555" s="17"/>
      <c r="AH7555" s="17"/>
      <c r="AI7555" s="17"/>
      <c r="AJ7555" s="17"/>
      <c r="AK7555" s="17"/>
      <c r="AL7555" s="17"/>
      <c r="AM7555" s="17"/>
      <c r="AN7555" s="17"/>
      <c r="AO7555" s="17"/>
      <c r="AP7555" s="17"/>
      <c r="AQ7555" s="17"/>
      <c r="AR7555" s="17"/>
    </row>
    <row r="7556" s="25" customFormat="1" ht="15.6" hidden="1" spans="1:44">
      <c r="A7556" s="17" t="s">
        <v>34</v>
      </c>
      <c r="B7556" s="19">
        <v>1114</v>
      </c>
      <c r="C7556" s="183">
        <v>46143</v>
      </c>
      <c r="D7556" s="17" t="s">
        <v>63</v>
      </c>
      <c r="E7556" s="17" t="s">
        <v>64</v>
      </c>
      <c r="F7556" s="17" t="s">
        <v>54</v>
      </c>
      <c r="G7556" s="17"/>
      <c r="H7556" s="19">
        <v>1.2311</v>
      </c>
      <c r="I7556" s="19"/>
      <c r="J7556" s="17" t="s">
        <v>82</v>
      </c>
      <c r="K7556" s="19">
        <v>255</v>
      </c>
      <c r="L7556" s="19">
        <v>80</v>
      </c>
      <c r="M7556" s="19">
        <v>2250</v>
      </c>
      <c r="N7556" s="19" t="s">
        <v>66</v>
      </c>
      <c r="O7556" s="19" t="s">
        <v>67</v>
      </c>
      <c r="P7556" s="19">
        <v>1081</v>
      </c>
      <c r="Q7556" s="19">
        <f>376+376+376</f>
        <v>1128</v>
      </c>
      <c r="R7556" s="99">
        <f t="shared" si="325"/>
        <v>-47</v>
      </c>
      <c r="S7556" s="311">
        <v>800</v>
      </c>
      <c r="T7556" s="19" t="s">
        <v>42</v>
      </c>
      <c r="U7556" s="102" t="s">
        <v>68</v>
      </c>
      <c r="V7556" s="186">
        <v>46148</v>
      </c>
      <c r="W7556" s="17" t="s">
        <v>69</v>
      </c>
      <c r="X7556" s="17"/>
      <c r="Y7556" s="68">
        <v>46174</v>
      </c>
      <c r="Z7556" s="17" t="s">
        <v>70</v>
      </c>
      <c r="AA7556" s="17" t="s">
        <v>46</v>
      </c>
      <c r="AB7556" s="17" t="s">
        <v>68</v>
      </c>
      <c r="AC7556" s="217">
        <v>46223</v>
      </c>
      <c r="AD7556" s="65">
        <v>1845</v>
      </c>
      <c r="AE7556" s="17" t="s">
        <v>74</v>
      </c>
      <c r="AF7556" s="17"/>
      <c r="AG7556" s="17"/>
      <c r="AH7556" s="17"/>
      <c r="AI7556" s="17"/>
      <c r="AJ7556" s="17"/>
      <c r="AK7556" s="17"/>
      <c r="AL7556" s="17"/>
      <c r="AM7556" s="17"/>
      <c r="AN7556" s="17"/>
      <c r="AO7556" s="17"/>
      <c r="AP7556" s="17"/>
      <c r="AQ7556" s="17"/>
      <c r="AR7556" s="17"/>
    </row>
    <row r="7557" s="25" customFormat="1" ht="15.6" hidden="1" spans="1:44">
      <c r="A7557" s="17" t="s">
        <v>34</v>
      </c>
      <c r="B7557" s="19">
        <v>1114</v>
      </c>
      <c r="C7557" s="183">
        <v>46143</v>
      </c>
      <c r="D7557" s="17" t="s">
        <v>63</v>
      </c>
      <c r="E7557" s="17" t="s">
        <v>64</v>
      </c>
      <c r="F7557" s="17" t="s">
        <v>54</v>
      </c>
      <c r="G7557" s="17"/>
      <c r="H7557" s="19">
        <v>1.2311</v>
      </c>
      <c r="I7557" s="19"/>
      <c r="J7557" s="17" t="s">
        <v>82</v>
      </c>
      <c r="K7557" s="19">
        <v>305</v>
      </c>
      <c r="L7557" s="19">
        <v>80</v>
      </c>
      <c r="M7557" s="19">
        <v>2250</v>
      </c>
      <c r="N7557" s="19" t="s">
        <v>66</v>
      </c>
      <c r="O7557" s="19" t="s">
        <v>67</v>
      </c>
      <c r="P7557" s="19">
        <v>862</v>
      </c>
      <c r="Q7557" s="19">
        <f>449+447</f>
        <v>896</v>
      </c>
      <c r="R7557" s="99">
        <f t="shared" si="325"/>
        <v>-34</v>
      </c>
      <c r="S7557" s="311">
        <v>800</v>
      </c>
      <c r="T7557" s="19" t="s">
        <v>42</v>
      </c>
      <c r="U7557" s="102" t="s">
        <v>68</v>
      </c>
      <c r="V7557" s="186">
        <v>46148</v>
      </c>
      <c r="W7557" s="17" t="s">
        <v>69</v>
      </c>
      <c r="X7557" s="17"/>
      <c r="Y7557" s="68">
        <v>46174</v>
      </c>
      <c r="Z7557" s="17" t="s">
        <v>70</v>
      </c>
      <c r="AA7557" s="17" t="s">
        <v>46</v>
      </c>
      <c r="AB7557" s="17" t="s">
        <v>68</v>
      </c>
      <c r="AC7557" s="217">
        <v>46223</v>
      </c>
      <c r="AD7557" s="65">
        <v>1845</v>
      </c>
      <c r="AE7557" s="17" t="s">
        <v>74</v>
      </c>
      <c r="AF7557" s="17"/>
      <c r="AG7557" s="17"/>
      <c r="AH7557" s="17"/>
      <c r="AI7557" s="17"/>
      <c r="AJ7557" s="17"/>
      <c r="AK7557" s="17"/>
      <c r="AL7557" s="17"/>
      <c r="AM7557" s="17"/>
      <c r="AN7557" s="17"/>
      <c r="AO7557" s="17"/>
      <c r="AP7557" s="17"/>
      <c r="AQ7557" s="17"/>
      <c r="AR7557" s="17"/>
    </row>
    <row r="7558" s="25" customFormat="1" ht="15.6" hidden="1" spans="1:44">
      <c r="A7558" s="17" t="s">
        <v>34</v>
      </c>
      <c r="B7558" s="19">
        <v>1114</v>
      </c>
      <c r="C7558" s="183">
        <v>46143</v>
      </c>
      <c r="D7558" s="17" t="s">
        <v>63</v>
      </c>
      <c r="E7558" s="17" t="s">
        <v>64</v>
      </c>
      <c r="F7558" s="17" t="s">
        <v>54</v>
      </c>
      <c r="G7558" s="17"/>
      <c r="H7558" s="19">
        <v>1.2311</v>
      </c>
      <c r="I7558" s="19"/>
      <c r="J7558" s="17" t="s">
        <v>82</v>
      </c>
      <c r="K7558" s="19">
        <v>355</v>
      </c>
      <c r="L7558" s="19">
        <v>80</v>
      </c>
      <c r="M7558" s="19">
        <v>2250</v>
      </c>
      <c r="N7558" s="19" t="s">
        <v>66</v>
      </c>
      <c r="O7558" s="19" t="s">
        <v>67</v>
      </c>
      <c r="P7558" s="19">
        <v>1003</v>
      </c>
      <c r="Q7558" s="19">
        <f>523+521</f>
        <v>1044</v>
      </c>
      <c r="R7558" s="99">
        <f t="shared" si="325"/>
        <v>-41</v>
      </c>
      <c r="S7558" s="311">
        <v>800</v>
      </c>
      <c r="T7558" s="19" t="s">
        <v>42</v>
      </c>
      <c r="U7558" s="102" t="s">
        <v>68</v>
      </c>
      <c r="V7558" s="186">
        <v>46148</v>
      </c>
      <c r="W7558" s="17" t="s">
        <v>69</v>
      </c>
      <c r="X7558" s="17"/>
      <c r="Y7558" s="68">
        <v>46174</v>
      </c>
      <c r="Z7558" s="17" t="s">
        <v>70</v>
      </c>
      <c r="AA7558" s="17" t="s">
        <v>46</v>
      </c>
      <c r="AB7558" s="17" t="s">
        <v>68</v>
      </c>
      <c r="AC7558" s="217">
        <v>46223</v>
      </c>
      <c r="AD7558" s="65">
        <v>1845</v>
      </c>
      <c r="AE7558" s="17" t="s">
        <v>74</v>
      </c>
      <c r="AF7558" s="17"/>
      <c r="AG7558" s="17"/>
      <c r="AH7558" s="17"/>
      <c r="AI7558" s="17"/>
      <c r="AJ7558" s="17"/>
      <c r="AK7558" s="17"/>
      <c r="AL7558" s="17"/>
      <c r="AM7558" s="17"/>
      <c r="AN7558" s="17"/>
      <c r="AO7558" s="17"/>
      <c r="AP7558" s="17"/>
      <c r="AQ7558" s="17"/>
      <c r="AR7558" s="17"/>
    </row>
    <row r="7559" s="25" customFormat="1" ht="15.6" hidden="1" spans="1:44">
      <c r="A7559" s="17" t="s">
        <v>34</v>
      </c>
      <c r="B7559" s="19">
        <v>1114</v>
      </c>
      <c r="C7559" s="183">
        <v>46143</v>
      </c>
      <c r="D7559" s="17" t="s">
        <v>63</v>
      </c>
      <c r="E7559" s="17" t="s">
        <v>64</v>
      </c>
      <c r="F7559" s="17" t="s">
        <v>54</v>
      </c>
      <c r="G7559" s="17"/>
      <c r="H7559" s="19">
        <v>1.2311</v>
      </c>
      <c r="I7559" s="19"/>
      <c r="J7559" s="17" t="s">
        <v>82</v>
      </c>
      <c r="K7559" s="19">
        <v>405</v>
      </c>
      <c r="L7559" s="19">
        <v>80</v>
      </c>
      <c r="M7559" s="19">
        <v>2250</v>
      </c>
      <c r="N7559" s="19" t="s">
        <v>66</v>
      </c>
      <c r="O7559" s="19" t="s">
        <v>67</v>
      </c>
      <c r="P7559" s="19">
        <v>1145</v>
      </c>
      <c r="Q7559" s="19">
        <f>595+590</f>
        <v>1185</v>
      </c>
      <c r="R7559" s="99">
        <f t="shared" si="325"/>
        <v>-40</v>
      </c>
      <c r="S7559" s="311">
        <v>800</v>
      </c>
      <c r="T7559" s="19" t="s">
        <v>42</v>
      </c>
      <c r="U7559" s="102" t="s">
        <v>68</v>
      </c>
      <c r="V7559" s="186">
        <v>46148</v>
      </c>
      <c r="W7559" s="17" t="s">
        <v>69</v>
      </c>
      <c r="X7559" s="17"/>
      <c r="Y7559" s="68">
        <v>46174</v>
      </c>
      <c r="Z7559" s="17" t="s">
        <v>70</v>
      </c>
      <c r="AA7559" s="17" t="s">
        <v>46</v>
      </c>
      <c r="AB7559" s="17" t="s">
        <v>68</v>
      </c>
      <c r="AC7559" s="217">
        <v>46223</v>
      </c>
      <c r="AD7559" s="65">
        <v>1845</v>
      </c>
      <c r="AE7559" s="17" t="s">
        <v>74</v>
      </c>
      <c r="AF7559" s="17"/>
      <c r="AG7559" s="17"/>
      <c r="AH7559" s="17"/>
      <c r="AI7559" s="17"/>
      <c r="AJ7559" s="17"/>
      <c r="AK7559" s="17"/>
      <c r="AL7559" s="17"/>
      <c r="AM7559" s="17"/>
      <c r="AN7559" s="17"/>
      <c r="AO7559" s="17"/>
      <c r="AP7559" s="17"/>
      <c r="AQ7559" s="17"/>
      <c r="AR7559" s="17"/>
    </row>
    <row r="7560" s="25" customFormat="1" ht="15.6" hidden="1" spans="1:44">
      <c r="A7560" s="17" t="s">
        <v>34</v>
      </c>
      <c r="B7560" s="19">
        <v>1114</v>
      </c>
      <c r="C7560" s="183">
        <v>46143</v>
      </c>
      <c r="D7560" s="17" t="s">
        <v>63</v>
      </c>
      <c r="E7560" s="17" t="s">
        <v>64</v>
      </c>
      <c r="F7560" s="17" t="s">
        <v>54</v>
      </c>
      <c r="G7560" s="17"/>
      <c r="H7560" s="19">
        <v>1.2311</v>
      </c>
      <c r="I7560" s="19"/>
      <c r="J7560" s="17" t="s">
        <v>82</v>
      </c>
      <c r="K7560" s="19">
        <v>455</v>
      </c>
      <c r="L7560" s="19">
        <v>80</v>
      </c>
      <c r="M7560" s="19">
        <v>2250</v>
      </c>
      <c r="N7560" s="19" t="s">
        <v>66</v>
      </c>
      <c r="O7560" s="19" t="s">
        <v>67</v>
      </c>
      <c r="P7560" s="19">
        <v>1286</v>
      </c>
      <c r="Q7560" s="19">
        <f>669+666</f>
        <v>1335</v>
      </c>
      <c r="R7560" s="99">
        <f t="shared" si="325"/>
        <v>-49</v>
      </c>
      <c r="S7560" s="311">
        <v>800</v>
      </c>
      <c r="T7560" s="19" t="s">
        <v>42</v>
      </c>
      <c r="U7560" s="102" t="s">
        <v>68</v>
      </c>
      <c r="V7560" s="186">
        <v>46148</v>
      </c>
      <c r="W7560" s="17" t="s">
        <v>69</v>
      </c>
      <c r="X7560" s="17"/>
      <c r="Y7560" s="68">
        <v>46174</v>
      </c>
      <c r="Z7560" s="17" t="s">
        <v>70</v>
      </c>
      <c r="AA7560" s="17" t="s">
        <v>46</v>
      </c>
      <c r="AB7560" s="17" t="s">
        <v>68</v>
      </c>
      <c r="AC7560" s="217">
        <v>46223</v>
      </c>
      <c r="AD7560" s="65">
        <v>1845</v>
      </c>
      <c r="AE7560" s="17" t="s">
        <v>74</v>
      </c>
      <c r="AF7560" s="17"/>
      <c r="AG7560" s="17"/>
      <c r="AH7560" s="17"/>
      <c r="AI7560" s="17"/>
      <c r="AJ7560" s="17"/>
      <c r="AK7560" s="17"/>
      <c r="AL7560" s="17"/>
      <c r="AM7560" s="17"/>
      <c r="AN7560" s="17"/>
      <c r="AO7560" s="17"/>
      <c r="AP7560" s="17"/>
      <c r="AQ7560" s="17"/>
      <c r="AR7560" s="17"/>
    </row>
    <row r="7561" s="25" customFormat="1" ht="15.6" hidden="1" spans="1:44">
      <c r="A7561" s="17" t="s">
        <v>34</v>
      </c>
      <c r="B7561" s="19">
        <v>1114</v>
      </c>
      <c r="C7561" s="183">
        <v>46143</v>
      </c>
      <c r="D7561" s="17" t="s">
        <v>63</v>
      </c>
      <c r="E7561" s="17" t="s">
        <v>64</v>
      </c>
      <c r="F7561" s="17" t="s">
        <v>54</v>
      </c>
      <c r="G7561" s="17"/>
      <c r="H7561" s="19">
        <v>1.2311</v>
      </c>
      <c r="I7561" s="19"/>
      <c r="J7561" s="17" t="s">
        <v>82</v>
      </c>
      <c r="K7561" s="19">
        <v>505</v>
      </c>
      <c r="L7561" s="19">
        <v>80</v>
      </c>
      <c r="M7561" s="19">
        <v>2250</v>
      </c>
      <c r="N7561" s="19" t="s">
        <v>66</v>
      </c>
      <c r="O7561" s="19" t="s">
        <v>67</v>
      </c>
      <c r="P7561" s="19">
        <v>714</v>
      </c>
      <c r="Q7561" s="19">
        <v>737</v>
      </c>
      <c r="R7561" s="99">
        <f t="shared" si="325"/>
        <v>-23</v>
      </c>
      <c r="S7561" s="311">
        <v>800</v>
      </c>
      <c r="T7561" s="19" t="s">
        <v>42</v>
      </c>
      <c r="U7561" s="102" t="s">
        <v>68</v>
      </c>
      <c r="V7561" s="186">
        <v>46148</v>
      </c>
      <c r="W7561" s="17" t="s">
        <v>69</v>
      </c>
      <c r="X7561" s="17"/>
      <c r="Y7561" s="68">
        <v>46174</v>
      </c>
      <c r="Z7561" s="17" t="s">
        <v>70</v>
      </c>
      <c r="AA7561" s="17" t="s">
        <v>46</v>
      </c>
      <c r="AB7561" s="17" t="s">
        <v>68</v>
      </c>
      <c r="AC7561" s="217">
        <v>46223</v>
      </c>
      <c r="AD7561" s="65">
        <v>1845</v>
      </c>
      <c r="AE7561" s="17" t="s">
        <v>74</v>
      </c>
      <c r="AF7561" s="17"/>
      <c r="AG7561" s="17"/>
      <c r="AH7561" s="17"/>
      <c r="AI7561" s="17"/>
      <c r="AJ7561" s="17"/>
      <c r="AK7561" s="17"/>
      <c r="AL7561" s="17"/>
      <c r="AM7561" s="17"/>
      <c r="AN7561" s="17"/>
      <c r="AO7561" s="17"/>
      <c r="AP7561" s="17"/>
      <c r="AQ7561" s="17"/>
      <c r="AR7561" s="17"/>
    </row>
    <row r="7562" s="25" customFormat="1" ht="15.6" hidden="1" spans="1:44">
      <c r="A7562" s="17" t="s">
        <v>34</v>
      </c>
      <c r="B7562" s="19">
        <v>1114</v>
      </c>
      <c r="C7562" s="183">
        <v>46143</v>
      </c>
      <c r="D7562" s="17" t="s">
        <v>63</v>
      </c>
      <c r="E7562" s="17" t="s">
        <v>64</v>
      </c>
      <c r="F7562" s="17" t="s">
        <v>54</v>
      </c>
      <c r="G7562" s="17"/>
      <c r="H7562" s="19">
        <v>1.2311</v>
      </c>
      <c r="I7562" s="19"/>
      <c r="J7562" s="17" t="s">
        <v>82</v>
      </c>
      <c r="K7562" s="19">
        <v>205</v>
      </c>
      <c r="L7562" s="19">
        <v>105</v>
      </c>
      <c r="M7562" s="19">
        <v>2250</v>
      </c>
      <c r="N7562" s="19" t="s">
        <v>66</v>
      </c>
      <c r="O7562" s="19" t="s">
        <v>67</v>
      </c>
      <c r="P7562" s="19">
        <v>1141</v>
      </c>
      <c r="Q7562" s="19">
        <f>390+394+396</f>
        <v>1180</v>
      </c>
      <c r="R7562" s="99">
        <f t="shared" si="325"/>
        <v>-39</v>
      </c>
      <c r="S7562" s="311">
        <v>800</v>
      </c>
      <c r="T7562" s="19" t="s">
        <v>42</v>
      </c>
      <c r="U7562" s="102" t="s">
        <v>68</v>
      </c>
      <c r="V7562" s="186">
        <v>46148</v>
      </c>
      <c r="W7562" s="17" t="s">
        <v>69</v>
      </c>
      <c r="X7562" s="17"/>
      <c r="Y7562" s="68">
        <v>46174</v>
      </c>
      <c r="Z7562" s="17" t="s">
        <v>70</v>
      </c>
      <c r="AA7562" s="17" t="s">
        <v>46</v>
      </c>
      <c r="AB7562" s="17" t="s">
        <v>68</v>
      </c>
      <c r="AC7562" s="217">
        <v>46223</v>
      </c>
      <c r="AD7562" s="65">
        <v>1845</v>
      </c>
      <c r="AE7562" s="17" t="s">
        <v>74</v>
      </c>
      <c r="AF7562" s="17"/>
      <c r="AG7562" s="17"/>
      <c r="AH7562" s="17"/>
      <c r="AI7562" s="17"/>
      <c r="AJ7562" s="17"/>
      <c r="AK7562" s="17"/>
      <c r="AL7562" s="17"/>
      <c r="AM7562" s="17"/>
      <c r="AN7562" s="17"/>
      <c r="AO7562" s="17"/>
      <c r="AP7562" s="17"/>
      <c r="AQ7562" s="17"/>
      <c r="AR7562" s="17"/>
    </row>
    <row r="7563" s="25" customFormat="1" ht="15.6" hidden="1" spans="1:44">
      <c r="A7563" s="17" t="s">
        <v>34</v>
      </c>
      <c r="B7563" s="19">
        <v>1114</v>
      </c>
      <c r="C7563" s="183">
        <v>46143</v>
      </c>
      <c r="D7563" s="17" t="s">
        <v>63</v>
      </c>
      <c r="E7563" s="17" t="s">
        <v>64</v>
      </c>
      <c r="F7563" s="17" t="s">
        <v>54</v>
      </c>
      <c r="G7563" s="17"/>
      <c r="H7563" s="19">
        <v>1.2311</v>
      </c>
      <c r="I7563" s="19"/>
      <c r="J7563" s="17" t="s">
        <v>82</v>
      </c>
      <c r="K7563" s="19">
        <v>255</v>
      </c>
      <c r="L7563" s="19">
        <v>105</v>
      </c>
      <c r="M7563" s="19">
        <v>2250</v>
      </c>
      <c r="N7563" s="19" t="s">
        <v>66</v>
      </c>
      <c r="O7563" s="19" t="s">
        <v>67</v>
      </c>
      <c r="P7563" s="19">
        <v>946</v>
      </c>
      <c r="Q7563" s="19">
        <f>487+487</f>
        <v>974</v>
      </c>
      <c r="R7563" s="99">
        <f t="shared" si="325"/>
        <v>-28</v>
      </c>
      <c r="S7563" s="311">
        <v>800</v>
      </c>
      <c r="T7563" s="19" t="s">
        <v>42</v>
      </c>
      <c r="U7563" s="102" t="s">
        <v>68</v>
      </c>
      <c r="V7563" s="186">
        <v>46148</v>
      </c>
      <c r="W7563" s="17" t="s">
        <v>69</v>
      </c>
      <c r="X7563" s="17"/>
      <c r="Y7563" s="68">
        <v>46174</v>
      </c>
      <c r="Z7563" s="17" t="s">
        <v>70</v>
      </c>
      <c r="AA7563" s="17" t="s">
        <v>46</v>
      </c>
      <c r="AB7563" s="17" t="s">
        <v>68</v>
      </c>
      <c r="AC7563" s="217">
        <v>46223</v>
      </c>
      <c r="AD7563" s="65">
        <v>1845</v>
      </c>
      <c r="AE7563" s="17" t="s">
        <v>74</v>
      </c>
      <c r="AF7563" s="17"/>
      <c r="AG7563" s="17"/>
      <c r="AH7563" s="17"/>
      <c r="AI7563" s="17"/>
      <c r="AJ7563" s="17"/>
      <c r="AK7563" s="17"/>
      <c r="AL7563" s="17"/>
      <c r="AM7563" s="17"/>
      <c r="AN7563" s="17"/>
      <c r="AO7563" s="17"/>
      <c r="AP7563" s="17"/>
      <c r="AQ7563" s="17"/>
      <c r="AR7563" s="17"/>
    </row>
    <row r="7564" s="25" customFormat="1" ht="15.6" hidden="1" spans="1:44">
      <c r="A7564" s="17" t="s">
        <v>34</v>
      </c>
      <c r="B7564" s="19">
        <v>1114</v>
      </c>
      <c r="C7564" s="183">
        <v>46143</v>
      </c>
      <c r="D7564" s="17" t="s">
        <v>63</v>
      </c>
      <c r="E7564" s="17" t="s">
        <v>64</v>
      </c>
      <c r="F7564" s="17" t="s">
        <v>54</v>
      </c>
      <c r="G7564" s="17"/>
      <c r="H7564" s="19">
        <v>1.2311</v>
      </c>
      <c r="I7564" s="19"/>
      <c r="J7564" s="17" t="s">
        <v>82</v>
      </c>
      <c r="K7564" s="19">
        <v>305</v>
      </c>
      <c r="L7564" s="19">
        <v>105</v>
      </c>
      <c r="M7564" s="19">
        <v>2250</v>
      </c>
      <c r="N7564" s="19" t="s">
        <v>66</v>
      </c>
      <c r="O7564" s="19" t="s">
        <v>67</v>
      </c>
      <c r="P7564" s="19">
        <v>1131</v>
      </c>
      <c r="Q7564" s="19">
        <f>588+591</f>
        <v>1179</v>
      </c>
      <c r="R7564" s="99">
        <f t="shared" si="325"/>
        <v>-48</v>
      </c>
      <c r="S7564" s="311">
        <v>800</v>
      </c>
      <c r="T7564" s="19" t="s">
        <v>42</v>
      </c>
      <c r="U7564" s="102" t="s">
        <v>68</v>
      </c>
      <c r="V7564" s="186">
        <v>46148</v>
      </c>
      <c r="W7564" s="17" t="s">
        <v>69</v>
      </c>
      <c r="X7564" s="17"/>
      <c r="Y7564" s="68">
        <v>46174</v>
      </c>
      <c r="Z7564" s="17" t="s">
        <v>70</v>
      </c>
      <c r="AA7564" s="17" t="s">
        <v>46</v>
      </c>
      <c r="AB7564" s="17" t="s">
        <v>68</v>
      </c>
      <c r="AC7564" s="217">
        <v>46223</v>
      </c>
      <c r="AD7564" s="65">
        <v>1845</v>
      </c>
      <c r="AE7564" s="17" t="s">
        <v>74</v>
      </c>
      <c r="AF7564" s="17"/>
      <c r="AG7564" s="17"/>
      <c r="AH7564" s="17"/>
      <c r="AI7564" s="17"/>
      <c r="AJ7564" s="17"/>
      <c r="AK7564" s="17"/>
      <c r="AL7564" s="17"/>
      <c r="AM7564" s="17"/>
      <c r="AN7564" s="17"/>
      <c r="AO7564" s="17"/>
      <c r="AP7564" s="17"/>
      <c r="AQ7564" s="17"/>
      <c r="AR7564" s="17"/>
    </row>
    <row r="7565" s="25" customFormat="1" ht="15.6" hidden="1" spans="1:44">
      <c r="A7565" s="17" t="s">
        <v>34</v>
      </c>
      <c r="B7565" s="19">
        <v>1114</v>
      </c>
      <c r="C7565" s="183">
        <v>46143</v>
      </c>
      <c r="D7565" s="17" t="s">
        <v>63</v>
      </c>
      <c r="E7565" s="17" t="s">
        <v>64</v>
      </c>
      <c r="F7565" s="17" t="s">
        <v>54</v>
      </c>
      <c r="G7565" s="17"/>
      <c r="H7565" s="19">
        <v>1.2311</v>
      </c>
      <c r="I7565" s="19"/>
      <c r="J7565" s="17" t="s">
        <v>82</v>
      </c>
      <c r="K7565" s="19">
        <v>355</v>
      </c>
      <c r="L7565" s="19">
        <v>105</v>
      </c>
      <c r="M7565" s="19">
        <v>2250</v>
      </c>
      <c r="N7565" s="19" t="s">
        <v>66</v>
      </c>
      <c r="O7565" s="19" t="s">
        <v>67</v>
      </c>
      <c r="P7565" s="19">
        <v>1317</v>
      </c>
      <c r="Q7565" s="19">
        <f>680+678</f>
        <v>1358</v>
      </c>
      <c r="R7565" s="99">
        <f t="shared" si="325"/>
        <v>-41</v>
      </c>
      <c r="S7565" s="311">
        <v>800</v>
      </c>
      <c r="T7565" s="19" t="s">
        <v>42</v>
      </c>
      <c r="U7565" s="102" t="s">
        <v>68</v>
      </c>
      <c r="V7565" s="186">
        <v>46148</v>
      </c>
      <c r="W7565" s="17" t="s">
        <v>69</v>
      </c>
      <c r="X7565" s="17"/>
      <c r="Y7565" s="68">
        <v>46174</v>
      </c>
      <c r="Z7565" s="17" t="s">
        <v>70</v>
      </c>
      <c r="AA7565" s="17" t="s">
        <v>46</v>
      </c>
      <c r="AB7565" s="17" t="s">
        <v>68</v>
      </c>
      <c r="AC7565" s="217">
        <v>46223</v>
      </c>
      <c r="AD7565" s="65">
        <v>1845</v>
      </c>
      <c r="AE7565" s="17" t="s">
        <v>74</v>
      </c>
      <c r="AF7565" s="17"/>
      <c r="AG7565" s="17"/>
      <c r="AH7565" s="17"/>
      <c r="AI7565" s="17"/>
      <c r="AJ7565" s="17"/>
      <c r="AK7565" s="17"/>
      <c r="AL7565" s="17"/>
      <c r="AM7565" s="17"/>
      <c r="AN7565" s="17"/>
      <c r="AO7565" s="17"/>
      <c r="AP7565" s="17"/>
      <c r="AQ7565" s="17"/>
      <c r="AR7565" s="17"/>
    </row>
    <row r="7566" s="25" customFormat="1" ht="15.6" hidden="1" spans="1:44">
      <c r="A7566" s="17" t="s">
        <v>34</v>
      </c>
      <c r="B7566" s="19">
        <v>1114</v>
      </c>
      <c r="C7566" s="183">
        <v>46143</v>
      </c>
      <c r="D7566" s="17" t="s">
        <v>63</v>
      </c>
      <c r="E7566" s="17" t="s">
        <v>64</v>
      </c>
      <c r="F7566" s="17" t="s">
        <v>54</v>
      </c>
      <c r="G7566" s="17"/>
      <c r="H7566" s="19">
        <v>1.2311</v>
      </c>
      <c r="I7566" s="19"/>
      <c r="J7566" s="17" t="s">
        <v>82</v>
      </c>
      <c r="K7566" s="19">
        <v>405</v>
      </c>
      <c r="L7566" s="19">
        <v>105</v>
      </c>
      <c r="M7566" s="19">
        <v>2250</v>
      </c>
      <c r="N7566" s="19" t="s">
        <v>66</v>
      </c>
      <c r="O7566" s="19" t="s">
        <v>67</v>
      </c>
      <c r="P7566" s="19">
        <v>1502</v>
      </c>
      <c r="Q7566" s="19">
        <f>772+775</f>
        <v>1547</v>
      </c>
      <c r="R7566" s="99">
        <f t="shared" si="325"/>
        <v>-45</v>
      </c>
      <c r="S7566" s="311">
        <v>800</v>
      </c>
      <c r="T7566" s="19" t="s">
        <v>42</v>
      </c>
      <c r="U7566" s="102" t="s">
        <v>68</v>
      </c>
      <c r="V7566" s="186">
        <v>46148</v>
      </c>
      <c r="W7566" s="17" t="s">
        <v>69</v>
      </c>
      <c r="X7566" s="17"/>
      <c r="Y7566" s="68">
        <v>46174</v>
      </c>
      <c r="Z7566" s="17" t="s">
        <v>70</v>
      </c>
      <c r="AA7566" s="17" t="s">
        <v>46</v>
      </c>
      <c r="AB7566" s="17" t="s">
        <v>68</v>
      </c>
      <c r="AC7566" s="217">
        <v>46223</v>
      </c>
      <c r="AD7566" s="65">
        <v>1845</v>
      </c>
      <c r="AE7566" s="17" t="s">
        <v>74</v>
      </c>
      <c r="AF7566" s="17"/>
      <c r="AG7566" s="17"/>
      <c r="AH7566" s="17"/>
      <c r="AI7566" s="17"/>
      <c r="AJ7566" s="17"/>
      <c r="AK7566" s="17"/>
      <c r="AL7566" s="17"/>
      <c r="AM7566" s="17"/>
      <c r="AN7566" s="17"/>
      <c r="AO7566" s="17"/>
      <c r="AP7566" s="17"/>
      <c r="AQ7566" s="17"/>
      <c r="AR7566" s="17"/>
    </row>
    <row r="7567" s="25" customFormat="1" ht="15.6" hidden="1" spans="1:44">
      <c r="A7567" s="17" t="s">
        <v>34</v>
      </c>
      <c r="B7567" s="19">
        <v>1114</v>
      </c>
      <c r="C7567" s="183">
        <v>46143</v>
      </c>
      <c r="D7567" s="17" t="s">
        <v>63</v>
      </c>
      <c r="E7567" s="17" t="s">
        <v>64</v>
      </c>
      <c r="F7567" s="17" t="s">
        <v>54</v>
      </c>
      <c r="G7567" s="17"/>
      <c r="H7567" s="19">
        <v>1.2311</v>
      </c>
      <c r="I7567" s="19"/>
      <c r="J7567" s="17" t="s">
        <v>82</v>
      </c>
      <c r="K7567" s="19">
        <v>455</v>
      </c>
      <c r="L7567" s="19">
        <v>105</v>
      </c>
      <c r="M7567" s="19">
        <v>2250</v>
      </c>
      <c r="N7567" s="19" t="s">
        <v>66</v>
      </c>
      <c r="O7567" s="19" t="s">
        <v>67</v>
      </c>
      <c r="P7567" s="19">
        <v>1688</v>
      </c>
      <c r="Q7567" s="19">
        <f>867+868</f>
        <v>1735</v>
      </c>
      <c r="R7567" s="99">
        <f t="shared" si="325"/>
        <v>-47</v>
      </c>
      <c r="S7567" s="311">
        <v>800</v>
      </c>
      <c r="T7567" s="19" t="s">
        <v>42</v>
      </c>
      <c r="U7567" s="102" t="s">
        <v>68</v>
      </c>
      <c r="V7567" s="186">
        <v>46148</v>
      </c>
      <c r="W7567" s="17" t="s">
        <v>69</v>
      </c>
      <c r="X7567" s="17"/>
      <c r="Y7567" s="68">
        <v>46174</v>
      </c>
      <c r="Z7567" s="17" t="s">
        <v>70</v>
      </c>
      <c r="AA7567" s="17" t="s">
        <v>46</v>
      </c>
      <c r="AB7567" s="17" t="s">
        <v>68</v>
      </c>
      <c r="AC7567" s="217">
        <v>46223</v>
      </c>
      <c r="AD7567" s="65">
        <v>1845</v>
      </c>
      <c r="AE7567" s="17" t="s">
        <v>74</v>
      </c>
      <c r="AF7567" s="17"/>
      <c r="AG7567" s="17"/>
      <c r="AH7567" s="17"/>
      <c r="AI7567" s="17"/>
      <c r="AJ7567" s="17"/>
      <c r="AK7567" s="17"/>
      <c r="AL7567" s="17"/>
      <c r="AM7567" s="17"/>
      <c r="AN7567" s="17"/>
      <c r="AO7567" s="17"/>
      <c r="AP7567" s="17"/>
      <c r="AQ7567" s="17"/>
      <c r="AR7567" s="17"/>
    </row>
    <row r="7568" s="25" customFormat="1" ht="15.6" hidden="1" spans="1:44">
      <c r="A7568" s="17" t="s">
        <v>34</v>
      </c>
      <c r="B7568" s="19">
        <v>1114</v>
      </c>
      <c r="C7568" s="183">
        <v>46143</v>
      </c>
      <c r="D7568" s="17" t="s">
        <v>63</v>
      </c>
      <c r="E7568" s="17" t="s">
        <v>64</v>
      </c>
      <c r="F7568" s="17" t="s">
        <v>54</v>
      </c>
      <c r="G7568" s="17"/>
      <c r="H7568" s="19">
        <v>1.2311</v>
      </c>
      <c r="I7568" s="19"/>
      <c r="J7568" s="17" t="s">
        <v>82</v>
      </c>
      <c r="K7568" s="19">
        <v>505</v>
      </c>
      <c r="L7568" s="19">
        <v>105</v>
      </c>
      <c r="M7568" s="19">
        <v>2250</v>
      </c>
      <c r="N7568" s="19" t="s">
        <v>66</v>
      </c>
      <c r="O7568" s="19" t="s">
        <v>67</v>
      </c>
      <c r="P7568" s="19">
        <v>1873</v>
      </c>
      <c r="Q7568" s="19">
        <f>959+956</f>
        <v>1915</v>
      </c>
      <c r="R7568" s="99">
        <f t="shared" si="325"/>
        <v>-42</v>
      </c>
      <c r="S7568" s="311">
        <v>800</v>
      </c>
      <c r="T7568" s="19" t="s">
        <v>42</v>
      </c>
      <c r="U7568" s="102" t="s">
        <v>68</v>
      </c>
      <c r="V7568" s="186">
        <v>46148</v>
      </c>
      <c r="W7568" s="17" t="s">
        <v>69</v>
      </c>
      <c r="X7568" s="17"/>
      <c r="Y7568" s="68">
        <v>46174</v>
      </c>
      <c r="Z7568" s="17" t="s">
        <v>70</v>
      </c>
      <c r="AA7568" s="17" t="s">
        <v>46</v>
      </c>
      <c r="AB7568" s="17" t="s">
        <v>68</v>
      </c>
      <c r="AC7568" s="217">
        <v>46223</v>
      </c>
      <c r="AD7568" s="65">
        <v>1845</v>
      </c>
      <c r="AE7568" s="17" t="s">
        <v>74</v>
      </c>
      <c r="AF7568" s="17"/>
      <c r="AG7568" s="17"/>
      <c r="AH7568" s="17"/>
      <c r="AI7568" s="17"/>
      <c r="AJ7568" s="17"/>
      <c r="AK7568" s="17"/>
      <c r="AL7568" s="17"/>
      <c r="AM7568" s="17"/>
      <c r="AN7568" s="17"/>
      <c r="AO7568" s="17"/>
      <c r="AP7568" s="17"/>
      <c r="AQ7568" s="17"/>
      <c r="AR7568" s="17"/>
    </row>
    <row r="7569" s="25" customFormat="1" hidden="1" spans="1:45">
      <c r="A7569" s="17" t="s">
        <v>34</v>
      </c>
      <c r="B7569" s="19">
        <v>1121</v>
      </c>
      <c r="C7569" s="183">
        <v>46182</v>
      </c>
      <c r="D7569" s="17" t="s">
        <v>52</v>
      </c>
      <c r="E7569" s="17" t="s">
        <v>119</v>
      </c>
      <c r="F7569" s="17" t="s">
        <v>54</v>
      </c>
      <c r="G7569" s="17"/>
      <c r="H7569" s="19">
        <v>1.2085</v>
      </c>
      <c r="I7569" s="19"/>
      <c r="J7569" s="17" t="s">
        <v>49</v>
      </c>
      <c r="K7569" s="19">
        <v>2025</v>
      </c>
      <c r="L7569" s="129">
        <v>30</v>
      </c>
      <c r="M7569" s="93">
        <v>3510</v>
      </c>
      <c r="N7569" s="19" t="s">
        <v>66</v>
      </c>
      <c r="O7569" s="19" t="s">
        <v>67</v>
      </c>
      <c r="P7569" s="19">
        <v>1814</v>
      </c>
      <c r="Q7569" s="19">
        <v>2030</v>
      </c>
      <c r="R7569" s="19">
        <f t="shared" si="325"/>
        <v>-216</v>
      </c>
      <c r="S7569" s="19">
        <v>1760</v>
      </c>
      <c r="T7569" s="19" t="s">
        <v>42</v>
      </c>
      <c r="U7569" s="102" t="s">
        <v>1739</v>
      </c>
      <c r="V7569" s="186">
        <v>46182</v>
      </c>
      <c r="W7569" s="17" t="s">
        <v>44</v>
      </c>
      <c r="X7569" s="17"/>
      <c r="Y7569" s="68">
        <v>46174</v>
      </c>
      <c r="Z7569" s="17" t="s">
        <v>45</v>
      </c>
      <c r="AA7569" s="17" t="s">
        <v>46</v>
      </c>
      <c r="AB7569" s="17" t="s">
        <v>1740</v>
      </c>
      <c r="AC7569" s="217">
        <v>46197</v>
      </c>
      <c r="AD7569" s="65">
        <v>1825</v>
      </c>
      <c r="AE7569" s="17" t="s">
        <v>48</v>
      </c>
      <c r="AF7569" s="17" t="s">
        <v>61</v>
      </c>
      <c r="AG7569" s="17" t="s">
        <v>126</v>
      </c>
      <c r="AH7569" s="17"/>
      <c r="AI7569" s="17"/>
      <c r="AJ7569" s="17"/>
      <c r="AK7569" s="17"/>
      <c r="AL7569" s="17"/>
      <c r="AM7569" s="17"/>
      <c r="AN7569" s="17"/>
      <c r="AO7569" s="17"/>
      <c r="AP7569" s="17"/>
      <c r="AQ7569" s="17"/>
      <c r="AR7569" s="17"/>
      <c r="AS7569" s="17"/>
    </row>
    <row r="7570" s="25" customFormat="1" hidden="1" spans="1:45">
      <c r="A7570" s="17" t="s">
        <v>34</v>
      </c>
      <c r="B7570" s="19">
        <v>1121</v>
      </c>
      <c r="C7570" s="183">
        <v>46182</v>
      </c>
      <c r="D7570" s="17" t="s">
        <v>52</v>
      </c>
      <c r="E7570" s="17" t="s">
        <v>119</v>
      </c>
      <c r="F7570" s="17" t="s">
        <v>54</v>
      </c>
      <c r="G7570" s="17"/>
      <c r="H7570" s="19">
        <v>1.2085</v>
      </c>
      <c r="I7570" s="19"/>
      <c r="J7570" s="17" t="s">
        <v>49</v>
      </c>
      <c r="K7570" s="93">
        <v>2130</v>
      </c>
      <c r="L7570" s="129">
        <v>37</v>
      </c>
      <c r="M7570" s="93">
        <v>6780</v>
      </c>
      <c r="N7570" s="19" t="s">
        <v>66</v>
      </c>
      <c r="O7570" s="19" t="s">
        <v>67</v>
      </c>
      <c r="P7570" s="19">
        <v>4070</v>
      </c>
      <c r="Q7570" s="19">
        <f>1780+1782</f>
        <v>3562</v>
      </c>
      <c r="R7570" s="19">
        <f t="shared" si="325"/>
        <v>508</v>
      </c>
      <c r="S7570" s="19">
        <v>1760</v>
      </c>
      <c r="T7570" s="19" t="s">
        <v>42</v>
      </c>
      <c r="U7570" s="102" t="s">
        <v>1739</v>
      </c>
      <c r="V7570" s="186">
        <v>46182</v>
      </c>
      <c r="W7570" s="17" t="s">
        <v>44</v>
      </c>
      <c r="X7570" s="17"/>
      <c r="Y7570" s="68">
        <v>46174</v>
      </c>
      <c r="Z7570" s="17" t="s">
        <v>45</v>
      </c>
      <c r="AA7570" s="17" t="s">
        <v>46</v>
      </c>
      <c r="AB7570" s="17" t="s">
        <v>1740</v>
      </c>
      <c r="AC7570" s="217">
        <v>46197</v>
      </c>
      <c r="AD7570" s="65">
        <v>1825</v>
      </c>
      <c r="AE7570" s="17" t="s">
        <v>48</v>
      </c>
      <c r="AF7570" s="17" t="s">
        <v>61</v>
      </c>
      <c r="AG7570" s="17" t="s">
        <v>126</v>
      </c>
      <c r="AH7570" s="17"/>
      <c r="AI7570" s="17"/>
      <c r="AJ7570" s="17"/>
      <c r="AK7570" s="17"/>
      <c r="AL7570" s="17"/>
      <c r="AM7570" s="17"/>
      <c r="AN7570" s="17"/>
      <c r="AO7570" s="17"/>
      <c r="AP7570" s="17"/>
      <c r="AQ7570" s="17"/>
      <c r="AR7570" s="17"/>
      <c r="AS7570" s="17"/>
    </row>
    <row r="7571" s="25" customFormat="1" hidden="1" spans="1:45">
      <c r="A7571" s="17" t="s">
        <v>34</v>
      </c>
      <c r="B7571" s="19">
        <v>1121</v>
      </c>
      <c r="C7571" s="183">
        <v>46182</v>
      </c>
      <c r="D7571" s="17" t="s">
        <v>52</v>
      </c>
      <c r="E7571" s="17" t="s">
        <v>119</v>
      </c>
      <c r="F7571" s="17" t="s">
        <v>54</v>
      </c>
      <c r="G7571" s="17"/>
      <c r="H7571" s="19">
        <v>1.2085</v>
      </c>
      <c r="I7571" s="19"/>
      <c r="J7571" s="17" t="s">
        <v>49</v>
      </c>
      <c r="K7571" s="93">
        <v>2210</v>
      </c>
      <c r="L7571" s="129">
        <v>40</v>
      </c>
      <c r="M7571" s="93">
        <v>5890</v>
      </c>
      <c r="N7571" s="19" t="s">
        <v>66</v>
      </c>
      <c r="O7571" s="19" t="s">
        <v>67</v>
      </c>
      <c r="P7571" s="19">
        <v>4040</v>
      </c>
      <c r="Q7571" s="19">
        <v>1810</v>
      </c>
      <c r="R7571" s="19">
        <f t="shared" si="325"/>
        <v>2230</v>
      </c>
      <c r="S7571" s="19">
        <v>1760</v>
      </c>
      <c r="T7571" s="19" t="s">
        <v>42</v>
      </c>
      <c r="U7571" s="102" t="s">
        <v>1739</v>
      </c>
      <c r="V7571" s="186">
        <v>46182</v>
      </c>
      <c r="W7571" s="17" t="s">
        <v>44</v>
      </c>
      <c r="X7571" s="17"/>
      <c r="Y7571" s="68">
        <v>46174</v>
      </c>
      <c r="Z7571" s="17" t="s">
        <v>45</v>
      </c>
      <c r="AA7571" s="17" t="s">
        <v>46</v>
      </c>
      <c r="AB7571" s="17" t="s">
        <v>1740</v>
      </c>
      <c r="AC7571" s="217">
        <v>46197</v>
      </c>
      <c r="AD7571" s="65">
        <v>1825</v>
      </c>
      <c r="AE7571" s="17" t="s">
        <v>48</v>
      </c>
      <c r="AF7571" s="17" t="s">
        <v>61</v>
      </c>
      <c r="AG7571" s="17" t="s">
        <v>126</v>
      </c>
      <c r="AH7571" s="17"/>
      <c r="AI7571" s="17"/>
      <c r="AJ7571" s="17"/>
      <c r="AK7571" s="17"/>
      <c r="AL7571" s="17"/>
      <c r="AM7571" s="17"/>
      <c r="AN7571" s="17"/>
      <c r="AO7571" s="17"/>
      <c r="AP7571" s="17"/>
      <c r="AQ7571" s="17"/>
      <c r="AR7571" s="17"/>
      <c r="AS7571" s="17"/>
    </row>
    <row r="7572" s="25" customFormat="1" hidden="1" spans="1:45">
      <c r="A7572" s="17" t="s">
        <v>34</v>
      </c>
      <c r="B7572" s="19">
        <v>1121</v>
      </c>
      <c r="C7572" s="183">
        <v>46182</v>
      </c>
      <c r="D7572" s="17" t="s">
        <v>52</v>
      </c>
      <c r="E7572" s="17" t="s">
        <v>119</v>
      </c>
      <c r="F7572" s="17" t="s">
        <v>54</v>
      </c>
      <c r="G7572" s="17"/>
      <c r="H7572" s="19">
        <v>1.2085</v>
      </c>
      <c r="I7572" s="19"/>
      <c r="J7572" s="17" t="s">
        <v>49</v>
      </c>
      <c r="K7572" s="93">
        <v>2130</v>
      </c>
      <c r="L7572" s="129">
        <v>47</v>
      </c>
      <c r="M7572" s="93">
        <v>5060</v>
      </c>
      <c r="N7572" s="19" t="s">
        <v>66</v>
      </c>
      <c r="O7572" s="19" t="s">
        <v>67</v>
      </c>
      <c r="P7572" s="19">
        <v>3890</v>
      </c>
      <c r="Q7572" s="19">
        <f>1932+1910</f>
        <v>3842</v>
      </c>
      <c r="R7572" s="19">
        <f t="shared" si="325"/>
        <v>48</v>
      </c>
      <c r="S7572" s="19">
        <v>1760</v>
      </c>
      <c r="T7572" s="19" t="s">
        <v>42</v>
      </c>
      <c r="U7572" s="102" t="s">
        <v>1739</v>
      </c>
      <c r="V7572" s="186">
        <v>46182</v>
      </c>
      <c r="W7572" s="17" t="s">
        <v>44</v>
      </c>
      <c r="X7572" s="17"/>
      <c r="Y7572" s="68">
        <v>46174</v>
      </c>
      <c r="Z7572" s="17" t="s">
        <v>45</v>
      </c>
      <c r="AA7572" s="17" t="s">
        <v>46</v>
      </c>
      <c r="AB7572" s="17" t="s">
        <v>1740</v>
      </c>
      <c r="AC7572" s="217">
        <v>46197</v>
      </c>
      <c r="AD7572" s="65">
        <v>1825</v>
      </c>
      <c r="AE7572" s="17" t="s">
        <v>48</v>
      </c>
      <c r="AF7572" s="17" t="s">
        <v>61</v>
      </c>
      <c r="AG7572" s="17" t="s">
        <v>126</v>
      </c>
      <c r="AH7572" s="17"/>
      <c r="AI7572" s="17"/>
      <c r="AJ7572" s="17"/>
      <c r="AK7572" s="17"/>
      <c r="AL7572" s="17"/>
      <c r="AM7572" s="17"/>
      <c r="AN7572" s="17"/>
      <c r="AO7572" s="17"/>
      <c r="AP7572" s="17"/>
      <c r="AQ7572" s="17"/>
      <c r="AR7572" s="17"/>
      <c r="AS7572" s="17"/>
    </row>
    <row r="7573" s="25" customFormat="1" hidden="1" spans="1:45">
      <c r="A7573" s="17" t="s">
        <v>34</v>
      </c>
      <c r="B7573" s="19">
        <v>1121</v>
      </c>
      <c r="C7573" s="183">
        <v>46182</v>
      </c>
      <c r="D7573" s="17" t="s">
        <v>52</v>
      </c>
      <c r="E7573" s="17" t="s">
        <v>119</v>
      </c>
      <c r="F7573" s="17" t="s">
        <v>54</v>
      </c>
      <c r="G7573" s="17"/>
      <c r="H7573" s="19">
        <v>1.2085</v>
      </c>
      <c r="I7573" s="19"/>
      <c r="J7573" s="17" t="s">
        <v>49</v>
      </c>
      <c r="K7573" s="93">
        <v>2230</v>
      </c>
      <c r="L7573" s="129">
        <v>51</v>
      </c>
      <c r="M7573" s="93">
        <v>5390</v>
      </c>
      <c r="N7573" s="19" t="s">
        <v>66</v>
      </c>
      <c r="O7573" s="19" t="s">
        <v>67</v>
      </c>
      <c r="P7573" s="19">
        <v>4650</v>
      </c>
      <c r="Q7573" s="19">
        <f>2870+3010</f>
        <v>5880</v>
      </c>
      <c r="R7573" s="19">
        <f t="shared" si="325"/>
        <v>-1230</v>
      </c>
      <c r="S7573" s="19">
        <v>1760</v>
      </c>
      <c r="T7573" s="19" t="s">
        <v>42</v>
      </c>
      <c r="U7573" s="102" t="s">
        <v>1739</v>
      </c>
      <c r="V7573" s="186">
        <v>46182</v>
      </c>
      <c r="W7573" s="17" t="s">
        <v>44</v>
      </c>
      <c r="X7573" s="17"/>
      <c r="Y7573" s="68">
        <v>46174</v>
      </c>
      <c r="Z7573" s="17" t="s">
        <v>45</v>
      </c>
      <c r="AA7573" s="17" t="s">
        <v>46</v>
      </c>
      <c r="AB7573" s="17" t="s">
        <v>1740</v>
      </c>
      <c r="AC7573" s="217">
        <v>46197</v>
      </c>
      <c r="AD7573" s="65">
        <v>1825</v>
      </c>
      <c r="AE7573" s="17" t="s">
        <v>48</v>
      </c>
      <c r="AF7573" s="17" t="s">
        <v>61</v>
      </c>
      <c r="AG7573" s="17" t="s">
        <v>126</v>
      </c>
      <c r="AH7573" s="17"/>
      <c r="AI7573" s="17"/>
      <c r="AJ7573" s="17"/>
      <c r="AK7573" s="17"/>
      <c r="AL7573" s="17"/>
      <c r="AM7573" s="17"/>
      <c r="AN7573" s="17"/>
      <c r="AO7573" s="17"/>
      <c r="AP7573" s="17"/>
      <c r="AQ7573" s="17"/>
      <c r="AR7573" s="17"/>
      <c r="AS7573" s="17"/>
    </row>
    <row r="7574" s="25" customFormat="1" hidden="1" spans="1:45">
      <c r="A7574" s="17" t="s">
        <v>34</v>
      </c>
      <c r="B7574" s="19">
        <v>1121</v>
      </c>
      <c r="C7574" s="183">
        <v>46182</v>
      </c>
      <c r="D7574" s="17" t="s">
        <v>52</v>
      </c>
      <c r="E7574" s="17" t="s">
        <v>119</v>
      </c>
      <c r="F7574" s="17" t="s">
        <v>54</v>
      </c>
      <c r="G7574" s="17"/>
      <c r="H7574" s="19">
        <v>1.2085</v>
      </c>
      <c r="I7574" s="19"/>
      <c r="J7574" s="17" t="s">
        <v>49</v>
      </c>
      <c r="K7574" s="93">
        <v>2130</v>
      </c>
      <c r="L7574" s="129">
        <v>57</v>
      </c>
      <c r="M7574" s="93">
        <v>5980</v>
      </c>
      <c r="N7574" s="19" t="s">
        <v>66</v>
      </c>
      <c r="O7574" s="19" t="s">
        <v>67</v>
      </c>
      <c r="P7574" s="19">
        <v>5630</v>
      </c>
      <c r="Q7574" s="19">
        <f>2742+2720</f>
        <v>5462</v>
      </c>
      <c r="R7574" s="19">
        <f t="shared" ref="R7574:R7583" si="326">+P7574-Q7574</f>
        <v>168</v>
      </c>
      <c r="S7574" s="19">
        <v>1760</v>
      </c>
      <c r="T7574" s="19" t="s">
        <v>42</v>
      </c>
      <c r="U7574" s="102" t="s">
        <v>1739</v>
      </c>
      <c r="V7574" s="186">
        <v>46182</v>
      </c>
      <c r="W7574" s="17" t="s">
        <v>44</v>
      </c>
      <c r="X7574" s="17"/>
      <c r="Y7574" s="68">
        <v>46174</v>
      </c>
      <c r="Z7574" s="17" t="s">
        <v>45</v>
      </c>
      <c r="AA7574" s="17" t="s">
        <v>46</v>
      </c>
      <c r="AB7574" s="17" t="s">
        <v>1740</v>
      </c>
      <c r="AC7574" s="217">
        <v>46197</v>
      </c>
      <c r="AD7574" s="65">
        <v>1825</v>
      </c>
      <c r="AE7574" s="17" t="s">
        <v>48</v>
      </c>
      <c r="AF7574" s="17" t="s">
        <v>61</v>
      </c>
      <c r="AG7574" s="17" t="s">
        <v>126</v>
      </c>
      <c r="AH7574" s="17"/>
      <c r="AI7574" s="17"/>
      <c r="AJ7574" s="17"/>
      <c r="AK7574" s="17"/>
      <c r="AL7574" s="17"/>
      <c r="AM7574" s="17"/>
      <c r="AN7574" s="17"/>
      <c r="AO7574" s="17"/>
      <c r="AP7574" s="17"/>
      <c r="AQ7574" s="17"/>
      <c r="AR7574" s="17"/>
      <c r="AS7574" s="17"/>
    </row>
    <row r="7575" s="25" customFormat="1" hidden="1" spans="1:45">
      <c r="A7575" s="17" t="s">
        <v>34</v>
      </c>
      <c r="B7575" s="19">
        <v>1121</v>
      </c>
      <c r="C7575" s="183">
        <v>46182</v>
      </c>
      <c r="D7575" s="17" t="s">
        <v>52</v>
      </c>
      <c r="E7575" s="17" t="s">
        <v>119</v>
      </c>
      <c r="F7575" s="17" t="s">
        <v>54</v>
      </c>
      <c r="G7575" s="17"/>
      <c r="H7575" s="19">
        <v>1.2085</v>
      </c>
      <c r="I7575" s="19"/>
      <c r="J7575" s="17" t="s">
        <v>49</v>
      </c>
      <c r="K7575" s="93">
        <v>2250</v>
      </c>
      <c r="L7575" s="129">
        <v>60</v>
      </c>
      <c r="M7575" s="93">
        <v>5080</v>
      </c>
      <c r="N7575" s="19" t="s">
        <v>66</v>
      </c>
      <c r="O7575" s="19" t="s">
        <v>67</v>
      </c>
      <c r="P7575" s="19">
        <v>5380</v>
      </c>
      <c r="Q7575" s="19">
        <f>2662+2650</f>
        <v>5312</v>
      </c>
      <c r="R7575" s="19">
        <f t="shared" si="326"/>
        <v>68</v>
      </c>
      <c r="S7575" s="19">
        <v>1760</v>
      </c>
      <c r="T7575" s="19" t="s">
        <v>42</v>
      </c>
      <c r="U7575" s="102" t="s">
        <v>1739</v>
      </c>
      <c r="V7575" s="186">
        <v>46182</v>
      </c>
      <c r="W7575" s="17" t="s">
        <v>44</v>
      </c>
      <c r="X7575" s="17"/>
      <c r="Y7575" s="68">
        <v>46174</v>
      </c>
      <c r="Z7575" s="17" t="s">
        <v>45</v>
      </c>
      <c r="AA7575" s="17" t="s">
        <v>46</v>
      </c>
      <c r="AB7575" s="17" t="s">
        <v>1740</v>
      </c>
      <c r="AC7575" s="217">
        <v>46197</v>
      </c>
      <c r="AD7575" s="65">
        <v>1825</v>
      </c>
      <c r="AE7575" s="17" t="s">
        <v>48</v>
      </c>
      <c r="AF7575" s="17" t="s">
        <v>61</v>
      </c>
      <c r="AG7575" s="17" t="s">
        <v>126</v>
      </c>
      <c r="AH7575" s="17"/>
      <c r="AI7575" s="17"/>
      <c r="AJ7575" s="17"/>
      <c r="AK7575" s="17"/>
      <c r="AL7575" s="17"/>
      <c r="AM7575" s="17"/>
      <c r="AN7575" s="17"/>
      <c r="AO7575" s="17"/>
      <c r="AP7575" s="17"/>
      <c r="AQ7575" s="17"/>
      <c r="AR7575" s="17"/>
      <c r="AS7575" s="17"/>
    </row>
    <row r="7576" s="25" customFormat="1" hidden="1" spans="1:45">
      <c r="A7576" s="17" t="s">
        <v>34</v>
      </c>
      <c r="B7576" s="19">
        <v>1121</v>
      </c>
      <c r="C7576" s="183">
        <v>46182</v>
      </c>
      <c r="D7576" s="17" t="s">
        <v>52</v>
      </c>
      <c r="E7576" s="17" t="s">
        <v>119</v>
      </c>
      <c r="F7576" s="17" t="s">
        <v>54</v>
      </c>
      <c r="G7576" s="17"/>
      <c r="H7576" s="19">
        <v>1.2085</v>
      </c>
      <c r="I7576" s="19"/>
      <c r="J7576" s="17" t="s">
        <v>49</v>
      </c>
      <c r="K7576" s="93">
        <v>2140</v>
      </c>
      <c r="L7576" s="129">
        <v>67</v>
      </c>
      <c r="M7576" s="93">
        <v>6280</v>
      </c>
      <c r="N7576" s="19" t="s">
        <v>66</v>
      </c>
      <c r="O7576" s="19" t="s">
        <v>67</v>
      </c>
      <c r="P7576" s="19">
        <v>6920</v>
      </c>
      <c r="Q7576" s="19">
        <v>5180</v>
      </c>
      <c r="R7576" s="19">
        <f t="shared" si="326"/>
        <v>1740</v>
      </c>
      <c r="S7576" s="19">
        <v>1760</v>
      </c>
      <c r="T7576" s="19" t="s">
        <v>42</v>
      </c>
      <c r="U7576" s="102" t="s">
        <v>1739</v>
      </c>
      <c r="V7576" s="186">
        <v>46182</v>
      </c>
      <c r="W7576" s="17" t="s">
        <v>44</v>
      </c>
      <c r="X7576" s="17"/>
      <c r="Y7576" s="68">
        <v>46174</v>
      </c>
      <c r="Z7576" s="17" t="s">
        <v>45</v>
      </c>
      <c r="AA7576" s="17" t="s">
        <v>46</v>
      </c>
      <c r="AB7576" s="17" t="s">
        <v>1740</v>
      </c>
      <c r="AC7576" s="217">
        <v>46197</v>
      </c>
      <c r="AD7576" s="65">
        <v>1825</v>
      </c>
      <c r="AE7576" s="17" t="s">
        <v>48</v>
      </c>
      <c r="AF7576" s="17" t="s">
        <v>61</v>
      </c>
      <c r="AG7576" s="17" t="s">
        <v>126</v>
      </c>
      <c r="AH7576" s="17"/>
      <c r="AI7576" s="17"/>
      <c r="AJ7576" s="17"/>
      <c r="AK7576" s="17"/>
      <c r="AL7576" s="17"/>
      <c r="AM7576" s="17"/>
      <c r="AN7576" s="17"/>
      <c r="AO7576" s="17"/>
      <c r="AP7576" s="17"/>
      <c r="AQ7576" s="17"/>
      <c r="AR7576" s="17"/>
      <c r="AS7576" s="17"/>
    </row>
    <row r="7577" s="25" customFormat="1" hidden="1" spans="1:45">
      <c r="A7577" s="17"/>
      <c r="B7577" s="19">
        <v>1121</v>
      </c>
      <c r="C7577" s="183">
        <v>46182</v>
      </c>
      <c r="D7577" s="17" t="s">
        <v>52</v>
      </c>
      <c r="E7577" s="17" t="s">
        <v>119</v>
      </c>
      <c r="F7577" s="17" t="s">
        <v>54</v>
      </c>
      <c r="G7577" s="17"/>
      <c r="H7577" s="19">
        <v>1.2085</v>
      </c>
      <c r="I7577" s="19"/>
      <c r="J7577" s="17" t="s">
        <v>49</v>
      </c>
      <c r="K7577" s="93">
        <v>1200</v>
      </c>
      <c r="L7577" s="129">
        <v>70</v>
      </c>
      <c r="M7577" s="93">
        <v>2030</v>
      </c>
      <c r="N7577" s="19" t="s">
        <v>66</v>
      </c>
      <c r="O7577" s="19" t="s">
        <v>67</v>
      </c>
      <c r="P7577" s="19">
        <v>1404</v>
      </c>
      <c r="Q7577" s="19"/>
      <c r="R7577" s="19">
        <f t="shared" si="326"/>
        <v>1404</v>
      </c>
      <c r="S7577" s="19">
        <v>1760</v>
      </c>
      <c r="T7577" s="19" t="s">
        <v>42</v>
      </c>
      <c r="U7577" s="102" t="s">
        <v>1739</v>
      </c>
      <c r="V7577" s="186">
        <v>46182</v>
      </c>
      <c r="W7577" s="17" t="s">
        <v>44</v>
      </c>
      <c r="X7577" s="17"/>
      <c r="Y7577" s="68">
        <v>46174</v>
      </c>
      <c r="Z7577" s="17" t="s">
        <v>45</v>
      </c>
      <c r="AA7577" s="17" t="s">
        <v>46</v>
      </c>
      <c r="AB7577" s="17"/>
      <c r="AC7577" s="102"/>
      <c r="AD7577" s="65"/>
      <c r="AE7577" s="17" t="s">
        <v>48</v>
      </c>
      <c r="AF7577" s="17" t="s">
        <v>61</v>
      </c>
      <c r="AG7577" s="17" t="s">
        <v>126</v>
      </c>
      <c r="AH7577" s="17" t="s">
        <v>1741</v>
      </c>
      <c r="AI7577" s="17"/>
      <c r="AJ7577" s="17"/>
      <c r="AK7577" s="17"/>
      <c r="AL7577" s="17"/>
      <c r="AM7577" s="17"/>
      <c r="AN7577" s="17"/>
      <c r="AO7577" s="17"/>
      <c r="AP7577" s="17"/>
      <c r="AQ7577" s="17"/>
      <c r="AR7577" s="17"/>
      <c r="AS7577" s="17"/>
    </row>
    <row r="7578" s="25" customFormat="1" hidden="1" spans="1:45">
      <c r="A7578" s="17" t="s">
        <v>34</v>
      </c>
      <c r="B7578" s="19">
        <v>1121</v>
      </c>
      <c r="C7578" s="183">
        <v>46182</v>
      </c>
      <c r="D7578" s="17" t="s">
        <v>52</v>
      </c>
      <c r="E7578" s="17" t="s">
        <v>119</v>
      </c>
      <c r="F7578" s="17" t="s">
        <v>54</v>
      </c>
      <c r="G7578" s="17"/>
      <c r="H7578" s="19">
        <v>1.2085</v>
      </c>
      <c r="I7578" s="19"/>
      <c r="J7578" s="17" t="s">
        <v>49</v>
      </c>
      <c r="K7578" s="93">
        <v>2030</v>
      </c>
      <c r="L7578" s="129">
        <v>75</v>
      </c>
      <c r="M7578" s="93">
        <v>2240</v>
      </c>
      <c r="N7578" s="19" t="s">
        <v>66</v>
      </c>
      <c r="O7578" s="19" t="s">
        <v>67</v>
      </c>
      <c r="P7578" s="19">
        <v>2770</v>
      </c>
      <c r="Q7578" s="19">
        <v>5980</v>
      </c>
      <c r="R7578" s="19">
        <f t="shared" si="326"/>
        <v>-3210</v>
      </c>
      <c r="S7578" s="19">
        <v>1760</v>
      </c>
      <c r="T7578" s="19" t="s">
        <v>42</v>
      </c>
      <c r="U7578" s="102" t="s">
        <v>1739</v>
      </c>
      <c r="V7578" s="186">
        <v>46182</v>
      </c>
      <c r="W7578" s="17" t="s">
        <v>44</v>
      </c>
      <c r="X7578" s="17"/>
      <c r="Y7578" s="68">
        <v>46174</v>
      </c>
      <c r="Z7578" s="17" t="s">
        <v>45</v>
      </c>
      <c r="AA7578" s="17" t="s">
        <v>46</v>
      </c>
      <c r="AB7578" s="17" t="s">
        <v>1740</v>
      </c>
      <c r="AC7578" s="217">
        <v>46197</v>
      </c>
      <c r="AD7578" s="65">
        <v>1825</v>
      </c>
      <c r="AE7578" s="17" t="s">
        <v>48</v>
      </c>
      <c r="AF7578" s="17" t="s">
        <v>61</v>
      </c>
      <c r="AG7578" s="17" t="s">
        <v>126</v>
      </c>
      <c r="AH7578" s="17"/>
      <c r="AI7578" s="17"/>
      <c r="AJ7578" s="17"/>
      <c r="AK7578" s="17"/>
      <c r="AL7578" s="17"/>
      <c r="AM7578" s="17"/>
      <c r="AN7578" s="17"/>
      <c r="AO7578" s="17"/>
      <c r="AP7578" s="17"/>
      <c r="AQ7578" s="17"/>
      <c r="AR7578" s="17"/>
      <c r="AS7578" s="17"/>
    </row>
    <row r="7579" s="25" customFormat="1" hidden="1" spans="1:45">
      <c r="A7579" s="17" t="s">
        <v>34</v>
      </c>
      <c r="B7579" s="19">
        <v>1121</v>
      </c>
      <c r="C7579" s="183">
        <v>46182</v>
      </c>
      <c r="D7579" s="17" t="s">
        <v>52</v>
      </c>
      <c r="E7579" s="17" t="s">
        <v>119</v>
      </c>
      <c r="F7579" s="17" t="s">
        <v>54</v>
      </c>
      <c r="G7579" s="17"/>
      <c r="H7579" s="19">
        <v>1.2085</v>
      </c>
      <c r="I7579" s="19"/>
      <c r="J7579" s="17" t="s">
        <v>49</v>
      </c>
      <c r="K7579" s="93">
        <v>2220</v>
      </c>
      <c r="L7579" s="129">
        <v>80</v>
      </c>
      <c r="M7579" s="93">
        <v>5600</v>
      </c>
      <c r="N7579" s="19" t="s">
        <v>66</v>
      </c>
      <c r="O7579" s="19" t="s">
        <v>67</v>
      </c>
      <c r="P7579" s="19">
        <v>7660</v>
      </c>
      <c r="Q7579" s="19">
        <f>3620+3770</f>
        <v>7390</v>
      </c>
      <c r="R7579" s="19">
        <f t="shared" si="326"/>
        <v>270</v>
      </c>
      <c r="S7579" s="19">
        <v>1760</v>
      </c>
      <c r="T7579" s="19" t="s">
        <v>42</v>
      </c>
      <c r="U7579" s="102" t="s">
        <v>1739</v>
      </c>
      <c r="V7579" s="186">
        <v>46182</v>
      </c>
      <c r="W7579" s="17" t="s">
        <v>44</v>
      </c>
      <c r="X7579" s="17"/>
      <c r="Y7579" s="68">
        <v>46174</v>
      </c>
      <c r="Z7579" s="17" t="s">
        <v>45</v>
      </c>
      <c r="AA7579" s="17" t="s">
        <v>46</v>
      </c>
      <c r="AB7579" s="17" t="s">
        <v>1740</v>
      </c>
      <c r="AC7579" s="217">
        <v>46197</v>
      </c>
      <c r="AD7579" s="65">
        <v>1825</v>
      </c>
      <c r="AE7579" s="17" t="s">
        <v>48</v>
      </c>
      <c r="AF7579" s="17" t="s">
        <v>61</v>
      </c>
      <c r="AG7579" s="17" t="s">
        <v>126</v>
      </c>
      <c r="AH7579" s="17"/>
      <c r="AI7579" s="17"/>
      <c r="AJ7579" s="17"/>
      <c r="AK7579" s="17"/>
      <c r="AL7579" s="17"/>
      <c r="AM7579" s="17"/>
      <c r="AN7579" s="17"/>
      <c r="AO7579" s="17"/>
      <c r="AP7579" s="17"/>
      <c r="AQ7579" s="17"/>
      <c r="AR7579" s="17"/>
      <c r="AS7579" s="17"/>
    </row>
    <row r="7580" s="25" customFormat="1" hidden="1" spans="1:45">
      <c r="A7580" s="17" t="s">
        <v>34</v>
      </c>
      <c r="B7580" s="19">
        <v>1121</v>
      </c>
      <c r="C7580" s="183">
        <v>46182</v>
      </c>
      <c r="D7580" s="17" t="s">
        <v>52</v>
      </c>
      <c r="E7580" s="17" t="s">
        <v>119</v>
      </c>
      <c r="F7580" s="17" t="s">
        <v>54</v>
      </c>
      <c r="G7580" s="17"/>
      <c r="H7580" s="19">
        <v>1.2085</v>
      </c>
      <c r="I7580" s="19"/>
      <c r="J7580" s="17" t="s">
        <v>49</v>
      </c>
      <c r="K7580" s="19">
        <v>2030</v>
      </c>
      <c r="L7580" s="143">
        <v>93</v>
      </c>
      <c r="M7580" s="19">
        <v>2810</v>
      </c>
      <c r="N7580" s="19" t="s">
        <v>66</v>
      </c>
      <c r="O7580" s="19" t="s">
        <v>67</v>
      </c>
      <c r="P7580" s="19">
        <v>4260</v>
      </c>
      <c r="Q7580" s="19">
        <v>3250</v>
      </c>
      <c r="R7580" s="19">
        <f t="shared" si="326"/>
        <v>1010</v>
      </c>
      <c r="S7580" s="19">
        <v>1760</v>
      </c>
      <c r="T7580" s="19" t="s">
        <v>42</v>
      </c>
      <c r="U7580" s="102" t="s">
        <v>1739</v>
      </c>
      <c r="V7580" s="186">
        <v>46182</v>
      </c>
      <c r="W7580" s="17" t="s">
        <v>44</v>
      </c>
      <c r="X7580" s="17"/>
      <c r="Y7580" s="68">
        <v>46174</v>
      </c>
      <c r="Z7580" s="17" t="s">
        <v>45</v>
      </c>
      <c r="AA7580" s="17" t="s">
        <v>46</v>
      </c>
      <c r="AB7580" s="17" t="s">
        <v>1740</v>
      </c>
      <c r="AC7580" s="217">
        <v>46197</v>
      </c>
      <c r="AD7580" s="65">
        <v>1825</v>
      </c>
      <c r="AE7580" s="17" t="s">
        <v>48</v>
      </c>
      <c r="AF7580" s="17" t="s">
        <v>61</v>
      </c>
      <c r="AG7580" s="17" t="s">
        <v>126</v>
      </c>
      <c r="AH7580" s="17"/>
      <c r="AI7580" s="17"/>
      <c r="AJ7580" s="17"/>
      <c r="AK7580" s="17"/>
      <c r="AL7580" s="17"/>
      <c r="AM7580" s="17"/>
      <c r="AN7580" s="17"/>
      <c r="AO7580" s="17"/>
      <c r="AP7580" s="17"/>
      <c r="AQ7580" s="17"/>
      <c r="AR7580" s="17"/>
      <c r="AS7580" s="17"/>
    </row>
    <row r="7581" s="25" customFormat="1" hidden="1" spans="1:45">
      <c r="A7581" s="17"/>
      <c r="B7581" s="19">
        <v>1121</v>
      </c>
      <c r="C7581" s="183">
        <v>46182</v>
      </c>
      <c r="D7581" s="17" t="s">
        <v>52</v>
      </c>
      <c r="E7581" s="17" t="s">
        <v>119</v>
      </c>
      <c r="F7581" s="17" t="s">
        <v>54</v>
      </c>
      <c r="G7581" s="17"/>
      <c r="H7581" s="19">
        <v>1.2085</v>
      </c>
      <c r="I7581" s="19"/>
      <c r="J7581" s="17" t="s">
        <v>49</v>
      </c>
      <c r="K7581" s="19">
        <v>2000</v>
      </c>
      <c r="L7581" s="91">
        <v>20</v>
      </c>
      <c r="M7581" s="19">
        <v>2500</v>
      </c>
      <c r="N7581" s="19" t="s">
        <v>66</v>
      </c>
      <c r="O7581" s="19" t="s">
        <v>67</v>
      </c>
      <c r="P7581" s="19">
        <v>785</v>
      </c>
      <c r="Q7581" s="19"/>
      <c r="R7581" s="19">
        <f t="shared" si="326"/>
        <v>785</v>
      </c>
      <c r="S7581" s="19">
        <v>1760</v>
      </c>
      <c r="T7581" s="19" t="s">
        <v>42</v>
      </c>
      <c r="U7581" s="102" t="s">
        <v>1739</v>
      </c>
      <c r="V7581" s="186">
        <v>46182</v>
      </c>
      <c r="W7581" s="17" t="s">
        <v>44</v>
      </c>
      <c r="X7581" s="17"/>
      <c r="Y7581" s="68">
        <v>46174</v>
      </c>
      <c r="Z7581" s="17" t="s">
        <v>45</v>
      </c>
      <c r="AA7581" s="17" t="s">
        <v>46</v>
      </c>
      <c r="AB7581" s="17"/>
      <c r="AC7581" s="102"/>
      <c r="AD7581" s="65"/>
      <c r="AE7581" s="17" t="s">
        <v>48</v>
      </c>
      <c r="AF7581" s="17" t="s">
        <v>61</v>
      </c>
      <c r="AG7581" s="17" t="s">
        <v>125</v>
      </c>
      <c r="AH7581" s="17" t="s">
        <v>1741</v>
      </c>
      <c r="AI7581" s="17"/>
      <c r="AJ7581" s="17"/>
      <c r="AK7581" s="17"/>
      <c r="AL7581" s="17"/>
      <c r="AM7581" s="17"/>
      <c r="AN7581" s="17"/>
      <c r="AO7581" s="17"/>
      <c r="AP7581" s="17"/>
      <c r="AQ7581" s="17"/>
      <c r="AR7581" s="17"/>
      <c r="AS7581" s="17"/>
    </row>
    <row r="7582" s="25" customFormat="1" hidden="1" spans="1:45">
      <c r="A7582" s="17"/>
      <c r="B7582" s="19">
        <v>1121</v>
      </c>
      <c r="C7582" s="183">
        <v>46182</v>
      </c>
      <c r="D7582" s="17" t="s">
        <v>52</v>
      </c>
      <c r="E7582" s="17" t="s">
        <v>119</v>
      </c>
      <c r="F7582" s="17" t="s">
        <v>54</v>
      </c>
      <c r="G7582" s="17"/>
      <c r="H7582" s="19">
        <v>1.2085</v>
      </c>
      <c r="I7582" s="19"/>
      <c r="J7582" s="17" t="s">
        <v>49</v>
      </c>
      <c r="K7582" s="19">
        <v>2000</v>
      </c>
      <c r="L7582" s="91">
        <v>85</v>
      </c>
      <c r="M7582" s="19">
        <v>2500</v>
      </c>
      <c r="N7582" s="19" t="s">
        <v>66</v>
      </c>
      <c r="O7582" s="19" t="s">
        <v>67</v>
      </c>
      <c r="P7582" s="19">
        <v>3336</v>
      </c>
      <c r="Q7582" s="19"/>
      <c r="R7582" s="19">
        <f t="shared" si="326"/>
        <v>3336</v>
      </c>
      <c r="S7582" s="19">
        <v>1760</v>
      </c>
      <c r="T7582" s="19" t="s">
        <v>42</v>
      </c>
      <c r="U7582" s="102" t="s">
        <v>1739</v>
      </c>
      <c r="V7582" s="186">
        <v>46182</v>
      </c>
      <c r="W7582" s="17" t="s">
        <v>44</v>
      </c>
      <c r="X7582" s="17"/>
      <c r="Y7582" s="68">
        <v>46174</v>
      </c>
      <c r="Z7582" s="17" t="s">
        <v>45</v>
      </c>
      <c r="AA7582" s="17" t="s">
        <v>46</v>
      </c>
      <c r="AB7582" s="17"/>
      <c r="AC7582" s="102"/>
      <c r="AD7582" s="65"/>
      <c r="AE7582" s="17" t="s">
        <v>48</v>
      </c>
      <c r="AF7582" s="17" t="s">
        <v>61</v>
      </c>
      <c r="AG7582" s="17" t="s">
        <v>125</v>
      </c>
      <c r="AH7582" s="17" t="s">
        <v>1741</v>
      </c>
      <c r="AI7582" s="17"/>
      <c r="AJ7582" s="17"/>
      <c r="AK7582" s="17"/>
      <c r="AL7582" s="17"/>
      <c r="AM7582" s="17"/>
      <c r="AN7582" s="17"/>
      <c r="AO7582" s="17"/>
      <c r="AP7582" s="17"/>
      <c r="AQ7582" s="17"/>
      <c r="AR7582" s="17"/>
      <c r="AS7582" s="17"/>
    </row>
    <row r="7583" s="25" customFormat="1" hidden="1" spans="1:45">
      <c r="A7583" s="17" t="s">
        <v>34</v>
      </c>
      <c r="B7583" s="19">
        <v>1121</v>
      </c>
      <c r="C7583" s="183">
        <v>46182</v>
      </c>
      <c r="D7583" s="17" t="s">
        <v>52</v>
      </c>
      <c r="E7583" s="17" t="s">
        <v>119</v>
      </c>
      <c r="F7583" s="17" t="s">
        <v>54</v>
      </c>
      <c r="G7583" s="17"/>
      <c r="H7583" s="19">
        <v>1.2085</v>
      </c>
      <c r="I7583" s="19"/>
      <c r="J7583" s="17" t="s">
        <v>49</v>
      </c>
      <c r="K7583" s="19">
        <v>2000</v>
      </c>
      <c r="L7583" s="91">
        <v>100</v>
      </c>
      <c r="M7583" s="19">
        <v>2500</v>
      </c>
      <c r="N7583" s="19" t="s">
        <v>66</v>
      </c>
      <c r="O7583" s="19" t="s">
        <v>67</v>
      </c>
      <c r="P7583" s="19">
        <v>3925</v>
      </c>
      <c r="Q7583" s="19">
        <v>3962</v>
      </c>
      <c r="R7583" s="19">
        <f t="shared" si="326"/>
        <v>-37</v>
      </c>
      <c r="S7583" s="19">
        <v>1760</v>
      </c>
      <c r="T7583" s="19" t="s">
        <v>42</v>
      </c>
      <c r="U7583" s="102" t="s">
        <v>1739</v>
      </c>
      <c r="V7583" s="186">
        <v>46182</v>
      </c>
      <c r="W7583" s="17" t="s">
        <v>44</v>
      </c>
      <c r="X7583" s="17"/>
      <c r="Y7583" s="68">
        <v>46174</v>
      </c>
      <c r="Z7583" s="17" t="s">
        <v>45</v>
      </c>
      <c r="AA7583" s="17" t="s">
        <v>46</v>
      </c>
      <c r="AB7583" s="17" t="s">
        <v>1740</v>
      </c>
      <c r="AC7583" s="217">
        <v>46197</v>
      </c>
      <c r="AD7583" s="65">
        <v>1825</v>
      </c>
      <c r="AE7583" s="17" t="s">
        <v>48</v>
      </c>
      <c r="AF7583" s="17" t="s">
        <v>61</v>
      </c>
      <c r="AG7583" s="17" t="s">
        <v>125</v>
      </c>
      <c r="AH7583" s="17"/>
      <c r="AI7583" s="17"/>
      <c r="AJ7583" s="17"/>
      <c r="AK7583" s="17"/>
      <c r="AL7583" s="17"/>
      <c r="AM7583" s="17"/>
      <c r="AN7583" s="17"/>
      <c r="AO7583" s="17"/>
      <c r="AP7583" s="17"/>
      <c r="AQ7583" s="17"/>
      <c r="AR7583" s="17"/>
      <c r="AS7583" s="17"/>
    </row>
    <row r="7584" s="25" customFormat="1" hidden="1" spans="1:45">
      <c r="A7584" s="17" t="s">
        <v>34</v>
      </c>
      <c r="B7584" s="19">
        <v>1115</v>
      </c>
      <c r="C7584" s="183">
        <v>46150</v>
      </c>
      <c r="D7584" s="17" t="s">
        <v>52</v>
      </c>
      <c r="E7584" s="17" t="s">
        <v>53</v>
      </c>
      <c r="F7584" s="17" t="s">
        <v>54</v>
      </c>
      <c r="G7584" s="17"/>
      <c r="H7584" s="19">
        <v>1.2379</v>
      </c>
      <c r="I7584" s="19" t="s">
        <v>1742</v>
      </c>
      <c r="J7584" s="17" t="s">
        <v>39</v>
      </c>
      <c r="K7584" s="19">
        <v>83</v>
      </c>
      <c r="L7584" s="91"/>
      <c r="M7584" s="19">
        <v>4700</v>
      </c>
      <c r="N7584" s="19" t="s">
        <v>40</v>
      </c>
      <c r="O7584" s="19" t="s">
        <v>50</v>
      </c>
      <c r="P7584" s="19">
        <v>11000</v>
      </c>
      <c r="Q7584" s="19">
        <f>1816+2010+1566+2392+1996+1464</f>
        <v>11244</v>
      </c>
      <c r="R7584" s="19">
        <f t="shared" ref="R7584:R7591" si="327">+P7584-Q7584</f>
        <v>-244</v>
      </c>
      <c r="S7584" s="19">
        <v>2075</v>
      </c>
      <c r="T7584" s="19" t="s">
        <v>42</v>
      </c>
      <c r="U7584" s="102" t="s">
        <v>1743</v>
      </c>
      <c r="V7584" s="186">
        <v>46155</v>
      </c>
      <c r="W7584" s="17" t="s">
        <v>58</v>
      </c>
      <c r="X7584" s="17"/>
      <c r="Y7584" s="68">
        <v>46204</v>
      </c>
      <c r="Z7584" s="17" t="s">
        <v>45</v>
      </c>
      <c r="AA7584" s="17" t="s">
        <v>46</v>
      </c>
      <c r="AB7584" s="17" t="s">
        <v>1744</v>
      </c>
      <c r="AC7584" s="217">
        <v>46232</v>
      </c>
      <c r="AD7584" s="65">
        <v>1842</v>
      </c>
      <c r="AE7584" s="17" t="s">
        <v>48</v>
      </c>
      <c r="AF7584" s="17" t="s">
        <v>560</v>
      </c>
      <c r="AG7584" s="17"/>
      <c r="AI7584" s="17"/>
      <c r="AJ7584" s="17"/>
      <c r="AK7584" s="17"/>
      <c r="AL7584" s="17"/>
      <c r="AM7584" s="17"/>
      <c r="AN7584" s="17"/>
      <c r="AO7584" s="17"/>
      <c r="AP7584" s="17"/>
      <c r="AQ7584" s="17"/>
      <c r="AR7584" s="17"/>
      <c r="AS7584" s="17"/>
    </row>
    <row r="7585" s="25" customFormat="1" hidden="1" spans="1:45">
      <c r="A7585" s="17" t="s">
        <v>34</v>
      </c>
      <c r="B7585" s="19">
        <v>1115</v>
      </c>
      <c r="C7585" s="183">
        <v>46150</v>
      </c>
      <c r="D7585" s="17" t="s">
        <v>52</v>
      </c>
      <c r="E7585" s="17" t="s">
        <v>53</v>
      </c>
      <c r="F7585" s="17" t="s">
        <v>54</v>
      </c>
      <c r="G7585" s="17"/>
      <c r="H7585" s="19">
        <v>1.2379</v>
      </c>
      <c r="I7585" s="19" t="s">
        <v>1742</v>
      </c>
      <c r="J7585" s="17" t="s">
        <v>39</v>
      </c>
      <c r="K7585" s="19">
        <v>100</v>
      </c>
      <c r="L7585" s="91"/>
      <c r="M7585" s="19">
        <v>4500</v>
      </c>
      <c r="N7585" s="19" t="s">
        <v>40</v>
      </c>
      <c r="O7585" s="19" t="s">
        <v>50</v>
      </c>
      <c r="P7585" s="19">
        <v>1000</v>
      </c>
      <c r="Q7585" s="19">
        <v>1372</v>
      </c>
      <c r="R7585" s="19">
        <f t="shared" si="327"/>
        <v>-372</v>
      </c>
      <c r="S7585" s="19">
        <v>2075</v>
      </c>
      <c r="T7585" s="19" t="s">
        <v>42</v>
      </c>
      <c r="U7585" s="102" t="s">
        <v>1743</v>
      </c>
      <c r="V7585" s="186">
        <v>46155</v>
      </c>
      <c r="W7585" s="17" t="s">
        <v>58</v>
      </c>
      <c r="X7585" s="17"/>
      <c r="Y7585" s="68">
        <v>46204</v>
      </c>
      <c r="Z7585" s="17" t="s">
        <v>45</v>
      </c>
      <c r="AA7585" s="17" t="s">
        <v>46</v>
      </c>
      <c r="AB7585" s="17" t="s">
        <v>1744</v>
      </c>
      <c r="AC7585" s="217">
        <v>46232</v>
      </c>
      <c r="AD7585" s="65">
        <v>1842</v>
      </c>
      <c r="AE7585" s="17" t="s">
        <v>48</v>
      </c>
      <c r="AF7585" s="17" t="s">
        <v>560</v>
      </c>
      <c r="AG7585" s="17"/>
      <c r="AI7585" s="17"/>
      <c r="AJ7585" s="17"/>
      <c r="AK7585" s="17"/>
      <c r="AL7585" s="17"/>
      <c r="AM7585" s="17"/>
      <c r="AN7585" s="17"/>
      <c r="AO7585" s="17"/>
      <c r="AP7585" s="17"/>
      <c r="AQ7585" s="17"/>
      <c r="AR7585" s="17"/>
      <c r="AS7585" s="17"/>
    </row>
    <row r="7586" s="25" customFormat="1" hidden="1" spans="1:45">
      <c r="A7586" s="17" t="s">
        <v>34</v>
      </c>
      <c r="B7586" s="19">
        <v>1115</v>
      </c>
      <c r="C7586" s="183">
        <v>46150</v>
      </c>
      <c r="D7586" s="17" t="s">
        <v>52</v>
      </c>
      <c r="E7586" s="17" t="s">
        <v>53</v>
      </c>
      <c r="F7586" s="17" t="s">
        <v>54</v>
      </c>
      <c r="G7586" s="17"/>
      <c r="H7586" s="19">
        <v>1.2379</v>
      </c>
      <c r="I7586" s="19" t="s">
        <v>1742</v>
      </c>
      <c r="J7586" s="17" t="s">
        <v>39</v>
      </c>
      <c r="K7586" s="19">
        <v>123</v>
      </c>
      <c r="L7586" s="91"/>
      <c r="M7586" s="19">
        <v>4700</v>
      </c>
      <c r="N7586" s="19" t="s">
        <v>40</v>
      </c>
      <c r="O7586" s="19" t="s">
        <v>50</v>
      </c>
      <c r="P7586" s="19">
        <v>14000</v>
      </c>
      <c r="Q7586" s="19">
        <f>1072+1080+2592+2200+2142+2218+1566</f>
        <v>12870</v>
      </c>
      <c r="R7586" s="19">
        <f t="shared" si="327"/>
        <v>1130</v>
      </c>
      <c r="S7586" s="19">
        <v>2075</v>
      </c>
      <c r="T7586" s="19" t="s">
        <v>42</v>
      </c>
      <c r="U7586" s="102" t="s">
        <v>1743</v>
      </c>
      <c r="V7586" s="186">
        <v>46155</v>
      </c>
      <c r="W7586" s="17" t="s">
        <v>58</v>
      </c>
      <c r="X7586" s="17"/>
      <c r="Y7586" s="68">
        <v>46204</v>
      </c>
      <c r="Z7586" s="17" t="s">
        <v>45</v>
      </c>
      <c r="AA7586" s="17" t="s">
        <v>46</v>
      </c>
      <c r="AB7586" s="17" t="s">
        <v>1744</v>
      </c>
      <c r="AC7586" s="217">
        <v>46232</v>
      </c>
      <c r="AD7586" s="65">
        <v>1842</v>
      </c>
      <c r="AE7586" s="17" t="s">
        <v>48</v>
      </c>
      <c r="AF7586" s="17" t="s">
        <v>560</v>
      </c>
      <c r="AG7586" s="17"/>
      <c r="AI7586" s="17"/>
      <c r="AJ7586" s="17"/>
      <c r="AK7586" s="17"/>
      <c r="AL7586" s="17"/>
      <c r="AM7586" s="17"/>
      <c r="AN7586" s="17"/>
      <c r="AO7586" s="17"/>
      <c r="AP7586" s="17"/>
      <c r="AQ7586" s="17"/>
      <c r="AR7586" s="17"/>
      <c r="AS7586" s="17"/>
    </row>
    <row r="7587" s="25" customFormat="1" hidden="1" spans="1:45">
      <c r="A7587" s="17" t="s">
        <v>34</v>
      </c>
      <c r="B7587" s="19">
        <v>1115</v>
      </c>
      <c r="C7587" s="183">
        <v>46150</v>
      </c>
      <c r="D7587" s="17" t="s">
        <v>52</v>
      </c>
      <c r="E7587" s="17" t="s">
        <v>53</v>
      </c>
      <c r="F7587" s="17" t="s">
        <v>54</v>
      </c>
      <c r="G7587" s="17"/>
      <c r="H7587" s="19">
        <v>1.2379</v>
      </c>
      <c r="I7587" s="19" t="s">
        <v>1742</v>
      </c>
      <c r="J7587" s="17" t="s">
        <v>39</v>
      </c>
      <c r="K7587" s="19">
        <v>125</v>
      </c>
      <c r="L7587" s="91"/>
      <c r="M7587" s="19">
        <v>4300</v>
      </c>
      <c r="N7587" s="19" t="s">
        <v>40</v>
      </c>
      <c r="O7587" s="19" t="s">
        <v>50</v>
      </c>
      <c r="P7587" s="19">
        <v>1000</v>
      </c>
      <c r="Q7587" s="19">
        <v>1242</v>
      </c>
      <c r="R7587" s="19">
        <f t="shared" si="327"/>
        <v>-242</v>
      </c>
      <c r="S7587" s="19">
        <v>2075</v>
      </c>
      <c r="T7587" s="19" t="s">
        <v>42</v>
      </c>
      <c r="U7587" s="102" t="s">
        <v>1743</v>
      </c>
      <c r="V7587" s="186">
        <v>46155</v>
      </c>
      <c r="W7587" s="17" t="s">
        <v>58</v>
      </c>
      <c r="X7587" s="17"/>
      <c r="Y7587" s="68">
        <v>46204</v>
      </c>
      <c r="Z7587" s="17" t="s">
        <v>45</v>
      </c>
      <c r="AA7587" s="17" t="s">
        <v>46</v>
      </c>
      <c r="AB7587" s="17" t="s">
        <v>1744</v>
      </c>
      <c r="AC7587" s="217">
        <v>46232</v>
      </c>
      <c r="AD7587" s="65">
        <v>1842</v>
      </c>
      <c r="AE7587" s="17" t="s">
        <v>48</v>
      </c>
      <c r="AF7587" s="17" t="s">
        <v>560</v>
      </c>
      <c r="AG7587" s="17"/>
      <c r="AI7587" s="17"/>
      <c r="AJ7587" s="17"/>
      <c r="AK7587" s="17"/>
      <c r="AL7587" s="17"/>
      <c r="AM7587" s="17"/>
      <c r="AN7587" s="17"/>
      <c r="AO7587" s="17"/>
      <c r="AP7587" s="17"/>
      <c r="AQ7587" s="17"/>
      <c r="AR7587" s="17"/>
      <c r="AS7587" s="17"/>
    </row>
    <row r="7588" s="25" customFormat="1" hidden="1" spans="1:45">
      <c r="A7588" s="17" t="s">
        <v>34</v>
      </c>
      <c r="B7588" s="19">
        <v>1116</v>
      </c>
      <c r="C7588" s="183">
        <v>46162</v>
      </c>
      <c r="D7588" s="17" t="s">
        <v>52</v>
      </c>
      <c r="E7588" s="17" t="s">
        <v>104</v>
      </c>
      <c r="F7588" s="17" t="s">
        <v>54</v>
      </c>
      <c r="G7588" s="17"/>
      <c r="H7588" s="19" t="s">
        <v>1370</v>
      </c>
      <c r="I7588" s="19" t="s">
        <v>1735</v>
      </c>
      <c r="J7588" s="17" t="s">
        <v>49</v>
      </c>
      <c r="K7588" s="19">
        <v>2300</v>
      </c>
      <c r="L7588" s="91">
        <v>420</v>
      </c>
      <c r="M7588" s="19">
        <v>4500</v>
      </c>
      <c r="N7588" s="19" t="s">
        <v>40</v>
      </c>
      <c r="O7588" s="19" t="s">
        <v>67</v>
      </c>
      <c r="P7588" s="19">
        <v>25964</v>
      </c>
      <c r="Q7588" s="19">
        <v>24070</v>
      </c>
      <c r="R7588" s="19">
        <f t="shared" si="327"/>
        <v>1894</v>
      </c>
      <c r="S7588" s="19">
        <f>780-50</f>
        <v>730</v>
      </c>
      <c r="T7588" s="19" t="s">
        <v>42</v>
      </c>
      <c r="U7588" s="102" t="s">
        <v>1745</v>
      </c>
      <c r="V7588" s="186">
        <v>46149</v>
      </c>
      <c r="W7588" s="17" t="s">
        <v>44</v>
      </c>
      <c r="X7588" s="17"/>
      <c r="Y7588" s="68">
        <v>46143</v>
      </c>
      <c r="Z7588" s="17" t="s">
        <v>45</v>
      </c>
      <c r="AA7588" s="17" t="s">
        <v>46</v>
      </c>
      <c r="AB7588" s="17" t="s">
        <v>1746</v>
      </c>
      <c r="AC7588" s="217">
        <v>46163</v>
      </c>
      <c r="AD7588" s="65">
        <v>1818</v>
      </c>
      <c r="AE7588" s="17" t="s">
        <v>48</v>
      </c>
      <c r="AF7588" s="17" t="s">
        <v>61</v>
      </c>
      <c r="AG7588" s="17"/>
      <c r="AI7588" s="17"/>
      <c r="AJ7588" s="17"/>
      <c r="AK7588" s="17"/>
      <c r="AL7588" s="17"/>
      <c r="AM7588" s="17"/>
      <c r="AN7588" s="17"/>
      <c r="AO7588" s="17"/>
      <c r="AP7588" s="17"/>
      <c r="AQ7588" s="17"/>
      <c r="AR7588" s="17"/>
      <c r="AS7588" s="17"/>
    </row>
    <row r="7589" s="25" customFormat="1" hidden="1" spans="1:45">
      <c r="A7589" s="17" t="s">
        <v>34</v>
      </c>
      <c r="B7589" s="19">
        <v>1116</v>
      </c>
      <c r="C7589" s="183">
        <v>46162</v>
      </c>
      <c r="D7589" s="17" t="s">
        <v>52</v>
      </c>
      <c r="E7589" s="17" t="s">
        <v>104</v>
      </c>
      <c r="F7589" s="17" t="s">
        <v>54</v>
      </c>
      <c r="G7589" s="17"/>
      <c r="H7589" s="19" t="s">
        <v>1370</v>
      </c>
      <c r="I7589" s="19" t="s">
        <v>1735</v>
      </c>
      <c r="J7589" s="17" t="s">
        <v>49</v>
      </c>
      <c r="K7589" s="19">
        <v>2300</v>
      </c>
      <c r="L7589" s="91">
        <v>430</v>
      </c>
      <c r="M7589" s="19">
        <v>4500</v>
      </c>
      <c r="N7589" s="19" t="s">
        <v>40</v>
      </c>
      <c r="O7589" s="19" t="s">
        <v>67</v>
      </c>
      <c r="P7589" s="19">
        <v>24683</v>
      </c>
      <c r="Q7589" s="19">
        <v>24140</v>
      </c>
      <c r="R7589" s="19">
        <f t="shared" si="327"/>
        <v>543</v>
      </c>
      <c r="S7589" s="19">
        <v>780</v>
      </c>
      <c r="T7589" s="19" t="s">
        <v>42</v>
      </c>
      <c r="U7589" s="102" t="s">
        <v>1745</v>
      </c>
      <c r="V7589" s="186">
        <v>46149</v>
      </c>
      <c r="W7589" s="17" t="s">
        <v>44</v>
      </c>
      <c r="X7589" s="17"/>
      <c r="Y7589" s="68">
        <v>46143</v>
      </c>
      <c r="Z7589" s="17" t="s">
        <v>45</v>
      </c>
      <c r="AA7589" s="17" t="s">
        <v>46</v>
      </c>
      <c r="AB7589" s="17" t="s">
        <v>1747</v>
      </c>
      <c r="AC7589" s="217">
        <v>46163</v>
      </c>
      <c r="AD7589" s="65">
        <v>1821</v>
      </c>
      <c r="AE7589" s="17" t="s">
        <v>48</v>
      </c>
      <c r="AF7589" s="17" t="s">
        <v>61</v>
      </c>
      <c r="AG7589" s="17"/>
      <c r="AI7589" s="17"/>
      <c r="AJ7589" s="17"/>
      <c r="AK7589" s="17"/>
      <c r="AL7589" s="17"/>
      <c r="AM7589" s="17"/>
      <c r="AN7589" s="17"/>
      <c r="AO7589" s="17"/>
      <c r="AP7589" s="17"/>
      <c r="AQ7589" s="17"/>
      <c r="AR7589" s="17"/>
      <c r="AS7589" s="17"/>
    </row>
    <row r="7590" s="25" customFormat="1" ht="14.25" hidden="1" customHeight="1" spans="1:45">
      <c r="A7590" s="17" t="s">
        <v>34</v>
      </c>
      <c r="B7590" s="19">
        <v>1116</v>
      </c>
      <c r="C7590" s="183">
        <v>46162</v>
      </c>
      <c r="D7590" s="17" t="s">
        <v>52</v>
      </c>
      <c r="E7590" s="17" t="s">
        <v>104</v>
      </c>
      <c r="F7590" s="17" t="s">
        <v>54</v>
      </c>
      <c r="G7590" s="17"/>
      <c r="H7590" s="19">
        <v>1.2311</v>
      </c>
      <c r="I7590" s="19" t="s">
        <v>1114</v>
      </c>
      <c r="J7590" s="17" t="s">
        <v>49</v>
      </c>
      <c r="K7590" s="19">
        <v>2300</v>
      </c>
      <c r="L7590" s="91">
        <v>25</v>
      </c>
      <c r="M7590" s="19">
        <v>4500</v>
      </c>
      <c r="N7590" s="19" t="s">
        <v>66</v>
      </c>
      <c r="O7590" s="19" t="s">
        <v>67</v>
      </c>
      <c r="P7590" s="19">
        <v>3000</v>
      </c>
      <c r="Q7590" s="19">
        <f>1656+1660</f>
        <v>3316</v>
      </c>
      <c r="R7590" s="19">
        <f t="shared" si="327"/>
        <v>-316</v>
      </c>
      <c r="S7590" s="19">
        <v>785</v>
      </c>
      <c r="T7590" s="19" t="s">
        <v>42</v>
      </c>
      <c r="U7590" s="102" t="s">
        <v>1745</v>
      </c>
      <c r="V7590" s="186">
        <v>46149</v>
      </c>
      <c r="W7590" s="17" t="s">
        <v>44</v>
      </c>
      <c r="X7590" s="17"/>
      <c r="Y7590" s="68">
        <v>46143</v>
      </c>
      <c r="Z7590" s="17" t="s">
        <v>45</v>
      </c>
      <c r="AA7590" s="17" t="s">
        <v>46</v>
      </c>
      <c r="AB7590" s="17" t="s">
        <v>1733</v>
      </c>
      <c r="AC7590" s="217">
        <v>46223</v>
      </c>
      <c r="AD7590" s="65">
        <v>1843</v>
      </c>
      <c r="AE7590" s="17" t="s">
        <v>48</v>
      </c>
      <c r="AF7590" s="17" t="s">
        <v>560</v>
      </c>
      <c r="AG7590" s="17"/>
      <c r="AI7590" s="17"/>
      <c r="AJ7590" s="17"/>
      <c r="AK7590" s="17"/>
      <c r="AL7590" s="17"/>
      <c r="AM7590" s="17"/>
      <c r="AN7590" s="17"/>
      <c r="AO7590" s="17"/>
      <c r="AP7590" s="17"/>
      <c r="AQ7590" s="17"/>
      <c r="AR7590" s="17"/>
      <c r="AS7590" s="17"/>
    </row>
    <row r="7591" s="25" customFormat="1" hidden="1" spans="1:45">
      <c r="A7591" s="17" t="s">
        <v>34</v>
      </c>
      <c r="B7591" s="19">
        <v>1116</v>
      </c>
      <c r="C7591" s="183">
        <v>46162</v>
      </c>
      <c r="D7591" s="17" t="s">
        <v>52</v>
      </c>
      <c r="E7591" s="17" t="s">
        <v>104</v>
      </c>
      <c r="F7591" s="17" t="s">
        <v>54</v>
      </c>
      <c r="G7591" s="17"/>
      <c r="H7591" s="19">
        <v>1.2311</v>
      </c>
      <c r="I7591" s="19" t="s">
        <v>1114</v>
      </c>
      <c r="J7591" s="17" t="s">
        <v>49</v>
      </c>
      <c r="K7591" s="19">
        <v>2300</v>
      </c>
      <c r="L7591" s="91">
        <v>32</v>
      </c>
      <c r="M7591" s="19">
        <v>4500</v>
      </c>
      <c r="N7591" s="19" t="s">
        <v>66</v>
      </c>
      <c r="O7591" s="19" t="s">
        <v>67</v>
      </c>
      <c r="P7591" s="19">
        <v>3000</v>
      </c>
      <c r="Q7591" s="19">
        <f>1965+1965</f>
        <v>3930</v>
      </c>
      <c r="R7591" s="19">
        <f t="shared" si="327"/>
        <v>-930</v>
      </c>
      <c r="S7591" s="19">
        <v>785</v>
      </c>
      <c r="T7591" s="19" t="s">
        <v>42</v>
      </c>
      <c r="U7591" s="102" t="s">
        <v>1745</v>
      </c>
      <c r="V7591" s="186">
        <v>46149</v>
      </c>
      <c r="W7591" s="17" t="s">
        <v>44</v>
      </c>
      <c r="X7591" s="17"/>
      <c r="Y7591" s="68">
        <v>46143</v>
      </c>
      <c r="Z7591" s="17" t="s">
        <v>45</v>
      </c>
      <c r="AA7591" s="17" t="s">
        <v>46</v>
      </c>
      <c r="AB7591" s="17" t="s">
        <v>1733</v>
      </c>
      <c r="AC7591" s="217">
        <v>46223</v>
      </c>
      <c r="AD7591" s="65">
        <v>1843</v>
      </c>
      <c r="AE7591" s="17" t="s">
        <v>48</v>
      </c>
      <c r="AF7591" s="17" t="s">
        <v>560</v>
      </c>
      <c r="AG7591" s="17"/>
      <c r="AI7591" s="17"/>
      <c r="AJ7591" s="17"/>
      <c r="AK7591" s="17"/>
      <c r="AL7591" s="17"/>
      <c r="AM7591" s="17"/>
      <c r="AN7591" s="17"/>
      <c r="AO7591" s="17"/>
      <c r="AP7591" s="17"/>
      <c r="AQ7591" s="17"/>
      <c r="AR7591" s="17"/>
      <c r="AS7591" s="17"/>
    </row>
    <row r="7593" spans="1:45">
      <c r="S7593" s="450"/>
    </row>
    <row r="7594" spans="1:45">
      <c r="T7594" s="451"/>
      <c r="U7594" s="451"/>
      <c r="V7594" s="452"/>
      <c r="W7594" s="452"/>
    </row>
    <row r="7595" spans="1:45">
      <c r="T7595" s="451"/>
      <c r="U7595" s="451"/>
      <c r="V7595" s="452"/>
      <c r="W7595" s="452"/>
    </row>
    <row r="7596" spans="1:45">
      <c r="T7596" s="451"/>
      <c r="U7596" s="451"/>
      <c r="V7596" s="452"/>
      <c r="W7596" s="452"/>
      <c r="AC7596" s="452"/>
      <c r="AD7596" s="452"/>
      <c r="AE7596" s="453"/>
      <c r="AF7596" s="453"/>
    </row>
    <row r="7597" spans="1:45">
      <c r="T7597" s="451"/>
      <c r="U7597" s="451"/>
      <c r="V7597" s="451"/>
      <c r="W7597" s="451"/>
    </row>
    <row r="7702" spans="17:17">
      <c r="Q7702" s="454"/>
    </row>
  </sheetData>
  <autoFilter xmlns:etc="http://www.wps.cn/officeDocument/2017/etCustomData" ref="A2:AZ7591" etc:filterBottomFollowUsedRange="0">
    <filterColumn colId="29">
      <customFilters>
        <customFilter operator="equal" val="1848"/>
      </customFilters>
    </filterColumn>
    <extLst/>
  </autoFilter>
  <dataValidations count="22">
    <dataValidation type="list" allowBlank="1" showInputMessage="1" showErrorMessage="1" sqref="H1986:I1986 H2955:I2955 H1552:I1588 H1649:I1664 H1842:I1848 H1864:I1878 H2354:I2392 H2394:I2418 H2505:I2506 H2555:I2563 H2665:I2701 H2712:I2720 H2730:I2757 H2822:I2824 H2864:I2933 H3022:I3044 H3058:I3090">
      <formula1>$A$2:$A$65</formula1>
    </dataValidation>
    <dataValidation type="list" allowBlank="1" showInputMessage="1" showErrorMessage="1" sqref="F2393 F2995:F3021 F3045:F3057 F3255:F3287 F3298:F3303 F3319:F3331 F3732:F3766 F3774:F3783 F3937:F3945 F4062:F4077 F4265:F4275 F4285:F4308 F4838:F4847 F5044:F5052">
      <formula1>$C$2:$C$77</formula1>
    </dataValidation>
    <dataValidation type="list" allowBlank="1" showInputMessage="1" showErrorMessage="1" sqref="H2393:I2393 H4838:I4847 H2995:I3021 H3255:I3287 H3298:I3303 H3319:I3331 H3732:I3766 H3774:I3783 H3937:I3945 H5044:I5052 H4265:I4275 H4285:I4308">
      <formula1>$A$2:$A$74</formula1>
    </dataValidation>
    <dataValidation type="list" allowBlank="1" showInputMessage="1" showErrorMessage="1" sqref="F2955 F2376:F2392 F2555:F2563 F2665:F2701 F2712:F2720 F2730:F2757 F2822:F2824 F2926:F2933 F3022:F3044 F3058:F3090">
      <formula1>$C$2:$C$45</formula1>
    </dataValidation>
    <dataValidation type="list" allowBlank="1" showInputMessage="1" showErrorMessage="1" sqref="F3657 F5110:F5114">
      <formula1>$C$2:$C$58</formula1>
    </dataValidation>
    <dataValidation type="list" allowBlank="1" showInputMessage="1" showErrorMessage="1" sqref="O3657 H5203:I5203 F5203:F5705 O2530:O2531 O2978:O2994 O4309:O4337 O4447:O4765 O4804:O4837 O4848:O5033 O5053:O5068 O5088:O5091 O5104:O5133 O5188:O5550 O5558:O5704 H5119:I5133">
      <formula1>'[1]Master Value'!#REF!</formula1>
    </dataValidation>
    <dataValidation type="list" allowBlank="1" showInputMessage="1" showErrorMessage="1" sqref="H6073:I6073 H2721:I2729 H1879:I1883 H1919:I1927 H2481:I2504 H2507:I2529 H2598:I2664 H2758:I2821 H2825:I2863 H2934:I2954 H2956:I2977 H3091:I3093 H3288:I3297 H3304:I3311 H3535:I3635 H3658:I3680 H4062:I4098">
      <formula1>$A$2:$A$71</formula1>
    </dataValidation>
    <dataValidation type="list" allowBlank="1" showInputMessage="1" showErrorMessage="1" sqref="H6818:I6818 H3312:I3318 H5104:I5118 H2479:I2480 H6501:I6508 H5088:I5091 H795:I797 H6243:I6245 H2530:I2531 H6382:I6383 H2978:I2994 H3045:I3057 H3636:I3657 H3681:I3731 H4276:I4284 H4309:I4337 H4447:I4765 H4804:I4837 H4848:I5033 H5053:I5068 H5174:I5202 H5204:I6007 H6294:I6310 H6337:I6350 H6412:I6442 H6446:I6470 H6700:I6815 H6827:I7255 H7343:I7350 H7360:I7450">
      <formula1>'Master Value'!$A$2:$A$77</formula1>
    </dataValidation>
    <dataValidation type="list" allowBlank="1" showInputMessage="1" showErrorMessage="1" sqref="T7597 O1879:O1883 O1919:O1927 O2102:O2104 O2376:O2393 O2481:O2529 O2532:O2536 O2555:O2563 O2598:O2701 O2712:O2863 O2926:O2977 O2995:O3656 O3658:O4308 O4338:O4446 O4766:O4803 O4838:O4847 O5034:O5052 O5069:O5087 O5092:O5103 O5134:O5187 O5551:O5557 O5706:O6007 O6294:O6310 O6337:O6350 O6382:O6383 O6412:O6442 O6446:O6470 O6501:O6508 O6700:O7255 O7360:O7407">
      <formula1>'Master Value'!$B$2:$B$6</formula1>
    </dataValidation>
    <dataValidation type="list" allowBlank="1" showInputMessage="1" showErrorMessage="1" sqref="F1879:F1883 F2481:F2504 F2507:F2526 F2598:F2664 F2721:F2729 F2758:F2821 F2825:F2863 F2934:F2954 F2956:F2994 F3091:F3093 F3667:F3680">
      <formula1>$C$2:$C$75</formula1>
    </dataValidation>
    <dataValidation type="list" allowBlank="1" showInputMessage="1" showErrorMessage="1" sqref="F1919:F1927 F2527:F2529 F3288:F3297 F3304:F3311 F3535:F3635 F3658:F3666 F4078:F4098">
      <formula1>$C$2:$C$76</formula1>
    </dataValidation>
    <dataValidation type="list" allowBlank="1" showInputMessage="1" showErrorMessage="1" sqref="F2102:F2104 F3312:F3318 F3636:F3656 F3681:F3731 F4276:F4284 F5706:F6007 F6294:F6310 F6337:F6350 F6382:F6383 F6412:F6442 F6446:F6470 F6501:F6508 F6700:F7568 F7584:F7591">
      <formula1>'Master Value'!$C$2:$C$79</formula1>
    </dataValidation>
    <dataValidation type="list" allowBlank="1" showInputMessage="1" showErrorMessage="1" sqref="F2505:F2506">
      <formula1>'Master Value'!$C$2:$C$45</formula1>
    </dataValidation>
    <dataValidation type="list" allowBlank="1" showInputMessage="1" showErrorMessage="1" sqref="F2530:F2531">
      <formula1>$C$2:$C$85</formula1>
    </dataValidation>
    <dataValidation type="list" allowBlank="1" showInputMessage="1" showErrorMessage="1" sqref="F2532:F2536 F3094:F3254 F3332:F3534 F3767:F3773 F3784:F3936 F3946:F4061 F4260:F4264 F4413:F4446 F4766:F4789 F5069:F5076 F5152:F5155">
      <formula1>$C$2:$C$79</formula1>
    </dataValidation>
    <dataValidation type="list" allowBlank="1" showInputMessage="1" showErrorMessage="1" sqref="F4099:F4259 F4338:F4412 F4790:F4803 F5034:F5043 F5077:F5087 F5092:F5103 F5119:F5151 F5156:F5187">
      <formula1>$C$2:$C$74</formula1>
    </dataValidation>
    <dataValidation type="list" allowBlank="1" showInputMessage="1" showErrorMessage="1" sqref="F4309:F4337 F4447:F4765 F4809:F4837 F4848:F5033 F5053:F5068 F5088:F5091 F5104:F5109">
      <formula1>$C$2:$C$69</formula1>
    </dataValidation>
    <dataValidation type="list" allowBlank="1" showInputMessage="1" showErrorMessage="1" sqref="F4804:F4808 F5115:F5118">
      <formula1>$C$2:$C$57</formula1>
    </dataValidation>
    <dataValidation type="list" allowBlank="1" showInputMessage="1" showErrorMessage="1" sqref="H3767:I3773 H3094:I3254 H3332:I3534 H3784:I3936 H3946:I4061 H4260:I4264 H4413:I4446 H4766:I4789 H5069:I5076 H5152:I5155">
      <formula1>$A$2:$A$76</formula1>
    </dataValidation>
    <dataValidation type="list" allowBlank="1" showInputMessage="1" showErrorMessage="1" sqref="H2102:I2104">
      <formula1>'Master Value'!$A$2:$A$75</formula1>
    </dataValidation>
    <dataValidation type="list" allowBlank="1" showInputMessage="1" showErrorMessage="1" sqref="H5034:I5043 H2532:I2536 H4099:I4259 H4338:I4412 H4790:I4803 H5077:I5087 H5092:I5103 H5134:I5151 H5156:I5173">
      <formula1>$A$2:$A$77</formula1>
    </dataValidation>
    <dataValidation type="list" allowBlank="1" showInputMessage="1" showErrorMessage="1" sqref="H2467:I2472">
      <formula1>'Master Value'!$A$2:$A$67</formula1>
    </dataValidation>
  </dataValidations>
  <hyperlinks>
    <hyperlink ref="AF3690" r:id="rId3" display="3434kg@Rs158+"/>
    <hyperlink ref="AF3692" r:id="rId4" display="4108kg@Rs158+"/>
    <hyperlink ref="AF3694" r:id="rId5" display="4577kg@Rs158+"/>
    <hyperlink ref="AF3696" r:id="rId6" display="5735kg@Rs158+"/>
    <hyperlink ref="AF3644" r:id="rId7" display="2646kg@Rs158+"/>
    <hyperlink ref="AF3646" r:id="rId8" display="2832kg@Rs158+"/>
  </hyperlinks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"/>
  <sheetViews>
    <sheetView workbookViewId="0">
      <selection activeCell="F14" sqref="F14"/>
    </sheetView>
  </sheetViews>
  <sheetFormatPr defaultColWidth="9" defaultRowHeight="14.4" outlineLevelCol="2"/>
  <cols>
    <col min="1" max="1" width="10.4259259259259" customWidth="1"/>
    <col min="2" max="2" width="16.712962962963" customWidth="1"/>
    <col min="3" max="3" width="13.712962962963" customWidth="1"/>
  </cols>
  <sheetData>
    <row r="1" spans="1:3">
      <c r="A1" s="1" t="s">
        <v>8</v>
      </c>
      <c r="B1" t="s">
        <v>1748</v>
      </c>
      <c r="C1" s="2" t="s">
        <v>1749</v>
      </c>
    </row>
    <row r="2" spans="1:3">
      <c r="A2" s="3">
        <v>1.208</v>
      </c>
      <c r="B2" s="4" t="s">
        <v>1167</v>
      </c>
      <c r="C2" s="2" t="s">
        <v>1750</v>
      </c>
    </row>
    <row r="3" spans="1:3">
      <c r="A3" s="5">
        <v>1.2083</v>
      </c>
      <c r="B3" s="4" t="s">
        <v>67</v>
      </c>
      <c r="C3" s="2" t="s">
        <v>236</v>
      </c>
    </row>
    <row r="4" spans="1:3">
      <c r="A4" s="6">
        <v>1.2085</v>
      </c>
      <c r="B4" s="4" t="s">
        <v>41</v>
      </c>
      <c r="C4" s="7" t="s">
        <v>1751</v>
      </c>
    </row>
    <row r="5" spans="1:3">
      <c r="A5" s="5">
        <v>1.2311</v>
      </c>
      <c r="B5" s="4" t="s">
        <v>1752</v>
      </c>
      <c r="C5" s="8" t="s">
        <v>1753</v>
      </c>
    </row>
    <row r="6" spans="1:3">
      <c r="A6" s="6">
        <v>1.2316</v>
      </c>
      <c r="B6" s="4" t="s">
        <v>1754</v>
      </c>
      <c r="C6" s="7" t="s">
        <v>183</v>
      </c>
    </row>
    <row r="7" spans="1:3">
      <c r="A7" s="5">
        <v>1.2327</v>
      </c>
      <c r="B7" s="4"/>
      <c r="C7" s="8" t="s">
        <v>1755</v>
      </c>
    </row>
    <row r="8" spans="1:3">
      <c r="A8" s="6">
        <v>1.2343</v>
      </c>
      <c r="B8" s="4"/>
      <c r="C8" s="8" t="s">
        <v>1756</v>
      </c>
    </row>
    <row r="9" spans="1:3">
      <c r="A9" s="5">
        <v>1.2344</v>
      </c>
      <c r="B9" s="4"/>
      <c r="C9" s="2" t="s">
        <v>1757</v>
      </c>
    </row>
    <row r="10" spans="1:3">
      <c r="A10" s="6">
        <v>1.2365</v>
      </c>
      <c r="B10" s="4"/>
      <c r="C10" s="8" t="s">
        <v>1758</v>
      </c>
    </row>
    <row r="11" spans="1:3">
      <c r="A11" s="5">
        <v>1.2379</v>
      </c>
      <c r="B11" s="4"/>
      <c r="C11" s="2" t="s">
        <v>1759</v>
      </c>
    </row>
    <row r="12" spans="1:3">
      <c r="A12" s="6">
        <v>1.251</v>
      </c>
      <c r="B12" s="4"/>
      <c r="C12" s="8" t="s">
        <v>1760</v>
      </c>
    </row>
    <row r="13" spans="1:3">
      <c r="A13" s="5">
        <v>1.2581</v>
      </c>
      <c r="B13" s="4"/>
      <c r="C13" s="7" t="s">
        <v>1761</v>
      </c>
    </row>
    <row r="14" spans="1:3">
      <c r="A14" s="6">
        <v>1.2714</v>
      </c>
      <c r="B14" s="4"/>
      <c r="C14" s="7" t="s">
        <v>1762</v>
      </c>
    </row>
    <row r="15" spans="1:3">
      <c r="A15" s="5">
        <v>1.2738</v>
      </c>
      <c r="B15" s="4"/>
      <c r="C15" s="7" t="s">
        <v>1763</v>
      </c>
    </row>
    <row r="16" spans="1:3">
      <c r="A16" s="6">
        <v>1.3243</v>
      </c>
      <c r="B16" s="4"/>
      <c r="C16" s="2" t="s">
        <v>1764</v>
      </c>
    </row>
    <row r="17" spans="1:3">
      <c r="A17" s="5">
        <v>1.3247</v>
      </c>
      <c r="B17" s="4"/>
      <c r="C17" s="7" t="s">
        <v>1765</v>
      </c>
    </row>
    <row r="18" spans="1:3">
      <c r="A18" s="6">
        <v>1.3343</v>
      </c>
      <c r="B18" s="4"/>
      <c r="C18" s="2" t="s">
        <v>1766</v>
      </c>
    </row>
    <row r="19" spans="1:3">
      <c r="A19" s="5">
        <v>1.3505</v>
      </c>
      <c r="B19" s="4"/>
      <c r="C19" s="2" t="s">
        <v>1767</v>
      </c>
    </row>
    <row r="20" spans="1:3">
      <c r="A20" s="6">
        <v>1.4057</v>
      </c>
      <c r="B20" s="4"/>
      <c r="C20" s="8" t="s">
        <v>1768</v>
      </c>
    </row>
    <row r="21" spans="1:3">
      <c r="A21" s="5" t="s">
        <v>111</v>
      </c>
      <c r="B21" s="4"/>
      <c r="C21" s="2" t="s">
        <v>1769</v>
      </c>
    </row>
    <row r="22" spans="1:3">
      <c r="A22" s="6" t="s">
        <v>117</v>
      </c>
      <c r="B22" s="4"/>
      <c r="C22" s="7" t="s">
        <v>1770</v>
      </c>
    </row>
    <row r="23" spans="1:3">
      <c r="A23" s="5" t="s">
        <v>219</v>
      </c>
      <c r="B23" s="4"/>
      <c r="C23" s="7" t="s">
        <v>1771</v>
      </c>
    </row>
    <row r="24" spans="1:3">
      <c r="A24" s="6" t="s">
        <v>1666</v>
      </c>
      <c r="B24" s="4"/>
      <c r="C24" s="8" t="s">
        <v>1772</v>
      </c>
    </row>
    <row r="25" spans="1:3">
      <c r="A25" s="5" t="s">
        <v>1403</v>
      </c>
      <c r="B25" s="4"/>
      <c r="C25" s="8" t="s">
        <v>1762</v>
      </c>
    </row>
    <row r="26" spans="1:3">
      <c r="A26" s="5" t="s">
        <v>1773</v>
      </c>
      <c r="B26" s="4"/>
      <c r="C26" s="8" t="s">
        <v>1774</v>
      </c>
    </row>
    <row r="27" spans="1:3">
      <c r="A27" s="6" t="s">
        <v>106</v>
      </c>
      <c r="B27" s="4"/>
      <c r="C27" s="2" t="s">
        <v>1775</v>
      </c>
    </row>
    <row r="28" spans="1:3">
      <c r="A28" s="5" t="s">
        <v>1776</v>
      </c>
      <c r="B28" s="4"/>
      <c r="C28" s="2" t="s">
        <v>1777</v>
      </c>
    </row>
    <row r="29" spans="1:3">
      <c r="A29" s="6" t="s">
        <v>1778</v>
      </c>
      <c r="B29" s="4"/>
      <c r="C29" s="7" t="s">
        <v>1779</v>
      </c>
    </row>
    <row r="30" spans="1:3">
      <c r="A30" s="5" t="s">
        <v>1780</v>
      </c>
      <c r="B30" s="4"/>
      <c r="C30" s="8" t="s">
        <v>1781</v>
      </c>
    </row>
    <row r="31" spans="1:3">
      <c r="A31" s="6" t="s">
        <v>1782</v>
      </c>
      <c r="B31" s="4"/>
      <c r="C31" s="7" t="s">
        <v>1783</v>
      </c>
    </row>
    <row r="32" spans="1:3">
      <c r="A32" s="5" t="s">
        <v>1784</v>
      </c>
      <c r="B32" s="4"/>
      <c r="C32" s="2" t="s">
        <v>1785</v>
      </c>
    </row>
    <row r="33" spans="1:3">
      <c r="A33" s="6" t="s">
        <v>1786</v>
      </c>
      <c r="B33" s="4"/>
      <c r="C33" s="7" t="s">
        <v>1787</v>
      </c>
    </row>
    <row r="34" spans="1:3">
      <c r="A34" s="5" t="s">
        <v>1788</v>
      </c>
      <c r="B34" s="4"/>
      <c r="C34" s="8" t="s">
        <v>1789</v>
      </c>
    </row>
    <row r="35" spans="1:3">
      <c r="A35" s="6" t="s">
        <v>1790</v>
      </c>
      <c r="B35" s="4"/>
      <c r="C35" s="2" t="s">
        <v>1791</v>
      </c>
    </row>
    <row r="36" spans="1:3">
      <c r="A36" s="5" t="s">
        <v>1792</v>
      </c>
      <c r="B36" s="4"/>
      <c r="C36" s="2" t="s">
        <v>1793</v>
      </c>
    </row>
    <row r="37" spans="1:3">
      <c r="A37" s="6" t="s">
        <v>1794</v>
      </c>
      <c r="B37" s="4"/>
      <c r="C37" s="2" t="s">
        <v>1795</v>
      </c>
    </row>
    <row r="38" spans="1:3">
      <c r="A38" s="6" t="s">
        <v>1796</v>
      </c>
      <c r="B38" s="4"/>
      <c r="C38" s="7" t="s">
        <v>1797</v>
      </c>
    </row>
    <row r="39" spans="1:3">
      <c r="A39" s="6" t="s">
        <v>1798</v>
      </c>
      <c r="B39" s="4"/>
      <c r="C39" s="7" t="s">
        <v>1799</v>
      </c>
    </row>
    <row r="40" spans="1:3">
      <c r="A40" s="6" t="s">
        <v>1370</v>
      </c>
      <c r="B40" s="4"/>
      <c r="C40" s="2" t="s">
        <v>1800</v>
      </c>
    </row>
    <row r="41" spans="1:3">
      <c r="A41" s="6" t="s">
        <v>1801</v>
      </c>
      <c r="B41" s="4"/>
      <c r="C41" s="8" t="s">
        <v>1802</v>
      </c>
    </row>
    <row r="42" spans="1:3">
      <c r="A42" s="5" t="s">
        <v>1803</v>
      </c>
      <c r="B42" s="4"/>
      <c r="C42" s="7" t="s">
        <v>1804</v>
      </c>
    </row>
    <row r="43" spans="1:3">
      <c r="A43" s="6" t="s">
        <v>1805</v>
      </c>
      <c r="B43" s="4"/>
      <c r="C43" s="7" t="s">
        <v>434</v>
      </c>
    </row>
    <row r="44" spans="1:3">
      <c r="A44" s="5" t="s">
        <v>1806</v>
      </c>
      <c r="B44" s="4"/>
      <c r="C44" s="8" t="s">
        <v>1807</v>
      </c>
    </row>
    <row r="45" spans="1:3">
      <c r="A45" s="6" t="s">
        <v>1808</v>
      </c>
      <c r="B45" s="4"/>
      <c r="C45" s="7" t="s">
        <v>1809</v>
      </c>
    </row>
    <row r="46" spans="1:3">
      <c r="A46" s="5" t="s">
        <v>1810</v>
      </c>
      <c r="B46" s="4"/>
      <c r="C46" s="8" t="s">
        <v>1811</v>
      </c>
    </row>
    <row r="47" spans="1:3">
      <c r="A47" s="6" t="s">
        <v>1812</v>
      </c>
      <c r="B47" s="4"/>
      <c r="C47" s="7" t="s">
        <v>1515</v>
      </c>
    </row>
    <row r="48" spans="1:3">
      <c r="A48" s="5" t="s">
        <v>1813</v>
      </c>
      <c r="B48" s="4"/>
      <c r="C48" s="8" t="s">
        <v>1814</v>
      </c>
    </row>
    <row r="49" spans="1:3">
      <c r="A49" s="6" t="s">
        <v>1815</v>
      </c>
      <c r="B49" s="4"/>
      <c r="C49" s="8" t="s">
        <v>1816</v>
      </c>
    </row>
    <row r="50" spans="1:3">
      <c r="A50" s="5" t="s">
        <v>1817</v>
      </c>
      <c r="B50" s="4"/>
      <c r="C50" s="9" t="s">
        <v>1818</v>
      </c>
    </row>
    <row r="51" spans="1:3">
      <c r="A51" s="6" t="s">
        <v>1819</v>
      </c>
      <c r="B51" s="4"/>
      <c r="C51" s="8" t="s">
        <v>1820</v>
      </c>
    </row>
    <row r="52" spans="1:3">
      <c r="A52" s="5" t="s">
        <v>1821</v>
      </c>
      <c r="B52" s="4"/>
      <c r="C52" s="8" t="s">
        <v>1822</v>
      </c>
    </row>
    <row r="53" spans="1:3">
      <c r="A53" s="6" t="s">
        <v>1823</v>
      </c>
      <c r="B53" s="4"/>
      <c r="C53" s="8" t="s">
        <v>1824</v>
      </c>
    </row>
    <row r="54" spans="1:3">
      <c r="A54" s="10" t="s">
        <v>1825</v>
      </c>
      <c r="B54" s="4"/>
      <c r="C54" s="8" t="s">
        <v>1826</v>
      </c>
    </row>
    <row r="55" spans="1:3">
      <c r="A55" s="5" t="s">
        <v>1114</v>
      </c>
      <c r="B55" s="4"/>
      <c r="C55" s="8" t="s">
        <v>1762</v>
      </c>
    </row>
    <row r="56" spans="1:3">
      <c r="A56" s="5" t="s">
        <v>87</v>
      </c>
      <c r="B56" s="4"/>
      <c r="C56" s="8" t="s">
        <v>1827</v>
      </c>
    </row>
    <row r="57" spans="1:3">
      <c r="A57" s="10" t="s">
        <v>1828</v>
      </c>
      <c r="B57" s="4"/>
      <c r="C57" s="8" t="s">
        <v>1829</v>
      </c>
    </row>
    <row r="58" spans="1:3">
      <c r="A58" s="6" t="s">
        <v>1830</v>
      </c>
      <c r="B58" s="4"/>
      <c r="C58" s="8" t="s">
        <v>1831</v>
      </c>
    </row>
    <row r="59" spans="1:3">
      <c r="A59" s="5" t="s">
        <v>1832</v>
      </c>
      <c r="B59" s="4"/>
      <c r="C59" s="8" t="s">
        <v>1833</v>
      </c>
    </row>
    <row r="60" spans="1:3">
      <c r="A60" s="5" t="s">
        <v>1166</v>
      </c>
      <c r="B60" s="4"/>
      <c r="C60" s="8" t="s">
        <v>1834</v>
      </c>
    </row>
    <row r="61" spans="1:3">
      <c r="A61" s="5" t="s">
        <v>38</v>
      </c>
      <c r="B61" s="4"/>
      <c r="C61" s="8" t="s">
        <v>1829</v>
      </c>
    </row>
    <row r="62" spans="1:3">
      <c r="A62" s="6" t="s">
        <v>197</v>
      </c>
      <c r="B62" s="4"/>
      <c r="C62" s="8" t="s">
        <v>1835</v>
      </c>
    </row>
    <row r="63" spans="1:3">
      <c r="A63" s="5" t="s">
        <v>1836</v>
      </c>
      <c r="B63" s="4"/>
      <c r="C63" s="8" t="s">
        <v>1837</v>
      </c>
    </row>
    <row r="64" spans="1:3">
      <c r="A64" s="6" t="s">
        <v>247</v>
      </c>
      <c r="B64" s="4"/>
      <c r="C64" s="8" t="s">
        <v>1838</v>
      </c>
    </row>
    <row r="65" spans="1:3">
      <c r="A65" s="5" t="s">
        <v>1839</v>
      </c>
      <c r="B65" s="4"/>
      <c r="C65" s="8" t="s">
        <v>1840</v>
      </c>
    </row>
    <row r="66" spans="1:3">
      <c r="A66" s="5" t="s">
        <v>1841</v>
      </c>
      <c r="B66" s="4"/>
      <c r="C66" s="8" t="s">
        <v>1842</v>
      </c>
    </row>
    <row r="67" spans="1:3">
      <c r="A67" s="6" t="s">
        <v>1843</v>
      </c>
      <c r="B67" s="4"/>
      <c r="C67" s="8" t="s">
        <v>1844</v>
      </c>
    </row>
    <row r="68" spans="1:3">
      <c r="A68" s="5" t="s">
        <v>55</v>
      </c>
      <c r="B68" s="4"/>
      <c r="C68" s="8" t="s">
        <v>1845</v>
      </c>
    </row>
    <row r="69" spans="1:3">
      <c r="A69" s="11" t="s">
        <v>1846</v>
      </c>
      <c r="B69" s="4"/>
      <c r="C69" s="8" t="s">
        <v>1847</v>
      </c>
    </row>
    <row r="70" spans="1:3">
      <c r="A70" s="12" t="s">
        <v>97</v>
      </c>
      <c r="C70" s="8" t="s">
        <v>1848</v>
      </c>
    </row>
    <row r="71" spans="1:3">
      <c r="A71" s="13" t="s">
        <v>1548</v>
      </c>
      <c r="C71" s="8" t="s">
        <v>1849</v>
      </c>
    </row>
    <row r="72" spans="1:3">
      <c r="A72" s="5" t="s">
        <v>1387</v>
      </c>
      <c r="B72" s="4"/>
      <c r="C72" s="8" t="s">
        <v>1762</v>
      </c>
    </row>
    <row r="73" spans="1:3">
      <c r="A73" s="5" t="s">
        <v>1390</v>
      </c>
      <c r="B73" s="4"/>
      <c r="C73" s="8" t="s">
        <v>1762</v>
      </c>
    </row>
    <row r="74" spans="1:3">
      <c r="A74" s="12" t="s">
        <v>169</v>
      </c>
      <c r="C74" s="8" t="s">
        <v>1850</v>
      </c>
    </row>
    <row r="75" spans="1:3">
      <c r="A75" s="13" t="s">
        <v>108</v>
      </c>
      <c r="C75" s="8" t="s">
        <v>1851</v>
      </c>
    </row>
    <row r="76" spans="1:3">
      <c r="A76" s="5" t="s">
        <v>426</v>
      </c>
      <c r="B76" s="4"/>
      <c r="C76" s="8" t="s">
        <v>1852</v>
      </c>
    </row>
    <row r="77" spans="1:3">
      <c r="A77" t="s">
        <v>1853</v>
      </c>
      <c r="C77" s="8" t="s">
        <v>1854</v>
      </c>
    </row>
    <row r="78" spans="1:3">
      <c r="A78" s="1"/>
      <c r="C78" s="8" t="s">
        <v>1855</v>
      </c>
    </row>
    <row r="79" spans="1:3">
      <c r="A79" s="1"/>
      <c r="C79" s="8" t="s">
        <v>1856</v>
      </c>
    </row>
    <row r="80" spans="1:3">
      <c r="A80" s="1"/>
      <c r="C80" s="8"/>
    </row>
  </sheetData>
  <dataValidations count="1">
    <dataValidation type="list" allowBlank="1" showInputMessage="1" showErrorMessage="1" sqref="C2:C50">
      <formula1>Make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Pending Order</vt:lpstr>
      <vt:lpstr>Closed Order</vt:lpstr>
      <vt:lpstr>Master Value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WPS_1724324545</cp:lastModifiedBy>
  <dcterms:created xsi:type="dcterms:W3CDTF">2021-09-10T07:31:00Z</dcterms:created>
  <cp:lastPrinted>2025-05-29T05:15:00Z</cp:lastPrinted>
  <dcterms:modified xsi:type="dcterms:W3CDTF">2026-10-06T05:59:55Z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CD842491E36342359964074367D926A2_12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